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Hourly_OFD" sheetId="1" r:id="rId4"/>
    <sheet state="visible" name="Reliability" sheetId="2" r:id="rId5"/>
    <sheet state="visible" name="EagleEye" sheetId="3" r:id="rId6"/>
    <sheet state="hidden" name="Hubwise Hourly View" sheetId="4" r:id="rId7"/>
    <sheet state="visible" name="Sheet11" sheetId="5" r:id="rId8"/>
    <sheet state="visible" name="D-1 Reservation" sheetId="6" r:id="rId9"/>
    <sheet state="visible" name="GM_Wise_Raw_Availability" sheetId="7" r:id="rId10"/>
    <sheet state="visible" name="GM_Wise_Raw_Landing" sheetId="8" r:id="rId11"/>
    <sheet state="visible" name="Ref" sheetId="9" r:id="rId12"/>
  </sheets>
  <definedNames/>
  <calcPr/>
</workbook>
</file>

<file path=xl/sharedStrings.xml><?xml version="1.0" encoding="utf-8"?>
<sst xmlns="http://schemas.openxmlformats.org/spreadsheetml/2006/main" count="6541" uniqueCount="82">
  <si>
    <t>Total</t>
  </si>
  <si>
    <t>Hourly OFD View</t>
  </si>
  <si>
    <t>D-1 Landing Time</t>
  </si>
  <si>
    <t>17</t>
  </si>
  <si>
    <t>GM</t>
  </si>
  <si>
    <t>Delta vs 11th</t>
  </si>
  <si>
    <t>CPD in OFD</t>
  </si>
  <si>
    <t>Target 
OFD</t>
  </si>
  <si>
    <t>Day Start w/o Expected &amp; SLA(D+1)</t>
  </si>
  <si>
    <t>D-1 
Landing</t>
  </si>
  <si>
    <t>D-2
 Landing</t>
  </si>
  <si>
    <t>Day 
Start</t>
  </si>
  <si>
    <t>Day Start 
CPD</t>
  </si>
  <si>
    <t>Achieved</t>
  </si>
  <si>
    <t>Delta</t>
  </si>
  <si>
    <t>Amit Kumar Pathak</t>
  </si>
  <si>
    <t>Manoj Harsh</t>
  </si>
  <si>
    <t>Loveleen Singh</t>
  </si>
  <si>
    <t>Pradeep Kothari</t>
  </si>
  <si>
    <t>North</t>
  </si>
  <si>
    <t>Ashish Ranjan</t>
  </si>
  <si>
    <t>Girish Chand</t>
  </si>
  <si>
    <t>Parag Kashyap</t>
  </si>
  <si>
    <t>East</t>
  </si>
  <si>
    <t>Kandula Sampath</t>
  </si>
  <si>
    <t>Martin A</t>
  </si>
  <si>
    <t>Premkumar M</t>
  </si>
  <si>
    <t>Vineeth V</t>
  </si>
  <si>
    <t>South</t>
  </si>
  <si>
    <t>Ashish Jakar</t>
  </si>
  <si>
    <t>Ashvani Bhatt</t>
  </si>
  <si>
    <t>West</t>
  </si>
  <si>
    <t>Hub_Wise</t>
  </si>
  <si>
    <t>Hourly_Updates_Hubwise</t>
  </si>
  <si>
    <t>Availability Hourly View</t>
  </si>
  <si>
    <t>Select Hour ---&gt;</t>
  </si>
  <si>
    <t>Delta Vs 7th</t>
  </si>
  <si>
    <t>Landing_View</t>
  </si>
  <si>
    <t>Total_Landing</t>
  </si>
  <si>
    <t>Zone</t>
  </si>
  <si>
    <t>Landing</t>
  </si>
  <si>
    <t>OFD+OFP</t>
  </si>
  <si>
    <t>Availability</t>
  </si>
  <si>
    <t>OFD</t>
  </si>
  <si>
    <t>Delivered</t>
  </si>
  <si>
    <t>Date</t>
  </si>
  <si>
    <t>Hour</t>
  </si>
  <si>
    <t>EAST</t>
  </si>
  <si>
    <t>13</t>
  </si>
  <si>
    <t>NORTH</t>
  </si>
  <si>
    <t>SOUTH</t>
  </si>
  <si>
    <t>WEST</t>
  </si>
  <si>
    <t>Unknown</t>
  </si>
  <si>
    <t>18</t>
  </si>
  <si>
    <t>19</t>
  </si>
  <si>
    <t>20</t>
  </si>
  <si>
    <t>21</t>
  </si>
  <si>
    <t>22</t>
  </si>
  <si>
    <t>08</t>
  </si>
  <si>
    <t>09</t>
  </si>
  <si>
    <t>10</t>
  </si>
  <si>
    <t>11</t>
  </si>
  <si>
    <t>12</t>
  </si>
  <si>
    <t>14</t>
  </si>
  <si>
    <t>15</t>
  </si>
  <si>
    <t>16</t>
  </si>
  <si>
    <t>zone</t>
  </si>
  <si>
    <t>Gm</t>
  </si>
  <si>
    <t>TOTAL</t>
  </si>
  <si>
    <t>Kandula Sampath Kumar</t>
  </si>
  <si>
    <t>Grand Total</t>
  </si>
  <si>
    <t>Hub_Name</t>
  </si>
  <si>
    <t>Type</t>
  </si>
  <si>
    <t>GM Name</t>
  </si>
  <si>
    <t>Availibility</t>
  </si>
  <si>
    <t>Time</t>
  </si>
  <si>
    <t>region</t>
  </si>
  <si>
    <t>Plan</t>
  </si>
  <si>
    <t>Actual</t>
  </si>
  <si>
    <t>&gt;120 Attainment Hubs</t>
  </si>
  <si>
    <t>&lt;120 Attainment Hubs</t>
  </si>
  <si>
    <t>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</si>
</sst>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D"/>
    <numFmt numFmtId="165" formatCode="yyyy-mm-dd"/>
    <numFmt numFmtId="166" formatCode="M/d/yyyy"/>
    <numFmt numFmtId="167" formatCode="h:mm am/pm"/>
    <numFmt numFmtId="168" formatCode="d&quot;/&quot;m&quot;/&quot;yyyy"/>
  </numFmts>
  <fonts count="18">
    <font>
      <sz val="10.0"/>
      <color rgb="FF000000"/>
      <name val="Arial"/>
      <scheme val="minor"/>
    </font>
    <font>
      <b/>
      <sz val="11.0"/>
      <color rgb="FFFFFFFF"/>
      <name val="Aptos Narrow"/>
    </font>
    <font>
      <color theme="1"/>
      <name val="Arial"/>
    </font>
    <font>
      <b/>
      <color rgb="FFFFFFFF"/>
      <name val="Arial"/>
    </font>
    <font>
      <sz val="11.0"/>
      <color theme="1"/>
      <name val="Arial"/>
    </font>
    <font>
      <color rgb="FFFFFFFF"/>
      <name val="Arial"/>
    </font>
    <font>
      <color theme="1"/>
      <name val="Arial"/>
      <scheme val="minor"/>
    </font>
    <font>
      <b/>
      <color theme="1"/>
      <name val="Arial"/>
    </font>
    <font>
      <color rgb="FFFFFFFF"/>
      <name val="Arial"/>
      <scheme val="minor"/>
    </font>
    <font>
      <u/>
      <color theme="1"/>
      <name val="Arial"/>
      <scheme val="minor"/>
    </font>
    <font>
      <sz val="11.0"/>
      <color theme="1"/>
      <name val="Aptos Narrow"/>
    </font>
    <font>
      <sz val="11.0"/>
      <color rgb="FFFFFFFF"/>
      <name val="Arial"/>
    </font>
    <font>
      <b/>
      <sz val="11.0"/>
      <color theme="1"/>
      <name val="Aptos Narrow"/>
    </font>
    <font>
      <b/>
      <sz val="11.0"/>
      <color theme="1"/>
      <name val="Arial"/>
    </font>
    <font>
      <b/>
      <sz val="9.0"/>
      <color theme="1"/>
      <name val="Arial"/>
    </font>
    <font>
      <sz val="9.0"/>
      <color theme="1"/>
      <name val="Arial"/>
    </font>
    <font/>
    <font>
      <b/>
      <sz val="9.0"/>
      <color rgb="FFFFFFFF"/>
      <name val="Arial"/>
    </font>
  </fonts>
  <fills count="50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073763"/>
        <bgColor rgb="FF073763"/>
      </patternFill>
    </fill>
    <fill>
      <patternFill patternType="solid">
        <fgColor rgb="FF0000FF"/>
        <bgColor rgb="FF0000FF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0B5394"/>
        <bgColor rgb="FF0B5394"/>
      </patternFill>
    </fill>
    <fill>
      <patternFill patternType="solid">
        <fgColor rgb="FFE67C73"/>
        <bgColor rgb="FFE67C73"/>
      </patternFill>
    </fill>
    <fill>
      <patternFill patternType="solid">
        <fgColor rgb="FFF4CCCC"/>
        <bgColor rgb="FFF4CCCC"/>
      </patternFill>
    </fill>
    <fill>
      <patternFill patternType="solid">
        <fgColor rgb="FFAFDFC7"/>
        <bgColor rgb="FFAFDFC7"/>
      </patternFill>
    </fill>
    <fill>
      <patternFill patternType="solid">
        <fgColor rgb="FFFDFFFE"/>
        <bgColor rgb="FFFDFFFE"/>
      </patternFill>
    </fill>
    <fill>
      <patternFill patternType="solid">
        <fgColor rgb="FFE6B8AF"/>
        <bgColor rgb="FFE6B8AF"/>
      </patternFill>
    </fill>
    <fill>
      <patternFill patternType="solid">
        <fgColor rgb="FFF3C3BF"/>
        <bgColor rgb="FFF3C3BF"/>
      </patternFill>
    </fill>
    <fill>
      <patternFill patternType="solid">
        <fgColor rgb="FFFAFDFC"/>
        <bgColor rgb="FFFAFDFC"/>
      </patternFill>
    </fill>
    <fill>
      <patternFill patternType="solid">
        <fgColor rgb="FFC1E6D4"/>
        <bgColor rgb="FFC1E6D4"/>
      </patternFill>
    </fill>
    <fill>
      <patternFill patternType="solid">
        <fgColor rgb="FFCFE2F3"/>
        <bgColor rgb="FFCFE2F3"/>
      </patternFill>
    </fill>
    <fill>
      <patternFill patternType="solid">
        <fgColor rgb="FFF7D5D2"/>
        <bgColor rgb="FFF7D5D2"/>
      </patternFill>
    </fill>
    <fill>
      <patternFill patternType="solid">
        <fgColor rgb="FFEA918A"/>
        <bgColor rgb="FFEA918A"/>
      </patternFill>
    </fill>
    <fill>
      <patternFill patternType="solid">
        <fgColor rgb="FFFEFDFD"/>
        <bgColor rgb="FFFEFDFD"/>
      </patternFill>
    </fill>
    <fill>
      <patternFill patternType="solid">
        <fgColor rgb="FFD5A6BD"/>
        <bgColor rgb="FFD5A6BD"/>
      </patternFill>
    </fill>
    <fill>
      <patternFill patternType="solid">
        <fgColor rgb="FFE7F6EF"/>
        <bgColor rgb="FFE7F6EF"/>
      </patternFill>
    </fill>
    <fill>
      <patternFill patternType="solid">
        <fgColor rgb="FFFDF7F7"/>
        <bgColor rgb="FFFDF7F7"/>
      </patternFill>
    </fill>
    <fill>
      <patternFill patternType="solid">
        <fgColor rgb="FFE4F4ED"/>
        <bgColor rgb="FFE4F4ED"/>
      </patternFill>
    </fill>
    <fill>
      <patternFill patternType="solid">
        <fgColor rgb="FFFDF6F5"/>
        <bgColor rgb="FFFDF6F5"/>
      </patternFill>
    </fill>
    <fill>
      <patternFill patternType="solid">
        <fgColor rgb="FFFFF2CC"/>
        <bgColor rgb="FFFFF2CC"/>
      </patternFill>
    </fill>
    <fill>
      <patternFill patternType="solid">
        <fgColor rgb="FFF6D1CE"/>
        <bgColor rgb="FFF6D1CE"/>
      </patternFill>
    </fill>
    <fill>
      <patternFill patternType="solid">
        <fgColor rgb="FF57BB8A"/>
        <bgColor rgb="FF57BB8A"/>
      </patternFill>
    </fill>
    <fill>
      <patternFill patternType="solid">
        <fgColor rgb="FFBEE5D2"/>
        <bgColor rgb="FFBEE5D2"/>
      </patternFill>
    </fill>
    <fill>
      <patternFill patternType="solid">
        <fgColor rgb="FFEEA8A2"/>
        <bgColor rgb="FFEEA8A2"/>
      </patternFill>
    </fill>
    <fill>
      <patternFill patternType="solid">
        <fgColor rgb="FFF1B8B3"/>
        <bgColor rgb="FFF1B8B3"/>
      </patternFill>
    </fill>
    <fill>
      <patternFill patternType="solid">
        <fgColor rgb="FFEEA7A1"/>
        <bgColor rgb="FFEEA7A1"/>
      </patternFill>
    </fill>
    <fill>
      <patternFill patternType="solid">
        <fgColor rgb="FFEFADA7"/>
        <bgColor rgb="FFEFADA7"/>
      </patternFill>
    </fill>
    <fill>
      <patternFill patternType="solid">
        <fgColor rgb="FFFFFF00"/>
        <bgColor rgb="FFFFFF00"/>
      </patternFill>
    </fill>
    <fill>
      <patternFill patternType="solid">
        <fgColor rgb="FFF8DCDA"/>
        <bgColor rgb="FFF8DCDA"/>
      </patternFill>
    </fill>
    <fill>
      <patternFill patternType="solid">
        <fgColor rgb="FFF8DEDC"/>
        <bgColor rgb="FFF8DEDC"/>
      </patternFill>
    </fill>
    <fill>
      <patternFill patternType="solid">
        <fgColor rgb="FFF2BFBA"/>
        <bgColor rgb="FFF2BFBA"/>
      </patternFill>
    </fill>
    <fill>
      <patternFill patternType="solid">
        <fgColor rgb="FFF0B1AB"/>
        <bgColor rgb="FFF0B1AB"/>
      </patternFill>
    </fill>
    <fill>
      <patternFill patternType="solid">
        <fgColor rgb="FFEEA7A0"/>
        <bgColor rgb="FFEEA7A0"/>
      </patternFill>
    </fill>
    <fill>
      <patternFill patternType="solid">
        <fgColor rgb="FFEEAAA5"/>
        <bgColor rgb="FFEEAAA5"/>
      </patternFill>
    </fill>
    <fill>
      <patternFill patternType="solid">
        <fgColor rgb="FFE7837A"/>
        <bgColor rgb="FFE7837A"/>
      </patternFill>
    </fill>
    <fill>
      <patternFill patternType="solid">
        <fgColor rgb="FFF2BBB7"/>
        <bgColor rgb="FFF2BBB7"/>
      </patternFill>
    </fill>
    <fill>
      <patternFill patternType="solid">
        <fgColor rgb="FFF1BAB6"/>
        <bgColor rgb="FFF1BAB6"/>
      </patternFill>
    </fill>
    <fill>
      <patternFill patternType="solid">
        <fgColor rgb="FFF1B8B4"/>
        <bgColor rgb="FFF1B8B4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FFFF67"/>
        <bgColor rgb="FFFFFF67"/>
      </patternFill>
    </fill>
    <fill>
      <patternFill patternType="solid">
        <fgColor rgb="FF93C47D"/>
        <bgColor rgb="FF93C47D"/>
      </patternFill>
    </fill>
    <fill>
      <patternFill patternType="solid">
        <fgColor rgb="FFFF5757"/>
        <bgColor rgb="FFFF5757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bottom"/>
    </xf>
    <xf borderId="0" fillId="2" fontId="2" numFmtId="0" xfId="0" applyAlignment="1" applyFont="1">
      <alignment vertical="bottom"/>
    </xf>
    <xf borderId="0" fillId="3" fontId="3" numFmtId="0" xfId="0" applyAlignment="1" applyFill="1" applyFont="1">
      <alignment horizontal="center"/>
    </xf>
    <xf borderId="0" fillId="4" fontId="2" numFmtId="0" xfId="0" applyFill="1" applyFont="1"/>
    <xf borderId="0" fillId="4" fontId="4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5" fontId="5" numFmtId="164" xfId="0" applyAlignment="1" applyFill="1" applyFont="1" applyNumberFormat="1">
      <alignment horizontal="center" vertical="bottom"/>
    </xf>
    <xf borderId="0" fillId="5" fontId="2" numFmtId="0" xfId="0" applyAlignment="1" applyFont="1">
      <alignment vertical="bottom"/>
    </xf>
    <xf borderId="0" fillId="5" fontId="5" numFmtId="0" xfId="0" applyAlignment="1" applyFont="1">
      <alignment vertical="bottom"/>
    </xf>
    <xf borderId="0" fillId="5" fontId="5" numFmtId="0" xfId="0" applyAlignment="1" applyFont="1">
      <alignment horizontal="right" vertical="bottom"/>
    </xf>
    <xf borderId="0" fillId="5" fontId="2" numFmtId="0" xfId="0" applyAlignment="1" applyFont="1">
      <alignment readingOrder="0" vertical="bottom"/>
    </xf>
    <xf quotePrefix="1" borderId="0" fillId="0" fontId="6" numFmtId="0" xfId="0" applyFont="1"/>
    <xf borderId="0" fillId="0" fontId="6" numFmtId="165" xfId="0" applyAlignment="1" applyFont="1" applyNumberFormat="1">
      <alignment readingOrder="0"/>
    </xf>
    <xf borderId="1" fillId="6" fontId="7" numFmtId="0" xfId="0" applyAlignment="1" applyBorder="1" applyFill="1" applyFont="1">
      <alignment horizontal="center"/>
    </xf>
    <xf borderId="1" fillId="6" fontId="2" numFmtId="166" xfId="0" applyBorder="1" applyFont="1" applyNumberFormat="1"/>
    <xf borderId="1" fillId="7" fontId="3" numFmtId="0" xfId="0" applyAlignment="1" applyBorder="1" applyFill="1" applyFont="1">
      <alignment horizontal="center" shrinkToFit="0" vertical="bottom" wrapText="1"/>
    </xf>
    <xf borderId="0" fillId="7" fontId="8" numFmtId="165" xfId="0" applyAlignment="1" applyFont="1" applyNumberFormat="1">
      <alignment horizontal="center" readingOrder="0" vertical="center"/>
    </xf>
    <xf borderId="0" fillId="7" fontId="8" numFmtId="0" xfId="0" applyAlignment="1" applyFont="1">
      <alignment horizontal="center" readingOrder="0" vertical="center"/>
    </xf>
    <xf borderId="1" fillId="7" fontId="3" numFmtId="0" xfId="0" applyAlignment="1" applyBorder="1" applyFont="1">
      <alignment horizontal="center"/>
    </xf>
    <xf borderId="1" fillId="7" fontId="3" numFmtId="0" xfId="0" applyAlignment="1" applyBorder="1" applyFont="1">
      <alignment horizontal="center" shrinkToFit="0" wrapText="1"/>
    </xf>
    <xf borderId="1" fillId="7" fontId="3" numFmtId="0" xfId="0" applyAlignment="1" applyBorder="1" applyFont="1">
      <alignment horizontal="center" readingOrder="0"/>
    </xf>
    <xf borderId="1" fillId="5" fontId="2" numFmtId="0" xfId="0" applyAlignment="1" applyBorder="1" applyFont="1">
      <alignment vertical="bottom"/>
    </xf>
    <xf borderId="1" fillId="6" fontId="7" numFmtId="0" xfId="0" applyAlignment="1" applyBorder="1" applyFont="1">
      <alignment horizontal="center" vertical="bottom"/>
    </xf>
    <xf borderId="1" fillId="6" fontId="7" numFmtId="1" xfId="0" applyAlignment="1" applyBorder="1" applyFont="1" applyNumberFormat="1">
      <alignment horizontal="center"/>
    </xf>
    <xf borderId="1" fillId="6" fontId="7" numFmtId="10" xfId="0" applyAlignment="1" applyBorder="1" applyFont="1" applyNumberFormat="1">
      <alignment horizontal="center"/>
    </xf>
    <xf borderId="0" fillId="8" fontId="2" numFmtId="0" xfId="0" applyAlignment="1" applyFill="1" applyFont="1">
      <alignment horizontal="right" vertical="bottom"/>
    </xf>
    <xf borderId="1" fillId="6" fontId="7" numFmtId="9" xfId="0" applyAlignment="1" applyBorder="1" applyFont="1" applyNumberFormat="1">
      <alignment horizontal="center"/>
    </xf>
    <xf borderId="1" fillId="9" fontId="7" numFmtId="0" xfId="0" applyBorder="1" applyFill="1" applyFont="1"/>
    <xf borderId="1" fillId="0" fontId="2" numFmtId="3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vertical="bottom"/>
    </xf>
    <xf borderId="1" fillId="0" fontId="2" numFmtId="1" xfId="0" applyAlignment="1" applyBorder="1" applyFont="1" applyNumberFormat="1">
      <alignment horizontal="center" vertical="bottom"/>
    </xf>
    <xf borderId="1" fillId="10" fontId="2" numFmtId="10" xfId="0" applyAlignment="1" applyBorder="1" applyFill="1" applyFont="1" applyNumberFormat="1">
      <alignment horizontal="center" vertical="bottom"/>
    </xf>
    <xf borderId="0" fillId="0" fontId="2" numFmtId="0" xfId="0" applyAlignment="1" applyFont="1">
      <alignment horizontal="center" vertical="bottom"/>
    </xf>
    <xf borderId="1" fillId="9" fontId="2" numFmtId="9" xfId="0" applyAlignment="1" applyBorder="1" applyFont="1" applyNumberFormat="1">
      <alignment horizontal="center" vertical="bottom"/>
    </xf>
    <xf borderId="1" fillId="9" fontId="7" numFmtId="0" xfId="0" applyBorder="1" applyFont="1"/>
    <xf borderId="1" fillId="11" fontId="2" numFmtId="10" xfId="0" applyAlignment="1" applyBorder="1" applyFill="1" applyFont="1" applyNumberFormat="1">
      <alignment horizontal="center" vertical="bottom"/>
    </xf>
    <xf borderId="1" fillId="12" fontId="2" numFmtId="9" xfId="0" applyAlignment="1" applyBorder="1" applyFill="1" applyFont="1" applyNumberFormat="1">
      <alignment horizontal="center" vertical="bottom"/>
    </xf>
    <xf borderId="1" fillId="8" fontId="2" numFmtId="10" xfId="0" applyAlignment="1" applyBorder="1" applyFont="1" applyNumberFormat="1">
      <alignment horizontal="center" vertical="bottom"/>
    </xf>
    <xf borderId="1" fillId="0" fontId="2" numFmtId="9" xfId="0" applyAlignment="1" applyBorder="1" applyFont="1" applyNumberFormat="1">
      <alignment horizontal="center" vertical="bottom"/>
    </xf>
    <xf borderId="1" fillId="13" fontId="2" numFmtId="10" xfId="0" applyAlignment="1" applyBorder="1" applyFill="1" applyFont="1" applyNumberFormat="1">
      <alignment horizontal="center" vertical="bottom"/>
    </xf>
    <xf borderId="1" fillId="9" fontId="7" numFmtId="0" xfId="0" applyAlignment="1" applyBorder="1" applyFont="1">
      <alignment horizontal="center" vertical="bottom"/>
    </xf>
    <xf borderId="1" fillId="9" fontId="7" numFmtId="0" xfId="0" applyAlignment="1" applyBorder="1" applyFont="1">
      <alignment horizontal="center"/>
    </xf>
    <xf borderId="1" fillId="9" fontId="7" numFmtId="1" xfId="0" applyAlignment="1" applyBorder="1" applyFont="1" applyNumberFormat="1">
      <alignment horizontal="center" vertical="bottom"/>
    </xf>
    <xf borderId="1" fillId="9" fontId="7" numFmtId="1" xfId="0" applyAlignment="1" applyBorder="1" applyFont="1" applyNumberFormat="1">
      <alignment horizontal="center"/>
    </xf>
    <xf borderId="1" fillId="14" fontId="2" numFmtId="10" xfId="0" applyAlignment="1" applyBorder="1" applyFill="1" applyFont="1" applyNumberFormat="1">
      <alignment horizontal="center" vertical="bottom"/>
    </xf>
    <xf borderId="0" fillId="15" fontId="2" numFmtId="0" xfId="0" applyAlignment="1" applyFill="1" applyFont="1">
      <alignment horizontal="right" vertical="bottom"/>
    </xf>
    <xf borderId="1" fillId="16" fontId="7" numFmtId="0" xfId="0" applyBorder="1" applyFill="1" applyFont="1"/>
    <xf borderId="1" fillId="5" fontId="2" numFmtId="0" xfId="0" applyAlignment="1" applyBorder="1" applyFont="1">
      <alignment horizontal="center" vertical="bottom"/>
    </xf>
    <xf borderId="1" fillId="17" fontId="2" numFmtId="10" xfId="0" applyAlignment="1" applyBorder="1" applyFill="1" applyFont="1" applyNumberFormat="1">
      <alignment horizontal="center" vertical="bottom"/>
    </xf>
    <xf borderId="1" fillId="0" fontId="2" numFmtId="10" xfId="0" applyAlignment="1" applyBorder="1" applyFont="1" applyNumberFormat="1">
      <alignment horizontal="center" vertical="bottom"/>
    </xf>
    <xf borderId="1" fillId="16" fontId="7" numFmtId="0" xfId="0" applyAlignment="1" applyBorder="1" applyFont="1">
      <alignment horizontal="center" vertical="bottom"/>
    </xf>
    <xf borderId="1" fillId="16" fontId="7" numFmtId="0" xfId="0" applyAlignment="1" applyBorder="1" applyFont="1">
      <alignment horizontal="center"/>
    </xf>
    <xf borderId="1" fillId="16" fontId="7" numFmtId="1" xfId="0" applyAlignment="1" applyBorder="1" applyFont="1" applyNumberFormat="1">
      <alignment horizontal="center" vertical="bottom"/>
    </xf>
    <xf borderId="1" fillId="16" fontId="7" numFmtId="1" xfId="0" applyAlignment="1" applyBorder="1" applyFont="1" applyNumberFormat="1">
      <alignment horizontal="center"/>
    </xf>
    <xf borderId="1" fillId="18" fontId="2" numFmtId="10" xfId="0" applyAlignment="1" applyBorder="1" applyFill="1" applyFont="1" applyNumberFormat="1">
      <alignment horizontal="center" vertical="bottom"/>
    </xf>
    <xf borderId="0" fillId="19" fontId="2" numFmtId="0" xfId="0" applyAlignment="1" applyFill="1" applyFont="1">
      <alignment horizontal="right" vertical="bottom"/>
    </xf>
    <xf borderId="1" fillId="20" fontId="7" numFmtId="0" xfId="0" applyBorder="1" applyFill="1" applyFont="1"/>
    <xf borderId="1" fillId="21" fontId="2" numFmtId="10" xfId="0" applyAlignment="1" applyBorder="1" applyFill="1" applyFont="1" applyNumberFormat="1">
      <alignment horizontal="center" vertical="bottom"/>
    </xf>
    <xf borderId="1" fillId="22" fontId="2" numFmtId="10" xfId="0" applyAlignment="1" applyBorder="1" applyFill="1" applyFont="1" applyNumberFormat="1">
      <alignment horizontal="center" vertical="bottom"/>
    </xf>
    <xf borderId="1" fillId="23" fontId="2" numFmtId="10" xfId="0" applyAlignment="1" applyBorder="1" applyFill="1" applyFont="1" applyNumberFormat="1">
      <alignment horizontal="center" vertical="bottom"/>
    </xf>
    <xf borderId="1" fillId="20" fontId="7" numFmtId="0" xfId="0" applyAlignment="1" applyBorder="1" applyFont="1">
      <alignment horizontal="center" vertical="bottom"/>
    </xf>
    <xf borderId="1" fillId="20" fontId="7" numFmtId="0" xfId="0" applyAlignment="1" applyBorder="1" applyFont="1">
      <alignment horizontal="center"/>
    </xf>
    <xf borderId="1" fillId="20" fontId="7" numFmtId="1" xfId="0" applyAlignment="1" applyBorder="1" applyFont="1" applyNumberFormat="1">
      <alignment horizontal="center" vertical="bottom"/>
    </xf>
    <xf borderId="1" fillId="20" fontId="7" numFmtId="1" xfId="0" applyAlignment="1" applyBorder="1" applyFont="1" applyNumberFormat="1">
      <alignment horizontal="center"/>
    </xf>
    <xf borderId="1" fillId="24" fontId="2" numFmtId="10" xfId="0" applyAlignment="1" applyBorder="1" applyFill="1" applyFont="1" applyNumberFormat="1">
      <alignment horizontal="center" vertical="bottom"/>
    </xf>
    <xf borderId="0" fillId="5" fontId="2" numFmtId="0" xfId="0" applyAlignment="1" applyFont="1">
      <alignment horizontal="right" vertical="bottom"/>
    </xf>
    <xf borderId="1" fillId="25" fontId="7" numFmtId="0" xfId="0" applyBorder="1" applyFill="1" applyFont="1"/>
    <xf borderId="1" fillId="26" fontId="2" numFmtId="10" xfId="0" applyAlignment="1" applyBorder="1" applyFill="1" applyFont="1" applyNumberFormat="1">
      <alignment horizontal="center" vertical="bottom"/>
    </xf>
    <xf borderId="1" fillId="27" fontId="2" numFmtId="10" xfId="0" applyAlignment="1" applyBorder="1" applyFill="1" applyFont="1" applyNumberFormat="1">
      <alignment horizontal="center" vertical="bottom"/>
    </xf>
    <xf borderId="1" fillId="25" fontId="7" numFmtId="0" xfId="0" applyAlignment="1" applyBorder="1" applyFont="1">
      <alignment horizontal="center" vertical="bottom"/>
    </xf>
    <xf borderId="1" fillId="25" fontId="7" numFmtId="0" xfId="0" applyAlignment="1" applyBorder="1" applyFont="1">
      <alignment horizontal="center"/>
    </xf>
    <xf borderId="1" fillId="25" fontId="7" numFmtId="1" xfId="0" applyAlignment="1" applyBorder="1" applyFont="1" applyNumberFormat="1">
      <alignment horizontal="center" vertical="bottom"/>
    </xf>
    <xf borderId="1" fillId="25" fontId="7" numFmtId="1" xfId="0" applyAlignment="1" applyBorder="1" applyFont="1" applyNumberFormat="1">
      <alignment horizontal="center"/>
    </xf>
    <xf borderId="1" fillId="28" fontId="2" numFmtId="10" xfId="0" applyAlignment="1" applyBorder="1" applyFill="1" applyFont="1" applyNumberFormat="1">
      <alignment horizontal="center" vertical="bottom"/>
    </xf>
    <xf borderId="0" fillId="27" fontId="2" numFmtId="0" xfId="0" applyAlignment="1" applyFont="1">
      <alignment horizontal="right" vertical="bottom"/>
    </xf>
    <xf borderId="1" fillId="25" fontId="7" numFmtId="9" xfId="0" applyAlignment="1" applyBorder="1" applyFont="1" applyNumberFormat="1">
      <alignment horizontal="center"/>
    </xf>
    <xf borderId="0" fillId="0" fontId="6" numFmtId="0" xfId="0" applyAlignment="1" applyFont="1">
      <alignment readingOrder="0"/>
    </xf>
    <xf borderId="0" fillId="0" fontId="9" numFmtId="0" xfId="0" applyAlignment="1" applyFont="1">
      <alignment readingOrder="0"/>
    </xf>
    <xf borderId="0" fillId="4" fontId="3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1" fillId="4" fontId="3" numFmtId="166" xfId="0" applyAlignment="1" applyBorder="1" applyFont="1" applyNumberFormat="1">
      <alignment horizontal="center" vertical="bottom"/>
    </xf>
    <xf borderId="1" fillId="4" fontId="3" numFmtId="0" xfId="0" applyAlignment="1" applyBorder="1" applyFont="1">
      <alignment horizontal="center"/>
    </xf>
    <xf borderId="0" fillId="4" fontId="8" numFmtId="165" xfId="0" applyAlignment="1" applyFont="1" applyNumberFormat="1">
      <alignment horizontal="center" readingOrder="0" vertical="center"/>
    </xf>
    <xf borderId="1" fillId="0" fontId="10" numFmtId="0" xfId="0" applyAlignment="1" applyBorder="1" applyFont="1">
      <alignment vertical="bottom"/>
    </xf>
    <xf borderId="1" fillId="29" fontId="2" numFmtId="0" xfId="0" applyAlignment="1" applyBorder="1" applyFill="1" applyFont="1">
      <alignment horizontal="center"/>
    </xf>
    <xf borderId="1" fillId="30" fontId="2" numFmtId="0" xfId="0" applyAlignment="1" applyBorder="1" applyFill="1" applyFont="1">
      <alignment horizontal="center"/>
    </xf>
    <xf borderId="1" fillId="31" fontId="2" numFmtId="0" xfId="0" applyAlignment="1" applyBorder="1" applyFill="1" applyFont="1">
      <alignment horizontal="center"/>
    </xf>
    <xf borderId="1" fillId="32" fontId="2" numFmtId="0" xfId="0" applyAlignment="1" applyBorder="1" applyFill="1" applyFont="1">
      <alignment horizontal="center"/>
    </xf>
    <xf borderId="1" fillId="33" fontId="10" numFmtId="0" xfId="0" applyAlignment="1" applyBorder="1" applyFill="1" applyFont="1">
      <alignment vertical="bottom"/>
    </xf>
    <xf borderId="1" fillId="8" fontId="2" numFmtId="0" xfId="0" applyAlignment="1" applyBorder="1" applyFont="1">
      <alignment horizontal="center"/>
    </xf>
    <xf borderId="0" fillId="33" fontId="10" numFmtId="0" xfId="0" applyAlignment="1" applyFont="1">
      <alignment horizontal="center" vertical="bottom"/>
    </xf>
    <xf borderId="1" fillId="34" fontId="2" numFmtId="0" xfId="0" applyAlignment="1" applyBorder="1" applyFill="1" applyFont="1">
      <alignment horizontal="center"/>
    </xf>
    <xf borderId="1" fillId="35" fontId="2" numFmtId="0" xfId="0" applyAlignment="1" applyBorder="1" applyFill="1" applyFont="1">
      <alignment horizontal="center"/>
    </xf>
    <xf borderId="1" fillId="36" fontId="2" numFmtId="0" xfId="0" applyAlignment="1" applyBorder="1" applyFill="1" applyFont="1">
      <alignment horizontal="center"/>
    </xf>
    <xf borderId="1" fillId="5" fontId="2" numFmtId="0" xfId="0" applyAlignment="1" applyBorder="1" applyFont="1">
      <alignment horizontal="center"/>
    </xf>
    <xf borderId="0" fillId="0" fontId="2" numFmtId="0" xfId="0" applyAlignment="1" applyFont="1">
      <alignment vertical="bottom"/>
    </xf>
    <xf borderId="1" fillId="37" fontId="2" numFmtId="0" xfId="0" applyAlignment="1" applyBorder="1" applyFill="1" applyFont="1">
      <alignment horizontal="center"/>
    </xf>
    <xf borderId="1" fillId="38" fontId="2" numFmtId="0" xfId="0" applyAlignment="1" applyBorder="1" applyFill="1" applyFont="1">
      <alignment horizontal="center"/>
    </xf>
    <xf borderId="1" fillId="39" fontId="2" numFmtId="0" xfId="0" applyAlignment="1" applyBorder="1" applyFill="1" applyFont="1">
      <alignment horizontal="center"/>
    </xf>
    <xf borderId="1" fillId="40" fontId="2" numFmtId="0" xfId="0" applyAlignment="1" applyBorder="1" applyFill="1" applyFont="1">
      <alignment horizontal="center"/>
    </xf>
    <xf borderId="1" fillId="41" fontId="2" numFmtId="0" xfId="0" applyAlignment="1" applyBorder="1" applyFill="1" applyFont="1">
      <alignment horizontal="center"/>
    </xf>
    <xf borderId="1" fillId="42" fontId="2" numFmtId="0" xfId="0" applyAlignment="1" applyBorder="1" applyFill="1" applyFont="1">
      <alignment horizontal="center"/>
    </xf>
    <xf borderId="1" fillId="43" fontId="2" numFmtId="0" xfId="0" applyAlignment="1" applyBorder="1" applyFill="1" applyFont="1">
      <alignment horizontal="center"/>
    </xf>
    <xf borderId="0" fillId="0" fontId="11" numFmtId="0" xfId="0" applyAlignment="1" applyFont="1">
      <alignment horizontal="right" vertical="bottom"/>
    </xf>
    <xf borderId="1" fillId="6" fontId="12" numFmtId="0" xfId="0" applyAlignment="1" applyBorder="1" applyFont="1">
      <alignment horizontal="center" vertical="bottom"/>
    </xf>
    <xf borderId="1" fillId="6" fontId="13" numFmtId="166" xfId="0" applyAlignment="1" applyBorder="1" applyFont="1" applyNumberFormat="1">
      <alignment horizontal="center" vertical="bottom"/>
    </xf>
    <xf borderId="1" fillId="6" fontId="13" numFmtId="165" xfId="0" applyAlignment="1" applyBorder="1" applyFont="1" applyNumberFormat="1">
      <alignment horizontal="center" readingOrder="0" vertical="bottom"/>
    </xf>
    <xf borderId="1" fillId="8" fontId="10" numFmtId="0" xfId="0" applyAlignment="1" applyBorder="1" applyFont="1">
      <alignment horizontal="center" vertical="bottom"/>
    </xf>
    <xf borderId="1" fillId="33" fontId="10" numFmtId="0" xfId="0" applyAlignment="1" applyBorder="1" applyFont="1">
      <alignment horizontal="center" vertical="bottom"/>
    </xf>
    <xf borderId="1" fillId="0" fontId="4" numFmtId="0" xfId="0" applyAlignment="1" applyBorder="1" applyFont="1">
      <alignment vertical="bottom"/>
    </xf>
    <xf borderId="1" fillId="6" fontId="7" numFmtId="0" xfId="0" applyAlignment="1" applyBorder="1" applyFont="1">
      <alignment vertical="bottom"/>
    </xf>
    <xf borderId="1" fillId="8" fontId="7" numFmtId="0" xfId="0" applyAlignment="1" applyBorder="1" applyFont="1">
      <alignment horizontal="center" vertical="bottom"/>
    </xf>
    <xf borderId="0" fillId="0" fontId="2" numFmtId="0" xfId="0" applyAlignment="1" applyFont="1">
      <alignment readingOrder="0" vertical="bottom"/>
    </xf>
    <xf borderId="0" fillId="0" fontId="6" numFmtId="0" xfId="0" applyFont="1"/>
    <xf borderId="0" fillId="0" fontId="6" numFmtId="165" xfId="0" applyFont="1" applyNumberFormat="1"/>
    <xf quotePrefix="1" borderId="0" fillId="0" fontId="6" numFmtId="0" xfId="0" applyAlignment="1" applyFont="1">
      <alignment readingOrder="0"/>
    </xf>
    <xf borderId="1" fillId="44" fontId="14" numFmtId="0" xfId="0" applyAlignment="1" applyBorder="1" applyFill="1" applyFont="1">
      <alignment horizontal="center" readingOrder="0"/>
    </xf>
    <xf borderId="1" fillId="44" fontId="14" numFmtId="167" xfId="0" applyAlignment="1" applyBorder="1" applyFont="1" applyNumberFormat="1">
      <alignment horizontal="center" readingOrder="0"/>
    </xf>
    <xf borderId="1" fillId="44" fontId="14" numFmtId="167" xfId="0" applyAlignment="1" applyBorder="1" applyFont="1" applyNumberFormat="1">
      <alignment horizontal="center"/>
    </xf>
    <xf borderId="2" fillId="45" fontId="14" numFmtId="0" xfId="0" applyAlignment="1" applyBorder="1" applyFill="1" applyFont="1">
      <alignment horizontal="center" shrinkToFit="0" wrapText="0"/>
    </xf>
    <xf borderId="1" fillId="44" fontId="14" numFmtId="0" xfId="0" applyAlignment="1" applyBorder="1" applyFont="1">
      <alignment horizontal="center"/>
    </xf>
    <xf borderId="0" fillId="0" fontId="15" numFmtId="168" xfId="0" applyAlignment="1" applyFont="1" applyNumberFormat="1">
      <alignment horizontal="center" readingOrder="0"/>
    </xf>
    <xf borderId="0" fillId="0" fontId="15" numFmtId="10" xfId="0" applyAlignment="1" applyFont="1" applyNumberFormat="1">
      <alignment horizontal="center"/>
    </xf>
    <xf borderId="0" fillId="46" fontId="15" numFmtId="10" xfId="0" applyAlignment="1" applyFill="1" applyFont="1" applyNumberFormat="1">
      <alignment horizontal="center"/>
    </xf>
    <xf borderId="3" fillId="0" fontId="16" numFmtId="0" xfId="0" applyBorder="1" applyFont="1"/>
    <xf borderId="1" fillId="44" fontId="14" numFmtId="0" xfId="0" applyAlignment="1" applyBorder="1" applyFont="1">
      <alignment horizontal="center" shrinkToFit="0" wrapText="0"/>
    </xf>
    <xf borderId="4" fillId="0" fontId="16" numFmtId="0" xfId="0" applyBorder="1" applyFont="1"/>
    <xf borderId="1" fillId="47" fontId="14" numFmtId="0" xfId="0" applyAlignment="1" applyBorder="1" applyFill="1" applyFont="1">
      <alignment horizontal="center" shrinkToFit="0" wrapText="0"/>
    </xf>
    <xf borderId="0" fillId="47" fontId="14" numFmtId="10" xfId="0" applyAlignment="1" applyFont="1" applyNumberFormat="1">
      <alignment horizontal="center"/>
    </xf>
    <xf borderId="0" fillId="46" fontId="14" numFmtId="10" xfId="0" applyAlignment="1" applyFont="1" applyNumberFormat="1">
      <alignment horizontal="center"/>
    </xf>
    <xf borderId="0" fillId="48" fontId="15" numFmtId="10" xfId="0" applyAlignment="1" applyFill="1" applyFont="1" applyNumberFormat="1">
      <alignment horizontal="center"/>
    </xf>
    <xf borderId="0" fillId="48" fontId="14" numFmtId="10" xfId="0" applyAlignment="1" applyFont="1" applyNumberFormat="1">
      <alignment horizontal="center"/>
    </xf>
    <xf borderId="0" fillId="47" fontId="15" numFmtId="10" xfId="0" applyAlignment="1" applyFont="1" applyNumberFormat="1">
      <alignment horizontal="center"/>
    </xf>
    <xf borderId="1" fillId="49" fontId="2" numFmtId="0" xfId="0" applyBorder="1" applyFill="1" applyFont="1"/>
    <xf borderId="1" fillId="49" fontId="17" numFmtId="0" xfId="0" applyAlignment="1" applyBorder="1" applyFont="1">
      <alignment horizontal="center"/>
    </xf>
    <xf borderId="1" fillId="49" fontId="17" numFmtId="10" xfId="0" applyAlignment="1" applyBorder="1" applyFont="1" applyNumberFormat="1">
      <alignment horizontal="center" vertical="bottom"/>
    </xf>
    <xf borderId="1" fillId="46" fontId="14" numFmtId="10" xfId="0" applyAlignment="1" applyBorder="1" applyFont="1" applyNumberFormat="1">
      <alignment horizontal="center" vertical="bottom"/>
    </xf>
    <xf borderId="0" fillId="0" fontId="15" numFmtId="10" xfId="0" applyAlignment="1" applyFont="1" applyNumberFormat="1">
      <alignment horizontal="center" readingOrder="0"/>
    </xf>
    <xf borderId="0" fillId="0" fontId="6" numFmtId="0" xfId="0" applyAlignment="1" applyFont="1">
      <alignment horizontal="center" readingOrder="0"/>
    </xf>
    <xf borderId="0" fillId="0" fontId="6" numFmtId="3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0" fillId="0" fontId="6" numFmtId="165" xfId="0" applyAlignment="1" applyFont="1" applyNumberFormat="1">
      <alignment horizontal="center" readingOrder="0"/>
    </xf>
    <xf borderId="0" fillId="0" fontId="6" numFmtId="167" xfId="0" applyAlignment="1" applyFont="1" applyNumberFormat="1">
      <alignment horizontal="center" readingOrder="0"/>
    </xf>
    <xf borderId="0" fillId="0" fontId="6" numFmtId="3" xfId="0" applyAlignment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li5ufMXInVoPDzrzkYjpD7Tl7Mg-UEcCoIk0Y81pC6E/edit?gid=0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75"/>
    <col hidden="1" min="5" max="17" width="12.63"/>
    <col customWidth="1" min="37" max="37" width="14.13"/>
  </cols>
  <sheetData>
    <row r="1">
      <c r="B1" s="1" t="s">
        <v>0</v>
      </c>
      <c r="C1" s="2"/>
      <c r="D1" s="1"/>
      <c r="E1" s="1">
        <f t="shared" ref="E1:S1" si="1">E10+E14+E19+E22</f>
        <v>0</v>
      </c>
      <c r="F1" s="1">
        <f t="shared" si="1"/>
        <v>0</v>
      </c>
      <c r="G1" s="1">
        <f t="shared" si="1"/>
        <v>0</v>
      </c>
      <c r="H1" s="1">
        <f t="shared" si="1"/>
        <v>0</v>
      </c>
      <c r="I1" s="1">
        <f t="shared" si="1"/>
        <v>0</v>
      </c>
      <c r="J1" s="1">
        <f t="shared" si="1"/>
        <v>0</v>
      </c>
      <c r="K1" s="1">
        <f t="shared" si="1"/>
        <v>0</v>
      </c>
      <c r="L1" s="1">
        <f t="shared" si="1"/>
        <v>0</v>
      </c>
      <c r="M1" s="1">
        <f t="shared" si="1"/>
        <v>0</v>
      </c>
      <c r="N1" s="1">
        <f t="shared" si="1"/>
        <v>0</v>
      </c>
      <c r="O1" s="1">
        <f t="shared" si="1"/>
        <v>0</v>
      </c>
      <c r="P1" s="1">
        <f t="shared" si="1"/>
        <v>0</v>
      </c>
      <c r="Q1" s="1">
        <f t="shared" si="1"/>
        <v>0</v>
      </c>
      <c r="R1" s="1">
        <f t="shared" si="1"/>
        <v>0</v>
      </c>
      <c r="S1" s="1">
        <f t="shared" si="1"/>
        <v>0</v>
      </c>
      <c r="T1" s="1"/>
      <c r="U1" s="1">
        <f t="shared" ref="U1:AJ1" si="2">U10+U14+U19+U22</f>
        <v>0</v>
      </c>
      <c r="V1" s="1">
        <f t="shared" si="2"/>
        <v>0</v>
      </c>
      <c r="W1" s="1">
        <f t="shared" si="2"/>
        <v>0</v>
      </c>
      <c r="X1" s="1">
        <f t="shared" si="2"/>
        <v>0</v>
      </c>
      <c r="Y1" s="1">
        <f t="shared" si="2"/>
        <v>0</v>
      </c>
      <c r="Z1" s="1">
        <f t="shared" si="2"/>
        <v>0</v>
      </c>
      <c r="AA1" s="1">
        <f t="shared" si="2"/>
        <v>0</v>
      </c>
      <c r="AB1" s="1">
        <f t="shared" si="2"/>
        <v>0</v>
      </c>
      <c r="AC1" s="1">
        <f t="shared" si="2"/>
        <v>0</v>
      </c>
      <c r="AD1" s="1">
        <f t="shared" si="2"/>
        <v>0</v>
      </c>
      <c r="AE1" s="1">
        <f t="shared" si="2"/>
        <v>0</v>
      </c>
      <c r="AF1" s="1">
        <f t="shared" si="2"/>
        <v>0</v>
      </c>
      <c r="AG1" s="1">
        <f t="shared" si="2"/>
        <v>0</v>
      </c>
      <c r="AH1" s="1">
        <f t="shared" si="2"/>
        <v>0</v>
      </c>
      <c r="AI1" s="1">
        <f t="shared" si="2"/>
        <v>0</v>
      </c>
      <c r="AJ1" s="1">
        <f t="shared" si="2"/>
        <v>0</v>
      </c>
    </row>
    <row r="2">
      <c r="B2" s="3" t="s">
        <v>1</v>
      </c>
      <c r="C2" s="4"/>
      <c r="D2" s="5">
        <v>13.0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7">
        <v>13.0</v>
      </c>
      <c r="AN2" s="7">
        <v>12.0</v>
      </c>
      <c r="AO2" s="6"/>
      <c r="AP2" s="6"/>
      <c r="AQ2" s="6"/>
      <c r="AR2" s="6"/>
      <c r="AS2" s="6"/>
      <c r="AT2" s="6"/>
    </row>
    <row r="3">
      <c r="B3" s="8"/>
      <c r="C3" s="6"/>
      <c r="D3" s="8"/>
      <c r="E3" s="9">
        <v>1.0</v>
      </c>
      <c r="F3" s="9"/>
      <c r="G3" s="9">
        <v>3.0</v>
      </c>
      <c r="H3" s="9">
        <v>4.0</v>
      </c>
      <c r="I3" s="9">
        <v>5.0</v>
      </c>
      <c r="J3" s="9">
        <v>6.0</v>
      </c>
      <c r="K3" s="9">
        <v>7.0</v>
      </c>
      <c r="L3" s="10">
        <v>8.0</v>
      </c>
      <c r="M3" s="9">
        <v>9.0</v>
      </c>
      <c r="N3" s="9">
        <v>10.0</v>
      </c>
      <c r="O3" s="9">
        <v>11.0</v>
      </c>
      <c r="P3" s="10">
        <v>12.0</v>
      </c>
      <c r="Q3" s="10">
        <v>13.0</v>
      </c>
      <c r="R3" s="10">
        <v>14.0</v>
      </c>
      <c r="S3" s="10">
        <v>15.0</v>
      </c>
      <c r="T3" s="9"/>
      <c r="U3" s="9">
        <v>16.0</v>
      </c>
      <c r="V3" s="9">
        <v>17.0</v>
      </c>
      <c r="W3" s="9">
        <v>18.0</v>
      </c>
      <c r="X3" s="9">
        <v>19.0</v>
      </c>
      <c r="Y3" s="9">
        <v>20.0</v>
      </c>
      <c r="Z3" s="9">
        <v>21.0</v>
      </c>
      <c r="AA3" s="9">
        <v>22.0</v>
      </c>
      <c r="AB3" s="9">
        <v>23.0</v>
      </c>
      <c r="AC3" s="9">
        <v>24.0</v>
      </c>
      <c r="AD3" s="9">
        <v>25.0</v>
      </c>
      <c r="AE3" s="9">
        <v>26.0</v>
      </c>
      <c r="AF3" s="9">
        <v>27.0</v>
      </c>
      <c r="AG3" s="9">
        <v>28.0</v>
      </c>
      <c r="AH3" s="9">
        <v>29.0</v>
      </c>
      <c r="AI3" s="9">
        <v>30.0</v>
      </c>
      <c r="AJ3" s="10">
        <v>31.0</v>
      </c>
      <c r="AK3" s="11" t="s">
        <v>2</v>
      </c>
      <c r="AL3" s="12" t="s">
        <v>3</v>
      </c>
      <c r="AM3" s="13">
        <f>TODAY()-1</f>
        <v>45913</v>
      </c>
      <c r="AN3" s="13">
        <f>TODAY()-2</f>
        <v>45912</v>
      </c>
      <c r="AO3" s="8"/>
      <c r="AP3" s="8"/>
      <c r="AQ3" s="9">
        <v>30.0</v>
      </c>
      <c r="AR3" s="10">
        <v>31.0</v>
      </c>
      <c r="AS3" s="8"/>
      <c r="AT3" s="8"/>
    </row>
    <row r="4">
      <c r="B4" s="14" t="s">
        <v>4</v>
      </c>
      <c r="C4" s="15"/>
      <c r="D4" s="16" t="s">
        <v>5</v>
      </c>
      <c r="E4" s="17">
        <v>45870.0</v>
      </c>
      <c r="F4" s="17">
        <v>45871.0</v>
      </c>
      <c r="G4" s="17">
        <v>45872.0</v>
      </c>
      <c r="H4" s="17">
        <v>45873.0</v>
      </c>
      <c r="I4" s="17">
        <v>45874.0</v>
      </c>
      <c r="J4" s="17">
        <v>45875.0</v>
      </c>
      <c r="K4" s="17">
        <v>45876.0</v>
      </c>
      <c r="L4" s="17">
        <v>45877.0</v>
      </c>
      <c r="M4" s="17">
        <v>45878.0</v>
      </c>
      <c r="N4" s="17">
        <v>45879.0</v>
      </c>
      <c r="O4" s="17">
        <v>45880.0</v>
      </c>
      <c r="P4" s="17">
        <v>45881.0</v>
      </c>
      <c r="Q4" s="17">
        <v>45882.0</v>
      </c>
      <c r="R4" s="17">
        <v>45883.0</v>
      </c>
      <c r="S4" s="17">
        <v>45884.0</v>
      </c>
      <c r="T4" s="18" t="s">
        <v>6</v>
      </c>
      <c r="U4" s="17">
        <v>45885.0</v>
      </c>
      <c r="V4" s="17">
        <v>45886.0</v>
      </c>
      <c r="W4" s="17">
        <v>45887.0</v>
      </c>
      <c r="X4" s="17">
        <v>45888.0</v>
      </c>
      <c r="Y4" s="17">
        <v>45889.0</v>
      </c>
      <c r="Z4" s="17">
        <v>45890.0</v>
      </c>
      <c r="AA4" s="17">
        <v>45891.0</v>
      </c>
      <c r="AB4" s="17">
        <v>45892.0</v>
      </c>
      <c r="AC4" s="17">
        <v>45893.0</v>
      </c>
      <c r="AD4" s="17">
        <v>45894.0</v>
      </c>
      <c r="AE4" s="17">
        <v>45895.0</v>
      </c>
      <c r="AF4" s="17">
        <v>45896.0</v>
      </c>
      <c r="AG4" s="17">
        <v>45897.0</v>
      </c>
      <c r="AH4" s="17">
        <v>45898.0</v>
      </c>
      <c r="AI4" s="17">
        <v>45899.0</v>
      </c>
      <c r="AJ4" s="17">
        <v>45900.0</v>
      </c>
      <c r="AK4" s="19" t="s">
        <v>7</v>
      </c>
      <c r="AL4" s="20" t="s">
        <v>8</v>
      </c>
      <c r="AM4" s="19" t="s">
        <v>9</v>
      </c>
      <c r="AN4" s="19" t="s">
        <v>10</v>
      </c>
      <c r="AO4" s="19" t="s">
        <v>11</v>
      </c>
      <c r="AP4" s="21" t="s">
        <v>12</v>
      </c>
      <c r="AQ4" s="19" t="s">
        <v>13</v>
      </c>
      <c r="AR4" s="19" t="s">
        <v>14</v>
      </c>
      <c r="AS4" s="19" t="s">
        <v>7</v>
      </c>
      <c r="AT4" s="19" t="s">
        <v>13</v>
      </c>
    </row>
    <row r="5">
      <c r="B5" s="14" t="s">
        <v>0</v>
      </c>
      <c r="C5" s="22"/>
      <c r="D5" s="23"/>
      <c r="E5" s="14">
        <f t="shared" ref="E5:S5" si="3">E22+E19+E10+E14</f>
        <v>0</v>
      </c>
      <c r="F5" s="14">
        <f t="shared" si="3"/>
        <v>0</v>
      </c>
      <c r="G5" s="14">
        <f t="shared" si="3"/>
        <v>0</v>
      </c>
      <c r="H5" s="14">
        <f t="shared" si="3"/>
        <v>0</v>
      </c>
      <c r="I5" s="14">
        <f t="shared" si="3"/>
        <v>0</v>
      </c>
      <c r="J5" s="14">
        <f t="shared" si="3"/>
        <v>0</v>
      </c>
      <c r="K5" s="14">
        <f t="shared" si="3"/>
        <v>0</v>
      </c>
      <c r="L5" s="14">
        <f t="shared" si="3"/>
        <v>0</v>
      </c>
      <c r="M5" s="14">
        <f t="shared" si="3"/>
        <v>0</v>
      </c>
      <c r="N5" s="14">
        <f t="shared" si="3"/>
        <v>0</v>
      </c>
      <c r="O5" s="14">
        <f t="shared" si="3"/>
        <v>0</v>
      </c>
      <c r="P5" s="14">
        <f t="shared" si="3"/>
        <v>0</v>
      </c>
      <c r="Q5" s="14">
        <f t="shared" si="3"/>
        <v>0</v>
      </c>
      <c r="R5" s="14">
        <f t="shared" si="3"/>
        <v>0</v>
      </c>
      <c r="S5" s="14">
        <f t="shared" si="3"/>
        <v>0</v>
      </c>
      <c r="T5" s="14"/>
      <c r="U5" s="14">
        <f t="shared" ref="U5:AJ5" si="4">U22+U19+U10+U14</f>
        <v>0</v>
      </c>
      <c r="V5" s="14">
        <f t="shared" si="4"/>
        <v>0</v>
      </c>
      <c r="W5" s="14">
        <f t="shared" si="4"/>
        <v>0</v>
      </c>
      <c r="X5" s="14">
        <f t="shared" si="4"/>
        <v>0</v>
      </c>
      <c r="Y5" s="14">
        <f t="shared" si="4"/>
        <v>0</v>
      </c>
      <c r="Z5" s="14">
        <f t="shared" si="4"/>
        <v>0</v>
      </c>
      <c r="AA5" s="14">
        <f t="shared" si="4"/>
        <v>0</v>
      </c>
      <c r="AB5" s="14">
        <f t="shared" si="4"/>
        <v>0</v>
      </c>
      <c r="AC5" s="14">
        <f t="shared" si="4"/>
        <v>0</v>
      </c>
      <c r="AD5" s="14">
        <f t="shared" si="4"/>
        <v>0</v>
      </c>
      <c r="AE5" s="14">
        <f t="shared" si="4"/>
        <v>0</v>
      </c>
      <c r="AF5" s="14">
        <f t="shared" si="4"/>
        <v>0</v>
      </c>
      <c r="AG5" s="14">
        <f t="shared" si="4"/>
        <v>0</v>
      </c>
      <c r="AH5" s="14">
        <f t="shared" si="4"/>
        <v>0</v>
      </c>
      <c r="AI5" s="14">
        <f t="shared" si="4"/>
        <v>0</v>
      </c>
      <c r="AJ5" s="14">
        <f t="shared" si="4"/>
        <v>0</v>
      </c>
      <c r="AK5" s="14">
        <v>5150000.0</v>
      </c>
      <c r="AL5" s="24">
        <f>AL22+AL19+AL10+AL14</f>
        <v>6239407</v>
      </c>
      <c r="AM5" s="14">
        <f>AM10+AM14+AM19+AM22</f>
        <v>0</v>
      </c>
      <c r="AN5" s="14"/>
      <c r="AO5" s="24"/>
      <c r="AP5" s="14"/>
      <c r="AQ5" s="25"/>
      <c r="AR5" s="26"/>
      <c r="AS5" s="14"/>
      <c r="AT5" s="27"/>
    </row>
    <row r="6">
      <c r="B6" s="28" t="s">
        <v>15</v>
      </c>
      <c r="C6" s="22"/>
      <c r="D6" s="29"/>
      <c r="E6" s="30">
        <f>SUMIFS(Reliability!$C:$C,Reliability!$B:$B,$B6,Reliability!$H:$H,E$4,Reliability!$I:$I,$D$2)</f>
        <v>0</v>
      </c>
      <c r="F6" s="30">
        <f>SUMIFS(Reliability!$C:$C,Reliability!$B:$B,$B6,Reliability!$H:$H,F$4,Reliability!$I:$I,$D$2)</f>
        <v>0</v>
      </c>
      <c r="G6" s="30">
        <f>SUMIFS(Reliability!$C:$C,Reliability!$B:$B,$B6,Reliability!$H:$H,G$4,Reliability!$I:$I,$D$2)</f>
        <v>0</v>
      </c>
      <c r="H6" s="30">
        <f>SUMIFS(Reliability!$C:$C,Reliability!$B:$B,$B6,Reliability!$H:$H,H$4,Reliability!$I:$I,$D$2)</f>
        <v>0</v>
      </c>
      <c r="I6" s="30">
        <f>SUMIFS(Reliability!$C:$C,Reliability!$B:$B,$B6,Reliability!$H:$H,I$4,Reliability!$I:$I,$D$2)</f>
        <v>0</v>
      </c>
      <c r="J6" s="30">
        <f>SUMIFS(Reliability!$C:$C,Reliability!$B:$B,$B6,Reliability!$H:$H,J$4,Reliability!$I:$I,$D$2)</f>
        <v>0</v>
      </c>
      <c r="K6" s="30">
        <f>SUMIFS(Reliability!$C:$C,Reliability!$B:$B,$B6,Reliability!$H:$H,K$4,Reliability!$I:$I,$D$2)</f>
        <v>0</v>
      </c>
      <c r="L6" s="30">
        <f>SUMIFS(Reliability!$C:$C,Reliability!$B:$B,$B6,Reliability!$H:$H,L$4,Reliability!$I:$I,$D$2)</f>
        <v>0</v>
      </c>
      <c r="M6" s="30">
        <f>SUMIFS(Reliability!$C:$C,Reliability!$B:$B,$B6,Reliability!$H:$H,M$4,Reliability!$I:$I,$D$2)</f>
        <v>0</v>
      </c>
      <c r="N6" s="30">
        <f>SUMIFS(Reliability!$C:$C,Reliability!$B:$B,$B6,Reliability!$H:$H,N$4,Reliability!$I:$I,$D$2)</f>
        <v>0</v>
      </c>
      <c r="O6" s="30">
        <f>SUMIFS(Reliability!$C:$C,Reliability!$B:$B,$B6,Reliability!$H:$H,O$4,Reliability!$I:$I,$D$2)</f>
        <v>0</v>
      </c>
      <c r="P6" s="30">
        <f>SUMIFS(Reliability!$C:$C,Reliability!$B:$B,$B6,Reliability!$H:$H,P$4,Reliability!$I:$I,$D$2)</f>
        <v>0</v>
      </c>
      <c r="Q6" s="30">
        <f>SUMIFS(Reliability!$C:$C,Reliability!$B:$B,$B6,Reliability!$H:$H,Q$4,Reliability!$I:$I,$D$2)</f>
        <v>0</v>
      </c>
      <c r="R6" s="30">
        <f>SUMIFS(Reliability!$C:$C,Reliability!$B:$B,$B6,Reliability!$H:$H,R$4,Reliability!$I:$I,$D$2)</f>
        <v>0</v>
      </c>
      <c r="S6" s="30">
        <f>SUMIFS(Reliability!$C:$C,Reliability!$B:$B,$B6,Reliability!$H:$H,S$4,Reliability!$I:$I,$D$2)</f>
        <v>0</v>
      </c>
      <c r="T6" s="30"/>
      <c r="U6" s="30">
        <f>SUMIFS(Reliability!$C:$C,Reliability!$B:$B,$B6,Reliability!$H:$H,U$4,Reliability!$I:$I,$D$2)</f>
        <v>0</v>
      </c>
      <c r="V6" s="30">
        <f>SUMIFS(Reliability!$C:$C,Reliability!$B:$B,$B6,Reliability!$H:$H,V$4,Reliability!$I:$I,$D$2)</f>
        <v>0</v>
      </c>
      <c r="W6" s="30">
        <f>SUMIFS(Reliability!$C:$C,Reliability!$B:$B,$B6,Reliability!$H:$H,W$4,Reliability!$I:$I,$D$2)</f>
        <v>0</v>
      </c>
      <c r="X6" s="30">
        <f>SUMIFS(Reliability!$C:$C,Reliability!$B:$B,$B6,Reliability!$H:$H,X$4,Reliability!$I:$I,$D$2)</f>
        <v>0</v>
      </c>
      <c r="Y6" s="30">
        <f>SUMIFS(Reliability!$C:$C,Reliability!$B:$B,$B6,Reliability!$H:$H,Y$4,Reliability!$I:$I,$D$2)</f>
        <v>0</v>
      </c>
      <c r="Z6" s="30">
        <f>SUMIFS(Reliability!$C:$C,Reliability!$B:$B,$B6,Reliability!$H:$H,Z$4,Reliability!$I:$I,$D$2)</f>
        <v>0</v>
      </c>
      <c r="AA6" s="30">
        <f>SUMIFS(Reliability!$C:$C,Reliability!$B:$B,$B6,Reliability!$H:$H,AA$4,Reliability!$I:$I,$D$2)</f>
        <v>0</v>
      </c>
      <c r="AB6" s="30">
        <f>SUMIFS(Reliability!$C:$C,Reliability!$B:$B,$B6,Reliability!$H:$H,AB$4,Reliability!$I:$I,$D$2)</f>
        <v>0</v>
      </c>
      <c r="AC6" s="30">
        <f>SUMIFS(Reliability!$C:$C,Reliability!$B:$B,$B6,Reliability!$H:$H,AC$4,Reliability!$I:$I,$D$2)</f>
        <v>0</v>
      </c>
      <c r="AD6" s="30">
        <f>SUMIFS(Reliability!$C:$C,Reliability!$B:$B,$B6,Reliability!$H:$H,AD$4,Reliability!$I:$I,$D$2)</f>
        <v>0</v>
      </c>
      <c r="AE6" s="30">
        <f>SUMIFS(Reliability!$C:$C,Reliability!$B:$B,$B6,Reliability!$H:$H,AE$4,Reliability!$I:$I,$D$2)</f>
        <v>0</v>
      </c>
      <c r="AF6" s="30">
        <f>SUMIFS(Reliability!$C:$C,Reliability!$B:$B,$B6,Reliability!$H:$H,AF$4,Reliability!$I:$I,$D$2)</f>
        <v>0</v>
      </c>
      <c r="AG6" s="30">
        <f>SUMIFS(Reliability!$C:$C,Reliability!$B:$B,$B6,Reliability!$H:$H,AG$4,Reliability!$I:$I,$D$2)</f>
        <v>0</v>
      </c>
      <c r="AH6" s="30">
        <f>SUMIFS(Reliability!$C:$C,Reliability!$B:$B,$B6,Reliability!$H:$H,AH$4,Reliability!$I:$I,$D$2)</f>
        <v>0</v>
      </c>
      <c r="AI6" s="30">
        <f>SUMIFS(Reliability!$C:$C,Reliability!$B:$B,$B6,Reliability!$H:$H,AI$4,Reliability!$I:$I,$D$2)</f>
        <v>0</v>
      </c>
      <c r="AJ6" s="30">
        <f>SUMIFS(Reliability!$C:$C,Reliability!$B:$B,$B6,Reliability!$H:$H,AJ$4,Reliability!$I:$I,$D$2)</f>
        <v>0</v>
      </c>
      <c r="AK6" s="30">
        <v>270000.0</v>
      </c>
      <c r="AL6" s="31">
        <f t="array" ref="AL6">XLOOKUP(B6,Ref!$AQ:$AQ,Ref!$AR:$AR)</f>
        <v>208137</v>
      </c>
      <c r="AM6" s="30">
        <f>SUMIFS(GM_Wise_Raw_Landing!$C:$C,GM_Wise_Raw_Landing!$A:$A,$B6,GM_Wise_Raw_Landing!$D:$D,$AM$3,GM_Wise_Raw_Landing!$E:$E,$AL$3)</f>
        <v>0</v>
      </c>
      <c r="AN6" s="30"/>
      <c r="AO6" s="31"/>
      <c r="AP6" s="30"/>
      <c r="AQ6" s="32"/>
      <c r="AR6" s="33"/>
      <c r="AS6" s="30"/>
      <c r="AT6" s="34"/>
    </row>
    <row r="7">
      <c r="B7" s="35" t="s">
        <v>16</v>
      </c>
      <c r="C7" s="22"/>
      <c r="D7" s="29"/>
      <c r="E7" s="30">
        <f>SUMIFS(Reliability!$C:$C,Reliability!$B:$B,$B7,Reliability!$H:$H,E$4,Reliability!$I:$I,$D$2)</f>
        <v>0</v>
      </c>
      <c r="F7" s="30">
        <f>SUMIFS(Reliability!$C:$C,Reliability!$B:$B,$B7,Reliability!$H:$H,F$4,Reliability!$I:$I,$D$2)</f>
        <v>0</v>
      </c>
      <c r="G7" s="30">
        <f>SUMIFS(Reliability!$C:$C,Reliability!$B:$B,$B7,Reliability!$H:$H,G$4,Reliability!$I:$I,$D$2)</f>
        <v>0</v>
      </c>
      <c r="H7" s="30">
        <f>SUMIFS(Reliability!$C:$C,Reliability!$B:$B,$B7,Reliability!$H:$H,H$4,Reliability!$I:$I,$D$2)</f>
        <v>0</v>
      </c>
      <c r="I7" s="30">
        <f>SUMIFS(Reliability!$C:$C,Reliability!$B:$B,$B7,Reliability!$H:$H,I$4,Reliability!$I:$I,$D$2)</f>
        <v>0</v>
      </c>
      <c r="J7" s="30">
        <f>SUMIFS(Reliability!$C:$C,Reliability!$B:$B,$B7,Reliability!$H:$H,J$4,Reliability!$I:$I,$D$2)</f>
        <v>0</v>
      </c>
      <c r="K7" s="30">
        <f>SUMIFS(Reliability!$C:$C,Reliability!$B:$B,$B7,Reliability!$H:$H,K$4,Reliability!$I:$I,$D$2)</f>
        <v>0</v>
      </c>
      <c r="L7" s="30">
        <f>SUMIFS(Reliability!$C:$C,Reliability!$B:$B,$B7,Reliability!$H:$H,L$4,Reliability!$I:$I,$D$2)</f>
        <v>0</v>
      </c>
      <c r="M7" s="30">
        <f>SUMIFS(Reliability!$C:$C,Reliability!$B:$B,$B7,Reliability!$H:$H,M$4,Reliability!$I:$I,$D$2)</f>
        <v>0</v>
      </c>
      <c r="N7" s="30">
        <f>SUMIFS(Reliability!$C:$C,Reliability!$B:$B,$B7,Reliability!$H:$H,N$4,Reliability!$I:$I,$D$2)</f>
        <v>0</v>
      </c>
      <c r="O7" s="30">
        <f>SUMIFS(Reliability!$C:$C,Reliability!$B:$B,$B7,Reliability!$H:$H,O$4,Reliability!$I:$I,$D$2)</f>
        <v>0</v>
      </c>
      <c r="P7" s="30">
        <f>SUMIFS(Reliability!$C:$C,Reliability!$B:$B,$B7,Reliability!$H:$H,P$4,Reliability!$I:$I,$D$2)</f>
        <v>0</v>
      </c>
      <c r="Q7" s="30">
        <f>SUMIFS(Reliability!$C:$C,Reliability!$B:$B,$B7,Reliability!$H:$H,Q$4,Reliability!$I:$I,$D$2)</f>
        <v>0</v>
      </c>
      <c r="R7" s="30">
        <f>SUMIFS(Reliability!$C:$C,Reliability!$B:$B,$B7,Reliability!$H:$H,R$4,Reliability!$I:$I,$D$2)</f>
        <v>0</v>
      </c>
      <c r="S7" s="30">
        <f>SUMIFS(Reliability!$C:$C,Reliability!$B:$B,$B7,Reliability!$H:$H,S$4,Reliability!$I:$I,$D$2)</f>
        <v>0</v>
      </c>
      <c r="T7" s="30"/>
      <c r="U7" s="30">
        <f>SUMIFS(Reliability!$C:$C,Reliability!$B:$B,$B7,Reliability!$H:$H,U$4,Reliability!$I:$I,$D$2)</f>
        <v>0</v>
      </c>
      <c r="V7" s="30">
        <f>SUMIFS(Reliability!$C:$C,Reliability!$B:$B,$B7,Reliability!$H:$H,V$4,Reliability!$I:$I,$D$2)</f>
        <v>0</v>
      </c>
      <c r="W7" s="30">
        <f>SUMIFS(Reliability!$C:$C,Reliability!$B:$B,$B7,Reliability!$H:$H,W$4,Reliability!$I:$I,$D$2)</f>
        <v>0</v>
      </c>
      <c r="X7" s="30">
        <f>SUMIFS(Reliability!$C:$C,Reliability!$B:$B,$B7,Reliability!$H:$H,X$4,Reliability!$I:$I,$D$2)</f>
        <v>0</v>
      </c>
      <c r="Y7" s="30">
        <f>SUMIFS(Reliability!$C:$C,Reliability!$B:$B,$B7,Reliability!$H:$H,Y$4,Reliability!$I:$I,$D$2)</f>
        <v>0</v>
      </c>
      <c r="Z7" s="30">
        <f>SUMIFS(Reliability!$C:$C,Reliability!$B:$B,$B7,Reliability!$H:$H,Z$4,Reliability!$I:$I,$D$2)</f>
        <v>0</v>
      </c>
      <c r="AA7" s="30">
        <f>SUMIFS(Reliability!$C:$C,Reliability!$B:$B,$B7,Reliability!$H:$H,AA$4,Reliability!$I:$I,$D$2)</f>
        <v>0</v>
      </c>
      <c r="AB7" s="30">
        <f>SUMIFS(Reliability!$C:$C,Reliability!$B:$B,$B7,Reliability!$H:$H,AB$4,Reliability!$I:$I,$D$2)</f>
        <v>0</v>
      </c>
      <c r="AC7" s="30">
        <f>SUMIFS(Reliability!$C:$C,Reliability!$B:$B,$B7,Reliability!$H:$H,AC$4,Reliability!$I:$I,$D$2)</f>
        <v>0</v>
      </c>
      <c r="AD7" s="30">
        <f>SUMIFS(Reliability!$C:$C,Reliability!$B:$B,$B7,Reliability!$H:$H,AD$4,Reliability!$I:$I,$D$2)</f>
        <v>0</v>
      </c>
      <c r="AE7" s="30">
        <f>SUMIFS(Reliability!$C:$C,Reliability!$B:$B,$B7,Reliability!$H:$H,AE$4,Reliability!$I:$I,$D$2)</f>
        <v>0</v>
      </c>
      <c r="AF7" s="30">
        <f>SUMIFS(Reliability!$C:$C,Reliability!$B:$B,$B7,Reliability!$H:$H,AF$4,Reliability!$I:$I,$D$2)</f>
        <v>0</v>
      </c>
      <c r="AG7" s="30">
        <f>SUMIFS(Reliability!$C:$C,Reliability!$B:$B,$B7,Reliability!$H:$H,AG$4,Reliability!$I:$I,$D$2)</f>
        <v>0</v>
      </c>
      <c r="AH7" s="30">
        <f>SUMIFS(Reliability!$C:$C,Reliability!$B:$B,$B7,Reliability!$H:$H,AH$4,Reliability!$I:$I,$D$2)</f>
        <v>0</v>
      </c>
      <c r="AI7" s="30">
        <f>SUMIFS(Reliability!$C:$C,Reliability!$B:$B,$B7,Reliability!$H:$H,AI$4,Reliability!$I:$I,$D$2)</f>
        <v>0</v>
      </c>
      <c r="AJ7" s="30">
        <f>SUMIFS(Reliability!$C:$C,Reliability!$B:$B,$B7,Reliability!$H:$H,AJ$4,Reliability!$I:$I,$D$2)</f>
        <v>0</v>
      </c>
      <c r="AK7" s="30">
        <v>500000.0</v>
      </c>
      <c r="AL7" s="31">
        <f t="array" ref="AL7">XLOOKUP(B7,Ref!$AQ:$AQ,Ref!$AR:$AR)</f>
        <v>611121</v>
      </c>
      <c r="AM7" s="30">
        <f>SUMIFS(GM_Wise_Raw_Landing!$C:$C,GM_Wise_Raw_Landing!$A:$A,$B7,GM_Wise_Raw_Landing!$D:$D,$AM$3,GM_Wise_Raw_Landing!$E:$E,$AL$3)</f>
        <v>0</v>
      </c>
      <c r="AN7" s="30"/>
      <c r="AO7" s="31"/>
      <c r="AP7" s="30"/>
      <c r="AQ7" s="36"/>
      <c r="AR7" s="33"/>
      <c r="AS7" s="30"/>
      <c r="AT7" s="37"/>
    </row>
    <row r="8">
      <c r="B8" s="35" t="s">
        <v>17</v>
      </c>
      <c r="C8" s="22"/>
      <c r="D8" s="29"/>
      <c r="E8" s="30">
        <f>SUMIFS(Reliability!$C:$C,Reliability!$B:$B,$B8,Reliability!$H:$H,E$4,Reliability!$I:$I,$D$2)</f>
        <v>0</v>
      </c>
      <c r="F8" s="30">
        <f>SUMIFS(Reliability!$C:$C,Reliability!$B:$B,$B8,Reliability!$H:$H,F$4,Reliability!$I:$I,$D$2)</f>
        <v>0</v>
      </c>
      <c r="G8" s="30">
        <f>SUMIFS(Reliability!$C:$C,Reliability!$B:$B,$B8,Reliability!$H:$H,G$4,Reliability!$I:$I,$D$2)</f>
        <v>0</v>
      </c>
      <c r="H8" s="30">
        <f>SUMIFS(Reliability!$C:$C,Reliability!$B:$B,$B8,Reliability!$H:$H,H$4,Reliability!$I:$I,$D$2)</f>
        <v>0</v>
      </c>
      <c r="I8" s="30">
        <f>SUMIFS(Reliability!$C:$C,Reliability!$B:$B,$B8,Reliability!$H:$H,I$4,Reliability!$I:$I,$D$2)</f>
        <v>0</v>
      </c>
      <c r="J8" s="30">
        <f>SUMIFS(Reliability!$C:$C,Reliability!$B:$B,$B8,Reliability!$H:$H,J$4,Reliability!$I:$I,$D$2)</f>
        <v>0</v>
      </c>
      <c r="K8" s="30">
        <f>SUMIFS(Reliability!$C:$C,Reliability!$B:$B,$B8,Reliability!$H:$H,K$4,Reliability!$I:$I,$D$2)</f>
        <v>0</v>
      </c>
      <c r="L8" s="30">
        <f>SUMIFS(Reliability!$C:$C,Reliability!$B:$B,$B8,Reliability!$H:$H,L$4,Reliability!$I:$I,$D$2)</f>
        <v>0</v>
      </c>
      <c r="M8" s="30">
        <f>SUMIFS(Reliability!$C:$C,Reliability!$B:$B,$B8,Reliability!$H:$H,M$4,Reliability!$I:$I,$D$2)</f>
        <v>0</v>
      </c>
      <c r="N8" s="30">
        <f>SUMIFS(Reliability!$C:$C,Reliability!$B:$B,$B8,Reliability!$H:$H,N$4,Reliability!$I:$I,$D$2)</f>
        <v>0</v>
      </c>
      <c r="O8" s="30">
        <f>SUMIFS(Reliability!$C:$C,Reliability!$B:$B,$B8,Reliability!$H:$H,O$4,Reliability!$I:$I,$D$2)</f>
        <v>0</v>
      </c>
      <c r="P8" s="30">
        <f>SUMIFS(Reliability!$C:$C,Reliability!$B:$B,$B8,Reliability!$H:$H,P$4,Reliability!$I:$I,$D$2)</f>
        <v>0</v>
      </c>
      <c r="Q8" s="30">
        <f>SUMIFS(Reliability!$C:$C,Reliability!$B:$B,$B8,Reliability!$H:$H,Q$4,Reliability!$I:$I,$D$2)</f>
        <v>0</v>
      </c>
      <c r="R8" s="30">
        <f>SUMIFS(Reliability!$C:$C,Reliability!$B:$B,$B8,Reliability!$H:$H,R$4,Reliability!$I:$I,$D$2)</f>
        <v>0</v>
      </c>
      <c r="S8" s="30">
        <f>SUMIFS(Reliability!$C:$C,Reliability!$B:$B,$B8,Reliability!$H:$H,S$4,Reliability!$I:$I,$D$2)</f>
        <v>0</v>
      </c>
      <c r="T8" s="30"/>
      <c r="U8" s="30">
        <f>SUMIFS(Reliability!$C:$C,Reliability!$B:$B,$B8,Reliability!$H:$H,U$4,Reliability!$I:$I,$D$2)</f>
        <v>0</v>
      </c>
      <c r="V8" s="30">
        <f>SUMIFS(Reliability!$C:$C,Reliability!$B:$B,$B8,Reliability!$H:$H,V$4,Reliability!$I:$I,$D$2)</f>
        <v>0</v>
      </c>
      <c r="W8" s="30">
        <f>SUMIFS(Reliability!$C:$C,Reliability!$B:$B,$B8,Reliability!$H:$H,W$4,Reliability!$I:$I,$D$2)</f>
        <v>0</v>
      </c>
      <c r="X8" s="30">
        <f>SUMIFS(Reliability!$C:$C,Reliability!$B:$B,$B8,Reliability!$H:$H,X$4,Reliability!$I:$I,$D$2)</f>
        <v>0</v>
      </c>
      <c r="Y8" s="30">
        <f>SUMIFS(Reliability!$C:$C,Reliability!$B:$B,$B8,Reliability!$H:$H,Y$4,Reliability!$I:$I,$D$2)</f>
        <v>0</v>
      </c>
      <c r="Z8" s="30">
        <f>SUMIFS(Reliability!$C:$C,Reliability!$B:$B,$B8,Reliability!$H:$H,Z$4,Reliability!$I:$I,$D$2)</f>
        <v>0</v>
      </c>
      <c r="AA8" s="30">
        <f>SUMIFS(Reliability!$C:$C,Reliability!$B:$B,$B8,Reliability!$H:$H,AA$4,Reliability!$I:$I,$D$2)</f>
        <v>0</v>
      </c>
      <c r="AB8" s="30">
        <f>SUMIFS(Reliability!$C:$C,Reliability!$B:$B,$B8,Reliability!$H:$H,AB$4,Reliability!$I:$I,$D$2)</f>
        <v>0</v>
      </c>
      <c r="AC8" s="30">
        <f>SUMIFS(Reliability!$C:$C,Reliability!$B:$B,$B8,Reliability!$H:$H,AC$4,Reliability!$I:$I,$D$2)</f>
        <v>0</v>
      </c>
      <c r="AD8" s="30">
        <f>SUMIFS(Reliability!$C:$C,Reliability!$B:$B,$B8,Reliability!$H:$H,AD$4,Reliability!$I:$I,$D$2)</f>
        <v>0</v>
      </c>
      <c r="AE8" s="30">
        <f>SUMIFS(Reliability!$C:$C,Reliability!$B:$B,$B8,Reliability!$H:$H,AE$4,Reliability!$I:$I,$D$2)</f>
        <v>0</v>
      </c>
      <c r="AF8" s="30">
        <f>SUMIFS(Reliability!$C:$C,Reliability!$B:$B,$B8,Reliability!$H:$H,AF$4,Reliability!$I:$I,$D$2)</f>
        <v>0</v>
      </c>
      <c r="AG8" s="30">
        <f>SUMIFS(Reliability!$C:$C,Reliability!$B:$B,$B8,Reliability!$H:$H,AG$4,Reliability!$I:$I,$D$2)</f>
        <v>0</v>
      </c>
      <c r="AH8" s="30">
        <f>SUMIFS(Reliability!$C:$C,Reliability!$B:$B,$B8,Reliability!$H:$H,AH$4,Reliability!$I:$I,$D$2)</f>
        <v>0</v>
      </c>
      <c r="AI8" s="30">
        <f>SUMIFS(Reliability!$C:$C,Reliability!$B:$B,$B8,Reliability!$H:$H,AI$4,Reliability!$I:$I,$D$2)</f>
        <v>0</v>
      </c>
      <c r="AJ8" s="30">
        <f>SUMIFS(Reliability!$C:$C,Reliability!$B:$B,$B8,Reliability!$H:$H,AJ$4,Reliability!$I:$I,$D$2)</f>
        <v>0</v>
      </c>
      <c r="AK8" s="30">
        <v>290000.0</v>
      </c>
      <c r="AL8" s="31">
        <f t="array" ref="AL8">XLOOKUP(B8,Ref!$AQ:$AQ,Ref!$AR:$AR)</f>
        <v>300512</v>
      </c>
      <c r="AM8" s="30">
        <f>SUMIFS(GM_Wise_Raw_Landing!$C:$C,GM_Wise_Raw_Landing!$A:$A,$B8,GM_Wise_Raw_Landing!$D:$D,$AM$3,GM_Wise_Raw_Landing!$E:$E,$AL$3)</f>
        <v>0</v>
      </c>
      <c r="AN8" s="30"/>
      <c r="AO8" s="31"/>
      <c r="AP8" s="30"/>
      <c r="AQ8" s="38"/>
      <c r="AR8" s="33"/>
      <c r="AS8" s="30"/>
      <c r="AT8" s="39"/>
    </row>
    <row r="9">
      <c r="B9" s="35" t="s">
        <v>18</v>
      </c>
      <c r="C9" s="22"/>
      <c r="D9" s="29"/>
      <c r="E9" s="30">
        <f>SUMIFS(Reliability!$C:$C,Reliability!$B:$B,$B9,Reliability!$H:$H,E$4,Reliability!$I:$I,$D$2)</f>
        <v>0</v>
      </c>
      <c r="F9" s="30">
        <f>SUMIFS(Reliability!$C:$C,Reliability!$B:$B,$B9,Reliability!$H:$H,F$4,Reliability!$I:$I,$D$2)</f>
        <v>0</v>
      </c>
      <c r="G9" s="30">
        <f>SUMIFS(Reliability!$C:$C,Reliability!$B:$B,$B9,Reliability!$H:$H,G$4,Reliability!$I:$I,$D$2)</f>
        <v>0</v>
      </c>
      <c r="H9" s="30">
        <f>SUMIFS(Reliability!$C:$C,Reliability!$B:$B,$B9,Reliability!$H:$H,H$4,Reliability!$I:$I,$D$2)</f>
        <v>0</v>
      </c>
      <c r="I9" s="30">
        <f>SUMIFS(Reliability!$C:$C,Reliability!$B:$B,$B9,Reliability!$H:$H,I$4,Reliability!$I:$I,$D$2)</f>
        <v>0</v>
      </c>
      <c r="J9" s="30">
        <f>SUMIFS(Reliability!$C:$C,Reliability!$B:$B,$B9,Reliability!$H:$H,J$4,Reliability!$I:$I,$D$2)</f>
        <v>0</v>
      </c>
      <c r="K9" s="30">
        <f>SUMIFS(Reliability!$C:$C,Reliability!$B:$B,$B9,Reliability!$H:$H,K$4,Reliability!$I:$I,$D$2)</f>
        <v>0</v>
      </c>
      <c r="L9" s="30">
        <f>SUMIFS(Reliability!$C:$C,Reliability!$B:$B,$B9,Reliability!$H:$H,L$4,Reliability!$I:$I,$D$2)</f>
        <v>0</v>
      </c>
      <c r="M9" s="30">
        <f>SUMIFS(Reliability!$C:$C,Reliability!$B:$B,$B9,Reliability!$H:$H,M$4,Reliability!$I:$I,$D$2)</f>
        <v>0</v>
      </c>
      <c r="N9" s="30">
        <f>SUMIFS(Reliability!$C:$C,Reliability!$B:$B,$B9,Reliability!$H:$H,N$4,Reliability!$I:$I,$D$2)</f>
        <v>0</v>
      </c>
      <c r="O9" s="30">
        <f>SUMIFS(Reliability!$C:$C,Reliability!$B:$B,$B9,Reliability!$H:$H,O$4,Reliability!$I:$I,$D$2)</f>
        <v>0</v>
      </c>
      <c r="P9" s="30">
        <f>SUMIFS(Reliability!$C:$C,Reliability!$B:$B,$B9,Reliability!$H:$H,P$4,Reliability!$I:$I,$D$2)</f>
        <v>0</v>
      </c>
      <c r="Q9" s="30">
        <f>SUMIFS(Reliability!$C:$C,Reliability!$B:$B,$B9,Reliability!$H:$H,Q$4,Reliability!$I:$I,$D$2)</f>
        <v>0</v>
      </c>
      <c r="R9" s="30">
        <f>SUMIFS(Reliability!$C:$C,Reliability!$B:$B,$B9,Reliability!$H:$H,R$4,Reliability!$I:$I,$D$2)</f>
        <v>0</v>
      </c>
      <c r="S9" s="30">
        <f>SUMIFS(Reliability!$C:$C,Reliability!$B:$B,$B9,Reliability!$H:$H,S$4,Reliability!$I:$I,$D$2)</f>
        <v>0</v>
      </c>
      <c r="T9" s="30"/>
      <c r="U9" s="30">
        <f>SUMIFS(Reliability!$C:$C,Reliability!$B:$B,$B9,Reliability!$H:$H,U$4,Reliability!$I:$I,$D$2)</f>
        <v>0</v>
      </c>
      <c r="V9" s="30">
        <f>SUMIFS(Reliability!$C:$C,Reliability!$B:$B,$B9,Reliability!$H:$H,V$4,Reliability!$I:$I,$D$2)</f>
        <v>0</v>
      </c>
      <c r="W9" s="30">
        <f>SUMIFS(Reliability!$C:$C,Reliability!$B:$B,$B9,Reliability!$H:$H,W$4,Reliability!$I:$I,$D$2)</f>
        <v>0</v>
      </c>
      <c r="X9" s="30">
        <f>SUMIFS(Reliability!$C:$C,Reliability!$B:$B,$B9,Reliability!$H:$H,X$4,Reliability!$I:$I,$D$2)</f>
        <v>0</v>
      </c>
      <c r="Y9" s="30">
        <f>SUMIFS(Reliability!$C:$C,Reliability!$B:$B,$B9,Reliability!$H:$H,Y$4,Reliability!$I:$I,$D$2)</f>
        <v>0</v>
      </c>
      <c r="Z9" s="30">
        <f>SUMIFS(Reliability!$C:$C,Reliability!$B:$B,$B9,Reliability!$H:$H,Z$4,Reliability!$I:$I,$D$2)</f>
        <v>0</v>
      </c>
      <c r="AA9" s="30">
        <f>SUMIFS(Reliability!$C:$C,Reliability!$B:$B,$B9,Reliability!$H:$H,AA$4,Reliability!$I:$I,$D$2)</f>
        <v>0</v>
      </c>
      <c r="AB9" s="30">
        <f>SUMIFS(Reliability!$C:$C,Reliability!$B:$B,$B9,Reliability!$H:$H,AB$4,Reliability!$I:$I,$D$2)</f>
        <v>0</v>
      </c>
      <c r="AC9" s="30">
        <f>SUMIFS(Reliability!$C:$C,Reliability!$B:$B,$B9,Reliability!$H:$H,AC$4,Reliability!$I:$I,$D$2)</f>
        <v>0</v>
      </c>
      <c r="AD9" s="30">
        <f>SUMIFS(Reliability!$C:$C,Reliability!$B:$B,$B9,Reliability!$H:$H,AD$4,Reliability!$I:$I,$D$2)</f>
        <v>0</v>
      </c>
      <c r="AE9" s="30">
        <f>SUMIFS(Reliability!$C:$C,Reliability!$B:$B,$B9,Reliability!$H:$H,AE$4,Reliability!$I:$I,$D$2)</f>
        <v>0</v>
      </c>
      <c r="AF9" s="30">
        <f>SUMIFS(Reliability!$C:$C,Reliability!$B:$B,$B9,Reliability!$H:$H,AF$4,Reliability!$I:$I,$D$2)</f>
        <v>0</v>
      </c>
      <c r="AG9" s="30">
        <f>SUMIFS(Reliability!$C:$C,Reliability!$B:$B,$B9,Reliability!$H:$H,AG$4,Reliability!$I:$I,$D$2)</f>
        <v>0</v>
      </c>
      <c r="AH9" s="30">
        <f>SUMIFS(Reliability!$C:$C,Reliability!$B:$B,$B9,Reliability!$H:$H,AH$4,Reliability!$I:$I,$D$2)</f>
        <v>0</v>
      </c>
      <c r="AI9" s="30">
        <f>SUMIFS(Reliability!$C:$C,Reliability!$B:$B,$B9,Reliability!$H:$H,AI$4,Reliability!$I:$I,$D$2)</f>
        <v>0</v>
      </c>
      <c r="AJ9" s="30">
        <f>SUMIFS(Reliability!$C:$C,Reliability!$B:$B,$B9,Reliability!$H:$H,AJ$4,Reliability!$I:$I,$D$2)</f>
        <v>0</v>
      </c>
      <c r="AK9" s="30">
        <v>200000.0</v>
      </c>
      <c r="AL9" s="31">
        <f t="array" ref="AL9">XLOOKUP(B9,Ref!$AQ:$AQ,Ref!$AR:$AR)</f>
        <v>247128</v>
      </c>
      <c r="AM9" s="30">
        <f>SUMIFS(GM_Wise_Raw_Landing!$C:$C,GM_Wise_Raw_Landing!$A:$A,$B9,GM_Wise_Raw_Landing!$D:$D,$AM$3,GM_Wise_Raw_Landing!$E:$E,$AL$3)</f>
        <v>0</v>
      </c>
      <c r="AN9" s="30"/>
      <c r="AO9" s="31"/>
      <c r="AP9" s="30"/>
      <c r="AQ9" s="40"/>
      <c r="AR9" s="33"/>
      <c r="AS9" s="30"/>
      <c r="AT9" s="34"/>
    </row>
    <row r="10">
      <c r="B10" s="35" t="s">
        <v>19</v>
      </c>
      <c r="C10" s="22"/>
      <c r="D10" s="41"/>
      <c r="E10" s="41">
        <f t="shared" ref="E10:S10" si="5">SUM(E6:E9)</f>
        <v>0</v>
      </c>
      <c r="F10" s="41">
        <f t="shared" si="5"/>
        <v>0</v>
      </c>
      <c r="G10" s="41">
        <f t="shared" si="5"/>
        <v>0</v>
      </c>
      <c r="H10" s="41">
        <f t="shared" si="5"/>
        <v>0</v>
      </c>
      <c r="I10" s="41">
        <f t="shared" si="5"/>
        <v>0</v>
      </c>
      <c r="J10" s="41">
        <f t="shared" si="5"/>
        <v>0</v>
      </c>
      <c r="K10" s="41">
        <f t="shared" si="5"/>
        <v>0</v>
      </c>
      <c r="L10" s="41">
        <f t="shared" si="5"/>
        <v>0</v>
      </c>
      <c r="M10" s="41">
        <f t="shared" si="5"/>
        <v>0</v>
      </c>
      <c r="N10" s="41">
        <f t="shared" si="5"/>
        <v>0</v>
      </c>
      <c r="O10" s="41">
        <f t="shared" si="5"/>
        <v>0</v>
      </c>
      <c r="P10" s="41">
        <f t="shared" si="5"/>
        <v>0</v>
      </c>
      <c r="Q10" s="41">
        <f t="shared" si="5"/>
        <v>0</v>
      </c>
      <c r="R10" s="41">
        <f t="shared" si="5"/>
        <v>0</v>
      </c>
      <c r="S10" s="41">
        <f t="shared" si="5"/>
        <v>0</v>
      </c>
      <c r="T10" s="41"/>
      <c r="U10" s="41">
        <f t="shared" ref="U10:AJ10" si="6">SUM(U6:U9)</f>
        <v>0</v>
      </c>
      <c r="V10" s="41">
        <f t="shared" si="6"/>
        <v>0</v>
      </c>
      <c r="W10" s="41">
        <f t="shared" si="6"/>
        <v>0</v>
      </c>
      <c r="X10" s="41">
        <f t="shared" si="6"/>
        <v>0</v>
      </c>
      <c r="Y10" s="41">
        <f t="shared" si="6"/>
        <v>0</v>
      </c>
      <c r="Z10" s="41">
        <f t="shared" si="6"/>
        <v>0</v>
      </c>
      <c r="AA10" s="41">
        <f t="shared" si="6"/>
        <v>0</v>
      </c>
      <c r="AB10" s="41">
        <f t="shared" si="6"/>
        <v>0</v>
      </c>
      <c r="AC10" s="41">
        <f t="shared" si="6"/>
        <v>0</v>
      </c>
      <c r="AD10" s="41">
        <f t="shared" si="6"/>
        <v>0</v>
      </c>
      <c r="AE10" s="41">
        <f t="shared" si="6"/>
        <v>0</v>
      </c>
      <c r="AF10" s="41">
        <f t="shared" si="6"/>
        <v>0</v>
      </c>
      <c r="AG10" s="41">
        <f t="shared" si="6"/>
        <v>0</v>
      </c>
      <c r="AH10" s="41">
        <f t="shared" si="6"/>
        <v>0</v>
      </c>
      <c r="AI10" s="41">
        <f t="shared" si="6"/>
        <v>0</v>
      </c>
      <c r="AJ10" s="41">
        <f t="shared" si="6"/>
        <v>0</v>
      </c>
      <c r="AK10" s="42">
        <v>1260000.0</v>
      </c>
      <c r="AL10" s="43">
        <f t="shared" ref="AL10:AM10" si="7">SUM(AL6:AL9)</f>
        <v>1366898</v>
      </c>
      <c r="AM10" s="41">
        <f t="shared" si="7"/>
        <v>0</v>
      </c>
      <c r="AN10" s="41"/>
      <c r="AO10" s="44"/>
      <c r="AP10" s="42"/>
      <c r="AQ10" s="45"/>
      <c r="AR10" s="46"/>
      <c r="AS10" s="42"/>
      <c r="AT10" s="27"/>
    </row>
    <row r="11">
      <c r="B11" s="47" t="s">
        <v>20</v>
      </c>
      <c r="C11" s="22"/>
      <c r="D11" s="48"/>
      <c r="E11" s="30">
        <f>SUMIFS(Reliability!$C:$C,Reliability!$B:$B,$B11,Reliability!$H:$H,E$4,Reliability!$I:$I,$D$2)</f>
        <v>0</v>
      </c>
      <c r="F11" s="30">
        <f>SUMIFS(Reliability!$C:$C,Reliability!$B:$B,$B11,Reliability!$H:$H,F$4,Reliability!$I:$I,$D$2)</f>
        <v>0</v>
      </c>
      <c r="G11" s="30">
        <f>SUMIFS(Reliability!$C:$C,Reliability!$B:$B,$B11,Reliability!$H:$H,G$4,Reliability!$I:$I,$D$2)</f>
        <v>0</v>
      </c>
      <c r="H11" s="30">
        <f>SUMIFS(Reliability!$C:$C,Reliability!$B:$B,$B11,Reliability!$H:$H,H$4,Reliability!$I:$I,$D$2)</f>
        <v>0</v>
      </c>
      <c r="I11" s="30">
        <f>SUMIFS(Reliability!$C:$C,Reliability!$B:$B,$B11,Reliability!$H:$H,I$4,Reliability!$I:$I,$D$2)</f>
        <v>0</v>
      </c>
      <c r="J11" s="30">
        <f>SUMIFS(Reliability!$C:$C,Reliability!$B:$B,$B11,Reliability!$H:$H,J$4,Reliability!$I:$I,$D$2)</f>
        <v>0</v>
      </c>
      <c r="K11" s="30">
        <f>SUMIFS(Reliability!$C:$C,Reliability!$B:$B,$B11,Reliability!$H:$H,K$4,Reliability!$I:$I,$D$2)</f>
        <v>0</v>
      </c>
      <c r="L11" s="30">
        <f>SUMIFS(Reliability!$C:$C,Reliability!$B:$B,$B11,Reliability!$H:$H,L$4,Reliability!$I:$I,$D$2)</f>
        <v>0</v>
      </c>
      <c r="M11" s="30">
        <f>SUMIFS(Reliability!$C:$C,Reliability!$B:$B,$B11,Reliability!$H:$H,M$4,Reliability!$I:$I,$D$2)</f>
        <v>0</v>
      </c>
      <c r="N11" s="30">
        <f>SUMIFS(Reliability!$C:$C,Reliability!$B:$B,$B11,Reliability!$H:$H,N$4,Reliability!$I:$I,$D$2)</f>
        <v>0</v>
      </c>
      <c r="O11" s="30">
        <f>SUMIFS(Reliability!$C:$C,Reliability!$B:$B,$B11,Reliability!$H:$H,O$4,Reliability!$I:$I,$D$2)</f>
        <v>0</v>
      </c>
      <c r="P11" s="30">
        <f>SUMIFS(Reliability!$C:$C,Reliability!$B:$B,$B11,Reliability!$H:$H,P$4,Reliability!$I:$I,$D$2)</f>
        <v>0</v>
      </c>
      <c r="Q11" s="30">
        <f>SUMIFS(Reliability!$C:$C,Reliability!$B:$B,$B11,Reliability!$H:$H,Q$4,Reliability!$I:$I,$D$2)</f>
        <v>0</v>
      </c>
      <c r="R11" s="30">
        <f>SUMIFS(Reliability!$C:$C,Reliability!$B:$B,$B11,Reliability!$H:$H,R$4,Reliability!$I:$I,$D$2)</f>
        <v>0</v>
      </c>
      <c r="S11" s="30">
        <f>SUMIFS(Reliability!$C:$C,Reliability!$B:$B,$B11,Reliability!$H:$H,S$4,Reliability!$I:$I,$D$2)</f>
        <v>0</v>
      </c>
      <c r="T11" s="30"/>
      <c r="U11" s="30">
        <f>SUMIFS(Reliability!$C:$C,Reliability!$B:$B,$B11,Reliability!$H:$H,U$4,Reliability!$I:$I,$D$2)</f>
        <v>0</v>
      </c>
      <c r="V11" s="30">
        <f>SUMIFS(Reliability!$C:$C,Reliability!$B:$B,$B11,Reliability!$H:$H,V$4,Reliability!$I:$I,$D$2)</f>
        <v>0</v>
      </c>
      <c r="W11" s="30">
        <f>SUMIFS(Reliability!$C:$C,Reliability!$B:$B,$B11,Reliability!$H:$H,W$4,Reliability!$I:$I,$D$2)</f>
        <v>0</v>
      </c>
      <c r="X11" s="30">
        <f>SUMIFS(Reliability!$C:$C,Reliability!$B:$B,$B11,Reliability!$H:$H,X$4,Reliability!$I:$I,$D$2)</f>
        <v>0</v>
      </c>
      <c r="Y11" s="30">
        <f>SUMIFS(Reliability!$C:$C,Reliability!$B:$B,$B11,Reliability!$H:$H,Y$4,Reliability!$I:$I,$D$2)</f>
        <v>0</v>
      </c>
      <c r="Z11" s="30">
        <f>SUMIFS(Reliability!$C:$C,Reliability!$B:$B,$B11,Reliability!$H:$H,Z$4,Reliability!$I:$I,$D$2)</f>
        <v>0</v>
      </c>
      <c r="AA11" s="30">
        <f>SUMIFS(Reliability!$C:$C,Reliability!$B:$B,$B11,Reliability!$H:$H,AA$4,Reliability!$I:$I,$D$2)</f>
        <v>0</v>
      </c>
      <c r="AB11" s="30">
        <f>SUMIFS(Reliability!$C:$C,Reliability!$B:$B,$B11,Reliability!$H:$H,AB$4,Reliability!$I:$I,$D$2)</f>
        <v>0</v>
      </c>
      <c r="AC11" s="30">
        <f>SUMIFS(Reliability!$C:$C,Reliability!$B:$B,$B11,Reliability!$H:$H,AC$4,Reliability!$I:$I,$D$2)</f>
        <v>0</v>
      </c>
      <c r="AD11" s="30">
        <f>SUMIFS(Reliability!$C:$C,Reliability!$B:$B,$B11,Reliability!$H:$H,AD$4,Reliability!$I:$I,$D$2)</f>
        <v>0</v>
      </c>
      <c r="AE11" s="30">
        <f>SUMIFS(Reliability!$C:$C,Reliability!$B:$B,$B11,Reliability!$H:$H,AE$4,Reliability!$I:$I,$D$2)</f>
        <v>0</v>
      </c>
      <c r="AF11" s="30">
        <f>SUMIFS(Reliability!$C:$C,Reliability!$B:$B,$B11,Reliability!$H:$H,AF$4,Reliability!$I:$I,$D$2)</f>
        <v>0</v>
      </c>
      <c r="AG11" s="30">
        <f>SUMIFS(Reliability!$C:$C,Reliability!$B:$B,$B11,Reliability!$H:$H,AG$4,Reliability!$I:$I,$D$2)</f>
        <v>0</v>
      </c>
      <c r="AH11" s="30">
        <f>SUMIFS(Reliability!$C:$C,Reliability!$B:$B,$B11,Reliability!$H:$H,AH$4,Reliability!$I:$I,$D$2)</f>
        <v>0</v>
      </c>
      <c r="AI11" s="30">
        <f>SUMIFS(Reliability!$C:$C,Reliability!$B:$B,$B11,Reliability!$H:$H,AI$4,Reliability!$I:$I,$D$2)</f>
        <v>0</v>
      </c>
      <c r="AJ11" s="30">
        <f>SUMIFS(Reliability!$C:$C,Reliability!$B:$B,$B11,Reliability!$H:$H,AJ$4,Reliability!$I:$I,$D$2)</f>
        <v>0</v>
      </c>
      <c r="AK11" s="30">
        <v>700000.0</v>
      </c>
      <c r="AL11" s="31">
        <f t="array" ref="AL11">XLOOKUP(B11,Ref!$AQ:$AQ,Ref!$AR:$AR)</f>
        <v>893682</v>
      </c>
      <c r="AM11" s="30">
        <f>SUMIFS(GM_Wise_Raw_Landing!$C:$C,GM_Wise_Raw_Landing!$A:$A,$B11,GM_Wise_Raw_Landing!$D:$D,$AM$3,GM_Wise_Raw_Landing!$E:$E,$AL$3)</f>
        <v>0</v>
      </c>
      <c r="AN11" s="30"/>
      <c r="AO11" s="31"/>
      <c r="AP11" s="30"/>
      <c r="AQ11" s="49"/>
      <c r="AR11" s="33"/>
      <c r="AS11" s="30"/>
      <c r="AT11" s="39"/>
    </row>
    <row r="12">
      <c r="B12" s="47" t="s">
        <v>21</v>
      </c>
      <c r="C12" s="22"/>
      <c r="D12" s="48"/>
      <c r="E12" s="30">
        <f>SUMIFS(Reliability!$C:$C,Reliability!$B:$B,$B12,Reliability!$H:$H,E$4,Reliability!$I:$I,$D$2)</f>
        <v>0</v>
      </c>
      <c r="F12" s="30">
        <f>SUMIFS(Reliability!$C:$C,Reliability!$B:$B,$B12,Reliability!$H:$H,F$4,Reliability!$I:$I,$D$2)</f>
        <v>0</v>
      </c>
      <c r="G12" s="30">
        <f>SUMIFS(Reliability!$C:$C,Reliability!$B:$B,$B12,Reliability!$H:$H,G$4,Reliability!$I:$I,$D$2)</f>
        <v>0</v>
      </c>
      <c r="H12" s="30">
        <f>SUMIFS(Reliability!$C:$C,Reliability!$B:$B,$B12,Reliability!$H:$H,H$4,Reliability!$I:$I,$D$2)</f>
        <v>0</v>
      </c>
      <c r="I12" s="30">
        <f>SUMIFS(Reliability!$C:$C,Reliability!$B:$B,$B12,Reliability!$H:$H,I$4,Reliability!$I:$I,$D$2)</f>
        <v>0</v>
      </c>
      <c r="J12" s="30">
        <f>SUMIFS(Reliability!$C:$C,Reliability!$B:$B,$B12,Reliability!$H:$H,J$4,Reliability!$I:$I,$D$2)</f>
        <v>0</v>
      </c>
      <c r="K12" s="30">
        <f>SUMIFS(Reliability!$C:$C,Reliability!$B:$B,$B12,Reliability!$H:$H,K$4,Reliability!$I:$I,$D$2)</f>
        <v>0</v>
      </c>
      <c r="L12" s="30">
        <f>SUMIFS(Reliability!$C:$C,Reliability!$B:$B,$B12,Reliability!$H:$H,L$4,Reliability!$I:$I,$D$2)</f>
        <v>0</v>
      </c>
      <c r="M12" s="30">
        <f>SUMIFS(Reliability!$C:$C,Reliability!$B:$B,$B12,Reliability!$H:$H,M$4,Reliability!$I:$I,$D$2)</f>
        <v>0</v>
      </c>
      <c r="N12" s="30">
        <f>SUMIFS(Reliability!$C:$C,Reliability!$B:$B,$B12,Reliability!$H:$H,N$4,Reliability!$I:$I,$D$2)</f>
        <v>0</v>
      </c>
      <c r="O12" s="30">
        <f>SUMIFS(Reliability!$C:$C,Reliability!$B:$B,$B12,Reliability!$H:$H,O$4,Reliability!$I:$I,$D$2)</f>
        <v>0</v>
      </c>
      <c r="P12" s="30">
        <f>SUMIFS(Reliability!$C:$C,Reliability!$B:$B,$B12,Reliability!$H:$H,P$4,Reliability!$I:$I,$D$2)</f>
        <v>0</v>
      </c>
      <c r="Q12" s="30">
        <f>SUMIFS(Reliability!$C:$C,Reliability!$B:$B,$B12,Reliability!$H:$H,Q$4,Reliability!$I:$I,$D$2)</f>
        <v>0</v>
      </c>
      <c r="R12" s="30">
        <f>SUMIFS(Reliability!$C:$C,Reliability!$B:$B,$B12,Reliability!$H:$H,R$4,Reliability!$I:$I,$D$2)</f>
        <v>0</v>
      </c>
      <c r="S12" s="30">
        <f>SUMIFS(Reliability!$C:$C,Reliability!$B:$B,$B12,Reliability!$H:$H,S$4,Reliability!$I:$I,$D$2)</f>
        <v>0</v>
      </c>
      <c r="T12" s="30"/>
      <c r="U12" s="30">
        <f>SUMIFS(Reliability!$C:$C,Reliability!$B:$B,$B12,Reliability!$H:$H,U$4,Reliability!$I:$I,$D$2)</f>
        <v>0</v>
      </c>
      <c r="V12" s="30">
        <f>SUMIFS(Reliability!$C:$C,Reliability!$B:$B,$B12,Reliability!$H:$H,V$4,Reliability!$I:$I,$D$2)</f>
        <v>0</v>
      </c>
      <c r="W12" s="30">
        <f>SUMIFS(Reliability!$C:$C,Reliability!$B:$B,$B12,Reliability!$H:$H,W$4,Reliability!$I:$I,$D$2)</f>
        <v>0</v>
      </c>
      <c r="X12" s="30">
        <f>SUMIFS(Reliability!$C:$C,Reliability!$B:$B,$B12,Reliability!$H:$H,X$4,Reliability!$I:$I,$D$2)</f>
        <v>0</v>
      </c>
      <c r="Y12" s="30">
        <f>SUMIFS(Reliability!$C:$C,Reliability!$B:$B,$B12,Reliability!$H:$H,Y$4,Reliability!$I:$I,$D$2)</f>
        <v>0</v>
      </c>
      <c r="Z12" s="30">
        <f>SUMIFS(Reliability!$C:$C,Reliability!$B:$B,$B12,Reliability!$H:$H,Z$4,Reliability!$I:$I,$D$2)</f>
        <v>0</v>
      </c>
      <c r="AA12" s="30">
        <f>SUMIFS(Reliability!$C:$C,Reliability!$B:$B,$B12,Reliability!$H:$H,AA$4,Reliability!$I:$I,$D$2)</f>
        <v>0</v>
      </c>
      <c r="AB12" s="30">
        <f>SUMIFS(Reliability!$C:$C,Reliability!$B:$B,$B12,Reliability!$H:$H,AB$4,Reliability!$I:$I,$D$2)</f>
        <v>0</v>
      </c>
      <c r="AC12" s="30">
        <f>SUMIFS(Reliability!$C:$C,Reliability!$B:$B,$B12,Reliability!$H:$H,AC$4,Reliability!$I:$I,$D$2)</f>
        <v>0</v>
      </c>
      <c r="AD12" s="30">
        <f>SUMIFS(Reliability!$C:$C,Reliability!$B:$B,$B12,Reliability!$H:$H,AD$4,Reliability!$I:$I,$D$2)</f>
        <v>0</v>
      </c>
      <c r="AE12" s="30">
        <f>SUMIFS(Reliability!$C:$C,Reliability!$B:$B,$B12,Reliability!$H:$H,AE$4,Reliability!$I:$I,$D$2)</f>
        <v>0</v>
      </c>
      <c r="AF12" s="30">
        <f>SUMIFS(Reliability!$C:$C,Reliability!$B:$B,$B12,Reliability!$H:$H,AF$4,Reliability!$I:$I,$D$2)</f>
        <v>0</v>
      </c>
      <c r="AG12" s="30">
        <f>SUMIFS(Reliability!$C:$C,Reliability!$B:$B,$B12,Reliability!$H:$H,AG$4,Reliability!$I:$I,$D$2)</f>
        <v>0</v>
      </c>
      <c r="AH12" s="30">
        <f>SUMIFS(Reliability!$C:$C,Reliability!$B:$B,$B12,Reliability!$H:$H,AH$4,Reliability!$I:$I,$D$2)</f>
        <v>0</v>
      </c>
      <c r="AI12" s="30">
        <f>SUMIFS(Reliability!$C:$C,Reliability!$B:$B,$B12,Reliability!$H:$H,AI$4,Reliability!$I:$I,$D$2)</f>
        <v>0</v>
      </c>
      <c r="AJ12" s="30">
        <f>SUMIFS(Reliability!$C:$C,Reliability!$B:$B,$B12,Reliability!$H:$H,AJ$4,Reliability!$I:$I,$D$2)</f>
        <v>0</v>
      </c>
      <c r="AK12" s="30">
        <v>500000.0</v>
      </c>
      <c r="AL12" s="31">
        <f t="array" ref="AL12">XLOOKUP(B12,Ref!$AQ:$AQ,Ref!$AR:$AR)</f>
        <v>645368</v>
      </c>
      <c r="AM12" s="30">
        <f>SUMIFS(GM_Wise_Raw_Landing!$C:$C,GM_Wise_Raw_Landing!$A:$A,$B12,GM_Wise_Raw_Landing!$D:$D,$AM$3,GM_Wise_Raw_Landing!$E:$E,$AL$3)</f>
        <v>0</v>
      </c>
      <c r="AN12" s="30"/>
      <c r="AO12" s="31"/>
      <c r="AP12" s="30"/>
      <c r="AQ12" s="50"/>
      <c r="AR12" s="33"/>
      <c r="AS12" s="30"/>
      <c r="AT12" s="39"/>
    </row>
    <row r="13">
      <c r="B13" s="47" t="s">
        <v>22</v>
      </c>
      <c r="C13" s="22"/>
      <c r="D13" s="48"/>
      <c r="E13" s="30">
        <f>SUMIFS(Reliability!$C:$C,Reliability!$B:$B,$B13,Reliability!$H:$H,E$4,Reliability!$I:$I,$D$2)</f>
        <v>0</v>
      </c>
      <c r="F13" s="30">
        <f>SUMIFS(Reliability!$C:$C,Reliability!$B:$B,$B13,Reliability!$H:$H,F$4,Reliability!$I:$I,$D$2)</f>
        <v>0</v>
      </c>
      <c r="G13" s="30">
        <f>SUMIFS(Reliability!$C:$C,Reliability!$B:$B,$B13,Reliability!$H:$H,G$4,Reliability!$I:$I,$D$2)</f>
        <v>0</v>
      </c>
      <c r="H13" s="30">
        <f>SUMIFS(Reliability!$C:$C,Reliability!$B:$B,$B13,Reliability!$H:$H,H$4,Reliability!$I:$I,$D$2)</f>
        <v>0</v>
      </c>
      <c r="I13" s="30">
        <f>SUMIFS(Reliability!$C:$C,Reliability!$B:$B,$B13,Reliability!$H:$H,I$4,Reliability!$I:$I,$D$2)</f>
        <v>0</v>
      </c>
      <c r="J13" s="30">
        <f>SUMIFS(Reliability!$C:$C,Reliability!$B:$B,$B13,Reliability!$H:$H,J$4,Reliability!$I:$I,$D$2)</f>
        <v>0</v>
      </c>
      <c r="K13" s="30">
        <f>SUMIFS(Reliability!$C:$C,Reliability!$B:$B,$B13,Reliability!$H:$H,K$4,Reliability!$I:$I,$D$2)</f>
        <v>0</v>
      </c>
      <c r="L13" s="30">
        <f>SUMIFS(Reliability!$C:$C,Reliability!$B:$B,$B13,Reliability!$H:$H,L$4,Reliability!$I:$I,$D$2)</f>
        <v>0</v>
      </c>
      <c r="M13" s="30">
        <f>SUMIFS(Reliability!$C:$C,Reliability!$B:$B,$B13,Reliability!$H:$H,M$4,Reliability!$I:$I,$D$2)</f>
        <v>0</v>
      </c>
      <c r="N13" s="30">
        <f>SUMIFS(Reliability!$C:$C,Reliability!$B:$B,$B13,Reliability!$H:$H,N$4,Reliability!$I:$I,$D$2)</f>
        <v>0</v>
      </c>
      <c r="O13" s="30">
        <f>SUMIFS(Reliability!$C:$C,Reliability!$B:$B,$B13,Reliability!$H:$H,O$4,Reliability!$I:$I,$D$2)</f>
        <v>0</v>
      </c>
      <c r="P13" s="30">
        <f>SUMIFS(Reliability!$C:$C,Reliability!$B:$B,$B13,Reliability!$H:$H,P$4,Reliability!$I:$I,$D$2)</f>
        <v>0</v>
      </c>
      <c r="Q13" s="30">
        <f>SUMIFS(Reliability!$C:$C,Reliability!$B:$B,$B13,Reliability!$H:$H,Q$4,Reliability!$I:$I,$D$2)</f>
        <v>0</v>
      </c>
      <c r="R13" s="30">
        <f>SUMIFS(Reliability!$C:$C,Reliability!$B:$B,$B13,Reliability!$H:$H,R$4,Reliability!$I:$I,$D$2)</f>
        <v>0</v>
      </c>
      <c r="S13" s="30">
        <f>SUMIFS(Reliability!$C:$C,Reliability!$B:$B,$B13,Reliability!$H:$H,S$4,Reliability!$I:$I,$D$2)</f>
        <v>0</v>
      </c>
      <c r="T13" s="30"/>
      <c r="U13" s="30">
        <f>SUMIFS(Reliability!$C:$C,Reliability!$B:$B,$B13,Reliability!$H:$H,U$4,Reliability!$I:$I,$D$2)</f>
        <v>0</v>
      </c>
      <c r="V13" s="30">
        <f>SUMIFS(Reliability!$C:$C,Reliability!$B:$B,$B13,Reliability!$H:$H,V$4,Reliability!$I:$I,$D$2)</f>
        <v>0</v>
      </c>
      <c r="W13" s="30">
        <f>SUMIFS(Reliability!$C:$C,Reliability!$B:$B,$B13,Reliability!$H:$H,W$4,Reliability!$I:$I,$D$2)</f>
        <v>0</v>
      </c>
      <c r="X13" s="30">
        <f>SUMIFS(Reliability!$C:$C,Reliability!$B:$B,$B13,Reliability!$H:$H,X$4,Reliability!$I:$I,$D$2)</f>
        <v>0</v>
      </c>
      <c r="Y13" s="30">
        <f>SUMIFS(Reliability!$C:$C,Reliability!$B:$B,$B13,Reliability!$H:$H,Y$4,Reliability!$I:$I,$D$2)</f>
        <v>0</v>
      </c>
      <c r="Z13" s="30">
        <f>SUMIFS(Reliability!$C:$C,Reliability!$B:$B,$B13,Reliability!$H:$H,Z$4,Reliability!$I:$I,$D$2)</f>
        <v>0</v>
      </c>
      <c r="AA13" s="30">
        <f>SUMIFS(Reliability!$C:$C,Reliability!$B:$B,$B13,Reliability!$H:$H,AA$4,Reliability!$I:$I,$D$2)</f>
        <v>0</v>
      </c>
      <c r="AB13" s="30">
        <f>SUMIFS(Reliability!$C:$C,Reliability!$B:$B,$B13,Reliability!$H:$H,AB$4,Reliability!$I:$I,$D$2)</f>
        <v>0</v>
      </c>
      <c r="AC13" s="30">
        <f>SUMIFS(Reliability!$C:$C,Reliability!$B:$B,$B13,Reliability!$H:$H,AC$4,Reliability!$I:$I,$D$2)</f>
        <v>0</v>
      </c>
      <c r="AD13" s="30">
        <f>SUMIFS(Reliability!$C:$C,Reliability!$B:$B,$B13,Reliability!$H:$H,AD$4,Reliability!$I:$I,$D$2)</f>
        <v>0</v>
      </c>
      <c r="AE13" s="30">
        <f>SUMIFS(Reliability!$C:$C,Reliability!$B:$B,$B13,Reliability!$H:$H,AE$4,Reliability!$I:$I,$D$2)</f>
        <v>0</v>
      </c>
      <c r="AF13" s="30">
        <f>SUMIFS(Reliability!$C:$C,Reliability!$B:$B,$B13,Reliability!$H:$H,AF$4,Reliability!$I:$I,$D$2)</f>
        <v>0</v>
      </c>
      <c r="AG13" s="30">
        <f>SUMIFS(Reliability!$C:$C,Reliability!$B:$B,$B13,Reliability!$H:$H,AG$4,Reliability!$I:$I,$D$2)</f>
        <v>0</v>
      </c>
      <c r="AH13" s="30">
        <f>SUMIFS(Reliability!$C:$C,Reliability!$B:$B,$B13,Reliability!$H:$H,AH$4,Reliability!$I:$I,$D$2)</f>
        <v>0</v>
      </c>
      <c r="AI13" s="30">
        <f>SUMIFS(Reliability!$C:$C,Reliability!$B:$B,$B13,Reliability!$H:$H,AI$4,Reliability!$I:$I,$D$2)</f>
        <v>0</v>
      </c>
      <c r="AJ13" s="30">
        <f>SUMIFS(Reliability!$C:$C,Reliability!$B:$B,$B13,Reliability!$H:$H,AJ$4,Reliability!$I:$I,$D$2)</f>
        <v>0</v>
      </c>
      <c r="AK13" s="30">
        <v>320000.0</v>
      </c>
      <c r="AL13" s="31">
        <f t="array" ref="AL13">XLOOKUP(B13,Ref!$AQ:$AQ,Ref!$AR:$AR)</f>
        <v>551180</v>
      </c>
      <c r="AM13" s="30">
        <f>SUMIFS(GM_Wise_Raw_Landing!$C:$C,GM_Wise_Raw_Landing!$A:$A,$B13,GM_Wise_Raw_Landing!$D:$D,$AM$3,GM_Wise_Raw_Landing!$E:$E,$AL$3)</f>
        <v>0</v>
      </c>
      <c r="AN13" s="30"/>
      <c r="AO13" s="31"/>
      <c r="AP13" s="30"/>
      <c r="AQ13" s="50"/>
      <c r="AR13" s="33"/>
      <c r="AS13" s="30"/>
      <c r="AT13" s="39"/>
    </row>
    <row r="14">
      <c r="B14" s="47" t="s">
        <v>23</v>
      </c>
      <c r="C14" s="22"/>
      <c r="D14" s="51"/>
      <c r="E14" s="51">
        <f t="shared" ref="E14:S14" si="8">SUM(E11:E13)</f>
        <v>0</v>
      </c>
      <c r="F14" s="51">
        <f t="shared" si="8"/>
        <v>0</v>
      </c>
      <c r="G14" s="51">
        <f t="shared" si="8"/>
        <v>0</v>
      </c>
      <c r="H14" s="51">
        <f t="shared" si="8"/>
        <v>0</v>
      </c>
      <c r="I14" s="51">
        <f t="shared" si="8"/>
        <v>0</v>
      </c>
      <c r="J14" s="51">
        <f t="shared" si="8"/>
        <v>0</v>
      </c>
      <c r="K14" s="51">
        <f t="shared" si="8"/>
        <v>0</v>
      </c>
      <c r="L14" s="51">
        <f t="shared" si="8"/>
        <v>0</v>
      </c>
      <c r="M14" s="51">
        <f t="shared" si="8"/>
        <v>0</v>
      </c>
      <c r="N14" s="51">
        <f t="shared" si="8"/>
        <v>0</v>
      </c>
      <c r="O14" s="51">
        <f t="shared" si="8"/>
        <v>0</v>
      </c>
      <c r="P14" s="51">
        <f t="shared" si="8"/>
        <v>0</v>
      </c>
      <c r="Q14" s="51">
        <f t="shared" si="8"/>
        <v>0</v>
      </c>
      <c r="R14" s="51">
        <f t="shared" si="8"/>
        <v>0</v>
      </c>
      <c r="S14" s="51">
        <f t="shared" si="8"/>
        <v>0</v>
      </c>
      <c r="T14" s="51"/>
      <c r="U14" s="51">
        <f t="shared" ref="U14:AJ14" si="9">SUM(U11:U13)</f>
        <v>0</v>
      </c>
      <c r="V14" s="51">
        <f t="shared" si="9"/>
        <v>0</v>
      </c>
      <c r="W14" s="51">
        <f t="shared" si="9"/>
        <v>0</v>
      </c>
      <c r="X14" s="51">
        <f t="shared" si="9"/>
        <v>0</v>
      </c>
      <c r="Y14" s="51">
        <f t="shared" si="9"/>
        <v>0</v>
      </c>
      <c r="Z14" s="51">
        <f t="shared" si="9"/>
        <v>0</v>
      </c>
      <c r="AA14" s="51">
        <f t="shared" si="9"/>
        <v>0</v>
      </c>
      <c r="AB14" s="51">
        <f t="shared" si="9"/>
        <v>0</v>
      </c>
      <c r="AC14" s="51">
        <f t="shared" si="9"/>
        <v>0</v>
      </c>
      <c r="AD14" s="51">
        <f t="shared" si="9"/>
        <v>0</v>
      </c>
      <c r="AE14" s="51">
        <f t="shared" si="9"/>
        <v>0</v>
      </c>
      <c r="AF14" s="51">
        <f t="shared" si="9"/>
        <v>0</v>
      </c>
      <c r="AG14" s="51">
        <f t="shared" si="9"/>
        <v>0</v>
      </c>
      <c r="AH14" s="51">
        <f t="shared" si="9"/>
        <v>0</v>
      </c>
      <c r="AI14" s="51">
        <f t="shared" si="9"/>
        <v>0</v>
      </c>
      <c r="AJ14" s="51">
        <f t="shared" si="9"/>
        <v>0</v>
      </c>
      <c r="AK14" s="52">
        <v>1520000.0</v>
      </c>
      <c r="AL14" s="53">
        <f t="shared" ref="AL14:AM14" si="10">SUM(AL11:AL13)</f>
        <v>2090230</v>
      </c>
      <c r="AM14" s="51">
        <f t="shared" si="10"/>
        <v>0</v>
      </c>
      <c r="AN14" s="51"/>
      <c r="AO14" s="54"/>
      <c r="AP14" s="52"/>
      <c r="AQ14" s="55"/>
      <c r="AR14" s="56"/>
      <c r="AS14" s="52"/>
      <c r="AT14" s="27"/>
    </row>
    <row r="15">
      <c r="B15" s="57" t="s">
        <v>24</v>
      </c>
      <c r="C15" s="22"/>
      <c r="D15" s="48"/>
      <c r="E15" s="30">
        <f>SUMIFS(Reliability!$C:$C,Reliability!$B:$B,$B15,Reliability!$H:$H,E$4,Reliability!$I:$I,$D$2)</f>
        <v>0</v>
      </c>
      <c r="F15" s="30">
        <f>SUMIFS(Reliability!$C:$C,Reliability!$B:$B,$B15,Reliability!$H:$H,F$4,Reliability!$I:$I,$D$2)</f>
        <v>0</v>
      </c>
      <c r="G15" s="30">
        <f>SUMIFS(Reliability!$C:$C,Reliability!$B:$B,$B15,Reliability!$H:$H,G$4,Reliability!$I:$I,$D$2)</f>
        <v>0</v>
      </c>
      <c r="H15" s="30">
        <f>SUMIFS(Reliability!$C:$C,Reliability!$B:$B,$B15,Reliability!$H:$H,H$4,Reliability!$I:$I,$D$2)</f>
        <v>0</v>
      </c>
      <c r="I15" s="30">
        <f>SUMIFS(Reliability!$C:$C,Reliability!$B:$B,$B15,Reliability!$H:$H,I$4,Reliability!$I:$I,$D$2)</f>
        <v>0</v>
      </c>
      <c r="J15" s="30">
        <f>SUMIFS(Reliability!$C:$C,Reliability!$B:$B,$B15,Reliability!$H:$H,J$4,Reliability!$I:$I,$D$2)</f>
        <v>0</v>
      </c>
      <c r="K15" s="30">
        <f>SUMIFS(Reliability!$C:$C,Reliability!$B:$B,$B15,Reliability!$H:$H,K$4,Reliability!$I:$I,$D$2)</f>
        <v>0</v>
      </c>
      <c r="L15" s="30">
        <f>SUMIFS(Reliability!$C:$C,Reliability!$B:$B,$B15,Reliability!$H:$H,L$4,Reliability!$I:$I,$D$2)</f>
        <v>0</v>
      </c>
      <c r="M15" s="30">
        <f>SUMIFS(Reliability!$C:$C,Reliability!$B:$B,$B15,Reliability!$H:$H,M$4,Reliability!$I:$I,$D$2)</f>
        <v>0</v>
      </c>
      <c r="N15" s="30">
        <f>SUMIFS(Reliability!$C:$C,Reliability!$B:$B,$B15,Reliability!$H:$H,N$4,Reliability!$I:$I,$D$2)</f>
        <v>0</v>
      </c>
      <c r="O15" s="30">
        <f>SUMIFS(Reliability!$C:$C,Reliability!$B:$B,$B15,Reliability!$H:$H,O$4,Reliability!$I:$I,$D$2)</f>
        <v>0</v>
      </c>
      <c r="P15" s="30">
        <f>SUMIFS(Reliability!$C:$C,Reliability!$B:$B,$B15,Reliability!$H:$H,P$4,Reliability!$I:$I,$D$2)</f>
        <v>0</v>
      </c>
      <c r="Q15" s="30">
        <f>SUMIFS(Reliability!$C:$C,Reliability!$B:$B,$B15,Reliability!$H:$H,Q$4,Reliability!$I:$I,$D$2)</f>
        <v>0</v>
      </c>
      <c r="R15" s="30">
        <f>SUMIFS(Reliability!$C:$C,Reliability!$B:$B,$B15,Reliability!$H:$H,R$4,Reliability!$I:$I,$D$2)</f>
        <v>0</v>
      </c>
      <c r="S15" s="30">
        <f>SUMIFS(Reliability!$C:$C,Reliability!$B:$B,$B15,Reliability!$H:$H,S$4,Reliability!$I:$I,$D$2)</f>
        <v>0</v>
      </c>
      <c r="T15" s="30"/>
      <c r="U15" s="30">
        <f>SUMIFS(Reliability!$C:$C,Reliability!$B:$B,$B15,Reliability!$H:$H,U$4,Reliability!$I:$I,$D$2)</f>
        <v>0</v>
      </c>
      <c r="V15" s="30">
        <f>SUMIFS(Reliability!$C:$C,Reliability!$B:$B,$B15,Reliability!$H:$H,V$4,Reliability!$I:$I,$D$2)</f>
        <v>0</v>
      </c>
      <c r="W15" s="30">
        <f>SUMIFS(Reliability!$C:$C,Reliability!$B:$B,$B15,Reliability!$H:$H,W$4,Reliability!$I:$I,$D$2)</f>
        <v>0</v>
      </c>
      <c r="X15" s="30">
        <f>SUMIFS(Reliability!$C:$C,Reliability!$B:$B,$B15,Reliability!$H:$H,X$4,Reliability!$I:$I,$D$2)</f>
        <v>0</v>
      </c>
      <c r="Y15" s="30">
        <f>SUMIFS(Reliability!$C:$C,Reliability!$B:$B,$B15,Reliability!$H:$H,Y$4,Reliability!$I:$I,$D$2)</f>
        <v>0</v>
      </c>
      <c r="Z15" s="30">
        <f>SUMIFS(Reliability!$C:$C,Reliability!$B:$B,$B15,Reliability!$H:$H,Z$4,Reliability!$I:$I,$D$2)</f>
        <v>0</v>
      </c>
      <c r="AA15" s="30">
        <f>SUMIFS(Reliability!$C:$C,Reliability!$B:$B,$B15,Reliability!$H:$H,AA$4,Reliability!$I:$I,$D$2)</f>
        <v>0</v>
      </c>
      <c r="AB15" s="30">
        <f>SUMIFS(Reliability!$C:$C,Reliability!$B:$B,$B15,Reliability!$H:$H,AB$4,Reliability!$I:$I,$D$2)</f>
        <v>0</v>
      </c>
      <c r="AC15" s="30">
        <f>SUMIFS(Reliability!$C:$C,Reliability!$B:$B,$B15,Reliability!$H:$H,AC$4,Reliability!$I:$I,$D$2)</f>
        <v>0</v>
      </c>
      <c r="AD15" s="30">
        <f>SUMIFS(Reliability!$C:$C,Reliability!$B:$B,$B15,Reliability!$H:$H,AD$4,Reliability!$I:$I,$D$2)</f>
        <v>0</v>
      </c>
      <c r="AE15" s="30">
        <f>SUMIFS(Reliability!$C:$C,Reliability!$B:$B,$B15,Reliability!$H:$H,AE$4,Reliability!$I:$I,$D$2)</f>
        <v>0</v>
      </c>
      <c r="AF15" s="30">
        <f>SUMIFS(Reliability!$C:$C,Reliability!$B:$B,$B15,Reliability!$H:$H,AF$4,Reliability!$I:$I,$D$2)</f>
        <v>0</v>
      </c>
      <c r="AG15" s="30">
        <f>SUMIFS(Reliability!$C:$C,Reliability!$B:$B,$B15,Reliability!$H:$H,AG$4,Reliability!$I:$I,$D$2)</f>
        <v>0</v>
      </c>
      <c r="AH15" s="30">
        <f>SUMIFS(Reliability!$C:$C,Reliability!$B:$B,$B15,Reliability!$H:$H,AH$4,Reliability!$I:$I,$D$2)</f>
        <v>0</v>
      </c>
      <c r="AI15" s="30">
        <f>SUMIFS(Reliability!$C:$C,Reliability!$B:$B,$B15,Reliability!$H:$H,AI$4,Reliability!$I:$I,$D$2)</f>
        <v>0</v>
      </c>
      <c r="AJ15" s="30">
        <f>SUMIFS(Reliability!$C:$C,Reliability!$B:$B,$B15,Reliability!$H:$H,AJ$4,Reliability!$I:$I,$D$2)</f>
        <v>0</v>
      </c>
      <c r="AK15" s="30">
        <v>425000.0</v>
      </c>
      <c r="AL15" s="31">
        <f t="array" ref="AL15">XLOOKUP(B15,Ref!$AQ:$AQ,Ref!$AR:$AR)</f>
        <v>490362</v>
      </c>
      <c r="AM15" s="30">
        <f>SUMIFS(GM_Wise_Raw_Landing!$C:$C,GM_Wise_Raw_Landing!$A:$A,$B15,GM_Wise_Raw_Landing!$D:$D,$AM$3,GM_Wise_Raw_Landing!$E:$E,$AL$3)</f>
        <v>0</v>
      </c>
      <c r="AN15" s="30"/>
      <c r="AO15" s="31"/>
      <c r="AP15" s="30"/>
      <c r="AQ15" s="58"/>
      <c r="AR15" s="33"/>
      <c r="AS15" s="30"/>
      <c r="AT15" s="39"/>
    </row>
    <row r="16">
      <c r="B16" s="57" t="s">
        <v>25</v>
      </c>
      <c r="C16" s="22"/>
      <c r="D16" s="48"/>
      <c r="E16" s="30">
        <f>SUMIFS(Reliability!$C:$C,Reliability!$B:$B,$B16,Reliability!$H:$H,E$4,Reliability!$I:$I,$D$2)</f>
        <v>0</v>
      </c>
      <c r="F16" s="30">
        <f>SUMIFS(Reliability!$C:$C,Reliability!$B:$B,$B16,Reliability!$H:$H,F$4,Reliability!$I:$I,$D$2)</f>
        <v>0</v>
      </c>
      <c r="G16" s="30">
        <f>SUMIFS(Reliability!$C:$C,Reliability!$B:$B,$B16,Reliability!$H:$H,G$4,Reliability!$I:$I,$D$2)</f>
        <v>0</v>
      </c>
      <c r="H16" s="30">
        <f>SUMIFS(Reliability!$C:$C,Reliability!$B:$B,$B16,Reliability!$H:$H,H$4,Reliability!$I:$I,$D$2)</f>
        <v>0</v>
      </c>
      <c r="I16" s="30">
        <f>SUMIFS(Reliability!$C:$C,Reliability!$B:$B,$B16,Reliability!$H:$H,I$4,Reliability!$I:$I,$D$2)</f>
        <v>0</v>
      </c>
      <c r="J16" s="30">
        <f>SUMIFS(Reliability!$C:$C,Reliability!$B:$B,$B16,Reliability!$H:$H,J$4,Reliability!$I:$I,$D$2)</f>
        <v>0</v>
      </c>
      <c r="K16" s="30">
        <f>SUMIFS(Reliability!$C:$C,Reliability!$B:$B,$B16,Reliability!$H:$H,K$4,Reliability!$I:$I,$D$2)</f>
        <v>0</v>
      </c>
      <c r="L16" s="30">
        <f>SUMIFS(Reliability!$C:$C,Reliability!$B:$B,$B16,Reliability!$H:$H,L$4,Reliability!$I:$I,$D$2)</f>
        <v>0</v>
      </c>
      <c r="M16" s="30">
        <f>SUMIFS(Reliability!$C:$C,Reliability!$B:$B,$B16,Reliability!$H:$H,M$4,Reliability!$I:$I,$D$2)</f>
        <v>0</v>
      </c>
      <c r="N16" s="30">
        <f>SUMIFS(Reliability!$C:$C,Reliability!$B:$B,$B16,Reliability!$H:$H,N$4,Reliability!$I:$I,$D$2)</f>
        <v>0</v>
      </c>
      <c r="O16" s="30">
        <f>SUMIFS(Reliability!$C:$C,Reliability!$B:$B,$B16,Reliability!$H:$H,O$4,Reliability!$I:$I,$D$2)</f>
        <v>0</v>
      </c>
      <c r="P16" s="30">
        <f>SUMIFS(Reliability!$C:$C,Reliability!$B:$B,$B16,Reliability!$H:$H,P$4,Reliability!$I:$I,$D$2)</f>
        <v>0</v>
      </c>
      <c r="Q16" s="30">
        <f>SUMIFS(Reliability!$C:$C,Reliability!$B:$B,$B16,Reliability!$H:$H,Q$4,Reliability!$I:$I,$D$2)</f>
        <v>0</v>
      </c>
      <c r="R16" s="30">
        <f>SUMIFS(Reliability!$C:$C,Reliability!$B:$B,$B16,Reliability!$H:$H,R$4,Reliability!$I:$I,$D$2)</f>
        <v>0</v>
      </c>
      <c r="S16" s="30">
        <f>SUMIFS(Reliability!$C:$C,Reliability!$B:$B,$B16,Reliability!$H:$H,S$4,Reliability!$I:$I,$D$2)</f>
        <v>0</v>
      </c>
      <c r="T16" s="30"/>
      <c r="U16" s="30">
        <f>SUMIFS(Reliability!$C:$C,Reliability!$B:$B,$B16,Reliability!$H:$H,U$4,Reliability!$I:$I,$D$2)</f>
        <v>0</v>
      </c>
      <c r="V16" s="30">
        <f>SUMIFS(Reliability!$C:$C,Reliability!$B:$B,$B16,Reliability!$H:$H,V$4,Reliability!$I:$I,$D$2)</f>
        <v>0</v>
      </c>
      <c r="W16" s="30">
        <f>SUMIFS(Reliability!$C:$C,Reliability!$B:$B,$B16,Reliability!$H:$H,W$4,Reliability!$I:$I,$D$2)</f>
        <v>0</v>
      </c>
      <c r="X16" s="30">
        <f>SUMIFS(Reliability!$C:$C,Reliability!$B:$B,$B16,Reliability!$H:$H,X$4,Reliability!$I:$I,$D$2)</f>
        <v>0</v>
      </c>
      <c r="Y16" s="30">
        <f>SUMIFS(Reliability!$C:$C,Reliability!$B:$B,$B16,Reliability!$H:$H,Y$4,Reliability!$I:$I,$D$2)</f>
        <v>0</v>
      </c>
      <c r="Z16" s="30">
        <f>SUMIFS(Reliability!$C:$C,Reliability!$B:$B,$B16,Reliability!$H:$H,Z$4,Reliability!$I:$I,$D$2)</f>
        <v>0</v>
      </c>
      <c r="AA16" s="30">
        <f>SUMIFS(Reliability!$C:$C,Reliability!$B:$B,$B16,Reliability!$H:$H,AA$4,Reliability!$I:$I,$D$2)</f>
        <v>0</v>
      </c>
      <c r="AB16" s="30">
        <f>SUMIFS(Reliability!$C:$C,Reliability!$B:$B,$B16,Reliability!$H:$H,AB$4,Reliability!$I:$I,$D$2)</f>
        <v>0</v>
      </c>
      <c r="AC16" s="30">
        <f>SUMIFS(Reliability!$C:$C,Reliability!$B:$B,$B16,Reliability!$H:$H,AC$4,Reliability!$I:$I,$D$2)</f>
        <v>0</v>
      </c>
      <c r="AD16" s="30">
        <f>SUMIFS(Reliability!$C:$C,Reliability!$B:$B,$B16,Reliability!$H:$H,AD$4,Reliability!$I:$I,$D$2)</f>
        <v>0</v>
      </c>
      <c r="AE16" s="30">
        <f>SUMIFS(Reliability!$C:$C,Reliability!$B:$B,$B16,Reliability!$H:$H,AE$4,Reliability!$I:$I,$D$2)</f>
        <v>0</v>
      </c>
      <c r="AF16" s="30">
        <f>SUMIFS(Reliability!$C:$C,Reliability!$B:$B,$B16,Reliability!$H:$H,AF$4,Reliability!$I:$I,$D$2)</f>
        <v>0</v>
      </c>
      <c r="AG16" s="30">
        <f>SUMIFS(Reliability!$C:$C,Reliability!$B:$B,$B16,Reliability!$H:$H,AG$4,Reliability!$I:$I,$D$2)</f>
        <v>0</v>
      </c>
      <c r="AH16" s="30">
        <f>SUMIFS(Reliability!$C:$C,Reliability!$B:$B,$B16,Reliability!$H:$H,AH$4,Reliability!$I:$I,$D$2)</f>
        <v>0</v>
      </c>
      <c r="AI16" s="30">
        <f>SUMIFS(Reliability!$C:$C,Reliability!$B:$B,$B16,Reliability!$H:$H,AI$4,Reliability!$I:$I,$D$2)</f>
        <v>0</v>
      </c>
      <c r="AJ16" s="30">
        <f>SUMIFS(Reliability!$C:$C,Reliability!$B:$B,$B16,Reliability!$H:$H,AJ$4,Reliability!$I:$I,$D$2)</f>
        <v>0</v>
      </c>
      <c r="AK16" s="30">
        <v>400000.0</v>
      </c>
      <c r="AL16" s="31">
        <f t="array" ref="AL16">XLOOKUP(B16,Ref!$AQ:$AQ,Ref!$AR:$AR)</f>
        <v>476939</v>
      </c>
      <c r="AM16" s="30">
        <f>SUMIFS(GM_Wise_Raw_Landing!$C:$C,GM_Wise_Raw_Landing!$A:$A,$B16,GM_Wise_Raw_Landing!$D:$D,$AM$3,GM_Wise_Raw_Landing!$E:$E,$AL$3)</f>
        <v>0</v>
      </c>
      <c r="AN16" s="30"/>
      <c r="AO16" s="31"/>
      <c r="AP16" s="30"/>
      <c r="AQ16" s="50"/>
      <c r="AR16" s="33"/>
      <c r="AS16" s="30"/>
      <c r="AT16" s="34"/>
    </row>
    <row r="17">
      <c r="B17" s="57" t="s">
        <v>26</v>
      </c>
      <c r="C17" s="22"/>
      <c r="D17" s="48"/>
      <c r="E17" s="30">
        <f>SUMIFS(Reliability!$C:$C,Reliability!$B:$B,$B17,Reliability!$H:$H,E$4,Reliability!$I:$I,$D$2)</f>
        <v>0</v>
      </c>
      <c r="F17" s="30">
        <f>SUMIFS(Reliability!$C:$C,Reliability!$B:$B,$B17,Reliability!$H:$H,F$4,Reliability!$I:$I,$D$2)</f>
        <v>0</v>
      </c>
      <c r="G17" s="30">
        <f>SUMIFS(Reliability!$C:$C,Reliability!$B:$B,$B17,Reliability!$H:$H,G$4,Reliability!$I:$I,$D$2)</f>
        <v>0</v>
      </c>
      <c r="H17" s="30">
        <f>SUMIFS(Reliability!$C:$C,Reliability!$B:$B,$B17,Reliability!$H:$H,H$4,Reliability!$I:$I,$D$2)</f>
        <v>0</v>
      </c>
      <c r="I17" s="30">
        <f>SUMIFS(Reliability!$C:$C,Reliability!$B:$B,$B17,Reliability!$H:$H,I$4,Reliability!$I:$I,$D$2)</f>
        <v>0</v>
      </c>
      <c r="J17" s="30">
        <f>SUMIFS(Reliability!$C:$C,Reliability!$B:$B,$B17,Reliability!$H:$H,J$4,Reliability!$I:$I,$D$2)</f>
        <v>0</v>
      </c>
      <c r="K17" s="30">
        <f>SUMIFS(Reliability!$C:$C,Reliability!$B:$B,$B17,Reliability!$H:$H,K$4,Reliability!$I:$I,$D$2)</f>
        <v>0</v>
      </c>
      <c r="L17" s="30">
        <f>SUMIFS(Reliability!$C:$C,Reliability!$B:$B,$B17,Reliability!$H:$H,L$4,Reliability!$I:$I,$D$2)</f>
        <v>0</v>
      </c>
      <c r="M17" s="30">
        <f>SUMIFS(Reliability!$C:$C,Reliability!$B:$B,$B17,Reliability!$H:$H,M$4,Reliability!$I:$I,$D$2)</f>
        <v>0</v>
      </c>
      <c r="N17" s="30">
        <f>SUMIFS(Reliability!$C:$C,Reliability!$B:$B,$B17,Reliability!$H:$H,N$4,Reliability!$I:$I,$D$2)</f>
        <v>0</v>
      </c>
      <c r="O17" s="30">
        <f>SUMIFS(Reliability!$C:$C,Reliability!$B:$B,$B17,Reliability!$H:$H,O$4,Reliability!$I:$I,$D$2)</f>
        <v>0</v>
      </c>
      <c r="P17" s="30">
        <f>SUMIFS(Reliability!$C:$C,Reliability!$B:$B,$B17,Reliability!$H:$H,P$4,Reliability!$I:$I,$D$2)</f>
        <v>0</v>
      </c>
      <c r="Q17" s="30">
        <f>SUMIFS(Reliability!$C:$C,Reliability!$B:$B,$B17,Reliability!$H:$H,Q$4,Reliability!$I:$I,$D$2)</f>
        <v>0</v>
      </c>
      <c r="R17" s="30">
        <f>SUMIFS(Reliability!$C:$C,Reliability!$B:$B,$B17,Reliability!$H:$H,R$4,Reliability!$I:$I,$D$2)</f>
        <v>0</v>
      </c>
      <c r="S17" s="30">
        <f>SUMIFS(Reliability!$C:$C,Reliability!$B:$B,$B17,Reliability!$H:$H,S$4,Reliability!$I:$I,$D$2)</f>
        <v>0</v>
      </c>
      <c r="T17" s="30"/>
      <c r="U17" s="30">
        <f>SUMIFS(Reliability!$C:$C,Reliability!$B:$B,$B17,Reliability!$H:$H,U$4,Reliability!$I:$I,$D$2)</f>
        <v>0</v>
      </c>
      <c r="V17" s="30">
        <f>SUMIFS(Reliability!$C:$C,Reliability!$B:$B,$B17,Reliability!$H:$H,V$4,Reliability!$I:$I,$D$2)</f>
        <v>0</v>
      </c>
      <c r="W17" s="30">
        <f>SUMIFS(Reliability!$C:$C,Reliability!$B:$B,$B17,Reliability!$H:$H,W$4,Reliability!$I:$I,$D$2)</f>
        <v>0</v>
      </c>
      <c r="X17" s="30">
        <f>SUMIFS(Reliability!$C:$C,Reliability!$B:$B,$B17,Reliability!$H:$H,X$4,Reliability!$I:$I,$D$2)</f>
        <v>0</v>
      </c>
      <c r="Y17" s="30">
        <f>SUMIFS(Reliability!$C:$C,Reliability!$B:$B,$B17,Reliability!$H:$H,Y$4,Reliability!$I:$I,$D$2)</f>
        <v>0</v>
      </c>
      <c r="Z17" s="30">
        <f>SUMIFS(Reliability!$C:$C,Reliability!$B:$B,$B17,Reliability!$H:$H,Z$4,Reliability!$I:$I,$D$2)</f>
        <v>0</v>
      </c>
      <c r="AA17" s="30">
        <f>SUMIFS(Reliability!$C:$C,Reliability!$B:$B,$B17,Reliability!$H:$H,AA$4,Reliability!$I:$I,$D$2)</f>
        <v>0</v>
      </c>
      <c r="AB17" s="30">
        <f>SUMIFS(Reliability!$C:$C,Reliability!$B:$B,$B17,Reliability!$H:$H,AB$4,Reliability!$I:$I,$D$2)</f>
        <v>0</v>
      </c>
      <c r="AC17" s="30">
        <f>SUMIFS(Reliability!$C:$C,Reliability!$B:$B,$B17,Reliability!$H:$H,AC$4,Reliability!$I:$I,$D$2)</f>
        <v>0</v>
      </c>
      <c r="AD17" s="30">
        <f>SUMIFS(Reliability!$C:$C,Reliability!$B:$B,$B17,Reliability!$H:$H,AD$4,Reliability!$I:$I,$D$2)</f>
        <v>0</v>
      </c>
      <c r="AE17" s="30">
        <f>SUMIFS(Reliability!$C:$C,Reliability!$B:$B,$B17,Reliability!$H:$H,AE$4,Reliability!$I:$I,$D$2)</f>
        <v>0</v>
      </c>
      <c r="AF17" s="30">
        <f>SUMIFS(Reliability!$C:$C,Reliability!$B:$B,$B17,Reliability!$H:$H,AF$4,Reliability!$I:$I,$D$2)</f>
        <v>0</v>
      </c>
      <c r="AG17" s="30">
        <f>SUMIFS(Reliability!$C:$C,Reliability!$B:$B,$B17,Reliability!$H:$H,AG$4,Reliability!$I:$I,$D$2)</f>
        <v>0</v>
      </c>
      <c r="AH17" s="30">
        <f>SUMIFS(Reliability!$C:$C,Reliability!$B:$B,$B17,Reliability!$H:$H,AH$4,Reliability!$I:$I,$D$2)</f>
        <v>0</v>
      </c>
      <c r="AI17" s="30">
        <f>SUMIFS(Reliability!$C:$C,Reliability!$B:$B,$B17,Reliability!$H:$H,AI$4,Reliability!$I:$I,$D$2)</f>
        <v>0</v>
      </c>
      <c r="AJ17" s="30">
        <f>SUMIFS(Reliability!$C:$C,Reliability!$B:$B,$B17,Reliability!$H:$H,AJ$4,Reliability!$I:$I,$D$2)</f>
        <v>0</v>
      </c>
      <c r="AK17" s="30">
        <v>370000.0</v>
      </c>
      <c r="AL17" s="31">
        <f t="array" ref="AL17">XLOOKUP(B17,Ref!$AQ:$AQ,Ref!$AR:$AR)</f>
        <v>424742</v>
      </c>
      <c r="AM17" s="30">
        <f>SUMIFS(GM_Wise_Raw_Landing!$C:$C,GM_Wise_Raw_Landing!$A:$A,$B17,GM_Wise_Raw_Landing!$D:$D,$AM$3,GM_Wise_Raw_Landing!$E:$E,$AL$3)</f>
        <v>0</v>
      </c>
      <c r="AN17" s="30"/>
      <c r="AO17" s="31"/>
      <c r="AP17" s="30"/>
      <c r="AQ17" s="59"/>
      <c r="AR17" s="33"/>
      <c r="AS17" s="30"/>
      <c r="AT17" s="39"/>
    </row>
    <row r="18">
      <c r="B18" s="57" t="s">
        <v>27</v>
      </c>
      <c r="C18" s="22"/>
      <c r="D18" s="48"/>
      <c r="E18" s="30">
        <f>SUMIFS(Reliability!$C:$C,Reliability!$B:$B,$B18,Reliability!$H:$H,E$4,Reliability!$I:$I,$D$2)</f>
        <v>0</v>
      </c>
      <c r="F18" s="30">
        <f>SUMIFS(Reliability!$C:$C,Reliability!$B:$B,$B18,Reliability!$H:$H,F$4,Reliability!$I:$I,$D$2)</f>
        <v>0</v>
      </c>
      <c r="G18" s="30">
        <f>SUMIFS(Reliability!$C:$C,Reliability!$B:$B,$B18,Reliability!$H:$H,G$4,Reliability!$I:$I,$D$2)</f>
        <v>0</v>
      </c>
      <c r="H18" s="30">
        <f>SUMIFS(Reliability!$C:$C,Reliability!$B:$B,$B18,Reliability!$H:$H,H$4,Reliability!$I:$I,$D$2)</f>
        <v>0</v>
      </c>
      <c r="I18" s="30">
        <f>SUMIFS(Reliability!$C:$C,Reliability!$B:$B,$B18,Reliability!$H:$H,I$4,Reliability!$I:$I,$D$2)</f>
        <v>0</v>
      </c>
      <c r="J18" s="30">
        <f>SUMIFS(Reliability!$C:$C,Reliability!$B:$B,$B18,Reliability!$H:$H,J$4,Reliability!$I:$I,$D$2)</f>
        <v>0</v>
      </c>
      <c r="K18" s="30">
        <f>SUMIFS(Reliability!$C:$C,Reliability!$B:$B,$B18,Reliability!$H:$H,K$4,Reliability!$I:$I,$D$2)</f>
        <v>0</v>
      </c>
      <c r="L18" s="30">
        <f>SUMIFS(Reliability!$C:$C,Reliability!$B:$B,$B18,Reliability!$H:$H,L$4,Reliability!$I:$I,$D$2)</f>
        <v>0</v>
      </c>
      <c r="M18" s="30">
        <f>SUMIFS(Reliability!$C:$C,Reliability!$B:$B,$B18,Reliability!$H:$H,M$4,Reliability!$I:$I,$D$2)</f>
        <v>0</v>
      </c>
      <c r="N18" s="30">
        <f>SUMIFS(Reliability!$C:$C,Reliability!$B:$B,$B18,Reliability!$H:$H,N$4,Reliability!$I:$I,$D$2)</f>
        <v>0</v>
      </c>
      <c r="O18" s="30">
        <f>SUMIFS(Reliability!$C:$C,Reliability!$B:$B,$B18,Reliability!$H:$H,O$4,Reliability!$I:$I,$D$2)</f>
        <v>0</v>
      </c>
      <c r="P18" s="30">
        <f>SUMIFS(Reliability!$C:$C,Reliability!$B:$B,$B18,Reliability!$H:$H,P$4,Reliability!$I:$I,$D$2)</f>
        <v>0</v>
      </c>
      <c r="Q18" s="30">
        <f>SUMIFS(Reliability!$C:$C,Reliability!$B:$B,$B18,Reliability!$H:$H,Q$4,Reliability!$I:$I,$D$2)</f>
        <v>0</v>
      </c>
      <c r="R18" s="30">
        <f>SUMIFS(Reliability!$C:$C,Reliability!$B:$B,$B18,Reliability!$H:$H,R$4,Reliability!$I:$I,$D$2)</f>
        <v>0</v>
      </c>
      <c r="S18" s="30">
        <f>SUMIFS(Reliability!$C:$C,Reliability!$B:$B,$B18,Reliability!$H:$H,S$4,Reliability!$I:$I,$D$2)</f>
        <v>0</v>
      </c>
      <c r="T18" s="30"/>
      <c r="U18" s="30">
        <f>SUMIFS(Reliability!$C:$C,Reliability!$B:$B,$B18,Reliability!$H:$H,U$4,Reliability!$I:$I,$D$2)</f>
        <v>0</v>
      </c>
      <c r="V18" s="30">
        <f>SUMIFS(Reliability!$C:$C,Reliability!$B:$B,$B18,Reliability!$H:$H,V$4,Reliability!$I:$I,$D$2)</f>
        <v>0</v>
      </c>
      <c r="W18" s="30">
        <f>SUMIFS(Reliability!$C:$C,Reliability!$B:$B,$B18,Reliability!$H:$H,W$4,Reliability!$I:$I,$D$2)</f>
        <v>0</v>
      </c>
      <c r="X18" s="30">
        <f>SUMIFS(Reliability!$C:$C,Reliability!$B:$B,$B18,Reliability!$H:$H,X$4,Reliability!$I:$I,$D$2)</f>
        <v>0</v>
      </c>
      <c r="Y18" s="30">
        <f>SUMIFS(Reliability!$C:$C,Reliability!$B:$B,$B18,Reliability!$H:$H,Y$4,Reliability!$I:$I,$D$2)</f>
        <v>0</v>
      </c>
      <c r="Z18" s="30">
        <f>SUMIFS(Reliability!$C:$C,Reliability!$B:$B,$B18,Reliability!$H:$H,Z$4,Reliability!$I:$I,$D$2)</f>
        <v>0</v>
      </c>
      <c r="AA18" s="30">
        <f>SUMIFS(Reliability!$C:$C,Reliability!$B:$B,$B18,Reliability!$H:$H,AA$4,Reliability!$I:$I,$D$2)</f>
        <v>0</v>
      </c>
      <c r="AB18" s="30">
        <f>SUMIFS(Reliability!$C:$C,Reliability!$B:$B,$B18,Reliability!$H:$H,AB$4,Reliability!$I:$I,$D$2)</f>
        <v>0</v>
      </c>
      <c r="AC18" s="30">
        <f>SUMIFS(Reliability!$C:$C,Reliability!$B:$B,$B18,Reliability!$H:$H,AC$4,Reliability!$I:$I,$D$2)</f>
        <v>0</v>
      </c>
      <c r="AD18" s="30">
        <f>SUMIFS(Reliability!$C:$C,Reliability!$B:$B,$B18,Reliability!$H:$H,AD$4,Reliability!$I:$I,$D$2)</f>
        <v>0</v>
      </c>
      <c r="AE18" s="30">
        <f>SUMIFS(Reliability!$C:$C,Reliability!$B:$B,$B18,Reliability!$H:$H,AE$4,Reliability!$I:$I,$D$2)</f>
        <v>0</v>
      </c>
      <c r="AF18" s="30">
        <f>SUMIFS(Reliability!$C:$C,Reliability!$B:$B,$B18,Reliability!$H:$H,AF$4,Reliability!$I:$I,$D$2)</f>
        <v>0</v>
      </c>
      <c r="AG18" s="30">
        <f>SUMIFS(Reliability!$C:$C,Reliability!$B:$B,$B18,Reliability!$H:$H,AG$4,Reliability!$I:$I,$D$2)</f>
        <v>0</v>
      </c>
      <c r="AH18" s="30">
        <f>SUMIFS(Reliability!$C:$C,Reliability!$B:$B,$B18,Reliability!$H:$H,AH$4,Reliability!$I:$I,$D$2)</f>
        <v>0</v>
      </c>
      <c r="AI18" s="30">
        <f>SUMIFS(Reliability!$C:$C,Reliability!$B:$B,$B18,Reliability!$H:$H,AI$4,Reliability!$I:$I,$D$2)</f>
        <v>0</v>
      </c>
      <c r="AJ18" s="30">
        <f>SUMIFS(Reliability!$C:$C,Reliability!$B:$B,$B18,Reliability!$H:$H,AJ$4,Reliability!$I:$I,$D$2)</f>
        <v>0</v>
      </c>
      <c r="AK18" s="30">
        <v>285000.0</v>
      </c>
      <c r="AL18" s="31">
        <f t="array" ref="AL18">XLOOKUP(B18,Ref!$AQ:$AQ,Ref!$AR:$AR)</f>
        <v>330607</v>
      </c>
      <c r="AM18" s="30">
        <f>SUMIFS(GM_Wise_Raw_Landing!$C:$C,GM_Wise_Raw_Landing!$A:$A,$B18,GM_Wise_Raw_Landing!$D:$D,$AM$3,GM_Wise_Raw_Landing!$E:$E,$AL$3)</f>
        <v>0</v>
      </c>
      <c r="AN18" s="30"/>
      <c r="AO18" s="31"/>
      <c r="AP18" s="30"/>
      <c r="AQ18" s="60"/>
      <c r="AR18" s="33"/>
      <c r="AS18" s="30"/>
      <c r="AT18" s="39"/>
    </row>
    <row r="19">
      <c r="B19" s="57" t="s">
        <v>28</v>
      </c>
      <c r="C19" s="22"/>
      <c r="D19" s="61"/>
      <c r="E19" s="61">
        <f t="shared" ref="E19:S19" si="11">SUM(E15:E18)</f>
        <v>0</v>
      </c>
      <c r="F19" s="61">
        <f t="shared" si="11"/>
        <v>0</v>
      </c>
      <c r="G19" s="61">
        <f t="shared" si="11"/>
        <v>0</v>
      </c>
      <c r="H19" s="61">
        <f t="shared" si="11"/>
        <v>0</v>
      </c>
      <c r="I19" s="61">
        <f t="shared" si="11"/>
        <v>0</v>
      </c>
      <c r="J19" s="61">
        <f t="shared" si="11"/>
        <v>0</v>
      </c>
      <c r="K19" s="61">
        <f t="shared" si="11"/>
        <v>0</v>
      </c>
      <c r="L19" s="61">
        <f t="shared" si="11"/>
        <v>0</v>
      </c>
      <c r="M19" s="61">
        <f t="shared" si="11"/>
        <v>0</v>
      </c>
      <c r="N19" s="61">
        <f t="shared" si="11"/>
        <v>0</v>
      </c>
      <c r="O19" s="61">
        <f t="shared" si="11"/>
        <v>0</v>
      </c>
      <c r="P19" s="61">
        <f t="shared" si="11"/>
        <v>0</v>
      </c>
      <c r="Q19" s="61">
        <f t="shared" si="11"/>
        <v>0</v>
      </c>
      <c r="R19" s="61">
        <f t="shared" si="11"/>
        <v>0</v>
      </c>
      <c r="S19" s="61">
        <f t="shared" si="11"/>
        <v>0</v>
      </c>
      <c r="T19" s="61"/>
      <c r="U19" s="61">
        <f t="shared" ref="U19:AJ19" si="12">SUM(U15:U18)</f>
        <v>0</v>
      </c>
      <c r="V19" s="61">
        <f t="shared" si="12"/>
        <v>0</v>
      </c>
      <c r="W19" s="61">
        <f t="shared" si="12"/>
        <v>0</v>
      </c>
      <c r="X19" s="61">
        <f t="shared" si="12"/>
        <v>0</v>
      </c>
      <c r="Y19" s="61">
        <f t="shared" si="12"/>
        <v>0</v>
      </c>
      <c r="Z19" s="61">
        <f t="shared" si="12"/>
        <v>0</v>
      </c>
      <c r="AA19" s="61">
        <f t="shared" si="12"/>
        <v>0</v>
      </c>
      <c r="AB19" s="61">
        <f t="shared" si="12"/>
        <v>0</v>
      </c>
      <c r="AC19" s="61">
        <f t="shared" si="12"/>
        <v>0</v>
      </c>
      <c r="AD19" s="61">
        <f t="shared" si="12"/>
        <v>0</v>
      </c>
      <c r="AE19" s="61">
        <f t="shared" si="12"/>
        <v>0</v>
      </c>
      <c r="AF19" s="61">
        <f t="shared" si="12"/>
        <v>0</v>
      </c>
      <c r="AG19" s="61">
        <f t="shared" si="12"/>
        <v>0</v>
      </c>
      <c r="AH19" s="61">
        <f t="shared" si="12"/>
        <v>0</v>
      </c>
      <c r="AI19" s="61">
        <f t="shared" si="12"/>
        <v>0</v>
      </c>
      <c r="AJ19" s="61">
        <f t="shared" si="12"/>
        <v>0</v>
      </c>
      <c r="AK19" s="62">
        <v>1480000.0</v>
      </c>
      <c r="AL19" s="63">
        <f t="shared" ref="AL19:AM19" si="13">SUM(AL15:AL18)</f>
        <v>1722650</v>
      </c>
      <c r="AM19" s="61">
        <f t="shared" si="13"/>
        <v>0</v>
      </c>
      <c r="AN19" s="61"/>
      <c r="AO19" s="64"/>
      <c r="AP19" s="62"/>
      <c r="AQ19" s="65"/>
      <c r="AR19" s="66"/>
      <c r="AS19" s="62"/>
      <c r="AT19" s="27"/>
    </row>
    <row r="20">
      <c r="B20" s="67" t="s">
        <v>29</v>
      </c>
      <c r="C20" s="22"/>
      <c r="D20" s="30"/>
      <c r="E20" s="30">
        <f>SUMIFS(Reliability!$C:$C,Reliability!$B:$B,$B20,Reliability!$H:$H,E$4,Reliability!$I:$I,$D$2)</f>
        <v>0</v>
      </c>
      <c r="F20" s="30">
        <f>SUMIFS(Reliability!$C:$C,Reliability!$B:$B,$B20,Reliability!$H:$H,F$4,Reliability!$I:$I,$D$2)</f>
        <v>0</v>
      </c>
      <c r="G20" s="30">
        <f>SUMIFS(Reliability!$C:$C,Reliability!$B:$B,$B20,Reliability!$H:$H,G$4,Reliability!$I:$I,$D$2)</f>
        <v>0</v>
      </c>
      <c r="H20" s="30">
        <f>SUMIFS(Reliability!$C:$C,Reliability!$B:$B,$B20,Reliability!$H:$H,H$4,Reliability!$I:$I,$D$2)</f>
        <v>0</v>
      </c>
      <c r="I20" s="30">
        <f>SUMIFS(Reliability!$C:$C,Reliability!$B:$B,$B20,Reliability!$H:$H,I$4,Reliability!$I:$I,$D$2)</f>
        <v>0</v>
      </c>
      <c r="J20" s="30">
        <f>SUMIFS(Reliability!$C:$C,Reliability!$B:$B,$B20,Reliability!$H:$H,J$4,Reliability!$I:$I,$D$2)</f>
        <v>0</v>
      </c>
      <c r="K20" s="30">
        <f>SUMIFS(Reliability!$C:$C,Reliability!$B:$B,$B20,Reliability!$H:$H,K$4,Reliability!$I:$I,$D$2)</f>
        <v>0</v>
      </c>
      <c r="L20" s="30">
        <f>SUMIFS(Reliability!$C:$C,Reliability!$B:$B,$B20,Reliability!$H:$H,L$4,Reliability!$I:$I,$D$2)</f>
        <v>0</v>
      </c>
      <c r="M20" s="30">
        <f>SUMIFS(Reliability!$C:$C,Reliability!$B:$B,$B20,Reliability!$H:$H,M$4,Reliability!$I:$I,$D$2)</f>
        <v>0</v>
      </c>
      <c r="N20" s="30">
        <f>SUMIFS(Reliability!$C:$C,Reliability!$B:$B,$B20,Reliability!$H:$H,N$4,Reliability!$I:$I,$D$2)</f>
        <v>0</v>
      </c>
      <c r="O20" s="30">
        <f>SUMIFS(Reliability!$C:$C,Reliability!$B:$B,$B20,Reliability!$H:$H,O$4,Reliability!$I:$I,$D$2)</f>
        <v>0</v>
      </c>
      <c r="P20" s="30">
        <f>SUMIFS(Reliability!$C:$C,Reliability!$B:$B,$B20,Reliability!$H:$H,P$4,Reliability!$I:$I,$D$2)</f>
        <v>0</v>
      </c>
      <c r="Q20" s="30">
        <f>SUMIFS(Reliability!$C:$C,Reliability!$B:$B,$B20,Reliability!$H:$H,Q$4,Reliability!$I:$I,$D$2)</f>
        <v>0</v>
      </c>
      <c r="R20" s="30">
        <f>SUMIFS(Reliability!$C:$C,Reliability!$B:$B,$B20,Reliability!$H:$H,R$4,Reliability!$I:$I,$D$2)</f>
        <v>0</v>
      </c>
      <c r="S20" s="30">
        <f>SUMIFS(Reliability!$C:$C,Reliability!$B:$B,$B20,Reliability!$H:$H,S$4,Reliability!$I:$I,$D$2)</f>
        <v>0</v>
      </c>
      <c r="T20" s="30"/>
      <c r="U20" s="30">
        <f>SUMIFS(Reliability!$C:$C,Reliability!$B:$B,$B20,Reliability!$H:$H,U$4,Reliability!$I:$I,$D$2)</f>
        <v>0</v>
      </c>
      <c r="V20" s="30">
        <f>SUMIFS(Reliability!$C:$C,Reliability!$B:$B,$B20,Reliability!$H:$H,V$4,Reliability!$I:$I,$D$2)</f>
        <v>0</v>
      </c>
      <c r="W20" s="30">
        <f>SUMIFS(Reliability!$C:$C,Reliability!$B:$B,$B20,Reliability!$H:$H,W$4,Reliability!$I:$I,$D$2)</f>
        <v>0</v>
      </c>
      <c r="X20" s="30">
        <f>SUMIFS(Reliability!$C:$C,Reliability!$B:$B,$B20,Reliability!$H:$H,X$4,Reliability!$I:$I,$D$2)</f>
        <v>0</v>
      </c>
      <c r="Y20" s="30">
        <f>SUMIFS(Reliability!$C:$C,Reliability!$B:$B,$B20,Reliability!$H:$H,Y$4,Reliability!$I:$I,$D$2)</f>
        <v>0</v>
      </c>
      <c r="Z20" s="30">
        <f>SUMIFS(Reliability!$C:$C,Reliability!$B:$B,$B20,Reliability!$H:$H,Z$4,Reliability!$I:$I,$D$2)</f>
        <v>0</v>
      </c>
      <c r="AA20" s="30">
        <f>SUMIFS(Reliability!$C:$C,Reliability!$B:$B,$B20,Reliability!$H:$H,AA$4,Reliability!$I:$I,$D$2)</f>
        <v>0</v>
      </c>
      <c r="AB20" s="30">
        <f>SUMIFS(Reliability!$C:$C,Reliability!$B:$B,$B20,Reliability!$H:$H,AB$4,Reliability!$I:$I,$D$2)</f>
        <v>0</v>
      </c>
      <c r="AC20" s="30">
        <f>SUMIFS(Reliability!$C:$C,Reliability!$B:$B,$B20,Reliability!$H:$H,AC$4,Reliability!$I:$I,$D$2)</f>
        <v>0</v>
      </c>
      <c r="AD20" s="30">
        <f>SUMIFS(Reliability!$C:$C,Reliability!$B:$B,$B20,Reliability!$H:$H,AD$4,Reliability!$I:$I,$D$2)</f>
        <v>0</v>
      </c>
      <c r="AE20" s="30">
        <f>SUMIFS(Reliability!$C:$C,Reliability!$B:$B,$B20,Reliability!$H:$H,AE$4,Reliability!$I:$I,$D$2)</f>
        <v>0</v>
      </c>
      <c r="AF20" s="30">
        <f>SUMIFS(Reliability!$C:$C,Reliability!$B:$B,$B20,Reliability!$H:$H,AF$4,Reliability!$I:$I,$D$2)</f>
        <v>0</v>
      </c>
      <c r="AG20" s="30">
        <f>SUMIFS(Reliability!$C:$C,Reliability!$B:$B,$B20,Reliability!$H:$H,AG$4,Reliability!$I:$I,$D$2)</f>
        <v>0</v>
      </c>
      <c r="AH20" s="30">
        <f>SUMIFS(Reliability!$C:$C,Reliability!$B:$B,$B20,Reliability!$H:$H,AH$4,Reliability!$I:$I,$D$2)</f>
        <v>0</v>
      </c>
      <c r="AI20" s="30">
        <f>SUMIFS(Reliability!$C:$C,Reliability!$B:$B,$B20,Reliability!$H:$H,AI$4,Reliability!$I:$I,$D$2)</f>
        <v>0</v>
      </c>
      <c r="AJ20" s="30">
        <f>SUMIFS(Reliability!$C:$C,Reliability!$B:$B,$B20,Reliability!$H:$H,AJ$4,Reliability!$I:$I,$D$2)</f>
        <v>0</v>
      </c>
      <c r="AK20" s="30">
        <v>500000.0</v>
      </c>
      <c r="AL20" s="31">
        <f t="array" ref="AL20">XLOOKUP(B20,Ref!$AQ:$AQ,Ref!$AR:$AR)</f>
        <v>615319</v>
      </c>
      <c r="AM20" s="30">
        <f>SUMIFS(GM_Wise_Raw_Landing!$C:$C,GM_Wise_Raw_Landing!$A:$A,$B20,GM_Wise_Raw_Landing!$D:$D,$AM$3,GM_Wise_Raw_Landing!$E:$E,$AL$3)</f>
        <v>0</v>
      </c>
      <c r="AN20" s="30"/>
      <c r="AO20" s="31"/>
      <c r="AP20" s="30"/>
      <c r="AQ20" s="68"/>
      <c r="AR20" s="33"/>
      <c r="AS20" s="30"/>
      <c r="AT20" s="39"/>
    </row>
    <row r="21">
      <c r="B21" s="67" t="s">
        <v>30</v>
      </c>
      <c r="C21" s="22"/>
      <c r="D21" s="30"/>
      <c r="E21" s="30">
        <f>SUMIFS(Reliability!$C:$C,Reliability!$B:$B,$B21,Reliability!$H:$H,E$4,Reliability!$I:$I,$D$2)</f>
        <v>0</v>
      </c>
      <c r="F21" s="30">
        <f>SUMIFS(Reliability!$C:$C,Reliability!$B:$B,$B21,Reliability!$H:$H,F$4,Reliability!$I:$I,$D$2)</f>
        <v>0</v>
      </c>
      <c r="G21" s="30">
        <f>SUMIFS(Reliability!$C:$C,Reliability!$B:$B,$B21,Reliability!$H:$H,G$4,Reliability!$I:$I,$D$2)</f>
        <v>0</v>
      </c>
      <c r="H21" s="30">
        <f>SUMIFS(Reliability!$C:$C,Reliability!$B:$B,$B21,Reliability!$H:$H,H$4,Reliability!$I:$I,$D$2)</f>
        <v>0</v>
      </c>
      <c r="I21" s="30">
        <f>SUMIFS(Reliability!$C:$C,Reliability!$B:$B,$B21,Reliability!$H:$H,I$4,Reliability!$I:$I,$D$2)</f>
        <v>0</v>
      </c>
      <c r="J21" s="30">
        <f>SUMIFS(Reliability!$C:$C,Reliability!$B:$B,$B21,Reliability!$H:$H,J$4,Reliability!$I:$I,$D$2)</f>
        <v>0</v>
      </c>
      <c r="K21" s="30">
        <f>SUMIFS(Reliability!$C:$C,Reliability!$B:$B,$B21,Reliability!$H:$H,K$4,Reliability!$I:$I,$D$2)</f>
        <v>0</v>
      </c>
      <c r="L21" s="30">
        <f>SUMIFS(Reliability!$C:$C,Reliability!$B:$B,$B21,Reliability!$H:$H,L$4,Reliability!$I:$I,$D$2)</f>
        <v>0</v>
      </c>
      <c r="M21" s="30">
        <f>SUMIFS(Reliability!$C:$C,Reliability!$B:$B,$B21,Reliability!$H:$H,M$4,Reliability!$I:$I,$D$2)</f>
        <v>0</v>
      </c>
      <c r="N21" s="30">
        <f>SUMIFS(Reliability!$C:$C,Reliability!$B:$B,$B21,Reliability!$H:$H,N$4,Reliability!$I:$I,$D$2)</f>
        <v>0</v>
      </c>
      <c r="O21" s="30">
        <f>SUMIFS(Reliability!$C:$C,Reliability!$B:$B,$B21,Reliability!$H:$H,O$4,Reliability!$I:$I,$D$2)</f>
        <v>0</v>
      </c>
      <c r="P21" s="30">
        <f>SUMIFS(Reliability!$C:$C,Reliability!$B:$B,$B21,Reliability!$H:$H,P$4,Reliability!$I:$I,$D$2)</f>
        <v>0</v>
      </c>
      <c r="Q21" s="30">
        <f>SUMIFS(Reliability!$C:$C,Reliability!$B:$B,$B21,Reliability!$H:$H,Q$4,Reliability!$I:$I,$D$2)</f>
        <v>0</v>
      </c>
      <c r="R21" s="30">
        <f>SUMIFS(Reliability!$C:$C,Reliability!$B:$B,$B21,Reliability!$H:$H,R$4,Reliability!$I:$I,$D$2)</f>
        <v>0</v>
      </c>
      <c r="S21" s="30">
        <f>SUMIFS(Reliability!$C:$C,Reliability!$B:$B,$B21,Reliability!$H:$H,S$4,Reliability!$I:$I,$D$2)</f>
        <v>0</v>
      </c>
      <c r="T21" s="30"/>
      <c r="U21" s="30">
        <f>SUMIFS(Reliability!$C:$C,Reliability!$B:$B,$B21,Reliability!$H:$H,U$4,Reliability!$I:$I,$D$2)</f>
        <v>0</v>
      </c>
      <c r="V21" s="30">
        <f>SUMIFS(Reliability!$C:$C,Reliability!$B:$B,$B21,Reliability!$H:$H,V$4,Reliability!$I:$I,$D$2)</f>
        <v>0</v>
      </c>
      <c r="W21" s="30">
        <f>SUMIFS(Reliability!$C:$C,Reliability!$B:$B,$B21,Reliability!$H:$H,W$4,Reliability!$I:$I,$D$2)</f>
        <v>0</v>
      </c>
      <c r="X21" s="30">
        <f>SUMIFS(Reliability!$C:$C,Reliability!$B:$B,$B21,Reliability!$H:$H,X$4,Reliability!$I:$I,$D$2)</f>
        <v>0</v>
      </c>
      <c r="Y21" s="30">
        <f>SUMIFS(Reliability!$C:$C,Reliability!$B:$B,$B21,Reliability!$H:$H,Y$4,Reliability!$I:$I,$D$2)</f>
        <v>0</v>
      </c>
      <c r="Z21" s="30">
        <f>SUMIFS(Reliability!$C:$C,Reliability!$B:$B,$B21,Reliability!$H:$H,Z$4,Reliability!$I:$I,$D$2)</f>
        <v>0</v>
      </c>
      <c r="AA21" s="30">
        <f>SUMIFS(Reliability!$C:$C,Reliability!$B:$B,$B21,Reliability!$H:$H,AA$4,Reliability!$I:$I,$D$2)</f>
        <v>0</v>
      </c>
      <c r="AB21" s="30">
        <f>SUMIFS(Reliability!$C:$C,Reliability!$B:$B,$B21,Reliability!$H:$H,AB$4,Reliability!$I:$I,$D$2)</f>
        <v>0</v>
      </c>
      <c r="AC21" s="30">
        <f>SUMIFS(Reliability!$C:$C,Reliability!$B:$B,$B21,Reliability!$H:$H,AC$4,Reliability!$I:$I,$D$2)</f>
        <v>0</v>
      </c>
      <c r="AD21" s="30">
        <f>SUMIFS(Reliability!$C:$C,Reliability!$B:$B,$B21,Reliability!$H:$H,AD$4,Reliability!$I:$I,$D$2)</f>
        <v>0</v>
      </c>
      <c r="AE21" s="30">
        <f>SUMIFS(Reliability!$C:$C,Reliability!$B:$B,$B21,Reliability!$H:$H,AE$4,Reliability!$I:$I,$D$2)</f>
        <v>0</v>
      </c>
      <c r="AF21" s="30">
        <f>SUMIFS(Reliability!$C:$C,Reliability!$B:$B,$B21,Reliability!$H:$H,AF$4,Reliability!$I:$I,$D$2)</f>
        <v>0</v>
      </c>
      <c r="AG21" s="30">
        <f>SUMIFS(Reliability!$C:$C,Reliability!$B:$B,$B21,Reliability!$H:$H,AG$4,Reliability!$I:$I,$D$2)</f>
        <v>0</v>
      </c>
      <c r="AH21" s="30">
        <f>SUMIFS(Reliability!$C:$C,Reliability!$B:$B,$B21,Reliability!$H:$H,AH$4,Reliability!$I:$I,$D$2)</f>
        <v>0</v>
      </c>
      <c r="AI21" s="30">
        <f>SUMIFS(Reliability!$C:$C,Reliability!$B:$B,$B21,Reliability!$H:$H,AI$4,Reliability!$I:$I,$D$2)</f>
        <v>0</v>
      </c>
      <c r="AJ21" s="30">
        <f>SUMIFS(Reliability!$C:$C,Reliability!$B:$B,$B21,Reliability!$H:$H,AJ$4,Reliability!$I:$I,$D$2)</f>
        <v>0</v>
      </c>
      <c r="AK21" s="30">
        <v>390000.0</v>
      </c>
      <c r="AL21" s="31">
        <f t="array" ref="AL21">XLOOKUP(B21,Ref!$AQ:$AQ,Ref!$AR:$AR)</f>
        <v>444310</v>
      </c>
      <c r="AM21" s="30">
        <f>SUMIFS(GM_Wise_Raw_Landing!$C:$C,GM_Wise_Raw_Landing!$A:$A,$B21,GM_Wise_Raw_Landing!$D:$D,$AM$3,GM_Wise_Raw_Landing!$E:$E,$AL$3)</f>
        <v>0</v>
      </c>
      <c r="AN21" s="30"/>
      <c r="AO21" s="31"/>
      <c r="AP21" s="30"/>
      <c r="AQ21" s="69"/>
      <c r="AR21" s="33"/>
      <c r="AS21" s="30"/>
      <c r="AT21" s="39"/>
    </row>
    <row r="22">
      <c r="B22" s="67" t="s">
        <v>31</v>
      </c>
      <c r="C22" s="22"/>
      <c r="D22" s="70"/>
      <c r="E22" s="70">
        <f t="shared" ref="E22:S22" si="14">SUM(E20:E21)</f>
        <v>0</v>
      </c>
      <c r="F22" s="70">
        <f t="shared" si="14"/>
        <v>0</v>
      </c>
      <c r="G22" s="70">
        <f t="shared" si="14"/>
        <v>0</v>
      </c>
      <c r="H22" s="70">
        <f t="shared" si="14"/>
        <v>0</v>
      </c>
      <c r="I22" s="70">
        <f t="shared" si="14"/>
        <v>0</v>
      </c>
      <c r="J22" s="70">
        <f t="shared" si="14"/>
        <v>0</v>
      </c>
      <c r="K22" s="70">
        <f t="shared" si="14"/>
        <v>0</v>
      </c>
      <c r="L22" s="70">
        <f t="shared" si="14"/>
        <v>0</v>
      </c>
      <c r="M22" s="70">
        <f t="shared" si="14"/>
        <v>0</v>
      </c>
      <c r="N22" s="70">
        <f t="shared" si="14"/>
        <v>0</v>
      </c>
      <c r="O22" s="70">
        <f t="shared" si="14"/>
        <v>0</v>
      </c>
      <c r="P22" s="70">
        <f t="shared" si="14"/>
        <v>0</v>
      </c>
      <c r="Q22" s="70">
        <f t="shared" si="14"/>
        <v>0</v>
      </c>
      <c r="R22" s="70">
        <f t="shared" si="14"/>
        <v>0</v>
      </c>
      <c r="S22" s="70">
        <f t="shared" si="14"/>
        <v>0</v>
      </c>
      <c r="T22" s="70"/>
      <c r="U22" s="70">
        <f t="shared" ref="U22:AJ22" si="15">SUM(U20:U21)</f>
        <v>0</v>
      </c>
      <c r="V22" s="70">
        <f t="shared" si="15"/>
        <v>0</v>
      </c>
      <c r="W22" s="70">
        <f t="shared" si="15"/>
        <v>0</v>
      </c>
      <c r="X22" s="70">
        <f t="shared" si="15"/>
        <v>0</v>
      </c>
      <c r="Y22" s="70">
        <f t="shared" si="15"/>
        <v>0</v>
      </c>
      <c r="Z22" s="70">
        <f t="shared" si="15"/>
        <v>0</v>
      </c>
      <c r="AA22" s="70">
        <f t="shared" si="15"/>
        <v>0</v>
      </c>
      <c r="AB22" s="70">
        <f t="shared" si="15"/>
        <v>0</v>
      </c>
      <c r="AC22" s="70">
        <f t="shared" si="15"/>
        <v>0</v>
      </c>
      <c r="AD22" s="70">
        <f t="shared" si="15"/>
        <v>0</v>
      </c>
      <c r="AE22" s="70">
        <f t="shared" si="15"/>
        <v>0</v>
      </c>
      <c r="AF22" s="70">
        <f t="shared" si="15"/>
        <v>0</v>
      </c>
      <c r="AG22" s="70">
        <f t="shared" si="15"/>
        <v>0</v>
      </c>
      <c r="AH22" s="70">
        <f t="shared" si="15"/>
        <v>0</v>
      </c>
      <c r="AI22" s="70">
        <f t="shared" si="15"/>
        <v>0</v>
      </c>
      <c r="AJ22" s="70">
        <f t="shared" si="15"/>
        <v>0</v>
      </c>
      <c r="AK22" s="71">
        <v>890000.0</v>
      </c>
      <c r="AL22" s="72">
        <f t="shared" ref="AL22:AM22" si="16">SUM(AL20:AL21)</f>
        <v>1059629</v>
      </c>
      <c r="AM22" s="70">
        <f t="shared" si="16"/>
        <v>0</v>
      </c>
      <c r="AN22" s="70"/>
      <c r="AO22" s="73"/>
      <c r="AP22" s="71"/>
      <c r="AQ22" s="74"/>
      <c r="AR22" s="75"/>
      <c r="AS22" s="71"/>
      <c r="AT22" s="76"/>
    </row>
    <row r="25">
      <c r="B25" s="77" t="s">
        <v>32</v>
      </c>
    </row>
    <row r="26">
      <c r="B26" s="78" t="s">
        <v>33</v>
      </c>
    </row>
    <row r="29">
      <c r="B29" s="1" t="s">
        <v>0</v>
      </c>
      <c r="C29" s="2"/>
      <c r="D29" s="1"/>
      <c r="E29" s="1">
        <f t="shared" ref="E29:S29" si="17">E49+E46+E41+E37</f>
        <v>0</v>
      </c>
      <c r="F29" s="1">
        <f t="shared" si="17"/>
        <v>0</v>
      </c>
      <c r="G29" s="1">
        <f t="shared" si="17"/>
        <v>0</v>
      </c>
      <c r="H29" s="1">
        <f t="shared" si="17"/>
        <v>0</v>
      </c>
      <c r="I29" s="1">
        <f t="shared" si="17"/>
        <v>0</v>
      </c>
      <c r="J29" s="1">
        <f t="shared" si="17"/>
        <v>0</v>
      </c>
      <c r="K29" s="1">
        <f t="shared" si="17"/>
        <v>0</v>
      </c>
      <c r="L29" s="1">
        <f t="shared" si="17"/>
        <v>0</v>
      </c>
      <c r="M29" s="1">
        <f t="shared" si="17"/>
        <v>0</v>
      </c>
      <c r="N29" s="1">
        <f t="shared" si="17"/>
        <v>0</v>
      </c>
      <c r="O29" s="1">
        <f t="shared" si="17"/>
        <v>0</v>
      </c>
      <c r="P29" s="1">
        <f t="shared" si="17"/>
        <v>0</v>
      </c>
      <c r="Q29" s="1">
        <f t="shared" si="17"/>
        <v>0</v>
      </c>
      <c r="R29" s="1">
        <f t="shared" si="17"/>
        <v>0</v>
      </c>
      <c r="S29" s="1">
        <f t="shared" si="17"/>
        <v>55167</v>
      </c>
      <c r="T29" s="1"/>
      <c r="U29" s="1">
        <f t="shared" ref="U29:AJ29" si="18">U49+U46+U41+U37</f>
        <v>0</v>
      </c>
      <c r="V29" s="1">
        <f t="shared" si="18"/>
        <v>54598</v>
      </c>
      <c r="W29" s="1">
        <f t="shared" si="18"/>
        <v>59020</v>
      </c>
      <c r="X29" s="1">
        <f t="shared" si="18"/>
        <v>63652</v>
      </c>
      <c r="Y29" s="1">
        <f t="shared" si="18"/>
        <v>0</v>
      </c>
      <c r="Z29" s="1">
        <f t="shared" si="18"/>
        <v>0</v>
      </c>
      <c r="AA29" s="1">
        <f t="shared" si="18"/>
        <v>0</v>
      </c>
      <c r="AB29" s="1">
        <f t="shared" si="18"/>
        <v>64175</v>
      </c>
      <c r="AC29" s="1">
        <f t="shared" si="18"/>
        <v>60129</v>
      </c>
      <c r="AD29" s="1">
        <f t="shared" si="18"/>
        <v>0</v>
      </c>
      <c r="AE29" s="1">
        <f t="shared" si="18"/>
        <v>0</v>
      </c>
      <c r="AF29" s="1">
        <f t="shared" si="18"/>
        <v>0</v>
      </c>
      <c r="AG29" s="1">
        <f t="shared" si="18"/>
        <v>0</v>
      </c>
      <c r="AH29" s="1">
        <f t="shared" si="18"/>
        <v>0</v>
      </c>
      <c r="AI29" s="1">
        <f t="shared" si="18"/>
        <v>0</v>
      </c>
      <c r="AJ29" s="1">
        <f t="shared" si="18"/>
        <v>0</v>
      </c>
    </row>
    <row r="30">
      <c r="B30" s="79" t="s">
        <v>34</v>
      </c>
      <c r="C30" s="79" t="s">
        <v>35</v>
      </c>
      <c r="D30" s="5">
        <v>10.0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</row>
    <row r="31">
      <c r="B31" s="6"/>
      <c r="C31" s="80">
        <v>26.0</v>
      </c>
      <c r="D31" s="80">
        <v>28.0</v>
      </c>
      <c r="E31" s="81">
        <v>1.0</v>
      </c>
      <c r="F31" s="81">
        <v>2.0</v>
      </c>
      <c r="G31" s="81">
        <v>3.0</v>
      </c>
      <c r="H31" s="81">
        <v>4.0</v>
      </c>
      <c r="I31" s="81">
        <v>5.0</v>
      </c>
      <c r="J31" s="81">
        <v>6.0</v>
      </c>
      <c r="K31" s="81">
        <v>7.0</v>
      </c>
      <c r="L31" s="81">
        <v>8.0</v>
      </c>
      <c r="M31" s="81">
        <v>9.0</v>
      </c>
      <c r="N31" s="81">
        <v>10.0</v>
      </c>
      <c r="O31" s="81">
        <v>11.0</v>
      </c>
      <c r="P31" s="81">
        <v>12.0</v>
      </c>
      <c r="Q31" s="81">
        <v>13.0</v>
      </c>
      <c r="R31" s="80">
        <v>14.0</v>
      </c>
    </row>
    <row r="32">
      <c r="B32" s="82" t="s">
        <v>4</v>
      </c>
      <c r="C32" s="6"/>
      <c r="D32" s="83" t="s">
        <v>36</v>
      </c>
      <c r="E32" s="84">
        <v>45870.0</v>
      </c>
      <c r="F32" s="84">
        <v>45871.0</v>
      </c>
      <c r="G32" s="84">
        <v>45872.0</v>
      </c>
      <c r="H32" s="84">
        <v>45873.0</v>
      </c>
      <c r="I32" s="84">
        <v>45874.0</v>
      </c>
      <c r="J32" s="84">
        <v>45875.0</v>
      </c>
      <c r="K32" s="84">
        <v>45876.0</v>
      </c>
      <c r="L32" s="84">
        <v>45877.0</v>
      </c>
      <c r="M32" s="84">
        <v>45878.0</v>
      </c>
      <c r="N32" s="84">
        <v>45879.0</v>
      </c>
      <c r="O32" s="84">
        <v>45880.0</v>
      </c>
      <c r="P32" s="84">
        <v>45881.0</v>
      </c>
      <c r="Q32" s="84">
        <v>45882.0</v>
      </c>
      <c r="R32" s="84">
        <v>45883.0</v>
      </c>
      <c r="S32" s="84">
        <v>45884.0</v>
      </c>
      <c r="T32" s="84"/>
      <c r="U32" s="84">
        <v>45885.0</v>
      </c>
      <c r="V32" s="84">
        <v>45886.0</v>
      </c>
      <c r="W32" s="84">
        <v>45887.0</v>
      </c>
      <c r="X32" s="84">
        <v>45888.0</v>
      </c>
      <c r="Y32" s="84">
        <v>45889.0</v>
      </c>
      <c r="Z32" s="84">
        <v>45890.0</v>
      </c>
      <c r="AA32" s="84">
        <v>45891.0</v>
      </c>
      <c r="AB32" s="84">
        <v>45892.0</v>
      </c>
      <c r="AC32" s="84">
        <v>45893.0</v>
      </c>
      <c r="AD32" s="84">
        <v>45894.0</v>
      </c>
      <c r="AE32" s="84">
        <v>45895.0</v>
      </c>
      <c r="AF32" s="84">
        <v>45896.0</v>
      </c>
      <c r="AG32" s="84">
        <v>45897.0</v>
      </c>
      <c r="AH32" s="84">
        <v>45898.0</v>
      </c>
      <c r="AI32" s="84">
        <v>45899.0</v>
      </c>
      <c r="AJ32" s="84">
        <v>45900.0</v>
      </c>
    </row>
    <row r="33">
      <c r="B33" s="85" t="s">
        <v>15</v>
      </c>
      <c r="C33" s="6"/>
      <c r="D33" s="86"/>
      <c r="E33" s="30">
        <f>SUMIFS(GM_Wise_Raw_Availability!$C:$C,GM_Wise_Raw_Availability!$B:$B,$B33,GM_Wise_Raw_Availability!$D:$D,E$32,GM_Wise_Raw_Availability!$E:$E,$D$30)</f>
        <v>0</v>
      </c>
      <c r="F33" s="30">
        <f>SUMIFS(GM_Wise_Raw_Availability!$C:$C,GM_Wise_Raw_Availability!$B:$B,$B33,GM_Wise_Raw_Availability!$D:$D,F$32,GM_Wise_Raw_Availability!$E:$E,$D$30)</f>
        <v>0</v>
      </c>
      <c r="G33" s="30">
        <f>SUMIFS(GM_Wise_Raw_Availability!$C:$C,GM_Wise_Raw_Availability!$B:$B,$B33,GM_Wise_Raw_Availability!$D:$D,G$32,GM_Wise_Raw_Availability!$E:$E,$D$30)</f>
        <v>0</v>
      </c>
      <c r="H33" s="30">
        <f>SUMIFS(GM_Wise_Raw_Availability!$C:$C,GM_Wise_Raw_Availability!$B:$B,$B33,GM_Wise_Raw_Availability!$D:$D,H$32,GM_Wise_Raw_Availability!$E:$E,$D$30)</f>
        <v>0</v>
      </c>
      <c r="I33" s="30">
        <f>SUMIFS(GM_Wise_Raw_Availability!$C:$C,GM_Wise_Raw_Availability!$B:$B,$B33,GM_Wise_Raw_Availability!$D:$D,I$32,GM_Wise_Raw_Availability!$E:$E,$D$30)</f>
        <v>0</v>
      </c>
      <c r="J33" s="30">
        <f>SUMIFS(GM_Wise_Raw_Availability!$C:$C,GM_Wise_Raw_Availability!$B:$B,$B33,GM_Wise_Raw_Availability!$D:$D,J$32,GM_Wise_Raw_Availability!$E:$E,$D$30)</f>
        <v>0</v>
      </c>
      <c r="K33" s="30">
        <f>SUMIFS(GM_Wise_Raw_Availability!$C:$C,GM_Wise_Raw_Availability!$B:$B,$B33,GM_Wise_Raw_Availability!$D:$D,K$32,GM_Wise_Raw_Availability!$E:$E,$D$30)</f>
        <v>0</v>
      </c>
      <c r="L33" s="30">
        <f>SUMIFS(GM_Wise_Raw_Availability!$C:$C,GM_Wise_Raw_Availability!$B:$B,$B33,GM_Wise_Raw_Availability!$D:$D,L$32,GM_Wise_Raw_Availability!$E:$E,$D$30)</f>
        <v>0</v>
      </c>
      <c r="M33" s="30">
        <f>SUMIFS(GM_Wise_Raw_Availability!$C:$C,GM_Wise_Raw_Availability!$B:$B,$B33,GM_Wise_Raw_Availability!$D:$D,M$32,GM_Wise_Raw_Availability!$E:$E,$D$30)</f>
        <v>0</v>
      </c>
      <c r="N33" s="30">
        <f>SUMIFS(GM_Wise_Raw_Availability!$C:$C,GM_Wise_Raw_Availability!$B:$B,$B33,GM_Wise_Raw_Availability!$D:$D,N$32,GM_Wise_Raw_Availability!$E:$E,$D$30)</f>
        <v>0</v>
      </c>
      <c r="O33" s="30">
        <f>SUMIFS(GM_Wise_Raw_Availability!$C:$C,GM_Wise_Raw_Availability!$B:$B,$B33,GM_Wise_Raw_Availability!$D:$D,O$32,GM_Wise_Raw_Availability!$E:$E,$D$30)</f>
        <v>0</v>
      </c>
      <c r="P33" s="30">
        <f>SUMIFS(GM_Wise_Raw_Availability!$C:$C,GM_Wise_Raw_Availability!$B:$B,$B33,GM_Wise_Raw_Availability!$D:$D,P$32,GM_Wise_Raw_Availability!$E:$E,$D$30)</f>
        <v>0</v>
      </c>
      <c r="Q33" s="30">
        <f>SUMIFS(GM_Wise_Raw_Availability!$C:$C,GM_Wise_Raw_Availability!$B:$B,$B33,GM_Wise_Raw_Availability!$D:$D,Q$32,GM_Wise_Raw_Availability!$E:$E,$D$30)</f>
        <v>0</v>
      </c>
      <c r="R33" s="30">
        <f>SUMIFS(GM_Wise_Raw_Availability!$C:$C,GM_Wise_Raw_Availability!$B:$B,$B33,GM_Wise_Raw_Availability!$D:$D,R$32,GM_Wise_Raw_Availability!$E:$E,$D$30)</f>
        <v>0</v>
      </c>
      <c r="S33" s="30">
        <f>SUMIFS(GM_Wise_Raw_Availability!$C:$C,GM_Wise_Raw_Availability!$B:$B,$B33,GM_Wise_Raw_Availability!$D:$D,S$32,GM_Wise_Raw_Availability!$E:$E,$D$30)</f>
        <v>2278</v>
      </c>
      <c r="T33" s="30"/>
      <c r="U33" s="30">
        <f>SUMIFS(GM_Wise_Raw_Availability!$C:$C,GM_Wise_Raw_Availability!$B:$B,$B33,GM_Wise_Raw_Availability!$D:$D,U$32,GM_Wise_Raw_Availability!$E:$E,$D$30)</f>
        <v>0</v>
      </c>
      <c r="V33" s="30">
        <f>SUMIFS(GM_Wise_Raw_Availability!$C:$C,GM_Wise_Raw_Availability!$B:$B,$B33,GM_Wise_Raw_Availability!$D:$D,V$32,GM_Wise_Raw_Availability!$E:$E,$D$30)</f>
        <v>2403</v>
      </c>
      <c r="W33" s="30">
        <f>SUMIFS(GM_Wise_Raw_Availability!$C:$C,GM_Wise_Raw_Availability!$B:$B,$B33,GM_Wise_Raw_Availability!$D:$D,W$32,GM_Wise_Raw_Availability!$E:$E,$D$30)</f>
        <v>2657</v>
      </c>
      <c r="X33" s="30">
        <f>SUMIFS(GM_Wise_Raw_Availability!$C:$C,GM_Wise_Raw_Availability!$B:$B,$B33,GM_Wise_Raw_Availability!$D:$D,X$32,GM_Wise_Raw_Availability!$E:$E,$D$30)</f>
        <v>2875</v>
      </c>
      <c r="Y33" s="30">
        <f>SUMIFS(GM_Wise_Raw_Availability!$C:$C,GM_Wise_Raw_Availability!$B:$B,$B33,GM_Wise_Raw_Availability!$D:$D,Y$32,GM_Wise_Raw_Availability!$E:$E,$D$30)</f>
        <v>0</v>
      </c>
      <c r="Z33" s="30">
        <f>SUMIFS(GM_Wise_Raw_Availability!$C:$C,GM_Wise_Raw_Availability!$B:$B,$B33,GM_Wise_Raw_Availability!$D:$D,Z$32,GM_Wise_Raw_Availability!$E:$E,$D$30)</f>
        <v>0</v>
      </c>
      <c r="AA33" s="30">
        <f>SUMIFS(GM_Wise_Raw_Availability!$C:$C,GM_Wise_Raw_Availability!$B:$B,$B33,GM_Wise_Raw_Availability!$D:$D,AA$32,GM_Wise_Raw_Availability!$E:$E,$D$30)</f>
        <v>0</v>
      </c>
      <c r="AB33" s="30">
        <f>SUMIFS(GM_Wise_Raw_Availability!$C:$C,GM_Wise_Raw_Availability!$B:$B,$B33,GM_Wise_Raw_Availability!$D:$D,AB$32,GM_Wise_Raw_Availability!$E:$E,$D$30)</f>
        <v>3046</v>
      </c>
      <c r="AC33" s="30">
        <f>SUMIFS(GM_Wise_Raw_Availability!$C:$C,GM_Wise_Raw_Availability!$B:$B,$B33,GM_Wise_Raw_Availability!$D:$D,AC$32,GM_Wise_Raw_Availability!$E:$E,$D$30)</f>
        <v>2849</v>
      </c>
      <c r="AD33" s="30">
        <f>SUMIFS(GM_Wise_Raw_Availability!$C:$C,GM_Wise_Raw_Availability!$B:$B,$B33,GM_Wise_Raw_Availability!$D:$D,AD$32,GM_Wise_Raw_Availability!$E:$E,$D$30)</f>
        <v>0</v>
      </c>
      <c r="AE33" s="30">
        <f>SUMIFS(GM_Wise_Raw_Availability!$C:$C,GM_Wise_Raw_Availability!$B:$B,$B33,GM_Wise_Raw_Availability!$D:$D,AE$32,GM_Wise_Raw_Availability!$E:$E,$D$30)</f>
        <v>0</v>
      </c>
      <c r="AF33" s="30">
        <f>SUMIFS(GM_Wise_Raw_Availability!$C:$C,GM_Wise_Raw_Availability!$B:$B,$B33,GM_Wise_Raw_Availability!$D:$D,AF$32,GM_Wise_Raw_Availability!$E:$E,$D$30)</f>
        <v>0</v>
      </c>
      <c r="AG33" s="30">
        <f>SUMIFS(GM_Wise_Raw_Availability!$C:$C,GM_Wise_Raw_Availability!$B:$B,$B33,GM_Wise_Raw_Availability!$D:$D,AG$32,GM_Wise_Raw_Availability!$E:$E,$D$30)</f>
        <v>0</v>
      </c>
      <c r="AH33" s="30">
        <f>SUMIFS(GM_Wise_Raw_Availability!$C:$C,GM_Wise_Raw_Availability!$B:$B,$B33,GM_Wise_Raw_Availability!$D:$D,AH$32,GM_Wise_Raw_Availability!$E:$E,$D$30)</f>
        <v>0</v>
      </c>
      <c r="AI33" s="30">
        <f>SUMIFS(GM_Wise_Raw_Availability!$C:$C,GM_Wise_Raw_Availability!$B:$B,$B33,GM_Wise_Raw_Availability!$D:$D,AI$32,GM_Wise_Raw_Availability!$E:$E,$D$30)</f>
        <v>0</v>
      </c>
      <c r="AJ33" s="30">
        <f>SUMIFS(GM_Wise_Raw_Availability!$C:$C,GM_Wise_Raw_Availability!$B:$B,$B33,GM_Wise_Raw_Availability!$D:$D,AJ$32,GM_Wise_Raw_Availability!$E:$E,$D$30)</f>
        <v>0</v>
      </c>
    </row>
    <row r="34">
      <c r="B34" s="85" t="s">
        <v>16</v>
      </c>
      <c r="C34" s="6"/>
      <c r="D34" s="87"/>
      <c r="E34" s="30">
        <f>SUMIFS(GM_Wise_Raw_Availability!$C:$C,GM_Wise_Raw_Availability!$B:$B,$B34,GM_Wise_Raw_Availability!$D:$D,E$32,GM_Wise_Raw_Availability!$E:$E,$D$30)</f>
        <v>0</v>
      </c>
      <c r="F34" s="30">
        <f>SUMIFS(GM_Wise_Raw_Availability!$C:$C,GM_Wise_Raw_Availability!$B:$B,$B34,GM_Wise_Raw_Availability!$D:$D,F$32,GM_Wise_Raw_Availability!$E:$E,$D$30)</f>
        <v>0</v>
      </c>
      <c r="G34" s="30">
        <f>SUMIFS(GM_Wise_Raw_Availability!$C:$C,GM_Wise_Raw_Availability!$B:$B,$B34,GM_Wise_Raw_Availability!$D:$D,G$32,GM_Wise_Raw_Availability!$E:$E,$D$30)</f>
        <v>0</v>
      </c>
      <c r="H34" s="30">
        <f>SUMIFS(GM_Wise_Raw_Availability!$C:$C,GM_Wise_Raw_Availability!$B:$B,$B34,GM_Wise_Raw_Availability!$D:$D,H$32,GM_Wise_Raw_Availability!$E:$E,$D$30)</f>
        <v>0</v>
      </c>
      <c r="I34" s="30">
        <f>SUMIFS(GM_Wise_Raw_Availability!$C:$C,GM_Wise_Raw_Availability!$B:$B,$B34,GM_Wise_Raw_Availability!$D:$D,I$32,GM_Wise_Raw_Availability!$E:$E,$D$30)</f>
        <v>0</v>
      </c>
      <c r="J34" s="30">
        <f>SUMIFS(GM_Wise_Raw_Availability!$C:$C,GM_Wise_Raw_Availability!$B:$B,$B34,GM_Wise_Raw_Availability!$D:$D,J$32,GM_Wise_Raw_Availability!$E:$E,$D$30)</f>
        <v>0</v>
      </c>
      <c r="K34" s="30">
        <f>SUMIFS(GM_Wise_Raw_Availability!$C:$C,GM_Wise_Raw_Availability!$B:$B,$B34,GM_Wise_Raw_Availability!$D:$D,K$32,GM_Wise_Raw_Availability!$E:$E,$D$30)</f>
        <v>0</v>
      </c>
      <c r="L34" s="30">
        <f>SUMIFS(GM_Wise_Raw_Availability!$C:$C,GM_Wise_Raw_Availability!$B:$B,$B34,GM_Wise_Raw_Availability!$D:$D,L$32,GM_Wise_Raw_Availability!$E:$E,$D$30)</f>
        <v>0</v>
      </c>
      <c r="M34" s="30">
        <f>SUMIFS(GM_Wise_Raw_Availability!$C:$C,GM_Wise_Raw_Availability!$B:$B,$B34,GM_Wise_Raw_Availability!$D:$D,M$32,GM_Wise_Raw_Availability!$E:$E,$D$30)</f>
        <v>0</v>
      </c>
      <c r="N34" s="30">
        <f>SUMIFS(GM_Wise_Raw_Availability!$C:$C,GM_Wise_Raw_Availability!$B:$B,$B34,GM_Wise_Raw_Availability!$D:$D,N$32,GM_Wise_Raw_Availability!$E:$E,$D$30)</f>
        <v>0</v>
      </c>
      <c r="O34" s="30">
        <f>SUMIFS(GM_Wise_Raw_Availability!$C:$C,GM_Wise_Raw_Availability!$B:$B,$B34,GM_Wise_Raw_Availability!$D:$D,O$32,GM_Wise_Raw_Availability!$E:$E,$D$30)</f>
        <v>0</v>
      </c>
      <c r="P34" s="30">
        <f>SUMIFS(GM_Wise_Raw_Availability!$C:$C,GM_Wise_Raw_Availability!$B:$B,$B34,GM_Wise_Raw_Availability!$D:$D,P$32,GM_Wise_Raw_Availability!$E:$E,$D$30)</f>
        <v>0</v>
      </c>
      <c r="Q34" s="30">
        <f>SUMIFS(GM_Wise_Raw_Availability!$C:$C,GM_Wise_Raw_Availability!$B:$B,$B34,GM_Wise_Raw_Availability!$D:$D,Q$32,GM_Wise_Raw_Availability!$E:$E,$D$30)</f>
        <v>0</v>
      </c>
      <c r="R34" s="30">
        <f>SUMIFS(GM_Wise_Raw_Availability!$C:$C,GM_Wise_Raw_Availability!$B:$B,$B34,GM_Wise_Raw_Availability!$D:$D,R$32,GM_Wise_Raw_Availability!$E:$E,$D$30)</f>
        <v>0</v>
      </c>
      <c r="S34" s="30">
        <f>SUMIFS(GM_Wise_Raw_Availability!$C:$C,GM_Wise_Raw_Availability!$B:$B,$B34,GM_Wise_Raw_Availability!$D:$D,S$32,GM_Wise_Raw_Availability!$E:$E,$D$30)</f>
        <v>5701</v>
      </c>
      <c r="T34" s="30"/>
      <c r="U34" s="30">
        <f>SUMIFS(GM_Wise_Raw_Availability!$C:$C,GM_Wise_Raw_Availability!$B:$B,$B34,GM_Wise_Raw_Availability!$D:$D,U$32,GM_Wise_Raw_Availability!$E:$E,$D$30)</f>
        <v>0</v>
      </c>
      <c r="V34" s="30">
        <f>SUMIFS(GM_Wise_Raw_Availability!$C:$C,GM_Wise_Raw_Availability!$B:$B,$B34,GM_Wise_Raw_Availability!$D:$D,V$32,GM_Wise_Raw_Availability!$E:$E,$D$30)</f>
        <v>6080</v>
      </c>
      <c r="W34" s="30">
        <f>SUMIFS(GM_Wise_Raw_Availability!$C:$C,GM_Wise_Raw_Availability!$B:$B,$B34,GM_Wise_Raw_Availability!$D:$D,W$32,GM_Wise_Raw_Availability!$E:$E,$D$30)</f>
        <v>6410</v>
      </c>
      <c r="X34" s="30">
        <f>SUMIFS(GM_Wise_Raw_Availability!$C:$C,GM_Wise_Raw_Availability!$B:$B,$B34,GM_Wise_Raw_Availability!$D:$D,X$32,GM_Wise_Raw_Availability!$E:$E,$D$30)</f>
        <v>6813</v>
      </c>
      <c r="Y34" s="30">
        <f>SUMIFS(GM_Wise_Raw_Availability!$C:$C,GM_Wise_Raw_Availability!$B:$B,$B34,GM_Wise_Raw_Availability!$D:$D,Y$32,GM_Wise_Raw_Availability!$E:$E,$D$30)</f>
        <v>0</v>
      </c>
      <c r="Z34" s="30">
        <f>SUMIFS(GM_Wise_Raw_Availability!$C:$C,GM_Wise_Raw_Availability!$B:$B,$B34,GM_Wise_Raw_Availability!$D:$D,Z$32,GM_Wise_Raw_Availability!$E:$E,$D$30)</f>
        <v>0</v>
      </c>
      <c r="AA34" s="30">
        <f>SUMIFS(GM_Wise_Raw_Availability!$C:$C,GM_Wise_Raw_Availability!$B:$B,$B34,GM_Wise_Raw_Availability!$D:$D,AA$32,GM_Wise_Raw_Availability!$E:$E,$D$30)</f>
        <v>0</v>
      </c>
      <c r="AB34" s="30">
        <f>SUMIFS(GM_Wise_Raw_Availability!$C:$C,GM_Wise_Raw_Availability!$B:$B,$B34,GM_Wise_Raw_Availability!$D:$D,AB$32,GM_Wise_Raw_Availability!$E:$E,$D$30)</f>
        <v>6835</v>
      </c>
      <c r="AC34" s="30">
        <f>SUMIFS(GM_Wise_Raw_Availability!$C:$C,GM_Wise_Raw_Availability!$B:$B,$B34,GM_Wise_Raw_Availability!$D:$D,AC$32,GM_Wise_Raw_Availability!$E:$E,$D$30)</f>
        <v>6848</v>
      </c>
      <c r="AD34" s="30">
        <f>SUMIFS(GM_Wise_Raw_Availability!$C:$C,GM_Wise_Raw_Availability!$B:$B,$B34,GM_Wise_Raw_Availability!$D:$D,AD$32,GM_Wise_Raw_Availability!$E:$E,$D$30)</f>
        <v>0</v>
      </c>
      <c r="AE34" s="30">
        <f>SUMIFS(GM_Wise_Raw_Availability!$C:$C,GM_Wise_Raw_Availability!$B:$B,$B34,GM_Wise_Raw_Availability!$D:$D,AE$32,GM_Wise_Raw_Availability!$E:$E,$D$30)</f>
        <v>0</v>
      </c>
      <c r="AF34" s="30">
        <f>SUMIFS(GM_Wise_Raw_Availability!$C:$C,GM_Wise_Raw_Availability!$B:$B,$B34,GM_Wise_Raw_Availability!$D:$D,AF$32,GM_Wise_Raw_Availability!$E:$E,$D$30)</f>
        <v>0</v>
      </c>
      <c r="AG34" s="30">
        <f>SUMIFS(GM_Wise_Raw_Availability!$C:$C,GM_Wise_Raw_Availability!$B:$B,$B34,GM_Wise_Raw_Availability!$D:$D,AG$32,GM_Wise_Raw_Availability!$E:$E,$D$30)</f>
        <v>0</v>
      </c>
      <c r="AH34" s="30">
        <f>SUMIFS(GM_Wise_Raw_Availability!$C:$C,GM_Wise_Raw_Availability!$B:$B,$B34,GM_Wise_Raw_Availability!$D:$D,AH$32,GM_Wise_Raw_Availability!$E:$E,$D$30)</f>
        <v>0</v>
      </c>
      <c r="AI34" s="30">
        <f>SUMIFS(GM_Wise_Raw_Availability!$C:$C,GM_Wise_Raw_Availability!$B:$B,$B34,GM_Wise_Raw_Availability!$D:$D,AI$32,GM_Wise_Raw_Availability!$E:$E,$D$30)</f>
        <v>0</v>
      </c>
      <c r="AJ34" s="30">
        <f>SUMIFS(GM_Wise_Raw_Availability!$C:$C,GM_Wise_Raw_Availability!$B:$B,$B34,GM_Wise_Raw_Availability!$D:$D,AJ$32,GM_Wise_Raw_Availability!$E:$E,$D$30)</f>
        <v>0</v>
      </c>
    </row>
    <row r="35">
      <c r="B35" s="85" t="s">
        <v>17</v>
      </c>
      <c r="C35" s="6"/>
      <c r="D35" s="88"/>
      <c r="E35" s="30">
        <f>SUMIFS(GM_Wise_Raw_Availability!$C:$C,GM_Wise_Raw_Availability!$B:$B,$B35,GM_Wise_Raw_Availability!$D:$D,E$32,GM_Wise_Raw_Availability!$E:$E,$D$30)</f>
        <v>0</v>
      </c>
      <c r="F35" s="30">
        <f>SUMIFS(GM_Wise_Raw_Availability!$C:$C,GM_Wise_Raw_Availability!$B:$B,$B35,GM_Wise_Raw_Availability!$D:$D,F$32,GM_Wise_Raw_Availability!$E:$E,$D$30)</f>
        <v>0</v>
      </c>
      <c r="G35" s="30">
        <f>SUMIFS(GM_Wise_Raw_Availability!$C:$C,GM_Wise_Raw_Availability!$B:$B,$B35,GM_Wise_Raw_Availability!$D:$D,G$32,GM_Wise_Raw_Availability!$E:$E,$D$30)</f>
        <v>0</v>
      </c>
      <c r="H35" s="30">
        <f>SUMIFS(GM_Wise_Raw_Availability!$C:$C,GM_Wise_Raw_Availability!$B:$B,$B35,GM_Wise_Raw_Availability!$D:$D,H$32,GM_Wise_Raw_Availability!$E:$E,$D$30)</f>
        <v>0</v>
      </c>
      <c r="I35" s="30">
        <f>SUMIFS(GM_Wise_Raw_Availability!$C:$C,GM_Wise_Raw_Availability!$B:$B,$B35,GM_Wise_Raw_Availability!$D:$D,I$32,GM_Wise_Raw_Availability!$E:$E,$D$30)</f>
        <v>0</v>
      </c>
      <c r="J35" s="30">
        <f>SUMIFS(GM_Wise_Raw_Availability!$C:$C,GM_Wise_Raw_Availability!$B:$B,$B35,GM_Wise_Raw_Availability!$D:$D,J$32,GM_Wise_Raw_Availability!$E:$E,$D$30)</f>
        <v>0</v>
      </c>
      <c r="K35" s="30">
        <f>SUMIFS(GM_Wise_Raw_Availability!$C:$C,GM_Wise_Raw_Availability!$B:$B,$B35,GM_Wise_Raw_Availability!$D:$D,K$32,GM_Wise_Raw_Availability!$E:$E,$D$30)</f>
        <v>0</v>
      </c>
      <c r="L35" s="30">
        <f>SUMIFS(GM_Wise_Raw_Availability!$C:$C,GM_Wise_Raw_Availability!$B:$B,$B35,GM_Wise_Raw_Availability!$D:$D,L$32,GM_Wise_Raw_Availability!$E:$E,$D$30)</f>
        <v>0</v>
      </c>
      <c r="M35" s="30">
        <f>SUMIFS(GM_Wise_Raw_Availability!$C:$C,GM_Wise_Raw_Availability!$B:$B,$B35,GM_Wise_Raw_Availability!$D:$D,M$32,GM_Wise_Raw_Availability!$E:$E,$D$30)</f>
        <v>0</v>
      </c>
      <c r="N35" s="30">
        <f>SUMIFS(GM_Wise_Raw_Availability!$C:$C,GM_Wise_Raw_Availability!$B:$B,$B35,GM_Wise_Raw_Availability!$D:$D,N$32,GM_Wise_Raw_Availability!$E:$E,$D$30)</f>
        <v>0</v>
      </c>
      <c r="O35" s="30">
        <f>SUMIFS(GM_Wise_Raw_Availability!$C:$C,GM_Wise_Raw_Availability!$B:$B,$B35,GM_Wise_Raw_Availability!$D:$D,O$32,GM_Wise_Raw_Availability!$E:$E,$D$30)</f>
        <v>0</v>
      </c>
      <c r="P35" s="30">
        <f>SUMIFS(GM_Wise_Raw_Availability!$C:$C,GM_Wise_Raw_Availability!$B:$B,$B35,GM_Wise_Raw_Availability!$D:$D,P$32,GM_Wise_Raw_Availability!$E:$E,$D$30)</f>
        <v>0</v>
      </c>
      <c r="Q35" s="30">
        <f>SUMIFS(GM_Wise_Raw_Availability!$C:$C,GM_Wise_Raw_Availability!$B:$B,$B35,GM_Wise_Raw_Availability!$D:$D,Q$32,GM_Wise_Raw_Availability!$E:$E,$D$30)</f>
        <v>0</v>
      </c>
      <c r="R35" s="30">
        <f>SUMIFS(GM_Wise_Raw_Availability!$C:$C,GM_Wise_Raw_Availability!$B:$B,$B35,GM_Wise_Raw_Availability!$D:$D,R$32,GM_Wise_Raw_Availability!$E:$E,$D$30)</f>
        <v>0</v>
      </c>
      <c r="S35" s="30">
        <f>SUMIFS(GM_Wise_Raw_Availability!$C:$C,GM_Wise_Raw_Availability!$B:$B,$B35,GM_Wise_Raw_Availability!$D:$D,S$32,GM_Wise_Raw_Availability!$E:$E,$D$30)</f>
        <v>2329</v>
      </c>
      <c r="T35" s="30"/>
      <c r="U35" s="30">
        <f>SUMIFS(GM_Wise_Raw_Availability!$C:$C,GM_Wise_Raw_Availability!$B:$B,$B35,GM_Wise_Raw_Availability!$D:$D,U$32,GM_Wise_Raw_Availability!$E:$E,$D$30)</f>
        <v>0</v>
      </c>
      <c r="V35" s="30">
        <f>SUMIFS(GM_Wise_Raw_Availability!$C:$C,GM_Wise_Raw_Availability!$B:$B,$B35,GM_Wise_Raw_Availability!$D:$D,V$32,GM_Wise_Raw_Availability!$E:$E,$D$30)</f>
        <v>2131</v>
      </c>
      <c r="W35" s="30">
        <f>SUMIFS(GM_Wise_Raw_Availability!$C:$C,GM_Wise_Raw_Availability!$B:$B,$B35,GM_Wise_Raw_Availability!$D:$D,W$32,GM_Wise_Raw_Availability!$E:$E,$D$30)</f>
        <v>2684</v>
      </c>
      <c r="X35" s="30">
        <f>SUMIFS(GM_Wise_Raw_Availability!$C:$C,GM_Wise_Raw_Availability!$B:$B,$B35,GM_Wise_Raw_Availability!$D:$D,X$32,GM_Wise_Raw_Availability!$E:$E,$D$30)</f>
        <v>2972</v>
      </c>
      <c r="Y35" s="30">
        <f>SUMIFS(GM_Wise_Raw_Availability!$C:$C,GM_Wise_Raw_Availability!$B:$B,$B35,GM_Wise_Raw_Availability!$D:$D,Y$32,GM_Wise_Raw_Availability!$E:$E,$D$30)</f>
        <v>0</v>
      </c>
      <c r="Z35" s="30">
        <f>SUMIFS(GM_Wise_Raw_Availability!$C:$C,GM_Wise_Raw_Availability!$B:$B,$B35,GM_Wise_Raw_Availability!$D:$D,Z$32,GM_Wise_Raw_Availability!$E:$E,$D$30)</f>
        <v>0</v>
      </c>
      <c r="AA35" s="30">
        <f>SUMIFS(GM_Wise_Raw_Availability!$C:$C,GM_Wise_Raw_Availability!$B:$B,$B35,GM_Wise_Raw_Availability!$D:$D,AA$32,GM_Wise_Raw_Availability!$E:$E,$D$30)</f>
        <v>0</v>
      </c>
      <c r="AB35" s="30">
        <f>SUMIFS(GM_Wise_Raw_Availability!$C:$C,GM_Wise_Raw_Availability!$B:$B,$B35,GM_Wise_Raw_Availability!$D:$D,AB$32,GM_Wise_Raw_Availability!$E:$E,$D$30)</f>
        <v>3013</v>
      </c>
      <c r="AC35" s="30">
        <f>SUMIFS(GM_Wise_Raw_Availability!$C:$C,GM_Wise_Raw_Availability!$B:$B,$B35,GM_Wise_Raw_Availability!$D:$D,AC$32,GM_Wise_Raw_Availability!$E:$E,$D$30)</f>
        <v>2443</v>
      </c>
      <c r="AD35" s="30">
        <f>SUMIFS(GM_Wise_Raw_Availability!$C:$C,GM_Wise_Raw_Availability!$B:$B,$B35,GM_Wise_Raw_Availability!$D:$D,AD$32,GM_Wise_Raw_Availability!$E:$E,$D$30)</f>
        <v>0</v>
      </c>
      <c r="AE35" s="30">
        <f>SUMIFS(GM_Wise_Raw_Availability!$C:$C,GM_Wise_Raw_Availability!$B:$B,$B35,GM_Wise_Raw_Availability!$D:$D,AE$32,GM_Wise_Raw_Availability!$E:$E,$D$30)</f>
        <v>0</v>
      </c>
      <c r="AF35" s="30">
        <f>SUMIFS(GM_Wise_Raw_Availability!$C:$C,GM_Wise_Raw_Availability!$B:$B,$B35,GM_Wise_Raw_Availability!$D:$D,AF$32,GM_Wise_Raw_Availability!$E:$E,$D$30)</f>
        <v>0</v>
      </c>
      <c r="AG35" s="30">
        <f>SUMIFS(GM_Wise_Raw_Availability!$C:$C,GM_Wise_Raw_Availability!$B:$B,$B35,GM_Wise_Raw_Availability!$D:$D,AG$32,GM_Wise_Raw_Availability!$E:$E,$D$30)</f>
        <v>0</v>
      </c>
      <c r="AH35" s="30">
        <f>SUMIFS(GM_Wise_Raw_Availability!$C:$C,GM_Wise_Raw_Availability!$B:$B,$B35,GM_Wise_Raw_Availability!$D:$D,AH$32,GM_Wise_Raw_Availability!$E:$E,$D$30)</f>
        <v>0</v>
      </c>
      <c r="AI35" s="30">
        <f>SUMIFS(GM_Wise_Raw_Availability!$C:$C,GM_Wise_Raw_Availability!$B:$B,$B35,GM_Wise_Raw_Availability!$D:$D,AI$32,GM_Wise_Raw_Availability!$E:$E,$D$30)</f>
        <v>0</v>
      </c>
      <c r="AJ35" s="30">
        <f>SUMIFS(GM_Wise_Raw_Availability!$C:$C,GM_Wise_Raw_Availability!$B:$B,$B35,GM_Wise_Raw_Availability!$D:$D,AJ$32,GM_Wise_Raw_Availability!$E:$E,$D$30)</f>
        <v>0</v>
      </c>
    </row>
    <row r="36">
      <c r="B36" s="85" t="s">
        <v>18</v>
      </c>
      <c r="C36" s="6"/>
      <c r="D36" s="89"/>
      <c r="E36" s="30">
        <f>SUMIFS(GM_Wise_Raw_Availability!$C:$C,GM_Wise_Raw_Availability!$B:$B,$B36,GM_Wise_Raw_Availability!$D:$D,E$32,GM_Wise_Raw_Availability!$E:$E,$D$30)</f>
        <v>0</v>
      </c>
      <c r="F36" s="30">
        <f>SUMIFS(GM_Wise_Raw_Availability!$C:$C,GM_Wise_Raw_Availability!$B:$B,$B36,GM_Wise_Raw_Availability!$D:$D,F$32,GM_Wise_Raw_Availability!$E:$E,$D$30)</f>
        <v>0</v>
      </c>
      <c r="G36" s="30">
        <f>SUMIFS(GM_Wise_Raw_Availability!$C:$C,GM_Wise_Raw_Availability!$B:$B,$B36,GM_Wise_Raw_Availability!$D:$D,G$32,GM_Wise_Raw_Availability!$E:$E,$D$30)</f>
        <v>0</v>
      </c>
      <c r="H36" s="30">
        <f>SUMIFS(GM_Wise_Raw_Availability!$C:$C,GM_Wise_Raw_Availability!$B:$B,$B36,GM_Wise_Raw_Availability!$D:$D,H$32,GM_Wise_Raw_Availability!$E:$E,$D$30)</f>
        <v>0</v>
      </c>
      <c r="I36" s="30">
        <f>SUMIFS(GM_Wise_Raw_Availability!$C:$C,GM_Wise_Raw_Availability!$B:$B,$B36,GM_Wise_Raw_Availability!$D:$D,I$32,GM_Wise_Raw_Availability!$E:$E,$D$30)</f>
        <v>0</v>
      </c>
      <c r="J36" s="30">
        <f>SUMIFS(GM_Wise_Raw_Availability!$C:$C,GM_Wise_Raw_Availability!$B:$B,$B36,GM_Wise_Raw_Availability!$D:$D,J$32,GM_Wise_Raw_Availability!$E:$E,$D$30)</f>
        <v>0</v>
      </c>
      <c r="K36" s="30">
        <f>SUMIFS(GM_Wise_Raw_Availability!$C:$C,GM_Wise_Raw_Availability!$B:$B,$B36,GM_Wise_Raw_Availability!$D:$D,K$32,GM_Wise_Raw_Availability!$E:$E,$D$30)</f>
        <v>0</v>
      </c>
      <c r="L36" s="30">
        <f>SUMIFS(GM_Wise_Raw_Availability!$C:$C,GM_Wise_Raw_Availability!$B:$B,$B36,GM_Wise_Raw_Availability!$D:$D,L$32,GM_Wise_Raw_Availability!$E:$E,$D$30)</f>
        <v>0</v>
      </c>
      <c r="M36" s="30">
        <f>SUMIFS(GM_Wise_Raw_Availability!$C:$C,GM_Wise_Raw_Availability!$B:$B,$B36,GM_Wise_Raw_Availability!$D:$D,M$32,GM_Wise_Raw_Availability!$E:$E,$D$30)</f>
        <v>0</v>
      </c>
      <c r="N36" s="30">
        <f>SUMIFS(GM_Wise_Raw_Availability!$C:$C,GM_Wise_Raw_Availability!$B:$B,$B36,GM_Wise_Raw_Availability!$D:$D,N$32,GM_Wise_Raw_Availability!$E:$E,$D$30)</f>
        <v>0</v>
      </c>
      <c r="O36" s="30">
        <f>SUMIFS(GM_Wise_Raw_Availability!$C:$C,GM_Wise_Raw_Availability!$B:$B,$B36,GM_Wise_Raw_Availability!$D:$D,O$32,GM_Wise_Raw_Availability!$E:$E,$D$30)</f>
        <v>0</v>
      </c>
      <c r="P36" s="30">
        <f>SUMIFS(GM_Wise_Raw_Availability!$C:$C,GM_Wise_Raw_Availability!$B:$B,$B36,GM_Wise_Raw_Availability!$D:$D,P$32,GM_Wise_Raw_Availability!$E:$E,$D$30)</f>
        <v>0</v>
      </c>
      <c r="Q36" s="30">
        <f>SUMIFS(GM_Wise_Raw_Availability!$C:$C,GM_Wise_Raw_Availability!$B:$B,$B36,GM_Wise_Raw_Availability!$D:$D,Q$32,GM_Wise_Raw_Availability!$E:$E,$D$30)</f>
        <v>0</v>
      </c>
      <c r="R36" s="30">
        <f>SUMIFS(GM_Wise_Raw_Availability!$C:$C,GM_Wise_Raw_Availability!$B:$B,$B36,GM_Wise_Raw_Availability!$D:$D,R$32,GM_Wise_Raw_Availability!$E:$E,$D$30)</f>
        <v>0</v>
      </c>
      <c r="S36" s="30">
        <f>SUMIFS(GM_Wise_Raw_Availability!$C:$C,GM_Wise_Raw_Availability!$B:$B,$B36,GM_Wise_Raw_Availability!$D:$D,S$32,GM_Wise_Raw_Availability!$E:$E,$D$30)</f>
        <v>2576</v>
      </c>
      <c r="T36" s="30"/>
      <c r="U36" s="30">
        <f>SUMIFS(GM_Wise_Raw_Availability!$C:$C,GM_Wise_Raw_Availability!$B:$B,$B36,GM_Wise_Raw_Availability!$D:$D,U$32,GM_Wise_Raw_Availability!$E:$E,$D$30)</f>
        <v>0</v>
      </c>
      <c r="V36" s="30">
        <f>SUMIFS(GM_Wise_Raw_Availability!$C:$C,GM_Wise_Raw_Availability!$B:$B,$B36,GM_Wise_Raw_Availability!$D:$D,V$32,GM_Wise_Raw_Availability!$E:$E,$D$30)</f>
        <v>2537</v>
      </c>
      <c r="W36" s="30">
        <f>SUMIFS(GM_Wise_Raw_Availability!$C:$C,GM_Wise_Raw_Availability!$B:$B,$B36,GM_Wise_Raw_Availability!$D:$D,W$32,GM_Wise_Raw_Availability!$E:$E,$D$30)</f>
        <v>2792</v>
      </c>
      <c r="X36" s="30">
        <f>SUMIFS(GM_Wise_Raw_Availability!$C:$C,GM_Wise_Raw_Availability!$B:$B,$B36,GM_Wise_Raw_Availability!$D:$D,X$32,GM_Wise_Raw_Availability!$E:$E,$D$30)</f>
        <v>3020</v>
      </c>
      <c r="Y36" s="30">
        <f>SUMIFS(GM_Wise_Raw_Availability!$C:$C,GM_Wise_Raw_Availability!$B:$B,$B36,GM_Wise_Raw_Availability!$D:$D,Y$32,GM_Wise_Raw_Availability!$E:$E,$D$30)</f>
        <v>0</v>
      </c>
      <c r="Z36" s="30">
        <f>SUMIFS(GM_Wise_Raw_Availability!$C:$C,GM_Wise_Raw_Availability!$B:$B,$B36,GM_Wise_Raw_Availability!$D:$D,Z$32,GM_Wise_Raw_Availability!$E:$E,$D$30)</f>
        <v>0</v>
      </c>
      <c r="AA36" s="30">
        <f>SUMIFS(GM_Wise_Raw_Availability!$C:$C,GM_Wise_Raw_Availability!$B:$B,$B36,GM_Wise_Raw_Availability!$D:$D,AA$32,GM_Wise_Raw_Availability!$E:$E,$D$30)</f>
        <v>0</v>
      </c>
      <c r="AB36" s="30">
        <f>SUMIFS(GM_Wise_Raw_Availability!$C:$C,GM_Wise_Raw_Availability!$B:$B,$B36,GM_Wise_Raw_Availability!$D:$D,AB$32,GM_Wise_Raw_Availability!$E:$E,$D$30)</f>
        <v>2650</v>
      </c>
      <c r="AC36" s="30">
        <f>SUMIFS(GM_Wise_Raw_Availability!$C:$C,GM_Wise_Raw_Availability!$B:$B,$B36,GM_Wise_Raw_Availability!$D:$D,AC$32,GM_Wise_Raw_Availability!$E:$E,$D$30)</f>
        <v>2344</v>
      </c>
      <c r="AD36" s="30">
        <f>SUMIFS(GM_Wise_Raw_Availability!$C:$C,GM_Wise_Raw_Availability!$B:$B,$B36,GM_Wise_Raw_Availability!$D:$D,AD$32,GM_Wise_Raw_Availability!$E:$E,$D$30)</f>
        <v>0</v>
      </c>
      <c r="AE36" s="30">
        <f>SUMIFS(GM_Wise_Raw_Availability!$C:$C,GM_Wise_Raw_Availability!$B:$B,$B36,GM_Wise_Raw_Availability!$D:$D,AE$32,GM_Wise_Raw_Availability!$E:$E,$D$30)</f>
        <v>0</v>
      </c>
      <c r="AF36" s="30">
        <f>SUMIFS(GM_Wise_Raw_Availability!$C:$C,GM_Wise_Raw_Availability!$B:$B,$B36,GM_Wise_Raw_Availability!$D:$D,AF$32,GM_Wise_Raw_Availability!$E:$E,$D$30)</f>
        <v>0</v>
      </c>
      <c r="AG36" s="30">
        <f>SUMIFS(GM_Wise_Raw_Availability!$C:$C,GM_Wise_Raw_Availability!$B:$B,$B36,GM_Wise_Raw_Availability!$D:$D,AG$32,GM_Wise_Raw_Availability!$E:$E,$D$30)</f>
        <v>0</v>
      </c>
      <c r="AH36" s="30">
        <f>SUMIFS(GM_Wise_Raw_Availability!$C:$C,GM_Wise_Raw_Availability!$B:$B,$B36,GM_Wise_Raw_Availability!$D:$D,AH$32,GM_Wise_Raw_Availability!$E:$E,$D$30)</f>
        <v>0</v>
      </c>
      <c r="AI36" s="30">
        <f>SUMIFS(GM_Wise_Raw_Availability!$C:$C,GM_Wise_Raw_Availability!$B:$B,$B36,GM_Wise_Raw_Availability!$D:$D,AI$32,GM_Wise_Raw_Availability!$E:$E,$D$30)</f>
        <v>0</v>
      </c>
      <c r="AJ36" s="30">
        <f>SUMIFS(GM_Wise_Raw_Availability!$C:$C,GM_Wise_Raw_Availability!$B:$B,$B36,GM_Wise_Raw_Availability!$D:$D,AJ$32,GM_Wise_Raw_Availability!$E:$E,$D$30)</f>
        <v>0</v>
      </c>
    </row>
    <row r="37">
      <c r="B37" s="90" t="s">
        <v>19</v>
      </c>
      <c r="C37" s="6"/>
      <c r="D37" s="91"/>
      <c r="E37" s="92">
        <f t="shared" ref="E37:S37" si="19">SUM(E33:E36)</f>
        <v>0</v>
      </c>
      <c r="F37" s="92">
        <f t="shared" si="19"/>
        <v>0</v>
      </c>
      <c r="G37" s="92">
        <f t="shared" si="19"/>
        <v>0</v>
      </c>
      <c r="H37" s="92">
        <f t="shared" si="19"/>
        <v>0</v>
      </c>
      <c r="I37" s="92">
        <f t="shared" si="19"/>
        <v>0</v>
      </c>
      <c r="J37" s="92">
        <f t="shared" si="19"/>
        <v>0</v>
      </c>
      <c r="K37" s="92">
        <f t="shared" si="19"/>
        <v>0</v>
      </c>
      <c r="L37" s="92">
        <f t="shared" si="19"/>
        <v>0</v>
      </c>
      <c r="M37" s="92">
        <f t="shared" si="19"/>
        <v>0</v>
      </c>
      <c r="N37" s="92">
        <f t="shared" si="19"/>
        <v>0</v>
      </c>
      <c r="O37" s="92">
        <f t="shared" si="19"/>
        <v>0</v>
      </c>
      <c r="P37" s="92">
        <f t="shared" si="19"/>
        <v>0</v>
      </c>
      <c r="Q37" s="92">
        <f t="shared" si="19"/>
        <v>0</v>
      </c>
      <c r="R37" s="92">
        <f t="shared" si="19"/>
        <v>0</v>
      </c>
      <c r="S37" s="92">
        <f t="shared" si="19"/>
        <v>12884</v>
      </c>
      <c r="T37" s="92"/>
      <c r="U37" s="92">
        <f t="shared" ref="U37:AJ37" si="20">SUM(U33:U36)</f>
        <v>0</v>
      </c>
      <c r="V37" s="92">
        <f t="shared" si="20"/>
        <v>13151</v>
      </c>
      <c r="W37" s="92">
        <f t="shared" si="20"/>
        <v>14543</v>
      </c>
      <c r="X37" s="92">
        <f t="shared" si="20"/>
        <v>15680</v>
      </c>
      <c r="Y37" s="92">
        <f t="shared" si="20"/>
        <v>0</v>
      </c>
      <c r="Z37" s="92">
        <f t="shared" si="20"/>
        <v>0</v>
      </c>
      <c r="AA37" s="92">
        <f t="shared" si="20"/>
        <v>0</v>
      </c>
      <c r="AB37" s="92">
        <f t="shared" si="20"/>
        <v>15544</v>
      </c>
      <c r="AC37" s="92">
        <f t="shared" si="20"/>
        <v>14484</v>
      </c>
      <c r="AD37" s="92">
        <f t="shared" si="20"/>
        <v>0</v>
      </c>
      <c r="AE37" s="92">
        <f t="shared" si="20"/>
        <v>0</v>
      </c>
      <c r="AF37" s="92">
        <f t="shared" si="20"/>
        <v>0</v>
      </c>
      <c r="AG37" s="92">
        <f t="shared" si="20"/>
        <v>0</v>
      </c>
      <c r="AH37" s="92">
        <f t="shared" si="20"/>
        <v>0</v>
      </c>
      <c r="AI37" s="92">
        <f t="shared" si="20"/>
        <v>0</v>
      </c>
      <c r="AJ37" s="92">
        <f t="shared" si="20"/>
        <v>0</v>
      </c>
    </row>
    <row r="38">
      <c r="B38" s="85" t="s">
        <v>20</v>
      </c>
      <c r="C38" s="6"/>
      <c r="D38" s="93"/>
      <c r="E38" s="30">
        <f>SUMIFS(GM_Wise_Raw_Availability!$C:$C,GM_Wise_Raw_Availability!$B:$B,$B38,GM_Wise_Raw_Availability!$D:$D,E$32,GM_Wise_Raw_Availability!$E:$E,$D$30)</f>
        <v>0</v>
      </c>
      <c r="F38" s="30">
        <f>SUMIFS(GM_Wise_Raw_Availability!$C:$C,GM_Wise_Raw_Availability!$B:$B,$B38,GM_Wise_Raw_Availability!$D:$D,F$32,GM_Wise_Raw_Availability!$E:$E,$D$30)</f>
        <v>0</v>
      </c>
      <c r="G38" s="30">
        <f>SUMIFS(GM_Wise_Raw_Availability!$C:$C,GM_Wise_Raw_Availability!$B:$B,$B38,GM_Wise_Raw_Availability!$D:$D,G$32,GM_Wise_Raw_Availability!$E:$E,$D$30)</f>
        <v>0</v>
      </c>
      <c r="H38" s="30">
        <f>SUMIFS(GM_Wise_Raw_Availability!$C:$C,GM_Wise_Raw_Availability!$B:$B,$B38,GM_Wise_Raw_Availability!$D:$D,H$32,GM_Wise_Raw_Availability!$E:$E,$D$30)</f>
        <v>0</v>
      </c>
      <c r="I38" s="30">
        <f>SUMIFS(GM_Wise_Raw_Availability!$C:$C,GM_Wise_Raw_Availability!$B:$B,$B38,GM_Wise_Raw_Availability!$D:$D,I$32,GM_Wise_Raw_Availability!$E:$E,$D$30)</f>
        <v>0</v>
      </c>
      <c r="J38" s="30">
        <f>SUMIFS(GM_Wise_Raw_Availability!$C:$C,GM_Wise_Raw_Availability!$B:$B,$B38,GM_Wise_Raw_Availability!$D:$D,J$32,GM_Wise_Raw_Availability!$E:$E,$D$30)</f>
        <v>0</v>
      </c>
      <c r="K38" s="30">
        <f>SUMIFS(GM_Wise_Raw_Availability!$C:$C,GM_Wise_Raw_Availability!$B:$B,$B38,GM_Wise_Raw_Availability!$D:$D,K$32,GM_Wise_Raw_Availability!$E:$E,$D$30)</f>
        <v>0</v>
      </c>
      <c r="L38" s="30">
        <f>SUMIFS(GM_Wise_Raw_Availability!$C:$C,GM_Wise_Raw_Availability!$B:$B,$B38,GM_Wise_Raw_Availability!$D:$D,L$32,GM_Wise_Raw_Availability!$E:$E,$D$30)</f>
        <v>0</v>
      </c>
      <c r="M38" s="30">
        <f>SUMIFS(GM_Wise_Raw_Availability!$C:$C,GM_Wise_Raw_Availability!$B:$B,$B38,GM_Wise_Raw_Availability!$D:$D,M$32,GM_Wise_Raw_Availability!$E:$E,$D$30)</f>
        <v>0</v>
      </c>
      <c r="N38" s="30">
        <f>SUMIFS(GM_Wise_Raw_Availability!$C:$C,GM_Wise_Raw_Availability!$B:$B,$B38,GM_Wise_Raw_Availability!$D:$D,N$32,GM_Wise_Raw_Availability!$E:$E,$D$30)</f>
        <v>0</v>
      </c>
      <c r="O38" s="30">
        <f>SUMIFS(GM_Wise_Raw_Availability!$C:$C,GM_Wise_Raw_Availability!$B:$B,$B38,GM_Wise_Raw_Availability!$D:$D,O$32,GM_Wise_Raw_Availability!$E:$E,$D$30)</f>
        <v>0</v>
      </c>
      <c r="P38" s="30">
        <f>SUMIFS(GM_Wise_Raw_Availability!$C:$C,GM_Wise_Raw_Availability!$B:$B,$B38,GM_Wise_Raw_Availability!$D:$D,P$32,GM_Wise_Raw_Availability!$E:$E,$D$30)</f>
        <v>0</v>
      </c>
      <c r="Q38" s="30">
        <f>SUMIFS(GM_Wise_Raw_Availability!$C:$C,GM_Wise_Raw_Availability!$B:$B,$B38,GM_Wise_Raw_Availability!$D:$D,Q$32,GM_Wise_Raw_Availability!$E:$E,$D$30)</f>
        <v>0</v>
      </c>
      <c r="R38" s="30">
        <f>SUMIFS(GM_Wise_Raw_Availability!$C:$C,GM_Wise_Raw_Availability!$B:$B,$B38,GM_Wise_Raw_Availability!$D:$D,R$32,GM_Wise_Raw_Availability!$E:$E,$D$30)</f>
        <v>0</v>
      </c>
      <c r="S38" s="30">
        <f>SUMIFS(GM_Wise_Raw_Availability!$C:$C,GM_Wise_Raw_Availability!$B:$B,$B38,GM_Wise_Raw_Availability!$D:$D,S$32,GM_Wise_Raw_Availability!$E:$E,$D$30)</f>
        <v>11518</v>
      </c>
      <c r="T38" s="30"/>
      <c r="U38" s="30">
        <f>SUMIFS(GM_Wise_Raw_Availability!$C:$C,GM_Wise_Raw_Availability!$B:$B,$B38,GM_Wise_Raw_Availability!$D:$D,U$32,GM_Wise_Raw_Availability!$E:$E,$D$30)</f>
        <v>0</v>
      </c>
      <c r="V38" s="30">
        <f>SUMIFS(GM_Wise_Raw_Availability!$C:$C,GM_Wise_Raw_Availability!$B:$B,$B38,GM_Wise_Raw_Availability!$D:$D,V$32,GM_Wise_Raw_Availability!$E:$E,$D$30)</f>
        <v>12045</v>
      </c>
      <c r="W38" s="30">
        <f>SUMIFS(GM_Wise_Raw_Availability!$C:$C,GM_Wise_Raw_Availability!$B:$B,$B38,GM_Wise_Raw_Availability!$D:$D,W$32,GM_Wise_Raw_Availability!$E:$E,$D$30)</f>
        <v>12604</v>
      </c>
      <c r="X38" s="30">
        <f>SUMIFS(GM_Wise_Raw_Availability!$C:$C,GM_Wise_Raw_Availability!$B:$B,$B38,GM_Wise_Raw_Availability!$D:$D,X$32,GM_Wise_Raw_Availability!$E:$E,$D$30)</f>
        <v>13424</v>
      </c>
      <c r="Y38" s="30">
        <f>SUMIFS(GM_Wise_Raw_Availability!$C:$C,GM_Wise_Raw_Availability!$B:$B,$B38,GM_Wise_Raw_Availability!$D:$D,Y$32,GM_Wise_Raw_Availability!$E:$E,$D$30)</f>
        <v>0</v>
      </c>
      <c r="Z38" s="30">
        <f>SUMIFS(GM_Wise_Raw_Availability!$C:$C,GM_Wise_Raw_Availability!$B:$B,$B38,GM_Wise_Raw_Availability!$D:$D,Z$32,GM_Wise_Raw_Availability!$E:$E,$D$30)</f>
        <v>0</v>
      </c>
      <c r="AA38" s="30">
        <f>SUMIFS(GM_Wise_Raw_Availability!$C:$C,GM_Wise_Raw_Availability!$B:$B,$B38,GM_Wise_Raw_Availability!$D:$D,AA$32,GM_Wise_Raw_Availability!$E:$E,$D$30)</f>
        <v>0</v>
      </c>
      <c r="AB38" s="30">
        <f>SUMIFS(GM_Wise_Raw_Availability!$C:$C,GM_Wise_Raw_Availability!$B:$B,$B38,GM_Wise_Raw_Availability!$D:$D,AB$32,GM_Wise_Raw_Availability!$E:$E,$D$30)</f>
        <v>12618</v>
      </c>
      <c r="AC38" s="30">
        <f>SUMIFS(GM_Wise_Raw_Availability!$C:$C,GM_Wise_Raw_Availability!$B:$B,$B38,GM_Wise_Raw_Availability!$D:$D,AC$32,GM_Wise_Raw_Availability!$E:$E,$D$30)</f>
        <v>12366</v>
      </c>
      <c r="AD38" s="30">
        <f>SUMIFS(GM_Wise_Raw_Availability!$C:$C,GM_Wise_Raw_Availability!$B:$B,$B38,GM_Wise_Raw_Availability!$D:$D,AD$32,GM_Wise_Raw_Availability!$E:$E,$D$30)</f>
        <v>0</v>
      </c>
      <c r="AE38" s="30">
        <f>SUMIFS(GM_Wise_Raw_Availability!$C:$C,GM_Wise_Raw_Availability!$B:$B,$B38,GM_Wise_Raw_Availability!$D:$D,AE$32,GM_Wise_Raw_Availability!$E:$E,$D$30)</f>
        <v>0</v>
      </c>
      <c r="AF38" s="30">
        <f>SUMIFS(GM_Wise_Raw_Availability!$C:$C,GM_Wise_Raw_Availability!$B:$B,$B38,GM_Wise_Raw_Availability!$D:$D,AF$32,GM_Wise_Raw_Availability!$E:$E,$D$30)</f>
        <v>0</v>
      </c>
      <c r="AG38" s="30">
        <f>SUMIFS(GM_Wise_Raw_Availability!$C:$C,GM_Wise_Raw_Availability!$B:$B,$B38,GM_Wise_Raw_Availability!$D:$D,AG$32,GM_Wise_Raw_Availability!$E:$E,$D$30)</f>
        <v>0</v>
      </c>
      <c r="AH38" s="30">
        <f>SUMIFS(GM_Wise_Raw_Availability!$C:$C,GM_Wise_Raw_Availability!$B:$B,$B38,GM_Wise_Raw_Availability!$D:$D,AH$32,GM_Wise_Raw_Availability!$E:$E,$D$30)</f>
        <v>0</v>
      </c>
      <c r="AI38" s="30">
        <f>SUMIFS(GM_Wise_Raw_Availability!$C:$C,GM_Wise_Raw_Availability!$B:$B,$B38,GM_Wise_Raw_Availability!$D:$D,AI$32,GM_Wise_Raw_Availability!$E:$E,$D$30)</f>
        <v>0</v>
      </c>
      <c r="AJ38" s="30">
        <f>SUMIFS(GM_Wise_Raw_Availability!$C:$C,GM_Wise_Raw_Availability!$B:$B,$B38,GM_Wise_Raw_Availability!$D:$D,AJ$32,GM_Wise_Raw_Availability!$E:$E,$D$30)</f>
        <v>0</v>
      </c>
    </row>
    <row r="39">
      <c r="B39" s="85" t="s">
        <v>21</v>
      </c>
      <c r="C39" s="6"/>
      <c r="D39" s="94"/>
      <c r="E39" s="30">
        <f>SUMIFS(GM_Wise_Raw_Availability!$C:$C,GM_Wise_Raw_Availability!$B:$B,$B39,GM_Wise_Raw_Availability!$D:$D,E$32,GM_Wise_Raw_Availability!$E:$E,$D$30)</f>
        <v>0</v>
      </c>
      <c r="F39" s="30">
        <f>SUMIFS(GM_Wise_Raw_Availability!$C:$C,GM_Wise_Raw_Availability!$B:$B,$B39,GM_Wise_Raw_Availability!$D:$D,F$32,GM_Wise_Raw_Availability!$E:$E,$D$30)</f>
        <v>0</v>
      </c>
      <c r="G39" s="30">
        <f>SUMIFS(GM_Wise_Raw_Availability!$C:$C,GM_Wise_Raw_Availability!$B:$B,$B39,GM_Wise_Raw_Availability!$D:$D,G$32,GM_Wise_Raw_Availability!$E:$E,$D$30)</f>
        <v>0</v>
      </c>
      <c r="H39" s="30">
        <f>SUMIFS(GM_Wise_Raw_Availability!$C:$C,GM_Wise_Raw_Availability!$B:$B,$B39,GM_Wise_Raw_Availability!$D:$D,H$32,GM_Wise_Raw_Availability!$E:$E,$D$30)</f>
        <v>0</v>
      </c>
      <c r="I39" s="30">
        <f>SUMIFS(GM_Wise_Raw_Availability!$C:$C,GM_Wise_Raw_Availability!$B:$B,$B39,GM_Wise_Raw_Availability!$D:$D,I$32,GM_Wise_Raw_Availability!$E:$E,$D$30)</f>
        <v>0</v>
      </c>
      <c r="J39" s="30">
        <f>SUMIFS(GM_Wise_Raw_Availability!$C:$C,GM_Wise_Raw_Availability!$B:$B,$B39,GM_Wise_Raw_Availability!$D:$D,J$32,GM_Wise_Raw_Availability!$E:$E,$D$30)</f>
        <v>0</v>
      </c>
      <c r="K39" s="30">
        <f>SUMIFS(GM_Wise_Raw_Availability!$C:$C,GM_Wise_Raw_Availability!$B:$B,$B39,GM_Wise_Raw_Availability!$D:$D,K$32,GM_Wise_Raw_Availability!$E:$E,$D$30)</f>
        <v>0</v>
      </c>
      <c r="L39" s="30">
        <f>SUMIFS(GM_Wise_Raw_Availability!$C:$C,GM_Wise_Raw_Availability!$B:$B,$B39,GM_Wise_Raw_Availability!$D:$D,L$32,GM_Wise_Raw_Availability!$E:$E,$D$30)</f>
        <v>0</v>
      </c>
      <c r="M39" s="30">
        <f>SUMIFS(GM_Wise_Raw_Availability!$C:$C,GM_Wise_Raw_Availability!$B:$B,$B39,GM_Wise_Raw_Availability!$D:$D,M$32,GM_Wise_Raw_Availability!$E:$E,$D$30)</f>
        <v>0</v>
      </c>
      <c r="N39" s="30">
        <f>SUMIFS(GM_Wise_Raw_Availability!$C:$C,GM_Wise_Raw_Availability!$B:$B,$B39,GM_Wise_Raw_Availability!$D:$D,N$32,GM_Wise_Raw_Availability!$E:$E,$D$30)</f>
        <v>0</v>
      </c>
      <c r="O39" s="30">
        <f>SUMIFS(GM_Wise_Raw_Availability!$C:$C,GM_Wise_Raw_Availability!$B:$B,$B39,GM_Wise_Raw_Availability!$D:$D,O$32,GM_Wise_Raw_Availability!$E:$E,$D$30)</f>
        <v>0</v>
      </c>
      <c r="P39" s="30">
        <f>SUMIFS(GM_Wise_Raw_Availability!$C:$C,GM_Wise_Raw_Availability!$B:$B,$B39,GM_Wise_Raw_Availability!$D:$D,P$32,GM_Wise_Raw_Availability!$E:$E,$D$30)</f>
        <v>0</v>
      </c>
      <c r="Q39" s="30">
        <f>SUMIFS(GM_Wise_Raw_Availability!$C:$C,GM_Wise_Raw_Availability!$B:$B,$B39,GM_Wise_Raw_Availability!$D:$D,Q$32,GM_Wise_Raw_Availability!$E:$E,$D$30)</f>
        <v>0</v>
      </c>
      <c r="R39" s="30">
        <f>SUMIFS(GM_Wise_Raw_Availability!$C:$C,GM_Wise_Raw_Availability!$B:$B,$B39,GM_Wise_Raw_Availability!$D:$D,R$32,GM_Wise_Raw_Availability!$E:$E,$D$30)</f>
        <v>0</v>
      </c>
      <c r="S39" s="30">
        <f>SUMIFS(GM_Wise_Raw_Availability!$C:$C,GM_Wise_Raw_Availability!$B:$B,$B39,GM_Wise_Raw_Availability!$D:$D,S$32,GM_Wise_Raw_Availability!$E:$E,$D$30)</f>
        <v>6403</v>
      </c>
      <c r="T39" s="30"/>
      <c r="U39" s="30">
        <f>SUMIFS(GM_Wise_Raw_Availability!$C:$C,GM_Wise_Raw_Availability!$B:$B,$B39,GM_Wise_Raw_Availability!$D:$D,U$32,GM_Wise_Raw_Availability!$E:$E,$D$30)</f>
        <v>0</v>
      </c>
      <c r="V39" s="30">
        <f>SUMIFS(GM_Wise_Raw_Availability!$C:$C,GM_Wise_Raw_Availability!$B:$B,$B39,GM_Wise_Raw_Availability!$D:$D,V$32,GM_Wise_Raw_Availability!$E:$E,$D$30)</f>
        <v>6561</v>
      </c>
      <c r="W39" s="30">
        <f>SUMIFS(GM_Wise_Raw_Availability!$C:$C,GM_Wise_Raw_Availability!$B:$B,$B39,GM_Wise_Raw_Availability!$D:$D,W$32,GM_Wise_Raw_Availability!$E:$E,$D$30)</f>
        <v>6373</v>
      </c>
      <c r="X39" s="30">
        <f>SUMIFS(GM_Wise_Raw_Availability!$C:$C,GM_Wise_Raw_Availability!$B:$B,$B39,GM_Wise_Raw_Availability!$D:$D,X$32,GM_Wise_Raw_Availability!$E:$E,$D$30)</f>
        <v>7352</v>
      </c>
      <c r="Y39" s="30">
        <f>SUMIFS(GM_Wise_Raw_Availability!$C:$C,GM_Wise_Raw_Availability!$B:$B,$B39,GM_Wise_Raw_Availability!$D:$D,Y$32,GM_Wise_Raw_Availability!$E:$E,$D$30)</f>
        <v>0</v>
      </c>
      <c r="Z39" s="30">
        <f>SUMIFS(GM_Wise_Raw_Availability!$C:$C,GM_Wise_Raw_Availability!$B:$B,$B39,GM_Wise_Raw_Availability!$D:$D,Z$32,GM_Wise_Raw_Availability!$E:$E,$D$30)</f>
        <v>0</v>
      </c>
      <c r="AA39" s="30">
        <f>SUMIFS(GM_Wise_Raw_Availability!$C:$C,GM_Wise_Raw_Availability!$B:$B,$B39,GM_Wise_Raw_Availability!$D:$D,AA$32,GM_Wise_Raw_Availability!$E:$E,$D$30)</f>
        <v>0</v>
      </c>
      <c r="AB39" s="30">
        <f>SUMIFS(GM_Wise_Raw_Availability!$C:$C,GM_Wise_Raw_Availability!$B:$B,$B39,GM_Wise_Raw_Availability!$D:$D,AB$32,GM_Wise_Raw_Availability!$E:$E,$D$30)</f>
        <v>6859</v>
      </c>
      <c r="AC39" s="30">
        <f>SUMIFS(GM_Wise_Raw_Availability!$C:$C,GM_Wise_Raw_Availability!$B:$B,$B39,GM_Wise_Raw_Availability!$D:$D,AC$32,GM_Wise_Raw_Availability!$E:$E,$D$30)</f>
        <v>6931</v>
      </c>
      <c r="AD39" s="30">
        <f>SUMIFS(GM_Wise_Raw_Availability!$C:$C,GM_Wise_Raw_Availability!$B:$B,$B39,GM_Wise_Raw_Availability!$D:$D,AD$32,GM_Wise_Raw_Availability!$E:$E,$D$30)</f>
        <v>0</v>
      </c>
      <c r="AE39" s="30">
        <f>SUMIFS(GM_Wise_Raw_Availability!$C:$C,GM_Wise_Raw_Availability!$B:$B,$B39,GM_Wise_Raw_Availability!$D:$D,AE$32,GM_Wise_Raw_Availability!$E:$E,$D$30)</f>
        <v>0</v>
      </c>
      <c r="AF39" s="30">
        <f>SUMIFS(GM_Wise_Raw_Availability!$C:$C,GM_Wise_Raw_Availability!$B:$B,$B39,GM_Wise_Raw_Availability!$D:$D,AF$32,GM_Wise_Raw_Availability!$E:$E,$D$30)</f>
        <v>0</v>
      </c>
      <c r="AG39" s="30">
        <f>SUMIFS(GM_Wise_Raw_Availability!$C:$C,GM_Wise_Raw_Availability!$B:$B,$B39,GM_Wise_Raw_Availability!$D:$D,AG$32,GM_Wise_Raw_Availability!$E:$E,$D$30)</f>
        <v>0</v>
      </c>
      <c r="AH39" s="30">
        <f>SUMIFS(GM_Wise_Raw_Availability!$C:$C,GM_Wise_Raw_Availability!$B:$B,$B39,GM_Wise_Raw_Availability!$D:$D,AH$32,GM_Wise_Raw_Availability!$E:$E,$D$30)</f>
        <v>0</v>
      </c>
      <c r="AI39" s="30">
        <f>SUMIFS(GM_Wise_Raw_Availability!$C:$C,GM_Wise_Raw_Availability!$B:$B,$B39,GM_Wise_Raw_Availability!$D:$D,AI$32,GM_Wise_Raw_Availability!$E:$E,$D$30)</f>
        <v>0</v>
      </c>
      <c r="AJ39" s="30">
        <f>SUMIFS(GM_Wise_Raw_Availability!$C:$C,GM_Wise_Raw_Availability!$B:$B,$B39,GM_Wise_Raw_Availability!$D:$D,AJ$32,GM_Wise_Raw_Availability!$E:$E,$D$30)</f>
        <v>0</v>
      </c>
    </row>
    <row r="40">
      <c r="B40" s="85" t="s">
        <v>22</v>
      </c>
      <c r="C40" s="6"/>
      <c r="D40" s="95"/>
      <c r="E40" s="30">
        <f>SUMIFS(GM_Wise_Raw_Availability!$C:$C,GM_Wise_Raw_Availability!$B:$B,$B40,GM_Wise_Raw_Availability!$D:$D,E$32,GM_Wise_Raw_Availability!$E:$E,$D$30)</f>
        <v>0</v>
      </c>
      <c r="F40" s="30">
        <f>SUMIFS(GM_Wise_Raw_Availability!$C:$C,GM_Wise_Raw_Availability!$B:$B,$B40,GM_Wise_Raw_Availability!$D:$D,F$32,GM_Wise_Raw_Availability!$E:$E,$D$30)</f>
        <v>0</v>
      </c>
      <c r="G40" s="30">
        <f>SUMIFS(GM_Wise_Raw_Availability!$C:$C,GM_Wise_Raw_Availability!$B:$B,$B40,GM_Wise_Raw_Availability!$D:$D,G$32,GM_Wise_Raw_Availability!$E:$E,$D$30)</f>
        <v>0</v>
      </c>
      <c r="H40" s="30">
        <f>SUMIFS(GM_Wise_Raw_Availability!$C:$C,GM_Wise_Raw_Availability!$B:$B,$B40,GM_Wise_Raw_Availability!$D:$D,H$32,GM_Wise_Raw_Availability!$E:$E,$D$30)</f>
        <v>0</v>
      </c>
      <c r="I40" s="30">
        <f>SUMIFS(GM_Wise_Raw_Availability!$C:$C,GM_Wise_Raw_Availability!$B:$B,$B40,GM_Wise_Raw_Availability!$D:$D,I$32,GM_Wise_Raw_Availability!$E:$E,$D$30)</f>
        <v>0</v>
      </c>
      <c r="J40" s="30">
        <f>SUMIFS(GM_Wise_Raw_Availability!$C:$C,GM_Wise_Raw_Availability!$B:$B,$B40,GM_Wise_Raw_Availability!$D:$D,J$32,GM_Wise_Raw_Availability!$E:$E,$D$30)</f>
        <v>0</v>
      </c>
      <c r="K40" s="30">
        <f>SUMIFS(GM_Wise_Raw_Availability!$C:$C,GM_Wise_Raw_Availability!$B:$B,$B40,GM_Wise_Raw_Availability!$D:$D,K$32,GM_Wise_Raw_Availability!$E:$E,$D$30)</f>
        <v>0</v>
      </c>
      <c r="L40" s="30">
        <f>SUMIFS(GM_Wise_Raw_Availability!$C:$C,GM_Wise_Raw_Availability!$B:$B,$B40,GM_Wise_Raw_Availability!$D:$D,L$32,GM_Wise_Raw_Availability!$E:$E,$D$30)</f>
        <v>0</v>
      </c>
      <c r="M40" s="30">
        <f>SUMIFS(GM_Wise_Raw_Availability!$C:$C,GM_Wise_Raw_Availability!$B:$B,$B40,GM_Wise_Raw_Availability!$D:$D,M$32,GM_Wise_Raw_Availability!$E:$E,$D$30)</f>
        <v>0</v>
      </c>
      <c r="N40" s="30">
        <f>SUMIFS(GM_Wise_Raw_Availability!$C:$C,GM_Wise_Raw_Availability!$B:$B,$B40,GM_Wise_Raw_Availability!$D:$D,N$32,GM_Wise_Raw_Availability!$E:$E,$D$30)</f>
        <v>0</v>
      </c>
      <c r="O40" s="30">
        <f>SUMIFS(GM_Wise_Raw_Availability!$C:$C,GM_Wise_Raw_Availability!$B:$B,$B40,GM_Wise_Raw_Availability!$D:$D,O$32,GM_Wise_Raw_Availability!$E:$E,$D$30)</f>
        <v>0</v>
      </c>
      <c r="P40" s="30">
        <f>SUMIFS(GM_Wise_Raw_Availability!$C:$C,GM_Wise_Raw_Availability!$B:$B,$B40,GM_Wise_Raw_Availability!$D:$D,P$32,GM_Wise_Raw_Availability!$E:$E,$D$30)</f>
        <v>0</v>
      </c>
      <c r="Q40" s="30">
        <f>SUMIFS(GM_Wise_Raw_Availability!$C:$C,GM_Wise_Raw_Availability!$B:$B,$B40,GM_Wise_Raw_Availability!$D:$D,Q$32,GM_Wise_Raw_Availability!$E:$E,$D$30)</f>
        <v>0</v>
      </c>
      <c r="R40" s="30">
        <f>SUMIFS(GM_Wise_Raw_Availability!$C:$C,GM_Wise_Raw_Availability!$B:$B,$B40,GM_Wise_Raw_Availability!$D:$D,R$32,GM_Wise_Raw_Availability!$E:$E,$D$30)</f>
        <v>0</v>
      </c>
      <c r="S40" s="30">
        <f>SUMIFS(GM_Wise_Raw_Availability!$C:$C,GM_Wise_Raw_Availability!$B:$B,$B40,GM_Wise_Raw_Availability!$D:$D,S$32,GM_Wise_Raw_Availability!$E:$E,$D$30)</f>
        <v>3017</v>
      </c>
      <c r="T40" s="30"/>
      <c r="U40" s="30">
        <f>SUMIFS(GM_Wise_Raw_Availability!$C:$C,GM_Wise_Raw_Availability!$B:$B,$B40,GM_Wise_Raw_Availability!$D:$D,U$32,GM_Wise_Raw_Availability!$E:$E,$D$30)</f>
        <v>0</v>
      </c>
      <c r="V40" s="30">
        <f>SUMIFS(GM_Wise_Raw_Availability!$C:$C,GM_Wise_Raw_Availability!$B:$B,$B40,GM_Wise_Raw_Availability!$D:$D,V$32,GM_Wise_Raw_Availability!$E:$E,$D$30)</f>
        <v>2769</v>
      </c>
      <c r="W40" s="30">
        <f>SUMIFS(GM_Wise_Raw_Availability!$C:$C,GM_Wise_Raw_Availability!$B:$B,$B40,GM_Wise_Raw_Availability!$D:$D,W$32,GM_Wise_Raw_Availability!$E:$E,$D$30)</f>
        <v>4238</v>
      </c>
      <c r="X40" s="30">
        <f>SUMIFS(GM_Wise_Raw_Availability!$C:$C,GM_Wise_Raw_Availability!$B:$B,$B40,GM_Wise_Raw_Availability!$D:$D,X$32,GM_Wise_Raw_Availability!$E:$E,$D$30)</f>
        <v>4093</v>
      </c>
      <c r="Y40" s="30">
        <f>SUMIFS(GM_Wise_Raw_Availability!$C:$C,GM_Wise_Raw_Availability!$B:$B,$B40,GM_Wise_Raw_Availability!$D:$D,Y$32,GM_Wise_Raw_Availability!$E:$E,$D$30)</f>
        <v>0</v>
      </c>
      <c r="Z40" s="30">
        <f>SUMIFS(GM_Wise_Raw_Availability!$C:$C,GM_Wise_Raw_Availability!$B:$B,$B40,GM_Wise_Raw_Availability!$D:$D,Z$32,GM_Wise_Raw_Availability!$E:$E,$D$30)</f>
        <v>0</v>
      </c>
      <c r="AA40" s="30">
        <f>SUMIFS(GM_Wise_Raw_Availability!$C:$C,GM_Wise_Raw_Availability!$B:$B,$B40,GM_Wise_Raw_Availability!$D:$D,AA$32,GM_Wise_Raw_Availability!$E:$E,$D$30)</f>
        <v>0</v>
      </c>
      <c r="AB40" s="30">
        <f>SUMIFS(GM_Wise_Raw_Availability!$C:$C,GM_Wise_Raw_Availability!$B:$B,$B40,GM_Wise_Raw_Availability!$D:$D,AB$32,GM_Wise_Raw_Availability!$E:$E,$D$30)</f>
        <v>4880</v>
      </c>
      <c r="AC40" s="30">
        <f>SUMIFS(GM_Wise_Raw_Availability!$C:$C,GM_Wise_Raw_Availability!$B:$B,$B40,GM_Wise_Raw_Availability!$D:$D,AC$32,GM_Wise_Raw_Availability!$E:$E,$D$30)</f>
        <v>3689</v>
      </c>
      <c r="AD40" s="30">
        <f>SUMIFS(GM_Wise_Raw_Availability!$C:$C,GM_Wise_Raw_Availability!$B:$B,$B40,GM_Wise_Raw_Availability!$D:$D,AD$32,GM_Wise_Raw_Availability!$E:$E,$D$30)</f>
        <v>0</v>
      </c>
      <c r="AE40" s="30">
        <f>SUMIFS(GM_Wise_Raw_Availability!$C:$C,GM_Wise_Raw_Availability!$B:$B,$B40,GM_Wise_Raw_Availability!$D:$D,AE$32,GM_Wise_Raw_Availability!$E:$E,$D$30)</f>
        <v>0</v>
      </c>
      <c r="AF40" s="30">
        <f>SUMIFS(GM_Wise_Raw_Availability!$C:$C,GM_Wise_Raw_Availability!$B:$B,$B40,GM_Wise_Raw_Availability!$D:$D,AF$32,GM_Wise_Raw_Availability!$E:$E,$D$30)</f>
        <v>0</v>
      </c>
      <c r="AG40" s="30">
        <f>SUMIFS(GM_Wise_Raw_Availability!$C:$C,GM_Wise_Raw_Availability!$B:$B,$B40,GM_Wise_Raw_Availability!$D:$D,AG$32,GM_Wise_Raw_Availability!$E:$E,$D$30)</f>
        <v>0</v>
      </c>
      <c r="AH40" s="30">
        <f>SUMIFS(GM_Wise_Raw_Availability!$C:$C,GM_Wise_Raw_Availability!$B:$B,$B40,GM_Wise_Raw_Availability!$D:$D,AH$32,GM_Wise_Raw_Availability!$E:$E,$D$30)</f>
        <v>0</v>
      </c>
      <c r="AI40" s="30">
        <f>SUMIFS(GM_Wise_Raw_Availability!$C:$C,GM_Wise_Raw_Availability!$B:$B,$B40,GM_Wise_Raw_Availability!$D:$D,AI$32,GM_Wise_Raw_Availability!$E:$E,$D$30)</f>
        <v>0</v>
      </c>
      <c r="AJ40" s="30">
        <f>SUMIFS(GM_Wise_Raw_Availability!$C:$C,GM_Wise_Raw_Availability!$B:$B,$B40,GM_Wise_Raw_Availability!$D:$D,AJ$32,GM_Wise_Raw_Availability!$E:$E,$D$30)</f>
        <v>0</v>
      </c>
    </row>
    <row r="41">
      <c r="B41" s="90" t="s">
        <v>23</v>
      </c>
      <c r="C41" s="6"/>
      <c r="D41" s="96"/>
      <c r="E41" s="92">
        <f t="shared" ref="E41:S41" si="21">SUM(E38:E40)</f>
        <v>0</v>
      </c>
      <c r="F41" s="92">
        <f t="shared" si="21"/>
        <v>0</v>
      </c>
      <c r="G41" s="92">
        <f t="shared" si="21"/>
        <v>0</v>
      </c>
      <c r="H41" s="92">
        <f t="shared" si="21"/>
        <v>0</v>
      </c>
      <c r="I41" s="92">
        <f t="shared" si="21"/>
        <v>0</v>
      </c>
      <c r="J41" s="92">
        <f t="shared" si="21"/>
        <v>0</v>
      </c>
      <c r="K41" s="92">
        <f t="shared" si="21"/>
        <v>0</v>
      </c>
      <c r="L41" s="92">
        <f t="shared" si="21"/>
        <v>0</v>
      </c>
      <c r="M41" s="92">
        <f t="shared" si="21"/>
        <v>0</v>
      </c>
      <c r="N41" s="92">
        <f t="shared" si="21"/>
        <v>0</v>
      </c>
      <c r="O41" s="92">
        <f t="shared" si="21"/>
        <v>0</v>
      </c>
      <c r="P41" s="92">
        <f t="shared" si="21"/>
        <v>0</v>
      </c>
      <c r="Q41" s="92">
        <f t="shared" si="21"/>
        <v>0</v>
      </c>
      <c r="R41" s="92">
        <f t="shared" si="21"/>
        <v>0</v>
      </c>
      <c r="S41" s="92">
        <f t="shared" si="21"/>
        <v>20938</v>
      </c>
      <c r="T41" s="92"/>
      <c r="U41" s="92">
        <f t="shared" ref="U41:AJ41" si="22">SUM(U38:U40)</f>
        <v>0</v>
      </c>
      <c r="V41" s="92">
        <f t="shared" si="22"/>
        <v>21375</v>
      </c>
      <c r="W41" s="92">
        <f t="shared" si="22"/>
        <v>23215</v>
      </c>
      <c r="X41" s="92">
        <f t="shared" si="22"/>
        <v>24869</v>
      </c>
      <c r="Y41" s="92">
        <f t="shared" si="22"/>
        <v>0</v>
      </c>
      <c r="Z41" s="92">
        <f t="shared" si="22"/>
        <v>0</v>
      </c>
      <c r="AA41" s="92">
        <f t="shared" si="22"/>
        <v>0</v>
      </c>
      <c r="AB41" s="92">
        <f t="shared" si="22"/>
        <v>24357</v>
      </c>
      <c r="AC41" s="92">
        <f t="shared" si="22"/>
        <v>22986</v>
      </c>
      <c r="AD41" s="92">
        <f t="shared" si="22"/>
        <v>0</v>
      </c>
      <c r="AE41" s="92">
        <f t="shared" si="22"/>
        <v>0</v>
      </c>
      <c r="AF41" s="92">
        <f t="shared" si="22"/>
        <v>0</v>
      </c>
      <c r="AG41" s="92">
        <f t="shared" si="22"/>
        <v>0</v>
      </c>
      <c r="AH41" s="92">
        <f t="shared" si="22"/>
        <v>0</v>
      </c>
      <c r="AI41" s="92">
        <f t="shared" si="22"/>
        <v>0</v>
      </c>
      <c r="AJ41" s="92">
        <f t="shared" si="22"/>
        <v>0</v>
      </c>
    </row>
    <row r="42">
      <c r="B42" s="97" t="s">
        <v>24</v>
      </c>
      <c r="C42" s="6"/>
      <c r="D42" s="98"/>
      <c r="E42" s="30">
        <f>SUMIFS(GM_Wise_Raw_Availability!$C:$C,GM_Wise_Raw_Availability!$B:$B,$B42,GM_Wise_Raw_Availability!$D:$D,E$32,GM_Wise_Raw_Availability!$E:$E,$D$30)</f>
        <v>0</v>
      </c>
      <c r="F42" s="30">
        <f>SUMIFS(GM_Wise_Raw_Availability!$C:$C,GM_Wise_Raw_Availability!$B:$B,$B42,GM_Wise_Raw_Availability!$D:$D,F$32,GM_Wise_Raw_Availability!$E:$E,$D$30)</f>
        <v>0</v>
      </c>
      <c r="G42" s="30">
        <f>SUMIFS(GM_Wise_Raw_Availability!$C:$C,GM_Wise_Raw_Availability!$B:$B,$B42,GM_Wise_Raw_Availability!$D:$D,G$32,GM_Wise_Raw_Availability!$E:$E,$D$30)</f>
        <v>0</v>
      </c>
      <c r="H42" s="30">
        <f>SUMIFS(GM_Wise_Raw_Availability!$C:$C,GM_Wise_Raw_Availability!$B:$B,$B42,GM_Wise_Raw_Availability!$D:$D,H$32,GM_Wise_Raw_Availability!$E:$E,$D$30)</f>
        <v>0</v>
      </c>
      <c r="I42" s="30">
        <f>SUMIFS(GM_Wise_Raw_Availability!$C:$C,GM_Wise_Raw_Availability!$B:$B,$B42,GM_Wise_Raw_Availability!$D:$D,I$32,GM_Wise_Raw_Availability!$E:$E,$D$30)</f>
        <v>0</v>
      </c>
      <c r="J42" s="30">
        <f>SUMIFS(GM_Wise_Raw_Availability!$C:$C,GM_Wise_Raw_Availability!$B:$B,$B42,GM_Wise_Raw_Availability!$D:$D,J$32,GM_Wise_Raw_Availability!$E:$E,$D$30)</f>
        <v>0</v>
      </c>
      <c r="K42" s="30">
        <f>SUMIFS(GM_Wise_Raw_Availability!$C:$C,GM_Wise_Raw_Availability!$B:$B,$B42,GM_Wise_Raw_Availability!$D:$D,K$32,GM_Wise_Raw_Availability!$E:$E,$D$30)</f>
        <v>0</v>
      </c>
      <c r="L42" s="30">
        <f>SUMIFS(GM_Wise_Raw_Availability!$C:$C,GM_Wise_Raw_Availability!$B:$B,$B42,GM_Wise_Raw_Availability!$D:$D,L$32,GM_Wise_Raw_Availability!$E:$E,$D$30)</f>
        <v>0</v>
      </c>
      <c r="M42" s="30">
        <f>SUMIFS(GM_Wise_Raw_Availability!$C:$C,GM_Wise_Raw_Availability!$B:$B,$B42,GM_Wise_Raw_Availability!$D:$D,M$32,GM_Wise_Raw_Availability!$E:$E,$D$30)</f>
        <v>0</v>
      </c>
      <c r="N42" s="30">
        <f>SUMIFS(GM_Wise_Raw_Availability!$C:$C,GM_Wise_Raw_Availability!$B:$B,$B42,GM_Wise_Raw_Availability!$D:$D,N$32,GM_Wise_Raw_Availability!$E:$E,$D$30)</f>
        <v>0</v>
      </c>
      <c r="O42" s="30">
        <f>SUMIFS(GM_Wise_Raw_Availability!$C:$C,GM_Wise_Raw_Availability!$B:$B,$B42,GM_Wise_Raw_Availability!$D:$D,O$32,GM_Wise_Raw_Availability!$E:$E,$D$30)</f>
        <v>0</v>
      </c>
      <c r="P42" s="30">
        <f>SUMIFS(GM_Wise_Raw_Availability!$C:$C,GM_Wise_Raw_Availability!$B:$B,$B42,GM_Wise_Raw_Availability!$D:$D,P$32,GM_Wise_Raw_Availability!$E:$E,$D$30)</f>
        <v>0</v>
      </c>
      <c r="Q42" s="30">
        <f>SUMIFS(GM_Wise_Raw_Availability!$C:$C,GM_Wise_Raw_Availability!$B:$B,$B42,GM_Wise_Raw_Availability!$D:$D,Q$32,GM_Wise_Raw_Availability!$E:$E,$D$30)</f>
        <v>0</v>
      </c>
      <c r="R42" s="30">
        <f>SUMIFS(GM_Wise_Raw_Availability!$C:$C,GM_Wise_Raw_Availability!$B:$B,$B42,GM_Wise_Raw_Availability!$D:$D,R$32,GM_Wise_Raw_Availability!$E:$E,$D$30)</f>
        <v>0</v>
      </c>
      <c r="S42" s="30">
        <f>SUMIFS(GM_Wise_Raw_Availability!$C:$C,GM_Wise_Raw_Availability!$B:$B,$B42,GM_Wise_Raw_Availability!$D:$D,S$32,GM_Wise_Raw_Availability!$E:$E,$D$30)</f>
        <v>5252</v>
      </c>
      <c r="T42" s="30"/>
      <c r="U42" s="30">
        <f>SUMIFS(GM_Wise_Raw_Availability!$C:$C,GM_Wise_Raw_Availability!$B:$B,$B42,GM_Wise_Raw_Availability!$D:$D,U$32,GM_Wise_Raw_Availability!$E:$E,$D$30)</f>
        <v>0</v>
      </c>
      <c r="V42" s="30">
        <f>SUMIFS(GM_Wise_Raw_Availability!$C:$C,GM_Wise_Raw_Availability!$B:$B,$B42,GM_Wise_Raw_Availability!$D:$D,V$32,GM_Wise_Raw_Availability!$E:$E,$D$30)</f>
        <v>5132</v>
      </c>
      <c r="W42" s="30">
        <f>SUMIFS(GM_Wise_Raw_Availability!$C:$C,GM_Wise_Raw_Availability!$B:$B,$B42,GM_Wise_Raw_Availability!$D:$D,W$32,GM_Wise_Raw_Availability!$E:$E,$D$30)</f>
        <v>5040</v>
      </c>
      <c r="X42" s="30">
        <f>SUMIFS(GM_Wise_Raw_Availability!$C:$C,GM_Wise_Raw_Availability!$B:$B,$B42,GM_Wise_Raw_Availability!$D:$D,X$32,GM_Wise_Raw_Availability!$E:$E,$D$30)</f>
        <v>5744</v>
      </c>
      <c r="Y42" s="30">
        <f>SUMIFS(GM_Wise_Raw_Availability!$C:$C,GM_Wise_Raw_Availability!$B:$B,$B42,GM_Wise_Raw_Availability!$D:$D,Y$32,GM_Wise_Raw_Availability!$E:$E,$D$30)</f>
        <v>0</v>
      </c>
      <c r="Z42" s="30">
        <f>SUMIFS(GM_Wise_Raw_Availability!$C:$C,GM_Wise_Raw_Availability!$B:$B,$B42,GM_Wise_Raw_Availability!$D:$D,Z$32,GM_Wise_Raw_Availability!$E:$E,$D$30)</f>
        <v>0</v>
      </c>
      <c r="AA42" s="30">
        <f>SUMIFS(GM_Wise_Raw_Availability!$C:$C,GM_Wise_Raw_Availability!$B:$B,$B42,GM_Wise_Raw_Availability!$D:$D,AA$32,GM_Wise_Raw_Availability!$E:$E,$D$30)</f>
        <v>0</v>
      </c>
      <c r="AB42" s="30">
        <f>SUMIFS(GM_Wise_Raw_Availability!$C:$C,GM_Wise_Raw_Availability!$B:$B,$B42,GM_Wise_Raw_Availability!$D:$D,AB$32,GM_Wise_Raw_Availability!$E:$E,$D$30)</f>
        <v>6206</v>
      </c>
      <c r="AC42" s="30">
        <f>SUMIFS(GM_Wise_Raw_Availability!$C:$C,GM_Wise_Raw_Availability!$B:$B,$B42,GM_Wise_Raw_Availability!$D:$D,AC$32,GM_Wise_Raw_Availability!$E:$E,$D$30)</f>
        <v>6040</v>
      </c>
      <c r="AD42" s="30">
        <f>SUMIFS(GM_Wise_Raw_Availability!$C:$C,GM_Wise_Raw_Availability!$B:$B,$B42,GM_Wise_Raw_Availability!$D:$D,AD$32,GM_Wise_Raw_Availability!$E:$E,$D$30)</f>
        <v>0</v>
      </c>
      <c r="AE42" s="30">
        <f>SUMIFS(GM_Wise_Raw_Availability!$C:$C,GM_Wise_Raw_Availability!$B:$B,$B42,GM_Wise_Raw_Availability!$D:$D,AE$32,GM_Wise_Raw_Availability!$E:$E,$D$30)</f>
        <v>0</v>
      </c>
      <c r="AF42" s="30">
        <f>SUMIFS(GM_Wise_Raw_Availability!$C:$C,GM_Wise_Raw_Availability!$B:$B,$B42,GM_Wise_Raw_Availability!$D:$D,AF$32,GM_Wise_Raw_Availability!$E:$E,$D$30)</f>
        <v>0</v>
      </c>
      <c r="AG42" s="30">
        <f>SUMIFS(GM_Wise_Raw_Availability!$C:$C,GM_Wise_Raw_Availability!$B:$B,$B42,GM_Wise_Raw_Availability!$D:$D,AG$32,GM_Wise_Raw_Availability!$E:$E,$D$30)</f>
        <v>0</v>
      </c>
      <c r="AH42" s="30">
        <f>SUMIFS(GM_Wise_Raw_Availability!$C:$C,GM_Wise_Raw_Availability!$B:$B,$B42,GM_Wise_Raw_Availability!$D:$D,AH$32,GM_Wise_Raw_Availability!$E:$E,$D$30)</f>
        <v>0</v>
      </c>
      <c r="AI42" s="30">
        <f>SUMIFS(GM_Wise_Raw_Availability!$C:$C,GM_Wise_Raw_Availability!$B:$B,$B42,GM_Wise_Raw_Availability!$D:$D,AI$32,GM_Wise_Raw_Availability!$E:$E,$D$30)</f>
        <v>0</v>
      </c>
      <c r="AJ42" s="30">
        <f>SUMIFS(GM_Wise_Raw_Availability!$C:$C,GM_Wise_Raw_Availability!$B:$B,$B42,GM_Wise_Raw_Availability!$D:$D,AJ$32,GM_Wise_Raw_Availability!$E:$E,$D$30)</f>
        <v>0</v>
      </c>
    </row>
    <row r="43">
      <c r="B43" s="85" t="s">
        <v>25</v>
      </c>
      <c r="C43" s="6"/>
      <c r="D43" s="87"/>
      <c r="E43" s="30">
        <f>SUMIFS(GM_Wise_Raw_Availability!$C:$C,GM_Wise_Raw_Availability!$B:$B,$B43,GM_Wise_Raw_Availability!$D:$D,E$32,GM_Wise_Raw_Availability!$E:$E,$D$30)</f>
        <v>0</v>
      </c>
      <c r="F43" s="30">
        <f>SUMIFS(GM_Wise_Raw_Availability!$C:$C,GM_Wise_Raw_Availability!$B:$B,$B43,GM_Wise_Raw_Availability!$D:$D,F$32,GM_Wise_Raw_Availability!$E:$E,$D$30)</f>
        <v>0</v>
      </c>
      <c r="G43" s="30">
        <f>SUMIFS(GM_Wise_Raw_Availability!$C:$C,GM_Wise_Raw_Availability!$B:$B,$B43,GM_Wise_Raw_Availability!$D:$D,G$32,GM_Wise_Raw_Availability!$E:$E,$D$30)</f>
        <v>0</v>
      </c>
      <c r="H43" s="30">
        <f>SUMIFS(GM_Wise_Raw_Availability!$C:$C,GM_Wise_Raw_Availability!$B:$B,$B43,GM_Wise_Raw_Availability!$D:$D,H$32,GM_Wise_Raw_Availability!$E:$E,$D$30)</f>
        <v>0</v>
      </c>
      <c r="I43" s="30">
        <f>SUMIFS(GM_Wise_Raw_Availability!$C:$C,GM_Wise_Raw_Availability!$B:$B,$B43,GM_Wise_Raw_Availability!$D:$D,I$32,GM_Wise_Raw_Availability!$E:$E,$D$30)</f>
        <v>0</v>
      </c>
      <c r="J43" s="30">
        <f>SUMIFS(GM_Wise_Raw_Availability!$C:$C,GM_Wise_Raw_Availability!$B:$B,$B43,GM_Wise_Raw_Availability!$D:$D,J$32,GM_Wise_Raw_Availability!$E:$E,$D$30)</f>
        <v>0</v>
      </c>
      <c r="K43" s="30">
        <f>SUMIFS(GM_Wise_Raw_Availability!$C:$C,GM_Wise_Raw_Availability!$B:$B,$B43,GM_Wise_Raw_Availability!$D:$D,K$32,GM_Wise_Raw_Availability!$E:$E,$D$30)</f>
        <v>0</v>
      </c>
      <c r="L43" s="30">
        <f>SUMIFS(GM_Wise_Raw_Availability!$C:$C,GM_Wise_Raw_Availability!$B:$B,$B43,GM_Wise_Raw_Availability!$D:$D,L$32,GM_Wise_Raw_Availability!$E:$E,$D$30)</f>
        <v>0</v>
      </c>
      <c r="M43" s="30">
        <f>SUMIFS(GM_Wise_Raw_Availability!$C:$C,GM_Wise_Raw_Availability!$B:$B,$B43,GM_Wise_Raw_Availability!$D:$D,M$32,GM_Wise_Raw_Availability!$E:$E,$D$30)</f>
        <v>0</v>
      </c>
      <c r="N43" s="30">
        <f>SUMIFS(GM_Wise_Raw_Availability!$C:$C,GM_Wise_Raw_Availability!$B:$B,$B43,GM_Wise_Raw_Availability!$D:$D,N$32,GM_Wise_Raw_Availability!$E:$E,$D$30)</f>
        <v>0</v>
      </c>
      <c r="O43" s="30">
        <f>SUMIFS(GM_Wise_Raw_Availability!$C:$C,GM_Wise_Raw_Availability!$B:$B,$B43,GM_Wise_Raw_Availability!$D:$D,O$32,GM_Wise_Raw_Availability!$E:$E,$D$30)</f>
        <v>0</v>
      </c>
      <c r="P43" s="30">
        <f>SUMIFS(GM_Wise_Raw_Availability!$C:$C,GM_Wise_Raw_Availability!$B:$B,$B43,GM_Wise_Raw_Availability!$D:$D,P$32,GM_Wise_Raw_Availability!$E:$E,$D$30)</f>
        <v>0</v>
      </c>
      <c r="Q43" s="30">
        <f>SUMIFS(GM_Wise_Raw_Availability!$C:$C,GM_Wise_Raw_Availability!$B:$B,$B43,GM_Wise_Raw_Availability!$D:$D,Q$32,GM_Wise_Raw_Availability!$E:$E,$D$30)</f>
        <v>0</v>
      </c>
      <c r="R43" s="30">
        <f>SUMIFS(GM_Wise_Raw_Availability!$C:$C,GM_Wise_Raw_Availability!$B:$B,$B43,GM_Wise_Raw_Availability!$D:$D,R$32,GM_Wise_Raw_Availability!$E:$E,$D$30)</f>
        <v>0</v>
      </c>
      <c r="S43" s="30">
        <f>SUMIFS(GM_Wise_Raw_Availability!$C:$C,GM_Wise_Raw_Availability!$B:$B,$B43,GM_Wise_Raw_Availability!$D:$D,S$32,GM_Wise_Raw_Availability!$E:$E,$D$30)</f>
        <v>3952</v>
      </c>
      <c r="T43" s="30"/>
      <c r="U43" s="30">
        <f>SUMIFS(GM_Wise_Raw_Availability!$C:$C,GM_Wise_Raw_Availability!$B:$B,$B43,GM_Wise_Raw_Availability!$D:$D,U$32,GM_Wise_Raw_Availability!$E:$E,$D$30)</f>
        <v>0</v>
      </c>
      <c r="V43" s="30">
        <f>SUMIFS(GM_Wise_Raw_Availability!$C:$C,GM_Wise_Raw_Availability!$B:$B,$B43,GM_Wise_Raw_Availability!$D:$D,V$32,GM_Wise_Raw_Availability!$E:$E,$D$30)</f>
        <v>3677</v>
      </c>
      <c r="W43" s="30">
        <f>SUMIFS(GM_Wise_Raw_Availability!$C:$C,GM_Wise_Raw_Availability!$B:$B,$B43,GM_Wise_Raw_Availability!$D:$D,W$32,GM_Wise_Raw_Availability!$E:$E,$D$30)</f>
        <v>3773</v>
      </c>
      <c r="X43" s="30">
        <f>SUMIFS(GM_Wise_Raw_Availability!$C:$C,GM_Wise_Raw_Availability!$B:$B,$B43,GM_Wise_Raw_Availability!$D:$D,X$32,GM_Wise_Raw_Availability!$E:$E,$D$30)</f>
        <v>4156</v>
      </c>
      <c r="Y43" s="30">
        <f>SUMIFS(GM_Wise_Raw_Availability!$C:$C,GM_Wise_Raw_Availability!$B:$B,$B43,GM_Wise_Raw_Availability!$D:$D,Y$32,GM_Wise_Raw_Availability!$E:$E,$D$30)</f>
        <v>0</v>
      </c>
      <c r="Z43" s="30">
        <f>SUMIFS(GM_Wise_Raw_Availability!$C:$C,GM_Wise_Raw_Availability!$B:$B,$B43,GM_Wise_Raw_Availability!$D:$D,Z$32,GM_Wise_Raw_Availability!$E:$E,$D$30)</f>
        <v>0</v>
      </c>
      <c r="AA43" s="30">
        <f>SUMIFS(GM_Wise_Raw_Availability!$C:$C,GM_Wise_Raw_Availability!$B:$B,$B43,GM_Wise_Raw_Availability!$D:$D,AA$32,GM_Wise_Raw_Availability!$E:$E,$D$30)</f>
        <v>0</v>
      </c>
      <c r="AB43" s="30">
        <f>SUMIFS(GM_Wise_Raw_Availability!$C:$C,GM_Wise_Raw_Availability!$B:$B,$B43,GM_Wise_Raw_Availability!$D:$D,AB$32,GM_Wise_Raw_Availability!$E:$E,$D$30)</f>
        <v>4283</v>
      </c>
      <c r="AC43" s="30">
        <f>SUMIFS(GM_Wise_Raw_Availability!$C:$C,GM_Wise_Raw_Availability!$B:$B,$B43,GM_Wise_Raw_Availability!$D:$D,AC$32,GM_Wise_Raw_Availability!$E:$E,$D$30)</f>
        <v>3961</v>
      </c>
      <c r="AD43" s="30">
        <f>SUMIFS(GM_Wise_Raw_Availability!$C:$C,GM_Wise_Raw_Availability!$B:$B,$B43,GM_Wise_Raw_Availability!$D:$D,AD$32,GM_Wise_Raw_Availability!$E:$E,$D$30)</f>
        <v>0</v>
      </c>
      <c r="AE43" s="30">
        <f>SUMIFS(GM_Wise_Raw_Availability!$C:$C,GM_Wise_Raw_Availability!$B:$B,$B43,GM_Wise_Raw_Availability!$D:$D,AE$32,GM_Wise_Raw_Availability!$E:$E,$D$30)</f>
        <v>0</v>
      </c>
      <c r="AF43" s="30">
        <f>SUMIFS(GM_Wise_Raw_Availability!$C:$C,GM_Wise_Raw_Availability!$B:$B,$B43,GM_Wise_Raw_Availability!$D:$D,AF$32,GM_Wise_Raw_Availability!$E:$E,$D$30)</f>
        <v>0</v>
      </c>
      <c r="AG43" s="30">
        <f>SUMIFS(GM_Wise_Raw_Availability!$C:$C,GM_Wise_Raw_Availability!$B:$B,$B43,GM_Wise_Raw_Availability!$D:$D,AG$32,GM_Wise_Raw_Availability!$E:$E,$D$30)</f>
        <v>0</v>
      </c>
      <c r="AH43" s="30">
        <f>SUMIFS(GM_Wise_Raw_Availability!$C:$C,GM_Wise_Raw_Availability!$B:$B,$B43,GM_Wise_Raw_Availability!$D:$D,AH$32,GM_Wise_Raw_Availability!$E:$E,$D$30)</f>
        <v>0</v>
      </c>
      <c r="AI43" s="30">
        <f>SUMIFS(GM_Wise_Raw_Availability!$C:$C,GM_Wise_Raw_Availability!$B:$B,$B43,GM_Wise_Raw_Availability!$D:$D,AI$32,GM_Wise_Raw_Availability!$E:$E,$D$30)</f>
        <v>0</v>
      </c>
      <c r="AJ43" s="30">
        <f>SUMIFS(GM_Wise_Raw_Availability!$C:$C,GM_Wise_Raw_Availability!$B:$B,$B43,GM_Wise_Raw_Availability!$D:$D,AJ$32,GM_Wise_Raw_Availability!$E:$E,$D$30)</f>
        <v>0</v>
      </c>
    </row>
    <row r="44">
      <c r="B44" s="97" t="s">
        <v>26</v>
      </c>
      <c r="C44" s="6"/>
      <c r="D44" s="99"/>
      <c r="E44" s="30">
        <f>SUMIFS(GM_Wise_Raw_Availability!$C:$C,GM_Wise_Raw_Availability!$B:$B,$B44,GM_Wise_Raw_Availability!$D:$D,E$32,GM_Wise_Raw_Availability!$E:$E,$D$30)</f>
        <v>0</v>
      </c>
      <c r="F44" s="30">
        <f>SUMIFS(GM_Wise_Raw_Availability!$C:$C,GM_Wise_Raw_Availability!$B:$B,$B44,GM_Wise_Raw_Availability!$D:$D,F$32,GM_Wise_Raw_Availability!$E:$E,$D$30)</f>
        <v>0</v>
      </c>
      <c r="G44" s="30">
        <f>SUMIFS(GM_Wise_Raw_Availability!$C:$C,GM_Wise_Raw_Availability!$B:$B,$B44,GM_Wise_Raw_Availability!$D:$D,G$32,GM_Wise_Raw_Availability!$E:$E,$D$30)</f>
        <v>0</v>
      </c>
      <c r="H44" s="30">
        <f>SUMIFS(GM_Wise_Raw_Availability!$C:$C,GM_Wise_Raw_Availability!$B:$B,$B44,GM_Wise_Raw_Availability!$D:$D,H$32,GM_Wise_Raw_Availability!$E:$E,$D$30)</f>
        <v>0</v>
      </c>
      <c r="I44" s="30">
        <f>SUMIFS(GM_Wise_Raw_Availability!$C:$C,GM_Wise_Raw_Availability!$B:$B,$B44,GM_Wise_Raw_Availability!$D:$D,I$32,GM_Wise_Raw_Availability!$E:$E,$D$30)</f>
        <v>0</v>
      </c>
      <c r="J44" s="30">
        <f>SUMIFS(GM_Wise_Raw_Availability!$C:$C,GM_Wise_Raw_Availability!$B:$B,$B44,GM_Wise_Raw_Availability!$D:$D,J$32,GM_Wise_Raw_Availability!$E:$E,$D$30)</f>
        <v>0</v>
      </c>
      <c r="K44" s="30">
        <f>SUMIFS(GM_Wise_Raw_Availability!$C:$C,GM_Wise_Raw_Availability!$B:$B,$B44,GM_Wise_Raw_Availability!$D:$D,K$32,GM_Wise_Raw_Availability!$E:$E,$D$30)</f>
        <v>0</v>
      </c>
      <c r="L44" s="30">
        <f>SUMIFS(GM_Wise_Raw_Availability!$C:$C,GM_Wise_Raw_Availability!$B:$B,$B44,GM_Wise_Raw_Availability!$D:$D,L$32,GM_Wise_Raw_Availability!$E:$E,$D$30)</f>
        <v>0</v>
      </c>
      <c r="M44" s="30">
        <f>SUMIFS(GM_Wise_Raw_Availability!$C:$C,GM_Wise_Raw_Availability!$B:$B,$B44,GM_Wise_Raw_Availability!$D:$D,M$32,GM_Wise_Raw_Availability!$E:$E,$D$30)</f>
        <v>0</v>
      </c>
      <c r="N44" s="30">
        <f>SUMIFS(GM_Wise_Raw_Availability!$C:$C,GM_Wise_Raw_Availability!$B:$B,$B44,GM_Wise_Raw_Availability!$D:$D,N$32,GM_Wise_Raw_Availability!$E:$E,$D$30)</f>
        <v>0</v>
      </c>
      <c r="O44" s="30">
        <f>SUMIFS(GM_Wise_Raw_Availability!$C:$C,GM_Wise_Raw_Availability!$B:$B,$B44,GM_Wise_Raw_Availability!$D:$D,O$32,GM_Wise_Raw_Availability!$E:$E,$D$30)</f>
        <v>0</v>
      </c>
      <c r="P44" s="30">
        <f>SUMIFS(GM_Wise_Raw_Availability!$C:$C,GM_Wise_Raw_Availability!$B:$B,$B44,GM_Wise_Raw_Availability!$D:$D,P$32,GM_Wise_Raw_Availability!$E:$E,$D$30)</f>
        <v>0</v>
      </c>
      <c r="Q44" s="30">
        <f>SUMIFS(GM_Wise_Raw_Availability!$C:$C,GM_Wise_Raw_Availability!$B:$B,$B44,GM_Wise_Raw_Availability!$D:$D,Q$32,GM_Wise_Raw_Availability!$E:$E,$D$30)</f>
        <v>0</v>
      </c>
      <c r="R44" s="30">
        <f>SUMIFS(GM_Wise_Raw_Availability!$C:$C,GM_Wise_Raw_Availability!$B:$B,$B44,GM_Wise_Raw_Availability!$D:$D,R$32,GM_Wise_Raw_Availability!$E:$E,$D$30)</f>
        <v>0</v>
      </c>
      <c r="S44" s="30">
        <f>SUMIFS(GM_Wise_Raw_Availability!$C:$C,GM_Wise_Raw_Availability!$B:$B,$B44,GM_Wise_Raw_Availability!$D:$D,S$32,GM_Wise_Raw_Availability!$E:$E,$D$30)</f>
        <v>2409</v>
      </c>
      <c r="T44" s="30"/>
      <c r="U44" s="30">
        <f>SUMIFS(GM_Wise_Raw_Availability!$C:$C,GM_Wise_Raw_Availability!$B:$B,$B44,GM_Wise_Raw_Availability!$D:$D,U$32,GM_Wise_Raw_Availability!$E:$E,$D$30)</f>
        <v>0</v>
      </c>
      <c r="V44" s="30">
        <f>SUMIFS(GM_Wise_Raw_Availability!$C:$C,GM_Wise_Raw_Availability!$B:$B,$B44,GM_Wise_Raw_Availability!$D:$D,V$32,GM_Wise_Raw_Availability!$E:$E,$D$30)</f>
        <v>2080</v>
      </c>
      <c r="W44" s="30">
        <f>SUMIFS(GM_Wise_Raw_Availability!$C:$C,GM_Wise_Raw_Availability!$B:$B,$B44,GM_Wise_Raw_Availability!$D:$D,W$32,GM_Wise_Raw_Availability!$E:$E,$D$30)</f>
        <v>2333</v>
      </c>
      <c r="X44" s="30">
        <f>SUMIFS(GM_Wise_Raw_Availability!$C:$C,GM_Wise_Raw_Availability!$B:$B,$B44,GM_Wise_Raw_Availability!$D:$D,X$32,GM_Wise_Raw_Availability!$E:$E,$D$30)</f>
        <v>2823</v>
      </c>
      <c r="Y44" s="30">
        <f>SUMIFS(GM_Wise_Raw_Availability!$C:$C,GM_Wise_Raw_Availability!$B:$B,$B44,GM_Wise_Raw_Availability!$D:$D,Y$32,GM_Wise_Raw_Availability!$E:$E,$D$30)</f>
        <v>0</v>
      </c>
      <c r="Z44" s="30">
        <f>SUMIFS(GM_Wise_Raw_Availability!$C:$C,GM_Wise_Raw_Availability!$B:$B,$B44,GM_Wise_Raw_Availability!$D:$D,Z$32,GM_Wise_Raw_Availability!$E:$E,$D$30)</f>
        <v>0</v>
      </c>
      <c r="AA44" s="30">
        <f>SUMIFS(GM_Wise_Raw_Availability!$C:$C,GM_Wise_Raw_Availability!$B:$B,$B44,GM_Wise_Raw_Availability!$D:$D,AA$32,GM_Wise_Raw_Availability!$E:$E,$D$30)</f>
        <v>0</v>
      </c>
      <c r="AB44" s="30">
        <f>SUMIFS(GM_Wise_Raw_Availability!$C:$C,GM_Wise_Raw_Availability!$B:$B,$B44,GM_Wise_Raw_Availability!$D:$D,AB$32,GM_Wise_Raw_Availability!$E:$E,$D$30)</f>
        <v>2482</v>
      </c>
      <c r="AC44" s="30">
        <f>SUMIFS(GM_Wise_Raw_Availability!$C:$C,GM_Wise_Raw_Availability!$B:$B,$B44,GM_Wise_Raw_Availability!$D:$D,AC$32,GM_Wise_Raw_Availability!$E:$E,$D$30)</f>
        <v>2493</v>
      </c>
      <c r="AD44" s="30">
        <f>SUMIFS(GM_Wise_Raw_Availability!$C:$C,GM_Wise_Raw_Availability!$B:$B,$B44,GM_Wise_Raw_Availability!$D:$D,AD$32,GM_Wise_Raw_Availability!$E:$E,$D$30)</f>
        <v>0</v>
      </c>
      <c r="AE44" s="30">
        <f>SUMIFS(GM_Wise_Raw_Availability!$C:$C,GM_Wise_Raw_Availability!$B:$B,$B44,GM_Wise_Raw_Availability!$D:$D,AE$32,GM_Wise_Raw_Availability!$E:$E,$D$30)</f>
        <v>0</v>
      </c>
      <c r="AF44" s="30">
        <f>SUMIFS(GM_Wise_Raw_Availability!$C:$C,GM_Wise_Raw_Availability!$B:$B,$B44,GM_Wise_Raw_Availability!$D:$D,AF$32,GM_Wise_Raw_Availability!$E:$E,$D$30)</f>
        <v>0</v>
      </c>
      <c r="AG44" s="30">
        <f>SUMIFS(GM_Wise_Raw_Availability!$C:$C,GM_Wise_Raw_Availability!$B:$B,$B44,GM_Wise_Raw_Availability!$D:$D,AG$32,GM_Wise_Raw_Availability!$E:$E,$D$30)</f>
        <v>0</v>
      </c>
      <c r="AH44" s="30">
        <f>SUMIFS(GM_Wise_Raw_Availability!$C:$C,GM_Wise_Raw_Availability!$B:$B,$B44,GM_Wise_Raw_Availability!$D:$D,AH$32,GM_Wise_Raw_Availability!$E:$E,$D$30)</f>
        <v>0</v>
      </c>
      <c r="AI44" s="30">
        <f>SUMIFS(GM_Wise_Raw_Availability!$C:$C,GM_Wise_Raw_Availability!$B:$B,$B44,GM_Wise_Raw_Availability!$D:$D,AI$32,GM_Wise_Raw_Availability!$E:$E,$D$30)</f>
        <v>0</v>
      </c>
      <c r="AJ44" s="30">
        <f>SUMIFS(GM_Wise_Raw_Availability!$C:$C,GM_Wise_Raw_Availability!$B:$B,$B44,GM_Wise_Raw_Availability!$D:$D,AJ$32,GM_Wise_Raw_Availability!$E:$E,$D$30)</f>
        <v>0</v>
      </c>
    </row>
    <row r="45">
      <c r="B45" s="85" t="s">
        <v>27</v>
      </c>
      <c r="C45" s="6"/>
      <c r="D45" s="100"/>
      <c r="E45" s="30">
        <f>SUMIFS(GM_Wise_Raw_Availability!$C:$C,GM_Wise_Raw_Availability!$B:$B,$B45,GM_Wise_Raw_Availability!$D:$D,E$32,GM_Wise_Raw_Availability!$E:$E,$D$30)</f>
        <v>0</v>
      </c>
      <c r="F45" s="30">
        <f>SUMIFS(GM_Wise_Raw_Availability!$C:$C,GM_Wise_Raw_Availability!$B:$B,$B45,GM_Wise_Raw_Availability!$D:$D,F$32,GM_Wise_Raw_Availability!$E:$E,$D$30)</f>
        <v>0</v>
      </c>
      <c r="G45" s="30">
        <f>SUMIFS(GM_Wise_Raw_Availability!$C:$C,GM_Wise_Raw_Availability!$B:$B,$B45,GM_Wise_Raw_Availability!$D:$D,G$32,GM_Wise_Raw_Availability!$E:$E,$D$30)</f>
        <v>0</v>
      </c>
      <c r="H45" s="30">
        <f>SUMIFS(GM_Wise_Raw_Availability!$C:$C,GM_Wise_Raw_Availability!$B:$B,$B45,GM_Wise_Raw_Availability!$D:$D,H$32,GM_Wise_Raw_Availability!$E:$E,$D$30)</f>
        <v>0</v>
      </c>
      <c r="I45" s="30">
        <f>SUMIFS(GM_Wise_Raw_Availability!$C:$C,GM_Wise_Raw_Availability!$B:$B,$B45,GM_Wise_Raw_Availability!$D:$D,I$32,GM_Wise_Raw_Availability!$E:$E,$D$30)</f>
        <v>0</v>
      </c>
      <c r="J45" s="30">
        <f>SUMIFS(GM_Wise_Raw_Availability!$C:$C,GM_Wise_Raw_Availability!$B:$B,$B45,GM_Wise_Raw_Availability!$D:$D,J$32,GM_Wise_Raw_Availability!$E:$E,$D$30)</f>
        <v>0</v>
      </c>
      <c r="K45" s="30">
        <f>SUMIFS(GM_Wise_Raw_Availability!$C:$C,GM_Wise_Raw_Availability!$B:$B,$B45,GM_Wise_Raw_Availability!$D:$D,K$32,GM_Wise_Raw_Availability!$E:$E,$D$30)</f>
        <v>0</v>
      </c>
      <c r="L45" s="30">
        <f>SUMIFS(GM_Wise_Raw_Availability!$C:$C,GM_Wise_Raw_Availability!$B:$B,$B45,GM_Wise_Raw_Availability!$D:$D,L$32,GM_Wise_Raw_Availability!$E:$E,$D$30)</f>
        <v>0</v>
      </c>
      <c r="M45" s="30">
        <f>SUMIFS(GM_Wise_Raw_Availability!$C:$C,GM_Wise_Raw_Availability!$B:$B,$B45,GM_Wise_Raw_Availability!$D:$D,M$32,GM_Wise_Raw_Availability!$E:$E,$D$30)</f>
        <v>0</v>
      </c>
      <c r="N45" s="30">
        <f>SUMIFS(GM_Wise_Raw_Availability!$C:$C,GM_Wise_Raw_Availability!$B:$B,$B45,GM_Wise_Raw_Availability!$D:$D,N$32,GM_Wise_Raw_Availability!$E:$E,$D$30)</f>
        <v>0</v>
      </c>
      <c r="O45" s="30">
        <f>SUMIFS(GM_Wise_Raw_Availability!$C:$C,GM_Wise_Raw_Availability!$B:$B,$B45,GM_Wise_Raw_Availability!$D:$D,O$32,GM_Wise_Raw_Availability!$E:$E,$D$30)</f>
        <v>0</v>
      </c>
      <c r="P45" s="30">
        <f>SUMIFS(GM_Wise_Raw_Availability!$C:$C,GM_Wise_Raw_Availability!$B:$B,$B45,GM_Wise_Raw_Availability!$D:$D,P$32,GM_Wise_Raw_Availability!$E:$E,$D$30)</f>
        <v>0</v>
      </c>
      <c r="Q45" s="30">
        <f>SUMIFS(GM_Wise_Raw_Availability!$C:$C,GM_Wise_Raw_Availability!$B:$B,$B45,GM_Wise_Raw_Availability!$D:$D,Q$32,GM_Wise_Raw_Availability!$E:$E,$D$30)</f>
        <v>0</v>
      </c>
      <c r="R45" s="30">
        <f>SUMIFS(GM_Wise_Raw_Availability!$C:$C,GM_Wise_Raw_Availability!$B:$B,$B45,GM_Wise_Raw_Availability!$D:$D,R$32,GM_Wise_Raw_Availability!$E:$E,$D$30)</f>
        <v>0</v>
      </c>
      <c r="S45" s="30">
        <f>SUMIFS(GM_Wise_Raw_Availability!$C:$C,GM_Wise_Raw_Availability!$B:$B,$B45,GM_Wise_Raw_Availability!$D:$D,S$32,GM_Wise_Raw_Availability!$E:$E,$D$30)</f>
        <v>1304</v>
      </c>
      <c r="T45" s="30"/>
      <c r="U45" s="30">
        <f>SUMIFS(GM_Wise_Raw_Availability!$C:$C,GM_Wise_Raw_Availability!$B:$B,$B45,GM_Wise_Raw_Availability!$D:$D,U$32,GM_Wise_Raw_Availability!$E:$E,$D$30)</f>
        <v>0</v>
      </c>
      <c r="V45" s="30">
        <f>SUMIFS(GM_Wise_Raw_Availability!$C:$C,GM_Wise_Raw_Availability!$B:$B,$B45,GM_Wise_Raw_Availability!$D:$D,V$32,GM_Wise_Raw_Availability!$E:$E,$D$30)</f>
        <v>1136</v>
      </c>
      <c r="W45" s="30">
        <f>SUMIFS(GM_Wise_Raw_Availability!$C:$C,GM_Wise_Raw_Availability!$B:$B,$B45,GM_Wise_Raw_Availability!$D:$D,W$32,GM_Wise_Raw_Availability!$E:$E,$D$30)</f>
        <v>1328</v>
      </c>
      <c r="X45" s="30">
        <f>SUMIFS(GM_Wise_Raw_Availability!$C:$C,GM_Wise_Raw_Availability!$B:$B,$B45,GM_Wise_Raw_Availability!$D:$D,X$32,GM_Wise_Raw_Availability!$E:$E,$D$30)</f>
        <v>1617</v>
      </c>
      <c r="Y45" s="30">
        <f>SUMIFS(GM_Wise_Raw_Availability!$C:$C,GM_Wise_Raw_Availability!$B:$B,$B45,GM_Wise_Raw_Availability!$D:$D,Y$32,GM_Wise_Raw_Availability!$E:$E,$D$30)</f>
        <v>0</v>
      </c>
      <c r="Z45" s="30">
        <f>SUMIFS(GM_Wise_Raw_Availability!$C:$C,GM_Wise_Raw_Availability!$B:$B,$B45,GM_Wise_Raw_Availability!$D:$D,Z$32,GM_Wise_Raw_Availability!$E:$E,$D$30)</f>
        <v>0</v>
      </c>
      <c r="AA45" s="30">
        <f>SUMIFS(GM_Wise_Raw_Availability!$C:$C,GM_Wise_Raw_Availability!$B:$B,$B45,GM_Wise_Raw_Availability!$D:$D,AA$32,GM_Wise_Raw_Availability!$E:$E,$D$30)</f>
        <v>0</v>
      </c>
      <c r="AB45" s="30">
        <f>SUMIFS(GM_Wise_Raw_Availability!$C:$C,GM_Wise_Raw_Availability!$B:$B,$B45,GM_Wise_Raw_Availability!$D:$D,AB$32,GM_Wise_Raw_Availability!$E:$E,$D$30)</f>
        <v>1798</v>
      </c>
      <c r="AC45" s="30">
        <f>SUMIFS(GM_Wise_Raw_Availability!$C:$C,GM_Wise_Raw_Availability!$B:$B,$B45,GM_Wise_Raw_Availability!$D:$D,AC$32,GM_Wise_Raw_Availability!$E:$E,$D$30)</f>
        <v>1419</v>
      </c>
      <c r="AD45" s="30">
        <f>SUMIFS(GM_Wise_Raw_Availability!$C:$C,GM_Wise_Raw_Availability!$B:$B,$B45,GM_Wise_Raw_Availability!$D:$D,AD$32,GM_Wise_Raw_Availability!$E:$E,$D$30)</f>
        <v>0</v>
      </c>
      <c r="AE45" s="30">
        <f>SUMIFS(GM_Wise_Raw_Availability!$C:$C,GM_Wise_Raw_Availability!$B:$B,$B45,GM_Wise_Raw_Availability!$D:$D,AE$32,GM_Wise_Raw_Availability!$E:$E,$D$30)</f>
        <v>0</v>
      </c>
      <c r="AF45" s="30">
        <f>SUMIFS(GM_Wise_Raw_Availability!$C:$C,GM_Wise_Raw_Availability!$B:$B,$B45,GM_Wise_Raw_Availability!$D:$D,AF$32,GM_Wise_Raw_Availability!$E:$E,$D$30)</f>
        <v>0</v>
      </c>
      <c r="AG45" s="30">
        <f>SUMIFS(GM_Wise_Raw_Availability!$C:$C,GM_Wise_Raw_Availability!$B:$B,$B45,GM_Wise_Raw_Availability!$D:$D,AG$32,GM_Wise_Raw_Availability!$E:$E,$D$30)</f>
        <v>0</v>
      </c>
      <c r="AH45" s="30">
        <f>SUMIFS(GM_Wise_Raw_Availability!$C:$C,GM_Wise_Raw_Availability!$B:$B,$B45,GM_Wise_Raw_Availability!$D:$D,AH$32,GM_Wise_Raw_Availability!$E:$E,$D$30)</f>
        <v>0</v>
      </c>
      <c r="AI45" s="30">
        <f>SUMIFS(GM_Wise_Raw_Availability!$C:$C,GM_Wise_Raw_Availability!$B:$B,$B45,GM_Wise_Raw_Availability!$D:$D,AI$32,GM_Wise_Raw_Availability!$E:$E,$D$30)</f>
        <v>0</v>
      </c>
      <c r="AJ45" s="30">
        <f>SUMIFS(GM_Wise_Raw_Availability!$C:$C,GM_Wise_Raw_Availability!$B:$B,$B45,GM_Wise_Raw_Availability!$D:$D,AJ$32,GM_Wise_Raw_Availability!$E:$E,$D$30)</f>
        <v>0</v>
      </c>
    </row>
    <row r="46">
      <c r="B46" s="90" t="s">
        <v>28</v>
      </c>
      <c r="C46" s="6"/>
      <c r="D46" s="101"/>
      <c r="E46" s="92">
        <f t="shared" ref="E46:S46" si="23">SUM(E42:E45)</f>
        <v>0</v>
      </c>
      <c r="F46" s="92">
        <f t="shared" si="23"/>
        <v>0</v>
      </c>
      <c r="G46" s="92">
        <f t="shared" si="23"/>
        <v>0</v>
      </c>
      <c r="H46" s="92">
        <f t="shared" si="23"/>
        <v>0</v>
      </c>
      <c r="I46" s="92">
        <f t="shared" si="23"/>
        <v>0</v>
      </c>
      <c r="J46" s="92">
        <f t="shared" si="23"/>
        <v>0</v>
      </c>
      <c r="K46" s="92">
        <f t="shared" si="23"/>
        <v>0</v>
      </c>
      <c r="L46" s="92">
        <f t="shared" si="23"/>
        <v>0</v>
      </c>
      <c r="M46" s="92">
        <f t="shared" si="23"/>
        <v>0</v>
      </c>
      <c r="N46" s="92">
        <f t="shared" si="23"/>
        <v>0</v>
      </c>
      <c r="O46" s="92">
        <f t="shared" si="23"/>
        <v>0</v>
      </c>
      <c r="P46" s="92">
        <f t="shared" si="23"/>
        <v>0</v>
      </c>
      <c r="Q46" s="92">
        <f t="shared" si="23"/>
        <v>0</v>
      </c>
      <c r="R46" s="92">
        <f t="shared" si="23"/>
        <v>0</v>
      </c>
      <c r="S46" s="92">
        <f t="shared" si="23"/>
        <v>12917</v>
      </c>
      <c r="T46" s="92"/>
      <c r="U46" s="92">
        <f t="shared" ref="U46:AJ46" si="24">SUM(U42:U45)</f>
        <v>0</v>
      </c>
      <c r="V46" s="92">
        <f t="shared" si="24"/>
        <v>12025</v>
      </c>
      <c r="W46" s="92">
        <f t="shared" si="24"/>
        <v>12474</v>
      </c>
      <c r="X46" s="92">
        <f t="shared" si="24"/>
        <v>14340</v>
      </c>
      <c r="Y46" s="92">
        <f t="shared" si="24"/>
        <v>0</v>
      </c>
      <c r="Z46" s="92">
        <f t="shared" si="24"/>
        <v>0</v>
      </c>
      <c r="AA46" s="92">
        <f t="shared" si="24"/>
        <v>0</v>
      </c>
      <c r="AB46" s="92">
        <f t="shared" si="24"/>
        <v>14769</v>
      </c>
      <c r="AC46" s="92">
        <f t="shared" si="24"/>
        <v>13913</v>
      </c>
      <c r="AD46" s="92">
        <f t="shared" si="24"/>
        <v>0</v>
      </c>
      <c r="AE46" s="92">
        <f t="shared" si="24"/>
        <v>0</v>
      </c>
      <c r="AF46" s="92">
        <f t="shared" si="24"/>
        <v>0</v>
      </c>
      <c r="AG46" s="92">
        <f t="shared" si="24"/>
        <v>0</v>
      </c>
      <c r="AH46" s="92">
        <f t="shared" si="24"/>
        <v>0</v>
      </c>
      <c r="AI46" s="92">
        <f t="shared" si="24"/>
        <v>0</v>
      </c>
      <c r="AJ46" s="92">
        <f t="shared" si="24"/>
        <v>0</v>
      </c>
    </row>
    <row r="47">
      <c r="B47" s="85" t="s">
        <v>29</v>
      </c>
      <c r="C47" s="6"/>
      <c r="D47" s="102"/>
      <c r="E47" s="30">
        <f>SUMIFS(GM_Wise_Raw_Availability!$C:$C,GM_Wise_Raw_Availability!$B:$B,$B47,GM_Wise_Raw_Availability!$D:$D,E$32,GM_Wise_Raw_Availability!$E:$E,$D$30)</f>
        <v>0</v>
      </c>
      <c r="F47" s="30">
        <f>SUMIFS(GM_Wise_Raw_Availability!$C:$C,GM_Wise_Raw_Availability!$B:$B,$B47,GM_Wise_Raw_Availability!$D:$D,F$32,GM_Wise_Raw_Availability!$E:$E,$D$30)</f>
        <v>0</v>
      </c>
      <c r="G47" s="30">
        <f>SUMIFS(GM_Wise_Raw_Availability!$C:$C,GM_Wise_Raw_Availability!$B:$B,$B47,GM_Wise_Raw_Availability!$D:$D,G$32,GM_Wise_Raw_Availability!$E:$E,$D$30)</f>
        <v>0</v>
      </c>
      <c r="H47" s="30">
        <f>SUMIFS(GM_Wise_Raw_Availability!$C:$C,GM_Wise_Raw_Availability!$B:$B,$B47,GM_Wise_Raw_Availability!$D:$D,H$32,GM_Wise_Raw_Availability!$E:$E,$D$30)</f>
        <v>0</v>
      </c>
      <c r="I47" s="30">
        <f>SUMIFS(GM_Wise_Raw_Availability!$C:$C,GM_Wise_Raw_Availability!$B:$B,$B47,GM_Wise_Raw_Availability!$D:$D,I$32,GM_Wise_Raw_Availability!$E:$E,$D$30)</f>
        <v>0</v>
      </c>
      <c r="J47" s="30">
        <f>SUMIFS(GM_Wise_Raw_Availability!$C:$C,GM_Wise_Raw_Availability!$B:$B,$B47,GM_Wise_Raw_Availability!$D:$D,J$32,GM_Wise_Raw_Availability!$E:$E,$D$30)</f>
        <v>0</v>
      </c>
      <c r="K47" s="30">
        <f>SUMIFS(GM_Wise_Raw_Availability!$C:$C,GM_Wise_Raw_Availability!$B:$B,$B47,GM_Wise_Raw_Availability!$D:$D,K$32,GM_Wise_Raw_Availability!$E:$E,$D$30)</f>
        <v>0</v>
      </c>
      <c r="L47" s="30">
        <f>SUMIFS(GM_Wise_Raw_Availability!$C:$C,GM_Wise_Raw_Availability!$B:$B,$B47,GM_Wise_Raw_Availability!$D:$D,L$32,GM_Wise_Raw_Availability!$E:$E,$D$30)</f>
        <v>0</v>
      </c>
      <c r="M47" s="30">
        <f>SUMIFS(GM_Wise_Raw_Availability!$C:$C,GM_Wise_Raw_Availability!$B:$B,$B47,GM_Wise_Raw_Availability!$D:$D,M$32,GM_Wise_Raw_Availability!$E:$E,$D$30)</f>
        <v>0</v>
      </c>
      <c r="N47" s="30">
        <f>SUMIFS(GM_Wise_Raw_Availability!$C:$C,GM_Wise_Raw_Availability!$B:$B,$B47,GM_Wise_Raw_Availability!$D:$D,N$32,GM_Wise_Raw_Availability!$E:$E,$D$30)</f>
        <v>0</v>
      </c>
      <c r="O47" s="30">
        <f>SUMIFS(GM_Wise_Raw_Availability!$C:$C,GM_Wise_Raw_Availability!$B:$B,$B47,GM_Wise_Raw_Availability!$D:$D,O$32,GM_Wise_Raw_Availability!$E:$E,$D$30)</f>
        <v>0</v>
      </c>
      <c r="P47" s="30">
        <f>SUMIFS(GM_Wise_Raw_Availability!$C:$C,GM_Wise_Raw_Availability!$B:$B,$B47,GM_Wise_Raw_Availability!$D:$D,P$32,GM_Wise_Raw_Availability!$E:$E,$D$30)</f>
        <v>0</v>
      </c>
      <c r="Q47" s="30">
        <f>SUMIFS(GM_Wise_Raw_Availability!$C:$C,GM_Wise_Raw_Availability!$B:$B,$B47,GM_Wise_Raw_Availability!$D:$D,Q$32,GM_Wise_Raw_Availability!$E:$E,$D$30)</f>
        <v>0</v>
      </c>
      <c r="R47" s="30">
        <f>SUMIFS(GM_Wise_Raw_Availability!$C:$C,GM_Wise_Raw_Availability!$B:$B,$B47,GM_Wise_Raw_Availability!$D:$D,R$32,GM_Wise_Raw_Availability!$E:$E,$D$30)</f>
        <v>0</v>
      </c>
      <c r="S47" s="30">
        <f>SUMIFS(GM_Wise_Raw_Availability!$C:$C,GM_Wise_Raw_Availability!$B:$B,$B47,GM_Wise_Raw_Availability!$D:$D,S$32,GM_Wise_Raw_Availability!$E:$E,$D$30)</f>
        <v>4159</v>
      </c>
      <c r="T47" s="30"/>
      <c r="U47" s="30">
        <f>SUMIFS(GM_Wise_Raw_Availability!$C:$C,GM_Wise_Raw_Availability!$B:$B,$B47,GM_Wise_Raw_Availability!$D:$D,U$32,GM_Wise_Raw_Availability!$E:$E,$D$30)</f>
        <v>0</v>
      </c>
      <c r="V47" s="30">
        <f>SUMIFS(GM_Wise_Raw_Availability!$C:$C,GM_Wise_Raw_Availability!$B:$B,$B47,GM_Wise_Raw_Availability!$D:$D,V$32,GM_Wise_Raw_Availability!$E:$E,$D$30)</f>
        <v>3990</v>
      </c>
      <c r="W47" s="30">
        <f>SUMIFS(GM_Wise_Raw_Availability!$C:$C,GM_Wise_Raw_Availability!$B:$B,$B47,GM_Wise_Raw_Availability!$D:$D,W$32,GM_Wise_Raw_Availability!$E:$E,$D$30)</f>
        <v>4286</v>
      </c>
      <c r="X47" s="30">
        <f>SUMIFS(GM_Wise_Raw_Availability!$C:$C,GM_Wise_Raw_Availability!$B:$B,$B47,GM_Wise_Raw_Availability!$D:$D,X$32,GM_Wise_Raw_Availability!$E:$E,$D$30)</f>
        <v>4088</v>
      </c>
      <c r="Y47" s="30">
        <f>SUMIFS(GM_Wise_Raw_Availability!$C:$C,GM_Wise_Raw_Availability!$B:$B,$B47,GM_Wise_Raw_Availability!$D:$D,Y$32,GM_Wise_Raw_Availability!$E:$E,$D$30)</f>
        <v>0</v>
      </c>
      <c r="Z47" s="30">
        <f>SUMIFS(GM_Wise_Raw_Availability!$C:$C,GM_Wise_Raw_Availability!$B:$B,$B47,GM_Wise_Raw_Availability!$D:$D,Z$32,GM_Wise_Raw_Availability!$E:$E,$D$30)</f>
        <v>0</v>
      </c>
      <c r="AA47" s="30">
        <f>SUMIFS(GM_Wise_Raw_Availability!$C:$C,GM_Wise_Raw_Availability!$B:$B,$B47,GM_Wise_Raw_Availability!$D:$D,AA$32,GM_Wise_Raw_Availability!$E:$E,$D$30)</f>
        <v>0</v>
      </c>
      <c r="AB47" s="30">
        <f>SUMIFS(GM_Wise_Raw_Availability!$C:$C,GM_Wise_Raw_Availability!$B:$B,$B47,GM_Wise_Raw_Availability!$D:$D,AB$32,GM_Wise_Raw_Availability!$E:$E,$D$30)</f>
        <v>4847</v>
      </c>
      <c r="AC47" s="30">
        <f>SUMIFS(GM_Wise_Raw_Availability!$C:$C,GM_Wise_Raw_Availability!$B:$B,$B47,GM_Wise_Raw_Availability!$D:$D,AC$32,GM_Wise_Raw_Availability!$E:$E,$D$30)</f>
        <v>4589</v>
      </c>
      <c r="AD47" s="30">
        <f>SUMIFS(GM_Wise_Raw_Availability!$C:$C,GM_Wise_Raw_Availability!$B:$B,$B47,GM_Wise_Raw_Availability!$D:$D,AD$32,GM_Wise_Raw_Availability!$E:$E,$D$30)</f>
        <v>0</v>
      </c>
      <c r="AE47" s="30">
        <f>SUMIFS(GM_Wise_Raw_Availability!$C:$C,GM_Wise_Raw_Availability!$B:$B,$B47,GM_Wise_Raw_Availability!$D:$D,AE$32,GM_Wise_Raw_Availability!$E:$E,$D$30)</f>
        <v>0</v>
      </c>
      <c r="AF47" s="30">
        <f>SUMIFS(GM_Wise_Raw_Availability!$C:$C,GM_Wise_Raw_Availability!$B:$B,$B47,GM_Wise_Raw_Availability!$D:$D,AF$32,GM_Wise_Raw_Availability!$E:$E,$D$30)</f>
        <v>0</v>
      </c>
      <c r="AG47" s="30">
        <f>SUMIFS(GM_Wise_Raw_Availability!$C:$C,GM_Wise_Raw_Availability!$B:$B,$B47,GM_Wise_Raw_Availability!$D:$D,AG$32,GM_Wise_Raw_Availability!$E:$E,$D$30)</f>
        <v>0</v>
      </c>
      <c r="AH47" s="30">
        <f>SUMIFS(GM_Wise_Raw_Availability!$C:$C,GM_Wise_Raw_Availability!$B:$B,$B47,GM_Wise_Raw_Availability!$D:$D,AH$32,GM_Wise_Raw_Availability!$E:$E,$D$30)</f>
        <v>0</v>
      </c>
      <c r="AI47" s="30">
        <f>SUMIFS(GM_Wise_Raw_Availability!$C:$C,GM_Wise_Raw_Availability!$B:$B,$B47,GM_Wise_Raw_Availability!$D:$D,AI$32,GM_Wise_Raw_Availability!$E:$E,$D$30)</f>
        <v>0</v>
      </c>
      <c r="AJ47" s="30">
        <f>SUMIFS(GM_Wise_Raw_Availability!$C:$C,GM_Wise_Raw_Availability!$B:$B,$B47,GM_Wise_Raw_Availability!$D:$D,AJ$32,GM_Wise_Raw_Availability!$E:$E,$D$30)</f>
        <v>0</v>
      </c>
    </row>
    <row r="48">
      <c r="B48" s="85" t="s">
        <v>30</v>
      </c>
      <c r="C48" s="6"/>
      <c r="D48" s="103"/>
      <c r="E48" s="30">
        <f>SUMIFS(GM_Wise_Raw_Availability!$C:$C,GM_Wise_Raw_Availability!$B:$B,$B48,GM_Wise_Raw_Availability!$D:$D,E$32,GM_Wise_Raw_Availability!$E:$E,$D$30)</f>
        <v>0</v>
      </c>
      <c r="F48" s="30">
        <f>SUMIFS(GM_Wise_Raw_Availability!$C:$C,GM_Wise_Raw_Availability!$B:$B,$B48,GM_Wise_Raw_Availability!$D:$D,F$32,GM_Wise_Raw_Availability!$E:$E,$D$30)</f>
        <v>0</v>
      </c>
      <c r="G48" s="30">
        <f>SUMIFS(GM_Wise_Raw_Availability!$C:$C,GM_Wise_Raw_Availability!$B:$B,$B48,GM_Wise_Raw_Availability!$D:$D,G$32,GM_Wise_Raw_Availability!$E:$E,$D$30)</f>
        <v>0</v>
      </c>
      <c r="H48" s="30">
        <f>SUMIFS(GM_Wise_Raw_Availability!$C:$C,GM_Wise_Raw_Availability!$B:$B,$B48,GM_Wise_Raw_Availability!$D:$D,H$32,GM_Wise_Raw_Availability!$E:$E,$D$30)</f>
        <v>0</v>
      </c>
      <c r="I48" s="30">
        <f>SUMIFS(GM_Wise_Raw_Availability!$C:$C,GM_Wise_Raw_Availability!$B:$B,$B48,GM_Wise_Raw_Availability!$D:$D,I$32,GM_Wise_Raw_Availability!$E:$E,$D$30)</f>
        <v>0</v>
      </c>
      <c r="J48" s="30">
        <f>SUMIFS(GM_Wise_Raw_Availability!$C:$C,GM_Wise_Raw_Availability!$B:$B,$B48,GM_Wise_Raw_Availability!$D:$D,J$32,GM_Wise_Raw_Availability!$E:$E,$D$30)</f>
        <v>0</v>
      </c>
      <c r="K48" s="30">
        <f>SUMIFS(GM_Wise_Raw_Availability!$C:$C,GM_Wise_Raw_Availability!$B:$B,$B48,GM_Wise_Raw_Availability!$D:$D,K$32,GM_Wise_Raw_Availability!$E:$E,$D$30)</f>
        <v>0</v>
      </c>
      <c r="L48" s="30">
        <f>SUMIFS(GM_Wise_Raw_Availability!$C:$C,GM_Wise_Raw_Availability!$B:$B,$B48,GM_Wise_Raw_Availability!$D:$D,L$32,GM_Wise_Raw_Availability!$E:$E,$D$30)</f>
        <v>0</v>
      </c>
      <c r="M48" s="30">
        <f>SUMIFS(GM_Wise_Raw_Availability!$C:$C,GM_Wise_Raw_Availability!$B:$B,$B48,GM_Wise_Raw_Availability!$D:$D,M$32,GM_Wise_Raw_Availability!$E:$E,$D$30)</f>
        <v>0</v>
      </c>
      <c r="N48" s="30">
        <f>SUMIFS(GM_Wise_Raw_Availability!$C:$C,GM_Wise_Raw_Availability!$B:$B,$B48,GM_Wise_Raw_Availability!$D:$D,N$32,GM_Wise_Raw_Availability!$E:$E,$D$30)</f>
        <v>0</v>
      </c>
      <c r="O48" s="30">
        <f>SUMIFS(GM_Wise_Raw_Availability!$C:$C,GM_Wise_Raw_Availability!$B:$B,$B48,GM_Wise_Raw_Availability!$D:$D,O$32,GM_Wise_Raw_Availability!$E:$E,$D$30)</f>
        <v>0</v>
      </c>
      <c r="P48" s="30">
        <f>SUMIFS(GM_Wise_Raw_Availability!$C:$C,GM_Wise_Raw_Availability!$B:$B,$B48,GM_Wise_Raw_Availability!$D:$D,P$32,GM_Wise_Raw_Availability!$E:$E,$D$30)</f>
        <v>0</v>
      </c>
      <c r="Q48" s="30">
        <f>SUMIFS(GM_Wise_Raw_Availability!$C:$C,GM_Wise_Raw_Availability!$B:$B,$B48,GM_Wise_Raw_Availability!$D:$D,Q$32,GM_Wise_Raw_Availability!$E:$E,$D$30)</f>
        <v>0</v>
      </c>
      <c r="R48" s="30">
        <f>SUMIFS(GM_Wise_Raw_Availability!$C:$C,GM_Wise_Raw_Availability!$B:$B,$B48,GM_Wise_Raw_Availability!$D:$D,R$32,GM_Wise_Raw_Availability!$E:$E,$D$30)</f>
        <v>0</v>
      </c>
      <c r="S48" s="30">
        <f>SUMIFS(GM_Wise_Raw_Availability!$C:$C,GM_Wise_Raw_Availability!$B:$B,$B48,GM_Wise_Raw_Availability!$D:$D,S$32,GM_Wise_Raw_Availability!$E:$E,$D$30)</f>
        <v>4269</v>
      </c>
      <c r="T48" s="30"/>
      <c r="U48" s="30">
        <f>SUMIFS(GM_Wise_Raw_Availability!$C:$C,GM_Wise_Raw_Availability!$B:$B,$B48,GM_Wise_Raw_Availability!$D:$D,U$32,GM_Wise_Raw_Availability!$E:$E,$D$30)</f>
        <v>0</v>
      </c>
      <c r="V48" s="30">
        <f>SUMIFS(GM_Wise_Raw_Availability!$C:$C,GM_Wise_Raw_Availability!$B:$B,$B48,GM_Wise_Raw_Availability!$D:$D,V$32,GM_Wise_Raw_Availability!$E:$E,$D$30)</f>
        <v>4057</v>
      </c>
      <c r="W48" s="30">
        <f>SUMIFS(GM_Wise_Raw_Availability!$C:$C,GM_Wise_Raw_Availability!$B:$B,$B48,GM_Wise_Raw_Availability!$D:$D,W$32,GM_Wise_Raw_Availability!$E:$E,$D$30)</f>
        <v>4502</v>
      </c>
      <c r="X48" s="30">
        <f>SUMIFS(GM_Wise_Raw_Availability!$C:$C,GM_Wise_Raw_Availability!$B:$B,$B48,GM_Wise_Raw_Availability!$D:$D,X$32,GM_Wise_Raw_Availability!$E:$E,$D$30)</f>
        <v>4675</v>
      </c>
      <c r="Y48" s="30">
        <f>SUMIFS(GM_Wise_Raw_Availability!$C:$C,GM_Wise_Raw_Availability!$B:$B,$B48,GM_Wise_Raw_Availability!$D:$D,Y$32,GM_Wise_Raw_Availability!$E:$E,$D$30)</f>
        <v>0</v>
      </c>
      <c r="Z48" s="30">
        <f>SUMIFS(GM_Wise_Raw_Availability!$C:$C,GM_Wise_Raw_Availability!$B:$B,$B48,GM_Wise_Raw_Availability!$D:$D,Z$32,GM_Wise_Raw_Availability!$E:$E,$D$30)</f>
        <v>0</v>
      </c>
      <c r="AA48" s="30">
        <f>SUMIFS(GM_Wise_Raw_Availability!$C:$C,GM_Wise_Raw_Availability!$B:$B,$B48,GM_Wise_Raw_Availability!$D:$D,AA$32,GM_Wise_Raw_Availability!$E:$E,$D$30)</f>
        <v>0</v>
      </c>
      <c r="AB48" s="30">
        <f>SUMIFS(GM_Wise_Raw_Availability!$C:$C,GM_Wise_Raw_Availability!$B:$B,$B48,GM_Wise_Raw_Availability!$D:$D,AB$32,GM_Wise_Raw_Availability!$E:$E,$D$30)</f>
        <v>4658</v>
      </c>
      <c r="AC48" s="30">
        <f>SUMIFS(GM_Wise_Raw_Availability!$C:$C,GM_Wise_Raw_Availability!$B:$B,$B48,GM_Wise_Raw_Availability!$D:$D,AC$32,GM_Wise_Raw_Availability!$E:$E,$D$30)</f>
        <v>4157</v>
      </c>
      <c r="AD48" s="30">
        <f>SUMIFS(GM_Wise_Raw_Availability!$C:$C,GM_Wise_Raw_Availability!$B:$B,$B48,GM_Wise_Raw_Availability!$D:$D,AD$32,GM_Wise_Raw_Availability!$E:$E,$D$30)</f>
        <v>0</v>
      </c>
      <c r="AE48" s="30">
        <f>SUMIFS(GM_Wise_Raw_Availability!$C:$C,GM_Wise_Raw_Availability!$B:$B,$B48,GM_Wise_Raw_Availability!$D:$D,AE$32,GM_Wise_Raw_Availability!$E:$E,$D$30)</f>
        <v>0</v>
      </c>
      <c r="AF48" s="30">
        <f>SUMIFS(GM_Wise_Raw_Availability!$C:$C,GM_Wise_Raw_Availability!$B:$B,$B48,GM_Wise_Raw_Availability!$D:$D,AF$32,GM_Wise_Raw_Availability!$E:$E,$D$30)</f>
        <v>0</v>
      </c>
      <c r="AG48" s="30">
        <f>SUMIFS(GM_Wise_Raw_Availability!$C:$C,GM_Wise_Raw_Availability!$B:$B,$B48,GM_Wise_Raw_Availability!$D:$D,AG$32,GM_Wise_Raw_Availability!$E:$E,$D$30)</f>
        <v>0</v>
      </c>
      <c r="AH48" s="30">
        <f>SUMIFS(GM_Wise_Raw_Availability!$C:$C,GM_Wise_Raw_Availability!$B:$B,$B48,GM_Wise_Raw_Availability!$D:$D,AH$32,GM_Wise_Raw_Availability!$E:$E,$D$30)</f>
        <v>0</v>
      </c>
      <c r="AI48" s="30">
        <f>SUMIFS(GM_Wise_Raw_Availability!$C:$C,GM_Wise_Raw_Availability!$B:$B,$B48,GM_Wise_Raw_Availability!$D:$D,AI$32,GM_Wise_Raw_Availability!$E:$E,$D$30)</f>
        <v>0</v>
      </c>
      <c r="AJ48" s="30">
        <f>SUMIFS(GM_Wise_Raw_Availability!$C:$C,GM_Wise_Raw_Availability!$B:$B,$B48,GM_Wise_Raw_Availability!$D:$D,AJ$32,GM_Wise_Raw_Availability!$E:$E,$D$30)</f>
        <v>0</v>
      </c>
    </row>
    <row r="49">
      <c r="B49" s="90" t="s">
        <v>31</v>
      </c>
      <c r="C49" s="6"/>
      <c r="D49" s="104"/>
      <c r="E49" s="92">
        <f t="shared" ref="E49:S49" si="25">SUM(E47:E48)</f>
        <v>0</v>
      </c>
      <c r="F49" s="92">
        <f t="shared" si="25"/>
        <v>0</v>
      </c>
      <c r="G49" s="92">
        <f t="shared" si="25"/>
        <v>0</v>
      </c>
      <c r="H49" s="92">
        <f t="shared" si="25"/>
        <v>0</v>
      </c>
      <c r="I49" s="92">
        <f t="shared" si="25"/>
        <v>0</v>
      </c>
      <c r="J49" s="92">
        <f t="shared" si="25"/>
        <v>0</v>
      </c>
      <c r="K49" s="92">
        <f t="shared" si="25"/>
        <v>0</v>
      </c>
      <c r="L49" s="92">
        <f t="shared" si="25"/>
        <v>0</v>
      </c>
      <c r="M49" s="92">
        <f t="shared" si="25"/>
        <v>0</v>
      </c>
      <c r="N49" s="92">
        <f t="shared" si="25"/>
        <v>0</v>
      </c>
      <c r="O49" s="92">
        <f t="shared" si="25"/>
        <v>0</v>
      </c>
      <c r="P49" s="92">
        <f t="shared" si="25"/>
        <v>0</v>
      </c>
      <c r="Q49" s="92">
        <f t="shared" si="25"/>
        <v>0</v>
      </c>
      <c r="R49" s="92">
        <f t="shared" si="25"/>
        <v>0</v>
      </c>
      <c r="S49" s="92">
        <f t="shared" si="25"/>
        <v>8428</v>
      </c>
      <c r="T49" s="92"/>
      <c r="U49" s="92">
        <f t="shared" ref="U49:AJ49" si="26">SUM(U47:U48)</f>
        <v>0</v>
      </c>
      <c r="V49" s="92">
        <f t="shared" si="26"/>
        <v>8047</v>
      </c>
      <c r="W49" s="92">
        <f t="shared" si="26"/>
        <v>8788</v>
      </c>
      <c r="X49" s="92">
        <f t="shared" si="26"/>
        <v>8763</v>
      </c>
      <c r="Y49" s="92">
        <f t="shared" si="26"/>
        <v>0</v>
      </c>
      <c r="Z49" s="92">
        <f t="shared" si="26"/>
        <v>0</v>
      </c>
      <c r="AA49" s="92">
        <f t="shared" si="26"/>
        <v>0</v>
      </c>
      <c r="AB49" s="92">
        <f t="shared" si="26"/>
        <v>9505</v>
      </c>
      <c r="AC49" s="92">
        <f t="shared" si="26"/>
        <v>8746</v>
      </c>
      <c r="AD49" s="92">
        <f t="shared" si="26"/>
        <v>0</v>
      </c>
      <c r="AE49" s="92">
        <f t="shared" si="26"/>
        <v>0</v>
      </c>
      <c r="AF49" s="92">
        <f t="shared" si="26"/>
        <v>0</v>
      </c>
      <c r="AG49" s="92">
        <f t="shared" si="26"/>
        <v>0</v>
      </c>
      <c r="AH49" s="92">
        <f t="shared" si="26"/>
        <v>0</v>
      </c>
      <c r="AI49" s="92">
        <f t="shared" si="26"/>
        <v>0</v>
      </c>
      <c r="AJ49" s="92">
        <f t="shared" si="26"/>
        <v>0</v>
      </c>
    </row>
    <row r="60">
      <c r="B60" s="1" t="s">
        <v>0</v>
      </c>
      <c r="C60" s="2"/>
      <c r="D60" s="2"/>
      <c r="E60" s="1">
        <f t="shared" ref="E60:S60" si="27">E78+E73+E69+E64</f>
        <v>0</v>
      </c>
      <c r="F60" s="1">
        <f t="shared" si="27"/>
        <v>0</v>
      </c>
      <c r="G60" s="1">
        <f t="shared" si="27"/>
        <v>0</v>
      </c>
      <c r="H60" s="1">
        <f t="shared" si="27"/>
        <v>4576103</v>
      </c>
      <c r="I60" s="1">
        <f t="shared" si="27"/>
        <v>0</v>
      </c>
      <c r="J60" s="1">
        <f t="shared" si="27"/>
        <v>0</v>
      </c>
      <c r="K60" s="1">
        <f t="shared" si="27"/>
        <v>0</v>
      </c>
      <c r="L60" s="1">
        <f t="shared" si="27"/>
        <v>0</v>
      </c>
      <c r="M60" s="1">
        <f t="shared" si="27"/>
        <v>0</v>
      </c>
      <c r="N60" s="1">
        <f t="shared" si="27"/>
        <v>0</v>
      </c>
      <c r="O60" s="1">
        <f t="shared" si="27"/>
        <v>0</v>
      </c>
      <c r="P60" s="1">
        <f t="shared" si="27"/>
        <v>0</v>
      </c>
      <c r="Q60" s="1">
        <f t="shared" si="27"/>
        <v>0</v>
      </c>
      <c r="R60" s="1">
        <f t="shared" si="27"/>
        <v>0</v>
      </c>
      <c r="S60" s="1">
        <f t="shared" si="27"/>
        <v>0</v>
      </c>
      <c r="T60" s="1"/>
      <c r="U60" s="1">
        <f t="shared" ref="U60:AJ60" si="28">U78+U73+U69+U64</f>
        <v>4070113</v>
      </c>
      <c r="V60" s="1">
        <f t="shared" si="28"/>
        <v>3978871</v>
      </c>
      <c r="W60" s="1">
        <f t="shared" si="28"/>
        <v>3998622</v>
      </c>
      <c r="X60" s="1">
        <f t="shared" si="28"/>
        <v>3442219</v>
      </c>
      <c r="Y60" s="1">
        <f t="shared" si="28"/>
        <v>3512649</v>
      </c>
      <c r="Z60" s="1">
        <f t="shared" si="28"/>
        <v>0</v>
      </c>
      <c r="AA60" s="1">
        <f t="shared" si="28"/>
        <v>0</v>
      </c>
      <c r="AB60" s="1">
        <f t="shared" si="28"/>
        <v>4087506</v>
      </c>
      <c r="AC60" s="1">
        <f t="shared" si="28"/>
        <v>0</v>
      </c>
      <c r="AD60" s="1">
        <f t="shared" si="28"/>
        <v>0</v>
      </c>
      <c r="AE60" s="1">
        <f t="shared" si="28"/>
        <v>0</v>
      </c>
      <c r="AF60" s="1">
        <f t="shared" si="28"/>
        <v>0</v>
      </c>
      <c r="AG60" s="1">
        <f t="shared" si="28"/>
        <v>0</v>
      </c>
      <c r="AH60" s="1">
        <f t="shared" si="28"/>
        <v>0</v>
      </c>
      <c r="AI60" s="1">
        <f t="shared" si="28"/>
        <v>0</v>
      </c>
      <c r="AJ60" s="1">
        <f t="shared" si="28"/>
        <v>0</v>
      </c>
      <c r="AK60" s="6"/>
    </row>
    <row r="61">
      <c r="B61" s="79" t="s">
        <v>37</v>
      </c>
      <c r="C61" s="79" t="s">
        <v>35</v>
      </c>
      <c r="D61" s="5">
        <v>18.0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>
      <c r="B62" s="6"/>
      <c r="C62" s="105">
        <v>25.0</v>
      </c>
      <c r="D62" s="105">
        <v>26.0</v>
      </c>
      <c r="E62" s="105">
        <v>1.0</v>
      </c>
      <c r="F62" s="105">
        <v>2.0</v>
      </c>
      <c r="G62" s="105">
        <v>3.0</v>
      </c>
      <c r="H62" s="105">
        <v>4.0</v>
      </c>
      <c r="I62" s="105">
        <v>5.0</v>
      </c>
      <c r="J62" s="105">
        <v>6.0</v>
      </c>
      <c r="K62" s="105">
        <v>7.0</v>
      </c>
      <c r="L62" s="105">
        <v>8.0</v>
      </c>
      <c r="M62" s="105">
        <v>9.0</v>
      </c>
      <c r="N62" s="105">
        <v>10.0</v>
      </c>
      <c r="O62" s="105">
        <v>11.0</v>
      </c>
      <c r="P62" s="105">
        <v>12.0</v>
      </c>
      <c r="Q62" s="105">
        <v>13.0</v>
      </c>
      <c r="R62" s="105">
        <v>14.0</v>
      </c>
      <c r="S62" s="105">
        <v>15.0</v>
      </c>
      <c r="T62" s="105"/>
      <c r="U62" s="105">
        <v>16.0</v>
      </c>
      <c r="V62" s="105">
        <v>17.0</v>
      </c>
      <c r="W62" s="105">
        <v>18.0</v>
      </c>
      <c r="X62" s="105">
        <v>19.0</v>
      </c>
      <c r="Y62" s="105">
        <v>20.0</v>
      </c>
      <c r="Z62" s="105">
        <v>21.0</v>
      </c>
      <c r="AA62" s="105">
        <v>22.0</v>
      </c>
      <c r="AB62" s="105">
        <v>23.0</v>
      </c>
      <c r="AC62" s="105">
        <v>24.0</v>
      </c>
      <c r="AD62" s="105">
        <v>25.0</v>
      </c>
      <c r="AE62" s="105">
        <v>26.0</v>
      </c>
      <c r="AF62" s="105">
        <v>27.0</v>
      </c>
      <c r="AG62" s="105">
        <v>28.0</v>
      </c>
      <c r="AH62" s="105">
        <v>29.0</v>
      </c>
      <c r="AI62" s="105">
        <v>30.0</v>
      </c>
      <c r="AJ62" s="105">
        <v>31.0</v>
      </c>
      <c r="AK62" s="6"/>
    </row>
    <row r="63">
      <c r="B63" s="106" t="s">
        <v>4</v>
      </c>
      <c r="C63" s="6"/>
      <c r="D63" s="107" t="s">
        <v>14</v>
      </c>
      <c r="E63" s="108">
        <v>45870.0</v>
      </c>
      <c r="F63" s="108">
        <v>45871.0</v>
      </c>
      <c r="G63" s="108">
        <v>45872.0</v>
      </c>
      <c r="H63" s="108">
        <v>45873.0</v>
      </c>
      <c r="I63" s="108">
        <v>45874.0</v>
      </c>
      <c r="J63" s="108">
        <v>45875.0</v>
      </c>
      <c r="K63" s="108">
        <v>45876.0</v>
      </c>
      <c r="L63" s="108">
        <v>45877.0</v>
      </c>
      <c r="M63" s="108">
        <v>45878.0</v>
      </c>
      <c r="N63" s="108">
        <v>45879.0</v>
      </c>
      <c r="O63" s="108">
        <v>45880.0</v>
      </c>
      <c r="P63" s="108">
        <v>45881.0</v>
      </c>
      <c r="Q63" s="108">
        <v>45882.0</v>
      </c>
      <c r="R63" s="108">
        <v>45883.0</v>
      </c>
      <c r="S63" s="108">
        <v>45884.0</v>
      </c>
      <c r="T63" s="108"/>
      <c r="U63" s="108">
        <v>45885.0</v>
      </c>
      <c r="V63" s="108">
        <v>45886.0</v>
      </c>
      <c r="W63" s="108">
        <v>45887.0</v>
      </c>
      <c r="X63" s="108">
        <v>45888.0</v>
      </c>
      <c r="Y63" s="108">
        <v>45889.0</v>
      </c>
      <c r="Z63" s="108">
        <v>45890.0</v>
      </c>
      <c r="AA63" s="108">
        <v>45891.0</v>
      </c>
      <c r="AB63" s="108">
        <v>45892.0</v>
      </c>
      <c r="AC63" s="108">
        <v>45893.0</v>
      </c>
      <c r="AD63" s="108">
        <v>45894.0</v>
      </c>
      <c r="AE63" s="108">
        <v>45895.0</v>
      </c>
      <c r="AF63" s="108">
        <v>45896.0</v>
      </c>
      <c r="AG63" s="108">
        <v>45897.0</v>
      </c>
      <c r="AH63" s="108">
        <v>45898.0</v>
      </c>
      <c r="AI63" s="108">
        <v>45899.0</v>
      </c>
      <c r="AJ63" s="108">
        <v>45900.0</v>
      </c>
      <c r="AK63" s="6"/>
    </row>
    <row r="64">
      <c r="B64" s="90" t="s">
        <v>19</v>
      </c>
      <c r="C64" s="6"/>
      <c r="D64" s="109"/>
      <c r="E64" s="110">
        <f t="shared" ref="E64:S64" si="29">SUM(E65:E68)</f>
        <v>0</v>
      </c>
      <c r="F64" s="110">
        <f t="shared" si="29"/>
        <v>0</v>
      </c>
      <c r="G64" s="110">
        <f t="shared" si="29"/>
        <v>0</v>
      </c>
      <c r="H64" s="110">
        <f t="shared" si="29"/>
        <v>1189509</v>
      </c>
      <c r="I64" s="110">
        <f t="shared" si="29"/>
        <v>0</v>
      </c>
      <c r="J64" s="110">
        <f t="shared" si="29"/>
        <v>0</v>
      </c>
      <c r="K64" s="110">
        <f t="shared" si="29"/>
        <v>0</v>
      </c>
      <c r="L64" s="110">
        <f t="shared" si="29"/>
        <v>0</v>
      </c>
      <c r="M64" s="110">
        <f t="shared" si="29"/>
        <v>0</v>
      </c>
      <c r="N64" s="110">
        <f t="shared" si="29"/>
        <v>0</v>
      </c>
      <c r="O64" s="110">
        <f t="shared" si="29"/>
        <v>0</v>
      </c>
      <c r="P64" s="110">
        <f t="shared" si="29"/>
        <v>0</v>
      </c>
      <c r="Q64" s="110">
        <f t="shared" si="29"/>
        <v>0</v>
      </c>
      <c r="R64" s="110">
        <f t="shared" si="29"/>
        <v>0</v>
      </c>
      <c r="S64" s="110">
        <f t="shared" si="29"/>
        <v>0</v>
      </c>
      <c r="T64" s="110"/>
      <c r="U64" s="110">
        <f t="shared" ref="U64:AJ64" si="30">SUM(U65:U68)</f>
        <v>937928</v>
      </c>
      <c r="V64" s="110">
        <f t="shared" si="30"/>
        <v>840655</v>
      </c>
      <c r="W64" s="110">
        <f t="shared" si="30"/>
        <v>891721</v>
      </c>
      <c r="X64" s="110">
        <f t="shared" si="30"/>
        <v>845915</v>
      </c>
      <c r="Y64" s="110">
        <f t="shared" si="30"/>
        <v>818520</v>
      </c>
      <c r="Z64" s="110">
        <f t="shared" si="30"/>
        <v>0</v>
      </c>
      <c r="AA64" s="110">
        <f t="shared" si="30"/>
        <v>0</v>
      </c>
      <c r="AB64" s="110">
        <f t="shared" si="30"/>
        <v>933190</v>
      </c>
      <c r="AC64" s="110">
        <f t="shared" si="30"/>
        <v>0</v>
      </c>
      <c r="AD64" s="110">
        <f t="shared" si="30"/>
        <v>0</v>
      </c>
      <c r="AE64" s="110">
        <f t="shared" si="30"/>
        <v>0</v>
      </c>
      <c r="AF64" s="110">
        <f t="shared" si="30"/>
        <v>0</v>
      </c>
      <c r="AG64" s="110">
        <f t="shared" si="30"/>
        <v>0</v>
      </c>
      <c r="AH64" s="110">
        <f t="shared" si="30"/>
        <v>0</v>
      </c>
      <c r="AI64" s="110">
        <f t="shared" si="30"/>
        <v>0</v>
      </c>
      <c r="AJ64" s="110">
        <f t="shared" si="30"/>
        <v>0</v>
      </c>
      <c r="AK64" s="6"/>
    </row>
    <row r="65">
      <c r="B65" s="85" t="s">
        <v>15</v>
      </c>
      <c r="C65" s="6"/>
      <c r="D65" s="30"/>
      <c r="E65" s="30">
        <f>SUMIFS(GM_Wise_Raw_Landing!$C:$C,GM_Wise_Raw_Landing!$A:$A,$B65,GM_Wise_Raw_Landing!$D:$D,E$63,GM_Wise_Raw_Landing!$E:$E,$D$61)</f>
        <v>0</v>
      </c>
      <c r="F65" s="30">
        <f>SUMIFS(GM_Wise_Raw_Landing!$C:$C,GM_Wise_Raw_Landing!$A:$A,$B65,GM_Wise_Raw_Landing!$D:$D,F$63,GM_Wise_Raw_Landing!$E:$E,$D$61)</f>
        <v>0</v>
      </c>
      <c r="G65" s="30">
        <f>SUMIFS(GM_Wise_Raw_Landing!$C:$C,GM_Wise_Raw_Landing!$A:$A,$B65,GM_Wise_Raw_Landing!$D:$D,G$63,GM_Wise_Raw_Landing!$E:$E,$D$61)</f>
        <v>0</v>
      </c>
      <c r="H65" s="30">
        <f>SUMIFS(GM_Wise_Raw_Landing!$C:$C,GM_Wise_Raw_Landing!$A:$A,$B65,GM_Wise_Raw_Landing!$D:$D,H$63,GM_Wise_Raw_Landing!$E:$E,$D$61)</f>
        <v>191630</v>
      </c>
      <c r="I65" s="30">
        <f>SUMIFS(GM_Wise_Raw_Landing!$C:$C,GM_Wise_Raw_Landing!$A:$A,$B65,GM_Wise_Raw_Landing!$D:$D,I$63,GM_Wise_Raw_Landing!$E:$E,$D$61)</f>
        <v>0</v>
      </c>
      <c r="J65" s="30">
        <f>SUMIFS(GM_Wise_Raw_Landing!$C:$C,GM_Wise_Raw_Landing!$A:$A,$B65,GM_Wise_Raw_Landing!$D:$D,J$63,GM_Wise_Raw_Landing!$E:$E,$D$61)</f>
        <v>0</v>
      </c>
      <c r="K65" s="30">
        <f>SUMIFS(GM_Wise_Raw_Landing!$C:$C,GM_Wise_Raw_Landing!$A:$A,$B65,GM_Wise_Raw_Landing!$D:$D,K$63,GM_Wise_Raw_Landing!$E:$E,$D$61)</f>
        <v>0</v>
      </c>
      <c r="L65" s="30">
        <f>SUMIFS(GM_Wise_Raw_Landing!$C:$C,GM_Wise_Raw_Landing!$A:$A,$B65,GM_Wise_Raw_Landing!$D:$D,L$63,GM_Wise_Raw_Landing!$E:$E,$D$61)</f>
        <v>0</v>
      </c>
      <c r="M65" s="30">
        <f>SUMIFS(GM_Wise_Raw_Landing!$C:$C,GM_Wise_Raw_Landing!$A:$A,$B65,GM_Wise_Raw_Landing!$D:$D,M$63,GM_Wise_Raw_Landing!$E:$E,$D$61)</f>
        <v>0</v>
      </c>
      <c r="N65" s="30">
        <f>SUMIFS(GM_Wise_Raw_Landing!$C:$C,GM_Wise_Raw_Landing!$A:$A,$B65,GM_Wise_Raw_Landing!$D:$D,N$63,GM_Wise_Raw_Landing!$E:$E,$D$61)</f>
        <v>0</v>
      </c>
      <c r="O65" s="30">
        <f>SUMIFS(GM_Wise_Raw_Landing!$C:$C,GM_Wise_Raw_Landing!$A:$A,$B65,GM_Wise_Raw_Landing!$D:$D,O$63,GM_Wise_Raw_Landing!$E:$E,$D$61)</f>
        <v>0</v>
      </c>
      <c r="P65" s="30">
        <f>SUMIFS(GM_Wise_Raw_Landing!$C:$C,GM_Wise_Raw_Landing!$A:$A,$B65,GM_Wise_Raw_Landing!$D:$D,P$63,GM_Wise_Raw_Landing!$E:$E,$D$61)</f>
        <v>0</v>
      </c>
      <c r="Q65" s="30">
        <f>SUMIFS(GM_Wise_Raw_Landing!$C:$C,GM_Wise_Raw_Landing!$A:$A,$B65,GM_Wise_Raw_Landing!$D:$D,Q$63,GM_Wise_Raw_Landing!$E:$E,$D$61)</f>
        <v>0</v>
      </c>
      <c r="R65" s="30">
        <f>SUMIFS(GM_Wise_Raw_Landing!$C:$C,GM_Wise_Raw_Landing!$A:$A,$B65,GM_Wise_Raw_Landing!$D:$D,R$63,GM_Wise_Raw_Landing!$E:$E,$D$61)</f>
        <v>0</v>
      </c>
      <c r="S65" s="30">
        <f>SUMIFS(GM_Wise_Raw_Landing!$C:$C,GM_Wise_Raw_Landing!$A:$A,$B65,GM_Wise_Raw_Landing!$D:$D,S$63,GM_Wise_Raw_Landing!$E:$E,$D$61)</f>
        <v>0</v>
      </c>
      <c r="T65" s="30"/>
      <c r="U65" s="30">
        <f>SUMIFS(GM_Wise_Raw_Landing!$C:$C,GM_Wise_Raw_Landing!$A:$A,$B65,GM_Wise_Raw_Landing!$D:$D,U$63,GM_Wise_Raw_Landing!$E:$E,$D$61)</f>
        <v>156185</v>
      </c>
      <c r="V65" s="30">
        <f>SUMIFS(GM_Wise_Raw_Landing!$C:$C,GM_Wise_Raw_Landing!$A:$A,$B65,GM_Wise_Raw_Landing!$D:$D,V$63,GM_Wise_Raw_Landing!$E:$E,$D$61)</f>
        <v>150202</v>
      </c>
      <c r="W65" s="30">
        <f>SUMIFS(GM_Wise_Raw_Landing!$C:$C,GM_Wise_Raw_Landing!$A:$A,$B65,GM_Wise_Raw_Landing!$D:$D,W$63,GM_Wise_Raw_Landing!$E:$E,$D$61)</f>
        <v>137812</v>
      </c>
      <c r="X65" s="30">
        <f>SUMIFS(GM_Wise_Raw_Landing!$C:$C,GM_Wise_Raw_Landing!$A:$A,$B65,GM_Wise_Raw_Landing!$D:$D,X$63,GM_Wise_Raw_Landing!$E:$E,$D$61)</f>
        <v>128471</v>
      </c>
      <c r="Y65" s="30">
        <f>SUMIFS(GM_Wise_Raw_Landing!$C:$C,GM_Wise_Raw_Landing!$A:$A,$B65,GM_Wise_Raw_Landing!$D:$D,Y$63,GM_Wise_Raw_Landing!$E:$E,$D$61)</f>
        <v>133855</v>
      </c>
      <c r="Z65" s="30">
        <f>SUMIFS(GM_Wise_Raw_Landing!$C:$C,GM_Wise_Raw_Landing!$A:$A,$B65,GM_Wise_Raw_Landing!$D:$D,Z$63,GM_Wise_Raw_Landing!$E:$E,$D$61)</f>
        <v>0</v>
      </c>
      <c r="AA65" s="30">
        <f>SUMIFS(GM_Wise_Raw_Landing!$C:$C,GM_Wise_Raw_Landing!$A:$A,$B65,GM_Wise_Raw_Landing!$D:$D,AA$63,GM_Wise_Raw_Landing!$E:$E,$D$61)</f>
        <v>0</v>
      </c>
      <c r="AB65" s="30">
        <f>SUMIFS(GM_Wise_Raw_Landing!$C:$C,GM_Wise_Raw_Landing!$A:$A,$B65,GM_Wise_Raw_Landing!$D:$D,AB$63,GM_Wise_Raw_Landing!$E:$E,$D$61)</f>
        <v>148203</v>
      </c>
      <c r="AC65" s="30">
        <f>SUMIFS(GM_Wise_Raw_Landing!$C:$C,GM_Wise_Raw_Landing!$A:$A,$B65,GM_Wise_Raw_Landing!$D:$D,AC$63,GM_Wise_Raw_Landing!$E:$E,$D$61)</f>
        <v>0</v>
      </c>
      <c r="AD65" s="30">
        <f>SUMIFS(GM_Wise_Raw_Landing!$C:$C,GM_Wise_Raw_Landing!$A:$A,$B65,GM_Wise_Raw_Landing!$D:$D,AD$63,GM_Wise_Raw_Landing!$E:$E,$D$61)</f>
        <v>0</v>
      </c>
      <c r="AE65" s="30">
        <f>SUMIFS(GM_Wise_Raw_Landing!$C:$C,GM_Wise_Raw_Landing!$A:$A,$B65,GM_Wise_Raw_Landing!$D:$D,AE$63,GM_Wise_Raw_Landing!$E:$E,$D$61)</f>
        <v>0</v>
      </c>
      <c r="AF65" s="30">
        <f>SUMIFS(GM_Wise_Raw_Landing!$C:$C,GM_Wise_Raw_Landing!$A:$A,$B65,GM_Wise_Raw_Landing!$D:$D,AF$63,GM_Wise_Raw_Landing!$E:$E,$D$61)</f>
        <v>0</v>
      </c>
      <c r="AG65" s="30">
        <f>SUMIFS(GM_Wise_Raw_Landing!$C:$C,GM_Wise_Raw_Landing!$A:$A,$B65,GM_Wise_Raw_Landing!$D:$D,AG$63,GM_Wise_Raw_Landing!$E:$E,$D$61)</f>
        <v>0</v>
      </c>
      <c r="AH65" s="30">
        <f>SUMIFS(GM_Wise_Raw_Landing!$C:$C,GM_Wise_Raw_Landing!$A:$A,$B65,GM_Wise_Raw_Landing!$D:$D,AH$63,GM_Wise_Raw_Landing!$E:$E,$D$61)</f>
        <v>0</v>
      </c>
      <c r="AI65" s="30">
        <f>SUMIFS(GM_Wise_Raw_Landing!$C:$C,GM_Wise_Raw_Landing!$A:$A,$B65,GM_Wise_Raw_Landing!$D:$D,AI$63,GM_Wise_Raw_Landing!$E:$E,$D$61)</f>
        <v>0</v>
      </c>
      <c r="AJ65" s="30">
        <f>SUMIFS(GM_Wise_Raw_Landing!$C:$C,GM_Wise_Raw_Landing!$A:$A,$B65,GM_Wise_Raw_Landing!$D:$D,AJ$63,GM_Wise_Raw_Landing!$E:$E,$D$61)</f>
        <v>0</v>
      </c>
      <c r="AK65" s="6"/>
    </row>
    <row r="66">
      <c r="B66" s="85" t="s">
        <v>16</v>
      </c>
      <c r="C66" s="6"/>
      <c r="D66" s="30"/>
      <c r="E66" s="30">
        <f>SUMIFS(GM_Wise_Raw_Landing!$C:$C,GM_Wise_Raw_Landing!$A:$A,$B66,GM_Wise_Raw_Landing!$D:$D,E$63,GM_Wise_Raw_Landing!$E:$E,$D$61)</f>
        <v>0</v>
      </c>
      <c r="F66" s="30">
        <f>SUMIFS(GM_Wise_Raw_Landing!$C:$C,GM_Wise_Raw_Landing!$A:$A,$B66,GM_Wise_Raw_Landing!$D:$D,F$63,GM_Wise_Raw_Landing!$E:$E,$D$61)</f>
        <v>0</v>
      </c>
      <c r="G66" s="30">
        <f>SUMIFS(GM_Wise_Raw_Landing!$C:$C,GM_Wise_Raw_Landing!$A:$A,$B66,GM_Wise_Raw_Landing!$D:$D,G$63,GM_Wise_Raw_Landing!$E:$E,$D$61)</f>
        <v>0</v>
      </c>
      <c r="H66" s="30">
        <f>SUMIFS(GM_Wise_Raw_Landing!$C:$C,GM_Wise_Raw_Landing!$A:$A,$B66,GM_Wise_Raw_Landing!$D:$D,H$63,GM_Wise_Raw_Landing!$E:$E,$D$61)</f>
        <v>510548</v>
      </c>
      <c r="I66" s="30">
        <f>SUMIFS(GM_Wise_Raw_Landing!$C:$C,GM_Wise_Raw_Landing!$A:$A,$B66,GM_Wise_Raw_Landing!$D:$D,I$63,GM_Wise_Raw_Landing!$E:$E,$D$61)</f>
        <v>0</v>
      </c>
      <c r="J66" s="30">
        <f>SUMIFS(GM_Wise_Raw_Landing!$C:$C,GM_Wise_Raw_Landing!$A:$A,$B66,GM_Wise_Raw_Landing!$D:$D,J$63,GM_Wise_Raw_Landing!$E:$E,$D$61)</f>
        <v>0</v>
      </c>
      <c r="K66" s="30">
        <f>SUMIFS(GM_Wise_Raw_Landing!$C:$C,GM_Wise_Raw_Landing!$A:$A,$B66,GM_Wise_Raw_Landing!$D:$D,K$63,GM_Wise_Raw_Landing!$E:$E,$D$61)</f>
        <v>0</v>
      </c>
      <c r="L66" s="30">
        <f>SUMIFS(GM_Wise_Raw_Landing!$C:$C,GM_Wise_Raw_Landing!$A:$A,$B66,GM_Wise_Raw_Landing!$D:$D,L$63,GM_Wise_Raw_Landing!$E:$E,$D$61)</f>
        <v>0</v>
      </c>
      <c r="M66" s="30">
        <f>SUMIFS(GM_Wise_Raw_Landing!$C:$C,GM_Wise_Raw_Landing!$A:$A,$B66,GM_Wise_Raw_Landing!$D:$D,M$63,GM_Wise_Raw_Landing!$E:$E,$D$61)</f>
        <v>0</v>
      </c>
      <c r="N66" s="30">
        <f>SUMIFS(GM_Wise_Raw_Landing!$C:$C,GM_Wise_Raw_Landing!$A:$A,$B66,GM_Wise_Raw_Landing!$D:$D,N$63,GM_Wise_Raw_Landing!$E:$E,$D$61)</f>
        <v>0</v>
      </c>
      <c r="O66" s="30">
        <f>SUMIFS(GM_Wise_Raw_Landing!$C:$C,GM_Wise_Raw_Landing!$A:$A,$B66,GM_Wise_Raw_Landing!$D:$D,O$63,GM_Wise_Raw_Landing!$E:$E,$D$61)</f>
        <v>0</v>
      </c>
      <c r="P66" s="30">
        <f>SUMIFS(GM_Wise_Raw_Landing!$C:$C,GM_Wise_Raw_Landing!$A:$A,$B66,GM_Wise_Raw_Landing!$D:$D,P$63,GM_Wise_Raw_Landing!$E:$E,$D$61)</f>
        <v>0</v>
      </c>
      <c r="Q66" s="30">
        <f>SUMIFS(GM_Wise_Raw_Landing!$C:$C,GM_Wise_Raw_Landing!$A:$A,$B66,GM_Wise_Raw_Landing!$D:$D,Q$63,GM_Wise_Raw_Landing!$E:$E,$D$61)</f>
        <v>0</v>
      </c>
      <c r="R66" s="30">
        <f>SUMIFS(GM_Wise_Raw_Landing!$C:$C,GM_Wise_Raw_Landing!$A:$A,$B66,GM_Wise_Raw_Landing!$D:$D,R$63,GM_Wise_Raw_Landing!$E:$E,$D$61)</f>
        <v>0</v>
      </c>
      <c r="S66" s="30">
        <f>SUMIFS(GM_Wise_Raw_Landing!$C:$C,GM_Wise_Raw_Landing!$A:$A,$B66,GM_Wise_Raw_Landing!$D:$D,S$63,GM_Wise_Raw_Landing!$E:$E,$D$61)</f>
        <v>0</v>
      </c>
      <c r="T66" s="30"/>
      <c r="U66" s="30">
        <f>SUMIFS(GM_Wise_Raw_Landing!$C:$C,GM_Wise_Raw_Landing!$A:$A,$B66,GM_Wise_Raw_Landing!$D:$D,U$63,GM_Wise_Raw_Landing!$E:$E,$D$61)</f>
        <v>429163</v>
      </c>
      <c r="V66" s="30">
        <f>SUMIFS(GM_Wise_Raw_Landing!$C:$C,GM_Wise_Raw_Landing!$A:$A,$B66,GM_Wise_Raw_Landing!$D:$D,V$63,GM_Wise_Raw_Landing!$E:$E,$D$61)</f>
        <v>370692</v>
      </c>
      <c r="W66" s="30">
        <f>SUMIFS(GM_Wise_Raw_Landing!$C:$C,GM_Wise_Raw_Landing!$A:$A,$B66,GM_Wise_Raw_Landing!$D:$D,W$63,GM_Wise_Raw_Landing!$E:$E,$D$61)</f>
        <v>378047</v>
      </c>
      <c r="X66" s="30">
        <f>SUMIFS(GM_Wise_Raw_Landing!$C:$C,GM_Wise_Raw_Landing!$A:$A,$B66,GM_Wise_Raw_Landing!$D:$D,X$63,GM_Wise_Raw_Landing!$E:$E,$D$61)</f>
        <v>380557</v>
      </c>
      <c r="Y66" s="30">
        <f>SUMIFS(GM_Wise_Raw_Landing!$C:$C,GM_Wise_Raw_Landing!$A:$A,$B66,GM_Wise_Raw_Landing!$D:$D,Y$63,GM_Wise_Raw_Landing!$E:$E,$D$61)</f>
        <v>361383</v>
      </c>
      <c r="Z66" s="30">
        <f>SUMIFS(GM_Wise_Raw_Landing!$C:$C,GM_Wise_Raw_Landing!$A:$A,$B66,GM_Wise_Raw_Landing!$D:$D,Z$63,GM_Wise_Raw_Landing!$E:$E,$D$61)</f>
        <v>0</v>
      </c>
      <c r="AA66" s="30">
        <f>SUMIFS(GM_Wise_Raw_Landing!$C:$C,GM_Wise_Raw_Landing!$A:$A,$B66,GM_Wise_Raw_Landing!$D:$D,AA$63,GM_Wise_Raw_Landing!$E:$E,$D$61)</f>
        <v>0</v>
      </c>
      <c r="AB66" s="30">
        <f>SUMIFS(GM_Wise_Raw_Landing!$C:$C,GM_Wise_Raw_Landing!$A:$A,$B66,GM_Wise_Raw_Landing!$D:$D,AB$63,GM_Wise_Raw_Landing!$E:$E,$D$61)</f>
        <v>401770</v>
      </c>
      <c r="AC66" s="30">
        <f>SUMIFS(GM_Wise_Raw_Landing!$C:$C,GM_Wise_Raw_Landing!$A:$A,$B66,GM_Wise_Raw_Landing!$D:$D,AC$63,GM_Wise_Raw_Landing!$E:$E,$D$61)</f>
        <v>0</v>
      </c>
      <c r="AD66" s="30">
        <f>SUMIFS(GM_Wise_Raw_Landing!$C:$C,GM_Wise_Raw_Landing!$A:$A,$B66,GM_Wise_Raw_Landing!$D:$D,AD$63,GM_Wise_Raw_Landing!$E:$E,$D$61)</f>
        <v>0</v>
      </c>
      <c r="AE66" s="30">
        <f>SUMIFS(GM_Wise_Raw_Landing!$C:$C,GM_Wise_Raw_Landing!$A:$A,$B66,GM_Wise_Raw_Landing!$D:$D,AE$63,GM_Wise_Raw_Landing!$E:$E,$D$61)</f>
        <v>0</v>
      </c>
      <c r="AF66" s="30">
        <f>SUMIFS(GM_Wise_Raw_Landing!$C:$C,GM_Wise_Raw_Landing!$A:$A,$B66,GM_Wise_Raw_Landing!$D:$D,AF$63,GM_Wise_Raw_Landing!$E:$E,$D$61)</f>
        <v>0</v>
      </c>
      <c r="AG66" s="30">
        <f>SUMIFS(GM_Wise_Raw_Landing!$C:$C,GM_Wise_Raw_Landing!$A:$A,$B66,GM_Wise_Raw_Landing!$D:$D,AG$63,GM_Wise_Raw_Landing!$E:$E,$D$61)</f>
        <v>0</v>
      </c>
      <c r="AH66" s="30">
        <f>SUMIFS(GM_Wise_Raw_Landing!$C:$C,GM_Wise_Raw_Landing!$A:$A,$B66,GM_Wise_Raw_Landing!$D:$D,AH$63,GM_Wise_Raw_Landing!$E:$E,$D$61)</f>
        <v>0</v>
      </c>
      <c r="AI66" s="30">
        <f>SUMIFS(GM_Wise_Raw_Landing!$C:$C,GM_Wise_Raw_Landing!$A:$A,$B66,GM_Wise_Raw_Landing!$D:$D,AI$63,GM_Wise_Raw_Landing!$E:$E,$D$61)</f>
        <v>0</v>
      </c>
      <c r="AJ66" s="30">
        <f>SUMIFS(GM_Wise_Raw_Landing!$C:$C,GM_Wise_Raw_Landing!$A:$A,$B66,GM_Wise_Raw_Landing!$D:$D,AJ$63,GM_Wise_Raw_Landing!$E:$E,$D$61)</f>
        <v>0</v>
      </c>
      <c r="AK66" s="6"/>
    </row>
    <row r="67">
      <c r="B67" s="85" t="s">
        <v>17</v>
      </c>
      <c r="C67" s="6"/>
      <c r="D67" s="30"/>
      <c r="E67" s="30">
        <f>SUMIFS(GM_Wise_Raw_Landing!$C:$C,GM_Wise_Raw_Landing!$A:$A,$B67,GM_Wise_Raw_Landing!$D:$D,E$63,GM_Wise_Raw_Landing!$E:$E,$D$61)</f>
        <v>0</v>
      </c>
      <c r="F67" s="30">
        <f>SUMIFS(GM_Wise_Raw_Landing!$C:$C,GM_Wise_Raw_Landing!$A:$A,$B67,GM_Wise_Raw_Landing!$D:$D,F$63,GM_Wise_Raw_Landing!$E:$E,$D$61)</f>
        <v>0</v>
      </c>
      <c r="G67" s="30">
        <f>SUMIFS(GM_Wise_Raw_Landing!$C:$C,GM_Wise_Raw_Landing!$A:$A,$B67,GM_Wise_Raw_Landing!$D:$D,G$63,GM_Wise_Raw_Landing!$E:$E,$D$61)</f>
        <v>0</v>
      </c>
      <c r="H67" s="30">
        <f>SUMIFS(GM_Wise_Raw_Landing!$C:$C,GM_Wise_Raw_Landing!$A:$A,$B67,GM_Wise_Raw_Landing!$D:$D,H$63,GM_Wise_Raw_Landing!$E:$E,$D$61)</f>
        <v>301977</v>
      </c>
      <c r="I67" s="30">
        <f>SUMIFS(GM_Wise_Raw_Landing!$C:$C,GM_Wise_Raw_Landing!$A:$A,$B67,GM_Wise_Raw_Landing!$D:$D,I$63,GM_Wise_Raw_Landing!$E:$E,$D$61)</f>
        <v>0</v>
      </c>
      <c r="J67" s="30">
        <f>SUMIFS(GM_Wise_Raw_Landing!$C:$C,GM_Wise_Raw_Landing!$A:$A,$B67,GM_Wise_Raw_Landing!$D:$D,J$63,GM_Wise_Raw_Landing!$E:$E,$D$61)</f>
        <v>0</v>
      </c>
      <c r="K67" s="30">
        <f>SUMIFS(GM_Wise_Raw_Landing!$C:$C,GM_Wise_Raw_Landing!$A:$A,$B67,GM_Wise_Raw_Landing!$D:$D,K$63,GM_Wise_Raw_Landing!$E:$E,$D$61)</f>
        <v>0</v>
      </c>
      <c r="L67" s="30">
        <f>SUMIFS(GM_Wise_Raw_Landing!$C:$C,GM_Wise_Raw_Landing!$A:$A,$B67,GM_Wise_Raw_Landing!$D:$D,L$63,GM_Wise_Raw_Landing!$E:$E,$D$61)</f>
        <v>0</v>
      </c>
      <c r="M67" s="30">
        <f>SUMIFS(GM_Wise_Raw_Landing!$C:$C,GM_Wise_Raw_Landing!$A:$A,$B67,GM_Wise_Raw_Landing!$D:$D,M$63,GM_Wise_Raw_Landing!$E:$E,$D$61)</f>
        <v>0</v>
      </c>
      <c r="N67" s="30">
        <f>SUMIFS(GM_Wise_Raw_Landing!$C:$C,GM_Wise_Raw_Landing!$A:$A,$B67,GM_Wise_Raw_Landing!$D:$D,N$63,GM_Wise_Raw_Landing!$E:$E,$D$61)</f>
        <v>0</v>
      </c>
      <c r="O67" s="30">
        <f>SUMIFS(GM_Wise_Raw_Landing!$C:$C,GM_Wise_Raw_Landing!$A:$A,$B67,GM_Wise_Raw_Landing!$D:$D,O$63,GM_Wise_Raw_Landing!$E:$E,$D$61)</f>
        <v>0</v>
      </c>
      <c r="P67" s="30">
        <f>SUMIFS(GM_Wise_Raw_Landing!$C:$C,GM_Wise_Raw_Landing!$A:$A,$B67,GM_Wise_Raw_Landing!$D:$D,P$63,GM_Wise_Raw_Landing!$E:$E,$D$61)</f>
        <v>0</v>
      </c>
      <c r="Q67" s="30">
        <f>SUMIFS(GM_Wise_Raw_Landing!$C:$C,GM_Wise_Raw_Landing!$A:$A,$B67,GM_Wise_Raw_Landing!$D:$D,Q$63,GM_Wise_Raw_Landing!$E:$E,$D$61)</f>
        <v>0</v>
      </c>
      <c r="R67" s="30">
        <f>SUMIFS(GM_Wise_Raw_Landing!$C:$C,GM_Wise_Raw_Landing!$A:$A,$B67,GM_Wise_Raw_Landing!$D:$D,R$63,GM_Wise_Raw_Landing!$E:$E,$D$61)</f>
        <v>0</v>
      </c>
      <c r="S67" s="30">
        <f>SUMIFS(GM_Wise_Raw_Landing!$C:$C,GM_Wise_Raw_Landing!$A:$A,$B67,GM_Wise_Raw_Landing!$D:$D,S$63,GM_Wise_Raw_Landing!$E:$E,$D$61)</f>
        <v>0</v>
      </c>
      <c r="T67" s="30"/>
      <c r="U67" s="30">
        <f>SUMIFS(GM_Wise_Raw_Landing!$C:$C,GM_Wise_Raw_Landing!$A:$A,$B67,GM_Wise_Raw_Landing!$D:$D,U$63,GM_Wise_Raw_Landing!$E:$E,$D$61)</f>
        <v>207112</v>
      </c>
      <c r="V67" s="30">
        <f>SUMIFS(GM_Wise_Raw_Landing!$C:$C,GM_Wise_Raw_Landing!$A:$A,$B67,GM_Wise_Raw_Landing!$D:$D,V$63,GM_Wise_Raw_Landing!$E:$E,$D$61)</f>
        <v>199814</v>
      </c>
      <c r="W67" s="30">
        <f>SUMIFS(GM_Wise_Raw_Landing!$C:$C,GM_Wise_Raw_Landing!$A:$A,$B67,GM_Wise_Raw_Landing!$D:$D,W$63,GM_Wise_Raw_Landing!$E:$E,$D$61)</f>
        <v>236520</v>
      </c>
      <c r="X67" s="30">
        <f>SUMIFS(GM_Wise_Raw_Landing!$C:$C,GM_Wise_Raw_Landing!$A:$A,$B67,GM_Wise_Raw_Landing!$D:$D,X$63,GM_Wise_Raw_Landing!$E:$E,$D$61)</f>
        <v>213661</v>
      </c>
      <c r="Y67" s="30">
        <f>SUMIFS(GM_Wise_Raw_Landing!$C:$C,GM_Wise_Raw_Landing!$A:$A,$B67,GM_Wise_Raw_Landing!$D:$D,Y$63,GM_Wise_Raw_Landing!$E:$E,$D$61)</f>
        <v>199744</v>
      </c>
      <c r="Z67" s="30">
        <f>SUMIFS(GM_Wise_Raw_Landing!$C:$C,GM_Wise_Raw_Landing!$A:$A,$B67,GM_Wise_Raw_Landing!$D:$D,Z$63,GM_Wise_Raw_Landing!$E:$E,$D$61)</f>
        <v>0</v>
      </c>
      <c r="AA67" s="30">
        <f>SUMIFS(GM_Wise_Raw_Landing!$C:$C,GM_Wise_Raw_Landing!$A:$A,$B67,GM_Wise_Raw_Landing!$D:$D,AA$63,GM_Wise_Raw_Landing!$E:$E,$D$61)</f>
        <v>0</v>
      </c>
      <c r="AB67" s="30">
        <f>SUMIFS(GM_Wise_Raw_Landing!$C:$C,GM_Wise_Raw_Landing!$A:$A,$B67,GM_Wise_Raw_Landing!$D:$D,AB$63,GM_Wise_Raw_Landing!$E:$E,$D$61)</f>
        <v>241357</v>
      </c>
      <c r="AC67" s="30">
        <f>SUMIFS(GM_Wise_Raw_Landing!$C:$C,GM_Wise_Raw_Landing!$A:$A,$B67,GM_Wise_Raw_Landing!$D:$D,AC$63,GM_Wise_Raw_Landing!$E:$E,$D$61)</f>
        <v>0</v>
      </c>
      <c r="AD67" s="30">
        <f>SUMIFS(GM_Wise_Raw_Landing!$C:$C,GM_Wise_Raw_Landing!$A:$A,$B67,GM_Wise_Raw_Landing!$D:$D,AD$63,GM_Wise_Raw_Landing!$E:$E,$D$61)</f>
        <v>0</v>
      </c>
      <c r="AE67" s="30">
        <f>SUMIFS(GM_Wise_Raw_Landing!$C:$C,GM_Wise_Raw_Landing!$A:$A,$B67,GM_Wise_Raw_Landing!$D:$D,AE$63,GM_Wise_Raw_Landing!$E:$E,$D$61)</f>
        <v>0</v>
      </c>
      <c r="AF67" s="30">
        <f>SUMIFS(GM_Wise_Raw_Landing!$C:$C,GM_Wise_Raw_Landing!$A:$A,$B67,GM_Wise_Raw_Landing!$D:$D,AF$63,GM_Wise_Raw_Landing!$E:$E,$D$61)</f>
        <v>0</v>
      </c>
      <c r="AG67" s="30">
        <f>SUMIFS(GM_Wise_Raw_Landing!$C:$C,GM_Wise_Raw_Landing!$A:$A,$B67,GM_Wise_Raw_Landing!$D:$D,AG$63,GM_Wise_Raw_Landing!$E:$E,$D$61)</f>
        <v>0</v>
      </c>
      <c r="AH67" s="30">
        <f>SUMIFS(GM_Wise_Raw_Landing!$C:$C,GM_Wise_Raw_Landing!$A:$A,$B67,GM_Wise_Raw_Landing!$D:$D,AH$63,GM_Wise_Raw_Landing!$E:$E,$D$61)</f>
        <v>0</v>
      </c>
      <c r="AI67" s="30">
        <f>SUMIFS(GM_Wise_Raw_Landing!$C:$C,GM_Wise_Raw_Landing!$A:$A,$B67,GM_Wise_Raw_Landing!$D:$D,AI$63,GM_Wise_Raw_Landing!$E:$E,$D$61)</f>
        <v>0</v>
      </c>
      <c r="AJ67" s="30">
        <f>SUMIFS(GM_Wise_Raw_Landing!$C:$C,GM_Wise_Raw_Landing!$A:$A,$B67,GM_Wise_Raw_Landing!$D:$D,AJ$63,GM_Wise_Raw_Landing!$E:$E,$D$61)</f>
        <v>0</v>
      </c>
      <c r="AK67" s="6"/>
    </row>
    <row r="68">
      <c r="B68" s="85" t="s">
        <v>18</v>
      </c>
      <c r="C68" s="6"/>
      <c r="D68" s="30"/>
      <c r="E68" s="30">
        <f>SUMIFS(GM_Wise_Raw_Landing!$C:$C,GM_Wise_Raw_Landing!$A:$A,$B68,GM_Wise_Raw_Landing!$D:$D,E$63,GM_Wise_Raw_Landing!$E:$E,$D$61)</f>
        <v>0</v>
      </c>
      <c r="F68" s="30">
        <f>SUMIFS(GM_Wise_Raw_Landing!$C:$C,GM_Wise_Raw_Landing!$A:$A,$B68,GM_Wise_Raw_Landing!$D:$D,F$63,GM_Wise_Raw_Landing!$E:$E,$D$61)</f>
        <v>0</v>
      </c>
      <c r="G68" s="30">
        <f>SUMIFS(GM_Wise_Raw_Landing!$C:$C,GM_Wise_Raw_Landing!$A:$A,$B68,GM_Wise_Raw_Landing!$D:$D,G$63,GM_Wise_Raw_Landing!$E:$E,$D$61)</f>
        <v>0</v>
      </c>
      <c r="H68" s="30">
        <f>SUMIFS(GM_Wise_Raw_Landing!$C:$C,GM_Wise_Raw_Landing!$A:$A,$B68,GM_Wise_Raw_Landing!$D:$D,H$63,GM_Wise_Raw_Landing!$E:$E,$D$61)</f>
        <v>185354</v>
      </c>
      <c r="I68" s="30">
        <f>SUMIFS(GM_Wise_Raw_Landing!$C:$C,GM_Wise_Raw_Landing!$A:$A,$B68,GM_Wise_Raw_Landing!$D:$D,I$63,GM_Wise_Raw_Landing!$E:$E,$D$61)</f>
        <v>0</v>
      </c>
      <c r="J68" s="30">
        <f>SUMIFS(GM_Wise_Raw_Landing!$C:$C,GM_Wise_Raw_Landing!$A:$A,$B68,GM_Wise_Raw_Landing!$D:$D,J$63,GM_Wise_Raw_Landing!$E:$E,$D$61)</f>
        <v>0</v>
      </c>
      <c r="K68" s="30">
        <f>SUMIFS(GM_Wise_Raw_Landing!$C:$C,GM_Wise_Raw_Landing!$A:$A,$B68,GM_Wise_Raw_Landing!$D:$D,K$63,GM_Wise_Raw_Landing!$E:$E,$D$61)</f>
        <v>0</v>
      </c>
      <c r="L68" s="30">
        <f>SUMIFS(GM_Wise_Raw_Landing!$C:$C,GM_Wise_Raw_Landing!$A:$A,$B68,GM_Wise_Raw_Landing!$D:$D,L$63,GM_Wise_Raw_Landing!$E:$E,$D$61)</f>
        <v>0</v>
      </c>
      <c r="M68" s="30">
        <f>SUMIFS(GM_Wise_Raw_Landing!$C:$C,GM_Wise_Raw_Landing!$A:$A,$B68,GM_Wise_Raw_Landing!$D:$D,M$63,GM_Wise_Raw_Landing!$E:$E,$D$61)</f>
        <v>0</v>
      </c>
      <c r="N68" s="30">
        <f>SUMIFS(GM_Wise_Raw_Landing!$C:$C,GM_Wise_Raw_Landing!$A:$A,$B68,GM_Wise_Raw_Landing!$D:$D,N$63,GM_Wise_Raw_Landing!$E:$E,$D$61)</f>
        <v>0</v>
      </c>
      <c r="O68" s="30">
        <f>SUMIFS(GM_Wise_Raw_Landing!$C:$C,GM_Wise_Raw_Landing!$A:$A,$B68,GM_Wise_Raw_Landing!$D:$D,O$63,GM_Wise_Raw_Landing!$E:$E,$D$61)</f>
        <v>0</v>
      </c>
      <c r="P68" s="30">
        <f>SUMIFS(GM_Wise_Raw_Landing!$C:$C,GM_Wise_Raw_Landing!$A:$A,$B68,GM_Wise_Raw_Landing!$D:$D,P$63,GM_Wise_Raw_Landing!$E:$E,$D$61)</f>
        <v>0</v>
      </c>
      <c r="Q68" s="30">
        <f>SUMIFS(GM_Wise_Raw_Landing!$C:$C,GM_Wise_Raw_Landing!$A:$A,$B68,GM_Wise_Raw_Landing!$D:$D,Q$63,GM_Wise_Raw_Landing!$E:$E,$D$61)</f>
        <v>0</v>
      </c>
      <c r="R68" s="30">
        <f>SUMIFS(GM_Wise_Raw_Landing!$C:$C,GM_Wise_Raw_Landing!$A:$A,$B68,GM_Wise_Raw_Landing!$D:$D,R$63,GM_Wise_Raw_Landing!$E:$E,$D$61)</f>
        <v>0</v>
      </c>
      <c r="S68" s="30">
        <f>SUMIFS(GM_Wise_Raw_Landing!$C:$C,GM_Wise_Raw_Landing!$A:$A,$B68,GM_Wise_Raw_Landing!$D:$D,S$63,GM_Wise_Raw_Landing!$E:$E,$D$61)</f>
        <v>0</v>
      </c>
      <c r="T68" s="30"/>
      <c r="U68" s="30">
        <f>SUMIFS(GM_Wise_Raw_Landing!$C:$C,GM_Wise_Raw_Landing!$A:$A,$B68,GM_Wise_Raw_Landing!$D:$D,U$63,GM_Wise_Raw_Landing!$E:$E,$D$61)</f>
        <v>145468</v>
      </c>
      <c r="V68" s="30">
        <f>SUMIFS(GM_Wise_Raw_Landing!$C:$C,GM_Wise_Raw_Landing!$A:$A,$B68,GM_Wise_Raw_Landing!$D:$D,V$63,GM_Wise_Raw_Landing!$E:$E,$D$61)</f>
        <v>119947</v>
      </c>
      <c r="W68" s="30">
        <f>SUMIFS(GM_Wise_Raw_Landing!$C:$C,GM_Wise_Raw_Landing!$A:$A,$B68,GM_Wise_Raw_Landing!$D:$D,W$63,GM_Wise_Raw_Landing!$E:$E,$D$61)</f>
        <v>139342</v>
      </c>
      <c r="X68" s="30">
        <f>SUMIFS(GM_Wise_Raw_Landing!$C:$C,GM_Wise_Raw_Landing!$A:$A,$B68,GM_Wise_Raw_Landing!$D:$D,X$63,GM_Wise_Raw_Landing!$E:$E,$D$61)</f>
        <v>123226</v>
      </c>
      <c r="Y68" s="30">
        <f>SUMIFS(GM_Wise_Raw_Landing!$C:$C,GM_Wise_Raw_Landing!$A:$A,$B68,GM_Wise_Raw_Landing!$D:$D,Y$63,GM_Wise_Raw_Landing!$E:$E,$D$61)</f>
        <v>123538</v>
      </c>
      <c r="Z68" s="30">
        <f>SUMIFS(GM_Wise_Raw_Landing!$C:$C,GM_Wise_Raw_Landing!$A:$A,$B68,GM_Wise_Raw_Landing!$D:$D,Z$63,GM_Wise_Raw_Landing!$E:$E,$D$61)</f>
        <v>0</v>
      </c>
      <c r="AA68" s="30">
        <f>SUMIFS(GM_Wise_Raw_Landing!$C:$C,GM_Wise_Raw_Landing!$A:$A,$B68,GM_Wise_Raw_Landing!$D:$D,AA$63,GM_Wise_Raw_Landing!$E:$E,$D$61)</f>
        <v>0</v>
      </c>
      <c r="AB68" s="30">
        <f>SUMIFS(GM_Wise_Raw_Landing!$C:$C,GM_Wise_Raw_Landing!$A:$A,$B68,GM_Wise_Raw_Landing!$D:$D,AB$63,GM_Wise_Raw_Landing!$E:$E,$D$61)</f>
        <v>141860</v>
      </c>
      <c r="AC68" s="30">
        <f>SUMIFS(GM_Wise_Raw_Landing!$C:$C,GM_Wise_Raw_Landing!$A:$A,$B68,GM_Wise_Raw_Landing!$D:$D,AC$63,GM_Wise_Raw_Landing!$E:$E,$D$61)</f>
        <v>0</v>
      </c>
      <c r="AD68" s="30">
        <f>SUMIFS(GM_Wise_Raw_Landing!$C:$C,GM_Wise_Raw_Landing!$A:$A,$B68,GM_Wise_Raw_Landing!$D:$D,AD$63,GM_Wise_Raw_Landing!$E:$E,$D$61)</f>
        <v>0</v>
      </c>
      <c r="AE68" s="30">
        <f>SUMIFS(GM_Wise_Raw_Landing!$C:$C,GM_Wise_Raw_Landing!$A:$A,$B68,GM_Wise_Raw_Landing!$D:$D,AE$63,GM_Wise_Raw_Landing!$E:$E,$D$61)</f>
        <v>0</v>
      </c>
      <c r="AF68" s="30">
        <f>SUMIFS(GM_Wise_Raw_Landing!$C:$C,GM_Wise_Raw_Landing!$A:$A,$B68,GM_Wise_Raw_Landing!$D:$D,AF$63,GM_Wise_Raw_Landing!$E:$E,$D$61)</f>
        <v>0</v>
      </c>
      <c r="AG68" s="30">
        <f>SUMIFS(GM_Wise_Raw_Landing!$C:$C,GM_Wise_Raw_Landing!$A:$A,$B68,GM_Wise_Raw_Landing!$D:$D,AG$63,GM_Wise_Raw_Landing!$E:$E,$D$61)</f>
        <v>0</v>
      </c>
      <c r="AH68" s="30">
        <f>SUMIFS(GM_Wise_Raw_Landing!$C:$C,GM_Wise_Raw_Landing!$A:$A,$B68,GM_Wise_Raw_Landing!$D:$D,AH$63,GM_Wise_Raw_Landing!$E:$E,$D$61)</f>
        <v>0</v>
      </c>
      <c r="AI68" s="30">
        <f>SUMIFS(GM_Wise_Raw_Landing!$C:$C,GM_Wise_Raw_Landing!$A:$A,$B68,GM_Wise_Raw_Landing!$D:$D,AI$63,GM_Wise_Raw_Landing!$E:$E,$D$61)</f>
        <v>0</v>
      </c>
      <c r="AJ68" s="30">
        <f>SUMIFS(GM_Wise_Raw_Landing!$C:$C,GM_Wise_Raw_Landing!$A:$A,$B68,GM_Wise_Raw_Landing!$D:$D,AJ$63,GM_Wise_Raw_Landing!$E:$E,$D$61)</f>
        <v>0</v>
      </c>
      <c r="AK68" s="6"/>
    </row>
    <row r="69">
      <c r="B69" s="90" t="s">
        <v>23</v>
      </c>
      <c r="C69" s="6"/>
      <c r="D69" s="109"/>
      <c r="E69" s="110">
        <f t="shared" ref="E69:S69" si="31">SUM(E70:E72)</f>
        <v>0</v>
      </c>
      <c r="F69" s="110">
        <f t="shared" si="31"/>
        <v>0</v>
      </c>
      <c r="G69" s="110">
        <f t="shared" si="31"/>
        <v>0</v>
      </c>
      <c r="H69" s="110">
        <f t="shared" si="31"/>
        <v>1504058</v>
      </c>
      <c r="I69" s="110">
        <f t="shared" si="31"/>
        <v>0</v>
      </c>
      <c r="J69" s="110">
        <f t="shared" si="31"/>
        <v>0</v>
      </c>
      <c r="K69" s="110">
        <f t="shared" si="31"/>
        <v>0</v>
      </c>
      <c r="L69" s="110">
        <f t="shared" si="31"/>
        <v>0</v>
      </c>
      <c r="M69" s="110">
        <f t="shared" si="31"/>
        <v>0</v>
      </c>
      <c r="N69" s="110">
        <f t="shared" si="31"/>
        <v>0</v>
      </c>
      <c r="O69" s="110">
        <f t="shared" si="31"/>
        <v>0</v>
      </c>
      <c r="P69" s="110">
        <f t="shared" si="31"/>
        <v>0</v>
      </c>
      <c r="Q69" s="110">
        <f t="shared" si="31"/>
        <v>0</v>
      </c>
      <c r="R69" s="110">
        <f t="shared" si="31"/>
        <v>0</v>
      </c>
      <c r="S69" s="110">
        <f t="shared" si="31"/>
        <v>0</v>
      </c>
      <c r="T69" s="110"/>
      <c r="U69" s="110">
        <f t="shared" ref="U69:AJ69" si="32">SUM(U70:U72)</f>
        <v>1408768</v>
      </c>
      <c r="V69" s="110">
        <f t="shared" si="32"/>
        <v>1402613</v>
      </c>
      <c r="W69" s="110">
        <f t="shared" si="32"/>
        <v>1456804</v>
      </c>
      <c r="X69" s="110">
        <f t="shared" si="32"/>
        <v>1214063</v>
      </c>
      <c r="Y69" s="110">
        <f t="shared" si="32"/>
        <v>1228222</v>
      </c>
      <c r="Z69" s="110">
        <f t="shared" si="32"/>
        <v>0</v>
      </c>
      <c r="AA69" s="110">
        <f t="shared" si="32"/>
        <v>0</v>
      </c>
      <c r="AB69" s="110">
        <f t="shared" si="32"/>
        <v>1357307</v>
      </c>
      <c r="AC69" s="110">
        <f t="shared" si="32"/>
        <v>0</v>
      </c>
      <c r="AD69" s="110">
        <f t="shared" si="32"/>
        <v>0</v>
      </c>
      <c r="AE69" s="110">
        <f t="shared" si="32"/>
        <v>0</v>
      </c>
      <c r="AF69" s="110">
        <f t="shared" si="32"/>
        <v>0</v>
      </c>
      <c r="AG69" s="110">
        <f t="shared" si="32"/>
        <v>0</v>
      </c>
      <c r="AH69" s="110">
        <f t="shared" si="32"/>
        <v>0</v>
      </c>
      <c r="AI69" s="110">
        <f t="shared" si="32"/>
        <v>0</v>
      </c>
      <c r="AJ69" s="110">
        <f t="shared" si="32"/>
        <v>0</v>
      </c>
      <c r="AK69" s="6"/>
    </row>
    <row r="70">
      <c r="B70" s="85" t="s">
        <v>20</v>
      </c>
      <c r="C70" s="6"/>
      <c r="D70" s="30"/>
      <c r="E70" s="30">
        <f>SUMIFS(GM_Wise_Raw_Landing!$C:$C,GM_Wise_Raw_Landing!$A:$A,$B70,GM_Wise_Raw_Landing!$D:$D,E$63,GM_Wise_Raw_Landing!$E:$E,$D$61)</f>
        <v>0</v>
      </c>
      <c r="F70" s="30">
        <f>SUMIFS(GM_Wise_Raw_Landing!$C:$C,GM_Wise_Raw_Landing!$A:$A,$B70,GM_Wise_Raw_Landing!$D:$D,F$63,GM_Wise_Raw_Landing!$E:$E,$D$61)</f>
        <v>0</v>
      </c>
      <c r="G70" s="30">
        <f>SUMIFS(GM_Wise_Raw_Landing!$C:$C,GM_Wise_Raw_Landing!$A:$A,$B70,GM_Wise_Raw_Landing!$D:$D,G$63,GM_Wise_Raw_Landing!$E:$E,$D$61)</f>
        <v>0</v>
      </c>
      <c r="H70" s="30">
        <f>SUMIFS(GM_Wise_Raw_Landing!$C:$C,GM_Wise_Raw_Landing!$A:$A,$B70,GM_Wise_Raw_Landing!$D:$D,H$63,GM_Wise_Raw_Landing!$E:$E,$D$61)</f>
        <v>661694</v>
      </c>
      <c r="I70" s="30">
        <f>SUMIFS(GM_Wise_Raw_Landing!$C:$C,GM_Wise_Raw_Landing!$A:$A,$B70,GM_Wise_Raw_Landing!$D:$D,I$63,GM_Wise_Raw_Landing!$E:$E,$D$61)</f>
        <v>0</v>
      </c>
      <c r="J70" s="30">
        <f>SUMIFS(GM_Wise_Raw_Landing!$C:$C,GM_Wise_Raw_Landing!$A:$A,$B70,GM_Wise_Raw_Landing!$D:$D,J$63,GM_Wise_Raw_Landing!$E:$E,$D$61)</f>
        <v>0</v>
      </c>
      <c r="K70" s="30">
        <f>SUMIFS(GM_Wise_Raw_Landing!$C:$C,GM_Wise_Raw_Landing!$A:$A,$B70,GM_Wise_Raw_Landing!$D:$D,K$63,GM_Wise_Raw_Landing!$E:$E,$D$61)</f>
        <v>0</v>
      </c>
      <c r="L70" s="30">
        <f>SUMIFS(GM_Wise_Raw_Landing!$C:$C,GM_Wise_Raw_Landing!$A:$A,$B70,GM_Wise_Raw_Landing!$D:$D,L$63,GM_Wise_Raw_Landing!$E:$E,$D$61)</f>
        <v>0</v>
      </c>
      <c r="M70" s="30">
        <f>SUMIFS(GM_Wise_Raw_Landing!$C:$C,GM_Wise_Raw_Landing!$A:$A,$B70,GM_Wise_Raw_Landing!$D:$D,M$63,GM_Wise_Raw_Landing!$E:$E,$D$61)</f>
        <v>0</v>
      </c>
      <c r="N70" s="30">
        <f>SUMIFS(GM_Wise_Raw_Landing!$C:$C,GM_Wise_Raw_Landing!$A:$A,$B70,GM_Wise_Raw_Landing!$D:$D,N$63,GM_Wise_Raw_Landing!$E:$E,$D$61)</f>
        <v>0</v>
      </c>
      <c r="O70" s="30">
        <f>SUMIFS(GM_Wise_Raw_Landing!$C:$C,GM_Wise_Raw_Landing!$A:$A,$B70,GM_Wise_Raw_Landing!$D:$D,O$63,GM_Wise_Raw_Landing!$E:$E,$D$61)</f>
        <v>0</v>
      </c>
      <c r="P70" s="30">
        <f>SUMIFS(GM_Wise_Raw_Landing!$C:$C,GM_Wise_Raw_Landing!$A:$A,$B70,GM_Wise_Raw_Landing!$D:$D,P$63,GM_Wise_Raw_Landing!$E:$E,$D$61)</f>
        <v>0</v>
      </c>
      <c r="Q70" s="30">
        <f>SUMIFS(GM_Wise_Raw_Landing!$C:$C,GM_Wise_Raw_Landing!$A:$A,$B70,GM_Wise_Raw_Landing!$D:$D,Q$63,GM_Wise_Raw_Landing!$E:$E,$D$61)</f>
        <v>0</v>
      </c>
      <c r="R70" s="30">
        <f>SUMIFS(GM_Wise_Raw_Landing!$C:$C,GM_Wise_Raw_Landing!$A:$A,$B70,GM_Wise_Raw_Landing!$D:$D,R$63,GM_Wise_Raw_Landing!$E:$E,$D$61)</f>
        <v>0</v>
      </c>
      <c r="S70" s="30">
        <f>SUMIFS(GM_Wise_Raw_Landing!$C:$C,GM_Wise_Raw_Landing!$A:$A,$B70,GM_Wise_Raw_Landing!$D:$D,S$63,GM_Wise_Raw_Landing!$E:$E,$D$61)</f>
        <v>0</v>
      </c>
      <c r="T70" s="30"/>
      <c r="U70" s="30">
        <f>SUMIFS(GM_Wise_Raw_Landing!$C:$C,GM_Wise_Raw_Landing!$A:$A,$B70,GM_Wise_Raw_Landing!$D:$D,U$63,GM_Wise_Raw_Landing!$E:$E,$D$61)</f>
        <v>588249</v>
      </c>
      <c r="V70" s="30">
        <f>SUMIFS(GM_Wise_Raw_Landing!$C:$C,GM_Wise_Raw_Landing!$A:$A,$B70,GM_Wise_Raw_Landing!$D:$D,V$63,GM_Wise_Raw_Landing!$E:$E,$D$61)</f>
        <v>601889</v>
      </c>
      <c r="W70" s="30">
        <f>SUMIFS(GM_Wise_Raw_Landing!$C:$C,GM_Wise_Raw_Landing!$A:$A,$B70,GM_Wise_Raw_Landing!$D:$D,W$63,GM_Wise_Raw_Landing!$E:$E,$D$61)</f>
        <v>613881</v>
      </c>
      <c r="X70" s="30">
        <f>SUMIFS(GM_Wise_Raw_Landing!$C:$C,GM_Wise_Raw_Landing!$A:$A,$B70,GM_Wise_Raw_Landing!$D:$D,X$63,GM_Wise_Raw_Landing!$E:$E,$D$61)</f>
        <v>480215</v>
      </c>
      <c r="Y70" s="30">
        <f>SUMIFS(GM_Wise_Raw_Landing!$C:$C,GM_Wise_Raw_Landing!$A:$A,$B70,GM_Wise_Raw_Landing!$D:$D,Y$63,GM_Wise_Raw_Landing!$E:$E,$D$61)</f>
        <v>520862</v>
      </c>
      <c r="Z70" s="30">
        <f>SUMIFS(GM_Wise_Raw_Landing!$C:$C,GM_Wise_Raw_Landing!$A:$A,$B70,GM_Wise_Raw_Landing!$D:$D,Z$63,GM_Wise_Raw_Landing!$E:$E,$D$61)</f>
        <v>0</v>
      </c>
      <c r="AA70" s="30">
        <f>SUMIFS(GM_Wise_Raw_Landing!$C:$C,GM_Wise_Raw_Landing!$A:$A,$B70,GM_Wise_Raw_Landing!$D:$D,AA$63,GM_Wise_Raw_Landing!$E:$E,$D$61)</f>
        <v>0</v>
      </c>
      <c r="AB70" s="30">
        <f>SUMIFS(GM_Wise_Raw_Landing!$C:$C,GM_Wise_Raw_Landing!$A:$A,$B70,GM_Wise_Raw_Landing!$D:$D,AB$63,GM_Wise_Raw_Landing!$E:$E,$D$61)</f>
        <v>648307</v>
      </c>
      <c r="AC70" s="30">
        <f>SUMIFS(GM_Wise_Raw_Landing!$C:$C,GM_Wise_Raw_Landing!$A:$A,$B70,GM_Wise_Raw_Landing!$D:$D,AC$63,GM_Wise_Raw_Landing!$E:$E,$D$61)</f>
        <v>0</v>
      </c>
      <c r="AD70" s="30">
        <f>SUMIFS(GM_Wise_Raw_Landing!$C:$C,GM_Wise_Raw_Landing!$A:$A,$B70,GM_Wise_Raw_Landing!$D:$D,AD$63,GM_Wise_Raw_Landing!$E:$E,$D$61)</f>
        <v>0</v>
      </c>
      <c r="AE70" s="30">
        <f>SUMIFS(GM_Wise_Raw_Landing!$C:$C,GM_Wise_Raw_Landing!$A:$A,$B70,GM_Wise_Raw_Landing!$D:$D,AE$63,GM_Wise_Raw_Landing!$E:$E,$D$61)</f>
        <v>0</v>
      </c>
      <c r="AF70" s="30">
        <f>SUMIFS(GM_Wise_Raw_Landing!$C:$C,GM_Wise_Raw_Landing!$A:$A,$B70,GM_Wise_Raw_Landing!$D:$D,AF$63,GM_Wise_Raw_Landing!$E:$E,$D$61)</f>
        <v>0</v>
      </c>
      <c r="AG70" s="30">
        <f>SUMIFS(GM_Wise_Raw_Landing!$C:$C,GM_Wise_Raw_Landing!$A:$A,$B70,GM_Wise_Raw_Landing!$D:$D,AG$63,GM_Wise_Raw_Landing!$E:$E,$D$61)</f>
        <v>0</v>
      </c>
      <c r="AH70" s="30">
        <f>SUMIFS(GM_Wise_Raw_Landing!$C:$C,GM_Wise_Raw_Landing!$A:$A,$B70,GM_Wise_Raw_Landing!$D:$D,AH$63,GM_Wise_Raw_Landing!$E:$E,$D$61)</f>
        <v>0</v>
      </c>
      <c r="AI70" s="30">
        <f>SUMIFS(GM_Wise_Raw_Landing!$C:$C,GM_Wise_Raw_Landing!$A:$A,$B70,GM_Wise_Raw_Landing!$D:$D,AI$63,GM_Wise_Raw_Landing!$E:$E,$D$61)</f>
        <v>0</v>
      </c>
      <c r="AJ70" s="30">
        <f>SUMIFS(GM_Wise_Raw_Landing!$C:$C,GM_Wise_Raw_Landing!$A:$A,$B70,GM_Wise_Raw_Landing!$D:$D,AJ$63,GM_Wise_Raw_Landing!$E:$E,$D$61)</f>
        <v>0</v>
      </c>
      <c r="AK70" s="6"/>
    </row>
    <row r="71">
      <c r="B71" s="85" t="s">
        <v>21</v>
      </c>
      <c r="C71" s="6"/>
      <c r="D71" s="30"/>
      <c r="E71" s="30">
        <f>SUMIFS(GM_Wise_Raw_Landing!$C:$C,GM_Wise_Raw_Landing!$A:$A,$B71,GM_Wise_Raw_Landing!$D:$D,E$63,GM_Wise_Raw_Landing!$E:$E,$D$61)</f>
        <v>0</v>
      </c>
      <c r="F71" s="30">
        <f>SUMIFS(GM_Wise_Raw_Landing!$C:$C,GM_Wise_Raw_Landing!$A:$A,$B71,GM_Wise_Raw_Landing!$D:$D,F$63,GM_Wise_Raw_Landing!$E:$E,$D$61)</f>
        <v>0</v>
      </c>
      <c r="G71" s="30">
        <f>SUMIFS(GM_Wise_Raw_Landing!$C:$C,GM_Wise_Raw_Landing!$A:$A,$B71,GM_Wise_Raw_Landing!$D:$D,G$63,GM_Wise_Raw_Landing!$E:$E,$D$61)</f>
        <v>0</v>
      </c>
      <c r="H71" s="30">
        <f>SUMIFS(GM_Wise_Raw_Landing!$C:$C,GM_Wise_Raw_Landing!$A:$A,$B71,GM_Wise_Raw_Landing!$D:$D,H$63,GM_Wise_Raw_Landing!$E:$E,$D$61)</f>
        <v>500039</v>
      </c>
      <c r="I71" s="30">
        <f>SUMIFS(GM_Wise_Raw_Landing!$C:$C,GM_Wise_Raw_Landing!$A:$A,$B71,GM_Wise_Raw_Landing!$D:$D,I$63,GM_Wise_Raw_Landing!$E:$E,$D$61)</f>
        <v>0</v>
      </c>
      <c r="J71" s="30">
        <f>SUMIFS(GM_Wise_Raw_Landing!$C:$C,GM_Wise_Raw_Landing!$A:$A,$B71,GM_Wise_Raw_Landing!$D:$D,J$63,GM_Wise_Raw_Landing!$E:$E,$D$61)</f>
        <v>0</v>
      </c>
      <c r="K71" s="30">
        <f>SUMIFS(GM_Wise_Raw_Landing!$C:$C,GM_Wise_Raw_Landing!$A:$A,$B71,GM_Wise_Raw_Landing!$D:$D,K$63,GM_Wise_Raw_Landing!$E:$E,$D$61)</f>
        <v>0</v>
      </c>
      <c r="L71" s="30">
        <f>SUMIFS(GM_Wise_Raw_Landing!$C:$C,GM_Wise_Raw_Landing!$A:$A,$B71,GM_Wise_Raw_Landing!$D:$D,L$63,GM_Wise_Raw_Landing!$E:$E,$D$61)</f>
        <v>0</v>
      </c>
      <c r="M71" s="30">
        <f>SUMIFS(GM_Wise_Raw_Landing!$C:$C,GM_Wise_Raw_Landing!$A:$A,$B71,GM_Wise_Raw_Landing!$D:$D,M$63,GM_Wise_Raw_Landing!$E:$E,$D$61)</f>
        <v>0</v>
      </c>
      <c r="N71" s="30">
        <f>SUMIFS(GM_Wise_Raw_Landing!$C:$C,GM_Wise_Raw_Landing!$A:$A,$B71,GM_Wise_Raw_Landing!$D:$D,N$63,GM_Wise_Raw_Landing!$E:$E,$D$61)</f>
        <v>0</v>
      </c>
      <c r="O71" s="30">
        <f>SUMIFS(GM_Wise_Raw_Landing!$C:$C,GM_Wise_Raw_Landing!$A:$A,$B71,GM_Wise_Raw_Landing!$D:$D,O$63,GM_Wise_Raw_Landing!$E:$E,$D$61)</f>
        <v>0</v>
      </c>
      <c r="P71" s="30">
        <f>SUMIFS(GM_Wise_Raw_Landing!$C:$C,GM_Wise_Raw_Landing!$A:$A,$B71,GM_Wise_Raw_Landing!$D:$D,P$63,GM_Wise_Raw_Landing!$E:$E,$D$61)</f>
        <v>0</v>
      </c>
      <c r="Q71" s="30">
        <f>SUMIFS(GM_Wise_Raw_Landing!$C:$C,GM_Wise_Raw_Landing!$A:$A,$B71,GM_Wise_Raw_Landing!$D:$D,Q$63,GM_Wise_Raw_Landing!$E:$E,$D$61)</f>
        <v>0</v>
      </c>
      <c r="R71" s="30">
        <f>SUMIFS(GM_Wise_Raw_Landing!$C:$C,GM_Wise_Raw_Landing!$A:$A,$B71,GM_Wise_Raw_Landing!$D:$D,R$63,GM_Wise_Raw_Landing!$E:$E,$D$61)</f>
        <v>0</v>
      </c>
      <c r="S71" s="30">
        <f>SUMIFS(GM_Wise_Raw_Landing!$C:$C,GM_Wise_Raw_Landing!$A:$A,$B71,GM_Wise_Raw_Landing!$D:$D,S$63,GM_Wise_Raw_Landing!$E:$E,$D$61)</f>
        <v>0</v>
      </c>
      <c r="T71" s="30"/>
      <c r="U71" s="30">
        <f>SUMIFS(GM_Wise_Raw_Landing!$C:$C,GM_Wise_Raw_Landing!$A:$A,$B71,GM_Wise_Raw_Landing!$D:$D,U$63,GM_Wise_Raw_Landing!$E:$E,$D$61)</f>
        <v>475441</v>
      </c>
      <c r="V71" s="30">
        <f>SUMIFS(GM_Wise_Raw_Landing!$C:$C,GM_Wise_Raw_Landing!$A:$A,$B71,GM_Wise_Raw_Landing!$D:$D,V$63,GM_Wise_Raw_Landing!$E:$E,$D$61)</f>
        <v>478170</v>
      </c>
      <c r="W71" s="30">
        <f>SUMIFS(GM_Wise_Raw_Landing!$C:$C,GM_Wise_Raw_Landing!$A:$A,$B71,GM_Wise_Raw_Landing!$D:$D,W$63,GM_Wise_Raw_Landing!$E:$E,$D$61)</f>
        <v>454221</v>
      </c>
      <c r="X71" s="30">
        <f>SUMIFS(GM_Wise_Raw_Landing!$C:$C,GM_Wise_Raw_Landing!$A:$A,$B71,GM_Wise_Raw_Landing!$D:$D,X$63,GM_Wise_Raw_Landing!$E:$E,$D$61)</f>
        <v>383481</v>
      </c>
      <c r="Y71" s="30">
        <f>SUMIFS(GM_Wise_Raw_Landing!$C:$C,GM_Wise_Raw_Landing!$A:$A,$B71,GM_Wise_Raw_Landing!$D:$D,Y$63,GM_Wise_Raw_Landing!$E:$E,$D$61)</f>
        <v>406824</v>
      </c>
      <c r="Z71" s="30">
        <f>SUMIFS(GM_Wise_Raw_Landing!$C:$C,GM_Wise_Raw_Landing!$A:$A,$B71,GM_Wise_Raw_Landing!$D:$D,Z$63,GM_Wise_Raw_Landing!$E:$E,$D$61)</f>
        <v>0</v>
      </c>
      <c r="AA71" s="30">
        <f>SUMIFS(GM_Wise_Raw_Landing!$C:$C,GM_Wise_Raw_Landing!$A:$A,$B71,GM_Wise_Raw_Landing!$D:$D,AA$63,GM_Wise_Raw_Landing!$E:$E,$D$61)</f>
        <v>0</v>
      </c>
      <c r="AB71" s="30">
        <f>SUMIFS(GM_Wise_Raw_Landing!$C:$C,GM_Wise_Raw_Landing!$A:$A,$B71,GM_Wise_Raw_Landing!$D:$D,AB$63,GM_Wise_Raw_Landing!$E:$E,$D$61)</f>
        <v>422360</v>
      </c>
      <c r="AC71" s="30">
        <f>SUMIFS(GM_Wise_Raw_Landing!$C:$C,GM_Wise_Raw_Landing!$A:$A,$B71,GM_Wise_Raw_Landing!$D:$D,AC$63,GM_Wise_Raw_Landing!$E:$E,$D$61)</f>
        <v>0</v>
      </c>
      <c r="AD71" s="30">
        <f>SUMIFS(GM_Wise_Raw_Landing!$C:$C,GM_Wise_Raw_Landing!$A:$A,$B71,GM_Wise_Raw_Landing!$D:$D,AD$63,GM_Wise_Raw_Landing!$E:$E,$D$61)</f>
        <v>0</v>
      </c>
      <c r="AE71" s="30">
        <f>SUMIFS(GM_Wise_Raw_Landing!$C:$C,GM_Wise_Raw_Landing!$A:$A,$B71,GM_Wise_Raw_Landing!$D:$D,AE$63,GM_Wise_Raw_Landing!$E:$E,$D$61)</f>
        <v>0</v>
      </c>
      <c r="AF71" s="30">
        <f>SUMIFS(GM_Wise_Raw_Landing!$C:$C,GM_Wise_Raw_Landing!$A:$A,$B71,GM_Wise_Raw_Landing!$D:$D,AF$63,GM_Wise_Raw_Landing!$E:$E,$D$61)</f>
        <v>0</v>
      </c>
      <c r="AG71" s="30">
        <f>SUMIFS(GM_Wise_Raw_Landing!$C:$C,GM_Wise_Raw_Landing!$A:$A,$B71,GM_Wise_Raw_Landing!$D:$D,AG$63,GM_Wise_Raw_Landing!$E:$E,$D$61)</f>
        <v>0</v>
      </c>
      <c r="AH71" s="30">
        <f>SUMIFS(GM_Wise_Raw_Landing!$C:$C,GM_Wise_Raw_Landing!$A:$A,$B71,GM_Wise_Raw_Landing!$D:$D,AH$63,GM_Wise_Raw_Landing!$E:$E,$D$61)</f>
        <v>0</v>
      </c>
      <c r="AI71" s="30">
        <f>SUMIFS(GM_Wise_Raw_Landing!$C:$C,GM_Wise_Raw_Landing!$A:$A,$B71,GM_Wise_Raw_Landing!$D:$D,AI$63,GM_Wise_Raw_Landing!$E:$E,$D$61)</f>
        <v>0</v>
      </c>
      <c r="AJ71" s="30">
        <f>SUMIFS(GM_Wise_Raw_Landing!$C:$C,GM_Wise_Raw_Landing!$A:$A,$B71,GM_Wise_Raw_Landing!$D:$D,AJ$63,GM_Wise_Raw_Landing!$E:$E,$D$61)</f>
        <v>0</v>
      </c>
      <c r="AK71" s="6"/>
    </row>
    <row r="72">
      <c r="B72" s="85" t="s">
        <v>22</v>
      </c>
      <c r="C72" s="6"/>
      <c r="D72" s="30"/>
      <c r="E72" s="30">
        <f>SUMIFS(GM_Wise_Raw_Landing!$C:$C,GM_Wise_Raw_Landing!$A:$A,$B72,GM_Wise_Raw_Landing!$D:$D,E$63,GM_Wise_Raw_Landing!$E:$E,$D$61)</f>
        <v>0</v>
      </c>
      <c r="F72" s="30">
        <f>SUMIFS(GM_Wise_Raw_Landing!$C:$C,GM_Wise_Raw_Landing!$A:$A,$B72,GM_Wise_Raw_Landing!$D:$D,F$63,GM_Wise_Raw_Landing!$E:$E,$D$61)</f>
        <v>0</v>
      </c>
      <c r="G72" s="30">
        <f>SUMIFS(GM_Wise_Raw_Landing!$C:$C,GM_Wise_Raw_Landing!$A:$A,$B72,GM_Wise_Raw_Landing!$D:$D,G$63,GM_Wise_Raw_Landing!$E:$E,$D$61)</f>
        <v>0</v>
      </c>
      <c r="H72" s="30">
        <f>SUMIFS(GM_Wise_Raw_Landing!$C:$C,GM_Wise_Raw_Landing!$A:$A,$B72,GM_Wise_Raw_Landing!$D:$D,H$63,GM_Wise_Raw_Landing!$E:$E,$D$61)</f>
        <v>342325</v>
      </c>
      <c r="I72" s="30">
        <f>SUMIFS(GM_Wise_Raw_Landing!$C:$C,GM_Wise_Raw_Landing!$A:$A,$B72,GM_Wise_Raw_Landing!$D:$D,I$63,GM_Wise_Raw_Landing!$E:$E,$D$61)</f>
        <v>0</v>
      </c>
      <c r="J72" s="30">
        <f>SUMIFS(GM_Wise_Raw_Landing!$C:$C,GM_Wise_Raw_Landing!$A:$A,$B72,GM_Wise_Raw_Landing!$D:$D,J$63,GM_Wise_Raw_Landing!$E:$E,$D$61)</f>
        <v>0</v>
      </c>
      <c r="K72" s="30">
        <f>SUMIFS(GM_Wise_Raw_Landing!$C:$C,GM_Wise_Raw_Landing!$A:$A,$B72,GM_Wise_Raw_Landing!$D:$D,K$63,GM_Wise_Raw_Landing!$E:$E,$D$61)</f>
        <v>0</v>
      </c>
      <c r="L72" s="30">
        <f>SUMIFS(GM_Wise_Raw_Landing!$C:$C,GM_Wise_Raw_Landing!$A:$A,$B72,GM_Wise_Raw_Landing!$D:$D,L$63,GM_Wise_Raw_Landing!$E:$E,$D$61)</f>
        <v>0</v>
      </c>
      <c r="M72" s="30">
        <f>SUMIFS(GM_Wise_Raw_Landing!$C:$C,GM_Wise_Raw_Landing!$A:$A,$B72,GM_Wise_Raw_Landing!$D:$D,M$63,GM_Wise_Raw_Landing!$E:$E,$D$61)</f>
        <v>0</v>
      </c>
      <c r="N72" s="30">
        <f>SUMIFS(GM_Wise_Raw_Landing!$C:$C,GM_Wise_Raw_Landing!$A:$A,$B72,GM_Wise_Raw_Landing!$D:$D,N$63,GM_Wise_Raw_Landing!$E:$E,$D$61)</f>
        <v>0</v>
      </c>
      <c r="O72" s="30">
        <f>SUMIFS(GM_Wise_Raw_Landing!$C:$C,GM_Wise_Raw_Landing!$A:$A,$B72,GM_Wise_Raw_Landing!$D:$D,O$63,GM_Wise_Raw_Landing!$E:$E,$D$61)</f>
        <v>0</v>
      </c>
      <c r="P72" s="30">
        <f>SUMIFS(GM_Wise_Raw_Landing!$C:$C,GM_Wise_Raw_Landing!$A:$A,$B72,GM_Wise_Raw_Landing!$D:$D,P$63,GM_Wise_Raw_Landing!$E:$E,$D$61)</f>
        <v>0</v>
      </c>
      <c r="Q72" s="30">
        <f>SUMIFS(GM_Wise_Raw_Landing!$C:$C,GM_Wise_Raw_Landing!$A:$A,$B72,GM_Wise_Raw_Landing!$D:$D,Q$63,GM_Wise_Raw_Landing!$E:$E,$D$61)</f>
        <v>0</v>
      </c>
      <c r="R72" s="30">
        <f>SUMIFS(GM_Wise_Raw_Landing!$C:$C,GM_Wise_Raw_Landing!$A:$A,$B72,GM_Wise_Raw_Landing!$D:$D,R$63,GM_Wise_Raw_Landing!$E:$E,$D$61)</f>
        <v>0</v>
      </c>
      <c r="S72" s="30">
        <f>SUMIFS(GM_Wise_Raw_Landing!$C:$C,GM_Wise_Raw_Landing!$A:$A,$B72,GM_Wise_Raw_Landing!$D:$D,S$63,GM_Wise_Raw_Landing!$E:$E,$D$61)</f>
        <v>0</v>
      </c>
      <c r="T72" s="30"/>
      <c r="U72" s="30">
        <f>SUMIFS(GM_Wise_Raw_Landing!$C:$C,GM_Wise_Raw_Landing!$A:$A,$B72,GM_Wise_Raw_Landing!$D:$D,U$63,GM_Wise_Raw_Landing!$E:$E,$D$61)</f>
        <v>345078</v>
      </c>
      <c r="V72" s="30">
        <f>SUMIFS(GM_Wise_Raw_Landing!$C:$C,GM_Wise_Raw_Landing!$A:$A,$B72,GM_Wise_Raw_Landing!$D:$D,V$63,GM_Wise_Raw_Landing!$E:$E,$D$61)</f>
        <v>322554</v>
      </c>
      <c r="W72" s="30">
        <f>SUMIFS(GM_Wise_Raw_Landing!$C:$C,GM_Wise_Raw_Landing!$A:$A,$B72,GM_Wise_Raw_Landing!$D:$D,W$63,GM_Wise_Raw_Landing!$E:$E,$D$61)</f>
        <v>388702</v>
      </c>
      <c r="X72" s="30">
        <f>SUMIFS(GM_Wise_Raw_Landing!$C:$C,GM_Wise_Raw_Landing!$A:$A,$B72,GM_Wise_Raw_Landing!$D:$D,X$63,GM_Wise_Raw_Landing!$E:$E,$D$61)</f>
        <v>350367</v>
      </c>
      <c r="Y72" s="30">
        <f>SUMIFS(GM_Wise_Raw_Landing!$C:$C,GM_Wise_Raw_Landing!$A:$A,$B72,GM_Wise_Raw_Landing!$D:$D,Y$63,GM_Wise_Raw_Landing!$E:$E,$D$61)</f>
        <v>300536</v>
      </c>
      <c r="Z72" s="30">
        <f>SUMIFS(GM_Wise_Raw_Landing!$C:$C,GM_Wise_Raw_Landing!$A:$A,$B72,GM_Wise_Raw_Landing!$D:$D,Z$63,GM_Wise_Raw_Landing!$E:$E,$D$61)</f>
        <v>0</v>
      </c>
      <c r="AA72" s="30">
        <f>SUMIFS(GM_Wise_Raw_Landing!$C:$C,GM_Wise_Raw_Landing!$A:$A,$B72,GM_Wise_Raw_Landing!$D:$D,AA$63,GM_Wise_Raw_Landing!$E:$E,$D$61)</f>
        <v>0</v>
      </c>
      <c r="AB72" s="30">
        <f>SUMIFS(GM_Wise_Raw_Landing!$C:$C,GM_Wise_Raw_Landing!$A:$A,$B72,GM_Wise_Raw_Landing!$D:$D,AB$63,GM_Wise_Raw_Landing!$E:$E,$D$61)</f>
        <v>286640</v>
      </c>
      <c r="AC72" s="30">
        <f>SUMIFS(GM_Wise_Raw_Landing!$C:$C,GM_Wise_Raw_Landing!$A:$A,$B72,GM_Wise_Raw_Landing!$D:$D,AC$63,GM_Wise_Raw_Landing!$E:$E,$D$61)</f>
        <v>0</v>
      </c>
      <c r="AD72" s="30">
        <f>SUMIFS(GM_Wise_Raw_Landing!$C:$C,GM_Wise_Raw_Landing!$A:$A,$B72,GM_Wise_Raw_Landing!$D:$D,AD$63,GM_Wise_Raw_Landing!$E:$E,$D$61)</f>
        <v>0</v>
      </c>
      <c r="AE72" s="30">
        <f>SUMIFS(GM_Wise_Raw_Landing!$C:$C,GM_Wise_Raw_Landing!$A:$A,$B72,GM_Wise_Raw_Landing!$D:$D,AE$63,GM_Wise_Raw_Landing!$E:$E,$D$61)</f>
        <v>0</v>
      </c>
      <c r="AF72" s="30">
        <f>SUMIFS(GM_Wise_Raw_Landing!$C:$C,GM_Wise_Raw_Landing!$A:$A,$B72,GM_Wise_Raw_Landing!$D:$D,AF$63,GM_Wise_Raw_Landing!$E:$E,$D$61)</f>
        <v>0</v>
      </c>
      <c r="AG72" s="30">
        <f>SUMIFS(GM_Wise_Raw_Landing!$C:$C,GM_Wise_Raw_Landing!$A:$A,$B72,GM_Wise_Raw_Landing!$D:$D,AG$63,GM_Wise_Raw_Landing!$E:$E,$D$61)</f>
        <v>0</v>
      </c>
      <c r="AH72" s="30">
        <f>SUMIFS(GM_Wise_Raw_Landing!$C:$C,GM_Wise_Raw_Landing!$A:$A,$B72,GM_Wise_Raw_Landing!$D:$D,AH$63,GM_Wise_Raw_Landing!$E:$E,$D$61)</f>
        <v>0</v>
      </c>
      <c r="AI72" s="30">
        <f>SUMIFS(GM_Wise_Raw_Landing!$C:$C,GM_Wise_Raw_Landing!$A:$A,$B72,GM_Wise_Raw_Landing!$D:$D,AI$63,GM_Wise_Raw_Landing!$E:$E,$D$61)</f>
        <v>0</v>
      </c>
      <c r="AJ72" s="30">
        <f>SUMIFS(GM_Wise_Raw_Landing!$C:$C,GM_Wise_Raw_Landing!$A:$A,$B72,GM_Wise_Raw_Landing!$D:$D,AJ$63,GM_Wise_Raw_Landing!$E:$E,$D$61)</f>
        <v>0</v>
      </c>
      <c r="AK72" s="6"/>
    </row>
    <row r="73">
      <c r="B73" s="90" t="s">
        <v>28</v>
      </c>
      <c r="C73" s="6"/>
      <c r="D73" s="109"/>
      <c r="E73" s="110">
        <f t="shared" ref="E73:S73" si="33">SUM(E74:E77)</f>
        <v>0</v>
      </c>
      <c r="F73" s="110">
        <f t="shared" si="33"/>
        <v>0</v>
      </c>
      <c r="G73" s="110">
        <f t="shared" si="33"/>
        <v>0</v>
      </c>
      <c r="H73" s="110">
        <f t="shared" si="33"/>
        <v>1202529</v>
      </c>
      <c r="I73" s="110">
        <f t="shared" si="33"/>
        <v>0</v>
      </c>
      <c r="J73" s="110">
        <f t="shared" si="33"/>
        <v>0</v>
      </c>
      <c r="K73" s="110">
        <f t="shared" si="33"/>
        <v>0</v>
      </c>
      <c r="L73" s="110">
        <f t="shared" si="33"/>
        <v>0</v>
      </c>
      <c r="M73" s="110">
        <f t="shared" si="33"/>
        <v>0</v>
      </c>
      <c r="N73" s="110">
        <f t="shared" si="33"/>
        <v>0</v>
      </c>
      <c r="O73" s="110">
        <f t="shared" si="33"/>
        <v>0</v>
      </c>
      <c r="P73" s="110">
        <f t="shared" si="33"/>
        <v>0</v>
      </c>
      <c r="Q73" s="110">
        <f t="shared" si="33"/>
        <v>0</v>
      </c>
      <c r="R73" s="110">
        <f t="shared" si="33"/>
        <v>0</v>
      </c>
      <c r="S73" s="110">
        <f t="shared" si="33"/>
        <v>0</v>
      </c>
      <c r="T73" s="110"/>
      <c r="U73" s="110">
        <f t="shared" ref="U73:AJ73" si="34">SUM(U74:U77)</f>
        <v>1144043</v>
      </c>
      <c r="V73" s="110">
        <f t="shared" si="34"/>
        <v>1148379</v>
      </c>
      <c r="W73" s="110">
        <f t="shared" si="34"/>
        <v>1113325</v>
      </c>
      <c r="X73" s="110">
        <f t="shared" si="34"/>
        <v>884382</v>
      </c>
      <c r="Y73" s="110">
        <f t="shared" si="34"/>
        <v>927491</v>
      </c>
      <c r="Z73" s="110">
        <f t="shared" si="34"/>
        <v>0</v>
      </c>
      <c r="AA73" s="110">
        <f t="shared" si="34"/>
        <v>0</v>
      </c>
      <c r="AB73" s="110">
        <f t="shared" si="34"/>
        <v>1151726</v>
      </c>
      <c r="AC73" s="110">
        <f t="shared" si="34"/>
        <v>0</v>
      </c>
      <c r="AD73" s="110">
        <f t="shared" si="34"/>
        <v>0</v>
      </c>
      <c r="AE73" s="110">
        <f t="shared" si="34"/>
        <v>0</v>
      </c>
      <c r="AF73" s="110">
        <f t="shared" si="34"/>
        <v>0</v>
      </c>
      <c r="AG73" s="110">
        <f t="shared" si="34"/>
        <v>0</v>
      </c>
      <c r="AH73" s="110">
        <f t="shared" si="34"/>
        <v>0</v>
      </c>
      <c r="AI73" s="110">
        <f t="shared" si="34"/>
        <v>0</v>
      </c>
      <c r="AJ73" s="110">
        <f t="shared" si="34"/>
        <v>0</v>
      </c>
      <c r="AK73" s="6"/>
    </row>
    <row r="74">
      <c r="B74" s="111" t="s">
        <v>24</v>
      </c>
      <c r="C74" s="6"/>
      <c r="D74" s="30"/>
      <c r="E74" s="30">
        <f>SUMIFS(GM_Wise_Raw_Landing!$C:$C,GM_Wise_Raw_Landing!$A:$A,$B74,GM_Wise_Raw_Landing!$D:$D,E$63,GM_Wise_Raw_Landing!$E:$E,$D$61)</f>
        <v>0</v>
      </c>
      <c r="F74" s="30">
        <f>SUMIFS(GM_Wise_Raw_Landing!$C:$C,GM_Wise_Raw_Landing!$A:$A,$B74,GM_Wise_Raw_Landing!$D:$D,F$63,GM_Wise_Raw_Landing!$E:$E,$D$61)</f>
        <v>0</v>
      </c>
      <c r="G74" s="30">
        <f>SUMIFS(GM_Wise_Raw_Landing!$C:$C,GM_Wise_Raw_Landing!$A:$A,$B74,GM_Wise_Raw_Landing!$D:$D,G$63,GM_Wise_Raw_Landing!$E:$E,$D$61)</f>
        <v>0</v>
      </c>
      <c r="H74" s="30">
        <f>SUMIFS(GM_Wise_Raw_Landing!$C:$C,GM_Wise_Raw_Landing!$A:$A,$B74,GM_Wise_Raw_Landing!$D:$D,H$63,GM_Wise_Raw_Landing!$E:$E,$D$61)</f>
        <v>356196</v>
      </c>
      <c r="I74" s="30">
        <f>SUMIFS(GM_Wise_Raw_Landing!$C:$C,GM_Wise_Raw_Landing!$A:$A,$B74,GM_Wise_Raw_Landing!$D:$D,I$63,GM_Wise_Raw_Landing!$E:$E,$D$61)</f>
        <v>0</v>
      </c>
      <c r="J74" s="30">
        <f>SUMIFS(GM_Wise_Raw_Landing!$C:$C,GM_Wise_Raw_Landing!$A:$A,$B74,GM_Wise_Raw_Landing!$D:$D,J$63,GM_Wise_Raw_Landing!$E:$E,$D$61)</f>
        <v>0</v>
      </c>
      <c r="K74" s="30">
        <f>SUMIFS(GM_Wise_Raw_Landing!$C:$C,GM_Wise_Raw_Landing!$A:$A,$B74,GM_Wise_Raw_Landing!$D:$D,K$63,GM_Wise_Raw_Landing!$E:$E,$D$61)</f>
        <v>0</v>
      </c>
      <c r="L74" s="30">
        <f>SUMIFS(GM_Wise_Raw_Landing!$C:$C,GM_Wise_Raw_Landing!$A:$A,$B74,GM_Wise_Raw_Landing!$D:$D,L$63,GM_Wise_Raw_Landing!$E:$E,$D$61)</f>
        <v>0</v>
      </c>
      <c r="M74" s="30">
        <f>SUMIFS(GM_Wise_Raw_Landing!$C:$C,GM_Wise_Raw_Landing!$A:$A,$B74,GM_Wise_Raw_Landing!$D:$D,M$63,GM_Wise_Raw_Landing!$E:$E,$D$61)</f>
        <v>0</v>
      </c>
      <c r="N74" s="30">
        <f>SUMIFS(GM_Wise_Raw_Landing!$C:$C,GM_Wise_Raw_Landing!$A:$A,$B74,GM_Wise_Raw_Landing!$D:$D,N$63,GM_Wise_Raw_Landing!$E:$E,$D$61)</f>
        <v>0</v>
      </c>
      <c r="O74" s="30">
        <f>SUMIFS(GM_Wise_Raw_Landing!$C:$C,GM_Wise_Raw_Landing!$A:$A,$B74,GM_Wise_Raw_Landing!$D:$D,O$63,GM_Wise_Raw_Landing!$E:$E,$D$61)</f>
        <v>0</v>
      </c>
      <c r="P74" s="30">
        <f>SUMIFS(GM_Wise_Raw_Landing!$C:$C,GM_Wise_Raw_Landing!$A:$A,$B74,GM_Wise_Raw_Landing!$D:$D,P$63,GM_Wise_Raw_Landing!$E:$E,$D$61)</f>
        <v>0</v>
      </c>
      <c r="Q74" s="30">
        <f>SUMIFS(GM_Wise_Raw_Landing!$C:$C,GM_Wise_Raw_Landing!$A:$A,$B74,GM_Wise_Raw_Landing!$D:$D,Q$63,GM_Wise_Raw_Landing!$E:$E,$D$61)</f>
        <v>0</v>
      </c>
      <c r="R74" s="30">
        <f>SUMIFS(GM_Wise_Raw_Landing!$C:$C,GM_Wise_Raw_Landing!$A:$A,$B74,GM_Wise_Raw_Landing!$D:$D,R$63,GM_Wise_Raw_Landing!$E:$E,$D$61)</f>
        <v>0</v>
      </c>
      <c r="S74" s="30">
        <f>SUMIFS(GM_Wise_Raw_Landing!$C:$C,GM_Wise_Raw_Landing!$A:$A,$B74,GM_Wise_Raw_Landing!$D:$D,S$63,GM_Wise_Raw_Landing!$E:$E,$D$61)</f>
        <v>0</v>
      </c>
      <c r="T74" s="30"/>
      <c r="U74" s="30">
        <f>SUMIFS(GM_Wise_Raw_Landing!$C:$C,GM_Wise_Raw_Landing!$A:$A,$B74,GM_Wise_Raw_Landing!$D:$D,U$63,GM_Wise_Raw_Landing!$E:$E,$D$61)</f>
        <v>313794</v>
      </c>
      <c r="V74" s="30">
        <f>SUMIFS(GM_Wise_Raw_Landing!$C:$C,GM_Wise_Raw_Landing!$A:$A,$B74,GM_Wise_Raw_Landing!$D:$D,V$63,GM_Wise_Raw_Landing!$E:$E,$D$61)</f>
        <v>314580</v>
      </c>
      <c r="W74" s="30">
        <f>SUMIFS(GM_Wise_Raw_Landing!$C:$C,GM_Wise_Raw_Landing!$A:$A,$B74,GM_Wise_Raw_Landing!$D:$D,W$63,GM_Wise_Raw_Landing!$E:$E,$D$61)</f>
        <v>299136</v>
      </c>
      <c r="X74" s="30">
        <f>SUMIFS(GM_Wise_Raw_Landing!$C:$C,GM_Wise_Raw_Landing!$A:$A,$B74,GM_Wise_Raw_Landing!$D:$D,X$63,GM_Wise_Raw_Landing!$E:$E,$D$61)</f>
        <v>229103</v>
      </c>
      <c r="Y74" s="30">
        <f>SUMIFS(GM_Wise_Raw_Landing!$C:$C,GM_Wise_Raw_Landing!$A:$A,$B74,GM_Wise_Raw_Landing!$D:$D,Y$63,GM_Wise_Raw_Landing!$E:$E,$D$61)</f>
        <v>266786</v>
      </c>
      <c r="Z74" s="30">
        <f>SUMIFS(GM_Wise_Raw_Landing!$C:$C,GM_Wise_Raw_Landing!$A:$A,$B74,GM_Wise_Raw_Landing!$D:$D,Z$63,GM_Wise_Raw_Landing!$E:$E,$D$61)</f>
        <v>0</v>
      </c>
      <c r="AA74" s="30">
        <f>SUMIFS(GM_Wise_Raw_Landing!$C:$C,GM_Wise_Raw_Landing!$A:$A,$B74,GM_Wise_Raw_Landing!$D:$D,AA$63,GM_Wise_Raw_Landing!$E:$E,$D$61)</f>
        <v>0</v>
      </c>
      <c r="AB74" s="30">
        <f>SUMIFS(GM_Wise_Raw_Landing!$C:$C,GM_Wise_Raw_Landing!$A:$A,$B74,GM_Wise_Raw_Landing!$D:$D,AB$63,GM_Wise_Raw_Landing!$E:$E,$D$61)</f>
        <v>319533</v>
      </c>
      <c r="AC74" s="30">
        <f>SUMIFS(GM_Wise_Raw_Landing!$C:$C,GM_Wise_Raw_Landing!$A:$A,$B74,GM_Wise_Raw_Landing!$D:$D,AC$63,GM_Wise_Raw_Landing!$E:$E,$D$61)</f>
        <v>0</v>
      </c>
      <c r="AD74" s="30">
        <f>SUMIFS(GM_Wise_Raw_Landing!$C:$C,GM_Wise_Raw_Landing!$A:$A,$B74,GM_Wise_Raw_Landing!$D:$D,AD$63,GM_Wise_Raw_Landing!$E:$E,$D$61)</f>
        <v>0</v>
      </c>
      <c r="AE74" s="30">
        <f>SUMIFS(GM_Wise_Raw_Landing!$C:$C,GM_Wise_Raw_Landing!$A:$A,$B74,GM_Wise_Raw_Landing!$D:$D,AE$63,GM_Wise_Raw_Landing!$E:$E,$D$61)</f>
        <v>0</v>
      </c>
      <c r="AF74" s="30">
        <f>SUMIFS(GM_Wise_Raw_Landing!$C:$C,GM_Wise_Raw_Landing!$A:$A,$B74,GM_Wise_Raw_Landing!$D:$D,AF$63,GM_Wise_Raw_Landing!$E:$E,$D$61)</f>
        <v>0</v>
      </c>
      <c r="AG74" s="30">
        <f>SUMIFS(GM_Wise_Raw_Landing!$C:$C,GM_Wise_Raw_Landing!$A:$A,$B74,GM_Wise_Raw_Landing!$D:$D,AG$63,GM_Wise_Raw_Landing!$E:$E,$D$61)</f>
        <v>0</v>
      </c>
      <c r="AH74" s="30">
        <f>SUMIFS(GM_Wise_Raw_Landing!$C:$C,GM_Wise_Raw_Landing!$A:$A,$B74,GM_Wise_Raw_Landing!$D:$D,AH$63,GM_Wise_Raw_Landing!$E:$E,$D$61)</f>
        <v>0</v>
      </c>
      <c r="AI74" s="30">
        <f>SUMIFS(GM_Wise_Raw_Landing!$C:$C,GM_Wise_Raw_Landing!$A:$A,$B74,GM_Wise_Raw_Landing!$D:$D,AI$63,GM_Wise_Raw_Landing!$E:$E,$D$61)</f>
        <v>0</v>
      </c>
      <c r="AJ74" s="30">
        <f>SUMIFS(GM_Wise_Raw_Landing!$C:$C,GM_Wise_Raw_Landing!$A:$A,$B74,GM_Wise_Raw_Landing!$D:$D,AJ$63,GM_Wise_Raw_Landing!$E:$E,$D$61)</f>
        <v>0</v>
      </c>
      <c r="AK74" s="6"/>
    </row>
    <row r="75">
      <c r="B75" s="85" t="s">
        <v>25</v>
      </c>
      <c r="C75" s="6"/>
      <c r="D75" s="30"/>
      <c r="E75" s="30">
        <f>SUMIFS(GM_Wise_Raw_Landing!$C:$C,GM_Wise_Raw_Landing!$A:$A,$B75,GM_Wise_Raw_Landing!$D:$D,E$63,GM_Wise_Raw_Landing!$E:$E,$D$61)</f>
        <v>0</v>
      </c>
      <c r="F75" s="30">
        <f>SUMIFS(GM_Wise_Raw_Landing!$C:$C,GM_Wise_Raw_Landing!$A:$A,$B75,GM_Wise_Raw_Landing!$D:$D,F$63,GM_Wise_Raw_Landing!$E:$E,$D$61)</f>
        <v>0</v>
      </c>
      <c r="G75" s="30">
        <f>SUMIFS(GM_Wise_Raw_Landing!$C:$C,GM_Wise_Raw_Landing!$A:$A,$B75,GM_Wise_Raw_Landing!$D:$D,G$63,GM_Wise_Raw_Landing!$E:$E,$D$61)</f>
        <v>0</v>
      </c>
      <c r="H75" s="30">
        <f>SUMIFS(GM_Wise_Raw_Landing!$C:$C,GM_Wise_Raw_Landing!$A:$A,$B75,GM_Wise_Raw_Landing!$D:$D,H$63,GM_Wise_Raw_Landing!$E:$E,$D$61)</f>
        <v>323905</v>
      </c>
      <c r="I75" s="30">
        <f>SUMIFS(GM_Wise_Raw_Landing!$C:$C,GM_Wise_Raw_Landing!$A:$A,$B75,GM_Wise_Raw_Landing!$D:$D,I$63,GM_Wise_Raw_Landing!$E:$E,$D$61)</f>
        <v>0</v>
      </c>
      <c r="J75" s="30">
        <f>SUMIFS(GM_Wise_Raw_Landing!$C:$C,GM_Wise_Raw_Landing!$A:$A,$B75,GM_Wise_Raw_Landing!$D:$D,J$63,GM_Wise_Raw_Landing!$E:$E,$D$61)</f>
        <v>0</v>
      </c>
      <c r="K75" s="30">
        <f>SUMIFS(GM_Wise_Raw_Landing!$C:$C,GM_Wise_Raw_Landing!$A:$A,$B75,GM_Wise_Raw_Landing!$D:$D,K$63,GM_Wise_Raw_Landing!$E:$E,$D$61)</f>
        <v>0</v>
      </c>
      <c r="L75" s="30">
        <f>SUMIFS(GM_Wise_Raw_Landing!$C:$C,GM_Wise_Raw_Landing!$A:$A,$B75,GM_Wise_Raw_Landing!$D:$D,L$63,GM_Wise_Raw_Landing!$E:$E,$D$61)</f>
        <v>0</v>
      </c>
      <c r="M75" s="30">
        <f>SUMIFS(GM_Wise_Raw_Landing!$C:$C,GM_Wise_Raw_Landing!$A:$A,$B75,GM_Wise_Raw_Landing!$D:$D,M$63,GM_Wise_Raw_Landing!$E:$E,$D$61)</f>
        <v>0</v>
      </c>
      <c r="N75" s="30">
        <f>SUMIFS(GM_Wise_Raw_Landing!$C:$C,GM_Wise_Raw_Landing!$A:$A,$B75,GM_Wise_Raw_Landing!$D:$D,N$63,GM_Wise_Raw_Landing!$E:$E,$D$61)</f>
        <v>0</v>
      </c>
      <c r="O75" s="30">
        <f>SUMIFS(GM_Wise_Raw_Landing!$C:$C,GM_Wise_Raw_Landing!$A:$A,$B75,GM_Wise_Raw_Landing!$D:$D,O$63,GM_Wise_Raw_Landing!$E:$E,$D$61)</f>
        <v>0</v>
      </c>
      <c r="P75" s="30">
        <f>SUMIFS(GM_Wise_Raw_Landing!$C:$C,GM_Wise_Raw_Landing!$A:$A,$B75,GM_Wise_Raw_Landing!$D:$D,P$63,GM_Wise_Raw_Landing!$E:$E,$D$61)</f>
        <v>0</v>
      </c>
      <c r="Q75" s="30">
        <f>SUMIFS(GM_Wise_Raw_Landing!$C:$C,GM_Wise_Raw_Landing!$A:$A,$B75,GM_Wise_Raw_Landing!$D:$D,Q$63,GM_Wise_Raw_Landing!$E:$E,$D$61)</f>
        <v>0</v>
      </c>
      <c r="R75" s="30">
        <f>SUMIFS(GM_Wise_Raw_Landing!$C:$C,GM_Wise_Raw_Landing!$A:$A,$B75,GM_Wise_Raw_Landing!$D:$D,R$63,GM_Wise_Raw_Landing!$E:$E,$D$61)</f>
        <v>0</v>
      </c>
      <c r="S75" s="30">
        <f>SUMIFS(GM_Wise_Raw_Landing!$C:$C,GM_Wise_Raw_Landing!$A:$A,$B75,GM_Wise_Raw_Landing!$D:$D,S$63,GM_Wise_Raw_Landing!$E:$E,$D$61)</f>
        <v>0</v>
      </c>
      <c r="T75" s="30"/>
      <c r="U75" s="30">
        <f>SUMIFS(GM_Wise_Raw_Landing!$C:$C,GM_Wise_Raw_Landing!$A:$A,$B75,GM_Wise_Raw_Landing!$D:$D,U$63,GM_Wise_Raw_Landing!$E:$E,$D$61)</f>
        <v>290620</v>
      </c>
      <c r="V75" s="30">
        <f>SUMIFS(GM_Wise_Raw_Landing!$C:$C,GM_Wise_Raw_Landing!$A:$A,$B75,GM_Wise_Raw_Landing!$D:$D,V$63,GM_Wise_Raw_Landing!$E:$E,$D$61)</f>
        <v>312759</v>
      </c>
      <c r="W75" s="30">
        <f>SUMIFS(GM_Wise_Raw_Landing!$C:$C,GM_Wise_Raw_Landing!$A:$A,$B75,GM_Wise_Raw_Landing!$D:$D,W$63,GM_Wise_Raw_Landing!$E:$E,$D$61)</f>
        <v>299924</v>
      </c>
      <c r="X75" s="30">
        <f>SUMIFS(GM_Wise_Raw_Landing!$C:$C,GM_Wise_Raw_Landing!$A:$A,$B75,GM_Wise_Raw_Landing!$D:$D,X$63,GM_Wise_Raw_Landing!$E:$E,$D$61)</f>
        <v>221673</v>
      </c>
      <c r="Y75" s="30">
        <f>SUMIFS(GM_Wise_Raw_Landing!$C:$C,GM_Wise_Raw_Landing!$A:$A,$B75,GM_Wise_Raw_Landing!$D:$D,Y$63,GM_Wise_Raw_Landing!$E:$E,$D$61)</f>
        <v>259636</v>
      </c>
      <c r="Z75" s="30">
        <f>SUMIFS(GM_Wise_Raw_Landing!$C:$C,GM_Wise_Raw_Landing!$A:$A,$B75,GM_Wise_Raw_Landing!$D:$D,Z$63,GM_Wise_Raw_Landing!$E:$E,$D$61)</f>
        <v>0</v>
      </c>
      <c r="AA75" s="30">
        <f>SUMIFS(GM_Wise_Raw_Landing!$C:$C,GM_Wise_Raw_Landing!$A:$A,$B75,GM_Wise_Raw_Landing!$D:$D,AA$63,GM_Wise_Raw_Landing!$E:$E,$D$61)</f>
        <v>0</v>
      </c>
      <c r="AB75" s="30">
        <f>SUMIFS(GM_Wise_Raw_Landing!$C:$C,GM_Wise_Raw_Landing!$A:$A,$B75,GM_Wise_Raw_Landing!$D:$D,AB$63,GM_Wise_Raw_Landing!$E:$E,$D$61)</f>
        <v>303781</v>
      </c>
      <c r="AC75" s="30">
        <f>SUMIFS(GM_Wise_Raw_Landing!$C:$C,GM_Wise_Raw_Landing!$A:$A,$B75,GM_Wise_Raw_Landing!$D:$D,AC$63,GM_Wise_Raw_Landing!$E:$E,$D$61)</f>
        <v>0</v>
      </c>
      <c r="AD75" s="30">
        <f>SUMIFS(GM_Wise_Raw_Landing!$C:$C,GM_Wise_Raw_Landing!$A:$A,$B75,GM_Wise_Raw_Landing!$D:$D,AD$63,GM_Wise_Raw_Landing!$E:$E,$D$61)</f>
        <v>0</v>
      </c>
      <c r="AE75" s="30">
        <f>SUMIFS(GM_Wise_Raw_Landing!$C:$C,GM_Wise_Raw_Landing!$A:$A,$B75,GM_Wise_Raw_Landing!$D:$D,AE$63,GM_Wise_Raw_Landing!$E:$E,$D$61)</f>
        <v>0</v>
      </c>
      <c r="AF75" s="30">
        <f>SUMIFS(GM_Wise_Raw_Landing!$C:$C,GM_Wise_Raw_Landing!$A:$A,$B75,GM_Wise_Raw_Landing!$D:$D,AF$63,GM_Wise_Raw_Landing!$E:$E,$D$61)</f>
        <v>0</v>
      </c>
      <c r="AG75" s="30">
        <f>SUMIFS(GM_Wise_Raw_Landing!$C:$C,GM_Wise_Raw_Landing!$A:$A,$B75,GM_Wise_Raw_Landing!$D:$D,AG$63,GM_Wise_Raw_Landing!$E:$E,$D$61)</f>
        <v>0</v>
      </c>
      <c r="AH75" s="30">
        <f>SUMIFS(GM_Wise_Raw_Landing!$C:$C,GM_Wise_Raw_Landing!$A:$A,$B75,GM_Wise_Raw_Landing!$D:$D,AH$63,GM_Wise_Raw_Landing!$E:$E,$D$61)</f>
        <v>0</v>
      </c>
      <c r="AI75" s="30">
        <f>SUMIFS(GM_Wise_Raw_Landing!$C:$C,GM_Wise_Raw_Landing!$A:$A,$B75,GM_Wise_Raw_Landing!$D:$D,AI$63,GM_Wise_Raw_Landing!$E:$E,$D$61)</f>
        <v>0</v>
      </c>
      <c r="AJ75" s="30">
        <f>SUMIFS(GM_Wise_Raw_Landing!$C:$C,GM_Wise_Raw_Landing!$A:$A,$B75,GM_Wise_Raw_Landing!$D:$D,AJ$63,GM_Wise_Raw_Landing!$E:$E,$D$61)</f>
        <v>0</v>
      </c>
      <c r="AK75" s="6"/>
    </row>
    <row r="76">
      <c r="B76" s="85" t="s">
        <v>26</v>
      </c>
      <c r="C76" s="6"/>
      <c r="D76" s="30"/>
      <c r="E76" s="30">
        <f>SUMIFS(GM_Wise_Raw_Landing!$C:$C,GM_Wise_Raw_Landing!$A:$A,$B76,GM_Wise_Raw_Landing!$D:$D,E$63,GM_Wise_Raw_Landing!$E:$E,$D$61)</f>
        <v>0</v>
      </c>
      <c r="F76" s="30">
        <f>SUMIFS(GM_Wise_Raw_Landing!$C:$C,GM_Wise_Raw_Landing!$A:$A,$B76,GM_Wise_Raw_Landing!$D:$D,F$63,GM_Wise_Raw_Landing!$E:$E,$D$61)</f>
        <v>0</v>
      </c>
      <c r="G76" s="30">
        <f>SUMIFS(GM_Wise_Raw_Landing!$C:$C,GM_Wise_Raw_Landing!$A:$A,$B76,GM_Wise_Raw_Landing!$D:$D,G$63,GM_Wise_Raw_Landing!$E:$E,$D$61)</f>
        <v>0</v>
      </c>
      <c r="H76" s="30">
        <f>SUMIFS(GM_Wise_Raw_Landing!$C:$C,GM_Wise_Raw_Landing!$A:$A,$B76,GM_Wise_Raw_Landing!$D:$D,H$63,GM_Wise_Raw_Landing!$E:$E,$D$61)</f>
        <v>293265</v>
      </c>
      <c r="I76" s="30">
        <f>SUMIFS(GM_Wise_Raw_Landing!$C:$C,GM_Wise_Raw_Landing!$A:$A,$B76,GM_Wise_Raw_Landing!$D:$D,I$63,GM_Wise_Raw_Landing!$E:$E,$D$61)</f>
        <v>0</v>
      </c>
      <c r="J76" s="30">
        <f>SUMIFS(GM_Wise_Raw_Landing!$C:$C,GM_Wise_Raw_Landing!$A:$A,$B76,GM_Wise_Raw_Landing!$D:$D,J$63,GM_Wise_Raw_Landing!$E:$E,$D$61)</f>
        <v>0</v>
      </c>
      <c r="K76" s="30">
        <f>SUMIFS(GM_Wise_Raw_Landing!$C:$C,GM_Wise_Raw_Landing!$A:$A,$B76,GM_Wise_Raw_Landing!$D:$D,K$63,GM_Wise_Raw_Landing!$E:$E,$D$61)</f>
        <v>0</v>
      </c>
      <c r="L76" s="30">
        <f>SUMIFS(GM_Wise_Raw_Landing!$C:$C,GM_Wise_Raw_Landing!$A:$A,$B76,GM_Wise_Raw_Landing!$D:$D,L$63,GM_Wise_Raw_Landing!$E:$E,$D$61)</f>
        <v>0</v>
      </c>
      <c r="M76" s="30">
        <f>SUMIFS(GM_Wise_Raw_Landing!$C:$C,GM_Wise_Raw_Landing!$A:$A,$B76,GM_Wise_Raw_Landing!$D:$D,M$63,GM_Wise_Raw_Landing!$E:$E,$D$61)</f>
        <v>0</v>
      </c>
      <c r="N76" s="30">
        <f>SUMIFS(GM_Wise_Raw_Landing!$C:$C,GM_Wise_Raw_Landing!$A:$A,$B76,GM_Wise_Raw_Landing!$D:$D,N$63,GM_Wise_Raw_Landing!$E:$E,$D$61)</f>
        <v>0</v>
      </c>
      <c r="O76" s="30">
        <f>SUMIFS(GM_Wise_Raw_Landing!$C:$C,GM_Wise_Raw_Landing!$A:$A,$B76,GM_Wise_Raw_Landing!$D:$D,O$63,GM_Wise_Raw_Landing!$E:$E,$D$61)</f>
        <v>0</v>
      </c>
      <c r="P76" s="30">
        <f>SUMIFS(GM_Wise_Raw_Landing!$C:$C,GM_Wise_Raw_Landing!$A:$A,$B76,GM_Wise_Raw_Landing!$D:$D,P$63,GM_Wise_Raw_Landing!$E:$E,$D$61)</f>
        <v>0</v>
      </c>
      <c r="Q76" s="30">
        <f>SUMIFS(GM_Wise_Raw_Landing!$C:$C,GM_Wise_Raw_Landing!$A:$A,$B76,GM_Wise_Raw_Landing!$D:$D,Q$63,GM_Wise_Raw_Landing!$E:$E,$D$61)</f>
        <v>0</v>
      </c>
      <c r="R76" s="30">
        <f>SUMIFS(GM_Wise_Raw_Landing!$C:$C,GM_Wise_Raw_Landing!$A:$A,$B76,GM_Wise_Raw_Landing!$D:$D,R$63,GM_Wise_Raw_Landing!$E:$E,$D$61)</f>
        <v>0</v>
      </c>
      <c r="S76" s="30">
        <f>SUMIFS(GM_Wise_Raw_Landing!$C:$C,GM_Wise_Raw_Landing!$A:$A,$B76,GM_Wise_Raw_Landing!$D:$D,S$63,GM_Wise_Raw_Landing!$E:$E,$D$61)</f>
        <v>0</v>
      </c>
      <c r="T76" s="30"/>
      <c r="U76" s="30">
        <f>SUMIFS(GM_Wise_Raw_Landing!$C:$C,GM_Wise_Raw_Landing!$A:$A,$B76,GM_Wise_Raw_Landing!$D:$D,U$63,GM_Wise_Raw_Landing!$E:$E,$D$61)</f>
        <v>295225</v>
      </c>
      <c r="V76" s="30">
        <f>SUMIFS(GM_Wise_Raw_Landing!$C:$C,GM_Wise_Raw_Landing!$A:$A,$B76,GM_Wise_Raw_Landing!$D:$D,V$63,GM_Wise_Raw_Landing!$E:$E,$D$61)</f>
        <v>279438</v>
      </c>
      <c r="W76" s="30">
        <f>SUMIFS(GM_Wise_Raw_Landing!$C:$C,GM_Wise_Raw_Landing!$A:$A,$B76,GM_Wise_Raw_Landing!$D:$D,W$63,GM_Wise_Raw_Landing!$E:$E,$D$61)</f>
        <v>275615</v>
      </c>
      <c r="X76" s="30">
        <f>SUMIFS(GM_Wise_Raw_Landing!$C:$C,GM_Wise_Raw_Landing!$A:$A,$B76,GM_Wise_Raw_Landing!$D:$D,X$63,GM_Wise_Raw_Landing!$E:$E,$D$61)</f>
        <v>224475</v>
      </c>
      <c r="Y76" s="30">
        <f>SUMIFS(GM_Wise_Raw_Landing!$C:$C,GM_Wise_Raw_Landing!$A:$A,$B76,GM_Wise_Raw_Landing!$D:$D,Y$63,GM_Wise_Raw_Landing!$E:$E,$D$61)</f>
        <v>232656</v>
      </c>
      <c r="Z76" s="30">
        <f>SUMIFS(GM_Wise_Raw_Landing!$C:$C,GM_Wise_Raw_Landing!$A:$A,$B76,GM_Wise_Raw_Landing!$D:$D,Z$63,GM_Wise_Raw_Landing!$E:$E,$D$61)</f>
        <v>0</v>
      </c>
      <c r="AA76" s="30">
        <f>SUMIFS(GM_Wise_Raw_Landing!$C:$C,GM_Wise_Raw_Landing!$A:$A,$B76,GM_Wise_Raw_Landing!$D:$D,AA$63,GM_Wise_Raw_Landing!$E:$E,$D$61)</f>
        <v>0</v>
      </c>
      <c r="AB76" s="30">
        <f>SUMIFS(GM_Wise_Raw_Landing!$C:$C,GM_Wise_Raw_Landing!$A:$A,$B76,GM_Wise_Raw_Landing!$D:$D,AB$63,GM_Wise_Raw_Landing!$E:$E,$D$61)</f>
        <v>278865</v>
      </c>
      <c r="AC76" s="30">
        <f>SUMIFS(GM_Wise_Raw_Landing!$C:$C,GM_Wise_Raw_Landing!$A:$A,$B76,GM_Wise_Raw_Landing!$D:$D,AC$63,GM_Wise_Raw_Landing!$E:$E,$D$61)</f>
        <v>0</v>
      </c>
      <c r="AD76" s="30">
        <f>SUMIFS(GM_Wise_Raw_Landing!$C:$C,GM_Wise_Raw_Landing!$A:$A,$B76,GM_Wise_Raw_Landing!$D:$D,AD$63,GM_Wise_Raw_Landing!$E:$E,$D$61)</f>
        <v>0</v>
      </c>
      <c r="AE76" s="30">
        <f>SUMIFS(GM_Wise_Raw_Landing!$C:$C,GM_Wise_Raw_Landing!$A:$A,$B76,GM_Wise_Raw_Landing!$D:$D,AE$63,GM_Wise_Raw_Landing!$E:$E,$D$61)</f>
        <v>0</v>
      </c>
      <c r="AF76" s="30">
        <f>SUMIFS(GM_Wise_Raw_Landing!$C:$C,GM_Wise_Raw_Landing!$A:$A,$B76,GM_Wise_Raw_Landing!$D:$D,AF$63,GM_Wise_Raw_Landing!$E:$E,$D$61)</f>
        <v>0</v>
      </c>
      <c r="AG76" s="30">
        <f>SUMIFS(GM_Wise_Raw_Landing!$C:$C,GM_Wise_Raw_Landing!$A:$A,$B76,GM_Wise_Raw_Landing!$D:$D,AG$63,GM_Wise_Raw_Landing!$E:$E,$D$61)</f>
        <v>0</v>
      </c>
      <c r="AH76" s="30">
        <f>SUMIFS(GM_Wise_Raw_Landing!$C:$C,GM_Wise_Raw_Landing!$A:$A,$B76,GM_Wise_Raw_Landing!$D:$D,AH$63,GM_Wise_Raw_Landing!$E:$E,$D$61)</f>
        <v>0</v>
      </c>
      <c r="AI76" s="30">
        <f>SUMIFS(GM_Wise_Raw_Landing!$C:$C,GM_Wise_Raw_Landing!$A:$A,$B76,GM_Wise_Raw_Landing!$D:$D,AI$63,GM_Wise_Raw_Landing!$E:$E,$D$61)</f>
        <v>0</v>
      </c>
      <c r="AJ76" s="30">
        <f>SUMIFS(GM_Wise_Raw_Landing!$C:$C,GM_Wise_Raw_Landing!$A:$A,$B76,GM_Wise_Raw_Landing!$D:$D,AJ$63,GM_Wise_Raw_Landing!$E:$E,$D$61)</f>
        <v>0</v>
      </c>
      <c r="AK76" s="6"/>
    </row>
    <row r="77">
      <c r="B77" s="85" t="s">
        <v>27</v>
      </c>
      <c r="C77" s="6"/>
      <c r="D77" s="30"/>
      <c r="E77" s="30">
        <f>SUMIFS(GM_Wise_Raw_Landing!$C:$C,GM_Wise_Raw_Landing!$A:$A,$B77,GM_Wise_Raw_Landing!$D:$D,E$63,GM_Wise_Raw_Landing!$E:$E,$D$61)</f>
        <v>0</v>
      </c>
      <c r="F77" s="30">
        <f>SUMIFS(GM_Wise_Raw_Landing!$C:$C,GM_Wise_Raw_Landing!$A:$A,$B77,GM_Wise_Raw_Landing!$D:$D,F$63,GM_Wise_Raw_Landing!$E:$E,$D$61)</f>
        <v>0</v>
      </c>
      <c r="G77" s="30">
        <f>SUMIFS(GM_Wise_Raw_Landing!$C:$C,GM_Wise_Raw_Landing!$A:$A,$B77,GM_Wise_Raw_Landing!$D:$D,G$63,GM_Wise_Raw_Landing!$E:$E,$D$61)</f>
        <v>0</v>
      </c>
      <c r="H77" s="30">
        <f>SUMIFS(GM_Wise_Raw_Landing!$C:$C,GM_Wise_Raw_Landing!$A:$A,$B77,GM_Wise_Raw_Landing!$D:$D,H$63,GM_Wise_Raw_Landing!$E:$E,$D$61)</f>
        <v>229163</v>
      </c>
      <c r="I77" s="30">
        <f>SUMIFS(GM_Wise_Raw_Landing!$C:$C,GM_Wise_Raw_Landing!$A:$A,$B77,GM_Wise_Raw_Landing!$D:$D,I$63,GM_Wise_Raw_Landing!$E:$E,$D$61)</f>
        <v>0</v>
      </c>
      <c r="J77" s="30">
        <f>SUMIFS(GM_Wise_Raw_Landing!$C:$C,GM_Wise_Raw_Landing!$A:$A,$B77,GM_Wise_Raw_Landing!$D:$D,J$63,GM_Wise_Raw_Landing!$E:$E,$D$61)</f>
        <v>0</v>
      </c>
      <c r="K77" s="30">
        <f>SUMIFS(GM_Wise_Raw_Landing!$C:$C,GM_Wise_Raw_Landing!$A:$A,$B77,GM_Wise_Raw_Landing!$D:$D,K$63,GM_Wise_Raw_Landing!$E:$E,$D$61)</f>
        <v>0</v>
      </c>
      <c r="L77" s="30">
        <f>SUMIFS(GM_Wise_Raw_Landing!$C:$C,GM_Wise_Raw_Landing!$A:$A,$B77,GM_Wise_Raw_Landing!$D:$D,L$63,GM_Wise_Raw_Landing!$E:$E,$D$61)</f>
        <v>0</v>
      </c>
      <c r="M77" s="30">
        <f>SUMIFS(GM_Wise_Raw_Landing!$C:$C,GM_Wise_Raw_Landing!$A:$A,$B77,GM_Wise_Raw_Landing!$D:$D,M$63,GM_Wise_Raw_Landing!$E:$E,$D$61)</f>
        <v>0</v>
      </c>
      <c r="N77" s="30">
        <f>SUMIFS(GM_Wise_Raw_Landing!$C:$C,GM_Wise_Raw_Landing!$A:$A,$B77,GM_Wise_Raw_Landing!$D:$D,N$63,GM_Wise_Raw_Landing!$E:$E,$D$61)</f>
        <v>0</v>
      </c>
      <c r="O77" s="30">
        <f>SUMIFS(GM_Wise_Raw_Landing!$C:$C,GM_Wise_Raw_Landing!$A:$A,$B77,GM_Wise_Raw_Landing!$D:$D,O$63,GM_Wise_Raw_Landing!$E:$E,$D$61)</f>
        <v>0</v>
      </c>
      <c r="P77" s="30">
        <f>SUMIFS(GM_Wise_Raw_Landing!$C:$C,GM_Wise_Raw_Landing!$A:$A,$B77,GM_Wise_Raw_Landing!$D:$D,P$63,GM_Wise_Raw_Landing!$E:$E,$D$61)</f>
        <v>0</v>
      </c>
      <c r="Q77" s="30">
        <f>SUMIFS(GM_Wise_Raw_Landing!$C:$C,GM_Wise_Raw_Landing!$A:$A,$B77,GM_Wise_Raw_Landing!$D:$D,Q$63,GM_Wise_Raw_Landing!$E:$E,$D$61)</f>
        <v>0</v>
      </c>
      <c r="R77" s="30">
        <f>SUMIFS(GM_Wise_Raw_Landing!$C:$C,GM_Wise_Raw_Landing!$A:$A,$B77,GM_Wise_Raw_Landing!$D:$D,R$63,GM_Wise_Raw_Landing!$E:$E,$D$61)</f>
        <v>0</v>
      </c>
      <c r="S77" s="30">
        <f>SUMIFS(GM_Wise_Raw_Landing!$C:$C,GM_Wise_Raw_Landing!$A:$A,$B77,GM_Wise_Raw_Landing!$D:$D,S$63,GM_Wise_Raw_Landing!$E:$E,$D$61)</f>
        <v>0</v>
      </c>
      <c r="T77" s="30"/>
      <c r="U77" s="30">
        <f>SUMIFS(GM_Wise_Raw_Landing!$C:$C,GM_Wise_Raw_Landing!$A:$A,$B77,GM_Wise_Raw_Landing!$D:$D,U$63,GM_Wise_Raw_Landing!$E:$E,$D$61)</f>
        <v>244404</v>
      </c>
      <c r="V77" s="30">
        <f>SUMIFS(GM_Wise_Raw_Landing!$C:$C,GM_Wise_Raw_Landing!$A:$A,$B77,GM_Wise_Raw_Landing!$D:$D,V$63,GM_Wise_Raw_Landing!$E:$E,$D$61)</f>
        <v>241602</v>
      </c>
      <c r="W77" s="30">
        <f>SUMIFS(GM_Wise_Raw_Landing!$C:$C,GM_Wise_Raw_Landing!$A:$A,$B77,GM_Wise_Raw_Landing!$D:$D,W$63,GM_Wise_Raw_Landing!$E:$E,$D$61)</f>
        <v>238650</v>
      </c>
      <c r="X77" s="30">
        <f>SUMIFS(GM_Wise_Raw_Landing!$C:$C,GM_Wise_Raw_Landing!$A:$A,$B77,GM_Wise_Raw_Landing!$D:$D,X$63,GM_Wise_Raw_Landing!$E:$E,$D$61)</f>
        <v>209131</v>
      </c>
      <c r="Y77" s="30">
        <f>SUMIFS(GM_Wise_Raw_Landing!$C:$C,GM_Wise_Raw_Landing!$A:$A,$B77,GM_Wise_Raw_Landing!$D:$D,Y$63,GM_Wise_Raw_Landing!$E:$E,$D$61)</f>
        <v>168413</v>
      </c>
      <c r="Z77" s="30">
        <f>SUMIFS(GM_Wise_Raw_Landing!$C:$C,GM_Wise_Raw_Landing!$A:$A,$B77,GM_Wise_Raw_Landing!$D:$D,Z$63,GM_Wise_Raw_Landing!$E:$E,$D$61)</f>
        <v>0</v>
      </c>
      <c r="AA77" s="30">
        <f>SUMIFS(GM_Wise_Raw_Landing!$C:$C,GM_Wise_Raw_Landing!$A:$A,$B77,GM_Wise_Raw_Landing!$D:$D,AA$63,GM_Wise_Raw_Landing!$E:$E,$D$61)</f>
        <v>0</v>
      </c>
      <c r="AB77" s="30">
        <f>SUMIFS(GM_Wise_Raw_Landing!$C:$C,GM_Wise_Raw_Landing!$A:$A,$B77,GM_Wise_Raw_Landing!$D:$D,AB$63,GM_Wise_Raw_Landing!$E:$E,$D$61)</f>
        <v>249547</v>
      </c>
      <c r="AC77" s="30">
        <f>SUMIFS(GM_Wise_Raw_Landing!$C:$C,GM_Wise_Raw_Landing!$A:$A,$B77,GM_Wise_Raw_Landing!$D:$D,AC$63,GM_Wise_Raw_Landing!$E:$E,$D$61)</f>
        <v>0</v>
      </c>
      <c r="AD77" s="30">
        <f>SUMIFS(GM_Wise_Raw_Landing!$C:$C,GM_Wise_Raw_Landing!$A:$A,$B77,GM_Wise_Raw_Landing!$D:$D,AD$63,GM_Wise_Raw_Landing!$E:$E,$D$61)</f>
        <v>0</v>
      </c>
      <c r="AE77" s="30">
        <f>SUMIFS(GM_Wise_Raw_Landing!$C:$C,GM_Wise_Raw_Landing!$A:$A,$B77,GM_Wise_Raw_Landing!$D:$D,AE$63,GM_Wise_Raw_Landing!$E:$E,$D$61)</f>
        <v>0</v>
      </c>
      <c r="AF77" s="30">
        <f>SUMIFS(GM_Wise_Raw_Landing!$C:$C,GM_Wise_Raw_Landing!$A:$A,$B77,GM_Wise_Raw_Landing!$D:$D,AF$63,GM_Wise_Raw_Landing!$E:$E,$D$61)</f>
        <v>0</v>
      </c>
      <c r="AG77" s="30">
        <f>SUMIFS(GM_Wise_Raw_Landing!$C:$C,GM_Wise_Raw_Landing!$A:$A,$B77,GM_Wise_Raw_Landing!$D:$D,AG$63,GM_Wise_Raw_Landing!$E:$E,$D$61)</f>
        <v>0</v>
      </c>
      <c r="AH77" s="30">
        <f>SUMIFS(GM_Wise_Raw_Landing!$C:$C,GM_Wise_Raw_Landing!$A:$A,$B77,GM_Wise_Raw_Landing!$D:$D,AH$63,GM_Wise_Raw_Landing!$E:$E,$D$61)</f>
        <v>0</v>
      </c>
      <c r="AI77" s="30">
        <f>SUMIFS(GM_Wise_Raw_Landing!$C:$C,GM_Wise_Raw_Landing!$A:$A,$B77,GM_Wise_Raw_Landing!$D:$D,AI$63,GM_Wise_Raw_Landing!$E:$E,$D$61)</f>
        <v>0</v>
      </c>
      <c r="AJ77" s="30">
        <f>SUMIFS(GM_Wise_Raw_Landing!$C:$C,GM_Wise_Raw_Landing!$A:$A,$B77,GM_Wise_Raw_Landing!$D:$D,AJ$63,GM_Wise_Raw_Landing!$E:$E,$D$61)</f>
        <v>0</v>
      </c>
      <c r="AK77" s="6"/>
    </row>
    <row r="78">
      <c r="B78" s="90" t="s">
        <v>31</v>
      </c>
      <c r="C78" s="6"/>
      <c r="D78" s="109"/>
      <c r="E78" s="110">
        <f t="shared" ref="E78:S78" si="35">SUM(E79:E80)</f>
        <v>0</v>
      </c>
      <c r="F78" s="110">
        <f t="shared" si="35"/>
        <v>0</v>
      </c>
      <c r="G78" s="110">
        <f t="shared" si="35"/>
        <v>0</v>
      </c>
      <c r="H78" s="110">
        <f t="shared" si="35"/>
        <v>680007</v>
      </c>
      <c r="I78" s="110">
        <f t="shared" si="35"/>
        <v>0</v>
      </c>
      <c r="J78" s="110">
        <f t="shared" si="35"/>
        <v>0</v>
      </c>
      <c r="K78" s="110">
        <f t="shared" si="35"/>
        <v>0</v>
      </c>
      <c r="L78" s="110">
        <f t="shared" si="35"/>
        <v>0</v>
      </c>
      <c r="M78" s="110">
        <f t="shared" si="35"/>
        <v>0</v>
      </c>
      <c r="N78" s="110">
        <f t="shared" si="35"/>
        <v>0</v>
      </c>
      <c r="O78" s="110">
        <f t="shared" si="35"/>
        <v>0</v>
      </c>
      <c r="P78" s="110">
        <f t="shared" si="35"/>
        <v>0</v>
      </c>
      <c r="Q78" s="110">
        <f t="shared" si="35"/>
        <v>0</v>
      </c>
      <c r="R78" s="110">
        <f t="shared" si="35"/>
        <v>0</v>
      </c>
      <c r="S78" s="110">
        <f t="shared" si="35"/>
        <v>0</v>
      </c>
      <c r="T78" s="110"/>
      <c r="U78" s="110">
        <f t="shared" ref="U78:AJ78" si="36">SUM(U79:U80)</f>
        <v>579374</v>
      </c>
      <c r="V78" s="110">
        <f t="shared" si="36"/>
        <v>587224</v>
      </c>
      <c r="W78" s="110">
        <f t="shared" si="36"/>
        <v>536772</v>
      </c>
      <c r="X78" s="110">
        <f t="shared" si="36"/>
        <v>497859</v>
      </c>
      <c r="Y78" s="110">
        <f t="shared" si="36"/>
        <v>538416</v>
      </c>
      <c r="Z78" s="110">
        <f t="shared" si="36"/>
        <v>0</v>
      </c>
      <c r="AA78" s="110">
        <f t="shared" si="36"/>
        <v>0</v>
      </c>
      <c r="AB78" s="110">
        <f t="shared" si="36"/>
        <v>645283</v>
      </c>
      <c r="AC78" s="110">
        <f t="shared" si="36"/>
        <v>0</v>
      </c>
      <c r="AD78" s="110">
        <f t="shared" si="36"/>
        <v>0</v>
      </c>
      <c r="AE78" s="110">
        <f t="shared" si="36"/>
        <v>0</v>
      </c>
      <c r="AF78" s="110">
        <f t="shared" si="36"/>
        <v>0</v>
      </c>
      <c r="AG78" s="110">
        <f t="shared" si="36"/>
        <v>0</v>
      </c>
      <c r="AH78" s="110">
        <f t="shared" si="36"/>
        <v>0</v>
      </c>
      <c r="AI78" s="110">
        <f t="shared" si="36"/>
        <v>0</v>
      </c>
      <c r="AJ78" s="110">
        <f t="shared" si="36"/>
        <v>0</v>
      </c>
      <c r="AK78" s="6"/>
    </row>
    <row r="79">
      <c r="B79" s="85" t="s">
        <v>29</v>
      </c>
      <c r="C79" s="6"/>
      <c r="D79" s="30"/>
      <c r="E79" s="30">
        <f>SUMIFS(GM_Wise_Raw_Landing!$C:$C,GM_Wise_Raw_Landing!$A:$A,$B79,GM_Wise_Raw_Landing!$D:$D,E$63,GM_Wise_Raw_Landing!$E:$E,$D$61)</f>
        <v>0</v>
      </c>
      <c r="F79" s="30">
        <f>SUMIFS(GM_Wise_Raw_Landing!$C:$C,GM_Wise_Raw_Landing!$A:$A,$B79,GM_Wise_Raw_Landing!$D:$D,F$63,GM_Wise_Raw_Landing!$E:$E,$D$61)</f>
        <v>0</v>
      </c>
      <c r="G79" s="30">
        <f>SUMIFS(GM_Wise_Raw_Landing!$C:$C,GM_Wise_Raw_Landing!$A:$A,$B79,GM_Wise_Raw_Landing!$D:$D,G$63,GM_Wise_Raw_Landing!$E:$E,$D$61)</f>
        <v>0</v>
      </c>
      <c r="H79" s="30">
        <f>SUMIFS(GM_Wise_Raw_Landing!$C:$C,GM_Wise_Raw_Landing!$A:$A,$B79,GM_Wise_Raw_Landing!$D:$D,H$63,GM_Wise_Raw_Landing!$E:$E,$D$61)</f>
        <v>344496</v>
      </c>
      <c r="I79" s="30">
        <f>SUMIFS(GM_Wise_Raw_Landing!$C:$C,GM_Wise_Raw_Landing!$A:$A,$B79,GM_Wise_Raw_Landing!$D:$D,I$63,GM_Wise_Raw_Landing!$E:$E,$D$61)</f>
        <v>0</v>
      </c>
      <c r="J79" s="30">
        <f>SUMIFS(GM_Wise_Raw_Landing!$C:$C,GM_Wise_Raw_Landing!$A:$A,$B79,GM_Wise_Raw_Landing!$D:$D,J$63,GM_Wise_Raw_Landing!$E:$E,$D$61)</f>
        <v>0</v>
      </c>
      <c r="K79" s="30">
        <f>SUMIFS(GM_Wise_Raw_Landing!$C:$C,GM_Wise_Raw_Landing!$A:$A,$B79,GM_Wise_Raw_Landing!$D:$D,K$63,GM_Wise_Raw_Landing!$E:$E,$D$61)</f>
        <v>0</v>
      </c>
      <c r="L79" s="30">
        <f>SUMIFS(GM_Wise_Raw_Landing!$C:$C,GM_Wise_Raw_Landing!$A:$A,$B79,GM_Wise_Raw_Landing!$D:$D,L$63,GM_Wise_Raw_Landing!$E:$E,$D$61)</f>
        <v>0</v>
      </c>
      <c r="M79" s="30">
        <f>SUMIFS(GM_Wise_Raw_Landing!$C:$C,GM_Wise_Raw_Landing!$A:$A,$B79,GM_Wise_Raw_Landing!$D:$D,M$63,GM_Wise_Raw_Landing!$E:$E,$D$61)</f>
        <v>0</v>
      </c>
      <c r="N79" s="30">
        <f>SUMIFS(GM_Wise_Raw_Landing!$C:$C,GM_Wise_Raw_Landing!$A:$A,$B79,GM_Wise_Raw_Landing!$D:$D,N$63,GM_Wise_Raw_Landing!$E:$E,$D$61)</f>
        <v>0</v>
      </c>
      <c r="O79" s="30">
        <f>SUMIFS(GM_Wise_Raw_Landing!$C:$C,GM_Wise_Raw_Landing!$A:$A,$B79,GM_Wise_Raw_Landing!$D:$D,O$63,GM_Wise_Raw_Landing!$E:$E,$D$61)</f>
        <v>0</v>
      </c>
      <c r="P79" s="30">
        <f>SUMIFS(GM_Wise_Raw_Landing!$C:$C,GM_Wise_Raw_Landing!$A:$A,$B79,GM_Wise_Raw_Landing!$D:$D,P$63,GM_Wise_Raw_Landing!$E:$E,$D$61)</f>
        <v>0</v>
      </c>
      <c r="Q79" s="30">
        <f>SUMIFS(GM_Wise_Raw_Landing!$C:$C,GM_Wise_Raw_Landing!$A:$A,$B79,GM_Wise_Raw_Landing!$D:$D,Q$63,GM_Wise_Raw_Landing!$E:$E,$D$61)</f>
        <v>0</v>
      </c>
      <c r="R79" s="30">
        <f>SUMIFS(GM_Wise_Raw_Landing!$C:$C,GM_Wise_Raw_Landing!$A:$A,$B79,GM_Wise_Raw_Landing!$D:$D,R$63,GM_Wise_Raw_Landing!$E:$E,$D$61)</f>
        <v>0</v>
      </c>
      <c r="S79" s="30">
        <f>SUMIFS(GM_Wise_Raw_Landing!$C:$C,GM_Wise_Raw_Landing!$A:$A,$B79,GM_Wise_Raw_Landing!$D:$D,S$63,GM_Wise_Raw_Landing!$E:$E,$D$61)</f>
        <v>0</v>
      </c>
      <c r="T79" s="30"/>
      <c r="U79" s="30">
        <f>SUMIFS(GM_Wise_Raw_Landing!$C:$C,GM_Wise_Raw_Landing!$A:$A,$B79,GM_Wise_Raw_Landing!$D:$D,U$63,GM_Wise_Raw_Landing!$E:$E,$D$61)</f>
        <v>316218</v>
      </c>
      <c r="V79" s="30">
        <f>SUMIFS(GM_Wise_Raw_Landing!$C:$C,GM_Wise_Raw_Landing!$A:$A,$B79,GM_Wise_Raw_Landing!$D:$D,V$63,GM_Wise_Raw_Landing!$E:$E,$D$61)</f>
        <v>345497</v>
      </c>
      <c r="W79" s="30">
        <f>SUMIFS(GM_Wise_Raw_Landing!$C:$C,GM_Wise_Raw_Landing!$A:$A,$B79,GM_Wise_Raw_Landing!$D:$D,W$63,GM_Wise_Raw_Landing!$E:$E,$D$61)</f>
        <v>317039</v>
      </c>
      <c r="X79" s="30">
        <f>SUMIFS(GM_Wise_Raw_Landing!$C:$C,GM_Wise_Raw_Landing!$A:$A,$B79,GM_Wise_Raw_Landing!$D:$D,X$63,GM_Wise_Raw_Landing!$E:$E,$D$61)</f>
        <v>267262</v>
      </c>
      <c r="Y79" s="30">
        <f>SUMIFS(GM_Wise_Raw_Landing!$C:$C,GM_Wise_Raw_Landing!$A:$A,$B79,GM_Wise_Raw_Landing!$D:$D,Y$63,GM_Wise_Raw_Landing!$E:$E,$D$61)</f>
        <v>287930</v>
      </c>
      <c r="Z79" s="30">
        <f>SUMIFS(GM_Wise_Raw_Landing!$C:$C,GM_Wise_Raw_Landing!$A:$A,$B79,GM_Wise_Raw_Landing!$D:$D,Z$63,GM_Wise_Raw_Landing!$E:$E,$D$61)</f>
        <v>0</v>
      </c>
      <c r="AA79" s="30">
        <f>SUMIFS(GM_Wise_Raw_Landing!$C:$C,GM_Wise_Raw_Landing!$A:$A,$B79,GM_Wise_Raw_Landing!$D:$D,AA$63,GM_Wise_Raw_Landing!$E:$E,$D$61)</f>
        <v>0</v>
      </c>
      <c r="AB79" s="30">
        <f>SUMIFS(GM_Wise_Raw_Landing!$C:$C,GM_Wise_Raw_Landing!$A:$A,$B79,GM_Wise_Raw_Landing!$D:$D,AB$63,GM_Wise_Raw_Landing!$E:$E,$D$61)</f>
        <v>345926</v>
      </c>
      <c r="AC79" s="30">
        <f>SUMIFS(GM_Wise_Raw_Landing!$C:$C,GM_Wise_Raw_Landing!$A:$A,$B79,GM_Wise_Raw_Landing!$D:$D,AC$63,GM_Wise_Raw_Landing!$E:$E,$D$61)</f>
        <v>0</v>
      </c>
      <c r="AD79" s="30">
        <f>SUMIFS(GM_Wise_Raw_Landing!$C:$C,GM_Wise_Raw_Landing!$A:$A,$B79,GM_Wise_Raw_Landing!$D:$D,AD$63,GM_Wise_Raw_Landing!$E:$E,$D$61)</f>
        <v>0</v>
      </c>
      <c r="AE79" s="30">
        <f>SUMIFS(GM_Wise_Raw_Landing!$C:$C,GM_Wise_Raw_Landing!$A:$A,$B79,GM_Wise_Raw_Landing!$D:$D,AE$63,GM_Wise_Raw_Landing!$E:$E,$D$61)</f>
        <v>0</v>
      </c>
      <c r="AF79" s="30">
        <f>SUMIFS(GM_Wise_Raw_Landing!$C:$C,GM_Wise_Raw_Landing!$A:$A,$B79,GM_Wise_Raw_Landing!$D:$D,AF$63,GM_Wise_Raw_Landing!$E:$E,$D$61)</f>
        <v>0</v>
      </c>
      <c r="AG79" s="30">
        <f>SUMIFS(GM_Wise_Raw_Landing!$C:$C,GM_Wise_Raw_Landing!$A:$A,$B79,GM_Wise_Raw_Landing!$D:$D,AG$63,GM_Wise_Raw_Landing!$E:$E,$D$61)</f>
        <v>0</v>
      </c>
      <c r="AH79" s="30">
        <f>SUMIFS(GM_Wise_Raw_Landing!$C:$C,GM_Wise_Raw_Landing!$A:$A,$B79,GM_Wise_Raw_Landing!$D:$D,AH$63,GM_Wise_Raw_Landing!$E:$E,$D$61)</f>
        <v>0</v>
      </c>
      <c r="AI79" s="30">
        <f>SUMIFS(GM_Wise_Raw_Landing!$C:$C,GM_Wise_Raw_Landing!$A:$A,$B79,GM_Wise_Raw_Landing!$D:$D,AI$63,GM_Wise_Raw_Landing!$E:$E,$D$61)</f>
        <v>0</v>
      </c>
      <c r="AJ79" s="30">
        <f>SUMIFS(GM_Wise_Raw_Landing!$C:$C,GM_Wise_Raw_Landing!$A:$A,$B79,GM_Wise_Raw_Landing!$D:$D,AJ$63,GM_Wise_Raw_Landing!$E:$E,$D$61)</f>
        <v>0</v>
      </c>
      <c r="AK79" s="6"/>
    </row>
    <row r="80">
      <c r="B80" s="85" t="s">
        <v>30</v>
      </c>
      <c r="C80" s="6"/>
      <c r="D80" s="30"/>
      <c r="E80" s="30">
        <f>SUMIFS(GM_Wise_Raw_Landing!$C:$C,GM_Wise_Raw_Landing!$A:$A,$B80,GM_Wise_Raw_Landing!$D:$D,E$63,GM_Wise_Raw_Landing!$E:$E,$D$61)</f>
        <v>0</v>
      </c>
      <c r="F80" s="30">
        <f>SUMIFS(GM_Wise_Raw_Landing!$C:$C,GM_Wise_Raw_Landing!$A:$A,$B80,GM_Wise_Raw_Landing!$D:$D,F$63,GM_Wise_Raw_Landing!$E:$E,$D$61)</f>
        <v>0</v>
      </c>
      <c r="G80" s="30">
        <f>SUMIFS(GM_Wise_Raw_Landing!$C:$C,GM_Wise_Raw_Landing!$A:$A,$B80,GM_Wise_Raw_Landing!$D:$D,G$63,GM_Wise_Raw_Landing!$E:$E,$D$61)</f>
        <v>0</v>
      </c>
      <c r="H80" s="30">
        <f>SUMIFS(GM_Wise_Raw_Landing!$C:$C,GM_Wise_Raw_Landing!$A:$A,$B80,GM_Wise_Raw_Landing!$D:$D,H$63,GM_Wise_Raw_Landing!$E:$E,$D$61)</f>
        <v>335511</v>
      </c>
      <c r="I80" s="30">
        <f>SUMIFS(GM_Wise_Raw_Landing!$C:$C,GM_Wise_Raw_Landing!$A:$A,$B80,GM_Wise_Raw_Landing!$D:$D,I$63,GM_Wise_Raw_Landing!$E:$E,$D$61)</f>
        <v>0</v>
      </c>
      <c r="J80" s="30">
        <f>SUMIFS(GM_Wise_Raw_Landing!$C:$C,GM_Wise_Raw_Landing!$A:$A,$B80,GM_Wise_Raw_Landing!$D:$D,J$63,GM_Wise_Raw_Landing!$E:$E,$D$61)</f>
        <v>0</v>
      </c>
      <c r="K80" s="30">
        <f>SUMIFS(GM_Wise_Raw_Landing!$C:$C,GM_Wise_Raw_Landing!$A:$A,$B80,GM_Wise_Raw_Landing!$D:$D,K$63,GM_Wise_Raw_Landing!$E:$E,$D$61)</f>
        <v>0</v>
      </c>
      <c r="L80" s="30">
        <f>SUMIFS(GM_Wise_Raw_Landing!$C:$C,GM_Wise_Raw_Landing!$A:$A,$B80,GM_Wise_Raw_Landing!$D:$D,L$63,GM_Wise_Raw_Landing!$E:$E,$D$61)</f>
        <v>0</v>
      </c>
      <c r="M80" s="30">
        <f>SUMIFS(GM_Wise_Raw_Landing!$C:$C,GM_Wise_Raw_Landing!$A:$A,$B80,GM_Wise_Raw_Landing!$D:$D,M$63,GM_Wise_Raw_Landing!$E:$E,$D$61)</f>
        <v>0</v>
      </c>
      <c r="N80" s="30">
        <f>SUMIFS(GM_Wise_Raw_Landing!$C:$C,GM_Wise_Raw_Landing!$A:$A,$B80,GM_Wise_Raw_Landing!$D:$D,N$63,GM_Wise_Raw_Landing!$E:$E,$D$61)</f>
        <v>0</v>
      </c>
      <c r="O80" s="30">
        <f>SUMIFS(GM_Wise_Raw_Landing!$C:$C,GM_Wise_Raw_Landing!$A:$A,$B80,GM_Wise_Raw_Landing!$D:$D,O$63,GM_Wise_Raw_Landing!$E:$E,$D$61)</f>
        <v>0</v>
      </c>
      <c r="P80" s="30">
        <f>SUMIFS(GM_Wise_Raw_Landing!$C:$C,GM_Wise_Raw_Landing!$A:$A,$B80,GM_Wise_Raw_Landing!$D:$D,P$63,GM_Wise_Raw_Landing!$E:$E,$D$61)</f>
        <v>0</v>
      </c>
      <c r="Q80" s="30">
        <f>SUMIFS(GM_Wise_Raw_Landing!$C:$C,GM_Wise_Raw_Landing!$A:$A,$B80,GM_Wise_Raw_Landing!$D:$D,Q$63,GM_Wise_Raw_Landing!$E:$E,$D$61)</f>
        <v>0</v>
      </c>
      <c r="R80" s="30">
        <f>SUMIFS(GM_Wise_Raw_Landing!$C:$C,GM_Wise_Raw_Landing!$A:$A,$B80,GM_Wise_Raw_Landing!$D:$D,R$63,GM_Wise_Raw_Landing!$E:$E,$D$61)</f>
        <v>0</v>
      </c>
      <c r="S80" s="30">
        <f>SUMIFS(GM_Wise_Raw_Landing!$C:$C,GM_Wise_Raw_Landing!$A:$A,$B80,GM_Wise_Raw_Landing!$D:$D,S$63,GM_Wise_Raw_Landing!$E:$E,$D$61)</f>
        <v>0</v>
      </c>
      <c r="T80" s="30"/>
      <c r="U80" s="30">
        <f>SUMIFS(GM_Wise_Raw_Landing!$C:$C,GM_Wise_Raw_Landing!$A:$A,$B80,GM_Wise_Raw_Landing!$D:$D,U$63,GM_Wise_Raw_Landing!$E:$E,$D$61)</f>
        <v>263156</v>
      </c>
      <c r="V80" s="30">
        <f>SUMIFS(GM_Wise_Raw_Landing!$C:$C,GM_Wise_Raw_Landing!$A:$A,$B80,GM_Wise_Raw_Landing!$D:$D,V$63,GM_Wise_Raw_Landing!$E:$E,$D$61)</f>
        <v>241727</v>
      </c>
      <c r="W80" s="30">
        <f>SUMIFS(GM_Wise_Raw_Landing!$C:$C,GM_Wise_Raw_Landing!$A:$A,$B80,GM_Wise_Raw_Landing!$D:$D,W$63,GM_Wise_Raw_Landing!$E:$E,$D$61)</f>
        <v>219733</v>
      </c>
      <c r="X80" s="30">
        <f>SUMIFS(GM_Wise_Raw_Landing!$C:$C,GM_Wise_Raw_Landing!$A:$A,$B80,GM_Wise_Raw_Landing!$D:$D,X$63,GM_Wise_Raw_Landing!$E:$E,$D$61)</f>
        <v>230597</v>
      </c>
      <c r="Y80" s="30">
        <f>SUMIFS(GM_Wise_Raw_Landing!$C:$C,GM_Wise_Raw_Landing!$A:$A,$B80,GM_Wise_Raw_Landing!$D:$D,Y$63,GM_Wise_Raw_Landing!$E:$E,$D$61)</f>
        <v>250486</v>
      </c>
      <c r="Z80" s="30">
        <f>SUMIFS(GM_Wise_Raw_Landing!$C:$C,GM_Wise_Raw_Landing!$A:$A,$B80,GM_Wise_Raw_Landing!$D:$D,Z$63,GM_Wise_Raw_Landing!$E:$E,$D$61)</f>
        <v>0</v>
      </c>
      <c r="AA80" s="30">
        <f>SUMIFS(GM_Wise_Raw_Landing!$C:$C,GM_Wise_Raw_Landing!$A:$A,$B80,GM_Wise_Raw_Landing!$D:$D,AA$63,GM_Wise_Raw_Landing!$E:$E,$D$61)</f>
        <v>0</v>
      </c>
      <c r="AB80" s="30">
        <f>SUMIFS(GM_Wise_Raw_Landing!$C:$C,GM_Wise_Raw_Landing!$A:$A,$B80,GM_Wise_Raw_Landing!$D:$D,AB$63,GM_Wise_Raw_Landing!$E:$E,$D$61)</f>
        <v>299357</v>
      </c>
      <c r="AC80" s="30">
        <f>SUMIFS(GM_Wise_Raw_Landing!$C:$C,GM_Wise_Raw_Landing!$A:$A,$B80,GM_Wise_Raw_Landing!$D:$D,AC$63,GM_Wise_Raw_Landing!$E:$E,$D$61)</f>
        <v>0</v>
      </c>
      <c r="AD80" s="30">
        <f>SUMIFS(GM_Wise_Raw_Landing!$C:$C,GM_Wise_Raw_Landing!$A:$A,$B80,GM_Wise_Raw_Landing!$D:$D,AD$63,GM_Wise_Raw_Landing!$E:$E,$D$61)</f>
        <v>0</v>
      </c>
      <c r="AE80" s="30">
        <f>SUMIFS(GM_Wise_Raw_Landing!$C:$C,GM_Wise_Raw_Landing!$A:$A,$B80,GM_Wise_Raw_Landing!$D:$D,AE$63,GM_Wise_Raw_Landing!$E:$E,$D$61)</f>
        <v>0</v>
      </c>
      <c r="AF80" s="30">
        <f>SUMIFS(GM_Wise_Raw_Landing!$C:$C,GM_Wise_Raw_Landing!$A:$A,$B80,GM_Wise_Raw_Landing!$D:$D,AF$63,GM_Wise_Raw_Landing!$E:$E,$D$61)</f>
        <v>0</v>
      </c>
      <c r="AG80" s="30">
        <f>SUMIFS(GM_Wise_Raw_Landing!$C:$C,GM_Wise_Raw_Landing!$A:$A,$B80,GM_Wise_Raw_Landing!$D:$D,AG$63,GM_Wise_Raw_Landing!$E:$E,$D$61)</f>
        <v>0</v>
      </c>
      <c r="AH80" s="30">
        <f>SUMIFS(GM_Wise_Raw_Landing!$C:$C,GM_Wise_Raw_Landing!$A:$A,$B80,GM_Wise_Raw_Landing!$D:$D,AH$63,GM_Wise_Raw_Landing!$E:$E,$D$61)</f>
        <v>0</v>
      </c>
      <c r="AI80" s="30">
        <f>SUMIFS(GM_Wise_Raw_Landing!$C:$C,GM_Wise_Raw_Landing!$A:$A,$B80,GM_Wise_Raw_Landing!$D:$D,AI$63,GM_Wise_Raw_Landing!$E:$E,$D$61)</f>
        <v>0</v>
      </c>
      <c r="AJ80" s="30">
        <f>SUMIFS(GM_Wise_Raw_Landing!$C:$C,GM_Wise_Raw_Landing!$A:$A,$B80,GM_Wise_Raw_Landing!$D:$D,AJ$63,GM_Wise_Raw_Landing!$E:$E,$D$61)</f>
        <v>0</v>
      </c>
      <c r="AK80" s="6"/>
    </row>
    <row r="81">
      <c r="B81" s="112" t="s">
        <v>38</v>
      </c>
      <c r="C81" s="6"/>
      <c r="D81" s="113"/>
      <c r="E81" s="23">
        <f t="shared" ref="E81:S81" si="37">E64+E69+E73+E78</f>
        <v>0</v>
      </c>
      <c r="F81" s="23">
        <f t="shared" si="37"/>
        <v>0</v>
      </c>
      <c r="G81" s="23">
        <f t="shared" si="37"/>
        <v>0</v>
      </c>
      <c r="H81" s="23">
        <f t="shared" si="37"/>
        <v>4576103</v>
      </c>
      <c r="I81" s="23">
        <f t="shared" si="37"/>
        <v>0</v>
      </c>
      <c r="J81" s="23">
        <f t="shared" si="37"/>
        <v>0</v>
      </c>
      <c r="K81" s="23">
        <f t="shared" si="37"/>
        <v>0</v>
      </c>
      <c r="L81" s="23">
        <f t="shared" si="37"/>
        <v>0</v>
      </c>
      <c r="M81" s="23">
        <f t="shared" si="37"/>
        <v>0</v>
      </c>
      <c r="N81" s="23">
        <f t="shared" si="37"/>
        <v>0</v>
      </c>
      <c r="O81" s="23">
        <f t="shared" si="37"/>
        <v>0</v>
      </c>
      <c r="P81" s="23">
        <f t="shared" si="37"/>
        <v>0</v>
      </c>
      <c r="Q81" s="23">
        <f t="shared" si="37"/>
        <v>0</v>
      </c>
      <c r="R81" s="23">
        <f t="shared" si="37"/>
        <v>0</v>
      </c>
      <c r="S81" s="23">
        <f t="shared" si="37"/>
        <v>0</v>
      </c>
      <c r="T81" s="23"/>
      <c r="U81" s="23">
        <f t="shared" ref="U81:AJ81" si="38">U64+U69+U73+U78</f>
        <v>4070113</v>
      </c>
      <c r="V81" s="23">
        <f t="shared" si="38"/>
        <v>3978871</v>
      </c>
      <c r="W81" s="23">
        <f t="shared" si="38"/>
        <v>3998622</v>
      </c>
      <c r="X81" s="23">
        <f t="shared" si="38"/>
        <v>3442219</v>
      </c>
      <c r="Y81" s="23">
        <f t="shared" si="38"/>
        <v>3512649</v>
      </c>
      <c r="Z81" s="23">
        <f t="shared" si="38"/>
        <v>0</v>
      </c>
      <c r="AA81" s="23">
        <f t="shared" si="38"/>
        <v>0</v>
      </c>
      <c r="AB81" s="23">
        <f t="shared" si="38"/>
        <v>4087506</v>
      </c>
      <c r="AC81" s="23">
        <f t="shared" si="38"/>
        <v>0</v>
      </c>
      <c r="AD81" s="23">
        <f t="shared" si="38"/>
        <v>0</v>
      </c>
      <c r="AE81" s="23">
        <f t="shared" si="38"/>
        <v>0</v>
      </c>
      <c r="AF81" s="23">
        <f t="shared" si="38"/>
        <v>0</v>
      </c>
      <c r="AG81" s="23">
        <f t="shared" si="38"/>
        <v>0</v>
      </c>
      <c r="AH81" s="23">
        <f t="shared" si="38"/>
        <v>0</v>
      </c>
      <c r="AI81" s="23">
        <f t="shared" si="38"/>
        <v>0</v>
      </c>
      <c r="AJ81" s="23">
        <f t="shared" si="38"/>
        <v>0</v>
      </c>
      <c r="AK81" s="6"/>
    </row>
  </sheetData>
  <dataValidations>
    <dataValidation type="list" allowBlank="1" showErrorMessage="1" sqref="D2 D30">
      <formula1>"07,08,09,10,11,12,13,14,15,16,17,18,19,20,21,22,23"</formula1>
    </dataValidation>
    <dataValidation type="list" allowBlank="1" showErrorMessage="1" sqref="D61">
      <formula1>"07,10,11,12,13,18,23"</formula1>
    </dataValidation>
  </dataValidations>
  <hyperlinks>
    <hyperlink r:id="rId1" location="gid=0" ref="B26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6" t="s">
        <v>39</v>
      </c>
      <c r="B1" s="114" t="s">
        <v>4</v>
      </c>
      <c r="C1" s="77" t="s">
        <v>40</v>
      </c>
      <c r="D1" s="77" t="s">
        <v>41</v>
      </c>
      <c r="E1" s="77" t="s">
        <v>42</v>
      </c>
      <c r="F1" s="77" t="s">
        <v>43</v>
      </c>
      <c r="G1" s="77" t="s">
        <v>44</v>
      </c>
      <c r="H1" s="77" t="s">
        <v>45</v>
      </c>
      <c r="I1" s="77" t="s">
        <v>46</v>
      </c>
    </row>
    <row r="2">
      <c r="A2" s="6" t="s">
        <v>47</v>
      </c>
      <c r="B2" s="6" t="s">
        <v>20</v>
      </c>
      <c r="C2" s="115">
        <v>698514.0</v>
      </c>
      <c r="D2" s="115">
        <v>840010.0</v>
      </c>
      <c r="E2" s="115">
        <v>21489.0</v>
      </c>
      <c r="F2" s="115">
        <v>759000.0</v>
      </c>
      <c r="G2" s="115">
        <v>597185.0</v>
      </c>
      <c r="H2" s="13">
        <v>45911.0</v>
      </c>
      <c r="I2" s="12" t="s">
        <v>48</v>
      </c>
    </row>
    <row r="3">
      <c r="A3" s="6" t="s">
        <v>47</v>
      </c>
      <c r="B3" s="6" t="s">
        <v>21</v>
      </c>
      <c r="C3" s="115">
        <v>421538.0</v>
      </c>
      <c r="D3" s="115">
        <v>519966.0</v>
      </c>
      <c r="E3" s="115">
        <v>11697.0</v>
      </c>
      <c r="F3" s="115">
        <v>473021.0</v>
      </c>
      <c r="G3" s="115">
        <v>321294.0</v>
      </c>
      <c r="H3" s="13">
        <v>45911.0</v>
      </c>
      <c r="I3" s="12" t="s">
        <v>48</v>
      </c>
    </row>
    <row r="4">
      <c r="A4" s="6" t="s">
        <v>47</v>
      </c>
      <c r="B4" s="6" t="s">
        <v>22</v>
      </c>
      <c r="C4" s="115">
        <v>309736.0</v>
      </c>
      <c r="D4" s="115">
        <v>365107.0</v>
      </c>
      <c r="E4" s="115">
        <v>7896.0</v>
      </c>
      <c r="F4" s="115">
        <v>339252.0</v>
      </c>
      <c r="G4" s="115">
        <v>226609.0</v>
      </c>
      <c r="H4" s="13">
        <v>45911.0</v>
      </c>
      <c r="I4" s="12" t="s">
        <v>48</v>
      </c>
    </row>
    <row r="5">
      <c r="A5" s="6" t="s">
        <v>49</v>
      </c>
      <c r="B5" s="6" t="s">
        <v>15</v>
      </c>
      <c r="C5" s="115">
        <v>174546.0</v>
      </c>
      <c r="D5" s="115">
        <v>245367.0</v>
      </c>
      <c r="E5" s="115">
        <v>5346.0</v>
      </c>
      <c r="F5" s="115">
        <v>216038.0</v>
      </c>
      <c r="G5" s="115">
        <v>136820.0</v>
      </c>
      <c r="H5" s="13">
        <v>45911.0</v>
      </c>
      <c r="I5" s="12" t="s">
        <v>48</v>
      </c>
    </row>
    <row r="6">
      <c r="A6" s="6" t="s">
        <v>49</v>
      </c>
      <c r="B6" s="6" t="s">
        <v>17</v>
      </c>
      <c r="C6" s="115">
        <v>194464.0</v>
      </c>
      <c r="D6" s="115">
        <v>276731.0</v>
      </c>
      <c r="E6" s="115">
        <v>5400.0</v>
      </c>
      <c r="F6" s="115">
        <v>253692.0</v>
      </c>
      <c r="G6" s="115">
        <v>167057.0</v>
      </c>
      <c r="H6" s="13">
        <v>45911.0</v>
      </c>
      <c r="I6" s="12" t="s">
        <v>48</v>
      </c>
    </row>
    <row r="7">
      <c r="A7" s="6" t="s">
        <v>49</v>
      </c>
      <c r="B7" s="6" t="s">
        <v>16</v>
      </c>
      <c r="C7" s="115">
        <v>433089.0</v>
      </c>
      <c r="D7" s="115">
        <v>550865.0</v>
      </c>
      <c r="E7" s="115">
        <v>13186.0</v>
      </c>
      <c r="F7" s="115">
        <v>504845.0</v>
      </c>
      <c r="G7" s="115">
        <v>338692.0</v>
      </c>
      <c r="H7" s="13">
        <v>45911.0</v>
      </c>
      <c r="I7" s="12" t="s">
        <v>48</v>
      </c>
    </row>
    <row r="8">
      <c r="A8" s="6" t="s">
        <v>49</v>
      </c>
      <c r="B8" s="6" t="s">
        <v>18</v>
      </c>
      <c r="C8" s="115">
        <v>153647.0</v>
      </c>
      <c r="D8" s="115">
        <v>228328.0</v>
      </c>
      <c r="E8" s="115">
        <v>5090.0</v>
      </c>
      <c r="F8" s="115">
        <v>203550.0</v>
      </c>
      <c r="G8" s="115">
        <v>144290.0</v>
      </c>
      <c r="H8" s="13">
        <v>45911.0</v>
      </c>
      <c r="I8" s="12" t="s">
        <v>48</v>
      </c>
    </row>
    <row r="9">
      <c r="A9" s="6" t="s">
        <v>50</v>
      </c>
      <c r="B9" s="6" t="s">
        <v>24</v>
      </c>
      <c r="C9" s="115">
        <v>328578.0</v>
      </c>
      <c r="D9" s="115">
        <v>466797.0</v>
      </c>
      <c r="E9" s="115">
        <v>10175.0</v>
      </c>
      <c r="F9" s="115">
        <v>423788.0</v>
      </c>
      <c r="G9" s="115">
        <v>268419.0</v>
      </c>
      <c r="H9" s="13">
        <v>45911.0</v>
      </c>
      <c r="I9" s="12" t="s">
        <v>48</v>
      </c>
    </row>
    <row r="10">
      <c r="A10" s="6" t="s">
        <v>50</v>
      </c>
      <c r="B10" s="6" t="s">
        <v>25</v>
      </c>
      <c r="C10" s="115">
        <v>303595.0</v>
      </c>
      <c r="D10" s="115">
        <v>361611.0</v>
      </c>
      <c r="E10" s="115">
        <v>6847.0</v>
      </c>
      <c r="F10" s="115">
        <v>323441.0</v>
      </c>
      <c r="G10" s="115">
        <v>214495.0</v>
      </c>
      <c r="H10" s="13">
        <v>45911.0</v>
      </c>
      <c r="I10" s="12" t="s">
        <v>48</v>
      </c>
    </row>
    <row r="11">
      <c r="A11" s="115" t="s">
        <v>50</v>
      </c>
      <c r="B11" s="115" t="s">
        <v>26</v>
      </c>
      <c r="C11" s="115">
        <v>285333.0</v>
      </c>
      <c r="D11" s="115">
        <v>344879.0</v>
      </c>
      <c r="E11" s="115">
        <v>5750.0</v>
      </c>
      <c r="F11" s="115">
        <v>323093.0</v>
      </c>
      <c r="G11" s="115">
        <v>195560.0</v>
      </c>
      <c r="H11" s="116">
        <v>45911.0</v>
      </c>
      <c r="I11" s="12" t="s">
        <v>48</v>
      </c>
    </row>
    <row r="12">
      <c r="A12" s="115" t="s">
        <v>50</v>
      </c>
      <c r="B12" s="115" t="s">
        <v>27</v>
      </c>
      <c r="C12" s="115">
        <v>225485.0</v>
      </c>
      <c r="D12" s="115">
        <v>271515.0</v>
      </c>
      <c r="E12" s="115">
        <v>4607.0</v>
      </c>
      <c r="F12" s="115">
        <v>254441.0</v>
      </c>
      <c r="G12" s="115">
        <v>180825.0</v>
      </c>
      <c r="H12" s="116">
        <v>45911.0</v>
      </c>
      <c r="I12" s="12" t="s">
        <v>48</v>
      </c>
    </row>
    <row r="13">
      <c r="A13" s="115" t="s">
        <v>51</v>
      </c>
      <c r="B13" s="115" t="s">
        <v>29</v>
      </c>
      <c r="C13" s="115">
        <v>333319.0</v>
      </c>
      <c r="D13" s="115">
        <v>547582.0</v>
      </c>
      <c r="E13" s="115">
        <v>10465.0</v>
      </c>
      <c r="F13" s="115">
        <v>495301.0</v>
      </c>
      <c r="G13" s="115">
        <v>304390.0</v>
      </c>
      <c r="H13" s="116">
        <v>45911.0</v>
      </c>
      <c r="I13" s="12" t="s">
        <v>48</v>
      </c>
    </row>
    <row r="14">
      <c r="A14" s="115" t="s">
        <v>51</v>
      </c>
      <c r="B14" s="115" t="s">
        <v>30</v>
      </c>
      <c r="C14" s="115">
        <v>297507.0</v>
      </c>
      <c r="D14" s="115">
        <v>420499.0</v>
      </c>
      <c r="E14" s="115">
        <v>8828.0</v>
      </c>
      <c r="F14" s="115">
        <v>379745.0</v>
      </c>
      <c r="G14" s="115">
        <v>257903.0</v>
      </c>
      <c r="H14" s="116">
        <v>45911.0</v>
      </c>
      <c r="I14" s="12" t="s">
        <v>48</v>
      </c>
    </row>
    <row r="15">
      <c r="A15" s="6" t="s">
        <v>52</v>
      </c>
      <c r="B15" s="6" t="s">
        <v>52</v>
      </c>
      <c r="C15" s="115">
        <v>0.0</v>
      </c>
      <c r="D15" s="115">
        <v>15114.0</v>
      </c>
      <c r="E15" s="115">
        <v>330.0</v>
      </c>
      <c r="F15" s="115">
        <v>13338.0</v>
      </c>
      <c r="G15" s="115">
        <v>8278.0</v>
      </c>
      <c r="H15" s="13">
        <v>45911.0</v>
      </c>
      <c r="I15" s="12" t="s">
        <v>48</v>
      </c>
    </row>
    <row r="16">
      <c r="A16" s="6" t="s">
        <v>47</v>
      </c>
      <c r="B16" s="6" t="s">
        <v>20</v>
      </c>
      <c r="C16" s="115">
        <v>728142.0</v>
      </c>
      <c r="D16" s="115">
        <v>850709.0</v>
      </c>
      <c r="E16" s="115">
        <v>21601.0</v>
      </c>
      <c r="F16" s="115">
        <v>769143.0</v>
      </c>
      <c r="G16" s="115">
        <v>634837.0</v>
      </c>
      <c r="H16" s="13">
        <v>45911.0</v>
      </c>
      <c r="I16" s="117" t="s">
        <v>53</v>
      </c>
    </row>
    <row r="17">
      <c r="A17" s="6" t="s">
        <v>47</v>
      </c>
      <c r="B17" s="6" t="s">
        <v>21</v>
      </c>
      <c r="C17" s="115">
        <v>428066.0</v>
      </c>
      <c r="D17" s="115">
        <v>522317.0</v>
      </c>
      <c r="E17" s="115">
        <v>11729.0</v>
      </c>
      <c r="F17" s="115">
        <v>475114.0</v>
      </c>
      <c r="G17" s="115">
        <v>339555.0</v>
      </c>
      <c r="H17" s="13">
        <v>45911.0</v>
      </c>
      <c r="I17" s="117" t="s">
        <v>53</v>
      </c>
    </row>
    <row r="18">
      <c r="A18" s="6" t="s">
        <v>47</v>
      </c>
      <c r="B18" s="6" t="s">
        <v>22</v>
      </c>
      <c r="C18" s="115">
        <v>348426.0</v>
      </c>
      <c r="D18" s="115">
        <v>366535.0</v>
      </c>
      <c r="E18" s="115">
        <v>7926.0</v>
      </c>
      <c r="F18" s="115">
        <v>340219.0</v>
      </c>
      <c r="G18" s="115">
        <v>243996.0</v>
      </c>
      <c r="H18" s="13">
        <v>45911.0</v>
      </c>
      <c r="I18" s="117" t="s">
        <v>53</v>
      </c>
    </row>
    <row r="19">
      <c r="A19" s="6" t="s">
        <v>49</v>
      </c>
      <c r="B19" s="6" t="s">
        <v>15</v>
      </c>
      <c r="C19" s="115">
        <v>176101.0</v>
      </c>
      <c r="D19" s="115">
        <v>258586.0</v>
      </c>
      <c r="E19" s="115">
        <v>5557.0</v>
      </c>
      <c r="F19" s="115">
        <v>228748.0</v>
      </c>
      <c r="G19" s="115">
        <v>153752.0</v>
      </c>
      <c r="H19" s="13">
        <v>45911.0</v>
      </c>
      <c r="I19" s="117" t="s">
        <v>53</v>
      </c>
    </row>
    <row r="20">
      <c r="A20" s="6" t="s">
        <v>49</v>
      </c>
      <c r="B20" s="6" t="s">
        <v>17</v>
      </c>
      <c r="C20" s="115">
        <v>257423.0</v>
      </c>
      <c r="D20" s="115">
        <v>277842.0</v>
      </c>
      <c r="E20" s="115">
        <v>5431.0</v>
      </c>
      <c r="F20" s="115">
        <v>254611.0</v>
      </c>
      <c r="G20" s="115">
        <v>178420.0</v>
      </c>
      <c r="H20" s="13">
        <v>45911.0</v>
      </c>
      <c r="I20" s="117" t="s">
        <v>53</v>
      </c>
    </row>
    <row r="21">
      <c r="A21" s="6" t="s">
        <v>49</v>
      </c>
      <c r="B21" s="6" t="s">
        <v>16</v>
      </c>
      <c r="C21" s="115">
        <v>487485.0</v>
      </c>
      <c r="D21" s="115">
        <v>553564.0</v>
      </c>
      <c r="E21" s="115">
        <v>13265.0</v>
      </c>
      <c r="F21" s="115">
        <v>506995.0</v>
      </c>
      <c r="G21" s="115">
        <v>362096.0</v>
      </c>
      <c r="H21" s="13">
        <v>45911.0</v>
      </c>
      <c r="I21" s="117" t="s">
        <v>53</v>
      </c>
    </row>
    <row r="22">
      <c r="A22" s="6" t="s">
        <v>49</v>
      </c>
      <c r="B22" s="6" t="s">
        <v>18</v>
      </c>
      <c r="C22" s="115">
        <v>159238.0</v>
      </c>
      <c r="D22" s="115">
        <v>229707.0</v>
      </c>
      <c r="E22" s="115">
        <v>5123.0</v>
      </c>
      <c r="F22" s="115">
        <v>204747.0</v>
      </c>
      <c r="G22" s="115">
        <v>150875.0</v>
      </c>
      <c r="H22" s="13">
        <v>45911.0</v>
      </c>
      <c r="I22" s="117" t="s">
        <v>53</v>
      </c>
    </row>
    <row r="23">
      <c r="A23" s="6" t="s">
        <v>50</v>
      </c>
      <c r="B23" s="6" t="s">
        <v>24</v>
      </c>
      <c r="C23" s="115">
        <v>347994.0</v>
      </c>
      <c r="D23" s="115">
        <v>469514.0</v>
      </c>
      <c r="E23" s="115">
        <v>10263.0</v>
      </c>
      <c r="F23" s="115">
        <v>426101.0</v>
      </c>
      <c r="G23" s="115">
        <v>288362.0</v>
      </c>
      <c r="H23" s="13">
        <v>45911.0</v>
      </c>
      <c r="I23" s="117" t="s">
        <v>53</v>
      </c>
    </row>
    <row r="24">
      <c r="A24" s="6" t="s">
        <v>50</v>
      </c>
      <c r="B24" s="6" t="s">
        <v>25</v>
      </c>
      <c r="C24" s="115">
        <v>320990.0</v>
      </c>
      <c r="D24" s="115">
        <v>366581.0</v>
      </c>
      <c r="E24" s="115">
        <v>6983.0</v>
      </c>
      <c r="F24" s="115">
        <v>327822.0</v>
      </c>
      <c r="G24" s="115">
        <v>229153.0</v>
      </c>
      <c r="H24" s="13">
        <v>45911.0</v>
      </c>
      <c r="I24" s="117" t="s">
        <v>53</v>
      </c>
    </row>
    <row r="25">
      <c r="A25" s="6" t="s">
        <v>50</v>
      </c>
      <c r="B25" s="6" t="s">
        <v>26</v>
      </c>
      <c r="C25" s="115">
        <v>281975.0</v>
      </c>
      <c r="D25" s="115">
        <v>350090.0</v>
      </c>
      <c r="E25" s="115">
        <v>5822.0</v>
      </c>
      <c r="F25" s="115">
        <v>327817.0</v>
      </c>
      <c r="G25" s="115">
        <v>218110.0</v>
      </c>
      <c r="H25" s="13">
        <v>45911.0</v>
      </c>
      <c r="I25" s="117" t="s">
        <v>53</v>
      </c>
    </row>
    <row r="26">
      <c r="A26" s="6" t="s">
        <v>50</v>
      </c>
      <c r="B26" s="6" t="s">
        <v>27</v>
      </c>
      <c r="C26" s="115">
        <v>224033.0</v>
      </c>
      <c r="D26" s="115">
        <v>273249.0</v>
      </c>
      <c r="E26" s="115">
        <v>4620.0</v>
      </c>
      <c r="F26" s="115">
        <v>255909.0</v>
      </c>
      <c r="G26" s="115">
        <v>196257.0</v>
      </c>
      <c r="H26" s="13">
        <v>45911.0</v>
      </c>
      <c r="I26" s="117" t="s">
        <v>53</v>
      </c>
    </row>
    <row r="27">
      <c r="A27" s="6" t="s">
        <v>51</v>
      </c>
      <c r="B27" s="6" t="s">
        <v>29</v>
      </c>
      <c r="C27" s="115">
        <v>338518.0</v>
      </c>
      <c r="D27" s="115">
        <v>553962.0</v>
      </c>
      <c r="E27" s="115">
        <v>10599.0</v>
      </c>
      <c r="F27" s="115">
        <v>501417.0</v>
      </c>
      <c r="G27" s="115">
        <v>329259.0</v>
      </c>
      <c r="H27" s="13">
        <v>45911.0</v>
      </c>
      <c r="I27" s="117" t="s">
        <v>53</v>
      </c>
    </row>
    <row r="28">
      <c r="A28" s="6" t="s">
        <v>51</v>
      </c>
      <c r="B28" s="6" t="s">
        <v>30</v>
      </c>
      <c r="C28" s="115">
        <v>323532.0</v>
      </c>
      <c r="D28" s="115">
        <v>423290.0</v>
      </c>
      <c r="E28" s="115">
        <v>8873.0</v>
      </c>
      <c r="F28" s="115">
        <v>382126.0</v>
      </c>
      <c r="G28" s="115">
        <v>273432.0</v>
      </c>
      <c r="H28" s="13">
        <v>45911.0</v>
      </c>
      <c r="I28" s="117" t="s">
        <v>53</v>
      </c>
    </row>
    <row r="29">
      <c r="A29" s="6" t="s">
        <v>52</v>
      </c>
      <c r="B29" s="6" t="s">
        <v>52</v>
      </c>
      <c r="C29" s="115">
        <v>0.0</v>
      </c>
      <c r="D29" s="115">
        <v>15265.0</v>
      </c>
      <c r="E29" s="115">
        <v>335.0</v>
      </c>
      <c r="F29" s="115">
        <v>13474.0</v>
      </c>
      <c r="G29" s="115">
        <v>9155.0</v>
      </c>
      <c r="H29" s="13">
        <v>45911.0</v>
      </c>
      <c r="I29" s="117" t="s">
        <v>53</v>
      </c>
    </row>
    <row r="30">
      <c r="A30" s="6" t="s">
        <v>47</v>
      </c>
      <c r="B30" s="6" t="s">
        <v>20</v>
      </c>
      <c r="C30" s="115">
        <v>0.0</v>
      </c>
      <c r="D30" s="115">
        <v>860328.0</v>
      </c>
      <c r="E30" s="115">
        <v>21706.0</v>
      </c>
      <c r="F30" s="115">
        <v>778137.0</v>
      </c>
      <c r="G30" s="115">
        <v>663590.0</v>
      </c>
      <c r="H30" s="13">
        <v>45911.0</v>
      </c>
      <c r="I30" s="12" t="s">
        <v>54</v>
      </c>
    </row>
    <row r="31">
      <c r="A31" s="6" t="s">
        <v>47</v>
      </c>
      <c r="B31" s="6" t="s">
        <v>21</v>
      </c>
      <c r="C31" s="115">
        <v>0.0</v>
      </c>
      <c r="D31" s="115">
        <v>523778.0</v>
      </c>
      <c r="E31" s="115">
        <v>11753.0</v>
      </c>
      <c r="F31" s="115">
        <v>476354.0</v>
      </c>
      <c r="G31" s="115">
        <v>350413.0</v>
      </c>
      <c r="H31" s="13">
        <v>45911.0</v>
      </c>
      <c r="I31" s="12" t="s">
        <v>54</v>
      </c>
    </row>
    <row r="32">
      <c r="A32" s="6" t="s">
        <v>47</v>
      </c>
      <c r="B32" s="6" t="s">
        <v>22</v>
      </c>
      <c r="C32" s="115">
        <v>0.0</v>
      </c>
      <c r="D32" s="115">
        <v>367679.0</v>
      </c>
      <c r="E32" s="115">
        <v>7957.0</v>
      </c>
      <c r="F32" s="115">
        <v>340922.0</v>
      </c>
      <c r="G32" s="115">
        <v>255635.0</v>
      </c>
      <c r="H32" s="13">
        <v>45911.0</v>
      </c>
      <c r="I32" s="12" t="s">
        <v>54</v>
      </c>
    </row>
    <row r="33">
      <c r="A33" s="6" t="s">
        <v>49</v>
      </c>
      <c r="B33" s="6" t="s">
        <v>15</v>
      </c>
      <c r="C33" s="115">
        <v>0.0</v>
      </c>
      <c r="D33" s="115">
        <v>265595.0</v>
      </c>
      <c r="E33" s="115">
        <v>5651.0</v>
      </c>
      <c r="F33" s="115">
        <v>235494.0</v>
      </c>
      <c r="G33" s="115">
        <v>166895.0</v>
      </c>
      <c r="H33" s="13">
        <v>45911.0</v>
      </c>
      <c r="I33" s="12" t="s">
        <v>54</v>
      </c>
    </row>
    <row r="34">
      <c r="A34" s="6" t="s">
        <v>49</v>
      </c>
      <c r="B34" s="6" t="s">
        <v>17</v>
      </c>
      <c r="C34" s="115">
        <v>0.0</v>
      </c>
      <c r="D34" s="115">
        <v>278710.0</v>
      </c>
      <c r="E34" s="115">
        <v>5447.0</v>
      </c>
      <c r="F34" s="115">
        <v>255377.0</v>
      </c>
      <c r="G34" s="115">
        <v>185460.0</v>
      </c>
      <c r="H34" s="13">
        <v>45911.0</v>
      </c>
      <c r="I34" s="12" t="s">
        <v>54</v>
      </c>
    </row>
    <row r="35">
      <c r="A35" s="6" t="s">
        <v>49</v>
      </c>
      <c r="B35" s="6" t="s">
        <v>16</v>
      </c>
      <c r="C35" s="115">
        <v>0.0</v>
      </c>
      <c r="D35" s="115">
        <v>554727.0</v>
      </c>
      <c r="E35" s="115">
        <v>13315.0</v>
      </c>
      <c r="F35" s="115">
        <v>507983.0</v>
      </c>
      <c r="G35" s="115">
        <v>376051.0</v>
      </c>
      <c r="H35" s="13">
        <v>45911.0</v>
      </c>
      <c r="I35" s="12" t="s">
        <v>54</v>
      </c>
    </row>
    <row r="36">
      <c r="A36" s="6" t="s">
        <v>49</v>
      </c>
      <c r="B36" s="6" t="s">
        <v>18</v>
      </c>
      <c r="C36" s="115">
        <v>0.0</v>
      </c>
      <c r="D36" s="115">
        <v>230882.0</v>
      </c>
      <c r="E36" s="115">
        <v>5148.0</v>
      </c>
      <c r="F36" s="115">
        <v>205847.0</v>
      </c>
      <c r="G36" s="115">
        <v>155256.0</v>
      </c>
      <c r="H36" s="13">
        <v>45911.0</v>
      </c>
      <c r="I36" s="12" t="s">
        <v>54</v>
      </c>
    </row>
    <row r="37">
      <c r="A37" s="6" t="s">
        <v>50</v>
      </c>
      <c r="B37" s="6" t="s">
        <v>24</v>
      </c>
      <c r="C37" s="115">
        <v>0.0</v>
      </c>
      <c r="D37" s="115">
        <v>471158.0</v>
      </c>
      <c r="E37" s="115">
        <v>10311.0</v>
      </c>
      <c r="F37" s="115">
        <v>427588.0</v>
      </c>
      <c r="G37" s="115">
        <v>301666.0</v>
      </c>
      <c r="H37" s="13">
        <v>45911.0</v>
      </c>
      <c r="I37" s="12" t="s">
        <v>54</v>
      </c>
    </row>
    <row r="38">
      <c r="A38" s="6" t="s">
        <v>50</v>
      </c>
      <c r="B38" s="6" t="s">
        <v>25</v>
      </c>
      <c r="C38" s="115">
        <v>0.0</v>
      </c>
      <c r="D38" s="115">
        <v>371025.0</v>
      </c>
      <c r="E38" s="115">
        <v>7062.0</v>
      </c>
      <c r="F38" s="115">
        <v>332060.0</v>
      </c>
      <c r="G38" s="115">
        <v>240839.0</v>
      </c>
      <c r="H38" s="13">
        <v>45911.0</v>
      </c>
      <c r="I38" s="12" t="s">
        <v>54</v>
      </c>
    </row>
    <row r="39">
      <c r="A39" s="6" t="s">
        <v>50</v>
      </c>
      <c r="B39" s="6" t="s">
        <v>26</v>
      </c>
      <c r="C39" s="115">
        <v>0.0</v>
      </c>
      <c r="D39" s="115">
        <v>352010.0</v>
      </c>
      <c r="E39" s="115">
        <v>5840.0</v>
      </c>
      <c r="F39" s="115">
        <v>329649.0</v>
      </c>
      <c r="G39" s="115">
        <v>235833.0</v>
      </c>
      <c r="H39" s="13">
        <v>45911.0</v>
      </c>
      <c r="I39" s="12" t="s">
        <v>54</v>
      </c>
    </row>
    <row r="40">
      <c r="A40" s="6" t="s">
        <v>50</v>
      </c>
      <c r="B40" s="6" t="s">
        <v>27</v>
      </c>
      <c r="C40" s="115">
        <v>0.0</v>
      </c>
      <c r="D40" s="115">
        <v>273731.0</v>
      </c>
      <c r="E40" s="115">
        <v>4622.0</v>
      </c>
      <c r="F40" s="115">
        <v>256359.0</v>
      </c>
      <c r="G40" s="115">
        <v>205809.0</v>
      </c>
      <c r="H40" s="13">
        <v>45911.0</v>
      </c>
      <c r="I40" s="12" t="s">
        <v>54</v>
      </c>
    </row>
    <row r="41">
      <c r="A41" s="6" t="s">
        <v>51</v>
      </c>
      <c r="B41" s="6" t="s">
        <v>29</v>
      </c>
      <c r="C41" s="115">
        <v>0.0</v>
      </c>
      <c r="D41" s="115">
        <v>561275.0</v>
      </c>
      <c r="E41" s="115">
        <v>10779.0</v>
      </c>
      <c r="F41" s="115">
        <v>508230.0</v>
      </c>
      <c r="G41" s="115">
        <v>348796.0</v>
      </c>
      <c r="H41" s="13">
        <v>45911.0</v>
      </c>
      <c r="I41" s="12" t="s">
        <v>54</v>
      </c>
    </row>
    <row r="42">
      <c r="A42" s="6" t="s">
        <v>51</v>
      </c>
      <c r="B42" s="6" t="s">
        <v>30</v>
      </c>
      <c r="C42" s="115">
        <v>0.0</v>
      </c>
      <c r="D42" s="115">
        <v>425827.0</v>
      </c>
      <c r="E42" s="115">
        <v>8932.0</v>
      </c>
      <c r="F42" s="115">
        <v>384307.0</v>
      </c>
      <c r="G42" s="115">
        <v>284061.0</v>
      </c>
      <c r="H42" s="13">
        <v>45911.0</v>
      </c>
      <c r="I42" s="12" t="s">
        <v>54</v>
      </c>
    </row>
    <row r="43">
      <c r="A43" s="6" t="s">
        <v>52</v>
      </c>
      <c r="B43" s="6" t="s">
        <v>52</v>
      </c>
      <c r="C43" s="115">
        <v>0.0</v>
      </c>
      <c r="D43" s="115">
        <v>15306.0</v>
      </c>
      <c r="E43" s="115">
        <v>336.0</v>
      </c>
      <c r="F43" s="115">
        <v>13509.0</v>
      </c>
      <c r="G43" s="115">
        <v>9780.0</v>
      </c>
      <c r="H43" s="13">
        <v>45911.0</v>
      </c>
      <c r="I43" s="12" t="s">
        <v>54</v>
      </c>
    </row>
    <row r="44">
      <c r="A44" s="6" t="s">
        <v>47</v>
      </c>
      <c r="B44" s="6" t="s">
        <v>20</v>
      </c>
      <c r="C44" s="115">
        <v>0.0</v>
      </c>
      <c r="D44" s="115">
        <v>905583.0</v>
      </c>
      <c r="E44" s="115">
        <v>21997.0</v>
      </c>
      <c r="F44" s="115">
        <v>820860.0</v>
      </c>
      <c r="G44" s="115">
        <v>709853.0</v>
      </c>
      <c r="H44" s="13">
        <v>45911.0</v>
      </c>
      <c r="I44" s="12" t="s">
        <v>55</v>
      </c>
    </row>
    <row r="45">
      <c r="A45" s="6" t="s">
        <v>47</v>
      </c>
      <c r="B45" s="6" t="s">
        <v>21</v>
      </c>
      <c r="C45" s="115">
        <v>0.0</v>
      </c>
      <c r="D45" s="115">
        <v>527418.0</v>
      </c>
      <c r="E45" s="115">
        <v>11805.0</v>
      </c>
      <c r="F45" s="115">
        <v>479246.0</v>
      </c>
      <c r="G45" s="115">
        <v>356939.0</v>
      </c>
      <c r="H45" s="13">
        <v>45911.0</v>
      </c>
      <c r="I45" s="12" t="s">
        <v>55</v>
      </c>
    </row>
    <row r="46">
      <c r="A46" s="6" t="s">
        <v>47</v>
      </c>
      <c r="B46" s="6" t="s">
        <v>22</v>
      </c>
      <c r="C46" s="115">
        <v>0.0</v>
      </c>
      <c r="D46" s="115">
        <v>370083.0</v>
      </c>
      <c r="E46" s="115">
        <v>7981.0</v>
      </c>
      <c r="F46" s="115">
        <v>342574.0</v>
      </c>
      <c r="G46" s="115">
        <v>262950.0</v>
      </c>
      <c r="H46" s="13">
        <v>45911.0</v>
      </c>
      <c r="I46" s="12" t="s">
        <v>55</v>
      </c>
    </row>
    <row r="47">
      <c r="A47" s="6" t="s">
        <v>49</v>
      </c>
      <c r="B47" s="6" t="s">
        <v>15</v>
      </c>
      <c r="C47" s="115">
        <v>0.0</v>
      </c>
      <c r="D47" s="115">
        <v>281821.0</v>
      </c>
      <c r="E47" s="115">
        <v>5971.0</v>
      </c>
      <c r="F47" s="115">
        <v>250899.0</v>
      </c>
      <c r="G47" s="115">
        <v>183216.0</v>
      </c>
      <c r="H47" s="13">
        <v>45911.0</v>
      </c>
      <c r="I47" s="12" t="s">
        <v>55</v>
      </c>
    </row>
    <row r="48">
      <c r="A48" s="6" t="s">
        <v>49</v>
      </c>
      <c r="B48" s="6" t="s">
        <v>17</v>
      </c>
      <c r="C48" s="115">
        <v>0.0</v>
      </c>
      <c r="D48" s="115">
        <v>280362.0</v>
      </c>
      <c r="E48" s="115">
        <v>5498.0</v>
      </c>
      <c r="F48" s="115">
        <v>256775.0</v>
      </c>
      <c r="G48" s="115">
        <v>189641.0</v>
      </c>
      <c r="H48" s="13">
        <v>45911.0</v>
      </c>
      <c r="I48" s="12" t="s">
        <v>55</v>
      </c>
    </row>
    <row r="49">
      <c r="A49" s="6" t="s">
        <v>49</v>
      </c>
      <c r="B49" s="6" t="s">
        <v>16</v>
      </c>
      <c r="C49" s="115">
        <v>0.0</v>
      </c>
      <c r="D49" s="115">
        <v>558960.0</v>
      </c>
      <c r="E49" s="115">
        <v>13486.0</v>
      </c>
      <c r="F49" s="115">
        <v>511073.0</v>
      </c>
      <c r="G49" s="115">
        <v>384507.0</v>
      </c>
      <c r="H49" s="13">
        <v>45911.0</v>
      </c>
      <c r="I49" s="12" t="s">
        <v>55</v>
      </c>
    </row>
    <row r="50">
      <c r="A50" s="6" t="s">
        <v>49</v>
      </c>
      <c r="B50" s="6" t="s">
        <v>18</v>
      </c>
      <c r="C50" s="115">
        <v>0.0</v>
      </c>
      <c r="D50" s="115">
        <v>232843.0</v>
      </c>
      <c r="E50" s="115">
        <v>5219.0</v>
      </c>
      <c r="F50" s="115">
        <v>207539.0</v>
      </c>
      <c r="G50" s="115">
        <v>158312.0</v>
      </c>
      <c r="H50" s="13">
        <v>45911.0</v>
      </c>
      <c r="I50" s="12" t="s">
        <v>55</v>
      </c>
    </row>
    <row r="51">
      <c r="A51" s="6" t="s">
        <v>50</v>
      </c>
      <c r="B51" s="6" t="s">
        <v>24</v>
      </c>
      <c r="C51" s="115">
        <v>0.0</v>
      </c>
      <c r="D51" s="115">
        <v>474616.0</v>
      </c>
      <c r="E51" s="115">
        <v>10419.0</v>
      </c>
      <c r="F51" s="115">
        <v>430212.0</v>
      </c>
      <c r="G51" s="115">
        <v>311257.0</v>
      </c>
      <c r="H51" s="13">
        <v>45911.0</v>
      </c>
      <c r="I51" s="12" t="s">
        <v>55</v>
      </c>
    </row>
    <row r="52">
      <c r="A52" s="6" t="s">
        <v>50</v>
      </c>
      <c r="B52" s="6" t="s">
        <v>25</v>
      </c>
      <c r="C52" s="115">
        <v>0.0</v>
      </c>
      <c r="D52" s="115">
        <v>398621.0</v>
      </c>
      <c r="E52" s="115">
        <v>7594.0</v>
      </c>
      <c r="F52" s="115">
        <v>358399.0</v>
      </c>
      <c r="G52" s="115">
        <v>262874.0</v>
      </c>
      <c r="H52" s="13">
        <v>45911.0</v>
      </c>
      <c r="I52" s="12" t="s">
        <v>55</v>
      </c>
    </row>
    <row r="53">
      <c r="A53" s="6" t="s">
        <v>50</v>
      </c>
      <c r="B53" s="6" t="s">
        <v>26</v>
      </c>
      <c r="C53" s="115">
        <v>0.0</v>
      </c>
      <c r="D53" s="115">
        <v>361498.0</v>
      </c>
      <c r="E53" s="115">
        <v>5949.0</v>
      </c>
      <c r="F53" s="115">
        <v>338490.0</v>
      </c>
      <c r="G53" s="115">
        <v>252318.0</v>
      </c>
      <c r="H53" s="13">
        <v>45911.0</v>
      </c>
      <c r="I53" s="12" t="s">
        <v>55</v>
      </c>
    </row>
    <row r="54">
      <c r="A54" s="6" t="s">
        <v>50</v>
      </c>
      <c r="B54" s="6" t="s">
        <v>27</v>
      </c>
      <c r="C54" s="115">
        <v>0.0</v>
      </c>
      <c r="D54" s="115">
        <v>276117.0</v>
      </c>
      <c r="E54" s="115">
        <v>4655.0</v>
      </c>
      <c r="F54" s="115">
        <v>258549.0</v>
      </c>
      <c r="G54" s="115">
        <v>211929.0</v>
      </c>
      <c r="H54" s="13">
        <v>45911.0</v>
      </c>
      <c r="I54" s="12" t="s">
        <v>55</v>
      </c>
    </row>
    <row r="55">
      <c r="A55" s="6" t="s">
        <v>51</v>
      </c>
      <c r="B55" s="6" t="s">
        <v>29</v>
      </c>
      <c r="C55" s="115">
        <v>0.0</v>
      </c>
      <c r="D55" s="115">
        <v>578790.0</v>
      </c>
      <c r="E55" s="115">
        <v>11168.0</v>
      </c>
      <c r="F55" s="115">
        <v>524986.0</v>
      </c>
      <c r="G55" s="115">
        <v>367752.0</v>
      </c>
      <c r="H55" s="13">
        <v>45911.0</v>
      </c>
      <c r="I55" s="12" t="s">
        <v>55</v>
      </c>
    </row>
    <row r="56">
      <c r="A56" s="6" t="s">
        <v>51</v>
      </c>
      <c r="B56" s="6" t="s">
        <v>30</v>
      </c>
      <c r="C56" s="115">
        <v>0.0</v>
      </c>
      <c r="D56" s="115">
        <v>432399.0</v>
      </c>
      <c r="E56" s="115">
        <v>9043.0</v>
      </c>
      <c r="F56" s="115">
        <v>390251.0</v>
      </c>
      <c r="G56" s="115">
        <v>293006.0</v>
      </c>
      <c r="H56" s="13">
        <v>45911.0</v>
      </c>
      <c r="I56" s="12" t="s">
        <v>55</v>
      </c>
    </row>
    <row r="57">
      <c r="A57" s="6" t="s">
        <v>52</v>
      </c>
      <c r="B57" s="6" t="s">
        <v>52</v>
      </c>
      <c r="C57" s="115">
        <v>0.0</v>
      </c>
      <c r="D57" s="115">
        <v>16037.0</v>
      </c>
      <c r="E57" s="115">
        <v>360.0</v>
      </c>
      <c r="F57" s="115">
        <v>14224.0</v>
      </c>
      <c r="G57" s="115">
        <v>10479.0</v>
      </c>
      <c r="H57" s="13">
        <v>45911.0</v>
      </c>
      <c r="I57" s="12" t="s">
        <v>55</v>
      </c>
    </row>
    <row r="58">
      <c r="A58" s="6" t="s">
        <v>47</v>
      </c>
      <c r="B58" s="6" t="s">
        <v>20</v>
      </c>
      <c r="C58" s="115">
        <v>0.0</v>
      </c>
      <c r="D58" s="115">
        <v>916648.0</v>
      </c>
      <c r="E58" s="115">
        <v>22086.0</v>
      </c>
      <c r="F58" s="115">
        <v>830348.0</v>
      </c>
      <c r="G58" s="115">
        <v>727387.0</v>
      </c>
      <c r="H58" s="13">
        <v>45911.0</v>
      </c>
      <c r="I58" s="12" t="s">
        <v>56</v>
      </c>
    </row>
    <row r="59">
      <c r="A59" s="6" t="s">
        <v>47</v>
      </c>
      <c r="B59" s="6" t="s">
        <v>21</v>
      </c>
      <c r="C59" s="115">
        <v>0.0</v>
      </c>
      <c r="D59" s="115">
        <v>528284.0</v>
      </c>
      <c r="E59" s="115">
        <v>11830.0</v>
      </c>
      <c r="F59" s="115">
        <v>479649.0</v>
      </c>
      <c r="G59" s="115">
        <v>359282.0</v>
      </c>
      <c r="H59" s="13">
        <v>45911.0</v>
      </c>
      <c r="I59" s="12" t="s">
        <v>56</v>
      </c>
    </row>
    <row r="60">
      <c r="A60" s="6" t="s">
        <v>47</v>
      </c>
      <c r="B60" s="6" t="s">
        <v>22</v>
      </c>
      <c r="C60" s="115">
        <v>0.0</v>
      </c>
      <c r="D60" s="115">
        <v>370944.0</v>
      </c>
      <c r="E60" s="115">
        <v>7997.0</v>
      </c>
      <c r="F60" s="115">
        <v>342750.0</v>
      </c>
      <c r="G60" s="115">
        <v>266743.0</v>
      </c>
      <c r="H60" s="13">
        <v>45911.0</v>
      </c>
      <c r="I60" s="12" t="s">
        <v>56</v>
      </c>
    </row>
    <row r="61">
      <c r="A61" s="6" t="s">
        <v>49</v>
      </c>
      <c r="B61" s="6" t="s">
        <v>15</v>
      </c>
      <c r="C61" s="115">
        <v>0.0</v>
      </c>
      <c r="D61" s="115">
        <v>283473.0</v>
      </c>
      <c r="E61" s="115">
        <v>5999.0</v>
      </c>
      <c r="F61" s="115">
        <v>252346.0</v>
      </c>
      <c r="G61" s="115">
        <v>188240.0</v>
      </c>
      <c r="H61" s="13">
        <v>45911.0</v>
      </c>
      <c r="I61" s="12" t="s">
        <v>56</v>
      </c>
    </row>
    <row r="62">
      <c r="A62" s="6" t="s">
        <v>49</v>
      </c>
      <c r="B62" s="6" t="s">
        <v>17</v>
      </c>
      <c r="C62" s="115">
        <v>0.0</v>
      </c>
      <c r="D62" s="115">
        <v>280796.0</v>
      </c>
      <c r="E62" s="115">
        <v>5512.0</v>
      </c>
      <c r="F62" s="115">
        <v>257007.0</v>
      </c>
      <c r="G62" s="115">
        <v>191443.0</v>
      </c>
      <c r="H62" s="13">
        <v>45911.0</v>
      </c>
      <c r="I62" s="12" t="s">
        <v>56</v>
      </c>
    </row>
    <row r="63">
      <c r="A63" s="6" t="s">
        <v>49</v>
      </c>
      <c r="B63" s="6" t="s">
        <v>16</v>
      </c>
      <c r="C63" s="115">
        <v>0.0</v>
      </c>
      <c r="D63" s="115">
        <v>559636.0</v>
      </c>
      <c r="E63" s="115">
        <v>13542.0</v>
      </c>
      <c r="F63" s="115">
        <v>511388.0</v>
      </c>
      <c r="G63" s="115">
        <v>387835.0</v>
      </c>
      <c r="H63" s="13">
        <v>45911.0</v>
      </c>
      <c r="I63" s="12" t="s">
        <v>56</v>
      </c>
    </row>
    <row r="64">
      <c r="A64" s="6" t="s">
        <v>49</v>
      </c>
      <c r="B64" s="6" t="s">
        <v>18</v>
      </c>
      <c r="C64" s="115">
        <v>0.0</v>
      </c>
      <c r="D64" s="115">
        <v>233168.0</v>
      </c>
      <c r="E64" s="115">
        <v>5228.0</v>
      </c>
      <c r="F64" s="115">
        <v>207803.0</v>
      </c>
      <c r="G64" s="115">
        <v>159455.0</v>
      </c>
      <c r="H64" s="13">
        <v>45911.0</v>
      </c>
      <c r="I64" s="12" t="s">
        <v>56</v>
      </c>
    </row>
    <row r="65">
      <c r="A65" s="6" t="s">
        <v>50</v>
      </c>
      <c r="B65" s="6" t="s">
        <v>24</v>
      </c>
      <c r="C65" s="115">
        <v>0.0</v>
      </c>
      <c r="D65" s="115">
        <v>475169.0</v>
      </c>
      <c r="E65" s="115">
        <v>10428.0</v>
      </c>
      <c r="F65" s="115">
        <v>430437.0</v>
      </c>
      <c r="G65" s="115">
        <v>315787.0</v>
      </c>
      <c r="H65" s="13">
        <v>45911.0</v>
      </c>
      <c r="I65" s="12" t="s">
        <v>56</v>
      </c>
    </row>
    <row r="66">
      <c r="A66" s="6" t="s">
        <v>50</v>
      </c>
      <c r="B66" s="6" t="s">
        <v>25</v>
      </c>
      <c r="C66" s="115">
        <v>0.0</v>
      </c>
      <c r="D66" s="115">
        <v>401969.0</v>
      </c>
      <c r="E66" s="115">
        <v>7672.0</v>
      </c>
      <c r="F66" s="115">
        <v>361291.0</v>
      </c>
      <c r="G66" s="115">
        <v>269640.0</v>
      </c>
      <c r="H66" s="13">
        <v>45911.0</v>
      </c>
      <c r="I66" s="12" t="s">
        <v>56</v>
      </c>
    </row>
    <row r="67">
      <c r="A67" s="6" t="s">
        <v>50</v>
      </c>
      <c r="B67" s="6" t="s">
        <v>26</v>
      </c>
      <c r="C67" s="115">
        <v>0.0</v>
      </c>
      <c r="D67" s="115">
        <v>363084.0</v>
      </c>
      <c r="E67" s="115">
        <v>5978.0</v>
      </c>
      <c r="F67" s="115">
        <v>339829.0</v>
      </c>
      <c r="G67" s="115">
        <v>260863.0</v>
      </c>
      <c r="H67" s="13">
        <v>45911.0</v>
      </c>
      <c r="I67" s="12" t="s">
        <v>56</v>
      </c>
    </row>
    <row r="68">
      <c r="A68" s="6" t="s">
        <v>50</v>
      </c>
      <c r="B68" s="6" t="s">
        <v>27</v>
      </c>
      <c r="C68" s="115">
        <v>0.0</v>
      </c>
      <c r="D68" s="115">
        <v>276535.0</v>
      </c>
      <c r="E68" s="115">
        <v>4669.0</v>
      </c>
      <c r="F68" s="115">
        <v>258863.0</v>
      </c>
      <c r="G68" s="115">
        <v>214944.0</v>
      </c>
      <c r="H68" s="13">
        <v>45911.0</v>
      </c>
      <c r="I68" s="12" t="s">
        <v>56</v>
      </c>
    </row>
    <row r="69">
      <c r="A69" s="6" t="s">
        <v>51</v>
      </c>
      <c r="B69" s="6" t="s">
        <v>29</v>
      </c>
      <c r="C69" s="115">
        <v>0.0</v>
      </c>
      <c r="D69" s="115">
        <v>581802.0</v>
      </c>
      <c r="E69" s="115">
        <v>11289.0</v>
      </c>
      <c r="F69" s="115">
        <v>527407.0</v>
      </c>
      <c r="G69" s="115">
        <v>375982.0</v>
      </c>
      <c r="H69" s="13">
        <v>45911.0</v>
      </c>
      <c r="I69" s="12" t="s">
        <v>56</v>
      </c>
    </row>
    <row r="70">
      <c r="A70" s="6" t="s">
        <v>51</v>
      </c>
      <c r="B70" s="6" t="s">
        <v>30</v>
      </c>
      <c r="C70" s="115">
        <v>0.0</v>
      </c>
      <c r="D70" s="115">
        <v>433852.0</v>
      </c>
      <c r="E70" s="115">
        <v>9095.0</v>
      </c>
      <c r="F70" s="115">
        <v>391454.0</v>
      </c>
      <c r="G70" s="115">
        <v>296719.0</v>
      </c>
      <c r="H70" s="13">
        <v>45911.0</v>
      </c>
      <c r="I70" s="12" t="s">
        <v>56</v>
      </c>
    </row>
    <row r="71">
      <c r="A71" s="6" t="s">
        <v>52</v>
      </c>
      <c r="B71" s="6" t="s">
        <v>52</v>
      </c>
      <c r="C71" s="115">
        <v>0.0</v>
      </c>
      <c r="D71" s="115">
        <v>16241.0</v>
      </c>
      <c r="E71" s="115">
        <v>366.0</v>
      </c>
      <c r="F71" s="115">
        <v>14428.0</v>
      </c>
      <c r="G71" s="115">
        <v>10676.0</v>
      </c>
      <c r="H71" s="13">
        <v>45911.0</v>
      </c>
      <c r="I71" s="12" t="s">
        <v>56</v>
      </c>
    </row>
    <row r="72">
      <c r="A72" s="6" t="s">
        <v>47</v>
      </c>
      <c r="B72" s="6" t="s">
        <v>20</v>
      </c>
      <c r="C72" s="115">
        <v>0.0</v>
      </c>
      <c r="D72" s="115">
        <v>917052.0</v>
      </c>
      <c r="E72" s="115">
        <v>22104.0</v>
      </c>
      <c r="F72" s="115">
        <v>830559.0</v>
      </c>
      <c r="G72" s="115">
        <v>733906.0</v>
      </c>
      <c r="H72" s="13">
        <v>45911.0</v>
      </c>
      <c r="I72" s="12" t="s">
        <v>57</v>
      </c>
    </row>
    <row r="73">
      <c r="A73" s="6" t="s">
        <v>47</v>
      </c>
      <c r="B73" s="6" t="s">
        <v>21</v>
      </c>
      <c r="C73" s="115">
        <v>0.0</v>
      </c>
      <c r="D73" s="115">
        <v>528363.0</v>
      </c>
      <c r="E73" s="115">
        <v>11834.0</v>
      </c>
      <c r="F73" s="115">
        <v>479702.0</v>
      </c>
      <c r="G73" s="115">
        <v>359870.0</v>
      </c>
      <c r="H73" s="13">
        <v>45911.0</v>
      </c>
      <c r="I73" s="12" t="s">
        <v>57</v>
      </c>
    </row>
    <row r="74">
      <c r="A74" s="6" t="s">
        <v>47</v>
      </c>
      <c r="B74" s="6" t="s">
        <v>22</v>
      </c>
      <c r="C74" s="115">
        <v>0.0</v>
      </c>
      <c r="D74" s="115">
        <v>371064.0</v>
      </c>
      <c r="E74" s="115">
        <v>8001.0</v>
      </c>
      <c r="F74" s="115">
        <v>342771.0</v>
      </c>
      <c r="G74" s="115">
        <v>268183.0</v>
      </c>
      <c r="H74" s="13">
        <v>45911.0</v>
      </c>
      <c r="I74" s="12" t="s">
        <v>57</v>
      </c>
    </row>
    <row r="75">
      <c r="A75" s="6" t="s">
        <v>49</v>
      </c>
      <c r="B75" s="6" t="s">
        <v>15</v>
      </c>
      <c r="C75" s="115">
        <v>0.0</v>
      </c>
      <c r="D75" s="115">
        <v>283521.0</v>
      </c>
      <c r="E75" s="115">
        <v>6006.0</v>
      </c>
      <c r="F75" s="115">
        <v>252375.0</v>
      </c>
      <c r="G75" s="115">
        <v>191144.0</v>
      </c>
      <c r="H75" s="13">
        <v>45911.0</v>
      </c>
      <c r="I75" s="12" t="s">
        <v>57</v>
      </c>
    </row>
    <row r="76">
      <c r="A76" s="6" t="s">
        <v>49</v>
      </c>
      <c r="B76" s="6" t="s">
        <v>17</v>
      </c>
      <c r="C76" s="115">
        <v>0.0</v>
      </c>
      <c r="D76" s="115">
        <v>280834.0</v>
      </c>
      <c r="E76" s="115">
        <v>5515.0</v>
      </c>
      <c r="F76" s="115">
        <v>257023.0</v>
      </c>
      <c r="G76" s="115">
        <v>192111.0</v>
      </c>
      <c r="H76" s="13">
        <v>45911.0</v>
      </c>
      <c r="I76" s="12" t="s">
        <v>57</v>
      </c>
    </row>
    <row r="77">
      <c r="A77" s="6" t="s">
        <v>49</v>
      </c>
      <c r="B77" s="6" t="s">
        <v>16</v>
      </c>
      <c r="C77" s="115">
        <v>0.0</v>
      </c>
      <c r="D77" s="115">
        <v>559774.0</v>
      </c>
      <c r="E77" s="115">
        <v>13550.0</v>
      </c>
      <c r="F77" s="115">
        <v>511487.0</v>
      </c>
      <c r="G77" s="115">
        <v>389064.0</v>
      </c>
      <c r="H77" s="13">
        <v>45911.0</v>
      </c>
      <c r="I77" s="12" t="s">
        <v>57</v>
      </c>
    </row>
    <row r="78">
      <c r="A78" s="6" t="s">
        <v>49</v>
      </c>
      <c r="B78" s="6" t="s">
        <v>18</v>
      </c>
      <c r="C78" s="115">
        <v>0.0</v>
      </c>
      <c r="D78" s="115">
        <v>233194.0</v>
      </c>
      <c r="E78" s="115">
        <v>5228.0</v>
      </c>
      <c r="F78" s="115">
        <v>207826.0</v>
      </c>
      <c r="G78" s="115">
        <v>159852.0</v>
      </c>
      <c r="H78" s="13">
        <v>45911.0</v>
      </c>
      <c r="I78" s="12" t="s">
        <v>57</v>
      </c>
    </row>
    <row r="79">
      <c r="A79" s="6" t="s">
        <v>50</v>
      </c>
      <c r="B79" s="6" t="s">
        <v>24</v>
      </c>
      <c r="C79" s="115">
        <v>0.0</v>
      </c>
      <c r="D79" s="115">
        <v>475224.0</v>
      </c>
      <c r="E79" s="115">
        <v>10435.0</v>
      </c>
      <c r="F79" s="115">
        <v>430456.0</v>
      </c>
      <c r="G79" s="115">
        <v>317474.0</v>
      </c>
      <c r="H79" s="13">
        <v>45911.0</v>
      </c>
      <c r="I79" s="12" t="s">
        <v>57</v>
      </c>
    </row>
    <row r="80">
      <c r="A80" s="6" t="s">
        <v>50</v>
      </c>
      <c r="B80" s="6" t="s">
        <v>25</v>
      </c>
      <c r="C80" s="115">
        <v>0.0</v>
      </c>
      <c r="D80" s="115">
        <v>402037.0</v>
      </c>
      <c r="E80" s="115">
        <v>7675.0</v>
      </c>
      <c r="F80" s="115">
        <v>361327.0</v>
      </c>
      <c r="G80" s="115">
        <v>272010.0</v>
      </c>
      <c r="H80" s="13">
        <v>45911.0</v>
      </c>
      <c r="I80" s="12" t="s">
        <v>57</v>
      </c>
    </row>
    <row r="81">
      <c r="A81" s="6" t="s">
        <v>50</v>
      </c>
      <c r="B81" s="6" t="s">
        <v>26</v>
      </c>
      <c r="C81" s="115">
        <v>0.0</v>
      </c>
      <c r="D81" s="115">
        <v>363264.0</v>
      </c>
      <c r="E81" s="115">
        <v>5982.0</v>
      </c>
      <c r="F81" s="115">
        <v>339957.0</v>
      </c>
      <c r="G81" s="115">
        <v>264976.0</v>
      </c>
      <c r="H81" s="13">
        <v>45911.0</v>
      </c>
      <c r="I81" s="12" t="s">
        <v>57</v>
      </c>
    </row>
    <row r="82">
      <c r="A82" s="6" t="s">
        <v>50</v>
      </c>
      <c r="B82" s="6" t="s">
        <v>27</v>
      </c>
      <c r="C82" s="115">
        <v>0.0</v>
      </c>
      <c r="D82" s="115">
        <v>276581.0</v>
      </c>
      <c r="E82" s="115">
        <v>4669.0</v>
      </c>
      <c r="F82" s="115">
        <v>258904.0</v>
      </c>
      <c r="G82" s="115">
        <v>216365.0</v>
      </c>
      <c r="H82" s="13">
        <v>45911.0</v>
      </c>
      <c r="I82" s="12" t="s">
        <v>57</v>
      </c>
    </row>
    <row r="83">
      <c r="A83" s="6" t="s">
        <v>51</v>
      </c>
      <c r="B83" s="6" t="s">
        <v>29</v>
      </c>
      <c r="C83" s="115">
        <v>0.0</v>
      </c>
      <c r="D83" s="115">
        <v>582037.0</v>
      </c>
      <c r="E83" s="115">
        <v>11316.0</v>
      </c>
      <c r="F83" s="115">
        <v>527603.0</v>
      </c>
      <c r="G83" s="115">
        <v>379557.0</v>
      </c>
      <c r="H83" s="13">
        <v>45911.0</v>
      </c>
      <c r="I83" s="12" t="s">
        <v>57</v>
      </c>
    </row>
    <row r="84">
      <c r="A84" s="6" t="s">
        <v>51</v>
      </c>
      <c r="B84" s="6" t="s">
        <v>30</v>
      </c>
      <c r="C84" s="115">
        <v>0.0</v>
      </c>
      <c r="D84" s="115">
        <v>434033.0</v>
      </c>
      <c r="E84" s="115">
        <v>9104.0</v>
      </c>
      <c r="F84" s="115">
        <v>391577.0</v>
      </c>
      <c r="G84" s="115">
        <v>298166.0</v>
      </c>
      <c r="H84" s="13">
        <v>45911.0</v>
      </c>
      <c r="I84" s="12" t="s">
        <v>57</v>
      </c>
    </row>
    <row r="85">
      <c r="A85" s="6" t="s">
        <v>52</v>
      </c>
      <c r="B85" s="6" t="s">
        <v>52</v>
      </c>
      <c r="C85" s="115">
        <v>0.0</v>
      </c>
      <c r="D85" s="115">
        <v>16345.0</v>
      </c>
      <c r="E85" s="115">
        <v>366.0</v>
      </c>
      <c r="F85" s="115">
        <v>14553.0</v>
      </c>
      <c r="G85" s="115">
        <v>10771.0</v>
      </c>
      <c r="H85" s="13">
        <v>45911.0</v>
      </c>
      <c r="I85" s="12" t="s">
        <v>57</v>
      </c>
    </row>
    <row r="86">
      <c r="A86" s="6" t="s">
        <v>47</v>
      </c>
      <c r="B86" s="6" t="s">
        <v>20</v>
      </c>
      <c r="C86" s="115">
        <v>0.0</v>
      </c>
      <c r="D86" s="115">
        <v>90756.0</v>
      </c>
      <c r="E86" s="115">
        <v>3324.0</v>
      </c>
      <c r="F86" s="115">
        <v>83050.0</v>
      </c>
      <c r="G86" s="115">
        <v>952.0</v>
      </c>
      <c r="H86" s="13">
        <v>45912.0</v>
      </c>
      <c r="I86" s="12" t="s">
        <v>58</v>
      </c>
    </row>
    <row r="87">
      <c r="A87" s="6" t="s">
        <v>47</v>
      </c>
      <c r="B87" s="6" t="s">
        <v>21</v>
      </c>
      <c r="C87" s="115">
        <v>0.0</v>
      </c>
      <c r="D87" s="115">
        <v>49407.0</v>
      </c>
      <c r="E87" s="115">
        <v>1561.0</v>
      </c>
      <c r="F87" s="115">
        <v>45727.0</v>
      </c>
      <c r="G87" s="115">
        <v>281.0</v>
      </c>
      <c r="H87" s="13">
        <v>45912.0</v>
      </c>
      <c r="I87" s="12" t="s">
        <v>58</v>
      </c>
    </row>
    <row r="88">
      <c r="A88" s="6" t="s">
        <v>47</v>
      </c>
      <c r="B88" s="6" t="s">
        <v>22</v>
      </c>
      <c r="C88" s="115">
        <v>0.0</v>
      </c>
      <c r="D88" s="115">
        <v>39876.0</v>
      </c>
      <c r="E88" s="115">
        <v>1290.0</v>
      </c>
      <c r="F88" s="115">
        <v>37704.0</v>
      </c>
      <c r="G88" s="115">
        <v>204.0</v>
      </c>
      <c r="H88" s="13">
        <v>45912.0</v>
      </c>
      <c r="I88" s="12" t="s">
        <v>58</v>
      </c>
    </row>
    <row r="89">
      <c r="A89" s="6" t="s">
        <v>49</v>
      </c>
      <c r="B89" s="6" t="s">
        <v>15</v>
      </c>
      <c r="C89" s="115">
        <v>0.0</v>
      </c>
      <c r="D89" s="115">
        <v>66513.0</v>
      </c>
      <c r="E89" s="115">
        <v>1491.0</v>
      </c>
      <c r="F89" s="115">
        <v>60948.0</v>
      </c>
      <c r="G89" s="115">
        <v>199.0</v>
      </c>
      <c r="H89" s="13">
        <v>45912.0</v>
      </c>
      <c r="I89" s="12" t="s">
        <v>58</v>
      </c>
    </row>
    <row r="90">
      <c r="A90" s="6" t="s">
        <v>49</v>
      </c>
      <c r="B90" s="6" t="s">
        <v>17</v>
      </c>
      <c r="C90" s="115">
        <v>0.0</v>
      </c>
      <c r="D90" s="115">
        <v>18210.0</v>
      </c>
      <c r="E90" s="115">
        <v>501.0</v>
      </c>
      <c r="F90" s="115">
        <v>16935.0</v>
      </c>
      <c r="G90" s="115">
        <v>202.0</v>
      </c>
      <c r="H90" s="13">
        <v>45912.0</v>
      </c>
      <c r="I90" s="12" t="s">
        <v>58</v>
      </c>
    </row>
    <row r="91">
      <c r="A91" s="6" t="s">
        <v>49</v>
      </c>
      <c r="B91" s="6" t="s">
        <v>16</v>
      </c>
      <c r="C91" s="115">
        <v>0.0</v>
      </c>
      <c r="D91" s="115">
        <v>45211.0</v>
      </c>
      <c r="E91" s="115">
        <v>1424.0</v>
      </c>
      <c r="F91" s="115">
        <v>39987.0</v>
      </c>
      <c r="G91" s="115">
        <v>308.0</v>
      </c>
      <c r="H91" s="13">
        <v>45912.0</v>
      </c>
      <c r="I91" s="12" t="s">
        <v>58</v>
      </c>
    </row>
    <row r="92">
      <c r="A92" s="6" t="s">
        <v>49</v>
      </c>
      <c r="B92" s="6" t="s">
        <v>18</v>
      </c>
      <c r="C92" s="115">
        <v>0.0</v>
      </c>
      <c r="D92" s="115">
        <v>18971.0</v>
      </c>
      <c r="E92" s="115">
        <v>572.0</v>
      </c>
      <c r="F92" s="115">
        <v>16550.0</v>
      </c>
      <c r="G92" s="115">
        <v>354.0</v>
      </c>
      <c r="H92" s="13">
        <v>45912.0</v>
      </c>
      <c r="I92" s="12" t="s">
        <v>58</v>
      </c>
    </row>
    <row r="93">
      <c r="A93" s="6" t="s">
        <v>50</v>
      </c>
      <c r="B93" s="6" t="s">
        <v>24</v>
      </c>
      <c r="C93" s="115">
        <v>0.0</v>
      </c>
      <c r="D93" s="115">
        <v>79173.0</v>
      </c>
      <c r="E93" s="115">
        <v>1885.0</v>
      </c>
      <c r="F93" s="115">
        <v>74154.0</v>
      </c>
      <c r="G93" s="115">
        <v>2448.0</v>
      </c>
      <c r="H93" s="13">
        <v>45912.0</v>
      </c>
      <c r="I93" s="12" t="s">
        <v>58</v>
      </c>
    </row>
    <row r="94">
      <c r="A94" s="6" t="s">
        <v>50</v>
      </c>
      <c r="B94" s="6" t="s">
        <v>25</v>
      </c>
      <c r="C94" s="115">
        <v>0.0</v>
      </c>
      <c r="D94" s="115">
        <v>63889.0</v>
      </c>
      <c r="E94" s="115">
        <v>1414.0</v>
      </c>
      <c r="F94" s="115">
        <v>58168.0</v>
      </c>
      <c r="G94" s="115">
        <v>648.0</v>
      </c>
      <c r="H94" s="13">
        <v>45912.0</v>
      </c>
      <c r="I94" s="12" t="s">
        <v>58</v>
      </c>
    </row>
    <row r="95">
      <c r="A95" s="6" t="s">
        <v>50</v>
      </c>
      <c r="B95" s="6" t="s">
        <v>26</v>
      </c>
      <c r="C95" s="115">
        <v>0.0</v>
      </c>
      <c r="D95" s="115">
        <v>13228.0</v>
      </c>
      <c r="E95" s="115">
        <v>339.0</v>
      </c>
      <c r="F95" s="115">
        <v>12499.0</v>
      </c>
      <c r="G95" s="115">
        <v>170.0</v>
      </c>
      <c r="H95" s="13">
        <v>45912.0</v>
      </c>
      <c r="I95" s="12" t="s">
        <v>58</v>
      </c>
    </row>
    <row r="96">
      <c r="A96" s="6" t="s">
        <v>50</v>
      </c>
      <c r="B96" s="6" t="s">
        <v>27</v>
      </c>
      <c r="C96" s="115">
        <v>0.0</v>
      </c>
      <c r="D96" s="115">
        <v>5261.0</v>
      </c>
      <c r="E96" s="115">
        <v>166.0</v>
      </c>
      <c r="F96" s="115">
        <v>4911.0</v>
      </c>
      <c r="G96" s="115">
        <v>52.0</v>
      </c>
      <c r="H96" s="13">
        <v>45912.0</v>
      </c>
      <c r="I96" s="12" t="s">
        <v>58</v>
      </c>
    </row>
    <row r="97">
      <c r="A97" s="6" t="s">
        <v>51</v>
      </c>
      <c r="B97" s="6" t="s">
        <v>29</v>
      </c>
      <c r="C97" s="115">
        <v>0.0</v>
      </c>
      <c r="D97" s="115">
        <v>30038.0</v>
      </c>
      <c r="E97" s="115">
        <v>774.0</v>
      </c>
      <c r="F97" s="115">
        <v>26257.0</v>
      </c>
      <c r="G97" s="115">
        <v>371.0</v>
      </c>
      <c r="H97" s="13">
        <v>45912.0</v>
      </c>
      <c r="I97" s="12" t="s">
        <v>58</v>
      </c>
    </row>
    <row r="98">
      <c r="A98" s="6" t="s">
        <v>51</v>
      </c>
      <c r="B98" s="6" t="s">
        <v>30</v>
      </c>
      <c r="C98" s="115">
        <v>0.0</v>
      </c>
      <c r="D98" s="115">
        <v>37971.0</v>
      </c>
      <c r="E98" s="115">
        <v>1093.0</v>
      </c>
      <c r="F98" s="115">
        <v>34578.0</v>
      </c>
      <c r="G98" s="115">
        <v>345.0</v>
      </c>
      <c r="H98" s="13">
        <v>45912.0</v>
      </c>
      <c r="I98" s="12" t="s">
        <v>58</v>
      </c>
    </row>
    <row r="99">
      <c r="A99" s="6" t="s">
        <v>52</v>
      </c>
      <c r="B99" s="6" t="s">
        <v>52</v>
      </c>
      <c r="C99" s="115">
        <v>0.0</v>
      </c>
      <c r="D99" s="115">
        <v>850.0</v>
      </c>
      <c r="E99" s="115">
        <v>25.0</v>
      </c>
      <c r="F99" s="115">
        <v>599.0</v>
      </c>
      <c r="G99" s="115">
        <v>6.0</v>
      </c>
      <c r="H99" s="13">
        <v>45912.0</v>
      </c>
      <c r="I99" s="12" t="s">
        <v>58</v>
      </c>
    </row>
    <row r="100">
      <c r="A100" s="6" t="s">
        <v>47</v>
      </c>
      <c r="B100" s="6" t="s">
        <v>20</v>
      </c>
      <c r="C100" s="115">
        <v>0.0</v>
      </c>
      <c r="D100" s="115">
        <v>318077.0</v>
      </c>
      <c r="E100" s="115">
        <v>9697.0</v>
      </c>
      <c r="F100" s="115">
        <v>294514.0</v>
      </c>
      <c r="G100" s="115">
        <v>9264.0</v>
      </c>
      <c r="H100" s="13">
        <v>45912.0</v>
      </c>
      <c r="I100" s="12" t="s">
        <v>59</v>
      </c>
    </row>
    <row r="101">
      <c r="A101" s="6" t="s">
        <v>47</v>
      </c>
      <c r="B101" s="6" t="s">
        <v>21</v>
      </c>
      <c r="C101" s="115">
        <v>0.0</v>
      </c>
      <c r="D101" s="115">
        <v>192762.0</v>
      </c>
      <c r="E101" s="115">
        <v>4927.0</v>
      </c>
      <c r="F101" s="115">
        <v>181679.0</v>
      </c>
      <c r="G101" s="115">
        <v>3106.0</v>
      </c>
      <c r="H101" s="13">
        <v>45912.0</v>
      </c>
      <c r="I101" s="12" t="s">
        <v>59</v>
      </c>
    </row>
    <row r="102">
      <c r="A102" s="6" t="s">
        <v>47</v>
      </c>
      <c r="B102" s="6" t="s">
        <v>22</v>
      </c>
      <c r="C102" s="115">
        <v>0.0</v>
      </c>
      <c r="D102" s="115">
        <v>112095.0</v>
      </c>
      <c r="E102" s="115">
        <v>3072.0</v>
      </c>
      <c r="F102" s="115">
        <v>106433.0</v>
      </c>
      <c r="G102" s="115">
        <v>1924.0</v>
      </c>
      <c r="H102" s="13">
        <v>45912.0</v>
      </c>
      <c r="I102" s="12" t="s">
        <v>59</v>
      </c>
    </row>
    <row r="103">
      <c r="A103" s="6" t="s">
        <v>49</v>
      </c>
      <c r="B103" s="6" t="s">
        <v>15</v>
      </c>
      <c r="C103" s="115">
        <v>0.0</v>
      </c>
      <c r="D103" s="115">
        <v>121363.0</v>
      </c>
      <c r="E103" s="115">
        <v>2625.0</v>
      </c>
      <c r="F103" s="115">
        <v>108468.0</v>
      </c>
      <c r="G103" s="115">
        <v>2706.0</v>
      </c>
      <c r="H103" s="13">
        <v>45912.0</v>
      </c>
      <c r="I103" s="12" t="s">
        <v>59</v>
      </c>
    </row>
    <row r="104">
      <c r="A104" s="6" t="s">
        <v>49</v>
      </c>
      <c r="B104" s="6" t="s">
        <v>17</v>
      </c>
      <c r="C104" s="115">
        <v>0.0</v>
      </c>
      <c r="D104" s="115">
        <v>73730.0</v>
      </c>
      <c r="E104" s="115">
        <v>1736.0</v>
      </c>
      <c r="F104" s="115">
        <v>69672.0</v>
      </c>
      <c r="G104" s="115">
        <v>2023.0</v>
      </c>
      <c r="H104" s="13">
        <v>45912.0</v>
      </c>
      <c r="I104" s="12" t="s">
        <v>59</v>
      </c>
    </row>
    <row r="105">
      <c r="A105" s="6" t="s">
        <v>49</v>
      </c>
      <c r="B105" s="6" t="s">
        <v>16</v>
      </c>
      <c r="C105" s="115">
        <v>0.0</v>
      </c>
      <c r="D105" s="115">
        <v>153594.0</v>
      </c>
      <c r="E105" s="115">
        <v>4184.0</v>
      </c>
      <c r="F105" s="115">
        <v>142158.0</v>
      </c>
      <c r="G105" s="115">
        <v>2977.0</v>
      </c>
      <c r="H105" s="13">
        <v>45912.0</v>
      </c>
      <c r="I105" s="12" t="s">
        <v>59</v>
      </c>
    </row>
    <row r="106">
      <c r="A106" s="6" t="s">
        <v>49</v>
      </c>
      <c r="B106" s="6" t="s">
        <v>18</v>
      </c>
      <c r="C106" s="115">
        <v>0.0</v>
      </c>
      <c r="D106" s="115">
        <v>70438.0</v>
      </c>
      <c r="E106" s="115">
        <v>1782.0</v>
      </c>
      <c r="F106" s="115">
        <v>64078.0</v>
      </c>
      <c r="G106" s="115">
        <v>2352.0</v>
      </c>
      <c r="H106" s="13">
        <v>45912.0</v>
      </c>
      <c r="I106" s="12" t="s">
        <v>59</v>
      </c>
    </row>
    <row r="107">
      <c r="A107" s="6" t="s">
        <v>19</v>
      </c>
      <c r="B107" s="6" t="s">
        <v>16</v>
      </c>
      <c r="C107" s="115">
        <v>0.0</v>
      </c>
      <c r="D107" s="115">
        <v>149.0</v>
      </c>
      <c r="E107" s="115">
        <v>4.0</v>
      </c>
      <c r="F107" s="115">
        <v>141.0</v>
      </c>
      <c r="G107" s="115">
        <v>2.0</v>
      </c>
      <c r="H107" s="13">
        <v>45912.0</v>
      </c>
      <c r="I107" s="12" t="s">
        <v>59</v>
      </c>
    </row>
    <row r="108">
      <c r="A108" s="6" t="s">
        <v>50</v>
      </c>
      <c r="B108" s="6" t="s">
        <v>24</v>
      </c>
      <c r="C108" s="115">
        <v>0.0</v>
      </c>
      <c r="D108" s="115">
        <v>204371.0</v>
      </c>
      <c r="E108" s="115">
        <v>4476.0</v>
      </c>
      <c r="F108" s="115">
        <v>191292.0</v>
      </c>
      <c r="G108" s="115">
        <v>11269.0</v>
      </c>
      <c r="H108" s="13">
        <v>45912.0</v>
      </c>
      <c r="I108" s="12" t="s">
        <v>59</v>
      </c>
    </row>
    <row r="109">
      <c r="A109" s="6" t="s">
        <v>50</v>
      </c>
      <c r="B109" s="6" t="s">
        <v>25</v>
      </c>
      <c r="C109" s="115">
        <v>0.0</v>
      </c>
      <c r="D109" s="115">
        <v>170380.0</v>
      </c>
      <c r="E109" s="115">
        <v>3384.0</v>
      </c>
      <c r="F109" s="115">
        <v>157112.0</v>
      </c>
      <c r="G109" s="115">
        <v>6005.0</v>
      </c>
      <c r="H109" s="13">
        <v>45912.0</v>
      </c>
      <c r="I109" s="12" t="s">
        <v>59</v>
      </c>
    </row>
    <row r="110">
      <c r="A110" s="6" t="s">
        <v>50</v>
      </c>
      <c r="B110" s="6" t="s">
        <v>26</v>
      </c>
      <c r="C110" s="115">
        <v>0.0</v>
      </c>
      <c r="D110" s="115">
        <v>62478.0</v>
      </c>
      <c r="E110" s="115">
        <v>1307.0</v>
      </c>
      <c r="F110" s="115">
        <v>59412.0</v>
      </c>
      <c r="G110" s="115">
        <v>1381.0</v>
      </c>
      <c r="H110" s="13">
        <v>45912.0</v>
      </c>
      <c r="I110" s="12" t="s">
        <v>59</v>
      </c>
    </row>
    <row r="111">
      <c r="A111" s="6" t="s">
        <v>50</v>
      </c>
      <c r="B111" s="6" t="s">
        <v>27</v>
      </c>
      <c r="C111" s="115">
        <v>0.0</v>
      </c>
      <c r="D111" s="115">
        <v>29191.0</v>
      </c>
      <c r="E111" s="115">
        <v>686.0</v>
      </c>
      <c r="F111" s="115">
        <v>27636.0</v>
      </c>
      <c r="G111" s="115">
        <v>625.0</v>
      </c>
      <c r="H111" s="13">
        <v>45912.0</v>
      </c>
      <c r="I111" s="12" t="s">
        <v>59</v>
      </c>
    </row>
    <row r="112">
      <c r="A112" s="6" t="s">
        <v>51</v>
      </c>
      <c r="B112" s="6" t="s">
        <v>29</v>
      </c>
      <c r="C112" s="115">
        <v>0.0</v>
      </c>
      <c r="D112" s="115">
        <v>142443.0</v>
      </c>
      <c r="E112" s="115">
        <v>3042.0</v>
      </c>
      <c r="F112" s="115">
        <v>130745.0</v>
      </c>
      <c r="G112" s="115">
        <v>3241.0</v>
      </c>
      <c r="H112" s="13">
        <v>45912.0</v>
      </c>
      <c r="I112" s="12" t="s">
        <v>59</v>
      </c>
    </row>
    <row r="113">
      <c r="A113" s="6" t="s">
        <v>51</v>
      </c>
      <c r="B113" s="6" t="s">
        <v>30</v>
      </c>
      <c r="C113" s="115">
        <v>0.0</v>
      </c>
      <c r="D113" s="115">
        <v>131526.0</v>
      </c>
      <c r="E113" s="115">
        <v>3222.0</v>
      </c>
      <c r="F113" s="115">
        <v>122873.0</v>
      </c>
      <c r="G113" s="115">
        <v>3596.0</v>
      </c>
      <c r="H113" s="13">
        <v>45912.0</v>
      </c>
      <c r="I113" s="12" t="s">
        <v>59</v>
      </c>
    </row>
    <row r="114">
      <c r="A114" s="6" t="s">
        <v>52</v>
      </c>
      <c r="B114" s="6" t="s">
        <v>52</v>
      </c>
      <c r="C114" s="115">
        <v>0.0</v>
      </c>
      <c r="D114" s="115">
        <v>3722.0</v>
      </c>
      <c r="E114" s="115">
        <v>85.0</v>
      </c>
      <c r="F114" s="115">
        <v>3174.0</v>
      </c>
      <c r="G114" s="115">
        <v>70.0</v>
      </c>
      <c r="H114" s="13">
        <v>45912.0</v>
      </c>
      <c r="I114" s="12" t="s">
        <v>59</v>
      </c>
    </row>
    <row r="115">
      <c r="A115" s="6" t="s">
        <v>47</v>
      </c>
      <c r="B115" s="6" t="s">
        <v>20</v>
      </c>
      <c r="C115" s="115">
        <v>316090.0</v>
      </c>
      <c r="D115" s="115">
        <v>580540.0</v>
      </c>
      <c r="E115" s="115">
        <v>15722.0</v>
      </c>
      <c r="F115" s="115">
        <v>536944.0</v>
      </c>
      <c r="G115" s="115">
        <v>48378.0</v>
      </c>
      <c r="H115" s="13">
        <v>45912.0</v>
      </c>
      <c r="I115" s="12" t="s">
        <v>60</v>
      </c>
    </row>
    <row r="116">
      <c r="A116" s="6" t="s">
        <v>47</v>
      </c>
      <c r="B116" s="6" t="s">
        <v>21</v>
      </c>
      <c r="C116" s="115">
        <v>159886.0</v>
      </c>
      <c r="D116" s="115">
        <v>378617.0</v>
      </c>
      <c r="E116" s="115">
        <v>8610.0</v>
      </c>
      <c r="F116" s="115">
        <v>355801.0</v>
      </c>
      <c r="G116" s="115">
        <v>18383.0</v>
      </c>
      <c r="H116" s="13">
        <v>45912.0</v>
      </c>
      <c r="I116" s="12" t="s">
        <v>60</v>
      </c>
    </row>
    <row r="117">
      <c r="A117" s="6" t="s">
        <v>47</v>
      </c>
      <c r="B117" s="6" t="s">
        <v>22</v>
      </c>
      <c r="C117" s="115">
        <v>117106.0</v>
      </c>
      <c r="D117" s="115">
        <v>212439.0</v>
      </c>
      <c r="E117" s="115">
        <v>5127.0</v>
      </c>
      <c r="F117" s="115">
        <v>201087.0</v>
      </c>
      <c r="G117" s="115">
        <v>10431.0</v>
      </c>
      <c r="H117" s="13">
        <v>45912.0</v>
      </c>
      <c r="I117" s="12" t="s">
        <v>60</v>
      </c>
    </row>
    <row r="118">
      <c r="A118" s="6" t="s">
        <v>49</v>
      </c>
      <c r="B118" s="6" t="s">
        <v>15</v>
      </c>
      <c r="C118" s="115">
        <v>80942.0</v>
      </c>
      <c r="D118" s="115">
        <v>171976.0</v>
      </c>
      <c r="E118" s="115">
        <v>3711.0</v>
      </c>
      <c r="F118" s="115">
        <v>151521.0</v>
      </c>
      <c r="G118" s="115">
        <v>11837.0</v>
      </c>
      <c r="H118" s="13">
        <v>45912.0</v>
      </c>
      <c r="I118" s="12" t="s">
        <v>60</v>
      </c>
    </row>
    <row r="119">
      <c r="A119" s="6" t="s">
        <v>49</v>
      </c>
      <c r="B119" s="6" t="s">
        <v>17</v>
      </c>
      <c r="C119" s="115">
        <v>90725.0</v>
      </c>
      <c r="D119" s="115">
        <v>157944.0</v>
      </c>
      <c r="E119" s="115">
        <v>3318.0</v>
      </c>
      <c r="F119" s="115">
        <v>148784.0</v>
      </c>
      <c r="G119" s="115">
        <v>9990.0</v>
      </c>
      <c r="H119" s="13">
        <v>45912.0</v>
      </c>
      <c r="I119" s="12" t="s">
        <v>60</v>
      </c>
    </row>
    <row r="120">
      <c r="A120" s="6" t="s">
        <v>49</v>
      </c>
      <c r="B120" s="6" t="s">
        <v>16</v>
      </c>
      <c r="C120" s="115">
        <v>255531.0</v>
      </c>
      <c r="D120" s="115">
        <v>326501.0</v>
      </c>
      <c r="E120" s="115">
        <v>7971.0</v>
      </c>
      <c r="F120" s="115">
        <v>305614.0</v>
      </c>
      <c r="G120" s="115">
        <v>15310.0</v>
      </c>
      <c r="H120" s="13">
        <v>45912.0</v>
      </c>
      <c r="I120" s="12" t="s">
        <v>60</v>
      </c>
    </row>
    <row r="121">
      <c r="A121" s="6" t="s">
        <v>49</v>
      </c>
      <c r="B121" s="6" t="s">
        <v>18</v>
      </c>
      <c r="C121" s="115">
        <v>62409.0</v>
      </c>
      <c r="D121" s="115">
        <v>153468.0</v>
      </c>
      <c r="E121" s="115">
        <v>3451.0</v>
      </c>
      <c r="F121" s="115">
        <v>140709.0</v>
      </c>
      <c r="G121" s="115">
        <v>10646.0</v>
      </c>
      <c r="H121" s="13">
        <v>45912.0</v>
      </c>
      <c r="I121" s="12" t="s">
        <v>60</v>
      </c>
    </row>
    <row r="122">
      <c r="A122" s="6" t="s">
        <v>19</v>
      </c>
      <c r="B122" s="6" t="s">
        <v>16</v>
      </c>
      <c r="C122" s="115">
        <v>0.0</v>
      </c>
      <c r="D122" s="115">
        <v>184.0</v>
      </c>
      <c r="E122" s="115">
        <v>5.0</v>
      </c>
      <c r="F122" s="115">
        <v>171.0</v>
      </c>
      <c r="G122" s="115">
        <v>5.0</v>
      </c>
      <c r="H122" s="13">
        <v>45912.0</v>
      </c>
      <c r="I122" s="12" t="s">
        <v>60</v>
      </c>
    </row>
    <row r="123">
      <c r="A123" s="6" t="s">
        <v>50</v>
      </c>
      <c r="B123" s="6" t="s">
        <v>24</v>
      </c>
      <c r="C123" s="115">
        <v>183947.0</v>
      </c>
      <c r="D123" s="115">
        <v>342881.0</v>
      </c>
      <c r="E123" s="115">
        <v>7109.0</v>
      </c>
      <c r="F123" s="115">
        <v>319624.0</v>
      </c>
      <c r="G123" s="115">
        <v>33444.0</v>
      </c>
      <c r="H123" s="13">
        <v>45912.0</v>
      </c>
      <c r="I123" s="12" t="s">
        <v>60</v>
      </c>
    </row>
    <row r="124">
      <c r="A124" s="6" t="s">
        <v>50</v>
      </c>
      <c r="B124" s="6" t="s">
        <v>25</v>
      </c>
      <c r="C124" s="115">
        <v>162139.0</v>
      </c>
      <c r="D124" s="115">
        <v>259872.0</v>
      </c>
      <c r="E124" s="115">
        <v>4862.0</v>
      </c>
      <c r="F124" s="115">
        <v>238391.0</v>
      </c>
      <c r="G124" s="115">
        <v>23167.0</v>
      </c>
      <c r="H124" s="13">
        <v>45912.0</v>
      </c>
      <c r="I124" s="12" t="s">
        <v>60</v>
      </c>
    </row>
    <row r="125">
      <c r="A125" s="6" t="s">
        <v>50</v>
      </c>
      <c r="B125" s="6" t="s">
        <v>26</v>
      </c>
      <c r="C125" s="115">
        <v>100343.0</v>
      </c>
      <c r="D125" s="115">
        <v>138819.0</v>
      </c>
      <c r="E125" s="115">
        <v>2582.0</v>
      </c>
      <c r="F125" s="115">
        <v>132126.0</v>
      </c>
      <c r="G125" s="115">
        <v>7356.0</v>
      </c>
      <c r="H125" s="13">
        <v>45912.0</v>
      </c>
      <c r="I125" s="12" t="s">
        <v>60</v>
      </c>
    </row>
    <row r="126">
      <c r="A126" s="6" t="s">
        <v>50</v>
      </c>
      <c r="B126" s="6" t="s">
        <v>27</v>
      </c>
      <c r="C126" s="115">
        <v>56316.0</v>
      </c>
      <c r="D126" s="115">
        <v>93069.0</v>
      </c>
      <c r="E126" s="115">
        <v>1914.0</v>
      </c>
      <c r="F126" s="115">
        <v>88707.0</v>
      </c>
      <c r="G126" s="115">
        <v>3707.0</v>
      </c>
      <c r="H126" s="13">
        <v>45912.0</v>
      </c>
      <c r="I126" s="12" t="s">
        <v>60</v>
      </c>
    </row>
    <row r="127">
      <c r="A127" s="6" t="s">
        <v>51</v>
      </c>
      <c r="B127" s="6" t="s">
        <v>29</v>
      </c>
      <c r="C127" s="115">
        <v>149421.0</v>
      </c>
      <c r="D127" s="115">
        <v>308499.0</v>
      </c>
      <c r="E127" s="115">
        <v>5934.0</v>
      </c>
      <c r="F127" s="115">
        <v>282870.0</v>
      </c>
      <c r="G127" s="115">
        <v>17582.0</v>
      </c>
      <c r="H127" s="13">
        <v>45912.0</v>
      </c>
      <c r="I127" s="12" t="s">
        <v>60</v>
      </c>
    </row>
    <row r="128">
      <c r="A128" s="6" t="s">
        <v>51</v>
      </c>
      <c r="B128" s="6" t="s">
        <v>30</v>
      </c>
      <c r="C128" s="115">
        <v>166862.0</v>
      </c>
      <c r="D128" s="115">
        <v>246554.0</v>
      </c>
      <c r="E128" s="115">
        <v>5457.0</v>
      </c>
      <c r="F128" s="115">
        <v>228860.0</v>
      </c>
      <c r="G128" s="115">
        <v>17775.0</v>
      </c>
      <c r="H128" s="13">
        <v>45912.0</v>
      </c>
      <c r="I128" s="12" t="s">
        <v>60</v>
      </c>
    </row>
    <row r="129">
      <c r="A129" s="6" t="s">
        <v>52</v>
      </c>
      <c r="B129" s="6" t="s">
        <v>52</v>
      </c>
      <c r="C129" s="115">
        <v>0.0</v>
      </c>
      <c r="D129" s="115">
        <v>9115.0</v>
      </c>
      <c r="E129" s="115">
        <v>182.0</v>
      </c>
      <c r="F129" s="115">
        <v>8039.0</v>
      </c>
      <c r="G129" s="115">
        <v>271.0</v>
      </c>
      <c r="H129" s="13">
        <v>45912.0</v>
      </c>
      <c r="I129" s="12" t="s">
        <v>60</v>
      </c>
    </row>
    <row r="130">
      <c r="A130" s="6" t="s">
        <v>47</v>
      </c>
      <c r="B130" s="6" t="s">
        <v>20</v>
      </c>
      <c r="C130" s="115">
        <v>0.0</v>
      </c>
      <c r="D130" s="115">
        <v>765498.0</v>
      </c>
      <c r="E130" s="115">
        <v>19312.0</v>
      </c>
      <c r="F130" s="115">
        <v>704701.0</v>
      </c>
      <c r="G130" s="115">
        <v>134144.0</v>
      </c>
      <c r="H130" s="13">
        <v>45912.0</v>
      </c>
      <c r="I130" s="12" t="s">
        <v>61</v>
      </c>
    </row>
    <row r="131">
      <c r="A131" s="6" t="s">
        <v>47</v>
      </c>
      <c r="B131" s="6" t="s">
        <v>21</v>
      </c>
      <c r="C131" s="115">
        <v>0.0</v>
      </c>
      <c r="D131" s="115">
        <v>497347.0</v>
      </c>
      <c r="E131" s="115">
        <v>10741.0</v>
      </c>
      <c r="F131" s="115">
        <v>463745.0</v>
      </c>
      <c r="G131" s="115">
        <v>58754.0</v>
      </c>
      <c r="H131" s="13">
        <v>45912.0</v>
      </c>
      <c r="I131" s="12" t="s">
        <v>61</v>
      </c>
    </row>
    <row r="132">
      <c r="A132" s="6" t="s">
        <v>47</v>
      </c>
      <c r="B132" s="6" t="s">
        <v>22</v>
      </c>
      <c r="C132" s="115">
        <v>0.0</v>
      </c>
      <c r="D132" s="115">
        <v>284531.0</v>
      </c>
      <c r="E132" s="115">
        <v>6403.0</v>
      </c>
      <c r="F132" s="115">
        <v>267600.0</v>
      </c>
      <c r="G132" s="115">
        <v>32270.0</v>
      </c>
      <c r="H132" s="13">
        <v>45912.0</v>
      </c>
      <c r="I132" s="12" t="s">
        <v>61</v>
      </c>
    </row>
    <row r="133">
      <c r="A133" s="6" t="s">
        <v>49</v>
      </c>
      <c r="B133" s="6" t="s">
        <v>15</v>
      </c>
      <c r="C133" s="115">
        <v>0.0</v>
      </c>
      <c r="D133" s="115">
        <v>204143.0</v>
      </c>
      <c r="E133" s="115">
        <v>4353.0</v>
      </c>
      <c r="F133" s="115">
        <v>178374.0</v>
      </c>
      <c r="G133" s="115">
        <v>29416.0</v>
      </c>
      <c r="H133" s="13">
        <v>45912.0</v>
      </c>
      <c r="I133" s="12" t="s">
        <v>61</v>
      </c>
    </row>
    <row r="134">
      <c r="A134" s="6" t="s">
        <v>49</v>
      </c>
      <c r="B134" s="6" t="s">
        <v>17</v>
      </c>
      <c r="C134" s="115">
        <v>0.0</v>
      </c>
      <c r="D134" s="115">
        <v>235206.0</v>
      </c>
      <c r="E134" s="115">
        <v>4580.0</v>
      </c>
      <c r="F134" s="115">
        <v>219499.0</v>
      </c>
      <c r="G134" s="115">
        <v>29430.0</v>
      </c>
      <c r="H134" s="13">
        <v>45912.0</v>
      </c>
      <c r="I134" s="12" t="s">
        <v>61</v>
      </c>
    </row>
    <row r="135">
      <c r="A135" s="6" t="s">
        <v>49</v>
      </c>
      <c r="B135" s="6" t="s">
        <v>16</v>
      </c>
      <c r="C135" s="115">
        <v>0.0</v>
      </c>
      <c r="D135" s="115">
        <v>466390.0</v>
      </c>
      <c r="E135" s="115">
        <v>10568.0</v>
      </c>
      <c r="F135" s="115">
        <v>435192.0</v>
      </c>
      <c r="G135" s="115">
        <v>48308.0</v>
      </c>
      <c r="H135" s="13">
        <v>45912.0</v>
      </c>
      <c r="I135" s="12" t="s">
        <v>61</v>
      </c>
    </row>
    <row r="136">
      <c r="A136" s="6" t="s">
        <v>49</v>
      </c>
      <c r="B136" s="6" t="s">
        <v>18</v>
      </c>
      <c r="C136" s="115">
        <v>0.0</v>
      </c>
      <c r="D136" s="115">
        <v>208703.0</v>
      </c>
      <c r="E136" s="115">
        <v>4490.0</v>
      </c>
      <c r="F136" s="115">
        <v>189856.0</v>
      </c>
      <c r="G136" s="115">
        <v>30390.0</v>
      </c>
      <c r="H136" s="13">
        <v>45912.0</v>
      </c>
      <c r="I136" s="12" t="s">
        <v>61</v>
      </c>
    </row>
    <row r="137">
      <c r="A137" s="6" t="s">
        <v>19</v>
      </c>
      <c r="B137" s="6" t="s">
        <v>16</v>
      </c>
      <c r="C137" s="115">
        <v>0.0</v>
      </c>
      <c r="D137" s="115">
        <v>184.0</v>
      </c>
      <c r="E137" s="115">
        <v>5.0</v>
      </c>
      <c r="F137" s="115">
        <v>171.0</v>
      </c>
      <c r="G137" s="115">
        <v>34.0</v>
      </c>
      <c r="H137" s="13">
        <v>45912.0</v>
      </c>
      <c r="I137" s="12" t="s">
        <v>61</v>
      </c>
    </row>
    <row r="138">
      <c r="A138" s="6" t="s">
        <v>50</v>
      </c>
      <c r="B138" s="6" t="s">
        <v>24</v>
      </c>
      <c r="C138" s="115">
        <v>0.0</v>
      </c>
      <c r="D138" s="115">
        <v>438711.0</v>
      </c>
      <c r="E138" s="115">
        <v>8702.0</v>
      </c>
      <c r="F138" s="115">
        <v>406205.0</v>
      </c>
      <c r="G138" s="115">
        <v>73770.0</v>
      </c>
      <c r="H138" s="13">
        <v>45912.0</v>
      </c>
      <c r="I138" s="12" t="s">
        <v>61</v>
      </c>
    </row>
    <row r="139">
      <c r="A139" s="6" t="s">
        <v>50</v>
      </c>
      <c r="B139" s="6" t="s">
        <v>25</v>
      </c>
      <c r="C139" s="115">
        <v>0.0</v>
      </c>
      <c r="D139" s="115">
        <v>324732.0</v>
      </c>
      <c r="E139" s="115">
        <v>5906.0</v>
      </c>
      <c r="F139" s="115">
        <v>296673.0</v>
      </c>
      <c r="G139" s="115">
        <v>54997.0</v>
      </c>
      <c r="H139" s="13">
        <v>45912.0</v>
      </c>
      <c r="I139" s="12" t="s">
        <v>61</v>
      </c>
    </row>
    <row r="140">
      <c r="A140" s="6" t="s">
        <v>50</v>
      </c>
      <c r="B140" s="6" t="s">
        <v>26</v>
      </c>
      <c r="C140" s="115">
        <v>0.0</v>
      </c>
      <c r="D140" s="115">
        <v>242206.0</v>
      </c>
      <c r="E140" s="115">
        <v>4178.0</v>
      </c>
      <c r="F140" s="115">
        <v>230387.0</v>
      </c>
      <c r="G140" s="115">
        <v>23655.0</v>
      </c>
      <c r="H140" s="13">
        <v>45912.0</v>
      </c>
      <c r="I140" s="12" t="s">
        <v>61</v>
      </c>
    </row>
    <row r="141">
      <c r="A141" s="6" t="s">
        <v>50</v>
      </c>
      <c r="B141" s="6" t="s">
        <v>27</v>
      </c>
      <c r="C141" s="115">
        <v>0.0</v>
      </c>
      <c r="D141" s="115">
        <v>183611.0</v>
      </c>
      <c r="E141" s="115">
        <v>3438.0</v>
      </c>
      <c r="F141" s="115">
        <v>174538.0</v>
      </c>
      <c r="G141" s="115">
        <v>15342.0</v>
      </c>
      <c r="H141" s="13">
        <v>45912.0</v>
      </c>
      <c r="I141" s="12" t="s">
        <v>61</v>
      </c>
    </row>
    <row r="142">
      <c r="A142" s="6" t="s">
        <v>51</v>
      </c>
      <c r="B142" s="6" t="s">
        <v>29</v>
      </c>
      <c r="C142" s="115">
        <v>0.0</v>
      </c>
      <c r="D142" s="115">
        <v>439084.0</v>
      </c>
      <c r="E142" s="115">
        <v>8041.0</v>
      </c>
      <c r="F142" s="115">
        <v>401045.0</v>
      </c>
      <c r="G142" s="115">
        <v>51898.0</v>
      </c>
      <c r="H142" s="13">
        <v>45912.0</v>
      </c>
      <c r="I142" s="12" t="s">
        <v>61</v>
      </c>
    </row>
    <row r="143">
      <c r="A143" s="6" t="s">
        <v>51</v>
      </c>
      <c r="B143" s="6" t="s">
        <v>30</v>
      </c>
      <c r="C143" s="115">
        <v>0.0</v>
      </c>
      <c r="D143" s="115">
        <v>344727.0</v>
      </c>
      <c r="E143" s="115">
        <v>7207.0</v>
      </c>
      <c r="F143" s="115">
        <v>317311.0</v>
      </c>
      <c r="G143" s="115">
        <v>51046.0</v>
      </c>
      <c r="H143" s="13">
        <v>45912.0</v>
      </c>
      <c r="I143" s="12" t="s">
        <v>61</v>
      </c>
    </row>
    <row r="144">
      <c r="A144" s="6" t="s">
        <v>52</v>
      </c>
      <c r="B144" s="6" t="s">
        <v>52</v>
      </c>
      <c r="C144" s="115">
        <v>0.0</v>
      </c>
      <c r="D144" s="115">
        <v>12935.0</v>
      </c>
      <c r="E144" s="115">
        <v>250.0</v>
      </c>
      <c r="F144" s="115">
        <v>11621.0</v>
      </c>
      <c r="G144" s="115">
        <v>975.0</v>
      </c>
      <c r="H144" s="13">
        <v>45912.0</v>
      </c>
      <c r="I144" s="12" t="s">
        <v>61</v>
      </c>
    </row>
    <row r="145">
      <c r="A145" s="6" t="s">
        <v>47</v>
      </c>
      <c r="B145" s="6" t="s">
        <v>20</v>
      </c>
      <c r="C145" s="115">
        <v>0.0</v>
      </c>
      <c r="D145" s="115">
        <v>853647.0</v>
      </c>
      <c r="E145" s="115">
        <v>20879.0</v>
      </c>
      <c r="F145" s="115">
        <v>783884.0</v>
      </c>
      <c r="G145" s="115">
        <v>249795.0</v>
      </c>
      <c r="H145" s="13">
        <v>45912.0</v>
      </c>
      <c r="I145" s="12" t="s">
        <v>62</v>
      </c>
    </row>
    <row r="146">
      <c r="A146" s="6" t="s">
        <v>47</v>
      </c>
      <c r="B146" s="6" t="s">
        <v>21</v>
      </c>
      <c r="C146" s="115">
        <v>0.0</v>
      </c>
      <c r="D146" s="115">
        <v>545613.0</v>
      </c>
      <c r="E146" s="115">
        <v>11487.0</v>
      </c>
      <c r="F146" s="115">
        <v>505306.0</v>
      </c>
      <c r="G146" s="115">
        <v>118738.0</v>
      </c>
      <c r="H146" s="13">
        <v>45912.0</v>
      </c>
      <c r="I146" s="12" t="s">
        <v>62</v>
      </c>
    </row>
    <row r="147">
      <c r="A147" s="6" t="s">
        <v>47</v>
      </c>
      <c r="B147" s="6" t="s">
        <v>22</v>
      </c>
      <c r="C147" s="115">
        <v>0.0</v>
      </c>
      <c r="D147" s="115">
        <v>324770.0</v>
      </c>
      <c r="E147" s="115">
        <v>7100.0</v>
      </c>
      <c r="F147" s="115">
        <v>303920.0</v>
      </c>
      <c r="G147" s="115">
        <v>65880.0</v>
      </c>
      <c r="H147" s="13">
        <v>45912.0</v>
      </c>
      <c r="I147" s="12" t="s">
        <v>62</v>
      </c>
    </row>
    <row r="148">
      <c r="A148" s="6" t="s">
        <v>49</v>
      </c>
      <c r="B148" s="6" t="s">
        <v>15</v>
      </c>
      <c r="C148" s="115">
        <v>0.0</v>
      </c>
      <c r="D148" s="115">
        <v>220523.0</v>
      </c>
      <c r="E148" s="115">
        <v>4666.0</v>
      </c>
      <c r="F148" s="115">
        <v>192177.0</v>
      </c>
      <c r="G148" s="115">
        <v>51684.0</v>
      </c>
      <c r="H148" s="13">
        <v>45912.0</v>
      </c>
      <c r="I148" s="12" t="s">
        <v>62</v>
      </c>
    </row>
    <row r="149">
      <c r="A149" s="6" t="s">
        <v>49</v>
      </c>
      <c r="B149" s="6" t="s">
        <v>17</v>
      </c>
      <c r="C149" s="115">
        <v>0.0</v>
      </c>
      <c r="D149" s="115">
        <v>276092.0</v>
      </c>
      <c r="E149" s="115">
        <v>5184.0</v>
      </c>
      <c r="F149" s="115">
        <v>256379.0</v>
      </c>
      <c r="G149" s="115">
        <v>59114.0</v>
      </c>
      <c r="H149" s="13">
        <v>45912.0</v>
      </c>
      <c r="I149" s="12" t="s">
        <v>62</v>
      </c>
    </row>
    <row r="150">
      <c r="A150" s="6" t="s">
        <v>49</v>
      </c>
      <c r="B150" s="6" t="s">
        <v>16</v>
      </c>
      <c r="C150" s="115">
        <v>0.0</v>
      </c>
      <c r="D150" s="115">
        <v>535221.0</v>
      </c>
      <c r="E150" s="115">
        <v>11793.0</v>
      </c>
      <c r="F150" s="115">
        <v>496913.0</v>
      </c>
      <c r="G150" s="115">
        <v>102878.0</v>
      </c>
      <c r="H150" s="13">
        <v>45912.0</v>
      </c>
      <c r="I150" s="12" t="s">
        <v>62</v>
      </c>
    </row>
    <row r="151">
      <c r="A151" s="6" t="s">
        <v>49</v>
      </c>
      <c r="B151" s="6" t="s">
        <v>18</v>
      </c>
      <c r="C151" s="115">
        <v>0.0</v>
      </c>
      <c r="D151" s="115">
        <v>234555.0</v>
      </c>
      <c r="E151" s="115">
        <v>4923.0</v>
      </c>
      <c r="F151" s="115">
        <v>211879.0</v>
      </c>
      <c r="G151" s="115">
        <v>58389.0</v>
      </c>
      <c r="H151" s="13">
        <v>45912.0</v>
      </c>
      <c r="I151" s="12" t="s">
        <v>62</v>
      </c>
    </row>
    <row r="152">
      <c r="A152" s="6" t="s">
        <v>19</v>
      </c>
      <c r="B152" s="6" t="s">
        <v>16</v>
      </c>
      <c r="C152" s="115">
        <v>0.0</v>
      </c>
      <c r="D152" s="115">
        <v>184.0</v>
      </c>
      <c r="E152" s="115">
        <v>5.0</v>
      </c>
      <c r="F152" s="115">
        <v>171.0</v>
      </c>
      <c r="G152" s="115">
        <v>48.0</v>
      </c>
      <c r="H152" s="13">
        <v>45912.0</v>
      </c>
      <c r="I152" s="12" t="s">
        <v>62</v>
      </c>
    </row>
    <row r="153">
      <c r="A153" s="6" t="s">
        <v>19</v>
      </c>
      <c r="B153" s="6" t="s">
        <v>18</v>
      </c>
      <c r="C153" s="115">
        <v>0.0</v>
      </c>
      <c r="D153" s="115">
        <v>39.0</v>
      </c>
      <c r="E153" s="115">
        <v>2.0</v>
      </c>
      <c r="F153" s="115">
        <v>38.0</v>
      </c>
      <c r="G153" s="115">
        <v>4.0</v>
      </c>
      <c r="H153" s="13">
        <v>45912.0</v>
      </c>
      <c r="I153" s="12" t="s">
        <v>62</v>
      </c>
    </row>
    <row r="154">
      <c r="A154" s="6" t="s">
        <v>50</v>
      </c>
      <c r="B154" s="6" t="s">
        <v>24</v>
      </c>
      <c r="C154" s="115">
        <v>0.0</v>
      </c>
      <c r="D154" s="115">
        <v>479293.0</v>
      </c>
      <c r="E154" s="115">
        <v>9322.0</v>
      </c>
      <c r="F154" s="115">
        <v>440314.0</v>
      </c>
      <c r="G154" s="115">
        <v>123374.0</v>
      </c>
      <c r="H154" s="13">
        <v>45912.0</v>
      </c>
      <c r="I154" s="12" t="s">
        <v>62</v>
      </c>
    </row>
    <row r="155">
      <c r="A155" s="6" t="s">
        <v>50</v>
      </c>
      <c r="B155" s="6" t="s">
        <v>25</v>
      </c>
      <c r="C155" s="115">
        <v>0.0</v>
      </c>
      <c r="D155" s="115">
        <v>359503.0</v>
      </c>
      <c r="E155" s="115">
        <v>6459.0</v>
      </c>
      <c r="F155" s="115">
        <v>328090.0</v>
      </c>
      <c r="G155" s="115">
        <v>94639.0</v>
      </c>
      <c r="H155" s="13">
        <v>45912.0</v>
      </c>
      <c r="I155" s="12" t="s">
        <v>62</v>
      </c>
    </row>
    <row r="156">
      <c r="A156" s="6" t="s">
        <v>50</v>
      </c>
      <c r="B156" s="6" t="s">
        <v>26</v>
      </c>
      <c r="C156" s="115">
        <v>0.0</v>
      </c>
      <c r="D156" s="115">
        <v>308954.0</v>
      </c>
      <c r="E156" s="115">
        <v>5090.0</v>
      </c>
      <c r="F156" s="115">
        <v>292536.0</v>
      </c>
      <c r="G156" s="115">
        <v>52079.0</v>
      </c>
      <c r="H156" s="13">
        <v>45912.0</v>
      </c>
      <c r="I156" s="12" t="s">
        <v>62</v>
      </c>
    </row>
    <row r="157">
      <c r="A157" s="6" t="s">
        <v>50</v>
      </c>
      <c r="B157" s="6" t="s">
        <v>27</v>
      </c>
      <c r="C157" s="115">
        <v>0.0</v>
      </c>
      <c r="D157" s="115">
        <v>238354.0</v>
      </c>
      <c r="E157" s="115">
        <v>4271.0</v>
      </c>
      <c r="F157" s="115">
        <v>224695.0</v>
      </c>
      <c r="G157" s="115">
        <v>39715.0</v>
      </c>
      <c r="H157" s="13">
        <v>45912.0</v>
      </c>
      <c r="I157" s="12" t="s">
        <v>62</v>
      </c>
    </row>
    <row r="158">
      <c r="A158" s="6" t="s">
        <v>51</v>
      </c>
      <c r="B158" s="6" t="s">
        <v>29</v>
      </c>
      <c r="C158" s="115">
        <v>0.0</v>
      </c>
      <c r="D158" s="115">
        <v>518879.0</v>
      </c>
      <c r="E158" s="115">
        <v>9271.0</v>
      </c>
      <c r="F158" s="115">
        <v>473493.0</v>
      </c>
      <c r="G158" s="115">
        <v>102271.0</v>
      </c>
      <c r="H158" s="13">
        <v>45912.0</v>
      </c>
      <c r="I158" s="12" t="s">
        <v>62</v>
      </c>
    </row>
    <row r="159">
      <c r="A159" s="6" t="s">
        <v>51</v>
      </c>
      <c r="B159" s="6" t="s">
        <v>30</v>
      </c>
      <c r="C159" s="115">
        <v>0.0</v>
      </c>
      <c r="D159" s="115">
        <v>398151.0</v>
      </c>
      <c r="E159" s="115">
        <v>8048.0</v>
      </c>
      <c r="F159" s="115">
        <v>364188.0</v>
      </c>
      <c r="G159" s="115">
        <v>99019.0</v>
      </c>
      <c r="H159" s="13">
        <v>45912.0</v>
      </c>
      <c r="I159" s="12" t="s">
        <v>62</v>
      </c>
    </row>
    <row r="160">
      <c r="A160" s="6" t="s">
        <v>52</v>
      </c>
      <c r="B160" s="6" t="s">
        <v>52</v>
      </c>
      <c r="C160" s="115">
        <v>0.0</v>
      </c>
      <c r="D160" s="115">
        <v>15288.0</v>
      </c>
      <c r="E160" s="115">
        <v>304.0</v>
      </c>
      <c r="F160" s="115">
        <v>13864.0</v>
      </c>
      <c r="G160" s="115">
        <v>2215.0</v>
      </c>
      <c r="H160" s="13">
        <v>45912.0</v>
      </c>
      <c r="I160" s="12" t="s">
        <v>62</v>
      </c>
    </row>
    <row r="161">
      <c r="A161" s="6" t="s">
        <v>47</v>
      </c>
      <c r="B161" s="6" t="s">
        <v>20</v>
      </c>
      <c r="C161" s="115">
        <v>762724.0</v>
      </c>
      <c r="D161" s="115">
        <v>897539.0</v>
      </c>
      <c r="E161" s="115">
        <v>21581.0</v>
      </c>
      <c r="F161" s="115">
        <v>822146.0</v>
      </c>
      <c r="G161" s="115">
        <v>362084.0</v>
      </c>
      <c r="H161" s="13">
        <v>45912.0</v>
      </c>
      <c r="I161" s="12" t="s">
        <v>48</v>
      </c>
    </row>
    <row r="162">
      <c r="A162" s="6" t="s">
        <v>47</v>
      </c>
      <c r="B162" s="6" t="s">
        <v>21</v>
      </c>
      <c r="C162" s="115">
        <v>446891.0</v>
      </c>
      <c r="D162" s="115">
        <v>563520.0</v>
      </c>
      <c r="E162" s="115">
        <v>11748.0</v>
      </c>
      <c r="F162" s="115">
        <v>519974.0</v>
      </c>
      <c r="G162" s="115">
        <v>181096.0</v>
      </c>
      <c r="H162" s="13">
        <v>45912.0</v>
      </c>
      <c r="I162" s="12" t="s">
        <v>48</v>
      </c>
    </row>
    <row r="163">
      <c r="A163" s="6" t="s">
        <v>47</v>
      </c>
      <c r="B163" s="6" t="s">
        <v>22</v>
      </c>
      <c r="C163" s="115">
        <v>282875.0</v>
      </c>
      <c r="D163" s="115">
        <v>346613.0</v>
      </c>
      <c r="E163" s="115">
        <v>7417.0</v>
      </c>
      <c r="F163" s="115">
        <v>323434.0</v>
      </c>
      <c r="G163" s="115">
        <v>102620.0</v>
      </c>
      <c r="H163" s="13">
        <v>45912.0</v>
      </c>
      <c r="I163" s="12" t="s">
        <v>48</v>
      </c>
    </row>
    <row r="164">
      <c r="A164" s="6" t="s">
        <v>49</v>
      </c>
      <c r="B164" s="6" t="s">
        <v>15</v>
      </c>
      <c r="C164" s="115">
        <v>120712.0</v>
      </c>
      <c r="D164" s="115">
        <v>230866.0</v>
      </c>
      <c r="E164" s="115">
        <v>4856.0</v>
      </c>
      <c r="F164" s="115">
        <v>201234.0</v>
      </c>
      <c r="G164" s="115">
        <v>72740.0</v>
      </c>
      <c r="H164" s="13">
        <v>45912.0</v>
      </c>
      <c r="I164" s="12" t="s">
        <v>48</v>
      </c>
    </row>
    <row r="165">
      <c r="A165" s="6" t="s">
        <v>49</v>
      </c>
      <c r="B165" s="6" t="s">
        <v>17</v>
      </c>
      <c r="C165" s="115">
        <v>165107.0</v>
      </c>
      <c r="D165" s="115">
        <v>291299.0</v>
      </c>
      <c r="E165" s="115">
        <v>5396.0</v>
      </c>
      <c r="F165" s="115">
        <v>269641.0</v>
      </c>
      <c r="G165" s="115">
        <v>91376.0</v>
      </c>
      <c r="H165" s="13">
        <v>45912.0</v>
      </c>
      <c r="I165" s="12" t="s">
        <v>48</v>
      </c>
    </row>
    <row r="166">
      <c r="A166" s="6" t="s">
        <v>49</v>
      </c>
      <c r="B166" s="6" t="s">
        <v>16</v>
      </c>
      <c r="C166" s="115">
        <v>458843.0</v>
      </c>
      <c r="D166" s="115">
        <v>565354.0</v>
      </c>
      <c r="E166" s="115">
        <v>12344.0</v>
      </c>
      <c r="F166" s="115">
        <v>523295.0</v>
      </c>
      <c r="G166" s="115">
        <v>162763.0</v>
      </c>
      <c r="H166" s="13">
        <v>45912.0</v>
      </c>
      <c r="I166" s="12" t="s">
        <v>48</v>
      </c>
    </row>
    <row r="167">
      <c r="A167" s="6" t="s">
        <v>49</v>
      </c>
      <c r="B167" s="6" t="s">
        <v>18</v>
      </c>
      <c r="C167" s="115">
        <v>152280.0</v>
      </c>
      <c r="D167" s="115">
        <v>242933.0</v>
      </c>
      <c r="E167" s="115">
        <v>5063.0</v>
      </c>
      <c r="F167" s="115">
        <v>219073.0</v>
      </c>
      <c r="G167" s="115">
        <v>86536.0</v>
      </c>
      <c r="H167" s="13">
        <v>45912.0</v>
      </c>
      <c r="I167" s="12" t="s">
        <v>48</v>
      </c>
    </row>
    <row r="168">
      <c r="A168" s="6" t="s">
        <v>19</v>
      </c>
      <c r="B168" s="6" t="s">
        <v>16</v>
      </c>
      <c r="C168" s="115">
        <v>137.0</v>
      </c>
      <c r="D168" s="115">
        <v>184.0</v>
      </c>
      <c r="E168" s="115">
        <v>5.0</v>
      </c>
      <c r="F168" s="115">
        <v>171.0</v>
      </c>
      <c r="G168" s="115">
        <v>67.0</v>
      </c>
      <c r="H168" s="13">
        <v>45912.0</v>
      </c>
      <c r="I168" s="12" t="s">
        <v>48</v>
      </c>
    </row>
    <row r="169">
      <c r="A169" s="6" t="s">
        <v>19</v>
      </c>
      <c r="B169" s="6" t="s">
        <v>18</v>
      </c>
      <c r="C169" s="115">
        <v>0.0</v>
      </c>
      <c r="D169" s="115">
        <v>139.0</v>
      </c>
      <c r="E169" s="115">
        <v>3.0</v>
      </c>
      <c r="F169" s="115">
        <v>138.0</v>
      </c>
      <c r="G169" s="115">
        <v>5.0</v>
      </c>
      <c r="H169" s="13">
        <v>45912.0</v>
      </c>
      <c r="I169" s="12" t="s">
        <v>48</v>
      </c>
    </row>
    <row r="170">
      <c r="A170" s="6" t="s">
        <v>50</v>
      </c>
      <c r="B170" s="6" t="s">
        <v>24</v>
      </c>
      <c r="C170" s="115">
        <v>337922.0</v>
      </c>
      <c r="D170" s="115">
        <v>491388.0</v>
      </c>
      <c r="E170" s="115">
        <v>9510.0</v>
      </c>
      <c r="F170" s="115">
        <v>449838.0</v>
      </c>
      <c r="G170" s="115">
        <v>170720.0</v>
      </c>
      <c r="H170" s="13">
        <v>45912.0</v>
      </c>
      <c r="I170" s="12" t="s">
        <v>48</v>
      </c>
    </row>
    <row r="171">
      <c r="A171" s="6" t="s">
        <v>50</v>
      </c>
      <c r="B171" s="6" t="s">
        <v>25</v>
      </c>
      <c r="C171" s="115">
        <v>308321.0</v>
      </c>
      <c r="D171" s="115">
        <v>380499.0</v>
      </c>
      <c r="E171" s="115">
        <v>6781.0</v>
      </c>
      <c r="F171" s="115">
        <v>346850.0</v>
      </c>
      <c r="G171" s="115">
        <v>134375.0</v>
      </c>
      <c r="H171" s="13">
        <v>45912.0</v>
      </c>
      <c r="I171" s="12" t="s">
        <v>48</v>
      </c>
    </row>
    <row r="172">
      <c r="A172" s="6" t="s">
        <v>50</v>
      </c>
      <c r="B172" s="6" t="s">
        <v>26</v>
      </c>
      <c r="C172" s="115">
        <v>269956.0</v>
      </c>
      <c r="D172" s="115">
        <v>343168.0</v>
      </c>
      <c r="E172" s="115">
        <v>5535.0</v>
      </c>
      <c r="F172" s="115">
        <v>323828.0</v>
      </c>
      <c r="G172" s="115">
        <v>87496.0</v>
      </c>
      <c r="H172" s="13">
        <v>45912.0</v>
      </c>
      <c r="I172" s="12" t="s">
        <v>48</v>
      </c>
    </row>
    <row r="173">
      <c r="A173" s="6" t="s">
        <v>50</v>
      </c>
      <c r="B173" s="6" t="s">
        <v>27</v>
      </c>
      <c r="C173" s="115">
        <v>204548.0</v>
      </c>
      <c r="D173" s="115">
        <v>259439.0</v>
      </c>
      <c r="E173" s="115">
        <v>4525.0</v>
      </c>
      <c r="F173" s="115">
        <v>243835.0</v>
      </c>
      <c r="G173" s="115">
        <v>70998.0</v>
      </c>
      <c r="H173" s="13">
        <v>45912.0</v>
      </c>
      <c r="I173" s="12" t="s">
        <v>48</v>
      </c>
    </row>
    <row r="174">
      <c r="A174" s="6" t="s">
        <v>51</v>
      </c>
      <c r="B174" s="6" t="s">
        <v>29</v>
      </c>
      <c r="C174" s="115">
        <v>335671.0</v>
      </c>
      <c r="D174" s="115">
        <v>554836.0</v>
      </c>
      <c r="E174" s="115">
        <v>9822.0</v>
      </c>
      <c r="F174" s="115">
        <v>505877.0</v>
      </c>
      <c r="G174" s="115">
        <v>158251.0</v>
      </c>
      <c r="H174" s="13">
        <v>45912.0</v>
      </c>
      <c r="I174" s="12" t="s">
        <v>48</v>
      </c>
    </row>
    <row r="175">
      <c r="A175" s="6" t="s">
        <v>51</v>
      </c>
      <c r="B175" s="6" t="s">
        <v>30</v>
      </c>
      <c r="C175" s="115">
        <v>305584.0</v>
      </c>
      <c r="D175" s="115">
        <v>421728.0</v>
      </c>
      <c r="E175" s="115">
        <v>8381.0</v>
      </c>
      <c r="F175" s="115">
        <v>384723.0</v>
      </c>
      <c r="G175" s="115">
        <v>148105.0</v>
      </c>
      <c r="H175" s="13">
        <v>45912.0</v>
      </c>
      <c r="I175" s="12" t="s">
        <v>48</v>
      </c>
    </row>
    <row r="176">
      <c r="A176" s="6" t="s">
        <v>52</v>
      </c>
      <c r="B176" s="6" t="s">
        <v>52</v>
      </c>
      <c r="C176" s="115">
        <v>0.0</v>
      </c>
      <c r="D176" s="115">
        <v>17180.0</v>
      </c>
      <c r="E176" s="115">
        <v>344.0</v>
      </c>
      <c r="F176" s="115">
        <v>15495.0</v>
      </c>
      <c r="G176" s="115">
        <v>3830.0</v>
      </c>
      <c r="H176" s="13">
        <v>45912.0</v>
      </c>
      <c r="I176" s="12" t="s">
        <v>48</v>
      </c>
    </row>
    <row r="177">
      <c r="A177" s="6" t="s">
        <v>47</v>
      </c>
      <c r="B177" s="6" t="s">
        <v>20</v>
      </c>
      <c r="C177" s="115">
        <v>0.0</v>
      </c>
      <c r="D177" s="115">
        <v>919760.0</v>
      </c>
      <c r="E177" s="115">
        <v>21940.0</v>
      </c>
      <c r="F177" s="115">
        <v>841122.0</v>
      </c>
      <c r="G177" s="115">
        <v>463040.0</v>
      </c>
      <c r="H177" s="13">
        <v>45912.0</v>
      </c>
      <c r="I177" s="12" t="s">
        <v>63</v>
      </c>
    </row>
    <row r="178">
      <c r="A178" s="6" t="s">
        <v>47</v>
      </c>
      <c r="B178" s="6" t="s">
        <v>21</v>
      </c>
      <c r="C178" s="115">
        <v>0.0</v>
      </c>
      <c r="D178" s="115">
        <v>573492.0</v>
      </c>
      <c r="E178" s="115">
        <v>11902.0</v>
      </c>
      <c r="F178" s="115">
        <v>528687.0</v>
      </c>
      <c r="G178" s="115">
        <v>238261.0</v>
      </c>
      <c r="H178" s="13">
        <v>45912.0</v>
      </c>
      <c r="I178" s="12" t="s">
        <v>63</v>
      </c>
    </row>
    <row r="179">
      <c r="A179" s="6" t="s">
        <v>47</v>
      </c>
      <c r="B179" s="6" t="s">
        <v>22</v>
      </c>
      <c r="C179" s="115">
        <v>0.0</v>
      </c>
      <c r="D179" s="115">
        <v>360844.0</v>
      </c>
      <c r="E179" s="115">
        <v>7613.0</v>
      </c>
      <c r="F179" s="115">
        <v>335914.0</v>
      </c>
      <c r="G179" s="115">
        <v>140087.0</v>
      </c>
      <c r="H179" s="13">
        <v>45912.0</v>
      </c>
      <c r="I179" s="12" t="s">
        <v>63</v>
      </c>
    </row>
    <row r="180">
      <c r="A180" s="6" t="s">
        <v>49</v>
      </c>
      <c r="B180" s="6" t="s">
        <v>15</v>
      </c>
      <c r="C180" s="115">
        <v>0.0</v>
      </c>
      <c r="D180" s="115">
        <v>240743.0</v>
      </c>
      <c r="E180" s="115">
        <v>5057.0</v>
      </c>
      <c r="F180" s="115">
        <v>210408.0</v>
      </c>
      <c r="G180" s="115">
        <v>91415.0</v>
      </c>
      <c r="H180" s="13">
        <v>45912.0</v>
      </c>
      <c r="I180" s="12" t="s">
        <v>63</v>
      </c>
    </row>
    <row r="181">
      <c r="A181" s="6" t="s">
        <v>49</v>
      </c>
      <c r="B181" s="6" t="s">
        <v>17</v>
      </c>
      <c r="C181" s="115">
        <v>0.0</v>
      </c>
      <c r="D181" s="115">
        <v>298298.0</v>
      </c>
      <c r="E181" s="115">
        <v>5525.0</v>
      </c>
      <c r="F181" s="115">
        <v>275812.0</v>
      </c>
      <c r="G181" s="115">
        <v>121615.0</v>
      </c>
      <c r="H181" s="13">
        <v>45912.0</v>
      </c>
      <c r="I181" s="12" t="s">
        <v>63</v>
      </c>
    </row>
    <row r="182">
      <c r="A182" s="6" t="s">
        <v>49</v>
      </c>
      <c r="B182" s="6" t="s">
        <v>16</v>
      </c>
      <c r="C182" s="115">
        <v>0.0</v>
      </c>
      <c r="D182" s="115">
        <v>584876.0</v>
      </c>
      <c r="E182" s="115">
        <v>12712.0</v>
      </c>
      <c r="F182" s="115">
        <v>540717.0</v>
      </c>
      <c r="G182" s="115">
        <v>220560.0</v>
      </c>
      <c r="H182" s="13">
        <v>45912.0</v>
      </c>
      <c r="I182" s="12" t="s">
        <v>63</v>
      </c>
    </row>
    <row r="183">
      <c r="A183" s="6" t="s">
        <v>49</v>
      </c>
      <c r="B183" s="6" t="s">
        <v>18</v>
      </c>
      <c r="C183" s="115">
        <v>0.0</v>
      </c>
      <c r="D183" s="115">
        <v>246123.0</v>
      </c>
      <c r="E183" s="115">
        <v>5130.0</v>
      </c>
      <c r="F183" s="115">
        <v>221495.0</v>
      </c>
      <c r="G183" s="115">
        <v>110478.0</v>
      </c>
      <c r="H183" s="13">
        <v>45912.0</v>
      </c>
      <c r="I183" s="12" t="s">
        <v>63</v>
      </c>
    </row>
    <row r="184">
      <c r="A184" s="6" t="s">
        <v>50</v>
      </c>
      <c r="B184" s="6" t="s">
        <v>24</v>
      </c>
      <c r="C184" s="115">
        <v>0.0</v>
      </c>
      <c r="D184" s="115">
        <v>497355.0</v>
      </c>
      <c r="E184" s="115">
        <v>9620.0</v>
      </c>
      <c r="F184" s="115">
        <v>454782.0</v>
      </c>
      <c r="G184" s="115">
        <v>209081.0</v>
      </c>
      <c r="H184" s="13">
        <v>45912.0</v>
      </c>
      <c r="I184" s="12" t="s">
        <v>63</v>
      </c>
    </row>
    <row r="185">
      <c r="A185" s="6" t="s">
        <v>50</v>
      </c>
      <c r="B185" s="6" t="s">
        <v>25</v>
      </c>
      <c r="C185" s="115">
        <v>0.0</v>
      </c>
      <c r="D185" s="115">
        <v>390593.0</v>
      </c>
      <c r="E185" s="115">
        <v>6931.0</v>
      </c>
      <c r="F185" s="115">
        <v>356099.0</v>
      </c>
      <c r="G185" s="115">
        <v>167380.0</v>
      </c>
      <c r="H185" s="13">
        <v>45912.0</v>
      </c>
      <c r="I185" s="12" t="s">
        <v>63</v>
      </c>
    </row>
    <row r="186">
      <c r="A186" s="6" t="s">
        <v>50</v>
      </c>
      <c r="B186" s="6" t="s">
        <v>26</v>
      </c>
      <c r="C186" s="115">
        <v>0.0</v>
      </c>
      <c r="D186" s="115">
        <v>362635.0</v>
      </c>
      <c r="E186" s="115">
        <v>5750.0</v>
      </c>
      <c r="F186" s="115">
        <v>341694.0</v>
      </c>
      <c r="G186" s="115">
        <v>122679.0</v>
      </c>
      <c r="H186" s="13">
        <v>45912.0</v>
      </c>
      <c r="I186" s="12" t="s">
        <v>63</v>
      </c>
    </row>
    <row r="187">
      <c r="A187" s="6" t="s">
        <v>50</v>
      </c>
      <c r="B187" s="6" t="s">
        <v>27</v>
      </c>
      <c r="C187" s="115">
        <v>0.0</v>
      </c>
      <c r="D187" s="115">
        <v>268652.0</v>
      </c>
      <c r="E187" s="115">
        <v>4629.0</v>
      </c>
      <c r="F187" s="115">
        <v>252137.0</v>
      </c>
      <c r="G187" s="115">
        <v>102467.0</v>
      </c>
      <c r="H187" s="13">
        <v>45912.0</v>
      </c>
      <c r="I187" s="12" t="s">
        <v>63</v>
      </c>
    </row>
    <row r="188">
      <c r="A188" s="6" t="s">
        <v>51</v>
      </c>
      <c r="B188" s="6" t="s">
        <v>29</v>
      </c>
      <c r="C188" s="115">
        <v>0.0</v>
      </c>
      <c r="D188" s="115">
        <v>572115.0</v>
      </c>
      <c r="E188" s="115">
        <v>10070.0</v>
      </c>
      <c r="F188" s="115">
        <v>521495.0</v>
      </c>
      <c r="G188" s="115">
        <v>209006.0</v>
      </c>
      <c r="H188" s="13">
        <v>45912.0</v>
      </c>
      <c r="I188" s="12" t="s">
        <v>63</v>
      </c>
    </row>
    <row r="189">
      <c r="A189" s="6" t="s">
        <v>51</v>
      </c>
      <c r="B189" s="6" t="s">
        <v>30</v>
      </c>
      <c r="C189" s="115">
        <v>0.0</v>
      </c>
      <c r="D189" s="115">
        <v>435408.0</v>
      </c>
      <c r="E189" s="115">
        <v>8564.0</v>
      </c>
      <c r="F189" s="115">
        <v>396929.0</v>
      </c>
      <c r="G189" s="115">
        <v>188789.0</v>
      </c>
      <c r="H189" s="13">
        <v>45912.0</v>
      </c>
      <c r="I189" s="12" t="s">
        <v>63</v>
      </c>
    </row>
    <row r="190">
      <c r="A190" s="6" t="s">
        <v>52</v>
      </c>
      <c r="B190" s="6" t="s">
        <v>52</v>
      </c>
      <c r="C190" s="115">
        <v>0.0</v>
      </c>
      <c r="D190" s="115">
        <v>19214.0</v>
      </c>
      <c r="E190" s="115">
        <v>390.0</v>
      </c>
      <c r="F190" s="115">
        <v>17376.0</v>
      </c>
      <c r="G190" s="115">
        <v>5748.0</v>
      </c>
      <c r="H190" s="13">
        <v>45912.0</v>
      </c>
      <c r="I190" s="12" t="s">
        <v>63</v>
      </c>
    </row>
    <row r="191">
      <c r="A191" s="6" t="s">
        <v>47</v>
      </c>
      <c r="B191" s="6" t="s">
        <v>20</v>
      </c>
      <c r="C191" s="115">
        <v>0.0</v>
      </c>
      <c r="D191" s="115">
        <v>943348.0</v>
      </c>
      <c r="E191" s="115">
        <v>22294.0</v>
      </c>
      <c r="F191" s="115">
        <v>862640.0</v>
      </c>
      <c r="G191" s="115">
        <v>545350.0</v>
      </c>
      <c r="H191" s="13">
        <v>45912.0</v>
      </c>
      <c r="I191" s="12" t="s">
        <v>64</v>
      </c>
    </row>
    <row r="192">
      <c r="A192" s="6" t="s">
        <v>47</v>
      </c>
      <c r="B192" s="6" t="s">
        <v>21</v>
      </c>
      <c r="C192" s="115">
        <v>0.0</v>
      </c>
      <c r="D192" s="115">
        <v>579696.0</v>
      </c>
      <c r="E192" s="115">
        <v>11994.0</v>
      </c>
      <c r="F192" s="115">
        <v>534193.0</v>
      </c>
      <c r="G192" s="115">
        <v>288748.0</v>
      </c>
      <c r="H192" s="13">
        <v>45912.0</v>
      </c>
      <c r="I192" s="12" t="s">
        <v>64</v>
      </c>
    </row>
    <row r="193">
      <c r="A193" s="6" t="s">
        <v>47</v>
      </c>
      <c r="B193" s="6" t="s">
        <v>22</v>
      </c>
      <c r="C193" s="115">
        <v>0.0</v>
      </c>
      <c r="D193" s="115">
        <v>366025.0</v>
      </c>
      <c r="E193" s="115">
        <v>7669.0</v>
      </c>
      <c r="F193" s="115">
        <v>340097.0</v>
      </c>
      <c r="G193" s="115">
        <v>173623.0</v>
      </c>
      <c r="H193" s="13">
        <v>45912.0</v>
      </c>
      <c r="I193" s="12" t="s">
        <v>64</v>
      </c>
    </row>
    <row r="194">
      <c r="A194" s="6" t="s">
        <v>49</v>
      </c>
      <c r="B194" s="6" t="s">
        <v>15</v>
      </c>
      <c r="C194" s="115">
        <v>0.0</v>
      </c>
      <c r="D194" s="115">
        <v>258750.0</v>
      </c>
      <c r="E194" s="115">
        <v>5374.0</v>
      </c>
      <c r="F194" s="115">
        <v>227556.0</v>
      </c>
      <c r="G194" s="115">
        <v>109189.0</v>
      </c>
      <c r="H194" s="13">
        <v>45912.0</v>
      </c>
      <c r="I194" s="12" t="s">
        <v>64</v>
      </c>
    </row>
    <row r="195">
      <c r="A195" s="6" t="s">
        <v>49</v>
      </c>
      <c r="B195" s="6" t="s">
        <v>30</v>
      </c>
      <c r="C195" s="115">
        <v>0.0</v>
      </c>
      <c r="D195" s="115">
        <v>558.0</v>
      </c>
      <c r="E195" s="115">
        <v>11.0</v>
      </c>
      <c r="F195" s="115">
        <v>511.0</v>
      </c>
      <c r="G195" s="115">
        <v>118.0</v>
      </c>
      <c r="H195" s="13">
        <v>45912.0</v>
      </c>
      <c r="I195" s="12" t="s">
        <v>64</v>
      </c>
    </row>
    <row r="196">
      <c r="A196" s="6" t="s">
        <v>49</v>
      </c>
      <c r="B196" s="6" t="s">
        <v>17</v>
      </c>
      <c r="C196" s="115">
        <v>0.0</v>
      </c>
      <c r="D196" s="115">
        <v>302712.0</v>
      </c>
      <c r="E196" s="115">
        <v>5608.0</v>
      </c>
      <c r="F196" s="115">
        <v>279475.0</v>
      </c>
      <c r="G196" s="115">
        <v>147949.0</v>
      </c>
      <c r="H196" s="13">
        <v>45912.0</v>
      </c>
      <c r="I196" s="12" t="s">
        <v>64</v>
      </c>
    </row>
    <row r="197">
      <c r="A197" s="6" t="s">
        <v>49</v>
      </c>
      <c r="B197" s="6" t="s">
        <v>16</v>
      </c>
      <c r="C197" s="115">
        <v>0.0</v>
      </c>
      <c r="D197" s="115">
        <v>596458.0</v>
      </c>
      <c r="E197" s="115">
        <v>12931.0</v>
      </c>
      <c r="F197" s="115">
        <v>550701.0</v>
      </c>
      <c r="G197" s="115">
        <v>275037.0</v>
      </c>
      <c r="H197" s="13">
        <v>45912.0</v>
      </c>
      <c r="I197" s="12" t="s">
        <v>64</v>
      </c>
    </row>
    <row r="198">
      <c r="A198" s="6" t="s">
        <v>49</v>
      </c>
      <c r="B198" s="6" t="s">
        <v>18</v>
      </c>
      <c r="C198" s="115">
        <v>0.0</v>
      </c>
      <c r="D198" s="115">
        <v>249280.0</v>
      </c>
      <c r="E198" s="115">
        <v>5186.0</v>
      </c>
      <c r="F198" s="115">
        <v>224446.0</v>
      </c>
      <c r="G198" s="115">
        <v>129705.0</v>
      </c>
      <c r="H198" s="13">
        <v>45912.0</v>
      </c>
      <c r="I198" s="12" t="s">
        <v>64</v>
      </c>
    </row>
    <row r="199">
      <c r="A199" s="6" t="s">
        <v>50</v>
      </c>
      <c r="B199" s="6" t="s">
        <v>24</v>
      </c>
      <c r="C199" s="115">
        <v>0.0</v>
      </c>
      <c r="D199" s="115">
        <v>502403.0</v>
      </c>
      <c r="E199" s="115">
        <v>9724.0</v>
      </c>
      <c r="F199" s="115">
        <v>459221.0</v>
      </c>
      <c r="G199" s="115">
        <v>239758.0</v>
      </c>
      <c r="H199" s="13">
        <v>45912.0</v>
      </c>
      <c r="I199" s="12" t="s">
        <v>64</v>
      </c>
    </row>
    <row r="200">
      <c r="A200" s="6" t="s">
        <v>50</v>
      </c>
      <c r="B200" s="6" t="s">
        <v>25</v>
      </c>
      <c r="C200" s="115">
        <v>0.0</v>
      </c>
      <c r="D200" s="115">
        <v>398134.0</v>
      </c>
      <c r="E200" s="115">
        <v>7081.0</v>
      </c>
      <c r="F200" s="115">
        <v>363000.0</v>
      </c>
      <c r="G200" s="115">
        <v>194441.0</v>
      </c>
      <c r="H200" s="13">
        <v>45912.0</v>
      </c>
      <c r="I200" s="12" t="s">
        <v>64</v>
      </c>
    </row>
    <row r="201">
      <c r="A201" s="6" t="s">
        <v>50</v>
      </c>
      <c r="B201" s="6" t="s">
        <v>26</v>
      </c>
      <c r="C201" s="115">
        <v>0.0</v>
      </c>
      <c r="D201" s="115">
        <v>372191.0</v>
      </c>
      <c r="E201" s="115">
        <v>5876.0</v>
      </c>
      <c r="F201" s="115">
        <v>350004.0</v>
      </c>
      <c r="G201" s="115">
        <v>154331.0</v>
      </c>
      <c r="H201" s="13">
        <v>45912.0</v>
      </c>
      <c r="I201" s="12" t="s">
        <v>64</v>
      </c>
    </row>
    <row r="202">
      <c r="A202" s="6" t="s">
        <v>50</v>
      </c>
      <c r="B202" s="6" t="s">
        <v>27</v>
      </c>
      <c r="C202" s="115">
        <v>0.0</v>
      </c>
      <c r="D202" s="115">
        <v>273733.0</v>
      </c>
      <c r="E202" s="115">
        <v>4675.0</v>
      </c>
      <c r="F202" s="115">
        <v>256892.0</v>
      </c>
      <c r="G202" s="115">
        <v>132396.0</v>
      </c>
      <c r="H202" s="13">
        <v>45912.0</v>
      </c>
      <c r="I202" s="12" t="s">
        <v>64</v>
      </c>
    </row>
    <row r="203">
      <c r="A203" s="6" t="s">
        <v>51</v>
      </c>
      <c r="B203" s="6" t="s">
        <v>29</v>
      </c>
      <c r="C203" s="115">
        <v>0.0</v>
      </c>
      <c r="D203" s="115">
        <v>585496.0</v>
      </c>
      <c r="E203" s="115">
        <v>10280.0</v>
      </c>
      <c r="F203" s="115">
        <v>534156.0</v>
      </c>
      <c r="G203" s="115">
        <v>254275.0</v>
      </c>
      <c r="H203" s="13">
        <v>45912.0</v>
      </c>
      <c r="I203" s="12" t="s">
        <v>64</v>
      </c>
    </row>
    <row r="204">
      <c r="A204" s="6" t="s">
        <v>51</v>
      </c>
      <c r="B204" s="6" t="s">
        <v>30</v>
      </c>
      <c r="C204" s="115">
        <v>0.0</v>
      </c>
      <c r="D204" s="115">
        <v>446922.0</v>
      </c>
      <c r="E204" s="115">
        <v>8745.0</v>
      </c>
      <c r="F204" s="115">
        <v>407146.0</v>
      </c>
      <c r="G204" s="115">
        <v>223734.0</v>
      </c>
      <c r="H204" s="13">
        <v>45912.0</v>
      </c>
      <c r="I204" s="12" t="s">
        <v>64</v>
      </c>
    </row>
    <row r="205">
      <c r="A205" s="6" t="s">
        <v>52</v>
      </c>
      <c r="B205" s="6" t="s">
        <v>52</v>
      </c>
      <c r="C205" s="115">
        <v>0.0</v>
      </c>
      <c r="D205" s="115">
        <v>19732.0</v>
      </c>
      <c r="E205" s="115">
        <v>400.0</v>
      </c>
      <c r="F205" s="115">
        <v>17839.0</v>
      </c>
      <c r="G205" s="115">
        <v>7705.0</v>
      </c>
      <c r="H205" s="13">
        <v>45912.0</v>
      </c>
      <c r="I205" s="12" t="s">
        <v>64</v>
      </c>
    </row>
    <row r="206">
      <c r="A206" s="6" t="s">
        <v>47</v>
      </c>
      <c r="B206" s="6" t="s">
        <v>20</v>
      </c>
      <c r="C206" s="115">
        <v>0.0</v>
      </c>
      <c r="D206" s="115">
        <v>971151.0</v>
      </c>
      <c r="E206" s="115">
        <v>22593.0</v>
      </c>
      <c r="F206" s="115">
        <v>888955.0</v>
      </c>
      <c r="G206" s="115">
        <v>615520.0</v>
      </c>
      <c r="H206" s="13">
        <v>45912.0</v>
      </c>
      <c r="I206" s="12" t="s">
        <v>65</v>
      </c>
    </row>
    <row r="207">
      <c r="A207" s="6" t="s">
        <v>47</v>
      </c>
      <c r="B207" s="6" t="s">
        <v>21</v>
      </c>
      <c r="C207" s="115">
        <v>0.0</v>
      </c>
      <c r="D207" s="115">
        <v>584197.0</v>
      </c>
      <c r="E207" s="115">
        <v>12059.0</v>
      </c>
      <c r="F207" s="115">
        <v>538343.0</v>
      </c>
      <c r="G207" s="115">
        <v>331239.0</v>
      </c>
      <c r="H207" s="13">
        <v>45912.0</v>
      </c>
      <c r="I207" s="12" t="s">
        <v>65</v>
      </c>
    </row>
    <row r="208">
      <c r="A208" s="6" t="s">
        <v>47</v>
      </c>
      <c r="B208" s="6" t="s">
        <v>22</v>
      </c>
      <c r="C208" s="115">
        <v>0.0</v>
      </c>
      <c r="D208" s="115">
        <v>368409.0</v>
      </c>
      <c r="E208" s="115">
        <v>7701.0</v>
      </c>
      <c r="F208" s="115">
        <v>342091.0</v>
      </c>
      <c r="G208" s="115">
        <v>203425.0</v>
      </c>
      <c r="H208" s="13">
        <v>45912.0</v>
      </c>
      <c r="I208" s="12" t="s">
        <v>65</v>
      </c>
    </row>
    <row r="209">
      <c r="A209" s="6" t="s">
        <v>49</v>
      </c>
      <c r="B209" s="6" t="s">
        <v>15</v>
      </c>
      <c r="C209" s="115">
        <v>0.0</v>
      </c>
      <c r="D209" s="115">
        <v>279351.0</v>
      </c>
      <c r="E209" s="115">
        <v>5727.0</v>
      </c>
      <c r="F209" s="115">
        <v>247121.0</v>
      </c>
      <c r="G209" s="115">
        <v>128528.0</v>
      </c>
      <c r="H209" s="13">
        <v>45912.0</v>
      </c>
      <c r="I209" s="12" t="s">
        <v>65</v>
      </c>
    </row>
    <row r="210">
      <c r="A210" s="6" t="s">
        <v>49</v>
      </c>
      <c r="B210" s="6" t="s">
        <v>30</v>
      </c>
      <c r="C210" s="115">
        <v>0.0</v>
      </c>
      <c r="D210" s="115">
        <v>558.0</v>
      </c>
      <c r="E210" s="115">
        <v>11.0</v>
      </c>
      <c r="F210" s="115">
        <v>511.0</v>
      </c>
      <c r="G210" s="115">
        <v>147.0</v>
      </c>
      <c r="H210" s="13">
        <v>45912.0</v>
      </c>
      <c r="I210" s="12" t="s">
        <v>65</v>
      </c>
    </row>
    <row r="211">
      <c r="A211" s="6" t="s">
        <v>49</v>
      </c>
      <c r="B211" s="6" t="s">
        <v>17</v>
      </c>
      <c r="C211" s="115">
        <v>0.0</v>
      </c>
      <c r="D211" s="115">
        <v>305618.0</v>
      </c>
      <c r="E211" s="115">
        <v>5674.0</v>
      </c>
      <c r="F211" s="115">
        <v>281914.0</v>
      </c>
      <c r="G211" s="115">
        <v>169854.0</v>
      </c>
      <c r="H211" s="13">
        <v>45912.0</v>
      </c>
      <c r="I211" s="12" t="s">
        <v>65</v>
      </c>
    </row>
    <row r="212">
      <c r="A212" s="6" t="s">
        <v>49</v>
      </c>
      <c r="B212" s="6" t="s">
        <v>16</v>
      </c>
      <c r="C212" s="115">
        <v>0.0</v>
      </c>
      <c r="D212" s="115">
        <v>601036.0</v>
      </c>
      <c r="E212" s="115">
        <v>13036.0</v>
      </c>
      <c r="F212" s="115">
        <v>554566.0</v>
      </c>
      <c r="G212" s="115">
        <v>323896.0</v>
      </c>
      <c r="H212" s="13">
        <v>45912.0</v>
      </c>
      <c r="I212" s="12" t="s">
        <v>65</v>
      </c>
    </row>
    <row r="213">
      <c r="A213" s="6" t="s">
        <v>49</v>
      </c>
      <c r="B213" s="6" t="s">
        <v>18</v>
      </c>
      <c r="C213" s="115">
        <v>0.0</v>
      </c>
      <c r="D213" s="115">
        <v>252047.0</v>
      </c>
      <c r="E213" s="115">
        <v>5255.0</v>
      </c>
      <c r="F213" s="115">
        <v>226895.0</v>
      </c>
      <c r="G213" s="115">
        <v>145409.0</v>
      </c>
      <c r="H213" s="13">
        <v>45912.0</v>
      </c>
      <c r="I213" s="12" t="s">
        <v>65</v>
      </c>
    </row>
    <row r="214">
      <c r="A214" s="6" t="s">
        <v>50</v>
      </c>
      <c r="B214" s="6" t="s">
        <v>24</v>
      </c>
      <c r="C214" s="115">
        <v>0.0</v>
      </c>
      <c r="D214" s="115">
        <v>508442.0</v>
      </c>
      <c r="E214" s="115">
        <v>9860.0</v>
      </c>
      <c r="F214" s="115">
        <v>464533.0</v>
      </c>
      <c r="G214" s="115">
        <v>269362.0</v>
      </c>
      <c r="H214" s="13">
        <v>45912.0</v>
      </c>
      <c r="I214" s="12" t="s">
        <v>65</v>
      </c>
    </row>
    <row r="215">
      <c r="A215" s="6" t="s">
        <v>50</v>
      </c>
      <c r="B215" s="6" t="s">
        <v>25</v>
      </c>
      <c r="C215" s="115">
        <v>0.0</v>
      </c>
      <c r="D215" s="115">
        <v>412826.0</v>
      </c>
      <c r="E215" s="115">
        <v>7355.0</v>
      </c>
      <c r="F215" s="115">
        <v>376941.0</v>
      </c>
      <c r="G215" s="115">
        <v>219005.0</v>
      </c>
      <c r="H215" s="13">
        <v>45912.0</v>
      </c>
      <c r="I215" s="12" t="s">
        <v>65</v>
      </c>
    </row>
    <row r="216">
      <c r="A216" s="6" t="s">
        <v>50</v>
      </c>
      <c r="B216" s="6" t="s">
        <v>26</v>
      </c>
      <c r="C216" s="115">
        <v>0.0</v>
      </c>
      <c r="D216" s="115">
        <v>380869.0</v>
      </c>
      <c r="E216" s="115">
        <v>5976.0</v>
      </c>
      <c r="F216" s="115">
        <v>358122.0</v>
      </c>
      <c r="G216" s="115">
        <v>184283.0</v>
      </c>
      <c r="H216" s="13">
        <v>45912.0</v>
      </c>
      <c r="I216" s="12" t="s">
        <v>65</v>
      </c>
    </row>
    <row r="217">
      <c r="A217" s="6" t="s">
        <v>50</v>
      </c>
      <c r="B217" s="6" t="s">
        <v>27</v>
      </c>
      <c r="C217" s="115">
        <v>0.0</v>
      </c>
      <c r="D217" s="115">
        <v>275929.0</v>
      </c>
      <c r="E217" s="115">
        <v>4694.0</v>
      </c>
      <c r="F217" s="115">
        <v>258942.0</v>
      </c>
      <c r="G217" s="115">
        <v>160201.0</v>
      </c>
      <c r="H217" s="13">
        <v>45912.0</v>
      </c>
      <c r="I217" s="12" t="s">
        <v>65</v>
      </c>
    </row>
    <row r="218">
      <c r="A218" s="6" t="s">
        <v>51</v>
      </c>
      <c r="B218" s="6" t="s">
        <v>29</v>
      </c>
      <c r="C218" s="115">
        <v>0.0</v>
      </c>
      <c r="D218" s="115">
        <v>601289.0</v>
      </c>
      <c r="E218" s="115">
        <v>10586.0</v>
      </c>
      <c r="F218" s="115">
        <v>549244.0</v>
      </c>
      <c r="G218" s="115">
        <v>296229.0</v>
      </c>
      <c r="H218" s="13">
        <v>45912.0</v>
      </c>
      <c r="I218" s="12" t="s">
        <v>65</v>
      </c>
    </row>
    <row r="219">
      <c r="A219" s="6" t="s">
        <v>51</v>
      </c>
      <c r="B219" s="6" t="s">
        <v>30</v>
      </c>
      <c r="C219" s="115">
        <v>0.0</v>
      </c>
      <c r="D219" s="115">
        <v>455594.0</v>
      </c>
      <c r="E219" s="115">
        <v>8861.0</v>
      </c>
      <c r="F219" s="115">
        <v>415095.0</v>
      </c>
      <c r="G219" s="115">
        <v>254282.0</v>
      </c>
      <c r="H219" s="13">
        <v>45912.0</v>
      </c>
      <c r="I219" s="12" t="s">
        <v>65</v>
      </c>
    </row>
    <row r="220">
      <c r="A220" s="6" t="s">
        <v>52</v>
      </c>
      <c r="B220" s="6" t="s">
        <v>52</v>
      </c>
      <c r="C220" s="115">
        <v>0.0</v>
      </c>
      <c r="D220" s="115">
        <v>20833.0</v>
      </c>
      <c r="E220" s="115">
        <v>425.0</v>
      </c>
      <c r="F220" s="115">
        <v>18842.0</v>
      </c>
      <c r="G220" s="115">
        <v>9555.0</v>
      </c>
      <c r="H220" s="13">
        <v>45912.0</v>
      </c>
      <c r="I220" s="12" t="s">
        <v>65</v>
      </c>
    </row>
    <row r="221">
      <c r="A221" s="6" t="s">
        <v>47</v>
      </c>
      <c r="B221" s="6" t="s">
        <v>20</v>
      </c>
      <c r="C221" s="115">
        <v>0.0</v>
      </c>
      <c r="D221" s="115">
        <v>993925.0</v>
      </c>
      <c r="E221" s="115">
        <v>22813.0</v>
      </c>
      <c r="F221" s="115">
        <v>910186.0</v>
      </c>
      <c r="G221" s="115">
        <v>676376.0</v>
      </c>
      <c r="H221" s="13">
        <v>45912.0</v>
      </c>
      <c r="I221" s="12" t="s">
        <v>3</v>
      </c>
    </row>
    <row r="222">
      <c r="A222" s="6" t="s">
        <v>47</v>
      </c>
      <c r="B222" s="6" t="s">
        <v>21</v>
      </c>
      <c r="C222" s="115">
        <v>0.0</v>
      </c>
      <c r="D222" s="115">
        <v>586670.0</v>
      </c>
      <c r="E222" s="115">
        <v>12098.0</v>
      </c>
      <c r="F222" s="115">
        <v>540346.0</v>
      </c>
      <c r="G222" s="115">
        <v>363609.0</v>
      </c>
      <c r="H222" s="13">
        <v>45912.0</v>
      </c>
      <c r="I222" s="12" t="s">
        <v>3</v>
      </c>
    </row>
    <row r="223">
      <c r="A223" s="6" t="s">
        <v>47</v>
      </c>
      <c r="B223" s="6" t="s">
        <v>22</v>
      </c>
      <c r="C223" s="115">
        <v>0.0</v>
      </c>
      <c r="D223" s="115">
        <v>369428.0</v>
      </c>
      <c r="E223" s="115">
        <v>7721.0</v>
      </c>
      <c r="F223" s="115">
        <v>342813.0</v>
      </c>
      <c r="G223" s="115">
        <v>226899.0</v>
      </c>
      <c r="H223" s="13">
        <v>45912.0</v>
      </c>
      <c r="I223" s="12" t="s">
        <v>3</v>
      </c>
    </row>
    <row r="224">
      <c r="A224" s="6" t="s">
        <v>49</v>
      </c>
      <c r="B224" s="6" t="s">
        <v>15</v>
      </c>
      <c r="C224" s="115">
        <v>0.0</v>
      </c>
      <c r="D224" s="115">
        <v>285075.0</v>
      </c>
      <c r="E224" s="115">
        <v>5847.0</v>
      </c>
      <c r="F224" s="115">
        <v>252353.0</v>
      </c>
      <c r="G224" s="115">
        <v>147942.0</v>
      </c>
      <c r="H224" s="13">
        <v>45912.0</v>
      </c>
      <c r="I224" s="12" t="s">
        <v>3</v>
      </c>
    </row>
    <row r="225">
      <c r="A225" s="6" t="s">
        <v>49</v>
      </c>
      <c r="B225" s="6" t="s">
        <v>30</v>
      </c>
      <c r="C225" s="115">
        <v>0.0</v>
      </c>
      <c r="D225" s="115">
        <v>558.0</v>
      </c>
      <c r="E225" s="115">
        <v>11.0</v>
      </c>
      <c r="F225" s="115">
        <v>511.0</v>
      </c>
      <c r="G225" s="115">
        <v>181.0</v>
      </c>
      <c r="H225" s="13">
        <v>45912.0</v>
      </c>
      <c r="I225" s="12" t="s">
        <v>3</v>
      </c>
    </row>
    <row r="226">
      <c r="A226" s="6" t="s">
        <v>49</v>
      </c>
      <c r="B226" s="6" t="s">
        <v>17</v>
      </c>
      <c r="C226" s="115">
        <v>0.0</v>
      </c>
      <c r="D226" s="115">
        <v>306613.0</v>
      </c>
      <c r="E226" s="115">
        <v>5703.0</v>
      </c>
      <c r="F226" s="115">
        <v>282738.0</v>
      </c>
      <c r="G226" s="115">
        <v>186338.0</v>
      </c>
      <c r="H226" s="13">
        <v>45912.0</v>
      </c>
      <c r="I226" s="12" t="s">
        <v>3</v>
      </c>
    </row>
    <row r="227">
      <c r="A227" s="6" t="s">
        <v>49</v>
      </c>
      <c r="B227" s="6" t="s">
        <v>16</v>
      </c>
      <c r="C227" s="115">
        <v>0.0</v>
      </c>
      <c r="D227" s="115">
        <v>603855.0</v>
      </c>
      <c r="E227" s="115">
        <v>13113.0</v>
      </c>
      <c r="F227" s="115">
        <v>556764.0</v>
      </c>
      <c r="G227" s="115">
        <v>361937.0</v>
      </c>
      <c r="H227" s="13">
        <v>45912.0</v>
      </c>
      <c r="I227" s="12" t="s">
        <v>3</v>
      </c>
    </row>
    <row r="228">
      <c r="A228" s="6" t="s">
        <v>49</v>
      </c>
      <c r="B228" s="6" t="s">
        <v>18</v>
      </c>
      <c r="C228" s="115">
        <v>0.0</v>
      </c>
      <c r="D228" s="115">
        <v>253066.0</v>
      </c>
      <c r="E228" s="115">
        <v>5285.0</v>
      </c>
      <c r="F228" s="115">
        <v>227761.0</v>
      </c>
      <c r="G228" s="115">
        <v>157338.0</v>
      </c>
      <c r="H228" s="13">
        <v>45912.0</v>
      </c>
      <c r="I228" s="12" t="s">
        <v>3</v>
      </c>
    </row>
    <row r="229">
      <c r="A229" s="6" t="s">
        <v>50</v>
      </c>
      <c r="B229" s="6" t="s">
        <v>24</v>
      </c>
      <c r="C229" s="115">
        <v>0.0</v>
      </c>
      <c r="D229" s="115">
        <v>510653.0</v>
      </c>
      <c r="E229" s="115">
        <v>9906.0</v>
      </c>
      <c r="F229" s="115">
        <v>466230.0</v>
      </c>
      <c r="G229" s="115">
        <v>297272.0</v>
      </c>
      <c r="H229" s="13">
        <v>45912.0</v>
      </c>
      <c r="I229" s="12" t="s">
        <v>3</v>
      </c>
    </row>
    <row r="230">
      <c r="A230" s="6" t="s">
        <v>50</v>
      </c>
      <c r="B230" s="6" t="s">
        <v>25</v>
      </c>
      <c r="C230" s="115">
        <v>0.0</v>
      </c>
      <c r="D230" s="115">
        <v>427718.0</v>
      </c>
      <c r="E230" s="115">
        <v>7630.0</v>
      </c>
      <c r="F230" s="115">
        <v>391106.0</v>
      </c>
      <c r="G230" s="115">
        <v>242552.0</v>
      </c>
      <c r="H230" s="13">
        <v>45912.0</v>
      </c>
      <c r="I230" s="12" t="s">
        <v>3</v>
      </c>
    </row>
    <row r="231">
      <c r="A231" s="6" t="s">
        <v>50</v>
      </c>
      <c r="B231" s="6" t="s">
        <v>26</v>
      </c>
      <c r="C231" s="115">
        <v>0.0</v>
      </c>
      <c r="D231" s="115">
        <v>386157.0</v>
      </c>
      <c r="E231" s="115">
        <v>6037.0</v>
      </c>
      <c r="F231" s="115">
        <v>363033.0</v>
      </c>
      <c r="G231" s="115">
        <v>212117.0</v>
      </c>
      <c r="H231" s="13">
        <v>45912.0</v>
      </c>
      <c r="I231" s="12" t="s">
        <v>3</v>
      </c>
    </row>
    <row r="232">
      <c r="A232" s="6" t="s">
        <v>50</v>
      </c>
      <c r="B232" s="6" t="s">
        <v>27</v>
      </c>
      <c r="C232" s="115">
        <v>0.0</v>
      </c>
      <c r="D232" s="115">
        <v>277257.0</v>
      </c>
      <c r="E232" s="115">
        <v>4709.0</v>
      </c>
      <c r="F232" s="115">
        <v>260147.0</v>
      </c>
      <c r="G232" s="115">
        <v>181653.0</v>
      </c>
      <c r="H232" s="13">
        <v>45912.0</v>
      </c>
      <c r="I232" s="12" t="s">
        <v>3</v>
      </c>
    </row>
    <row r="233">
      <c r="A233" s="6" t="s">
        <v>51</v>
      </c>
      <c r="B233" s="6" t="s">
        <v>29</v>
      </c>
      <c r="C233" s="115">
        <v>0.0</v>
      </c>
      <c r="D233" s="115">
        <v>615200.0</v>
      </c>
      <c r="E233" s="115">
        <v>10866.0</v>
      </c>
      <c r="F233" s="115">
        <v>562555.0</v>
      </c>
      <c r="G233" s="115">
        <v>333419.0</v>
      </c>
      <c r="H233" s="13">
        <v>45912.0</v>
      </c>
      <c r="I233" s="12" t="s">
        <v>3</v>
      </c>
    </row>
    <row r="234">
      <c r="A234" s="6" t="s">
        <v>51</v>
      </c>
      <c r="B234" s="6" t="s">
        <v>30</v>
      </c>
      <c r="C234" s="115">
        <v>0.0</v>
      </c>
      <c r="D234" s="115">
        <v>460174.0</v>
      </c>
      <c r="E234" s="115">
        <v>8929.0</v>
      </c>
      <c r="F234" s="115">
        <v>419114.0</v>
      </c>
      <c r="G234" s="115">
        <v>278999.0</v>
      </c>
      <c r="H234" s="13">
        <v>45912.0</v>
      </c>
      <c r="I234" s="12" t="s">
        <v>3</v>
      </c>
    </row>
    <row r="235">
      <c r="A235" s="6" t="s">
        <v>52</v>
      </c>
      <c r="B235" s="6" t="s">
        <v>52</v>
      </c>
      <c r="C235" s="115">
        <v>0.0</v>
      </c>
      <c r="D235" s="115">
        <v>21181.0</v>
      </c>
      <c r="E235" s="115">
        <v>438.0</v>
      </c>
      <c r="F235" s="115">
        <v>19158.0</v>
      </c>
      <c r="G235" s="115">
        <v>11281.0</v>
      </c>
      <c r="H235" s="13">
        <v>45912.0</v>
      </c>
      <c r="I235" s="12" t="s">
        <v>3</v>
      </c>
    </row>
    <row r="236">
      <c r="A236" s="6" t="s">
        <v>47</v>
      </c>
      <c r="B236" s="6" t="s">
        <v>20</v>
      </c>
      <c r="C236" s="115">
        <v>823801.0</v>
      </c>
      <c r="D236" s="115">
        <v>1009572.0</v>
      </c>
      <c r="E236" s="115">
        <v>23006.0</v>
      </c>
      <c r="F236" s="115">
        <v>924628.0</v>
      </c>
      <c r="G236" s="115">
        <v>732083.0</v>
      </c>
      <c r="H236" s="13">
        <v>45912.0</v>
      </c>
      <c r="I236" s="12" t="s">
        <v>53</v>
      </c>
    </row>
    <row r="237">
      <c r="A237" s="6" t="s">
        <v>47</v>
      </c>
      <c r="B237" s="6" t="s">
        <v>21</v>
      </c>
      <c r="C237" s="115">
        <v>485008.0</v>
      </c>
      <c r="D237" s="115">
        <v>588003.0</v>
      </c>
      <c r="E237" s="115">
        <v>12108.0</v>
      </c>
      <c r="F237" s="115">
        <v>541268.0</v>
      </c>
      <c r="G237" s="115">
        <v>386577.0</v>
      </c>
      <c r="H237" s="13">
        <v>45912.0</v>
      </c>
      <c r="I237" s="12" t="s">
        <v>53</v>
      </c>
    </row>
    <row r="238">
      <c r="A238" s="6" t="s">
        <v>47</v>
      </c>
      <c r="B238" s="6" t="s">
        <v>22</v>
      </c>
      <c r="C238" s="115">
        <v>358006.0</v>
      </c>
      <c r="D238" s="115">
        <v>370192.0</v>
      </c>
      <c r="E238" s="115">
        <v>7733.0</v>
      </c>
      <c r="F238" s="115">
        <v>343322.0</v>
      </c>
      <c r="G238" s="115">
        <v>245725.0</v>
      </c>
      <c r="H238" s="13">
        <v>45912.0</v>
      </c>
      <c r="I238" s="12" t="s">
        <v>53</v>
      </c>
    </row>
    <row r="239">
      <c r="A239" s="6" t="s">
        <v>49</v>
      </c>
      <c r="B239" s="6" t="s">
        <v>15</v>
      </c>
      <c r="C239" s="115">
        <v>170069.0</v>
      </c>
      <c r="D239" s="115">
        <v>286988.0</v>
      </c>
      <c r="E239" s="115">
        <v>5897.0</v>
      </c>
      <c r="F239" s="115">
        <v>254023.0</v>
      </c>
      <c r="G239" s="115">
        <v>165260.0</v>
      </c>
      <c r="H239" s="13">
        <v>45912.0</v>
      </c>
      <c r="I239" s="12" t="s">
        <v>53</v>
      </c>
    </row>
    <row r="240">
      <c r="A240" s="6" t="s">
        <v>49</v>
      </c>
      <c r="B240" s="6" t="s">
        <v>30</v>
      </c>
      <c r="C240" s="115">
        <v>730.0</v>
      </c>
      <c r="D240" s="115">
        <v>562.0</v>
      </c>
      <c r="E240" s="115">
        <v>11.0</v>
      </c>
      <c r="F240" s="115">
        <v>515.0</v>
      </c>
      <c r="G240" s="115">
        <v>213.0</v>
      </c>
      <c r="H240" s="13">
        <v>45912.0</v>
      </c>
      <c r="I240" s="12" t="s">
        <v>53</v>
      </c>
    </row>
    <row r="241">
      <c r="A241" s="6" t="s">
        <v>49</v>
      </c>
      <c r="B241" s="6" t="s">
        <v>17</v>
      </c>
      <c r="C241" s="115">
        <v>238660.0</v>
      </c>
      <c r="D241" s="115">
        <v>307139.0</v>
      </c>
      <c r="E241" s="115">
        <v>5722.0</v>
      </c>
      <c r="F241" s="115">
        <v>283191.0</v>
      </c>
      <c r="G241" s="115">
        <v>198623.0</v>
      </c>
      <c r="H241" s="13">
        <v>45912.0</v>
      </c>
      <c r="I241" s="12" t="s">
        <v>53</v>
      </c>
    </row>
    <row r="242">
      <c r="A242" s="6" t="s">
        <v>49</v>
      </c>
      <c r="B242" s="6" t="s">
        <v>16</v>
      </c>
      <c r="C242" s="115">
        <v>515963.0</v>
      </c>
      <c r="D242" s="115">
        <v>605254.0</v>
      </c>
      <c r="E242" s="115">
        <v>13166.0</v>
      </c>
      <c r="F242" s="115">
        <v>557754.0</v>
      </c>
      <c r="G242" s="115">
        <v>390524.0</v>
      </c>
      <c r="H242" s="13">
        <v>45912.0</v>
      </c>
      <c r="I242" s="12" t="s">
        <v>53</v>
      </c>
    </row>
    <row r="243">
      <c r="A243" s="6" t="s">
        <v>49</v>
      </c>
      <c r="B243" s="6" t="s">
        <v>18</v>
      </c>
      <c r="C243" s="115">
        <v>173136.0</v>
      </c>
      <c r="D243" s="115">
        <v>253822.0</v>
      </c>
      <c r="E243" s="115">
        <v>5295.0</v>
      </c>
      <c r="F243" s="115">
        <v>228389.0</v>
      </c>
      <c r="G243" s="115">
        <v>165892.0</v>
      </c>
      <c r="H243" s="13">
        <v>45912.0</v>
      </c>
      <c r="I243" s="12" t="s">
        <v>53</v>
      </c>
    </row>
    <row r="244">
      <c r="A244" s="6" t="s">
        <v>50</v>
      </c>
      <c r="B244" s="6" t="s">
        <v>24</v>
      </c>
      <c r="C244" s="115">
        <v>373412.0</v>
      </c>
      <c r="D244" s="115">
        <v>511852.0</v>
      </c>
      <c r="E244" s="115">
        <v>9936.0</v>
      </c>
      <c r="F244" s="115">
        <v>467075.0</v>
      </c>
      <c r="G244" s="115">
        <v>321561.0</v>
      </c>
      <c r="H244" s="13">
        <v>45912.0</v>
      </c>
      <c r="I244" s="12" t="s">
        <v>53</v>
      </c>
    </row>
    <row r="245">
      <c r="A245" s="6" t="s">
        <v>50</v>
      </c>
      <c r="B245" s="6" t="s">
        <v>25</v>
      </c>
      <c r="C245" s="115">
        <v>379777.0</v>
      </c>
      <c r="D245" s="115">
        <v>436882.0</v>
      </c>
      <c r="E245" s="115">
        <v>7833.0</v>
      </c>
      <c r="F245" s="115">
        <v>399536.0</v>
      </c>
      <c r="G245" s="115">
        <v>265705.0</v>
      </c>
      <c r="H245" s="13">
        <v>45912.0</v>
      </c>
      <c r="I245" s="12" t="s">
        <v>53</v>
      </c>
    </row>
    <row r="246">
      <c r="A246" s="6" t="s">
        <v>50</v>
      </c>
      <c r="B246" s="6" t="s">
        <v>26</v>
      </c>
      <c r="C246" s="115">
        <v>303070.0</v>
      </c>
      <c r="D246" s="115">
        <v>388435.0</v>
      </c>
      <c r="E246" s="115">
        <v>6076.0</v>
      </c>
      <c r="F246" s="115">
        <v>365037.0</v>
      </c>
      <c r="G246" s="115">
        <v>238551.0</v>
      </c>
      <c r="H246" s="13">
        <v>45912.0</v>
      </c>
      <c r="I246" s="12" t="s">
        <v>53</v>
      </c>
    </row>
    <row r="247">
      <c r="A247" s="6" t="s">
        <v>50</v>
      </c>
      <c r="B247" s="6" t="s">
        <v>27</v>
      </c>
      <c r="C247" s="115">
        <v>224827.0</v>
      </c>
      <c r="D247" s="115">
        <v>278180.0</v>
      </c>
      <c r="E247" s="115">
        <v>4714.0</v>
      </c>
      <c r="F247" s="115">
        <v>260988.0</v>
      </c>
      <c r="G247" s="115">
        <v>197591.0</v>
      </c>
      <c r="H247" s="13">
        <v>45912.0</v>
      </c>
      <c r="I247" s="12" t="s">
        <v>53</v>
      </c>
    </row>
    <row r="248">
      <c r="A248" s="6" t="s">
        <v>51</v>
      </c>
      <c r="B248" s="6" t="s">
        <v>29</v>
      </c>
      <c r="C248" s="115">
        <v>392077.0</v>
      </c>
      <c r="D248" s="115">
        <v>622044.0</v>
      </c>
      <c r="E248" s="115">
        <v>11011.0</v>
      </c>
      <c r="F248" s="115">
        <v>569033.0</v>
      </c>
      <c r="G248" s="115">
        <v>365454.0</v>
      </c>
      <c r="H248" s="13">
        <v>45912.0</v>
      </c>
      <c r="I248" s="12" t="s">
        <v>53</v>
      </c>
    </row>
    <row r="249">
      <c r="A249" s="6" t="s">
        <v>51</v>
      </c>
      <c r="B249" s="6" t="s">
        <v>30</v>
      </c>
      <c r="C249" s="115">
        <v>334343.0</v>
      </c>
      <c r="D249" s="115">
        <v>462719.0</v>
      </c>
      <c r="E249" s="115">
        <v>8978.0</v>
      </c>
      <c r="F249" s="115">
        <v>421325.0</v>
      </c>
      <c r="G249" s="115">
        <v>298379.0</v>
      </c>
      <c r="H249" s="13">
        <v>45912.0</v>
      </c>
      <c r="I249" s="12" t="s">
        <v>53</v>
      </c>
    </row>
    <row r="250">
      <c r="A250" s="6" t="s">
        <v>52</v>
      </c>
      <c r="B250" s="6" t="s">
        <v>52</v>
      </c>
      <c r="C250" s="115">
        <v>0.0</v>
      </c>
      <c r="D250" s="115">
        <v>21312.0</v>
      </c>
      <c r="E250" s="115">
        <v>446.0</v>
      </c>
      <c r="F250" s="115">
        <v>19287.0</v>
      </c>
      <c r="G250" s="115">
        <v>12758.0</v>
      </c>
      <c r="H250" s="13">
        <v>45912.0</v>
      </c>
      <c r="I250" s="12" t="s">
        <v>53</v>
      </c>
    </row>
    <row r="251">
      <c r="A251" s="6" t="s">
        <v>47</v>
      </c>
      <c r="B251" s="6" t="s">
        <v>20</v>
      </c>
      <c r="C251" s="115">
        <v>0.0</v>
      </c>
      <c r="D251" s="115">
        <v>1016929.0</v>
      </c>
      <c r="E251" s="115">
        <v>23097.0</v>
      </c>
      <c r="F251" s="115">
        <v>931246.0</v>
      </c>
      <c r="G251" s="115">
        <v>772936.0</v>
      </c>
      <c r="H251" s="13">
        <v>45912.0</v>
      </c>
      <c r="I251" s="12" t="s">
        <v>54</v>
      </c>
    </row>
    <row r="252">
      <c r="A252" s="6" t="s">
        <v>47</v>
      </c>
      <c r="B252" s="6" t="s">
        <v>21</v>
      </c>
      <c r="C252" s="115">
        <v>0.0</v>
      </c>
      <c r="D252" s="115">
        <v>588727.0</v>
      </c>
      <c r="E252" s="115">
        <v>12128.0</v>
      </c>
      <c r="F252" s="115">
        <v>541671.0</v>
      </c>
      <c r="G252" s="115">
        <v>399773.0</v>
      </c>
      <c r="H252" s="13">
        <v>45912.0</v>
      </c>
      <c r="I252" s="12" t="s">
        <v>54</v>
      </c>
    </row>
    <row r="253">
      <c r="A253" s="6" t="s">
        <v>47</v>
      </c>
      <c r="B253" s="6" t="s">
        <v>22</v>
      </c>
      <c r="C253" s="115">
        <v>0.0</v>
      </c>
      <c r="D253" s="115">
        <v>370739.0</v>
      </c>
      <c r="E253" s="115">
        <v>7741.0</v>
      </c>
      <c r="F253" s="115">
        <v>343582.0</v>
      </c>
      <c r="G253" s="115">
        <v>258099.0</v>
      </c>
      <c r="H253" s="13">
        <v>45912.0</v>
      </c>
      <c r="I253" s="12" t="s">
        <v>54</v>
      </c>
    </row>
    <row r="254">
      <c r="A254" s="6" t="s">
        <v>49</v>
      </c>
      <c r="B254" s="6" t="s">
        <v>15</v>
      </c>
      <c r="C254" s="115">
        <v>0.0</v>
      </c>
      <c r="D254" s="115">
        <v>287647.0</v>
      </c>
      <c r="E254" s="115">
        <v>5917.0</v>
      </c>
      <c r="F254" s="115">
        <v>254509.0</v>
      </c>
      <c r="G254" s="115">
        <v>178014.0</v>
      </c>
      <c r="H254" s="13">
        <v>45912.0</v>
      </c>
      <c r="I254" s="12" t="s">
        <v>54</v>
      </c>
    </row>
    <row r="255">
      <c r="A255" s="6" t="s">
        <v>49</v>
      </c>
      <c r="B255" s="6" t="s">
        <v>30</v>
      </c>
      <c r="C255" s="115">
        <v>0.0</v>
      </c>
      <c r="D255" s="115">
        <v>562.0</v>
      </c>
      <c r="E255" s="115">
        <v>11.0</v>
      </c>
      <c r="F255" s="115">
        <v>515.0</v>
      </c>
      <c r="G255" s="115">
        <v>251.0</v>
      </c>
      <c r="H255" s="13">
        <v>45912.0</v>
      </c>
      <c r="I255" s="12" t="s">
        <v>54</v>
      </c>
    </row>
    <row r="256">
      <c r="A256" s="6" t="s">
        <v>49</v>
      </c>
      <c r="B256" s="6" t="s">
        <v>17</v>
      </c>
      <c r="C256" s="115">
        <v>0.0</v>
      </c>
      <c r="D256" s="115">
        <v>307500.0</v>
      </c>
      <c r="E256" s="115">
        <v>5744.0</v>
      </c>
      <c r="F256" s="115">
        <v>283458.0</v>
      </c>
      <c r="G256" s="115">
        <v>206026.0</v>
      </c>
      <c r="H256" s="13">
        <v>45912.0</v>
      </c>
      <c r="I256" s="12" t="s">
        <v>54</v>
      </c>
    </row>
    <row r="257">
      <c r="A257" s="6" t="s">
        <v>49</v>
      </c>
      <c r="B257" s="6" t="s">
        <v>16</v>
      </c>
      <c r="C257" s="115">
        <v>0.0</v>
      </c>
      <c r="D257" s="115">
        <v>605952.0</v>
      </c>
      <c r="E257" s="115">
        <v>13195.0</v>
      </c>
      <c r="F257" s="115">
        <v>558168.0</v>
      </c>
      <c r="G257" s="115">
        <v>408240.0</v>
      </c>
      <c r="H257" s="13">
        <v>45912.0</v>
      </c>
      <c r="I257" s="12" t="s">
        <v>54</v>
      </c>
    </row>
    <row r="258">
      <c r="A258" s="6" t="s">
        <v>49</v>
      </c>
      <c r="B258" s="6" t="s">
        <v>18</v>
      </c>
      <c r="C258" s="115">
        <v>0.0</v>
      </c>
      <c r="D258" s="115">
        <v>254086.0</v>
      </c>
      <c r="E258" s="115">
        <v>5306.0</v>
      </c>
      <c r="F258" s="115">
        <v>228567.0</v>
      </c>
      <c r="G258" s="115">
        <v>171639.0</v>
      </c>
      <c r="H258" s="13">
        <v>45912.0</v>
      </c>
      <c r="I258" s="12" t="s">
        <v>54</v>
      </c>
    </row>
    <row r="259">
      <c r="A259" s="6" t="s">
        <v>50</v>
      </c>
      <c r="B259" s="6" t="s">
        <v>24</v>
      </c>
      <c r="C259" s="115">
        <v>0.0</v>
      </c>
      <c r="D259" s="115">
        <v>512598.0</v>
      </c>
      <c r="E259" s="115">
        <v>9957.0</v>
      </c>
      <c r="F259" s="115">
        <v>467569.0</v>
      </c>
      <c r="G259" s="115">
        <v>338384.0</v>
      </c>
      <c r="H259" s="13">
        <v>45912.0</v>
      </c>
      <c r="I259" s="12" t="s">
        <v>54</v>
      </c>
    </row>
    <row r="260">
      <c r="A260" s="6" t="s">
        <v>50</v>
      </c>
      <c r="B260" s="6" t="s">
        <v>25</v>
      </c>
      <c r="C260" s="115">
        <v>0.0</v>
      </c>
      <c r="D260" s="115">
        <v>443278.0</v>
      </c>
      <c r="E260" s="115">
        <v>7954.0</v>
      </c>
      <c r="F260" s="115">
        <v>405520.0</v>
      </c>
      <c r="G260" s="115">
        <v>284660.0</v>
      </c>
      <c r="H260" s="13">
        <v>45912.0</v>
      </c>
      <c r="I260" s="12" t="s">
        <v>54</v>
      </c>
    </row>
    <row r="261">
      <c r="A261" s="6" t="s">
        <v>50</v>
      </c>
      <c r="B261" s="6" t="s">
        <v>26</v>
      </c>
      <c r="C261" s="115">
        <v>0.0</v>
      </c>
      <c r="D261" s="115">
        <v>389769.0</v>
      </c>
      <c r="E261" s="115">
        <v>6097.0</v>
      </c>
      <c r="F261" s="115">
        <v>366173.0</v>
      </c>
      <c r="G261" s="115">
        <v>258853.0</v>
      </c>
      <c r="H261" s="13">
        <v>45912.0</v>
      </c>
      <c r="I261" s="12" t="s">
        <v>54</v>
      </c>
    </row>
    <row r="262">
      <c r="A262" s="6" t="s">
        <v>50</v>
      </c>
      <c r="B262" s="6" t="s">
        <v>27</v>
      </c>
      <c r="C262" s="115">
        <v>0.0</v>
      </c>
      <c r="D262" s="115">
        <v>278578.0</v>
      </c>
      <c r="E262" s="115">
        <v>4719.0</v>
      </c>
      <c r="F262" s="115">
        <v>261349.0</v>
      </c>
      <c r="G262" s="115">
        <v>207241.0</v>
      </c>
      <c r="H262" s="13">
        <v>45912.0</v>
      </c>
      <c r="I262" s="12" t="s">
        <v>54</v>
      </c>
    </row>
    <row r="263">
      <c r="A263" s="6" t="s">
        <v>51</v>
      </c>
      <c r="B263" s="6" t="s">
        <v>29</v>
      </c>
      <c r="C263" s="115">
        <v>0.0</v>
      </c>
      <c r="D263" s="115">
        <v>624578.0</v>
      </c>
      <c r="E263" s="115">
        <v>11067.0</v>
      </c>
      <c r="F263" s="115">
        <v>571286.0</v>
      </c>
      <c r="G263" s="115">
        <v>388912.0</v>
      </c>
      <c r="H263" s="13">
        <v>45912.0</v>
      </c>
      <c r="I263" s="12" t="s">
        <v>54</v>
      </c>
    </row>
    <row r="264">
      <c r="A264" s="6" t="s">
        <v>51</v>
      </c>
      <c r="B264" s="6" t="s">
        <v>30</v>
      </c>
      <c r="C264" s="115">
        <v>0.0</v>
      </c>
      <c r="D264" s="115">
        <v>463827.0</v>
      </c>
      <c r="E264" s="115">
        <v>8998.0</v>
      </c>
      <c r="F264" s="115">
        <v>422258.0</v>
      </c>
      <c r="G264" s="115">
        <v>311235.0</v>
      </c>
      <c r="H264" s="13">
        <v>45912.0</v>
      </c>
      <c r="I264" s="12" t="s">
        <v>54</v>
      </c>
    </row>
    <row r="265">
      <c r="A265" s="6" t="s">
        <v>52</v>
      </c>
      <c r="B265" s="6" t="s">
        <v>52</v>
      </c>
      <c r="C265" s="115">
        <v>0.0</v>
      </c>
      <c r="D265" s="115">
        <v>21383.0</v>
      </c>
      <c r="E265" s="115">
        <v>450.0</v>
      </c>
      <c r="F265" s="115">
        <v>19332.0</v>
      </c>
      <c r="G265" s="115">
        <v>13881.0</v>
      </c>
      <c r="H265" s="13">
        <v>45912.0</v>
      </c>
      <c r="I265" s="12" t="s">
        <v>54</v>
      </c>
    </row>
    <row r="266">
      <c r="A266" s="6" t="s">
        <v>47</v>
      </c>
      <c r="B266" s="6" t="s">
        <v>20</v>
      </c>
      <c r="C266" s="115">
        <v>0.0</v>
      </c>
      <c r="D266" s="115">
        <v>1021192.0</v>
      </c>
      <c r="E266" s="115">
        <v>23145.0</v>
      </c>
      <c r="F266" s="115">
        <v>934819.0</v>
      </c>
      <c r="G266" s="115">
        <v>801522.0</v>
      </c>
      <c r="H266" s="13">
        <v>45912.0</v>
      </c>
      <c r="I266" s="12" t="s">
        <v>55</v>
      </c>
    </row>
    <row r="267">
      <c r="A267" s="6" t="s">
        <v>47</v>
      </c>
      <c r="B267" s="6" t="s">
        <v>21</v>
      </c>
      <c r="C267" s="115">
        <v>0.0</v>
      </c>
      <c r="D267" s="115">
        <v>589112.0</v>
      </c>
      <c r="E267" s="115">
        <v>12146.0</v>
      </c>
      <c r="F267" s="115">
        <v>541867.0</v>
      </c>
      <c r="G267" s="115">
        <v>406309.0</v>
      </c>
      <c r="H267" s="13">
        <v>45912.0</v>
      </c>
      <c r="I267" s="12" t="s">
        <v>55</v>
      </c>
    </row>
    <row r="268">
      <c r="A268" s="6" t="s">
        <v>47</v>
      </c>
      <c r="B268" s="6" t="s">
        <v>22</v>
      </c>
      <c r="C268" s="115">
        <v>0.0</v>
      </c>
      <c r="D268" s="115">
        <v>371104.0</v>
      </c>
      <c r="E268" s="115">
        <v>7745.0</v>
      </c>
      <c r="F268" s="115">
        <v>343706.0</v>
      </c>
      <c r="G268" s="115">
        <v>265340.0</v>
      </c>
      <c r="H268" s="13">
        <v>45912.0</v>
      </c>
      <c r="I268" s="12" t="s">
        <v>55</v>
      </c>
    </row>
    <row r="269">
      <c r="A269" s="6" t="s">
        <v>49</v>
      </c>
      <c r="B269" s="6" t="s">
        <v>15</v>
      </c>
      <c r="C269" s="115">
        <v>0.0</v>
      </c>
      <c r="D269" s="115">
        <v>287833.0</v>
      </c>
      <c r="E269" s="115">
        <v>5927.0</v>
      </c>
      <c r="F269" s="115">
        <v>254614.0</v>
      </c>
      <c r="G269" s="115">
        <v>186437.0</v>
      </c>
      <c r="H269" s="13">
        <v>45912.0</v>
      </c>
      <c r="I269" s="12" t="s">
        <v>55</v>
      </c>
    </row>
    <row r="270">
      <c r="A270" s="6" t="s">
        <v>49</v>
      </c>
      <c r="B270" s="6" t="s">
        <v>30</v>
      </c>
      <c r="C270" s="115">
        <v>0.0</v>
      </c>
      <c r="D270" s="115">
        <v>563.0</v>
      </c>
      <c r="E270" s="115">
        <v>11.0</v>
      </c>
      <c r="F270" s="115">
        <v>516.0</v>
      </c>
      <c r="G270" s="115">
        <v>260.0</v>
      </c>
      <c r="H270" s="13">
        <v>45912.0</v>
      </c>
      <c r="I270" s="12" t="s">
        <v>55</v>
      </c>
    </row>
    <row r="271">
      <c r="A271" s="6" t="s">
        <v>49</v>
      </c>
      <c r="B271" s="6" t="s">
        <v>17</v>
      </c>
      <c r="C271" s="115">
        <v>0.0</v>
      </c>
      <c r="D271" s="115">
        <v>307770.0</v>
      </c>
      <c r="E271" s="115">
        <v>5771.0</v>
      </c>
      <c r="F271" s="115">
        <v>283545.0</v>
      </c>
      <c r="G271" s="115">
        <v>209961.0</v>
      </c>
      <c r="H271" s="13">
        <v>45912.0</v>
      </c>
      <c r="I271" s="12" t="s">
        <v>55</v>
      </c>
    </row>
    <row r="272">
      <c r="A272" s="6" t="s">
        <v>49</v>
      </c>
      <c r="B272" s="6" t="s">
        <v>16</v>
      </c>
      <c r="C272" s="115">
        <v>0.0</v>
      </c>
      <c r="D272" s="115">
        <v>606290.0</v>
      </c>
      <c r="E272" s="115">
        <v>13203.0</v>
      </c>
      <c r="F272" s="115">
        <v>558337.0</v>
      </c>
      <c r="G272" s="115">
        <v>417872.0</v>
      </c>
      <c r="H272" s="13">
        <v>45912.0</v>
      </c>
      <c r="I272" s="12" t="s">
        <v>55</v>
      </c>
    </row>
    <row r="273">
      <c r="A273" s="6" t="s">
        <v>49</v>
      </c>
      <c r="B273" s="6" t="s">
        <v>18</v>
      </c>
      <c r="C273" s="115">
        <v>0.0</v>
      </c>
      <c r="D273" s="115">
        <v>254185.0</v>
      </c>
      <c r="E273" s="115">
        <v>5310.0</v>
      </c>
      <c r="F273" s="115">
        <v>228636.0</v>
      </c>
      <c r="G273" s="115">
        <v>174648.0</v>
      </c>
      <c r="H273" s="13">
        <v>45912.0</v>
      </c>
      <c r="I273" s="12" t="s">
        <v>55</v>
      </c>
    </row>
    <row r="274">
      <c r="A274" s="6" t="s">
        <v>50</v>
      </c>
      <c r="B274" s="6" t="s">
        <v>24</v>
      </c>
      <c r="C274" s="115">
        <v>0.0</v>
      </c>
      <c r="D274" s="115">
        <v>513060.0</v>
      </c>
      <c r="E274" s="115">
        <v>9964.0</v>
      </c>
      <c r="F274" s="115">
        <v>467865.0</v>
      </c>
      <c r="G274" s="115">
        <v>348717.0</v>
      </c>
      <c r="H274" s="13">
        <v>45912.0</v>
      </c>
      <c r="I274" s="12" t="s">
        <v>55</v>
      </c>
    </row>
    <row r="275">
      <c r="A275" s="6" t="s">
        <v>50</v>
      </c>
      <c r="B275" s="6" t="s">
        <v>25</v>
      </c>
      <c r="C275" s="115">
        <v>0.0</v>
      </c>
      <c r="D275" s="115">
        <v>445117.0</v>
      </c>
      <c r="E275" s="115">
        <v>7998.0</v>
      </c>
      <c r="F275" s="115">
        <v>407124.0</v>
      </c>
      <c r="G275" s="115">
        <v>299012.0</v>
      </c>
      <c r="H275" s="13">
        <v>45912.0</v>
      </c>
      <c r="I275" s="12" t="s">
        <v>55</v>
      </c>
    </row>
    <row r="276">
      <c r="A276" s="6" t="s">
        <v>50</v>
      </c>
      <c r="B276" s="6" t="s">
        <v>26</v>
      </c>
      <c r="C276" s="115">
        <v>0.0</v>
      </c>
      <c r="D276" s="115">
        <v>390272.0</v>
      </c>
      <c r="E276" s="115">
        <v>6112.0</v>
      </c>
      <c r="F276" s="115">
        <v>366526.0</v>
      </c>
      <c r="G276" s="115">
        <v>273864.0</v>
      </c>
      <c r="H276" s="13">
        <v>45912.0</v>
      </c>
      <c r="I276" s="12" t="s">
        <v>55</v>
      </c>
    </row>
    <row r="277">
      <c r="A277" s="6" t="s">
        <v>50</v>
      </c>
      <c r="B277" s="6" t="s">
        <v>27</v>
      </c>
      <c r="C277" s="115">
        <v>0.0</v>
      </c>
      <c r="D277" s="115">
        <v>278778.0</v>
      </c>
      <c r="E277" s="115">
        <v>4722.0</v>
      </c>
      <c r="F277" s="115">
        <v>261502.0</v>
      </c>
      <c r="G277" s="115">
        <v>213227.0</v>
      </c>
      <c r="H277" s="13">
        <v>45912.0</v>
      </c>
      <c r="I277" s="12" t="s">
        <v>55</v>
      </c>
    </row>
    <row r="278">
      <c r="A278" s="6" t="s">
        <v>51</v>
      </c>
      <c r="B278" s="6" t="s">
        <v>29</v>
      </c>
      <c r="C278" s="115">
        <v>0.0</v>
      </c>
      <c r="D278" s="115">
        <v>625380.0</v>
      </c>
      <c r="E278" s="115">
        <v>11101.0</v>
      </c>
      <c r="F278" s="115">
        <v>571908.0</v>
      </c>
      <c r="G278" s="115">
        <v>405389.0</v>
      </c>
      <c r="H278" s="13">
        <v>45912.0</v>
      </c>
      <c r="I278" s="12" t="s">
        <v>55</v>
      </c>
    </row>
    <row r="279">
      <c r="A279" s="6" t="s">
        <v>51</v>
      </c>
      <c r="B279" s="6" t="s">
        <v>30</v>
      </c>
      <c r="C279" s="115">
        <v>0.0</v>
      </c>
      <c r="D279" s="115">
        <v>464354.0</v>
      </c>
      <c r="E279" s="115">
        <v>9009.0</v>
      </c>
      <c r="F279" s="115">
        <v>422655.0</v>
      </c>
      <c r="G279" s="115">
        <v>319080.0</v>
      </c>
      <c r="H279" s="13">
        <v>45912.0</v>
      </c>
      <c r="I279" s="12" t="s">
        <v>55</v>
      </c>
    </row>
    <row r="280">
      <c r="A280" s="6" t="s">
        <v>52</v>
      </c>
      <c r="B280" s="6" t="s">
        <v>52</v>
      </c>
      <c r="C280" s="115">
        <v>0.0</v>
      </c>
      <c r="D280" s="115">
        <v>21430.0</v>
      </c>
      <c r="E280" s="115">
        <v>452.0</v>
      </c>
      <c r="F280" s="115">
        <v>19378.0</v>
      </c>
      <c r="G280" s="115">
        <v>14600.0</v>
      </c>
      <c r="H280" s="13">
        <v>45912.0</v>
      </c>
      <c r="I280" s="12" t="s">
        <v>55</v>
      </c>
    </row>
    <row r="281">
      <c r="A281" s="6" t="s">
        <v>47</v>
      </c>
      <c r="B281" s="6" t="s">
        <v>20</v>
      </c>
      <c r="C281" s="115">
        <v>0.0</v>
      </c>
      <c r="D281" s="115">
        <v>1022424.0</v>
      </c>
      <c r="E281" s="115">
        <v>23171.0</v>
      </c>
      <c r="F281" s="115">
        <v>935628.0</v>
      </c>
      <c r="G281" s="115">
        <v>818118.0</v>
      </c>
      <c r="H281" s="13">
        <v>45912.0</v>
      </c>
      <c r="I281" s="12" t="s">
        <v>56</v>
      </c>
    </row>
    <row r="282">
      <c r="A282" s="6" t="s">
        <v>47</v>
      </c>
      <c r="B282" s="6" t="s">
        <v>21</v>
      </c>
      <c r="C282" s="115">
        <v>0.0</v>
      </c>
      <c r="D282" s="115">
        <v>589236.0</v>
      </c>
      <c r="E282" s="115">
        <v>12155.0</v>
      </c>
      <c r="F282" s="115">
        <v>541900.0</v>
      </c>
      <c r="G282" s="115">
        <v>408909.0</v>
      </c>
      <c r="H282" s="13">
        <v>45912.0</v>
      </c>
      <c r="I282" s="12" t="s">
        <v>56</v>
      </c>
    </row>
    <row r="283">
      <c r="A283" s="6" t="s">
        <v>47</v>
      </c>
      <c r="B283" s="6" t="s">
        <v>22</v>
      </c>
      <c r="C283" s="115">
        <v>0.0</v>
      </c>
      <c r="D283" s="115">
        <v>371302.0</v>
      </c>
      <c r="E283" s="115">
        <v>7748.0</v>
      </c>
      <c r="F283" s="115">
        <v>343739.0</v>
      </c>
      <c r="G283" s="115">
        <v>269053.0</v>
      </c>
      <c r="H283" s="13">
        <v>45912.0</v>
      </c>
      <c r="I283" s="12" t="s">
        <v>56</v>
      </c>
    </row>
    <row r="284">
      <c r="A284" s="6" t="s">
        <v>49</v>
      </c>
      <c r="B284" s="6" t="s">
        <v>15</v>
      </c>
      <c r="C284" s="115">
        <v>0.0</v>
      </c>
      <c r="D284" s="115">
        <v>287953.0</v>
      </c>
      <c r="E284" s="115">
        <v>5933.0</v>
      </c>
      <c r="F284" s="115">
        <v>254651.0</v>
      </c>
      <c r="G284" s="115">
        <v>190582.0</v>
      </c>
      <c r="H284" s="13">
        <v>45912.0</v>
      </c>
      <c r="I284" s="12" t="s">
        <v>56</v>
      </c>
    </row>
    <row r="285">
      <c r="A285" s="6" t="s">
        <v>49</v>
      </c>
      <c r="B285" s="6" t="s">
        <v>30</v>
      </c>
      <c r="C285" s="115">
        <v>0.0</v>
      </c>
      <c r="D285" s="115">
        <v>563.0</v>
      </c>
      <c r="E285" s="115">
        <v>11.0</v>
      </c>
      <c r="F285" s="115">
        <v>516.0</v>
      </c>
      <c r="G285" s="115">
        <v>260.0</v>
      </c>
      <c r="H285" s="13">
        <v>45912.0</v>
      </c>
      <c r="I285" s="12" t="s">
        <v>56</v>
      </c>
    </row>
    <row r="286">
      <c r="A286" s="6" t="s">
        <v>49</v>
      </c>
      <c r="B286" s="6" t="s">
        <v>17</v>
      </c>
      <c r="C286" s="115">
        <v>0.0</v>
      </c>
      <c r="D286" s="115">
        <v>307825.0</v>
      </c>
      <c r="E286" s="115">
        <v>5777.0</v>
      </c>
      <c r="F286" s="115">
        <v>283573.0</v>
      </c>
      <c r="G286" s="115">
        <v>211590.0</v>
      </c>
      <c r="H286" s="13">
        <v>45912.0</v>
      </c>
      <c r="I286" s="12" t="s">
        <v>56</v>
      </c>
    </row>
    <row r="287">
      <c r="A287" s="6" t="s">
        <v>49</v>
      </c>
      <c r="B287" s="6" t="s">
        <v>16</v>
      </c>
      <c r="C287" s="115">
        <v>0.0</v>
      </c>
      <c r="D287" s="115">
        <v>606727.0</v>
      </c>
      <c r="E287" s="115">
        <v>13210.0</v>
      </c>
      <c r="F287" s="115">
        <v>558630.0</v>
      </c>
      <c r="G287" s="115">
        <v>422183.0</v>
      </c>
      <c r="H287" s="13">
        <v>45912.0</v>
      </c>
      <c r="I287" s="12" t="s">
        <v>56</v>
      </c>
    </row>
    <row r="288">
      <c r="A288" s="6" t="s">
        <v>49</v>
      </c>
      <c r="B288" s="6" t="s">
        <v>18</v>
      </c>
      <c r="C288" s="115">
        <v>0.0</v>
      </c>
      <c r="D288" s="115">
        <v>254263.0</v>
      </c>
      <c r="E288" s="115">
        <v>5312.0</v>
      </c>
      <c r="F288" s="115">
        <v>228673.0</v>
      </c>
      <c r="G288" s="115">
        <v>175855.0</v>
      </c>
      <c r="H288" s="13">
        <v>45912.0</v>
      </c>
      <c r="I288" s="12" t="s">
        <v>56</v>
      </c>
    </row>
    <row r="289">
      <c r="A289" s="6" t="s">
        <v>50</v>
      </c>
      <c r="B289" s="6" t="s">
        <v>24</v>
      </c>
      <c r="C289" s="115">
        <v>0.0</v>
      </c>
      <c r="D289" s="115">
        <v>513160.0</v>
      </c>
      <c r="E289" s="115">
        <v>9970.0</v>
      </c>
      <c r="F289" s="115">
        <v>467911.0</v>
      </c>
      <c r="G289" s="115">
        <v>353536.0</v>
      </c>
      <c r="H289" s="13">
        <v>45912.0</v>
      </c>
      <c r="I289" s="12" t="s">
        <v>56</v>
      </c>
    </row>
    <row r="290">
      <c r="A290" s="6" t="s">
        <v>50</v>
      </c>
      <c r="B290" s="6" t="s">
        <v>25</v>
      </c>
      <c r="C290" s="115">
        <v>0.0</v>
      </c>
      <c r="D290" s="115">
        <v>445607.0</v>
      </c>
      <c r="E290" s="115">
        <v>8012.0</v>
      </c>
      <c r="F290" s="115">
        <v>407493.0</v>
      </c>
      <c r="G290" s="115">
        <v>306812.0</v>
      </c>
      <c r="H290" s="13">
        <v>45912.0</v>
      </c>
      <c r="I290" s="12" t="s">
        <v>56</v>
      </c>
    </row>
    <row r="291">
      <c r="A291" s="6" t="s">
        <v>50</v>
      </c>
      <c r="B291" s="6" t="s">
        <v>26</v>
      </c>
      <c r="C291" s="115">
        <v>0.0</v>
      </c>
      <c r="D291" s="115">
        <v>390443.0</v>
      </c>
      <c r="E291" s="115">
        <v>6116.0</v>
      </c>
      <c r="F291" s="115">
        <v>366619.0</v>
      </c>
      <c r="G291" s="115">
        <v>282953.0</v>
      </c>
      <c r="H291" s="13">
        <v>45912.0</v>
      </c>
      <c r="I291" s="12" t="s">
        <v>56</v>
      </c>
    </row>
    <row r="292">
      <c r="A292" s="6" t="s">
        <v>50</v>
      </c>
      <c r="B292" s="6" t="s">
        <v>27</v>
      </c>
      <c r="C292" s="115">
        <v>0.0</v>
      </c>
      <c r="D292" s="115">
        <v>278899.0</v>
      </c>
      <c r="E292" s="115">
        <v>4724.0</v>
      </c>
      <c r="F292" s="115">
        <v>261601.0</v>
      </c>
      <c r="G292" s="115">
        <v>216434.0</v>
      </c>
      <c r="H292" s="13">
        <v>45912.0</v>
      </c>
      <c r="I292" s="12" t="s">
        <v>56</v>
      </c>
    </row>
    <row r="293">
      <c r="A293" s="6" t="s">
        <v>51</v>
      </c>
      <c r="B293" s="6" t="s">
        <v>29</v>
      </c>
      <c r="C293" s="115">
        <v>0.0</v>
      </c>
      <c r="D293" s="115">
        <v>625749.0</v>
      </c>
      <c r="E293" s="115">
        <v>11118.0</v>
      </c>
      <c r="F293" s="115">
        <v>572227.0</v>
      </c>
      <c r="G293" s="115">
        <v>414679.0</v>
      </c>
      <c r="H293" s="13">
        <v>45912.0</v>
      </c>
      <c r="I293" s="12" t="s">
        <v>56</v>
      </c>
    </row>
    <row r="294">
      <c r="A294" s="6" t="s">
        <v>51</v>
      </c>
      <c r="B294" s="6" t="s">
        <v>30</v>
      </c>
      <c r="C294" s="115">
        <v>0.0</v>
      </c>
      <c r="D294" s="115">
        <v>464639.0</v>
      </c>
      <c r="E294" s="115">
        <v>9017.0</v>
      </c>
      <c r="F294" s="115">
        <v>422829.0</v>
      </c>
      <c r="G294" s="115">
        <v>322820.0</v>
      </c>
      <c r="H294" s="13">
        <v>45912.0</v>
      </c>
      <c r="I294" s="12" t="s">
        <v>56</v>
      </c>
    </row>
    <row r="295">
      <c r="A295" s="6" t="s">
        <v>52</v>
      </c>
      <c r="B295" s="6" t="s">
        <v>52</v>
      </c>
      <c r="C295" s="115">
        <v>0.0</v>
      </c>
      <c r="D295" s="115">
        <v>21508.0</v>
      </c>
      <c r="E295" s="115">
        <v>454.0</v>
      </c>
      <c r="F295" s="115">
        <v>19455.0</v>
      </c>
      <c r="G295" s="115">
        <v>14906.0</v>
      </c>
      <c r="H295" s="13">
        <v>45912.0</v>
      </c>
      <c r="I295" s="12" t="s">
        <v>56</v>
      </c>
    </row>
    <row r="296">
      <c r="A296" s="6" t="s">
        <v>47</v>
      </c>
      <c r="B296" s="6" t="s">
        <v>20</v>
      </c>
      <c r="C296" s="115">
        <v>0.0</v>
      </c>
      <c r="D296" s="115">
        <v>1022897.0</v>
      </c>
      <c r="E296" s="115">
        <v>23183.0</v>
      </c>
      <c r="F296" s="115">
        <v>935834.0</v>
      </c>
      <c r="G296" s="115">
        <v>826686.0</v>
      </c>
      <c r="H296" s="13">
        <v>45912.0</v>
      </c>
      <c r="I296" s="12" t="s">
        <v>57</v>
      </c>
    </row>
    <row r="297">
      <c r="A297" s="6" t="s">
        <v>47</v>
      </c>
      <c r="B297" s="6" t="s">
        <v>21</v>
      </c>
      <c r="C297" s="115">
        <v>0.0</v>
      </c>
      <c r="D297" s="115">
        <v>589263.0</v>
      </c>
      <c r="E297" s="115">
        <v>12158.0</v>
      </c>
      <c r="F297" s="115">
        <v>541911.0</v>
      </c>
      <c r="G297" s="115">
        <v>409802.0</v>
      </c>
      <c r="H297" s="13">
        <v>45912.0</v>
      </c>
      <c r="I297" s="12" t="s">
        <v>57</v>
      </c>
    </row>
    <row r="298">
      <c r="A298" s="6" t="s">
        <v>47</v>
      </c>
      <c r="B298" s="6" t="s">
        <v>22</v>
      </c>
      <c r="C298" s="115">
        <v>0.0</v>
      </c>
      <c r="D298" s="115">
        <v>371391.0</v>
      </c>
      <c r="E298" s="115">
        <v>7751.0</v>
      </c>
      <c r="F298" s="115">
        <v>343746.0</v>
      </c>
      <c r="G298" s="115">
        <v>270775.0</v>
      </c>
      <c r="H298" s="13">
        <v>45912.0</v>
      </c>
      <c r="I298" s="12" t="s">
        <v>57</v>
      </c>
    </row>
    <row r="299">
      <c r="A299" s="6" t="s">
        <v>49</v>
      </c>
      <c r="B299" s="6" t="s">
        <v>15</v>
      </c>
      <c r="C299" s="115">
        <v>0.0</v>
      </c>
      <c r="D299" s="115">
        <v>288073.0</v>
      </c>
      <c r="E299" s="115">
        <v>5944.0</v>
      </c>
      <c r="F299" s="115">
        <v>254758.0</v>
      </c>
      <c r="G299" s="115">
        <v>192449.0</v>
      </c>
      <c r="H299" s="13">
        <v>45912.0</v>
      </c>
      <c r="I299" s="12" t="s">
        <v>57</v>
      </c>
    </row>
    <row r="300">
      <c r="A300" s="6" t="s">
        <v>49</v>
      </c>
      <c r="B300" s="6" t="s">
        <v>30</v>
      </c>
      <c r="C300" s="115">
        <v>0.0</v>
      </c>
      <c r="D300" s="115">
        <v>563.0</v>
      </c>
      <c r="E300" s="115">
        <v>11.0</v>
      </c>
      <c r="F300" s="115">
        <v>516.0</v>
      </c>
      <c r="G300" s="115">
        <v>260.0</v>
      </c>
      <c r="H300" s="13">
        <v>45912.0</v>
      </c>
      <c r="I300" s="12" t="s">
        <v>57</v>
      </c>
    </row>
    <row r="301">
      <c r="A301" s="6" t="s">
        <v>49</v>
      </c>
      <c r="B301" s="6" t="s">
        <v>17</v>
      </c>
      <c r="C301" s="115">
        <v>0.0</v>
      </c>
      <c r="D301" s="115">
        <v>307865.0</v>
      </c>
      <c r="E301" s="115">
        <v>5786.0</v>
      </c>
      <c r="F301" s="115">
        <v>283575.0</v>
      </c>
      <c r="G301" s="115">
        <v>212288.0</v>
      </c>
      <c r="H301" s="13">
        <v>45912.0</v>
      </c>
      <c r="I301" s="12" t="s">
        <v>57</v>
      </c>
    </row>
    <row r="302">
      <c r="A302" s="6" t="s">
        <v>49</v>
      </c>
      <c r="B302" s="6" t="s">
        <v>16</v>
      </c>
      <c r="C302" s="115">
        <v>0.0</v>
      </c>
      <c r="D302" s="115">
        <v>606782.0</v>
      </c>
      <c r="E302" s="115">
        <v>13214.0</v>
      </c>
      <c r="F302" s="115">
        <v>558676.0</v>
      </c>
      <c r="G302" s="115">
        <v>423797.0</v>
      </c>
      <c r="H302" s="13">
        <v>45912.0</v>
      </c>
      <c r="I302" s="12" t="s">
        <v>57</v>
      </c>
    </row>
    <row r="303">
      <c r="A303" s="6" t="s">
        <v>49</v>
      </c>
      <c r="B303" s="6" t="s">
        <v>18</v>
      </c>
      <c r="C303" s="115">
        <v>0.0</v>
      </c>
      <c r="D303" s="115">
        <v>254272.0</v>
      </c>
      <c r="E303" s="115">
        <v>5313.0</v>
      </c>
      <c r="F303" s="115">
        <v>228683.0</v>
      </c>
      <c r="G303" s="115">
        <v>176344.0</v>
      </c>
      <c r="H303" s="13">
        <v>45912.0</v>
      </c>
      <c r="I303" s="12" t="s">
        <v>57</v>
      </c>
    </row>
    <row r="304">
      <c r="A304" s="6" t="s">
        <v>50</v>
      </c>
      <c r="B304" s="6" t="s">
        <v>24</v>
      </c>
      <c r="C304" s="115">
        <v>0.0</v>
      </c>
      <c r="D304" s="115">
        <v>513238.0</v>
      </c>
      <c r="E304" s="115">
        <v>9971.0</v>
      </c>
      <c r="F304" s="115">
        <v>467954.0</v>
      </c>
      <c r="G304" s="115">
        <v>355252.0</v>
      </c>
      <c r="H304" s="13">
        <v>45912.0</v>
      </c>
      <c r="I304" s="12" t="s">
        <v>57</v>
      </c>
    </row>
    <row r="305">
      <c r="A305" s="6" t="s">
        <v>50</v>
      </c>
      <c r="B305" s="6" t="s">
        <v>25</v>
      </c>
      <c r="C305" s="115">
        <v>0.0</v>
      </c>
      <c r="D305" s="115">
        <v>445813.0</v>
      </c>
      <c r="E305" s="115">
        <v>8016.0</v>
      </c>
      <c r="F305" s="115">
        <v>407633.0</v>
      </c>
      <c r="G305" s="115">
        <v>310245.0</v>
      </c>
      <c r="H305" s="13">
        <v>45912.0</v>
      </c>
      <c r="I305" s="12" t="s">
        <v>57</v>
      </c>
    </row>
    <row r="306">
      <c r="A306" s="6" t="s">
        <v>50</v>
      </c>
      <c r="B306" s="6" t="s">
        <v>26</v>
      </c>
      <c r="C306" s="115">
        <v>0.0</v>
      </c>
      <c r="D306" s="115">
        <v>390610.0</v>
      </c>
      <c r="E306" s="115">
        <v>6118.0</v>
      </c>
      <c r="F306" s="115">
        <v>366733.0</v>
      </c>
      <c r="G306" s="115">
        <v>287388.0</v>
      </c>
      <c r="H306" s="13">
        <v>45912.0</v>
      </c>
      <c r="I306" s="12" t="s">
        <v>57</v>
      </c>
    </row>
    <row r="307">
      <c r="A307" s="6" t="s">
        <v>50</v>
      </c>
      <c r="B307" s="6" t="s">
        <v>27</v>
      </c>
      <c r="C307" s="115">
        <v>0.0</v>
      </c>
      <c r="D307" s="115">
        <v>278944.0</v>
      </c>
      <c r="E307" s="115">
        <v>4726.0</v>
      </c>
      <c r="F307" s="115">
        <v>261636.0</v>
      </c>
      <c r="G307" s="115">
        <v>217834.0</v>
      </c>
      <c r="H307" s="13">
        <v>45912.0</v>
      </c>
      <c r="I307" s="12" t="s">
        <v>57</v>
      </c>
    </row>
    <row r="308">
      <c r="A308" s="6" t="s">
        <v>51</v>
      </c>
      <c r="B308" s="6" t="s">
        <v>29</v>
      </c>
      <c r="C308" s="115">
        <v>0.0</v>
      </c>
      <c r="D308" s="115">
        <v>625957.0</v>
      </c>
      <c r="E308" s="115">
        <v>11125.0</v>
      </c>
      <c r="F308" s="115">
        <v>572349.0</v>
      </c>
      <c r="G308" s="115">
        <v>419107.0</v>
      </c>
      <c r="H308" s="13">
        <v>45912.0</v>
      </c>
      <c r="I308" s="12" t="s">
        <v>57</v>
      </c>
    </row>
    <row r="309">
      <c r="A309" s="6" t="s">
        <v>51</v>
      </c>
      <c r="B309" s="6" t="s">
        <v>30</v>
      </c>
      <c r="C309" s="115">
        <v>0.0</v>
      </c>
      <c r="D309" s="115">
        <v>464699.0</v>
      </c>
      <c r="E309" s="115">
        <v>9024.0</v>
      </c>
      <c r="F309" s="115">
        <v>422879.0</v>
      </c>
      <c r="G309" s="115">
        <v>324225.0</v>
      </c>
      <c r="H309" s="13">
        <v>45912.0</v>
      </c>
      <c r="I309" s="12" t="s">
        <v>57</v>
      </c>
    </row>
    <row r="310">
      <c r="A310" s="6" t="s">
        <v>52</v>
      </c>
      <c r="B310" s="6" t="s">
        <v>52</v>
      </c>
      <c r="C310" s="115">
        <v>0.0</v>
      </c>
      <c r="D310" s="115">
        <v>21500.0</v>
      </c>
      <c r="E310" s="115">
        <v>455.0</v>
      </c>
      <c r="F310" s="115">
        <v>19456.0</v>
      </c>
      <c r="G310" s="115">
        <v>15005.0</v>
      </c>
      <c r="H310" s="13">
        <v>45912.0</v>
      </c>
      <c r="I310" s="12" t="s">
        <v>57</v>
      </c>
    </row>
    <row r="311">
      <c r="A311" s="6" t="s">
        <v>47</v>
      </c>
      <c r="B311" s="6" t="s">
        <v>20</v>
      </c>
      <c r="C311" s="115">
        <v>0.0</v>
      </c>
      <c r="D311" s="115">
        <v>83588.0</v>
      </c>
      <c r="E311" s="115">
        <v>2863.0</v>
      </c>
      <c r="F311" s="115">
        <v>76482.0</v>
      </c>
      <c r="G311" s="115">
        <v>733.0</v>
      </c>
      <c r="H311" s="13">
        <v>45913.0</v>
      </c>
      <c r="I311" s="12" t="s">
        <v>58</v>
      </c>
    </row>
    <row r="312">
      <c r="A312" s="6" t="s">
        <v>47</v>
      </c>
      <c r="B312" s="6" t="s">
        <v>21</v>
      </c>
      <c r="C312" s="115">
        <v>0.0</v>
      </c>
      <c r="D312" s="115">
        <v>44766.0</v>
      </c>
      <c r="E312" s="115">
        <v>1456.0</v>
      </c>
      <c r="F312" s="115">
        <v>40914.0</v>
      </c>
      <c r="G312" s="115">
        <v>262.0</v>
      </c>
      <c r="H312" s="13">
        <v>45913.0</v>
      </c>
      <c r="I312" s="12" t="s">
        <v>58</v>
      </c>
    </row>
    <row r="313">
      <c r="A313" s="6" t="s">
        <v>47</v>
      </c>
      <c r="B313" s="6" t="s">
        <v>22</v>
      </c>
      <c r="C313" s="115">
        <v>0.0</v>
      </c>
      <c r="D313" s="115">
        <v>39970.0</v>
      </c>
      <c r="E313" s="115">
        <v>1285.0</v>
      </c>
      <c r="F313" s="115">
        <v>37914.0</v>
      </c>
      <c r="G313" s="115">
        <v>146.0</v>
      </c>
      <c r="H313" s="13">
        <v>45913.0</v>
      </c>
      <c r="I313" s="12" t="s">
        <v>58</v>
      </c>
    </row>
    <row r="314">
      <c r="A314" s="6" t="s">
        <v>49</v>
      </c>
      <c r="B314" s="6" t="s">
        <v>15</v>
      </c>
      <c r="C314" s="115">
        <v>0.0</v>
      </c>
      <c r="D314" s="115">
        <v>62262.0</v>
      </c>
      <c r="E314" s="115">
        <v>1376.0</v>
      </c>
      <c r="F314" s="115">
        <v>57118.0</v>
      </c>
      <c r="G314" s="115">
        <v>174.0</v>
      </c>
      <c r="H314" s="13">
        <v>45913.0</v>
      </c>
      <c r="I314" s="12" t="s">
        <v>58</v>
      </c>
    </row>
    <row r="315">
      <c r="A315" s="6" t="s">
        <v>49</v>
      </c>
      <c r="B315" s="6" t="s">
        <v>30</v>
      </c>
      <c r="C315" s="115">
        <v>0.0</v>
      </c>
      <c r="D315" s="115">
        <v>40.0</v>
      </c>
      <c r="E315" s="115">
        <v>3.0</v>
      </c>
      <c r="F315" s="115">
        <v>0.0</v>
      </c>
      <c r="G315" s="115">
        <v>0.0</v>
      </c>
      <c r="H315" s="13">
        <v>45913.0</v>
      </c>
      <c r="I315" s="12" t="s">
        <v>58</v>
      </c>
    </row>
    <row r="316">
      <c r="A316" s="6" t="s">
        <v>49</v>
      </c>
      <c r="B316" s="6" t="s">
        <v>17</v>
      </c>
      <c r="C316" s="115">
        <v>0.0</v>
      </c>
      <c r="D316" s="115">
        <v>18697.0</v>
      </c>
      <c r="E316" s="115">
        <v>492.0</v>
      </c>
      <c r="F316" s="115">
        <v>17388.0</v>
      </c>
      <c r="G316" s="115">
        <v>138.0</v>
      </c>
      <c r="H316" s="13">
        <v>45913.0</v>
      </c>
      <c r="I316" s="12" t="s">
        <v>58</v>
      </c>
    </row>
    <row r="317">
      <c r="A317" s="6" t="s">
        <v>49</v>
      </c>
      <c r="B317" s="6" t="s">
        <v>16</v>
      </c>
      <c r="C317" s="115">
        <v>0.0</v>
      </c>
      <c r="D317" s="115">
        <v>42780.0</v>
      </c>
      <c r="E317" s="115">
        <v>1347.0</v>
      </c>
      <c r="F317" s="115">
        <v>37379.0</v>
      </c>
      <c r="G317" s="115">
        <v>307.0</v>
      </c>
      <c r="H317" s="13">
        <v>45913.0</v>
      </c>
      <c r="I317" s="12" t="s">
        <v>58</v>
      </c>
    </row>
    <row r="318">
      <c r="A318" s="6" t="s">
        <v>49</v>
      </c>
      <c r="B318" s="6" t="s">
        <v>18</v>
      </c>
      <c r="C318" s="115">
        <v>0.0</v>
      </c>
      <c r="D318" s="115">
        <v>18981.0</v>
      </c>
      <c r="E318" s="115">
        <v>605.0</v>
      </c>
      <c r="F318" s="115">
        <v>16271.0</v>
      </c>
      <c r="G318" s="115">
        <v>249.0</v>
      </c>
      <c r="H318" s="13">
        <v>45913.0</v>
      </c>
      <c r="I318" s="12" t="s">
        <v>58</v>
      </c>
    </row>
    <row r="319">
      <c r="A319" s="6" t="s">
        <v>50</v>
      </c>
      <c r="B319" s="6" t="s">
        <v>24</v>
      </c>
      <c r="C319" s="115">
        <v>0.0</v>
      </c>
      <c r="D319" s="115">
        <v>87582.0</v>
      </c>
      <c r="E319" s="115">
        <v>2012.0</v>
      </c>
      <c r="F319" s="115">
        <v>82491.0</v>
      </c>
      <c r="G319" s="115">
        <v>2507.0</v>
      </c>
      <c r="H319" s="13">
        <v>45913.0</v>
      </c>
      <c r="I319" s="12" t="s">
        <v>58</v>
      </c>
    </row>
    <row r="320">
      <c r="A320" s="6" t="s">
        <v>50</v>
      </c>
      <c r="B320" s="6" t="s">
        <v>25</v>
      </c>
      <c r="C320" s="115">
        <v>0.0</v>
      </c>
      <c r="D320" s="115">
        <v>65259.0</v>
      </c>
      <c r="E320" s="115">
        <v>1416.0</v>
      </c>
      <c r="F320" s="115">
        <v>59407.0</v>
      </c>
      <c r="G320" s="115">
        <v>661.0</v>
      </c>
      <c r="H320" s="13">
        <v>45913.0</v>
      </c>
      <c r="I320" s="12" t="s">
        <v>58</v>
      </c>
    </row>
    <row r="321">
      <c r="A321" s="6" t="s">
        <v>50</v>
      </c>
      <c r="B321" s="6" t="s">
        <v>26</v>
      </c>
      <c r="C321" s="115">
        <v>0.0</v>
      </c>
      <c r="D321" s="115">
        <v>10984.0</v>
      </c>
      <c r="E321" s="115">
        <v>293.0</v>
      </c>
      <c r="F321" s="115">
        <v>10448.0</v>
      </c>
      <c r="G321" s="115">
        <v>234.0</v>
      </c>
      <c r="H321" s="13">
        <v>45913.0</v>
      </c>
      <c r="I321" s="12" t="s">
        <v>58</v>
      </c>
    </row>
    <row r="322">
      <c r="A322" s="6" t="s">
        <v>50</v>
      </c>
      <c r="B322" s="6" t="s">
        <v>27</v>
      </c>
      <c r="C322" s="115">
        <v>0.0</v>
      </c>
      <c r="D322" s="115">
        <v>4782.0</v>
      </c>
      <c r="E322" s="115">
        <v>132.0</v>
      </c>
      <c r="F322" s="115">
        <v>4494.0</v>
      </c>
      <c r="G322" s="115">
        <v>76.0</v>
      </c>
      <c r="H322" s="13">
        <v>45913.0</v>
      </c>
      <c r="I322" s="12" t="s">
        <v>58</v>
      </c>
    </row>
    <row r="323">
      <c r="A323" s="6" t="s">
        <v>51</v>
      </c>
      <c r="B323" s="6" t="s">
        <v>29</v>
      </c>
      <c r="C323" s="115">
        <v>0.0</v>
      </c>
      <c r="D323" s="115">
        <v>27316.0</v>
      </c>
      <c r="E323" s="115">
        <v>741.0</v>
      </c>
      <c r="F323" s="115">
        <v>22614.0</v>
      </c>
      <c r="G323" s="115">
        <v>177.0</v>
      </c>
      <c r="H323" s="13">
        <v>45913.0</v>
      </c>
      <c r="I323" s="12" t="s">
        <v>58</v>
      </c>
    </row>
    <row r="324">
      <c r="A324" s="6" t="s">
        <v>51</v>
      </c>
      <c r="B324" s="6" t="s">
        <v>30</v>
      </c>
      <c r="C324" s="115">
        <v>0.0</v>
      </c>
      <c r="D324" s="115">
        <v>38937.0</v>
      </c>
      <c r="E324" s="115">
        <v>1074.0</v>
      </c>
      <c r="F324" s="115">
        <v>35626.0</v>
      </c>
      <c r="G324" s="115">
        <v>363.0</v>
      </c>
      <c r="H324" s="13">
        <v>45913.0</v>
      </c>
      <c r="I324" s="12" t="s">
        <v>58</v>
      </c>
    </row>
    <row r="325">
      <c r="A325" s="6" t="s">
        <v>52</v>
      </c>
      <c r="B325" s="6" t="s">
        <v>52</v>
      </c>
      <c r="C325" s="115">
        <v>0.0</v>
      </c>
      <c r="D325" s="115">
        <v>1229.0</v>
      </c>
      <c r="E325" s="115">
        <v>32.0</v>
      </c>
      <c r="F325" s="115">
        <v>936.0</v>
      </c>
      <c r="G325" s="115">
        <v>4.0</v>
      </c>
      <c r="H325" s="13">
        <v>45913.0</v>
      </c>
      <c r="I325" s="12" t="s">
        <v>58</v>
      </c>
    </row>
    <row r="326">
      <c r="A326" s="6" t="s">
        <v>47</v>
      </c>
      <c r="B326" s="6" t="s">
        <v>20</v>
      </c>
      <c r="C326" s="115">
        <v>0.0</v>
      </c>
      <c r="D326" s="115">
        <v>321179.0</v>
      </c>
      <c r="E326" s="115">
        <v>8787.0</v>
      </c>
      <c r="F326" s="115">
        <v>299274.0</v>
      </c>
      <c r="G326" s="115">
        <v>7945.0</v>
      </c>
      <c r="H326" s="13">
        <v>45913.0</v>
      </c>
      <c r="I326" s="12" t="s">
        <v>59</v>
      </c>
    </row>
    <row r="327">
      <c r="A327" s="6" t="s">
        <v>47</v>
      </c>
      <c r="B327" s="6" t="s">
        <v>21</v>
      </c>
      <c r="C327" s="115">
        <v>0.0</v>
      </c>
      <c r="D327" s="115">
        <v>171570.0</v>
      </c>
      <c r="E327" s="115">
        <v>4457.0</v>
      </c>
      <c r="F327" s="115">
        <v>161220.0</v>
      </c>
      <c r="G327" s="115">
        <v>2856.0</v>
      </c>
      <c r="H327" s="13">
        <v>45913.0</v>
      </c>
      <c r="I327" s="12" t="s">
        <v>59</v>
      </c>
    </row>
    <row r="328">
      <c r="A328" s="6" t="s">
        <v>47</v>
      </c>
      <c r="B328" s="6" t="s">
        <v>22</v>
      </c>
      <c r="C328" s="115">
        <v>0.0</v>
      </c>
      <c r="D328" s="115">
        <v>114880.0</v>
      </c>
      <c r="E328" s="115">
        <v>2947.0</v>
      </c>
      <c r="F328" s="115">
        <v>109181.0</v>
      </c>
      <c r="G328" s="115">
        <v>1514.0</v>
      </c>
      <c r="H328" s="13">
        <v>45913.0</v>
      </c>
      <c r="I328" s="12" t="s">
        <v>59</v>
      </c>
    </row>
    <row r="329">
      <c r="A329" s="6" t="s">
        <v>49</v>
      </c>
      <c r="B329" s="6" t="s">
        <v>15</v>
      </c>
      <c r="C329" s="115">
        <v>0.0</v>
      </c>
      <c r="D329" s="115">
        <v>119914.0</v>
      </c>
      <c r="E329" s="115">
        <v>2537.0</v>
      </c>
      <c r="F329" s="115">
        <v>108511.0</v>
      </c>
      <c r="G329" s="115">
        <v>2604.0</v>
      </c>
      <c r="H329" s="13">
        <v>45913.0</v>
      </c>
      <c r="I329" s="12" t="s">
        <v>59</v>
      </c>
    </row>
    <row r="330">
      <c r="A330" s="6" t="s">
        <v>49</v>
      </c>
      <c r="B330" s="6" t="s">
        <v>30</v>
      </c>
      <c r="C330" s="115">
        <v>0.0</v>
      </c>
      <c r="D330" s="115">
        <v>40.0</v>
      </c>
      <c r="E330" s="115">
        <v>3.0</v>
      </c>
      <c r="F330" s="115">
        <v>0.0</v>
      </c>
      <c r="G330" s="115">
        <v>0.0</v>
      </c>
      <c r="H330" s="13">
        <v>45913.0</v>
      </c>
      <c r="I330" s="12" t="s">
        <v>59</v>
      </c>
    </row>
    <row r="331">
      <c r="A331" s="6" t="s">
        <v>49</v>
      </c>
      <c r="B331" s="6" t="s">
        <v>17</v>
      </c>
      <c r="C331" s="115">
        <v>0.0</v>
      </c>
      <c r="D331" s="115">
        <v>67120.0</v>
      </c>
      <c r="E331" s="115">
        <v>1583.0</v>
      </c>
      <c r="F331" s="115">
        <v>62928.0</v>
      </c>
      <c r="G331" s="115">
        <v>2181.0</v>
      </c>
      <c r="H331" s="13">
        <v>45913.0</v>
      </c>
      <c r="I331" s="12" t="s">
        <v>59</v>
      </c>
    </row>
    <row r="332">
      <c r="A332" s="6" t="s">
        <v>49</v>
      </c>
      <c r="B332" s="6" t="s">
        <v>16</v>
      </c>
      <c r="C332" s="115">
        <v>0.0</v>
      </c>
      <c r="D332" s="115">
        <v>160176.0</v>
      </c>
      <c r="E332" s="115">
        <v>4249.0</v>
      </c>
      <c r="F332" s="115">
        <v>148154.0</v>
      </c>
      <c r="G332" s="115">
        <v>2867.0</v>
      </c>
      <c r="H332" s="13">
        <v>45913.0</v>
      </c>
      <c r="I332" s="12" t="s">
        <v>59</v>
      </c>
    </row>
    <row r="333">
      <c r="A333" s="6" t="s">
        <v>49</v>
      </c>
      <c r="B333" s="6" t="s">
        <v>18</v>
      </c>
      <c r="C333" s="115">
        <v>0.0</v>
      </c>
      <c r="D333" s="115">
        <v>72688.0</v>
      </c>
      <c r="E333" s="115">
        <v>1883.0</v>
      </c>
      <c r="F333" s="115">
        <v>65957.0</v>
      </c>
      <c r="G333" s="115">
        <v>2193.0</v>
      </c>
      <c r="H333" s="13">
        <v>45913.0</v>
      </c>
      <c r="I333" s="12" t="s">
        <v>59</v>
      </c>
    </row>
    <row r="334">
      <c r="A334" s="6" t="s">
        <v>50</v>
      </c>
      <c r="B334" s="6" t="s">
        <v>24</v>
      </c>
      <c r="C334" s="115">
        <v>0.0</v>
      </c>
      <c r="D334" s="115">
        <v>228201.0</v>
      </c>
      <c r="E334" s="115">
        <v>4790.0</v>
      </c>
      <c r="F334" s="115">
        <v>214478.0</v>
      </c>
      <c r="G334" s="115">
        <v>12122.0</v>
      </c>
      <c r="H334" s="13">
        <v>45913.0</v>
      </c>
      <c r="I334" s="12" t="s">
        <v>59</v>
      </c>
    </row>
    <row r="335">
      <c r="A335" s="6" t="s">
        <v>50</v>
      </c>
      <c r="B335" s="6" t="s">
        <v>25</v>
      </c>
      <c r="C335" s="115">
        <v>0.0</v>
      </c>
      <c r="D335" s="115">
        <v>177014.0</v>
      </c>
      <c r="E335" s="115">
        <v>3382.0</v>
      </c>
      <c r="F335" s="115">
        <v>162690.0</v>
      </c>
      <c r="G335" s="115">
        <v>6283.0</v>
      </c>
      <c r="H335" s="13">
        <v>45913.0</v>
      </c>
      <c r="I335" s="12" t="s">
        <v>59</v>
      </c>
    </row>
    <row r="336">
      <c r="A336" s="6" t="s">
        <v>50</v>
      </c>
      <c r="B336" s="6" t="s">
        <v>26</v>
      </c>
      <c r="C336" s="115">
        <v>0.0</v>
      </c>
      <c r="D336" s="115">
        <v>57934.0</v>
      </c>
      <c r="E336" s="115">
        <v>1212.0</v>
      </c>
      <c r="F336" s="115">
        <v>55067.0</v>
      </c>
      <c r="G336" s="115">
        <v>1341.0</v>
      </c>
      <c r="H336" s="13">
        <v>45913.0</v>
      </c>
      <c r="I336" s="12" t="s">
        <v>59</v>
      </c>
    </row>
    <row r="337">
      <c r="A337" s="6" t="s">
        <v>50</v>
      </c>
      <c r="B337" s="6" t="s">
        <v>27</v>
      </c>
      <c r="C337" s="115">
        <v>0.0</v>
      </c>
      <c r="D337" s="115">
        <v>28502.0</v>
      </c>
      <c r="E337" s="115">
        <v>643.0</v>
      </c>
      <c r="F337" s="115">
        <v>27112.0</v>
      </c>
      <c r="G337" s="115">
        <v>503.0</v>
      </c>
      <c r="H337" s="13">
        <v>45913.0</v>
      </c>
      <c r="I337" s="12" t="s">
        <v>59</v>
      </c>
    </row>
    <row r="338">
      <c r="A338" s="6" t="s">
        <v>51</v>
      </c>
      <c r="B338" s="6" t="s">
        <v>29</v>
      </c>
      <c r="C338" s="115">
        <v>0.0</v>
      </c>
      <c r="D338" s="115">
        <v>135334.0</v>
      </c>
      <c r="E338" s="115">
        <v>2849.0</v>
      </c>
      <c r="F338" s="115">
        <v>122999.0</v>
      </c>
      <c r="G338" s="115">
        <v>2448.0</v>
      </c>
      <c r="H338" s="13">
        <v>45913.0</v>
      </c>
      <c r="I338" s="12" t="s">
        <v>59</v>
      </c>
    </row>
    <row r="339">
      <c r="A339" s="6" t="s">
        <v>51</v>
      </c>
      <c r="B339" s="6" t="s">
        <v>30</v>
      </c>
      <c r="C339" s="115">
        <v>0.0</v>
      </c>
      <c r="D339" s="115">
        <v>137933.0</v>
      </c>
      <c r="E339" s="115">
        <v>3337.0</v>
      </c>
      <c r="F339" s="115">
        <v>128688.0</v>
      </c>
      <c r="G339" s="115">
        <v>3494.0</v>
      </c>
      <c r="H339" s="13">
        <v>45913.0</v>
      </c>
      <c r="I339" s="12" t="s">
        <v>59</v>
      </c>
    </row>
    <row r="340">
      <c r="A340" s="6" t="s">
        <v>52</v>
      </c>
      <c r="B340" s="6" t="s">
        <v>52</v>
      </c>
      <c r="C340" s="115">
        <v>0.0</v>
      </c>
      <c r="D340" s="115">
        <v>4944.0</v>
      </c>
      <c r="E340" s="115">
        <v>112.0</v>
      </c>
      <c r="F340" s="115">
        <v>4321.0</v>
      </c>
      <c r="G340" s="115">
        <v>64.0</v>
      </c>
      <c r="H340" s="13">
        <v>45913.0</v>
      </c>
      <c r="I340" s="12" t="s">
        <v>59</v>
      </c>
    </row>
    <row r="341">
      <c r="A341" s="6" t="s">
        <v>47</v>
      </c>
      <c r="B341" s="6" t="s">
        <v>20</v>
      </c>
      <c r="C341" s="115">
        <v>319118.0</v>
      </c>
      <c r="D341" s="115">
        <v>618851.0</v>
      </c>
      <c r="E341" s="115">
        <v>14993.0</v>
      </c>
      <c r="F341" s="115">
        <v>575788.0</v>
      </c>
      <c r="G341" s="115">
        <v>43730.0</v>
      </c>
      <c r="H341" s="13">
        <v>45913.0</v>
      </c>
      <c r="I341" s="12" t="s">
        <v>60</v>
      </c>
    </row>
    <row r="342">
      <c r="A342" s="6" t="s">
        <v>47</v>
      </c>
      <c r="B342" s="6" t="s">
        <v>21</v>
      </c>
      <c r="C342" s="115">
        <v>142498.0</v>
      </c>
      <c r="D342" s="115">
        <v>357906.0</v>
      </c>
      <c r="E342" s="115">
        <v>8178.0</v>
      </c>
      <c r="F342" s="115">
        <v>336475.0</v>
      </c>
      <c r="G342" s="115">
        <v>16275.0</v>
      </c>
      <c r="H342" s="13">
        <v>45913.0</v>
      </c>
      <c r="I342" s="12" t="s">
        <v>60</v>
      </c>
    </row>
    <row r="343">
      <c r="A343" s="6" t="s">
        <v>47</v>
      </c>
      <c r="B343" s="6" t="s">
        <v>22</v>
      </c>
      <c r="C343" s="115">
        <v>123108.0</v>
      </c>
      <c r="D343" s="115">
        <v>223419.0</v>
      </c>
      <c r="E343" s="115">
        <v>4950.0</v>
      </c>
      <c r="F343" s="115">
        <v>212641.0</v>
      </c>
      <c r="G343" s="115">
        <v>8851.0</v>
      </c>
      <c r="H343" s="13">
        <v>45913.0</v>
      </c>
      <c r="I343" s="12" t="s">
        <v>60</v>
      </c>
    </row>
    <row r="344">
      <c r="A344" s="6" t="s">
        <v>49</v>
      </c>
      <c r="B344" s="6" t="s">
        <v>15</v>
      </c>
      <c r="C344" s="115">
        <v>81465.0</v>
      </c>
      <c r="D344" s="115">
        <v>174249.0</v>
      </c>
      <c r="E344" s="115">
        <v>3603.0</v>
      </c>
      <c r="F344" s="115">
        <v>155082.0</v>
      </c>
      <c r="G344" s="115">
        <v>11557.0</v>
      </c>
      <c r="H344" s="13">
        <v>45913.0</v>
      </c>
      <c r="I344" s="12" t="s">
        <v>60</v>
      </c>
    </row>
    <row r="345">
      <c r="A345" s="6" t="s">
        <v>49</v>
      </c>
      <c r="B345" s="6" t="s">
        <v>30</v>
      </c>
      <c r="C345" s="115">
        <v>0.0</v>
      </c>
      <c r="D345" s="115">
        <v>162.0</v>
      </c>
      <c r="E345" s="115">
        <v>6.0</v>
      </c>
      <c r="F345" s="115">
        <v>111.0</v>
      </c>
      <c r="G345" s="115">
        <v>2.0</v>
      </c>
      <c r="H345" s="13">
        <v>45913.0</v>
      </c>
      <c r="I345" s="12" t="s">
        <v>60</v>
      </c>
    </row>
    <row r="346">
      <c r="A346" s="6" t="s">
        <v>49</v>
      </c>
      <c r="B346" s="6" t="s">
        <v>17</v>
      </c>
      <c r="C346" s="115">
        <v>93061.0</v>
      </c>
      <c r="D346" s="115">
        <v>150786.0</v>
      </c>
      <c r="E346" s="115">
        <v>3143.0</v>
      </c>
      <c r="F346" s="115">
        <v>141493.0</v>
      </c>
      <c r="G346" s="115">
        <v>9503.0</v>
      </c>
      <c r="H346" s="13">
        <v>45913.0</v>
      </c>
      <c r="I346" s="12" t="s">
        <v>60</v>
      </c>
    </row>
    <row r="347">
      <c r="A347" s="6" t="s">
        <v>49</v>
      </c>
      <c r="B347" s="6" t="s">
        <v>16</v>
      </c>
      <c r="C347" s="115">
        <v>230378.0</v>
      </c>
      <c r="D347" s="115">
        <v>335772.0</v>
      </c>
      <c r="E347" s="115">
        <v>8167.0</v>
      </c>
      <c r="F347" s="115">
        <v>313174.0</v>
      </c>
      <c r="G347" s="115">
        <v>15160.0</v>
      </c>
      <c r="H347" s="13">
        <v>45913.0</v>
      </c>
      <c r="I347" s="12" t="s">
        <v>60</v>
      </c>
    </row>
    <row r="348">
      <c r="A348" s="6" t="s">
        <v>49</v>
      </c>
      <c r="B348" s="6" t="s">
        <v>18</v>
      </c>
      <c r="C348" s="115">
        <v>53104.0</v>
      </c>
      <c r="D348" s="115">
        <v>154839.0</v>
      </c>
      <c r="E348" s="115">
        <v>3570.0</v>
      </c>
      <c r="F348" s="115">
        <v>141068.0</v>
      </c>
      <c r="G348" s="115">
        <v>10896.0</v>
      </c>
      <c r="H348" s="13">
        <v>45913.0</v>
      </c>
      <c r="I348" s="12" t="s">
        <v>60</v>
      </c>
    </row>
    <row r="349">
      <c r="A349" s="6" t="s">
        <v>50</v>
      </c>
      <c r="B349" s="6" t="s">
        <v>24</v>
      </c>
      <c r="C349" s="115">
        <v>187715.0</v>
      </c>
      <c r="D349" s="115">
        <v>378431.0</v>
      </c>
      <c r="E349" s="115">
        <v>7469.0</v>
      </c>
      <c r="F349" s="115">
        <v>353712.0</v>
      </c>
      <c r="G349" s="115">
        <v>37171.0</v>
      </c>
      <c r="H349" s="13">
        <v>45913.0</v>
      </c>
      <c r="I349" s="12" t="s">
        <v>60</v>
      </c>
    </row>
    <row r="350">
      <c r="A350" s="6" t="s">
        <v>50</v>
      </c>
      <c r="B350" s="6" t="s">
        <v>25</v>
      </c>
      <c r="C350" s="115">
        <v>157180.0</v>
      </c>
      <c r="D350" s="115">
        <v>275764.0</v>
      </c>
      <c r="E350" s="115">
        <v>4940.0</v>
      </c>
      <c r="F350" s="115">
        <v>252900.0</v>
      </c>
      <c r="G350" s="115">
        <v>23867.0</v>
      </c>
      <c r="H350" s="13">
        <v>45913.0</v>
      </c>
      <c r="I350" s="12" t="s">
        <v>60</v>
      </c>
    </row>
    <row r="351">
      <c r="A351" s="6" t="s">
        <v>50</v>
      </c>
      <c r="B351" s="6" t="s">
        <v>26</v>
      </c>
      <c r="C351" s="115">
        <v>102348.0</v>
      </c>
      <c r="D351" s="115">
        <v>142604.0</v>
      </c>
      <c r="E351" s="115">
        <v>2590.0</v>
      </c>
      <c r="F351" s="115">
        <v>135809.0</v>
      </c>
      <c r="G351" s="115">
        <v>7038.0</v>
      </c>
      <c r="H351" s="13">
        <v>45913.0</v>
      </c>
      <c r="I351" s="12" t="s">
        <v>60</v>
      </c>
    </row>
    <row r="352">
      <c r="A352" s="6" t="s">
        <v>50</v>
      </c>
      <c r="B352" s="6" t="s">
        <v>27</v>
      </c>
      <c r="C352" s="115">
        <v>55609.0</v>
      </c>
      <c r="D352" s="115">
        <v>96046.0</v>
      </c>
      <c r="E352" s="115">
        <v>1942.0</v>
      </c>
      <c r="F352" s="115">
        <v>91696.0</v>
      </c>
      <c r="G352" s="115">
        <v>3328.0</v>
      </c>
      <c r="H352" s="13">
        <v>45913.0</v>
      </c>
      <c r="I352" s="12" t="s">
        <v>60</v>
      </c>
    </row>
    <row r="353">
      <c r="A353" s="6" t="s">
        <v>51</v>
      </c>
      <c r="B353" s="6" t="s">
        <v>29</v>
      </c>
      <c r="C353" s="115">
        <v>148285.0</v>
      </c>
      <c r="D353" s="115">
        <v>313388.0</v>
      </c>
      <c r="E353" s="115">
        <v>5770.0</v>
      </c>
      <c r="F353" s="115">
        <v>287058.0</v>
      </c>
      <c r="G353" s="115">
        <v>14964.0</v>
      </c>
      <c r="H353" s="13">
        <v>45913.0</v>
      </c>
      <c r="I353" s="12" t="s">
        <v>60</v>
      </c>
    </row>
    <row r="354">
      <c r="A354" s="6" t="s">
        <v>51</v>
      </c>
      <c r="B354" s="6" t="s">
        <v>30</v>
      </c>
      <c r="C354" s="115">
        <v>166477.0</v>
      </c>
      <c r="D354" s="115">
        <v>257068.0</v>
      </c>
      <c r="E354" s="115">
        <v>5656.0</v>
      </c>
      <c r="F354" s="115">
        <v>237468.0</v>
      </c>
      <c r="G354" s="115">
        <v>18012.0</v>
      </c>
      <c r="H354" s="13">
        <v>45913.0</v>
      </c>
      <c r="I354" s="12" t="s">
        <v>60</v>
      </c>
    </row>
    <row r="355">
      <c r="A355" s="6" t="s">
        <v>52</v>
      </c>
      <c r="B355" s="6" t="s">
        <v>52</v>
      </c>
      <c r="C355" s="115">
        <v>0.0</v>
      </c>
      <c r="D355" s="115">
        <v>11564.0</v>
      </c>
      <c r="E355" s="115">
        <v>237.0</v>
      </c>
      <c r="F355" s="115">
        <v>10304.0</v>
      </c>
      <c r="G355" s="115">
        <v>301.0</v>
      </c>
      <c r="H355" s="13">
        <v>45913.0</v>
      </c>
      <c r="I355" s="12" t="s">
        <v>60</v>
      </c>
    </row>
    <row r="356">
      <c r="A356" s="6" t="s">
        <v>47</v>
      </c>
      <c r="B356" s="6" t="s">
        <v>20</v>
      </c>
      <c r="C356" s="115">
        <v>0.0</v>
      </c>
      <c r="D356" s="115">
        <v>845302.0</v>
      </c>
      <c r="E356" s="115">
        <v>18809.0</v>
      </c>
      <c r="F356" s="115">
        <v>782774.0</v>
      </c>
      <c r="G356" s="115">
        <v>126243.0</v>
      </c>
      <c r="H356" s="13">
        <v>45913.0</v>
      </c>
      <c r="I356" s="12" t="s">
        <v>61</v>
      </c>
    </row>
    <row r="357">
      <c r="A357" s="6" t="s">
        <v>47</v>
      </c>
      <c r="B357" s="6" t="s">
        <v>21</v>
      </c>
      <c r="C357" s="115">
        <v>0.0</v>
      </c>
      <c r="D357" s="115">
        <v>501647.0</v>
      </c>
      <c r="E357" s="115">
        <v>10738.0</v>
      </c>
      <c r="F357" s="115">
        <v>468981.0</v>
      </c>
      <c r="G357" s="115">
        <v>52484.0</v>
      </c>
      <c r="H357" s="13">
        <v>45913.0</v>
      </c>
      <c r="I357" s="12" t="s">
        <v>61</v>
      </c>
    </row>
    <row r="358">
      <c r="A358" s="6" t="s">
        <v>47</v>
      </c>
      <c r="B358" s="6" t="s">
        <v>22</v>
      </c>
      <c r="C358" s="115">
        <v>0.0</v>
      </c>
      <c r="D358" s="115">
        <v>307452.0</v>
      </c>
      <c r="E358" s="115">
        <v>6290.0</v>
      </c>
      <c r="F358" s="115">
        <v>291483.0</v>
      </c>
      <c r="G358" s="115">
        <v>29280.0</v>
      </c>
      <c r="H358" s="13">
        <v>45913.0</v>
      </c>
      <c r="I358" s="12" t="s">
        <v>61</v>
      </c>
    </row>
    <row r="359">
      <c r="A359" s="6" t="s">
        <v>49</v>
      </c>
      <c r="B359" s="6" t="s">
        <v>15</v>
      </c>
      <c r="C359" s="115">
        <v>0.0</v>
      </c>
      <c r="D359" s="115">
        <v>210178.0</v>
      </c>
      <c r="E359" s="115">
        <v>4303.0</v>
      </c>
      <c r="F359" s="115">
        <v>185941.0</v>
      </c>
      <c r="G359" s="115">
        <v>29308.0</v>
      </c>
      <c r="H359" s="13">
        <v>45913.0</v>
      </c>
      <c r="I359" s="12" t="s">
        <v>61</v>
      </c>
    </row>
    <row r="360">
      <c r="A360" s="6" t="s">
        <v>49</v>
      </c>
      <c r="B360" s="6" t="s">
        <v>30</v>
      </c>
      <c r="C360" s="115">
        <v>0.0</v>
      </c>
      <c r="D360" s="115">
        <v>248.0</v>
      </c>
      <c r="E360" s="115">
        <v>7.0</v>
      </c>
      <c r="F360" s="115">
        <v>197.0</v>
      </c>
      <c r="G360" s="115">
        <v>11.0</v>
      </c>
      <c r="H360" s="13">
        <v>45913.0</v>
      </c>
      <c r="I360" s="12" t="s">
        <v>61</v>
      </c>
    </row>
    <row r="361">
      <c r="A361" s="6" t="s">
        <v>49</v>
      </c>
      <c r="B361" s="6" t="s">
        <v>17</v>
      </c>
      <c r="C361" s="115">
        <v>0.0</v>
      </c>
      <c r="D361" s="115">
        <v>234529.0</v>
      </c>
      <c r="E361" s="115">
        <v>4457.0</v>
      </c>
      <c r="F361" s="115">
        <v>219638.0</v>
      </c>
      <c r="G361" s="115">
        <v>26551.0</v>
      </c>
      <c r="H361" s="13">
        <v>45913.0</v>
      </c>
      <c r="I361" s="12" t="s">
        <v>61</v>
      </c>
    </row>
    <row r="362">
      <c r="A362" s="6" t="s">
        <v>49</v>
      </c>
      <c r="B362" s="6" t="s">
        <v>16</v>
      </c>
      <c r="C362" s="115">
        <v>0.0</v>
      </c>
      <c r="D362" s="115">
        <v>480865.0</v>
      </c>
      <c r="E362" s="115">
        <v>10913.0</v>
      </c>
      <c r="F362" s="115">
        <v>446763.0</v>
      </c>
      <c r="G362" s="115">
        <v>49386.0</v>
      </c>
      <c r="H362" s="13">
        <v>45913.0</v>
      </c>
      <c r="I362" s="12" t="s">
        <v>61</v>
      </c>
    </row>
    <row r="363">
      <c r="A363" s="6" t="s">
        <v>49</v>
      </c>
      <c r="B363" s="6" t="s">
        <v>18</v>
      </c>
      <c r="C363" s="115">
        <v>0.0</v>
      </c>
      <c r="D363" s="115">
        <v>208964.0</v>
      </c>
      <c r="E363" s="115">
        <v>4533.0</v>
      </c>
      <c r="F363" s="115">
        <v>189826.0</v>
      </c>
      <c r="G363" s="115">
        <v>32098.0</v>
      </c>
      <c r="H363" s="13">
        <v>45913.0</v>
      </c>
      <c r="I363" s="12" t="s">
        <v>61</v>
      </c>
    </row>
    <row r="364">
      <c r="A364" s="6" t="s">
        <v>50</v>
      </c>
      <c r="B364" s="6" t="s">
        <v>24</v>
      </c>
      <c r="C364" s="115">
        <v>0.0</v>
      </c>
      <c r="D364" s="115">
        <v>472202.0</v>
      </c>
      <c r="E364" s="115">
        <v>8937.0</v>
      </c>
      <c r="F364" s="115">
        <v>438082.0</v>
      </c>
      <c r="G364" s="115">
        <v>82418.0</v>
      </c>
      <c r="H364" s="13">
        <v>45913.0</v>
      </c>
      <c r="I364" s="12" t="s">
        <v>61</v>
      </c>
    </row>
    <row r="365">
      <c r="A365" s="6" t="s">
        <v>50</v>
      </c>
      <c r="B365" s="6" t="s">
        <v>25</v>
      </c>
      <c r="C365" s="115">
        <v>0.0</v>
      </c>
      <c r="D365" s="115">
        <v>340996.0</v>
      </c>
      <c r="E365" s="115">
        <v>5929.0</v>
      </c>
      <c r="F365" s="115">
        <v>311749.0</v>
      </c>
      <c r="G365" s="115">
        <v>57320.0</v>
      </c>
      <c r="H365" s="13">
        <v>45913.0</v>
      </c>
      <c r="I365" s="12" t="s">
        <v>61</v>
      </c>
    </row>
    <row r="366">
      <c r="A366" s="6" t="s">
        <v>50</v>
      </c>
      <c r="B366" s="6" t="s">
        <v>26</v>
      </c>
      <c r="C366" s="115">
        <v>0.0</v>
      </c>
      <c r="D366" s="115">
        <v>243035.0</v>
      </c>
      <c r="E366" s="115">
        <v>4037.0</v>
      </c>
      <c r="F366" s="115">
        <v>231324.0</v>
      </c>
      <c r="G366" s="115">
        <v>23081.0</v>
      </c>
      <c r="H366" s="13">
        <v>45913.0</v>
      </c>
      <c r="I366" s="12" t="s">
        <v>61</v>
      </c>
    </row>
    <row r="367">
      <c r="A367" s="6" t="s">
        <v>50</v>
      </c>
      <c r="B367" s="6" t="s">
        <v>27</v>
      </c>
      <c r="C367" s="115">
        <v>0.0</v>
      </c>
      <c r="D367" s="115">
        <v>184118.0</v>
      </c>
      <c r="E367" s="115">
        <v>3487.0</v>
      </c>
      <c r="F367" s="115">
        <v>175182.0</v>
      </c>
      <c r="G367" s="115">
        <v>14536.0</v>
      </c>
      <c r="H367" s="13">
        <v>45913.0</v>
      </c>
      <c r="I367" s="12" t="s">
        <v>61</v>
      </c>
    </row>
    <row r="368">
      <c r="A368" s="6" t="s">
        <v>51</v>
      </c>
      <c r="B368" s="6" t="s">
        <v>29</v>
      </c>
      <c r="C368" s="115">
        <v>0.0</v>
      </c>
      <c r="D368" s="115">
        <v>464061.0</v>
      </c>
      <c r="E368" s="115">
        <v>8028.0</v>
      </c>
      <c r="F368" s="115">
        <v>425249.0</v>
      </c>
      <c r="G368" s="115">
        <v>48529.0</v>
      </c>
      <c r="H368" s="13">
        <v>45913.0</v>
      </c>
      <c r="I368" s="12" t="s">
        <v>61</v>
      </c>
    </row>
    <row r="369">
      <c r="A369" s="6" t="s">
        <v>51</v>
      </c>
      <c r="B369" s="6" t="s">
        <v>30</v>
      </c>
      <c r="C369" s="115">
        <v>0.0</v>
      </c>
      <c r="D369" s="115">
        <v>350576.0</v>
      </c>
      <c r="E369" s="115">
        <v>7297.0</v>
      </c>
      <c r="F369" s="115">
        <v>321108.0</v>
      </c>
      <c r="G369" s="115">
        <v>52335.0</v>
      </c>
      <c r="H369" s="13">
        <v>45913.0</v>
      </c>
      <c r="I369" s="12" t="s">
        <v>61</v>
      </c>
    </row>
    <row r="370">
      <c r="A370" s="6" t="s">
        <v>52</v>
      </c>
      <c r="B370" s="6" t="s">
        <v>52</v>
      </c>
      <c r="C370" s="115">
        <v>0.0</v>
      </c>
      <c r="D370" s="115">
        <v>16469.0</v>
      </c>
      <c r="E370" s="115">
        <v>362.0</v>
      </c>
      <c r="F370" s="115">
        <v>14664.0</v>
      </c>
      <c r="G370" s="115">
        <v>1208.0</v>
      </c>
      <c r="H370" s="13">
        <v>45913.0</v>
      </c>
      <c r="I370" s="12" t="s">
        <v>61</v>
      </c>
    </row>
    <row r="371">
      <c r="A371" s="6" t="s">
        <v>47</v>
      </c>
      <c r="B371" s="6" t="s">
        <v>20</v>
      </c>
      <c r="C371" s="115">
        <v>0.0</v>
      </c>
      <c r="D371" s="115">
        <v>963999.0</v>
      </c>
      <c r="E371" s="115">
        <v>20579.0</v>
      </c>
      <c r="F371" s="115">
        <v>889902.0</v>
      </c>
      <c r="G371" s="115">
        <v>247212.0</v>
      </c>
      <c r="H371" s="13">
        <v>45913.0</v>
      </c>
      <c r="I371" s="12" t="s">
        <v>62</v>
      </c>
    </row>
    <row r="372">
      <c r="A372" s="6" t="s">
        <v>47</v>
      </c>
      <c r="B372" s="6" t="s">
        <v>21</v>
      </c>
      <c r="C372" s="115">
        <v>0.0</v>
      </c>
      <c r="D372" s="115">
        <v>568358.0</v>
      </c>
      <c r="E372" s="115">
        <v>11822.0</v>
      </c>
      <c r="F372" s="115">
        <v>527305.0</v>
      </c>
      <c r="G372" s="115">
        <v>109332.0</v>
      </c>
      <c r="H372" s="13">
        <v>45913.0</v>
      </c>
      <c r="I372" s="12" t="s">
        <v>62</v>
      </c>
    </row>
    <row r="373">
      <c r="A373" s="6" t="s">
        <v>47</v>
      </c>
      <c r="B373" s="6" t="s">
        <v>22</v>
      </c>
      <c r="C373" s="115">
        <v>0.0</v>
      </c>
      <c r="D373" s="115">
        <v>356532.0</v>
      </c>
      <c r="E373" s="115">
        <v>7006.0</v>
      </c>
      <c r="F373" s="115">
        <v>336588.0</v>
      </c>
      <c r="G373" s="115">
        <v>63112.0</v>
      </c>
      <c r="H373" s="13">
        <v>45913.0</v>
      </c>
      <c r="I373" s="12" t="s">
        <v>62</v>
      </c>
    </row>
    <row r="374">
      <c r="A374" s="6" t="s">
        <v>49</v>
      </c>
      <c r="B374" s="6" t="s">
        <v>15</v>
      </c>
      <c r="C374" s="115">
        <v>0.0</v>
      </c>
      <c r="D374" s="115">
        <v>229720.0</v>
      </c>
      <c r="E374" s="115">
        <v>4667.0</v>
      </c>
      <c r="F374" s="115">
        <v>202417.0</v>
      </c>
      <c r="G374" s="115">
        <v>51739.0</v>
      </c>
      <c r="H374" s="13">
        <v>45913.0</v>
      </c>
      <c r="I374" s="12" t="s">
        <v>62</v>
      </c>
    </row>
    <row r="375">
      <c r="A375" s="6" t="s">
        <v>49</v>
      </c>
      <c r="B375" s="6" t="s">
        <v>30</v>
      </c>
      <c r="C375" s="115">
        <v>0.0</v>
      </c>
      <c r="D375" s="115">
        <v>399.0</v>
      </c>
      <c r="E375" s="115">
        <v>9.0</v>
      </c>
      <c r="F375" s="115">
        <v>348.0</v>
      </c>
      <c r="G375" s="115">
        <v>30.0</v>
      </c>
      <c r="H375" s="13">
        <v>45913.0</v>
      </c>
      <c r="I375" s="12" t="s">
        <v>62</v>
      </c>
    </row>
    <row r="376">
      <c r="A376" s="6" t="s">
        <v>49</v>
      </c>
      <c r="B376" s="6" t="s">
        <v>17</v>
      </c>
      <c r="C376" s="115">
        <v>0.0</v>
      </c>
      <c r="D376" s="115">
        <v>282477.0</v>
      </c>
      <c r="E376" s="115">
        <v>5094.0</v>
      </c>
      <c r="F376" s="115">
        <v>263300.0</v>
      </c>
      <c r="G376" s="115">
        <v>53363.0</v>
      </c>
      <c r="H376" s="13">
        <v>45913.0</v>
      </c>
      <c r="I376" s="12" t="s">
        <v>62</v>
      </c>
    </row>
    <row r="377">
      <c r="A377" s="6" t="s">
        <v>49</v>
      </c>
      <c r="B377" s="6" t="s">
        <v>16</v>
      </c>
      <c r="C377" s="115">
        <v>0.0</v>
      </c>
      <c r="D377" s="115">
        <v>543008.0</v>
      </c>
      <c r="E377" s="115">
        <v>12057.0</v>
      </c>
      <c r="F377" s="115">
        <v>502116.0</v>
      </c>
      <c r="G377" s="115">
        <v>104297.0</v>
      </c>
      <c r="H377" s="13">
        <v>45913.0</v>
      </c>
      <c r="I377" s="12" t="s">
        <v>62</v>
      </c>
    </row>
    <row r="378">
      <c r="A378" s="6" t="s">
        <v>49</v>
      </c>
      <c r="B378" s="6" t="s">
        <v>18</v>
      </c>
      <c r="C378" s="115">
        <v>0.0</v>
      </c>
      <c r="D378" s="115">
        <v>232591.0</v>
      </c>
      <c r="E378" s="115">
        <v>4925.0</v>
      </c>
      <c r="F378" s="115">
        <v>209969.0</v>
      </c>
      <c r="G378" s="115">
        <v>59708.0</v>
      </c>
      <c r="H378" s="13">
        <v>45913.0</v>
      </c>
      <c r="I378" s="12" t="s">
        <v>62</v>
      </c>
    </row>
    <row r="379">
      <c r="A379" s="6" t="s">
        <v>50</v>
      </c>
      <c r="B379" s="6" t="s">
        <v>24</v>
      </c>
      <c r="C379" s="115">
        <v>0.0</v>
      </c>
      <c r="D379" s="115">
        <v>511030.0</v>
      </c>
      <c r="E379" s="115">
        <v>9491.0</v>
      </c>
      <c r="F379" s="115">
        <v>471121.0</v>
      </c>
      <c r="G379" s="115">
        <v>134233.0</v>
      </c>
      <c r="H379" s="13">
        <v>45913.0</v>
      </c>
      <c r="I379" s="12" t="s">
        <v>62</v>
      </c>
    </row>
    <row r="380">
      <c r="A380" s="6" t="s">
        <v>50</v>
      </c>
      <c r="B380" s="6" t="s">
        <v>25</v>
      </c>
      <c r="C380" s="115">
        <v>0.0</v>
      </c>
      <c r="D380" s="115">
        <v>378697.0</v>
      </c>
      <c r="E380" s="115">
        <v>6500.0</v>
      </c>
      <c r="F380" s="115">
        <v>345430.0</v>
      </c>
      <c r="G380" s="115">
        <v>98431.0</v>
      </c>
      <c r="H380" s="13">
        <v>45913.0</v>
      </c>
      <c r="I380" s="12" t="s">
        <v>62</v>
      </c>
    </row>
    <row r="381">
      <c r="A381" s="6" t="s">
        <v>50</v>
      </c>
      <c r="B381" s="6" t="s">
        <v>26</v>
      </c>
      <c r="C381" s="115">
        <v>0.0</v>
      </c>
      <c r="D381" s="115">
        <v>316414.0</v>
      </c>
      <c r="E381" s="115">
        <v>5031.0</v>
      </c>
      <c r="F381" s="115">
        <v>299689.0</v>
      </c>
      <c r="G381" s="115">
        <v>51086.0</v>
      </c>
      <c r="H381" s="13">
        <v>45913.0</v>
      </c>
      <c r="I381" s="12" t="s">
        <v>62</v>
      </c>
    </row>
    <row r="382">
      <c r="A382" s="6" t="s">
        <v>50</v>
      </c>
      <c r="B382" s="6" t="s">
        <v>27</v>
      </c>
      <c r="C382" s="115">
        <v>0.0</v>
      </c>
      <c r="D382" s="115">
        <v>240360.0</v>
      </c>
      <c r="E382" s="115">
        <v>4340.0</v>
      </c>
      <c r="F382" s="115">
        <v>227239.0</v>
      </c>
      <c r="G382" s="115">
        <v>37645.0</v>
      </c>
      <c r="H382" s="13">
        <v>45913.0</v>
      </c>
      <c r="I382" s="12" t="s">
        <v>62</v>
      </c>
    </row>
    <row r="383">
      <c r="A383" s="6" t="s">
        <v>51</v>
      </c>
      <c r="B383" s="6" t="s">
        <v>29</v>
      </c>
      <c r="C383" s="115">
        <v>0.0</v>
      </c>
      <c r="D383" s="115">
        <v>556527.0</v>
      </c>
      <c r="E383" s="115">
        <v>9344.0</v>
      </c>
      <c r="F383" s="115">
        <v>509647.0</v>
      </c>
      <c r="G383" s="115">
        <v>98915.0</v>
      </c>
      <c r="H383" s="13">
        <v>45913.0</v>
      </c>
      <c r="I383" s="12" t="s">
        <v>62</v>
      </c>
    </row>
    <row r="384">
      <c r="A384" s="6" t="s">
        <v>51</v>
      </c>
      <c r="B384" s="6" t="s">
        <v>30</v>
      </c>
      <c r="C384" s="115">
        <v>0.0</v>
      </c>
      <c r="D384" s="115">
        <v>401816.0</v>
      </c>
      <c r="E384" s="115">
        <v>8100.0</v>
      </c>
      <c r="F384" s="115">
        <v>366142.0</v>
      </c>
      <c r="G384" s="115">
        <v>98620.0</v>
      </c>
      <c r="H384" s="13">
        <v>45913.0</v>
      </c>
      <c r="I384" s="12" t="s">
        <v>62</v>
      </c>
    </row>
    <row r="385">
      <c r="A385" s="6" t="s">
        <v>52</v>
      </c>
      <c r="B385" s="6" t="s">
        <v>52</v>
      </c>
      <c r="C385" s="115">
        <v>0.0</v>
      </c>
      <c r="D385" s="115">
        <v>20017.0</v>
      </c>
      <c r="E385" s="115">
        <v>409.0</v>
      </c>
      <c r="F385" s="115">
        <v>17927.0</v>
      </c>
      <c r="G385" s="115">
        <v>2831.0</v>
      </c>
      <c r="H385" s="13">
        <v>45913.0</v>
      </c>
      <c r="I385" s="12" t="s">
        <v>62</v>
      </c>
    </row>
    <row r="386">
      <c r="A386" s="6" t="s">
        <v>47</v>
      </c>
      <c r="B386" s="6" t="s">
        <v>20</v>
      </c>
      <c r="C386" s="115">
        <v>858989.0</v>
      </c>
      <c r="D386" s="115">
        <v>1018414.0</v>
      </c>
      <c r="E386" s="115">
        <v>21378.0</v>
      </c>
      <c r="F386" s="115">
        <v>937165.0</v>
      </c>
      <c r="G386" s="115">
        <v>379046.0</v>
      </c>
      <c r="H386" s="13">
        <v>45913.0</v>
      </c>
      <c r="I386" s="12" t="s">
        <v>48</v>
      </c>
    </row>
    <row r="387">
      <c r="A387" s="6" t="s">
        <v>47</v>
      </c>
      <c r="B387" s="6" t="s">
        <v>21</v>
      </c>
      <c r="C387" s="115">
        <v>478515.0</v>
      </c>
      <c r="D387" s="115">
        <v>590968.0</v>
      </c>
      <c r="E387" s="115">
        <v>12261.0</v>
      </c>
      <c r="F387" s="115">
        <v>546704.0</v>
      </c>
      <c r="G387" s="115">
        <v>175541.0</v>
      </c>
      <c r="H387" s="13">
        <v>45913.0</v>
      </c>
      <c r="I387" s="12" t="s">
        <v>48</v>
      </c>
    </row>
    <row r="388">
      <c r="A388" s="6" t="s">
        <v>47</v>
      </c>
      <c r="B388" s="6" t="s">
        <v>22</v>
      </c>
      <c r="C388" s="115">
        <v>326446.0</v>
      </c>
      <c r="D388" s="115">
        <v>378256.0</v>
      </c>
      <c r="E388" s="115">
        <v>7299.0</v>
      </c>
      <c r="F388" s="115">
        <v>355837.0</v>
      </c>
      <c r="G388" s="115">
        <v>104656.0</v>
      </c>
      <c r="H388" s="13">
        <v>45913.0</v>
      </c>
      <c r="I388" s="12" t="s">
        <v>48</v>
      </c>
    </row>
    <row r="389">
      <c r="A389" s="6" t="s">
        <v>49</v>
      </c>
      <c r="B389" s="6" t="s">
        <v>15</v>
      </c>
      <c r="C389" s="115">
        <v>157992.0</v>
      </c>
      <c r="D389" s="115">
        <v>238892.0</v>
      </c>
      <c r="E389" s="115">
        <v>4846.0</v>
      </c>
      <c r="F389" s="115">
        <v>210301.0</v>
      </c>
      <c r="G389" s="115">
        <v>74729.0</v>
      </c>
      <c r="H389" s="13">
        <v>45913.0</v>
      </c>
      <c r="I389" s="12" t="s">
        <v>48</v>
      </c>
    </row>
    <row r="390">
      <c r="A390" s="6" t="s">
        <v>49</v>
      </c>
      <c r="B390" s="6" t="s">
        <v>30</v>
      </c>
      <c r="C390" s="115">
        <v>99.0</v>
      </c>
      <c r="D390" s="115">
        <v>402.0</v>
      </c>
      <c r="E390" s="115">
        <v>9.0</v>
      </c>
      <c r="F390" s="115">
        <v>349.0</v>
      </c>
      <c r="G390" s="115">
        <v>52.0</v>
      </c>
      <c r="H390" s="13">
        <v>45913.0</v>
      </c>
      <c r="I390" s="12" t="s">
        <v>48</v>
      </c>
    </row>
    <row r="391">
      <c r="A391" s="6" t="s">
        <v>49</v>
      </c>
      <c r="B391" s="6" t="s">
        <v>17</v>
      </c>
      <c r="C391" s="115">
        <v>183217.0</v>
      </c>
      <c r="D391" s="115">
        <v>302114.0</v>
      </c>
      <c r="E391" s="115">
        <v>5373.0</v>
      </c>
      <c r="F391" s="115">
        <v>280829.0</v>
      </c>
      <c r="G391" s="115">
        <v>86150.0</v>
      </c>
      <c r="H391" s="13">
        <v>45913.0</v>
      </c>
      <c r="I391" s="12" t="s">
        <v>48</v>
      </c>
    </row>
    <row r="392">
      <c r="A392" s="6" t="s">
        <v>49</v>
      </c>
      <c r="B392" s="6" t="s">
        <v>16</v>
      </c>
      <c r="C392" s="115">
        <v>457239.0</v>
      </c>
      <c r="D392" s="115">
        <v>573944.0</v>
      </c>
      <c r="E392" s="115">
        <v>12588.0</v>
      </c>
      <c r="F392" s="115">
        <v>529167.0</v>
      </c>
      <c r="G392" s="115">
        <v>167509.0</v>
      </c>
      <c r="H392" s="13">
        <v>45913.0</v>
      </c>
      <c r="I392" s="12" t="s">
        <v>48</v>
      </c>
    </row>
    <row r="393">
      <c r="A393" s="6" t="s">
        <v>49</v>
      </c>
      <c r="B393" s="6" t="s">
        <v>18</v>
      </c>
      <c r="C393" s="115">
        <v>150030.0</v>
      </c>
      <c r="D393" s="115">
        <v>241686.0</v>
      </c>
      <c r="E393" s="115">
        <v>5086.0</v>
      </c>
      <c r="F393" s="115">
        <v>217384.0</v>
      </c>
      <c r="G393" s="115">
        <v>88145.0</v>
      </c>
      <c r="H393" s="13">
        <v>45913.0</v>
      </c>
      <c r="I393" s="12" t="s">
        <v>48</v>
      </c>
    </row>
    <row r="394">
      <c r="A394" s="6" t="s">
        <v>50</v>
      </c>
      <c r="B394" s="6" t="s">
        <v>24</v>
      </c>
      <c r="C394" s="115">
        <v>370427.0</v>
      </c>
      <c r="D394" s="115">
        <v>523942.0</v>
      </c>
      <c r="E394" s="115">
        <v>9669.0</v>
      </c>
      <c r="F394" s="115">
        <v>481273.0</v>
      </c>
      <c r="G394" s="115">
        <v>184870.0</v>
      </c>
      <c r="H394" s="13">
        <v>45913.0</v>
      </c>
      <c r="I394" s="12" t="s">
        <v>48</v>
      </c>
    </row>
    <row r="395">
      <c r="A395" s="6" t="s">
        <v>50</v>
      </c>
      <c r="B395" s="6" t="s">
        <v>25</v>
      </c>
      <c r="C395" s="115">
        <v>330156.0</v>
      </c>
      <c r="D395" s="115">
        <v>399666.0</v>
      </c>
      <c r="E395" s="115">
        <v>6820.0</v>
      </c>
      <c r="F395" s="115">
        <v>364319.0</v>
      </c>
      <c r="G395" s="115">
        <v>140747.0</v>
      </c>
      <c r="H395" s="13">
        <v>45913.0</v>
      </c>
      <c r="I395" s="12" t="s">
        <v>48</v>
      </c>
    </row>
    <row r="396">
      <c r="A396" s="6" t="s">
        <v>50</v>
      </c>
      <c r="B396" s="6" t="s">
        <v>26</v>
      </c>
      <c r="C396" s="115">
        <v>294064.0</v>
      </c>
      <c r="D396" s="115">
        <v>353369.0</v>
      </c>
      <c r="E396" s="115">
        <v>5516.0</v>
      </c>
      <c r="F396" s="115">
        <v>334035.0</v>
      </c>
      <c r="G396" s="115">
        <v>87860.0</v>
      </c>
      <c r="H396" s="13">
        <v>45913.0</v>
      </c>
      <c r="I396" s="12" t="s">
        <v>48</v>
      </c>
    </row>
    <row r="397">
      <c r="A397" s="6" t="s">
        <v>50</v>
      </c>
      <c r="B397" s="6" t="s">
        <v>27</v>
      </c>
      <c r="C397" s="115">
        <v>213534.0</v>
      </c>
      <c r="D397" s="115">
        <v>261083.0</v>
      </c>
      <c r="E397" s="115">
        <v>4706.0</v>
      </c>
      <c r="F397" s="115">
        <v>245390.0</v>
      </c>
      <c r="G397" s="115">
        <v>70315.0</v>
      </c>
      <c r="H397" s="13">
        <v>45913.0</v>
      </c>
      <c r="I397" s="12" t="s">
        <v>48</v>
      </c>
    </row>
    <row r="398">
      <c r="A398" s="6" t="s">
        <v>51</v>
      </c>
      <c r="B398" s="6" t="s">
        <v>29</v>
      </c>
      <c r="C398" s="115">
        <v>410825.0</v>
      </c>
      <c r="D398" s="115">
        <v>600783.0</v>
      </c>
      <c r="E398" s="115">
        <v>9916.0</v>
      </c>
      <c r="F398" s="115">
        <v>549533.0</v>
      </c>
      <c r="G398" s="115">
        <v>158538.0</v>
      </c>
      <c r="H398" s="13">
        <v>45913.0</v>
      </c>
      <c r="I398" s="12" t="s">
        <v>48</v>
      </c>
    </row>
    <row r="399">
      <c r="A399" s="6" t="s">
        <v>51</v>
      </c>
      <c r="B399" s="6" t="s">
        <v>30</v>
      </c>
      <c r="C399" s="115">
        <v>309316.0</v>
      </c>
      <c r="D399" s="115">
        <v>426913.0</v>
      </c>
      <c r="E399" s="115">
        <v>8494.0</v>
      </c>
      <c r="F399" s="115">
        <v>387780.0</v>
      </c>
      <c r="G399" s="115">
        <v>146963.0</v>
      </c>
      <c r="H399" s="13">
        <v>45913.0</v>
      </c>
      <c r="I399" s="12" t="s">
        <v>48</v>
      </c>
    </row>
    <row r="400">
      <c r="A400" s="6" t="s">
        <v>52</v>
      </c>
      <c r="B400" s="6" t="s">
        <v>52</v>
      </c>
      <c r="C400" s="115">
        <v>0.0</v>
      </c>
      <c r="D400" s="115">
        <v>22578.0</v>
      </c>
      <c r="E400" s="115">
        <v>454.0</v>
      </c>
      <c r="F400" s="115">
        <v>20308.0</v>
      </c>
      <c r="G400" s="115">
        <v>4776.0</v>
      </c>
      <c r="H400" s="13">
        <v>45913.0</v>
      </c>
      <c r="I400" s="12" t="s">
        <v>48</v>
      </c>
    </row>
    <row r="401">
      <c r="A401" s="6" t="s">
        <v>47</v>
      </c>
      <c r="B401" s="6" t="s">
        <v>20</v>
      </c>
      <c r="C401" s="115">
        <v>0.0</v>
      </c>
      <c r="D401" s="115">
        <v>1041324.0</v>
      </c>
      <c r="E401" s="115">
        <v>21678.0</v>
      </c>
      <c r="F401" s="115">
        <v>957069.0</v>
      </c>
      <c r="G401" s="115">
        <v>501020.0</v>
      </c>
      <c r="H401" s="13">
        <v>45913.0</v>
      </c>
      <c r="I401" s="12" t="s">
        <v>63</v>
      </c>
    </row>
    <row r="402">
      <c r="A402" s="6" t="s">
        <v>47</v>
      </c>
      <c r="B402" s="6" t="s">
        <v>21</v>
      </c>
      <c r="C402" s="115">
        <v>0.0</v>
      </c>
      <c r="D402" s="115">
        <v>602351.0</v>
      </c>
      <c r="E402" s="115">
        <v>12509.0</v>
      </c>
      <c r="F402" s="115">
        <v>556699.0</v>
      </c>
      <c r="G402" s="115">
        <v>238604.0</v>
      </c>
      <c r="H402" s="13">
        <v>45913.0</v>
      </c>
      <c r="I402" s="12" t="s">
        <v>63</v>
      </c>
    </row>
    <row r="403">
      <c r="A403" s="6" t="s">
        <v>47</v>
      </c>
      <c r="B403" s="6" t="s">
        <v>22</v>
      </c>
      <c r="C403" s="115">
        <v>0.0</v>
      </c>
      <c r="D403" s="115">
        <v>387609.0</v>
      </c>
      <c r="E403" s="115">
        <v>7427.0</v>
      </c>
      <c r="F403" s="115">
        <v>363678.0</v>
      </c>
      <c r="G403" s="115">
        <v>146931.0</v>
      </c>
      <c r="H403" s="13">
        <v>45913.0</v>
      </c>
      <c r="I403" s="12" t="s">
        <v>63</v>
      </c>
    </row>
    <row r="404">
      <c r="A404" s="6" t="s">
        <v>49</v>
      </c>
      <c r="B404" s="6" t="s">
        <v>15</v>
      </c>
      <c r="C404" s="115">
        <v>0.0</v>
      </c>
      <c r="D404" s="115">
        <v>245261.0</v>
      </c>
      <c r="E404" s="115">
        <v>4972.0</v>
      </c>
      <c r="F404" s="115">
        <v>216075.0</v>
      </c>
      <c r="G404" s="115">
        <v>95173.0</v>
      </c>
      <c r="H404" s="13">
        <v>45913.0</v>
      </c>
      <c r="I404" s="12" t="s">
        <v>63</v>
      </c>
    </row>
    <row r="405">
      <c r="A405" s="6" t="s">
        <v>49</v>
      </c>
      <c r="B405" s="6" t="s">
        <v>30</v>
      </c>
      <c r="C405" s="115">
        <v>0.0</v>
      </c>
      <c r="D405" s="115">
        <v>478.0</v>
      </c>
      <c r="E405" s="115">
        <v>10.0</v>
      </c>
      <c r="F405" s="115">
        <v>425.0</v>
      </c>
      <c r="G405" s="115">
        <v>80.0</v>
      </c>
      <c r="H405" s="13">
        <v>45913.0</v>
      </c>
      <c r="I405" s="12" t="s">
        <v>63</v>
      </c>
    </row>
    <row r="406">
      <c r="A406" s="6" t="s">
        <v>49</v>
      </c>
      <c r="B406" s="6" t="s">
        <v>17</v>
      </c>
      <c r="C406" s="115">
        <v>0.0</v>
      </c>
      <c r="D406" s="115">
        <v>310611.0</v>
      </c>
      <c r="E406" s="115">
        <v>5501.0</v>
      </c>
      <c r="F406" s="115">
        <v>288456.0</v>
      </c>
      <c r="G406" s="115">
        <v>118399.0</v>
      </c>
      <c r="H406" s="13">
        <v>45913.0</v>
      </c>
      <c r="I406" s="12" t="s">
        <v>63</v>
      </c>
    </row>
    <row r="407">
      <c r="A407" s="6" t="s">
        <v>49</v>
      </c>
      <c r="B407" s="6" t="s">
        <v>16</v>
      </c>
      <c r="C407" s="115">
        <v>0.0</v>
      </c>
      <c r="D407" s="115">
        <v>589603.0</v>
      </c>
      <c r="E407" s="115">
        <v>12873.0</v>
      </c>
      <c r="F407" s="115">
        <v>542684.0</v>
      </c>
      <c r="G407" s="115">
        <v>227882.0</v>
      </c>
      <c r="H407" s="13">
        <v>45913.0</v>
      </c>
      <c r="I407" s="12" t="s">
        <v>63</v>
      </c>
    </row>
    <row r="408">
      <c r="A408" s="6" t="s">
        <v>49</v>
      </c>
      <c r="B408" s="6" t="s">
        <v>18</v>
      </c>
      <c r="C408" s="115">
        <v>0.0</v>
      </c>
      <c r="D408" s="115">
        <v>245235.0</v>
      </c>
      <c r="E408" s="115">
        <v>5157.0</v>
      </c>
      <c r="F408" s="115">
        <v>220403.0</v>
      </c>
      <c r="G408" s="115">
        <v>112533.0</v>
      </c>
      <c r="H408" s="13">
        <v>45913.0</v>
      </c>
      <c r="I408" s="12" t="s">
        <v>63</v>
      </c>
    </row>
    <row r="409">
      <c r="A409" s="6" t="s">
        <v>50</v>
      </c>
      <c r="B409" s="6" t="s">
        <v>24</v>
      </c>
      <c r="C409" s="115">
        <v>0.0</v>
      </c>
      <c r="D409" s="115">
        <v>528998.0</v>
      </c>
      <c r="E409" s="115">
        <v>9790.0</v>
      </c>
      <c r="F409" s="115">
        <v>485229.0</v>
      </c>
      <c r="G409" s="115">
        <v>226500.0</v>
      </c>
      <c r="H409" s="13">
        <v>45913.0</v>
      </c>
      <c r="I409" s="12" t="s">
        <v>63</v>
      </c>
    </row>
    <row r="410">
      <c r="A410" s="6" t="s">
        <v>50</v>
      </c>
      <c r="B410" s="6" t="s">
        <v>25</v>
      </c>
      <c r="C410" s="115">
        <v>0.0</v>
      </c>
      <c r="D410" s="115">
        <v>407145.0</v>
      </c>
      <c r="E410" s="115">
        <v>6955.0</v>
      </c>
      <c r="F410" s="115">
        <v>370786.0</v>
      </c>
      <c r="G410" s="115">
        <v>177883.0</v>
      </c>
      <c r="H410" s="13">
        <v>45913.0</v>
      </c>
      <c r="I410" s="12" t="s">
        <v>63</v>
      </c>
    </row>
    <row r="411">
      <c r="A411" s="6" t="s">
        <v>50</v>
      </c>
      <c r="B411" s="6" t="s">
        <v>26</v>
      </c>
      <c r="C411" s="115">
        <v>0.0</v>
      </c>
      <c r="D411" s="115">
        <v>370542.0</v>
      </c>
      <c r="E411" s="115">
        <v>5724.0</v>
      </c>
      <c r="F411" s="115">
        <v>349755.0</v>
      </c>
      <c r="G411" s="115">
        <v>125845.0</v>
      </c>
      <c r="H411" s="13">
        <v>45913.0</v>
      </c>
      <c r="I411" s="12" t="s">
        <v>63</v>
      </c>
    </row>
    <row r="412">
      <c r="A412" s="6" t="s">
        <v>50</v>
      </c>
      <c r="B412" s="6" t="s">
        <v>27</v>
      </c>
      <c r="C412" s="115">
        <v>0.0</v>
      </c>
      <c r="D412" s="115">
        <v>268613.0</v>
      </c>
      <c r="E412" s="115">
        <v>4842.0</v>
      </c>
      <c r="F412" s="115">
        <v>252375.0</v>
      </c>
      <c r="G412" s="115">
        <v>103934.0</v>
      </c>
      <c r="H412" s="13">
        <v>45913.0</v>
      </c>
      <c r="I412" s="12" t="s">
        <v>63</v>
      </c>
    </row>
    <row r="413">
      <c r="A413" s="6" t="s">
        <v>51</v>
      </c>
      <c r="B413" s="6" t="s">
        <v>29</v>
      </c>
      <c r="C413" s="115">
        <v>0.0</v>
      </c>
      <c r="D413" s="115">
        <v>617458.0</v>
      </c>
      <c r="E413" s="115">
        <v>10136.0</v>
      </c>
      <c r="F413" s="115">
        <v>564796.0</v>
      </c>
      <c r="G413" s="115">
        <v>216206.0</v>
      </c>
      <c r="H413" s="13">
        <v>45913.0</v>
      </c>
      <c r="I413" s="12" t="s">
        <v>63</v>
      </c>
    </row>
    <row r="414">
      <c r="A414" s="6" t="s">
        <v>51</v>
      </c>
      <c r="B414" s="6" t="s">
        <v>30</v>
      </c>
      <c r="C414" s="115">
        <v>0.0</v>
      </c>
      <c r="D414" s="115">
        <v>439234.0</v>
      </c>
      <c r="E414" s="115">
        <v>8669.0</v>
      </c>
      <c r="F414" s="115">
        <v>398468.0</v>
      </c>
      <c r="G414" s="115">
        <v>190638.0</v>
      </c>
      <c r="H414" s="13">
        <v>45913.0</v>
      </c>
      <c r="I414" s="12" t="s">
        <v>63</v>
      </c>
    </row>
    <row r="415">
      <c r="A415" s="6" t="s">
        <v>52</v>
      </c>
      <c r="B415" s="6" t="s">
        <v>52</v>
      </c>
      <c r="C415" s="115">
        <v>0.0</v>
      </c>
      <c r="D415" s="115">
        <v>23901.0</v>
      </c>
      <c r="E415" s="115">
        <v>485.0</v>
      </c>
      <c r="F415" s="115">
        <v>21555.0</v>
      </c>
      <c r="G415" s="115">
        <v>7099.0</v>
      </c>
      <c r="H415" s="13">
        <v>45913.0</v>
      </c>
      <c r="I415" s="12" t="s">
        <v>63</v>
      </c>
    </row>
    <row r="416">
      <c r="A416" s="6" t="s">
        <v>47</v>
      </c>
      <c r="B416" s="6" t="s">
        <v>20</v>
      </c>
      <c r="C416" s="115">
        <v>0.0</v>
      </c>
      <c r="D416" s="115">
        <v>1068557.0</v>
      </c>
      <c r="E416" s="115">
        <v>22025.0</v>
      </c>
      <c r="F416" s="115">
        <v>981975.0</v>
      </c>
      <c r="G416" s="115">
        <v>603209.0</v>
      </c>
      <c r="H416" s="13">
        <v>45913.0</v>
      </c>
      <c r="I416" s="12" t="s">
        <v>64</v>
      </c>
    </row>
    <row r="417">
      <c r="A417" s="6" t="s">
        <v>47</v>
      </c>
      <c r="B417" s="6" t="s">
        <v>21</v>
      </c>
      <c r="C417" s="115">
        <v>0.0</v>
      </c>
      <c r="D417" s="115">
        <v>611690.0</v>
      </c>
      <c r="E417" s="115">
        <v>12876.0</v>
      </c>
      <c r="F417" s="115">
        <v>564954.0</v>
      </c>
      <c r="G417" s="115">
        <v>294522.0</v>
      </c>
      <c r="H417" s="13">
        <v>45913.0</v>
      </c>
      <c r="I417" s="12" t="s">
        <v>64</v>
      </c>
    </row>
    <row r="418">
      <c r="A418" s="6" t="s">
        <v>47</v>
      </c>
      <c r="B418" s="6" t="s">
        <v>22</v>
      </c>
      <c r="C418" s="115">
        <v>0.0</v>
      </c>
      <c r="D418" s="115">
        <v>392668.0</v>
      </c>
      <c r="E418" s="115">
        <v>7477.0</v>
      </c>
      <c r="F418" s="115">
        <v>367663.0</v>
      </c>
      <c r="G418" s="115">
        <v>184673.0</v>
      </c>
      <c r="H418" s="13">
        <v>45913.0</v>
      </c>
      <c r="I418" s="12" t="s">
        <v>64</v>
      </c>
    </row>
    <row r="419">
      <c r="A419" s="6" t="s">
        <v>49</v>
      </c>
      <c r="B419" s="6" t="s">
        <v>15</v>
      </c>
      <c r="C419" s="115">
        <v>0.0</v>
      </c>
      <c r="D419" s="115">
        <v>266959.0</v>
      </c>
      <c r="E419" s="115">
        <v>5390.0</v>
      </c>
      <c r="F419" s="115">
        <v>236641.0</v>
      </c>
      <c r="G419" s="115">
        <v>113628.0</v>
      </c>
      <c r="H419" s="13">
        <v>45913.0</v>
      </c>
      <c r="I419" s="12" t="s">
        <v>64</v>
      </c>
    </row>
    <row r="420">
      <c r="A420" s="6" t="s">
        <v>49</v>
      </c>
      <c r="B420" s="6" t="s">
        <v>30</v>
      </c>
      <c r="C420" s="115">
        <v>0.0</v>
      </c>
      <c r="D420" s="115">
        <v>577.0</v>
      </c>
      <c r="E420" s="115">
        <v>10.0</v>
      </c>
      <c r="F420" s="115">
        <v>524.0</v>
      </c>
      <c r="G420" s="115">
        <v>102.0</v>
      </c>
      <c r="H420" s="13">
        <v>45913.0</v>
      </c>
      <c r="I420" s="12" t="s">
        <v>64</v>
      </c>
    </row>
    <row r="421">
      <c r="A421" s="6" t="s">
        <v>49</v>
      </c>
      <c r="B421" s="6" t="s">
        <v>17</v>
      </c>
      <c r="C421" s="115">
        <v>0.0</v>
      </c>
      <c r="D421" s="115">
        <v>315638.0</v>
      </c>
      <c r="E421" s="115">
        <v>5587.0</v>
      </c>
      <c r="F421" s="115">
        <v>292610.0</v>
      </c>
      <c r="G421" s="115">
        <v>146483.0</v>
      </c>
      <c r="H421" s="13">
        <v>45913.0</v>
      </c>
      <c r="I421" s="12" t="s">
        <v>64</v>
      </c>
    </row>
    <row r="422">
      <c r="A422" s="6" t="s">
        <v>49</v>
      </c>
      <c r="B422" s="6" t="s">
        <v>16</v>
      </c>
      <c r="C422" s="115">
        <v>0.0</v>
      </c>
      <c r="D422" s="115">
        <v>602481.0</v>
      </c>
      <c r="E422" s="115">
        <v>13143.0</v>
      </c>
      <c r="F422" s="115">
        <v>553663.0</v>
      </c>
      <c r="G422" s="115">
        <v>282008.0</v>
      </c>
      <c r="H422" s="13">
        <v>45913.0</v>
      </c>
      <c r="I422" s="12" t="s">
        <v>64</v>
      </c>
    </row>
    <row r="423">
      <c r="A423" s="6" t="s">
        <v>49</v>
      </c>
      <c r="B423" s="6" t="s">
        <v>18</v>
      </c>
      <c r="C423" s="115">
        <v>0.0</v>
      </c>
      <c r="D423" s="115">
        <v>248972.0</v>
      </c>
      <c r="E423" s="115">
        <v>5220.0</v>
      </c>
      <c r="F423" s="115">
        <v>223793.0</v>
      </c>
      <c r="G423" s="115">
        <v>131766.0</v>
      </c>
      <c r="H423" s="13">
        <v>45913.0</v>
      </c>
      <c r="I423" s="12" t="s">
        <v>64</v>
      </c>
    </row>
    <row r="424">
      <c r="A424" s="6" t="s">
        <v>50</v>
      </c>
      <c r="B424" s="6" t="s">
        <v>24</v>
      </c>
      <c r="C424" s="115">
        <v>0.0</v>
      </c>
      <c r="D424" s="115">
        <v>537081.0</v>
      </c>
      <c r="E424" s="115">
        <v>9968.0</v>
      </c>
      <c r="F424" s="115">
        <v>491961.0</v>
      </c>
      <c r="G424" s="115">
        <v>258308.0</v>
      </c>
      <c r="H424" s="13">
        <v>45913.0</v>
      </c>
      <c r="I424" s="12" t="s">
        <v>64</v>
      </c>
    </row>
    <row r="425">
      <c r="A425" s="6" t="s">
        <v>50</v>
      </c>
      <c r="B425" s="6" t="s">
        <v>25</v>
      </c>
      <c r="C425" s="115">
        <v>0.0</v>
      </c>
      <c r="D425" s="115">
        <v>416802.0</v>
      </c>
      <c r="E425" s="115">
        <v>7134.0</v>
      </c>
      <c r="F425" s="115">
        <v>379592.0</v>
      </c>
      <c r="G425" s="115">
        <v>207483.0</v>
      </c>
      <c r="H425" s="13">
        <v>45913.0</v>
      </c>
      <c r="I425" s="12" t="s">
        <v>64</v>
      </c>
    </row>
    <row r="426">
      <c r="A426" s="6" t="s">
        <v>50</v>
      </c>
      <c r="B426" s="6" t="s">
        <v>26</v>
      </c>
      <c r="C426" s="115">
        <v>0.0</v>
      </c>
      <c r="D426" s="115">
        <v>383515.0</v>
      </c>
      <c r="E426" s="115">
        <v>5872.0</v>
      </c>
      <c r="F426" s="115">
        <v>361639.0</v>
      </c>
      <c r="G426" s="115">
        <v>160353.0</v>
      </c>
      <c r="H426" s="13">
        <v>45913.0</v>
      </c>
      <c r="I426" s="12" t="s">
        <v>64</v>
      </c>
    </row>
    <row r="427">
      <c r="A427" s="6" t="s">
        <v>50</v>
      </c>
      <c r="B427" s="6" t="s">
        <v>27</v>
      </c>
      <c r="C427" s="115">
        <v>0.0</v>
      </c>
      <c r="D427" s="115">
        <v>273219.0</v>
      </c>
      <c r="E427" s="115">
        <v>4968.0</v>
      </c>
      <c r="F427" s="115">
        <v>256532.0</v>
      </c>
      <c r="G427" s="115">
        <v>134967.0</v>
      </c>
      <c r="H427" s="13">
        <v>45913.0</v>
      </c>
      <c r="I427" s="12" t="s">
        <v>64</v>
      </c>
    </row>
    <row r="428">
      <c r="A428" s="6" t="s">
        <v>51</v>
      </c>
      <c r="B428" s="6" t="s">
        <v>29</v>
      </c>
      <c r="C428" s="115">
        <v>0.0</v>
      </c>
      <c r="D428" s="115">
        <v>635066.0</v>
      </c>
      <c r="E428" s="115">
        <v>10398.0</v>
      </c>
      <c r="F428" s="115">
        <v>581316.0</v>
      </c>
      <c r="G428" s="115">
        <v>268725.0</v>
      </c>
      <c r="H428" s="13">
        <v>45913.0</v>
      </c>
      <c r="I428" s="12" t="s">
        <v>64</v>
      </c>
    </row>
    <row r="429">
      <c r="A429" s="6" t="s">
        <v>51</v>
      </c>
      <c r="B429" s="6" t="s">
        <v>30</v>
      </c>
      <c r="C429" s="115">
        <v>0.0</v>
      </c>
      <c r="D429" s="115">
        <v>451128.0</v>
      </c>
      <c r="E429" s="115">
        <v>8816.0</v>
      </c>
      <c r="F429" s="115">
        <v>408966.0</v>
      </c>
      <c r="G429" s="115">
        <v>226133.0</v>
      </c>
      <c r="H429" s="13">
        <v>45913.0</v>
      </c>
      <c r="I429" s="12" t="s">
        <v>64</v>
      </c>
    </row>
    <row r="430">
      <c r="A430" s="6" t="s">
        <v>52</v>
      </c>
      <c r="B430" s="6" t="s">
        <v>52</v>
      </c>
      <c r="C430" s="115">
        <v>0.0</v>
      </c>
      <c r="D430" s="115">
        <v>25396.0</v>
      </c>
      <c r="E430" s="115">
        <v>518.0</v>
      </c>
      <c r="F430" s="115">
        <v>22927.0</v>
      </c>
      <c r="G430" s="115">
        <v>9517.0</v>
      </c>
      <c r="H430" s="13">
        <v>45913.0</v>
      </c>
      <c r="I430" s="12" t="s">
        <v>64</v>
      </c>
    </row>
    <row r="431">
      <c r="A431" s="6" t="s">
        <v>47</v>
      </c>
      <c r="B431" s="6" t="s">
        <v>20</v>
      </c>
      <c r="C431" s="115">
        <v>0.0</v>
      </c>
      <c r="D431" s="115">
        <v>1094552.0</v>
      </c>
      <c r="E431" s="115">
        <v>22289.0</v>
      </c>
      <c r="F431" s="115">
        <v>1005499.0</v>
      </c>
      <c r="G431" s="115">
        <v>687300.0</v>
      </c>
      <c r="H431" s="13">
        <v>45913.0</v>
      </c>
      <c r="I431" s="12" t="s">
        <v>65</v>
      </c>
    </row>
    <row r="432">
      <c r="A432" s="6" t="s">
        <v>47</v>
      </c>
      <c r="B432" s="6" t="s">
        <v>21</v>
      </c>
      <c r="C432" s="115">
        <v>0.0</v>
      </c>
      <c r="D432" s="115">
        <v>616545.0</v>
      </c>
      <c r="E432" s="115">
        <v>13015.0</v>
      </c>
      <c r="F432" s="115">
        <v>569039.0</v>
      </c>
      <c r="G432" s="115">
        <v>341905.0</v>
      </c>
      <c r="H432" s="13">
        <v>45913.0</v>
      </c>
      <c r="I432" s="12" t="s">
        <v>65</v>
      </c>
    </row>
    <row r="433">
      <c r="A433" s="6" t="s">
        <v>47</v>
      </c>
      <c r="B433" s="6" t="s">
        <v>22</v>
      </c>
      <c r="C433" s="115">
        <v>0.0</v>
      </c>
      <c r="D433" s="115">
        <v>394995.0</v>
      </c>
      <c r="E433" s="115">
        <v>7497.0</v>
      </c>
      <c r="F433" s="115">
        <v>369565.0</v>
      </c>
      <c r="G433" s="115">
        <v>217892.0</v>
      </c>
      <c r="H433" s="13">
        <v>45913.0</v>
      </c>
      <c r="I433" s="12" t="s">
        <v>65</v>
      </c>
    </row>
    <row r="434">
      <c r="A434" s="6" t="s">
        <v>49</v>
      </c>
      <c r="B434" s="6" t="s">
        <v>15</v>
      </c>
      <c r="C434" s="115">
        <v>0.0</v>
      </c>
      <c r="D434" s="115">
        <v>286150.0</v>
      </c>
      <c r="E434" s="115">
        <v>5697.0</v>
      </c>
      <c r="F434" s="115">
        <v>254916.0</v>
      </c>
      <c r="G434" s="115">
        <v>132381.0</v>
      </c>
      <c r="H434" s="13">
        <v>45913.0</v>
      </c>
      <c r="I434" s="12" t="s">
        <v>65</v>
      </c>
    </row>
    <row r="435">
      <c r="A435" s="6" t="s">
        <v>49</v>
      </c>
      <c r="B435" s="6" t="s">
        <v>30</v>
      </c>
      <c r="C435" s="115">
        <v>0.0</v>
      </c>
      <c r="D435" s="115">
        <v>622.0</v>
      </c>
      <c r="E435" s="115">
        <v>11.0</v>
      </c>
      <c r="F435" s="115">
        <v>569.0</v>
      </c>
      <c r="G435" s="115">
        <v>136.0</v>
      </c>
      <c r="H435" s="13">
        <v>45913.0</v>
      </c>
      <c r="I435" s="12" t="s">
        <v>65</v>
      </c>
    </row>
    <row r="436">
      <c r="A436" s="6" t="s">
        <v>49</v>
      </c>
      <c r="B436" s="6" t="s">
        <v>17</v>
      </c>
      <c r="C436" s="115">
        <v>0.0</v>
      </c>
      <c r="D436" s="115">
        <v>318003.0</v>
      </c>
      <c r="E436" s="115">
        <v>5626.0</v>
      </c>
      <c r="F436" s="115">
        <v>294509.0</v>
      </c>
      <c r="G436" s="115">
        <v>170288.0</v>
      </c>
      <c r="H436" s="13">
        <v>45913.0</v>
      </c>
      <c r="I436" s="12" t="s">
        <v>65</v>
      </c>
    </row>
    <row r="437">
      <c r="A437" s="6" t="s">
        <v>49</v>
      </c>
      <c r="B437" s="6" t="s">
        <v>16</v>
      </c>
      <c r="C437" s="115">
        <v>0.0</v>
      </c>
      <c r="D437" s="115">
        <v>607983.0</v>
      </c>
      <c r="E437" s="115">
        <v>13268.0</v>
      </c>
      <c r="F437" s="115">
        <v>558298.0</v>
      </c>
      <c r="G437" s="115">
        <v>328892.0</v>
      </c>
      <c r="H437" s="13">
        <v>45913.0</v>
      </c>
      <c r="I437" s="12" t="s">
        <v>65</v>
      </c>
    </row>
    <row r="438">
      <c r="A438" s="6" t="s">
        <v>49</v>
      </c>
      <c r="B438" s="6" t="s">
        <v>18</v>
      </c>
      <c r="C438" s="115">
        <v>0.0</v>
      </c>
      <c r="D438" s="115">
        <v>252050.0</v>
      </c>
      <c r="E438" s="115">
        <v>5279.0</v>
      </c>
      <c r="F438" s="115">
        <v>226586.0</v>
      </c>
      <c r="G438" s="115">
        <v>146527.0</v>
      </c>
      <c r="H438" s="13">
        <v>45913.0</v>
      </c>
      <c r="I438" s="12" t="s">
        <v>65</v>
      </c>
    </row>
    <row r="439">
      <c r="A439" s="6" t="s">
        <v>50</v>
      </c>
      <c r="B439" s="6" t="s">
        <v>24</v>
      </c>
      <c r="C439" s="115">
        <v>0.0</v>
      </c>
      <c r="D439" s="115">
        <v>541652.0</v>
      </c>
      <c r="E439" s="115">
        <v>10089.0</v>
      </c>
      <c r="F439" s="115">
        <v>495858.0</v>
      </c>
      <c r="G439" s="115">
        <v>286986.0</v>
      </c>
      <c r="H439" s="13">
        <v>45913.0</v>
      </c>
      <c r="I439" s="12" t="s">
        <v>65</v>
      </c>
    </row>
    <row r="440">
      <c r="A440" s="6" t="s">
        <v>50</v>
      </c>
      <c r="B440" s="6" t="s">
        <v>25</v>
      </c>
      <c r="C440" s="115">
        <v>0.0</v>
      </c>
      <c r="D440" s="115">
        <v>430513.0</v>
      </c>
      <c r="E440" s="115">
        <v>7368.0</v>
      </c>
      <c r="F440" s="115">
        <v>392342.0</v>
      </c>
      <c r="G440" s="115">
        <v>232766.0</v>
      </c>
      <c r="H440" s="13">
        <v>45913.0</v>
      </c>
      <c r="I440" s="12" t="s">
        <v>65</v>
      </c>
    </row>
    <row r="441">
      <c r="A441" s="6" t="s">
        <v>50</v>
      </c>
      <c r="B441" s="6" t="s">
        <v>26</v>
      </c>
      <c r="C441" s="115">
        <v>0.0</v>
      </c>
      <c r="D441" s="115">
        <v>391023.0</v>
      </c>
      <c r="E441" s="115">
        <v>5962.0</v>
      </c>
      <c r="F441" s="115">
        <v>368518.0</v>
      </c>
      <c r="G441" s="115">
        <v>192075.0</v>
      </c>
      <c r="H441" s="13">
        <v>45913.0</v>
      </c>
      <c r="I441" s="12" t="s">
        <v>65</v>
      </c>
    </row>
    <row r="442">
      <c r="A442" s="6" t="s">
        <v>50</v>
      </c>
      <c r="B442" s="6" t="s">
        <v>27</v>
      </c>
      <c r="C442" s="115">
        <v>0.0</v>
      </c>
      <c r="D442" s="115">
        <v>274967.0</v>
      </c>
      <c r="E442" s="115">
        <v>5026.0</v>
      </c>
      <c r="F442" s="115">
        <v>258091.0</v>
      </c>
      <c r="G442" s="115">
        <v>162147.0</v>
      </c>
      <c r="H442" s="13">
        <v>45913.0</v>
      </c>
      <c r="I442" s="12" t="s">
        <v>65</v>
      </c>
    </row>
    <row r="443">
      <c r="A443" s="6" t="s">
        <v>51</v>
      </c>
      <c r="B443" s="6" t="s">
        <v>29</v>
      </c>
      <c r="C443" s="115">
        <v>0.0</v>
      </c>
      <c r="D443" s="115">
        <v>649132.0</v>
      </c>
      <c r="E443" s="115">
        <v>10679.0</v>
      </c>
      <c r="F443" s="115">
        <v>594646.0</v>
      </c>
      <c r="G443" s="115">
        <v>314082.0</v>
      </c>
      <c r="H443" s="13">
        <v>45913.0</v>
      </c>
      <c r="I443" s="12" t="s">
        <v>65</v>
      </c>
    </row>
    <row r="444">
      <c r="A444" s="6" t="s">
        <v>51</v>
      </c>
      <c r="B444" s="6" t="s">
        <v>30</v>
      </c>
      <c r="C444" s="115">
        <v>0.0</v>
      </c>
      <c r="D444" s="115">
        <v>457061.0</v>
      </c>
      <c r="E444" s="115">
        <v>8915.0</v>
      </c>
      <c r="F444" s="115">
        <v>414266.0</v>
      </c>
      <c r="G444" s="115">
        <v>254924.0</v>
      </c>
      <c r="H444" s="13">
        <v>45913.0</v>
      </c>
      <c r="I444" s="12" t="s">
        <v>65</v>
      </c>
    </row>
    <row r="445">
      <c r="A445" s="6" t="s">
        <v>52</v>
      </c>
      <c r="B445" s="6" t="s">
        <v>52</v>
      </c>
      <c r="C445" s="115">
        <v>0.0</v>
      </c>
      <c r="D445" s="115">
        <v>26275.0</v>
      </c>
      <c r="E445" s="115">
        <v>532.0</v>
      </c>
      <c r="F445" s="115">
        <v>23739.0</v>
      </c>
      <c r="G445" s="115">
        <v>11637.0</v>
      </c>
      <c r="H445" s="13">
        <v>45913.0</v>
      </c>
      <c r="I445" s="12" t="s">
        <v>65</v>
      </c>
    </row>
    <row r="446">
      <c r="A446" s="6" t="s">
        <v>47</v>
      </c>
      <c r="B446" s="6" t="s">
        <v>20</v>
      </c>
      <c r="C446" s="115">
        <v>0.0</v>
      </c>
      <c r="D446" s="115">
        <v>1106330.0</v>
      </c>
      <c r="E446" s="115">
        <v>22417.0</v>
      </c>
      <c r="F446" s="115">
        <v>1016098.0</v>
      </c>
      <c r="G446" s="115">
        <v>757812.0</v>
      </c>
      <c r="H446" s="13">
        <v>45913.0</v>
      </c>
      <c r="I446" s="12" t="s">
        <v>3</v>
      </c>
    </row>
    <row r="447">
      <c r="A447" s="6" t="s">
        <v>47</v>
      </c>
      <c r="B447" s="6" t="s">
        <v>21</v>
      </c>
      <c r="C447" s="115">
        <v>0.0</v>
      </c>
      <c r="D447" s="115">
        <v>618635.0</v>
      </c>
      <c r="E447" s="115">
        <v>13093.0</v>
      </c>
      <c r="F447" s="115">
        <v>570831.0</v>
      </c>
      <c r="G447" s="115">
        <v>377975.0</v>
      </c>
      <c r="H447" s="13">
        <v>45913.0</v>
      </c>
      <c r="I447" s="12" t="s">
        <v>3</v>
      </c>
    </row>
    <row r="448">
      <c r="A448" s="6" t="s">
        <v>47</v>
      </c>
      <c r="B448" s="6" t="s">
        <v>22</v>
      </c>
      <c r="C448" s="115">
        <v>0.0</v>
      </c>
      <c r="D448" s="115">
        <v>395797.0</v>
      </c>
      <c r="E448" s="115">
        <v>7506.0</v>
      </c>
      <c r="F448" s="115">
        <v>370160.0</v>
      </c>
      <c r="G448" s="115">
        <v>243633.0</v>
      </c>
      <c r="H448" s="13">
        <v>45913.0</v>
      </c>
      <c r="I448" s="12" t="s">
        <v>3</v>
      </c>
    </row>
    <row r="449">
      <c r="A449" s="6" t="s">
        <v>49</v>
      </c>
      <c r="B449" s="6" t="s">
        <v>15</v>
      </c>
      <c r="C449" s="115">
        <v>0.0</v>
      </c>
      <c r="D449" s="115">
        <v>296108.0</v>
      </c>
      <c r="E449" s="115">
        <v>5824.0</v>
      </c>
      <c r="F449" s="115">
        <v>264471.0</v>
      </c>
      <c r="G449" s="115">
        <v>151993.0</v>
      </c>
      <c r="H449" s="13">
        <v>45913.0</v>
      </c>
      <c r="I449" s="12" t="s">
        <v>3</v>
      </c>
    </row>
    <row r="450">
      <c r="A450" s="6" t="s">
        <v>49</v>
      </c>
      <c r="B450" s="6" t="s">
        <v>17</v>
      </c>
      <c r="C450" s="115">
        <v>0.0</v>
      </c>
      <c r="D450" s="115">
        <v>318769.0</v>
      </c>
      <c r="E450" s="115">
        <v>5634.0</v>
      </c>
      <c r="F450" s="115">
        <v>295197.0</v>
      </c>
      <c r="G450" s="115">
        <v>188890.0</v>
      </c>
      <c r="H450" s="13">
        <v>45913.0</v>
      </c>
      <c r="I450" s="12" t="s">
        <v>3</v>
      </c>
    </row>
    <row r="451">
      <c r="A451" s="6" t="s">
        <v>49</v>
      </c>
      <c r="B451" s="6" t="s">
        <v>16</v>
      </c>
      <c r="C451" s="115">
        <v>0.0</v>
      </c>
      <c r="D451" s="115">
        <v>610053.0</v>
      </c>
      <c r="E451" s="115">
        <v>13322.0</v>
      </c>
      <c r="F451" s="115">
        <v>560002.0</v>
      </c>
      <c r="G451" s="115">
        <v>364996.0</v>
      </c>
      <c r="H451" s="13">
        <v>45913.0</v>
      </c>
      <c r="I451" s="12" t="s">
        <v>3</v>
      </c>
    </row>
    <row r="452">
      <c r="A452" s="6" t="s">
        <v>49</v>
      </c>
      <c r="B452" s="6" t="s">
        <v>18</v>
      </c>
      <c r="C452" s="115">
        <v>0.0</v>
      </c>
      <c r="D452" s="115">
        <v>252686.0</v>
      </c>
      <c r="E452" s="115">
        <v>5303.0</v>
      </c>
      <c r="F452" s="115">
        <v>227159.0</v>
      </c>
      <c r="G452" s="115">
        <v>157485.0</v>
      </c>
      <c r="H452" s="13">
        <v>45913.0</v>
      </c>
      <c r="I452" s="12" t="s">
        <v>3</v>
      </c>
    </row>
    <row r="453">
      <c r="A453" s="6" t="s">
        <v>50</v>
      </c>
      <c r="B453" s="6" t="s">
        <v>24</v>
      </c>
      <c r="C453" s="115">
        <v>0.0</v>
      </c>
      <c r="D453" s="115">
        <v>542831.0</v>
      </c>
      <c r="E453" s="115">
        <v>10111.0</v>
      </c>
      <c r="F453" s="115">
        <v>496804.0</v>
      </c>
      <c r="G453" s="115">
        <v>314712.0</v>
      </c>
      <c r="H453" s="13">
        <v>45913.0</v>
      </c>
      <c r="I453" s="12" t="s">
        <v>3</v>
      </c>
    </row>
    <row r="454">
      <c r="A454" s="6" t="s">
        <v>50</v>
      </c>
      <c r="B454" s="6" t="s">
        <v>25</v>
      </c>
      <c r="C454" s="115">
        <v>0.0</v>
      </c>
      <c r="D454" s="115">
        <v>437592.0</v>
      </c>
      <c r="E454" s="115">
        <v>7520.0</v>
      </c>
      <c r="F454" s="115">
        <v>399033.0</v>
      </c>
      <c r="G454" s="115">
        <v>256444.0</v>
      </c>
      <c r="H454" s="13">
        <v>45913.0</v>
      </c>
      <c r="I454" s="12" t="s">
        <v>3</v>
      </c>
    </row>
    <row r="455">
      <c r="A455" s="6" t="s">
        <v>50</v>
      </c>
      <c r="B455" s="6" t="s">
        <v>26</v>
      </c>
      <c r="C455" s="115">
        <v>0.0</v>
      </c>
      <c r="D455" s="115">
        <v>394634.0</v>
      </c>
      <c r="E455" s="115">
        <v>5994.0</v>
      </c>
      <c r="F455" s="115">
        <v>371851.0</v>
      </c>
      <c r="G455" s="115">
        <v>221498.0</v>
      </c>
      <c r="H455" s="13">
        <v>45913.0</v>
      </c>
      <c r="I455" s="12" t="s">
        <v>3</v>
      </c>
    </row>
    <row r="456">
      <c r="A456" s="6" t="s">
        <v>50</v>
      </c>
      <c r="B456" s="6" t="s">
        <v>27</v>
      </c>
      <c r="C456" s="115">
        <v>0.0</v>
      </c>
      <c r="D456" s="115">
        <v>275641.0</v>
      </c>
      <c r="E456" s="115">
        <v>5048.0</v>
      </c>
      <c r="F456" s="115">
        <v>258719.0</v>
      </c>
      <c r="G456" s="115">
        <v>182983.0</v>
      </c>
      <c r="H456" s="13">
        <v>45913.0</v>
      </c>
      <c r="I456" s="12" t="s">
        <v>3</v>
      </c>
    </row>
    <row r="457">
      <c r="A457" s="6" t="s">
        <v>51</v>
      </c>
      <c r="B457" s="6" t="s">
        <v>29</v>
      </c>
      <c r="C457" s="115">
        <v>0.0</v>
      </c>
      <c r="D457" s="115">
        <v>659004.0</v>
      </c>
      <c r="E457" s="115">
        <v>10898.0</v>
      </c>
      <c r="F457" s="115">
        <v>604064.0</v>
      </c>
      <c r="G457" s="115">
        <v>354726.0</v>
      </c>
      <c r="H457" s="13">
        <v>45913.0</v>
      </c>
      <c r="I457" s="12" t="s">
        <v>3</v>
      </c>
    </row>
    <row r="458">
      <c r="A458" s="6" t="s">
        <v>51</v>
      </c>
      <c r="B458" s="6" t="s">
        <v>30</v>
      </c>
      <c r="C458" s="115">
        <v>0.0</v>
      </c>
      <c r="D458" s="115">
        <v>460750.0</v>
      </c>
      <c r="E458" s="115">
        <v>8979.0</v>
      </c>
      <c r="F458" s="115">
        <v>417632.0</v>
      </c>
      <c r="G458" s="115">
        <v>278026.0</v>
      </c>
      <c r="H458" s="13">
        <v>45913.0</v>
      </c>
      <c r="I458" s="12" t="s">
        <v>3</v>
      </c>
    </row>
    <row r="459">
      <c r="A459" s="6" t="s">
        <v>52</v>
      </c>
      <c r="B459" s="6" t="s">
        <v>52</v>
      </c>
      <c r="C459" s="115">
        <v>0.0</v>
      </c>
      <c r="D459" s="115">
        <v>26381.0</v>
      </c>
      <c r="E459" s="115">
        <v>537.0</v>
      </c>
      <c r="F459" s="115">
        <v>23839.0</v>
      </c>
      <c r="G459" s="115">
        <v>13662.0</v>
      </c>
      <c r="H459" s="13">
        <v>45913.0</v>
      </c>
      <c r="I459" s="12" t="s">
        <v>3</v>
      </c>
    </row>
    <row r="460">
      <c r="A460" s="6" t="s">
        <v>47</v>
      </c>
      <c r="B460" s="6" t="s">
        <v>20</v>
      </c>
      <c r="C460" s="115">
        <v>936374.0</v>
      </c>
      <c r="D460" s="115">
        <v>1110549.0</v>
      </c>
      <c r="E460" s="115">
        <v>22463.0</v>
      </c>
      <c r="F460" s="115">
        <v>1019880.0</v>
      </c>
      <c r="G460" s="115">
        <v>815695.0</v>
      </c>
      <c r="H460" s="13">
        <v>45913.0</v>
      </c>
      <c r="I460" s="12" t="s">
        <v>53</v>
      </c>
    </row>
    <row r="461">
      <c r="A461" s="6" t="s">
        <v>47</v>
      </c>
      <c r="B461" s="6" t="s">
        <v>21</v>
      </c>
      <c r="C461" s="115">
        <v>535038.0</v>
      </c>
      <c r="D461" s="115">
        <v>619447.0</v>
      </c>
      <c r="E461" s="115">
        <v>13120.0</v>
      </c>
      <c r="F461" s="115">
        <v>571519.0</v>
      </c>
      <c r="G461" s="115">
        <v>403319.0</v>
      </c>
      <c r="H461" s="13">
        <v>45913.0</v>
      </c>
      <c r="I461" s="12" t="s">
        <v>53</v>
      </c>
    </row>
    <row r="462">
      <c r="A462" s="6" t="s">
        <v>47</v>
      </c>
      <c r="B462" s="6" t="s">
        <v>22</v>
      </c>
      <c r="C462" s="115">
        <v>408067.0</v>
      </c>
      <c r="D462" s="115">
        <v>396079.0</v>
      </c>
      <c r="E462" s="115">
        <v>7508.0</v>
      </c>
      <c r="F462" s="115">
        <v>370374.0</v>
      </c>
      <c r="G462" s="115">
        <v>263316.0</v>
      </c>
      <c r="H462" s="13">
        <v>45913.0</v>
      </c>
      <c r="I462" s="12" t="s">
        <v>53</v>
      </c>
    </row>
    <row r="463">
      <c r="A463" s="6" t="s">
        <v>49</v>
      </c>
      <c r="B463" s="6" t="s">
        <v>15</v>
      </c>
      <c r="C463" s="115">
        <v>183627.0</v>
      </c>
      <c r="D463" s="115">
        <v>297524.0</v>
      </c>
      <c r="E463" s="115">
        <v>5840.0</v>
      </c>
      <c r="F463" s="115">
        <v>265797.0</v>
      </c>
      <c r="G463" s="115">
        <v>169192.0</v>
      </c>
      <c r="H463" s="13">
        <v>45913.0</v>
      </c>
      <c r="I463" s="12" t="s">
        <v>53</v>
      </c>
    </row>
    <row r="464">
      <c r="A464" s="6" t="s">
        <v>49</v>
      </c>
      <c r="B464" s="6" t="s">
        <v>17</v>
      </c>
      <c r="C464" s="115">
        <v>249202.0</v>
      </c>
      <c r="D464" s="115">
        <v>318895.0</v>
      </c>
      <c r="E464" s="115">
        <v>5638.0</v>
      </c>
      <c r="F464" s="115">
        <v>295289.0</v>
      </c>
      <c r="G464" s="115">
        <v>203029.0</v>
      </c>
      <c r="H464" s="13">
        <v>45913.0</v>
      </c>
      <c r="I464" s="12" t="s">
        <v>53</v>
      </c>
    </row>
    <row r="465">
      <c r="A465" s="6" t="s">
        <v>49</v>
      </c>
      <c r="B465" s="6" t="s">
        <v>16</v>
      </c>
      <c r="C465" s="115">
        <v>505662.0</v>
      </c>
      <c r="D465" s="115">
        <v>610540.0</v>
      </c>
      <c r="E465" s="115">
        <v>13346.0</v>
      </c>
      <c r="F465" s="115">
        <v>560349.0</v>
      </c>
      <c r="G465" s="115">
        <v>392116.0</v>
      </c>
      <c r="H465" s="13">
        <v>45913.0</v>
      </c>
      <c r="I465" s="12" t="s">
        <v>53</v>
      </c>
    </row>
    <row r="466">
      <c r="A466" s="6" t="s">
        <v>49</v>
      </c>
      <c r="B466" s="6" t="s">
        <v>18</v>
      </c>
      <c r="C466" s="115">
        <v>177267.0</v>
      </c>
      <c r="D466" s="115">
        <v>252907.0</v>
      </c>
      <c r="E466" s="115">
        <v>5309.0</v>
      </c>
      <c r="F466" s="115">
        <v>227358.0</v>
      </c>
      <c r="G466" s="115">
        <v>165267.0</v>
      </c>
      <c r="H466" s="13">
        <v>45913.0</v>
      </c>
      <c r="I466" s="12" t="s">
        <v>53</v>
      </c>
    </row>
    <row r="467">
      <c r="A467" s="6" t="s">
        <v>50</v>
      </c>
      <c r="B467" s="6" t="s">
        <v>24</v>
      </c>
      <c r="C467" s="115">
        <v>392473.0</v>
      </c>
      <c r="D467" s="115">
        <v>543286.0</v>
      </c>
      <c r="E467" s="115">
        <v>10125.0</v>
      </c>
      <c r="F467" s="115">
        <v>497160.0</v>
      </c>
      <c r="G467" s="115">
        <v>339558.0</v>
      </c>
      <c r="H467" s="13">
        <v>45913.0</v>
      </c>
      <c r="I467" s="12" t="s">
        <v>53</v>
      </c>
    </row>
    <row r="468">
      <c r="A468" s="6" t="s">
        <v>50</v>
      </c>
      <c r="B468" s="6" t="s">
        <v>25</v>
      </c>
      <c r="C468" s="115">
        <v>380297.0</v>
      </c>
      <c r="D468" s="115">
        <v>440776.0</v>
      </c>
      <c r="E468" s="115">
        <v>7578.0</v>
      </c>
      <c r="F468" s="115">
        <v>401941.0</v>
      </c>
      <c r="G468" s="115">
        <v>276768.0</v>
      </c>
      <c r="H468" s="13">
        <v>45913.0</v>
      </c>
      <c r="I468" s="12" t="s">
        <v>53</v>
      </c>
    </row>
    <row r="469">
      <c r="A469" s="6" t="s">
        <v>50</v>
      </c>
      <c r="B469" s="6" t="s">
        <v>26</v>
      </c>
      <c r="C469" s="115">
        <v>328301.0</v>
      </c>
      <c r="D469" s="115">
        <v>395844.0</v>
      </c>
      <c r="E469" s="115">
        <v>6015.0</v>
      </c>
      <c r="F469" s="115">
        <v>372975.0</v>
      </c>
      <c r="G469" s="115">
        <v>247471.0</v>
      </c>
      <c r="H469" s="13">
        <v>45913.0</v>
      </c>
      <c r="I469" s="12" t="s">
        <v>53</v>
      </c>
    </row>
    <row r="470">
      <c r="A470" s="6" t="s">
        <v>50</v>
      </c>
      <c r="B470" s="6" t="s">
        <v>27</v>
      </c>
      <c r="C470" s="115">
        <v>225340.0</v>
      </c>
      <c r="D470" s="115">
        <v>275918.0</v>
      </c>
      <c r="E470" s="115">
        <v>5052.0</v>
      </c>
      <c r="F470" s="115">
        <v>258970.0</v>
      </c>
      <c r="G470" s="115">
        <v>197681.0</v>
      </c>
      <c r="H470" s="13">
        <v>45913.0</v>
      </c>
      <c r="I470" s="12" t="s">
        <v>53</v>
      </c>
    </row>
    <row r="471">
      <c r="A471" s="6" t="s">
        <v>51</v>
      </c>
      <c r="B471" s="6" t="s">
        <v>29</v>
      </c>
      <c r="C471" s="115">
        <v>431658.0</v>
      </c>
      <c r="D471" s="115">
        <v>662660.0</v>
      </c>
      <c r="E471" s="115">
        <v>10964.0</v>
      </c>
      <c r="F471" s="115">
        <v>607582.0</v>
      </c>
      <c r="G471" s="115">
        <v>389565.0</v>
      </c>
      <c r="H471" s="13">
        <v>45913.0</v>
      </c>
      <c r="I471" s="12" t="s">
        <v>53</v>
      </c>
    </row>
    <row r="472">
      <c r="A472" s="6" t="s">
        <v>51</v>
      </c>
      <c r="B472" s="6" t="s">
        <v>30</v>
      </c>
      <c r="C472" s="115">
        <v>343127.0</v>
      </c>
      <c r="D472" s="115">
        <v>461544.0</v>
      </c>
      <c r="E472" s="115">
        <v>8993.0</v>
      </c>
      <c r="F472" s="115">
        <v>418360.0</v>
      </c>
      <c r="G472" s="115">
        <v>295296.0</v>
      </c>
      <c r="H472" s="13">
        <v>45913.0</v>
      </c>
      <c r="I472" s="12" t="s">
        <v>53</v>
      </c>
    </row>
    <row r="473">
      <c r="A473" s="6" t="s">
        <v>52</v>
      </c>
      <c r="B473" s="6" t="s">
        <v>52</v>
      </c>
      <c r="C473" s="115">
        <v>0.0</v>
      </c>
      <c r="D473" s="115">
        <v>26455.0</v>
      </c>
      <c r="E473" s="115">
        <v>538.0</v>
      </c>
      <c r="F473" s="115">
        <v>23911.0</v>
      </c>
      <c r="G473" s="115">
        <v>15451.0</v>
      </c>
      <c r="H473" s="13">
        <v>45913.0</v>
      </c>
      <c r="I473" s="12" t="s">
        <v>53</v>
      </c>
    </row>
    <row r="474">
      <c r="A474" s="6" t="s">
        <v>47</v>
      </c>
      <c r="B474" s="6" t="s">
        <v>20</v>
      </c>
      <c r="C474" s="115">
        <v>0.0</v>
      </c>
      <c r="D474" s="115">
        <v>1113924.0</v>
      </c>
      <c r="E474" s="115">
        <v>22494.0</v>
      </c>
      <c r="F474" s="115">
        <v>1022892.0</v>
      </c>
      <c r="G474" s="115">
        <v>857455.0</v>
      </c>
      <c r="H474" s="13">
        <v>45913.0</v>
      </c>
      <c r="I474" s="12" t="s">
        <v>54</v>
      </c>
    </row>
    <row r="475">
      <c r="A475" s="6" t="s">
        <v>47</v>
      </c>
      <c r="B475" s="6" t="s">
        <v>21</v>
      </c>
      <c r="C475" s="115">
        <v>0.0</v>
      </c>
      <c r="D475" s="115">
        <v>619979.0</v>
      </c>
      <c r="E475" s="115">
        <v>13138.0</v>
      </c>
      <c r="F475" s="115">
        <v>571940.0</v>
      </c>
      <c r="G475" s="115">
        <v>418992.0</v>
      </c>
      <c r="H475" s="13">
        <v>45913.0</v>
      </c>
      <c r="I475" s="12" t="s">
        <v>54</v>
      </c>
    </row>
    <row r="476">
      <c r="A476" s="6" t="s">
        <v>47</v>
      </c>
      <c r="B476" s="6" t="s">
        <v>22</v>
      </c>
      <c r="C476" s="115">
        <v>0.0</v>
      </c>
      <c r="D476" s="115">
        <v>396220.0</v>
      </c>
      <c r="E476" s="115">
        <v>7511.0</v>
      </c>
      <c r="F476" s="115">
        <v>370471.0</v>
      </c>
      <c r="G476" s="115">
        <v>276666.0</v>
      </c>
      <c r="H476" s="13">
        <v>45913.0</v>
      </c>
      <c r="I476" s="12" t="s">
        <v>54</v>
      </c>
    </row>
    <row r="477">
      <c r="A477" s="6" t="s">
        <v>49</v>
      </c>
      <c r="B477" s="6" t="s">
        <v>15</v>
      </c>
      <c r="C477" s="115">
        <v>0.0</v>
      </c>
      <c r="D477" s="115">
        <v>298244.0</v>
      </c>
      <c r="E477" s="115">
        <v>5855.0</v>
      </c>
      <c r="F477" s="115">
        <v>266410.0</v>
      </c>
      <c r="G477" s="115">
        <v>182016.0</v>
      </c>
      <c r="H477" s="13">
        <v>45913.0</v>
      </c>
      <c r="I477" s="12" t="s">
        <v>54</v>
      </c>
    </row>
    <row r="478">
      <c r="A478" s="6" t="s">
        <v>49</v>
      </c>
      <c r="B478" s="6" t="s">
        <v>17</v>
      </c>
      <c r="C478" s="115">
        <v>0.0</v>
      </c>
      <c r="D478" s="115">
        <v>319274.0</v>
      </c>
      <c r="E478" s="115">
        <v>5644.0</v>
      </c>
      <c r="F478" s="115">
        <v>295652.0</v>
      </c>
      <c r="G478" s="115">
        <v>212102.0</v>
      </c>
      <c r="H478" s="13">
        <v>45913.0</v>
      </c>
      <c r="I478" s="12" t="s">
        <v>54</v>
      </c>
    </row>
    <row r="479">
      <c r="A479" s="6" t="s">
        <v>49</v>
      </c>
      <c r="B479" s="6" t="s">
        <v>16</v>
      </c>
      <c r="C479" s="115">
        <v>0.0</v>
      </c>
      <c r="D479" s="115">
        <v>611159.0</v>
      </c>
      <c r="E479" s="115">
        <v>13365.0</v>
      </c>
      <c r="F479" s="115">
        <v>560866.0</v>
      </c>
      <c r="G479" s="115">
        <v>408957.0</v>
      </c>
      <c r="H479" s="13">
        <v>45913.0</v>
      </c>
      <c r="I479" s="12" t="s">
        <v>54</v>
      </c>
    </row>
    <row r="480">
      <c r="A480" s="6" t="s">
        <v>49</v>
      </c>
      <c r="B480" s="6" t="s">
        <v>18</v>
      </c>
      <c r="C480" s="115">
        <v>0.0</v>
      </c>
      <c r="D480" s="115">
        <v>253033.0</v>
      </c>
      <c r="E480" s="115">
        <v>5313.0</v>
      </c>
      <c r="F480" s="115">
        <v>227467.0</v>
      </c>
      <c r="G480" s="115">
        <v>170273.0</v>
      </c>
      <c r="H480" s="13">
        <v>45913.0</v>
      </c>
      <c r="I480" s="12" t="s">
        <v>54</v>
      </c>
    </row>
    <row r="481">
      <c r="A481" s="6" t="s">
        <v>50</v>
      </c>
      <c r="B481" s="6" t="s">
        <v>24</v>
      </c>
      <c r="C481" s="115">
        <v>0.0</v>
      </c>
      <c r="D481" s="115">
        <v>543612.0</v>
      </c>
      <c r="E481" s="115">
        <v>10140.0</v>
      </c>
      <c r="F481" s="115">
        <v>497399.0</v>
      </c>
      <c r="G481" s="115">
        <v>357310.0</v>
      </c>
      <c r="H481" s="13">
        <v>45913.0</v>
      </c>
      <c r="I481" s="12" t="s">
        <v>54</v>
      </c>
    </row>
    <row r="482">
      <c r="A482" s="6" t="s">
        <v>50</v>
      </c>
      <c r="B482" s="6" t="s">
        <v>25</v>
      </c>
      <c r="C482" s="115">
        <v>0.0</v>
      </c>
      <c r="D482" s="115">
        <v>442594.0</v>
      </c>
      <c r="E482" s="115">
        <v>7611.0</v>
      </c>
      <c r="F482" s="115">
        <v>403608.0</v>
      </c>
      <c r="G482" s="115">
        <v>291535.0</v>
      </c>
      <c r="H482" s="13">
        <v>45913.0</v>
      </c>
      <c r="I482" s="12" t="s">
        <v>54</v>
      </c>
    </row>
    <row r="483">
      <c r="A483" s="6" t="s">
        <v>50</v>
      </c>
      <c r="B483" s="6" t="s">
        <v>26</v>
      </c>
      <c r="C483" s="115">
        <v>0.0</v>
      </c>
      <c r="D483" s="115">
        <v>396749.0</v>
      </c>
      <c r="E483" s="115">
        <v>6029.0</v>
      </c>
      <c r="F483" s="115">
        <v>373814.0</v>
      </c>
      <c r="G483" s="115">
        <v>268251.0</v>
      </c>
      <c r="H483" s="13">
        <v>45913.0</v>
      </c>
      <c r="I483" s="12" t="s">
        <v>54</v>
      </c>
    </row>
    <row r="484">
      <c r="A484" s="6" t="s">
        <v>50</v>
      </c>
      <c r="B484" s="6" t="s">
        <v>27</v>
      </c>
      <c r="C484" s="115">
        <v>0.0</v>
      </c>
      <c r="D484" s="115">
        <v>276008.0</v>
      </c>
      <c r="E484" s="115">
        <v>5069.0</v>
      </c>
      <c r="F484" s="115">
        <v>259047.0</v>
      </c>
      <c r="G484" s="115">
        <v>206870.0</v>
      </c>
      <c r="H484" s="13">
        <v>45913.0</v>
      </c>
      <c r="I484" s="12" t="s">
        <v>54</v>
      </c>
    </row>
    <row r="485">
      <c r="A485" s="6" t="s">
        <v>51</v>
      </c>
      <c r="B485" s="6" t="s">
        <v>29</v>
      </c>
      <c r="C485" s="115">
        <v>0.0</v>
      </c>
      <c r="D485" s="115">
        <v>665374.0</v>
      </c>
      <c r="E485" s="115">
        <v>11022.0</v>
      </c>
      <c r="F485" s="115">
        <v>610199.0</v>
      </c>
      <c r="G485" s="115">
        <v>415638.0</v>
      </c>
      <c r="H485" s="13">
        <v>45913.0</v>
      </c>
      <c r="I485" s="12" t="s">
        <v>54</v>
      </c>
    </row>
    <row r="486">
      <c r="A486" s="6" t="s">
        <v>51</v>
      </c>
      <c r="B486" s="6" t="s">
        <v>30</v>
      </c>
      <c r="C486" s="115">
        <v>0.0</v>
      </c>
      <c r="D486" s="115">
        <v>462324.0</v>
      </c>
      <c r="E486" s="115">
        <v>9009.0</v>
      </c>
      <c r="F486" s="115">
        <v>419074.0</v>
      </c>
      <c r="G486" s="115">
        <v>306819.0</v>
      </c>
      <c r="H486" s="13">
        <v>45913.0</v>
      </c>
      <c r="I486" s="12" t="s">
        <v>54</v>
      </c>
    </row>
    <row r="487">
      <c r="A487" s="6" t="s">
        <v>52</v>
      </c>
      <c r="B487" s="6" t="s">
        <v>52</v>
      </c>
      <c r="C487" s="115">
        <v>0.0</v>
      </c>
      <c r="D487" s="115">
        <v>26527.0</v>
      </c>
      <c r="E487" s="115">
        <v>539.0</v>
      </c>
      <c r="F487" s="115">
        <v>23977.0</v>
      </c>
      <c r="G487" s="115">
        <v>16720.0</v>
      </c>
      <c r="H487" s="13">
        <v>45913.0</v>
      </c>
      <c r="I487" s="12" t="s">
        <v>54</v>
      </c>
    </row>
    <row r="488">
      <c r="A488" s="6" t="s">
        <v>47</v>
      </c>
      <c r="B488" s="6" t="s">
        <v>20</v>
      </c>
      <c r="C488" s="115">
        <v>0.0</v>
      </c>
      <c r="D488" s="115">
        <v>1117409.0</v>
      </c>
      <c r="E488" s="115">
        <v>22530.0</v>
      </c>
      <c r="F488" s="115">
        <v>1025994.0</v>
      </c>
      <c r="G488" s="115">
        <v>884693.0</v>
      </c>
      <c r="H488" s="13">
        <v>45913.0</v>
      </c>
      <c r="I488" s="12" t="s">
        <v>55</v>
      </c>
    </row>
    <row r="489">
      <c r="A489" s="6" t="s">
        <v>47</v>
      </c>
      <c r="B489" s="6" t="s">
        <v>21</v>
      </c>
      <c r="C489" s="115">
        <v>0.0</v>
      </c>
      <c r="D489" s="115">
        <v>620433.0</v>
      </c>
      <c r="E489" s="115">
        <v>13157.0</v>
      </c>
      <c r="F489" s="115">
        <v>572329.0</v>
      </c>
      <c r="G489" s="115">
        <v>426811.0</v>
      </c>
      <c r="H489" s="13">
        <v>45913.0</v>
      </c>
      <c r="I489" s="12" t="s">
        <v>55</v>
      </c>
    </row>
    <row r="490">
      <c r="A490" s="6" t="s">
        <v>47</v>
      </c>
      <c r="B490" s="6" t="s">
        <v>22</v>
      </c>
      <c r="C490" s="115">
        <v>0.0</v>
      </c>
      <c r="D490" s="115">
        <v>396370.0</v>
      </c>
      <c r="E490" s="115">
        <v>7515.0</v>
      </c>
      <c r="F490" s="115">
        <v>370558.0</v>
      </c>
      <c r="G490" s="115">
        <v>284569.0</v>
      </c>
      <c r="H490" s="13">
        <v>45913.0</v>
      </c>
      <c r="I490" s="12" t="s">
        <v>55</v>
      </c>
    </row>
    <row r="491">
      <c r="A491" s="6" t="s">
        <v>49</v>
      </c>
      <c r="B491" s="6" t="s">
        <v>15</v>
      </c>
      <c r="C491" s="115">
        <v>0.0</v>
      </c>
      <c r="D491" s="115">
        <v>298889.0</v>
      </c>
      <c r="E491" s="115">
        <v>5876.0</v>
      </c>
      <c r="F491" s="115">
        <v>266965.0</v>
      </c>
      <c r="G491" s="115">
        <v>191517.0</v>
      </c>
      <c r="H491" s="13">
        <v>45913.0</v>
      </c>
      <c r="I491" s="12" t="s">
        <v>55</v>
      </c>
    </row>
    <row r="492">
      <c r="A492" s="6" t="s">
        <v>49</v>
      </c>
      <c r="B492" s="6" t="s">
        <v>17</v>
      </c>
      <c r="C492" s="115">
        <v>0.0</v>
      </c>
      <c r="D492" s="115">
        <v>319431.0</v>
      </c>
      <c r="E492" s="115">
        <v>5650.0</v>
      </c>
      <c r="F492" s="115">
        <v>295788.0</v>
      </c>
      <c r="G492" s="115">
        <v>217130.0</v>
      </c>
      <c r="H492" s="13">
        <v>45913.0</v>
      </c>
      <c r="I492" s="12" t="s">
        <v>55</v>
      </c>
    </row>
    <row r="493">
      <c r="A493" s="6" t="s">
        <v>49</v>
      </c>
      <c r="B493" s="6" t="s">
        <v>16</v>
      </c>
      <c r="C493" s="115">
        <v>0.0</v>
      </c>
      <c r="D493" s="115">
        <v>611617.0</v>
      </c>
      <c r="E493" s="115">
        <v>13377.0</v>
      </c>
      <c r="F493" s="115">
        <v>561213.0</v>
      </c>
      <c r="G493" s="115">
        <v>417861.0</v>
      </c>
      <c r="H493" s="13">
        <v>45913.0</v>
      </c>
      <c r="I493" s="12" t="s">
        <v>55</v>
      </c>
    </row>
    <row r="494">
      <c r="A494" s="6" t="s">
        <v>49</v>
      </c>
      <c r="B494" s="6" t="s">
        <v>18</v>
      </c>
      <c r="C494" s="115">
        <v>0.0</v>
      </c>
      <c r="D494" s="115">
        <v>253132.0</v>
      </c>
      <c r="E494" s="115">
        <v>5315.0</v>
      </c>
      <c r="F494" s="115">
        <v>227554.0</v>
      </c>
      <c r="G494" s="115">
        <v>172836.0</v>
      </c>
      <c r="H494" s="13">
        <v>45913.0</v>
      </c>
      <c r="I494" s="12" t="s">
        <v>55</v>
      </c>
    </row>
    <row r="495">
      <c r="A495" s="6" t="s">
        <v>50</v>
      </c>
      <c r="B495" s="6" t="s">
        <v>24</v>
      </c>
      <c r="C495" s="115">
        <v>0.0</v>
      </c>
      <c r="D495" s="115">
        <v>543824.0</v>
      </c>
      <c r="E495" s="115">
        <v>10145.0</v>
      </c>
      <c r="F495" s="115">
        <v>497533.0</v>
      </c>
      <c r="G495" s="115">
        <v>368223.0</v>
      </c>
      <c r="H495" s="13">
        <v>45913.0</v>
      </c>
      <c r="I495" s="12" t="s">
        <v>55</v>
      </c>
    </row>
    <row r="496">
      <c r="A496" s="6" t="s">
        <v>50</v>
      </c>
      <c r="B496" s="6" t="s">
        <v>25</v>
      </c>
      <c r="C496" s="115">
        <v>0.0</v>
      </c>
      <c r="D496" s="115">
        <v>444200.0</v>
      </c>
      <c r="E496" s="115">
        <v>7639.0</v>
      </c>
      <c r="F496" s="115">
        <v>405053.0</v>
      </c>
      <c r="G496" s="115">
        <v>301430.0</v>
      </c>
      <c r="H496" s="13">
        <v>45913.0</v>
      </c>
      <c r="I496" s="12" t="s">
        <v>55</v>
      </c>
    </row>
    <row r="497">
      <c r="A497" s="6" t="s">
        <v>50</v>
      </c>
      <c r="B497" s="6" t="s">
        <v>26</v>
      </c>
      <c r="C497" s="115">
        <v>0.0</v>
      </c>
      <c r="D497" s="115">
        <v>397570.0</v>
      </c>
      <c r="E497" s="115">
        <v>6040.0</v>
      </c>
      <c r="F497" s="115">
        <v>374577.0</v>
      </c>
      <c r="G497" s="115">
        <v>282868.0</v>
      </c>
      <c r="H497" s="13">
        <v>45913.0</v>
      </c>
      <c r="I497" s="12" t="s">
        <v>55</v>
      </c>
    </row>
    <row r="498">
      <c r="A498" s="6" t="s">
        <v>50</v>
      </c>
      <c r="B498" s="6" t="s">
        <v>27</v>
      </c>
      <c r="C498" s="115">
        <v>0.0</v>
      </c>
      <c r="D498" s="115">
        <v>276229.0</v>
      </c>
      <c r="E498" s="115">
        <v>5086.0</v>
      </c>
      <c r="F498" s="115">
        <v>259250.0</v>
      </c>
      <c r="G498" s="115">
        <v>212058.0</v>
      </c>
      <c r="H498" s="13">
        <v>45913.0</v>
      </c>
      <c r="I498" s="12" t="s">
        <v>55</v>
      </c>
    </row>
    <row r="499">
      <c r="A499" s="6" t="s">
        <v>51</v>
      </c>
      <c r="B499" s="6" t="s">
        <v>29</v>
      </c>
      <c r="C499" s="115">
        <v>0.0</v>
      </c>
      <c r="D499" s="115">
        <v>667323.0</v>
      </c>
      <c r="E499" s="115">
        <v>11053.0</v>
      </c>
      <c r="F499" s="115">
        <v>612019.0</v>
      </c>
      <c r="G499" s="115">
        <v>433127.0</v>
      </c>
      <c r="H499" s="13">
        <v>45913.0</v>
      </c>
      <c r="I499" s="12" t="s">
        <v>55</v>
      </c>
    </row>
    <row r="500">
      <c r="A500" s="6" t="s">
        <v>51</v>
      </c>
      <c r="B500" s="6" t="s">
        <v>30</v>
      </c>
      <c r="C500" s="115">
        <v>0.0</v>
      </c>
      <c r="D500" s="115">
        <v>462953.0</v>
      </c>
      <c r="E500" s="115">
        <v>9018.0</v>
      </c>
      <c r="F500" s="115">
        <v>419666.0</v>
      </c>
      <c r="G500" s="115">
        <v>313796.0</v>
      </c>
      <c r="H500" s="13">
        <v>45913.0</v>
      </c>
      <c r="I500" s="12" t="s">
        <v>55</v>
      </c>
    </row>
    <row r="501">
      <c r="A501" s="6" t="s">
        <v>52</v>
      </c>
      <c r="B501" s="6" t="s">
        <v>52</v>
      </c>
      <c r="C501" s="115">
        <v>0.0</v>
      </c>
      <c r="D501" s="115">
        <v>26605.0</v>
      </c>
      <c r="E501" s="115">
        <v>539.0</v>
      </c>
      <c r="F501" s="115">
        <v>24042.0</v>
      </c>
      <c r="G501" s="115">
        <v>17498.0</v>
      </c>
      <c r="H501" s="13">
        <v>45913.0</v>
      </c>
      <c r="I501" s="12" t="s">
        <v>55</v>
      </c>
    </row>
    <row r="502">
      <c r="A502" s="6" t="s">
        <v>47</v>
      </c>
      <c r="B502" s="6" t="s">
        <v>20</v>
      </c>
      <c r="C502" s="115">
        <v>0.0</v>
      </c>
      <c r="D502" s="115">
        <v>1135368.0</v>
      </c>
      <c r="E502" s="115">
        <v>22621.0</v>
      </c>
      <c r="F502" s="115">
        <v>1042067.0</v>
      </c>
      <c r="G502" s="115">
        <v>911760.0</v>
      </c>
      <c r="H502" s="13">
        <v>45913.0</v>
      </c>
      <c r="I502" s="12" t="s">
        <v>56</v>
      </c>
    </row>
    <row r="503">
      <c r="A503" s="6" t="s">
        <v>47</v>
      </c>
      <c r="B503" s="6" t="s">
        <v>21</v>
      </c>
      <c r="C503" s="115">
        <v>0.0</v>
      </c>
      <c r="D503" s="115">
        <v>622153.0</v>
      </c>
      <c r="E503" s="115">
        <v>13199.0</v>
      </c>
      <c r="F503" s="115">
        <v>573409.0</v>
      </c>
      <c r="G503" s="115">
        <v>430368.0</v>
      </c>
      <c r="H503" s="13">
        <v>45913.0</v>
      </c>
      <c r="I503" s="12" t="s">
        <v>56</v>
      </c>
    </row>
    <row r="504">
      <c r="A504" s="6" t="s">
        <v>47</v>
      </c>
      <c r="B504" s="6" t="s">
        <v>22</v>
      </c>
      <c r="C504" s="115">
        <v>0.0</v>
      </c>
      <c r="D504" s="115">
        <v>397010.0</v>
      </c>
      <c r="E504" s="115">
        <v>7524.0</v>
      </c>
      <c r="F504" s="115">
        <v>370815.0</v>
      </c>
      <c r="G504" s="115">
        <v>289183.0</v>
      </c>
      <c r="H504" s="13">
        <v>45913.0</v>
      </c>
      <c r="I504" s="12" t="s">
        <v>56</v>
      </c>
    </row>
    <row r="505">
      <c r="A505" s="6" t="s">
        <v>49</v>
      </c>
      <c r="B505" s="6" t="s">
        <v>15</v>
      </c>
      <c r="C505" s="115">
        <v>0.0</v>
      </c>
      <c r="D505" s="115">
        <v>300665.0</v>
      </c>
      <c r="E505" s="115">
        <v>5916.0</v>
      </c>
      <c r="F505" s="115">
        <v>268378.0</v>
      </c>
      <c r="G505" s="115">
        <v>198085.0</v>
      </c>
      <c r="H505" s="13">
        <v>45913.0</v>
      </c>
      <c r="I505" s="12" t="s">
        <v>56</v>
      </c>
    </row>
    <row r="506">
      <c r="A506" s="6" t="s">
        <v>49</v>
      </c>
      <c r="B506" s="6" t="s">
        <v>17</v>
      </c>
      <c r="C506" s="115">
        <v>0.0</v>
      </c>
      <c r="D506" s="115">
        <v>319962.0</v>
      </c>
      <c r="E506" s="115">
        <v>5667.0</v>
      </c>
      <c r="F506" s="115">
        <v>296202.0</v>
      </c>
      <c r="G506" s="115">
        <v>219638.0</v>
      </c>
      <c r="H506" s="13">
        <v>45913.0</v>
      </c>
      <c r="I506" s="12" t="s">
        <v>56</v>
      </c>
    </row>
    <row r="507">
      <c r="A507" s="6" t="s">
        <v>49</v>
      </c>
      <c r="B507" s="6" t="s">
        <v>16</v>
      </c>
      <c r="C507" s="115">
        <v>0.0</v>
      </c>
      <c r="D507" s="115">
        <v>613323.0</v>
      </c>
      <c r="E507" s="115">
        <v>13430.0</v>
      </c>
      <c r="F507" s="115">
        <v>562225.0</v>
      </c>
      <c r="G507" s="115">
        <v>422457.0</v>
      </c>
      <c r="H507" s="13">
        <v>45913.0</v>
      </c>
      <c r="I507" s="12" t="s">
        <v>56</v>
      </c>
    </row>
    <row r="508">
      <c r="A508" s="6" t="s">
        <v>49</v>
      </c>
      <c r="B508" s="6" t="s">
        <v>18</v>
      </c>
      <c r="C508" s="115">
        <v>0.0</v>
      </c>
      <c r="D508" s="115">
        <v>253583.0</v>
      </c>
      <c r="E508" s="115">
        <v>5336.0</v>
      </c>
      <c r="F508" s="115">
        <v>227782.0</v>
      </c>
      <c r="G508" s="115">
        <v>173971.0</v>
      </c>
      <c r="H508" s="13">
        <v>45913.0</v>
      </c>
      <c r="I508" s="12" t="s">
        <v>56</v>
      </c>
    </row>
    <row r="509">
      <c r="A509" s="6" t="s">
        <v>50</v>
      </c>
      <c r="B509" s="6" t="s">
        <v>24</v>
      </c>
      <c r="C509" s="115">
        <v>0.0</v>
      </c>
      <c r="D509" s="115">
        <v>545383.0</v>
      </c>
      <c r="E509" s="115">
        <v>10177.0</v>
      </c>
      <c r="F509" s="115">
        <v>498635.0</v>
      </c>
      <c r="G509" s="115">
        <v>374031.0</v>
      </c>
      <c r="H509" s="13">
        <v>45913.0</v>
      </c>
      <c r="I509" s="12" t="s">
        <v>56</v>
      </c>
    </row>
    <row r="510">
      <c r="A510" s="6" t="s">
        <v>50</v>
      </c>
      <c r="B510" s="6" t="s">
        <v>25</v>
      </c>
      <c r="C510" s="115">
        <v>0.0</v>
      </c>
      <c r="D510" s="115">
        <v>454705.0</v>
      </c>
      <c r="E510" s="115">
        <v>7809.0</v>
      </c>
      <c r="F510" s="115">
        <v>414932.0</v>
      </c>
      <c r="G510" s="115">
        <v>312267.0</v>
      </c>
      <c r="H510" s="13">
        <v>45913.0</v>
      </c>
      <c r="I510" s="12" t="s">
        <v>56</v>
      </c>
    </row>
    <row r="511">
      <c r="A511" s="6" t="s">
        <v>50</v>
      </c>
      <c r="B511" s="6" t="s">
        <v>26</v>
      </c>
      <c r="C511" s="115">
        <v>0.0</v>
      </c>
      <c r="D511" s="115">
        <v>401227.0</v>
      </c>
      <c r="E511" s="115">
        <v>6088.0</v>
      </c>
      <c r="F511" s="115">
        <v>377854.0</v>
      </c>
      <c r="G511" s="115">
        <v>292697.0</v>
      </c>
      <c r="H511" s="13">
        <v>45913.0</v>
      </c>
      <c r="I511" s="12" t="s">
        <v>56</v>
      </c>
    </row>
    <row r="512">
      <c r="A512" s="6" t="s">
        <v>50</v>
      </c>
      <c r="B512" s="6" t="s">
        <v>27</v>
      </c>
      <c r="C512" s="115">
        <v>0.0</v>
      </c>
      <c r="D512" s="115">
        <v>277205.0</v>
      </c>
      <c r="E512" s="115">
        <v>5109.0</v>
      </c>
      <c r="F512" s="115">
        <v>260124.0</v>
      </c>
      <c r="G512" s="115">
        <v>214908.0</v>
      </c>
      <c r="H512" s="13">
        <v>45913.0</v>
      </c>
      <c r="I512" s="12" t="s">
        <v>56</v>
      </c>
    </row>
    <row r="513">
      <c r="A513" s="6" t="s">
        <v>51</v>
      </c>
      <c r="B513" s="6" t="s">
        <v>29</v>
      </c>
      <c r="C513" s="115">
        <v>0.0</v>
      </c>
      <c r="D513" s="115">
        <v>672140.0</v>
      </c>
      <c r="E513" s="115">
        <v>11149.0</v>
      </c>
      <c r="F513" s="115">
        <v>616482.0</v>
      </c>
      <c r="G513" s="115">
        <v>444618.0</v>
      </c>
      <c r="H513" s="13">
        <v>45913.0</v>
      </c>
      <c r="I513" s="12" t="s">
        <v>56</v>
      </c>
    </row>
    <row r="514">
      <c r="A514" s="6" t="s">
        <v>51</v>
      </c>
      <c r="B514" s="6" t="s">
        <v>30</v>
      </c>
      <c r="C514" s="115">
        <v>0.0</v>
      </c>
      <c r="D514" s="115">
        <v>464970.0</v>
      </c>
      <c r="E514" s="115">
        <v>9051.0</v>
      </c>
      <c r="F514" s="115">
        <v>421394.0</v>
      </c>
      <c r="G514" s="115">
        <v>317680.0</v>
      </c>
      <c r="H514" s="13">
        <v>45913.0</v>
      </c>
      <c r="I514" s="12" t="s">
        <v>56</v>
      </c>
    </row>
    <row r="515">
      <c r="A515" s="6" t="s">
        <v>52</v>
      </c>
      <c r="B515" s="6" t="s">
        <v>52</v>
      </c>
      <c r="C515" s="115">
        <v>0.0</v>
      </c>
      <c r="D515" s="115">
        <v>26974.0</v>
      </c>
      <c r="E515" s="115">
        <v>554.0</v>
      </c>
      <c r="F515" s="115">
        <v>24382.0</v>
      </c>
      <c r="G515" s="115">
        <v>18131.0</v>
      </c>
      <c r="H515" s="13">
        <v>45913.0</v>
      </c>
      <c r="I515" s="12" t="s">
        <v>56</v>
      </c>
    </row>
    <row r="516">
      <c r="A516" s="6" t="s">
        <v>47</v>
      </c>
      <c r="B516" s="6" t="s">
        <v>20</v>
      </c>
      <c r="C516" s="115">
        <v>0.0</v>
      </c>
      <c r="D516" s="115">
        <v>1145952.0</v>
      </c>
      <c r="E516" s="115">
        <v>22680.0</v>
      </c>
      <c r="F516" s="115">
        <v>1050223.0</v>
      </c>
      <c r="G516" s="115">
        <v>926751.0</v>
      </c>
      <c r="H516" s="13">
        <v>45913.0</v>
      </c>
      <c r="I516" s="12" t="s">
        <v>57</v>
      </c>
    </row>
    <row r="517">
      <c r="A517" s="6" t="s">
        <v>47</v>
      </c>
      <c r="B517" s="6" t="s">
        <v>21</v>
      </c>
      <c r="C517" s="115">
        <v>0.0</v>
      </c>
      <c r="D517" s="115">
        <v>623407.0</v>
      </c>
      <c r="E517" s="115">
        <v>13262.0</v>
      </c>
      <c r="F517" s="115">
        <v>573898.0</v>
      </c>
      <c r="G517" s="115">
        <v>431712.0</v>
      </c>
      <c r="H517" s="13">
        <v>45913.0</v>
      </c>
      <c r="I517" s="12" t="s">
        <v>57</v>
      </c>
    </row>
    <row r="518">
      <c r="A518" s="6" t="s">
        <v>47</v>
      </c>
      <c r="B518" s="6" t="s">
        <v>22</v>
      </c>
      <c r="C518" s="115">
        <v>0.0</v>
      </c>
      <c r="D518" s="115">
        <v>398006.0</v>
      </c>
      <c r="E518" s="115">
        <v>7529.0</v>
      </c>
      <c r="F518" s="115">
        <v>371021.0</v>
      </c>
      <c r="G518" s="115">
        <v>291335.0</v>
      </c>
      <c r="H518" s="13">
        <v>45913.0</v>
      </c>
      <c r="I518" s="12" t="s">
        <v>57</v>
      </c>
    </row>
    <row r="519">
      <c r="A519" s="6" t="s">
        <v>49</v>
      </c>
      <c r="B519" s="6" t="s">
        <v>15</v>
      </c>
      <c r="C519" s="115">
        <v>0.0</v>
      </c>
      <c r="D519" s="115">
        <v>301107.0</v>
      </c>
      <c r="E519" s="115">
        <v>5929.0</v>
      </c>
      <c r="F519" s="115">
        <v>268651.0</v>
      </c>
      <c r="G519" s="115">
        <v>201083.0</v>
      </c>
      <c r="H519" s="13">
        <v>45913.0</v>
      </c>
      <c r="I519" s="12" t="s">
        <v>57</v>
      </c>
    </row>
    <row r="520">
      <c r="A520" s="6" t="s">
        <v>49</v>
      </c>
      <c r="B520" s="6" t="s">
        <v>17</v>
      </c>
      <c r="C520" s="115">
        <v>0.0</v>
      </c>
      <c r="D520" s="115">
        <v>320381.0</v>
      </c>
      <c r="E520" s="115">
        <v>5682.0</v>
      </c>
      <c r="F520" s="115">
        <v>296554.0</v>
      </c>
      <c r="G520" s="115">
        <v>220653.0</v>
      </c>
      <c r="H520" s="13">
        <v>45913.0</v>
      </c>
      <c r="I520" s="12" t="s">
        <v>57</v>
      </c>
    </row>
    <row r="521">
      <c r="A521" s="6" t="s">
        <v>49</v>
      </c>
      <c r="B521" s="6" t="s">
        <v>16</v>
      </c>
      <c r="C521" s="115">
        <v>0.0</v>
      </c>
      <c r="D521" s="115">
        <v>614353.0</v>
      </c>
      <c r="E521" s="115">
        <v>13476.0</v>
      </c>
      <c r="F521" s="115">
        <v>562760.0</v>
      </c>
      <c r="G521" s="115">
        <v>424543.0</v>
      </c>
      <c r="H521" s="13">
        <v>45913.0</v>
      </c>
      <c r="I521" s="12" t="s">
        <v>57</v>
      </c>
    </row>
    <row r="522">
      <c r="A522" s="6" t="s">
        <v>49</v>
      </c>
      <c r="B522" s="6" t="s">
        <v>18</v>
      </c>
      <c r="C522" s="115">
        <v>0.0</v>
      </c>
      <c r="D522" s="115">
        <v>253874.0</v>
      </c>
      <c r="E522" s="115">
        <v>5350.0</v>
      </c>
      <c r="F522" s="115">
        <v>228000.0</v>
      </c>
      <c r="G522" s="115">
        <v>174516.0</v>
      </c>
      <c r="H522" s="13">
        <v>45913.0</v>
      </c>
      <c r="I522" s="12" t="s">
        <v>57</v>
      </c>
    </row>
    <row r="523">
      <c r="A523" s="6" t="s">
        <v>50</v>
      </c>
      <c r="B523" s="6" t="s">
        <v>24</v>
      </c>
      <c r="C523" s="115">
        <v>0.0</v>
      </c>
      <c r="D523" s="115">
        <v>546240.0</v>
      </c>
      <c r="E523" s="115">
        <v>10188.0</v>
      </c>
      <c r="F523" s="115">
        <v>499079.0</v>
      </c>
      <c r="G523" s="115">
        <v>376285.0</v>
      </c>
      <c r="H523" s="13">
        <v>45913.0</v>
      </c>
      <c r="I523" s="12" t="s">
        <v>57</v>
      </c>
    </row>
    <row r="524">
      <c r="A524" s="6" t="s">
        <v>50</v>
      </c>
      <c r="B524" s="6" t="s">
        <v>25</v>
      </c>
      <c r="C524" s="115">
        <v>0.0</v>
      </c>
      <c r="D524" s="115">
        <v>457730.0</v>
      </c>
      <c r="E524" s="115">
        <v>7869.0</v>
      </c>
      <c r="F524" s="115">
        <v>417407.0</v>
      </c>
      <c r="G524" s="115">
        <v>315784.0</v>
      </c>
      <c r="H524" s="13">
        <v>45913.0</v>
      </c>
      <c r="I524" s="12" t="s">
        <v>57</v>
      </c>
    </row>
    <row r="525">
      <c r="A525" s="6" t="s">
        <v>50</v>
      </c>
      <c r="B525" s="6" t="s">
        <v>26</v>
      </c>
      <c r="C525" s="115">
        <v>0.0</v>
      </c>
      <c r="D525" s="115">
        <v>402474.0</v>
      </c>
      <c r="E525" s="115">
        <v>6107.0</v>
      </c>
      <c r="F525" s="115">
        <v>378718.0</v>
      </c>
      <c r="G525" s="115">
        <v>297496.0</v>
      </c>
      <c r="H525" s="13">
        <v>45913.0</v>
      </c>
      <c r="I525" s="12" t="s">
        <v>57</v>
      </c>
    </row>
    <row r="526">
      <c r="A526" s="6" t="s">
        <v>50</v>
      </c>
      <c r="B526" s="6" t="s">
        <v>27</v>
      </c>
      <c r="C526" s="115">
        <v>0.0</v>
      </c>
      <c r="D526" s="115">
        <v>277559.0</v>
      </c>
      <c r="E526" s="115">
        <v>5116.0</v>
      </c>
      <c r="F526" s="115">
        <v>260405.0</v>
      </c>
      <c r="G526" s="115">
        <v>216209.0</v>
      </c>
      <c r="H526" s="13">
        <v>45913.0</v>
      </c>
      <c r="I526" s="12" t="s">
        <v>57</v>
      </c>
    </row>
    <row r="527">
      <c r="A527" s="6" t="s">
        <v>51</v>
      </c>
      <c r="B527" s="6" t="s">
        <v>29</v>
      </c>
      <c r="C527" s="115">
        <v>0.0</v>
      </c>
      <c r="D527" s="115">
        <v>674618.0</v>
      </c>
      <c r="E527" s="115">
        <v>11208.0</v>
      </c>
      <c r="F527" s="115">
        <v>618555.0</v>
      </c>
      <c r="G527" s="115">
        <v>450058.0</v>
      </c>
      <c r="H527" s="13">
        <v>45913.0</v>
      </c>
      <c r="I527" s="12" t="s">
        <v>57</v>
      </c>
    </row>
    <row r="528">
      <c r="A528" s="6" t="s">
        <v>51</v>
      </c>
      <c r="B528" s="6" t="s">
        <v>30</v>
      </c>
      <c r="C528" s="115">
        <v>0.0</v>
      </c>
      <c r="D528" s="115">
        <v>466552.0</v>
      </c>
      <c r="E528" s="115">
        <v>9080.0</v>
      </c>
      <c r="F528" s="115">
        <v>422681.0</v>
      </c>
      <c r="G528" s="115">
        <v>319700.0</v>
      </c>
      <c r="H528" s="13">
        <v>45913.0</v>
      </c>
      <c r="I528" s="12" t="s">
        <v>57</v>
      </c>
    </row>
    <row r="529">
      <c r="A529" s="6" t="s">
        <v>52</v>
      </c>
      <c r="B529" s="6" t="s">
        <v>52</v>
      </c>
      <c r="C529" s="115">
        <v>0.0</v>
      </c>
      <c r="D529" s="115">
        <v>27387.0</v>
      </c>
      <c r="E529" s="115">
        <v>558.0</v>
      </c>
      <c r="F529" s="115">
        <v>24781.0</v>
      </c>
      <c r="G529" s="115">
        <v>18383.0</v>
      </c>
      <c r="H529" s="13">
        <v>45913.0</v>
      </c>
      <c r="I529" s="12" t="s">
        <v>57</v>
      </c>
    </row>
    <row r="530">
      <c r="A530" s="6"/>
      <c r="B530" s="6"/>
      <c r="H530" s="13"/>
    </row>
    <row r="531">
      <c r="A531" s="6"/>
      <c r="B531" s="6"/>
      <c r="H531" s="13"/>
    </row>
    <row r="532">
      <c r="A532" s="6"/>
      <c r="B532" s="6"/>
      <c r="H532" s="13"/>
    </row>
    <row r="533">
      <c r="A533" s="6"/>
      <c r="B533" s="6"/>
      <c r="H533" s="13"/>
    </row>
    <row r="534">
      <c r="A534" s="6"/>
      <c r="B534" s="6"/>
      <c r="H534" s="13"/>
    </row>
    <row r="535">
      <c r="A535" s="6"/>
      <c r="B535" s="6"/>
      <c r="H535" s="13"/>
    </row>
    <row r="536">
      <c r="A536" s="6"/>
      <c r="B536" s="6"/>
      <c r="H536" s="13"/>
    </row>
    <row r="537">
      <c r="A537" s="6"/>
      <c r="B537" s="6"/>
      <c r="H537" s="13"/>
    </row>
    <row r="538">
      <c r="A538" s="6"/>
      <c r="B538" s="6"/>
      <c r="H538" s="13"/>
    </row>
    <row r="539">
      <c r="A539" s="6"/>
      <c r="B539" s="6"/>
      <c r="H539" s="13"/>
    </row>
    <row r="540">
      <c r="A540" s="6"/>
      <c r="B540" s="6"/>
      <c r="H540" s="13"/>
    </row>
    <row r="541">
      <c r="A541" s="6"/>
      <c r="B541" s="6"/>
      <c r="H541" s="13"/>
    </row>
    <row r="542">
      <c r="A542" s="6"/>
      <c r="B542" s="6"/>
      <c r="H542" s="13"/>
    </row>
    <row r="543">
      <c r="A543" s="6"/>
      <c r="B543" s="6"/>
      <c r="H543" s="13"/>
    </row>
    <row r="544">
      <c r="A544" s="6"/>
      <c r="B544" s="6"/>
      <c r="H544" s="13"/>
    </row>
    <row r="545">
      <c r="A545" s="6"/>
      <c r="B545" s="6"/>
      <c r="H545" s="13"/>
    </row>
    <row r="546">
      <c r="A546" s="6"/>
      <c r="B546" s="6"/>
      <c r="H546" s="13"/>
    </row>
    <row r="547">
      <c r="A547" s="6"/>
      <c r="B547" s="6"/>
      <c r="H547" s="13"/>
    </row>
    <row r="548">
      <c r="A548" s="6"/>
      <c r="B548" s="6"/>
      <c r="H548" s="13"/>
    </row>
    <row r="549">
      <c r="A549" s="6"/>
      <c r="B549" s="6"/>
      <c r="H549" s="13"/>
    </row>
    <row r="550">
      <c r="A550" s="6"/>
      <c r="B550" s="6"/>
      <c r="H550" s="13"/>
    </row>
    <row r="551">
      <c r="A551" s="6"/>
      <c r="B551" s="6"/>
      <c r="H551" s="13"/>
    </row>
    <row r="552">
      <c r="A552" s="6"/>
      <c r="B552" s="6"/>
      <c r="H552" s="13"/>
    </row>
    <row r="553">
      <c r="A553" s="6"/>
      <c r="B553" s="6"/>
      <c r="H553" s="13"/>
    </row>
    <row r="554">
      <c r="A554" s="6"/>
      <c r="B554" s="6"/>
      <c r="H554" s="13"/>
    </row>
    <row r="555">
      <c r="A555" s="6"/>
      <c r="B555" s="6"/>
      <c r="H555" s="13"/>
    </row>
    <row r="556">
      <c r="A556" s="6"/>
      <c r="B556" s="6"/>
      <c r="H556" s="13"/>
    </row>
    <row r="557">
      <c r="A557" s="6"/>
      <c r="B557" s="6"/>
      <c r="H557" s="13"/>
    </row>
    <row r="558">
      <c r="A558" s="6"/>
      <c r="B558" s="6"/>
      <c r="H558" s="13"/>
    </row>
    <row r="559">
      <c r="A559" s="6"/>
      <c r="B559" s="6"/>
      <c r="H559" s="13"/>
    </row>
    <row r="560">
      <c r="A560" s="6"/>
      <c r="B560" s="6"/>
      <c r="H560" s="13"/>
    </row>
    <row r="561">
      <c r="A561" s="6"/>
      <c r="B561" s="6"/>
      <c r="H561" s="13"/>
    </row>
    <row r="562">
      <c r="A562" s="6"/>
      <c r="B562" s="6"/>
      <c r="H562" s="13"/>
    </row>
    <row r="563">
      <c r="A563" s="6"/>
      <c r="B563" s="6"/>
      <c r="H563" s="13"/>
    </row>
    <row r="564">
      <c r="A564" s="6"/>
      <c r="B564" s="6"/>
      <c r="H564" s="13"/>
    </row>
    <row r="565">
      <c r="A565" s="6"/>
      <c r="B565" s="6"/>
      <c r="H565" s="13"/>
    </row>
    <row r="566">
      <c r="A566" s="6"/>
      <c r="B566" s="6"/>
      <c r="H566" s="13"/>
    </row>
    <row r="567">
      <c r="A567" s="6"/>
      <c r="B567" s="6"/>
      <c r="H567" s="13"/>
    </row>
    <row r="568">
      <c r="A568" s="6"/>
      <c r="B568" s="6"/>
      <c r="H568" s="13"/>
    </row>
    <row r="569">
      <c r="A569" s="6"/>
      <c r="B569" s="6"/>
      <c r="H569" s="13"/>
    </row>
    <row r="570">
      <c r="A570" s="6"/>
      <c r="B570" s="6"/>
      <c r="H570" s="13"/>
    </row>
    <row r="571">
      <c r="A571" s="6"/>
      <c r="B571" s="6"/>
      <c r="H571" s="13"/>
    </row>
    <row r="572">
      <c r="A572" s="6"/>
      <c r="B572" s="6"/>
      <c r="H572" s="13"/>
    </row>
    <row r="573">
      <c r="A573" s="6"/>
      <c r="B573" s="6"/>
      <c r="H573" s="13"/>
    </row>
    <row r="574">
      <c r="A574" s="6"/>
      <c r="B574" s="6"/>
      <c r="H574" s="13"/>
    </row>
    <row r="575">
      <c r="A575" s="6"/>
      <c r="B575" s="6"/>
      <c r="H575" s="13"/>
    </row>
    <row r="576">
      <c r="A576" s="6"/>
      <c r="B576" s="6"/>
      <c r="H576" s="13"/>
    </row>
    <row r="577">
      <c r="A577" s="6"/>
      <c r="B577" s="6"/>
      <c r="H577" s="13"/>
    </row>
    <row r="578">
      <c r="A578" s="6"/>
      <c r="B578" s="6"/>
      <c r="H578" s="13"/>
    </row>
    <row r="579">
      <c r="A579" s="6"/>
      <c r="B579" s="6"/>
      <c r="H579" s="13"/>
    </row>
    <row r="580">
      <c r="A580" s="6"/>
      <c r="B580" s="6"/>
      <c r="H580" s="13"/>
    </row>
    <row r="581">
      <c r="A581" s="6"/>
      <c r="B581" s="6"/>
      <c r="H581" s="13"/>
    </row>
    <row r="582">
      <c r="A582" s="6"/>
      <c r="B582" s="6"/>
      <c r="H582" s="13"/>
    </row>
    <row r="583">
      <c r="A583" s="6"/>
      <c r="B583" s="6"/>
      <c r="H583" s="13"/>
    </row>
    <row r="584">
      <c r="A584" s="6"/>
      <c r="B584" s="6"/>
      <c r="H584" s="13"/>
    </row>
    <row r="585">
      <c r="A585" s="6"/>
      <c r="B585" s="6"/>
      <c r="H585" s="13"/>
    </row>
    <row r="586">
      <c r="A586" s="6"/>
      <c r="B586" s="6"/>
      <c r="H586" s="13"/>
    </row>
    <row r="587">
      <c r="A587" s="6"/>
      <c r="B587" s="6"/>
      <c r="H587" s="13"/>
    </row>
    <row r="588">
      <c r="A588" s="6"/>
      <c r="B588" s="6"/>
      <c r="H588" s="13"/>
    </row>
    <row r="589">
      <c r="A589" s="6"/>
      <c r="B589" s="6"/>
      <c r="H589" s="13"/>
    </row>
    <row r="590">
      <c r="A590" s="6"/>
      <c r="B590" s="6"/>
      <c r="H590" s="13"/>
    </row>
    <row r="591">
      <c r="A591" s="6"/>
      <c r="B591" s="6"/>
      <c r="H591" s="13"/>
    </row>
    <row r="592">
      <c r="A592" s="6"/>
      <c r="B592" s="6"/>
      <c r="H592" s="13"/>
    </row>
    <row r="593">
      <c r="A593" s="6"/>
      <c r="B593" s="6"/>
      <c r="H593" s="13"/>
    </row>
    <row r="594">
      <c r="A594" s="6"/>
      <c r="B594" s="6"/>
      <c r="H594" s="13"/>
    </row>
    <row r="595">
      <c r="A595" s="6"/>
      <c r="B595" s="6"/>
      <c r="H595" s="13"/>
    </row>
    <row r="596">
      <c r="A596" s="6"/>
      <c r="B596" s="6"/>
      <c r="H596" s="13"/>
    </row>
    <row r="597">
      <c r="A597" s="6"/>
      <c r="B597" s="6"/>
      <c r="H597" s="13"/>
    </row>
    <row r="598">
      <c r="A598" s="6"/>
      <c r="B598" s="6"/>
      <c r="H598" s="13"/>
    </row>
    <row r="599">
      <c r="A599" s="6"/>
      <c r="B599" s="6"/>
      <c r="H599" s="13"/>
    </row>
    <row r="600">
      <c r="A600" s="6"/>
      <c r="B600" s="6"/>
      <c r="H600" s="13"/>
    </row>
    <row r="601">
      <c r="A601" s="6"/>
      <c r="B601" s="6"/>
      <c r="H601" s="13"/>
    </row>
    <row r="602">
      <c r="A602" s="6"/>
      <c r="B602" s="6"/>
      <c r="H602" s="13"/>
    </row>
    <row r="603">
      <c r="A603" s="6"/>
      <c r="B603" s="6"/>
      <c r="H603" s="13"/>
    </row>
    <row r="604">
      <c r="A604" s="6"/>
      <c r="B604" s="6"/>
      <c r="H604" s="13"/>
    </row>
    <row r="605">
      <c r="A605" s="6"/>
      <c r="B605" s="6"/>
      <c r="H605" s="13"/>
    </row>
    <row r="606">
      <c r="A606" s="6"/>
      <c r="B606" s="6"/>
      <c r="H606" s="13"/>
    </row>
    <row r="607">
      <c r="A607" s="6"/>
      <c r="B607" s="6"/>
      <c r="H607" s="13"/>
    </row>
    <row r="608">
      <c r="A608" s="6"/>
      <c r="B608" s="6"/>
      <c r="H608" s="13"/>
    </row>
    <row r="609">
      <c r="A609" s="6"/>
      <c r="B609" s="6"/>
      <c r="H609" s="13"/>
    </row>
    <row r="610">
      <c r="A610" s="6"/>
      <c r="B610" s="6"/>
      <c r="H610" s="13"/>
    </row>
    <row r="611">
      <c r="A611" s="6"/>
      <c r="B611" s="6"/>
      <c r="H611" s="13"/>
    </row>
    <row r="612">
      <c r="A612" s="6"/>
      <c r="B612" s="6"/>
      <c r="H612" s="13"/>
    </row>
    <row r="613">
      <c r="A613" s="6"/>
      <c r="B613" s="6"/>
      <c r="H613" s="13"/>
    </row>
    <row r="614">
      <c r="A614" s="6"/>
      <c r="B614" s="6"/>
      <c r="H614" s="13"/>
    </row>
    <row r="615">
      <c r="A615" s="6"/>
      <c r="B615" s="6"/>
      <c r="H615" s="13"/>
    </row>
    <row r="616">
      <c r="A616" s="6"/>
      <c r="B616" s="6"/>
      <c r="H616" s="13"/>
    </row>
    <row r="617">
      <c r="A617" s="6"/>
      <c r="B617" s="6"/>
      <c r="H617" s="13"/>
    </row>
    <row r="618">
      <c r="A618" s="6"/>
      <c r="B618" s="6"/>
      <c r="H618" s="13"/>
    </row>
    <row r="619">
      <c r="A619" s="6"/>
      <c r="B619" s="6"/>
      <c r="H619" s="13"/>
    </row>
    <row r="620">
      <c r="A620" s="6"/>
      <c r="B620" s="6"/>
      <c r="H620" s="13"/>
    </row>
    <row r="621">
      <c r="A621" s="6"/>
      <c r="B621" s="6"/>
      <c r="H621" s="13"/>
    </row>
    <row r="622">
      <c r="A622" s="6"/>
      <c r="B622" s="6"/>
      <c r="H622" s="13"/>
    </row>
    <row r="623">
      <c r="A623" s="6"/>
      <c r="B623" s="6"/>
      <c r="H623" s="13"/>
    </row>
    <row r="624">
      <c r="A624" s="6"/>
      <c r="B624" s="6"/>
      <c r="H624" s="13"/>
    </row>
    <row r="625">
      <c r="A625" s="6"/>
      <c r="B625" s="6"/>
      <c r="H625" s="13"/>
    </row>
    <row r="626">
      <c r="A626" s="6"/>
      <c r="B626" s="6"/>
      <c r="H626" s="13"/>
    </row>
    <row r="627">
      <c r="A627" s="6"/>
      <c r="B627" s="6"/>
      <c r="H627" s="13"/>
    </row>
    <row r="628">
      <c r="A628" s="6"/>
      <c r="B628" s="6"/>
      <c r="H628" s="13"/>
    </row>
    <row r="629">
      <c r="A629" s="6"/>
      <c r="B629" s="6"/>
      <c r="H629" s="13"/>
    </row>
    <row r="630">
      <c r="A630" s="6"/>
      <c r="B630" s="6"/>
      <c r="H630" s="13"/>
    </row>
    <row r="631">
      <c r="A631" s="6"/>
      <c r="B631" s="6"/>
      <c r="H631" s="13"/>
    </row>
    <row r="632">
      <c r="A632" s="6"/>
      <c r="B632" s="6"/>
      <c r="H632" s="13"/>
    </row>
    <row r="633">
      <c r="A633" s="6"/>
      <c r="B633" s="6"/>
      <c r="H633" s="13"/>
    </row>
    <row r="634">
      <c r="A634" s="6"/>
      <c r="B634" s="6"/>
      <c r="H634" s="13"/>
    </row>
    <row r="635">
      <c r="A635" s="6"/>
      <c r="B635" s="6"/>
      <c r="H635" s="13"/>
    </row>
    <row r="636">
      <c r="A636" s="6"/>
      <c r="B636" s="6"/>
      <c r="H636" s="13"/>
    </row>
    <row r="637">
      <c r="A637" s="6"/>
      <c r="B637" s="6"/>
      <c r="H637" s="13"/>
    </row>
    <row r="638">
      <c r="A638" s="6"/>
      <c r="B638" s="6"/>
      <c r="H638" s="13"/>
    </row>
    <row r="639">
      <c r="A639" s="6"/>
      <c r="B639" s="6"/>
      <c r="H639" s="13"/>
    </row>
    <row r="640">
      <c r="A640" s="6"/>
      <c r="B640" s="6"/>
      <c r="H640" s="13"/>
    </row>
    <row r="641">
      <c r="A641" s="6"/>
      <c r="B641" s="6"/>
      <c r="H641" s="13"/>
    </row>
    <row r="642">
      <c r="A642" s="6"/>
      <c r="B642" s="6"/>
      <c r="H642" s="13"/>
    </row>
    <row r="643">
      <c r="A643" s="6"/>
      <c r="B643" s="6"/>
      <c r="H643" s="13"/>
    </row>
    <row r="644">
      <c r="A644" s="6"/>
      <c r="B644" s="6"/>
      <c r="H644" s="13"/>
    </row>
    <row r="645">
      <c r="A645" s="6"/>
      <c r="B645" s="6"/>
      <c r="H645" s="13"/>
    </row>
    <row r="646">
      <c r="A646" s="6"/>
      <c r="B646" s="6"/>
      <c r="H646" s="13"/>
    </row>
    <row r="647">
      <c r="A647" s="6"/>
      <c r="B647" s="6"/>
      <c r="H647" s="13"/>
    </row>
    <row r="648">
      <c r="A648" s="6"/>
      <c r="B648" s="6"/>
      <c r="H648" s="13"/>
    </row>
    <row r="649">
      <c r="A649" s="6"/>
      <c r="B649" s="6"/>
      <c r="H649" s="13"/>
    </row>
    <row r="650">
      <c r="A650" s="6"/>
      <c r="B650" s="6"/>
      <c r="H650" s="13"/>
    </row>
    <row r="651">
      <c r="A651" s="6"/>
      <c r="B651" s="6"/>
      <c r="H651" s="13"/>
    </row>
    <row r="652">
      <c r="A652" s="6"/>
      <c r="B652" s="6"/>
      <c r="H652" s="13"/>
    </row>
    <row r="653">
      <c r="A653" s="6"/>
      <c r="B653" s="6"/>
      <c r="H653" s="13"/>
    </row>
    <row r="654">
      <c r="A654" s="6"/>
      <c r="B654" s="6"/>
      <c r="H654" s="13"/>
    </row>
    <row r="655">
      <c r="A655" s="6"/>
      <c r="B655" s="6"/>
      <c r="H655" s="13"/>
    </row>
    <row r="656">
      <c r="A656" s="6"/>
      <c r="B656" s="6"/>
      <c r="H656" s="13"/>
    </row>
    <row r="657">
      <c r="A657" s="6"/>
      <c r="B657" s="6"/>
      <c r="H657" s="13"/>
    </row>
    <row r="658">
      <c r="A658" s="6"/>
      <c r="B658" s="6"/>
      <c r="H658" s="13"/>
    </row>
    <row r="659">
      <c r="A659" s="6"/>
      <c r="B659" s="6"/>
      <c r="H659" s="13"/>
    </row>
    <row r="660">
      <c r="A660" s="6"/>
      <c r="B660" s="6"/>
      <c r="H660" s="13"/>
    </row>
    <row r="661">
      <c r="A661" s="6"/>
      <c r="B661" s="6"/>
      <c r="H661" s="13"/>
    </row>
    <row r="662">
      <c r="A662" s="6"/>
      <c r="B662" s="6"/>
      <c r="H662" s="13"/>
    </row>
    <row r="663">
      <c r="A663" s="6"/>
      <c r="B663" s="6"/>
      <c r="H663" s="13"/>
    </row>
    <row r="664">
      <c r="A664" s="6"/>
      <c r="B664" s="6"/>
      <c r="H664" s="13"/>
    </row>
    <row r="665">
      <c r="A665" s="6"/>
      <c r="B665" s="6"/>
      <c r="H665" s="13"/>
    </row>
    <row r="666">
      <c r="A666" s="6"/>
      <c r="B666" s="6"/>
      <c r="H666" s="13"/>
    </row>
    <row r="667">
      <c r="A667" s="6"/>
      <c r="B667" s="6"/>
      <c r="H667" s="13"/>
    </row>
    <row r="668">
      <c r="A668" s="6"/>
      <c r="B668" s="6"/>
      <c r="H668" s="13"/>
    </row>
    <row r="669">
      <c r="A669" s="6"/>
      <c r="B669" s="6"/>
      <c r="H669" s="13"/>
    </row>
    <row r="670">
      <c r="A670" s="6"/>
      <c r="B670" s="6"/>
      <c r="H670" s="13"/>
    </row>
    <row r="671">
      <c r="A671" s="6"/>
      <c r="B671" s="6"/>
      <c r="H671" s="13"/>
    </row>
    <row r="672">
      <c r="A672" s="6"/>
      <c r="B672" s="6"/>
      <c r="H672" s="13"/>
    </row>
    <row r="673">
      <c r="A673" s="6"/>
      <c r="B673" s="6"/>
      <c r="H673" s="13"/>
    </row>
    <row r="674">
      <c r="A674" s="6"/>
      <c r="B674" s="6"/>
      <c r="H674" s="13"/>
    </row>
    <row r="675">
      <c r="A675" s="6"/>
      <c r="B675" s="6"/>
      <c r="H675" s="13"/>
    </row>
    <row r="676">
      <c r="A676" s="6"/>
      <c r="B676" s="6"/>
      <c r="H676" s="13"/>
    </row>
    <row r="677">
      <c r="A677" s="6"/>
      <c r="B677" s="6"/>
      <c r="H677" s="13"/>
    </row>
    <row r="678">
      <c r="A678" s="6"/>
      <c r="B678" s="6"/>
      <c r="H678" s="13"/>
    </row>
    <row r="679">
      <c r="A679" s="6"/>
      <c r="B679" s="6"/>
      <c r="H679" s="13"/>
    </row>
    <row r="680">
      <c r="A680" s="6"/>
      <c r="B680" s="6"/>
      <c r="H680" s="13"/>
    </row>
    <row r="681">
      <c r="A681" s="6"/>
      <c r="B681" s="6"/>
      <c r="H681" s="13"/>
    </row>
    <row r="682">
      <c r="A682" s="6"/>
      <c r="B682" s="6"/>
      <c r="H682" s="13"/>
    </row>
    <row r="683">
      <c r="A683" s="6"/>
      <c r="B683" s="6"/>
      <c r="H683" s="13"/>
    </row>
    <row r="684">
      <c r="A684" s="6"/>
      <c r="B684" s="6"/>
      <c r="H684" s="13"/>
    </row>
    <row r="685">
      <c r="A685" s="6"/>
      <c r="B685" s="6"/>
      <c r="H685" s="13"/>
    </row>
    <row r="686">
      <c r="A686" s="6"/>
      <c r="B686" s="6"/>
      <c r="H686" s="13"/>
    </row>
    <row r="687">
      <c r="A687" s="6"/>
      <c r="B687" s="6"/>
      <c r="H687" s="13"/>
    </row>
    <row r="688">
      <c r="A688" s="6"/>
      <c r="B688" s="6"/>
      <c r="H688" s="13"/>
    </row>
    <row r="689">
      <c r="A689" s="6"/>
      <c r="B689" s="6"/>
      <c r="H689" s="13"/>
    </row>
    <row r="690">
      <c r="A690" s="6"/>
      <c r="B690" s="6"/>
      <c r="H690" s="13"/>
    </row>
    <row r="691">
      <c r="A691" s="6"/>
      <c r="B691" s="6"/>
      <c r="H691" s="13"/>
    </row>
    <row r="692">
      <c r="A692" s="6"/>
      <c r="B692" s="6"/>
      <c r="H692" s="13"/>
    </row>
    <row r="693">
      <c r="A693" s="6"/>
      <c r="B693" s="6"/>
      <c r="H693" s="13"/>
    </row>
    <row r="694">
      <c r="A694" s="6"/>
      <c r="B694" s="6"/>
      <c r="H694" s="13"/>
    </row>
    <row r="695">
      <c r="A695" s="6"/>
      <c r="B695" s="6"/>
      <c r="H695" s="13"/>
    </row>
    <row r="696">
      <c r="A696" s="6"/>
      <c r="B696" s="6"/>
      <c r="H696" s="13"/>
    </row>
    <row r="697">
      <c r="A697" s="6"/>
      <c r="B697" s="6"/>
      <c r="H697" s="13"/>
    </row>
    <row r="698">
      <c r="A698" s="6"/>
      <c r="B698" s="6"/>
      <c r="H698" s="13"/>
    </row>
    <row r="699">
      <c r="A699" s="6"/>
      <c r="B699" s="6"/>
      <c r="H699" s="13"/>
    </row>
    <row r="700">
      <c r="A700" s="6"/>
      <c r="B700" s="6"/>
      <c r="H700" s="13"/>
    </row>
    <row r="701">
      <c r="A701" s="6"/>
      <c r="B701" s="6"/>
      <c r="H701" s="13"/>
    </row>
    <row r="702">
      <c r="A702" s="6"/>
      <c r="B702" s="6"/>
      <c r="H702" s="13"/>
    </row>
    <row r="703">
      <c r="A703" s="6"/>
      <c r="B703" s="6"/>
      <c r="H703" s="13"/>
    </row>
    <row r="704">
      <c r="A704" s="6"/>
      <c r="B704" s="6"/>
      <c r="H704" s="13"/>
    </row>
    <row r="705">
      <c r="A705" s="6"/>
      <c r="B705" s="6"/>
      <c r="H705" s="13"/>
    </row>
    <row r="706">
      <c r="A706" s="6"/>
      <c r="B706" s="6"/>
      <c r="H706" s="13"/>
    </row>
    <row r="707">
      <c r="A707" s="6"/>
      <c r="B707" s="6"/>
      <c r="H707" s="13"/>
    </row>
    <row r="708">
      <c r="A708" s="6"/>
      <c r="B708" s="6"/>
      <c r="H708" s="13"/>
    </row>
    <row r="709">
      <c r="A709" s="6"/>
      <c r="B709" s="6"/>
      <c r="H709" s="13"/>
    </row>
    <row r="710">
      <c r="A710" s="6"/>
      <c r="B710" s="6"/>
      <c r="H710" s="13"/>
    </row>
    <row r="711">
      <c r="A711" s="6"/>
      <c r="B711" s="6"/>
      <c r="H711" s="13"/>
    </row>
    <row r="712">
      <c r="A712" s="6"/>
      <c r="B712" s="6"/>
      <c r="H712" s="13"/>
    </row>
    <row r="713">
      <c r="A713" s="6"/>
      <c r="B713" s="6"/>
      <c r="H713" s="13"/>
    </row>
    <row r="714">
      <c r="A714" s="6"/>
      <c r="B714" s="6"/>
      <c r="H714" s="13"/>
    </row>
    <row r="715">
      <c r="A715" s="6"/>
      <c r="B715" s="6"/>
      <c r="H715" s="13"/>
    </row>
    <row r="716">
      <c r="A716" s="6"/>
      <c r="B716" s="6"/>
      <c r="H716" s="13"/>
    </row>
    <row r="717">
      <c r="A717" s="6"/>
      <c r="B717" s="6"/>
      <c r="H717" s="13"/>
    </row>
    <row r="718">
      <c r="A718" s="6"/>
      <c r="B718" s="6"/>
      <c r="H718" s="13"/>
    </row>
    <row r="719">
      <c r="A719" s="6"/>
      <c r="B719" s="6"/>
      <c r="H719" s="13"/>
    </row>
    <row r="720">
      <c r="A720" s="6"/>
      <c r="B720" s="6"/>
      <c r="H720" s="13"/>
    </row>
    <row r="721">
      <c r="A721" s="6"/>
      <c r="B721" s="6"/>
      <c r="H721" s="13"/>
    </row>
    <row r="722">
      <c r="A722" s="6"/>
      <c r="B722" s="6"/>
      <c r="H722" s="13"/>
    </row>
    <row r="723">
      <c r="A723" s="6"/>
      <c r="B723" s="6"/>
      <c r="H723" s="13"/>
    </row>
    <row r="724">
      <c r="A724" s="6"/>
      <c r="B724" s="6"/>
      <c r="H724" s="13"/>
    </row>
    <row r="725">
      <c r="A725" s="6"/>
      <c r="B725" s="6"/>
      <c r="H725" s="13"/>
    </row>
    <row r="726">
      <c r="A726" s="6"/>
      <c r="B726" s="6"/>
      <c r="H726" s="13"/>
    </row>
    <row r="727">
      <c r="A727" s="6"/>
      <c r="B727" s="6"/>
      <c r="H727" s="13"/>
    </row>
    <row r="728">
      <c r="A728" s="6"/>
      <c r="B728" s="6"/>
      <c r="H728" s="13"/>
    </row>
    <row r="729">
      <c r="A729" s="6"/>
      <c r="B729" s="6"/>
      <c r="H729" s="13"/>
    </row>
    <row r="730">
      <c r="A730" s="6"/>
      <c r="B730" s="6"/>
      <c r="H730" s="13"/>
    </row>
    <row r="731">
      <c r="A731" s="6"/>
      <c r="B731" s="6"/>
      <c r="H731" s="13"/>
    </row>
    <row r="732">
      <c r="A732" s="6"/>
      <c r="B732" s="6"/>
      <c r="H732" s="13"/>
    </row>
    <row r="733">
      <c r="A733" s="6"/>
      <c r="B733" s="6"/>
      <c r="H733" s="13"/>
    </row>
    <row r="734">
      <c r="A734" s="6"/>
      <c r="B734" s="6"/>
      <c r="H734" s="13"/>
    </row>
    <row r="735">
      <c r="A735" s="6"/>
      <c r="B735" s="6"/>
      <c r="H735" s="13"/>
    </row>
    <row r="736">
      <c r="A736" s="6"/>
      <c r="B736" s="6"/>
      <c r="H736" s="13"/>
    </row>
    <row r="737">
      <c r="A737" s="6"/>
      <c r="B737" s="6"/>
      <c r="H737" s="13"/>
    </row>
    <row r="738">
      <c r="A738" s="6"/>
      <c r="B738" s="6"/>
      <c r="H738" s="13"/>
    </row>
    <row r="739">
      <c r="A739" s="6"/>
      <c r="B739" s="6"/>
      <c r="H739" s="13"/>
    </row>
    <row r="740">
      <c r="A740" s="6"/>
      <c r="B740" s="6"/>
      <c r="H740" s="13"/>
    </row>
    <row r="741">
      <c r="A741" s="6"/>
      <c r="B741" s="6"/>
      <c r="H741" s="13"/>
    </row>
    <row r="742">
      <c r="A742" s="6"/>
      <c r="B742" s="6"/>
      <c r="H742" s="13"/>
    </row>
    <row r="743">
      <c r="A743" s="6"/>
      <c r="B743" s="6"/>
      <c r="H743" s="13"/>
    </row>
    <row r="744">
      <c r="A744" s="6"/>
      <c r="B744" s="6"/>
      <c r="H744" s="13"/>
    </row>
    <row r="745">
      <c r="A745" s="6"/>
      <c r="B745" s="6"/>
      <c r="H745" s="13"/>
    </row>
    <row r="746">
      <c r="A746" s="6"/>
      <c r="B746" s="6"/>
      <c r="H746" s="13"/>
    </row>
    <row r="747">
      <c r="A747" s="6"/>
      <c r="B747" s="6"/>
      <c r="H747" s="13"/>
    </row>
    <row r="748">
      <c r="A748" s="6"/>
      <c r="B748" s="6"/>
      <c r="H748" s="13"/>
    </row>
    <row r="749">
      <c r="A749" s="6"/>
      <c r="B749" s="6"/>
      <c r="H749" s="13"/>
    </row>
    <row r="750">
      <c r="A750" s="6"/>
      <c r="B750" s="6"/>
      <c r="H750" s="13"/>
    </row>
    <row r="751">
      <c r="A751" s="6"/>
      <c r="B751" s="6"/>
      <c r="H751" s="13"/>
    </row>
    <row r="752">
      <c r="A752" s="6"/>
      <c r="B752" s="6"/>
      <c r="H752" s="13"/>
    </row>
    <row r="753">
      <c r="A753" s="6"/>
      <c r="B753" s="6"/>
      <c r="H753" s="13"/>
    </row>
    <row r="754">
      <c r="A754" s="6"/>
      <c r="B754" s="6"/>
      <c r="H754" s="13"/>
    </row>
    <row r="755">
      <c r="A755" s="6"/>
      <c r="B755" s="6"/>
      <c r="H755" s="13"/>
    </row>
    <row r="756">
      <c r="A756" s="6"/>
      <c r="B756" s="6"/>
      <c r="H756" s="13"/>
    </row>
    <row r="757">
      <c r="A757" s="6"/>
      <c r="B757" s="6"/>
      <c r="H757" s="13"/>
    </row>
    <row r="758">
      <c r="A758" s="6"/>
      <c r="B758" s="6"/>
      <c r="H758" s="13"/>
    </row>
    <row r="759">
      <c r="A759" s="6"/>
      <c r="B759" s="6"/>
      <c r="H759" s="13"/>
    </row>
    <row r="760">
      <c r="A760" s="6"/>
      <c r="B760" s="6"/>
      <c r="H760" s="13"/>
    </row>
    <row r="761">
      <c r="A761" s="6"/>
      <c r="B761" s="6"/>
      <c r="H761" s="13"/>
    </row>
    <row r="762">
      <c r="A762" s="6"/>
      <c r="B762" s="6"/>
      <c r="H762" s="13"/>
    </row>
    <row r="763">
      <c r="A763" s="6"/>
      <c r="B763" s="6"/>
      <c r="H763" s="13"/>
    </row>
    <row r="764">
      <c r="A764" s="6"/>
      <c r="B764" s="6"/>
      <c r="H764" s="13"/>
    </row>
    <row r="765">
      <c r="A765" s="6"/>
      <c r="B765" s="6"/>
      <c r="H765" s="13"/>
    </row>
    <row r="766">
      <c r="A766" s="6"/>
      <c r="B766" s="6"/>
      <c r="H766" s="13"/>
    </row>
    <row r="767">
      <c r="A767" s="6"/>
      <c r="B767" s="6"/>
      <c r="H767" s="13"/>
    </row>
    <row r="768">
      <c r="A768" s="6"/>
      <c r="B768" s="6"/>
      <c r="H768" s="13"/>
    </row>
    <row r="769">
      <c r="A769" s="6"/>
      <c r="B769" s="6"/>
      <c r="H769" s="13"/>
    </row>
    <row r="770">
      <c r="A770" s="6"/>
      <c r="B770" s="6"/>
      <c r="H770" s="13"/>
    </row>
    <row r="771">
      <c r="A771" s="6"/>
      <c r="B771" s="6"/>
      <c r="H771" s="13"/>
    </row>
    <row r="772">
      <c r="A772" s="6"/>
      <c r="B772" s="6"/>
      <c r="H772" s="13"/>
    </row>
    <row r="773">
      <c r="A773" s="6"/>
      <c r="B773" s="6"/>
      <c r="H773" s="13"/>
    </row>
    <row r="774">
      <c r="A774" s="6"/>
      <c r="B774" s="6"/>
      <c r="H774" s="13"/>
    </row>
    <row r="775">
      <c r="A775" s="6"/>
      <c r="B775" s="6"/>
      <c r="H775" s="13"/>
    </row>
    <row r="776">
      <c r="A776" s="6"/>
      <c r="B776" s="6"/>
      <c r="H776" s="13"/>
    </row>
    <row r="777">
      <c r="A777" s="6"/>
      <c r="B777" s="6"/>
      <c r="H777" s="13"/>
    </row>
    <row r="778">
      <c r="A778" s="6"/>
      <c r="B778" s="6"/>
      <c r="H778" s="13"/>
    </row>
    <row r="779">
      <c r="A779" s="6"/>
      <c r="B779" s="6"/>
      <c r="H779" s="13"/>
    </row>
    <row r="780">
      <c r="A780" s="6"/>
      <c r="B780" s="6"/>
      <c r="H780" s="13"/>
    </row>
    <row r="781">
      <c r="A781" s="6"/>
      <c r="B781" s="6"/>
      <c r="H781" s="13"/>
    </row>
    <row r="782">
      <c r="A782" s="6"/>
      <c r="B782" s="6"/>
      <c r="H782" s="13"/>
    </row>
    <row r="783">
      <c r="A783" s="6"/>
      <c r="B783" s="6"/>
      <c r="H783" s="13"/>
    </row>
    <row r="784">
      <c r="A784" s="6"/>
      <c r="B784" s="6"/>
      <c r="H784" s="13"/>
    </row>
    <row r="785">
      <c r="A785" s="6"/>
      <c r="B785" s="6"/>
      <c r="H785" s="13"/>
    </row>
    <row r="786">
      <c r="A786" s="6"/>
      <c r="B786" s="6"/>
      <c r="H786" s="13"/>
    </row>
    <row r="787">
      <c r="A787" s="6"/>
      <c r="B787" s="6"/>
      <c r="H787" s="13"/>
    </row>
    <row r="788">
      <c r="A788" s="6"/>
      <c r="B788" s="6"/>
      <c r="H788" s="13"/>
    </row>
    <row r="789">
      <c r="A789" s="6"/>
      <c r="B789" s="6"/>
      <c r="H789" s="13"/>
    </row>
    <row r="790">
      <c r="A790" s="6"/>
      <c r="B790" s="6"/>
      <c r="H790" s="13"/>
    </row>
    <row r="791">
      <c r="A791" s="6"/>
      <c r="B791" s="6"/>
      <c r="H791" s="13"/>
    </row>
    <row r="792">
      <c r="A792" s="6"/>
      <c r="B792" s="6"/>
      <c r="H792" s="13"/>
    </row>
    <row r="793">
      <c r="A793" s="6"/>
      <c r="B793" s="6"/>
      <c r="H793" s="13"/>
    </row>
    <row r="794">
      <c r="A794" s="6"/>
      <c r="B794" s="6"/>
      <c r="H794" s="13"/>
    </row>
    <row r="795">
      <c r="A795" s="6"/>
      <c r="B795" s="6"/>
      <c r="H795" s="13"/>
    </row>
    <row r="796">
      <c r="A796" s="6"/>
      <c r="B796" s="6"/>
      <c r="H796" s="13"/>
    </row>
    <row r="797">
      <c r="A797" s="6"/>
      <c r="B797" s="6"/>
      <c r="H797" s="13"/>
    </row>
    <row r="798">
      <c r="A798" s="6"/>
      <c r="B798" s="6"/>
      <c r="H798" s="13"/>
    </row>
    <row r="799">
      <c r="A799" s="6"/>
      <c r="B799" s="6"/>
      <c r="H799" s="13"/>
    </row>
    <row r="800">
      <c r="A800" s="6"/>
      <c r="B800" s="6"/>
      <c r="H800" s="13"/>
    </row>
    <row r="801">
      <c r="A801" s="6"/>
      <c r="B801" s="6"/>
      <c r="H801" s="13"/>
    </row>
    <row r="802">
      <c r="A802" s="6"/>
      <c r="B802" s="6"/>
      <c r="H802" s="13"/>
    </row>
    <row r="803">
      <c r="A803" s="6"/>
      <c r="B803" s="6"/>
      <c r="H803" s="13"/>
    </row>
    <row r="804">
      <c r="A804" s="6"/>
      <c r="B804" s="6"/>
      <c r="H804" s="13"/>
    </row>
    <row r="805">
      <c r="A805" s="6"/>
      <c r="B805" s="6"/>
      <c r="H805" s="13"/>
    </row>
    <row r="806">
      <c r="A806" s="6"/>
      <c r="B806" s="6"/>
      <c r="H806" s="13"/>
    </row>
    <row r="807">
      <c r="A807" s="6"/>
      <c r="B807" s="6"/>
      <c r="H807" s="13"/>
    </row>
    <row r="808">
      <c r="A808" s="6"/>
      <c r="B808" s="6"/>
      <c r="H808" s="13"/>
    </row>
    <row r="809">
      <c r="A809" s="6"/>
      <c r="B809" s="6"/>
      <c r="H809" s="13"/>
    </row>
    <row r="810">
      <c r="A810" s="6"/>
      <c r="B810" s="6"/>
      <c r="H810" s="13"/>
    </row>
    <row r="811">
      <c r="A811" s="6"/>
      <c r="B811" s="6"/>
      <c r="H811" s="13"/>
    </row>
    <row r="812">
      <c r="A812" s="6"/>
      <c r="B812" s="6"/>
      <c r="H812" s="13"/>
    </row>
    <row r="813">
      <c r="A813" s="6"/>
      <c r="B813" s="6"/>
      <c r="H813" s="13"/>
    </row>
    <row r="814">
      <c r="A814" s="6"/>
      <c r="B814" s="6"/>
      <c r="H814" s="13"/>
    </row>
    <row r="815">
      <c r="A815" s="6"/>
      <c r="B815" s="6"/>
      <c r="H815" s="13"/>
    </row>
    <row r="816">
      <c r="A816" s="6"/>
      <c r="B816" s="6"/>
      <c r="H816" s="13"/>
    </row>
    <row r="817">
      <c r="A817" s="6"/>
      <c r="B817" s="6"/>
      <c r="H817" s="13"/>
    </row>
    <row r="818">
      <c r="A818" s="6"/>
      <c r="B818" s="6"/>
      <c r="H818" s="13"/>
    </row>
    <row r="819">
      <c r="A819" s="6"/>
      <c r="B819" s="6"/>
      <c r="H819" s="13"/>
    </row>
    <row r="820">
      <c r="A820" s="6"/>
      <c r="B820" s="6"/>
      <c r="H820" s="13"/>
    </row>
    <row r="821">
      <c r="A821" s="6"/>
      <c r="B821" s="6"/>
      <c r="H821" s="13"/>
    </row>
    <row r="822">
      <c r="A822" s="6"/>
      <c r="B822" s="6"/>
      <c r="H822" s="13"/>
    </row>
    <row r="823">
      <c r="A823" s="6"/>
      <c r="B823" s="6"/>
      <c r="H823" s="13"/>
    </row>
    <row r="824">
      <c r="A824" s="6"/>
      <c r="B824" s="6"/>
      <c r="H824" s="13"/>
    </row>
    <row r="825">
      <c r="A825" s="6"/>
      <c r="B825" s="6"/>
      <c r="H825" s="13"/>
    </row>
    <row r="826">
      <c r="A826" s="6"/>
      <c r="B826" s="6"/>
      <c r="H826" s="13"/>
    </row>
    <row r="827">
      <c r="A827" s="6"/>
      <c r="B827" s="6"/>
      <c r="H827" s="13"/>
    </row>
    <row r="828">
      <c r="A828" s="6"/>
      <c r="B828" s="6"/>
      <c r="H828" s="13"/>
    </row>
    <row r="829">
      <c r="A829" s="6"/>
      <c r="B829" s="6"/>
      <c r="H829" s="13"/>
    </row>
    <row r="830">
      <c r="A830" s="6"/>
      <c r="B830" s="6"/>
      <c r="H830" s="13"/>
    </row>
    <row r="831">
      <c r="A831" s="6"/>
      <c r="B831" s="6"/>
      <c r="H831" s="13"/>
    </row>
    <row r="832">
      <c r="A832" s="6"/>
      <c r="B832" s="6"/>
      <c r="H832" s="13"/>
    </row>
    <row r="833">
      <c r="A833" s="6"/>
      <c r="B833" s="6"/>
      <c r="H833" s="13"/>
    </row>
    <row r="834">
      <c r="A834" s="6"/>
      <c r="B834" s="6"/>
      <c r="H834" s="13"/>
    </row>
    <row r="835">
      <c r="A835" s="6"/>
      <c r="B835" s="6"/>
      <c r="H835" s="13"/>
    </row>
    <row r="836">
      <c r="A836" s="6"/>
      <c r="B836" s="6"/>
      <c r="H836" s="13"/>
    </row>
    <row r="837">
      <c r="A837" s="6"/>
      <c r="B837" s="6"/>
      <c r="H837" s="13"/>
    </row>
    <row r="838">
      <c r="A838" s="6"/>
      <c r="B838" s="6"/>
      <c r="H838" s="13"/>
    </row>
    <row r="839">
      <c r="A839" s="6"/>
      <c r="B839" s="6"/>
      <c r="H839" s="13"/>
    </row>
    <row r="840">
      <c r="A840" s="6"/>
      <c r="B840" s="6"/>
      <c r="H840" s="13"/>
    </row>
    <row r="841">
      <c r="A841" s="6"/>
      <c r="B841" s="6"/>
      <c r="H841" s="13"/>
    </row>
    <row r="842">
      <c r="A842" s="6"/>
      <c r="B842" s="6"/>
      <c r="H842" s="13"/>
    </row>
    <row r="843">
      <c r="A843" s="6"/>
      <c r="B843" s="6"/>
      <c r="H843" s="13"/>
    </row>
    <row r="844">
      <c r="A844" s="6"/>
      <c r="B844" s="6"/>
      <c r="H844" s="13"/>
    </row>
    <row r="845">
      <c r="A845" s="6"/>
      <c r="B845" s="6"/>
      <c r="H845" s="13"/>
    </row>
    <row r="846">
      <c r="A846" s="6"/>
      <c r="B846" s="6"/>
      <c r="H846" s="13"/>
    </row>
    <row r="847">
      <c r="A847" s="6"/>
      <c r="B847" s="6"/>
      <c r="H847" s="13"/>
    </row>
    <row r="848">
      <c r="A848" s="6"/>
      <c r="B848" s="6"/>
      <c r="H848" s="13"/>
    </row>
    <row r="849">
      <c r="A849" s="6"/>
      <c r="B849" s="6"/>
      <c r="H849" s="13"/>
    </row>
    <row r="850">
      <c r="A850" s="6"/>
      <c r="B850" s="6"/>
      <c r="H850" s="13"/>
    </row>
    <row r="851">
      <c r="A851" s="6"/>
      <c r="B851" s="6"/>
      <c r="H851" s="13"/>
    </row>
    <row r="852">
      <c r="A852" s="6"/>
      <c r="B852" s="6"/>
      <c r="H852" s="13"/>
    </row>
    <row r="853">
      <c r="A853" s="6"/>
      <c r="B853" s="6"/>
      <c r="H853" s="13"/>
    </row>
    <row r="854">
      <c r="A854" s="6"/>
      <c r="B854" s="6"/>
      <c r="H854" s="13"/>
    </row>
    <row r="855">
      <c r="A855" s="6"/>
      <c r="B855" s="6"/>
      <c r="H855" s="13"/>
    </row>
    <row r="856">
      <c r="A856" s="6"/>
      <c r="B856" s="6"/>
      <c r="H856" s="13"/>
    </row>
    <row r="857">
      <c r="A857" s="6"/>
      <c r="B857" s="6"/>
      <c r="H857" s="13"/>
    </row>
    <row r="858">
      <c r="A858" s="6"/>
      <c r="B858" s="6"/>
      <c r="H858" s="13"/>
    </row>
    <row r="859">
      <c r="A859" s="6"/>
      <c r="B859" s="6"/>
      <c r="H859" s="13"/>
    </row>
    <row r="860">
      <c r="A860" s="6"/>
      <c r="B860" s="6"/>
      <c r="H860" s="13"/>
    </row>
    <row r="861">
      <c r="A861" s="6"/>
      <c r="B861" s="6"/>
      <c r="H861" s="13"/>
    </row>
    <row r="862">
      <c r="A862" s="6"/>
      <c r="B862" s="6"/>
      <c r="H862" s="13"/>
    </row>
    <row r="863">
      <c r="A863" s="6"/>
      <c r="B863" s="6"/>
      <c r="H863" s="13"/>
    </row>
    <row r="864">
      <c r="A864" s="6"/>
      <c r="B864" s="6"/>
      <c r="H864" s="13"/>
    </row>
    <row r="865">
      <c r="A865" s="6"/>
      <c r="B865" s="6"/>
      <c r="H865" s="13"/>
    </row>
    <row r="866">
      <c r="A866" s="6"/>
      <c r="B866" s="6"/>
      <c r="H866" s="13"/>
    </row>
    <row r="867">
      <c r="A867" s="6"/>
      <c r="B867" s="6"/>
      <c r="H867" s="13"/>
    </row>
    <row r="868">
      <c r="A868" s="6"/>
      <c r="B868" s="6"/>
      <c r="H868" s="13"/>
    </row>
    <row r="869">
      <c r="A869" s="6"/>
      <c r="B869" s="6"/>
      <c r="H869" s="13"/>
    </row>
    <row r="870">
      <c r="A870" s="6"/>
      <c r="B870" s="6"/>
      <c r="H870" s="13"/>
    </row>
    <row r="871">
      <c r="A871" s="6"/>
      <c r="B871" s="6"/>
      <c r="H871" s="13"/>
    </row>
    <row r="872">
      <c r="A872" s="6"/>
      <c r="B872" s="6"/>
      <c r="H872" s="13"/>
    </row>
    <row r="873">
      <c r="A873" s="6"/>
      <c r="B873" s="6"/>
      <c r="H873" s="13"/>
    </row>
    <row r="874">
      <c r="A874" s="6"/>
      <c r="B874" s="6"/>
      <c r="H874" s="13"/>
    </row>
    <row r="875">
      <c r="A875" s="6"/>
      <c r="B875" s="6"/>
      <c r="H875" s="13"/>
    </row>
    <row r="876">
      <c r="A876" s="6"/>
      <c r="B876" s="6"/>
      <c r="H876" s="13"/>
    </row>
    <row r="877">
      <c r="A877" s="6"/>
      <c r="B877" s="6"/>
      <c r="H877" s="13"/>
    </row>
    <row r="878">
      <c r="A878" s="6"/>
      <c r="B878" s="6"/>
      <c r="H878" s="13"/>
    </row>
    <row r="879">
      <c r="A879" s="6"/>
      <c r="B879" s="6"/>
      <c r="H879" s="13"/>
    </row>
    <row r="880">
      <c r="A880" s="6"/>
      <c r="B880" s="6"/>
      <c r="H880" s="13"/>
    </row>
    <row r="881">
      <c r="A881" s="6"/>
      <c r="B881" s="6"/>
      <c r="H881" s="13"/>
    </row>
    <row r="882">
      <c r="A882" s="6"/>
      <c r="B882" s="6"/>
      <c r="H882" s="13"/>
    </row>
    <row r="883">
      <c r="A883" s="6"/>
      <c r="B883" s="6"/>
      <c r="H883" s="13"/>
    </row>
    <row r="884">
      <c r="A884" s="6"/>
      <c r="B884" s="6"/>
      <c r="H884" s="13"/>
    </row>
    <row r="885">
      <c r="A885" s="6"/>
      <c r="B885" s="6"/>
      <c r="H885" s="13"/>
    </row>
    <row r="886">
      <c r="A886" s="6"/>
      <c r="B886" s="6"/>
      <c r="H886" s="13"/>
    </row>
    <row r="887">
      <c r="A887" s="6"/>
      <c r="B887" s="6"/>
      <c r="H887" s="13"/>
    </row>
    <row r="888">
      <c r="A888" s="6"/>
      <c r="B888" s="6"/>
      <c r="H888" s="13"/>
    </row>
    <row r="889">
      <c r="A889" s="6"/>
      <c r="B889" s="6"/>
      <c r="H889" s="13"/>
    </row>
    <row r="890">
      <c r="A890" s="6"/>
      <c r="B890" s="6"/>
      <c r="H890" s="13"/>
    </row>
    <row r="891">
      <c r="A891" s="6"/>
      <c r="B891" s="6"/>
      <c r="H891" s="13"/>
    </row>
    <row r="892">
      <c r="A892" s="6"/>
      <c r="B892" s="6"/>
      <c r="H892" s="13"/>
    </row>
    <row r="893">
      <c r="A893" s="6"/>
      <c r="B893" s="6"/>
      <c r="H893" s="13"/>
    </row>
    <row r="894">
      <c r="A894" s="6"/>
      <c r="B894" s="6"/>
      <c r="H894" s="13"/>
    </row>
    <row r="895">
      <c r="A895" s="6"/>
      <c r="B895" s="6"/>
      <c r="H895" s="13"/>
    </row>
    <row r="896">
      <c r="A896" s="6"/>
      <c r="B896" s="6"/>
      <c r="H896" s="13"/>
    </row>
    <row r="897">
      <c r="A897" s="6"/>
      <c r="B897" s="6"/>
      <c r="H897" s="13"/>
    </row>
    <row r="898">
      <c r="A898" s="6"/>
      <c r="B898" s="6"/>
      <c r="H898" s="13"/>
    </row>
    <row r="899">
      <c r="A899" s="6"/>
      <c r="B899" s="6"/>
      <c r="H899" s="13"/>
    </row>
    <row r="900">
      <c r="A900" s="6"/>
      <c r="B900" s="6"/>
      <c r="H900" s="13"/>
    </row>
    <row r="901">
      <c r="A901" s="6"/>
      <c r="B901" s="6"/>
      <c r="H901" s="13"/>
    </row>
    <row r="902">
      <c r="A902" s="6"/>
      <c r="B902" s="6"/>
      <c r="H902" s="13"/>
    </row>
    <row r="903">
      <c r="A903" s="6"/>
      <c r="B903" s="6"/>
      <c r="H903" s="13"/>
    </row>
    <row r="904">
      <c r="A904" s="6"/>
      <c r="B904" s="6"/>
      <c r="H904" s="13"/>
    </row>
    <row r="905">
      <c r="A905" s="6"/>
      <c r="B905" s="6"/>
      <c r="H905" s="13"/>
    </row>
    <row r="906">
      <c r="A906" s="6"/>
      <c r="B906" s="6"/>
      <c r="H906" s="13"/>
    </row>
    <row r="907">
      <c r="A907" s="6"/>
      <c r="B907" s="6"/>
      <c r="H907" s="13"/>
    </row>
    <row r="908">
      <c r="A908" s="6"/>
      <c r="B908" s="6"/>
      <c r="H908" s="13"/>
    </row>
    <row r="909">
      <c r="A909" s="6"/>
      <c r="B909" s="6"/>
      <c r="H909" s="13"/>
    </row>
    <row r="910">
      <c r="A910" s="6"/>
      <c r="B910" s="6"/>
      <c r="H910" s="13"/>
    </row>
    <row r="911">
      <c r="A911" s="6"/>
      <c r="B911" s="6"/>
      <c r="H911" s="13"/>
    </row>
    <row r="912">
      <c r="A912" s="6"/>
      <c r="B912" s="6"/>
      <c r="H912" s="13"/>
    </row>
    <row r="913">
      <c r="A913" s="6"/>
      <c r="B913" s="6"/>
      <c r="H913" s="13"/>
    </row>
    <row r="914">
      <c r="A914" s="6"/>
      <c r="B914" s="6"/>
      <c r="H914" s="13"/>
    </row>
    <row r="915">
      <c r="A915" s="6"/>
      <c r="B915" s="6"/>
      <c r="H915" s="13"/>
    </row>
    <row r="916">
      <c r="A916" s="6"/>
      <c r="B916" s="6"/>
      <c r="H916" s="13"/>
    </row>
    <row r="917">
      <c r="A917" s="6"/>
      <c r="B917" s="6"/>
      <c r="H917" s="13"/>
    </row>
    <row r="918">
      <c r="A918" s="6"/>
      <c r="B918" s="6"/>
      <c r="H918" s="13"/>
    </row>
    <row r="919">
      <c r="A919" s="6"/>
      <c r="B919" s="6"/>
      <c r="H919" s="13"/>
    </row>
    <row r="920">
      <c r="A920" s="6"/>
      <c r="B920" s="6"/>
      <c r="H920" s="13"/>
    </row>
    <row r="921">
      <c r="A921" s="6"/>
      <c r="B921" s="6"/>
      <c r="H921" s="13"/>
    </row>
    <row r="922">
      <c r="A922" s="6"/>
      <c r="B922" s="6"/>
      <c r="H922" s="13"/>
    </row>
    <row r="923">
      <c r="A923" s="6"/>
      <c r="B923" s="6"/>
      <c r="H923" s="13"/>
    </row>
    <row r="924">
      <c r="A924" s="6"/>
      <c r="B924" s="6"/>
      <c r="H924" s="13"/>
    </row>
    <row r="925">
      <c r="A925" s="6"/>
      <c r="B925" s="6"/>
      <c r="H925" s="13"/>
    </row>
    <row r="926">
      <c r="A926" s="6"/>
      <c r="B926" s="6"/>
      <c r="H926" s="13"/>
    </row>
    <row r="927">
      <c r="A927" s="6"/>
      <c r="B927" s="6"/>
      <c r="H927" s="13"/>
    </row>
    <row r="928">
      <c r="A928" s="6"/>
      <c r="B928" s="6"/>
      <c r="H928" s="13"/>
    </row>
    <row r="929">
      <c r="A929" s="6"/>
      <c r="B929" s="6"/>
      <c r="H929" s="13"/>
    </row>
    <row r="930">
      <c r="A930" s="6"/>
      <c r="B930" s="6"/>
      <c r="H930" s="13"/>
    </row>
    <row r="931">
      <c r="A931" s="6"/>
      <c r="B931" s="6"/>
      <c r="H931" s="13"/>
    </row>
    <row r="932">
      <c r="A932" s="6"/>
      <c r="B932" s="6"/>
      <c r="H932" s="13"/>
    </row>
    <row r="933">
      <c r="A933" s="6"/>
      <c r="B933" s="6"/>
      <c r="H933" s="13"/>
    </row>
    <row r="934">
      <c r="A934" s="6"/>
      <c r="B934" s="6"/>
      <c r="H934" s="13"/>
    </row>
    <row r="935">
      <c r="A935" s="6"/>
      <c r="B935" s="6"/>
      <c r="H935" s="13"/>
    </row>
    <row r="936">
      <c r="A936" s="6"/>
      <c r="B936" s="6"/>
      <c r="H936" s="13"/>
    </row>
    <row r="937">
      <c r="A937" s="6"/>
      <c r="B937" s="6"/>
      <c r="H937" s="13"/>
    </row>
    <row r="938">
      <c r="A938" s="6"/>
      <c r="B938" s="6"/>
      <c r="H938" s="13"/>
    </row>
    <row r="939">
      <c r="A939" s="6"/>
      <c r="B939" s="6"/>
      <c r="H939" s="13"/>
    </row>
    <row r="940">
      <c r="A940" s="6"/>
      <c r="B940" s="6"/>
      <c r="H940" s="13"/>
    </row>
    <row r="941">
      <c r="A941" s="6"/>
      <c r="B941" s="6"/>
      <c r="H941" s="13"/>
    </row>
    <row r="942">
      <c r="A942" s="6"/>
      <c r="B942" s="6"/>
      <c r="H942" s="13"/>
    </row>
    <row r="943">
      <c r="A943" s="6"/>
      <c r="B943" s="6"/>
      <c r="H943" s="13"/>
    </row>
    <row r="944">
      <c r="A944" s="6"/>
      <c r="B944" s="6"/>
      <c r="H944" s="13"/>
    </row>
    <row r="945">
      <c r="A945" s="6"/>
      <c r="B945" s="6"/>
      <c r="H945" s="13"/>
    </row>
    <row r="946">
      <c r="A946" s="6"/>
      <c r="B946" s="6"/>
      <c r="H946" s="13"/>
    </row>
    <row r="947">
      <c r="A947" s="6"/>
      <c r="B947" s="6"/>
      <c r="H947" s="13"/>
    </row>
    <row r="948">
      <c r="A948" s="6"/>
      <c r="B948" s="6"/>
      <c r="H948" s="13"/>
    </row>
    <row r="949">
      <c r="A949" s="6"/>
      <c r="B949" s="6"/>
      <c r="H949" s="13"/>
    </row>
    <row r="950">
      <c r="A950" s="6"/>
      <c r="B950" s="6"/>
      <c r="H950" s="13"/>
    </row>
    <row r="951">
      <c r="A951" s="6"/>
      <c r="B951" s="6"/>
      <c r="H951" s="13"/>
    </row>
    <row r="952">
      <c r="A952" s="6"/>
      <c r="B952" s="6"/>
      <c r="H952" s="13"/>
    </row>
    <row r="953">
      <c r="A953" s="6"/>
      <c r="B953" s="6"/>
      <c r="H953" s="13"/>
    </row>
    <row r="954">
      <c r="A954" s="6"/>
      <c r="B954" s="6"/>
      <c r="H954" s="13"/>
    </row>
    <row r="955">
      <c r="A955" s="6"/>
      <c r="B955" s="6"/>
      <c r="H955" s="13"/>
    </row>
    <row r="956">
      <c r="A956" s="6"/>
      <c r="B956" s="6"/>
      <c r="H956" s="13"/>
    </row>
    <row r="957">
      <c r="A957" s="6"/>
      <c r="B957" s="6"/>
      <c r="H957" s="13"/>
    </row>
    <row r="958">
      <c r="A958" s="6"/>
      <c r="B958" s="6"/>
      <c r="H958" s="13"/>
    </row>
    <row r="959">
      <c r="A959" s="6"/>
      <c r="B959" s="6"/>
      <c r="H959" s="13"/>
    </row>
    <row r="960">
      <c r="A960" s="6"/>
      <c r="B960" s="6"/>
      <c r="H960" s="13"/>
    </row>
    <row r="961">
      <c r="A961" s="6"/>
      <c r="B961" s="6"/>
      <c r="H961" s="13"/>
    </row>
    <row r="962">
      <c r="A962" s="6"/>
      <c r="B962" s="6"/>
      <c r="H962" s="13"/>
    </row>
    <row r="963">
      <c r="A963" s="6"/>
      <c r="B963" s="6"/>
      <c r="H963" s="13"/>
    </row>
    <row r="964">
      <c r="A964" s="6"/>
      <c r="B964" s="6"/>
      <c r="H964" s="13"/>
    </row>
    <row r="965">
      <c r="A965" s="6"/>
      <c r="B965" s="6"/>
      <c r="H965" s="13"/>
    </row>
    <row r="966">
      <c r="A966" s="6"/>
      <c r="B966" s="6"/>
      <c r="H966" s="13"/>
    </row>
    <row r="967">
      <c r="A967" s="6"/>
      <c r="B967" s="6"/>
      <c r="H967" s="13"/>
    </row>
    <row r="968">
      <c r="A968" s="6"/>
      <c r="B968" s="6"/>
      <c r="H968" s="13"/>
    </row>
    <row r="969">
      <c r="A969" s="6"/>
      <c r="B969" s="6"/>
      <c r="H969" s="13"/>
    </row>
    <row r="970">
      <c r="A970" s="6"/>
      <c r="B970" s="6"/>
      <c r="H970" s="13"/>
    </row>
    <row r="971">
      <c r="A971" s="6"/>
      <c r="B971" s="6"/>
      <c r="H971" s="13"/>
    </row>
    <row r="972">
      <c r="A972" s="6"/>
      <c r="B972" s="6"/>
      <c r="H972" s="13"/>
    </row>
    <row r="973">
      <c r="A973" s="6"/>
      <c r="B973" s="6"/>
      <c r="H973" s="13"/>
    </row>
    <row r="974">
      <c r="A974" s="6"/>
      <c r="B974" s="6"/>
      <c r="H974" s="13"/>
    </row>
    <row r="975">
      <c r="A975" s="6"/>
      <c r="B975" s="6"/>
      <c r="H975" s="13"/>
    </row>
    <row r="976">
      <c r="A976" s="6"/>
      <c r="B976" s="6"/>
      <c r="H976" s="13"/>
    </row>
    <row r="977">
      <c r="A977" s="6"/>
      <c r="B977" s="6"/>
      <c r="H977" s="13"/>
    </row>
    <row r="978">
      <c r="A978" s="6"/>
      <c r="B978" s="6"/>
      <c r="H978" s="13"/>
    </row>
    <row r="979">
      <c r="A979" s="6"/>
      <c r="B979" s="6"/>
      <c r="H979" s="13"/>
    </row>
    <row r="980">
      <c r="A980" s="6"/>
      <c r="B980" s="6"/>
      <c r="H980" s="13"/>
    </row>
    <row r="981">
      <c r="A981" s="6"/>
      <c r="B981" s="6"/>
      <c r="H981" s="13"/>
    </row>
    <row r="982">
      <c r="A982" s="6"/>
      <c r="B982" s="6"/>
      <c r="H982" s="13"/>
    </row>
    <row r="983">
      <c r="A983" s="6"/>
      <c r="B983" s="6"/>
      <c r="H983" s="13"/>
    </row>
    <row r="984">
      <c r="A984" s="6"/>
      <c r="B984" s="6"/>
      <c r="H984" s="13"/>
    </row>
    <row r="985">
      <c r="A985" s="6"/>
      <c r="B985" s="6"/>
      <c r="H985" s="13"/>
    </row>
    <row r="986">
      <c r="A986" s="6"/>
      <c r="B986" s="6"/>
      <c r="H986" s="13"/>
    </row>
    <row r="987">
      <c r="A987" s="6"/>
      <c r="B987" s="6"/>
      <c r="H987" s="13"/>
    </row>
    <row r="988">
      <c r="A988" s="6"/>
      <c r="B988" s="6"/>
      <c r="H988" s="13"/>
    </row>
    <row r="989">
      <c r="A989" s="6"/>
      <c r="B989" s="6"/>
      <c r="H989" s="13"/>
    </row>
    <row r="990">
      <c r="A990" s="6"/>
      <c r="B990" s="6"/>
      <c r="H990" s="13"/>
    </row>
    <row r="991">
      <c r="A991" s="6"/>
      <c r="B991" s="6"/>
      <c r="H991" s="13"/>
    </row>
    <row r="992">
      <c r="A992" s="6"/>
      <c r="B992" s="6"/>
      <c r="H992" s="13"/>
    </row>
    <row r="993">
      <c r="A993" s="6"/>
      <c r="B993" s="6"/>
      <c r="H993" s="13"/>
    </row>
    <row r="994">
      <c r="A994" s="6"/>
      <c r="B994" s="6"/>
      <c r="H994" s="13"/>
    </row>
    <row r="995">
      <c r="A995" s="6"/>
      <c r="B995" s="6"/>
      <c r="H995" s="13"/>
    </row>
    <row r="996">
      <c r="A996" s="6"/>
      <c r="B996" s="6"/>
      <c r="H996" s="13"/>
    </row>
    <row r="997">
      <c r="A997" s="6"/>
      <c r="B997" s="6"/>
      <c r="H997" s="13"/>
    </row>
    <row r="998">
      <c r="A998" s="6"/>
      <c r="B998" s="6"/>
      <c r="H998" s="13"/>
    </row>
    <row r="999">
      <c r="A999" s="6"/>
      <c r="B999" s="6"/>
      <c r="H999" s="13"/>
    </row>
    <row r="1000">
      <c r="A1000" s="6"/>
      <c r="B1000" s="6"/>
      <c r="H1000" s="13"/>
    </row>
    <row r="1001">
      <c r="A1001" s="6"/>
      <c r="B1001" s="6"/>
      <c r="H1001" s="13"/>
    </row>
    <row r="1002">
      <c r="A1002" s="6"/>
      <c r="B1002" s="6"/>
      <c r="H1002" s="13"/>
    </row>
    <row r="1003">
      <c r="A1003" s="6"/>
      <c r="B1003" s="6"/>
      <c r="H1003" s="13"/>
    </row>
    <row r="1004">
      <c r="A1004" s="6"/>
      <c r="B1004" s="6"/>
      <c r="H1004" s="13"/>
    </row>
    <row r="1005">
      <c r="A1005" s="6"/>
      <c r="B1005" s="6"/>
      <c r="H1005" s="13"/>
    </row>
    <row r="1006">
      <c r="A1006" s="6"/>
      <c r="B1006" s="6"/>
      <c r="H1006" s="13"/>
    </row>
    <row r="1007">
      <c r="A1007" s="6"/>
      <c r="B1007" s="6"/>
      <c r="H1007" s="13"/>
    </row>
    <row r="1008">
      <c r="A1008" s="6"/>
      <c r="B1008" s="6"/>
      <c r="H1008" s="13"/>
    </row>
    <row r="1009">
      <c r="A1009" s="6"/>
      <c r="B1009" s="6"/>
      <c r="H1009" s="13"/>
    </row>
    <row r="1010">
      <c r="A1010" s="6"/>
      <c r="B1010" s="6"/>
      <c r="H1010" s="13"/>
    </row>
    <row r="1011">
      <c r="A1011" s="6"/>
      <c r="B1011" s="6"/>
      <c r="H1011" s="13"/>
    </row>
    <row r="1012">
      <c r="A1012" s="6"/>
      <c r="B1012" s="6"/>
      <c r="H1012" s="13"/>
    </row>
    <row r="1013">
      <c r="A1013" s="6"/>
      <c r="B1013" s="6"/>
      <c r="H1013" s="13"/>
    </row>
    <row r="1014">
      <c r="A1014" s="6"/>
      <c r="B1014" s="6"/>
      <c r="H1014" s="13"/>
    </row>
    <row r="1015">
      <c r="A1015" s="6"/>
      <c r="B1015" s="6"/>
      <c r="H1015" s="13"/>
    </row>
    <row r="1016">
      <c r="A1016" s="6"/>
      <c r="B1016" s="6"/>
      <c r="H1016" s="13"/>
    </row>
    <row r="1017">
      <c r="A1017" s="6"/>
      <c r="B1017" s="6"/>
      <c r="H1017" s="13"/>
    </row>
    <row r="1018">
      <c r="A1018" s="6"/>
      <c r="B1018" s="6"/>
      <c r="H1018" s="13"/>
    </row>
    <row r="1019">
      <c r="A1019" s="6"/>
      <c r="B1019" s="6"/>
      <c r="H1019" s="13"/>
    </row>
    <row r="1020">
      <c r="A1020" s="6"/>
      <c r="B1020" s="6"/>
      <c r="H1020" s="13"/>
    </row>
    <row r="1021">
      <c r="A1021" s="6"/>
      <c r="B1021" s="6"/>
      <c r="H1021" s="13"/>
    </row>
    <row r="1022">
      <c r="A1022" s="6"/>
      <c r="B1022" s="6"/>
      <c r="H1022" s="13"/>
    </row>
    <row r="1023">
      <c r="A1023" s="6"/>
      <c r="B1023" s="6"/>
      <c r="H1023" s="13"/>
    </row>
    <row r="1024">
      <c r="A1024" s="6"/>
      <c r="B1024" s="6"/>
      <c r="H1024" s="13"/>
    </row>
    <row r="1025">
      <c r="A1025" s="6"/>
      <c r="B1025" s="6"/>
      <c r="H1025" s="13"/>
    </row>
    <row r="1026">
      <c r="A1026" s="6"/>
      <c r="B1026" s="6"/>
      <c r="H1026" s="13"/>
    </row>
    <row r="1027">
      <c r="A1027" s="6"/>
      <c r="B1027" s="6"/>
      <c r="H1027" s="13"/>
    </row>
    <row r="1028">
      <c r="A1028" s="6"/>
      <c r="B1028" s="6"/>
      <c r="H1028" s="13"/>
    </row>
    <row r="1029">
      <c r="A1029" s="6"/>
      <c r="B1029" s="6"/>
      <c r="H1029" s="13"/>
    </row>
    <row r="1030">
      <c r="A1030" s="6"/>
      <c r="B1030" s="6"/>
      <c r="H1030" s="13"/>
    </row>
    <row r="1031">
      <c r="A1031" s="6"/>
      <c r="B1031" s="6"/>
      <c r="H1031" s="13"/>
    </row>
    <row r="1032">
      <c r="A1032" s="6"/>
      <c r="B1032" s="6"/>
      <c r="H1032" s="13"/>
    </row>
    <row r="1033">
      <c r="A1033" s="6"/>
      <c r="B1033" s="6"/>
      <c r="H1033" s="13"/>
    </row>
    <row r="1034">
      <c r="A1034" s="6"/>
      <c r="B1034" s="6"/>
      <c r="H1034" s="13"/>
    </row>
    <row r="1035">
      <c r="A1035" s="6"/>
      <c r="B1035" s="6"/>
      <c r="H1035" s="13"/>
    </row>
    <row r="1036">
      <c r="A1036" s="6"/>
      <c r="B1036" s="6"/>
      <c r="H1036" s="13"/>
    </row>
    <row r="1037">
      <c r="A1037" s="6"/>
      <c r="B1037" s="6"/>
      <c r="H1037" s="13"/>
    </row>
    <row r="1038">
      <c r="A1038" s="6"/>
      <c r="B1038" s="6"/>
      <c r="H1038" s="13"/>
    </row>
    <row r="1039">
      <c r="A1039" s="6"/>
      <c r="B1039" s="6"/>
      <c r="H1039" s="13"/>
    </row>
    <row r="1040">
      <c r="A1040" s="6"/>
      <c r="B1040" s="6"/>
      <c r="H1040" s="13"/>
    </row>
    <row r="1041">
      <c r="A1041" s="6"/>
      <c r="B1041" s="6"/>
      <c r="H1041" s="13"/>
    </row>
    <row r="1042">
      <c r="A1042" s="6"/>
      <c r="B1042" s="6"/>
      <c r="H1042" s="13"/>
    </row>
    <row r="1043">
      <c r="A1043" s="6"/>
      <c r="B1043" s="6"/>
      <c r="H1043" s="13"/>
    </row>
    <row r="1044">
      <c r="A1044" s="6"/>
      <c r="B1044" s="6"/>
      <c r="H1044" s="13"/>
    </row>
    <row r="1045">
      <c r="A1045" s="6"/>
      <c r="B1045" s="6"/>
      <c r="H1045" s="13"/>
    </row>
    <row r="1046">
      <c r="A1046" s="6"/>
      <c r="B1046" s="6"/>
      <c r="H1046" s="13"/>
    </row>
    <row r="1047">
      <c r="A1047" s="6"/>
      <c r="B1047" s="6"/>
      <c r="H1047" s="13"/>
    </row>
    <row r="1048">
      <c r="A1048" s="6"/>
      <c r="B1048" s="6"/>
      <c r="H1048" s="13"/>
    </row>
    <row r="1049">
      <c r="A1049" s="6"/>
      <c r="B1049" s="6"/>
      <c r="H1049" s="13"/>
    </row>
    <row r="1050">
      <c r="A1050" s="6"/>
      <c r="B1050" s="6"/>
      <c r="H1050" s="13"/>
    </row>
    <row r="1051">
      <c r="A1051" s="6"/>
      <c r="B1051" s="6"/>
      <c r="H1051" s="13"/>
    </row>
    <row r="1052">
      <c r="A1052" s="6"/>
      <c r="B1052" s="6"/>
      <c r="H1052" s="13"/>
    </row>
    <row r="1053">
      <c r="A1053" s="6"/>
      <c r="B1053" s="6"/>
      <c r="H1053" s="13"/>
    </row>
    <row r="1054">
      <c r="A1054" s="6"/>
      <c r="B1054" s="6"/>
      <c r="H1054" s="13"/>
    </row>
    <row r="1055">
      <c r="A1055" s="6"/>
      <c r="B1055" s="6"/>
      <c r="H1055" s="13"/>
    </row>
    <row r="1056">
      <c r="A1056" s="6"/>
      <c r="B1056" s="6"/>
      <c r="H1056" s="13"/>
    </row>
    <row r="1057">
      <c r="A1057" s="6"/>
      <c r="B1057" s="6"/>
      <c r="H1057" s="13"/>
    </row>
    <row r="1058">
      <c r="A1058" s="6"/>
      <c r="B1058" s="6"/>
      <c r="H1058" s="13"/>
    </row>
    <row r="1059">
      <c r="A1059" s="6"/>
      <c r="B1059" s="6"/>
      <c r="H1059" s="13"/>
    </row>
    <row r="1060">
      <c r="A1060" s="6"/>
      <c r="B1060" s="6"/>
      <c r="H1060" s="13"/>
    </row>
    <row r="1061">
      <c r="A1061" s="6"/>
      <c r="B1061" s="6"/>
      <c r="H1061" s="13"/>
    </row>
    <row r="1062">
      <c r="A1062" s="6"/>
      <c r="B1062" s="6"/>
      <c r="H1062" s="13"/>
    </row>
    <row r="1063">
      <c r="A1063" s="6"/>
      <c r="B1063" s="6"/>
      <c r="H1063" s="13"/>
    </row>
    <row r="1064">
      <c r="A1064" s="6"/>
      <c r="B1064" s="6"/>
      <c r="H1064" s="13"/>
    </row>
    <row r="1065">
      <c r="A1065" s="6"/>
      <c r="B1065" s="6"/>
      <c r="H1065" s="13"/>
    </row>
    <row r="1066">
      <c r="A1066" s="6"/>
      <c r="B1066" s="6"/>
      <c r="H1066" s="13"/>
    </row>
    <row r="1067">
      <c r="A1067" s="6"/>
      <c r="B1067" s="6"/>
      <c r="H1067" s="13"/>
    </row>
    <row r="1068">
      <c r="A1068" s="6"/>
      <c r="B1068" s="6"/>
      <c r="H1068" s="13"/>
    </row>
    <row r="1069">
      <c r="A1069" s="6"/>
      <c r="B1069" s="6"/>
      <c r="H1069" s="13"/>
    </row>
    <row r="1070">
      <c r="A1070" s="6"/>
      <c r="B1070" s="6"/>
      <c r="H1070" s="13"/>
    </row>
    <row r="1071">
      <c r="A1071" s="6"/>
      <c r="B1071" s="6"/>
      <c r="H1071" s="13"/>
    </row>
    <row r="1072">
      <c r="A1072" s="6"/>
      <c r="B1072" s="6"/>
      <c r="H1072" s="13"/>
    </row>
    <row r="1073">
      <c r="A1073" s="6"/>
      <c r="B1073" s="6"/>
      <c r="H1073" s="13"/>
    </row>
    <row r="1074">
      <c r="A1074" s="6"/>
      <c r="B1074" s="6"/>
      <c r="H1074" s="13"/>
    </row>
    <row r="1075">
      <c r="A1075" s="6"/>
      <c r="B1075" s="6"/>
      <c r="H1075" s="13"/>
    </row>
    <row r="1076">
      <c r="A1076" s="6"/>
      <c r="B1076" s="6"/>
      <c r="H1076" s="13"/>
    </row>
    <row r="1077">
      <c r="A1077" s="6"/>
      <c r="B1077" s="6"/>
      <c r="H1077" s="13"/>
    </row>
    <row r="1078">
      <c r="A1078" s="6"/>
      <c r="B1078" s="6"/>
      <c r="H1078" s="13"/>
    </row>
    <row r="1079">
      <c r="A1079" s="6"/>
      <c r="B1079" s="6"/>
      <c r="H1079" s="13"/>
    </row>
    <row r="1080">
      <c r="A1080" s="6"/>
      <c r="B1080" s="6"/>
      <c r="H1080" s="13"/>
    </row>
    <row r="1081">
      <c r="A1081" s="6"/>
      <c r="B1081" s="6"/>
      <c r="H1081" s="13"/>
    </row>
    <row r="1082">
      <c r="A1082" s="6"/>
      <c r="B1082" s="6"/>
      <c r="H1082" s="13"/>
    </row>
    <row r="1083">
      <c r="A1083" s="6"/>
      <c r="B1083" s="6"/>
      <c r="H1083" s="13"/>
    </row>
    <row r="1084">
      <c r="A1084" s="6"/>
      <c r="B1084" s="6"/>
      <c r="H1084" s="13"/>
    </row>
    <row r="1085">
      <c r="A1085" s="6"/>
      <c r="B1085" s="6"/>
      <c r="H1085" s="13"/>
    </row>
    <row r="1086">
      <c r="A1086" s="6"/>
      <c r="B1086" s="6"/>
      <c r="H1086" s="13"/>
    </row>
    <row r="1087">
      <c r="A1087" s="6"/>
      <c r="B1087" s="6"/>
      <c r="H1087" s="13"/>
    </row>
    <row r="1088">
      <c r="A1088" s="6"/>
      <c r="B1088" s="6"/>
      <c r="H1088" s="13"/>
    </row>
    <row r="1089">
      <c r="A1089" s="6"/>
      <c r="B1089" s="6"/>
      <c r="H1089" s="13"/>
    </row>
    <row r="1090">
      <c r="A1090" s="6"/>
      <c r="B1090" s="6"/>
      <c r="H1090" s="13"/>
    </row>
    <row r="1091">
      <c r="A1091" s="6"/>
      <c r="B1091" s="6"/>
      <c r="H1091" s="13"/>
    </row>
    <row r="1092">
      <c r="A1092" s="6"/>
      <c r="B1092" s="6"/>
      <c r="H1092" s="13"/>
    </row>
    <row r="1093">
      <c r="A1093" s="6"/>
      <c r="B1093" s="6"/>
      <c r="H1093" s="13"/>
    </row>
    <row r="1094">
      <c r="A1094" s="6"/>
      <c r="B1094" s="6"/>
      <c r="H1094" s="13"/>
    </row>
    <row r="1095">
      <c r="A1095" s="6"/>
      <c r="B1095" s="6"/>
      <c r="H1095" s="13"/>
    </row>
    <row r="1096">
      <c r="A1096" s="6"/>
      <c r="B1096" s="6"/>
      <c r="H1096" s="13"/>
    </row>
    <row r="1097">
      <c r="A1097" s="6"/>
      <c r="B1097" s="6"/>
      <c r="H1097" s="13"/>
    </row>
    <row r="1098">
      <c r="A1098" s="6"/>
      <c r="B1098" s="6"/>
      <c r="H1098" s="13"/>
    </row>
    <row r="1099">
      <c r="A1099" s="6"/>
      <c r="B1099" s="6"/>
      <c r="H1099" s="13"/>
    </row>
    <row r="1100">
      <c r="A1100" s="6"/>
      <c r="B1100" s="6"/>
      <c r="H1100" s="13"/>
    </row>
    <row r="1101">
      <c r="A1101" s="6"/>
      <c r="B1101" s="6"/>
      <c r="H1101" s="13"/>
    </row>
    <row r="1102">
      <c r="A1102" s="6"/>
      <c r="B1102" s="6"/>
      <c r="H1102" s="13"/>
    </row>
    <row r="1103">
      <c r="A1103" s="6"/>
      <c r="B1103" s="6"/>
      <c r="H1103" s="13"/>
    </row>
    <row r="1104">
      <c r="A1104" s="6"/>
      <c r="B1104" s="6"/>
      <c r="H1104" s="13"/>
    </row>
    <row r="1105">
      <c r="A1105" s="6"/>
      <c r="B1105" s="6"/>
      <c r="H1105" s="13"/>
    </row>
    <row r="1106">
      <c r="A1106" s="6"/>
      <c r="B1106" s="6"/>
      <c r="H1106" s="13"/>
    </row>
    <row r="1107">
      <c r="A1107" s="6"/>
      <c r="B1107" s="6"/>
      <c r="H1107" s="13"/>
    </row>
    <row r="1108">
      <c r="A1108" s="6"/>
      <c r="B1108" s="6"/>
      <c r="H1108" s="13"/>
    </row>
    <row r="1109">
      <c r="A1109" s="6"/>
      <c r="B1109" s="6"/>
      <c r="H1109" s="13"/>
    </row>
    <row r="1110">
      <c r="A1110" s="6"/>
      <c r="B1110" s="6"/>
      <c r="H1110" s="13"/>
    </row>
    <row r="1111">
      <c r="A1111" s="6"/>
      <c r="B1111" s="6"/>
      <c r="H1111" s="13"/>
    </row>
    <row r="1112">
      <c r="A1112" s="6"/>
      <c r="B1112" s="6"/>
      <c r="H1112" s="13"/>
    </row>
    <row r="1113">
      <c r="A1113" s="6"/>
      <c r="B1113" s="6"/>
      <c r="H1113" s="13"/>
    </row>
    <row r="1114">
      <c r="A1114" s="6"/>
      <c r="B1114" s="6"/>
      <c r="H1114" s="13"/>
    </row>
    <row r="1115">
      <c r="A1115" s="6"/>
      <c r="B1115" s="6"/>
      <c r="H1115" s="13"/>
    </row>
    <row r="1116">
      <c r="A1116" s="6"/>
      <c r="B1116" s="6"/>
      <c r="H1116" s="13"/>
    </row>
    <row r="1117">
      <c r="A1117" s="6"/>
      <c r="B1117" s="6"/>
      <c r="H1117" s="13"/>
    </row>
    <row r="1118">
      <c r="A1118" s="6"/>
      <c r="B1118" s="6"/>
      <c r="H1118" s="13"/>
    </row>
    <row r="1119">
      <c r="A1119" s="6"/>
      <c r="B1119" s="6"/>
      <c r="H1119" s="13"/>
    </row>
    <row r="1120">
      <c r="A1120" s="6"/>
      <c r="B1120" s="6"/>
      <c r="H1120" s="13"/>
    </row>
    <row r="1121">
      <c r="A1121" s="6"/>
      <c r="B1121" s="6"/>
      <c r="H1121" s="13"/>
    </row>
    <row r="1122">
      <c r="A1122" s="6"/>
      <c r="B1122" s="6"/>
      <c r="H1122" s="13"/>
    </row>
    <row r="1123">
      <c r="A1123" s="6"/>
      <c r="B1123" s="6"/>
      <c r="H1123" s="13"/>
    </row>
    <row r="1124">
      <c r="A1124" s="6"/>
      <c r="B1124" s="6"/>
      <c r="H1124" s="13"/>
    </row>
    <row r="1125">
      <c r="A1125" s="6"/>
      <c r="B1125" s="6"/>
      <c r="H1125" s="13"/>
    </row>
    <row r="1126">
      <c r="A1126" s="6"/>
      <c r="B1126" s="6"/>
      <c r="H1126" s="13"/>
    </row>
    <row r="1127">
      <c r="A1127" s="6"/>
      <c r="B1127" s="6"/>
      <c r="H1127" s="13"/>
    </row>
    <row r="1128">
      <c r="A1128" s="6"/>
      <c r="B1128" s="6"/>
      <c r="H1128" s="13"/>
    </row>
    <row r="1129">
      <c r="A1129" s="6"/>
      <c r="B1129" s="6"/>
      <c r="H1129" s="13"/>
    </row>
    <row r="1130">
      <c r="A1130" s="6"/>
      <c r="B1130" s="6"/>
      <c r="H1130" s="13"/>
    </row>
    <row r="1131">
      <c r="A1131" s="6"/>
      <c r="B1131" s="6"/>
      <c r="H1131" s="13"/>
    </row>
    <row r="1132">
      <c r="A1132" s="6"/>
      <c r="B1132" s="6"/>
      <c r="H1132" s="13"/>
    </row>
    <row r="1133">
      <c r="A1133" s="6"/>
      <c r="B1133" s="6"/>
      <c r="H1133" s="13"/>
    </row>
    <row r="1134">
      <c r="A1134" s="6"/>
      <c r="B1134" s="6"/>
      <c r="H1134" s="13"/>
    </row>
    <row r="1135">
      <c r="A1135" s="6"/>
      <c r="B1135" s="6"/>
      <c r="H1135" s="13"/>
    </row>
    <row r="1136">
      <c r="A1136" s="6"/>
      <c r="B1136" s="6"/>
      <c r="H1136" s="13"/>
    </row>
    <row r="1137">
      <c r="A1137" s="6"/>
      <c r="B1137" s="6"/>
      <c r="H1137" s="13"/>
    </row>
    <row r="1138">
      <c r="A1138" s="6"/>
      <c r="B1138" s="6"/>
      <c r="H1138" s="13"/>
    </row>
    <row r="1139">
      <c r="A1139" s="6"/>
      <c r="B1139" s="6"/>
      <c r="H1139" s="13"/>
    </row>
    <row r="1140">
      <c r="A1140" s="6"/>
      <c r="B1140" s="6"/>
      <c r="H1140" s="13"/>
    </row>
    <row r="1141">
      <c r="A1141" s="6"/>
      <c r="B1141" s="6"/>
      <c r="H1141" s="13"/>
    </row>
    <row r="1142">
      <c r="A1142" s="6"/>
      <c r="B1142" s="6"/>
      <c r="H1142" s="13"/>
    </row>
    <row r="1143">
      <c r="A1143" s="6"/>
      <c r="B1143" s="6"/>
      <c r="H1143" s="13"/>
    </row>
    <row r="1144">
      <c r="A1144" s="6"/>
      <c r="B1144" s="6"/>
      <c r="H1144" s="13"/>
    </row>
    <row r="1145">
      <c r="A1145" s="6"/>
      <c r="B1145" s="6"/>
      <c r="H1145" s="13"/>
    </row>
    <row r="1146">
      <c r="A1146" s="6"/>
      <c r="B1146" s="6"/>
      <c r="H1146" s="13"/>
    </row>
    <row r="1147">
      <c r="A1147" s="6"/>
      <c r="B1147" s="6"/>
      <c r="H1147" s="13"/>
    </row>
    <row r="1148">
      <c r="A1148" s="6"/>
      <c r="B1148" s="6"/>
      <c r="H1148" s="13"/>
    </row>
    <row r="1149">
      <c r="A1149" s="6"/>
      <c r="B1149" s="6"/>
      <c r="H1149" s="13"/>
    </row>
    <row r="1150">
      <c r="A1150" s="6"/>
      <c r="B1150" s="6"/>
      <c r="H1150" s="13"/>
    </row>
    <row r="1151">
      <c r="A1151" s="6"/>
      <c r="B1151" s="6"/>
      <c r="H1151" s="13"/>
    </row>
    <row r="1152">
      <c r="A1152" s="6"/>
      <c r="B1152" s="6"/>
      <c r="H1152" s="13"/>
    </row>
    <row r="1153">
      <c r="A1153" s="6"/>
      <c r="B1153" s="6"/>
      <c r="H1153" s="13"/>
    </row>
    <row r="1154">
      <c r="A1154" s="6"/>
      <c r="B1154" s="6"/>
      <c r="H1154" s="13"/>
    </row>
    <row r="1155">
      <c r="A1155" s="6"/>
      <c r="B1155" s="6"/>
      <c r="H1155" s="13"/>
    </row>
    <row r="1156">
      <c r="A1156" s="6"/>
      <c r="B1156" s="6"/>
      <c r="H1156" s="13"/>
    </row>
    <row r="1157">
      <c r="A1157" s="6"/>
      <c r="B1157" s="6"/>
      <c r="H1157" s="13"/>
    </row>
    <row r="1158">
      <c r="A1158" s="6"/>
      <c r="B1158" s="6"/>
      <c r="H1158" s="13"/>
    </row>
    <row r="1159">
      <c r="A1159" s="6"/>
      <c r="B1159" s="6"/>
      <c r="H1159" s="13"/>
    </row>
    <row r="1160">
      <c r="A1160" s="6"/>
      <c r="B1160" s="6"/>
      <c r="H1160" s="13"/>
    </row>
    <row r="1161">
      <c r="A1161" s="6"/>
      <c r="B1161" s="6"/>
      <c r="H1161" s="13"/>
    </row>
    <row r="1162">
      <c r="A1162" s="6"/>
      <c r="B1162" s="6"/>
      <c r="H1162" s="13"/>
    </row>
    <row r="1163">
      <c r="A1163" s="6"/>
      <c r="B1163" s="6"/>
      <c r="H1163" s="13"/>
    </row>
    <row r="1164">
      <c r="A1164" s="6"/>
      <c r="B1164" s="6"/>
      <c r="H1164" s="13"/>
    </row>
    <row r="1165">
      <c r="A1165" s="6"/>
      <c r="B1165" s="6"/>
      <c r="H1165" s="13"/>
    </row>
    <row r="1166">
      <c r="A1166" s="6"/>
      <c r="B1166" s="6"/>
      <c r="H1166" s="13"/>
    </row>
    <row r="1167">
      <c r="A1167" s="6"/>
      <c r="B1167" s="6"/>
      <c r="H1167" s="13"/>
    </row>
    <row r="1168">
      <c r="A1168" s="6"/>
      <c r="B1168" s="6"/>
      <c r="H1168" s="13"/>
    </row>
    <row r="1169">
      <c r="A1169" s="6"/>
      <c r="B1169" s="6"/>
      <c r="H1169" s="13"/>
    </row>
    <row r="1170">
      <c r="A1170" s="6"/>
      <c r="B1170" s="6"/>
      <c r="H1170" s="13"/>
    </row>
    <row r="1171">
      <c r="A1171" s="6"/>
      <c r="B1171" s="6"/>
      <c r="H1171" s="13"/>
    </row>
    <row r="1172">
      <c r="A1172" s="6"/>
      <c r="B1172" s="6"/>
      <c r="H1172" s="13"/>
    </row>
    <row r="1173">
      <c r="A1173" s="6"/>
      <c r="B1173" s="6"/>
      <c r="H1173" s="13"/>
    </row>
    <row r="1174">
      <c r="A1174" s="6"/>
      <c r="B1174" s="6"/>
      <c r="H1174" s="13"/>
    </row>
    <row r="1175">
      <c r="A1175" s="6"/>
      <c r="B1175" s="6"/>
      <c r="H1175" s="13"/>
    </row>
    <row r="1176">
      <c r="A1176" s="6"/>
      <c r="B1176" s="6"/>
      <c r="H1176" s="13"/>
    </row>
    <row r="1177">
      <c r="A1177" s="6"/>
      <c r="B1177" s="6"/>
      <c r="H1177" s="13"/>
    </row>
    <row r="1178">
      <c r="A1178" s="6"/>
      <c r="B1178" s="6"/>
      <c r="H1178" s="13"/>
    </row>
    <row r="1179">
      <c r="A1179" s="6"/>
      <c r="B1179" s="6"/>
      <c r="H1179" s="13"/>
    </row>
    <row r="1180">
      <c r="A1180" s="6"/>
      <c r="B1180" s="6"/>
      <c r="H1180" s="13"/>
    </row>
    <row r="1181">
      <c r="A1181" s="6"/>
      <c r="B1181" s="6"/>
      <c r="H1181" s="13"/>
    </row>
    <row r="1182">
      <c r="A1182" s="6"/>
      <c r="B1182" s="6"/>
      <c r="H1182" s="13"/>
    </row>
    <row r="1183">
      <c r="A1183" s="6"/>
      <c r="B1183" s="6"/>
      <c r="H1183" s="13"/>
    </row>
    <row r="1184">
      <c r="A1184" s="6"/>
      <c r="B1184" s="6"/>
      <c r="H1184" s="13"/>
    </row>
    <row r="1185">
      <c r="A1185" s="6"/>
      <c r="B1185" s="6"/>
      <c r="H1185" s="13"/>
    </row>
    <row r="1186">
      <c r="A1186" s="6"/>
      <c r="B1186" s="6"/>
      <c r="H1186" s="13"/>
    </row>
    <row r="1187">
      <c r="A1187" s="6"/>
      <c r="B1187" s="6"/>
      <c r="H1187" s="13"/>
    </row>
    <row r="1188">
      <c r="A1188" s="6"/>
      <c r="B1188" s="6"/>
      <c r="H1188" s="13"/>
    </row>
    <row r="1189">
      <c r="A1189" s="6"/>
      <c r="B1189" s="6"/>
      <c r="H1189" s="13"/>
    </row>
    <row r="1190">
      <c r="A1190" s="6"/>
      <c r="B1190" s="6"/>
      <c r="H1190" s="13"/>
    </row>
    <row r="1191">
      <c r="A1191" s="6"/>
      <c r="B1191" s="6"/>
      <c r="H1191" s="13"/>
    </row>
    <row r="1192">
      <c r="A1192" s="6"/>
      <c r="B1192" s="6"/>
      <c r="H1192" s="13"/>
    </row>
    <row r="1193">
      <c r="A1193" s="6"/>
      <c r="B1193" s="6"/>
      <c r="H1193" s="13"/>
    </row>
    <row r="1194">
      <c r="A1194" s="6"/>
      <c r="B1194" s="6"/>
      <c r="H1194" s="13"/>
    </row>
    <row r="1195">
      <c r="A1195" s="6"/>
      <c r="B1195" s="6"/>
      <c r="H1195" s="13"/>
    </row>
    <row r="1196">
      <c r="A1196" s="6"/>
      <c r="B1196" s="6"/>
      <c r="H1196" s="13"/>
    </row>
    <row r="1197">
      <c r="A1197" s="6"/>
      <c r="B1197" s="6"/>
      <c r="H1197" s="13"/>
    </row>
    <row r="1198">
      <c r="A1198" s="6"/>
      <c r="B1198" s="6"/>
      <c r="H1198" s="13"/>
    </row>
    <row r="1199">
      <c r="A1199" s="6"/>
      <c r="B1199" s="6"/>
      <c r="H1199" s="13"/>
    </row>
    <row r="1200">
      <c r="A1200" s="6"/>
      <c r="B1200" s="6"/>
      <c r="H1200" s="13"/>
    </row>
    <row r="1201">
      <c r="A1201" s="6"/>
      <c r="B1201" s="6"/>
      <c r="H1201" s="13"/>
    </row>
    <row r="1202">
      <c r="A1202" s="6"/>
      <c r="B1202" s="6"/>
      <c r="H1202" s="13"/>
    </row>
    <row r="1203">
      <c r="A1203" s="6"/>
      <c r="B1203" s="6"/>
      <c r="H1203" s="13"/>
    </row>
    <row r="1204">
      <c r="A1204" s="6"/>
      <c r="B1204" s="6"/>
      <c r="H1204" s="13"/>
    </row>
    <row r="1205">
      <c r="A1205" s="6"/>
      <c r="B1205" s="6"/>
      <c r="H1205" s="13"/>
    </row>
    <row r="1206">
      <c r="A1206" s="6"/>
      <c r="B1206" s="6"/>
      <c r="H1206" s="13"/>
    </row>
    <row r="1207">
      <c r="A1207" s="6"/>
      <c r="B1207" s="6"/>
      <c r="H1207" s="13"/>
    </row>
    <row r="1208">
      <c r="A1208" s="6"/>
      <c r="B1208" s="6"/>
      <c r="H1208" s="13"/>
    </row>
    <row r="1209">
      <c r="A1209" s="6"/>
      <c r="B1209" s="6"/>
      <c r="H1209" s="13"/>
    </row>
    <row r="1210">
      <c r="A1210" s="6"/>
      <c r="B1210" s="6"/>
      <c r="H1210" s="13"/>
    </row>
    <row r="1211">
      <c r="A1211" s="6"/>
      <c r="B1211" s="6"/>
      <c r="H1211" s="13"/>
    </row>
    <row r="1212">
      <c r="A1212" s="6"/>
      <c r="B1212" s="6"/>
      <c r="H1212" s="13"/>
    </row>
    <row r="1213">
      <c r="A1213" s="6"/>
      <c r="B1213" s="6"/>
      <c r="H1213" s="13"/>
    </row>
    <row r="1214">
      <c r="A1214" s="6"/>
      <c r="B1214" s="6"/>
      <c r="H1214" s="13"/>
    </row>
    <row r="1215">
      <c r="A1215" s="6"/>
      <c r="B1215" s="6"/>
      <c r="H1215" s="13"/>
    </row>
    <row r="1216">
      <c r="A1216" s="6"/>
      <c r="B1216" s="6"/>
      <c r="H1216" s="13"/>
    </row>
    <row r="1217">
      <c r="A1217" s="6"/>
      <c r="B1217" s="6"/>
      <c r="H1217" s="13"/>
    </row>
    <row r="1218">
      <c r="A1218" s="6"/>
      <c r="B1218" s="6"/>
      <c r="H1218" s="13"/>
    </row>
    <row r="1219">
      <c r="A1219" s="6"/>
      <c r="B1219" s="6"/>
      <c r="H1219" s="13"/>
    </row>
    <row r="1220">
      <c r="A1220" s="6"/>
      <c r="B1220" s="6"/>
      <c r="H1220" s="13"/>
    </row>
    <row r="1221">
      <c r="A1221" s="6"/>
      <c r="B1221" s="6"/>
      <c r="H1221" s="13"/>
    </row>
    <row r="1222">
      <c r="A1222" s="6"/>
      <c r="B1222" s="6"/>
      <c r="H1222" s="13"/>
    </row>
    <row r="1223">
      <c r="A1223" s="6"/>
      <c r="B1223" s="6"/>
      <c r="H1223" s="13"/>
    </row>
    <row r="1224">
      <c r="A1224" s="6"/>
      <c r="B1224" s="6"/>
      <c r="H1224" s="13"/>
    </row>
    <row r="1225">
      <c r="A1225" s="6"/>
      <c r="B1225" s="6"/>
      <c r="H1225" s="13"/>
    </row>
    <row r="1226">
      <c r="A1226" s="6"/>
      <c r="B1226" s="6"/>
      <c r="H1226" s="13"/>
    </row>
    <row r="1227">
      <c r="A1227" s="6"/>
      <c r="B1227" s="6"/>
      <c r="H1227" s="13"/>
    </row>
    <row r="1228">
      <c r="A1228" s="6"/>
      <c r="B1228" s="6"/>
      <c r="H1228" s="13"/>
    </row>
    <row r="1229">
      <c r="A1229" s="6"/>
      <c r="B1229" s="6"/>
      <c r="H1229" s="13"/>
    </row>
    <row r="1230">
      <c r="A1230" s="6"/>
      <c r="B1230" s="6"/>
      <c r="H1230" s="13"/>
    </row>
    <row r="1231">
      <c r="A1231" s="6"/>
      <c r="B1231" s="6"/>
      <c r="H1231" s="13"/>
    </row>
    <row r="1232">
      <c r="A1232" s="6"/>
      <c r="B1232" s="6"/>
      <c r="H1232" s="13"/>
    </row>
    <row r="1233">
      <c r="A1233" s="6"/>
      <c r="B1233" s="6"/>
      <c r="H1233" s="13"/>
    </row>
    <row r="1234">
      <c r="A1234" s="6"/>
      <c r="B1234" s="6"/>
      <c r="H1234" s="13"/>
    </row>
    <row r="1235">
      <c r="A1235" s="6"/>
      <c r="B1235" s="6"/>
      <c r="H1235" s="13"/>
    </row>
    <row r="1236">
      <c r="A1236" s="6"/>
      <c r="B1236" s="6"/>
      <c r="H1236" s="13"/>
    </row>
    <row r="1237">
      <c r="A1237" s="6"/>
      <c r="B1237" s="6"/>
      <c r="H1237" s="13"/>
    </row>
    <row r="1238">
      <c r="A1238" s="6"/>
      <c r="B1238" s="6"/>
      <c r="H1238" s="13"/>
    </row>
    <row r="1239">
      <c r="A1239" s="6"/>
      <c r="B1239" s="6"/>
      <c r="H1239" s="13"/>
    </row>
    <row r="1240">
      <c r="A1240" s="6"/>
      <c r="B1240" s="6"/>
      <c r="H1240" s="13"/>
    </row>
    <row r="1241">
      <c r="A1241" s="6"/>
      <c r="B1241" s="6"/>
      <c r="H1241" s="13"/>
    </row>
    <row r="1242">
      <c r="A1242" s="6"/>
      <c r="B1242" s="6"/>
      <c r="H1242" s="13"/>
    </row>
    <row r="1243">
      <c r="A1243" s="6"/>
      <c r="B1243" s="6"/>
      <c r="H1243" s="13"/>
    </row>
    <row r="1244">
      <c r="A1244" s="6"/>
      <c r="B1244" s="6"/>
      <c r="H1244" s="13"/>
    </row>
    <row r="1245">
      <c r="A1245" s="6"/>
      <c r="B1245" s="6"/>
      <c r="H1245" s="13"/>
    </row>
    <row r="1246">
      <c r="A1246" s="6"/>
      <c r="B1246" s="6"/>
      <c r="H1246" s="13"/>
    </row>
    <row r="1247">
      <c r="A1247" s="6"/>
      <c r="B1247" s="6"/>
      <c r="H1247" s="13"/>
    </row>
    <row r="1248">
      <c r="A1248" s="6"/>
      <c r="B1248" s="6"/>
      <c r="H1248" s="13"/>
    </row>
    <row r="1249">
      <c r="A1249" s="6"/>
      <c r="B1249" s="6"/>
      <c r="H1249" s="13"/>
    </row>
    <row r="1250">
      <c r="A1250" s="6"/>
      <c r="B1250" s="6"/>
      <c r="H1250" s="13"/>
    </row>
    <row r="1251">
      <c r="A1251" s="6"/>
      <c r="B1251" s="6"/>
      <c r="H1251" s="13"/>
    </row>
    <row r="1252">
      <c r="A1252" s="6"/>
      <c r="B1252" s="6"/>
      <c r="H1252" s="13"/>
    </row>
    <row r="1253">
      <c r="A1253" s="6"/>
      <c r="B1253" s="6"/>
      <c r="H1253" s="13"/>
    </row>
    <row r="1254">
      <c r="A1254" s="6"/>
      <c r="B1254" s="6"/>
      <c r="H1254" s="13"/>
    </row>
    <row r="1255">
      <c r="A1255" s="6"/>
      <c r="B1255" s="6"/>
      <c r="H1255" s="13"/>
    </row>
    <row r="1256">
      <c r="A1256" s="6"/>
      <c r="B1256" s="6"/>
      <c r="H1256" s="13"/>
    </row>
    <row r="1257">
      <c r="A1257" s="6"/>
      <c r="B1257" s="6"/>
      <c r="H1257" s="13"/>
    </row>
    <row r="1258">
      <c r="A1258" s="6"/>
      <c r="B1258" s="6"/>
      <c r="H1258" s="13"/>
    </row>
    <row r="1259">
      <c r="A1259" s="6"/>
      <c r="B1259" s="6"/>
      <c r="H1259" s="13"/>
    </row>
    <row r="1260">
      <c r="A1260" s="6"/>
      <c r="B1260" s="6"/>
      <c r="H1260" s="13"/>
    </row>
    <row r="1261">
      <c r="A1261" s="6"/>
      <c r="B1261" s="6"/>
      <c r="H1261" s="13"/>
    </row>
    <row r="1262">
      <c r="A1262" s="6"/>
      <c r="B1262" s="6"/>
      <c r="H1262" s="13"/>
    </row>
    <row r="1263">
      <c r="A1263" s="6"/>
      <c r="B1263" s="6"/>
      <c r="H1263" s="13"/>
    </row>
    <row r="1264">
      <c r="A1264" s="6"/>
      <c r="B1264" s="6"/>
      <c r="H1264" s="13"/>
    </row>
    <row r="1265">
      <c r="A1265" s="6"/>
      <c r="B1265" s="6"/>
      <c r="H1265" s="13"/>
    </row>
    <row r="1266">
      <c r="A1266" s="6"/>
      <c r="B1266" s="6"/>
      <c r="H1266" s="13"/>
    </row>
    <row r="1267">
      <c r="A1267" s="6"/>
      <c r="B1267" s="6"/>
      <c r="H1267" s="13"/>
    </row>
    <row r="1268">
      <c r="A1268" s="6"/>
      <c r="B1268" s="6"/>
      <c r="H1268" s="13"/>
    </row>
    <row r="1269">
      <c r="A1269" s="6"/>
      <c r="B1269" s="6"/>
      <c r="H1269" s="13"/>
    </row>
    <row r="1270">
      <c r="A1270" s="6"/>
      <c r="B1270" s="6"/>
      <c r="H1270" s="13"/>
    </row>
    <row r="1271">
      <c r="A1271" s="6"/>
      <c r="B1271" s="6"/>
      <c r="H1271" s="13"/>
    </row>
    <row r="1272">
      <c r="A1272" s="6"/>
      <c r="B1272" s="6"/>
      <c r="H1272" s="13"/>
    </row>
    <row r="1273">
      <c r="A1273" s="6"/>
      <c r="B1273" s="6"/>
      <c r="H1273" s="13"/>
    </row>
    <row r="1274">
      <c r="A1274" s="6"/>
      <c r="B1274" s="6"/>
      <c r="H1274" s="13"/>
    </row>
    <row r="1275">
      <c r="A1275" s="6"/>
      <c r="B1275" s="6"/>
      <c r="H1275" s="13"/>
    </row>
    <row r="1276">
      <c r="A1276" s="6"/>
      <c r="B1276" s="6"/>
      <c r="H1276" s="13"/>
    </row>
    <row r="1277">
      <c r="A1277" s="6"/>
      <c r="B1277" s="6"/>
      <c r="H1277" s="13"/>
    </row>
    <row r="1278">
      <c r="A1278" s="6"/>
      <c r="B1278" s="6"/>
      <c r="H1278" s="13"/>
    </row>
    <row r="1279">
      <c r="A1279" s="6"/>
      <c r="B1279" s="6"/>
      <c r="H1279" s="13"/>
    </row>
    <row r="1280">
      <c r="A1280" s="6"/>
      <c r="B1280" s="6"/>
      <c r="H1280" s="13"/>
    </row>
    <row r="1281">
      <c r="A1281" s="6"/>
      <c r="B1281" s="6"/>
      <c r="H1281" s="13"/>
    </row>
    <row r="1282">
      <c r="A1282" s="6"/>
      <c r="B1282" s="6"/>
      <c r="H1282" s="13"/>
    </row>
    <row r="1283">
      <c r="A1283" s="6"/>
      <c r="B1283" s="6"/>
      <c r="H1283" s="13"/>
    </row>
    <row r="1284">
      <c r="A1284" s="6"/>
      <c r="B1284" s="6"/>
      <c r="H1284" s="13"/>
    </row>
    <row r="1285">
      <c r="A1285" s="6"/>
      <c r="B1285" s="6"/>
      <c r="H1285" s="13"/>
    </row>
    <row r="1286">
      <c r="A1286" s="6"/>
      <c r="B1286" s="6"/>
      <c r="H1286" s="13"/>
    </row>
    <row r="1287">
      <c r="A1287" s="6"/>
      <c r="B1287" s="6"/>
      <c r="H1287" s="13"/>
    </row>
    <row r="1288">
      <c r="A1288" s="6"/>
      <c r="B1288" s="6"/>
      <c r="H1288" s="13"/>
    </row>
    <row r="1289">
      <c r="A1289" s="6"/>
      <c r="B1289" s="6"/>
      <c r="H1289" s="13"/>
    </row>
    <row r="1290">
      <c r="A1290" s="6"/>
      <c r="B1290" s="6"/>
      <c r="H1290" s="13"/>
    </row>
    <row r="1291">
      <c r="A1291" s="6"/>
      <c r="B1291" s="6"/>
      <c r="H1291" s="13"/>
    </row>
    <row r="1292">
      <c r="A1292" s="6"/>
      <c r="B1292" s="6"/>
      <c r="H1292" s="13"/>
    </row>
    <row r="1293">
      <c r="A1293" s="6"/>
      <c r="B1293" s="6"/>
      <c r="H1293" s="13"/>
    </row>
    <row r="1294">
      <c r="A1294" s="6"/>
      <c r="B1294" s="6"/>
      <c r="H1294" s="13"/>
    </row>
    <row r="1295">
      <c r="A1295" s="6"/>
      <c r="B1295" s="6"/>
      <c r="H1295" s="13"/>
    </row>
    <row r="1296">
      <c r="A1296" s="6"/>
      <c r="B1296" s="6"/>
      <c r="H1296" s="13"/>
    </row>
    <row r="1297">
      <c r="A1297" s="6"/>
      <c r="B1297" s="6"/>
      <c r="H1297" s="13"/>
    </row>
    <row r="1298">
      <c r="A1298" s="6"/>
      <c r="B1298" s="6"/>
      <c r="H1298" s="13"/>
    </row>
    <row r="1299">
      <c r="A1299" s="6"/>
      <c r="B1299" s="6"/>
      <c r="H1299" s="13"/>
    </row>
    <row r="1300">
      <c r="A1300" s="6"/>
      <c r="B1300" s="6"/>
      <c r="H1300" s="13"/>
    </row>
    <row r="1301">
      <c r="A1301" s="6"/>
      <c r="B1301" s="6"/>
      <c r="H1301" s="13"/>
    </row>
    <row r="1302">
      <c r="A1302" s="6"/>
      <c r="B1302" s="6"/>
      <c r="H1302" s="13"/>
    </row>
    <row r="1303">
      <c r="A1303" s="6"/>
      <c r="B1303" s="6"/>
      <c r="H1303" s="13"/>
    </row>
    <row r="1304">
      <c r="A1304" s="6"/>
      <c r="B1304" s="6"/>
      <c r="H1304" s="13"/>
    </row>
    <row r="1305">
      <c r="A1305" s="6"/>
      <c r="B1305" s="6"/>
      <c r="H1305" s="13"/>
    </row>
    <row r="1306">
      <c r="A1306" s="6"/>
      <c r="B1306" s="6"/>
      <c r="H1306" s="13"/>
    </row>
    <row r="1307">
      <c r="A1307" s="6"/>
      <c r="B1307" s="6"/>
      <c r="H1307" s="13"/>
    </row>
    <row r="1308">
      <c r="A1308" s="6"/>
      <c r="B1308" s="6"/>
      <c r="H1308" s="13"/>
    </row>
    <row r="1309">
      <c r="A1309" s="6"/>
      <c r="B1309" s="6"/>
      <c r="H1309" s="13"/>
    </row>
    <row r="1310">
      <c r="A1310" s="6"/>
      <c r="B1310" s="6"/>
      <c r="H1310" s="13"/>
    </row>
    <row r="1311">
      <c r="A1311" s="6"/>
      <c r="B1311" s="6"/>
      <c r="H1311" s="13"/>
    </row>
    <row r="1312">
      <c r="A1312" s="6"/>
      <c r="B1312" s="6"/>
      <c r="H1312" s="13"/>
    </row>
    <row r="1313">
      <c r="A1313" s="6"/>
      <c r="B1313" s="6"/>
      <c r="H1313" s="13"/>
    </row>
    <row r="1314">
      <c r="A1314" s="6"/>
      <c r="B1314" s="6"/>
      <c r="H1314" s="13"/>
    </row>
    <row r="1315">
      <c r="A1315" s="6"/>
      <c r="B1315" s="6"/>
      <c r="H1315" s="13"/>
    </row>
    <row r="1316">
      <c r="A1316" s="6"/>
      <c r="B1316" s="6"/>
      <c r="H1316" s="13"/>
    </row>
    <row r="1317">
      <c r="A1317" s="6"/>
      <c r="B1317" s="6"/>
      <c r="H1317" s="13"/>
    </row>
    <row r="1318">
      <c r="A1318" s="6"/>
      <c r="B1318" s="6"/>
      <c r="H1318" s="13"/>
    </row>
    <row r="1319">
      <c r="A1319" s="6"/>
      <c r="B1319" s="6"/>
      <c r="H1319" s="13"/>
    </row>
    <row r="1320">
      <c r="A1320" s="6"/>
      <c r="B1320" s="6"/>
      <c r="H1320" s="13"/>
    </row>
    <row r="1321">
      <c r="A1321" s="6"/>
      <c r="B1321" s="6"/>
      <c r="H1321" s="13"/>
    </row>
    <row r="1322">
      <c r="A1322" s="6"/>
      <c r="B1322" s="6"/>
      <c r="H1322" s="13"/>
    </row>
    <row r="1323">
      <c r="A1323" s="6"/>
      <c r="B1323" s="6"/>
      <c r="H1323" s="13"/>
    </row>
    <row r="1324">
      <c r="A1324" s="6"/>
      <c r="B1324" s="6"/>
      <c r="H1324" s="13"/>
    </row>
    <row r="1325">
      <c r="A1325" s="6"/>
      <c r="B1325" s="6"/>
      <c r="H1325" s="13"/>
    </row>
    <row r="1326">
      <c r="A1326" s="6"/>
      <c r="B1326" s="6"/>
      <c r="H1326" s="13"/>
    </row>
    <row r="1327">
      <c r="A1327" s="6"/>
      <c r="B1327" s="6"/>
      <c r="H1327" s="13"/>
    </row>
    <row r="1328">
      <c r="A1328" s="6"/>
      <c r="B1328" s="6"/>
      <c r="H1328" s="13"/>
    </row>
    <row r="1329">
      <c r="A1329" s="6"/>
      <c r="B1329" s="6"/>
      <c r="H1329" s="13"/>
    </row>
    <row r="1330">
      <c r="A1330" s="6"/>
      <c r="B1330" s="6"/>
      <c r="H1330" s="13"/>
    </row>
    <row r="1331">
      <c r="A1331" s="6"/>
      <c r="B1331" s="6"/>
      <c r="H1331" s="13"/>
    </row>
    <row r="1332">
      <c r="A1332" s="6"/>
      <c r="B1332" s="6"/>
      <c r="H1332" s="13"/>
    </row>
    <row r="1333">
      <c r="A1333" s="6"/>
      <c r="B1333" s="6"/>
      <c r="H1333" s="13"/>
    </row>
    <row r="1334">
      <c r="A1334" s="6"/>
      <c r="B1334" s="6"/>
      <c r="H1334" s="13"/>
    </row>
    <row r="1335">
      <c r="A1335" s="6"/>
      <c r="B1335" s="6"/>
      <c r="H1335" s="13"/>
    </row>
    <row r="1336">
      <c r="A1336" s="6"/>
      <c r="B1336" s="6"/>
      <c r="H1336" s="13"/>
    </row>
    <row r="1337">
      <c r="A1337" s="6"/>
      <c r="B1337" s="6"/>
      <c r="H1337" s="13"/>
    </row>
    <row r="1338">
      <c r="A1338" s="6"/>
      <c r="B1338" s="6"/>
      <c r="H1338" s="13"/>
    </row>
    <row r="1339">
      <c r="A1339" s="6"/>
      <c r="B1339" s="6"/>
      <c r="H1339" s="13"/>
    </row>
    <row r="1340">
      <c r="A1340" s="6"/>
      <c r="B1340" s="6"/>
      <c r="H1340" s="13"/>
    </row>
    <row r="1341">
      <c r="A1341" s="6"/>
      <c r="B1341" s="6"/>
      <c r="H1341" s="13"/>
    </row>
    <row r="1342">
      <c r="A1342" s="6"/>
      <c r="B1342" s="6"/>
      <c r="H1342" s="13"/>
    </row>
    <row r="1343">
      <c r="A1343" s="6"/>
      <c r="B1343" s="6"/>
      <c r="H1343" s="13"/>
    </row>
    <row r="1344">
      <c r="A1344" s="6"/>
      <c r="B1344" s="6"/>
      <c r="H1344" s="13"/>
    </row>
    <row r="1345">
      <c r="A1345" s="6"/>
      <c r="B1345" s="6"/>
      <c r="H1345" s="13"/>
    </row>
    <row r="1346">
      <c r="A1346" s="6"/>
      <c r="B1346" s="6"/>
      <c r="H1346" s="13"/>
    </row>
    <row r="1347">
      <c r="A1347" s="6"/>
      <c r="B1347" s="6"/>
      <c r="H1347" s="13"/>
    </row>
    <row r="1348">
      <c r="A1348" s="6"/>
      <c r="B1348" s="6"/>
      <c r="H1348" s="13"/>
    </row>
    <row r="1349">
      <c r="A1349" s="6"/>
      <c r="B1349" s="6"/>
      <c r="H1349" s="13"/>
    </row>
    <row r="1350">
      <c r="A1350" s="6"/>
      <c r="B1350" s="6"/>
      <c r="H1350" s="13"/>
    </row>
    <row r="1351">
      <c r="A1351" s="6"/>
      <c r="B1351" s="6"/>
      <c r="H1351" s="13"/>
    </row>
    <row r="1352">
      <c r="A1352" s="6"/>
      <c r="B1352" s="6"/>
      <c r="H1352" s="13"/>
    </row>
    <row r="1353">
      <c r="A1353" s="6"/>
      <c r="B1353" s="6"/>
      <c r="H1353" s="13"/>
    </row>
    <row r="1354">
      <c r="A1354" s="6"/>
      <c r="B1354" s="6"/>
      <c r="H1354" s="13"/>
    </row>
    <row r="1355">
      <c r="A1355" s="6"/>
      <c r="B1355" s="6"/>
      <c r="H1355" s="13"/>
    </row>
    <row r="1356">
      <c r="A1356" s="6"/>
      <c r="B1356" s="6"/>
      <c r="H1356" s="13"/>
    </row>
    <row r="1357">
      <c r="A1357" s="6"/>
      <c r="B1357" s="6"/>
      <c r="H1357" s="13"/>
    </row>
    <row r="1358">
      <c r="A1358" s="6"/>
      <c r="B1358" s="6"/>
      <c r="H1358" s="13"/>
    </row>
    <row r="1359">
      <c r="A1359" s="6"/>
      <c r="B1359" s="6"/>
      <c r="H1359" s="13"/>
    </row>
    <row r="1360">
      <c r="A1360" s="6"/>
      <c r="B1360" s="6"/>
      <c r="H1360" s="13"/>
    </row>
    <row r="1361">
      <c r="A1361" s="6"/>
      <c r="B1361" s="6"/>
      <c r="H1361" s="13"/>
    </row>
    <row r="1362">
      <c r="A1362" s="6"/>
      <c r="B1362" s="6"/>
      <c r="H1362" s="13"/>
    </row>
    <row r="1363">
      <c r="A1363" s="6"/>
      <c r="B1363" s="6"/>
      <c r="H1363" s="13"/>
    </row>
    <row r="1364">
      <c r="A1364" s="6"/>
      <c r="B1364" s="6"/>
      <c r="H1364" s="13"/>
    </row>
    <row r="1365">
      <c r="A1365" s="6"/>
      <c r="B1365" s="6"/>
      <c r="H1365" s="13"/>
    </row>
    <row r="1366">
      <c r="A1366" s="6"/>
      <c r="B1366" s="6"/>
      <c r="H1366" s="13"/>
    </row>
    <row r="1367">
      <c r="A1367" s="6"/>
      <c r="B1367" s="6"/>
      <c r="H1367" s="13"/>
    </row>
    <row r="1368">
      <c r="A1368" s="6"/>
      <c r="B1368" s="6"/>
      <c r="H1368" s="13"/>
    </row>
    <row r="1369">
      <c r="A1369" s="6"/>
      <c r="B1369" s="6"/>
      <c r="H1369" s="13"/>
    </row>
    <row r="1370">
      <c r="A1370" s="6"/>
      <c r="B1370" s="6"/>
      <c r="H1370" s="13"/>
    </row>
    <row r="1371">
      <c r="A1371" s="6"/>
      <c r="B1371" s="6"/>
      <c r="H1371" s="13"/>
    </row>
    <row r="1372">
      <c r="A1372" s="6"/>
      <c r="B1372" s="6"/>
      <c r="H1372" s="13"/>
    </row>
    <row r="1373">
      <c r="A1373" s="6"/>
      <c r="B1373" s="6"/>
      <c r="H1373" s="13"/>
    </row>
    <row r="1374">
      <c r="A1374" s="6"/>
      <c r="B1374" s="6"/>
      <c r="H1374" s="13"/>
    </row>
    <row r="1375">
      <c r="A1375" s="6"/>
      <c r="B1375" s="6"/>
      <c r="H1375" s="13"/>
    </row>
    <row r="1376">
      <c r="A1376" s="6"/>
      <c r="B1376" s="6"/>
      <c r="H1376" s="13"/>
    </row>
    <row r="1377">
      <c r="A1377" s="6"/>
      <c r="B1377" s="6"/>
      <c r="H1377" s="13"/>
    </row>
    <row r="1378">
      <c r="A1378" s="6"/>
      <c r="B1378" s="6"/>
      <c r="H1378" s="13"/>
    </row>
    <row r="1379">
      <c r="A1379" s="6"/>
      <c r="B1379" s="6"/>
      <c r="H1379" s="13"/>
    </row>
    <row r="1380">
      <c r="A1380" s="6"/>
      <c r="B1380" s="6"/>
      <c r="H1380" s="13"/>
    </row>
    <row r="1381">
      <c r="A1381" s="6"/>
      <c r="B1381" s="6"/>
      <c r="H1381" s="13"/>
    </row>
    <row r="1382">
      <c r="A1382" s="6"/>
      <c r="B1382" s="6"/>
      <c r="H1382" s="13"/>
    </row>
    <row r="1383">
      <c r="A1383" s="6"/>
      <c r="B1383" s="6"/>
      <c r="H1383" s="13"/>
    </row>
    <row r="1384">
      <c r="A1384" s="6"/>
      <c r="B1384" s="6"/>
      <c r="H1384" s="13"/>
    </row>
    <row r="1385">
      <c r="A1385" s="6"/>
      <c r="B1385" s="6"/>
      <c r="H1385" s="13"/>
    </row>
    <row r="1386">
      <c r="A1386" s="6"/>
      <c r="B1386" s="6"/>
      <c r="H1386" s="13"/>
    </row>
    <row r="1387">
      <c r="A1387" s="6"/>
      <c r="B1387" s="6"/>
      <c r="H1387" s="13"/>
    </row>
    <row r="1388">
      <c r="A1388" s="6"/>
      <c r="B1388" s="6"/>
      <c r="H1388" s="13"/>
    </row>
    <row r="1389">
      <c r="A1389" s="6"/>
      <c r="B1389" s="6"/>
      <c r="H1389" s="13"/>
    </row>
    <row r="1390">
      <c r="A1390" s="6"/>
      <c r="B1390" s="6"/>
      <c r="H1390" s="13"/>
    </row>
    <row r="1391">
      <c r="A1391" s="6"/>
      <c r="B1391" s="6"/>
      <c r="H1391" s="13"/>
    </row>
    <row r="1392">
      <c r="A1392" s="6"/>
      <c r="B1392" s="6"/>
      <c r="H1392" s="13"/>
    </row>
    <row r="1393">
      <c r="A1393" s="6"/>
      <c r="B1393" s="6"/>
      <c r="H1393" s="13"/>
    </row>
    <row r="1394">
      <c r="A1394" s="6"/>
      <c r="B1394" s="6"/>
      <c r="H1394" s="13"/>
    </row>
    <row r="1395">
      <c r="A1395" s="6"/>
      <c r="B1395" s="6"/>
      <c r="H1395" s="13"/>
    </row>
    <row r="1396">
      <c r="A1396" s="6"/>
      <c r="B1396" s="6"/>
      <c r="H1396" s="13"/>
    </row>
    <row r="1397">
      <c r="A1397" s="6"/>
      <c r="B1397" s="6"/>
      <c r="H1397" s="13"/>
    </row>
    <row r="1398">
      <c r="A1398" s="6"/>
      <c r="B1398" s="6"/>
      <c r="H1398" s="13"/>
    </row>
    <row r="1399">
      <c r="A1399" s="6"/>
      <c r="B1399" s="6"/>
      <c r="H1399" s="13"/>
    </row>
    <row r="1400">
      <c r="A1400" s="6"/>
      <c r="B1400" s="6"/>
      <c r="H1400" s="13"/>
    </row>
    <row r="1401">
      <c r="A1401" s="6"/>
      <c r="B1401" s="6"/>
      <c r="H1401" s="13"/>
    </row>
    <row r="1402">
      <c r="A1402" s="6"/>
      <c r="B1402" s="6"/>
      <c r="H1402" s="13"/>
    </row>
    <row r="1403">
      <c r="A1403" s="6"/>
      <c r="B1403" s="6"/>
      <c r="H1403" s="13"/>
    </row>
    <row r="1404">
      <c r="A1404" s="6"/>
      <c r="B1404" s="6"/>
      <c r="H1404" s="13"/>
    </row>
    <row r="1405">
      <c r="A1405" s="6"/>
      <c r="B1405" s="6"/>
      <c r="H1405" s="13"/>
    </row>
    <row r="1406">
      <c r="A1406" s="6"/>
      <c r="B1406" s="6"/>
      <c r="H1406" s="13"/>
    </row>
    <row r="1407">
      <c r="A1407" s="6"/>
      <c r="B1407" s="6"/>
      <c r="H1407" s="13"/>
    </row>
    <row r="1408">
      <c r="A1408" s="6"/>
      <c r="B1408" s="6"/>
      <c r="H1408" s="13"/>
    </row>
    <row r="1409">
      <c r="A1409" s="6"/>
      <c r="B1409" s="6"/>
      <c r="H1409" s="13"/>
    </row>
    <row r="1410">
      <c r="A1410" s="6"/>
      <c r="B1410" s="6"/>
      <c r="H1410" s="13"/>
    </row>
    <row r="1411">
      <c r="A1411" s="6"/>
      <c r="B1411" s="6"/>
      <c r="H1411" s="13"/>
    </row>
    <row r="1412">
      <c r="A1412" s="6"/>
      <c r="B1412" s="6"/>
      <c r="H1412" s="13"/>
    </row>
    <row r="1413">
      <c r="A1413" s="6"/>
      <c r="B1413" s="6"/>
      <c r="H1413" s="13"/>
    </row>
    <row r="1414">
      <c r="A1414" s="6"/>
      <c r="B1414" s="6"/>
      <c r="H1414" s="13"/>
    </row>
    <row r="1415">
      <c r="A1415" s="6"/>
      <c r="B1415" s="6"/>
      <c r="H1415" s="13"/>
    </row>
    <row r="1416">
      <c r="A1416" s="6"/>
      <c r="B1416" s="6"/>
      <c r="H1416" s="13"/>
    </row>
    <row r="1417">
      <c r="A1417" s="6"/>
      <c r="B1417" s="6"/>
      <c r="H1417" s="13"/>
    </row>
    <row r="1418">
      <c r="A1418" s="6"/>
      <c r="B1418" s="6"/>
      <c r="H1418" s="13"/>
    </row>
    <row r="1419">
      <c r="A1419" s="6"/>
      <c r="B1419" s="6"/>
      <c r="H1419" s="13"/>
    </row>
    <row r="1420">
      <c r="A1420" s="6"/>
      <c r="B1420" s="6"/>
      <c r="H1420" s="13"/>
    </row>
    <row r="1421">
      <c r="A1421" s="6"/>
      <c r="B1421" s="6"/>
      <c r="H1421" s="13"/>
    </row>
    <row r="1422">
      <c r="A1422" s="6"/>
      <c r="B1422" s="6"/>
      <c r="H1422" s="13"/>
    </row>
    <row r="1423">
      <c r="A1423" s="6"/>
      <c r="B1423" s="6"/>
      <c r="H1423" s="13"/>
    </row>
    <row r="1424">
      <c r="A1424" s="6"/>
      <c r="B1424" s="6"/>
      <c r="H1424" s="13"/>
    </row>
    <row r="1425">
      <c r="A1425" s="6"/>
      <c r="B1425" s="6"/>
      <c r="H1425" s="13"/>
    </row>
    <row r="1426">
      <c r="A1426" s="6"/>
      <c r="B1426" s="6"/>
      <c r="H1426" s="13"/>
    </row>
    <row r="1427">
      <c r="A1427" s="6"/>
      <c r="B1427" s="6"/>
      <c r="H1427" s="13"/>
    </row>
    <row r="1428">
      <c r="A1428" s="6"/>
      <c r="B1428" s="6"/>
      <c r="H1428" s="13"/>
    </row>
    <row r="1429">
      <c r="A1429" s="6"/>
      <c r="B1429" s="6"/>
      <c r="H1429" s="13"/>
    </row>
    <row r="1430">
      <c r="A1430" s="6"/>
      <c r="B1430" s="6"/>
      <c r="H1430" s="13"/>
    </row>
    <row r="1431">
      <c r="A1431" s="6"/>
      <c r="B1431" s="6"/>
      <c r="H1431" s="13"/>
    </row>
    <row r="1432">
      <c r="A1432" s="6"/>
      <c r="B1432" s="6"/>
      <c r="H1432" s="13"/>
    </row>
    <row r="1433">
      <c r="A1433" s="6"/>
      <c r="B1433" s="6"/>
      <c r="H1433" s="13"/>
    </row>
    <row r="1434">
      <c r="A1434" s="6"/>
      <c r="B1434" s="6"/>
      <c r="H1434" s="13"/>
    </row>
    <row r="1435">
      <c r="A1435" s="6"/>
      <c r="B1435" s="6"/>
      <c r="H1435" s="13"/>
    </row>
    <row r="1436">
      <c r="A1436" s="6"/>
      <c r="B1436" s="6"/>
      <c r="H1436" s="13"/>
    </row>
    <row r="1437">
      <c r="A1437" s="6"/>
      <c r="B1437" s="6"/>
      <c r="H1437" s="13"/>
    </row>
    <row r="1438">
      <c r="A1438" s="6"/>
      <c r="B1438" s="6"/>
      <c r="H1438" s="13"/>
    </row>
    <row r="1439">
      <c r="A1439" s="6"/>
      <c r="B1439" s="6"/>
      <c r="H1439" s="13"/>
    </row>
    <row r="1440">
      <c r="A1440" s="6"/>
      <c r="B1440" s="6"/>
      <c r="H1440" s="13"/>
    </row>
    <row r="1441">
      <c r="A1441" s="6"/>
      <c r="B1441" s="6"/>
      <c r="H1441" s="13"/>
    </row>
    <row r="1442">
      <c r="A1442" s="6"/>
      <c r="B1442" s="6"/>
      <c r="H1442" s="13"/>
    </row>
    <row r="1443">
      <c r="A1443" s="6"/>
      <c r="B1443" s="6"/>
      <c r="H1443" s="13"/>
    </row>
    <row r="1444">
      <c r="A1444" s="6"/>
      <c r="B1444" s="6"/>
      <c r="H1444" s="13"/>
    </row>
    <row r="1445">
      <c r="A1445" s="6"/>
      <c r="B1445" s="6"/>
      <c r="H1445" s="13"/>
    </row>
    <row r="1446">
      <c r="A1446" s="6"/>
      <c r="B1446" s="6"/>
      <c r="H1446" s="13"/>
    </row>
    <row r="1447">
      <c r="A1447" s="6"/>
      <c r="B1447" s="6"/>
      <c r="H1447" s="13"/>
    </row>
    <row r="1448">
      <c r="A1448" s="6"/>
      <c r="B1448" s="6"/>
      <c r="H1448" s="13"/>
    </row>
    <row r="1449">
      <c r="A1449" s="6"/>
      <c r="B1449" s="6"/>
      <c r="H1449" s="13"/>
    </row>
    <row r="1450">
      <c r="A1450" s="6"/>
      <c r="B1450" s="6"/>
      <c r="H1450" s="13"/>
    </row>
    <row r="1451">
      <c r="A1451" s="6"/>
      <c r="B1451" s="6"/>
      <c r="H1451" s="13"/>
    </row>
    <row r="1452">
      <c r="A1452" s="6"/>
      <c r="B1452" s="6"/>
      <c r="H1452" s="13"/>
    </row>
    <row r="1453">
      <c r="A1453" s="6"/>
      <c r="B1453" s="6"/>
      <c r="H1453" s="13"/>
    </row>
    <row r="1454">
      <c r="A1454" s="6"/>
      <c r="B1454" s="6"/>
      <c r="H1454" s="13"/>
    </row>
    <row r="1455">
      <c r="A1455" s="6"/>
      <c r="B1455" s="6"/>
      <c r="H1455" s="13"/>
    </row>
    <row r="1456">
      <c r="A1456" s="6"/>
      <c r="B1456" s="6"/>
      <c r="H1456" s="13"/>
    </row>
    <row r="1457">
      <c r="A1457" s="6"/>
      <c r="B1457" s="6"/>
      <c r="H1457" s="13"/>
    </row>
    <row r="1458">
      <c r="A1458" s="6"/>
      <c r="B1458" s="6"/>
      <c r="H1458" s="13"/>
    </row>
    <row r="1459">
      <c r="A1459" s="6"/>
      <c r="B1459" s="6"/>
      <c r="H1459" s="13"/>
    </row>
    <row r="1460">
      <c r="A1460" s="6"/>
      <c r="B1460" s="6"/>
      <c r="H1460" s="13"/>
    </row>
    <row r="1461">
      <c r="A1461" s="6"/>
      <c r="B1461" s="6"/>
      <c r="H1461" s="13"/>
    </row>
    <row r="1462">
      <c r="A1462" s="6"/>
      <c r="B1462" s="6"/>
      <c r="H1462" s="13"/>
    </row>
    <row r="1463">
      <c r="A1463" s="6"/>
      <c r="B1463" s="6"/>
      <c r="H1463" s="13"/>
    </row>
    <row r="1464">
      <c r="A1464" s="6"/>
      <c r="B1464" s="6"/>
      <c r="H1464" s="13"/>
    </row>
    <row r="1465">
      <c r="A1465" s="6"/>
      <c r="B1465" s="6"/>
      <c r="H1465" s="13"/>
    </row>
    <row r="1466">
      <c r="A1466" s="6"/>
      <c r="B1466" s="6"/>
      <c r="H1466" s="13"/>
    </row>
    <row r="1467">
      <c r="A1467" s="6"/>
      <c r="B1467" s="6"/>
      <c r="H1467" s="13"/>
    </row>
    <row r="1468">
      <c r="A1468" s="6"/>
      <c r="B1468" s="6"/>
      <c r="H1468" s="13"/>
    </row>
    <row r="1469">
      <c r="A1469" s="6"/>
      <c r="B1469" s="6"/>
      <c r="H1469" s="13"/>
    </row>
    <row r="1470">
      <c r="A1470" s="6"/>
      <c r="B1470" s="6"/>
      <c r="H1470" s="13"/>
    </row>
    <row r="1471">
      <c r="A1471" s="6"/>
      <c r="B1471" s="6"/>
      <c r="H1471" s="13"/>
    </row>
    <row r="1472">
      <c r="A1472" s="6"/>
      <c r="B1472" s="6"/>
      <c r="H1472" s="13"/>
    </row>
    <row r="1473">
      <c r="A1473" s="6"/>
      <c r="B1473" s="6"/>
      <c r="H1473" s="13"/>
    </row>
    <row r="1474">
      <c r="A1474" s="6"/>
      <c r="B1474" s="6"/>
      <c r="H1474" s="13"/>
    </row>
    <row r="1475">
      <c r="A1475" s="6"/>
      <c r="B1475" s="6"/>
      <c r="H1475" s="13"/>
    </row>
    <row r="1476">
      <c r="A1476" s="6"/>
      <c r="B1476" s="6"/>
      <c r="H1476" s="13"/>
    </row>
    <row r="1477">
      <c r="A1477" s="6"/>
      <c r="B1477" s="6"/>
      <c r="H1477" s="13"/>
    </row>
    <row r="1478">
      <c r="A1478" s="6"/>
      <c r="B1478" s="6"/>
      <c r="H1478" s="13"/>
    </row>
    <row r="1479">
      <c r="A1479" s="6"/>
      <c r="B1479" s="6"/>
      <c r="H1479" s="13"/>
    </row>
    <row r="1480">
      <c r="A1480" s="6"/>
      <c r="B1480" s="6"/>
      <c r="H1480" s="13"/>
    </row>
    <row r="1481">
      <c r="A1481" s="6"/>
      <c r="B1481" s="6"/>
      <c r="H1481" s="13"/>
    </row>
    <row r="1482">
      <c r="A1482" s="6"/>
      <c r="B1482" s="6"/>
      <c r="H1482" s="13"/>
    </row>
    <row r="1483">
      <c r="A1483" s="6"/>
      <c r="B1483" s="6"/>
      <c r="H1483" s="13"/>
    </row>
    <row r="1484">
      <c r="A1484" s="6"/>
      <c r="B1484" s="6"/>
      <c r="H1484" s="13"/>
    </row>
    <row r="1485">
      <c r="A1485" s="6"/>
      <c r="B1485" s="6"/>
      <c r="H1485" s="13"/>
    </row>
    <row r="1486">
      <c r="A1486" s="6"/>
      <c r="B1486" s="6"/>
      <c r="H1486" s="13"/>
    </row>
    <row r="1487">
      <c r="A1487" s="6"/>
      <c r="B1487" s="6"/>
      <c r="H1487" s="13"/>
    </row>
    <row r="1488">
      <c r="A1488" s="6"/>
      <c r="B1488" s="6"/>
      <c r="H1488" s="13"/>
    </row>
    <row r="1489">
      <c r="A1489" s="6"/>
      <c r="B1489" s="6"/>
      <c r="H1489" s="13"/>
    </row>
    <row r="1490">
      <c r="A1490" s="6"/>
      <c r="B1490" s="6"/>
      <c r="H1490" s="13"/>
    </row>
    <row r="1491">
      <c r="A1491" s="6"/>
      <c r="B1491" s="6"/>
      <c r="H1491" s="13"/>
    </row>
    <row r="1492">
      <c r="A1492" s="6"/>
      <c r="B1492" s="6"/>
      <c r="H1492" s="13"/>
    </row>
    <row r="1493">
      <c r="A1493" s="6"/>
      <c r="B1493" s="6"/>
      <c r="H1493" s="13"/>
    </row>
    <row r="1494">
      <c r="A1494" s="6"/>
      <c r="B1494" s="6"/>
      <c r="H1494" s="13"/>
    </row>
    <row r="1495">
      <c r="A1495" s="6"/>
      <c r="B1495" s="6"/>
      <c r="H1495" s="13"/>
    </row>
    <row r="1496">
      <c r="A1496" s="6"/>
      <c r="B1496" s="6"/>
      <c r="H1496" s="13"/>
    </row>
    <row r="1497">
      <c r="A1497" s="6"/>
      <c r="B1497" s="6"/>
      <c r="H1497" s="13"/>
    </row>
    <row r="1498">
      <c r="A1498" s="6"/>
      <c r="B1498" s="6"/>
      <c r="H1498" s="13"/>
    </row>
    <row r="1499">
      <c r="A1499" s="6"/>
      <c r="B1499" s="6"/>
      <c r="H1499" s="13"/>
    </row>
    <row r="1500">
      <c r="A1500" s="6"/>
      <c r="B1500" s="6"/>
      <c r="H1500" s="13"/>
    </row>
    <row r="1501">
      <c r="A1501" s="6"/>
      <c r="B1501" s="6"/>
      <c r="H1501" s="13"/>
    </row>
    <row r="1502">
      <c r="A1502" s="6"/>
      <c r="B1502" s="6"/>
      <c r="H1502" s="13"/>
    </row>
    <row r="1503">
      <c r="A1503" s="6"/>
      <c r="B1503" s="6"/>
      <c r="H1503" s="13"/>
    </row>
    <row r="1504">
      <c r="A1504" s="6"/>
      <c r="B1504" s="6"/>
      <c r="H1504" s="13"/>
    </row>
    <row r="1505">
      <c r="A1505" s="6"/>
      <c r="B1505" s="6"/>
      <c r="H1505" s="13"/>
    </row>
    <row r="1506">
      <c r="A1506" s="6"/>
      <c r="B1506" s="6"/>
      <c r="H1506" s="13"/>
    </row>
    <row r="1507">
      <c r="A1507" s="6"/>
      <c r="B1507" s="6"/>
      <c r="H1507" s="13"/>
    </row>
    <row r="1508">
      <c r="A1508" s="6"/>
      <c r="B1508" s="6"/>
      <c r="H1508" s="13"/>
    </row>
    <row r="1509">
      <c r="A1509" s="6"/>
      <c r="B1509" s="6"/>
      <c r="H1509" s="13"/>
    </row>
    <row r="1510">
      <c r="A1510" s="6"/>
      <c r="B1510" s="6"/>
      <c r="H1510" s="13"/>
    </row>
    <row r="1511">
      <c r="A1511" s="6"/>
      <c r="B1511" s="6"/>
      <c r="H1511" s="13"/>
    </row>
    <row r="1512">
      <c r="A1512" s="6"/>
      <c r="B1512" s="6"/>
      <c r="H1512" s="13"/>
    </row>
    <row r="1513">
      <c r="A1513" s="6"/>
      <c r="B1513" s="6"/>
      <c r="H1513" s="13"/>
    </row>
    <row r="1514">
      <c r="A1514" s="6"/>
      <c r="B1514" s="6"/>
      <c r="H1514" s="13"/>
    </row>
    <row r="1515">
      <c r="A1515" s="6"/>
      <c r="B1515" s="6"/>
      <c r="H1515" s="13"/>
    </row>
    <row r="1516">
      <c r="A1516" s="6"/>
      <c r="B1516" s="6"/>
      <c r="H1516" s="13"/>
    </row>
    <row r="1517">
      <c r="A1517" s="6"/>
      <c r="B1517" s="6"/>
      <c r="H1517" s="13"/>
    </row>
    <row r="1518">
      <c r="A1518" s="6"/>
      <c r="B1518" s="6"/>
      <c r="H1518" s="13"/>
    </row>
    <row r="1519">
      <c r="A1519" s="6"/>
      <c r="B1519" s="6"/>
      <c r="H1519" s="13"/>
    </row>
    <row r="1520">
      <c r="A1520" s="6"/>
      <c r="B1520" s="6"/>
      <c r="H1520" s="13"/>
    </row>
    <row r="1521">
      <c r="A1521" s="6"/>
      <c r="B1521" s="6"/>
      <c r="H1521" s="13"/>
    </row>
    <row r="1522">
      <c r="A1522" s="6"/>
      <c r="B1522" s="6"/>
      <c r="H1522" s="13"/>
    </row>
    <row r="1523">
      <c r="A1523" s="6"/>
      <c r="B1523" s="6"/>
      <c r="H1523" s="13"/>
    </row>
    <row r="1524">
      <c r="A1524" s="6"/>
      <c r="B1524" s="6"/>
      <c r="H1524" s="13"/>
    </row>
    <row r="1525">
      <c r="A1525" s="6"/>
      <c r="B1525" s="6"/>
      <c r="H1525" s="13"/>
    </row>
    <row r="1526">
      <c r="A1526" s="6"/>
      <c r="B1526" s="6"/>
      <c r="H1526" s="13"/>
    </row>
    <row r="1527">
      <c r="A1527" s="6"/>
      <c r="B1527" s="6"/>
      <c r="H1527" s="13"/>
    </row>
    <row r="1528">
      <c r="A1528" s="6"/>
      <c r="B1528" s="6"/>
      <c r="H1528" s="13"/>
    </row>
    <row r="1529">
      <c r="A1529" s="6"/>
      <c r="B1529" s="6"/>
      <c r="H1529" s="13"/>
    </row>
    <row r="1530">
      <c r="A1530" s="6"/>
      <c r="B1530" s="6"/>
      <c r="H1530" s="13"/>
    </row>
    <row r="1531">
      <c r="A1531" s="6"/>
      <c r="B1531" s="6"/>
      <c r="H1531" s="13"/>
    </row>
    <row r="1532">
      <c r="A1532" s="6"/>
      <c r="B1532" s="6"/>
      <c r="H1532" s="13"/>
    </row>
    <row r="1533">
      <c r="A1533" s="6"/>
      <c r="B1533" s="6"/>
      <c r="H1533" s="13"/>
    </row>
    <row r="1534">
      <c r="A1534" s="6"/>
      <c r="B1534" s="6"/>
      <c r="H1534" s="13"/>
    </row>
    <row r="1535">
      <c r="A1535" s="6"/>
      <c r="B1535" s="6"/>
      <c r="H1535" s="13"/>
    </row>
    <row r="1536">
      <c r="A1536" s="6"/>
      <c r="B1536" s="6"/>
      <c r="H1536" s="13"/>
    </row>
    <row r="1537">
      <c r="A1537" s="6"/>
      <c r="B1537" s="6"/>
      <c r="H1537" s="13"/>
    </row>
    <row r="1538">
      <c r="A1538" s="6"/>
      <c r="B1538" s="6"/>
      <c r="H1538" s="13"/>
    </row>
    <row r="1539">
      <c r="A1539" s="6"/>
      <c r="B1539" s="6"/>
      <c r="H1539" s="13"/>
    </row>
    <row r="1540">
      <c r="A1540" s="6"/>
      <c r="B1540" s="6"/>
      <c r="H1540" s="13"/>
    </row>
    <row r="1541">
      <c r="A1541" s="6"/>
      <c r="B1541" s="6"/>
      <c r="H1541" s="13"/>
    </row>
    <row r="1542">
      <c r="A1542" s="6"/>
      <c r="B1542" s="6"/>
      <c r="H1542" s="13"/>
    </row>
    <row r="1543">
      <c r="A1543" s="6"/>
      <c r="B1543" s="6"/>
      <c r="H1543" s="13"/>
    </row>
    <row r="1544">
      <c r="A1544" s="6"/>
      <c r="B1544" s="6"/>
      <c r="H1544" s="13"/>
    </row>
    <row r="1545">
      <c r="A1545" s="6"/>
      <c r="B1545" s="6"/>
      <c r="H1545" s="13"/>
    </row>
    <row r="1546">
      <c r="A1546" s="6"/>
      <c r="B1546" s="6"/>
      <c r="H1546" s="13"/>
    </row>
    <row r="1547">
      <c r="A1547" s="6"/>
      <c r="B1547" s="6"/>
      <c r="H1547" s="13"/>
    </row>
    <row r="1548">
      <c r="A1548" s="6"/>
      <c r="B1548" s="6"/>
      <c r="H1548" s="13"/>
    </row>
    <row r="1549">
      <c r="A1549" s="6"/>
      <c r="B1549" s="6"/>
      <c r="H1549" s="13"/>
    </row>
    <row r="1550">
      <c r="A1550" s="6"/>
      <c r="B1550" s="6"/>
      <c r="H1550" s="13"/>
    </row>
    <row r="1551">
      <c r="A1551" s="6"/>
      <c r="B1551" s="6"/>
      <c r="H1551" s="13"/>
    </row>
    <row r="1552">
      <c r="A1552" s="6"/>
      <c r="B1552" s="6"/>
      <c r="H1552" s="13"/>
    </row>
    <row r="1553">
      <c r="A1553" s="6"/>
      <c r="B1553" s="6"/>
      <c r="H1553" s="13"/>
    </row>
    <row r="1554">
      <c r="A1554" s="6"/>
      <c r="B1554" s="6"/>
      <c r="H1554" s="13"/>
    </row>
    <row r="1555">
      <c r="A1555" s="6"/>
      <c r="B1555" s="6"/>
      <c r="H1555" s="13"/>
    </row>
    <row r="1556">
      <c r="A1556" s="6"/>
      <c r="B1556" s="6"/>
      <c r="H1556" s="13"/>
    </row>
    <row r="1557">
      <c r="A1557" s="6"/>
      <c r="B1557" s="6"/>
      <c r="H1557" s="13"/>
    </row>
    <row r="1558">
      <c r="A1558" s="6"/>
      <c r="B1558" s="6"/>
      <c r="H1558" s="13"/>
    </row>
    <row r="1559">
      <c r="A1559" s="6"/>
      <c r="B1559" s="6"/>
      <c r="H1559" s="13"/>
    </row>
    <row r="1560">
      <c r="A1560" s="6"/>
      <c r="B1560" s="6"/>
      <c r="H1560" s="13"/>
    </row>
    <row r="1561">
      <c r="A1561" s="6"/>
      <c r="B1561" s="6"/>
      <c r="H1561" s="13"/>
    </row>
    <row r="1562">
      <c r="A1562" s="6"/>
      <c r="B1562" s="6"/>
      <c r="H1562" s="13"/>
    </row>
    <row r="1563">
      <c r="A1563" s="6"/>
      <c r="B1563" s="6"/>
      <c r="H1563" s="13"/>
    </row>
    <row r="1564">
      <c r="A1564" s="6"/>
      <c r="B1564" s="6"/>
      <c r="H1564" s="13"/>
    </row>
    <row r="1565">
      <c r="A1565" s="6"/>
      <c r="B1565" s="6"/>
      <c r="H1565" s="13"/>
    </row>
    <row r="1566">
      <c r="A1566" s="6"/>
      <c r="B1566" s="6"/>
      <c r="H1566" s="13"/>
    </row>
    <row r="1567">
      <c r="A1567" s="6"/>
      <c r="B1567" s="6"/>
      <c r="H1567" s="13"/>
    </row>
    <row r="1568">
      <c r="A1568" s="6"/>
      <c r="B1568" s="6"/>
      <c r="H1568" s="13"/>
    </row>
    <row r="1569">
      <c r="A1569" s="6"/>
      <c r="B1569" s="6"/>
      <c r="H1569" s="13"/>
    </row>
    <row r="1570">
      <c r="A1570" s="6"/>
      <c r="B1570" s="6"/>
      <c r="H1570" s="13"/>
    </row>
    <row r="1571">
      <c r="A1571" s="6"/>
      <c r="B1571" s="6"/>
      <c r="H1571" s="13"/>
    </row>
    <row r="1572">
      <c r="A1572" s="6"/>
      <c r="B1572" s="6"/>
      <c r="H1572" s="13"/>
    </row>
    <row r="1573">
      <c r="A1573" s="6"/>
      <c r="B1573" s="6"/>
      <c r="H1573" s="13"/>
    </row>
    <row r="1574">
      <c r="A1574" s="6"/>
      <c r="B1574" s="6"/>
      <c r="H1574" s="13"/>
    </row>
    <row r="1575">
      <c r="A1575" s="6"/>
      <c r="B1575" s="6"/>
      <c r="H1575" s="13"/>
    </row>
    <row r="1576">
      <c r="A1576" s="6"/>
      <c r="B1576" s="6"/>
      <c r="H1576" s="13"/>
    </row>
    <row r="1577">
      <c r="A1577" s="6"/>
      <c r="B1577" s="6"/>
      <c r="H1577" s="13"/>
    </row>
    <row r="1578">
      <c r="A1578" s="6"/>
      <c r="B1578" s="6"/>
      <c r="H1578" s="13"/>
    </row>
    <row r="1579">
      <c r="A1579" s="6"/>
      <c r="B1579" s="6"/>
      <c r="H1579" s="13"/>
    </row>
    <row r="1580">
      <c r="A1580" s="6"/>
      <c r="B1580" s="6"/>
      <c r="H1580" s="13"/>
    </row>
    <row r="1581">
      <c r="A1581" s="6"/>
      <c r="B1581" s="6"/>
      <c r="H1581" s="13"/>
    </row>
    <row r="1582">
      <c r="A1582" s="6"/>
      <c r="B1582" s="6"/>
      <c r="H1582" s="13"/>
    </row>
    <row r="1583">
      <c r="A1583" s="6"/>
      <c r="B1583" s="6"/>
      <c r="H1583" s="13"/>
    </row>
    <row r="1584">
      <c r="A1584" s="6"/>
      <c r="B1584" s="6"/>
      <c r="H1584" s="13"/>
    </row>
    <row r="1585">
      <c r="A1585" s="6"/>
      <c r="B1585" s="6"/>
      <c r="H1585" s="13"/>
    </row>
    <row r="1586">
      <c r="A1586" s="6"/>
      <c r="B1586" s="6"/>
      <c r="H1586" s="13"/>
    </row>
    <row r="1587">
      <c r="A1587" s="6"/>
      <c r="B1587" s="6"/>
      <c r="H1587" s="13"/>
    </row>
    <row r="1588">
      <c r="A1588" s="6"/>
      <c r="B1588" s="6"/>
      <c r="H1588" s="13"/>
    </row>
    <row r="1589">
      <c r="A1589" s="6"/>
      <c r="B1589" s="6"/>
      <c r="H1589" s="13"/>
    </row>
    <row r="1590">
      <c r="A1590" s="6"/>
      <c r="B1590" s="6"/>
      <c r="H1590" s="13"/>
    </row>
    <row r="1591">
      <c r="A1591" s="6"/>
      <c r="B1591" s="6"/>
      <c r="H1591" s="13"/>
    </row>
    <row r="1592">
      <c r="A1592" s="6"/>
      <c r="B1592" s="6"/>
      <c r="H1592" s="13"/>
    </row>
    <row r="1593">
      <c r="A1593" s="6"/>
      <c r="B1593" s="6"/>
      <c r="H1593" s="13"/>
    </row>
    <row r="1594">
      <c r="A1594" s="6"/>
      <c r="B1594" s="6"/>
      <c r="H1594" s="13"/>
    </row>
    <row r="1595">
      <c r="A1595" s="6"/>
      <c r="B1595" s="6"/>
      <c r="H1595" s="13"/>
    </row>
    <row r="1596">
      <c r="A1596" s="6"/>
      <c r="B1596" s="6"/>
      <c r="H1596" s="13"/>
    </row>
    <row r="1597">
      <c r="A1597" s="6"/>
      <c r="B1597" s="6"/>
      <c r="H1597" s="13"/>
    </row>
    <row r="1598">
      <c r="A1598" s="6"/>
      <c r="B1598" s="6"/>
      <c r="H1598" s="13"/>
    </row>
    <row r="1599">
      <c r="A1599" s="6"/>
      <c r="B1599" s="6"/>
      <c r="H1599" s="13"/>
    </row>
    <row r="1600">
      <c r="A1600" s="6"/>
      <c r="B1600" s="6"/>
      <c r="H1600" s="13"/>
    </row>
    <row r="1601">
      <c r="A1601" s="6"/>
      <c r="B1601" s="6"/>
      <c r="H1601" s="13"/>
    </row>
    <row r="1602">
      <c r="A1602" s="6"/>
      <c r="B1602" s="6"/>
      <c r="H1602" s="13"/>
    </row>
    <row r="1603">
      <c r="A1603" s="6"/>
      <c r="B1603" s="6"/>
      <c r="H1603" s="13"/>
    </row>
    <row r="1604">
      <c r="A1604" s="6"/>
      <c r="B1604" s="6"/>
      <c r="H1604" s="13"/>
    </row>
    <row r="1605">
      <c r="A1605" s="6"/>
      <c r="B1605" s="6"/>
      <c r="H1605" s="13"/>
    </row>
    <row r="1606">
      <c r="A1606" s="6"/>
      <c r="B1606" s="6"/>
      <c r="H1606" s="13"/>
    </row>
    <row r="1607">
      <c r="A1607" s="6"/>
      <c r="B1607" s="6"/>
      <c r="H1607" s="13"/>
    </row>
    <row r="1608">
      <c r="A1608" s="6"/>
      <c r="B1608" s="6"/>
      <c r="H1608" s="13"/>
    </row>
    <row r="1609">
      <c r="A1609" s="6"/>
      <c r="B1609" s="6"/>
      <c r="H1609" s="13"/>
    </row>
    <row r="1610">
      <c r="A1610" s="6"/>
      <c r="B1610" s="6"/>
      <c r="H1610" s="13"/>
    </row>
    <row r="1611">
      <c r="A1611" s="6"/>
      <c r="B1611" s="6"/>
      <c r="H1611" s="13"/>
    </row>
    <row r="1612">
      <c r="A1612" s="6"/>
      <c r="B1612" s="6"/>
      <c r="H1612" s="13"/>
    </row>
    <row r="1613">
      <c r="A1613" s="6"/>
      <c r="B1613" s="6"/>
      <c r="H1613" s="13"/>
    </row>
    <row r="1614">
      <c r="A1614" s="6"/>
      <c r="B1614" s="6"/>
      <c r="H1614" s="13"/>
    </row>
    <row r="1615">
      <c r="A1615" s="6"/>
      <c r="B1615" s="6"/>
      <c r="H1615" s="13"/>
    </row>
    <row r="1616">
      <c r="A1616" s="6"/>
      <c r="B1616" s="6"/>
      <c r="H1616" s="13"/>
    </row>
    <row r="1617">
      <c r="A1617" s="6"/>
      <c r="B1617" s="6"/>
      <c r="H1617" s="13"/>
    </row>
    <row r="1618">
      <c r="A1618" s="6"/>
      <c r="B1618" s="6"/>
      <c r="H1618" s="13"/>
    </row>
    <row r="1619">
      <c r="A1619" s="6"/>
      <c r="B1619" s="6"/>
      <c r="H1619" s="13"/>
    </row>
    <row r="1620">
      <c r="A1620" s="6"/>
      <c r="B1620" s="6"/>
      <c r="H1620" s="13"/>
    </row>
    <row r="1621">
      <c r="A1621" s="6"/>
      <c r="B1621" s="6"/>
      <c r="H1621" s="13"/>
    </row>
    <row r="1622">
      <c r="A1622" s="6"/>
      <c r="B1622" s="6"/>
      <c r="H1622" s="13"/>
    </row>
    <row r="1623">
      <c r="A1623" s="6"/>
      <c r="B1623" s="6"/>
      <c r="H1623" s="13"/>
    </row>
    <row r="1624">
      <c r="A1624" s="6"/>
      <c r="B1624" s="6"/>
      <c r="H1624" s="13"/>
    </row>
    <row r="1625">
      <c r="A1625" s="6"/>
      <c r="B1625" s="6"/>
      <c r="H1625" s="13"/>
    </row>
    <row r="1626">
      <c r="A1626" s="6"/>
      <c r="B1626" s="6"/>
      <c r="H1626" s="13"/>
    </row>
    <row r="1627">
      <c r="A1627" s="6"/>
      <c r="B1627" s="6"/>
      <c r="H1627" s="13"/>
    </row>
    <row r="1628">
      <c r="A1628" s="6"/>
      <c r="B1628" s="6"/>
      <c r="H1628" s="13"/>
    </row>
    <row r="1629">
      <c r="A1629" s="6"/>
      <c r="B1629" s="6"/>
      <c r="H1629" s="13"/>
    </row>
    <row r="1630">
      <c r="A1630" s="6"/>
      <c r="B1630" s="6"/>
      <c r="H1630" s="13"/>
    </row>
    <row r="1631">
      <c r="A1631" s="6"/>
      <c r="B1631" s="6"/>
      <c r="H1631" s="13"/>
    </row>
    <row r="1632">
      <c r="A1632" s="6"/>
      <c r="B1632" s="6"/>
      <c r="H1632" s="13"/>
    </row>
    <row r="1633">
      <c r="A1633" s="6"/>
      <c r="B1633" s="6"/>
      <c r="H1633" s="13"/>
    </row>
    <row r="1634">
      <c r="A1634" s="6"/>
      <c r="B1634" s="6"/>
      <c r="H1634" s="13"/>
    </row>
    <row r="1635">
      <c r="A1635" s="6"/>
      <c r="B1635" s="6"/>
      <c r="H1635" s="13"/>
    </row>
    <row r="1636">
      <c r="A1636" s="6"/>
      <c r="B1636" s="6"/>
      <c r="H1636" s="13"/>
    </row>
    <row r="1637">
      <c r="A1637" s="6"/>
      <c r="B1637" s="6"/>
      <c r="H1637" s="13"/>
    </row>
    <row r="1638">
      <c r="A1638" s="6"/>
      <c r="B1638" s="6"/>
      <c r="H1638" s="13"/>
    </row>
    <row r="1639">
      <c r="A1639" s="6"/>
      <c r="B1639" s="6"/>
      <c r="H1639" s="13"/>
    </row>
    <row r="1640">
      <c r="A1640" s="6"/>
      <c r="B1640" s="6"/>
      <c r="H1640" s="13"/>
    </row>
    <row r="1641">
      <c r="A1641" s="6"/>
      <c r="B1641" s="6"/>
      <c r="H1641" s="13"/>
    </row>
    <row r="1642">
      <c r="A1642" s="6"/>
      <c r="B1642" s="6"/>
      <c r="H1642" s="13"/>
    </row>
    <row r="1643">
      <c r="A1643" s="6"/>
      <c r="B1643" s="6"/>
      <c r="H1643" s="13"/>
    </row>
    <row r="1644">
      <c r="A1644" s="6"/>
      <c r="B1644" s="6"/>
      <c r="H1644" s="13"/>
    </row>
    <row r="1645">
      <c r="A1645" s="6"/>
      <c r="B1645" s="6"/>
      <c r="H1645" s="13"/>
    </row>
    <row r="1646">
      <c r="A1646" s="6"/>
      <c r="B1646" s="6"/>
      <c r="H1646" s="13"/>
    </row>
    <row r="1647">
      <c r="A1647" s="6"/>
      <c r="B1647" s="6"/>
      <c r="H1647" s="13"/>
    </row>
    <row r="1648">
      <c r="A1648" s="6"/>
      <c r="B1648" s="6"/>
      <c r="H1648" s="13"/>
    </row>
    <row r="1649">
      <c r="A1649" s="6"/>
      <c r="B1649" s="6"/>
      <c r="H1649" s="13"/>
    </row>
    <row r="1650">
      <c r="A1650" s="6"/>
      <c r="B1650" s="6"/>
      <c r="H1650" s="13"/>
    </row>
    <row r="1651">
      <c r="A1651" s="6"/>
      <c r="B1651" s="6"/>
      <c r="H1651" s="13"/>
    </row>
    <row r="1652">
      <c r="A1652" s="6"/>
      <c r="B1652" s="6"/>
      <c r="H1652" s="13"/>
    </row>
    <row r="1653">
      <c r="A1653" s="6"/>
      <c r="B1653" s="6"/>
      <c r="H1653" s="13"/>
    </row>
    <row r="1654">
      <c r="A1654" s="6"/>
      <c r="B1654" s="6"/>
      <c r="H1654" s="13"/>
    </row>
    <row r="1655">
      <c r="A1655" s="6"/>
      <c r="B1655" s="6"/>
      <c r="H1655" s="13"/>
    </row>
    <row r="1656">
      <c r="A1656" s="6"/>
      <c r="B1656" s="6"/>
      <c r="H1656" s="13"/>
    </row>
    <row r="1657">
      <c r="A1657" s="6"/>
      <c r="B1657" s="6"/>
      <c r="H1657" s="13"/>
    </row>
    <row r="1658">
      <c r="A1658" s="6"/>
      <c r="B1658" s="6"/>
      <c r="H1658" s="13"/>
    </row>
    <row r="1659">
      <c r="A1659" s="6"/>
      <c r="B1659" s="6"/>
      <c r="H1659" s="13"/>
    </row>
    <row r="1660">
      <c r="A1660" s="6"/>
      <c r="B1660" s="6"/>
      <c r="H1660" s="13"/>
    </row>
    <row r="1661">
      <c r="A1661" s="6"/>
      <c r="B1661" s="6"/>
      <c r="H1661" s="13"/>
    </row>
    <row r="1662">
      <c r="A1662" s="6"/>
      <c r="B1662" s="6"/>
      <c r="H1662" s="13"/>
    </row>
    <row r="1663">
      <c r="A1663" s="6"/>
      <c r="B1663" s="6"/>
      <c r="H1663" s="13"/>
    </row>
    <row r="1664">
      <c r="A1664" s="6"/>
      <c r="B1664" s="6"/>
      <c r="H1664" s="13"/>
    </row>
    <row r="1665">
      <c r="A1665" s="6"/>
      <c r="B1665" s="6"/>
      <c r="H1665" s="13"/>
    </row>
    <row r="1666">
      <c r="A1666" s="6"/>
      <c r="B1666" s="6"/>
      <c r="H1666" s="13"/>
    </row>
    <row r="1667">
      <c r="A1667" s="6"/>
      <c r="B1667" s="6"/>
      <c r="H1667" s="13"/>
    </row>
    <row r="1668">
      <c r="A1668" s="6"/>
      <c r="B1668" s="6"/>
      <c r="H1668" s="13"/>
    </row>
    <row r="1669">
      <c r="A1669" s="6"/>
      <c r="B1669" s="6"/>
      <c r="H1669" s="13"/>
    </row>
    <row r="1670">
      <c r="A1670" s="6"/>
      <c r="B1670" s="6"/>
      <c r="H1670" s="13"/>
    </row>
    <row r="1671">
      <c r="A1671" s="6"/>
      <c r="B1671" s="6"/>
      <c r="H1671" s="13"/>
    </row>
    <row r="1672">
      <c r="A1672" s="6"/>
      <c r="B1672" s="6"/>
      <c r="H1672" s="13"/>
    </row>
    <row r="1673">
      <c r="A1673" s="6"/>
      <c r="B1673" s="6"/>
      <c r="H1673" s="13"/>
    </row>
    <row r="1674">
      <c r="A1674" s="6"/>
      <c r="B1674" s="6"/>
      <c r="H1674" s="13"/>
    </row>
    <row r="1675">
      <c r="A1675" s="6"/>
      <c r="B1675" s="6"/>
      <c r="H1675" s="13"/>
    </row>
    <row r="1676">
      <c r="A1676" s="6"/>
      <c r="B1676" s="6"/>
      <c r="H1676" s="13"/>
    </row>
    <row r="1677">
      <c r="A1677" s="6"/>
      <c r="B1677" s="6"/>
      <c r="H1677" s="13"/>
    </row>
    <row r="1678">
      <c r="A1678" s="6"/>
      <c r="B1678" s="6"/>
      <c r="H1678" s="13"/>
    </row>
    <row r="1679">
      <c r="A1679" s="6"/>
      <c r="B1679" s="6"/>
      <c r="H1679" s="13"/>
    </row>
    <row r="1680">
      <c r="A1680" s="6"/>
      <c r="B1680" s="6"/>
      <c r="H1680" s="13"/>
    </row>
    <row r="1681">
      <c r="A1681" s="6"/>
      <c r="B1681" s="6"/>
      <c r="H1681" s="13"/>
    </row>
    <row r="1682">
      <c r="A1682" s="6"/>
      <c r="B1682" s="6"/>
      <c r="H1682" s="13"/>
    </row>
    <row r="1683">
      <c r="A1683" s="6"/>
      <c r="B1683" s="6"/>
      <c r="H1683" s="13"/>
    </row>
    <row r="1684">
      <c r="A1684" s="6"/>
      <c r="B1684" s="6"/>
      <c r="H1684" s="13"/>
    </row>
    <row r="1685">
      <c r="A1685" s="6"/>
      <c r="B1685" s="6"/>
      <c r="H1685" s="13"/>
    </row>
    <row r="1686">
      <c r="A1686" s="6"/>
      <c r="B1686" s="6"/>
      <c r="H1686" s="13"/>
    </row>
    <row r="1687">
      <c r="A1687" s="6"/>
      <c r="B1687" s="6"/>
      <c r="H1687" s="13"/>
    </row>
    <row r="1688">
      <c r="A1688" s="6"/>
      <c r="B1688" s="6"/>
      <c r="H1688" s="13"/>
    </row>
    <row r="1689">
      <c r="A1689" s="6"/>
      <c r="B1689" s="6"/>
      <c r="H1689" s="13"/>
    </row>
    <row r="1690">
      <c r="A1690" s="6"/>
      <c r="B1690" s="6"/>
      <c r="H1690" s="13"/>
    </row>
    <row r="1691">
      <c r="A1691" s="6"/>
      <c r="B1691" s="6"/>
      <c r="H1691" s="13"/>
    </row>
    <row r="1692">
      <c r="A1692" s="6"/>
      <c r="B1692" s="6"/>
      <c r="H1692" s="13"/>
    </row>
    <row r="1693">
      <c r="A1693" s="6"/>
      <c r="B1693" s="6"/>
      <c r="H1693" s="13"/>
    </row>
    <row r="1694">
      <c r="A1694" s="6"/>
      <c r="B1694" s="6"/>
      <c r="H1694" s="13"/>
    </row>
    <row r="1695">
      <c r="A1695" s="6"/>
      <c r="B1695" s="6"/>
      <c r="H1695" s="13"/>
    </row>
    <row r="1696">
      <c r="A1696" s="6"/>
      <c r="B1696" s="6"/>
      <c r="H1696" s="13"/>
    </row>
    <row r="1697">
      <c r="A1697" s="6"/>
      <c r="B1697" s="6"/>
      <c r="H1697" s="13"/>
    </row>
    <row r="1698">
      <c r="A1698" s="6"/>
      <c r="B1698" s="6"/>
      <c r="H1698" s="13"/>
    </row>
    <row r="1699">
      <c r="A1699" s="6"/>
      <c r="B1699" s="6"/>
      <c r="H1699" s="13"/>
    </row>
    <row r="1700">
      <c r="A1700" s="6"/>
      <c r="B1700" s="6"/>
      <c r="H1700" s="13"/>
    </row>
    <row r="1701">
      <c r="A1701" s="6"/>
      <c r="B1701" s="6"/>
      <c r="H1701" s="13"/>
    </row>
    <row r="1702">
      <c r="A1702" s="6"/>
      <c r="B1702" s="6"/>
      <c r="H1702" s="13"/>
    </row>
    <row r="1703">
      <c r="A1703" s="6"/>
      <c r="B1703" s="6"/>
      <c r="H1703" s="13"/>
    </row>
    <row r="1704">
      <c r="A1704" s="6"/>
      <c r="B1704" s="6"/>
      <c r="H1704" s="13"/>
    </row>
    <row r="1705">
      <c r="A1705" s="6"/>
      <c r="B1705" s="6"/>
      <c r="H1705" s="13"/>
    </row>
    <row r="1706">
      <c r="A1706" s="6"/>
      <c r="B1706" s="6"/>
      <c r="H1706" s="13"/>
    </row>
    <row r="1707">
      <c r="A1707" s="6"/>
      <c r="B1707" s="6"/>
      <c r="H1707" s="13"/>
    </row>
    <row r="1708">
      <c r="A1708" s="6"/>
      <c r="B1708" s="6"/>
      <c r="H1708" s="13"/>
    </row>
    <row r="1709">
      <c r="A1709" s="6"/>
      <c r="B1709" s="6"/>
      <c r="H1709" s="13"/>
    </row>
    <row r="1710">
      <c r="A1710" s="6"/>
      <c r="B1710" s="6"/>
      <c r="H1710" s="13"/>
    </row>
    <row r="1711">
      <c r="A1711" s="6"/>
      <c r="B1711" s="6"/>
      <c r="H1711" s="13"/>
    </row>
    <row r="1712">
      <c r="A1712" s="6"/>
      <c r="B1712" s="6"/>
      <c r="H1712" s="13"/>
    </row>
    <row r="1713">
      <c r="A1713" s="6"/>
      <c r="B1713" s="6"/>
      <c r="H1713" s="13"/>
    </row>
    <row r="1714">
      <c r="A1714" s="6"/>
      <c r="B1714" s="6"/>
      <c r="H1714" s="13"/>
    </row>
    <row r="1715">
      <c r="A1715" s="6"/>
      <c r="B1715" s="6"/>
      <c r="H1715" s="13"/>
    </row>
    <row r="1716">
      <c r="A1716" s="6"/>
      <c r="B1716" s="6"/>
      <c r="H1716" s="13"/>
    </row>
    <row r="1717">
      <c r="A1717" s="6"/>
      <c r="B1717" s="6"/>
      <c r="H1717" s="13"/>
    </row>
    <row r="1718">
      <c r="A1718" s="6"/>
      <c r="B1718" s="6"/>
      <c r="H1718" s="13"/>
    </row>
    <row r="1719">
      <c r="A1719" s="6"/>
      <c r="B1719" s="6"/>
      <c r="H1719" s="13"/>
    </row>
    <row r="1720">
      <c r="A1720" s="6"/>
      <c r="B1720" s="6"/>
      <c r="H1720" s="13"/>
    </row>
    <row r="1721">
      <c r="A1721" s="6"/>
      <c r="B1721" s="6"/>
      <c r="H1721" s="13"/>
    </row>
    <row r="1722">
      <c r="A1722" s="6"/>
      <c r="B1722" s="6"/>
      <c r="H1722" s="13"/>
    </row>
    <row r="1723">
      <c r="A1723" s="6"/>
      <c r="B1723" s="6"/>
      <c r="H1723" s="13"/>
    </row>
    <row r="1724">
      <c r="A1724" s="6"/>
      <c r="B1724" s="6"/>
      <c r="H1724" s="13"/>
    </row>
    <row r="1725">
      <c r="A1725" s="6"/>
      <c r="B1725" s="6"/>
      <c r="H1725" s="13"/>
    </row>
    <row r="1726">
      <c r="A1726" s="6"/>
      <c r="B1726" s="6"/>
      <c r="H1726" s="13"/>
    </row>
    <row r="1727">
      <c r="A1727" s="6"/>
      <c r="B1727" s="6"/>
      <c r="H1727" s="13"/>
    </row>
    <row r="1728">
      <c r="A1728" s="6"/>
      <c r="B1728" s="6"/>
      <c r="H1728" s="13"/>
    </row>
    <row r="1729">
      <c r="A1729" s="6"/>
      <c r="B1729" s="6"/>
      <c r="H1729" s="13"/>
    </row>
    <row r="1730">
      <c r="A1730" s="6"/>
      <c r="B1730" s="6"/>
      <c r="H1730" s="13"/>
    </row>
    <row r="1731">
      <c r="A1731" s="6"/>
      <c r="B1731" s="6"/>
      <c r="H1731" s="13"/>
    </row>
    <row r="1732">
      <c r="A1732" s="6"/>
      <c r="B1732" s="6"/>
      <c r="H1732" s="13"/>
    </row>
    <row r="1733">
      <c r="A1733" s="6"/>
      <c r="B1733" s="6"/>
      <c r="H1733" s="13"/>
    </row>
    <row r="1734">
      <c r="A1734" s="6"/>
      <c r="B1734" s="6"/>
      <c r="H1734" s="13"/>
    </row>
    <row r="1735">
      <c r="A1735" s="6"/>
      <c r="B1735" s="6"/>
      <c r="H1735" s="13"/>
    </row>
    <row r="1736">
      <c r="A1736" s="6"/>
      <c r="B1736" s="6"/>
      <c r="H1736" s="13"/>
    </row>
    <row r="1737">
      <c r="A1737" s="6"/>
      <c r="B1737" s="6"/>
      <c r="H1737" s="13"/>
    </row>
    <row r="1738">
      <c r="A1738" s="6"/>
      <c r="B1738" s="6"/>
      <c r="H1738" s="13"/>
    </row>
    <row r="1739">
      <c r="A1739" s="6"/>
      <c r="B1739" s="6"/>
      <c r="H1739" s="13"/>
    </row>
    <row r="1740">
      <c r="A1740" s="6"/>
      <c r="B1740" s="6"/>
      <c r="H1740" s="13"/>
    </row>
    <row r="1741">
      <c r="A1741" s="6"/>
      <c r="B1741" s="6"/>
      <c r="H1741" s="13"/>
    </row>
    <row r="1742">
      <c r="A1742" s="6"/>
      <c r="B1742" s="6"/>
      <c r="H1742" s="13"/>
    </row>
    <row r="1743">
      <c r="A1743" s="6"/>
      <c r="B1743" s="6"/>
      <c r="H1743" s="13"/>
    </row>
    <row r="1744">
      <c r="A1744" s="6"/>
      <c r="B1744" s="6"/>
      <c r="H1744" s="13"/>
    </row>
    <row r="1745">
      <c r="A1745" s="6"/>
      <c r="B1745" s="6"/>
      <c r="H1745" s="13"/>
    </row>
    <row r="1746">
      <c r="A1746" s="6"/>
      <c r="B1746" s="6"/>
      <c r="H1746" s="13"/>
    </row>
    <row r="1747">
      <c r="A1747" s="6"/>
      <c r="B1747" s="6"/>
      <c r="H1747" s="13"/>
    </row>
    <row r="1748">
      <c r="A1748" s="6"/>
      <c r="B1748" s="6"/>
      <c r="H1748" s="13"/>
    </row>
    <row r="1749">
      <c r="A1749" s="6"/>
      <c r="B1749" s="6"/>
      <c r="H1749" s="13"/>
    </row>
    <row r="1750">
      <c r="A1750" s="6"/>
      <c r="B1750" s="6"/>
      <c r="H1750" s="13"/>
    </row>
    <row r="1751">
      <c r="A1751" s="6"/>
      <c r="B1751" s="6"/>
      <c r="H1751" s="13"/>
    </row>
    <row r="1752">
      <c r="A1752" s="6"/>
      <c r="B1752" s="6"/>
      <c r="H1752" s="13"/>
    </row>
    <row r="1753">
      <c r="A1753" s="6"/>
      <c r="B1753" s="6"/>
      <c r="H1753" s="13"/>
    </row>
    <row r="1754">
      <c r="A1754" s="6"/>
      <c r="B1754" s="6"/>
      <c r="H1754" s="13"/>
    </row>
    <row r="1755">
      <c r="A1755" s="6"/>
      <c r="B1755" s="6"/>
      <c r="H1755" s="13"/>
    </row>
    <row r="1756">
      <c r="A1756" s="6"/>
      <c r="B1756" s="6"/>
      <c r="H1756" s="13"/>
    </row>
    <row r="1757">
      <c r="A1757" s="6"/>
      <c r="B1757" s="6"/>
      <c r="H1757" s="13"/>
    </row>
    <row r="1758">
      <c r="A1758" s="6"/>
      <c r="B1758" s="6"/>
      <c r="H1758" s="13"/>
    </row>
    <row r="1759">
      <c r="A1759" s="6"/>
      <c r="B1759" s="6"/>
      <c r="H1759" s="13"/>
    </row>
    <row r="1760">
      <c r="A1760" s="6"/>
      <c r="B1760" s="6"/>
      <c r="H1760" s="13"/>
    </row>
    <row r="1761">
      <c r="A1761" s="6"/>
      <c r="B1761" s="6"/>
      <c r="H1761" s="13"/>
    </row>
    <row r="1762">
      <c r="A1762" s="6"/>
      <c r="B1762" s="6"/>
      <c r="H1762" s="13"/>
    </row>
    <row r="1763">
      <c r="A1763" s="6"/>
      <c r="B1763" s="6"/>
      <c r="H1763" s="13"/>
    </row>
    <row r="1764">
      <c r="A1764" s="6"/>
      <c r="B1764" s="6"/>
      <c r="H1764" s="13"/>
    </row>
    <row r="1765">
      <c r="A1765" s="6"/>
      <c r="B1765" s="6"/>
      <c r="H1765" s="13"/>
    </row>
    <row r="1766">
      <c r="A1766" s="6"/>
      <c r="B1766" s="6"/>
      <c r="H1766" s="13"/>
    </row>
    <row r="1767">
      <c r="A1767" s="6"/>
      <c r="B1767" s="6"/>
      <c r="H1767" s="13"/>
    </row>
    <row r="1768">
      <c r="A1768" s="6"/>
      <c r="B1768" s="6"/>
      <c r="H1768" s="13"/>
    </row>
    <row r="1769">
      <c r="A1769" s="6"/>
      <c r="B1769" s="6"/>
      <c r="H1769" s="13"/>
    </row>
    <row r="1770">
      <c r="A1770" s="6"/>
      <c r="B1770" s="6"/>
      <c r="H1770" s="13"/>
    </row>
    <row r="1771">
      <c r="A1771" s="6"/>
      <c r="B1771" s="6"/>
      <c r="H1771" s="13"/>
    </row>
    <row r="1772">
      <c r="A1772" s="6"/>
      <c r="B1772" s="6"/>
      <c r="H1772" s="13"/>
    </row>
    <row r="1773">
      <c r="A1773" s="6"/>
      <c r="B1773" s="6"/>
      <c r="H1773" s="13"/>
    </row>
    <row r="1774">
      <c r="A1774" s="6"/>
      <c r="B1774" s="6"/>
      <c r="H1774" s="13"/>
    </row>
    <row r="1775">
      <c r="A1775" s="6"/>
      <c r="B1775" s="6"/>
      <c r="H1775" s="13"/>
    </row>
    <row r="1776">
      <c r="A1776" s="6"/>
      <c r="B1776" s="6"/>
      <c r="H1776" s="13"/>
    </row>
    <row r="1777">
      <c r="A1777" s="6"/>
      <c r="B1777" s="6"/>
      <c r="H1777" s="13"/>
    </row>
    <row r="1778">
      <c r="A1778" s="6"/>
      <c r="B1778" s="6"/>
      <c r="H1778" s="13"/>
    </row>
    <row r="1779">
      <c r="A1779" s="6"/>
      <c r="B1779" s="6"/>
      <c r="H1779" s="13"/>
    </row>
    <row r="1780">
      <c r="A1780" s="6"/>
      <c r="B1780" s="6"/>
      <c r="H1780" s="13"/>
    </row>
    <row r="1781">
      <c r="A1781" s="6"/>
      <c r="B1781" s="6"/>
      <c r="H1781" s="13"/>
    </row>
    <row r="1782">
      <c r="A1782" s="6"/>
      <c r="B1782" s="6"/>
      <c r="H1782" s="13"/>
    </row>
    <row r="1783">
      <c r="A1783" s="6"/>
      <c r="B1783" s="6"/>
      <c r="H1783" s="13"/>
    </row>
    <row r="1784">
      <c r="A1784" s="6"/>
      <c r="B1784" s="6"/>
      <c r="H1784" s="13"/>
    </row>
    <row r="1785">
      <c r="A1785" s="6"/>
      <c r="B1785" s="6"/>
      <c r="H1785" s="13"/>
    </row>
    <row r="1786">
      <c r="A1786" s="6"/>
      <c r="B1786" s="6"/>
      <c r="H1786" s="13"/>
    </row>
    <row r="1787">
      <c r="A1787" s="6"/>
      <c r="B1787" s="6"/>
      <c r="H1787" s="13"/>
    </row>
    <row r="1788">
      <c r="A1788" s="6"/>
      <c r="B1788" s="6"/>
      <c r="H1788" s="13"/>
    </row>
    <row r="1789">
      <c r="A1789" s="6"/>
      <c r="B1789" s="6"/>
      <c r="H1789" s="13"/>
    </row>
    <row r="1790">
      <c r="A1790" s="6"/>
      <c r="B1790" s="6"/>
      <c r="H1790" s="13"/>
    </row>
    <row r="1791">
      <c r="A1791" s="6"/>
      <c r="B1791" s="6"/>
      <c r="H1791" s="13"/>
    </row>
    <row r="1792">
      <c r="A1792" s="6"/>
      <c r="B1792" s="6"/>
      <c r="H1792" s="13"/>
    </row>
    <row r="1793">
      <c r="A1793" s="6"/>
      <c r="B1793" s="6"/>
      <c r="H1793" s="13"/>
    </row>
    <row r="1794">
      <c r="A1794" s="6"/>
      <c r="B1794" s="6"/>
      <c r="H1794" s="13"/>
    </row>
    <row r="1795">
      <c r="A1795" s="6"/>
      <c r="B1795" s="6"/>
      <c r="H1795" s="13"/>
    </row>
    <row r="1796">
      <c r="A1796" s="6"/>
      <c r="B1796" s="6"/>
      <c r="H1796" s="13"/>
    </row>
    <row r="1797">
      <c r="A1797" s="6"/>
      <c r="B1797" s="6"/>
      <c r="H1797" s="13"/>
    </row>
    <row r="1798">
      <c r="A1798" s="6"/>
      <c r="B1798" s="6"/>
      <c r="H1798" s="13"/>
    </row>
    <row r="1799">
      <c r="A1799" s="6"/>
      <c r="B1799" s="6"/>
      <c r="H1799" s="13"/>
    </row>
    <row r="1800">
      <c r="A1800" s="6"/>
      <c r="B1800" s="6"/>
      <c r="H1800" s="13"/>
    </row>
    <row r="1801">
      <c r="A1801" s="6"/>
      <c r="B1801" s="6"/>
      <c r="H1801" s="13"/>
    </row>
    <row r="1802">
      <c r="A1802" s="6"/>
      <c r="B1802" s="6"/>
      <c r="H1802" s="13"/>
    </row>
    <row r="1803">
      <c r="A1803" s="6"/>
      <c r="B1803" s="6"/>
      <c r="H1803" s="13"/>
    </row>
    <row r="1804">
      <c r="A1804" s="6"/>
      <c r="B1804" s="6"/>
      <c r="H1804" s="13"/>
    </row>
    <row r="1805">
      <c r="A1805" s="6"/>
      <c r="B1805" s="6"/>
      <c r="H1805" s="13"/>
    </row>
    <row r="1806">
      <c r="A1806" s="6"/>
      <c r="B1806" s="6"/>
      <c r="H1806" s="13"/>
    </row>
    <row r="1807">
      <c r="A1807" s="6"/>
      <c r="B1807" s="6"/>
      <c r="H1807" s="13"/>
    </row>
    <row r="1808">
      <c r="A1808" s="6"/>
      <c r="B1808" s="6"/>
      <c r="H1808" s="13"/>
    </row>
    <row r="1809">
      <c r="A1809" s="6"/>
      <c r="B1809" s="6"/>
      <c r="H1809" s="13"/>
    </row>
    <row r="1810">
      <c r="A1810" s="6"/>
      <c r="B1810" s="6"/>
      <c r="H1810" s="13"/>
    </row>
    <row r="1811">
      <c r="A1811" s="6"/>
      <c r="B1811" s="6"/>
      <c r="H1811" s="13"/>
    </row>
    <row r="1812">
      <c r="A1812" s="6"/>
      <c r="B1812" s="6"/>
      <c r="H1812" s="13"/>
    </row>
    <row r="1813">
      <c r="A1813" s="6"/>
      <c r="B1813" s="6"/>
      <c r="H1813" s="13"/>
    </row>
    <row r="1814">
      <c r="A1814" s="6"/>
      <c r="B1814" s="6"/>
      <c r="H1814" s="13"/>
    </row>
    <row r="1815">
      <c r="A1815" s="6"/>
      <c r="B1815" s="6"/>
      <c r="H1815" s="13"/>
    </row>
    <row r="1816">
      <c r="A1816" s="6"/>
      <c r="B1816" s="6"/>
      <c r="H1816" s="13"/>
    </row>
    <row r="1817">
      <c r="A1817" s="6"/>
      <c r="B1817" s="6"/>
      <c r="H1817" s="13"/>
    </row>
    <row r="1818">
      <c r="A1818" s="6"/>
      <c r="B1818" s="6"/>
      <c r="H1818" s="13"/>
    </row>
    <row r="1819">
      <c r="A1819" s="6"/>
      <c r="B1819" s="6"/>
      <c r="H1819" s="13"/>
    </row>
    <row r="1820">
      <c r="A1820" s="6"/>
      <c r="B1820" s="6"/>
      <c r="H1820" s="13"/>
    </row>
    <row r="1821">
      <c r="A1821" s="6"/>
      <c r="B1821" s="6"/>
      <c r="H1821" s="13"/>
    </row>
    <row r="1822">
      <c r="A1822" s="6"/>
      <c r="B1822" s="6"/>
      <c r="H1822" s="13"/>
    </row>
    <row r="1823">
      <c r="A1823" s="6"/>
      <c r="B1823" s="6"/>
      <c r="H1823" s="13"/>
    </row>
    <row r="1824">
      <c r="A1824" s="6"/>
      <c r="B1824" s="6"/>
      <c r="H1824" s="13"/>
    </row>
    <row r="1825">
      <c r="A1825" s="6"/>
      <c r="B1825" s="6"/>
      <c r="H1825" s="13"/>
    </row>
    <row r="1826">
      <c r="A1826" s="6"/>
      <c r="B1826" s="6"/>
      <c r="H1826" s="13"/>
    </row>
    <row r="1827">
      <c r="A1827" s="6"/>
      <c r="B1827" s="6"/>
      <c r="H1827" s="13"/>
    </row>
    <row r="1828">
      <c r="A1828" s="6"/>
      <c r="B1828" s="6"/>
      <c r="H1828" s="13"/>
    </row>
    <row r="1829">
      <c r="A1829" s="6"/>
      <c r="B1829" s="6"/>
      <c r="H1829" s="13"/>
    </row>
    <row r="1830">
      <c r="A1830" s="6"/>
      <c r="B1830" s="6"/>
      <c r="H1830" s="13"/>
    </row>
    <row r="1831">
      <c r="A1831" s="6"/>
      <c r="B1831" s="6"/>
      <c r="H1831" s="13"/>
    </row>
    <row r="1832">
      <c r="A1832" s="6"/>
      <c r="B1832" s="6"/>
      <c r="H1832" s="13"/>
    </row>
    <row r="1833">
      <c r="A1833" s="6"/>
      <c r="B1833" s="6"/>
      <c r="H1833" s="13"/>
    </row>
    <row r="1834">
      <c r="A1834" s="6"/>
      <c r="B1834" s="6"/>
      <c r="H1834" s="13"/>
    </row>
    <row r="1835">
      <c r="A1835" s="6"/>
      <c r="B1835" s="6"/>
      <c r="H1835" s="13"/>
    </row>
    <row r="1836">
      <c r="A1836" s="6"/>
      <c r="B1836" s="6"/>
      <c r="H1836" s="13"/>
    </row>
    <row r="1837">
      <c r="A1837" s="6"/>
      <c r="B1837" s="6"/>
      <c r="H1837" s="13"/>
    </row>
    <row r="1838">
      <c r="A1838" s="6"/>
      <c r="B1838" s="6"/>
      <c r="H1838" s="13"/>
    </row>
    <row r="1839">
      <c r="A1839" s="6"/>
      <c r="B1839" s="6"/>
      <c r="H1839" s="13"/>
    </row>
    <row r="1840">
      <c r="A1840" s="6"/>
      <c r="B1840" s="6"/>
      <c r="H1840" s="13"/>
    </row>
    <row r="1841">
      <c r="A1841" s="6"/>
      <c r="B1841" s="6"/>
      <c r="H1841" s="13"/>
    </row>
    <row r="1842">
      <c r="A1842" s="6"/>
      <c r="B1842" s="6"/>
      <c r="H1842" s="13"/>
    </row>
    <row r="1843">
      <c r="A1843" s="6"/>
      <c r="B1843" s="6"/>
      <c r="H1843" s="13"/>
    </row>
    <row r="1844">
      <c r="A1844" s="6"/>
      <c r="B1844" s="6"/>
      <c r="H1844" s="13"/>
    </row>
    <row r="1845">
      <c r="A1845" s="6"/>
      <c r="B1845" s="6"/>
      <c r="H1845" s="13"/>
    </row>
    <row r="1846">
      <c r="A1846" s="6"/>
      <c r="B1846" s="6"/>
      <c r="H1846" s="13"/>
    </row>
    <row r="1847">
      <c r="A1847" s="6"/>
      <c r="B1847" s="6"/>
      <c r="H1847" s="13"/>
    </row>
    <row r="1848">
      <c r="A1848" s="6"/>
      <c r="B1848" s="6"/>
      <c r="H1848" s="13"/>
    </row>
    <row r="1849">
      <c r="A1849" s="6"/>
      <c r="B1849" s="6"/>
      <c r="H1849" s="13"/>
    </row>
    <row r="1850">
      <c r="A1850" s="6"/>
      <c r="B1850" s="6"/>
      <c r="H1850" s="13"/>
    </row>
    <row r="1851">
      <c r="A1851" s="6"/>
      <c r="B1851" s="6"/>
      <c r="H1851" s="13"/>
    </row>
    <row r="1852">
      <c r="A1852" s="6"/>
      <c r="B1852" s="6"/>
      <c r="H1852" s="13"/>
    </row>
    <row r="1853">
      <c r="A1853" s="6"/>
      <c r="B1853" s="6"/>
      <c r="H1853" s="13"/>
    </row>
    <row r="1854">
      <c r="A1854" s="6"/>
      <c r="B1854" s="6"/>
      <c r="H1854" s="13"/>
    </row>
    <row r="1855">
      <c r="A1855" s="6"/>
      <c r="B1855" s="6"/>
      <c r="H1855" s="13"/>
    </row>
    <row r="1856">
      <c r="A1856" s="6"/>
      <c r="B1856" s="6"/>
      <c r="H1856" s="13"/>
    </row>
    <row r="1857">
      <c r="A1857" s="6"/>
      <c r="B1857" s="6"/>
      <c r="H1857" s="13"/>
    </row>
    <row r="1858">
      <c r="A1858" s="6"/>
      <c r="B1858" s="6"/>
      <c r="H1858" s="13"/>
    </row>
    <row r="1859">
      <c r="A1859" s="6"/>
      <c r="B1859" s="6"/>
      <c r="H1859" s="13"/>
    </row>
    <row r="1860">
      <c r="A1860" s="6"/>
      <c r="B1860" s="6"/>
      <c r="H1860" s="13"/>
    </row>
    <row r="1861">
      <c r="A1861" s="6"/>
      <c r="B1861" s="6"/>
      <c r="H1861" s="13"/>
    </row>
    <row r="1862">
      <c r="A1862" s="6"/>
      <c r="B1862" s="6"/>
      <c r="H1862" s="13"/>
    </row>
    <row r="1863">
      <c r="A1863" s="6"/>
      <c r="B1863" s="6"/>
      <c r="H1863" s="13"/>
    </row>
    <row r="1864">
      <c r="A1864" s="6"/>
      <c r="B1864" s="6"/>
      <c r="H1864" s="13"/>
    </row>
    <row r="1865">
      <c r="A1865" s="6"/>
      <c r="B1865" s="6"/>
      <c r="H1865" s="13"/>
    </row>
    <row r="1866">
      <c r="A1866" s="6"/>
      <c r="B1866" s="6"/>
      <c r="H1866" s="13"/>
    </row>
    <row r="1867">
      <c r="A1867" s="6"/>
      <c r="B1867" s="6"/>
      <c r="H1867" s="13"/>
    </row>
    <row r="1868">
      <c r="A1868" s="6"/>
      <c r="B1868" s="6"/>
      <c r="H1868" s="13"/>
    </row>
    <row r="1869">
      <c r="A1869" s="6"/>
      <c r="B1869" s="6"/>
      <c r="H1869" s="13"/>
    </row>
    <row r="1870">
      <c r="A1870" s="6"/>
      <c r="B1870" s="6"/>
      <c r="H1870" s="13"/>
    </row>
    <row r="1871">
      <c r="A1871" s="6"/>
      <c r="B1871" s="6"/>
      <c r="H1871" s="13"/>
    </row>
    <row r="1872">
      <c r="A1872" s="6"/>
      <c r="B1872" s="6"/>
      <c r="H1872" s="13"/>
    </row>
    <row r="1873">
      <c r="A1873" s="6"/>
      <c r="B1873" s="6"/>
      <c r="H1873" s="13"/>
    </row>
    <row r="1874">
      <c r="A1874" s="6"/>
      <c r="B1874" s="6"/>
      <c r="H1874" s="13"/>
    </row>
    <row r="1875">
      <c r="A1875" s="6"/>
      <c r="B1875" s="6"/>
      <c r="H1875" s="13"/>
    </row>
    <row r="1876">
      <c r="A1876" s="6"/>
      <c r="B1876" s="6"/>
      <c r="H1876" s="13"/>
    </row>
    <row r="1877">
      <c r="A1877" s="6"/>
      <c r="B1877" s="6"/>
      <c r="H1877" s="13"/>
    </row>
    <row r="1878">
      <c r="A1878" s="6"/>
      <c r="B1878" s="6"/>
      <c r="H1878" s="13"/>
    </row>
    <row r="1879">
      <c r="A1879" s="6"/>
      <c r="B1879" s="6"/>
      <c r="H1879" s="13"/>
    </row>
    <row r="1880">
      <c r="A1880" s="6"/>
      <c r="B1880" s="6"/>
      <c r="H1880" s="13"/>
    </row>
    <row r="1881">
      <c r="A1881" s="6"/>
      <c r="B1881" s="6"/>
      <c r="H1881" s="13"/>
    </row>
    <row r="1882">
      <c r="A1882" s="6"/>
      <c r="B1882" s="6"/>
      <c r="H1882" s="13"/>
    </row>
    <row r="1883">
      <c r="A1883" s="6"/>
      <c r="B1883" s="6"/>
      <c r="H1883" s="13"/>
    </row>
    <row r="1884">
      <c r="A1884" s="6"/>
      <c r="B1884" s="6"/>
      <c r="H1884" s="13"/>
    </row>
    <row r="1885">
      <c r="A1885" s="6"/>
      <c r="B1885" s="6"/>
      <c r="H1885" s="13"/>
    </row>
    <row r="1886">
      <c r="A1886" s="6"/>
      <c r="B1886" s="6"/>
      <c r="H1886" s="13"/>
    </row>
    <row r="1887">
      <c r="A1887" s="6"/>
      <c r="B1887" s="6"/>
      <c r="H1887" s="13"/>
    </row>
    <row r="1888">
      <c r="A1888" s="6"/>
      <c r="B1888" s="6"/>
      <c r="H1888" s="13"/>
    </row>
    <row r="1889">
      <c r="A1889" s="6"/>
      <c r="B1889" s="6"/>
      <c r="H1889" s="13"/>
    </row>
    <row r="1890">
      <c r="A1890" s="6"/>
      <c r="B1890" s="6"/>
      <c r="H1890" s="13"/>
    </row>
    <row r="1891">
      <c r="A1891" s="6"/>
      <c r="B1891" s="6"/>
      <c r="H1891" s="13"/>
    </row>
    <row r="1892">
      <c r="A1892" s="6"/>
      <c r="B1892" s="6"/>
      <c r="H1892" s="13"/>
    </row>
    <row r="1893">
      <c r="A1893" s="6"/>
      <c r="B1893" s="6"/>
      <c r="H1893" s="13"/>
    </row>
    <row r="1894">
      <c r="A1894" s="6"/>
      <c r="B1894" s="6"/>
      <c r="H1894" s="13"/>
    </row>
    <row r="1895">
      <c r="A1895" s="6"/>
      <c r="B1895" s="6"/>
      <c r="H1895" s="13"/>
    </row>
    <row r="1896">
      <c r="A1896" s="6"/>
      <c r="B1896" s="6"/>
      <c r="H1896" s="13"/>
    </row>
    <row r="1897">
      <c r="A1897" s="6"/>
      <c r="B1897" s="6"/>
      <c r="H1897" s="13"/>
    </row>
    <row r="1898">
      <c r="A1898" s="6"/>
      <c r="B1898" s="6"/>
      <c r="H1898" s="13"/>
    </row>
    <row r="1899">
      <c r="A1899" s="6"/>
      <c r="B1899" s="6"/>
      <c r="H1899" s="13"/>
    </row>
    <row r="1900">
      <c r="A1900" s="6"/>
      <c r="B1900" s="6"/>
      <c r="H1900" s="13"/>
    </row>
    <row r="1901">
      <c r="A1901" s="6"/>
      <c r="B1901" s="6"/>
      <c r="H1901" s="13"/>
    </row>
    <row r="1902">
      <c r="A1902" s="6"/>
      <c r="B1902" s="6"/>
      <c r="H1902" s="13"/>
    </row>
    <row r="1903">
      <c r="A1903" s="6"/>
      <c r="B1903" s="6"/>
      <c r="H1903" s="13"/>
    </row>
    <row r="1904">
      <c r="A1904" s="6"/>
      <c r="B1904" s="6"/>
      <c r="H1904" s="13"/>
    </row>
    <row r="1905">
      <c r="A1905" s="6"/>
      <c r="B1905" s="6"/>
      <c r="H1905" s="13"/>
    </row>
    <row r="1906">
      <c r="A1906" s="6"/>
      <c r="B1906" s="6"/>
      <c r="H1906" s="13"/>
    </row>
    <row r="1907">
      <c r="A1907" s="6"/>
      <c r="B1907" s="6"/>
      <c r="H1907" s="13"/>
    </row>
    <row r="1908">
      <c r="A1908" s="6"/>
      <c r="B1908" s="6"/>
      <c r="H1908" s="13"/>
    </row>
    <row r="1909">
      <c r="A1909" s="6"/>
      <c r="B1909" s="6"/>
      <c r="H1909" s="13"/>
    </row>
    <row r="1910">
      <c r="A1910" s="6"/>
      <c r="B1910" s="6"/>
      <c r="H1910" s="13"/>
    </row>
    <row r="1911">
      <c r="A1911" s="6"/>
      <c r="B1911" s="6"/>
      <c r="H1911" s="13"/>
    </row>
    <row r="1912">
      <c r="A1912" s="6"/>
      <c r="B1912" s="6"/>
      <c r="H1912" s="13"/>
    </row>
    <row r="1913">
      <c r="A1913" s="6"/>
      <c r="B1913" s="6"/>
      <c r="H1913" s="13"/>
    </row>
    <row r="1914">
      <c r="A1914" s="6"/>
      <c r="B1914" s="6"/>
      <c r="H1914" s="13"/>
    </row>
    <row r="1915">
      <c r="A1915" s="6"/>
      <c r="B1915" s="6"/>
      <c r="H1915" s="13"/>
    </row>
    <row r="1916">
      <c r="A1916" s="6"/>
      <c r="B1916" s="6"/>
      <c r="H1916" s="13"/>
    </row>
    <row r="1917">
      <c r="A1917" s="6"/>
      <c r="B1917" s="6"/>
      <c r="H1917" s="13"/>
    </row>
    <row r="1918">
      <c r="A1918" s="6"/>
      <c r="B1918" s="6"/>
      <c r="H1918" s="13"/>
    </row>
    <row r="1919">
      <c r="A1919" s="6"/>
      <c r="B1919" s="6"/>
      <c r="H1919" s="13"/>
    </row>
    <row r="1920">
      <c r="A1920" s="6"/>
      <c r="B1920" s="6"/>
      <c r="H1920" s="13"/>
    </row>
    <row r="1921">
      <c r="A1921" s="6"/>
      <c r="B1921" s="6"/>
      <c r="H1921" s="13"/>
    </row>
    <row r="1922">
      <c r="A1922" s="6"/>
      <c r="B1922" s="6"/>
      <c r="H1922" s="13"/>
    </row>
    <row r="1923">
      <c r="A1923" s="6"/>
      <c r="B1923" s="6"/>
      <c r="H1923" s="13"/>
    </row>
    <row r="1924">
      <c r="A1924" s="6"/>
      <c r="B1924" s="6"/>
      <c r="H1924" s="13"/>
    </row>
    <row r="1925">
      <c r="A1925" s="6"/>
      <c r="B1925" s="6"/>
      <c r="H1925" s="13"/>
    </row>
    <row r="1926">
      <c r="A1926" s="6"/>
      <c r="B1926" s="6"/>
      <c r="H1926" s="13"/>
    </row>
    <row r="1927">
      <c r="A1927" s="6"/>
      <c r="B1927" s="6"/>
      <c r="H1927" s="13"/>
    </row>
    <row r="1928">
      <c r="A1928" s="6"/>
      <c r="B1928" s="6"/>
      <c r="H1928" s="13"/>
    </row>
    <row r="1929">
      <c r="A1929" s="6"/>
      <c r="B1929" s="6"/>
      <c r="H1929" s="13"/>
    </row>
    <row r="1930">
      <c r="A1930" s="6"/>
      <c r="B1930" s="6"/>
      <c r="H1930" s="13"/>
    </row>
    <row r="1931">
      <c r="A1931" s="6"/>
      <c r="B1931" s="6"/>
      <c r="H1931" s="13"/>
    </row>
    <row r="1932">
      <c r="A1932" s="6"/>
      <c r="B1932" s="6"/>
      <c r="H1932" s="13"/>
    </row>
    <row r="1933">
      <c r="A1933" s="6"/>
      <c r="B1933" s="6"/>
      <c r="H1933" s="13"/>
    </row>
    <row r="1934">
      <c r="A1934" s="6"/>
      <c r="B1934" s="6"/>
      <c r="H1934" s="13"/>
    </row>
    <row r="1935">
      <c r="A1935" s="6"/>
      <c r="B1935" s="6"/>
      <c r="H1935" s="13"/>
    </row>
    <row r="1936">
      <c r="A1936" s="6"/>
      <c r="B1936" s="6"/>
      <c r="H1936" s="13"/>
    </row>
    <row r="1937">
      <c r="A1937" s="6"/>
      <c r="B1937" s="6"/>
      <c r="H1937" s="13"/>
    </row>
    <row r="1938">
      <c r="A1938" s="6"/>
      <c r="B1938" s="6"/>
      <c r="H1938" s="13"/>
    </row>
    <row r="1939">
      <c r="A1939" s="6"/>
      <c r="B1939" s="6"/>
      <c r="H1939" s="13"/>
    </row>
    <row r="1940">
      <c r="A1940" s="6"/>
      <c r="B1940" s="6"/>
      <c r="H1940" s="13"/>
    </row>
    <row r="1941">
      <c r="A1941" s="6"/>
      <c r="B1941" s="6"/>
      <c r="H1941" s="13"/>
    </row>
    <row r="1942">
      <c r="A1942" s="6"/>
      <c r="B1942" s="6"/>
      <c r="H1942" s="13"/>
    </row>
    <row r="1943">
      <c r="A1943" s="6"/>
      <c r="B1943" s="6"/>
      <c r="H1943" s="13"/>
    </row>
    <row r="1944">
      <c r="A1944" s="6"/>
      <c r="B1944" s="6"/>
      <c r="H1944" s="13"/>
    </row>
    <row r="1945">
      <c r="A1945" s="6"/>
      <c r="B1945" s="6"/>
      <c r="H1945" s="13"/>
    </row>
    <row r="1946">
      <c r="A1946" s="6"/>
      <c r="B1946" s="6"/>
      <c r="H1946" s="13"/>
    </row>
    <row r="1947">
      <c r="A1947" s="6"/>
      <c r="B1947" s="6"/>
      <c r="H1947" s="13"/>
    </row>
    <row r="1948">
      <c r="A1948" s="6"/>
      <c r="B1948" s="6"/>
      <c r="H1948" s="13"/>
    </row>
    <row r="1949">
      <c r="A1949" s="6"/>
      <c r="B1949" s="6"/>
      <c r="H1949" s="13"/>
    </row>
    <row r="1950">
      <c r="A1950" s="6"/>
      <c r="B1950" s="6"/>
      <c r="H1950" s="13"/>
    </row>
    <row r="1951">
      <c r="A1951" s="6"/>
      <c r="B1951" s="6"/>
      <c r="H1951" s="13"/>
    </row>
    <row r="1952">
      <c r="A1952" s="6"/>
      <c r="B1952" s="6"/>
      <c r="H1952" s="13"/>
    </row>
    <row r="1953">
      <c r="A1953" s="6"/>
      <c r="B1953" s="6"/>
      <c r="H1953" s="13"/>
    </row>
    <row r="1954">
      <c r="A1954" s="6"/>
      <c r="B1954" s="6"/>
      <c r="H1954" s="13"/>
    </row>
    <row r="1955">
      <c r="A1955" s="6"/>
      <c r="B1955" s="6"/>
      <c r="H1955" s="13"/>
    </row>
    <row r="1956">
      <c r="A1956" s="6"/>
      <c r="B1956" s="6"/>
      <c r="H1956" s="13"/>
    </row>
    <row r="1957">
      <c r="A1957" s="6"/>
      <c r="B1957" s="6"/>
      <c r="H1957" s="13"/>
    </row>
    <row r="1958">
      <c r="A1958" s="6"/>
      <c r="B1958" s="6"/>
      <c r="H1958" s="13"/>
    </row>
    <row r="1959">
      <c r="A1959" s="6"/>
      <c r="B1959" s="6"/>
      <c r="H1959" s="13"/>
    </row>
    <row r="1960">
      <c r="A1960" s="6"/>
      <c r="B1960" s="6"/>
      <c r="H1960" s="13"/>
    </row>
    <row r="1961">
      <c r="A1961" s="6"/>
      <c r="B1961" s="6"/>
      <c r="H1961" s="13"/>
    </row>
    <row r="1962">
      <c r="A1962" s="6"/>
      <c r="B1962" s="6"/>
      <c r="H1962" s="13"/>
    </row>
    <row r="1963">
      <c r="A1963" s="6"/>
      <c r="B1963" s="6"/>
      <c r="H1963" s="13"/>
    </row>
    <row r="1964">
      <c r="A1964" s="6"/>
      <c r="B1964" s="6"/>
      <c r="H1964" s="13"/>
    </row>
    <row r="1965">
      <c r="A1965" s="6"/>
      <c r="B1965" s="6"/>
      <c r="H1965" s="13"/>
    </row>
    <row r="1966">
      <c r="A1966" s="6"/>
      <c r="B1966" s="6"/>
      <c r="H1966" s="13"/>
    </row>
    <row r="1967">
      <c r="A1967" s="6"/>
      <c r="B1967" s="6"/>
      <c r="H1967" s="13"/>
    </row>
    <row r="1968">
      <c r="A1968" s="6"/>
      <c r="B1968" s="6"/>
      <c r="H1968" s="13"/>
    </row>
    <row r="1969">
      <c r="A1969" s="6"/>
      <c r="B1969" s="6"/>
      <c r="H1969" s="13"/>
    </row>
    <row r="1970">
      <c r="A1970" s="6"/>
      <c r="B1970" s="6"/>
      <c r="H1970" s="13"/>
    </row>
    <row r="1971">
      <c r="A1971" s="6"/>
      <c r="B1971" s="6"/>
      <c r="H1971" s="13"/>
    </row>
    <row r="1972">
      <c r="A1972" s="6"/>
      <c r="B1972" s="6"/>
      <c r="H1972" s="13"/>
    </row>
    <row r="1973">
      <c r="A1973" s="6"/>
      <c r="B1973" s="6"/>
      <c r="H1973" s="13"/>
    </row>
    <row r="1974">
      <c r="A1974" s="6"/>
      <c r="B1974" s="6"/>
      <c r="H1974" s="13"/>
    </row>
    <row r="1975">
      <c r="A1975" s="6"/>
      <c r="B1975" s="6"/>
      <c r="H1975" s="13"/>
    </row>
    <row r="1976">
      <c r="A1976" s="6"/>
      <c r="B1976" s="6"/>
      <c r="H1976" s="13"/>
    </row>
    <row r="1977">
      <c r="A1977" s="6"/>
      <c r="B1977" s="6"/>
      <c r="H1977" s="13"/>
    </row>
    <row r="1978">
      <c r="A1978" s="6"/>
      <c r="B1978" s="6"/>
      <c r="H1978" s="13"/>
    </row>
    <row r="1979">
      <c r="A1979" s="6"/>
      <c r="B1979" s="6"/>
      <c r="H1979" s="13"/>
    </row>
    <row r="1980">
      <c r="A1980" s="6"/>
      <c r="B1980" s="6"/>
      <c r="H1980" s="13"/>
    </row>
    <row r="1981">
      <c r="A1981" s="6"/>
      <c r="B1981" s="6"/>
      <c r="H1981" s="13"/>
    </row>
    <row r="1982">
      <c r="A1982" s="6"/>
      <c r="B1982" s="6"/>
      <c r="H1982" s="13"/>
    </row>
    <row r="1983">
      <c r="A1983" s="6"/>
      <c r="B1983" s="6"/>
      <c r="H1983" s="13"/>
    </row>
    <row r="1984">
      <c r="A1984" s="6"/>
      <c r="B1984" s="6"/>
      <c r="H1984" s="13"/>
    </row>
    <row r="1985">
      <c r="A1985" s="6"/>
      <c r="B1985" s="6"/>
      <c r="H1985" s="13"/>
    </row>
    <row r="1986">
      <c r="A1986" s="6"/>
      <c r="B1986" s="6"/>
      <c r="H1986" s="13"/>
    </row>
    <row r="1987">
      <c r="A1987" s="6"/>
      <c r="B1987" s="6"/>
      <c r="H1987" s="13"/>
    </row>
    <row r="1988">
      <c r="A1988" s="6"/>
      <c r="B1988" s="6"/>
      <c r="H1988" s="13"/>
    </row>
    <row r="1989">
      <c r="A1989" s="6"/>
      <c r="B1989" s="6"/>
      <c r="H1989" s="13"/>
    </row>
    <row r="1990">
      <c r="A1990" s="6"/>
      <c r="B1990" s="6"/>
      <c r="H1990" s="13"/>
    </row>
    <row r="1991">
      <c r="A1991" s="6"/>
      <c r="B1991" s="6"/>
      <c r="H1991" s="13"/>
    </row>
    <row r="1992">
      <c r="A1992" s="6"/>
      <c r="B1992" s="6"/>
      <c r="H1992" s="13"/>
    </row>
    <row r="1993">
      <c r="A1993" s="6"/>
      <c r="B1993" s="6"/>
      <c r="H1993" s="13"/>
    </row>
    <row r="1994">
      <c r="A1994" s="6"/>
      <c r="B1994" s="6"/>
      <c r="H1994" s="13"/>
    </row>
    <row r="1995">
      <c r="A1995" s="6"/>
      <c r="B1995" s="6"/>
      <c r="H1995" s="13"/>
    </row>
    <row r="1996">
      <c r="A1996" s="6"/>
      <c r="B1996" s="6"/>
      <c r="H1996" s="13"/>
    </row>
    <row r="1997">
      <c r="A1997" s="6"/>
      <c r="B1997" s="6"/>
      <c r="H1997" s="13"/>
    </row>
    <row r="1998">
      <c r="A1998" s="6"/>
      <c r="B1998" s="6"/>
      <c r="H1998" s="13"/>
    </row>
    <row r="1999">
      <c r="A1999" s="6"/>
      <c r="B1999" s="6"/>
      <c r="H1999" s="13"/>
    </row>
    <row r="2000">
      <c r="A2000" s="6"/>
      <c r="B2000" s="6"/>
      <c r="H2000" s="13"/>
    </row>
    <row r="2001">
      <c r="A2001" s="6"/>
      <c r="B2001" s="6"/>
      <c r="H2001" s="13"/>
    </row>
    <row r="2002">
      <c r="A2002" s="6"/>
      <c r="B2002" s="6"/>
      <c r="H2002" s="13"/>
    </row>
    <row r="2003">
      <c r="A2003" s="6"/>
      <c r="B2003" s="6"/>
      <c r="H2003" s="13"/>
    </row>
    <row r="2004">
      <c r="A2004" s="6"/>
      <c r="B2004" s="6"/>
      <c r="H2004" s="13"/>
    </row>
    <row r="2005">
      <c r="A2005" s="6"/>
      <c r="B2005" s="6"/>
      <c r="H2005" s="13"/>
    </row>
    <row r="2006">
      <c r="A2006" s="6"/>
      <c r="B2006" s="6"/>
      <c r="H2006" s="13"/>
    </row>
    <row r="2007">
      <c r="A2007" s="6"/>
      <c r="B2007" s="6"/>
      <c r="H2007" s="13"/>
    </row>
    <row r="2008">
      <c r="A2008" s="6"/>
      <c r="B2008" s="6"/>
      <c r="H2008" s="13"/>
    </row>
    <row r="2009">
      <c r="A2009" s="6"/>
      <c r="B2009" s="6"/>
      <c r="H2009" s="13"/>
    </row>
    <row r="2010">
      <c r="A2010" s="6"/>
      <c r="B2010" s="6"/>
      <c r="H2010" s="13"/>
    </row>
    <row r="2011">
      <c r="A2011" s="6"/>
      <c r="B2011" s="6"/>
      <c r="H2011" s="13"/>
    </row>
    <row r="2012">
      <c r="A2012" s="6"/>
      <c r="B2012" s="6"/>
      <c r="H2012" s="13"/>
    </row>
    <row r="2013">
      <c r="A2013" s="6"/>
      <c r="B2013" s="6"/>
      <c r="H2013" s="13"/>
    </row>
    <row r="2014">
      <c r="A2014" s="6"/>
      <c r="B2014" s="6"/>
      <c r="H2014" s="13"/>
    </row>
    <row r="2015">
      <c r="A2015" s="6"/>
      <c r="B2015" s="6"/>
      <c r="H2015" s="13"/>
    </row>
    <row r="2016">
      <c r="A2016" s="6"/>
      <c r="B2016" s="6"/>
      <c r="H2016" s="13"/>
    </row>
    <row r="2017">
      <c r="A2017" s="6"/>
      <c r="B2017" s="6"/>
      <c r="H2017" s="13"/>
    </row>
    <row r="2018">
      <c r="A2018" s="6"/>
      <c r="B2018" s="6"/>
      <c r="H2018" s="13"/>
    </row>
    <row r="2019">
      <c r="A2019" s="6"/>
      <c r="B2019" s="6"/>
      <c r="H2019" s="13"/>
    </row>
    <row r="2020">
      <c r="A2020" s="6"/>
      <c r="B2020" s="6"/>
      <c r="H2020" s="13"/>
    </row>
    <row r="2021">
      <c r="A2021" s="6"/>
      <c r="B2021" s="6"/>
      <c r="H2021" s="13"/>
    </row>
    <row r="2022">
      <c r="A2022" s="6"/>
      <c r="B2022" s="6"/>
      <c r="H2022" s="13"/>
    </row>
    <row r="2023">
      <c r="A2023" s="6"/>
      <c r="B2023" s="6"/>
      <c r="H2023" s="13"/>
    </row>
    <row r="2024">
      <c r="A2024" s="6"/>
      <c r="B2024" s="6"/>
      <c r="H2024" s="13"/>
    </row>
    <row r="2025">
      <c r="A2025" s="6"/>
      <c r="B2025" s="6"/>
      <c r="H2025" s="13"/>
    </row>
    <row r="2026">
      <c r="A2026" s="6"/>
      <c r="B2026" s="6"/>
      <c r="H2026" s="13"/>
    </row>
    <row r="2027">
      <c r="A2027" s="6"/>
      <c r="B2027" s="6"/>
      <c r="H2027" s="13"/>
    </row>
    <row r="2028">
      <c r="A2028" s="6"/>
      <c r="B2028" s="6"/>
      <c r="H2028" s="13"/>
    </row>
    <row r="2029">
      <c r="A2029" s="6"/>
      <c r="B2029" s="6"/>
      <c r="H2029" s="13"/>
    </row>
    <row r="2030">
      <c r="A2030" s="6"/>
      <c r="B2030" s="6"/>
      <c r="H2030" s="13"/>
    </row>
    <row r="2031">
      <c r="A2031" s="6"/>
      <c r="B2031" s="6"/>
      <c r="H2031" s="13"/>
    </row>
    <row r="2032">
      <c r="A2032" s="6"/>
      <c r="B2032" s="6"/>
      <c r="H2032" s="13"/>
    </row>
    <row r="2033">
      <c r="A2033" s="6"/>
      <c r="B2033" s="6"/>
      <c r="H2033" s="13"/>
    </row>
    <row r="2034">
      <c r="A2034" s="6"/>
      <c r="B2034" s="6"/>
      <c r="H2034" s="13"/>
    </row>
    <row r="2035">
      <c r="A2035" s="6"/>
      <c r="B2035" s="6"/>
      <c r="H2035" s="13"/>
    </row>
    <row r="2036">
      <c r="A2036" s="6"/>
      <c r="B2036" s="6"/>
      <c r="H2036" s="13"/>
    </row>
    <row r="2037">
      <c r="A2037" s="6"/>
      <c r="B2037" s="6"/>
      <c r="H2037" s="13"/>
    </row>
    <row r="2038">
      <c r="A2038" s="6"/>
      <c r="B2038" s="6"/>
      <c r="H2038" s="13"/>
    </row>
    <row r="2039">
      <c r="A2039" s="6"/>
      <c r="B2039" s="6"/>
      <c r="H2039" s="13"/>
    </row>
    <row r="2040">
      <c r="A2040" s="6"/>
      <c r="B2040" s="6"/>
      <c r="H2040" s="13"/>
    </row>
    <row r="2041">
      <c r="A2041" s="6"/>
      <c r="B2041" s="6"/>
      <c r="H2041" s="13"/>
    </row>
    <row r="2042">
      <c r="A2042" s="6"/>
      <c r="B2042" s="6"/>
      <c r="H2042" s="13"/>
    </row>
    <row r="2043">
      <c r="A2043" s="6"/>
      <c r="B2043" s="6"/>
      <c r="H2043" s="13"/>
    </row>
    <row r="2044">
      <c r="A2044" s="6"/>
      <c r="B2044" s="6"/>
      <c r="H2044" s="13"/>
    </row>
    <row r="2045">
      <c r="A2045" s="6"/>
      <c r="B2045" s="6"/>
      <c r="H2045" s="13"/>
    </row>
    <row r="2046">
      <c r="A2046" s="6"/>
      <c r="B2046" s="6"/>
      <c r="H2046" s="13"/>
    </row>
    <row r="2047">
      <c r="A2047" s="6"/>
      <c r="B2047" s="6"/>
      <c r="H2047" s="13"/>
    </row>
    <row r="2048">
      <c r="A2048" s="6"/>
      <c r="B2048" s="6"/>
      <c r="H2048" s="13"/>
    </row>
    <row r="2049">
      <c r="A2049" s="6"/>
      <c r="B2049" s="6"/>
      <c r="H2049" s="13"/>
    </row>
    <row r="2050">
      <c r="A2050" s="6"/>
      <c r="B2050" s="6"/>
      <c r="H2050" s="13"/>
    </row>
    <row r="2051">
      <c r="A2051" s="6"/>
      <c r="B2051" s="6"/>
      <c r="H2051" s="13"/>
    </row>
    <row r="2052">
      <c r="A2052" s="6"/>
      <c r="B2052" s="6"/>
      <c r="H2052" s="13"/>
    </row>
    <row r="2053">
      <c r="A2053" s="6"/>
      <c r="B2053" s="6"/>
      <c r="H2053" s="13"/>
    </row>
    <row r="2054">
      <c r="A2054" s="6"/>
      <c r="B2054" s="6"/>
      <c r="H2054" s="13"/>
    </row>
    <row r="2055">
      <c r="A2055" s="6"/>
      <c r="B2055" s="6"/>
      <c r="H2055" s="13"/>
    </row>
    <row r="2056">
      <c r="A2056" s="6"/>
      <c r="B2056" s="6"/>
      <c r="H2056" s="13"/>
    </row>
    <row r="2057">
      <c r="A2057" s="6"/>
      <c r="B2057" s="6"/>
      <c r="H2057" s="13"/>
    </row>
    <row r="2058">
      <c r="A2058" s="6"/>
      <c r="B2058" s="6"/>
      <c r="H2058" s="13"/>
    </row>
    <row r="2059">
      <c r="A2059" s="6"/>
      <c r="B2059" s="6"/>
      <c r="H2059" s="13"/>
    </row>
    <row r="2060">
      <c r="A2060" s="6"/>
      <c r="B2060" s="6"/>
      <c r="H2060" s="13"/>
    </row>
    <row r="2061">
      <c r="A2061" s="6"/>
      <c r="B2061" s="6"/>
      <c r="H2061" s="13"/>
    </row>
    <row r="2062">
      <c r="A2062" s="6"/>
      <c r="B2062" s="6"/>
      <c r="H2062" s="13"/>
    </row>
    <row r="2063">
      <c r="A2063" s="6"/>
      <c r="B2063" s="6"/>
      <c r="H2063" s="13"/>
    </row>
    <row r="2064">
      <c r="A2064" s="6"/>
      <c r="B2064" s="6"/>
      <c r="H2064" s="13"/>
    </row>
    <row r="2065">
      <c r="A2065" s="6"/>
      <c r="B2065" s="6"/>
      <c r="H2065" s="13"/>
    </row>
    <row r="2066">
      <c r="A2066" s="6"/>
      <c r="B2066" s="6"/>
      <c r="H2066" s="13"/>
    </row>
    <row r="2067">
      <c r="A2067" s="6"/>
      <c r="B2067" s="6"/>
      <c r="H2067" s="13"/>
    </row>
    <row r="2068">
      <c r="A2068" s="6"/>
      <c r="B2068" s="6"/>
      <c r="H2068" s="13"/>
    </row>
    <row r="2069">
      <c r="A2069" s="6"/>
      <c r="B2069" s="6"/>
      <c r="H2069" s="13"/>
    </row>
    <row r="2070">
      <c r="A2070" s="6"/>
      <c r="B2070" s="6"/>
      <c r="H2070" s="13"/>
    </row>
    <row r="2071">
      <c r="A2071" s="6"/>
      <c r="B2071" s="6"/>
      <c r="H2071" s="13"/>
    </row>
    <row r="2072">
      <c r="A2072" s="6"/>
      <c r="B2072" s="6"/>
      <c r="H2072" s="13"/>
    </row>
    <row r="2073">
      <c r="A2073" s="6"/>
      <c r="B2073" s="6"/>
      <c r="H2073" s="13"/>
    </row>
    <row r="2074">
      <c r="A2074" s="6"/>
      <c r="B2074" s="6"/>
      <c r="H2074" s="13"/>
    </row>
    <row r="2075">
      <c r="A2075" s="6"/>
      <c r="B2075" s="6"/>
      <c r="H2075" s="13"/>
    </row>
    <row r="2076">
      <c r="A2076" s="6"/>
      <c r="B2076" s="6"/>
      <c r="H2076" s="13"/>
    </row>
    <row r="2077">
      <c r="A2077" s="6"/>
      <c r="B2077" s="6"/>
      <c r="H2077" s="13"/>
    </row>
    <row r="2078">
      <c r="A2078" s="6"/>
      <c r="B2078" s="6"/>
      <c r="H2078" s="13"/>
    </row>
    <row r="2079">
      <c r="A2079" s="6"/>
      <c r="B2079" s="6"/>
      <c r="H2079" s="13"/>
    </row>
    <row r="2080">
      <c r="A2080" s="6"/>
      <c r="B2080" s="6"/>
      <c r="H2080" s="13"/>
    </row>
    <row r="2081">
      <c r="A2081" s="6"/>
      <c r="B2081" s="6"/>
      <c r="H2081" s="13"/>
    </row>
    <row r="2082">
      <c r="A2082" s="6"/>
      <c r="B2082" s="6"/>
      <c r="H2082" s="13"/>
    </row>
    <row r="2083">
      <c r="A2083" s="6"/>
      <c r="B2083" s="6"/>
      <c r="H2083" s="13"/>
    </row>
    <row r="2084">
      <c r="A2084" s="6"/>
      <c r="B2084" s="6"/>
      <c r="H2084" s="13"/>
    </row>
    <row r="2085">
      <c r="A2085" s="6"/>
      <c r="B2085" s="6"/>
      <c r="H2085" s="13"/>
    </row>
    <row r="2086">
      <c r="A2086" s="6"/>
      <c r="B2086" s="6"/>
      <c r="H2086" s="13"/>
    </row>
    <row r="2087">
      <c r="A2087" s="6"/>
      <c r="B2087" s="6"/>
      <c r="H2087" s="13"/>
    </row>
    <row r="2088">
      <c r="A2088" s="6"/>
      <c r="B2088" s="6"/>
      <c r="H2088" s="13"/>
    </row>
    <row r="2089">
      <c r="A2089" s="6"/>
      <c r="B2089" s="6"/>
      <c r="H2089" s="13"/>
    </row>
    <row r="2090">
      <c r="A2090" s="6"/>
      <c r="B2090" s="6"/>
      <c r="H2090" s="13"/>
    </row>
    <row r="2091">
      <c r="A2091" s="6"/>
      <c r="B2091" s="6"/>
      <c r="H2091" s="13"/>
    </row>
    <row r="2092">
      <c r="A2092" s="6"/>
      <c r="B2092" s="6"/>
      <c r="H2092" s="13"/>
    </row>
    <row r="2093">
      <c r="A2093" s="6"/>
      <c r="B2093" s="6"/>
      <c r="H2093" s="13"/>
    </row>
    <row r="2094">
      <c r="A2094" s="6"/>
      <c r="B2094" s="6"/>
      <c r="H2094" s="13"/>
    </row>
    <row r="2095">
      <c r="A2095" s="6"/>
      <c r="B2095" s="6"/>
      <c r="H2095" s="13"/>
    </row>
    <row r="2096">
      <c r="A2096" s="6"/>
      <c r="B2096" s="6"/>
      <c r="H2096" s="13"/>
    </row>
    <row r="2097">
      <c r="A2097" s="6"/>
      <c r="B2097" s="6"/>
      <c r="H2097" s="13"/>
    </row>
    <row r="2098">
      <c r="A2098" s="6"/>
      <c r="B2098" s="6"/>
      <c r="H2098" s="13"/>
    </row>
    <row r="2099">
      <c r="A2099" s="6"/>
      <c r="B2099" s="6"/>
      <c r="H2099" s="13"/>
    </row>
    <row r="2100">
      <c r="A2100" s="6"/>
      <c r="B2100" s="6"/>
      <c r="H2100" s="13"/>
    </row>
    <row r="2101">
      <c r="A2101" s="6"/>
      <c r="B2101" s="6"/>
      <c r="H2101" s="13"/>
    </row>
    <row r="2102">
      <c r="A2102" s="6"/>
      <c r="B2102" s="6"/>
      <c r="H2102" s="13"/>
    </row>
    <row r="2103">
      <c r="A2103" s="6"/>
      <c r="B2103" s="6"/>
      <c r="H2103" s="13"/>
    </row>
    <row r="2104">
      <c r="A2104" s="6"/>
      <c r="B2104" s="6"/>
      <c r="H2104" s="13"/>
    </row>
    <row r="2105">
      <c r="A2105" s="6"/>
      <c r="B2105" s="6"/>
      <c r="H2105" s="13"/>
    </row>
    <row r="2106">
      <c r="A2106" s="6"/>
      <c r="B2106" s="6"/>
      <c r="H2106" s="13"/>
    </row>
    <row r="2107">
      <c r="A2107" s="6"/>
      <c r="B2107" s="6"/>
      <c r="H2107" s="13"/>
    </row>
    <row r="2108">
      <c r="A2108" s="6"/>
      <c r="B2108" s="6"/>
      <c r="H2108" s="13"/>
    </row>
    <row r="2109">
      <c r="A2109" s="6"/>
      <c r="B2109" s="6"/>
      <c r="H2109" s="13"/>
    </row>
    <row r="2110">
      <c r="A2110" s="6"/>
      <c r="B2110" s="6"/>
      <c r="H2110" s="13"/>
    </row>
    <row r="2111">
      <c r="A2111" s="6"/>
      <c r="B2111" s="6"/>
      <c r="H2111" s="13"/>
    </row>
    <row r="2112">
      <c r="A2112" s="6"/>
      <c r="B2112" s="6"/>
      <c r="H2112" s="13"/>
    </row>
    <row r="2113">
      <c r="A2113" s="6"/>
      <c r="B2113" s="6"/>
      <c r="H2113" s="13"/>
    </row>
    <row r="2114">
      <c r="A2114" s="6"/>
      <c r="B2114" s="6"/>
      <c r="H2114" s="13"/>
    </row>
    <row r="2115">
      <c r="A2115" s="6"/>
      <c r="B2115" s="6"/>
      <c r="H2115" s="13"/>
    </row>
    <row r="2116">
      <c r="A2116" s="6"/>
      <c r="B2116" s="6"/>
      <c r="H2116" s="13"/>
    </row>
    <row r="2117">
      <c r="A2117" s="6"/>
      <c r="B2117" s="6"/>
      <c r="H2117" s="13"/>
    </row>
    <row r="2118">
      <c r="A2118" s="6"/>
      <c r="B2118" s="6"/>
      <c r="H2118" s="13"/>
    </row>
    <row r="2119">
      <c r="A2119" s="6"/>
      <c r="B2119" s="6"/>
      <c r="H2119" s="13"/>
    </row>
    <row r="2120">
      <c r="A2120" s="6"/>
      <c r="B2120" s="6"/>
      <c r="H2120" s="13"/>
    </row>
    <row r="2121">
      <c r="A2121" s="6"/>
      <c r="B2121" s="6"/>
      <c r="H2121" s="13"/>
    </row>
    <row r="2122">
      <c r="A2122" s="6"/>
      <c r="B2122" s="6"/>
      <c r="H2122" s="13"/>
    </row>
    <row r="2123">
      <c r="A2123" s="6"/>
      <c r="B2123" s="6"/>
      <c r="H2123" s="13"/>
    </row>
    <row r="2124">
      <c r="A2124" s="6"/>
      <c r="B2124" s="6"/>
      <c r="H2124" s="13"/>
    </row>
    <row r="2125">
      <c r="A2125" s="6"/>
      <c r="B2125" s="6"/>
      <c r="H2125" s="13"/>
    </row>
    <row r="2126">
      <c r="A2126" s="6"/>
      <c r="B2126" s="6"/>
      <c r="H2126" s="13"/>
    </row>
    <row r="2127">
      <c r="A2127" s="6"/>
      <c r="B2127" s="6"/>
      <c r="H2127" s="13"/>
    </row>
    <row r="2128">
      <c r="A2128" s="6"/>
      <c r="B2128" s="6"/>
      <c r="H2128" s="13"/>
    </row>
    <row r="2129">
      <c r="A2129" s="6"/>
      <c r="B2129" s="6"/>
      <c r="H2129" s="13"/>
    </row>
    <row r="2130">
      <c r="A2130" s="6"/>
      <c r="B2130" s="6"/>
      <c r="H2130" s="13"/>
    </row>
    <row r="2131">
      <c r="A2131" s="6"/>
      <c r="B2131" s="6"/>
      <c r="H2131" s="13"/>
    </row>
    <row r="2132">
      <c r="A2132" s="6"/>
      <c r="B2132" s="6"/>
      <c r="H2132" s="13"/>
    </row>
    <row r="2133">
      <c r="A2133" s="6"/>
      <c r="B2133" s="6"/>
      <c r="H2133" s="13"/>
    </row>
    <row r="2134">
      <c r="A2134" s="6"/>
      <c r="B2134" s="6"/>
      <c r="H2134" s="13"/>
    </row>
    <row r="2135">
      <c r="A2135" s="6"/>
      <c r="B2135" s="6"/>
      <c r="H2135" s="13"/>
    </row>
    <row r="2136">
      <c r="A2136" s="6"/>
      <c r="B2136" s="6"/>
      <c r="H2136" s="13"/>
    </row>
    <row r="2137">
      <c r="A2137" s="6"/>
      <c r="B2137" s="6"/>
      <c r="H2137" s="13"/>
    </row>
    <row r="2138">
      <c r="A2138" s="6"/>
      <c r="B2138" s="6"/>
      <c r="H2138" s="13"/>
    </row>
    <row r="2139">
      <c r="A2139" s="6"/>
      <c r="B2139" s="6"/>
      <c r="H2139" s="13"/>
    </row>
    <row r="2140">
      <c r="A2140" s="6"/>
      <c r="B2140" s="6"/>
      <c r="H2140" s="13"/>
    </row>
    <row r="2141">
      <c r="A2141" s="6"/>
      <c r="B2141" s="6"/>
      <c r="H2141" s="13"/>
    </row>
    <row r="2142">
      <c r="A2142" s="6"/>
      <c r="B2142" s="6"/>
      <c r="H2142" s="13"/>
    </row>
    <row r="2143">
      <c r="A2143" s="6"/>
      <c r="B2143" s="6"/>
      <c r="H2143" s="13"/>
    </row>
    <row r="2144">
      <c r="A2144" s="6"/>
      <c r="B2144" s="6"/>
      <c r="H2144" s="13"/>
    </row>
    <row r="2145">
      <c r="A2145" s="6"/>
      <c r="B2145" s="6"/>
      <c r="H2145" s="13"/>
    </row>
    <row r="2146">
      <c r="A2146" s="6"/>
      <c r="B2146" s="6"/>
      <c r="H2146" s="13"/>
    </row>
    <row r="2147">
      <c r="A2147" s="6"/>
      <c r="B2147" s="6"/>
      <c r="H2147" s="13"/>
    </row>
    <row r="2148">
      <c r="A2148" s="6"/>
      <c r="B2148" s="6"/>
      <c r="H2148" s="13"/>
    </row>
    <row r="2149">
      <c r="A2149" s="6"/>
      <c r="B2149" s="6"/>
      <c r="H2149" s="13"/>
    </row>
    <row r="2150">
      <c r="A2150" s="6"/>
      <c r="B2150" s="6"/>
      <c r="H2150" s="13"/>
    </row>
    <row r="2151">
      <c r="A2151" s="6"/>
      <c r="B2151" s="6"/>
      <c r="H2151" s="13"/>
    </row>
    <row r="2152">
      <c r="A2152" s="6"/>
      <c r="B2152" s="6"/>
      <c r="H2152" s="13"/>
    </row>
    <row r="2153">
      <c r="A2153" s="6"/>
      <c r="B2153" s="6"/>
      <c r="H2153" s="13"/>
    </row>
    <row r="2154">
      <c r="A2154" s="6"/>
      <c r="B2154" s="6"/>
      <c r="H2154" s="13"/>
    </row>
    <row r="2155">
      <c r="A2155" s="6"/>
      <c r="B2155" s="6"/>
      <c r="H2155" s="13"/>
    </row>
    <row r="2156">
      <c r="A2156" s="6"/>
      <c r="B2156" s="6"/>
      <c r="H2156" s="13"/>
    </row>
    <row r="2157">
      <c r="A2157" s="6"/>
      <c r="B2157" s="6"/>
      <c r="H2157" s="13"/>
    </row>
    <row r="2158">
      <c r="A2158" s="6"/>
      <c r="B2158" s="6"/>
      <c r="H2158" s="13"/>
    </row>
    <row r="2159">
      <c r="A2159" s="6"/>
      <c r="B2159" s="6"/>
      <c r="H2159" s="13"/>
    </row>
    <row r="2160">
      <c r="A2160" s="6"/>
      <c r="B2160" s="6"/>
      <c r="H2160" s="13"/>
    </row>
    <row r="2161">
      <c r="A2161" s="6"/>
      <c r="B2161" s="6"/>
      <c r="H2161" s="13"/>
    </row>
    <row r="2162">
      <c r="A2162" s="6"/>
      <c r="B2162" s="6"/>
      <c r="H2162" s="13"/>
    </row>
    <row r="2163">
      <c r="A2163" s="6"/>
      <c r="B2163" s="6"/>
      <c r="H2163" s="13"/>
    </row>
    <row r="2164">
      <c r="A2164" s="6"/>
      <c r="B2164" s="6"/>
      <c r="H2164" s="13"/>
    </row>
    <row r="2165">
      <c r="A2165" s="6"/>
      <c r="B2165" s="6"/>
      <c r="H2165" s="13"/>
    </row>
    <row r="2166">
      <c r="A2166" s="6"/>
      <c r="B2166" s="6"/>
      <c r="H2166" s="13"/>
    </row>
    <row r="2167">
      <c r="A2167" s="6"/>
      <c r="B2167" s="6"/>
      <c r="H2167" s="13"/>
    </row>
    <row r="2168">
      <c r="A2168" s="6"/>
      <c r="B2168" s="6"/>
      <c r="H2168" s="13"/>
    </row>
    <row r="2169">
      <c r="A2169" s="6"/>
      <c r="B2169" s="6"/>
      <c r="H2169" s="13"/>
    </row>
    <row r="2170">
      <c r="A2170" s="6"/>
      <c r="B2170" s="6"/>
      <c r="H2170" s="13"/>
    </row>
    <row r="2171">
      <c r="A2171" s="6"/>
      <c r="B2171" s="6"/>
      <c r="H2171" s="13"/>
    </row>
    <row r="2172">
      <c r="A2172" s="6"/>
      <c r="B2172" s="6"/>
      <c r="H2172" s="13"/>
    </row>
    <row r="2173">
      <c r="A2173" s="6"/>
      <c r="B2173" s="6"/>
      <c r="H2173" s="13"/>
    </row>
    <row r="2174">
      <c r="A2174" s="6"/>
      <c r="B2174" s="6"/>
      <c r="H2174" s="13"/>
    </row>
    <row r="2175">
      <c r="A2175" s="6"/>
      <c r="B2175" s="6"/>
      <c r="H2175" s="13"/>
    </row>
    <row r="2176">
      <c r="A2176" s="6"/>
      <c r="B2176" s="6"/>
      <c r="H2176" s="13"/>
    </row>
    <row r="2177">
      <c r="A2177" s="6"/>
      <c r="B2177" s="6"/>
      <c r="H2177" s="13"/>
    </row>
    <row r="2178">
      <c r="A2178" s="6"/>
      <c r="B2178" s="6"/>
      <c r="H2178" s="13"/>
    </row>
    <row r="2179">
      <c r="A2179" s="6"/>
      <c r="B2179" s="6"/>
      <c r="H2179" s="13"/>
    </row>
    <row r="2180">
      <c r="A2180" s="6"/>
      <c r="B2180" s="6"/>
      <c r="H2180" s="13"/>
    </row>
    <row r="2181">
      <c r="A2181" s="6"/>
      <c r="B2181" s="6"/>
      <c r="H2181" s="13"/>
    </row>
    <row r="2182">
      <c r="A2182" s="6"/>
      <c r="B2182" s="6"/>
      <c r="H2182" s="13"/>
    </row>
    <row r="2183">
      <c r="A2183" s="6"/>
      <c r="B2183" s="6"/>
      <c r="H2183" s="13"/>
    </row>
    <row r="2184">
      <c r="A2184" s="6"/>
      <c r="B2184" s="6"/>
      <c r="H2184" s="13"/>
    </row>
    <row r="2185">
      <c r="A2185" s="6"/>
      <c r="B2185" s="6"/>
      <c r="H2185" s="13"/>
    </row>
    <row r="2186">
      <c r="A2186" s="6"/>
      <c r="B2186" s="6"/>
      <c r="H2186" s="13"/>
    </row>
    <row r="2187">
      <c r="A2187" s="6"/>
      <c r="B2187" s="6"/>
      <c r="H2187" s="13"/>
    </row>
    <row r="2188">
      <c r="A2188" s="6"/>
      <c r="B2188" s="6"/>
      <c r="H2188" s="13"/>
    </row>
    <row r="2189">
      <c r="A2189" s="6"/>
      <c r="B2189" s="6"/>
      <c r="H2189" s="13"/>
    </row>
    <row r="2190">
      <c r="A2190" s="6"/>
      <c r="B2190" s="6"/>
      <c r="H2190" s="13"/>
    </row>
    <row r="2191">
      <c r="A2191" s="6"/>
      <c r="B2191" s="6"/>
      <c r="H2191" s="13"/>
    </row>
    <row r="2192">
      <c r="A2192" s="6"/>
      <c r="B2192" s="6"/>
      <c r="H2192" s="13"/>
    </row>
    <row r="2193">
      <c r="A2193" s="6"/>
      <c r="B2193" s="6"/>
      <c r="H2193" s="13"/>
    </row>
    <row r="2194">
      <c r="A2194" s="6"/>
      <c r="B2194" s="6"/>
      <c r="H2194" s="13"/>
    </row>
    <row r="2195">
      <c r="A2195" s="6"/>
      <c r="B2195" s="6"/>
      <c r="H2195" s="13"/>
    </row>
    <row r="2196">
      <c r="A2196" s="6"/>
      <c r="B2196" s="6"/>
      <c r="H2196" s="13"/>
    </row>
    <row r="2197">
      <c r="A2197" s="6"/>
      <c r="B2197" s="6"/>
      <c r="H2197" s="13"/>
    </row>
    <row r="2198">
      <c r="A2198" s="6"/>
      <c r="B2198" s="6"/>
      <c r="H2198" s="13"/>
    </row>
    <row r="2199">
      <c r="A2199" s="6"/>
      <c r="B2199" s="6"/>
      <c r="H2199" s="13"/>
    </row>
    <row r="2200">
      <c r="A2200" s="6"/>
      <c r="B2200" s="6"/>
      <c r="H2200" s="13"/>
    </row>
    <row r="2201">
      <c r="A2201" s="6"/>
      <c r="B2201" s="6"/>
      <c r="H2201" s="13"/>
    </row>
    <row r="2202">
      <c r="A2202" s="6"/>
      <c r="B2202" s="6"/>
      <c r="H2202" s="13"/>
    </row>
    <row r="2203">
      <c r="A2203" s="6"/>
      <c r="B2203" s="6"/>
      <c r="H2203" s="13"/>
    </row>
    <row r="2204">
      <c r="A2204" s="6"/>
      <c r="B2204" s="6"/>
      <c r="H2204" s="13"/>
    </row>
    <row r="2205">
      <c r="A2205" s="6"/>
      <c r="B2205" s="6"/>
      <c r="H2205" s="13"/>
    </row>
    <row r="2206">
      <c r="A2206" s="6"/>
      <c r="B2206" s="6"/>
      <c r="H2206" s="13"/>
    </row>
    <row r="2207">
      <c r="A2207" s="6"/>
      <c r="B2207" s="6"/>
      <c r="H2207" s="13"/>
    </row>
    <row r="2208">
      <c r="A2208" s="6"/>
      <c r="B2208" s="6"/>
      <c r="H2208" s="13"/>
    </row>
    <row r="2209">
      <c r="A2209" s="6"/>
      <c r="B2209" s="6"/>
      <c r="H2209" s="13"/>
    </row>
    <row r="2210">
      <c r="A2210" s="6"/>
      <c r="B2210" s="6"/>
      <c r="H2210" s="13"/>
    </row>
    <row r="2211">
      <c r="A2211" s="6"/>
      <c r="B2211" s="6"/>
      <c r="H2211" s="13"/>
    </row>
    <row r="2212">
      <c r="A2212" s="6"/>
      <c r="B2212" s="6"/>
      <c r="H2212" s="13"/>
    </row>
    <row r="2213">
      <c r="A2213" s="6"/>
      <c r="B2213" s="6"/>
      <c r="H2213" s="13"/>
    </row>
    <row r="2214">
      <c r="A2214" s="6"/>
      <c r="B2214" s="6"/>
      <c r="H2214" s="13"/>
    </row>
    <row r="2215">
      <c r="A2215" s="6"/>
      <c r="B2215" s="6"/>
      <c r="H2215" s="13"/>
    </row>
    <row r="2216">
      <c r="A2216" s="6"/>
      <c r="B2216" s="6"/>
      <c r="H2216" s="13"/>
    </row>
    <row r="2217">
      <c r="A2217" s="6"/>
      <c r="B2217" s="6"/>
      <c r="H2217" s="13"/>
    </row>
    <row r="2218">
      <c r="A2218" s="6"/>
      <c r="B2218" s="6"/>
      <c r="H2218" s="13"/>
    </row>
    <row r="2219">
      <c r="A2219" s="6"/>
      <c r="B2219" s="6"/>
      <c r="H2219" s="13"/>
    </row>
    <row r="2220">
      <c r="A2220" s="6"/>
      <c r="B2220" s="6"/>
      <c r="H2220" s="13"/>
    </row>
    <row r="2221">
      <c r="A2221" s="6"/>
      <c r="B2221" s="6"/>
      <c r="H2221" s="13"/>
    </row>
    <row r="2222">
      <c r="A2222" s="6"/>
      <c r="B2222" s="6"/>
      <c r="H2222" s="13"/>
    </row>
    <row r="2223">
      <c r="A2223" s="6"/>
      <c r="B2223" s="6"/>
      <c r="H2223" s="13"/>
    </row>
    <row r="2224">
      <c r="A2224" s="6"/>
      <c r="B2224" s="6"/>
      <c r="H2224" s="13"/>
    </row>
    <row r="2225">
      <c r="A2225" s="6"/>
      <c r="B2225" s="6"/>
      <c r="H2225" s="13"/>
    </row>
    <row r="2226">
      <c r="A2226" s="6"/>
      <c r="B2226" s="6"/>
      <c r="H2226" s="13"/>
    </row>
    <row r="2227">
      <c r="A2227" s="6"/>
      <c r="B2227" s="6"/>
      <c r="H2227" s="13"/>
    </row>
    <row r="2228">
      <c r="A2228" s="6"/>
      <c r="B2228" s="6"/>
      <c r="H2228" s="13"/>
    </row>
    <row r="2229">
      <c r="A2229" s="6"/>
      <c r="B2229" s="6"/>
      <c r="H2229" s="13"/>
    </row>
    <row r="2230">
      <c r="A2230" s="6"/>
      <c r="B2230" s="6"/>
      <c r="H2230" s="13"/>
    </row>
    <row r="2231">
      <c r="A2231" s="6"/>
      <c r="B2231" s="6"/>
      <c r="H2231" s="13"/>
    </row>
    <row r="2232">
      <c r="A2232" s="6"/>
      <c r="B2232" s="6"/>
      <c r="H2232" s="13"/>
    </row>
    <row r="2233">
      <c r="A2233" s="6"/>
      <c r="B2233" s="6"/>
      <c r="H2233" s="13"/>
    </row>
    <row r="2234">
      <c r="A2234" s="6"/>
      <c r="B2234" s="6"/>
      <c r="H2234" s="13"/>
    </row>
    <row r="2235">
      <c r="A2235" s="6"/>
      <c r="B2235" s="6"/>
      <c r="H2235" s="13"/>
    </row>
    <row r="2236">
      <c r="A2236" s="6"/>
      <c r="B2236" s="6"/>
      <c r="H2236" s="13"/>
    </row>
    <row r="2237">
      <c r="A2237" s="6"/>
      <c r="B2237" s="6"/>
      <c r="H2237" s="13"/>
    </row>
    <row r="2238">
      <c r="A2238" s="6"/>
      <c r="B2238" s="6"/>
      <c r="H2238" s="13"/>
    </row>
    <row r="2239">
      <c r="A2239" s="6"/>
      <c r="B2239" s="6"/>
      <c r="H2239" s="13"/>
    </row>
    <row r="2240">
      <c r="A2240" s="6"/>
      <c r="B2240" s="6"/>
      <c r="H2240" s="13"/>
    </row>
    <row r="2241">
      <c r="A2241" s="6"/>
      <c r="B2241" s="6"/>
      <c r="H2241" s="13"/>
    </row>
    <row r="2242">
      <c r="A2242" s="6"/>
      <c r="B2242" s="6"/>
      <c r="H2242" s="13"/>
    </row>
    <row r="2243">
      <c r="A2243" s="6"/>
      <c r="B2243" s="6"/>
      <c r="H2243" s="13"/>
    </row>
    <row r="2244">
      <c r="A2244" s="6"/>
      <c r="B2244" s="6"/>
      <c r="H2244" s="13"/>
    </row>
    <row r="2245">
      <c r="A2245" s="6"/>
      <c r="B2245" s="6"/>
      <c r="H2245" s="13"/>
    </row>
    <row r="2246">
      <c r="A2246" s="6"/>
      <c r="B2246" s="6"/>
      <c r="H2246" s="13"/>
    </row>
    <row r="2247">
      <c r="A2247" s="6"/>
      <c r="B2247" s="6"/>
      <c r="H2247" s="13"/>
    </row>
    <row r="2248">
      <c r="A2248" s="6"/>
      <c r="B2248" s="6"/>
      <c r="H2248" s="13"/>
    </row>
    <row r="2249">
      <c r="A2249" s="6"/>
      <c r="B2249" s="6"/>
      <c r="H2249" s="13"/>
    </row>
    <row r="2250">
      <c r="A2250" s="6"/>
      <c r="B2250" s="6"/>
      <c r="H2250" s="13"/>
    </row>
    <row r="2251">
      <c r="A2251" s="6"/>
      <c r="B2251" s="6"/>
      <c r="H2251" s="13"/>
    </row>
    <row r="2252">
      <c r="A2252" s="6"/>
      <c r="B2252" s="6"/>
      <c r="H2252" s="13"/>
    </row>
    <row r="2253">
      <c r="A2253" s="6"/>
      <c r="B2253" s="6"/>
      <c r="H2253" s="13"/>
    </row>
    <row r="2254">
      <c r="A2254" s="6"/>
      <c r="B2254" s="6"/>
      <c r="H2254" s="13"/>
    </row>
    <row r="2255">
      <c r="A2255" s="6"/>
      <c r="B2255" s="6"/>
      <c r="H2255" s="13"/>
    </row>
    <row r="2256">
      <c r="A2256" s="6"/>
      <c r="B2256" s="6"/>
      <c r="H2256" s="13"/>
    </row>
    <row r="2257">
      <c r="A2257" s="6"/>
      <c r="B2257" s="6"/>
      <c r="H2257" s="13"/>
    </row>
    <row r="2258">
      <c r="A2258" s="6"/>
      <c r="B2258" s="6"/>
      <c r="H2258" s="13"/>
    </row>
    <row r="2259">
      <c r="A2259" s="6"/>
      <c r="B2259" s="6"/>
      <c r="H2259" s="13"/>
    </row>
    <row r="2260">
      <c r="A2260" s="6"/>
      <c r="B2260" s="6"/>
      <c r="H2260" s="13"/>
    </row>
    <row r="2261">
      <c r="A2261" s="6"/>
      <c r="B2261" s="6"/>
      <c r="H2261" s="13"/>
    </row>
    <row r="2262">
      <c r="A2262" s="6"/>
      <c r="B2262" s="6"/>
      <c r="H2262" s="13"/>
    </row>
    <row r="2263">
      <c r="A2263" s="6"/>
      <c r="B2263" s="6"/>
      <c r="H2263" s="13"/>
    </row>
    <row r="2264">
      <c r="A2264" s="6"/>
      <c r="B2264" s="6"/>
      <c r="H2264" s="13"/>
    </row>
    <row r="2265">
      <c r="A2265" s="6"/>
      <c r="B2265" s="6"/>
      <c r="H2265" s="13"/>
    </row>
    <row r="2266">
      <c r="A2266" s="6"/>
      <c r="B2266" s="6"/>
      <c r="H2266" s="13"/>
    </row>
    <row r="2267">
      <c r="A2267" s="6"/>
      <c r="B2267" s="6"/>
      <c r="H2267" s="13"/>
    </row>
    <row r="2268">
      <c r="A2268" s="6"/>
      <c r="B2268" s="6"/>
      <c r="H2268" s="13"/>
    </row>
    <row r="2269">
      <c r="A2269" s="6"/>
      <c r="B2269" s="6"/>
      <c r="H2269" s="13"/>
    </row>
    <row r="2270">
      <c r="A2270" s="6"/>
      <c r="B2270" s="6"/>
      <c r="H2270" s="13"/>
    </row>
    <row r="2271">
      <c r="A2271" s="6"/>
      <c r="B2271" s="6"/>
      <c r="H2271" s="13"/>
    </row>
    <row r="2272">
      <c r="A2272" s="6"/>
      <c r="B2272" s="6"/>
      <c r="H2272" s="13"/>
    </row>
    <row r="2273">
      <c r="A2273" s="6"/>
      <c r="B2273" s="6"/>
      <c r="H2273" s="13"/>
    </row>
    <row r="2274">
      <c r="A2274" s="6"/>
      <c r="B2274" s="6"/>
      <c r="H2274" s="13"/>
    </row>
    <row r="2275">
      <c r="A2275" s="6"/>
      <c r="B2275" s="6"/>
      <c r="H2275" s="13"/>
    </row>
    <row r="2276">
      <c r="A2276" s="6"/>
      <c r="B2276" s="6"/>
      <c r="H2276" s="13"/>
    </row>
    <row r="2277">
      <c r="A2277" s="6"/>
      <c r="B2277" s="6"/>
      <c r="H2277" s="13"/>
    </row>
    <row r="2278">
      <c r="A2278" s="6"/>
      <c r="B2278" s="6"/>
      <c r="H2278" s="13"/>
    </row>
    <row r="2279">
      <c r="A2279" s="6"/>
      <c r="B2279" s="6"/>
      <c r="H2279" s="13"/>
    </row>
    <row r="2280">
      <c r="A2280" s="6"/>
      <c r="B2280" s="6"/>
      <c r="H2280" s="13"/>
    </row>
    <row r="2281">
      <c r="A2281" s="6"/>
      <c r="B2281" s="6"/>
      <c r="H2281" s="13"/>
    </row>
    <row r="2282">
      <c r="A2282" s="6"/>
      <c r="B2282" s="6"/>
      <c r="H2282" s="13"/>
    </row>
    <row r="2283">
      <c r="A2283" s="6"/>
      <c r="B2283" s="6"/>
      <c r="H2283" s="13"/>
    </row>
    <row r="2284">
      <c r="A2284" s="6"/>
      <c r="B2284" s="6"/>
      <c r="H2284" s="13"/>
    </row>
    <row r="2285">
      <c r="A2285" s="6"/>
      <c r="B2285" s="6"/>
      <c r="H2285" s="13"/>
    </row>
    <row r="2286">
      <c r="A2286" s="6"/>
      <c r="B2286" s="6"/>
      <c r="H2286" s="13"/>
    </row>
    <row r="2287">
      <c r="A2287" s="6"/>
      <c r="B2287" s="6"/>
      <c r="H2287" s="13"/>
    </row>
    <row r="2288">
      <c r="A2288" s="6"/>
      <c r="B2288" s="6"/>
      <c r="H2288" s="13"/>
    </row>
    <row r="2289">
      <c r="A2289" s="6"/>
      <c r="B2289" s="6"/>
      <c r="H2289" s="13"/>
    </row>
    <row r="2290">
      <c r="A2290" s="6"/>
      <c r="B2290" s="6"/>
      <c r="H2290" s="13"/>
    </row>
    <row r="2291">
      <c r="A2291" s="6"/>
      <c r="B2291" s="6"/>
      <c r="H2291" s="13"/>
    </row>
    <row r="2292">
      <c r="A2292" s="6"/>
      <c r="B2292" s="6"/>
      <c r="H2292" s="13"/>
    </row>
    <row r="2293">
      <c r="A2293" s="6"/>
      <c r="B2293" s="6"/>
      <c r="H2293" s="13"/>
    </row>
    <row r="2294">
      <c r="A2294" s="6"/>
      <c r="B2294" s="6"/>
      <c r="H2294" s="13"/>
    </row>
    <row r="2295">
      <c r="A2295" s="6"/>
      <c r="B2295" s="6"/>
      <c r="H2295" s="13"/>
    </row>
    <row r="2296">
      <c r="A2296" s="6"/>
      <c r="B2296" s="6"/>
      <c r="H2296" s="13"/>
    </row>
    <row r="2297">
      <c r="A2297" s="6"/>
      <c r="B2297" s="6"/>
      <c r="H2297" s="13"/>
    </row>
    <row r="2298">
      <c r="A2298" s="6"/>
      <c r="B2298" s="6"/>
      <c r="H2298" s="13"/>
    </row>
    <row r="2299">
      <c r="A2299" s="6"/>
      <c r="B2299" s="6"/>
      <c r="H2299" s="13"/>
    </row>
    <row r="2300">
      <c r="A2300" s="6"/>
      <c r="B2300" s="6"/>
      <c r="H2300" s="13"/>
    </row>
    <row r="2301">
      <c r="A2301" s="6"/>
      <c r="B2301" s="6"/>
      <c r="H2301" s="13"/>
    </row>
    <row r="2302">
      <c r="A2302" s="6"/>
      <c r="B2302" s="6"/>
      <c r="H2302" s="13"/>
    </row>
    <row r="2303">
      <c r="A2303" s="6"/>
      <c r="B2303" s="6"/>
      <c r="H2303" s="13"/>
    </row>
    <row r="2304">
      <c r="A2304" s="6"/>
      <c r="B2304" s="6"/>
      <c r="H2304" s="13"/>
    </row>
    <row r="2305">
      <c r="A2305" s="6"/>
      <c r="B2305" s="6"/>
      <c r="H2305" s="13"/>
    </row>
    <row r="2306">
      <c r="A2306" s="6"/>
      <c r="B2306" s="6"/>
      <c r="H2306" s="13"/>
    </row>
    <row r="2307">
      <c r="A2307" s="6"/>
      <c r="B2307" s="6"/>
      <c r="H2307" s="13"/>
    </row>
    <row r="2308">
      <c r="A2308" s="6"/>
      <c r="B2308" s="6"/>
      <c r="H2308" s="13"/>
    </row>
    <row r="2309">
      <c r="A2309" s="6"/>
      <c r="B2309" s="6"/>
      <c r="H2309" s="13"/>
    </row>
    <row r="2310">
      <c r="A2310" s="6"/>
      <c r="B2310" s="6"/>
      <c r="H2310" s="13"/>
    </row>
    <row r="2311">
      <c r="A2311" s="6"/>
      <c r="B2311" s="6"/>
      <c r="H2311" s="13"/>
    </row>
    <row r="2312">
      <c r="A2312" s="6"/>
      <c r="B2312" s="6"/>
      <c r="H2312" s="13"/>
    </row>
    <row r="2313">
      <c r="A2313" s="6"/>
      <c r="B2313" s="6"/>
      <c r="H2313" s="13"/>
    </row>
    <row r="2314">
      <c r="A2314" s="6"/>
      <c r="B2314" s="6"/>
      <c r="H2314" s="13"/>
    </row>
    <row r="2315">
      <c r="A2315" s="6"/>
      <c r="B2315" s="6"/>
      <c r="H2315" s="13"/>
    </row>
    <row r="2316">
      <c r="A2316" s="6"/>
      <c r="B2316" s="6"/>
      <c r="H2316" s="13"/>
    </row>
    <row r="2317">
      <c r="A2317" s="6"/>
      <c r="B2317" s="6"/>
      <c r="H2317" s="13"/>
    </row>
    <row r="2318">
      <c r="A2318" s="6"/>
      <c r="B2318" s="6"/>
      <c r="H2318" s="13"/>
    </row>
    <row r="2319">
      <c r="A2319" s="6"/>
      <c r="B2319" s="6"/>
      <c r="H2319" s="13"/>
    </row>
    <row r="2320">
      <c r="A2320" s="6"/>
      <c r="B2320" s="6"/>
      <c r="H2320" s="13"/>
    </row>
    <row r="2321">
      <c r="A2321" s="6"/>
      <c r="B2321" s="6"/>
      <c r="H2321" s="13"/>
    </row>
    <row r="2322">
      <c r="A2322" s="6"/>
      <c r="B2322" s="6"/>
      <c r="H2322" s="13"/>
    </row>
    <row r="2323">
      <c r="A2323" s="6"/>
      <c r="B2323" s="6"/>
      <c r="H2323" s="13"/>
    </row>
    <row r="2324">
      <c r="A2324" s="6"/>
      <c r="B2324" s="6"/>
      <c r="H2324" s="13"/>
    </row>
    <row r="2325">
      <c r="A2325" s="6"/>
      <c r="B2325" s="6"/>
      <c r="H2325" s="13"/>
    </row>
    <row r="2326">
      <c r="A2326" s="6"/>
      <c r="B2326" s="6"/>
      <c r="H2326" s="13"/>
    </row>
    <row r="2327">
      <c r="A2327" s="6"/>
      <c r="B2327" s="6"/>
      <c r="H2327" s="13"/>
    </row>
    <row r="2328">
      <c r="A2328" s="6"/>
      <c r="B2328" s="6"/>
      <c r="H2328" s="13"/>
    </row>
    <row r="2329">
      <c r="A2329" s="6"/>
      <c r="B2329" s="6"/>
      <c r="H2329" s="13"/>
    </row>
    <row r="2330">
      <c r="A2330" s="6"/>
      <c r="B2330" s="6"/>
      <c r="H2330" s="13"/>
    </row>
    <row r="2331">
      <c r="A2331" s="6"/>
      <c r="B2331" s="6"/>
      <c r="H2331" s="13"/>
    </row>
    <row r="2332">
      <c r="A2332" s="6"/>
      <c r="B2332" s="6"/>
      <c r="H2332" s="13"/>
    </row>
    <row r="2333">
      <c r="A2333" s="6"/>
      <c r="B2333" s="6"/>
      <c r="H2333" s="13"/>
    </row>
    <row r="2334">
      <c r="A2334" s="6"/>
      <c r="B2334" s="6"/>
      <c r="H2334" s="13"/>
    </row>
    <row r="2335">
      <c r="A2335" s="6"/>
      <c r="B2335" s="6"/>
      <c r="H2335" s="13"/>
    </row>
    <row r="2336">
      <c r="A2336" s="6"/>
      <c r="B2336" s="6"/>
      <c r="H2336" s="13"/>
    </row>
    <row r="2337">
      <c r="A2337" s="6"/>
      <c r="B2337" s="6"/>
      <c r="H2337" s="13"/>
    </row>
    <row r="2338">
      <c r="A2338" s="6"/>
      <c r="B2338" s="6"/>
      <c r="H2338" s="13"/>
    </row>
    <row r="2339">
      <c r="A2339" s="6"/>
      <c r="B2339" s="6"/>
      <c r="H2339" s="13"/>
    </row>
    <row r="2340">
      <c r="A2340" s="6"/>
      <c r="B2340" s="6"/>
      <c r="H2340" s="13"/>
    </row>
    <row r="2341">
      <c r="A2341" s="6"/>
      <c r="B2341" s="6"/>
      <c r="H2341" s="13"/>
    </row>
    <row r="2342">
      <c r="A2342" s="6"/>
      <c r="B2342" s="6"/>
      <c r="H2342" s="13"/>
    </row>
    <row r="2343">
      <c r="A2343" s="6"/>
      <c r="B2343" s="6"/>
      <c r="H2343" s="13"/>
    </row>
    <row r="2344">
      <c r="A2344" s="6"/>
      <c r="B2344" s="6"/>
      <c r="H2344" s="13"/>
    </row>
    <row r="2345">
      <c r="A2345" s="6"/>
      <c r="B2345" s="6"/>
      <c r="H2345" s="13"/>
    </row>
    <row r="2346">
      <c r="A2346" s="6"/>
      <c r="B2346" s="6"/>
      <c r="H2346" s="13"/>
    </row>
    <row r="2347">
      <c r="A2347" s="6"/>
      <c r="B2347" s="6"/>
      <c r="H2347" s="13"/>
    </row>
    <row r="2348">
      <c r="A2348" s="6"/>
      <c r="B2348" s="6"/>
      <c r="H2348" s="13"/>
    </row>
    <row r="2349">
      <c r="A2349" s="6"/>
      <c r="B2349" s="6"/>
      <c r="H2349" s="13"/>
    </row>
    <row r="2350">
      <c r="A2350" s="6"/>
      <c r="B2350" s="6"/>
      <c r="H2350" s="13"/>
    </row>
    <row r="2351">
      <c r="A2351" s="6"/>
      <c r="B2351" s="6"/>
      <c r="H2351" s="13"/>
    </row>
    <row r="2352">
      <c r="A2352" s="6"/>
      <c r="B2352" s="6"/>
      <c r="H2352" s="13"/>
    </row>
    <row r="2353">
      <c r="A2353" s="6"/>
      <c r="B2353" s="6"/>
      <c r="H2353" s="13"/>
    </row>
    <row r="2354">
      <c r="A2354" s="6"/>
      <c r="B2354" s="6"/>
      <c r="H2354" s="13"/>
    </row>
    <row r="2355">
      <c r="A2355" s="6"/>
      <c r="B2355" s="6"/>
      <c r="H2355" s="13"/>
    </row>
    <row r="2356">
      <c r="A2356" s="6"/>
      <c r="B2356" s="6"/>
      <c r="H2356" s="13"/>
    </row>
    <row r="2357">
      <c r="A2357" s="6"/>
      <c r="B2357" s="6"/>
      <c r="H2357" s="13"/>
    </row>
    <row r="2358">
      <c r="A2358" s="6"/>
      <c r="B2358" s="6"/>
      <c r="H2358" s="13"/>
    </row>
    <row r="2359">
      <c r="A2359" s="6"/>
      <c r="B2359" s="6"/>
      <c r="H2359" s="13"/>
    </row>
    <row r="2360">
      <c r="A2360" s="6"/>
      <c r="B2360" s="6"/>
      <c r="H2360" s="13"/>
    </row>
    <row r="2361">
      <c r="A2361" s="6"/>
      <c r="B2361" s="6"/>
      <c r="H2361" s="13"/>
    </row>
    <row r="2362">
      <c r="A2362" s="6"/>
      <c r="B2362" s="6"/>
      <c r="H2362" s="13"/>
    </row>
    <row r="2363">
      <c r="A2363" s="6"/>
      <c r="B2363" s="6"/>
      <c r="H2363" s="13"/>
    </row>
    <row r="2364">
      <c r="A2364" s="6"/>
      <c r="B2364" s="6"/>
      <c r="H2364" s="13"/>
    </row>
    <row r="2365">
      <c r="A2365" s="6"/>
      <c r="B2365" s="6"/>
      <c r="H2365" s="13"/>
    </row>
    <row r="2366">
      <c r="A2366" s="6"/>
      <c r="B2366" s="6"/>
      <c r="H2366" s="13"/>
    </row>
    <row r="2367">
      <c r="A2367" s="6"/>
      <c r="B2367" s="6"/>
      <c r="H2367" s="13"/>
    </row>
    <row r="2368">
      <c r="A2368" s="6"/>
      <c r="B2368" s="6"/>
      <c r="H2368" s="13"/>
    </row>
    <row r="2369">
      <c r="A2369" s="6"/>
      <c r="B2369" s="6"/>
      <c r="H2369" s="13"/>
    </row>
    <row r="2370">
      <c r="A2370" s="6"/>
      <c r="B2370" s="6"/>
      <c r="H2370" s="13"/>
    </row>
    <row r="2371">
      <c r="A2371" s="6"/>
      <c r="B2371" s="6"/>
      <c r="H2371" s="13"/>
    </row>
    <row r="2372">
      <c r="A2372" s="6"/>
      <c r="B2372" s="6"/>
      <c r="H2372" s="13"/>
    </row>
    <row r="2373">
      <c r="A2373" s="6"/>
      <c r="B2373" s="6"/>
      <c r="H2373" s="13"/>
    </row>
    <row r="2374">
      <c r="A2374" s="6"/>
      <c r="B2374" s="6"/>
      <c r="H2374" s="13"/>
    </row>
    <row r="2375">
      <c r="A2375" s="6"/>
      <c r="B2375" s="6"/>
      <c r="H2375" s="13"/>
    </row>
    <row r="2376">
      <c r="A2376" s="6"/>
      <c r="B2376" s="6"/>
      <c r="H2376" s="13"/>
    </row>
    <row r="2377">
      <c r="A2377" s="6"/>
      <c r="B2377" s="6"/>
      <c r="H2377" s="13"/>
    </row>
    <row r="2378">
      <c r="A2378" s="6"/>
      <c r="B2378" s="6"/>
      <c r="H2378" s="13"/>
    </row>
    <row r="2379">
      <c r="A2379" s="6"/>
      <c r="B2379" s="6"/>
      <c r="H2379" s="13"/>
    </row>
    <row r="2380">
      <c r="A2380" s="6"/>
      <c r="B2380" s="6"/>
      <c r="H2380" s="13"/>
    </row>
    <row r="2381">
      <c r="A2381" s="6"/>
      <c r="B2381" s="6"/>
      <c r="H2381" s="13"/>
    </row>
    <row r="2382">
      <c r="A2382" s="6"/>
      <c r="B2382" s="6"/>
      <c r="H2382" s="13"/>
    </row>
    <row r="2383">
      <c r="A2383" s="6"/>
      <c r="B2383" s="6"/>
      <c r="H2383" s="13"/>
    </row>
    <row r="2384">
      <c r="A2384" s="6"/>
      <c r="B2384" s="6"/>
      <c r="H2384" s="13"/>
    </row>
    <row r="2385">
      <c r="A2385" s="6"/>
      <c r="B2385" s="6"/>
      <c r="H2385" s="13"/>
    </row>
    <row r="2386">
      <c r="A2386" s="6"/>
      <c r="B2386" s="6"/>
      <c r="H2386" s="13"/>
    </row>
    <row r="2387">
      <c r="A2387" s="6"/>
      <c r="B2387" s="6"/>
      <c r="H2387" s="13"/>
    </row>
    <row r="2388">
      <c r="A2388" s="6"/>
      <c r="B2388" s="6"/>
      <c r="H2388" s="13"/>
    </row>
    <row r="2389">
      <c r="A2389" s="6"/>
      <c r="B2389" s="6"/>
      <c r="H2389" s="13"/>
    </row>
    <row r="2390">
      <c r="A2390" s="6"/>
      <c r="B2390" s="6"/>
      <c r="H2390" s="13"/>
    </row>
    <row r="2391">
      <c r="A2391" s="6"/>
      <c r="B2391" s="6"/>
      <c r="H2391" s="13"/>
    </row>
    <row r="2392">
      <c r="A2392" s="6"/>
      <c r="B2392" s="6"/>
      <c r="H2392" s="13"/>
    </row>
    <row r="2393">
      <c r="A2393" s="6"/>
      <c r="B2393" s="6"/>
      <c r="H2393" s="13"/>
    </row>
    <row r="2394">
      <c r="A2394" s="6"/>
      <c r="B2394" s="6"/>
      <c r="H2394" s="13"/>
    </row>
    <row r="2395">
      <c r="A2395" s="6"/>
      <c r="B2395" s="6"/>
      <c r="H2395" s="13"/>
    </row>
    <row r="2396">
      <c r="A2396" s="6"/>
      <c r="B2396" s="6"/>
      <c r="H2396" s="13"/>
    </row>
    <row r="2397">
      <c r="A2397" s="6"/>
      <c r="B2397" s="6"/>
      <c r="H2397" s="13"/>
    </row>
    <row r="2398">
      <c r="A2398" s="6"/>
      <c r="B2398" s="6"/>
      <c r="H2398" s="13"/>
    </row>
    <row r="2399">
      <c r="A2399" s="6"/>
      <c r="B2399" s="6"/>
      <c r="H2399" s="13"/>
    </row>
    <row r="2400">
      <c r="A2400" s="6"/>
      <c r="B2400" s="6"/>
      <c r="H2400" s="13"/>
    </row>
    <row r="2401">
      <c r="A2401" s="6"/>
      <c r="B2401" s="6"/>
      <c r="H2401" s="13"/>
    </row>
    <row r="2402">
      <c r="A2402" s="6"/>
      <c r="B2402" s="6"/>
      <c r="H2402" s="13"/>
    </row>
    <row r="2403">
      <c r="A2403" s="6"/>
      <c r="B2403" s="6"/>
      <c r="H2403" s="13"/>
    </row>
    <row r="2404">
      <c r="A2404" s="6"/>
      <c r="B2404" s="6"/>
      <c r="H2404" s="13"/>
    </row>
    <row r="2405">
      <c r="A2405" s="6"/>
      <c r="B2405" s="6"/>
      <c r="H2405" s="13"/>
    </row>
    <row r="2406">
      <c r="A2406" s="6"/>
      <c r="B2406" s="6"/>
      <c r="H2406" s="13"/>
    </row>
    <row r="2407">
      <c r="A2407" s="6"/>
      <c r="B2407" s="6"/>
      <c r="H2407" s="13"/>
    </row>
    <row r="2408">
      <c r="A2408" s="6"/>
      <c r="B2408" s="6"/>
      <c r="H2408" s="13"/>
    </row>
    <row r="2409">
      <c r="A2409" s="6"/>
      <c r="B2409" s="6"/>
      <c r="H2409" s="13"/>
    </row>
    <row r="2410">
      <c r="A2410" s="6"/>
      <c r="B2410" s="6"/>
      <c r="H2410" s="13"/>
    </row>
    <row r="2411">
      <c r="A2411" s="6"/>
      <c r="B2411" s="6"/>
      <c r="H2411" s="13"/>
    </row>
    <row r="2412">
      <c r="A2412" s="6"/>
      <c r="B2412" s="6"/>
      <c r="H2412" s="13"/>
    </row>
    <row r="2413">
      <c r="A2413" s="6"/>
      <c r="B2413" s="6"/>
      <c r="H2413" s="13"/>
    </row>
    <row r="2414">
      <c r="A2414" s="6"/>
      <c r="B2414" s="6"/>
      <c r="H2414" s="13"/>
    </row>
    <row r="2415">
      <c r="A2415" s="6"/>
      <c r="B2415" s="6"/>
      <c r="H2415" s="13"/>
    </row>
    <row r="2416">
      <c r="A2416" s="6"/>
      <c r="B2416" s="6"/>
      <c r="H2416" s="13"/>
    </row>
    <row r="2417">
      <c r="A2417" s="6"/>
      <c r="B2417" s="6"/>
      <c r="H2417" s="13"/>
    </row>
    <row r="2418">
      <c r="A2418" s="6"/>
      <c r="B2418" s="6"/>
      <c r="H2418" s="13"/>
    </row>
    <row r="2419">
      <c r="A2419" s="6"/>
      <c r="B2419" s="6"/>
      <c r="H2419" s="13"/>
    </row>
    <row r="2420">
      <c r="A2420" s="6"/>
      <c r="B2420" s="6"/>
      <c r="H2420" s="13"/>
    </row>
    <row r="2421">
      <c r="A2421" s="6"/>
      <c r="B2421" s="6"/>
      <c r="H2421" s="13"/>
    </row>
    <row r="2422">
      <c r="A2422" s="6"/>
      <c r="B2422" s="6"/>
      <c r="H2422" s="13"/>
    </row>
    <row r="2423">
      <c r="A2423" s="6"/>
      <c r="B2423" s="6"/>
      <c r="H2423" s="13"/>
    </row>
    <row r="2424">
      <c r="A2424" s="6"/>
      <c r="B2424" s="6"/>
      <c r="H2424" s="13"/>
    </row>
    <row r="2425">
      <c r="A2425" s="6"/>
      <c r="B2425" s="6"/>
      <c r="H2425" s="13"/>
    </row>
    <row r="2426">
      <c r="A2426" s="6"/>
      <c r="B2426" s="6"/>
      <c r="H2426" s="13"/>
    </row>
    <row r="2427">
      <c r="A2427" s="6"/>
      <c r="B2427" s="6"/>
      <c r="H2427" s="13"/>
    </row>
    <row r="2428">
      <c r="A2428" s="6"/>
      <c r="B2428" s="6"/>
      <c r="H2428" s="13"/>
    </row>
    <row r="2429">
      <c r="A2429" s="6"/>
      <c r="B2429" s="6"/>
      <c r="H2429" s="13"/>
    </row>
    <row r="2430">
      <c r="A2430" s="6"/>
      <c r="B2430" s="6"/>
      <c r="H2430" s="13"/>
    </row>
    <row r="2431">
      <c r="A2431" s="6"/>
      <c r="B2431" s="6"/>
      <c r="H2431" s="13"/>
    </row>
    <row r="2432">
      <c r="A2432" s="6"/>
      <c r="B2432" s="6"/>
      <c r="H2432" s="13"/>
    </row>
    <row r="2433">
      <c r="A2433" s="6"/>
      <c r="B2433" s="6"/>
      <c r="H2433" s="13"/>
    </row>
    <row r="2434">
      <c r="A2434" s="6"/>
      <c r="B2434" s="6"/>
      <c r="H2434" s="13"/>
    </row>
    <row r="2435">
      <c r="A2435" s="6"/>
      <c r="B2435" s="6"/>
      <c r="H2435" s="13"/>
    </row>
    <row r="2436">
      <c r="A2436" s="6"/>
      <c r="B2436" s="6"/>
      <c r="H2436" s="13"/>
    </row>
    <row r="2437">
      <c r="A2437" s="6"/>
      <c r="B2437" s="6"/>
      <c r="H2437" s="13"/>
    </row>
    <row r="2438">
      <c r="A2438" s="6"/>
      <c r="B2438" s="6"/>
      <c r="H2438" s="13"/>
    </row>
    <row r="2439">
      <c r="A2439" s="6"/>
      <c r="B2439" s="6"/>
      <c r="H2439" s="13"/>
    </row>
    <row r="2440">
      <c r="A2440" s="6"/>
      <c r="B2440" s="6"/>
      <c r="H2440" s="13"/>
    </row>
    <row r="2441">
      <c r="A2441" s="6"/>
      <c r="B2441" s="6"/>
      <c r="H2441" s="13"/>
    </row>
    <row r="2442">
      <c r="A2442" s="6"/>
      <c r="B2442" s="6"/>
      <c r="H2442" s="13"/>
    </row>
    <row r="2443">
      <c r="A2443" s="6"/>
      <c r="B2443" s="6"/>
      <c r="H2443" s="13"/>
    </row>
    <row r="2444">
      <c r="A2444" s="6"/>
      <c r="B2444" s="6"/>
      <c r="H2444" s="13"/>
    </row>
    <row r="2445">
      <c r="A2445" s="6"/>
      <c r="B2445" s="6"/>
      <c r="H2445" s="13"/>
    </row>
    <row r="2446">
      <c r="A2446" s="6"/>
      <c r="B2446" s="6"/>
      <c r="H2446" s="13"/>
    </row>
    <row r="2447">
      <c r="A2447" s="6"/>
      <c r="B2447" s="6"/>
      <c r="H2447" s="13"/>
    </row>
    <row r="2448">
      <c r="A2448" s="6"/>
      <c r="B2448" s="6"/>
      <c r="H2448" s="13"/>
    </row>
    <row r="2449">
      <c r="A2449" s="6"/>
      <c r="B2449" s="6"/>
      <c r="H2449" s="13"/>
    </row>
    <row r="2450">
      <c r="A2450" s="6"/>
      <c r="B2450" s="6"/>
      <c r="H2450" s="13"/>
    </row>
    <row r="2451">
      <c r="A2451" s="6"/>
      <c r="B2451" s="6"/>
      <c r="H2451" s="13"/>
    </row>
    <row r="2452">
      <c r="A2452" s="6"/>
      <c r="B2452" s="6"/>
      <c r="H2452" s="13"/>
    </row>
    <row r="2453">
      <c r="A2453" s="6"/>
      <c r="B2453" s="6"/>
      <c r="H2453" s="13"/>
    </row>
    <row r="2454">
      <c r="A2454" s="6"/>
      <c r="B2454" s="6"/>
      <c r="H2454" s="13"/>
    </row>
    <row r="2455">
      <c r="A2455" s="6"/>
      <c r="B2455" s="6"/>
      <c r="H2455" s="13"/>
    </row>
    <row r="2456">
      <c r="A2456" s="6"/>
      <c r="B2456" s="6"/>
      <c r="H2456" s="13"/>
    </row>
    <row r="2457">
      <c r="A2457" s="6"/>
      <c r="B2457" s="6"/>
      <c r="H2457" s="13"/>
    </row>
    <row r="2458">
      <c r="A2458" s="6"/>
      <c r="B2458" s="6"/>
      <c r="H2458" s="13"/>
    </row>
    <row r="2459">
      <c r="A2459" s="6"/>
      <c r="B2459" s="6"/>
      <c r="H2459" s="13"/>
    </row>
    <row r="2460">
      <c r="A2460" s="6"/>
      <c r="B2460" s="6"/>
      <c r="H2460" s="13"/>
    </row>
    <row r="2461">
      <c r="A2461" s="6"/>
      <c r="B2461" s="6"/>
      <c r="H2461" s="13"/>
    </row>
    <row r="2462">
      <c r="A2462" s="6"/>
      <c r="B2462" s="6"/>
      <c r="H2462" s="13"/>
    </row>
    <row r="2463">
      <c r="A2463" s="6"/>
      <c r="B2463" s="6"/>
      <c r="H2463" s="13"/>
    </row>
    <row r="2464">
      <c r="A2464" s="6"/>
      <c r="B2464" s="6"/>
      <c r="H2464" s="13"/>
    </row>
    <row r="2465">
      <c r="A2465" s="6"/>
      <c r="B2465" s="6"/>
      <c r="H2465" s="13"/>
    </row>
    <row r="2466">
      <c r="A2466" s="6"/>
      <c r="B2466" s="6"/>
      <c r="H2466" s="13"/>
    </row>
    <row r="2467">
      <c r="A2467" s="6"/>
      <c r="B2467" s="6"/>
      <c r="H2467" s="13"/>
    </row>
    <row r="2468">
      <c r="A2468" s="6"/>
      <c r="B2468" s="6"/>
      <c r="H2468" s="13"/>
    </row>
    <row r="2469">
      <c r="A2469" s="6"/>
      <c r="B2469" s="6"/>
      <c r="H2469" s="13"/>
    </row>
    <row r="2470">
      <c r="A2470" s="6"/>
      <c r="B2470" s="6"/>
      <c r="H2470" s="13"/>
    </row>
    <row r="2471">
      <c r="A2471" s="6"/>
      <c r="B2471" s="6"/>
      <c r="H2471" s="13"/>
    </row>
    <row r="2472">
      <c r="A2472" s="6"/>
      <c r="B2472" s="6"/>
      <c r="H2472" s="13"/>
    </row>
    <row r="2473">
      <c r="A2473" s="6"/>
      <c r="B2473" s="6"/>
      <c r="H2473" s="13"/>
    </row>
    <row r="2474">
      <c r="A2474" s="6"/>
      <c r="B2474" s="6"/>
      <c r="H2474" s="13"/>
    </row>
    <row r="2475">
      <c r="A2475" s="6"/>
      <c r="B2475" s="6"/>
      <c r="H2475" s="13"/>
    </row>
    <row r="2476">
      <c r="A2476" s="6"/>
      <c r="B2476" s="6"/>
      <c r="H2476" s="13"/>
    </row>
    <row r="2477">
      <c r="A2477" s="6"/>
      <c r="B2477" s="6"/>
      <c r="H2477" s="13"/>
    </row>
    <row r="2478">
      <c r="A2478" s="6"/>
      <c r="B2478" s="6"/>
      <c r="H2478" s="13"/>
    </row>
    <row r="2479">
      <c r="A2479" s="6"/>
      <c r="B2479" s="6"/>
      <c r="H2479" s="13"/>
    </row>
    <row r="2480">
      <c r="A2480" s="6"/>
      <c r="B2480" s="6"/>
      <c r="H2480" s="13"/>
    </row>
    <row r="2481">
      <c r="A2481" s="6"/>
      <c r="B2481" s="6"/>
      <c r="H2481" s="13"/>
    </row>
    <row r="2482">
      <c r="A2482" s="6"/>
      <c r="B2482" s="6"/>
      <c r="H2482" s="13"/>
    </row>
    <row r="2483">
      <c r="A2483" s="6"/>
      <c r="B2483" s="6"/>
      <c r="H2483" s="13"/>
    </row>
    <row r="2484">
      <c r="A2484" s="6"/>
      <c r="B2484" s="6"/>
      <c r="H2484" s="13"/>
    </row>
    <row r="2485">
      <c r="A2485" s="6"/>
      <c r="B2485" s="6"/>
      <c r="H2485" s="13"/>
    </row>
    <row r="2486">
      <c r="A2486" s="6"/>
      <c r="B2486" s="6"/>
      <c r="H2486" s="13"/>
    </row>
    <row r="2487">
      <c r="A2487" s="6"/>
      <c r="B2487" s="6"/>
      <c r="H2487" s="13"/>
    </row>
    <row r="2488">
      <c r="A2488" s="6"/>
      <c r="B2488" s="6"/>
      <c r="H2488" s="13"/>
    </row>
    <row r="2489">
      <c r="A2489" s="6"/>
      <c r="B2489" s="6"/>
      <c r="H2489" s="13"/>
    </row>
    <row r="2490">
      <c r="A2490" s="6"/>
      <c r="B2490" s="6"/>
      <c r="H2490" s="13"/>
    </row>
    <row r="2491">
      <c r="A2491" s="6"/>
      <c r="B2491" s="6"/>
      <c r="H2491" s="13"/>
    </row>
    <row r="2492">
      <c r="A2492" s="6"/>
      <c r="B2492" s="6"/>
      <c r="H2492" s="13"/>
    </row>
    <row r="2493">
      <c r="A2493" s="6"/>
      <c r="B2493" s="6"/>
      <c r="H2493" s="13"/>
    </row>
    <row r="2494">
      <c r="A2494" s="6"/>
      <c r="B2494" s="6"/>
      <c r="H2494" s="13"/>
    </row>
    <row r="2495">
      <c r="A2495" s="6"/>
      <c r="B2495" s="6"/>
      <c r="H2495" s="13"/>
    </row>
    <row r="2496">
      <c r="A2496" s="6"/>
      <c r="B2496" s="6"/>
      <c r="H2496" s="13"/>
    </row>
    <row r="2497">
      <c r="A2497" s="6"/>
      <c r="B2497" s="6"/>
      <c r="H2497" s="13"/>
    </row>
    <row r="2498">
      <c r="A2498" s="6"/>
      <c r="B2498" s="6"/>
      <c r="H2498" s="13"/>
    </row>
    <row r="2499">
      <c r="A2499" s="6"/>
      <c r="B2499" s="6"/>
      <c r="H2499" s="13"/>
    </row>
    <row r="2500">
      <c r="A2500" s="6"/>
      <c r="B2500" s="6"/>
      <c r="H2500" s="13"/>
    </row>
    <row r="2501">
      <c r="A2501" s="6"/>
      <c r="B2501" s="6"/>
      <c r="H2501" s="13"/>
    </row>
    <row r="2502">
      <c r="A2502" s="6"/>
      <c r="B2502" s="6"/>
      <c r="H2502" s="13"/>
    </row>
    <row r="2503">
      <c r="A2503" s="6"/>
      <c r="B2503" s="6"/>
      <c r="H2503" s="13"/>
    </row>
    <row r="2504">
      <c r="A2504" s="6"/>
      <c r="B2504" s="6"/>
      <c r="H2504" s="13"/>
    </row>
    <row r="2505">
      <c r="A2505" s="6"/>
      <c r="B2505" s="6"/>
      <c r="H2505" s="13"/>
    </row>
    <row r="2506">
      <c r="A2506" s="6"/>
      <c r="B2506" s="6"/>
      <c r="H2506" s="13"/>
    </row>
    <row r="2507">
      <c r="A2507" s="6"/>
      <c r="B2507" s="6"/>
      <c r="H2507" s="13"/>
    </row>
    <row r="2508">
      <c r="A2508" s="6"/>
      <c r="B2508" s="6"/>
      <c r="H2508" s="13"/>
    </row>
    <row r="2509">
      <c r="A2509" s="6"/>
      <c r="B2509" s="6"/>
      <c r="H2509" s="13"/>
    </row>
    <row r="2510">
      <c r="A2510" s="6"/>
      <c r="B2510" s="6"/>
      <c r="H2510" s="13"/>
    </row>
    <row r="2511">
      <c r="A2511" s="6"/>
      <c r="B2511" s="6"/>
      <c r="H2511" s="13"/>
    </row>
    <row r="2512">
      <c r="A2512" s="6"/>
      <c r="B2512" s="6"/>
      <c r="H2512" s="13"/>
    </row>
    <row r="2513">
      <c r="A2513" s="6"/>
      <c r="B2513" s="6"/>
      <c r="H2513" s="13"/>
    </row>
    <row r="2514">
      <c r="A2514" s="6"/>
      <c r="B2514" s="6"/>
      <c r="H2514" s="13"/>
    </row>
    <row r="2515">
      <c r="A2515" s="6"/>
      <c r="B2515" s="6"/>
      <c r="H2515" s="13"/>
    </row>
    <row r="2516">
      <c r="A2516" s="6"/>
      <c r="B2516" s="6"/>
      <c r="H2516" s="13"/>
    </row>
    <row r="2517">
      <c r="A2517" s="6"/>
      <c r="B2517" s="6"/>
      <c r="H2517" s="13"/>
    </row>
    <row r="2518">
      <c r="A2518" s="6"/>
      <c r="B2518" s="6"/>
      <c r="H2518" s="13"/>
    </row>
    <row r="2519">
      <c r="A2519" s="6"/>
      <c r="B2519" s="6"/>
      <c r="H2519" s="13"/>
    </row>
    <row r="2520">
      <c r="A2520" s="6"/>
      <c r="B2520" s="6"/>
      <c r="H2520" s="13"/>
    </row>
    <row r="2521">
      <c r="A2521" s="6"/>
      <c r="B2521" s="6"/>
      <c r="H2521" s="13"/>
    </row>
    <row r="2522">
      <c r="A2522" s="6"/>
      <c r="B2522" s="6"/>
      <c r="H2522" s="13"/>
    </row>
    <row r="2523">
      <c r="A2523" s="6"/>
      <c r="B2523" s="6"/>
      <c r="H2523" s="13"/>
    </row>
    <row r="2524">
      <c r="A2524" s="6"/>
      <c r="B2524" s="6"/>
      <c r="H2524" s="13"/>
    </row>
    <row r="2525">
      <c r="A2525" s="6"/>
      <c r="B2525" s="6"/>
      <c r="H2525" s="13"/>
    </row>
    <row r="2526">
      <c r="A2526" s="6"/>
      <c r="B2526" s="6"/>
      <c r="H2526" s="13"/>
    </row>
    <row r="2527">
      <c r="A2527" s="6"/>
      <c r="B2527" s="6"/>
      <c r="H2527" s="13"/>
    </row>
    <row r="2528">
      <c r="A2528" s="6"/>
      <c r="B2528" s="6"/>
      <c r="H2528" s="13"/>
    </row>
    <row r="2529">
      <c r="A2529" s="6"/>
      <c r="B2529" s="6"/>
      <c r="H2529" s="13"/>
    </row>
    <row r="2530">
      <c r="A2530" s="6"/>
      <c r="B2530" s="6"/>
      <c r="H2530" s="13"/>
    </row>
    <row r="2531">
      <c r="A2531" s="6"/>
      <c r="B2531" s="6"/>
      <c r="H2531" s="13"/>
    </row>
    <row r="2532">
      <c r="A2532" s="6"/>
      <c r="B2532" s="6"/>
      <c r="H2532" s="13"/>
    </row>
    <row r="2533">
      <c r="A2533" s="6"/>
      <c r="B2533" s="6"/>
      <c r="H2533" s="13"/>
    </row>
    <row r="2534">
      <c r="A2534" s="6"/>
      <c r="B2534" s="6"/>
      <c r="H2534" s="13"/>
    </row>
    <row r="2535">
      <c r="A2535" s="6"/>
      <c r="B2535" s="6"/>
      <c r="H2535" s="13"/>
    </row>
    <row r="2536">
      <c r="A2536" s="6"/>
      <c r="B2536" s="6"/>
      <c r="H2536" s="13"/>
    </row>
    <row r="2537">
      <c r="A2537" s="6"/>
      <c r="B2537" s="6"/>
      <c r="H2537" s="13"/>
    </row>
    <row r="2538">
      <c r="A2538" s="6"/>
      <c r="B2538" s="6"/>
      <c r="H2538" s="13"/>
    </row>
    <row r="2539">
      <c r="A2539" s="6"/>
      <c r="B2539" s="6"/>
      <c r="H2539" s="13"/>
    </row>
    <row r="2540">
      <c r="A2540" s="6"/>
      <c r="B2540" s="6"/>
      <c r="H2540" s="13"/>
    </row>
    <row r="2541">
      <c r="A2541" s="6"/>
      <c r="B2541" s="6"/>
      <c r="H2541" s="13"/>
    </row>
    <row r="2542">
      <c r="A2542" s="6"/>
      <c r="B2542" s="6"/>
      <c r="H2542" s="13"/>
    </row>
    <row r="2543">
      <c r="A2543" s="6"/>
      <c r="B2543" s="6"/>
      <c r="H2543" s="13"/>
    </row>
    <row r="2544">
      <c r="A2544" s="6"/>
      <c r="B2544" s="6"/>
      <c r="H2544" s="13"/>
    </row>
    <row r="2545">
      <c r="A2545" s="6"/>
      <c r="B2545" s="6"/>
      <c r="H2545" s="13"/>
    </row>
    <row r="2546">
      <c r="A2546" s="6"/>
      <c r="B2546" s="6"/>
      <c r="H2546" s="13"/>
    </row>
    <row r="2547">
      <c r="A2547" s="6"/>
      <c r="B2547" s="6"/>
      <c r="H2547" s="13"/>
    </row>
    <row r="2548">
      <c r="A2548" s="6"/>
      <c r="B2548" s="6"/>
      <c r="H2548" s="13"/>
    </row>
    <row r="2549">
      <c r="A2549" s="6"/>
      <c r="B2549" s="6"/>
      <c r="H2549" s="13"/>
    </row>
    <row r="2550">
      <c r="A2550" s="6"/>
      <c r="B2550" s="6"/>
      <c r="H2550" s="13"/>
    </row>
    <row r="2551">
      <c r="A2551" s="6"/>
      <c r="B2551" s="6"/>
      <c r="H2551" s="13"/>
    </row>
    <row r="2552">
      <c r="A2552" s="6"/>
      <c r="B2552" s="6"/>
      <c r="H2552" s="13"/>
    </row>
    <row r="2553">
      <c r="A2553" s="6"/>
      <c r="B2553" s="6"/>
      <c r="H2553" s="13"/>
    </row>
    <row r="2554">
      <c r="A2554" s="6"/>
      <c r="B2554" s="6"/>
      <c r="H2554" s="13"/>
    </row>
    <row r="2555">
      <c r="A2555" s="6"/>
      <c r="B2555" s="6"/>
      <c r="H2555" s="13"/>
    </row>
    <row r="2556">
      <c r="A2556" s="6"/>
      <c r="B2556" s="6"/>
      <c r="H2556" s="13"/>
    </row>
    <row r="2557">
      <c r="A2557" s="6"/>
      <c r="B2557" s="6"/>
      <c r="H2557" s="13"/>
    </row>
    <row r="2558">
      <c r="A2558" s="6"/>
      <c r="B2558" s="6"/>
      <c r="H2558" s="13"/>
    </row>
    <row r="2559">
      <c r="A2559" s="6"/>
      <c r="B2559" s="6"/>
      <c r="H2559" s="13"/>
    </row>
    <row r="2560">
      <c r="A2560" s="6"/>
      <c r="B2560" s="6"/>
      <c r="H2560" s="13"/>
    </row>
    <row r="2561">
      <c r="A2561" s="6"/>
      <c r="B2561" s="6"/>
      <c r="H2561" s="13"/>
    </row>
    <row r="2562">
      <c r="A2562" s="6"/>
      <c r="B2562" s="6"/>
      <c r="H2562" s="13"/>
    </row>
    <row r="2563">
      <c r="A2563" s="6"/>
      <c r="B2563" s="6"/>
      <c r="H2563" s="13"/>
    </row>
    <row r="2564">
      <c r="A2564" s="6"/>
      <c r="B2564" s="6"/>
      <c r="H2564" s="13"/>
    </row>
    <row r="2565">
      <c r="A2565" s="6"/>
      <c r="B2565" s="6"/>
      <c r="H2565" s="13"/>
    </row>
    <row r="2566">
      <c r="A2566" s="6"/>
      <c r="B2566" s="6"/>
      <c r="H2566" s="13"/>
    </row>
    <row r="2567">
      <c r="A2567" s="6"/>
      <c r="B2567" s="6"/>
      <c r="H2567" s="13"/>
    </row>
    <row r="2568">
      <c r="A2568" s="6"/>
      <c r="B2568" s="6"/>
      <c r="H2568" s="13"/>
    </row>
    <row r="2569">
      <c r="A2569" s="6"/>
      <c r="B2569" s="6"/>
      <c r="H2569" s="13"/>
    </row>
    <row r="2570">
      <c r="A2570" s="6"/>
      <c r="B2570" s="6"/>
      <c r="H2570" s="13"/>
    </row>
    <row r="2571">
      <c r="A2571" s="6"/>
      <c r="B2571" s="6"/>
      <c r="H2571" s="13"/>
    </row>
    <row r="2572">
      <c r="A2572" s="6"/>
      <c r="B2572" s="6"/>
      <c r="H2572" s="13"/>
    </row>
    <row r="2573">
      <c r="A2573" s="6"/>
      <c r="B2573" s="6"/>
      <c r="H2573" s="13"/>
    </row>
    <row r="2574">
      <c r="A2574" s="6"/>
      <c r="B2574" s="6"/>
      <c r="H2574" s="13"/>
    </row>
    <row r="2575">
      <c r="A2575" s="6"/>
      <c r="B2575" s="6"/>
      <c r="H2575" s="13"/>
    </row>
    <row r="2576">
      <c r="A2576" s="6"/>
      <c r="B2576" s="6"/>
      <c r="H2576" s="13"/>
    </row>
    <row r="2577">
      <c r="A2577" s="6"/>
      <c r="B2577" s="6"/>
      <c r="H2577" s="13"/>
    </row>
    <row r="2578">
      <c r="A2578" s="6"/>
      <c r="B2578" s="6"/>
      <c r="H2578" s="13"/>
    </row>
    <row r="2579">
      <c r="A2579" s="6"/>
      <c r="B2579" s="6"/>
      <c r="H2579" s="13"/>
    </row>
    <row r="2580">
      <c r="A2580" s="6"/>
      <c r="B2580" s="6"/>
      <c r="H2580" s="13"/>
    </row>
    <row r="2581">
      <c r="A2581" s="6"/>
      <c r="B2581" s="6"/>
      <c r="H2581" s="13"/>
    </row>
    <row r="2582">
      <c r="A2582" s="6"/>
      <c r="B2582" s="6"/>
      <c r="H2582" s="13"/>
    </row>
    <row r="2583">
      <c r="A2583" s="6"/>
      <c r="B2583" s="6"/>
      <c r="H2583" s="13"/>
    </row>
    <row r="2584">
      <c r="A2584" s="6"/>
      <c r="B2584" s="6"/>
      <c r="H2584" s="13"/>
    </row>
    <row r="2585">
      <c r="A2585" s="6"/>
      <c r="B2585" s="6"/>
      <c r="H2585" s="13"/>
    </row>
    <row r="2586">
      <c r="A2586" s="6"/>
      <c r="B2586" s="6"/>
      <c r="H2586" s="13"/>
    </row>
    <row r="2587">
      <c r="A2587" s="6"/>
      <c r="B2587" s="6"/>
      <c r="H2587" s="13"/>
    </row>
    <row r="2588">
      <c r="A2588" s="6"/>
      <c r="B2588" s="6"/>
      <c r="H2588" s="13"/>
    </row>
    <row r="2589">
      <c r="A2589" s="6"/>
      <c r="B2589" s="6"/>
      <c r="H2589" s="13"/>
    </row>
    <row r="2590">
      <c r="A2590" s="6"/>
      <c r="B2590" s="6"/>
      <c r="H2590" s="13"/>
    </row>
    <row r="2591">
      <c r="A2591" s="6"/>
      <c r="B2591" s="6"/>
      <c r="H2591" s="13"/>
    </row>
    <row r="2592">
      <c r="A2592" s="6"/>
      <c r="B2592" s="6"/>
      <c r="H2592" s="13"/>
    </row>
    <row r="2593">
      <c r="A2593" s="6"/>
      <c r="B2593" s="6"/>
      <c r="H2593" s="13"/>
    </row>
    <row r="2594">
      <c r="A2594" s="6"/>
      <c r="B2594" s="6"/>
      <c r="H2594" s="13"/>
    </row>
    <row r="2595">
      <c r="A2595" s="6"/>
      <c r="B2595" s="6"/>
      <c r="H2595" s="13"/>
    </row>
    <row r="2596">
      <c r="A2596" s="6"/>
      <c r="B2596" s="6"/>
      <c r="H2596" s="13"/>
    </row>
    <row r="2597">
      <c r="A2597" s="6"/>
      <c r="B2597" s="6"/>
      <c r="H2597" s="13"/>
    </row>
    <row r="2598">
      <c r="A2598" s="6"/>
      <c r="B2598" s="6"/>
      <c r="H2598" s="13"/>
    </row>
    <row r="2599">
      <c r="A2599" s="6"/>
      <c r="B2599" s="6"/>
      <c r="H2599" s="13"/>
    </row>
    <row r="2600">
      <c r="A2600" s="6"/>
      <c r="B2600" s="6"/>
      <c r="H2600" s="13"/>
    </row>
    <row r="2601">
      <c r="A2601" s="6"/>
      <c r="B2601" s="6"/>
      <c r="H2601" s="13"/>
    </row>
    <row r="2602">
      <c r="A2602" s="6"/>
      <c r="B2602" s="6"/>
      <c r="H2602" s="13"/>
    </row>
    <row r="2603">
      <c r="A2603" s="6"/>
      <c r="B2603" s="6"/>
      <c r="H2603" s="13"/>
    </row>
    <row r="2604">
      <c r="A2604" s="6"/>
      <c r="B2604" s="6"/>
      <c r="H2604" s="13"/>
    </row>
    <row r="2605">
      <c r="A2605" s="6"/>
      <c r="B2605" s="6"/>
      <c r="H2605" s="13"/>
    </row>
    <row r="2606">
      <c r="A2606" s="6"/>
      <c r="B2606" s="6"/>
      <c r="H2606" s="13"/>
    </row>
    <row r="2607">
      <c r="A2607" s="6"/>
      <c r="B2607" s="6"/>
      <c r="H2607" s="13"/>
    </row>
    <row r="2608">
      <c r="A2608" s="6"/>
      <c r="B2608" s="6"/>
      <c r="H2608" s="13"/>
    </row>
    <row r="2609">
      <c r="A2609" s="6"/>
      <c r="B2609" s="6"/>
      <c r="H2609" s="13"/>
    </row>
    <row r="2610">
      <c r="A2610" s="6"/>
      <c r="B2610" s="6"/>
      <c r="H2610" s="13"/>
    </row>
    <row r="2611">
      <c r="A2611" s="6"/>
      <c r="B2611" s="6"/>
      <c r="H2611" s="13"/>
    </row>
    <row r="2612">
      <c r="A2612" s="6"/>
      <c r="B2612" s="6"/>
      <c r="H2612" s="13"/>
    </row>
    <row r="2613">
      <c r="A2613" s="6"/>
      <c r="B2613" s="6"/>
      <c r="H2613" s="13"/>
    </row>
    <row r="2614">
      <c r="A2614" s="6"/>
      <c r="B2614" s="6"/>
      <c r="H2614" s="13"/>
    </row>
    <row r="2615">
      <c r="A2615" s="6"/>
      <c r="B2615" s="6"/>
      <c r="H2615" s="13"/>
    </row>
    <row r="2616">
      <c r="A2616" s="6"/>
      <c r="B2616" s="6"/>
      <c r="H2616" s="13"/>
    </row>
    <row r="2617">
      <c r="A2617" s="6"/>
      <c r="B2617" s="6"/>
      <c r="H2617" s="13"/>
    </row>
    <row r="2618">
      <c r="A2618" s="6"/>
      <c r="B2618" s="6"/>
      <c r="H2618" s="13"/>
    </row>
    <row r="2619">
      <c r="A2619" s="6"/>
      <c r="B2619" s="6"/>
      <c r="H2619" s="13"/>
    </row>
    <row r="2620">
      <c r="A2620" s="6"/>
      <c r="B2620" s="6"/>
      <c r="H2620" s="13"/>
    </row>
    <row r="2621">
      <c r="A2621" s="6"/>
      <c r="B2621" s="6"/>
      <c r="H2621" s="13"/>
    </row>
    <row r="2622">
      <c r="A2622" s="6"/>
      <c r="B2622" s="6"/>
      <c r="H2622" s="13"/>
    </row>
    <row r="2623">
      <c r="A2623" s="6"/>
      <c r="B2623" s="6"/>
      <c r="H2623" s="13"/>
    </row>
    <row r="2624">
      <c r="A2624" s="6"/>
      <c r="B2624" s="6"/>
      <c r="H2624" s="13"/>
    </row>
    <row r="2625">
      <c r="A2625" s="6"/>
      <c r="B2625" s="6"/>
      <c r="H2625" s="13"/>
    </row>
    <row r="2626">
      <c r="A2626" s="6"/>
      <c r="B2626" s="6"/>
      <c r="H2626" s="13"/>
    </row>
    <row r="2627">
      <c r="A2627" s="6"/>
      <c r="B2627" s="6"/>
      <c r="H2627" s="13"/>
    </row>
    <row r="2628">
      <c r="A2628" s="6"/>
      <c r="B2628" s="6"/>
      <c r="H2628" s="13"/>
    </row>
    <row r="2629">
      <c r="A2629" s="6"/>
      <c r="B2629" s="6"/>
      <c r="H2629" s="13"/>
    </row>
    <row r="2630">
      <c r="A2630" s="6"/>
      <c r="B2630" s="6"/>
      <c r="H2630" s="13"/>
    </row>
    <row r="2631">
      <c r="A2631" s="6"/>
      <c r="B2631" s="6"/>
      <c r="H2631" s="13"/>
    </row>
    <row r="2632">
      <c r="A2632" s="6"/>
      <c r="B2632" s="6"/>
      <c r="H2632" s="13"/>
    </row>
    <row r="2633">
      <c r="A2633" s="6"/>
      <c r="B2633" s="6"/>
      <c r="H2633" s="13"/>
    </row>
    <row r="2634">
      <c r="A2634" s="6"/>
      <c r="B2634" s="6"/>
      <c r="H2634" s="13"/>
    </row>
    <row r="2635">
      <c r="A2635" s="6"/>
      <c r="B2635" s="6"/>
      <c r="H2635" s="13"/>
    </row>
    <row r="2636">
      <c r="A2636" s="6"/>
      <c r="B2636" s="6"/>
      <c r="H2636" s="13"/>
    </row>
    <row r="2637">
      <c r="A2637" s="6"/>
      <c r="B2637" s="6"/>
      <c r="H2637" s="13"/>
    </row>
    <row r="2638">
      <c r="A2638" s="6"/>
      <c r="B2638" s="6"/>
      <c r="H2638" s="13"/>
    </row>
    <row r="2639">
      <c r="A2639" s="6"/>
      <c r="B2639" s="6"/>
      <c r="H2639" s="13"/>
    </row>
    <row r="2640">
      <c r="A2640" s="6"/>
      <c r="B2640" s="6"/>
      <c r="H2640" s="13"/>
    </row>
    <row r="2641">
      <c r="A2641" s="6"/>
      <c r="B2641" s="6"/>
      <c r="H2641" s="13"/>
    </row>
    <row r="2642">
      <c r="A2642" s="6"/>
      <c r="B2642" s="6"/>
      <c r="H2642" s="13"/>
    </row>
    <row r="2643">
      <c r="A2643" s="6"/>
      <c r="B2643" s="6"/>
      <c r="H2643" s="13"/>
    </row>
    <row r="2644">
      <c r="A2644" s="6"/>
      <c r="B2644" s="6"/>
      <c r="H2644" s="13"/>
    </row>
    <row r="2645">
      <c r="A2645" s="6"/>
      <c r="B2645" s="6"/>
      <c r="H2645" s="13"/>
    </row>
    <row r="2646">
      <c r="A2646" s="6"/>
      <c r="B2646" s="6"/>
      <c r="H2646" s="13"/>
    </row>
    <row r="2647">
      <c r="A2647" s="6"/>
      <c r="B2647" s="6"/>
      <c r="H2647" s="13"/>
    </row>
    <row r="2648">
      <c r="A2648" s="6"/>
      <c r="B2648" s="6"/>
      <c r="H2648" s="13"/>
    </row>
    <row r="2649">
      <c r="A2649" s="6"/>
      <c r="B2649" s="6"/>
      <c r="H2649" s="13"/>
    </row>
    <row r="2650">
      <c r="A2650" s="6"/>
      <c r="B2650" s="6"/>
      <c r="H2650" s="13"/>
    </row>
    <row r="2651">
      <c r="A2651" s="6"/>
      <c r="B2651" s="6"/>
      <c r="H2651" s="13"/>
    </row>
    <row r="2652">
      <c r="A2652" s="6"/>
      <c r="B2652" s="6"/>
      <c r="H2652" s="13"/>
    </row>
    <row r="2653">
      <c r="A2653" s="6"/>
      <c r="B2653" s="6"/>
      <c r="H2653" s="13"/>
    </row>
    <row r="2654">
      <c r="A2654" s="6"/>
      <c r="B2654" s="6"/>
      <c r="H2654" s="13"/>
    </row>
    <row r="2655">
      <c r="A2655" s="6"/>
      <c r="B2655" s="6"/>
      <c r="H2655" s="13"/>
    </row>
    <row r="2656">
      <c r="A2656" s="6"/>
      <c r="B2656" s="6"/>
      <c r="H2656" s="13"/>
    </row>
    <row r="2657">
      <c r="A2657" s="6"/>
      <c r="B2657" s="6"/>
      <c r="H2657" s="13"/>
    </row>
    <row r="2658">
      <c r="A2658" s="6"/>
      <c r="B2658" s="6"/>
      <c r="H2658" s="13"/>
    </row>
    <row r="2659">
      <c r="A2659" s="6"/>
      <c r="B2659" s="6"/>
      <c r="H2659" s="13"/>
    </row>
    <row r="2660">
      <c r="A2660" s="6"/>
      <c r="B2660" s="6"/>
      <c r="H2660" s="13"/>
    </row>
    <row r="2661">
      <c r="A2661" s="6"/>
      <c r="B2661" s="6"/>
      <c r="H2661" s="13"/>
    </row>
    <row r="2662">
      <c r="A2662" s="6"/>
      <c r="B2662" s="6"/>
      <c r="H2662" s="13"/>
    </row>
    <row r="2663">
      <c r="A2663" s="6"/>
      <c r="B2663" s="6"/>
      <c r="H2663" s="13"/>
    </row>
    <row r="2664">
      <c r="A2664" s="6"/>
      <c r="B2664" s="6"/>
      <c r="H2664" s="13"/>
    </row>
    <row r="2665">
      <c r="A2665" s="6"/>
      <c r="B2665" s="6"/>
      <c r="H2665" s="13"/>
    </row>
    <row r="2666">
      <c r="A2666" s="6"/>
      <c r="B2666" s="6"/>
      <c r="H2666" s="13"/>
    </row>
    <row r="2667">
      <c r="A2667" s="6"/>
      <c r="B2667" s="6"/>
      <c r="H2667" s="13"/>
    </row>
    <row r="2668">
      <c r="A2668" s="6"/>
      <c r="B2668" s="6"/>
      <c r="H2668" s="13"/>
    </row>
    <row r="2669">
      <c r="A2669" s="6"/>
      <c r="B2669" s="6"/>
      <c r="H2669" s="13"/>
    </row>
    <row r="2670">
      <c r="A2670" s="6"/>
      <c r="B2670" s="6"/>
      <c r="H2670" s="13"/>
    </row>
    <row r="2671">
      <c r="A2671" s="6"/>
      <c r="B2671" s="6"/>
      <c r="H2671" s="13"/>
    </row>
    <row r="2672">
      <c r="A2672" s="6"/>
      <c r="B2672" s="6"/>
      <c r="H2672" s="13"/>
    </row>
    <row r="2673">
      <c r="A2673" s="6"/>
      <c r="B2673" s="6"/>
      <c r="H2673" s="13"/>
    </row>
    <row r="2674">
      <c r="A2674" s="6"/>
      <c r="B2674" s="6"/>
      <c r="H2674" s="13"/>
    </row>
    <row r="2675">
      <c r="A2675" s="6"/>
      <c r="B2675" s="6"/>
      <c r="H2675" s="13"/>
    </row>
    <row r="2676">
      <c r="A2676" s="6"/>
      <c r="B2676" s="6"/>
      <c r="H2676" s="13"/>
    </row>
    <row r="2677">
      <c r="A2677" s="6"/>
      <c r="B2677" s="6"/>
      <c r="H2677" s="13"/>
    </row>
    <row r="2678">
      <c r="A2678" s="6"/>
      <c r="B2678" s="6"/>
      <c r="H2678" s="13"/>
    </row>
    <row r="2679">
      <c r="A2679" s="6"/>
      <c r="B2679" s="6"/>
      <c r="H2679" s="13"/>
    </row>
    <row r="2680">
      <c r="A2680" s="6"/>
      <c r="B2680" s="6"/>
      <c r="H2680" s="13"/>
    </row>
    <row r="2681">
      <c r="A2681" s="6"/>
      <c r="B2681" s="6"/>
      <c r="H2681" s="13"/>
    </row>
    <row r="2682">
      <c r="A2682" s="6"/>
      <c r="B2682" s="6"/>
      <c r="H2682" s="13"/>
    </row>
    <row r="2683">
      <c r="A2683" s="6"/>
      <c r="B2683" s="6"/>
      <c r="H2683" s="13"/>
    </row>
    <row r="2684">
      <c r="A2684" s="6"/>
      <c r="B2684" s="6"/>
      <c r="H2684" s="13"/>
    </row>
    <row r="2685">
      <c r="A2685" s="6"/>
      <c r="B2685" s="6"/>
      <c r="H2685" s="13"/>
    </row>
    <row r="2686">
      <c r="A2686" s="6"/>
      <c r="B2686" s="6"/>
      <c r="H2686" s="13"/>
    </row>
    <row r="2687">
      <c r="A2687" s="6"/>
      <c r="B2687" s="6"/>
      <c r="H2687" s="13"/>
    </row>
    <row r="2688">
      <c r="A2688" s="6"/>
      <c r="B2688" s="6"/>
      <c r="H2688" s="13"/>
    </row>
    <row r="2689">
      <c r="A2689" s="6"/>
      <c r="B2689" s="6"/>
      <c r="H2689" s="13"/>
    </row>
    <row r="2690">
      <c r="A2690" s="6"/>
      <c r="B2690" s="6"/>
      <c r="H2690" s="13"/>
    </row>
    <row r="2691">
      <c r="A2691" s="6"/>
      <c r="B2691" s="6"/>
      <c r="H2691" s="13"/>
    </row>
    <row r="2692">
      <c r="A2692" s="6"/>
      <c r="B2692" s="6"/>
      <c r="H2692" s="13"/>
    </row>
    <row r="2693">
      <c r="A2693" s="6"/>
      <c r="B2693" s="6"/>
      <c r="H2693" s="13"/>
    </row>
    <row r="2694">
      <c r="A2694" s="6"/>
      <c r="B2694" s="6"/>
      <c r="H2694" s="13"/>
    </row>
    <row r="2695">
      <c r="A2695" s="6"/>
      <c r="B2695" s="6"/>
      <c r="H2695" s="13"/>
    </row>
    <row r="2696">
      <c r="A2696" s="6"/>
      <c r="B2696" s="6"/>
      <c r="H2696" s="13"/>
    </row>
    <row r="2697">
      <c r="A2697" s="6"/>
      <c r="B2697" s="6"/>
      <c r="H2697" s="13"/>
    </row>
    <row r="2698">
      <c r="A2698" s="6"/>
      <c r="B2698" s="6"/>
      <c r="H2698" s="13"/>
    </row>
    <row r="2699">
      <c r="A2699" s="6"/>
      <c r="B2699" s="6"/>
      <c r="H2699" s="13"/>
    </row>
    <row r="2700">
      <c r="A2700" s="6"/>
      <c r="B2700" s="6"/>
      <c r="H2700" s="13"/>
    </row>
    <row r="2701">
      <c r="A2701" s="6"/>
      <c r="B2701" s="6"/>
      <c r="H2701" s="13"/>
    </row>
    <row r="2702">
      <c r="A2702" s="6"/>
      <c r="B2702" s="6"/>
      <c r="H2702" s="13"/>
    </row>
    <row r="2703">
      <c r="A2703" s="6"/>
      <c r="B2703" s="6"/>
      <c r="H2703" s="13"/>
    </row>
    <row r="2704">
      <c r="A2704" s="6"/>
      <c r="B2704" s="6"/>
      <c r="H2704" s="13"/>
    </row>
    <row r="2705">
      <c r="A2705" s="6"/>
      <c r="B2705" s="6"/>
      <c r="H2705" s="13"/>
    </row>
    <row r="2706">
      <c r="A2706" s="6"/>
      <c r="B2706" s="6"/>
      <c r="H2706" s="13"/>
    </row>
    <row r="2707">
      <c r="A2707" s="6"/>
      <c r="B2707" s="6"/>
      <c r="H2707" s="13"/>
    </row>
    <row r="2708">
      <c r="A2708" s="6"/>
      <c r="B2708" s="6"/>
      <c r="H2708" s="13"/>
    </row>
    <row r="2709">
      <c r="A2709" s="6"/>
      <c r="B2709" s="6"/>
      <c r="H2709" s="13"/>
    </row>
    <row r="2710">
      <c r="A2710" s="6"/>
      <c r="B2710" s="6"/>
      <c r="H2710" s="13"/>
    </row>
    <row r="2711">
      <c r="A2711" s="6"/>
      <c r="B2711" s="6"/>
      <c r="H2711" s="13"/>
    </row>
    <row r="2712">
      <c r="A2712" s="6"/>
      <c r="B2712" s="6"/>
      <c r="H2712" s="13"/>
    </row>
    <row r="2713">
      <c r="A2713" s="6"/>
      <c r="B2713" s="6"/>
      <c r="H2713" s="13"/>
    </row>
    <row r="2714">
      <c r="A2714" s="6"/>
      <c r="B2714" s="6"/>
      <c r="H2714" s="13"/>
    </row>
    <row r="2715">
      <c r="A2715" s="6"/>
      <c r="B2715" s="6"/>
      <c r="H2715" s="13"/>
    </row>
    <row r="2716">
      <c r="A2716" s="6"/>
      <c r="B2716" s="6"/>
      <c r="H2716" s="13"/>
    </row>
    <row r="2717">
      <c r="A2717" s="6"/>
      <c r="B2717" s="6"/>
      <c r="H2717" s="13"/>
    </row>
    <row r="2718">
      <c r="A2718" s="6"/>
      <c r="B2718" s="6"/>
      <c r="H2718" s="13"/>
    </row>
    <row r="2719">
      <c r="A2719" s="6"/>
      <c r="B2719" s="6"/>
      <c r="H2719" s="13"/>
    </row>
    <row r="2720">
      <c r="A2720" s="6"/>
      <c r="B2720" s="6"/>
      <c r="H2720" s="13"/>
    </row>
    <row r="2721">
      <c r="A2721" s="6"/>
      <c r="B2721" s="6"/>
      <c r="H2721" s="13"/>
    </row>
    <row r="2722">
      <c r="A2722" s="6"/>
      <c r="B2722" s="6"/>
      <c r="H2722" s="13"/>
    </row>
    <row r="2723">
      <c r="A2723" s="6"/>
      <c r="B2723" s="6"/>
      <c r="H2723" s="13"/>
    </row>
    <row r="2724">
      <c r="A2724" s="6"/>
      <c r="B2724" s="6"/>
      <c r="H2724" s="13"/>
    </row>
    <row r="2725">
      <c r="A2725" s="6"/>
      <c r="B2725" s="6"/>
      <c r="H2725" s="13"/>
    </row>
    <row r="2726">
      <c r="A2726" s="6"/>
      <c r="B2726" s="6"/>
      <c r="H2726" s="13"/>
    </row>
    <row r="2727">
      <c r="A2727" s="6"/>
      <c r="B2727" s="6"/>
      <c r="H2727" s="13"/>
    </row>
    <row r="2728">
      <c r="A2728" s="6"/>
      <c r="B2728" s="6"/>
      <c r="H2728" s="13"/>
    </row>
    <row r="2729">
      <c r="A2729" s="6"/>
      <c r="B2729" s="6"/>
      <c r="H2729" s="13"/>
    </row>
    <row r="2730">
      <c r="A2730" s="6"/>
      <c r="B2730" s="6"/>
      <c r="H2730" s="13"/>
    </row>
    <row r="2731">
      <c r="A2731" s="6"/>
      <c r="B2731" s="6"/>
      <c r="H2731" s="13"/>
    </row>
    <row r="2732">
      <c r="A2732" s="6"/>
      <c r="B2732" s="6"/>
      <c r="H2732" s="13"/>
    </row>
    <row r="2733">
      <c r="A2733" s="6"/>
      <c r="B2733" s="6"/>
      <c r="H2733" s="13"/>
    </row>
    <row r="2734">
      <c r="A2734" s="6"/>
      <c r="B2734" s="6"/>
      <c r="H2734" s="13"/>
    </row>
    <row r="2735">
      <c r="A2735" s="6"/>
      <c r="B2735" s="6"/>
      <c r="H2735" s="13"/>
    </row>
    <row r="2736">
      <c r="A2736" s="6"/>
      <c r="B2736" s="6"/>
      <c r="H2736" s="13"/>
    </row>
    <row r="2737">
      <c r="A2737" s="6"/>
      <c r="B2737" s="6"/>
      <c r="H2737" s="13"/>
    </row>
    <row r="2738">
      <c r="A2738" s="6"/>
      <c r="B2738" s="6"/>
      <c r="H2738" s="13"/>
    </row>
    <row r="2739">
      <c r="A2739" s="6"/>
      <c r="B2739" s="6"/>
      <c r="H2739" s="13"/>
    </row>
    <row r="2740">
      <c r="A2740" s="6"/>
      <c r="B2740" s="6"/>
      <c r="H2740" s="13"/>
    </row>
    <row r="2741">
      <c r="A2741" s="6"/>
      <c r="B2741" s="6"/>
      <c r="H2741" s="13"/>
    </row>
    <row r="2742">
      <c r="A2742" s="6"/>
      <c r="B2742" s="6"/>
      <c r="H2742" s="13"/>
    </row>
    <row r="2743">
      <c r="A2743" s="6"/>
      <c r="B2743" s="6"/>
      <c r="H2743" s="13"/>
    </row>
    <row r="2744">
      <c r="A2744" s="6"/>
      <c r="B2744" s="6"/>
      <c r="H2744" s="13"/>
    </row>
    <row r="2745">
      <c r="A2745" s="6"/>
      <c r="B2745" s="6"/>
      <c r="H2745" s="13"/>
    </row>
    <row r="2746">
      <c r="A2746" s="6"/>
      <c r="B2746" s="6"/>
      <c r="H2746" s="13"/>
    </row>
    <row r="2747">
      <c r="A2747" s="6"/>
      <c r="B2747" s="6"/>
      <c r="H2747" s="13"/>
    </row>
    <row r="2748">
      <c r="A2748" s="6"/>
      <c r="B2748" s="6"/>
      <c r="H2748" s="13"/>
    </row>
    <row r="2749">
      <c r="A2749" s="6"/>
      <c r="B2749" s="6"/>
      <c r="H2749" s="13"/>
    </row>
    <row r="2750">
      <c r="A2750" s="6"/>
      <c r="B2750" s="6"/>
      <c r="H2750" s="13"/>
    </row>
    <row r="2751">
      <c r="A2751" s="6"/>
      <c r="B2751" s="6"/>
      <c r="H2751" s="13"/>
    </row>
    <row r="2752">
      <c r="A2752" s="6"/>
      <c r="B2752" s="6"/>
      <c r="H2752" s="13"/>
    </row>
    <row r="2753">
      <c r="A2753" s="6"/>
      <c r="B2753" s="6"/>
      <c r="H2753" s="13"/>
    </row>
    <row r="2754">
      <c r="A2754" s="6"/>
      <c r="B2754" s="6"/>
      <c r="H2754" s="13"/>
    </row>
    <row r="2755">
      <c r="A2755" s="6"/>
      <c r="B2755" s="6"/>
      <c r="H2755" s="13"/>
    </row>
    <row r="2756">
      <c r="A2756" s="6"/>
      <c r="B2756" s="6"/>
      <c r="H2756" s="13"/>
    </row>
    <row r="2757">
      <c r="A2757" s="6"/>
      <c r="B2757" s="6"/>
      <c r="H2757" s="13"/>
    </row>
    <row r="2758">
      <c r="A2758" s="6"/>
      <c r="B2758" s="6"/>
      <c r="H2758" s="13"/>
    </row>
    <row r="2759">
      <c r="A2759" s="6"/>
      <c r="B2759" s="6"/>
      <c r="H2759" s="13"/>
    </row>
    <row r="2760">
      <c r="A2760" s="6"/>
      <c r="B2760" s="6"/>
      <c r="H2760" s="13"/>
    </row>
    <row r="2761">
      <c r="A2761" s="6"/>
      <c r="B2761" s="6"/>
      <c r="H2761" s="13"/>
    </row>
    <row r="2762">
      <c r="A2762" s="6"/>
      <c r="B2762" s="6"/>
      <c r="H2762" s="13"/>
    </row>
    <row r="2763">
      <c r="A2763" s="6"/>
      <c r="B2763" s="6"/>
      <c r="H2763" s="13"/>
    </row>
    <row r="2764">
      <c r="A2764" s="6"/>
      <c r="B2764" s="6"/>
      <c r="H2764" s="13"/>
    </row>
    <row r="2765">
      <c r="A2765" s="6"/>
      <c r="B2765" s="6"/>
      <c r="H2765" s="13"/>
    </row>
    <row r="2766">
      <c r="A2766" s="6"/>
      <c r="B2766" s="6"/>
      <c r="H2766" s="13"/>
    </row>
    <row r="2767">
      <c r="A2767" s="6"/>
      <c r="B2767" s="6"/>
      <c r="H2767" s="13"/>
    </row>
    <row r="2768">
      <c r="A2768" s="6"/>
      <c r="B2768" s="6"/>
      <c r="H2768" s="13"/>
    </row>
    <row r="2769">
      <c r="A2769" s="6"/>
      <c r="B2769" s="6"/>
      <c r="H2769" s="13"/>
    </row>
    <row r="2770">
      <c r="A2770" s="6"/>
      <c r="B2770" s="6"/>
      <c r="H2770" s="13"/>
    </row>
    <row r="2771">
      <c r="A2771" s="6"/>
      <c r="B2771" s="6"/>
      <c r="H2771" s="13"/>
    </row>
    <row r="2772">
      <c r="A2772" s="6"/>
      <c r="B2772" s="6"/>
      <c r="H2772" s="13"/>
    </row>
    <row r="2773">
      <c r="A2773" s="6"/>
      <c r="B2773" s="6"/>
      <c r="H2773" s="13"/>
    </row>
    <row r="2774">
      <c r="A2774" s="6"/>
      <c r="B2774" s="6"/>
      <c r="H2774" s="13"/>
    </row>
    <row r="2775">
      <c r="A2775" s="6"/>
      <c r="B2775" s="6"/>
      <c r="H2775" s="13"/>
    </row>
    <row r="2776">
      <c r="A2776" s="6"/>
      <c r="B2776" s="6"/>
      <c r="H2776" s="13"/>
    </row>
    <row r="2777">
      <c r="A2777" s="6"/>
      <c r="B2777" s="6"/>
      <c r="H2777" s="13"/>
    </row>
    <row r="2778">
      <c r="A2778" s="6"/>
      <c r="B2778" s="6"/>
      <c r="H2778" s="13"/>
    </row>
    <row r="2779">
      <c r="A2779" s="6"/>
      <c r="B2779" s="6"/>
      <c r="H2779" s="13"/>
    </row>
    <row r="2780">
      <c r="A2780" s="6"/>
      <c r="B2780" s="6"/>
      <c r="H2780" s="13"/>
    </row>
    <row r="2781">
      <c r="A2781" s="6"/>
      <c r="B2781" s="6"/>
      <c r="H2781" s="13"/>
    </row>
    <row r="2782">
      <c r="A2782" s="6"/>
      <c r="B2782" s="6"/>
      <c r="H2782" s="13"/>
    </row>
    <row r="2783">
      <c r="A2783" s="6"/>
      <c r="B2783" s="6"/>
      <c r="H2783" s="13"/>
    </row>
    <row r="2784">
      <c r="A2784" s="6"/>
      <c r="B2784" s="6"/>
      <c r="H2784" s="13"/>
    </row>
    <row r="2785">
      <c r="A2785" s="6"/>
      <c r="B2785" s="6"/>
      <c r="H2785" s="13"/>
    </row>
    <row r="2786">
      <c r="A2786" s="6"/>
      <c r="B2786" s="6"/>
      <c r="H2786" s="13"/>
    </row>
    <row r="2787">
      <c r="A2787" s="6"/>
      <c r="B2787" s="6"/>
      <c r="H2787" s="13"/>
    </row>
    <row r="2788">
      <c r="A2788" s="6"/>
      <c r="B2788" s="6"/>
      <c r="H2788" s="13"/>
    </row>
    <row r="2789">
      <c r="A2789" s="6"/>
      <c r="B2789" s="6"/>
      <c r="H2789" s="13"/>
    </row>
    <row r="2790">
      <c r="A2790" s="6"/>
      <c r="B2790" s="6"/>
      <c r="H2790" s="13"/>
    </row>
    <row r="2791">
      <c r="A2791" s="6"/>
      <c r="B2791" s="6"/>
      <c r="H2791" s="13"/>
    </row>
    <row r="2792">
      <c r="A2792" s="6"/>
      <c r="B2792" s="6"/>
      <c r="H2792" s="13"/>
    </row>
    <row r="2793">
      <c r="A2793" s="6"/>
      <c r="B2793" s="6"/>
      <c r="H2793" s="13"/>
    </row>
    <row r="2794">
      <c r="A2794" s="6"/>
      <c r="B2794" s="6"/>
      <c r="H2794" s="13"/>
    </row>
    <row r="2795">
      <c r="A2795" s="6"/>
      <c r="B2795" s="6"/>
      <c r="H2795" s="13"/>
    </row>
    <row r="2796">
      <c r="A2796" s="6"/>
      <c r="B2796" s="6"/>
      <c r="H2796" s="13"/>
    </row>
    <row r="2797">
      <c r="A2797" s="6"/>
      <c r="B2797" s="6"/>
      <c r="H2797" s="13"/>
    </row>
    <row r="2798">
      <c r="A2798" s="6"/>
      <c r="B2798" s="6"/>
      <c r="H2798" s="13"/>
    </row>
    <row r="2799">
      <c r="A2799" s="6"/>
      <c r="B2799" s="6"/>
      <c r="H2799" s="13"/>
    </row>
    <row r="2800">
      <c r="A2800" s="6"/>
      <c r="B2800" s="6"/>
      <c r="H2800" s="13"/>
    </row>
    <row r="2801">
      <c r="A2801" s="6"/>
      <c r="B2801" s="6"/>
      <c r="H2801" s="13"/>
    </row>
    <row r="2802">
      <c r="A2802" s="6"/>
      <c r="B2802" s="6"/>
      <c r="H2802" s="13"/>
    </row>
    <row r="2803">
      <c r="A2803" s="6"/>
      <c r="B2803" s="6"/>
      <c r="H2803" s="13"/>
    </row>
    <row r="2804">
      <c r="A2804" s="6"/>
      <c r="B2804" s="6"/>
      <c r="H2804" s="13"/>
    </row>
    <row r="2805">
      <c r="A2805" s="6"/>
      <c r="B2805" s="6"/>
      <c r="H2805" s="13"/>
    </row>
    <row r="2806">
      <c r="A2806" s="6"/>
      <c r="B2806" s="6"/>
      <c r="H2806" s="13"/>
    </row>
    <row r="2807">
      <c r="A2807" s="6"/>
      <c r="B2807" s="6"/>
      <c r="H2807" s="13"/>
    </row>
    <row r="2808">
      <c r="A2808" s="6"/>
      <c r="B2808" s="6"/>
      <c r="H2808" s="13"/>
    </row>
    <row r="2809">
      <c r="A2809" s="6"/>
      <c r="B2809" s="6"/>
      <c r="H2809" s="13"/>
    </row>
    <row r="2810">
      <c r="A2810" s="6"/>
      <c r="B2810" s="6"/>
      <c r="H2810" s="13"/>
    </row>
    <row r="2811">
      <c r="A2811" s="6"/>
      <c r="B2811" s="6"/>
      <c r="H2811" s="13"/>
    </row>
    <row r="2812">
      <c r="A2812" s="6"/>
      <c r="B2812" s="6"/>
      <c r="H2812" s="13"/>
    </row>
    <row r="2813">
      <c r="A2813" s="6"/>
      <c r="B2813" s="6"/>
      <c r="H2813" s="13"/>
    </row>
    <row r="2814">
      <c r="A2814" s="6"/>
      <c r="B2814" s="6"/>
      <c r="H2814" s="13"/>
    </row>
    <row r="2815">
      <c r="A2815" s="6"/>
      <c r="B2815" s="6"/>
      <c r="H2815" s="13"/>
    </row>
    <row r="2816">
      <c r="A2816" s="6"/>
      <c r="B2816" s="6"/>
      <c r="H2816" s="13"/>
    </row>
    <row r="2817">
      <c r="A2817" s="6"/>
      <c r="B2817" s="6"/>
      <c r="H2817" s="13"/>
    </row>
    <row r="2818">
      <c r="A2818" s="6"/>
      <c r="B2818" s="6"/>
      <c r="H2818" s="13"/>
    </row>
    <row r="2819">
      <c r="A2819" s="6"/>
      <c r="B2819" s="6"/>
      <c r="H2819" s="13"/>
    </row>
    <row r="2820">
      <c r="A2820" s="6"/>
      <c r="B2820" s="6"/>
      <c r="H2820" s="13"/>
    </row>
    <row r="2821">
      <c r="A2821" s="6"/>
      <c r="B2821" s="6"/>
      <c r="H2821" s="13"/>
    </row>
    <row r="2822">
      <c r="A2822" s="6"/>
      <c r="B2822" s="6"/>
      <c r="H2822" s="13"/>
    </row>
    <row r="2823">
      <c r="A2823" s="6"/>
      <c r="B2823" s="6"/>
      <c r="H2823" s="13"/>
    </row>
    <row r="2824">
      <c r="A2824" s="6"/>
      <c r="B2824" s="6"/>
      <c r="H2824" s="13"/>
    </row>
    <row r="2825">
      <c r="A2825" s="6"/>
      <c r="B2825" s="6"/>
      <c r="H2825" s="13"/>
    </row>
    <row r="2826">
      <c r="A2826" s="6"/>
      <c r="B2826" s="6"/>
      <c r="H2826" s="13"/>
    </row>
    <row r="2827">
      <c r="A2827" s="6"/>
      <c r="B2827" s="6"/>
      <c r="H2827" s="13"/>
    </row>
    <row r="2828">
      <c r="A2828" s="6"/>
      <c r="B2828" s="6"/>
      <c r="H2828" s="13"/>
    </row>
    <row r="2829">
      <c r="A2829" s="6"/>
      <c r="B2829" s="6"/>
      <c r="H2829" s="13"/>
    </row>
    <row r="2830">
      <c r="A2830" s="6"/>
      <c r="B2830" s="6"/>
      <c r="H2830" s="13"/>
    </row>
    <row r="2831">
      <c r="A2831" s="6"/>
      <c r="B2831" s="6"/>
      <c r="H2831" s="13"/>
    </row>
    <row r="2832">
      <c r="A2832" s="6"/>
      <c r="B2832" s="6"/>
      <c r="H2832" s="13"/>
    </row>
    <row r="2833">
      <c r="A2833" s="6"/>
      <c r="B2833" s="6"/>
      <c r="H2833" s="13"/>
    </row>
    <row r="2834">
      <c r="A2834" s="6"/>
      <c r="B2834" s="6"/>
      <c r="H2834" s="13"/>
    </row>
    <row r="2835">
      <c r="A2835" s="6"/>
      <c r="B2835" s="6"/>
      <c r="H2835" s="13"/>
    </row>
    <row r="2836">
      <c r="A2836" s="6"/>
      <c r="B2836" s="6"/>
      <c r="H2836" s="13"/>
    </row>
    <row r="2837">
      <c r="A2837" s="6"/>
      <c r="B2837" s="6"/>
      <c r="H2837" s="13"/>
    </row>
    <row r="2838">
      <c r="A2838" s="6"/>
      <c r="B2838" s="6"/>
      <c r="H2838" s="13"/>
    </row>
    <row r="2839">
      <c r="A2839" s="6"/>
      <c r="B2839" s="6"/>
      <c r="H2839" s="13"/>
    </row>
    <row r="2840">
      <c r="A2840" s="6"/>
      <c r="B2840" s="6"/>
      <c r="H2840" s="13"/>
    </row>
    <row r="2841">
      <c r="A2841" s="6"/>
      <c r="B2841" s="6"/>
      <c r="H2841" s="13"/>
    </row>
    <row r="2842">
      <c r="A2842" s="6"/>
      <c r="B2842" s="6"/>
      <c r="H2842" s="13"/>
    </row>
    <row r="2843">
      <c r="A2843" s="6"/>
      <c r="B2843" s="6"/>
      <c r="H2843" s="13"/>
    </row>
    <row r="2844">
      <c r="A2844" s="6"/>
      <c r="B2844" s="6"/>
      <c r="H2844" s="13"/>
    </row>
    <row r="2845">
      <c r="A2845" s="6"/>
      <c r="B2845" s="6"/>
      <c r="H2845" s="13"/>
    </row>
    <row r="2846">
      <c r="A2846" s="6"/>
      <c r="B2846" s="6"/>
      <c r="H2846" s="13"/>
    </row>
    <row r="2847">
      <c r="A2847" s="6"/>
      <c r="B2847" s="6"/>
      <c r="H2847" s="13"/>
    </row>
    <row r="2848">
      <c r="A2848" s="6"/>
      <c r="B2848" s="6"/>
      <c r="H2848" s="13"/>
    </row>
    <row r="2849">
      <c r="A2849" s="6"/>
      <c r="B2849" s="6"/>
      <c r="H2849" s="13"/>
    </row>
    <row r="2850">
      <c r="A2850" s="6"/>
      <c r="B2850" s="6"/>
      <c r="H2850" s="13"/>
    </row>
    <row r="2851">
      <c r="A2851" s="6"/>
      <c r="B2851" s="6"/>
      <c r="H2851" s="13"/>
    </row>
    <row r="2852">
      <c r="A2852" s="6"/>
      <c r="B2852" s="6"/>
      <c r="H2852" s="13"/>
    </row>
    <row r="2853">
      <c r="A2853" s="6"/>
      <c r="B2853" s="6"/>
      <c r="H2853" s="13"/>
    </row>
    <row r="2854">
      <c r="A2854" s="6"/>
      <c r="B2854" s="6"/>
      <c r="H2854" s="13"/>
    </row>
    <row r="2855">
      <c r="A2855" s="6"/>
      <c r="B2855" s="6"/>
      <c r="H2855" s="13"/>
    </row>
    <row r="2856">
      <c r="A2856" s="6"/>
      <c r="B2856" s="6"/>
      <c r="H2856" s="13"/>
    </row>
    <row r="2857">
      <c r="A2857" s="6"/>
      <c r="B2857" s="6"/>
      <c r="H2857" s="13"/>
    </row>
    <row r="2858">
      <c r="A2858" s="6"/>
      <c r="B2858" s="6"/>
      <c r="H2858" s="13"/>
    </row>
    <row r="2859">
      <c r="A2859" s="6"/>
      <c r="B2859" s="6"/>
      <c r="H2859" s="13"/>
    </row>
    <row r="2860">
      <c r="A2860" s="6"/>
      <c r="B2860" s="6"/>
      <c r="H2860" s="13"/>
    </row>
    <row r="2861">
      <c r="A2861" s="6"/>
      <c r="B2861" s="6"/>
      <c r="H2861" s="13"/>
    </row>
    <row r="2862">
      <c r="A2862" s="6"/>
      <c r="B2862" s="6"/>
      <c r="H2862" s="13"/>
    </row>
    <row r="2863">
      <c r="A2863" s="6"/>
      <c r="B2863" s="6"/>
      <c r="H2863" s="13"/>
    </row>
    <row r="2864">
      <c r="A2864" s="6"/>
      <c r="B2864" s="6"/>
      <c r="H2864" s="13"/>
    </row>
    <row r="2865">
      <c r="A2865" s="6"/>
      <c r="B2865" s="6"/>
      <c r="H2865" s="13"/>
    </row>
    <row r="2866">
      <c r="A2866" s="6"/>
      <c r="B2866" s="6"/>
      <c r="H2866" s="13"/>
    </row>
    <row r="2867">
      <c r="A2867" s="6"/>
      <c r="B2867" s="6"/>
      <c r="H2867" s="13"/>
    </row>
    <row r="2868">
      <c r="A2868" s="6"/>
      <c r="B2868" s="6"/>
      <c r="H2868" s="13"/>
    </row>
    <row r="2869">
      <c r="A2869" s="6"/>
      <c r="B2869" s="6"/>
      <c r="H2869" s="13"/>
    </row>
    <row r="2870">
      <c r="A2870" s="6"/>
      <c r="B2870" s="6"/>
      <c r="H2870" s="13"/>
    </row>
    <row r="2871">
      <c r="A2871" s="6"/>
      <c r="B2871" s="6"/>
      <c r="H2871" s="13"/>
    </row>
    <row r="2872">
      <c r="A2872" s="6"/>
      <c r="B2872" s="6"/>
      <c r="H2872" s="13"/>
    </row>
    <row r="2873">
      <c r="A2873" s="6"/>
      <c r="B2873" s="6"/>
      <c r="H2873" s="13"/>
    </row>
    <row r="2874">
      <c r="A2874" s="6"/>
      <c r="B2874" s="6"/>
      <c r="H2874" s="13"/>
    </row>
    <row r="2875">
      <c r="A2875" s="6"/>
      <c r="B2875" s="6"/>
      <c r="H2875" s="13"/>
    </row>
    <row r="2876">
      <c r="A2876" s="6"/>
      <c r="B2876" s="6"/>
      <c r="H2876" s="13"/>
    </row>
    <row r="2877">
      <c r="A2877" s="6"/>
      <c r="B2877" s="6"/>
      <c r="H2877" s="13"/>
    </row>
    <row r="2878">
      <c r="A2878" s="6"/>
      <c r="B2878" s="6"/>
      <c r="H2878" s="13"/>
    </row>
    <row r="2879">
      <c r="A2879" s="6"/>
      <c r="B2879" s="6"/>
      <c r="H2879" s="13"/>
    </row>
    <row r="2880">
      <c r="A2880" s="6"/>
      <c r="B2880" s="6"/>
      <c r="H2880" s="13"/>
    </row>
    <row r="2881">
      <c r="A2881" s="6"/>
      <c r="B2881" s="6"/>
      <c r="H2881" s="13"/>
    </row>
    <row r="2882">
      <c r="A2882" s="6"/>
      <c r="B2882" s="6"/>
      <c r="H2882" s="13"/>
    </row>
    <row r="2883">
      <c r="A2883" s="6"/>
      <c r="B2883" s="6"/>
      <c r="H2883" s="13"/>
    </row>
    <row r="2884">
      <c r="A2884" s="6"/>
      <c r="B2884" s="6"/>
      <c r="H2884" s="13"/>
    </row>
    <row r="2885">
      <c r="A2885" s="6"/>
      <c r="B2885" s="6"/>
      <c r="H2885" s="13"/>
    </row>
    <row r="2886">
      <c r="A2886" s="6"/>
      <c r="B2886" s="6"/>
      <c r="H2886" s="13"/>
    </row>
    <row r="2887">
      <c r="A2887" s="6"/>
      <c r="B2887" s="6"/>
      <c r="H2887" s="13"/>
    </row>
    <row r="2888">
      <c r="A2888" s="6"/>
      <c r="B2888" s="6"/>
      <c r="H2888" s="13"/>
    </row>
    <row r="2889">
      <c r="A2889" s="6"/>
      <c r="B2889" s="6"/>
      <c r="H2889" s="13"/>
    </row>
    <row r="2890">
      <c r="A2890" s="6"/>
      <c r="B2890" s="6"/>
      <c r="H2890" s="13"/>
    </row>
    <row r="2891">
      <c r="A2891" s="6"/>
      <c r="B2891" s="6"/>
      <c r="H2891" s="13"/>
    </row>
    <row r="2892">
      <c r="A2892" s="6"/>
      <c r="B2892" s="6"/>
      <c r="H2892" s="13"/>
    </row>
    <row r="2893">
      <c r="A2893" s="6"/>
      <c r="B2893" s="6"/>
      <c r="H2893" s="13"/>
    </row>
    <row r="2894">
      <c r="A2894" s="6"/>
      <c r="B2894" s="6"/>
      <c r="H2894" s="13"/>
    </row>
    <row r="2895">
      <c r="A2895" s="6"/>
      <c r="B2895" s="6"/>
      <c r="H2895" s="13"/>
    </row>
    <row r="2896">
      <c r="A2896" s="6"/>
      <c r="B2896" s="6"/>
      <c r="H2896" s="13"/>
    </row>
    <row r="2897">
      <c r="A2897" s="6"/>
      <c r="B2897" s="6"/>
      <c r="H2897" s="13"/>
    </row>
    <row r="2898">
      <c r="A2898" s="6"/>
      <c r="B2898" s="6"/>
      <c r="H2898" s="13"/>
    </row>
    <row r="2899">
      <c r="A2899" s="6"/>
      <c r="B2899" s="6"/>
      <c r="H2899" s="13"/>
    </row>
    <row r="2900">
      <c r="A2900" s="6"/>
      <c r="B2900" s="6"/>
      <c r="H2900" s="13"/>
    </row>
    <row r="2901">
      <c r="A2901" s="6"/>
      <c r="B2901" s="6"/>
      <c r="H2901" s="13"/>
    </row>
    <row r="2902">
      <c r="A2902" s="6"/>
      <c r="B2902" s="6"/>
      <c r="H2902" s="13"/>
    </row>
    <row r="2903">
      <c r="A2903" s="6"/>
      <c r="B2903" s="6"/>
      <c r="H2903" s="13"/>
    </row>
    <row r="2904">
      <c r="A2904" s="6"/>
      <c r="B2904" s="6"/>
      <c r="H2904" s="13"/>
    </row>
    <row r="2905">
      <c r="A2905" s="6"/>
      <c r="B2905" s="6"/>
      <c r="H2905" s="13"/>
    </row>
    <row r="2906">
      <c r="A2906" s="6"/>
      <c r="B2906" s="6"/>
      <c r="H2906" s="13"/>
    </row>
    <row r="2907">
      <c r="A2907" s="6"/>
      <c r="B2907" s="6"/>
      <c r="H2907" s="13"/>
    </row>
    <row r="2908">
      <c r="A2908" s="6"/>
      <c r="B2908" s="6"/>
      <c r="H2908" s="13"/>
    </row>
    <row r="2909">
      <c r="A2909" s="6"/>
      <c r="B2909" s="6"/>
      <c r="H2909" s="13"/>
    </row>
    <row r="2910">
      <c r="A2910" s="6"/>
      <c r="B2910" s="6"/>
      <c r="H2910" s="13"/>
    </row>
    <row r="2911">
      <c r="A2911" s="6"/>
      <c r="B2911" s="6"/>
      <c r="H2911" s="13"/>
    </row>
    <row r="2912">
      <c r="A2912" s="6"/>
      <c r="B2912" s="6"/>
      <c r="H2912" s="13"/>
    </row>
    <row r="2913">
      <c r="A2913" s="6"/>
      <c r="B2913" s="6"/>
      <c r="H2913" s="13"/>
    </row>
    <row r="2914">
      <c r="A2914" s="6"/>
      <c r="B2914" s="6"/>
      <c r="H2914" s="13"/>
    </row>
    <row r="2915">
      <c r="A2915" s="6"/>
      <c r="B2915" s="6"/>
      <c r="H2915" s="13"/>
    </row>
    <row r="2916">
      <c r="A2916" s="6"/>
      <c r="B2916" s="6"/>
      <c r="H2916" s="13"/>
    </row>
    <row r="2917">
      <c r="A2917" s="6"/>
      <c r="B2917" s="6"/>
      <c r="H2917" s="13"/>
    </row>
    <row r="2918">
      <c r="A2918" s="6"/>
      <c r="B2918" s="6"/>
      <c r="H2918" s="13"/>
    </row>
    <row r="2919">
      <c r="A2919" s="6"/>
      <c r="B2919" s="6"/>
      <c r="H2919" s="13"/>
    </row>
    <row r="2920">
      <c r="A2920" s="6"/>
      <c r="B2920" s="6"/>
      <c r="H2920" s="13"/>
    </row>
    <row r="2921">
      <c r="A2921" s="6"/>
      <c r="B2921" s="6"/>
      <c r="H2921" s="13"/>
    </row>
    <row r="2922">
      <c r="A2922" s="6"/>
      <c r="B2922" s="6"/>
      <c r="H2922" s="13"/>
    </row>
    <row r="2923">
      <c r="A2923" s="6"/>
      <c r="B2923" s="6"/>
      <c r="H2923" s="13"/>
    </row>
    <row r="2924">
      <c r="A2924" s="6"/>
      <c r="B2924" s="6"/>
      <c r="H2924" s="13"/>
    </row>
    <row r="2925">
      <c r="A2925" s="6"/>
      <c r="B2925" s="6"/>
      <c r="H2925" s="13"/>
    </row>
    <row r="2926">
      <c r="A2926" s="6"/>
      <c r="B2926" s="6"/>
      <c r="H2926" s="13"/>
    </row>
    <row r="2927">
      <c r="A2927" s="6"/>
      <c r="B2927" s="6"/>
      <c r="H2927" s="13"/>
    </row>
    <row r="2928">
      <c r="A2928" s="6"/>
      <c r="B2928" s="6"/>
      <c r="H2928" s="13"/>
    </row>
    <row r="2929">
      <c r="A2929" s="6"/>
      <c r="B2929" s="6"/>
      <c r="H2929" s="13"/>
    </row>
    <row r="2930">
      <c r="A2930" s="6"/>
      <c r="B2930" s="6"/>
      <c r="H2930" s="13"/>
    </row>
    <row r="2931">
      <c r="A2931" s="6"/>
      <c r="B2931" s="6"/>
      <c r="H2931" s="13"/>
    </row>
    <row r="2932">
      <c r="A2932" s="6"/>
      <c r="B2932" s="6"/>
      <c r="H2932" s="13"/>
    </row>
    <row r="2933">
      <c r="A2933" s="6"/>
      <c r="B2933" s="6"/>
      <c r="H2933" s="13"/>
    </row>
    <row r="2934">
      <c r="A2934" s="6"/>
      <c r="B2934" s="6"/>
      <c r="H2934" s="13"/>
    </row>
    <row r="2935">
      <c r="A2935" s="6"/>
      <c r="B2935" s="6"/>
      <c r="H2935" s="13"/>
    </row>
    <row r="2936">
      <c r="A2936" s="6"/>
      <c r="B2936" s="6"/>
      <c r="H2936" s="13"/>
    </row>
    <row r="2937">
      <c r="A2937" s="6"/>
      <c r="B2937" s="6"/>
      <c r="H2937" s="13"/>
    </row>
    <row r="2938">
      <c r="A2938" s="6"/>
      <c r="B2938" s="6"/>
      <c r="H2938" s="13"/>
    </row>
    <row r="2939">
      <c r="A2939" s="6"/>
      <c r="B2939" s="6"/>
      <c r="H2939" s="13"/>
    </row>
    <row r="2940">
      <c r="A2940" s="6"/>
      <c r="B2940" s="6"/>
      <c r="H2940" s="13"/>
    </row>
    <row r="2941">
      <c r="A2941" s="6"/>
      <c r="B2941" s="6"/>
      <c r="H2941" s="13"/>
    </row>
    <row r="2942">
      <c r="A2942" s="6"/>
      <c r="B2942" s="6"/>
      <c r="H2942" s="13"/>
    </row>
    <row r="2943">
      <c r="A2943" s="6"/>
      <c r="B2943" s="6"/>
      <c r="H2943" s="13"/>
    </row>
    <row r="2944">
      <c r="A2944" s="6"/>
      <c r="B2944" s="6"/>
      <c r="H2944" s="13"/>
    </row>
    <row r="2945">
      <c r="A2945" s="6"/>
      <c r="B2945" s="6"/>
      <c r="H2945" s="13"/>
    </row>
    <row r="2946">
      <c r="A2946" s="6"/>
      <c r="B2946" s="6"/>
      <c r="H2946" s="13"/>
    </row>
    <row r="2947">
      <c r="A2947" s="6"/>
      <c r="B2947" s="6"/>
      <c r="H2947" s="13"/>
    </row>
    <row r="2948">
      <c r="A2948" s="6"/>
      <c r="B2948" s="6"/>
      <c r="H2948" s="13"/>
    </row>
    <row r="2949">
      <c r="A2949" s="6"/>
      <c r="B2949" s="6"/>
      <c r="H2949" s="13"/>
    </row>
    <row r="2950">
      <c r="A2950" s="6"/>
      <c r="B2950" s="6"/>
      <c r="H2950" s="13"/>
    </row>
    <row r="2951">
      <c r="A2951" s="6"/>
      <c r="B2951" s="6"/>
      <c r="H2951" s="13"/>
    </row>
    <row r="2952">
      <c r="A2952" s="6"/>
      <c r="B2952" s="6"/>
      <c r="H2952" s="13"/>
    </row>
    <row r="2953">
      <c r="A2953" s="6"/>
      <c r="B2953" s="6"/>
      <c r="H2953" s="13"/>
    </row>
    <row r="2954">
      <c r="A2954" s="6"/>
      <c r="B2954" s="6"/>
      <c r="H2954" s="13"/>
    </row>
    <row r="2955">
      <c r="A2955" s="6"/>
      <c r="B2955" s="6"/>
      <c r="H2955" s="13"/>
    </row>
    <row r="2956">
      <c r="A2956" s="6"/>
      <c r="B2956" s="6"/>
      <c r="H2956" s="13"/>
    </row>
    <row r="2957">
      <c r="A2957" s="6"/>
      <c r="B2957" s="6"/>
      <c r="H2957" s="13"/>
    </row>
    <row r="2958">
      <c r="A2958" s="6"/>
      <c r="B2958" s="6"/>
      <c r="H2958" s="13"/>
    </row>
    <row r="2959">
      <c r="A2959" s="6"/>
      <c r="B2959" s="6"/>
      <c r="H2959" s="13"/>
    </row>
    <row r="2960">
      <c r="A2960" s="6"/>
      <c r="B2960" s="6"/>
      <c r="H2960" s="13"/>
    </row>
    <row r="2961">
      <c r="A2961" s="6"/>
      <c r="B2961" s="6"/>
      <c r="H2961" s="13"/>
    </row>
    <row r="2962">
      <c r="A2962" s="6"/>
      <c r="B2962" s="6"/>
      <c r="H2962" s="13"/>
    </row>
    <row r="2963">
      <c r="A2963" s="6"/>
      <c r="B2963" s="6"/>
      <c r="H2963" s="13"/>
    </row>
    <row r="2964">
      <c r="A2964" s="6"/>
      <c r="B2964" s="6"/>
      <c r="H2964" s="13"/>
    </row>
    <row r="2965">
      <c r="A2965" s="6"/>
      <c r="B2965" s="6"/>
      <c r="H2965" s="13"/>
    </row>
    <row r="2966">
      <c r="A2966" s="6"/>
      <c r="B2966" s="6"/>
      <c r="H2966" s="13"/>
    </row>
    <row r="2967">
      <c r="A2967" s="6"/>
      <c r="B2967" s="6"/>
      <c r="H2967" s="13"/>
    </row>
    <row r="2968">
      <c r="A2968" s="6"/>
      <c r="B2968" s="6"/>
      <c r="H2968" s="13"/>
    </row>
    <row r="2969">
      <c r="A2969" s="6"/>
      <c r="B2969" s="6"/>
      <c r="H2969" s="13"/>
    </row>
    <row r="2970">
      <c r="A2970" s="6"/>
      <c r="B2970" s="6"/>
      <c r="H2970" s="13"/>
    </row>
    <row r="2971">
      <c r="A2971" s="6"/>
      <c r="B2971" s="6"/>
      <c r="H2971" s="13"/>
    </row>
    <row r="2972">
      <c r="A2972" s="6"/>
      <c r="B2972" s="6"/>
      <c r="H2972" s="13"/>
    </row>
    <row r="2973">
      <c r="A2973" s="6"/>
      <c r="B2973" s="6"/>
      <c r="H2973" s="13"/>
    </row>
    <row r="2974">
      <c r="A2974" s="6"/>
      <c r="B2974" s="6"/>
      <c r="H2974" s="13"/>
    </row>
    <row r="2975">
      <c r="A2975" s="6"/>
      <c r="B2975" s="6"/>
      <c r="H2975" s="13"/>
    </row>
    <row r="2976">
      <c r="A2976" s="6"/>
      <c r="B2976" s="6"/>
      <c r="H2976" s="13"/>
    </row>
    <row r="2977">
      <c r="A2977" s="6"/>
      <c r="B2977" s="6"/>
      <c r="H2977" s="13"/>
    </row>
    <row r="2978">
      <c r="A2978" s="6"/>
      <c r="B2978" s="6"/>
      <c r="H2978" s="13"/>
    </row>
    <row r="2979">
      <c r="A2979" s="6"/>
      <c r="B2979" s="6"/>
      <c r="H2979" s="13"/>
    </row>
    <row r="2980">
      <c r="A2980" s="6"/>
      <c r="B2980" s="6"/>
      <c r="H2980" s="13"/>
    </row>
    <row r="2981">
      <c r="A2981" s="6"/>
      <c r="B2981" s="6"/>
      <c r="H2981" s="13"/>
    </row>
    <row r="2982">
      <c r="A2982" s="6"/>
      <c r="B2982" s="6"/>
      <c r="H2982" s="13"/>
    </row>
    <row r="2983">
      <c r="A2983" s="6"/>
      <c r="B2983" s="6"/>
      <c r="H2983" s="13"/>
    </row>
    <row r="2984">
      <c r="A2984" s="6"/>
      <c r="B2984" s="6"/>
      <c r="H2984" s="13"/>
    </row>
    <row r="2985">
      <c r="A2985" s="6"/>
      <c r="B2985" s="6"/>
      <c r="H2985" s="13"/>
    </row>
    <row r="2986">
      <c r="A2986" s="6"/>
      <c r="B2986" s="6"/>
      <c r="H2986" s="13"/>
    </row>
    <row r="2987">
      <c r="A2987" s="6"/>
      <c r="B2987" s="6"/>
      <c r="H2987" s="13"/>
    </row>
    <row r="2988">
      <c r="A2988" s="6"/>
      <c r="B2988" s="6"/>
      <c r="H2988" s="13"/>
    </row>
    <row r="2989">
      <c r="A2989" s="6"/>
      <c r="B2989" s="6"/>
      <c r="H2989" s="13"/>
    </row>
    <row r="2990">
      <c r="A2990" s="6"/>
      <c r="B2990" s="6"/>
      <c r="H2990" s="13"/>
    </row>
    <row r="2991">
      <c r="A2991" s="6"/>
      <c r="B2991" s="6"/>
      <c r="H2991" s="13"/>
    </row>
    <row r="2992">
      <c r="A2992" s="6"/>
      <c r="B2992" s="6"/>
      <c r="H2992" s="13"/>
    </row>
    <row r="2993">
      <c r="A2993" s="6"/>
      <c r="B2993" s="6"/>
      <c r="H2993" s="13"/>
    </row>
    <row r="2994">
      <c r="A2994" s="6"/>
      <c r="B2994" s="6"/>
      <c r="H2994" s="13"/>
    </row>
    <row r="2995">
      <c r="A2995" s="6"/>
      <c r="B2995" s="6"/>
      <c r="H2995" s="13"/>
    </row>
    <row r="2996">
      <c r="A2996" s="6"/>
      <c r="B2996" s="6"/>
      <c r="H2996" s="13"/>
    </row>
    <row r="2997">
      <c r="A2997" s="6"/>
      <c r="B2997" s="6"/>
      <c r="H2997" s="13"/>
    </row>
    <row r="2998">
      <c r="A2998" s="6"/>
      <c r="B2998" s="6"/>
      <c r="H2998" s="13"/>
    </row>
    <row r="2999">
      <c r="A2999" s="6"/>
      <c r="B2999" s="6"/>
      <c r="H2999" s="13"/>
    </row>
    <row r="3000">
      <c r="A3000" s="6"/>
      <c r="B3000" s="6"/>
      <c r="H3000" s="13"/>
    </row>
    <row r="3001">
      <c r="A3001" s="6"/>
      <c r="B3001" s="6"/>
      <c r="H3001" s="13"/>
    </row>
    <row r="3002">
      <c r="A3002" s="6"/>
      <c r="B3002" s="6"/>
      <c r="H3002" s="13"/>
    </row>
    <row r="3003">
      <c r="A3003" s="6"/>
      <c r="B3003" s="6"/>
      <c r="H3003" s="13"/>
    </row>
    <row r="3004">
      <c r="A3004" s="6"/>
      <c r="B3004" s="6"/>
      <c r="H3004" s="13"/>
    </row>
    <row r="3005">
      <c r="A3005" s="6"/>
      <c r="B3005" s="6"/>
      <c r="H3005" s="13"/>
    </row>
    <row r="3006">
      <c r="A3006" s="6"/>
      <c r="B3006" s="6"/>
      <c r="H3006" s="13"/>
    </row>
    <row r="3007">
      <c r="A3007" s="6"/>
      <c r="B3007" s="6"/>
      <c r="H3007" s="13"/>
    </row>
    <row r="3008">
      <c r="A3008" s="6"/>
      <c r="B3008" s="6"/>
      <c r="H3008" s="13"/>
    </row>
    <row r="3009">
      <c r="A3009" s="6"/>
      <c r="B3009" s="6"/>
      <c r="H3009" s="13"/>
    </row>
    <row r="3010">
      <c r="A3010" s="6"/>
      <c r="B3010" s="6"/>
      <c r="H3010" s="13"/>
    </row>
    <row r="3011">
      <c r="A3011" s="6"/>
      <c r="B3011" s="6"/>
      <c r="H3011" s="13"/>
    </row>
    <row r="3012">
      <c r="A3012" s="6"/>
      <c r="B3012" s="6"/>
      <c r="H3012" s="13"/>
    </row>
    <row r="3013">
      <c r="A3013" s="6"/>
      <c r="B3013" s="6"/>
      <c r="H3013" s="13"/>
    </row>
    <row r="3014">
      <c r="A3014" s="6"/>
      <c r="B3014" s="6"/>
      <c r="H3014" s="13"/>
    </row>
    <row r="3015">
      <c r="A3015" s="6"/>
      <c r="B3015" s="6"/>
      <c r="H3015" s="13"/>
    </row>
    <row r="3016">
      <c r="A3016" s="6"/>
      <c r="B3016" s="6"/>
      <c r="H3016" s="13"/>
    </row>
    <row r="3017">
      <c r="A3017" s="6"/>
      <c r="B3017" s="6"/>
      <c r="H3017" s="13"/>
    </row>
    <row r="3018">
      <c r="A3018" s="6"/>
      <c r="B3018" s="6"/>
      <c r="H3018" s="13"/>
    </row>
    <row r="3019">
      <c r="A3019" s="6"/>
      <c r="B3019" s="6"/>
      <c r="H3019" s="13"/>
    </row>
    <row r="3020">
      <c r="A3020" s="6"/>
      <c r="B3020" s="6"/>
      <c r="H3020" s="13"/>
    </row>
    <row r="3021">
      <c r="A3021" s="6"/>
      <c r="B3021" s="6"/>
      <c r="H3021" s="13"/>
    </row>
    <row r="3022">
      <c r="A3022" s="6"/>
      <c r="B3022" s="6"/>
      <c r="H3022" s="13"/>
    </row>
    <row r="3023">
      <c r="A3023" s="6"/>
      <c r="B3023" s="6"/>
      <c r="H3023" s="13"/>
    </row>
    <row r="3024">
      <c r="A3024" s="6"/>
      <c r="B3024" s="6"/>
      <c r="H3024" s="13"/>
    </row>
    <row r="3025">
      <c r="A3025" s="6"/>
      <c r="B3025" s="6"/>
      <c r="H3025" s="13"/>
    </row>
    <row r="3026">
      <c r="A3026" s="6"/>
      <c r="B3026" s="6"/>
      <c r="H3026" s="13"/>
    </row>
    <row r="3027">
      <c r="A3027" s="6"/>
      <c r="B3027" s="6"/>
      <c r="H3027" s="13"/>
    </row>
    <row r="3028">
      <c r="A3028" s="6"/>
      <c r="B3028" s="6"/>
      <c r="H3028" s="13"/>
    </row>
    <row r="3029">
      <c r="A3029" s="6"/>
      <c r="B3029" s="6"/>
      <c r="H3029" s="13"/>
    </row>
    <row r="3030">
      <c r="A3030" s="6"/>
      <c r="B3030" s="6"/>
      <c r="H3030" s="13"/>
    </row>
    <row r="3031">
      <c r="A3031" s="6"/>
      <c r="B3031" s="6"/>
      <c r="H3031" s="13"/>
    </row>
    <row r="3032">
      <c r="A3032" s="6"/>
      <c r="B3032" s="6"/>
      <c r="H3032" s="13"/>
    </row>
    <row r="3033">
      <c r="A3033" s="6"/>
      <c r="B3033" s="6"/>
      <c r="H3033" s="13"/>
    </row>
    <row r="3034">
      <c r="A3034" s="6"/>
      <c r="B3034" s="6"/>
      <c r="H3034" s="13"/>
    </row>
    <row r="3035">
      <c r="A3035" s="6"/>
      <c r="B3035" s="6"/>
      <c r="H3035" s="13"/>
    </row>
    <row r="3036">
      <c r="A3036" s="6"/>
      <c r="B3036" s="6"/>
      <c r="H3036" s="13"/>
    </row>
    <row r="3037">
      <c r="A3037" s="6"/>
      <c r="B3037" s="6"/>
      <c r="H3037" s="13"/>
    </row>
    <row r="3038">
      <c r="A3038" s="6"/>
      <c r="B3038" s="6"/>
      <c r="H3038" s="13"/>
    </row>
    <row r="3039">
      <c r="A3039" s="6"/>
      <c r="B3039" s="6"/>
      <c r="H3039" s="13"/>
    </row>
    <row r="3040">
      <c r="A3040" s="6"/>
      <c r="B3040" s="6"/>
      <c r="H3040" s="13"/>
    </row>
    <row r="3041">
      <c r="A3041" s="6"/>
      <c r="B3041" s="6"/>
      <c r="H3041" s="13"/>
    </row>
    <row r="3042">
      <c r="A3042" s="6"/>
      <c r="B3042" s="6"/>
      <c r="H3042" s="13"/>
    </row>
    <row r="3043">
      <c r="A3043" s="6"/>
      <c r="B3043" s="6"/>
      <c r="H3043" s="13"/>
    </row>
    <row r="3044">
      <c r="A3044" s="6"/>
      <c r="B3044" s="6"/>
      <c r="H3044" s="13"/>
    </row>
    <row r="3045">
      <c r="A3045" s="6"/>
      <c r="B3045" s="6"/>
      <c r="H3045" s="13"/>
    </row>
    <row r="3046">
      <c r="A3046" s="6"/>
      <c r="B3046" s="6"/>
      <c r="H3046" s="13"/>
    </row>
    <row r="3047">
      <c r="A3047" s="6"/>
      <c r="B3047" s="6"/>
      <c r="H3047" s="13"/>
    </row>
    <row r="3048">
      <c r="A3048" s="6"/>
      <c r="B3048" s="6"/>
      <c r="H3048" s="13"/>
    </row>
    <row r="3049">
      <c r="A3049" s="6"/>
      <c r="B3049" s="6"/>
      <c r="H3049" s="13"/>
    </row>
    <row r="3050">
      <c r="A3050" s="6"/>
      <c r="B3050" s="6"/>
      <c r="H3050" s="13"/>
    </row>
    <row r="3051">
      <c r="A3051" s="6"/>
      <c r="B3051" s="6"/>
      <c r="H3051" s="13"/>
    </row>
    <row r="3052">
      <c r="A3052" s="6"/>
      <c r="B3052" s="6"/>
      <c r="H3052" s="13"/>
    </row>
    <row r="3053">
      <c r="A3053" s="6"/>
      <c r="B3053" s="6"/>
      <c r="H3053" s="13"/>
    </row>
    <row r="3054">
      <c r="A3054" s="6"/>
      <c r="B3054" s="6"/>
      <c r="H3054" s="13"/>
    </row>
    <row r="3055">
      <c r="A3055" s="6"/>
      <c r="B3055" s="6"/>
      <c r="H3055" s="13"/>
    </row>
    <row r="3056">
      <c r="A3056" s="6"/>
      <c r="B3056" s="6"/>
      <c r="H3056" s="13"/>
    </row>
    <row r="3057">
      <c r="A3057" s="6"/>
      <c r="B3057" s="6"/>
      <c r="H3057" s="13"/>
    </row>
    <row r="3058">
      <c r="A3058" s="6"/>
      <c r="B3058" s="6"/>
      <c r="H3058" s="13"/>
    </row>
    <row r="3059">
      <c r="A3059" s="6"/>
      <c r="B3059" s="6"/>
      <c r="H3059" s="13"/>
    </row>
    <row r="3060">
      <c r="A3060" s="6"/>
      <c r="B3060" s="6"/>
      <c r="H3060" s="13"/>
    </row>
    <row r="3061">
      <c r="A3061" s="6"/>
      <c r="B3061" s="6"/>
      <c r="H3061" s="13"/>
    </row>
    <row r="3062">
      <c r="A3062" s="6"/>
      <c r="B3062" s="6"/>
      <c r="H3062" s="13"/>
    </row>
    <row r="3063">
      <c r="A3063" s="6"/>
      <c r="B3063" s="6"/>
      <c r="H3063" s="13"/>
    </row>
    <row r="3064">
      <c r="A3064" s="6"/>
      <c r="B3064" s="6"/>
      <c r="H3064" s="13"/>
    </row>
    <row r="3065">
      <c r="A3065" s="6"/>
      <c r="B3065" s="6"/>
      <c r="H3065" s="13"/>
    </row>
    <row r="3066">
      <c r="A3066" s="6"/>
      <c r="B3066" s="6"/>
      <c r="H3066" s="13"/>
    </row>
    <row r="3067">
      <c r="A3067" s="6"/>
      <c r="B3067" s="6"/>
      <c r="H3067" s="13"/>
    </row>
    <row r="3068">
      <c r="A3068" s="6"/>
      <c r="B3068" s="6"/>
      <c r="H3068" s="13"/>
    </row>
    <row r="3069">
      <c r="A3069" s="6"/>
      <c r="B3069" s="6"/>
      <c r="H3069" s="13"/>
    </row>
    <row r="3070">
      <c r="A3070" s="6"/>
      <c r="B3070" s="6"/>
      <c r="H3070" s="13"/>
    </row>
    <row r="3071">
      <c r="A3071" s="6"/>
      <c r="B3071" s="6"/>
      <c r="H3071" s="13"/>
    </row>
    <row r="3072">
      <c r="A3072" s="6"/>
      <c r="B3072" s="6"/>
      <c r="H3072" s="13"/>
    </row>
    <row r="3073">
      <c r="A3073" s="6"/>
      <c r="B3073" s="6"/>
      <c r="H3073" s="13"/>
    </row>
    <row r="3074">
      <c r="A3074" s="6"/>
      <c r="B3074" s="6"/>
      <c r="H3074" s="13"/>
    </row>
    <row r="3075">
      <c r="A3075" s="6"/>
      <c r="B3075" s="6"/>
      <c r="H3075" s="13"/>
    </row>
    <row r="3076">
      <c r="A3076" s="6"/>
      <c r="B3076" s="6"/>
      <c r="H3076" s="13"/>
    </row>
    <row r="3077">
      <c r="A3077" s="6"/>
      <c r="B3077" s="6"/>
      <c r="H3077" s="13"/>
    </row>
    <row r="3078">
      <c r="A3078" s="6"/>
      <c r="B3078" s="6"/>
      <c r="H3078" s="13"/>
    </row>
    <row r="3079">
      <c r="A3079" s="6"/>
      <c r="B3079" s="6"/>
      <c r="H3079" s="13"/>
    </row>
    <row r="3080">
      <c r="A3080" s="6"/>
      <c r="B3080" s="6"/>
      <c r="H3080" s="13"/>
    </row>
    <row r="3081">
      <c r="A3081" s="6"/>
      <c r="B3081" s="6"/>
      <c r="H3081" s="13"/>
    </row>
    <row r="3082">
      <c r="A3082" s="6"/>
      <c r="B3082" s="6"/>
      <c r="H3082" s="13"/>
    </row>
    <row r="3083">
      <c r="A3083" s="6"/>
      <c r="B3083" s="6"/>
      <c r="H3083" s="13"/>
    </row>
    <row r="3084">
      <c r="A3084" s="6"/>
      <c r="B3084" s="6"/>
      <c r="H3084" s="13"/>
    </row>
    <row r="3085">
      <c r="A3085" s="6"/>
      <c r="B3085" s="6"/>
      <c r="H3085" s="13"/>
    </row>
    <row r="3086">
      <c r="A3086" s="6"/>
      <c r="B3086" s="6"/>
      <c r="H3086" s="13"/>
    </row>
    <row r="3087">
      <c r="A3087" s="6"/>
      <c r="B3087" s="6"/>
      <c r="H3087" s="13"/>
    </row>
    <row r="3088">
      <c r="A3088" s="6"/>
      <c r="B3088" s="6"/>
      <c r="H3088" s="13"/>
    </row>
    <row r="3089">
      <c r="A3089" s="6"/>
      <c r="B3089" s="6"/>
      <c r="H3089" s="13"/>
    </row>
    <row r="3090">
      <c r="A3090" s="6"/>
      <c r="B3090" s="6"/>
      <c r="H3090" s="13"/>
    </row>
    <row r="3091">
      <c r="A3091" s="6"/>
      <c r="B3091" s="6"/>
      <c r="H3091" s="13"/>
    </row>
    <row r="3092">
      <c r="A3092" s="6"/>
      <c r="B3092" s="6"/>
      <c r="H3092" s="13"/>
    </row>
    <row r="3093">
      <c r="A3093" s="6"/>
      <c r="B3093" s="6"/>
      <c r="H3093" s="13"/>
    </row>
    <row r="3094">
      <c r="A3094" s="6"/>
      <c r="B3094" s="6"/>
      <c r="H3094" s="13"/>
    </row>
    <row r="3095">
      <c r="A3095" s="6"/>
      <c r="B3095" s="6"/>
      <c r="H3095" s="13"/>
    </row>
    <row r="3096">
      <c r="A3096" s="6"/>
      <c r="B3096" s="6"/>
      <c r="H3096" s="13"/>
    </row>
    <row r="3097">
      <c r="A3097" s="6"/>
      <c r="B3097" s="6"/>
      <c r="H3097" s="13"/>
    </row>
    <row r="3098">
      <c r="A3098" s="6"/>
      <c r="B3098" s="6"/>
      <c r="H3098" s="13"/>
    </row>
    <row r="3099">
      <c r="A3099" s="6"/>
      <c r="B3099" s="6"/>
      <c r="H3099" s="13"/>
    </row>
    <row r="3100">
      <c r="A3100" s="6"/>
      <c r="B3100" s="6"/>
      <c r="H3100" s="13"/>
    </row>
    <row r="3101">
      <c r="A3101" s="6"/>
      <c r="B3101" s="6"/>
      <c r="H3101" s="13"/>
    </row>
    <row r="3102">
      <c r="A3102" s="6"/>
      <c r="B3102" s="6"/>
      <c r="H3102" s="13"/>
    </row>
    <row r="3103">
      <c r="A3103" s="6"/>
      <c r="B3103" s="6"/>
      <c r="H3103" s="13"/>
    </row>
    <row r="3104">
      <c r="A3104" s="6"/>
      <c r="B3104" s="6"/>
      <c r="H3104" s="13"/>
    </row>
    <row r="3105">
      <c r="A3105" s="6"/>
      <c r="B3105" s="6"/>
      <c r="H3105" s="13"/>
    </row>
    <row r="3106">
      <c r="A3106" s="6"/>
      <c r="B3106" s="6"/>
      <c r="H3106" s="13"/>
    </row>
    <row r="3107">
      <c r="A3107" s="6"/>
      <c r="B3107" s="6"/>
      <c r="H3107" s="13"/>
    </row>
    <row r="3108">
      <c r="A3108" s="6"/>
      <c r="B3108" s="6"/>
      <c r="H3108" s="13"/>
    </row>
    <row r="3109">
      <c r="A3109" s="6"/>
      <c r="B3109" s="6"/>
      <c r="H3109" s="13"/>
    </row>
    <row r="3110">
      <c r="A3110" s="6"/>
      <c r="B3110" s="6"/>
      <c r="H3110" s="13"/>
    </row>
    <row r="3111">
      <c r="A3111" s="6"/>
      <c r="B3111" s="6"/>
      <c r="H3111" s="13"/>
    </row>
    <row r="3112">
      <c r="A3112" s="6"/>
      <c r="B3112" s="6"/>
      <c r="H3112" s="13"/>
    </row>
    <row r="3113">
      <c r="A3113" s="6"/>
      <c r="B3113" s="6"/>
      <c r="H3113" s="13"/>
    </row>
    <row r="3114">
      <c r="A3114" s="6"/>
      <c r="B3114" s="6"/>
      <c r="H3114" s="13"/>
    </row>
    <row r="3115">
      <c r="A3115" s="6"/>
      <c r="B3115" s="6"/>
      <c r="H3115" s="13"/>
    </row>
    <row r="3116">
      <c r="A3116" s="6"/>
      <c r="B3116" s="6"/>
      <c r="H3116" s="13"/>
    </row>
    <row r="3117">
      <c r="A3117" s="6"/>
      <c r="B3117" s="6"/>
      <c r="H3117" s="13"/>
    </row>
    <row r="3118">
      <c r="A3118" s="6"/>
      <c r="B3118" s="6"/>
      <c r="H3118" s="13"/>
    </row>
    <row r="3119">
      <c r="A3119" s="6"/>
      <c r="B3119" s="6"/>
      <c r="H3119" s="13"/>
    </row>
    <row r="3120">
      <c r="A3120" s="6"/>
      <c r="B3120" s="6"/>
      <c r="H3120" s="13"/>
    </row>
    <row r="3121">
      <c r="A3121" s="6"/>
      <c r="B3121" s="6"/>
      <c r="H3121" s="13"/>
    </row>
    <row r="3122">
      <c r="A3122" s="6"/>
      <c r="B3122" s="6"/>
      <c r="H3122" s="13"/>
    </row>
    <row r="3123">
      <c r="A3123" s="6"/>
      <c r="B3123" s="6"/>
      <c r="H3123" s="13"/>
    </row>
    <row r="3124">
      <c r="A3124" s="6"/>
      <c r="B3124" s="6"/>
      <c r="H3124" s="13"/>
    </row>
    <row r="3125">
      <c r="A3125" s="6"/>
      <c r="B3125" s="6"/>
      <c r="H3125" s="13"/>
    </row>
    <row r="3126">
      <c r="A3126" s="6"/>
      <c r="B3126" s="6"/>
      <c r="H3126" s="13"/>
    </row>
    <row r="3127">
      <c r="A3127" s="6"/>
      <c r="B3127" s="6"/>
      <c r="H3127" s="13"/>
    </row>
    <row r="3128">
      <c r="A3128" s="6"/>
      <c r="B3128" s="6"/>
      <c r="H3128" s="13"/>
    </row>
    <row r="3129">
      <c r="A3129" s="6"/>
      <c r="B3129" s="6"/>
      <c r="H3129" s="13"/>
    </row>
    <row r="3130">
      <c r="A3130" s="6"/>
      <c r="B3130" s="6"/>
      <c r="H3130" s="13"/>
    </row>
    <row r="3131">
      <c r="A3131" s="6"/>
      <c r="B3131" s="6"/>
      <c r="H3131" s="13"/>
    </row>
    <row r="3132">
      <c r="A3132" s="6"/>
      <c r="B3132" s="6"/>
      <c r="H3132" s="13"/>
    </row>
    <row r="3133">
      <c r="A3133" s="6"/>
      <c r="B3133" s="6"/>
      <c r="H3133" s="13"/>
    </row>
    <row r="3134">
      <c r="A3134" s="6"/>
      <c r="B3134" s="6"/>
      <c r="H3134" s="13"/>
    </row>
    <row r="3135">
      <c r="A3135" s="6"/>
      <c r="B3135" s="6"/>
      <c r="H3135" s="13"/>
    </row>
    <row r="3136">
      <c r="A3136" s="6"/>
      <c r="B3136" s="6"/>
      <c r="H3136" s="13"/>
    </row>
    <row r="3137">
      <c r="A3137" s="6"/>
      <c r="B3137" s="6"/>
      <c r="H3137" s="13"/>
    </row>
    <row r="3138">
      <c r="A3138" s="6"/>
      <c r="B3138" s="6"/>
      <c r="H3138" s="13"/>
    </row>
    <row r="3139">
      <c r="A3139" s="6"/>
      <c r="B3139" s="6"/>
      <c r="H3139" s="13"/>
    </row>
    <row r="3140">
      <c r="A3140" s="6"/>
      <c r="B3140" s="6"/>
      <c r="H3140" s="13"/>
    </row>
    <row r="3141">
      <c r="A3141" s="6"/>
      <c r="B3141" s="6"/>
      <c r="H3141" s="13"/>
    </row>
    <row r="3142">
      <c r="A3142" s="6"/>
      <c r="B3142" s="6"/>
      <c r="H3142" s="13"/>
    </row>
    <row r="3143">
      <c r="A3143" s="6"/>
      <c r="B3143" s="6"/>
      <c r="H3143" s="13"/>
    </row>
    <row r="3144">
      <c r="A3144" s="6"/>
      <c r="B3144" s="6"/>
      <c r="H3144" s="13"/>
    </row>
    <row r="3145">
      <c r="A3145" s="6"/>
      <c r="B3145" s="6"/>
      <c r="H3145" s="13"/>
    </row>
    <row r="3146">
      <c r="A3146" s="6"/>
      <c r="B3146" s="6"/>
      <c r="H3146" s="13"/>
    </row>
    <row r="3147">
      <c r="A3147" s="6"/>
      <c r="B3147" s="6"/>
      <c r="H3147" s="13"/>
    </row>
    <row r="3148">
      <c r="A3148" s="6"/>
      <c r="B3148" s="6"/>
      <c r="H3148" s="13"/>
    </row>
    <row r="3149">
      <c r="A3149" s="6"/>
      <c r="B3149" s="6"/>
      <c r="H3149" s="13"/>
    </row>
    <row r="3150">
      <c r="A3150" s="6"/>
      <c r="B3150" s="6"/>
      <c r="H3150" s="13"/>
    </row>
    <row r="3151">
      <c r="A3151" s="6"/>
      <c r="B3151" s="6"/>
      <c r="H3151" s="13"/>
    </row>
    <row r="3152">
      <c r="A3152" s="6"/>
      <c r="B3152" s="6"/>
      <c r="H3152" s="13"/>
    </row>
    <row r="3153">
      <c r="A3153" s="6"/>
      <c r="B3153" s="6"/>
      <c r="H3153" s="13"/>
    </row>
    <row r="3154">
      <c r="A3154" s="6"/>
      <c r="B3154" s="6"/>
      <c r="H3154" s="13"/>
    </row>
    <row r="3155">
      <c r="A3155" s="6"/>
      <c r="B3155" s="6"/>
      <c r="H3155" s="13"/>
    </row>
    <row r="3156">
      <c r="A3156" s="6"/>
      <c r="B3156" s="6"/>
      <c r="H3156" s="13"/>
    </row>
    <row r="3157">
      <c r="A3157" s="6"/>
      <c r="B3157" s="6"/>
      <c r="H3157" s="13"/>
    </row>
    <row r="3158">
      <c r="A3158" s="6"/>
      <c r="B3158" s="6"/>
      <c r="H3158" s="13"/>
    </row>
    <row r="3159">
      <c r="A3159" s="6"/>
      <c r="B3159" s="6"/>
      <c r="H3159" s="13"/>
    </row>
    <row r="3160">
      <c r="A3160" s="6"/>
      <c r="B3160" s="6"/>
      <c r="H3160" s="13"/>
    </row>
    <row r="3161">
      <c r="A3161" s="6"/>
      <c r="B3161" s="6"/>
      <c r="H3161" s="13"/>
    </row>
    <row r="3162">
      <c r="A3162" s="6"/>
      <c r="B3162" s="6"/>
      <c r="H3162" s="13"/>
    </row>
    <row r="3163">
      <c r="A3163" s="6"/>
      <c r="B3163" s="6"/>
      <c r="H3163" s="13"/>
    </row>
    <row r="3164">
      <c r="A3164" s="6"/>
      <c r="B3164" s="6"/>
      <c r="H3164" s="13"/>
    </row>
    <row r="3165">
      <c r="A3165" s="6"/>
      <c r="B3165" s="6"/>
      <c r="H3165" s="13"/>
    </row>
    <row r="3166">
      <c r="A3166" s="6"/>
      <c r="B3166" s="6"/>
      <c r="H3166" s="13"/>
    </row>
    <row r="3167">
      <c r="A3167" s="6"/>
      <c r="B3167" s="6"/>
      <c r="H3167" s="13"/>
    </row>
    <row r="3168">
      <c r="A3168" s="6"/>
      <c r="B3168" s="6"/>
      <c r="H3168" s="13"/>
    </row>
    <row r="3169">
      <c r="A3169" s="6"/>
      <c r="B3169" s="6"/>
      <c r="H3169" s="13"/>
    </row>
    <row r="3170">
      <c r="A3170" s="6"/>
      <c r="B3170" s="6"/>
      <c r="H3170" s="13"/>
    </row>
    <row r="3171">
      <c r="A3171" s="6"/>
      <c r="B3171" s="6"/>
      <c r="H3171" s="13"/>
    </row>
    <row r="3172">
      <c r="A3172" s="6"/>
      <c r="B3172" s="6"/>
      <c r="H3172" s="13"/>
    </row>
    <row r="3173">
      <c r="A3173" s="6"/>
      <c r="B3173" s="6"/>
      <c r="H3173" s="13"/>
    </row>
    <row r="3174">
      <c r="A3174" s="6"/>
      <c r="B3174" s="6"/>
      <c r="H3174" s="13"/>
    </row>
    <row r="3175">
      <c r="A3175" s="6"/>
      <c r="B3175" s="6"/>
      <c r="H3175" s="13"/>
    </row>
    <row r="3176">
      <c r="A3176" s="6"/>
      <c r="B3176" s="6"/>
      <c r="H3176" s="13"/>
    </row>
    <row r="3177">
      <c r="A3177" s="6"/>
      <c r="B3177" s="6"/>
      <c r="H3177" s="13"/>
    </row>
    <row r="3178">
      <c r="A3178" s="6"/>
      <c r="B3178" s="6"/>
      <c r="H3178" s="13"/>
    </row>
    <row r="3179">
      <c r="A3179" s="6"/>
      <c r="B3179" s="6"/>
      <c r="H3179" s="13"/>
    </row>
    <row r="3180">
      <c r="A3180" s="6"/>
      <c r="B3180" s="6"/>
      <c r="H3180" s="13"/>
    </row>
    <row r="3181">
      <c r="A3181" s="6"/>
      <c r="B3181" s="6"/>
      <c r="H3181" s="13"/>
    </row>
    <row r="3182">
      <c r="A3182" s="6"/>
      <c r="B3182" s="6"/>
      <c r="H3182" s="13"/>
    </row>
    <row r="3183">
      <c r="A3183" s="6"/>
      <c r="B3183" s="6"/>
      <c r="H3183" s="13"/>
    </row>
    <row r="3184">
      <c r="A3184" s="6"/>
      <c r="B3184" s="6"/>
      <c r="H3184" s="13"/>
    </row>
    <row r="3185">
      <c r="A3185" s="6"/>
      <c r="B3185" s="6"/>
      <c r="H3185" s="13"/>
    </row>
    <row r="3186">
      <c r="A3186" s="6"/>
      <c r="B3186" s="6"/>
      <c r="H3186" s="13"/>
    </row>
    <row r="3187">
      <c r="A3187" s="6"/>
      <c r="B3187" s="6"/>
      <c r="H3187" s="13"/>
    </row>
    <row r="3188">
      <c r="A3188" s="6"/>
      <c r="B3188" s="6"/>
      <c r="H3188" s="13"/>
    </row>
    <row r="3189">
      <c r="A3189" s="6"/>
      <c r="B3189" s="6"/>
      <c r="H3189" s="13"/>
    </row>
    <row r="3190">
      <c r="A3190" s="6"/>
      <c r="B3190" s="6"/>
      <c r="H3190" s="13"/>
    </row>
    <row r="3191">
      <c r="A3191" s="6"/>
      <c r="B3191" s="6"/>
      <c r="H3191" s="13"/>
    </row>
    <row r="3192">
      <c r="A3192" s="6"/>
      <c r="B3192" s="6"/>
      <c r="H3192" s="13"/>
    </row>
    <row r="3193">
      <c r="A3193" s="6"/>
      <c r="B3193" s="6"/>
      <c r="H3193" s="13"/>
    </row>
    <row r="3194">
      <c r="A3194" s="6"/>
      <c r="B3194" s="6"/>
      <c r="H3194" s="13"/>
    </row>
    <row r="3195">
      <c r="A3195" s="6"/>
      <c r="B3195" s="6"/>
      <c r="H3195" s="13"/>
    </row>
    <row r="3196">
      <c r="A3196" s="6"/>
      <c r="B3196" s="6"/>
      <c r="H3196" s="13"/>
    </row>
    <row r="3197">
      <c r="A3197" s="6"/>
      <c r="B3197" s="6"/>
      <c r="H3197" s="13"/>
    </row>
    <row r="3198">
      <c r="A3198" s="6"/>
      <c r="B3198" s="6"/>
      <c r="H3198" s="13"/>
    </row>
    <row r="3199">
      <c r="A3199" s="6"/>
      <c r="B3199" s="6"/>
      <c r="H3199" s="13"/>
    </row>
    <row r="3200">
      <c r="A3200" s="6"/>
      <c r="B3200" s="6"/>
      <c r="H3200" s="13"/>
    </row>
    <row r="3201">
      <c r="A3201" s="6"/>
      <c r="B3201" s="6"/>
      <c r="H3201" s="13"/>
    </row>
    <row r="3202">
      <c r="A3202" s="6"/>
      <c r="B3202" s="6"/>
      <c r="H3202" s="13"/>
    </row>
    <row r="3203">
      <c r="A3203" s="6"/>
      <c r="B3203" s="6"/>
      <c r="H3203" s="13"/>
    </row>
    <row r="3204">
      <c r="A3204" s="6"/>
      <c r="B3204" s="6"/>
      <c r="H3204" s="13"/>
    </row>
    <row r="3205">
      <c r="A3205" s="6"/>
      <c r="B3205" s="6"/>
      <c r="H3205" s="13"/>
    </row>
    <row r="3206">
      <c r="A3206" s="6"/>
      <c r="B3206" s="6"/>
      <c r="H3206" s="13"/>
    </row>
    <row r="3207">
      <c r="A3207" s="6"/>
      <c r="B3207" s="6"/>
      <c r="H3207" s="13"/>
    </row>
    <row r="3208">
      <c r="A3208" s="6"/>
      <c r="B3208" s="6"/>
      <c r="H3208" s="13"/>
    </row>
    <row r="3209">
      <c r="A3209" s="6"/>
      <c r="B3209" s="6"/>
      <c r="H3209" s="13"/>
    </row>
    <row r="3210">
      <c r="A3210" s="6"/>
      <c r="B3210" s="6"/>
      <c r="H3210" s="13"/>
    </row>
    <row r="3211">
      <c r="A3211" s="6"/>
      <c r="B3211" s="6"/>
      <c r="H3211" s="13"/>
    </row>
    <row r="3212">
      <c r="A3212" s="6"/>
      <c r="B3212" s="6"/>
      <c r="H3212" s="13"/>
    </row>
    <row r="3213">
      <c r="A3213" s="6"/>
      <c r="B3213" s="6"/>
      <c r="H3213" s="13"/>
    </row>
    <row r="3214">
      <c r="A3214" s="6"/>
      <c r="B3214" s="6"/>
      <c r="H3214" s="13"/>
    </row>
    <row r="3215">
      <c r="A3215" s="6"/>
      <c r="B3215" s="6"/>
      <c r="H3215" s="13"/>
    </row>
    <row r="3216">
      <c r="A3216" s="6"/>
      <c r="B3216" s="6"/>
      <c r="H3216" s="13"/>
    </row>
    <row r="3217">
      <c r="A3217" s="6"/>
      <c r="B3217" s="6"/>
      <c r="H3217" s="13"/>
    </row>
    <row r="3218">
      <c r="A3218" s="6"/>
      <c r="B3218" s="6"/>
      <c r="H3218" s="13"/>
    </row>
    <row r="3219">
      <c r="A3219" s="6"/>
      <c r="B3219" s="6"/>
      <c r="H3219" s="13"/>
    </row>
    <row r="3220">
      <c r="A3220" s="6"/>
      <c r="B3220" s="6"/>
      <c r="H3220" s="13"/>
    </row>
    <row r="3221">
      <c r="A3221" s="6"/>
      <c r="B3221" s="6"/>
      <c r="H3221" s="13"/>
    </row>
    <row r="3222">
      <c r="A3222" s="6"/>
      <c r="B3222" s="6"/>
      <c r="H3222" s="13"/>
    </row>
    <row r="3223">
      <c r="A3223" s="6"/>
      <c r="B3223" s="6"/>
      <c r="H3223" s="13"/>
    </row>
    <row r="3224">
      <c r="A3224" s="6"/>
      <c r="B3224" s="6"/>
      <c r="H3224" s="13"/>
    </row>
    <row r="3225">
      <c r="A3225" s="6"/>
      <c r="B3225" s="6"/>
      <c r="H3225" s="13"/>
    </row>
    <row r="3226">
      <c r="A3226" s="6"/>
      <c r="B3226" s="6"/>
      <c r="H3226" s="13"/>
    </row>
    <row r="3227">
      <c r="A3227" s="6"/>
      <c r="B3227" s="6"/>
      <c r="H3227" s="13"/>
    </row>
    <row r="3228">
      <c r="A3228" s="6"/>
      <c r="B3228" s="6"/>
      <c r="H3228" s="13"/>
    </row>
    <row r="3229">
      <c r="A3229" s="6"/>
      <c r="B3229" s="6"/>
      <c r="H3229" s="13"/>
    </row>
    <row r="3230">
      <c r="A3230" s="6"/>
      <c r="B3230" s="6"/>
      <c r="H3230" s="13"/>
    </row>
    <row r="3231">
      <c r="A3231" s="6"/>
      <c r="B3231" s="6"/>
      <c r="H3231" s="13"/>
    </row>
    <row r="3232">
      <c r="A3232" s="6"/>
      <c r="B3232" s="6"/>
      <c r="H3232" s="13"/>
    </row>
    <row r="3233">
      <c r="A3233" s="6"/>
      <c r="B3233" s="6"/>
      <c r="H3233" s="13"/>
    </row>
    <row r="3234">
      <c r="A3234" s="6"/>
      <c r="B3234" s="6"/>
      <c r="H3234" s="13"/>
    </row>
    <row r="3235">
      <c r="A3235" s="6"/>
      <c r="B3235" s="6"/>
      <c r="H3235" s="13"/>
    </row>
    <row r="3236">
      <c r="A3236" s="6"/>
      <c r="B3236" s="6"/>
      <c r="H3236" s="13"/>
    </row>
    <row r="3237">
      <c r="A3237" s="6"/>
      <c r="B3237" s="6"/>
      <c r="H3237" s="13"/>
    </row>
    <row r="3238">
      <c r="A3238" s="6"/>
      <c r="B3238" s="6"/>
      <c r="H3238" s="13"/>
    </row>
    <row r="3239">
      <c r="A3239" s="6"/>
      <c r="B3239" s="6"/>
      <c r="H3239" s="13"/>
    </row>
    <row r="3240">
      <c r="A3240" s="6"/>
      <c r="B3240" s="6"/>
      <c r="H3240" s="13"/>
    </row>
    <row r="3241">
      <c r="A3241" s="6"/>
      <c r="B3241" s="6"/>
      <c r="H3241" s="13"/>
    </row>
    <row r="3242">
      <c r="A3242" s="6"/>
      <c r="B3242" s="6"/>
      <c r="H3242" s="13"/>
    </row>
    <row r="3243">
      <c r="A3243" s="6"/>
      <c r="B3243" s="6"/>
      <c r="H3243" s="13"/>
    </row>
    <row r="3244">
      <c r="A3244" s="6"/>
      <c r="B3244" s="6"/>
      <c r="H3244" s="13"/>
    </row>
    <row r="3245">
      <c r="A3245" s="6"/>
      <c r="B3245" s="6"/>
      <c r="H3245" s="13"/>
    </row>
    <row r="3246">
      <c r="A3246" s="6"/>
      <c r="B3246" s="6"/>
      <c r="H3246" s="13"/>
    </row>
    <row r="3247">
      <c r="A3247" s="6"/>
      <c r="B3247" s="6"/>
      <c r="H3247" s="13"/>
    </row>
    <row r="3248">
      <c r="A3248" s="6"/>
      <c r="B3248" s="6"/>
      <c r="H3248" s="13"/>
    </row>
    <row r="3249">
      <c r="A3249" s="6"/>
      <c r="B3249" s="6"/>
      <c r="H3249" s="13"/>
    </row>
    <row r="3250">
      <c r="A3250" s="6"/>
      <c r="B3250" s="6"/>
      <c r="H3250" s="13"/>
    </row>
    <row r="3251">
      <c r="A3251" s="6"/>
      <c r="B3251" s="6"/>
      <c r="H3251" s="13"/>
    </row>
    <row r="3252">
      <c r="A3252" s="6"/>
      <c r="B3252" s="6"/>
      <c r="H3252" s="13"/>
    </row>
    <row r="3253">
      <c r="A3253" s="6"/>
      <c r="B3253" s="6"/>
      <c r="H3253" s="13"/>
    </row>
    <row r="3254">
      <c r="A3254" s="6"/>
      <c r="B3254" s="6"/>
      <c r="H3254" s="13"/>
    </row>
    <row r="3255">
      <c r="A3255" s="6"/>
      <c r="B3255" s="6"/>
      <c r="H3255" s="13"/>
    </row>
    <row r="3256">
      <c r="A3256" s="6"/>
      <c r="B3256" s="6"/>
      <c r="H3256" s="13"/>
    </row>
    <row r="3257">
      <c r="A3257" s="6"/>
      <c r="B3257" s="6"/>
      <c r="H3257" s="13"/>
    </row>
    <row r="3258">
      <c r="A3258" s="6"/>
      <c r="B3258" s="6"/>
      <c r="H3258" s="13"/>
    </row>
    <row r="3259">
      <c r="A3259" s="6"/>
      <c r="B3259" s="6"/>
      <c r="H3259" s="13"/>
    </row>
    <row r="3260">
      <c r="A3260" s="6"/>
      <c r="B3260" s="6"/>
      <c r="H3260" s="13"/>
    </row>
    <row r="3261">
      <c r="A3261" s="6"/>
      <c r="B3261" s="6"/>
      <c r="H3261" s="13"/>
    </row>
    <row r="3262">
      <c r="A3262" s="6"/>
      <c r="B3262" s="6"/>
      <c r="H3262" s="13"/>
    </row>
    <row r="3263">
      <c r="A3263" s="6"/>
      <c r="B3263" s="6"/>
      <c r="H3263" s="13"/>
    </row>
    <row r="3264">
      <c r="A3264" s="6"/>
      <c r="B3264" s="6"/>
      <c r="H3264" s="13"/>
    </row>
    <row r="3265">
      <c r="A3265" s="6"/>
      <c r="B3265" s="6"/>
      <c r="H3265" s="13"/>
    </row>
    <row r="3266">
      <c r="A3266" s="6"/>
      <c r="B3266" s="6"/>
      <c r="H3266" s="13"/>
    </row>
    <row r="3267">
      <c r="A3267" s="6"/>
      <c r="B3267" s="6"/>
      <c r="H3267" s="13"/>
    </row>
    <row r="3268">
      <c r="A3268" s="6"/>
      <c r="B3268" s="6"/>
      <c r="H3268" s="13"/>
    </row>
    <row r="3269">
      <c r="A3269" s="6"/>
      <c r="B3269" s="6"/>
      <c r="H3269" s="13"/>
    </row>
    <row r="3270">
      <c r="A3270" s="6"/>
      <c r="B3270" s="6"/>
      <c r="H3270" s="13"/>
    </row>
    <row r="3271">
      <c r="A3271" s="6"/>
      <c r="B3271" s="6"/>
      <c r="H3271" s="13"/>
    </row>
    <row r="3272">
      <c r="A3272" s="6"/>
      <c r="B3272" s="6"/>
      <c r="H3272" s="13"/>
    </row>
    <row r="3273">
      <c r="A3273" s="6"/>
      <c r="B3273" s="6"/>
      <c r="H3273" s="13"/>
    </row>
    <row r="3274">
      <c r="A3274" s="6"/>
      <c r="B3274" s="6"/>
      <c r="H3274" s="13"/>
    </row>
    <row r="3275">
      <c r="A3275" s="6"/>
      <c r="B3275" s="6"/>
      <c r="H3275" s="13"/>
    </row>
    <row r="3276">
      <c r="A3276" s="6"/>
      <c r="B3276" s="6"/>
      <c r="H3276" s="13"/>
    </row>
    <row r="3277">
      <c r="A3277" s="6"/>
      <c r="B3277" s="6"/>
      <c r="H3277" s="13"/>
    </row>
    <row r="3278">
      <c r="A3278" s="6"/>
      <c r="B3278" s="6"/>
      <c r="H3278" s="13"/>
    </row>
    <row r="3279">
      <c r="A3279" s="6"/>
      <c r="B3279" s="6"/>
      <c r="H3279" s="13"/>
    </row>
    <row r="3280">
      <c r="A3280" s="6"/>
      <c r="B3280" s="6"/>
      <c r="H3280" s="13"/>
    </row>
    <row r="3281">
      <c r="A3281" s="6"/>
      <c r="B3281" s="6"/>
      <c r="H3281" s="13"/>
    </row>
    <row r="3282">
      <c r="A3282" s="6"/>
      <c r="B3282" s="6"/>
      <c r="H3282" s="13"/>
    </row>
    <row r="3283">
      <c r="A3283" s="6"/>
      <c r="B3283" s="6"/>
      <c r="H3283" s="13"/>
    </row>
    <row r="3284">
      <c r="A3284" s="6"/>
      <c r="B3284" s="6"/>
      <c r="H3284" s="13"/>
    </row>
    <row r="3285">
      <c r="A3285" s="6"/>
      <c r="B3285" s="6"/>
      <c r="H3285" s="13"/>
    </row>
    <row r="3286">
      <c r="A3286" s="6"/>
      <c r="B3286" s="6"/>
      <c r="H3286" s="13"/>
    </row>
    <row r="3287">
      <c r="A3287" s="6"/>
      <c r="B3287" s="6"/>
      <c r="H3287" s="13"/>
    </row>
    <row r="3288">
      <c r="A3288" s="6"/>
      <c r="B3288" s="6"/>
      <c r="H3288" s="13"/>
    </row>
    <row r="3289">
      <c r="A3289" s="6"/>
      <c r="B3289" s="6"/>
      <c r="H3289" s="13"/>
    </row>
    <row r="3290">
      <c r="A3290" s="6"/>
      <c r="B3290" s="6"/>
      <c r="H3290" s="13"/>
    </row>
    <row r="3291">
      <c r="A3291" s="6"/>
      <c r="B3291" s="6"/>
      <c r="H3291" s="13"/>
    </row>
    <row r="3292">
      <c r="A3292" s="6"/>
      <c r="B3292" s="6"/>
      <c r="H3292" s="13"/>
    </row>
    <row r="3293">
      <c r="A3293" s="6"/>
      <c r="B3293" s="6"/>
      <c r="H3293" s="13"/>
    </row>
    <row r="3294">
      <c r="A3294" s="6"/>
      <c r="B3294" s="6"/>
      <c r="H3294" s="13"/>
    </row>
    <row r="3295">
      <c r="A3295" s="6"/>
      <c r="B3295" s="6"/>
      <c r="H3295" s="13"/>
    </row>
    <row r="3296">
      <c r="A3296" s="6"/>
      <c r="B3296" s="6"/>
      <c r="H3296" s="13"/>
    </row>
    <row r="3297">
      <c r="A3297" s="6"/>
      <c r="B3297" s="6"/>
      <c r="H3297" s="13"/>
    </row>
    <row r="3298">
      <c r="A3298" s="6"/>
      <c r="B3298" s="6"/>
      <c r="H3298" s="13"/>
    </row>
    <row r="3299">
      <c r="A3299" s="6"/>
      <c r="B3299" s="6"/>
      <c r="H3299" s="13"/>
    </row>
    <row r="3300">
      <c r="A3300" s="6"/>
      <c r="B3300" s="6"/>
      <c r="H3300" s="13"/>
    </row>
    <row r="3301">
      <c r="A3301" s="6"/>
      <c r="B3301" s="6"/>
      <c r="H3301" s="13"/>
    </row>
    <row r="3302">
      <c r="A3302" s="6"/>
      <c r="B3302" s="6"/>
      <c r="H3302" s="13"/>
    </row>
    <row r="3303">
      <c r="A3303" s="6"/>
      <c r="B3303" s="6"/>
      <c r="H3303" s="13"/>
    </row>
    <row r="3304">
      <c r="A3304" s="6"/>
      <c r="B3304" s="6"/>
      <c r="H3304" s="13"/>
    </row>
    <row r="3305">
      <c r="A3305" s="6"/>
      <c r="B3305" s="6"/>
      <c r="H3305" s="13"/>
    </row>
    <row r="3306">
      <c r="A3306" s="6"/>
      <c r="B3306" s="6"/>
      <c r="H3306" s="13"/>
    </row>
    <row r="3307">
      <c r="A3307" s="6"/>
      <c r="B3307" s="6"/>
      <c r="H3307" s="13"/>
    </row>
    <row r="3308">
      <c r="A3308" s="6"/>
      <c r="B3308" s="6"/>
      <c r="H3308" s="13"/>
    </row>
    <row r="3309">
      <c r="A3309" s="6"/>
      <c r="B3309" s="6"/>
      <c r="H3309" s="13"/>
    </row>
    <row r="3310">
      <c r="A3310" s="6"/>
      <c r="B3310" s="6"/>
      <c r="H3310" s="13"/>
    </row>
    <row r="3311">
      <c r="A3311" s="6"/>
      <c r="B3311" s="6"/>
      <c r="H3311" s="13"/>
    </row>
    <row r="3312">
      <c r="A3312" s="6"/>
      <c r="B3312" s="6"/>
      <c r="H3312" s="13"/>
    </row>
    <row r="3313">
      <c r="A3313" s="6"/>
      <c r="B3313" s="6"/>
      <c r="H3313" s="13"/>
    </row>
    <row r="3314">
      <c r="A3314" s="6"/>
      <c r="B3314" s="6"/>
      <c r="H3314" s="13"/>
    </row>
    <row r="3315">
      <c r="A3315" s="6"/>
      <c r="B3315" s="6"/>
      <c r="H3315" s="13"/>
    </row>
    <row r="3316">
      <c r="A3316" s="6"/>
      <c r="B3316" s="6"/>
      <c r="H3316" s="13"/>
    </row>
    <row r="3317">
      <c r="A3317" s="6"/>
      <c r="B3317" s="6"/>
      <c r="H3317" s="13"/>
    </row>
    <row r="3318">
      <c r="A3318" s="6"/>
      <c r="B3318" s="6"/>
      <c r="H3318" s="13"/>
    </row>
    <row r="3319">
      <c r="A3319" s="6"/>
      <c r="B3319" s="6"/>
      <c r="H3319" s="13"/>
    </row>
    <row r="3320">
      <c r="A3320" s="6"/>
      <c r="B3320" s="6"/>
      <c r="H3320" s="13"/>
    </row>
    <row r="3321">
      <c r="A3321" s="6"/>
      <c r="B3321" s="6"/>
      <c r="H3321" s="13"/>
    </row>
    <row r="3322">
      <c r="A3322" s="6"/>
      <c r="B3322" s="6"/>
      <c r="H3322" s="13"/>
    </row>
    <row r="3323">
      <c r="A3323" s="6"/>
      <c r="B3323" s="6"/>
      <c r="H3323" s="13"/>
    </row>
    <row r="3324">
      <c r="A3324" s="6"/>
      <c r="B3324" s="6"/>
      <c r="H3324" s="13"/>
    </row>
    <row r="3325">
      <c r="A3325" s="6"/>
      <c r="B3325" s="6"/>
      <c r="H3325" s="13"/>
    </row>
    <row r="3326">
      <c r="A3326" s="6"/>
      <c r="B3326" s="6"/>
      <c r="H3326" s="13"/>
    </row>
    <row r="3327">
      <c r="A3327" s="6"/>
      <c r="B3327" s="6"/>
      <c r="H3327" s="13"/>
    </row>
    <row r="3328">
      <c r="A3328" s="6"/>
      <c r="B3328" s="6"/>
      <c r="H3328" s="13"/>
    </row>
    <row r="3329">
      <c r="A3329" s="6"/>
      <c r="B3329" s="6"/>
      <c r="H3329" s="13"/>
    </row>
    <row r="3330">
      <c r="A3330" s="6"/>
      <c r="B3330" s="6"/>
      <c r="H3330" s="13"/>
    </row>
    <row r="3331">
      <c r="A3331" s="6"/>
      <c r="B3331" s="6"/>
      <c r="H3331" s="13"/>
    </row>
    <row r="3332">
      <c r="A3332" s="6"/>
      <c r="B3332" s="6"/>
      <c r="H3332" s="13"/>
    </row>
    <row r="3333">
      <c r="A3333" s="6"/>
      <c r="B3333" s="6"/>
      <c r="H3333" s="13"/>
    </row>
    <row r="3334">
      <c r="A3334" s="6"/>
      <c r="B3334" s="6"/>
      <c r="H3334" s="13"/>
    </row>
    <row r="3335">
      <c r="A3335" s="6"/>
      <c r="B3335" s="6"/>
      <c r="H3335" s="13"/>
    </row>
    <row r="3336">
      <c r="A3336" s="6"/>
      <c r="B3336" s="6"/>
      <c r="H3336" s="13"/>
    </row>
    <row r="3337">
      <c r="A3337" s="6"/>
      <c r="B3337" s="6"/>
      <c r="H3337" s="13"/>
    </row>
    <row r="3338">
      <c r="A3338" s="6"/>
      <c r="B3338" s="6"/>
      <c r="H3338" s="13"/>
    </row>
    <row r="3339">
      <c r="A3339" s="6"/>
      <c r="B3339" s="6"/>
      <c r="H3339" s="13"/>
    </row>
    <row r="3340">
      <c r="A3340" s="6"/>
      <c r="B3340" s="6"/>
      <c r="H3340" s="13"/>
    </row>
    <row r="3341">
      <c r="A3341" s="6"/>
      <c r="B3341" s="6"/>
      <c r="H3341" s="13"/>
    </row>
    <row r="3342">
      <c r="A3342" s="6"/>
      <c r="B3342" s="6"/>
      <c r="H3342" s="13"/>
    </row>
    <row r="3343">
      <c r="A3343" s="6"/>
      <c r="B3343" s="6"/>
      <c r="H3343" s="13"/>
    </row>
    <row r="3344">
      <c r="A3344" s="6"/>
      <c r="B3344" s="6"/>
      <c r="H3344" s="13"/>
    </row>
    <row r="3345">
      <c r="A3345" s="6"/>
      <c r="B3345" s="6"/>
      <c r="H3345" s="13"/>
    </row>
    <row r="3346">
      <c r="A3346" s="6"/>
      <c r="B3346" s="6"/>
      <c r="H3346" s="13"/>
    </row>
    <row r="3347">
      <c r="A3347" s="6"/>
      <c r="B3347" s="6"/>
      <c r="H3347" s="13"/>
    </row>
    <row r="3348">
      <c r="A3348" s="6"/>
      <c r="B3348" s="6"/>
      <c r="H3348" s="13"/>
    </row>
    <row r="3349">
      <c r="A3349" s="6"/>
      <c r="B3349" s="6"/>
      <c r="H3349" s="13"/>
    </row>
    <row r="3350">
      <c r="A3350" s="6"/>
      <c r="B3350" s="6"/>
      <c r="H3350" s="13"/>
    </row>
    <row r="3351">
      <c r="A3351" s="6"/>
      <c r="B3351" s="6"/>
      <c r="H3351" s="13"/>
    </row>
    <row r="3352">
      <c r="A3352" s="6"/>
      <c r="B3352" s="6"/>
      <c r="H3352" s="13"/>
    </row>
    <row r="3353">
      <c r="A3353" s="6"/>
      <c r="B3353" s="6"/>
      <c r="H3353" s="13"/>
    </row>
    <row r="3354">
      <c r="A3354" s="6"/>
      <c r="B3354" s="6"/>
      <c r="H3354" s="13"/>
    </row>
    <row r="3355">
      <c r="A3355" s="6"/>
      <c r="B3355" s="6"/>
      <c r="H3355" s="13"/>
    </row>
    <row r="3356">
      <c r="A3356" s="6"/>
      <c r="B3356" s="6"/>
      <c r="H3356" s="13"/>
    </row>
    <row r="3357">
      <c r="A3357" s="6"/>
      <c r="B3357" s="6"/>
      <c r="H3357" s="13"/>
    </row>
    <row r="3358">
      <c r="A3358" s="6"/>
      <c r="B3358" s="6"/>
      <c r="H3358" s="13"/>
    </row>
    <row r="3359">
      <c r="A3359" s="6"/>
      <c r="B3359" s="6"/>
      <c r="H3359" s="13"/>
    </row>
    <row r="3360">
      <c r="A3360" s="6"/>
      <c r="B3360" s="6"/>
      <c r="H3360" s="13"/>
    </row>
    <row r="3361">
      <c r="A3361" s="6"/>
      <c r="B3361" s="6"/>
      <c r="H3361" s="13"/>
    </row>
    <row r="3362">
      <c r="A3362" s="6"/>
      <c r="B3362" s="6"/>
      <c r="H3362" s="13"/>
    </row>
    <row r="3363">
      <c r="A3363" s="6"/>
      <c r="B3363" s="6"/>
      <c r="H3363" s="13"/>
    </row>
    <row r="3364">
      <c r="A3364" s="6"/>
      <c r="B3364" s="6"/>
      <c r="H3364" s="13"/>
    </row>
    <row r="3365">
      <c r="A3365" s="6"/>
      <c r="B3365" s="6"/>
      <c r="H3365" s="13"/>
    </row>
    <row r="3366">
      <c r="A3366" s="6"/>
      <c r="B3366" s="6"/>
      <c r="H3366" s="13"/>
    </row>
    <row r="3367">
      <c r="A3367" s="6"/>
      <c r="B3367" s="6"/>
      <c r="H3367" s="13"/>
    </row>
    <row r="3368">
      <c r="A3368" s="6"/>
      <c r="B3368" s="6"/>
      <c r="H3368" s="13"/>
    </row>
    <row r="3369">
      <c r="A3369" s="6"/>
      <c r="B3369" s="6"/>
      <c r="H3369" s="13"/>
    </row>
    <row r="3370">
      <c r="A3370" s="6"/>
      <c r="B3370" s="6"/>
      <c r="H3370" s="13"/>
    </row>
    <row r="3371">
      <c r="A3371" s="6"/>
      <c r="B3371" s="6"/>
      <c r="H3371" s="13"/>
    </row>
    <row r="3372">
      <c r="A3372" s="6"/>
      <c r="B3372" s="6"/>
      <c r="H3372" s="13"/>
    </row>
    <row r="3373">
      <c r="A3373" s="6"/>
      <c r="B3373" s="6"/>
      <c r="H3373" s="13"/>
    </row>
    <row r="3374">
      <c r="A3374" s="6"/>
      <c r="B3374" s="6"/>
      <c r="H3374" s="13"/>
    </row>
    <row r="3375">
      <c r="A3375" s="6"/>
      <c r="B3375" s="6"/>
      <c r="H3375" s="13"/>
    </row>
    <row r="3376">
      <c r="A3376" s="6"/>
      <c r="B3376" s="6"/>
      <c r="H3376" s="13"/>
    </row>
    <row r="3377">
      <c r="A3377" s="6"/>
      <c r="B3377" s="6"/>
      <c r="H3377" s="13"/>
    </row>
    <row r="3378">
      <c r="A3378" s="6"/>
      <c r="B3378" s="6"/>
      <c r="H3378" s="13"/>
    </row>
    <row r="3379">
      <c r="A3379" s="6"/>
      <c r="B3379" s="6"/>
      <c r="H3379" s="13"/>
    </row>
    <row r="3380">
      <c r="A3380" s="6"/>
      <c r="B3380" s="6"/>
      <c r="H3380" s="13"/>
    </row>
    <row r="3381">
      <c r="A3381" s="6"/>
      <c r="B3381" s="6"/>
      <c r="H3381" s="13"/>
    </row>
    <row r="3382">
      <c r="A3382" s="6"/>
      <c r="B3382" s="6"/>
      <c r="H3382" s="13"/>
    </row>
    <row r="3383">
      <c r="A3383" s="6"/>
      <c r="B3383" s="6"/>
      <c r="H3383" s="13"/>
    </row>
    <row r="3384">
      <c r="A3384" s="6"/>
      <c r="B3384" s="6"/>
      <c r="H3384" s="13"/>
    </row>
    <row r="3385">
      <c r="A3385" s="6"/>
      <c r="B3385" s="6"/>
      <c r="H3385" s="13"/>
    </row>
    <row r="3386">
      <c r="A3386" s="6"/>
      <c r="B3386" s="6"/>
      <c r="H3386" s="13"/>
    </row>
    <row r="3387">
      <c r="A3387" s="6"/>
      <c r="B3387" s="6"/>
      <c r="H3387" s="13"/>
    </row>
    <row r="3388">
      <c r="A3388" s="6"/>
      <c r="B3388" s="6"/>
      <c r="H3388" s="13"/>
    </row>
    <row r="3389">
      <c r="A3389" s="6"/>
      <c r="B3389" s="6"/>
      <c r="H3389" s="13"/>
    </row>
    <row r="3390">
      <c r="A3390" s="6"/>
      <c r="B3390" s="6"/>
      <c r="H3390" s="13"/>
    </row>
    <row r="3391">
      <c r="A3391" s="6"/>
      <c r="B3391" s="6"/>
      <c r="H3391" s="13"/>
    </row>
    <row r="3392">
      <c r="A3392" s="6"/>
      <c r="B3392" s="6"/>
      <c r="H3392" s="13"/>
    </row>
    <row r="3393">
      <c r="A3393" s="6"/>
      <c r="B3393" s="6"/>
      <c r="H3393" s="13"/>
    </row>
    <row r="3394">
      <c r="A3394" s="6"/>
      <c r="B3394" s="6"/>
      <c r="H3394" s="13"/>
    </row>
    <row r="3395">
      <c r="A3395" s="6"/>
      <c r="B3395" s="6"/>
      <c r="H3395" s="13"/>
    </row>
    <row r="3396">
      <c r="A3396" s="6"/>
      <c r="B3396" s="6"/>
      <c r="H3396" s="13"/>
    </row>
    <row r="3397">
      <c r="A3397" s="6"/>
      <c r="B3397" s="6"/>
      <c r="H3397" s="13"/>
    </row>
    <row r="3398">
      <c r="A3398" s="6"/>
      <c r="B3398" s="6"/>
      <c r="H3398" s="13"/>
    </row>
    <row r="3399">
      <c r="A3399" s="6"/>
      <c r="B3399" s="6"/>
      <c r="H3399" s="13"/>
    </row>
    <row r="3400">
      <c r="A3400" s="6"/>
      <c r="B3400" s="6"/>
      <c r="H3400" s="13"/>
    </row>
    <row r="3401">
      <c r="A3401" s="6"/>
      <c r="B3401" s="6"/>
      <c r="H3401" s="13"/>
    </row>
    <row r="3402">
      <c r="A3402" s="6"/>
      <c r="B3402" s="6"/>
      <c r="H3402" s="13"/>
    </row>
    <row r="3403">
      <c r="A3403" s="6"/>
      <c r="B3403" s="6"/>
      <c r="H3403" s="13"/>
    </row>
    <row r="3404">
      <c r="A3404" s="6"/>
      <c r="B3404" s="6"/>
      <c r="H3404" s="13"/>
    </row>
    <row r="3405">
      <c r="A3405" s="6"/>
      <c r="B3405" s="6"/>
      <c r="H3405" s="13"/>
    </row>
    <row r="3406">
      <c r="A3406" s="6"/>
      <c r="B3406" s="6"/>
      <c r="H3406" s="13"/>
    </row>
    <row r="3407">
      <c r="A3407" s="6"/>
      <c r="B3407" s="6"/>
      <c r="H3407" s="13"/>
    </row>
    <row r="3408">
      <c r="A3408" s="6"/>
      <c r="B3408" s="6"/>
      <c r="H3408" s="13"/>
    </row>
    <row r="3409">
      <c r="A3409" s="6"/>
      <c r="B3409" s="6"/>
      <c r="H3409" s="13"/>
    </row>
    <row r="3410">
      <c r="A3410" s="6"/>
      <c r="B3410" s="6"/>
      <c r="H3410" s="13"/>
    </row>
    <row r="3411">
      <c r="A3411" s="6"/>
      <c r="B3411" s="6"/>
      <c r="H3411" s="13"/>
    </row>
    <row r="3412">
      <c r="A3412" s="6"/>
      <c r="B3412" s="6"/>
      <c r="H3412" s="13"/>
    </row>
    <row r="3413">
      <c r="A3413" s="6"/>
      <c r="B3413" s="6"/>
      <c r="H3413" s="13"/>
    </row>
    <row r="3414">
      <c r="A3414" s="6"/>
      <c r="B3414" s="6"/>
      <c r="H3414" s="13"/>
    </row>
    <row r="3415">
      <c r="A3415" s="6"/>
      <c r="B3415" s="6"/>
      <c r="H3415" s="13"/>
    </row>
    <row r="3416">
      <c r="A3416" s="6"/>
      <c r="B3416" s="6"/>
      <c r="H3416" s="13"/>
    </row>
    <row r="3417">
      <c r="A3417" s="6"/>
      <c r="B3417" s="6"/>
      <c r="H3417" s="13"/>
    </row>
    <row r="3418">
      <c r="A3418" s="6"/>
      <c r="B3418" s="6"/>
      <c r="H3418" s="13"/>
    </row>
    <row r="3419">
      <c r="A3419" s="6"/>
      <c r="B3419" s="6"/>
      <c r="H3419" s="13"/>
    </row>
    <row r="3420">
      <c r="A3420" s="6"/>
      <c r="B3420" s="6"/>
      <c r="H3420" s="13"/>
    </row>
    <row r="3421">
      <c r="A3421" s="6"/>
      <c r="B3421" s="6"/>
      <c r="H3421" s="13"/>
    </row>
    <row r="3422">
      <c r="A3422" s="6"/>
      <c r="B3422" s="6"/>
      <c r="H3422" s="13"/>
    </row>
    <row r="3423">
      <c r="A3423" s="6"/>
      <c r="B3423" s="6"/>
      <c r="H3423" s="13"/>
    </row>
    <row r="3424">
      <c r="A3424" s="6"/>
      <c r="B3424" s="6"/>
      <c r="H3424" s="13"/>
    </row>
    <row r="3425">
      <c r="A3425" s="6"/>
      <c r="B3425" s="6"/>
      <c r="H3425" s="13"/>
    </row>
    <row r="3426">
      <c r="A3426" s="6"/>
      <c r="B3426" s="6"/>
      <c r="H3426" s="13"/>
    </row>
    <row r="3427">
      <c r="A3427" s="6"/>
      <c r="B3427" s="6"/>
      <c r="H3427" s="13"/>
    </row>
    <row r="3428">
      <c r="A3428" s="6"/>
      <c r="B3428" s="6"/>
      <c r="H3428" s="13"/>
    </row>
    <row r="3429">
      <c r="A3429" s="6"/>
      <c r="B3429" s="6"/>
      <c r="H3429" s="13"/>
    </row>
    <row r="3430">
      <c r="A3430" s="6"/>
      <c r="B3430" s="6"/>
      <c r="H3430" s="13"/>
    </row>
    <row r="3431">
      <c r="A3431" s="6"/>
      <c r="B3431" s="6"/>
      <c r="H3431" s="13"/>
    </row>
    <row r="3432">
      <c r="A3432" s="6"/>
      <c r="B3432" s="6"/>
      <c r="H3432" s="13"/>
    </row>
    <row r="3433">
      <c r="A3433" s="6"/>
      <c r="B3433" s="6"/>
      <c r="H3433" s="13"/>
    </row>
    <row r="3434">
      <c r="A3434" s="6"/>
      <c r="B3434" s="6"/>
      <c r="H3434" s="13"/>
    </row>
    <row r="3435">
      <c r="A3435" s="6"/>
      <c r="B3435" s="6"/>
      <c r="H3435" s="13"/>
    </row>
    <row r="3436">
      <c r="A3436" s="6"/>
      <c r="B3436" s="6"/>
      <c r="H3436" s="13"/>
    </row>
    <row r="3437">
      <c r="A3437" s="6"/>
      <c r="B3437" s="6"/>
      <c r="H3437" s="13"/>
    </row>
    <row r="3438">
      <c r="A3438" s="6"/>
      <c r="B3438" s="6"/>
      <c r="H3438" s="13"/>
    </row>
    <row r="3439">
      <c r="A3439" s="6"/>
      <c r="B3439" s="6"/>
      <c r="H3439" s="13"/>
    </row>
    <row r="3440">
      <c r="A3440" s="6"/>
      <c r="B3440" s="6"/>
      <c r="H3440" s="13"/>
    </row>
    <row r="3441">
      <c r="A3441" s="6"/>
      <c r="B3441" s="6"/>
      <c r="H3441" s="13"/>
    </row>
    <row r="3442">
      <c r="A3442" s="6"/>
      <c r="B3442" s="6"/>
      <c r="H3442" s="13"/>
    </row>
    <row r="3443">
      <c r="A3443" s="6"/>
      <c r="B3443" s="6"/>
      <c r="H3443" s="13"/>
    </row>
    <row r="3444">
      <c r="A3444" s="6"/>
      <c r="B3444" s="6"/>
      <c r="H3444" s="13"/>
    </row>
    <row r="3445">
      <c r="A3445" s="6"/>
      <c r="B3445" s="6"/>
      <c r="H3445" s="13"/>
    </row>
    <row r="3446">
      <c r="A3446" s="6"/>
      <c r="B3446" s="6"/>
      <c r="H3446" s="13"/>
    </row>
    <row r="3447">
      <c r="A3447" s="6"/>
      <c r="B3447" s="6"/>
      <c r="H3447" s="13"/>
    </row>
    <row r="3448">
      <c r="A3448" s="6"/>
      <c r="B3448" s="6"/>
      <c r="H3448" s="13"/>
    </row>
    <row r="3449">
      <c r="A3449" s="6"/>
      <c r="B3449" s="6"/>
      <c r="H3449" s="13"/>
    </row>
    <row r="3450">
      <c r="A3450" s="6"/>
      <c r="B3450" s="6"/>
      <c r="H3450" s="13"/>
    </row>
    <row r="3451">
      <c r="A3451" s="6"/>
      <c r="B3451" s="6"/>
      <c r="H3451" s="13"/>
    </row>
    <row r="3452">
      <c r="A3452" s="6"/>
      <c r="B3452" s="6"/>
      <c r="H3452" s="13"/>
    </row>
    <row r="3453">
      <c r="A3453" s="6"/>
      <c r="B3453" s="6"/>
      <c r="H3453" s="13"/>
    </row>
    <row r="3454">
      <c r="A3454" s="6"/>
      <c r="B3454" s="6"/>
      <c r="H3454" s="13"/>
    </row>
    <row r="3455">
      <c r="A3455" s="6"/>
      <c r="B3455" s="6"/>
      <c r="H3455" s="13"/>
    </row>
    <row r="3456">
      <c r="A3456" s="6"/>
      <c r="B3456" s="6"/>
      <c r="H3456" s="13"/>
    </row>
    <row r="3457">
      <c r="A3457" s="6"/>
      <c r="B3457" s="6"/>
      <c r="H3457" s="13"/>
    </row>
    <row r="3458">
      <c r="A3458" s="6"/>
      <c r="B3458" s="6"/>
      <c r="H3458" s="13"/>
    </row>
    <row r="3459">
      <c r="A3459" s="6"/>
      <c r="B3459" s="6"/>
      <c r="H3459" s="13"/>
    </row>
    <row r="3460">
      <c r="A3460" s="6"/>
      <c r="B3460" s="6"/>
      <c r="H3460" s="13"/>
    </row>
    <row r="3461">
      <c r="A3461" s="6"/>
      <c r="B3461" s="6"/>
      <c r="H3461" s="13"/>
    </row>
    <row r="3462">
      <c r="A3462" s="6"/>
      <c r="B3462" s="6"/>
      <c r="H3462" s="13"/>
    </row>
    <row r="3463">
      <c r="A3463" s="6"/>
      <c r="B3463" s="6"/>
      <c r="H3463" s="13"/>
    </row>
    <row r="3464">
      <c r="A3464" s="6"/>
      <c r="B3464" s="6"/>
      <c r="H3464" s="13"/>
    </row>
    <row r="3465">
      <c r="A3465" s="6"/>
      <c r="B3465" s="6"/>
      <c r="H3465" s="13"/>
    </row>
    <row r="3466">
      <c r="A3466" s="6"/>
      <c r="B3466" s="6"/>
      <c r="H3466" s="13"/>
    </row>
    <row r="3467">
      <c r="A3467" s="6"/>
      <c r="B3467" s="6"/>
      <c r="H3467" s="13"/>
    </row>
    <row r="3468">
      <c r="A3468" s="6"/>
      <c r="B3468" s="6"/>
      <c r="H3468" s="13"/>
    </row>
    <row r="3469">
      <c r="A3469" s="6"/>
      <c r="B3469" s="6"/>
      <c r="H3469" s="13"/>
    </row>
    <row r="3470">
      <c r="A3470" s="6"/>
      <c r="B3470" s="6"/>
      <c r="H3470" s="13"/>
    </row>
    <row r="3471">
      <c r="A3471" s="6"/>
      <c r="B3471" s="6"/>
      <c r="H3471" s="13"/>
    </row>
    <row r="3472">
      <c r="A3472" s="6"/>
      <c r="B3472" s="6"/>
      <c r="H3472" s="13"/>
    </row>
    <row r="3473">
      <c r="A3473" s="6"/>
      <c r="B3473" s="6"/>
      <c r="H3473" s="13"/>
    </row>
    <row r="3474">
      <c r="A3474" s="6"/>
      <c r="B3474" s="6"/>
      <c r="H3474" s="13"/>
    </row>
    <row r="3475">
      <c r="A3475" s="6"/>
      <c r="B3475" s="6"/>
      <c r="H3475" s="13"/>
    </row>
    <row r="3476">
      <c r="A3476" s="6"/>
      <c r="B3476" s="6"/>
      <c r="H3476" s="13"/>
    </row>
    <row r="3477">
      <c r="A3477" s="6"/>
      <c r="B3477" s="6"/>
      <c r="H3477" s="13"/>
    </row>
    <row r="3478">
      <c r="A3478" s="6"/>
      <c r="B3478" s="6"/>
      <c r="H3478" s="13"/>
    </row>
    <row r="3479">
      <c r="A3479" s="6"/>
      <c r="B3479" s="6"/>
      <c r="H3479" s="13"/>
    </row>
    <row r="3480">
      <c r="A3480" s="6"/>
      <c r="B3480" s="6"/>
      <c r="H3480" s="13"/>
    </row>
    <row r="3481">
      <c r="A3481" s="6"/>
      <c r="B3481" s="6"/>
      <c r="H3481" s="13"/>
    </row>
    <row r="3482">
      <c r="A3482" s="6"/>
      <c r="B3482" s="6"/>
      <c r="H3482" s="13"/>
    </row>
    <row r="3483">
      <c r="A3483" s="6"/>
      <c r="B3483" s="6"/>
      <c r="H3483" s="13"/>
    </row>
    <row r="3484">
      <c r="A3484" s="6"/>
      <c r="B3484" s="6"/>
      <c r="H3484" s="13"/>
    </row>
    <row r="3485">
      <c r="A3485" s="6"/>
      <c r="B3485" s="6"/>
      <c r="H3485" s="13"/>
    </row>
    <row r="3486">
      <c r="A3486" s="6"/>
      <c r="B3486" s="6"/>
      <c r="H3486" s="13"/>
    </row>
    <row r="3487">
      <c r="A3487" s="6"/>
      <c r="B3487" s="6"/>
      <c r="H3487" s="13"/>
    </row>
    <row r="3488">
      <c r="A3488" s="6"/>
      <c r="B3488" s="6"/>
      <c r="H3488" s="13"/>
    </row>
    <row r="3489">
      <c r="A3489" s="6"/>
      <c r="B3489" s="6"/>
      <c r="H3489" s="13"/>
    </row>
    <row r="3490">
      <c r="A3490" s="6"/>
      <c r="B3490" s="6"/>
      <c r="H3490" s="13"/>
    </row>
    <row r="3491">
      <c r="A3491" s="6"/>
      <c r="B3491" s="6"/>
      <c r="H3491" s="13"/>
    </row>
    <row r="3492">
      <c r="A3492" s="6"/>
      <c r="B3492" s="6"/>
      <c r="H3492" s="13"/>
    </row>
    <row r="3493">
      <c r="A3493" s="6"/>
      <c r="B3493" s="6"/>
      <c r="H3493" s="13"/>
    </row>
    <row r="3494">
      <c r="A3494" s="6"/>
      <c r="B3494" s="6"/>
      <c r="H3494" s="13"/>
    </row>
    <row r="3495">
      <c r="A3495" s="6"/>
      <c r="B3495" s="6"/>
      <c r="H3495" s="13"/>
    </row>
    <row r="3496">
      <c r="A3496" s="6"/>
      <c r="B3496" s="6"/>
      <c r="H3496" s="13"/>
    </row>
    <row r="3497">
      <c r="A3497" s="6"/>
      <c r="B3497" s="6"/>
      <c r="H3497" s="13"/>
    </row>
    <row r="3498">
      <c r="A3498" s="6"/>
      <c r="B3498" s="6"/>
      <c r="H3498" s="13"/>
    </row>
    <row r="3499">
      <c r="A3499" s="6"/>
      <c r="B3499" s="6"/>
      <c r="H3499" s="13"/>
    </row>
    <row r="3500">
      <c r="A3500" s="6"/>
      <c r="B3500" s="6"/>
      <c r="H3500" s="13"/>
    </row>
    <row r="3501">
      <c r="A3501" s="6"/>
      <c r="B3501" s="6"/>
      <c r="H3501" s="13"/>
    </row>
    <row r="3502">
      <c r="A3502" s="6"/>
      <c r="B3502" s="6"/>
      <c r="H3502" s="13"/>
    </row>
    <row r="3503">
      <c r="A3503" s="6"/>
      <c r="B3503" s="6"/>
      <c r="H3503" s="13"/>
    </row>
    <row r="3504">
      <c r="A3504" s="6"/>
      <c r="B3504" s="6"/>
      <c r="H3504" s="13"/>
    </row>
    <row r="3505">
      <c r="A3505" s="6"/>
      <c r="B3505" s="6"/>
      <c r="H3505" s="13"/>
    </row>
    <row r="3506">
      <c r="A3506" s="6"/>
      <c r="B3506" s="6"/>
      <c r="H3506" s="13"/>
    </row>
    <row r="3507">
      <c r="A3507" s="6"/>
      <c r="B3507" s="6"/>
      <c r="H3507" s="13"/>
    </row>
    <row r="3508">
      <c r="A3508" s="6"/>
      <c r="B3508" s="6"/>
      <c r="H3508" s="13"/>
    </row>
    <row r="3509">
      <c r="A3509" s="6"/>
      <c r="B3509" s="6"/>
      <c r="H3509" s="13"/>
    </row>
    <row r="3510">
      <c r="A3510" s="6"/>
      <c r="B3510" s="6"/>
      <c r="H3510" s="13"/>
    </row>
    <row r="3511">
      <c r="A3511" s="6"/>
      <c r="B3511" s="6"/>
      <c r="H3511" s="13"/>
    </row>
    <row r="3512">
      <c r="A3512" s="6"/>
      <c r="B3512" s="6"/>
      <c r="H3512" s="13"/>
    </row>
    <row r="3513">
      <c r="A3513" s="6"/>
      <c r="B3513" s="6"/>
      <c r="H3513" s="13"/>
    </row>
    <row r="3514">
      <c r="A3514" s="6"/>
      <c r="B3514" s="6"/>
      <c r="H3514" s="13"/>
    </row>
    <row r="3515">
      <c r="A3515" s="6"/>
      <c r="B3515" s="6"/>
      <c r="H3515" s="13"/>
    </row>
    <row r="3516">
      <c r="A3516" s="6"/>
      <c r="B3516" s="6"/>
      <c r="H3516" s="13"/>
    </row>
    <row r="3517">
      <c r="A3517" s="6"/>
      <c r="B3517" s="6"/>
      <c r="H3517" s="13"/>
    </row>
    <row r="3518">
      <c r="A3518" s="6"/>
      <c r="B3518" s="6"/>
      <c r="H3518" s="13"/>
    </row>
    <row r="3519">
      <c r="A3519" s="6"/>
      <c r="B3519" s="6"/>
      <c r="H3519" s="13"/>
    </row>
    <row r="3520">
      <c r="A3520" s="6"/>
      <c r="B3520" s="6"/>
      <c r="H3520" s="13"/>
    </row>
    <row r="3521">
      <c r="A3521" s="6"/>
      <c r="B3521" s="6"/>
      <c r="H3521" s="13"/>
    </row>
    <row r="3522">
      <c r="A3522" s="6"/>
      <c r="B3522" s="6"/>
      <c r="H3522" s="13"/>
    </row>
    <row r="3523">
      <c r="A3523" s="6"/>
      <c r="B3523" s="6"/>
      <c r="H3523" s="13"/>
    </row>
    <row r="3524">
      <c r="A3524" s="6"/>
      <c r="B3524" s="6"/>
      <c r="H3524" s="13"/>
    </row>
    <row r="3525">
      <c r="A3525" s="6"/>
      <c r="B3525" s="6"/>
      <c r="H3525" s="13"/>
    </row>
    <row r="3526">
      <c r="A3526" s="6"/>
      <c r="B3526" s="6"/>
      <c r="H3526" s="13"/>
    </row>
    <row r="3527">
      <c r="A3527" s="6"/>
      <c r="B3527" s="6"/>
      <c r="H3527" s="13"/>
    </row>
    <row r="3528">
      <c r="A3528" s="6"/>
      <c r="B3528" s="6"/>
      <c r="H3528" s="13"/>
    </row>
    <row r="3529">
      <c r="A3529" s="6"/>
      <c r="B3529" s="6"/>
      <c r="H3529" s="13"/>
    </row>
    <row r="3530">
      <c r="A3530" s="6"/>
      <c r="B3530" s="6"/>
      <c r="H3530" s="13"/>
    </row>
    <row r="3531">
      <c r="A3531" s="6"/>
      <c r="B3531" s="6"/>
      <c r="H3531" s="13"/>
    </row>
    <row r="3532">
      <c r="A3532" s="6"/>
      <c r="B3532" s="6"/>
      <c r="H3532" s="13"/>
    </row>
    <row r="3533">
      <c r="A3533" s="6"/>
      <c r="B3533" s="6"/>
      <c r="H3533" s="13"/>
    </row>
    <row r="3534">
      <c r="A3534" s="6"/>
      <c r="B3534" s="6"/>
      <c r="H3534" s="13"/>
    </row>
    <row r="3535">
      <c r="A3535" s="6"/>
      <c r="B3535" s="6"/>
      <c r="H3535" s="13"/>
    </row>
    <row r="3536">
      <c r="A3536" s="6"/>
      <c r="B3536" s="6"/>
      <c r="H3536" s="13"/>
    </row>
    <row r="3537">
      <c r="A3537" s="6"/>
      <c r="B3537" s="6"/>
      <c r="H3537" s="13"/>
    </row>
    <row r="3538">
      <c r="A3538" s="6"/>
      <c r="B3538" s="6"/>
      <c r="H3538" s="13"/>
    </row>
    <row r="3539">
      <c r="A3539" s="6"/>
      <c r="B3539" s="6"/>
      <c r="H3539" s="13"/>
    </row>
    <row r="3540">
      <c r="A3540" s="6"/>
      <c r="B3540" s="6"/>
      <c r="H3540" s="13"/>
    </row>
    <row r="3541">
      <c r="A3541" s="6"/>
      <c r="B3541" s="6"/>
      <c r="H3541" s="13"/>
    </row>
    <row r="3542">
      <c r="A3542" s="6"/>
      <c r="B3542" s="6"/>
      <c r="H3542" s="13"/>
    </row>
    <row r="3543">
      <c r="A3543" s="6"/>
      <c r="B3543" s="6"/>
      <c r="H3543" s="13"/>
    </row>
    <row r="3544">
      <c r="A3544" s="6"/>
      <c r="B3544" s="6"/>
      <c r="H3544" s="13"/>
    </row>
    <row r="3545">
      <c r="A3545" s="6"/>
      <c r="B3545" s="6"/>
      <c r="H3545" s="13"/>
    </row>
    <row r="3546">
      <c r="A3546" s="6"/>
      <c r="B3546" s="6"/>
      <c r="H3546" s="13"/>
    </row>
    <row r="3547">
      <c r="A3547" s="6"/>
      <c r="B3547" s="6"/>
      <c r="H3547" s="13"/>
    </row>
    <row r="3548">
      <c r="A3548" s="6"/>
      <c r="B3548" s="6"/>
      <c r="H3548" s="13"/>
    </row>
    <row r="3549">
      <c r="A3549" s="6"/>
      <c r="B3549" s="6"/>
      <c r="H3549" s="13"/>
    </row>
    <row r="3550">
      <c r="A3550" s="6"/>
      <c r="B3550" s="6"/>
      <c r="H3550" s="13"/>
    </row>
    <row r="3551">
      <c r="A3551" s="6"/>
      <c r="B3551" s="6"/>
      <c r="H3551" s="13"/>
    </row>
    <row r="3552">
      <c r="A3552" s="6"/>
      <c r="B3552" s="6"/>
      <c r="H3552" s="13"/>
    </row>
    <row r="3553">
      <c r="A3553" s="6"/>
      <c r="B3553" s="6"/>
      <c r="H3553" s="13"/>
    </row>
    <row r="3554">
      <c r="A3554" s="6"/>
      <c r="B3554" s="6"/>
      <c r="H3554" s="13"/>
    </row>
    <row r="3555">
      <c r="A3555" s="6"/>
      <c r="B3555" s="6"/>
      <c r="H3555" s="13"/>
    </row>
    <row r="3556">
      <c r="A3556" s="6"/>
      <c r="B3556" s="6"/>
      <c r="H3556" s="13"/>
    </row>
    <row r="3557">
      <c r="A3557" s="6"/>
      <c r="B3557" s="6"/>
      <c r="H3557" s="13"/>
    </row>
    <row r="3558">
      <c r="A3558" s="6"/>
      <c r="B3558" s="6"/>
      <c r="H3558" s="13"/>
    </row>
    <row r="3559">
      <c r="A3559" s="6"/>
      <c r="B3559" s="6"/>
      <c r="H3559" s="13"/>
    </row>
    <row r="3560">
      <c r="A3560" s="6"/>
      <c r="B3560" s="6"/>
      <c r="H3560" s="13"/>
    </row>
    <row r="3561">
      <c r="A3561" s="6"/>
      <c r="B3561" s="6"/>
      <c r="H3561" s="13"/>
    </row>
    <row r="3562">
      <c r="A3562" s="6"/>
      <c r="B3562" s="6"/>
      <c r="H3562" s="13"/>
    </row>
    <row r="3563">
      <c r="A3563" s="6"/>
      <c r="B3563" s="6"/>
      <c r="H3563" s="13"/>
    </row>
    <row r="3564">
      <c r="A3564" s="6"/>
      <c r="B3564" s="6"/>
      <c r="H3564" s="13"/>
    </row>
    <row r="3565">
      <c r="A3565" s="6"/>
      <c r="B3565" s="6"/>
      <c r="H3565" s="13"/>
    </row>
    <row r="3566">
      <c r="A3566" s="6"/>
      <c r="B3566" s="6"/>
      <c r="H3566" s="13"/>
    </row>
    <row r="3567">
      <c r="A3567" s="6"/>
      <c r="B3567" s="6"/>
      <c r="H3567" s="13"/>
    </row>
    <row r="3568">
      <c r="A3568" s="6"/>
      <c r="B3568" s="6"/>
      <c r="H3568" s="13"/>
    </row>
    <row r="3569">
      <c r="A3569" s="6"/>
      <c r="B3569" s="6"/>
      <c r="H3569" s="13"/>
    </row>
    <row r="3570">
      <c r="A3570" s="6"/>
      <c r="B3570" s="6"/>
      <c r="H3570" s="13"/>
    </row>
    <row r="3571">
      <c r="A3571" s="6"/>
      <c r="B3571" s="6"/>
      <c r="H3571" s="13"/>
    </row>
    <row r="3572">
      <c r="A3572" s="6"/>
      <c r="B3572" s="6"/>
      <c r="H3572" s="13"/>
    </row>
    <row r="3573">
      <c r="A3573" s="6"/>
      <c r="B3573" s="6"/>
      <c r="H3573" s="13"/>
    </row>
    <row r="3574">
      <c r="A3574" s="6"/>
      <c r="B3574" s="6"/>
      <c r="H3574" s="13"/>
    </row>
    <row r="3575">
      <c r="A3575" s="6"/>
      <c r="B3575" s="6"/>
      <c r="H3575" s="13"/>
    </row>
    <row r="3576">
      <c r="A3576" s="6"/>
      <c r="B3576" s="6"/>
      <c r="H3576" s="13"/>
    </row>
    <row r="3577">
      <c r="A3577" s="6"/>
      <c r="B3577" s="6"/>
      <c r="H3577" s="13"/>
    </row>
    <row r="3578">
      <c r="A3578" s="6"/>
      <c r="B3578" s="6"/>
      <c r="H3578" s="13"/>
    </row>
    <row r="3579">
      <c r="A3579" s="6"/>
      <c r="B3579" s="6"/>
      <c r="H3579" s="13"/>
    </row>
    <row r="3580">
      <c r="A3580" s="6"/>
      <c r="B3580" s="6"/>
      <c r="H3580" s="13"/>
    </row>
    <row r="3581">
      <c r="A3581" s="6"/>
      <c r="B3581" s="6"/>
      <c r="H3581" s="13"/>
    </row>
    <row r="3582">
      <c r="A3582" s="6"/>
      <c r="B3582" s="6"/>
      <c r="H3582" s="13"/>
    </row>
    <row r="3583">
      <c r="A3583" s="6"/>
      <c r="B3583" s="6"/>
      <c r="H3583" s="13"/>
    </row>
    <row r="3584">
      <c r="A3584" s="6"/>
      <c r="B3584" s="6"/>
      <c r="H3584" s="13"/>
    </row>
    <row r="3585">
      <c r="A3585" s="6"/>
      <c r="B3585" s="6"/>
      <c r="H3585" s="13"/>
    </row>
    <row r="3586">
      <c r="A3586" s="6"/>
      <c r="B3586" s="6"/>
      <c r="H3586" s="13"/>
    </row>
    <row r="3587">
      <c r="A3587" s="6"/>
      <c r="B3587" s="6"/>
      <c r="H3587" s="13"/>
    </row>
    <row r="3588">
      <c r="A3588" s="6"/>
      <c r="B3588" s="6"/>
      <c r="H3588" s="13"/>
    </row>
    <row r="3589">
      <c r="A3589" s="6"/>
      <c r="B3589" s="6"/>
      <c r="H3589" s="13"/>
    </row>
    <row r="3590">
      <c r="A3590" s="6"/>
      <c r="B3590" s="6"/>
      <c r="H3590" s="13"/>
    </row>
    <row r="3591">
      <c r="A3591" s="6"/>
      <c r="B3591" s="6"/>
      <c r="H3591" s="13"/>
    </row>
    <row r="3592">
      <c r="A3592" s="6"/>
      <c r="B3592" s="6"/>
      <c r="H3592" s="13"/>
    </row>
    <row r="3593">
      <c r="A3593" s="6"/>
      <c r="B3593" s="6"/>
      <c r="H3593" s="13"/>
    </row>
    <row r="3594">
      <c r="A3594" s="6"/>
      <c r="B3594" s="6"/>
      <c r="H3594" s="13"/>
    </row>
    <row r="3595">
      <c r="A3595" s="6"/>
      <c r="B3595" s="6"/>
      <c r="H3595" s="13"/>
    </row>
    <row r="3596">
      <c r="A3596" s="6"/>
      <c r="B3596" s="6"/>
      <c r="H3596" s="13"/>
    </row>
    <row r="3597">
      <c r="A3597" s="6"/>
      <c r="B3597" s="6"/>
      <c r="H3597" s="13"/>
    </row>
    <row r="3598">
      <c r="A3598" s="6"/>
      <c r="B3598" s="6"/>
      <c r="H3598" s="13"/>
    </row>
    <row r="3599">
      <c r="A3599" s="6"/>
      <c r="B3599" s="6"/>
      <c r="H3599" s="13"/>
    </row>
    <row r="3600">
      <c r="A3600" s="6"/>
      <c r="B3600" s="6"/>
      <c r="H3600" s="13"/>
    </row>
    <row r="3601">
      <c r="A3601" s="6"/>
      <c r="B3601" s="6"/>
      <c r="H3601" s="13"/>
    </row>
    <row r="3602">
      <c r="A3602" s="6"/>
      <c r="B3602" s="6"/>
      <c r="H3602" s="13"/>
    </row>
    <row r="3603">
      <c r="A3603" s="6"/>
      <c r="B3603" s="6"/>
      <c r="H3603" s="13"/>
    </row>
    <row r="3604">
      <c r="A3604" s="6"/>
      <c r="B3604" s="6"/>
      <c r="H3604" s="13"/>
    </row>
    <row r="3605">
      <c r="A3605" s="6"/>
      <c r="B3605" s="6"/>
      <c r="H3605" s="13"/>
    </row>
    <row r="3606">
      <c r="A3606" s="6"/>
      <c r="B3606" s="6"/>
      <c r="H3606" s="13"/>
    </row>
    <row r="3607">
      <c r="A3607" s="6"/>
      <c r="B3607" s="6"/>
      <c r="H3607" s="13"/>
    </row>
    <row r="3608">
      <c r="A3608" s="6"/>
      <c r="B3608" s="6"/>
      <c r="H3608" s="13"/>
    </row>
    <row r="3609">
      <c r="A3609" s="6"/>
      <c r="B3609" s="6"/>
      <c r="H3609" s="13"/>
    </row>
    <row r="3610">
      <c r="A3610" s="6"/>
      <c r="B3610" s="6"/>
      <c r="H3610" s="13"/>
    </row>
    <row r="3611">
      <c r="A3611" s="6"/>
      <c r="B3611" s="6"/>
      <c r="H3611" s="13"/>
    </row>
    <row r="3612">
      <c r="A3612" s="6"/>
      <c r="B3612" s="6"/>
      <c r="H3612" s="13"/>
    </row>
    <row r="3613">
      <c r="A3613" s="6"/>
      <c r="B3613" s="6"/>
      <c r="H3613" s="13"/>
    </row>
    <row r="3614">
      <c r="A3614" s="6"/>
      <c r="B3614" s="6"/>
      <c r="H3614" s="13"/>
    </row>
    <row r="3615">
      <c r="A3615" s="6"/>
      <c r="B3615" s="6"/>
      <c r="H3615" s="13"/>
    </row>
    <row r="3616">
      <c r="A3616" s="6"/>
      <c r="B3616" s="6"/>
      <c r="H3616" s="13"/>
    </row>
    <row r="3617">
      <c r="A3617" s="6"/>
      <c r="B3617" s="6"/>
      <c r="H3617" s="13"/>
    </row>
    <row r="3618">
      <c r="A3618" s="6"/>
      <c r="B3618" s="6"/>
      <c r="H3618" s="13"/>
    </row>
    <row r="3619">
      <c r="A3619" s="6"/>
      <c r="B3619" s="6"/>
      <c r="H3619" s="13"/>
    </row>
    <row r="3620">
      <c r="A3620" s="6"/>
      <c r="B3620" s="6"/>
      <c r="H3620" s="13"/>
    </row>
    <row r="3621">
      <c r="A3621" s="6"/>
      <c r="B3621" s="6"/>
      <c r="H3621" s="13"/>
    </row>
    <row r="3622">
      <c r="A3622" s="6"/>
      <c r="B3622" s="6"/>
      <c r="H3622" s="13"/>
    </row>
    <row r="3623">
      <c r="A3623" s="6"/>
      <c r="B3623" s="6"/>
      <c r="H3623" s="13"/>
    </row>
    <row r="3624">
      <c r="A3624" s="6"/>
      <c r="B3624" s="6"/>
      <c r="H3624" s="13"/>
    </row>
    <row r="3625">
      <c r="A3625" s="6"/>
      <c r="B3625" s="6"/>
      <c r="H3625" s="13"/>
    </row>
    <row r="3626">
      <c r="A3626" s="6"/>
      <c r="B3626" s="6"/>
      <c r="H3626" s="13"/>
    </row>
    <row r="3627">
      <c r="A3627" s="6"/>
      <c r="B3627" s="6"/>
      <c r="H3627" s="13"/>
    </row>
    <row r="3628">
      <c r="A3628" s="6"/>
      <c r="B3628" s="6"/>
      <c r="H3628" s="13"/>
    </row>
    <row r="3629">
      <c r="A3629" s="6"/>
      <c r="B3629" s="6"/>
      <c r="H3629" s="13"/>
    </row>
    <row r="3630">
      <c r="A3630" s="6"/>
      <c r="B3630" s="6"/>
      <c r="H3630" s="13"/>
    </row>
    <row r="3631">
      <c r="A3631" s="6"/>
      <c r="B3631" s="6"/>
      <c r="H3631" s="13"/>
    </row>
    <row r="3632">
      <c r="A3632" s="6"/>
      <c r="B3632" s="6"/>
      <c r="H3632" s="13"/>
    </row>
    <row r="3633">
      <c r="A3633" s="6"/>
      <c r="B3633" s="6"/>
      <c r="H3633" s="13"/>
    </row>
    <row r="3634">
      <c r="A3634" s="6"/>
      <c r="B3634" s="6"/>
      <c r="H3634" s="13"/>
    </row>
    <row r="3635">
      <c r="A3635" s="6"/>
      <c r="B3635" s="6"/>
      <c r="H3635" s="13"/>
    </row>
    <row r="3636">
      <c r="A3636" s="6"/>
      <c r="B3636" s="6"/>
      <c r="H3636" s="13"/>
    </row>
    <row r="3637">
      <c r="A3637" s="6"/>
      <c r="B3637" s="6"/>
      <c r="H3637" s="13"/>
    </row>
    <row r="3638">
      <c r="A3638" s="6"/>
      <c r="B3638" s="6"/>
      <c r="H3638" s="13"/>
    </row>
    <row r="3639">
      <c r="A3639" s="6"/>
      <c r="B3639" s="6"/>
      <c r="H3639" s="13"/>
    </row>
    <row r="3640">
      <c r="A3640" s="6"/>
      <c r="B3640" s="6"/>
      <c r="H3640" s="13"/>
    </row>
    <row r="3641">
      <c r="A3641" s="6"/>
      <c r="B3641" s="6"/>
      <c r="H3641" s="13"/>
    </row>
    <row r="3642">
      <c r="A3642" s="6"/>
      <c r="B3642" s="6"/>
      <c r="H3642" s="13"/>
    </row>
    <row r="3643">
      <c r="A3643" s="6"/>
      <c r="B3643" s="6"/>
      <c r="H3643" s="13"/>
    </row>
    <row r="3644">
      <c r="A3644" s="6"/>
      <c r="B3644" s="6"/>
      <c r="H3644" s="13"/>
    </row>
    <row r="3645">
      <c r="A3645" s="6"/>
      <c r="B3645" s="6"/>
      <c r="H3645" s="13"/>
    </row>
    <row r="3646">
      <c r="A3646" s="6"/>
      <c r="B3646" s="6"/>
      <c r="H3646" s="13"/>
    </row>
    <row r="3647">
      <c r="A3647" s="6"/>
      <c r="B3647" s="6"/>
      <c r="H3647" s="13"/>
    </row>
    <row r="3648">
      <c r="A3648" s="6"/>
      <c r="B3648" s="6"/>
      <c r="H3648" s="13"/>
    </row>
    <row r="3649">
      <c r="A3649" s="6"/>
      <c r="B3649" s="6"/>
      <c r="H3649" s="13"/>
    </row>
    <row r="3650">
      <c r="A3650" s="6"/>
      <c r="B3650" s="6"/>
      <c r="H3650" s="13"/>
    </row>
    <row r="3651">
      <c r="A3651" s="6"/>
      <c r="B3651" s="6"/>
      <c r="H3651" s="13"/>
    </row>
    <row r="3652">
      <c r="A3652" s="6"/>
      <c r="B3652" s="6"/>
      <c r="H3652" s="13"/>
    </row>
    <row r="3653">
      <c r="A3653" s="6"/>
      <c r="B3653" s="6"/>
      <c r="H3653" s="13"/>
    </row>
    <row r="3654">
      <c r="A3654" s="6"/>
      <c r="B3654" s="6"/>
      <c r="H3654" s="13"/>
    </row>
    <row r="3655">
      <c r="A3655" s="6"/>
      <c r="B3655" s="6"/>
      <c r="H3655" s="13"/>
    </row>
    <row r="3656">
      <c r="A3656" s="6"/>
      <c r="B3656" s="6"/>
      <c r="H3656" s="13"/>
    </row>
    <row r="3657">
      <c r="A3657" s="6"/>
      <c r="B3657" s="6"/>
      <c r="H3657" s="13"/>
    </row>
    <row r="3658">
      <c r="A3658" s="6"/>
      <c r="B3658" s="6"/>
      <c r="H3658" s="13"/>
    </row>
    <row r="3659">
      <c r="A3659" s="6"/>
      <c r="B3659" s="6"/>
      <c r="H3659" s="13"/>
    </row>
    <row r="3660">
      <c r="A3660" s="6"/>
      <c r="B3660" s="6"/>
      <c r="H3660" s="13"/>
    </row>
    <row r="3661">
      <c r="A3661" s="6"/>
      <c r="B3661" s="6"/>
      <c r="H3661" s="13"/>
    </row>
    <row r="3662">
      <c r="A3662" s="6"/>
      <c r="B3662" s="6"/>
      <c r="H3662" s="13"/>
    </row>
    <row r="3663">
      <c r="A3663" s="6"/>
      <c r="B3663" s="6"/>
      <c r="H3663" s="13"/>
    </row>
    <row r="3664">
      <c r="A3664" s="6"/>
      <c r="B3664" s="6"/>
      <c r="H3664" s="13"/>
    </row>
    <row r="3665">
      <c r="A3665" s="6"/>
      <c r="B3665" s="6"/>
      <c r="H3665" s="13"/>
    </row>
    <row r="3666">
      <c r="A3666" s="6"/>
      <c r="B3666" s="6"/>
      <c r="H3666" s="13"/>
    </row>
    <row r="3667">
      <c r="A3667" s="6"/>
      <c r="B3667" s="6"/>
      <c r="H3667" s="13"/>
    </row>
    <row r="3668">
      <c r="A3668" s="6"/>
      <c r="B3668" s="6"/>
      <c r="H3668" s="13"/>
    </row>
    <row r="3669">
      <c r="A3669" s="6"/>
      <c r="B3669" s="6"/>
      <c r="H3669" s="13"/>
    </row>
    <row r="3670">
      <c r="A3670" s="6"/>
      <c r="B3670" s="6"/>
      <c r="H3670" s="13"/>
    </row>
    <row r="3671">
      <c r="A3671" s="6"/>
      <c r="B3671" s="6"/>
      <c r="H3671" s="13"/>
    </row>
    <row r="3672">
      <c r="A3672" s="6"/>
      <c r="B3672" s="6"/>
      <c r="H3672" s="13"/>
    </row>
    <row r="3673">
      <c r="A3673" s="6"/>
      <c r="B3673" s="6"/>
      <c r="H3673" s="13"/>
    </row>
    <row r="3674">
      <c r="A3674" s="6"/>
      <c r="B3674" s="6"/>
      <c r="H3674" s="13"/>
    </row>
    <row r="3675">
      <c r="A3675" s="6"/>
      <c r="B3675" s="6"/>
      <c r="H3675" s="13"/>
    </row>
    <row r="3676">
      <c r="A3676" s="6"/>
      <c r="B3676" s="6"/>
      <c r="H3676" s="13"/>
    </row>
    <row r="3677">
      <c r="A3677" s="6"/>
      <c r="B3677" s="6"/>
      <c r="H3677" s="13"/>
    </row>
    <row r="3678">
      <c r="A3678" s="6"/>
      <c r="B3678" s="6"/>
      <c r="H3678" s="13"/>
    </row>
    <row r="3679">
      <c r="A3679" s="6"/>
      <c r="B3679" s="6"/>
      <c r="H3679" s="13"/>
    </row>
    <row r="3680">
      <c r="A3680" s="6"/>
      <c r="B3680" s="6"/>
      <c r="H3680" s="13"/>
    </row>
    <row r="3681">
      <c r="A3681" s="6"/>
      <c r="B3681" s="6"/>
      <c r="H3681" s="13"/>
    </row>
    <row r="3682">
      <c r="A3682" s="6"/>
      <c r="B3682" s="6"/>
      <c r="H3682" s="13"/>
    </row>
    <row r="3683">
      <c r="A3683" s="6"/>
      <c r="B3683" s="6"/>
      <c r="H3683" s="13"/>
    </row>
    <row r="3684">
      <c r="A3684" s="6"/>
      <c r="B3684" s="6"/>
      <c r="H3684" s="13"/>
    </row>
    <row r="3685">
      <c r="A3685" s="6"/>
      <c r="B3685" s="6"/>
      <c r="H3685" s="13"/>
    </row>
    <row r="3686">
      <c r="A3686" s="6"/>
      <c r="B3686" s="6"/>
      <c r="H3686" s="13"/>
    </row>
    <row r="3687">
      <c r="A3687" s="6"/>
      <c r="B3687" s="6"/>
      <c r="H3687" s="13"/>
    </row>
    <row r="3688">
      <c r="A3688" s="6"/>
      <c r="B3688" s="6"/>
      <c r="H3688" s="13"/>
    </row>
    <row r="3689">
      <c r="A3689" s="6"/>
      <c r="B3689" s="6"/>
      <c r="H3689" s="13"/>
    </row>
    <row r="3690">
      <c r="A3690" s="6"/>
      <c r="B3690" s="6"/>
      <c r="H3690" s="13"/>
    </row>
    <row r="3691">
      <c r="A3691" s="6"/>
      <c r="B3691" s="6"/>
      <c r="H3691" s="13"/>
    </row>
    <row r="3692">
      <c r="A3692" s="6"/>
      <c r="B3692" s="6"/>
      <c r="H3692" s="13"/>
    </row>
    <row r="3693">
      <c r="A3693" s="6"/>
      <c r="B3693" s="6"/>
      <c r="H3693" s="13"/>
    </row>
    <row r="3694">
      <c r="A3694" s="6"/>
      <c r="B3694" s="6"/>
      <c r="H3694" s="13"/>
    </row>
    <row r="3695">
      <c r="A3695" s="6"/>
      <c r="B3695" s="6"/>
      <c r="H3695" s="13"/>
    </row>
    <row r="3696">
      <c r="A3696" s="6"/>
      <c r="B3696" s="6"/>
      <c r="H3696" s="13"/>
    </row>
    <row r="3697">
      <c r="A3697" s="6"/>
      <c r="B3697" s="6"/>
      <c r="H3697" s="13"/>
    </row>
    <row r="3698">
      <c r="A3698" s="6"/>
      <c r="B3698" s="6"/>
      <c r="H3698" s="13"/>
    </row>
    <row r="3699">
      <c r="A3699" s="6"/>
      <c r="B3699" s="6"/>
      <c r="H3699" s="13"/>
    </row>
    <row r="3700">
      <c r="A3700" s="6"/>
      <c r="B3700" s="6"/>
      <c r="H3700" s="13"/>
    </row>
    <row r="3701">
      <c r="A3701" s="6"/>
      <c r="B3701" s="6"/>
      <c r="H3701" s="13"/>
    </row>
    <row r="3702">
      <c r="A3702" s="6"/>
      <c r="B3702" s="6"/>
      <c r="H3702" s="13"/>
    </row>
    <row r="3703">
      <c r="A3703" s="6"/>
      <c r="B3703" s="6"/>
      <c r="H3703" s="13"/>
    </row>
    <row r="3704">
      <c r="A3704" s="6"/>
      <c r="B3704" s="6"/>
      <c r="H3704" s="13"/>
    </row>
    <row r="3705">
      <c r="A3705" s="6"/>
      <c r="B3705" s="6"/>
      <c r="H3705" s="13"/>
    </row>
    <row r="3706">
      <c r="A3706" s="6"/>
      <c r="B3706" s="6"/>
      <c r="H3706" s="13"/>
    </row>
    <row r="3707">
      <c r="A3707" s="6"/>
      <c r="B3707" s="6"/>
      <c r="H3707" s="13"/>
    </row>
    <row r="3708">
      <c r="A3708" s="6"/>
      <c r="B3708" s="6"/>
      <c r="H3708" s="13"/>
    </row>
    <row r="3709">
      <c r="A3709" s="6"/>
      <c r="B3709" s="6"/>
      <c r="H3709" s="13"/>
    </row>
    <row r="3710">
      <c r="A3710" s="6"/>
      <c r="B3710" s="6"/>
      <c r="H3710" s="13"/>
    </row>
    <row r="3711">
      <c r="A3711" s="6"/>
      <c r="B3711" s="6"/>
      <c r="H3711" s="13"/>
    </row>
    <row r="3712">
      <c r="A3712" s="6"/>
      <c r="B3712" s="6"/>
      <c r="H3712" s="13"/>
    </row>
    <row r="3713">
      <c r="A3713" s="6"/>
      <c r="B3713" s="6"/>
      <c r="H3713" s="13"/>
    </row>
    <row r="3714">
      <c r="A3714" s="6"/>
      <c r="B3714" s="6"/>
      <c r="H3714" s="13"/>
    </row>
    <row r="3715">
      <c r="A3715" s="6"/>
      <c r="B3715" s="6"/>
      <c r="H3715" s="13"/>
    </row>
    <row r="3716">
      <c r="A3716" s="6"/>
      <c r="B3716" s="6"/>
      <c r="H3716" s="13"/>
    </row>
    <row r="3717">
      <c r="A3717" s="6"/>
      <c r="B3717" s="6"/>
      <c r="H3717" s="13"/>
    </row>
    <row r="3718">
      <c r="A3718" s="6"/>
      <c r="B3718" s="6"/>
      <c r="H3718" s="13"/>
    </row>
    <row r="3719">
      <c r="A3719" s="6"/>
      <c r="B3719" s="6"/>
      <c r="H3719" s="13"/>
    </row>
    <row r="3720">
      <c r="A3720" s="6"/>
      <c r="B3720" s="6"/>
      <c r="H3720" s="13"/>
    </row>
    <row r="3721">
      <c r="A3721" s="6"/>
      <c r="B3721" s="6"/>
      <c r="H3721" s="13"/>
    </row>
    <row r="3722">
      <c r="A3722" s="6"/>
      <c r="B3722" s="6"/>
      <c r="H3722" s="13"/>
    </row>
    <row r="3723">
      <c r="A3723" s="6"/>
      <c r="B3723" s="6"/>
      <c r="H3723" s="13"/>
    </row>
    <row r="3724">
      <c r="A3724" s="6"/>
      <c r="B3724" s="6"/>
      <c r="H3724" s="13"/>
    </row>
    <row r="3725">
      <c r="A3725" s="6"/>
      <c r="B3725" s="6"/>
      <c r="H3725" s="13"/>
    </row>
    <row r="3726">
      <c r="A3726" s="6"/>
      <c r="B3726" s="6"/>
      <c r="H3726" s="13"/>
    </row>
    <row r="3727">
      <c r="A3727" s="6"/>
      <c r="B3727" s="6"/>
      <c r="H3727" s="13"/>
    </row>
    <row r="3728">
      <c r="A3728" s="6"/>
      <c r="B3728" s="6"/>
      <c r="H3728" s="13"/>
    </row>
    <row r="3729">
      <c r="A3729" s="6"/>
      <c r="B3729" s="6"/>
      <c r="H3729" s="13"/>
    </row>
    <row r="3730">
      <c r="A3730" s="6"/>
      <c r="B3730" s="6"/>
      <c r="H3730" s="13"/>
    </row>
    <row r="3731">
      <c r="A3731" s="6"/>
      <c r="B3731" s="6"/>
      <c r="H3731" s="13"/>
    </row>
    <row r="3732">
      <c r="A3732" s="6"/>
      <c r="B3732" s="6"/>
      <c r="H3732" s="13"/>
    </row>
    <row r="3733">
      <c r="A3733" s="6"/>
      <c r="B3733" s="6"/>
      <c r="H3733" s="13"/>
    </row>
    <row r="3734">
      <c r="A3734" s="6"/>
      <c r="B3734" s="6"/>
      <c r="H3734" s="13"/>
    </row>
    <row r="3735">
      <c r="A3735" s="6"/>
      <c r="B3735" s="6"/>
      <c r="H3735" s="13"/>
    </row>
    <row r="3736">
      <c r="A3736" s="6"/>
      <c r="B3736" s="6"/>
      <c r="H3736" s="13"/>
    </row>
    <row r="3737">
      <c r="A3737" s="6"/>
      <c r="B3737" s="6"/>
      <c r="H3737" s="13"/>
    </row>
    <row r="3738">
      <c r="A3738" s="6"/>
      <c r="B3738" s="6"/>
      <c r="H3738" s="13"/>
    </row>
    <row r="3739">
      <c r="A3739" s="6"/>
      <c r="B3739" s="6"/>
      <c r="H3739" s="13"/>
    </row>
    <row r="3740">
      <c r="A3740" s="6"/>
      <c r="B3740" s="6"/>
      <c r="H3740" s="13"/>
    </row>
    <row r="3741">
      <c r="A3741" s="6"/>
      <c r="B3741" s="6"/>
      <c r="H3741" s="13"/>
    </row>
    <row r="3742">
      <c r="A3742" s="6"/>
      <c r="B3742" s="6"/>
      <c r="H3742" s="13"/>
    </row>
    <row r="3743">
      <c r="A3743" s="6"/>
      <c r="B3743" s="6"/>
      <c r="H3743" s="13"/>
    </row>
    <row r="3744">
      <c r="A3744" s="6"/>
      <c r="B3744" s="6"/>
      <c r="H3744" s="13"/>
    </row>
    <row r="3745">
      <c r="A3745" s="6"/>
      <c r="B3745" s="6"/>
      <c r="H3745" s="13"/>
    </row>
    <row r="3746">
      <c r="A3746" s="6"/>
      <c r="B3746" s="6"/>
      <c r="H3746" s="13"/>
    </row>
    <row r="3747">
      <c r="A3747" s="6"/>
      <c r="B3747" s="6"/>
      <c r="H3747" s="13"/>
    </row>
    <row r="3748">
      <c r="A3748" s="6"/>
      <c r="B3748" s="6"/>
      <c r="H3748" s="13"/>
    </row>
    <row r="3749">
      <c r="A3749" s="6"/>
      <c r="B3749" s="6"/>
      <c r="H3749" s="13"/>
    </row>
    <row r="3750">
      <c r="A3750" s="6"/>
      <c r="B3750" s="6"/>
      <c r="H3750" s="13"/>
    </row>
    <row r="3751">
      <c r="A3751" s="6"/>
      <c r="B3751" s="6"/>
      <c r="H3751" s="13"/>
    </row>
    <row r="3752">
      <c r="A3752" s="6"/>
      <c r="B3752" s="6"/>
      <c r="H3752" s="13"/>
    </row>
    <row r="3753">
      <c r="A3753" s="6"/>
      <c r="B3753" s="6"/>
      <c r="H3753" s="13"/>
    </row>
    <row r="3754">
      <c r="A3754" s="6"/>
      <c r="B3754" s="6"/>
      <c r="H3754" s="13"/>
    </row>
    <row r="3755">
      <c r="A3755" s="6"/>
      <c r="B3755" s="6"/>
      <c r="H3755" s="13"/>
    </row>
    <row r="3756">
      <c r="A3756" s="6"/>
      <c r="B3756" s="6"/>
      <c r="H3756" s="13"/>
    </row>
    <row r="3757">
      <c r="A3757" s="6"/>
      <c r="B3757" s="6"/>
      <c r="H3757" s="13"/>
    </row>
    <row r="3758">
      <c r="A3758" s="6"/>
      <c r="B3758" s="6"/>
      <c r="H3758" s="13"/>
    </row>
    <row r="3759">
      <c r="A3759" s="6"/>
      <c r="B3759" s="6"/>
      <c r="H3759" s="13"/>
    </row>
    <row r="3760">
      <c r="A3760" s="6"/>
      <c r="B3760" s="6"/>
      <c r="H3760" s="13"/>
    </row>
    <row r="3761">
      <c r="A3761" s="6"/>
      <c r="B3761" s="6"/>
      <c r="H3761" s="13"/>
    </row>
    <row r="3762">
      <c r="A3762" s="6"/>
      <c r="B3762" s="6"/>
      <c r="H3762" s="13"/>
    </row>
    <row r="3763">
      <c r="A3763" s="6"/>
      <c r="B3763" s="6"/>
      <c r="H3763" s="13"/>
    </row>
    <row r="3764">
      <c r="A3764" s="6"/>
      <c r="B3764" s="6"/>
      <c r="H3764" s="13"/>
    </row>
    <row r="3765">
      <c r="A3765" s="6"/>
      <c r="B3765" s="6"/>
      <c r="H3765" s="13"/>
    </row>
    <row r="3766">
      <c r="A3766" s="6"/>
      <c r="B3766" s="6"/>
      <c r="H3766" s="13"/>
    </row>
    <row r="3767">
      <c r="A3767" s="6"/>
      <c r="B3767" s="6"/>
      <c r="H3767" s="13"/>
    </row>
    <row r="3768">
      <c r="A3768" s="6"/>
      <c r="B3768" s="6"/>
      <c r="H3768" s="13"/>
    </row>
    <row r="3769">
      <c r="A3769" s="6"/>
      <c r="B3769" s="6"/>
      <c r="H3769" s="13"/>
    </row>
    <row r="3770">
      <c r="A3770" s="6"/>
      <c r="B3770" s="6"/>
      <c r="H3770" s="13"/>
    </row>
    <row r="3771">
      <c r="A3771" s="6"/>
      <c r="B3771" s="6"/>
      <c r="H3771" s="13"/>
    </row>
    <row r="3772">
      <c r="A3772" s="6"/>
      <c r="B3772" s="6"/>
      <c r="H3772" s="13"/>
    </row>
    <row r="3773">
      <c r="A3773" s="6"/>
      <c r="B3773" s="6"/>
      <c r="H3773" s="13"/>
    </row>
    <row r="3774">
      <c r="A3774" s="6"/>
      <c r="B3774" s="6"/>
      <c r="H3774" s="13"/>
    </row>
    <row r="3775">
      <c r="A3775" s="6"/>
      <c r="B3775" s="6"/>
      <c r="H3775" s="13"/>
    </row>
    <row r="3776">
      <c r="A3776" s="6"/>
      <c r="B3776" s="6"/>
      <c r="H3776" s="13"/>
    </row>
    <row r="3777">
      <c r="A3777" s="6"/>
      <c r="B3777" s="6"/>
      <c r="H3777" s="13"/>
    </row>
    <row r="3778">
      <c r="A3778" s="6"/>
      <c r="B3778" s="6"/>
      <c r="H3778" s="13"/>
    </row>
    <row r="3779">
      <c r="A3779" s="6"/>
      <c r="B3779" s="6"/>
      <c r="H3779" s="13"/>
    </row>
    <row r="3780">
      <c r="A3780" s="6"/>
      <c r="B3780" s="6"/>
      <c r="H3780" s="13"/>
    </row>
    <row r="3781">
      <c r="A3781" s="6"/>
      <c r="B3781" s="6"/>
      <c r="H3781" s="13"/>
    </row>
    <row r="3782">
      <c r="A3782" s="6"/>
      <c r="B3782" s="6"/>
      <c r="H3782" s="13"/>
    </row>
    <row r="3783">
      <c r="A3783" s="6"/>
      <c r="B3783" s="6"/>
      <c r="H3783" s="13"/>
    </row>
    <row r="3784">
      <c r="A3784" s="6"/>
      <c r="B3784" s="6"/>
      <c r="H3784" s="13"/>
    </row>
    <row r="3785">
      <c r="A3785" s="6"/>
      <c r="B3785" s="6"/>
      <c r="H3785" s="13"/>
    </row>
    <row r="3786">
      <c r="A3786" s="6"/>
      <c r="B3786" s="6"/>
      <c r="H3786" s="13"/>
    </row>
    <row r="3787">
      <c r="A3787" s="6"/>
      <c r="B3787" s="6"/>
      <c r="H3787" s="13"/>
    </row>
    <row r="3788">
      <c r="A3788" s="6"/>
      <c r="B3788" s="6"/>
      <c r="H3788" s="13"/>
    </row>
    <row r="3789">
      <c r="A3789" s="6"/>
      <c r="B3789" s="6"/>
      <c r="H3789" s="13"/>
    </row>
    <row r="3790">
      <c r="A3790" s="6"/>
      <c r="B3790" s="6"/>
      <c r="H3790" s="13"/>
    </row>
    <row r="3791">
      <c r="A3791" s="6"/>
      <c r="B3791" s="6"/>
      <c r="H3791" s="13"/>
    </row>
    <row r="3792">
      <c r="A3792" s="6"/>
      <c r="B3792" s="6"/>
      <c r="H3792" s="13"/>
    </row>
    <row r="3793">
      <c r="A3793" s="6"/>
      <c r="B3793" s="6"/>
      <c r="H3793" s="13"/>
    </row>
    <row r="3794">
      <c r="A3794" s="6"/>
      <c r="B3794" s="6"/>
      <c r="H3794" s="13"/>
    </row>
    <row r="3795">
      <c r="A3795" s="6"/>
      <c r="B3795" s="6"/>
      <c r="H3795" s="13"/>
    </row>
    <row r="3796">
      <c r="A3796" s="6"/>
      <c r="B3796" s="6"/>
      <c r="H3796" s="13"/>
    </row>
    <row r="3797">
      <c r="A3797" s="6"/>
      <c r="B3797" s="6"/>
      <c r="H3797" s="13"/>
    </row>
    <row r="3798">
      <c r="A3798" s="6"/>
      <c r="B3798" s="6"/>
      <c r="H3798" s="13"/>
    </row>
    <row r="3799">
      <c r="A3799" s="6"/>
      <c r="B3799" s="6"/>
      <c r="H3799" s="13"/>
    </row>
    <row r="3800">
      <c r="A3800" s="6"/>
      <c r="B3800" s="6"/>
      <c r="H3800" s="13"/>
    </row>
    <row r="3801">
      <c r="A3801" s="6"/>
      <c r="B3801" s="6"/>
      <c r="H3801" s="13"/>
    </row>
    <row r="3802">
      <c r="A3802" s="6"/>
      <c r="B3802" s="6"/>
      <c r="H3802" s="13"/>
    </row>
    <row r="3803">
      <c r="A3803" s="6"/>
      <c r="B3803" s="6"/>
      <c r="H3803" s="13"/>
    </row>
    <row r="3804">
      <c r="A3804" s="6"/>
      <c r="B3804" s="6"/>
      <c r="H3804" s="13"/>
    </row>
    <row r="3805">
      <c r="A3805" s="6"/>
      <c r="B3805" s="6"/>
      <c r="H3805" s="13"/>
    </row>
    <row r="3806">
      <c r="A3806" s="6"/>
      <c r="B3806" s="6"/>
      <c r="H3806" s="13"/>
    </row>
    <row r="3807">
      <c r="A3807" s="6"/>
      <c r="B3807" s="6"/>
      <c r="H3807" s="13"/>
    </row>
    <row r="3808">
      <c r="A3808" s="6"/>
      <c r="B3808" s="6"/>
      <c r="H3808" s="13"/>
    </row>
    <row r="3809">
      <c r="A3809" s="6"/>
      <c r="B3809" s="6"/>
      <c r="H3809" s="13"/>
    </row>
    <row r="3810">
      <c r="A3810" s="6"/>
      <c r="B3810" s="6"/>
      <c r="H3810" s="13"/>
    </row>
    <row r="3811">
      <c r="A3811" s="6"/>
      <c r="B3811" s="6"/>
      <c r="H3811" s="13"/>
    </row>
    <row r="3812">
      <c r="A3812" s="6"/>
      <c r="B3812" s="6"/>
      <c r="H3812" s="13"/>
    </row>
    <row r="3813">
      <c r="A3813" s="6"/>
      <c r="B3813" s="6"/>
      <c r="H3813" s="13"/>
    </row>
    <row r="3814">
      <c r="A3814" s="6"/>
      <c r="B3814" s="6"/>
      <c r="H3814" s="13"/>
    </row>
    <row r="3815">
      <c r="A3815" s="6"/>
      <c r="B3815" s="6"/>
      <c r="H3815" s="13"/>
    </row>
    <row r="3816">
      <c r="A3816" s="6"/>
      <c r="B3816" s="6"/>
      <c r="H3816" s="13"/>
    </row>
    <row r="3817">
      <c r="A3817" s="6"/>
      <c r="B3817" s="6"/>
      <c r="H3817" s="13"/>
    </row>
    <row r="3818">
      <c r="A3818" s="6"/>
      <c r="B3818" s="6"/>
      <c r="H3818" s="13"/>
    </row>
    <row r="3819">
      <c r="A3819" s="6"/>
      <c r="B3819" s="6"/>
      <c r="H3819" s="13"/>
    </row>
    <row r="3820">
      <c r="A3820" s="6"/>
      <c r="B3820" s="6"/>
      <c r="H3820" s="13"/>
    </row>
    <row r="3821">
      <c r="A3821" s="6"/>
      <c r="B3821" s="6"/>
      <c r="H3821" s="13"/>
    </row>
    <row r="3822">
      <c r="A3822" s="6"/>
      <c r="B3822" s="6"/>
      <c r="H3822" s="13"/>
    </row>
    <row r="3823">
      <c r="A3823" s="6"/>
      <c r="B3823" s="6"/>
      <c r="H3823" s="13"/>
    </row>
    <row r="3824">
      <c r="A3824" s="6"/>
      <c r="B3824" s="6"/>
      <c r="H3824" s="13"/>
    </row>
    <row r="3825">
      <c r="A3825" s="6"/>
      <c r="B3825" s="6"/>
      <c r="H3825" s="13"/>
    </row>
    <row r="3826">
      <c r="A3826" s="6"/>
      <c r="B3826" s="6"/>
      <c r="H3826" s="13"/>
    </row>
    <row r="3827">
      <c r="A3827" s="6"/>
      <c r="B3827" s="6"/>
      <c r="H3827" s="13"/>
    </row>
    <row r="3828">
      <c r="A3828" s="6"/>
      <c r="B3828" s="6"/>
      <c r="H3828" s="13"/>
    </row>
    <row r="3829">
      <c r="A3829" s="6"/>
      <c r="B3829" s="6"/>
      <c r="H3829" s="13"/>
    </row>
    <row r="3830">
      <c r="A3830" s="6"/>
      <c r="B3830" s="6"/>
      <c r="H3830" s="13"/>
    </row>
    <row r="3831">
      <c r="A3831" s="6"/>
      <c r="B3831" s="6"/>
      <c r="H3831" s="13"/>
    </row>
    <row r="3832">
      <c r="A3832" s="6"/>
      <c r="B3832" s="6"/>
      <c r="H3832" s="13"/>
    </row>
    <row r="3833">
      <c r="A3833" s="6"/>
      <c r="B3833" s="6"/>
      <c r="H3833" s="13"/>
    </row>
    <row r="3834">
      <c r="A3834" s="6"/>
      <c r="B3834" s="6"/>
      <c r="H3834" s="13"/>
    </row>
    <row r="3835">
      <c r="A3835" s="6"/>
      <c r="B3835" s="6"/>
      <c r="H3835" s="13"/>
    </row>
    <row r="3836">
      <c r="A3836" s="6"/>
      <c r="B3836" s="6"/>
      <c r="H3836" s="13"/>
    </row>
    <row r="3837">
      <c r="A3837" s="6"/>
      <c r="B3837" s="6"/>
      <c r="H3837" s="13"/>
    </row>
    <row r="3838">
      <c r="A3838" s="6"/>
      <c r="B3838" s="6"/>
      <c r="H3838" s="13"/>
    </row>
    <row r="3839">
      <c r="A3839" s="6"/>
      <c r="B3839" s="6"/>
      <c r="H3839" s="13"/>
    </row>
    <row r="3840">
      <c r="A3840" s="6"/>
      <c r="B3840" s="6"/>
      <c r="H3840" s="13"/>
    </row>
    <row r="3841">
      <c r="A3841" s="6"/>
      <c r="B3841" s="6"/>
      <c r="H3841" s="13"/>
    </row>
    <row r="3842">
      <c r="A3842" s="6"/>
      <c r="B3842" s="6"/>
      <c r="H3842" s="13"/>
    </row>
    <row r="3843">
      <c r="A3843" s="6"/>
      <c r="B3843" s="6"/>
      <c r="H3843" s="13"/>
    </row>
    <row r="3844">
      <c r="A3844" s="6"/>
      <c r="B3844" s="6"/>
      <c r="H3844" s="13"/>
    </row>
    <row r="3845">
      <c r="A3845" s="6"/>
      <c r="B3845" s="6"/>
      <c r="H3845" s="13"/>
    </row>
    <row r="3846">
      <c r="A3846" s="6"/>
      <c r="B3846" s="6"/>
      <c r="H3846" s="13"/>
    </row>
    <row r="3847">
      <c r="A3847" s="6"/>
      <c r="B3847" s="6"/>
      <c r="H3847" s="13"/>
    </row>
    <row r="3848">
      <c r="A3848" s="6"/>
      <c r="B3848" s="6"/>
      <c r="H3848" s="13"/>
    </row>
    <row r="3849">
      <c r="A3849" s="6"/>
      <c r="B3849" s="6"/>
      <c r="H3849" s="13"/>
    </row>
    <row r="3850">
      <c r="A3850" s="6"/>
      <c r="B3850" s="6"/>
      <c r="H3850" s="13"/>
    </row>
    <row r="3851">
      <c r="A3851" s="6"/>
      <c r="B3851" s="6"/>
      <c r="H3851" s="13"/>
    </row>
    <row r="3852">
      <c r="A3852" s="6"/>
      <c r="B3852" s="6"/>
      <c r="H3852" s="13"/>
    </row>
    <row r="3853">
      <c r="A3853" s="6"/>
      <c r="B3853" s="6"/>
      <c r="H3853" s="13"/>
    </row>
    <row r="3854">
      <c r="A3854" s="6"/>
      <c r="B3854" s="6"/>
      <c r="H3854" s="13"/>
    </row>
    <row r="3855">
      <c r="A3855" s="6"/>
      <c r="B3855" s="6"/>
      <c r="H3855" s="13"/>
    </row>
    <row r="3856">
      <c r="A3856" s="6"/>
      <c r="B3856" s="6"/>
      <c r="H3856" s="13"/>
    </row>
    <row r="3857">
      <c r="A3857" s="6"/>
      <c r="B3857" s="6"/>
      <c r="H3857" s="13"/>
    </row>
    <row r="3858">
      <c r="A3858" s="6"/>
      <c r="B3858" s="6"/>
      <c r="H3858" s="13"/>
    </row>
    <row r="3859">
      <c r="A3859" s="6"/>
      <c r="B3859" s="6"/>
      <c r="H3859" s="13"/>
    </row>
    <row r="3860">
      <c r="A3860" s="6"/>
      <c r="B3860" s="6"/>
      <c r="H3860" s="13"/>
    </row>
    <row r="3861">
      <c r="A3861" s="6"/>
      <c r="B3861" s="6"/>
      <c r="H3861" s="13"/>
    </row>
    <row r="3862">
      <c r="A3862" s="6"/>
      <c r="B3862" s="6"/>
      <c r="H3862" s="13"/>
    </row>
    <row r="3863">
      <c r="A3863" s="6"/>
      <c r="B3863" s="6"/>
      <c r="H3863" s="13"/>
    </row>
    <row r="3864">
      <c r="A3864" s="6"/>
      <c r="B3864" s="6"/>
      <c r="H3864" s="13"/>
    </row>
    <row r="3865">
      <c r="A3865" s="6"/>
      <c r="B3865" s="6"/>
      <c r="H3865" s="13"/>
    </row>
    <row r="3866">
      <c r="A3866" s="6"/>
      <c r="B3866" s="6"/>
      <c r="H3866" s="13"/>
    </row>
    <row r="3867">
      <c r="A3867" s="6"/>
      <c r="B3867" s="6"/>
      <c r="H3867" s="13"/>
    </row>
    <row r="3868">
      <c r="A3868" s="6"/>
      <c r="B3868" s="6"/>
      <c r="H3868" s="13"/>
    </row>
    <row r="3869">
      <c r="A3869" s="6"/>
      <c r="B3869" s="6"/>
      <c r="H3869" s="13"/>
    </row>
    <row r="3870">
      <c r="A3870" s="6"/>
      <c r="B3870" s="6"/>
      <c r="H3870" s="13"/>
    </row>
    <row r="3871">
      <c r="A3871" s="6"/>
      <c r="B3871" s="6"/>
      <c r="H3871" s="13"/>
    </row>
    <row r="3872">
      <c r="A3872" s="6"/>
      <c r="B3872" s="6"/>
      <c r="H3872" s="13"/>
    </row>
    <row r="3873">
      <c r="A3873" s="6"/>
      <c r="B3873" s="6"/>
      <c r="H3873" s="13"/>
    </row>
    <row r="3874">
      <c r="A3874" s="6"/>
      <c r="B3874" s="6"/>
      <c r="H3874" s="13"/>
    </row>
    <row r="3875">
      <c r="A3875" s="6"/>
      <c r="B3875" s="6"/>
      <c r="H3875" s="13"/>
    </row>
    <row r="3876">
      <c r="A3876" s="6"/>
      <c r="B3876" s="6"/>
      <c r="H3876" s="13"/>
    </row>
    <row r="3877">
      <c r="A3877" s="6"/>
      <c r="B3877" s="6"/>
      <c r="H3877" s="13"/>
    </row>
    <row r="3878">
      <c r="A3878" s="6"/>
      <c r="B3878" s="6"/>
      <c r="H3878" s="13"/>
    </row>
    <row r="3879">
      <c r="A3879" s="6"/>
      <c r="B3879" s="6"/>
      <c r="H3879" s="13"/>
    </row>
    <row r="3880">
      <c r="A3880" s="6"/>
      <c r="B3880" s="6"/>
      <c r="H3880" s="13"/>
    </row>
    <row r="3881">
      <c r="A3881" s="6"/>
      <c r="B3881" s="6"/>
      <c r="H3881" s="13"/>
    </row>
    <row r="3882">
      <c r="A3882" s="6"/>
      <c r="B3882" s="6"/>
      <c r="H3882" s="13"/>
    </row>
    <row r="3883">
      <c r="A3883" s="6"/>
      <c r="B3883" s="6"/>
      <c r="H3883" s="13"/>
    </row>
    <row r="3884">
      <c r="A3884" s="6"/>
      <c r="B3884" s="6"/>
      <c r="H3884" s="13"/>
    </row>
    <row r="3885">
      <c r="A3885" s="6"/>
      <c r="B3885" s="6"/>
      <c r="H3885" s="13"/>
    </row>
    <row r="3886">
      <c r="A3886" s="6"/>
      <c r="B3886" s="6"/>
      <c r="H3886" s="13"/>
    </row>
    <row r="3887">
      <c r="A3887" s="6"/>
      <c r="B3887" s="6"/>
      <c r="H3887" s="13"/>
    </row>
    <row r="3888">
      <c r="A3888" s="6"/>
      <c r="B3888" s="6"/>
      <c r="H3888" s="13"/>
    </row>
    <row r="3889">
      <c r="A3889" s="6"/>
      <c r="B3889" s="6"/>
      <c r="H3889" s="13"/>
    </row>
    <row r="3890">
      <c r="A3890" s="6"/>
      <c r="B3890" s="6"/>
      <c r="H3890" s="13"/>
    </row>
    <row r="3891">
      <c r="A3891" s="6"/>
      <c r="B3891" s="6"/>
      <c r="H3891" s="13"/>
    </row>
    <row r="3892">
      <c r="A3892" s="6"/>
      <c r="B3892" s="6"/>
      <c r="H3892" s="13"/>
    </row>
    <row r="3893">
      <c r="A3893" s="6"/>
      <c r="B3893" s="6"/>
      <c r="H3893" s="13"/>
    </row>
    <row r="3894">
      <c r="A3894" s="6"/>
      <c r="B3894" s="6"/>
      <c r="H3894" s="13"/>
    </row>
    <row r="3895">
      <c r="A3895" s="6"/>
      <c r="B3895" s="6"/>
      <c r="H3895" s="13"/>
    </row>
    <row r="3896">
      <c r="A3896" s="6"/>
      <c r="B3896" s="6"/>
      <c r="H3896" s="13"/>
    </row>
    <row r="3897">
      <c r="A3897" s="6"/>
      <c r="B3897" s="6"/>
      <c r="H3897" s="13"/>
    </row>
    <row r="3898">
      <c r="A3898" s="6"/>
      <c r="B3898" s="6"/>
      <c r="H3898" s="13"/>
    </row>
    <row r="3899">
      <c r="A3899" s="6"/>
      <c r="B3899" s="6"/>
      <c r="H3899" s="13"/>
    </row>
    <row r="3900">
      <c r="A3900" s="6"/>
      <c r="B3900" s="6"/>
      <c r="H3900" s="13"/>
    </row>
    <row r="3901">
      <c r="A3901" s="6"/>
      <c r="B3901" s="6"/>
      <c r="H3901" s="13"/>
    </row>
    <row r="3902">
      <c r="A3902" s="6"/>
      <c r="B3902" s="6"/>
      <c r="H3902" s="13"/>
    </row>
    <row r="3903">
      <c r="A3903" s="6"/>
      <c r="B3903" s="6"/>
      <c r="H3903" s="13"/>
    </row>
    <row r="3904">
      <c r="A3904" s="6"/>
      <c r="B3904" s="6"/>
      <c r="H3904" s="13"/>
    </row>
    <row r="3905">
      <c r="A3905" s="6"/>
      <c r="B3905" s="6"/>
      <c r="H3905" s="13"/>
    </row>
    <row r="3906">
      <c r="A3906" s="6"/>
      <c r="B3906" s="6"/>
      <c r="H3906" s="13"/>
    </row>
    <row r="3907">
      <c r="A3907" s="6"/>
      <c r="B3907" s="6"/>
      <c r="H3907" s="13"/>
    </row>
    <row r="3908">
      <c r="A3908" s="6"/>
      <c r="B3908" s="6"/>
      <c r="H3908" s="13"/>
    </row>
    <row r="3909">
      <c r="A3909" s="6"/>
      <c r="B3909" s="6"/>
      <c r="H3909" s="13"/>
    </row>
    <row r="3910">
      <c r="A3910" s="6"/>
      <c r="B3910" s="6"/>
      <c r="H3910" s="13"/>
    </row>
    <row r="3911">
      <c r="A3911" s="6"/>
      <c r="B3911" s="6"/>
      <c r="H3911" s="13"/>
    </row>
    <row r="3912">
      <c r="A3912" s="6"/>
      <c r="B3912" s="6"/>
      <c r="H3912" s="13"/>
    </row>
    <row r="3913">
      <c r="A3913" s="6"/>
      <c r="B3913" s="6"/>
      <c r="H3913" s="13"/>
    </row>
    <row r="3914">
      <c r="A3914" s="6"/>
      <c r="B3914" s="6"/>
      <c r="H3914" s="13"/>
    </row>
    <row r="3915">
      <c r="A3915" s="6"/>
      <c r="B3915" s="6"/>
      <c r="H3915" s="13"/>
    </row>
    <row r="3916">
      <c r="A3916" s="6"/>
      <c r="B3916" s="6"/>
      <c r="H3916" s="13"/>
    </row>
    <row r="3917">
      <c r="A3917" s="6"/>
      <c r="B3917" s="6"/>
      <c r="H3917" s="13"/>
    </row>
    <row r="3918">
      <c r="A3918" s="6"/>
      <c r="B3918" s="6"/>
      <c r="H3918" s="13"/>
    </row>
    <row r="3919">
      <c r="A3919" s="6"/>
      <c r="B3919" s="6"/>
      <c r="H3919" s="13"/>
    </row>
    <row r="3920">
      <c r="A3920" s="6"/>
      <c r="B3920" s="6"/>
      <c r="H3920" s="13"/>
    </row>
    <row r="3921">
      <c r="A3921" s="6"/>
      <c r="B3921" s="6"/>
      <c r="H3921" s="13"/>
    </row>
    <row r="3922">
      <c r="A3922" s="6"/>
      <c r="B3922" s="6"/>
      <c r="H3922" s="13"/>
    </row>
    <row r="3923">
      <c r="A3923" s="6"/>
      <c r="B3923" s="6"/>
      <c r="H3923" s="13"/>
    </row>
    <row r="3924">
      <c r="A3924" s="6"/>
      <c r="B3924" s="6"/>
      <c r="H3924" s="13"/>
    </row>
    <row r="3925">
      <c r="A3925" s="6"/>
      <c r="B3925" s="6"/>
      <c r="H3925" s="13"/>
    </row>
    <row r="3926">
      <c r="A3926" s="6"/>
      <c r="B3926" s="6"/>
      <c r="H3926" s="13"/>
    </row>
    <row r="3927">
      <c r="A3927" s="6"/>
      <c r="B3927" s="6"/>
      <c r="H3927" s="13"/>
    </row>
    <row r="3928">
      <c r="A3928" s="6"/>
      <c r="B3928" s="6"/>
      <c r="H3928" s="13"/>
    </row>
    <row r="3929">
      <c r="A3929" s="6"/>
      <c r="B3929" s="6"/>
      <c r="H3929" s="13"/>
    </row>
    <row r="3930">
      <c r="A3930" s="6"/>
      <c r="B3930" s="6"/>
      <c r="H3930" s="13"/>
    </row>
    <row r="3931">
      <c r="A3931" s="6"/>
      <c r="B3931" s="6"/>
      <c r="H3931" s="13"/>
    </row>
    <row r="3932">
      <c r="A3932" s="6"/>
      <c r="B3932" s="6"/>
      <c r="H3932" s="13"/>
    </row>
    <row r="3933">
      <c r="A3933" s="6"/>
      <c r="B3933" s="6"/>
      <c r="H3933" s="13"/>
    </row>
    <row r="3934">
      <c r="A3934" s="6"/>
      <c r="B3934" s="6"/>
      <c r="H3934" s="13"/>
    </row>
    <row r="3935">
      <c r="A3935" s="6"/>
      <c r="B3935" s="6"/>
      <c r="H3935" s="13"/>
    </row>
    <row r="3936">
      <c r="A3936" s="6"/>
      <c r="B3936" s="6"/>
      <c r="H3936" s="13"/>
    </row>
    <row r="3937">
      <c r="A3937" s="6"/>
      <c r="B3937" s="6"/>
      <c r="H3937" s="13"/>
    </row>
    <row r="3938">
      <c r="A3938" s="6"/>
      <c r="B3938" s="6"/>
      <c r="H3938" s="13"/>
    </row>
    <row r="3939">
      <c r="A3939" s="6"/>
      <c r="B3939" s="6"/>
      <c r="H3939" s="13"/>
    </row>
    <row r="3940">
      <c r="A3940" s="6"/>
      <c r="B3940" s="6"/>
      <c r="H3940" s="13"/>
    </row>
    <row r="3941">
      <c r="A3941" s="6"/>
      <c r="B3941" s="6"/>
      <c r="H3941" s="13"/>
    </row>
    <row r="3942">
      <c r="A3942" s="6"/>
      <c r="B3942" s="6"/>
      <c r="H3942" s="13"/>
    </row>
    <row r="3943">
      <c r="A3943" s="6"/>
      <c r="B3943" s="6"/>
      <c r="H3943" s="13"/>
    </row>
    <row r="3944">
      <c r="A3944" s="6"/>
      <c r="B3944" s="6"/>
      <c r="H3944" s="13"/>
    </row>
    <row r="3945">
      <c r="A3945" s="6"/>
      <c r="B3945" s="6"/>
      <c r="H3945" s="13"/>
    </row>
    <row r="3946">
      <c r="A3946" s="6"/>
      <c r="B3946" s="6"/>
      <c r="H3946" s="13"/>
    </row>
    <row r="3947">
      <c r="A3947" s="6"/>
      <c r="B3947" s="6"/>
      <c r="H3947" s="13"/>
    </row>
    <row r="3948">
      <c r="A3948" s="6"/>
      <c r="B3948" s="6"/>
      <c r="H3948" s="13"/>
    </row>
    <row r="3949">
      <c r="A3949" s="6"/>
      <c r="B3949" s="6"/>
      <c r="H3949" s="13"/>
    </row>
    <row r="3950">
      <c r="A3950" s="6"/>
      <c r="B3950" s="6"/>
      <c r="H3950" s="13"/>
    </row>
    <row r="3951">
      <c r="A3951" s="6"/>
      <c r="B3951" s="6"/>
      <c r="H3951" s="13"/>
    </row>
    <row r="3952">
      <c r="A3952" s="6"/>
      <c r="B3952" s="6"/>
      <c r="H3952" s="13"/>
    </row>
    <row r="3953">
      <c r="A3953" s="6"/>
      <c r="B3953" s="6"/>
      <c r="H3953" s="13"/>
    </row>
    <row r="3954">
      <c r="A3954" s="6"/>
      <c r="B3954" s="6"/>
      <c r="H3954" s="13"/>
    </row>
    <row r="3955">
      <c r="A3955" s="6"/>
      <c r="B3955" s="6"/>
      <c r="H3955" s="13"/>
    </row>
    <row r="3956">
      <c r="A3956" s="6"/>
      <c r="B3956" s="6"/>
      <c r="H3956" s="13"/>
    </row>
    <row r="3957">
      <c r="A3957" s="6"/>
      <c r="B3957" s="6"/>
      <c r="H3957" s="13"/>
    </row>
    <row r="3958">
      <c r="A3958" s="6"/>
      <c r="B3958" s="6"/>
      <c r="H3958" s="13"/>
    </row>
    <row r="3959">
      <c r="A3959" s="6"/>
      <c r="B3959" s="6"/>
      <c r="H3959" s="13"/>
    </row>
    <row r="3960">
      <c r="A3960" s="6"/>
      <c r="B3960" s="6"/>
      <c r="H3960" s="13"/>
    </row>
    <row r="3961">
      <c r="A3961" s="6"/>
      <c r="B3961" s="6"/>
      <c r="H3961" s="13"/>
    </row>
    <row r="3962">
      <c r="A3962" s="6"/>
      <c r="B3962" s="6"/>
      <c r="H3962" s="13"/>
    </row>
    <row r="3963">
      <c r="A3963" s="6"/>
      <c r="B3963" s="6"/>
      <c r="H3963" s="13"/>
    </row>
    <row r="3964">
      <c r="A3964" s="6"/>
      <c r="B3964" s="6"/>
      <c r="H3964" s="13"/>
    </row>
    <row r="3965">
      <c r="A3965" s="6"/>
      <c r="B3965" s="6"/>
      <c r="H3965" s="13"/>
    </row>
    <row r="3966">
      <c r="A3966" s="6"/>
      <c r="B3966" s="6"/>
      <c r="H3966" s="13"/>
    </row>
    <row r="3967">
      <c r="A3967" s="6"/>
      <c r="B3967" s="6"/>
      <c r="H3967" s="13"/>
    </row>
    <row r="3968">
      <c r="A3968" s="6"/>
      <c r="B3968" s="6"/>
      <c r="H3968" s="13"/>
    </row>
    <row r="3969">
      <c r="A3969" s="6"/>
      <c r="B3969" s="6"/>
      <c r="H3969" s="13"/>
    </row>
    <row r="3970">
      <c r="A3970" s="6"/>
      <c r="B3970" s="6"/>
      <c r="H3970" s="13"/>
    </row>
    <row r="3971">
      <c r="A3971" s="6"/>
      <c r="B3971" s="6"/>
      <c r="H3971" s="13"/>
    </row>
    <row r="3972">
      <c r="A3972" s="6"/>
      <c r="B3972" s="6"/>
      <c r="H3972" s="13"/>
    </row>
    <row r="3973">
      <c r="A3973" s="6"/>
      <c r="B3973" s="6"/>
      <c r="H3973" s="13"/>
    </row>
    <row r="3974">
      <c r="A3974" s="6"/>
      <c r="B3974" s="6"/>
      <c r="H3974" s="13"/>
    </row>
    <row r="3975">
      <c r="A3975" s="6"/>
      <c r="B3975" s="6"/>
      <c r="H3975" s="13"/>
    </row>
    <row r="3976">
      <c r="A3976" s="6"/>
      <c r="B3976" s="6"/>
      <c r="H3976" s="13"/>
    </row>
    <row r="3977">
      <c r="A3977" s="6"/>
      <c r="B3977" s="6"/>
      <c r="H3977" s="13"/>
    </row>
    <row r="3978">
      <c r="A3978" s="6"/>
      <c r="B3978" s="6"/>
      <c r="H3978" s="13"/>
    </row>
    <row r="3979">
      <c r="A3979" s="6"/>
      <c r="B3979" s="6"/>
      <c r="H3979" s="13"/>
    </row>
    <row r="3980">
      <c r="A3980" s="6"/>
      <c r="B3980" s="6"/>
      <c r="H3980" s="13"/>
    </row>
    <row r="3981">
      <c r="A3981" s="6"/>
      <c r="B3981" s="6"/>
      <c r="H3981" s="13"/>
    </row>
    <row r="3982">
      <c r="A3982" s="6"/>
      <c r="B3982" s="6"/>
      <c r="H3982" s="13"/>
    </row>
    <row r="3983">
      <c r="A3983" s="6"/>
      <c r="B3983" s="6"/>
      <c r="H3983" s="13"/>
    </row>
    <row r="3984">
      <c r="A3984" s="6"/>
      <c r="B3984" s="6"/>
      <c r="H3984" s="13"/>
    </row>
    <row r="3985">
      <c r="A3985" s="6"/>
      <c r="B3985" s="6"/>
      <c r="H3985" s="13"/>
    </row>
    <row r="3986">
      <c r="A3986" s="6"/>
      <c r="B3986" s="6"/>
      <c r="H3986" s="13"/>
    </row>
    <row r="3987">
      <c r="A3987" s="6"/>
      <c r="B3987" s="6"/>
      <c r="H3987" s="13"/>
    </row>
    <row r="3988">
      <c r="A3988" s="6"/>
      <c r="B3988" s="6"/>
      <c r="H3988" s="13"/>
    </row>
    <row r="3989">
      <c r="A3989" s="6"/>
      <c r="B3989" s="6"/>
      <c r="H3989" s="13"/>
    </row>
    <row r="3990">
      <c r="A3990" s="6"/>
      <c r="B3990" s="6"/>
      <c r="H3990" s="13"/>
    </row>
    <row r="3991">
      <c r="A3991" s="6"/>
      <c r="B3991" s="6"/>
      <c r="H3991" s="13"/>
    </row>
    <row r="3992">
      <c r="A3992" s="6"/>
      <c r="B3992" s="6"/>
      <c r="H3992" s="13"/>
    </row>
    <row r="3993">
      <c r="A3993" s="6"/>
      <c r="B3993" s="6"/>
      <c r="H3993" s="13"/>
    </row>
    <row r="3994">
      <c r="A3994" s="6"/>
      <c r="B3994" s="6"/>
      <c r="H3994" s="13"/>
    </row>
    <row r="3995">
      <c r="A3995" s="6"/>
      <c r="B3995" s="6"/>
      <c r="H3995" s="13"/>
    </row>
    <row r="3996">
      <c r="A3996" s="6"/>
      <c r="B3996" s="6"/>
      <c r="H3996" s="13"/>
    </row>
    <row r="3997">
      <c r="A3997" s="6"/>
      <c r="B3997" s="6"/>
      <c r="H3997" s="13"/>
    </row>
    <row r="3998">
      <c r="A3998" s="6"/>
      <c r="B3998" s="6"/>
      <c r="H3998" s="13"/>
    </row>
    <row r="3999">
      <c r="A3999" s="6"/>
      <c r="B3999" s="6"/>
      <c r="H3999" s="13"/>
    </row>
    <row r="4000">
      <c r="A4000" s="6"/>
      <c r="B4000" s="6"/>
      <c r="H4000" s="13"/>
    </row>
    <row r="4001">
      <c r="A4001" s="6"/>
      <c r="B4001" s="6"/>
      <c r="H4001" s="13"/>
    </row>
    <row r="4002">
      <c r="A4002" s="6"/>
      <c r="B4002" s="6"/>
      <c r="H4002" s="13"/>
    </row>
    <row r="4003">
      <c r="A4003" s="6"/>
      <c r="B4003" s="6"/>
      <c r="H4003" s="13"/>
    </row>
    <row r="4004">
      <c r="A4004" s="6"/>
      <c r="B4004" s="6"/>
      <c r="H4004" s="13"/>
    </row>
    <row r="4005">
      <c r="A4005" s="6"/>
      <c r="B4005" s="6"/>
      <c r="H4005" s="13"/>
    </row>
    <row r="4006">
      <c r="A4006" s="6"/>
      <c r="B4006" s="6"/>
      <c r="H4006" s="13"/>
    </row>
    <row r="4007">
      <c r="A4007" s="6"/>
      <c r="B4007" s="6"/>
      <c r="H4007" s="13"/>
    </row>
    <row r="4008">
      <c r="A4008" s="6"/>
      <c r="B4008" s="6"/>
      <c r="H4008" s="13"/>
    </row>
    <row r="4009">
      <c r="A4009" s="6"/>
      <c r="B4009" s="6"/>
      <c r="H4009" s="13"/>
    </row>
    <row r="4010">
      <c r="A4010" s="6"/>
      <c r="B4010" s="6"/>
      <c r="H4010" s="13"/>
    </row>
    <row r="4011">
      <c r="A4011" s="6"/>
      <c r="B4011" s="6"/>
      <c r="H4011" s="13"/>
    </row>
    <row r="4012">
      <c r="A4012" s="6"/>
      <c r="B4012" s="6"/>
      <c r="H4012" s="13"/>
    </row>
    <row r="4013">
      <c r="A4013" s="6"/>
      <c r="B4013" s="6"/>
      <c r="H4013" s="13"/>
    </row>
    <row r="4014">
      <c r="A4014" s="6"/>
      <c r="B4014" s="6"/>
      <c r="H4014" s="13"/>
    </row>
    <row r="4015">
      <c r="A4015" s="6"/>
      <c r="B4015" s="6"/>
      <c r="H4015" s="13"/>
    </row>
    <row r="4016">
      <c r="A4016" s="6"/>
      <c r="B4016" s="6"/>
      <c r="H4016" s="13"/>
    </row>
    <row r="4017">
      <c r="A4017" s="6"/>
      <c r="B4017" s="6"/>
      <c r="H4017" s="13"/>
    </row>
    <row r="4018">
      <c r="A4018" s="6"/>
      <c r="B4018" s="6"/>
      <c r="H4018" s="13"/>
    </row>
    <row r="4019">
      <c r="A4019" s="6"/>
      <c r="B4019" s="6"/>
      <c r="H4019" s="13"/>
    </row>
    <row r="4020">
      <c r="A4020" s="6"/>
      <c r="B4020" s="6"/>
      <c r="H4020" s="13"/>
    </row>
    <row r="4021">
      <c r="A4021" s="6"/>
      <c r="B4021" s="6"/>
      <c r="H4021" s="13"/>
    </row>
    <row r="4022">
      <c r="A4022" s="6"/>
      <c r="B4022" s="6"/>
      <c r="H4022" s="13"/>
    </row>
    <row r="4023">
      <c r="A4023" s="6"/>
      <c r="B4023" s="6"/>
      <c r="H4023" s="13"/>
    </row>
    <row r="4024">
      <c r="A4024" s="6"/>
      <c r="B4024" s="6"/>
      <c r="H4024" s="13"/>
    </row>
    <row r="4025">
      <c r="A4025" s="6"/>
      <c r="B4025" s="6"/>
      <c r="H4025" s="13"/>
    </row>
    <row r="4026">
      <c r="A4026" s="6"/>
      <c r="B4026" s="6"/>
      <c r="H4026" s="13"/>
    </row>
    <row r="4027">
      <c r="A4027" s="6"/>
      <c r="B4027" s="6"/>
      <c r="H4027" s="13"/>
    </row>
    <row r="4028">
      <c r="A4028" s="6"/>
      <c r="B4028" s="6"/>
      <c r="H4028" s="13"/>
    </row>
    <row r="4029">
      <c r="A4029" s="6"/>
      <c r="B4029" s="6"/>
      <c r="H4029" s="13"/>
    </row>
    <row r="4030">
      <c r="A4030" s="6"/>
      <c r="B4030" s="6"/>
      <c r="H4030" s="13"/>
    </row>
    <row r="4031">
      <c r="A4031" s="6"/>
      <c r="B4031" s="6"/>
      <c r="H4031" s="13"/>
    </row>
    <row r="4032">
      <c r="A4032" s="6"/>
      <c r="B4032" s="6"/>
      <c r="H4032" s="13"/>
    </row>
    <row r="4033">
      <c r="A4033" s="6"/>
      <c r="B4033" s="6"/>
      <c r="H4033" s="13"/>
    </row>
    <row r="4034">
      <c r="A4034" s="6"/>
      <c r="B4034" s="6"/>
      <c r="H4034" s="13"/>
    </row>
    <row r="4035">
      <c r="A4035" s="6"/>
      <c r="B4035" s="6"/>
      <c r="H4035" s="13"/>
    </row>
    <row r="4036">
      <c r="A4036" s="6"/>
      <c r="B4036" s="6"/>
      <c r="H4036" s="13"/>
    </row>
    <row r="4037">
      <c r="A4037" s="6"/>
      <c r="B4037" s="6"/>
      <c r="H4037" s="13"/>
    </row>
    <row r="4038">
      <c r="A4038" s="6"/>
      <c r="B4038" s="6"/>
      <c r="H4038" s="13"/>
    </row>
    <row r="4039">
      <c r="A4039" s="6"/>
      <c r="B4039" s="6"/>
      <c r="H4039" s="13"/>
    </row>
    <row r="4040">
      <c r="A4040" s="6"/>
      <c r="B4040" s="6"/>
      <c r="H4040" s="13"/>
    </row>
    <row r="4041">
      <c r="A4041" s="6"/>
      <c r="B4041" s="6"/>
      <c r="H4041" s="13"/>
    </row>
    <row r="4042">
      <c r="A4042" s="6"/>
      <c r="B4042" s="6"/>
      <c r="H4042" s="13"/>
    </row>
    <row r="4043">
      <c r="A4043" s="6"/>
      <c r="B4043" s="6"/>
      <c r="H4043" s="13"/>
    </row>
    <row r="4044">
      <c r="A4044" s="6"/>
      <c r="B4044" s="6"/>
      <c r="H4044" s="13"/>
    </row>
    <row r="4045">
      <c r="A4045" s="6"/>
      <c r="B4045" s="6"/>
      <c r="H4045" s="13"/>
    </row>
    <row r="4046">
      <c r="A4046" s="6"/>
      <c r="B4046" s="6"/>
      <c r="H4046" s="13"/>
    </row>
    <row r="4047">
      <c r="A4047" s="6"/>
      <c r="B4047" s="6"/>
      <c r="H4047" s="13"/>
    </row>
    <row r="4048">
      <c r="A4048" s="6"/>
      <c r="B4048" s="6"/>
      <c r="H4048" s="13"/>
    </row>
    <row r="4049">
      <c r="A4049" s="6"/>
      <c r="B4049" s="6"/>
      <c r="H4049" s="13"/>
    </row>
    <row r="4050">
      <c r="A4050" s="6"/>
      <c r="B4050" s="6"/>
      <c r="H4050" s="13"/>
    </row>
    <row r="4051">
      <c r="A4051" s="6"/>
      <c r="B4051" s="6"/>
      <c r="H4051" s="13"/>
    </row>
    <row r="4052">
      <c r="A4052" s="6"/>
      <c r="B4052" s="6"/>
      <c r="H4052" s="13"/>
    </row>
    <row r="4053">
      <c r="A4053" s="6"/>
      <c r="B4053" s="6"/>
      <c r="H4053" s="13"/>
    </row>
    <row r="4054">
      <c r="A4054" s="6"/>
      <c r="B4054" s="6"/>
      <c r="H4054" s="13"/>
    </row>
    <row r="4055">
      <c r="A4055" s="6"/>
      <c r="B4055" s="6"/>
      <c r="H4055" s="13"/>
    </row>
    <row r="4056">
      <c r="A4056" s="6"/>
      <c r="B4056" s="6"/>
      <c r="H4056" s="13"/>
    </row>
    <row r="4057">
      <c r="A4057" s="6"/>
      <c r="B4057" s="6"/>
      <c r="H4057" s="13"/>
    </row>
    <row r="4058">
      <c r="A4058" s="6"/>
      <c r="B4058" s="6"/>
      <c r="H4058" s="13"/>
    </row>
    <row r="4059">
      <c r="A4059" s="6"/>
      <c r="B4059" s="6"/>
      <c r="H4059" s="13"/>
    </row>
    <row r="4060">
      <c r="A4060" s="6"/>
      <c r="B4060" s="6"/>
      <c r="H4060" s="13"/>
    </row>
    <row r="4061">
      <c r="A4061" s="6"/>
      <c r="B4061" s="6"/>
      <c r="H4061" s="13"/>
    </row>
    <row r="4062">
      <c r="A4062" s="6"/>
      <c r="B4062" s="6"/>
      <c r="H4062" s="13"/>
    </row>
    <row r="4063">
      <c r="A4063" s="6"/>
      <c r="B4063" s="6"/>
      <c r="H4063" s="13"/>
    </row>
    <row r="4064">
      <c r="A4064" s="6"/>
      <c r="B4064" s="6"/>
      <c r="H4064" s="13"/>
    </row>
    <row r="4065">
      <c r="A4065" s="6"/>
      <c r="B4065" s="6"/>
      <c r="H4065" s="13"/>
    </row>
    <row r="4066">
      <c r="A4066" s="6"/>
      <c r="B4066" s="6"/>
      <c r="H4066" s="13"/>
    </row>
    <row r="4067">
      <c r="A4067" s="6"/>
      <c r="B4067" s="6"/>
      <c r="H4067" s="13"/>
    </row>
    <row r="4068">
      <c r="A4068" s="6"/>
      <c r="B4068" s="6"/>
      <c r="H4068" s="13"/>
    </row>
    <row r="4069">
      <c r="A4069" s="6"/>
      <c r="B4069" s="6"/>
      <c r="H4069" s="13"/>
    </row>
    <row r="4070">
      <c r="A4070" s="6"/>
      <c r="B4070" s="6"/>
      <c r="H4070" s="13"/>
    </row>
    <row r="4071">
      <c r="A4071" s="6"/>
      <c r="B4071" s="6"/>
      <c r="H4071" s="13"/>
    </row>
    <row r="4072">
      <c r="A4072" s="6"/>
      <c r="B4072" s="6"/>
      <c r="H4072" s="13"/>
    </row>
    <row r="4073">
      <c r="A4073" s="6"/>
      <c r="B4073" s="6"/>
      <c r="H4073" s="13"/>
    </row>
    <row r="4074">
      <c r="A4074" s="6"/>
      <c r="B4074" s="6"/>
      <c r="H4074" s="13"/>
    </row>
    <row r="4075">
      <c r="A4075" s="6"/>
      <c r="B4075" s="6"/>
      <c r="H4075" s="13"/>
    </row>
    <row r="4076">
      <c r="A4076" s="6"/>
      <c r="B4076" s="6"/>
      <c r="H4076" s="13"/>
    </row>
    <row r="4077">
      <c r="A4077" s="6"/>
      <c r="B4077" s="6"/>
      <c r="H4077" s="13"/>
    </row>
    <row r="4078">
      <c r="A4078" s="6"/>
      <c r="B4078" s="6"/>
      <c r="H4078" s="13"/>
    </row>
    <row r="4079">
      <c r="A4079" s="6"/>
      <c r="B4079" s="6"/>
      <c r="H4079" s="13"/>
    </row>
    <row r="4080">
      <c r="A4080" s="6"/>
      <c r="B4080" s="6"/>
      <c r="H4080" s="13"/>
    </row>
    <row r="4081">
      <c r="A4081" s="6"/>
      <c r="B4081" s="6"/>
      <c r="H4081" s="13"/>
    </row>
    <row r="4082">
      <c r="A4082" s="6"/>
      <c r="B4082" s="6"/>
      <c r="H4082" s="13"/>
    </row>
    <row r="4083">
      <c r="A4083" s="6"/>
      <c r="B4083" s="6"/>
      <c r="H4083" s="13"/>
    </row>
    <row r="4084">
      <c r="A4084" s="6"/>
      <c r="B4084" s="6"/>
      <c r="H4084" s="13"/>
    </row>
    <row r="4085">
      <c r="A4085" s="6"/>
      <c r="B4085" s="6"/>
      <c r="H4085" s="13"/>
    </row>
    <row r="4086">
      <c r="A4086" s="6"/>
      <c r="B4086" s="6"/>
      <c r="H4086" s="13"/>
    </row>
    <row r="4087">
      <c r="A4087" s="6"/>
      <c r="B4087" s="6"/>
      <c r="H4087" s="13"/>
    </row>
    <row r="4088">
      <c r="A4088" s="6"/>
      <c r="B4088" s="6"/>
      <c r="H4088" s="13"/>
    </row>
    <row r="4089">
      <c r="A4089" s="6"/>
      <c r="B4089" s="6"/>
      <c r="H4089" s="13"/>
    </row>
    <row r="4090">
      <c r="A4090" s="6"/>
      <c r="B4090" s="6"/>
      <c r="H4090" s="13"/>
    </row>
    <row r="4091">
      <c r="A4091" s="6"/>
      <c r="B4091" s="6"/>
      <c r="H4091" s="13"/>
    </row>
    <row r="4092">
      <c r="A4092" s="6"/>
      <c r="B4092" s="6"/>
      <c r="H4092" s="13"/>
    </row>
    <row r="4093">
      <c r="A4093" s="6"/>
      <c r="B4093" s="6"/>
      <c r="H4093" s="13"/>
    </row>
    <row r="4094">
      <c r="A4094" s="6"/>
      <c r="B4094" s="6"/>
      <c r="H4094" s="13"/>
    </row>
    <row r="4095">
      <c r="A4095" s="6"/>
      <c r="B4095" s="6"/>
      <c r="H4095" s="13"/>
    </row>
    <row r="4096">
      <c r="A4096" s="6"/>
      <c r="B4096" s="6"/>
      <c r="H4096" s="13"/>
    </row>
    <row r="4097">
      <c r="A4097" s="6"/>
      <c r="B4097" s="6"/>
      <c r="H4097" s="13"/>
    </row>
    <row r="4098">
      <c r="A4098" s="6"/>
      <c r="B4098" s="6"/>
      <c r="H4098" s="13"/>
    </row>
    <row r="4099">
      <c r="A4099" s="6"/>
      <c r="B4099" s="6"/>
      <c r="H4099" s="13"/>
    </row>
    <row r="4100">
      <c r="A4100" s="6"/>
      <c r="B4100" s="6"/>
      <c r="H4100" s="13"/>
    </row>
    <row r="4101">
      <c r="A4101" s="6"/>
      <c r="B4101" s="6"/>
      <c r="H4101" s="13"/>
    </row>
    <row r="4102">
      <c r="A4102" s="6"/>
      <c r="B4102" s="6"/>
      <c r="H4102" s="13"/>
    </row>
    <row r="4103">
      <c r="A4103" s="6"/>
      <c r="B4103" s="6"/>
      <c r="H4103" s="13"/>
    </row>
    <row r="4104">
      <c r="A4104" s="6"/>
      <c r="B4104" s="6"/>
      <c r="H4104" s="13"/>
    </row>
    <row r="4105">
      <c r="A4105" s="6"/>
      <c r="B4105" s="6"/>
      <c r="H4105" s="13"/>
    </row>
    <row r="4106">
      <c r="A4106" s="6"/>
      <c r="B4106" s="6"/>
      <c r="H4106" s="13"/>
    </row>
    <row r="4107">
      <c r="A4107" s="6"/>
      <c r="B4107" s="6"/>
      <c r="H4107" s="13"/>
    </row>
    <row r="4108">
      <c r="A4108" s="6"/>
      <c r="B4108" s="6"/>
      <c r="H4108" s="13"/>
    </row>
    <row r="4109">
      <c r="A4109" s="6"/>
      <c r="B4109" s="6"/>
      <c r="H4109" s="13"/>
    </row>
    <row r="4110">
      <c r="A4110" s="6"/>
      <c r="B4110" s="6"/>
      <c r="H4110" s="13"/>
    </row>
    <row r="4111">
      <c r="A4111" s="6"/>
      <c r="B4111" s="6"/>
      <c r="H4111" s="13"/>
    </row>
    <row r="4112">
      <c r="A4112" s="6"/>
      <c r="B4112" s="6"/>
      <c r="H4112" s="13"/>
    </row>
    <row r="4113">
      <c r="A4113" s="6"/>
      <c r="B4113" s="6"/>
      <c r="H4113" s="13"/>
    </row>
    <row r="4114">
      <c r="A4114" s="6"/>
      <c r="B4114" s="6"/>
      <c r="H4114" s="13"/>
    </row>
    <row r="4115">
      <c r="A4115" s="6"/>
      <c r="B4115" s="6"/>
      <c r="H4115" s="13"/>
    </row>
    <row r="4116">
      <c r="A4116" s="6"/>
      <c r="B4116" s="6"/>
      <c r="H4116" s="13"/>
    </row>
    <row r="4117">
      <c r="A4117" s="6"/>
      <c r="B4117" s="6"/>
      <c r="H4117" s="13"/>
    </row>
    <row r="4118">
      <c r="A4118" s="6"/>
      <c r="B4118" s="6"/>
      <c r="H4118" s="13"/>
    </row>
    <row r="4119">
      <c r="A4119" s="6"/>
      <c r="B4119" s="6"/>
      <c r="H4119" s="13"/>
    </row>
    <row r="4120">
      <c r="A4120" s="6"/>
      <c r="B4120" s="6"/>
      <c r="H4120" s="13"/>
    </row>
    <row r="4121">
      <c r="A4121" s="6"/>
      <c r="B4121" s="6"/>
      <c r="H4121" s="13"/>
    </row>
    <row r="4122">
      <c r="A4122" s="6"/>
      <c r="B4122" s="6"/>
      <c r="H4122" s="13"/>
    </row>
    <row r="4123">
      <c r="A4123" s="6"/>
      <c r="B4123" s="6"/>
      <c r="H4123" s="13"/>
    </row>
    <row r="4124">
      <c r="A4124" s="6"/>
      <c r="B4124" s="6"/>
      <c r="H4124" s="13"/>
    </row>
    <row r="4125">
      <c r="A4125" s="6"/>
      <c r="B4125" s="6"/>
      <c r="H4125" s="13"/>
    </row>
    <row r="4126">
      <c r="A4126" s="6"/>
      <c r="B4126" s="6"/>
      <c r="H4126" s="13"/>
    </row>
    <row r="4127">
      <c r="A4127" s="6"/>
      <c r="B4127" s="6"/>
      <c r="H4127" s="13"/>
    </row>
    <row r="4128">
      <c r="A4128" s="6"/>
      <c r="B4128" s="6"/>
      <c r="H4128" s="13"/>
    </row>
    <row r="4129">
      <c r="A4129" s="6"/>
      <c r="B4129" s="6"/>
      <c r="H4129" s="13"/>
    </row>
    <row r="4130">
      <c r="A4130" s="6"/>
      <c r="B4130" s="6"/>
      <c r="H4130" s="13"/>
    </row>
    <row r="4131">
      <c r="A4131" s="6"/>
      <c r="B4131" s="6"/>
      <c r="H4131" s="13"/>
    </row>
    <row r="4132">
      <c r="A4132" s="6"/>
      <c r="B4132" s="6"/>
      <c r="H4132" s="13"/>
    </row>
    <row r="4133">
      <c r="A4133" s="6"/>
      <c r="B4133" s="6"/>
      <c r="H4133" s="13"/>
    </row>
    <row r="4134">
      <c r="A4134" s="6"/>
      <c r="B4134" s="6"/>
      <c r="H4134" s="13"/>
    </row>
    <row r="4135">
      <c r="A4135" s="6"/>
      <c r="B4135" s="6"/>
      <c r="H4135" s="13"/>
    </row>
    <row r="4136">
      <c r="A4136" s="6"/>
      <c r="B4136" s="6"/>
      <c r="H4136" s="13"/>
    </row>
    <row r="4137">
      <c r="A4137" s="6"/>
      <c r="B4137" s="6"/>
      <c r="H4137" s="13"/>
    </row>
    <row r="4138">
      <c r="A4138" s="6"/>
      <c r="B4138" s="6"/>
      <c r="H4138" s="13"/>
    </row>
    <row r="4139">
      <c r="A4139" s="6"/>
      <c r="B4139" s="6"/>
      <c r="H4139" s="13"/>
    </row>
    <row r="4140">
      <c r="A4140" s="6"/>
      <c r="B4140" s="6"/>
      <c r="H4140" s="13"/>
    </row>
    <row r="4141">
      <c r="A4141" s="6"/>
      <c r="B4141" s="6"/>
      <c r="H4141" s="13"/>
    </row>
    <row r="4142">
      <c r="A4142" s="6"/>
      <c r="B4142" s="6"/>
      <c r="H4142" s="13"/>
    </row>
    <row r="4143">
      <c r="A4143" s="6"/>
      <c r="B4143" s="6"/>
      <c r="H4143" s="13"/>
    </row>
    <row r="4144">
      <c r="A4144" s="6"/>
      <c r="B4144" s="6"/>
      <c r="H4144" s="13"/>
    </row>
    <row r="4145">
      <c r="A4145" s="6"/>
      <c r="B4145" s="6"/>
      <c r="H4145" s="13"/>
    </row>
    <row r="4146">
      <c r="A4146" s="6"/>
      <c r="B4146" s="6"/>
      <c r="H4146" s="13"/>
    </row>
    <row r="4147">
      <c r="A4147" s="6"/>
      <c r="B4147" s="6"/>
      <c r="H4147" s="13"/>
    </row>
    <row r="4148">
      <c r="A4148" s="6"/>
      <c r="B4148" s="6"/>
      <c r="H4148" s="13"/>
    </row>
    <row r="4149">
      <c r="A4149" s="6"/>
      <c r="B4149" s="6"/>
      <c r="H4149" s="13"/>
    </row>
    <row r="4150">
      <c r="A4150" s="6"/>
      <c r="B4150" s="6"/>
      <c r="H4150" s="13"/>
    </row>
    <row r="4151">
      <c r="A4151" s="6"/>
      <c r="B4151" s="6"/>
      <c r="H4151" s="13"/>
    </row>
    <row r="4152">
      <c r="A4152" s="6"/>
      <c r="B4152" s="6"/>
      <c r="H4152" s="13"/>
    </row>
    <row r="4153">
      <c r="A4153" s="6"/>
      <c r="B4153" s="6"/>
      <c r="H4153" s="13"/>
    </row>
    <row r="4154">
      <c r="A4154" s="6"/>
      <c r="B4154" s="6"/>
      <c r="H4154" s="13"/>
    </row>
    <row r="4155">
      <c r="A4155" s="6"/>
      <c r="B4155" s="6"/>
      <c r="H4155" s="13"/>
    </row>
    <row r="4156">
      <c r="A4156" s="6"/>
      <c r="B4156" s="6"/>
      <c r="H4156" s="13"/>
    </row>
    <row r="4157">
      <c r="A4157" s="6"/>
      <c r="B4157" s="6"/>
      <c r="H4157" s="13"/>
    </row>
    <row r="4158">
      <c r="A4158" s="6"/>
      <c r="B4158" s="6"/>
      <c r="H4158" s="13"/>
    </row>
    <row r="4159">
      <c r="A4159" s="6"/>
      <c r="B4159" s="6"/>
      <c r="H4159" s="13"/>
    </row>
    <row r="4160">
      <c r="A4160" s="6"/>
      <c r="B4160" s="6"/>
      <c r="H4160" s="13"/>
    </row>
    <row r="4161">
      <c r="A4161" s="6"/>
      <c r="B4161" s="6"/>
      <c r="H4161" s="13"/>
    </row>
    <row r="4162">
      <c r="A4162" s="6"/>
      <c r="B4162" s="6"/>
      <c r="H4162" s="13"/>
    </row>
    <row r="4163">
      <c r="A4163" s="6"/>
      <c r="B4163" s="6"/>
      <c r="H4163" s="13"/>
    </row>
    <row r="4164">
      <c r="A4164" s="6"/>
      <c r="B4164" s="6"/>
      <c r="H4164" s="13"/>
    </row>
    <row r="4165">
      <c r="A4165" s="6"/>
      <c r="B4165" s="6"/>
      <c r="H4165" s="13"/>
    </row>
    <row r="4166">
      <c r="A4166" s="6"/>
      <c r="B4166" s="6"/>
      <c r="H4166" s="13"/>
    </row>
    <row r="4167">
      <c r="A4167" s="6"/>
      <c r="B4167" s="6"/>
      <c r="H4167" s="13"/>
    </row>
    <row r="4168">
      <c r="A4168" s="6"/>
      <c r="B4168" s="6"/>
      <c r="H4168" s="13"/>
    </row>
    <row r="4169">
      <c r="A4169" s="6"/>
      <c r="B4169" s="6"/>
      <c r="H4169" s="13"/>
    </row>
    <row r="4170">
      <c r="A4170" s="6"/>
      <c r="B4170" s="6"/>
      <c r="H4170" s="13"/>
    </row>
    <row r="4171">
      <c r="A4171" s="6"/>
      <c r="B4171" s="6"/>
      <c r="H4171" s="13"/>
    </row>
    <row r="4172">
      <c r="A4172" s="6"/>
      <c r="B4172" s="6"/>
      <c r="H4172" s="13"/>
    </row>
    <row r="4173">
      <c r="A4173" s="6"/>
      <c r="B4173" s="6"/>
      <c r="H4173" s="13"/>
    </row>
    <row r="4174">
      <c r="A4174" s="6"/>
      <c r="B4174" s="6"/>
      <c r="H4174" s="13"/>
    </row>
    <row r="4175">
      <c r="A4175" s="6"/>
      <c r="B4175" s="6"/>
      <c r="H4175" s="13"/>
    </row>
    <row r="4176">
      <c r="A4176" s="6"/>
      <c r="B4176" s="6"/>
      <c r="H4176" s="13"/>
    </row>
    <row r="4177">
      <c r="A4177" s="6"/>
      <c r="B4177" s="6"/>
      <c r="H4177" s="13"/>
    </row>
    <row r="4178">
      <c r="A4178" s="6"/>
      <c r="B4178" s="6"/>
      <c r="H4178" s="13"/>
    </row>
    <row r="4179">
      <c r="A4179" s="6"/>
      <c r="B4179" s="6"/>
      <c r="H4179" s="13"/>
    </row>
    <row r="4180">
      <c r="A4180" s="6"/>
      <c r="B4180" s="6"/>
      <c r="H4180" s="13"/>
    </row>
    <row r="4181">
      <c r="A4181" s="6"/>
      <c r="B4181" s="6"/>
      <c r="H4181" s="13"/>
    </row>
    <row r="4182">
      <c r="A4182" s="6"/>
      <c r="B4182" s="6"/>
      <c r="H4182" s="13"/>
    </row>
    <row r="4183">
      <c r="A4183" s="6"/>
      <c r="B4183" s="6"/>
      <c r="H4183" s="13"/>
    </row>
    <row r="4184">
      <c r="A4184" s="6"/>
      <c r="B4184" s="6"/>
      <c r="H4184" s="13"/>
    </row>
    <row r="4185">
      <c r="A4185" s="6"/>
      <c r="B4185" s="6"/>
      <c r="H4185" s="13"/>
    </row>
    <row r="4186">
      <c r="A4186" s="6"/>
      <c r="B4186" s="6"/>
      <c r="H4186" s="13"/>
    </row>
    <row r="4187">
      <c r="A4187" s="6"/>
      <c r="B4187" s="6"/>
      <c r="H4187" s="13"/>
    </row>
    <row r="4188">
      <c r="A4188" s="6"/>
      <c r="B4188" s="6"/>
      <c r="H4188" s="13"/>
    </row>
    <row r="4189">
      <c r="A4189" s="6"/>
      <c r="B4189" s="6"/>
      <c r="H4189" s="13"/>
    </row>
    <row r="4190">
      <c r="A4190" s="6"/>
      <c r="B4190" s="6"/>
      <c r="H4190" s="13"/>
    </row>
    <row r="4191">
      <c r="A4191" s="6"/>
      <c r="B4191" s="6"/>
      <c r="H4191" s="13"/>
    </row>
    <row r="4192">
      <c r="A4192" s="6"/>
      <c r="B4192" s="6"/>
      <c r="H4192" s="13"/>
    </row>
    <row r="4193">
      <c r="A4193" s="6"/>
      <c r="B4193" s="6"/>
      <c r="H4193" s="13"/>
    </row>
    <row r="4194">
      <c r="A4194" s="6"/>
      <c r="B4194" s="6"/>
      <c r="H4194" s="13"/>
    </row>
    <row r="4195">
      <c r="A4195" s="6"/>
      <c r="B4195" s="6"/>
      <c r="H4195" s="13"/>
    </row>
    <row r="4196">
      <c r="A4196" s="6"/>
      <c r="B4196" s="6"/>
      <c r="H4196" s="13"/>
    </row>
    <row r="4197">
      <c r="A4197" s="6"/>
      <c r="B4197" s="6"/>
      <c r="H4197" s="13"/>
    </row>
    <row r="4198">
      <c r="A4198" s="6"/>
      <c r="B4198" s="6"/>
      <c r="H4198" s="13"/>
    </row>
    <row r="4199">
      <c r="A4199" s="6"/>
      <c r="B4199" s="6"/>
      <c r="H4199" s="13"/>
    </row>
    <row r="4200">
      <c r="A4200" s="6"/>
      <c r="B4200" s="6"/>
      <c r="H4200" s="13"/>
    </row>
    <row r="4201">
      <c r="A4201" s="6"/>
      <c r="B4201" s="6"/>
      <c r="H4201" s="13"/>
    </row>
    <row r="4202">
      <c r="A4202" s="6"/>
      <c r="B4202" s="6"/>
      <c r="H4202" s="13"/>
    </row>
    <row r="4203">
      <c r="A4203" s="6"/>
      <c r="B4203" s="6"/>
      <c r="H4203" s="13"/>
    </row>
    <row r="4204">
      <c r="A4204" s="6"/>
      <c r="B4204" s="6"/>
      <c r="H4204" s="13"/>
    </row>
    <row r="4205">
      <c r="A4205" s="6"/>
      <c r="B4205" s="6"/>
      <c r="H4205" s="13"/>
    </row>
    <row r="4206">
      <c r="A4206" s="6"/>
      <c r="B4206" s="6"/>
      <c r="H4206" s="13"/>
    </row>
    <row r="4207">
      <c r="A4207" s="6"/>
      <c r="B4207" s="6"/>
      <c r="H4207" s="13"/>
    </row>
    <row r="4208">
      <c r="A4208" s="6"/>
      <c r="B4208" s="6"/>
      <c r="H4208" s="13"/>
    </row>
    <row r="4209">
      <c r="A4209" s="6"/>
      <c r="B4209" s="6"/>
      <c r="H4209" s="13"/>
    </row>
    <row r="4210">
      <c r="A4210" s="6"/>
      <c r="B4210" s="6"/>
      <c r="H4210" s="13"/>
    </row>
    <row r="4211">
      <c r="A4211" s="6"/>
      <c r="B4211" s="6"/>
      <c r="H4211" s="13"/>
    </row>
    <row r="4212">
      <c r="A4212" s="6"/>
      <c r="B4212" s="6"/>
      <c r="H4212" s="13"/>
    </row>
    <row r="4213">
      <c r="A4213" s="6"/>
      <c r="B4213" s="6"/>
      <c r="H4213" s="13"/>
    </row>
    <row r="4214">
      <c r="A4214" s="6"/>
      <c r="B4214" s="6"/>
      <c r="H4214" s="13"/>
    </row>
    <row r="4215">
      <c r="A4215" s="6"/>
      <c r="B4215" s="6"/>
      <c r="H4215" s="13"/>
    </row>
    <row r="4216">
      <c r="A4216" s="6"/>
      <c r="B4216" s="6"/>
      <c r="H4216" s="13"/>
    </row>
    <row r="4217">
      <c r="A4217" s="6"/>
      <c r="B4217" s="6"/>
      <c r="H4217" s="13"/>
    </row>
    <row r="4218">
      <c r="A4218" s="6"/>
      <c r="B4218" s="6"/>
      <c r="H4218" s="13"/>
    </row>
    <row r="4219">
      <c r="A4219" s="6"/>
      <c r="B4219" s="6"/>
      <c r="H4219" s="13"/>
    </row>
    <row r="4220">
      <c r="A4220" s="6"/>
      <c r="B4220" s="6"/>
      <c r="H4220" s="13"/>
    </row>
    <row r="4221">
      <c r="A4221" s="6"/>
      <c r="B4221" s="6"/>
      <c r="H4221" s="13"/>
    </row>
    <row r="4222">
      <c r="A4222" s="6"/>
      <c r="B4222" s="6"/>
      <c r="H4222" s="13"/>
    </row>
    <row r="4223">
      <c r="A4223" s="6"/>
      <c r="B4223" s="6"/>
      <c r="H4223" s="13"/>
    </row>
    <row r="4224">
      <c r="A4224" s="6"/>
      <c r="B4224" s="6"/>
      <c r="H4224" s="13"/>
    </row>
    <row r="4225">
      <c r="A4225" s="6"/>
      <c r="B4225" s="6"/>
      <c r="H4225" s="13"/>
    </row>
    <row r="4226">
      <c r="A4226" s="6"/>
      <c r="B4226" s="6"/>
      <c r="H4226" s="13"/>
    </row>
    <row r="4227">
      <c r="A4227" s="6"/>
      <c r="B4227" s="6"/>
      <c r="H4227" s="13"/>
    </row>
    <row r="4228">
      <c r="A4228" s="6"/>
      <c r="B4228" s="6"/>
      <c r="H4228" s="13"/>
    </row>
    <row r="4229">
      <c r="A4229" s="6"/>
      <c r="B4229" s="6"/>
      <c r="H4229" s="13"/>
    </row>
    <row r="4230">
      <c r="A4230" s="6"/>
      <c r="B4230" s="6"/>
      <c r="H4230" s="13"/>
    </row>
    <row r="4231">
      <c r="A4231" s="6"/>
      <c r="B4231" s="6"/>
      <c r="H4231" s="13"/>
    </row>
    <row r="4232">
      <c r="A4232" s="6"/>
      <c r="B4232" s="6"/>
      <c r="H4232" s="13"/>
    </row>
    <row r="4233">
      <c r="A4233" s="6"/>
      <c r="B4233" s="6"/>
      <c r="H4233" s="13"/>
    </row>
    <row r="4234">
      <c r="A4234" s="6"/>
      <c r="B4234" s="6"/>
      <c r="H4234" s="13"/>
    </row>
    <row r="4235">
      <c r="A4235" s="6"/>
      <c r="B4235" s="6"/>
      <c r="H4235" s="13"/>
    </row>
    <row r="4236">
      <c r="A4236" s="6"/>
      <c r="B4236" s="6"/>
      <c r="H4236" s="13"/>
    </row>
    <row r="4237">
      <c r="A4237" s="6"/>
      <c r="B4237" s="6"/>
      <c r="H4237" s="13"/>
    </row>
    <row r="4238">
      <c r="A4238" s="6"/>
      <c r="B4238" s="6"/>
      <c r="H4238" s="13"/>
    </row>
    <row r="4239">
      <c r="A4239" s="6"/>
      <c r="B4239" s="6"/>
      <c r="H4239" s="13"/>
    </row>
    <row r="4240">
      <c r="A4240" s="6"/>
      <c r="B4240" s="6"/>
      <c r="H4240" s="13"/>
    </row>
    <row r="4241">
      <c r="A4241" s="6"/>
      <c r="B4241" s="6"/>
      <c r="H4241" s="13"/>
    </row>
    <row r="4242">
      <c r="A4242" s="6"/>
      <c r="B4242" s="6"/>
      <c r="H4242" s="13"/>
    </row>
    <row r="4243">
      <c r="A4243" s="6"/>
      <c r="B4243" s="6"/>
      <c r="H4243" s="13"/>
    </row>
    <row r="4244">
      <c r="A4244" s="6"/>
      <c r="B4244" s="6"/>
      <c r="H4244" s="13"/>
    </row>
    <row r="4245">
      <c r="A4245" s="6"/>
      <c r="B4245" s="6"/>
      <c r="H4245" s="13"/>
    </row>
    <row r="4246">
      <c r="A4246" s="6"/>
      <c r="B4246" s="6"/>
      <c r="H4246" s="13"/>
    </row>
    <row r="4247">
      <c r="A4247" s="6"/>
      <c r="B4247" s="6"/>
      <c r="H4247" s="13"/>
    </row>
    <row r="4248">
      <c r="A4248" s="6"/>
      <c r="B4248" s="6"/>
      <c r="H4248" s="13"/>
    </row>
    <row r="4249">
      <c r="A4249" s="6"/>
      <c r="B4249" s="6"/>
      <c r="H4249" s="13"/>
    </row>
    <row r="4250">
      <c r="A4250" s="6"/>
      <c r="B4250" s="6"/>
      <c r="H4250" s="13"/>
    </row>
    <row r="4251">
      <c r="A4251" s="6"/>
      <c r="B4251" s="6"/>
      <c r="H4251" s="13"/>
    </row>
    <row r="4252">
      <c r="A4252" s="6"/>
      <c r="B4252" s="6"/>
      <c r="H4252" s="13"/>
    </row>
    <row r="4253">
      <c r="A4253" s="6"/>
      <c r="B4253" s="6"/>
      <c r="H4253" s="13"/>
    </row>
    <row r="4254">
      <c r="A4254" s="6"/>
      <c r="B4254" s="6"/>
      <c r="H4254" s="13"/>
    </row>
    <row r="4255">
      <c r="A4255" s="6"/>
      <c r="B4255" s="6"/>
      <c r="H4255" s="13"/>
    </row>
    <row r="4256">
      <c r="A4256" s="6"/>
      <c r="B4256" s="6"/>
      <c r="H4256" s="13"/>
    </row>
    <row r="4257">
      <c r="A4257" s="6"/>
      <c r="B4257" s="6"/>
      <c r="H4257" s="13"/>
    </row>
    <row r="4258">
      <c r="A4258" s="6"/>
      <c r="B4258" s="6"/>
      <c r="H4258" s="13"/>
    </row>
    <row r="4259">
      <c r="A4259" s="6"/>
      <c r="B4259" s="6"/>
      <c r="H4259" s="13"/>
    </row>
    <row r="4260">
      <c r="A4260" s="6"/>
      <c r="B4260" s="6"/>
      <c r="H4260" s="13"/>
    </row>
    <row r="4261">
      <c r="A4261" s="6"/>
      <c r="B4261" s="6"/>
      <c r="H4261" s="13"/>
    </row>
    <row r="4262">
      <c r="A4262" s="6"/>
      <c r="B4262" s="6"/>
      <c r="H4262" s="13"/>
    </row>
    <row r="4263">
      <c r="A4263" s="6"/>
      <c r="B4263" s="6"/>
      <c r="H4263" s="13"/>
    </row>
    <row r="4264">
      <c r="A4264" s="6"/>
      <c r="B4264" s="6"/>
      <c r="H4264" s="13"/>
    </row>
    <row r="4265">
      <c r="A4265" s="6"/>
      <c r="B4265" s="6"/>
      <c r="H4265" s="13"/>
    </row>
    <row r="4266">
      <c r="A4266" s="6"/>
      <c r="B4266" s="6"/>
      <c r="H4266" s="13"/>
    </row>
    <row r="4267">
      <c r="A4267" s="6"/>
      <c r="B4267" s="6"/>
      <c r="H4267" s="13"/>
    </row>
    <row r="4268">
      <c r="A4268" s="6"/>
      <c r="B4268" s="6"/>
      <c r="H4268" s="13"/>
    </row>
    <row r="4269">
      <c r="A4269" s="6"/>
      <c r="B4269" s="6"/>
      <c r="H4269" s="13"/>
    </row>
    <row r="4270">
      <c r="A4270" s="6"/>
      <c r="B4270" s="6"/>
      <c r="H4270" s="13"/>
    </row>
    <row r="4271">
      <c r="A4271" s="6"/>
      <c r="B4271" s="6"/>
      <c r="H4271" s="13"/>
    </row>
    <row r="4272">
      <c r="A4272" s="6"/>
      <c r="B4272" s="6"/>
      <c r="H4272" s="13"/>
    </row>
    <row r="4273">
      <c r="A4273" s="6"/>
      <c r="B4273" s="6"/>
      <c r="H4273" s="13"/>
    </row>
    <row r="4274">
      <c r="A4274" s="6"/>
      <c r="B4274" s="6"/>
      <c r="H4274" s="13"/>
    </row>
    <row r="4275">
      <c r="A4275" s="6"/>
      <c r="B4275" s="6"/>
      <c r="H4275" s="13"/>
    </row>
    <row r="4276">
      <c r="A4276" s="6"/>
      <c r="B4276" s="6"/>
      <c r="H4276" s="13"/>
    </row>
    <row r="4277">
      <c r="A4277" s="6"/>
      <c r="B4277" s="6"/>
      <c r="H4277" s="13"/>
    </row>
    <row r="4278">
      <c r="A4278" s="6"/>
      <c r="B4278" s="6"/>
      <c r="H4278" s="13"/>
    </row>
    <row r="4279">
      <c r="A4279" s="6"/>
      <c r="B4279" s="6"/>
      <c r="H4279" s="13"/>
    </row>
    <row r="4280">
      <c r="A4280" s="6"/>
      <c r="B4280" s="6"/>
      <c r="H4280" s="13"/>
    </row>
    <row r="4281">
      <c r="A4281" s="6"/>
      <c r="B4281" s="6"/>
      <c r="H4281" s="13"/>
    </row>
    <row r="4282">
      <c r="A4282" s="6"/>
      <c r="B4282" s="6"/>
      <c r="H4282" s="13"/>
    </row>
    <row r="4283">
      <c r="A4283" s="6"/>
      <c r="B4283" s="6"/>
      <c r="H4283" s="13"/>
    </row>
    <row r="4284">
      <c r="A4284" s="6"/>
      <c r="B4284" s="6"/>
      <c r="H4284" s="13"/>
    </row>
    <row r="4285">
      <c r="A4285" s="6"/>
      <c r="B4285" s="6"/>
      <c r="H4285" s="13"/>
    </row>
    <row r="4286">
      <c r="A4286" s="6"/>
      <c r="B4286" s="6"/>
      <c r="H4286" s="13"/>
    </row>
    <row r="4287">
      <c r="A4287" s="6"/>
      <c r="B4287" s="6"/>
      <c r="H4287" s="13"/>
    </row>
    <row r="4288">
      <c r="A4288" s="6"/>
      <c r="B4288" s="6"/>
      <c r="H4288" s="13"/>
    </row>
    <row r="4289">
      <c r="A4289" s="6"/>
      <c r="B4289" s="6"/>
      <c r="H4289" s="13"/>
    </row>
    <row r="4290">
      <c r="A4290" s="6"/>
      <c r="B4290" s="6"/>
      <c r="H4290" s="13"/>
    </row>
    <row r="4291">
      <c r="A4291" s="6"/>
      <c r="B4291" s="6"/>
      <c r="H4291" s="13"/>
    </row>
    <row r="4292">
      <c r="A4292" s="6"/>
      <c r="B4292" s="6"/>
      <c r="H4292" s="13"/>
    </row>
    <row r="4293">
      <c r="A4293" s="6"/>
      <c r="B4293" s="6"/>
      <c r="H4293" s="13"/>
    </row>
    <row r="4294">
      <c r="A4294" s="6"/>
      <c r="B4294" s="6"/>
      <c r="H4294" s="13"/>
    </row>
    <row r="4295">
      <c r="A4295" s="6"/>
      <c r="B4295" s="6"/>
      <c r="H4295" s="13"/>
    </row>
    <row r="4296">
      <c r="A4296" s="6"/>
      <c r="B4296" s="6"/>
      <c r="H4296" s="13"/>
    </row>
    <row r="4297">
      <c r="A4297" s="6"/>
      <c r="B4297" s="6"/>
      <c r="H4297" s="13"/>
    </row>
    <row r="4298">
      <c r="A4298" s="6"/>
      <c r="B4298" s="6"/>
      <c r="H4298" s="13"/>
    </row>
    <row r="4299">
      <c r="A4299" s="6"/>
      <c r="B4299" s="6"/>
      <c r="H4299" s="13"/>
    </row>
    <row r="4300">
      <c r="A4300" s="6"/>
      <c r="B4300" s="6"/>
      <c r="H4300" s="13"/>
    </row>
    <row r="4301">
      <c r="A4301" s="6"/>
      <c r="B4301" s="6"/>
      <c r="H4301" s="13"/>
    </row>
    <row r="4302">
      <c r="A4302" s="6"/>
      <c r="B4302" s="6"/>
      <c r="H4302" s="13"/>
    </row>
    <row r="4303">
      <c r="A4303" s="6"/>
      <c r="B4303" s="6"/>
      <c r="H4303" s="13"/>
    </row>
    <row r="4304">
      <c r="A4304" s="6"/>
      <c r="B4304" s="6"/>
      <c r="H4304" s="13"/>
    </row>
    <row r="4305">
      <c r="A4305" s="6"/>
      <c r="B4305" s="6"/>
      <c r="H4305" s="13"/>
    </row>
    <row r="4306">
      <c r="A4306" s="6"/>
      <c r="B4306" s="6"/>
      <c r="H4306" s="13"/>
    </row>
    <row r="4307">
      <c r="A4307" s="6"/>
      <c r="B4307" s="6"/>
      <c r="H4307" s="13"/>
    </row>
    <row r="4308">
      <c r="A4308" s="6"/>
      <c r="B4308" s="6"/>
      <c r="H4308" s="13"/>
    </row>
    <row r="4309">
      <c r="A4309" s="6"/>
      <c r="B4309" s="6"/>
      <c r="H4309" s="13"/>
    </row>
    <row r="4310">
      <c r="A4310" s="6"/>
      <c r="B4310" s="6"/>
      <c r="H4310" s="13"/>
    </row>
    <row r="4311">
      <c r="A4311" s="6"/>
      <c r="B4311" s="6"/>
      <c r="H4311" s="13"/>
    </row>
    <row r="4312">
      <c r="A4312" s="6"/>
      <c r="B4312" s="6"/>
      <c r="H4312" s="13"/>
    </row>
    <row r="4313">
      <c r="A4313" s="6"/>
      <c r="B4313" s="6"/>
      <c r="H4313" s="13"/>
    </row>
    <row r="4314">
      <c r="A4314" s="6"/>
      <c r="B4314" s="6"/>
      <c r="H4314" s="13"/>
    </row>
    <row r="4315">
      <c r="A4315" s="6"/>
      <c r="B4315" s="6"/>
      <c r="H4315" s="13"/>
    </row>
    <row r="4316">
      <c r="A4316" s="6"/>
      <c r="B4316" s="6"/>
      <c r="H4316" s="13"/>
    </row>
    <row r="4317">
      <c r="A4317" s="6"/>
      <c r="B4317" s="6"/>
      <c r="H4317" s="13"/>
    </row>
    <row r="4318">
      <c r="A4318" s="6"/>
      <c r="B4318" s="6"/>
      <c r="H4318" s="13"/>
    </row>
    <row r="4319">
      <c r="A4319" s="6"/>
      <c r="B4319" s="6"/>
      <c r="H4319" s="13"/>
    </row>
    <row r="4320">
      <c r="A4320" s="6"/>
      <c r="B4320" s="6"/>
      <c r="H4320" s="13"/>
    </row>
    <row r="4321">
      <c r="A4321" s="6"/>
      <c r="B4321" s="6"/>
      <c r="H4321" s="13"/>
    </row>
    <row r="4322">
      <c r="A4322" s="6"/>
      <c r="B4322" s="6"/>
      <c r="H4322" s="13"/>
    </row>
    <row r="4323">
      <c r="A4323" s="6"/>
      <c r="B4323" s="6"/>
      <c r="H4323" s="13"/>
    </row>
    <row r="4324">
      <c r="A4324" s="6"/>
      <c r="B4324" s="6"/>
      <c r="H4324" s="13"/>
    </row>
    <row r="4325">
      <c r="A4325" s="6"/>
      <c r="B4325" s="6"/>
      <c r="H4325" s="13"/>
    </row>
    <row r="4326">
      <c r="A4326" s="6"/>
      <c r="B4326" s="6"/>
      <c r="H4326" s="13"/>
    </row>
    <row r="4327">
      <c r="A4327" s="6"/>
      <c r="B4327" s="6"/>
      <c r="H4327" s="13"/>
    </row>
    <row r="4328">
      <c r="A4328" s="6"/>
      <c r="B4328" s="6"/>
      <c r="H4328" s="13"/>
    </row>
    <row r="4329">
      <c r="A4329" s="6"/>
      <c r="B4329" s="6"/>
      <c r="H4329" s="13"/>
    </row>
    <row r="4330">
      <c r="A4330" s="6"/>
      <c r="B4330" s="6"/>
      <c r="H4330" s="13"/>
    </row>
    <row r="4331">
      <c r="A4331" s="6"/>
      <c r="B4331" s="6"/>
      <c r="H4331" s="13"/>
    </row>
    <row r="4332">
      <c r="A4332" s="6"/>
      <c r="B4332" s="6"/>
      <c r="H4332" s="13"/>
    </row>
    <row r="4333">
      <c r="A4333" s="6"/>
      <c r="B4333" s="6"/>
      <c r="H4333" s="13"/>
    </row>
    <row r="4334">
      <c r="A4334" s="6"/>
      <c r="B4334" s="6"/>
      <c r="H4334" s="13"/>
    </row>
    <row r="4335">
      <c r="A4335" s="6"/>
      <c r="B4335" s="6"/>
      <c r="H4335" s="13"/>
    </row>
    <row r="4336">
      <c r="A4336" s="6"/>
      <c r="B4336" s="6"/>
      <c r="H4336" s="13"/>
    </row>
    <row r="4337">
      <c r="A4337" s="6"/>
      <c r="B4337" s="6"/>
      <c r="H4337" s="13"/>
    </row>
    <row r="4338">
      <c r="A4338" s="6"/>
      <c r="B4338" s="6"/>
      <c r="H4338" s="13"/>
    </row>
    <row r="4339">
      <c r="A4339" s="6"/>
      <c r="B4339" s="6"/>
      <c r="H4339" s="13"/>
    </row>
    <row r="4340">
      <c r="A4340" s="6"/>
      <c r="B4340" s="6"/>
      <c r="H4340" s="13"/>
    </row>
    <row r="4341">
      <c r="A4341" s="6"/>
      <c r="B4341" s="6"/>
      <c r="H4341" s="13"/>
    </row>
    <row r="4342">
      <c r="A4342" s="6"/>
      <c r="B4342" s="6"/>
      <c r="H4342" s="13"/>
    </row>
    <row r="4343">
      <c r="A4343" s="6"/>
      <c r="B4343" s="6"/>
      <c r="H4343" s="13"/>
    </row>
    <row r="4344">
      <c r="A4344" s="6"/>
      <c r="B4344" s="6"/>
      <c r="H4344" s="13"/>
    </row>
    <row r="4345">
      <c r="A4345" s="6"/>
      <c r="B4345" s="6"/>
      <c r="H4345" s="13"/>
    </row>
    <row r="4346">
      <c r="A4346" s="6"/>
      <c r="B4346" s="6"/>
      <c r="H4346" s="13"/>
    </row>
    <row r="4347">
      <c r="A4347" s="6"/>
      <c r="B4347" s="6"/>
      <c r="H4347" s="13"/>
    </row>
    <row r="4348">
      <c r="A4348" s="6"/>
      <c r="B4348" s="6"/>
      <c r="H4348" s="13"/>
    </row>
    <row r="4349">
      <c r="A4349" s="6"/>
      <c r="B4349" s="6"/>
      <c r="H4349" s="13"/>
    </row>
    <row r="4350">
      <c r="A4350" s="6"/>
      <c r="B4350" s="6"/>
      <c r="H4350" s="13"/>
    </row>
    <row r="4351">
      <c r="A4351" s="6"/>
      <c r="B4351" s="6"/>
      <c r="H4351" s="13"/>
    </row>
    <row r="4352">
      <c r="A4352" s="6"/>
      <c r="B4352" s="6"/>
      <c r="H4352" s="13"/>
    </row>
    <row r="4353">
      <c r="A4353" s="6"/>
      <c r="B4353" s="6"/>
      <c r="H4353" s="13"/>
    </row>
    <row r="4354">
      <c r="A4354" s="6"/>
      <c r="B4354" s="6"/>
      <c r="H4354" s="13"/>
    </row>
    <row r="4355">
      <c r="A4355" s="6"/>
      <c r="B4355" s="6"/>
      <c r="H4355" s="13"/>
    </row>
    <row r="4356">
      <c r="A4356" s="6"/>
      <c r="B4356" s="6"/>
      <c r="H4356" s="13"/>
    </row>
    <row r="4357">
      <c r="A4357" s="6"/>
      <c r="B4357" s="6"/>
      <c r="H4357" s="13"/>
    </row>
    <row r="4358">
      <c r="A4358" s="6"/>
      <c r="B4358" s="6"/>
      <c r="H4358" s="13"/>
    </row>
    <row r="4359">
      <c r="A4359" s="6"/>
      <c r="B4359" s="6"/>
      <c r="H4359" s="13"/>
    </row>
    <row r="4360">
      <c r="A4360" s="6"/>
      <c r="B4360" s="6"/>
      <c r="H4360" s="13"/>
    </row>
    <row r="4361">
      <c r="A4361" s="6"/>
      <c r="B4361" s="6"/>
      <c r="H4361" s="13"/>
    </row>
    <row r="4362">
      <c r="A4362" s="6"/>
      <c r="B4362" s="6"/>
      <c r="H4362" s="13"/>
    </row>
    <row r="4363">
      <c r="A4363" s="6"/>
      <c r="B4363" s="6"/>
      <c r="H4363" s="13"/>
    </row>
    <row r="4364">
      <c r="A4364" s="6"/>
      <c r="B4364" s="6"/>
      <c r="H4364" s="13"/>
    </row>
    <row r="4365">
      <c r="A4365" s="6"/>
      <c r="B4365" s="6"/>
      <c r="H4365" s="13"/>
    </row>
    <row r="4366">
      <c r="A4366" s="6"/>
      <c r="B4366" s="6"/>
      <c r="H4366" s="13"/>
    </row>
    <row r="4367">
      <c r="A4367" s="6"/>
      <c r="B4367" s="6"/>
      <c r="H4367" s="13"/>
    </row>
    <row r="4368">
      <c r="A4368" s="6"/>
      <c r="B4368" s="6"/>
      <c r="H4368" s="13"/>
    </row>
    <row r="4369">
      <c r="A4369" s="6"/>
      <c r="B4369" s="6"/>
      <c r="H4369" s="13"/>
    </row>
    <row r="4370">
      <c r="A4370" s="6"/>
      <c r="B4370" s="6"/>
      <c r="H4370" s="13"/>
    </row>
    <row r="4371">
      <c r="A4371" s="6"/>
      <c r="B4371" s="6"/>
      <c r="H4371" s="13"/>
    </row>
    <row r="4372">
      <c r="A4372" s="6"/>
      <c r="B4372" s="6"/>
      <c r="H4372" s="13"/>
    </row>
    <row r="4373">
      <c r="A4373" s="6"/>
      <c r="B4373" s="6"/>
      <c r="H4373" s="13"/>
    </row>
    <row r="4374">
      <c r="A4374" s="6"/>
      <c r="B4374" s="6"/>
      <c r="H4374" s="13"/>
    </row>
    <row r="4375">
      <c r="A4375" s="6"/>
      <c r="B4375" s="6"/>
      <c r="H4375" s="13"/>
    </row>
    <row r="4376">
      <c r="A4376" s="6"/>
      <c r="B4376" s="6"/>
      <c r="H4376" s="13"/>
    </row>
    <row r="4377">
      <c r="A4377" s="6"/>
      <c r="B4377" s="6"/>
      <c r="H4377" s="13"/>
    </row>
    <row r="4378">
      <c r="A4378" s="6"/>
      <c r="B4378" s="6"/>
      <c r="H4378" s="13"/>
    </row>
    <row r="4379">
      <c r="A4379" s="6"/>
      <c r="B4379" s="6"/>
      <c r="H4379" s="13"/>
    </row>
    <row r="4380">
      <c r="A4380" s="6"/>
      <c r="B4380" s="6"/>
      <c r="H4380" s="13"/>
    </row>
    <row r="4381">
      <c r="A4381" s="6"/>
      <c r="B4381" s="6"/>
      <c r="H4381" s="13"/>
    </row>
    <row r="4382">
      <c r="A4382" s="6"/>
      <c r="B4382" s="6"/>
      <c r="H4382" s="13"/>
    </row>
    <row r="4383">
      <c r="A4383" s="6"/>
      <c r="B4383" s="6"/>
      <c r="H4383" s="13"/>
    </row>
    <row r="4384">
      <c r="A4384" s="6"/>
      <c r="B4384" s="6"/>
      <c r="H4384" s="13"/>
    </row>
    <row r="4385">
      <c r="A4385" s="6"/>
      <c r="B4385" s="6"/>
      <c r="H4385" s="13"/>
    </row>
    <row r="4386">
      <c r="A4386" s="6"/>
      <c r="B4386" s="6"/>
      <c r="H4386" s="13"/>
    </row>
    <row r="4387">
      <c r="A4387" s="6"/>
      <c r="B4387" s="6"/>
      <c r="H4387" s="13"/>
    </row>
    <row r="4388">
      <c r="A4388" s="6"/>
      <c r="B4388" s="6"/>
      <c r="H4388" s="13"/>
    </row>
    <row r="4389">
      <c r="A4389" s="6"/>
      <c r="B4389" s="6"/>
      <c r="H4389" s="13"/>
    </row>
    <row r="4390">
      <c r="A4390" s="6"/>
      <c r="B4390" s="6"/>
      <c r="H4390" s="13"/>
    </row>
    <row r="4391">
      <c r="A4391" s="6"/>
      <c r="B4391" s="6"/>
      <c r="H4391" s="13"/>
    </row>
    <row r="4392">
      <c r="A4392" s="6"/>
      <c r="B4392" s="6"/>
      <c r="H4392" s="13"/>
    </row>
    <row r="4393">
      <c r="A4393" s="6"/>
      <c r="B4393" s="6"/>
      <c r="H4393" s="13"/>
    </row>
    <row r="4394">
      <c r="A4394" s="6"/>
      <c r="B4394" s="6"/>
      <c r="H4394" s="13"/>
    </row>
    <row r="4395">
      <c r="A4395" s="6"/>
      <c r="B4395" s="6"/>
      <c r="H4395" s="13"/>
    </row>
    <row r="4396">
      <c r="A4396" s="6"/>
      <c r="B4396" s="6"/>
      <c r="H4396" s="13"/>
    </row>
    <row r="4397">
      <c r="A4397" s="6"/>
      <c r="B4397" s="6"/>
      <c r="H4397" s="13"/>
    </row>
    <row r="4398">
      <c r="A4398" s="6"/>
      <c r="B4398" s="6"/>
      <c r="H4398" s="13"/>
    </row>
    <row r="4399">
      <c r="A4399" s="6"/>
      <c r="B4399" s="6"/>
      <c r="H4399" s="13"/>
    </row>
    <row r="4400">
      <c r="A4400" s="6"/>
      <c r="B4400" s="6"/>
      <c r="H4400" s="13"/>
    </row>
    <row r="4401">
      <c r="A4401" s="6"/>
      <c r="B4401" s="6"/>
      <c r="H4401" s="13"/>
    </row>
    <row r="4402">
      <c r="A4402" s="6"/>
      <c r="B4402" s="6"/>
      <c r="H4402" s="13"/>
    </row>
    <row r="4403">
      <c r="A4403" s="6"/>
      <c r="B4403" s="6"/>
      <c r="H4403" s="13"/>
    </row>
    <row r="4404">
      <c r="A4404" s="6"/>
      <c r="B4404" s="6"/>
      <c r="H4404" s="13"/>
    </row>
    <row r="4405">
      <c r="A4405" s="6"/>
      <c r="B4405" s="6"/>
      <c r="H4405" s="13"/>
    </row>
    <row r="4406">
      <c r="A4406" s="6"/>
      <c r="B4406" s="6"/>
      <c r="H4406" s="13"/>
    </row>
    <row r="4407">
      <c r="A4407" s="6"/>
      <c r="B4407" s="6"/>
      <c r="H4407" s="13"/>
    </row>
    <row r="4408">
      <c r="A4408" s="6"/>
      <c r="B4408" s="6"/>
      <c r="H4408" s="13"/>
    </row>
    <row r="4409">
      <c r="A4409" s="6"/>
      <c r="B4409" s="6"/>
      <c r="H4409" s="13"/>
    </row>
    <row r="4410">
      <c r="A4410" s="6"/>
      <c r="B4410" s="6"/>
      <c r="H4410" s="13"/>
    </row>
    <row r="4411">
      <c r="A4411" s="6"/>
      <c r="B4411" s="6"/>
      <c r="H4411" s="13"/>
    </row>
    <row r="4412">
      <c r="A4412" s="6"/>
      <c r="B4412" s="6"/>
      <c r="H4412" s="13"/>
    </row>
    <row r="4413">
      <c r="A4413" s="6"/>
      <c r="B4413" s="6"/>
      <c r="H4413" s="13"/>
    </row>
    <row r="4414">
      <c r="A4414" s="6"/>
      <c r="B4414" s="6"/>
      <c r="H4414" s="13"/>
    </row>
    <row r="4415">
      <c r="A4415" s="6"/>
      <c r="B4415" s="6"/>
      <c r="H4415" s="13"/>
    </row>
    <row r="4416">
      <c r="A4416" s="6"/>
      <c r="B4416" s="6"/>
      <c r="H4416" s="13"/>
    </row>
    <row r="4417">
      <c r="A4417" s="6"/>
      <c r="B4417" s="6"/>
      <c r="H4417" s="13"/>
    </row>
    <row r="4418">
      <c r="A4418" s="6"/>
      <c r="B4418" s="6"/>
      <c r="H4418" s="13"/>
    </row>
    <row r="4419">
      <c r="A4419" s="6"/>
      <c r="B4419" s="6"/>
      <c r="H4419" s="13"/>
    </row>
    <row r="4420">
      <c r="A4420" s="6"/>
      <c r="B4420" s="6"/>
      <c r="H4420" s="13"/>
    </row>
    <row r="4421">
      <c r="A4421" s="6"/>
      <c r="B4421" s="6"/>
      <c r="H4421" s="13"/>
    </row>
    <row r="4422">
      <c r="A4422" s="6"/>
      <c r="B4422" s="6"/>
      <c r="H4422" s="13"/>
    </row>
    <row r="4423">
      <c r="A4423" s="6"/>
      <c r="B4423" s="6"/>
      <c r="H4423" s="13"/>
    </row>
    <row r="4424">
      <c r="A4424" s="6"/>
      <c r="B4424" s="6"/>
      <c r="H4424" s="13"/>
    </row>
    <row r="4425">
      <c r="A4425" s="6"/>
      <c r="B4425" s="6"/>
      <c r="H4425" s="13"/>
    </row>
    <row r="4426">
      <c r="A4426" s="6"/>
      <c r="B4426" s="6"/>
      <c r="H4426" s="13"/>
    </row>
    <row r="4427">
      <c r="A4427" s="6"/>
      <c r="B4427" s="6"/>
      <c r="H4427" s="13"/>
    </row>
    <row r="4428">
      <c r="A4428" s="6"/>
      <c r="B4428" s="6"/>
      <c r="H4428" s="13"/>
    </row>
    <row r="4429">
      <c r="A4429" s="6"/>
      <c r="B4429" s="6"/>
      <c r="H4429" s="13"/>
    </row>
    <row r="4430">
      <c r="A4430" s="6"/>
      <c r="B4430" s="6"/>
      <c r="H4430" s="13"/>
    </row>
    <row r="4431">
      <c r="A4431" s="6"/>
      <c r="B4431" s="6"/>
      <c r="H4431" s="13"/>
    </row>
    <row r="4432">
      <c r="A4432" s="6"/>
      <c r="B4432" s="6"/>
      <c r="H4432" s="13"/>
    </row>
    <row r="4433">
      <c r="A4433" s="6"/>
      <c r="B4433" s="6"/>
      <c r="H4433" s="13"/>
    </row>
    <row r="4434">
      <c r="A4434" s="6"/>
      <c r="B4434" s="6"/>
      <c r="H4434" s="13"/>
    </row>
    <row r="4435">
      <c r="A4435" s="6"/>
      <c r="B4435" s="6"/>
      <c r="H4435" s="13"/>
    </row>
    <row r="4436">
      <c r="A4436" s="6"/>
      <c r="B4436" s="6"/>
      <c r="H4436" s="13"/>
    </row>
    <row r="4437">
      <c r="A4437" s="6"/>
      <c r="B4437" s="6"/>
      <c r="H4437" s="13"/>
    </row>
    <row r="4438">
      <c r="A4438" s="6"/>
      <c r="B4438" s="6"/>
      <c r="H4438" s="13"/>
    </row>
    <row r="4439">
      <c r="A4439" s="6"/>
      <c r="B4439" s="6"/>
      <c r="H4439" s="13"/>
    </row>
    <row r="4440">
      <c r="A4440" s="6"/>
      <c r="B4440" s="6"/>
      <c r="H4440" s="13"/>
    </row>
    <row r="4441">
      <c r="A4441" s="6"/>
      <c r="B4441" s="6"/>
      <c r="H4441" s="13"/>
    </row>
    <row r="4442">
      <c r="A4442" s="6"/>
      <c r="B4442" s="6"/>
      <c r="H4442" s="13"/>
    </row>
    <row r="4443">
      <c r="A4443" s="6"/>
      <c r="B4443" s="6"/>
      <c r="H4443" s="13"/>
    </row>
    <row r="4444">
      <c r="A4444" s="6"/>
      <c r="B4444" s="6"/>
      <c r="H4444" s="13"/>
    </row>
    <row r="4445">
      <c r="A4445" s="6"/>
      <c r="B4445" s="6"/>
      <c r="H4445" s="13"/>
    </row>
    <row r="4446">
      <c r="A4446" s="6"/>
      <c r="B4446" s="6"/>
      <c r="H4446" s="13"/>
    </row>
    <row r="4447">
      <c r="A4447" s="6"/>
      <c r="B4447" s="6"/>
      <c r="H4447" s="13"/>
    </row>
    <row r="4448">
      <c r="A4448" s="6"/>
      <c r="B4448" s="6"/>
      <c r="H4448" s="13"/>
    </row>
    <row r="4449">
      <c r="A4449" s="6"/>
      <c r="B4449" s="6"/>
      <c r="H4449" s="13"/>
    </row>
    <row r="4450">
      <c r="A4450" s="6"/>
      <c r="B4450" s="6"/>
      <c r="H4450" s="13"/>
    </row>
    <row r="4451">
      <c r="A4451" s="6"/>
      <c r="B4451" s="6"/>
      <c r="H4451" s="13"/>
    </row>
    <row r="4452">
      <c r="A4452" s="6"/>
      <c r="B4452" s="6"/>
      <c r="H4452" s="13"/>
    </row>
    <row r="4453">
      <c r="A4453" s="6"/>
      <c r="B4453" s="6"/>
      <c r="H4453" s="13"/>
    </row>
    <row r="4454">
      <c r="A4454" s="6"/>
      <c r="B4454" s="6"/>
      <c r="H4454" s="13"/>
    </row>
    <row r="4455">
      <c r="A4455" s="6"/>
      <c r="B4455" s="6"/>
      <c r="H4455" s="13"/>
    </row>
    <row r="4456">
      <c r="A4456" s="6"/>
      <c r="B4456" s="6"/>
      <c r="H4456" s="13"/>
    </row>
    <row r="4457">
      <c r="A4457" s="6"/>
      <c r="B4457" s="6"/>
      <c r="H4457" s="13"/>
    </row>
    <row r="4458">
      <c r="A4458" s="6"/>
      <c r="B4458" s="6"/>
      <c r="H4458" s="13"/>
    </row>
    <row r="4459">
      <c r="A4459" s="6"/>
      <c r="B4459" s="6"/>
      <c r="H4459" s="13"/>
    </row>
    <row r="4460">
      <c r="A4460" s="6"/>
      <c r="B4460" s="6"/>
      <c r="H4460" s="13"/>
    </row>
    <row r="4461">
      <c r="A4461" s="6"/>
      <c r="B4461" s="6"/>
      <c r="H4461" s="13"/>
    </row>
    <row r="4462">
      <c r="A4462" s="6"/>
      <c r="B4462" s="6"/>
      <c r="H4462" s="13"/>
    </row>
    <row r="4463">
      <c r="A4463" s="6"/>
      <c r="B4463" s="6"/>
      <c r="H4463" s="13"/>
    </row>
    <row r="4464">
      <c r="A4464" s="6"/>
      <c r="B4464" s="6"/>
      <c r="H4464" s="13"/>
    </row>
    <row r="4465">
      <c r="A4465" s="6"/>
      <c r="B4465" s="6"/>
      <c r="H4465" s="13"/>
    </row>
    <row r="4466">
      <c r="A4466" s="6"/>
      <c r="B4466" s="6"/>
      <c r="H4466" s="13"/>
    </row>
    <row r="4467">
      <c r="A4467" s="6"/>
      <c r="B4467" s="6"/>
      <c r="H4467" s="13"/>
    </row>
    <row r="4468">
      <c r="A4468" s="6"/>
      <c r="B4468" s="6"/>
      <c r="H4468" s="13"/>
    </row>
    <row r="4469">
      <c r="A4469" s="6"/>
      <c r="B4469" s="6"/>
      <c r="H4469" s="13"/>
    </row>
    <row r="4470">
      <c r="A4470" s="6"/>
      <c r="B4470" s="6"/>
      <c r="H4470" s="13"/>
    </row>
    <row r="4471">
      <c r="A4471" s="6"/>
      <c r="B4471" s="6"/>
      <c r="H4471" s="13"/>
    </row>
    <row r="4472">
      <c r="A4472" s="6"/>
      <c r="B4472" s="6"/>
      <c r="H4472" s="13"/>
    </row>
    <row r="4473">
      <c r="A4473" s="6"/>
      <c r="B4473" s="6"/>
      <c r="H4473" s="13"/>
    </row>
    <row r="4474">
      <c r="A4474" s="6"/>
      <c r="B4474" s="6"/>
      <c r="H4474" s="13"/>
    </row>
    <row r="4475">
      <c r="A4475" s="6"/>
      <c r="B4475" s="6"/>
      <c r="H4475" s="13"/>
    </row>
    <row r="4476">
      <c r="A4476" s="6"/>
      <c r="B4476" s="6"/>
      <c r="H4476" s="13"/>
    </row>
    <row r="4477">
      <c r="A4477" s="6"/>
      <c r="B4477" s="6"/>
      <c r="H4477" s="13"/>
    </row>
    <row r="4478">
      <c r="A4478" s="6"/>
      <c r="B4478" s="6"/>
      <c r="H4478" s="13"/>
    </row>
    <row r="4479">
      <c r="A4479" s="6"/>
      <c r="B4479" s="6"/>
      <c r="H4479" s="13"/>
    </row>
    <row r="4480">
      <c r="A4480" s="6"/>
      <c r="B4480" s="6"/>
      <c r="H4480" s="13"/>
    </row>
    <row r="4481">
      <c r="A4481" s="6"/>
      <c r="B4481" s="6"/>
      <c r="H4481" s="13"/>
    </row>
    <row r="4482">
      <c r="A4482" s="6"/>
      <c r="B4482" s="6"/>
      <c r="H4482" s="13"/>
    </row>
    <row r="4483">
      <c r="A4483" s="6"/>
      <c r="B4483" s="6"/>
      <c r="H4483" s="13"/>
    </row>
    <row r="4484">
      <c r="A4484" s="6"/>
      <c r="B4484" s="6"/>
      <c r="H4484" s="13"/>
    </row>
    <row r="4485">
      <c r="A4485" s="6"/>
      <c r="B4485" s="6"/>
      <c r="H4485" s="13"/>
    </row>
    <row r="4486">
      <c r="A4486" s="6"/>
      <c r="B4486" s="6"/>
      <c r="H4486" s="13"/>
    </row>
    <row r="4487">
      <c r="A4487" s="6"/>
      <c r="B4487" s="6"/>
      <c r="H4487" s="13"/>
    </row>
    <row r="4488">
      <c r="A4488" s="6"/>
      <c r="B4488" s="6"/>
      <c r="H4488" s="13"/>
    </row>
    <row r="4489">
      <c r="A4489" s="6"/>
      <c r="B4489" s="6"/>
      <c r="H4489" s="13"/>
    </row>
    <row r="4490">
      <c r="A4490" s="6"/>
      <c r="B4490" s="6"/>
      <c r="H4490" s="13"/>
    </row>
    <row r="4491">
      <c r="A4491" s="6"/>
      <c r="B4491" s="6"/>
      <c r="H4491" s="13"/>
    </row>
    <row r="4492">
      <c r="A4492" s="6"/>
      <c r="B4492" s="6"/>
      <c r="H4492" s="13"/>
    </row>
    <row r="4493">
      <c r="A4493" s="6"/>
      <c r="B4493" s="6"/>
      <c r="H4493" s="13"/>
    </row>
    <row r="4494">
      <c r="A4494" s="6"/>
      <c r="B4494" s="6"/>
      <c r="H4494" s="13"/>
    </row>
    <row r="4495">
      <c r="A4495" s="6"/>
      <c r="B4495" s="6"/>
      <c r="H4495" s="13"/>
    </row>
    <row r="4496">
      <c r="A4496" s="6"/>
      <c r="B4496" s="6"/>
      <c r="H4496" s="13"/>
    </row>
    <row r="4497">
      <c r="A4497" s="6"/>
      <c r="B4497" s="6"/>
      <c r="H4497" s="13"/>
    </row>
    <row r="4498">
      <c r="A4498" s="6"/>
      <c r="B4498" s="6"/>
      <c r="H4498" s="13"/>
    </row>
    <row r="4499">
      <c r="A4499" s="6"/>
      <c r="B4499" s="6"/>
      <c r="H4499" s="13"/>
    </row>
    <row r="4500">
      <c r="A4500" s="6"/>
      <c r="B4500" s="6"/>
      <c r="H4500" s="13"/>
    </row>
    <row r="4501">
      <c r="A4501" s="6"/>
      <c r="B4501" s="6"/>
      <c r="H4501" s="13"/>
    </row>
    <row r="4502">
      <c r="A4502" s="6"/>
      <c r="B4502" s="6"/>
      <c r="H4502" s="13"/>
    </row>
    <row r="4503">
      <c r="A4503" s="6"/>
      <c r="B4503" s="6"/>
      <c r="H4503" s="13"/>
    </row>
    <row r="4504">
      <c r="A4504" s="6"/>
      <c r="B4504" s="6"/>
      <c r="H4504" s="13"/>
    </row>
    <row r="4505">
      <c r="A4505" s="6"/>
      <c r="B4505" s="6"/>
      <c r="H4505" s="13"/>
    </row>
    <row r="4506">
      <c r="A4506" s="6"/>
      <c r="B4506" s="6"/>
      <c r="H4506" s="13"/>
    </row>
    <row r="4507">
      <c r="A4507" s="6"/>
      <c r="B4507" s="6"/>
      <c r="H4507" s="13"/>
    </row>
    <row r="4508">
      <c r="A4508" s="6"/>
      <c r="B4508" s="6"/>
      <c r="H4508" s="13"/>
    </row>
    <row r="4509">
      <c r="A4509" s="6"/>
      <c r="B4509" s="6"/>
      <c r="H4509" s="13"/>
    </row>
    <row r="4510">
      <c r="A4510" s="6"/>
      <c r="B4510" s="6"/>
      <c r="H4510" s="13"/>
    </row>
    <row r="4511">
      <c r="A4511" s="6"/>
      <c r="B4511" s="6"/>
      <c r="H4511" s="13"/>
    </row>
    <row r="4512">
      <c r="A4512" s="6"/>
      <c r="B4512" s="6"/>
      <c r="H4512" s="13"/>
    </row>
    <row r="4513">
      <c r="A4513" s="6"/>
      <c r="B4513" s="6"/>
      <c r="H4513" s="13"/>
    </row>
    <row r="4514">
      <c r="A4514" s="6"/>
      <c r="B4514" s="6"/>
      <c r="H4514" s="13"/>
    </row>
    <row r="4515">
      <c r="A4515" s="6"/>
      <c r="B4515" s="6"/>
      <c r="H4515" s="13"/>
    </row>
    <row r="4516">
      <c r="A4516" s="6"/>
      <c r="B4516" s="6"/>
      <c r="H4516" s="13"/>
    </row>
    <row r="4517">
      <c r="A4517" s="6"/>
      <c r="B4517" s="6"/>
      <c r="H4517" s="13"/>
    </row>
    <row r="4518">
      <c r="A4518" s="6"/>
      <c r="B4518" s="6"/>
      <c r="H4518" s="13"/>
    </row>
    <row r="4519">
      <c r="A4519" s="6"/>
      <c r="B4519" s="6"/>
      <c r="H4519" s="13"/>
    </row>
    <row r="4520">
      <c r="A4520" s="6"/>
      <c r="B4520" s="6"/>
      <c r="H4520" s="13"/>
    </row>
    <row r="4521">
      <c r="A4521" s="6"/>
      <c r="B4521" s="6"/>
      <c r="H4521" s="13"/>
    </row>
    <row r="4522">
      <c r="A4522" s="6"/>
      <c r="B4522" s="6"/>
      <c r="H4522" s="13"/>
    </row>
    <row r="4523">
      <c r="A4523" s="6"/>
      <c r="B4523" s="6"/>
      <c r="H4523" s="13"/>
    </row>
    <row r="4524">
      <c r="A4524" s="6"/>
      <c r="B4524" s="6"/>
      <c r="H4524" s="13"/>
    </row>
    <row r="4525">
      <c r="A4525" s="6"/>
      <c r="B4525" s="6"/>
      <c r="H4525" s="13"/>
    </row>
    <row r="4526">
      <c r="A4526" s="6"/>
      <c r="B4526" s="6"/>
      <c r="H4526" s="13"/>
    </row>
    <row r="4527">
      <c r="A4527" s="6"/>
      <c r="B4527" s="6"/>
      <c r="H4527" s="13"/>
    </row>
    <row r="4528">
      <c r="A4528" s="6"/>
      <c r="B4528" s="6"/>
      <c r="H4528" s="13"/>
    </row>
    <row r="4529">
      <c r="A4529" s="6"/>
      <c r="B4529" s="6"/>
      <c r="H4529" s="13"/>
    </row>
    <row r="4530">
      <c r="A4530" s="6"/>
      <c r="B4530" s="6"/>
      <c r="H4530" s="13"/>
    </row>
    <row r="4531">
      <c r="A4531" s="6"/>
      <c r="B4531" s="6"/>
      <c r="H4531" s="13"/>
    </row>
    <row r="4532">
      <c r="A4532" s="6"/>
      <c r="B4532" s="6"/>
      <c r="H4532" s="13"/>
    </row>
    <row r="4533">
      <c r="A4533" s="6"/>
      <c r="B4533" s="6"/>
      <c r="H4533" s="13"/>
    </row>
    <row r="4534">
      <c r="A4534" s="6"/>
      <c r="B4534" s="6"/>
      <c r="H4534" s="13"/>
    </row>
    <row r="4535">
      <c r="A4535" s="6"/>
      <c r="B4535" s="6"/>
      <c r="H4535" s="13"/>
    </row>
    <row r="4536">
      <c r="A4536" s="6"/>
      <c r="B4536" s="6"/>
      <c r="H4536" s="13"/>
    </row>
    <row r="4537">
      <c r="A4537" s="6"/>
      <c r="B4537" s="6"/>
      <c r="H4537" s="13"/>
    </row>
    <row r="4538">
      <c r="A4538" s="6"/>
      <c r="B4538" s="6"/>
      <c r="H4538" s="13"/>
    </row>
    <row r="4539">
      <c r="A4539" s="6"/>
      <c r="B4539" s="6"/>
      <c r="H4539" s="13"/>
    </row>
    <row r="4540">
      <c r="A4540" s="6"/>
      <c r="B4540" s="6"/>
      <c r="H4540" s="13"/>
    </row>
    <row r="4541">
      <c r="A4541" s="6"/>
      <c r="B4541" s="6"/>
      <c r="H4541" s="13"/>
    </row>
    <row r="4542">
      <c r="A4542" s="6"/>
      <c r="B4542" s="6"/>
      <c r="H4542" s="13"/>
    </row>
    <row r="4543">
      <c r="A4543" s="6"/>
      <c r="B4543" s="6"/>
      <c r="H4543" s="13"/>
    </row>
    <row r="4544">
      <c r="A4544" s="6"/>
      <c r="B4544" s="6"/>
      <c r="H4544" s="13"/>
    </row>
    <row r="4545">
      <c r="A4545" s="6"/>
      <c r="B4545" s="6"/>
      <c r="H4545" s="13"/>
    </row>
    <row r="4546">
      <c r="A4546" s="6"/>
      <c r="B4546" s="6"/>
      <c r="H4546" s="13"/>
    </row>
    <row r="4547">
      <c r="A4547" s="6"/>
      <c r="B4547" s="6"/>
      <c r="H4547" s="13"/>
    </row>
    <row r="4548">
      <c r="A4548" s="6"/>
      <c r="B4548" s="6"/>
      <c r="H4548" s="13"/>
    </row>
    <row r="4549">
      <c r="A4549" s="6"/>
      <c r="B4549" s="6"/>
      <c r="H4549" s="13"/>
    </row>
    <row r="4550">
      <c r="A4550" s="6"/>
      <c r="B4550" s="6"/>
      <c r="H4550" s="13"/>
    </row>
    <row r="4551">
      <c r="A4551" s="6"/>
      <c r="B4551" s="6"/>
      <c r="H4551" s="13"/>
    </row>
    <row r="4552">
      <c r="A4552" s="6"/>
      <c r="B4552" s="6"/>
      <c r="H4552" s="13"/>
    </row>
    <row r="4553">
      <c r="A4553" s="6"/>
      <c r="B4553" s="6"/>
      <c r="H4553" s="13"/>
    </row>
    <row r="4554">
      <c r="A4554" s="6"/>
      <c r="B4554" s="6"/>
      <c r="H4554" s="13"/>
    </row>
    <row r="4555">
      <c r="A4555" s="6"/>
      <c r="B4555" s="6"/>
      <c r="H4555" s="13"/>
    </row>
    <row r="4556">
      <c r="A4556" s="6"/>
      <c r="B4556" s="6"/>
      <c r="H4556" s="13"/>
    </row>
    <row r="4557">
      <c r="A4557" s="6"/>
      <c r="B4557" s="6"/>
      <c r="H4557" s="13"/>
    </row>
    <row r="4558">
      <c r="A4558" s="6"/>
      <c r="B4558" s="6"/>
      <c r="H4558" s="13"/>
    </row>
    <row r="4559">
      <c r="A4559" s="6"/>
      <c r="B4559" s="6"/>
      <c r="H4559" s="13"/>
    </row>
    <row r="4560">
      <c r="A4560" s="6"/>
      <c r="B4560" s="6"/>
      <c r="H4560" s="13"/>
    </row>
    <row r="4561">
      <c r="A4561" s="6"/>
      <c r="B4561" s="6"/>
      <c r="H4561" s="13"/>
    </row>
    <row r="4562">
      <c r="A4562" s="6"/>
      <c r="B4562" s="6"/>
      <c r="H4562" s="13"/>
    </row>
    <row r="4563">
      <c r="A4563" s="6"/>
      <c r="B4563" s="6"/>
      <c r="H4563" s="13"/>
    </row>
    <row r="4564">
      <c r="A4564" s="6"/>
      <c r="B4564" s="6"/>
      <c r="H4564" s="13"/>
    </row>
    <row r="4565">
      <c r="A4565" s="6"/>
      <c r="B4565" s="6"/>
      <c r="H4565" s="13"/>
    </row>
    <row r="4566">
      <c r="A4566" s="6"/>
      <c r="B4566" s="6"/>
      <c r="H4566" s="13"/>
    </row>
    <row r="4567">
      <c r="A4567" s="6"/>
      <c r="B4567" s="6"/>
      <c r="H4567" s="13"/>
    </row>
    <row r="4568">
      <c r="A4568" s="6"/>
      <c r="B4568" s="6"/>
      <c r="H4568" s="13"/>
    </row>
    <row r="4569">
      <c r="A4569" s="6"/>
      <c r="B4569" s="6"/>
      <c r="H4569" s="13"/>
    </row>
    <row r="4570">
      <c r="A4570" s="6"/>
      <c r="B4570" s="6"/>
      <c r="H4570" s="13"/>
    </row>
    <row r="4571">
      <c r="A4571" s="6"/>
      <c r="B4571" s="6"/>
      <c r="H4571" s="13"/>
    </row>
    <row r="4572">
      <c r="A4572" s="6"/>
      <c r="B4572" s="6"/>
      <c r="H4572" s="13"/>
    </row>
    <row r="4573">
      <c r="A4573" s="6"/>
      <c r="B4573" s="6"/>
      <c r="H4573" s="13"/>
    </row>
    <row r="4574">
      <c r="A4574" s="6"/>
      <c r="B4574" s="6"/>
      <c r="H4574" s="13"/>
    </row>
    <row r="4575">
      <c r="A4575" s="6"/>
      <c r="B4575" s="6"/>
      <c r="H4575" s="13"/>
    </row>
    <row r="4576">
      <c r="A4576" s="6"/>
      <c r="B4576" s="6"/>
      <c r="H4576" s="13"/>
    </row>
    <row r="4577">
      <c r="A4577" s="6"/>
      <c r="B4577" s="6"/>
      <c r="H4577" s="13"/>
    </row>
    <row r="4578">
      <c r="A4578" s="6"/>
      <c r="B4578" s="6"/>
      <c r="H4578" s="13"/>
    </row>
    <row r="4579">
      <c r="A4579" s="6"/>
      <c r="B4579" s="6"/>
      <c r="H4579" s="13"/>
    </row>
    <row r="4580">
      <c r="A4580" s="6"/>
      <c r="B4580" s="6"/>
      <c r="H4580" s="13"/>
    </row>
    <row r="4581">
      <c r="A4581" s="6"/>
      <c r="B4581" s="6"/>
      <c r="H4581" s="13"/>
    </row>
    <row r="4582">
      <c r="A4582" s="6"/>
      <c r="B4582" s="6"/>
      <c r="H4582" s="13"/>
    </row>
    <row r="4583">
      <c r="A4583" s="6"/>
      <c r="B4583" s="6"/>
      <c r="H4583" s="13"/>
    </row>
    <row r="4584">
      <c r="A4584" s="6"/>
      <c r="B4584" s="6"/>
      <c r="H4584" s="13"/>
    </row>
    <row r="4585">
      <c r="A4585" s="6"/>
      <c r="B4585" s="6"/>
      <c r="H4585" s="13"/>
    </row>
    <row r="4586">
      <c r="A4586" s="6"/>
      <c r="B4586" s="6"/>
      <c r="H4586" s="13"/>
    </row>
    <row r="4587">
      <c r="A4587" s="6"/>
      <c r="B4587" s="6"/>
      <c r="H4587" s="13"/>
    </row>
    <row r="4588">
      <c r="A4588" s="6"/>
      <c r="B4588" s="6"/>
      <c r="H4588" s="13"/>
    </row>
    <row r="4589">
      <c r="A4589" s="6"/>
      <c r="B4589" s="6"/>
      <c r="H4589" s="13"/>
    </row>
    <row r="4590">
      <c r="A4590" s="6"/>
      <c r="B4590" s="6"/>
      <c r="H4590" s="13"/>
    </row>
    <row r="4591">
      <c r="A4591" s="6"/>
      <c r="B4591" s="6"/>
      <c r="H4591" s="13"/>
    </row>
    <row r="4592">
      <c r="A4592" s="6"/>
      <c r="B4592" s="6"/>
      <c r="H4592" s="13"/>
    </row>
    <row r="4593">
      <c r="A4593" s="6"/>
      <c r="B4593" s="6"/>
      <c r="H4593" s="13"/>
    </row>
    <row r="4594">
      <c r="A4594" s="6"/>
      <c r="B4594" s="6"/>
      <c r="H4594" s="13"/>
    </row>
    <row r="4595">
      <c r="A4595" s="6"/>
      <c r="B4595" s="6"/>
      <c r="H4595" s="13"/>
    </row>
    <row r="4596">
      <c r="A4596" s="6"/>
      <c r="B4596" s="6"/>
      <c r="H4596" s="13"/>
    </row>
    <row r="4597">
      <c r="A4597" s="6"/>
      <c r="B4597" s="6"/>
      <c r="H4597" s="13"/>
    </row>
    <row r="4598">
      <c r="A4598" s="6"/>
      <c r="B4598" s="6"/>
      <c r="H4598" s="13"/>
    </row>
    <row r="4599">
      <c r="A4599" s="6"/>
      <c r="B4599" s="6"/>
      <c r="H4599" s="13"/>
    </row>
    <row r="4600">
      <c r="A4600" s="6"/>
      <c r="B4600" s="6"/>
      <c r="H4600" s="13"/>
    </row>
    <row r="4601">
      <c r="A4601" s="6"/>
      <c r="B4601" s="6"/>
      <c r="H4601" s="13"/>
    </row>
    <row r="4602">
      <c r="A4602" s="6"/>
      <c r="B4602" s="6"/>
      <c r="H4602" s="13"/>
    </row>
    <row r="4603">
      <c r="A4603" s="6"/>
      <c r="B4603" s="6"/>
      <c r="H4603" s="13"/>
    </row>
    <row r="4604">
      <c r="A4604" s="6"/>
      <c r="B4604" s="6"/>
      <c r="H4604" s="13"/>
    </row>
    <row r="4605">
      <c r="A4605" s="6"/>
      <c r="B4605" s="6"/>
      <c r="H4605" s="13"/>
    </row>
    <row r="4606">
      <c r="A4606" s="6"/>
      <c r="B4606" s="6"/>
      <c r="H4606" s="13"/>
    </row>
    <row r="4607">
      <c r="A4607" s="6"/>
      <c r="B4607" s="6"/>
      <c r="H4607" s="13"/>
    </row>
    <row r="4608">
      <c r="A4608" s="6"/>
      <c r="B4608" s="6"/>
      <c r="H4608" s="13"/>
    </row>
    <row r="4609">
      <c r="A4609" s="6"/>
      <c r="B4609" s="6"/>
      <c r="H4609" s="13"/>
    </row>
    <row r="4610">
      <c r="A4610" s="6"/>
      <c r="B4610" s="6"/>
      <c r="H4610" s="13"/>
    </row>
    <row r="4611">
      <c r="A4611" s="6"/>
      <c r="B4611" s="6"/>
      <c r="H4611" s="13"/>
    </row>
    <row r="4612">
      <c r="A4612" s="6"/>
      <c r="B4612" s="6"/>
      <c r="H4612" s="13"/>
    </row>
    <row r="4613">
      <c r="A4613" s="6"/>
      <c r="B4613" s="6"/>
      <c r="H4613" s="13"/>
    </row>
    <row r="4614">
      <c r="A4614" s="6"/>
      <c r="B4614" s="6"/>
      <c r="H4614" s="13"/>
    </row>
    <row r="4615">
      <c r="A4615" s="6"/>
      <c r="B4615" s="6"/>
      <c r="H4615" s="13"/>
    </row>
    <row r="4616">
      <c r="A4616" s="6"/>
      <c r="B4616" s="6"/>
      <c r="H4616" s="13"/>
    </row>
    <row r="4617">
      <c r="A4617" s="6"/>
      <c r="B4617" s="6"/>
      <c r="H4617" s="13"/>
    </row>
    <row r="4618">
      <c r="A4618" s="6"/>
      <c r="B4618" s="6"/>
      <c r="H4618" s="13"/>
    </row>
    <row r="4619">
      <c r="A4619" s="6"/>
      <c r="B4619" s="6"/>
      <c r="H4619" s="13"/>
    </row>
    <row r="4620">
      <c r="A4620" s="6"/>
      <c r="B4620" s="6"/>
      <c r="H4620" s="13"/>
    </row>
    <row r="4621">
      <c r="A4621" s="6"/>
      <c r="B4621" s="6"/>
      <c r="H4621" s="13"/>
    </row>
    <row r="4622">
      <c r="A4622" s="6"/>
      <c r="B4622" s="6"/>
      <c r="H4622" s="13"/>
    </row>
    <row r="4623">
      <c r="A4623" s="6"/>
      <c r="B4623" s="6"/>
      <c r="H4623" s="13"/>
    </row>
    <row r="4624">
      <c r="A4624" s="6"/>
      <c r="B4624" s="6"/>
      <c r="H4624" s="13"/>
    </row>
    <row r="4625">
      <c r="A4625" s="6"/>
      <c r="B4625" s="6"/>
      <c r="H4625" s="13"/>
    </row>
    <row r="4626">
      <c r="A4626" s="6"/>
      <c r="B4626" s="6"/>
      <c r="H4626" s="13"/>
    </row>
    <row r="4627">
      <c r="A4627" s="6"/>
      <c r="B4627" s="6"/>
      <c r="H4627" s="13"/>
    </row>
    <row r="4628">
      <c r="A4628" s="6"/>
      <c r="B4628" s="6"/>
      <c r="H4628" s="13"/>
    </row>
    <row r="4629">
      <c r="A4629" s="6"/>
      <c r="B4629" s="6"/>
      <c r="H4629" s="13"/>
    </row>
    <row r="4630">
      <c r="A4630" s="6"/>
      <c r="B4630" s="6"/>
      <c r="H4630" s="13"/>
    </row>
    <row r="4631">
      <c r="A4631" s="6"/>
      <c r="B4631" s="6"/>
      <c r="H4631" s="13"/>
    </row>
    <row r="4632">
      <c r="A4632" s="6"/>
      <c r="B4632" s="6"/>
      <c r="H4632" s="13"/>
    </row>
    <row r="4633">
      <c r="A4633" s="6"/>
      <c r="B4633" s="6"/>
      <c r="H4633" s="13"/>
    </row>
    <row r="4634">
      <c r="A4634" s="6"/>
      <c r="B4634" s="6"/>
      <c r="H4634" s="13"/>
    </row>
    <row r="4635">
      <c r="A4635" s="6"/>
      <c r="B4635" s="6"/>
      <c r="H4635" s="13"/>
    </row>
    <row r="4636">
      <c r="A4636" s="6"/>
      <c r="B4636" s="6"/>
      <c r="H4636" s="13"/>
    </row>
    <row r="4637">
      <c r="A4637" s="6"/>
      <c r="B4637" s="6"/>
      <c r="H4637" s="13"/>
    </row>
    <row r="4638">
      <c r="A4638" s="6"/>
      <c r="B4638" s="6"/>
      <c r="H4638" s="13"/>
    </row>
    <row r="4639">
      <c r="A4639" s="6"/>
      <c r="B4639" s="6"/>
      <c r="H4639" s="13"/>
    </row>
    <row r="4640">
      <c r="A4640" s="6"/>
      <c r="B4640" s="6"/>
      <c r="H4640" s="13"/>
    </row>
    <row r="4641">
      <c r="A4641" s="6"/>
      <c r="B4641" s="6"/>
      <c r="H4641" s="13"/>
    </row>
    <row r="4642">
      <c r="A4642" s="6"/>
      <c r="B4642" s="6"/>
      <c r="H4642" s="13"/>
    </row>
    <row r="4643">
      <c r="A4643" s="6"/>
      <c r="B4643" s="6"/>
      <c r="H4643" s="13"/>
    </row>
    <row r="4644">
      <c r="A4644" s="6"/>
      <c r="B4644" s="6"/>
      <c r="H4644" s="13"/>
    </row>
    <row r="4645">
      <c r="A4645" s="6"/>
      <c r="B4645" s="6"/>
      <c r="H4645" s="13"/>
    </row>
    <row r="4646">
      <c r="A4646" s="6"/>
      <c r="B4646" s="6"/>
      <c r="H4646" s="13"/>
    </row>
    <row r="4647">
      <c r="A4647" s="6"/>
      <c r="B4647" s="6"/>
      <c r="H4647" s="13"/>
    </row>
    <row r="4648">
      <c r="A4648" s="6"/>
      <c r="B4648" s="6"/>
      <c r="H4648" s="13"/>
    </row>
    <row r="4649">
      <c r="A4649" s="6"/>
      <c r="B4649" s="6"/>
      <c r="H4649" s="13"/>
    </row>
    <row r="4650">
      <c r="A4650" s="6"/>
      <c r="B4650" s="6"/>
      <c r="H4650" s="13"/>
    </row>
    <row r="4651">
      <c r="A4651" s="6"/>
      <c r="B4651" s="6"/>
      <c r="H4651" s="13"/>
    </row>
    <row r="4652">
      <c r="A4652" s="6"/>
      <c r="B4652" s="6"/>
      <c r="H4652" s="13"/>
    </row>
    <row r="4653">
      <c r="A4653" s="6"/>
      <c r="B4653" s="6"/>
      <c r="H4653" s="13"/>
    </row>
    <row r="4654">
      <c r="A4654" s="6"/>
      <c r="B4654" s="6"/>
      <c r="H4654" s="13"/>
    </row>
    <row r="4655">
      <c r="A4655" s="6"/>
      <c r="B4655" s="6"/>
      <c r="H4655" s="13"/>
    </row>
    <row r="4656">
      <c r="A4656" s="6"/>
      <c r="B4656" s="6"/>
      <c r="H4656" s="13"/>
    </row>
    <row r="4657">
      <c r="A4657" s="6"/>
      <c r="B4657" s="6"/>
      <c r="H4657" s="13"/>
    </row>
    <row r="4658">
      <c r="A4658" s="6"/>
      <c r="B4658" s="6"/>
      <c r="H4658" s="13"/>
    </row>
    <row r="4659">
      <c r="A4659" s="6"/>
      <c r="B4659" s="6"/>
      <c r="H4659" s="13"/>
    </row>
    <row r="4660">
      <c r="A4660" s="6"/>
      <c r="B4660" s="6"/>
      <c r="H4660" s="13"/>
    </row>
    <row r="4661">
      <c r="A4661" s="6"/>
      <c r="B4661" s="6"/>
      <c r="H4661" s="13"/>
    </row>
    <row r="4662">
      <c r="A4662" s="6"/>
      <c r="B4662" s="6"/>
      <c r="H4662" s="13"/>
    </row>
    <row r="4663">
      <c r="A4663" s="6"/>
      <c r="B4663" s="6"/>
      <c r="H4663" s="13"/>
    </row>
    <row r="4664">
      <c r="A4664" s="6"/>
      <c r="B4664" s="6"/>
      <c r="H4664" s="13"/>
    </row>
    <row r="4665">
      <c r="A4665" s="6"/>
      <c r="B4665" s="6"/>
      <c r="H4665" s="13"/>
    </row>
    <row r="4666">
      <c r="A4666" s="6"/>
      <c r="B4666" s="6"/>
      <c r="H4666" s="13"/>
    </row>
    <row r="4667">
      <c r="A4667" s="6"/>
      <c r="B4667" s="6"/>
      <c r="H4667" s="13"/>
    </row>
    <row r="4668">
      <c r="A4668" s="6"/>
      <c r="B4668" s="6"/>
      <c r="H4668" s="13"/>
    </row>
    <row r="4669">
      <c r="A4669" s="6"/>
      <c r="B4669" s="6"/>
      <c r="H4669" s="13"/>
    </row>
    <row r="4670">
      <c r="A4670" s="6"/>
      <c r="B4670" s="6"/>
      <c r="H4670" s="13"/>
    </row>
    <row r="4671">
      <c r="A4671" s="6"/>
      <c r="B4671" s="6"/>
      <c r="H4671" s="13"/>
    </row>
    <row r="4672">
      <c r="A4672" s="6"/>
      <c r="B4672" s="6"/>
      <c r="H4672" s="13"/>
    </row>
    <row r="4673">
      <c r="A4673" s="6"/>
      <c r="B4673" s="6"/>
      <c r="H4673" s="13"/>
    </row>
    <row r="4674">
      <c r="A4674" s="6"/>
      <c r="B4674" s="6"/>
      <c r="H4674" s="13"/>
    </row>
    <row r="4675">
      <c r="A4675" s="6"/>
      <c r="B4675" s="6"/>
      <c r="H4675" s="13"/>
    </row>
    <row r="4676">
      <c r="A4676" s="6"/>
      <c r="B4676" s="6"/>
      <c r="H4676" s="13"/>
    </row>
    <row r="4677">
      <c r="A4677" s="6"/>
      <c r="B4677" s="6"/>
      <c r="H4677" s="13"/>
    </row>
    <row r="4678">
      <c r="A4678" s="6"/>
      <c r="B4678" s="6"/>
      <c r="H4678" s="13"/>
    </row>
    <row r="4679">
      <c r="A4679" s="6"/>
      <c r="B4679" s="6"/>
      <c r="H4679" s="13"/>
    </row>
    <row r="4680">
      <c r="A4680" s="6"/>
      <c r="B4680" s="6"/>
      <c r="H4680" s="13"/>
    </row>
    <row r="4681">
      <c r="A4681" s="6"/>
      <c r="B4681" s="6"/>
      <c r="H4681" s="13"/>
    </row>
    <row r="4682">
      <c r="A4682" s="6"/>
      <c r="B4682" s="6"/>
      <c r="H4682" s="13"/>
    </row>
    <row r="4683">
      <c r="A4683" s="6"/>
      <c r="B4683" s="6"/>
      <c r="H4683" s="13"/>
    </row>
    <row r="4684">
      <c r="A4684" s="6"/>
      <c r="B4684" s="6"/>
      <c r="H4684" s="13"/>
    </row>
    <row r="4685">
      <c r="A4685" s="6"/>
      <c r="B4685" s="6"/>
      <c r="H4685" s="13"/>
    </row>
    <row r="4686">
      <c r="A4686" s="6"/>
      <c r="B4686" s="6"/>
      <c r="H4686" s="13"/>
    </row>
    <row r="4687">
      <c r="A4687" s="6"/>
      <c r="B4687" s="6"/>
      <c r="H4687" s="13"/>
    </row>
    <row r="4688">
      <c r="A4688" s="6"/>
      <c r="B4688" s="6"/>
      <c r="H4688" s="13"/>
    </row>
    <row r="4689">
      <c r="A4689" s="6"/>
      <c r="B4689" s="6"/>
      <c r="H4689" s="13"/>
    </row>
    <row r="4690">
      <c r="A4690" s="6"/>
      <c r="B4690" s="6"/>
      <c r="H4690" s="13"/>
    </row>
    <row r="4691">
      <c r="A4691" s="6"/>
      <c r="B4691" s="6"/>
      <c r="H4691" s="13"/>
    </row>
    <row r="4692">
      <c r="A4692" s="6"/>
      <c r="B4692" s="6"/>
      <c r="H4692" s="13"/>
    </row>
    <row r="4693">
      <c r="A4693" s="6"/>
      <c r="B4693" s="6"/>
      <c r="H4693" s="13"/>
    </row>
    <row r="4694">
      <c r="A4694" s="6"/>
      <c r="B4694" s="6"/>
      <c r="H4694" s="13"/>
    </row>
    <row r="4695">
      <c r="A4695" s="6"/>
      <c r="B4695" s="6"/>
      <c r="H4695" s="13"/>
    </row>
    <row r="4696">
      <c r="A4696" s="6"/>
      <c r="B4696" s="6"/>
      <c r="H4696" s="13"/>
    </row>
    <row r="4697">
      <c r="A4697" s="6"/>
      <c r="B4697" s="6"/>
      <c r="H4697" s="13"/>
    </row>
    <row r="4698">
      <c r="A4698" s="6"/>
      <c r="B4698" s="6"/>
      <c r="H4698" s="13"/>
    </row>
    <row r="4699">
      <c r="A4699" s="6"/>
      <c r="B4699" s="6"/>
      <c r="H4699" s="13"/>
    </row>
    <row r="4700">
      <c r="A4700" s="6"/>
      <c r="B4700" s="6"/>
      <c r="H4700" s="13"/>
    </row>
    <row r="4701">
      <c r="A4701" s="6"/>
      <c r="B4701" s="6"/>
      <c r="H4701" s="13"/>
    </row>
    <row r="4702">
      <c r="A4702" s="6"/>
      <c r="B4702" s="6"/>
      <c r="H4702" s="13"/>
    </row>
    <row r="4703">
      <c r="A4703" s="6"/>
      <c r="B4703" s="6"/>
      <c r="H4703" s="13"/>
    </row>
    <row r="4704">
      <c r="A4704" s="6"/>
      <c r="B4704" s="6"/>
      <c r="H4704" s="13"/>
    </row>
    <row r="4705">
      <c r="A4705" s="6"/>
      <c r="B4705" s="6"/>
      <c r="H4705" s="13"/>
    </row>
    <row r="4706">
      <c r="A4706" s="6"/>
      <c r="B4706" s="6"/>
      <c r="H4706" s="13"/>
    </row>
    <row r="4707">
      <c r="A4707" s="6"/>
      <c r="B4707" s="6"/>
      <c r="H4707" s="13"/>
    </row>
    <row r="4708">
      <c r="A4708" s="6"/>
      <c r="B4708" s="6"/>
      <c r="H4708" s="13"/>
    </row>
    <row r="4709">
      <c r="A4709" s="6"/>
      <c r="B4709" s="6"/>
      <c r="H4709" s="13"/>
    </row>
    <row r="4710">
      <c r="A4710" s="6"/>
      <c r="B4710" s="6"/>
      <c r="H4710" s="13"/>
    </row>
    <row r="4711">
      <c r="A4711" s="6"/>
      <c r="B4711" s="6"/>
      <c r="H4711" s="13"/>
    </row>
    <row r="4712">
      <c r="A4712" s="6"/>
      <c r="B4712" s="6"/>
      <c r="H4712" s="13"/>
    </row>
    <row r="4713">
      <c r="A4713" s="6"/>
      <c r="B4713" s="6"/>
      <c r="H4713" s="13"/>
    </row>
    <row r="4714">
      <c r="A4714" s="6"/>
      <c r="B4714" s="6"/>
      <c r="H4714" s="13"/>
    </row>
    <row r="4715">
      <c r="A4715" s="6"/>
      <c r="B4715" s="6"/>
      <c r="H4715" s="13"/>
    </row>
    <row r="4716">
      <c r="A4716" s="6"/>
      <c r="B4716" s="6"/>
      <c r="H4716" s="13"/>
    </row>
    <row r="4717">
      <c r="A4717" s="6"/>
      <c r="B4717" s="6"/>
      <c r="H4717" s="13"/>
    </row>
    <row r="4718">
      <c r="A4718" s="6"/>
      <c r="B4718" s="6"/>
      <c r="H4718" s="13"/>
    </row>
    <row r="4719">
      <c r="A4719" s="6"/>
      <c r="B4719" s="6"/>
      <c r="H4719" s="13"/>
    </row>
    <row r="4720">
      <c r="A4720" s="6"/>
      <c r="B4720" s="6"/>
      <c r="H4720" s="13"/>
    </row>
    <row r="4721">
      <c r="A4721" s="6"/>
      <c r="B4721" s="6"/>
      <c r="H4721" s="13"/>
    </row>
    <row r="4722">
      <c r="A4722" s="6"/>
      <c r="B4722" s="6"/>
      <c r="H4722" s="13"/>
    </row>
    <row r="4723">
      <c r="A4723" s="6"/>
      <c r="B4723" s="6"/>
      <c r="H4723" s="13"/>
    </row>
    <row r="4724">
      <c r="A4724" s="6"/>
      <c r="B4724" s="6"/>
      <c r="H4724" s="13"/>
    </row>
    <row r="4725">
      <c r="A4725" s="6"/>
      <c r="B4725" s="6"/>
      <c r="H4725" s="13"/>
    </row>
    <row r="4726">
      <c r="A4726" s="6"/>
      <c r="B4726" s="6"/>
      <c r="H4726" s="13"/>
    </row>
    <row r="4727">
      <c r="A4727" s="6"/>
      <c r="B4727" s="6"/>
      <c r="H4727" s="13"/>
    </row>
    <row r="4728">
      <c r="A4728" s="6"/>
      <c r="B4728" s="6"/>
      <c r="H4728" s="13"/>
    </row>
    <row r="4729">
      <c r="A4729" s="6"/>
      <c r="B4729" s="6"/>
      <c r="H4729" s="13"/>
    </row>
    <row r="4730">
      <c r="A4730" s="6"/>
      <c r="B4730" s="6"/>
      <c r="H4730" s="13"/>
    </row>
    <row r="4731">
      <c r="A4731" s="6"/>
      <c r="B4731" s="6"/>
      <c r="H4731" s="13"/>
    </row>
    <row r="4732">
      <c r="A4732" s="6"/>
      <c r="B4732" s="6"/>
      <c r="H4732" s="13"/>
    </row>
    <row r="4733">
      <c r="A4733" s="6"/>
      <c r="B4733" s="6"/>
      <c r="H4733" s="13"/>
    </row>
    <row r="4734">
      <c r="A4734" s="6"/>
      <c r="B4734" s="6"/>
      <c r="H4734" s="13"/>
    </row>
    <row r="4735">
      <c r="A4735" s="6"/>
      <c r="B4735" s="6"/>
      <c r="H4735" s="13"/>
    </row>
    <row r="4736">
      <c r="A4736" s="6"/>
      <c r="B4736" s="6"/>
      <c r="H4736" s="13"/>
    </row>
    <row r="4737">
      <c r="A4737" s="6"/>
      <c r="B4737" s="6"/>
      <c r="H4737" s="13"/>
    </row>
    <row r="4738">
      <c r="A4738" s="6"/>
      <c r="B4738" s="6"/>
      <c r="H4738" s="13"/>
    </row>
    <row r="4739">
      <c r="A4739" s="6"/>
      <c r="B4739" s="6"/>
      <c r="H4739" s="13"/>
    </row>
    <row r="4740">
      <c r="A4740" s="6"/>
      <c r="B4740" s="6"/>
      <c r="H4740" s="13"/>
    </row>
    <row r="4741">
      <c r="A4741" s="6"/>
      <c r="B4741" s="6"/>
      <c r="H4741" s="13"/>
    </row>
    <row r="4742">
      <c r="A4742" s="6"/>
      <c r="B4742" s="6"/>
      <c r="H4742" s="13"/>
    </row>
    <row r="4743">
      <c r="A4743" s="6"/>
      <c r="B4743" s="6"/>
      <c r="H4743" s="13"/>
    </row>
    <row r="4744">
      <c r="A4744" s="6"/>
      <c r="B4744" s="6"/>
      <c r="H4744" s="13"/>
    </row>
    <row r="4745">
      <c r="A4745" s="6"/>
      <c r="B4745" s="6"/>
      <c r="H4745" s="13"/>
    </row>
    <row r="4746">
      <c r="A4746" s="6"/>
      <c r="B4746" s="6"/>
      <c r="H4746" s="13"/>
    </row>
    <row r="4747">
      <c r="A4747" s="6"/>
      <c r="B4747" s="6"/>
      <c r="H4747" s="13"/>
    </row>
    <row r="4748">
      <c r="A4748" s="6"/>
      <c r="B4748" s="6"/>
      <c r="H4748" s="13"/>
    </row>
    <row r="4749">
      <c r="A4749" s="6"/>
      <c r="B4749" s="6"/>
      <c r="H4749" s="13"/>
    </row>
    <row r="4750">
      <c r="A4750" s="6"/>
      <c r="B4750" s="6"/>
      <c r="H4750" s="13"/>
    </row>
    <row r="4751">
      <c r="A4751" s="6"/>
      <c r="B4751" s="6"/>
      <c r="H4751" s="13"/>
    </row>
    <row r="4752">
      <c r="A4752" s="6"/>
      <c r="B4752" s="6"/>
      <c r="H4752" s="13"/>
    </row>
    <row r="4753">
      <c r="A4753" s="6"/>
      <c r="B4753" s="6"/>
      <c r="H4753" s="13"/>
    </row>
    <row r="4754">
      <c r="A4754" s="6"/>
      <c r="B4754" s="6"/>
      <c r="H4754" s="13"/>
    </row>
    <row r="4755">
      <c r="A4755" s="6"/>
      <c r="B4755" s="6"/>
      <c r="H4755" s="13"/>
    </row>
    <row r="4756">
      <c r="A4756" s="6"/>
      <c r="B4756" s="6"/>
      <c r="H4756" s="13"/>
    </row>
    <row r="4757">
      <c r="A4757" s="6"/>
      <c r="B4757" s="6"/>
      <c r="H4757" s="13"/>
    </row>
    <row r="4758">
      <c r="A4758" s="6"/>
      <c r="B4758" s="6"/>
      <c r="H4758" s="13"/>
    </row>
    <row r="4759">
      <c r="A4759" s="6"/>
      <c r="B4759" s="6"/>
      <c r="H4759" s="13"/>
    </row>
    <row r="4760">
      <c r="A4760" s="6"/>
      <c r="B4760" s="6"/>
      <c r="H4760" s="13"/>
    </row>
    <row r="4761">
      <c r="A4761" s="6"/>
      <c r="B4761" s="6"/>
      <c r="H4761" s="13"/>
    </row>
    <row r="4762">
      <c r="A4762" s="6"/>
      <c r="B4762" s="6"/>
      <c r="H4762" s="13"/>
    </row>
    <row r="4763">
      <c r="A4763" s="6"/>
      <c r="B4763" s="6"/>
      <c r="H4763" s="13"/>
    </row>
    <row r="4764">
      <c r="A4764" s="6"/>
      <c r="B4764" s="6"/>
      <c r="H4764" s="13"/>
    </row>
    <row r="4765">
      <c r="A4765" s="6"/>
      <c r="B4765" s="6"/>
      <c r="H4765" s="13"/>
    </row>
    <row r="4766">
      <c r="A4766" s="6"/>
      <c r="B4766" s="6"/>
      <c r="H4766" s="13"/>
    </row>
    <row r="4767">
      <c r="A4767" s="6"/>
      <c r="B4767" s="6"/>
      <c r="H4767" s="13"/>
    </row>
    <row r="4768">
      <c r="A4768" s="6"/>
      <c r="B4768" s="6"/>
      <c r="H4768" s="13"/>
    </row>
    <row r="4769">
      <c r="A4769" s="6"/>
      <c r="B4769" s="6"/>
      <c r="H4769" s="13"/>
    </row>
    <row r="4770">
      <c r="A4770" s="6"/>
      <c r="B4770" s="6"/>
      <c r="H4770" s="13"/>
    </row>
    <row r="4771">
      <c r="A4771" s="6"/>
      <c r="B4771" s="6"/>
      <c r="H4771" s="13"/>
    </row>
    <row r="4772">
      <c r="A4772" s="6"/>
      <c r="B4772" s="6"/>
      <c r="H4772" s="13"/>
    </row>
    <row r="4773">
      <c r="A4773" s="6"/>
      <c r="B4773" s="6"/>
      <c r="H4773" s="13"/>
    </row>
    <row r="4774">
      <c r="A4774" s="6"/>
      <c r="B4774" s="6"/>
      <c r="H4774" s="13"/>
    </row>
    <row r="4775">
      <c r="A4775" s="6"/>
      <c r="B4775" s="6"/>
      <c r="H4775" s="13"/>
    </row>
    <row r="4776">
      <c r="A4776" s="6"/>
      <c r="B4776" s="6"/>
      <c r="H4776" s="13"/>
    </row>
    <row r="4777">
      <c r="A4777" s="6"/>
      <c r="B4777" s="6"/>
      <c r="H4777" s="13"/>
    </row>
    <row r="4778">
      <c r="A4778" s="6"/>
      <c r="B4778" s="6"/>
      <c r="H4778" s="13"/>
    </row>
    <row r="4779">
      <c r="A4779" s="6"/>
      <c r="B4779" s="6"/>
      <c r="H4779" s="13"/>
    </row>
    <row r="4780">
      <c r="A4780" s="6"/>
      <c r="B4780" s="6"/>
      <c r="H4780" s="13"/>
    </row>
    <row r="4781">
      <c r="A4781" s="6"/>
      <c r="B4781" s="6"/>
      <c r="H4781" s="13"/>
    </row>
    <row r="4782">
      <c r="A4782" s="6"/>
      <c r="B4782" s="6"/>
      <c r="H4782" s="13"/>
    </row>
    <row r="4783">
      <c r="A4783" s="6"/>
      <c r="B4783" s="6"/>
      <c r="H4783" s="13"/>
    </row>
    <row r="4784">
      <c r="A4784" s="6"/>
      <c r="B4784" s="6"/>
      <c r="H4784" s="13"/>
    </row>
    <row r="4785">
      <c r="A4785" s="6"/>
      <c r="B4785" s="6"/>
      <c r="H4785" s="13"/>
    </row>
    <row r="4786">
      <c r="A4786" s="6"/>
      <c r="B4786" s="6"/>
      <c r="H4786" s="13"/>
    </row>
    <row r="4787">
      <c r="A4787" s="6"/>
      <c r="B4787" s="6"/>
      <c r="H4787" s="13"/>
    </row>
    <row r="4788">
      <c r="A4788" s="6"/>
      <c r="B4788" s="6"/>
      <c r="H4788" s="13"/>
    </row>
    <row r="4789">
      <c r="A4789" s="6"/>
      <c r="B4789" s="6"/>
      <c r="H4789" s="13"/>
    </row>
    <row r="4790">
      <c r="A4790" s="6"/>
      <c r="B4790" s="6"/>
      <c r="H4790" s="13"/>
    </row>
    <row r="4791">
      <c r="A4791" s="6"/>
      <c r="B4791" s="6"/>
      <c r="H4791" s="13"/>
    </row>
    <row r="4792">
      <c r="A4792" s="6"/>
      <c r="B4792" s="6"/>
      <c r="H4792" s="13"/>
    </row>
    <row r="4793">
      <c r="A4793" s="6"/>
      <c r="B4793" s="6"/>
      <c r="H4793" s="13"/>
    </row>
    <row r="4794">
      <c r="A4794" s="6"/>
      <c r="B4794" s="6"/>
      <c r="H4794" s="13"/>
    </row>
    <row r="4795">
      <c r="A4795" s="6"/>
      <c r="B4795" s="6"/>
      <c r="H4795" s="13"/>
    </row>
    <row r="4796">
      <c r="A4796" s="6"/>
      <c r="B4796" s="6"/>
      <c r="H4796" s="13"/>
    </row>
    <row r="4797">
      <c r="A4797" s="6"/>
      <c r="B4797" s="6"/>
      <c r="H4797" s="13"/>
    </row>
    <row r="4798">
      <c r="A4798" s="6"/>
      <c r="B4798" s="6"/>
      <c r="H4798" s="13"/>
    </row>
    <row r="4799">
      <c r="A4799" s="6"/>
      <c r="B4799" s="6"/>
      <c r="H4799" s="13"/>
    </row>
    <row r="4800">
      <c r="A4800" s="6"/>
      <c r="B4800" s="6"/>
      <c r="H4800" s="13"/>
    </row>
    <row r="4801">
      <c r="A4801" s="6"/>
      <c r="B4801" s="6"/>
      <c r="H4801" s="13"/>
    </row>
    <row r="4802">
      <c r="A4802" s="6"/>
      <c r="B4802" s="6"/>
      <c r="H4802" s="13"/>
    </row>
    <row r="4803">
      <c r="A4803" s="6"/>
      <c r="B4803" s="6"/>
      <c r="H4803" s="13"/>
    </row>
    <row r="4804">
      <c r="A4804" s="6"/>
      <c r="B4804" s="6"/>
      <c r="H4804" s="13"/>
    </row>
    <row r="4805">
      <c r="A4805" s="6"/>
      <c r="B4805" s="6"/>
      <c r="H4805" s="13"/>
    </row>
    <row r="4806">
      <c r="A4806" s="6"/>
      <c r="B4806" s="6"/>
      <c r="H4806" s="13"/>
    </row>
    <row r="4807">
      <c r="A4807" s="6"/>
      <c r="B4807" s="6"/>
      <c r="H4807" s="13"/>
    </row>
    <row r="4808">
      <c r="A4808" s="6"/>
      <c r="B4808" s="6"/>
      <c r="H4808" s="13"/>
    </row>
    <row r="4809">
      <c r="A4809" s="6"/>
      <c r="B4809" s="6"/>
      <c r="H4809" s="13"/>
    </row>
    <row r="4810">
      <c r="A4810" s="6"/>
      <c r="B4810" s="6"/>
      <c r="H4810" s="13"/>
    </row>
    <row r="4811">
      <c r="A4811" s="6"/>
      <c r="B4811" s="6"/>
      <c r="H4811" s="13"/>
    </row>
    <row r="4812">
      <c r="A4812" s="6"/>
      <c r="B4812" s="6"/>
      <c r="H4812" s="13"/>
    </row>
    <row r="4813">
      <c r="A4813" s="6"/>
      <c r="B4813" s="6"/>
      <c r="H4813" s="13"/>
    </row>
    <row r="4814">
      <c r="A4814" s="6"/>
      <c r="B4814" s="6"/>
      <c r="H4814" s="13"/>
    </row>
    <row r="4815">
      <c r="A4815" s="6"/>
      <c r="B4815" s="6"/>
      <c r="H4815" s="13"/>
    </row>
    <row r="4816">
      <c r="A4816" s="6"/>
      <c r="B4816" s="6"/>
      <c r="H4816" s="13"/>
    </row>
    <row r="4817">
      <c r="A4817" s="6"/>
      <c r="B4817" s="6"/>
      <c r="H4817" s="13"/>
    </row>
    <row r="4818">
      <c r="A4818" s="6"/>
      <c r="B4818" s="6"/>
      <c r="H4818" s="13"/>
    </row>
    <row r="4819">
      <c r="A4819" s="6"/>
      <c r="B4819" s="6"/>
      <c r="H4819" s="13"/>
    </row>
    <row r="4820">
      <c r="A4820" s="6"/>
      <c r="B4820" s="6"/>
      <c r="H4820" s="13"/>
    </row>
    <row r="4821">
      <c r="A4821" s="6"/>
      <c r="B4821" s="6"/>
      <c r="H4821" s="13"/>
    </row>
    <row r="4822">
      <c r="A4822" s="6"/>
      <c r="B4822" s="6"/>
      <c r="H4822" s="13"/>
    </row>
    <row r="4823">
      <c r="A4823" s="6"/>
      <c r="B4823" s="6"/>
      <c r="H4823" s="13"/>
    </row>
    <row r="4824">
      <c r="A4824" s="6"/>
      <c r="B4824" s="6"/>
      <c r="H4824" s="13"/>
    </row>
    <row r="4825">
      <c r="A4825" s="6"/>
      <c r="B4825" s="6"/>
      <c r="H4825" s="13"/>
    </row>
    <row r="4826">
      <c r="A4826" s="6"/>
      <c r="B4826" s="6"/>
      <c r="H4826" s="13"/>
    </row>
    <row r="4827">
      <c r="A4827" s="6"/>
      <c r="B4827" s="6"/>
      <c r="H4827" s="13"/>
    </row>
    <row r="4828">
      <c r="A4828" s="6"/>
      <c r="B4828" s="6"/>
      <c r="H4828" s="13"/>
    </row>
    <row r="4829">
      <c r="A4829" s="6"/>
      <c r="B4829" s="6"/>
      <c r="H4829" s="13"/>
    </row>
    <row r="4830">
      <c r="A4830" s="6"/>
      <c r="B4830" s="6"/>
      <c r="H4830" s="13"/>
    </row>
    <row r="4831">
      <c r="A4831" s="6"/>
      <c r="B4831" s="6"/>
      <c r="H4831" s="13"/>
    </row>
    <row r="4832">
      <c r="A4832" s="6"/>
      <c r="B4832" s="6"/>
      <c r="H4832" s="13"/>
    </row>
    <row r="4833">
      <c r="A4833" s="6"/>
      <c r="B4833" s="6"/>
      <c r="H4833" s="13"/>
    </row>
    <row r="4834">
      <c r="A4834" s="6"/>
      <c r="B4834" s="6"/>
      <c r="H4834" s="13"/>
    </row>
    <row r="4835">
      <c r="A4835" s="6"/>
      <c r="B4835" s="6"/>
      <c r="H4835" s="13"/>
    </row>
    <row r="4836">
      <c r="A4836" s="6"/>
      <c r="B4836" s="6"/>
      <c r="H4836" s="13"/>
    </row>
    <row r="4837">
      <c r="A4837" s="6"/>
      <c r="B4837" s="6"/>
      <c r="H4837" s="13"/>
    </row>
    <row r="4838">
      <c r="A4838" s="6"/>
      <c r="B4838" s="6"/>
      <c r="H4838" s="13"/>
    </row>
    <row r="4839">
      <c r="A4839" s="6"/>
      <c r="B4839" s="6"/>
      <c r="H4839" s="13"/>
    </row>
    <row r="4840">
      <c r="A4840" s="6"/>
      <c r="B4840" s="6"/>
      <c r="H4840" s="13"/>
    </row>
    <row r="4841">
      <c r="A4841" s="6"/>
      <c r="B4841" s="6"/>
      <c r="H4841" s="13"/>
    </row>
    <row r="4842">
      <c r="A4842" s="6"/>
      <c r="B4842" s="6"/>
      <c r="H4842" s="13"/>
    </row>
    <row r="4843">
      <c r="A4843" s="6"/>
      <c r="B4843" s="6"/>
      <c r="H4843" s="13"/>
    </row>
    <row r="4844">
      <c r="A4844" s="6"/>
      <c r="B4844" s="6"/>
      <c r="H4844" s="13"/>
    </row>
    <row r="4845">
      <c r="A4845" s="6"/>
      <c r="B4845" s="6"/>
      <c r="H4845" s="13"/>
    </row>
    <row r="4846">
      <c r="A4846" s="6"/>
      <c r="B4846" s="6"/>
      <c r="H4846" s="13"/>
    </row>
    <row r="4847">
      <c r="A4847" s="6"/>
      <c r="B4847" s="6"/>
      <c r="H4847" s="13"/>
    </row>
    <row r="4848">
      <c r="A4848" s="6"/>
      <c r="B4848" s="6"/>
      <c r="H4848" s="13"/>
    </row>
    <row r="4849">
      <c r="A4849" s="6"/>
      <c r="B4849" s="6"/>
      <c r="H4849" s="13"/>
    </row>
    <row r="4850">
      <c r="A4850" s="6"/>
      <c r="B4850" s="6"/>
      <c r="H4850" s="13"/>
    </row>
    <row r="4851">
      <c r="A4851" s="6"/>
      <c r="B4851" s="6"/>
      <c r="H4851" s="13"/>
    </row>
    <row r="4852">
      <c r="A4852" s="6"/>
      <c r="B4852" s="6"/>
      <c r="H4852" s="13"/>
    </row>
    <row r="4853">
      <c r="A4853" s="6"/>
      <c r="B4853" s="6"/>
      <c r="H4853" s="13"/>
    </row>
    <row r="4854">
      <c r="A4854" s="6"/>
      <c r="B4854" s="6"/>
      <c r="H4854" s="13"/>
    </row>
    <row r="4855">
      <c r="A4855" s="6"/>
      <c r="B4855" s="6"/>
      <c r="H4855" s="13"/>
    </row>
    <row r="4856">
      <c r="A4856" s="6"/>
      <c r="B4856" s="6"/>
      <c r="H4856" s="13"/>
    </row>
    <row r="4857">
      <c r="A4857" s="6"/>
      <c r="B4857" s="6"/>
      <c r="H4857" s="13"/>
    </row>
    <row r="4858">
      <c r="A4858" s="6"/>
      <c r="B4858" s="6"/>
      <c r="H4858" s="13"/>
    </row>
    <row r="4859">
      <c r="A4859" s="6"/>
      <c r="B4859" s="6"/>
      <c r="H4859" s="13"/>
    </row>
    <row r="4860">
      <c r="A4860" s="6"/>
      <c r="B4860" s="6"/>
      <c r="H4860" s="13"/>
    </row>
    <row r="4861">
      <c r="A4861" s="6"/>
      <c r="B4861" s="6"/>
      <c r="H4861" s="13"/>
    </row>
    <row r="4862">
      <c r="A4862" s="6"/>
      <c r="B4862" s="6"/>
      <c r="H4862" s="13"/>
    </row>
    <row r="4863">
      <c r="A4863" s="6"/>
      <c r="B4863" s="6"/>
      <c r="H4863" s="13"/>
    </row>
    <row r="4864">
      <c r="A4864" s="6"/>
      <c r="B4864" s="6"/>
      <c r="H4864" s="13"/>
    </row>
    <row r="4865">
      <c r="A4865" s="6"/>
      <c r="B4865" s="6"/>
      <c r="H4865" s="13"/>
    </row>
    <row r="4866">
      <c r="A4866" s="6"/>
      <c r="B4866" s="6"/>
      <c r="H4866" s="13"/>
    </row>
    <row r="4867">
      <c r="A4867" s="6"/>
      <c r="B4867" s="6"/>
      <c r="H4867" s="13"/>
    </row>
    <row r="4868">
      <c r="A4868" s="6"/>
      <c r="B4868" s="6"/>
      <c r="H4868" s="13"/>
    </row>
    <row r="4869">
      <c r="A4869" s="6"/>
      <c r="B4869" s="6"/>
      <c r="H4869" s="13"/>
    </row>
    <row r="4870">
      <c r="A4870" s="6"/>
      <c r="B4870" s="6"/>
      <c r="H4870" s="13"/>
    </row>
    <row r="4871">
      <c r="A4871" s="6"/>
      <c r="B4871" s="6"/>
      <c r="H4871" s="13"/>
    </row>
    <row r="4872">
      <c r="A4872" s="6"/>
      <c r="B4872" s="6"/>
      <c r="H4872" s="13"/>
    </row>
    <row r="4873">
      <c r="A4873" s="6"/>
      <c r="B4873" s="6"/>
      <c r="H4873" s="13"/>
    </row>
    <row r="4874">
      <c r="A4874" s="6"/>
      <c r="B4874" s="6"/>
      <c r="H4874" s="13"/>
    </row>
    <row r="4875">
      <c r="A4875" s="6"/>
      <c r="B4875" s="6"/>
      <c r="H4875" s="13"/>
    </row>
    <row r="4876">
      <c r="A4876" s="6"/>
      <c r="B4876" s="6"/>
      <c r="H4876" s="13"/>
    </row>
    <row r="4877">
      <c r="A4877" s="6"/>
      <c r="B4877" s="6"/>
      <c r="H4877" s="13"/>
    </row>
    <row r="4878">
      <c r="A4878" s="6"/>
      <c r="B4878" s="6"/>
      <c r="H4878" s="13"/>
    </row>
    <row r="4879">
      <c r="A4879" s="6"/>
      <c r="B4879" s="6"/>
      <c r="H4879" s="13"/>
    </row>
    <row r="4880">
      <c r="A4880" s="6"/>
      <c r="B4880" s="6"/>
      <c r="H4880" s="13"/>
    </row>
    <row r="4881">
      <c r="A4881" s="6"/>
      <c r="B4881" s="6"/>
      <c r="H4881" s="13"/>
    </row>
    <row r="4882">
      <c r="A4882" s="6"/>
      <c r="B4882" s="6"/>
      <c r="H4882" s="13"/>
    </row>
    <row r="4883">
      <c r="A4883" s="6"/>
      <c r="B4883" s="6"/>
      <c r="H4883" s="13"/>
    </row>
    <row r="4884">
      <c r="A4884" s="6"/>
      <c r="B4884" s="6"/>
      <c r="H4884" s="13"/>
    </row>
    <row r="4885">
      <c r="A4885" s="6"/>
      <c r="B4885" s="6"/>
      <c r="H4885" s="13"/>
    </row>
    <row r="4886">
      <c r="A4886" s="6"/>
      <c r="B4886" s="6"/>
      <c r="H4886" s="13"/>
    </row>
    <row r="4887">
      <c r="A4887" s="6"/>
      <c r="B4887" s="6"/>
      <c r="H4887" s="13"/>
    </row>
    <row r="4888">
      <c r="A4888" s="6"/>
      <c r="B4888" s="6"/>
      <c r="H4888" s="13"/>
    </row>
    <row r="4889">
      <c r="A4889" s="6"/>
      <c r="B4889" s="6"/>
      <c r="H4889" s="13"/>
    </row>
    <row r="4890">
      <c r="A4890" s="6"/>
      <c r="B4890" s="6"/>
      <c r="H4890" s="13"/>
    </row>
    <row r="4891">
      <c r="A4891" s="6"/>
      <c r="B4891" s="6"/>
      <c r="H4891" s="13"/>
    </row>
    <row r="4892">
      <c r="A4892" s="6"/>
      <c r="B4892" s="6"/>
      <c r="H4892" s="13"/>
    </row>
    <row r="4893">
      <c r="A4893" s="6"/>
      <c r="B4893" s="6"/>
      <c r="H4893" s="13"/>
    </row>
    <row r="4894">
      <c r="A4894" s="6"/>
      <c r="B4894" s="6"/>
      <c r="H4894" s="13"/>
    </row>
    <row r="4895">
      <c r="A4895" s="6"/>
      <c r="B4895" s="6"/>
      <c r="H4895" s="13"/>
    </row>
    <row r="4896">
      <c r="A4896" s="6"/>
      <c r="B4896" s="6"/>
      <c r="H4896" s="13"/>
    </row>
    <row r="4897">
      <c r="A4897" s="6"/>
      <c r="B4897" s="6"/>
      <c r="H4897" s="13"/>
    </row>
    <row r="4898">
      <c r="A4898" s="6"/>
      <c r="B4898" s="6"/>
      <c r="H4898" s="13"/>
    </row>
    <row r="4899">
      <c r="A4899" s="6"/>
      <c r="B4899" s="6"/>
      <c r="H4899" s="13"/>
    </row>
    <row r="4900">
      <c r="A4900" s="6"/>
      <c r="B4900" s="6"/>
      <c r="H4900" s="13"/>
    </row>
    <row r="4901">
      <c r="A4901" s="6"/>
      <c r="B4901" s="6"/>
      <c r="H4901" s="13"/>
    </row>
    <row r="4902">
      <c r="A4902" s="6"/>
      <c r="B4902" s="6"/>
      <c r="H4902" s="13"/>
    </row>
    <row r="4903">
      <c r="A4903" s="6"/>
      <c r="B4903" s="6"/>
      <c r="H4903" s="13"/>
    </row>
    <row r="4904">
      <c r="A4904" s="6"/>
      <c r="B4904" s="6"/>
      <c r="H4904" s="13"/>
    </row>
    <row r="4905">
      <c r="A4905" s="6"/>
      <c r="B4905" s="6"/>
      <c r="H4905" s="13"/>
    </row>
    <row r="4906">
      <c r="A4906" s="6"/>
      <c r="B4906" s="6"/>
      <c r="H4906" s="13"/>
    </row>
    <row r="4907">
      <c r="A4907" s="6"/>
      <c r="B4907" s="6"/>
      <c r="H4907" s="13"/>
    </row>
    <row r="4908">
      <c r="A4908" s="6"/>
      <c r="B4908" s="6"/>
      <c r="H4908" s="13"/>
    </row>
    <row r="4909">
      <c r="A4909" s="6"/>
      <c r="B4909" s="6"/>
      <c r="H4909" s="13"/>
    </row>
    <row r="4910">
      <c r="A4910" s="6"/>
      <c r="B4910" s="6"/>
      <c r="H4910" s="13"/>
    </row>
    <row r="4911">
      <c r="A4911" s="6"/>
      <c r="B4911" s="6"/>
      <c r="H4911" s="13"/>
    </row>
    <row r="4912">
      <c r="A4912" s="6"/>
      <c r="B4912" s="6"/>
      <c r="H4912" s="13"/>
    </row>
    <row r="4913">
      <c r="A4913" s="6"/>
      <c r="B4913" s="6"/>
      <c r="H4913" s="13"/>
    </row>
    <row r="4914">
      <c r="A4914" s="6"/>
      <c r="B4914" s="6"/>
      <c r="H4914" s="13"/>
    </row>
    <row r="4915">
      <c r="A4915" s="6"/>
      <c r="B4915" s="6"/>
      <c r="H4915" s="13"/>
    </row>
    <row r="4916">
      <c r="A4916" s="6"/>
      <c r="B4916" s="6"/>
      <c r="H4916" s="13"/>
    </row>
    <row r="4917">
      <c r="A4917" s="6"/>
      <c r="B4917" s="6"/>
      <c r="H4917" s="13"/>
    </row>
    <row r="4918">
      <c r="A4918" s="6"/>
      <c r="B4918" s="6"/>
      <c r="H4918" s="13"/>
    </row>
    <row r="4919">
      <c r="A4919" s="6"/>
      <c r="B4919" s="6"/>
      <c r="H4919" s="13"/>
    </row>
    <row r="4920">
      <c r="A4920" s="6"/>
      <c r="B4920" s="6"/>
      <c r="H4920" s="13"/>
    </row>
    <row r="4921">
      <c r="A4921" s="6"/>
      <c r="B4921" s="6"/>
      <c r="H4921" s="13"/>
    </row>
    <row r="4922">
      <c r="A4922" s="6"/>
      <c r="B4922" s="6"/>
      <c r="H4922" s="13"/>
    </row>
    <row r="4923">
      <c r="A4923" s="6"/>
      <c r="B4923" s="6"/>
      <c r="H4923" s="13"/>
    </row>
    <row r="4924">
      <c r="A4924" s="6"/>
      <c r="B4924" s="6"/>
      <c r="H4924" s="13"/>
    </row>
    <row r="4925">
      <c r="A4925" s="6"/>
      <c r="B4925" s="6"/>
      <c r="H4925" s="13"/>
    </row>
    <row r="4926">
      <c r="A4926" s="6"/>
      <c r="B4926" s="6"/>
      <c r="H4926" s="13"/>
    </row>
    <row r="4927">
      <c r="A4927" s="6"/>
      <c r="B4927" s="6"/>
      <c r="H4927" s="13"/>
    </row>
    <row r="4928">
      <c r="A4928" s="6"/>
      <c r="B4928" s="6"/>
      <c r="H4928" s="13"/>
    </row>
    <row r="4929">
      <c r="A4929" s="6"/>
      <c r="B4929" s="6"/>
      <c r="H4929" s="13"/>
    </row>
    <row r="4930">
      <c r="A4930" s="6"/>
      <c r="B4930" s="6"/>
      <c r="H4930" s="13"/>
    </row>
    <row r="4931">
      <c r="A4931" s="6"/>
      <c r="B4931" s="6"/>
      <c r="H4931" s="13"/>
    </row>
    <row r="4932">
      <c r="A4932" s="6"/>
      <c r="B4932" s="6"/>
      <c r="H4932" s="13"/>
    </row>
    <row r="4933">
      <c r="A4933" s="6"/>
      <c r="B4933" s="6"/>
      <c r="H4933" s="13"/>
    </row>
    <row r="4934">
      <c r="A4934" s="6"/>
      <c r="B4934" s="6"/>
      <c r="H4934" s="13"/>
    </row>
    <row r="4935">
      <c r="A4935" s="6"/>
      <c r="B4935" s="6"/>
      <c r="H4935" s="13"/>
    </row>
    <row r="4936">
      <c r="A4936" s="6"/>
      <c r="B4936" s="6"/>
      <c r="H4936" s="13"/>
    </row>
    <row r="4937">
      <c r="A4937" s="6"/>
      <c r="B4937" s="6"/>
      <c r="H4937" s="13"/>
    </row>
    <row r="4938">
      <c r="A4938" s="6"/>
      <c r="B4938" s="6"/>
      <c r="H4938" s="13"/>
    </row>
    <row r="4939">
      <c r="A4939" s="6"/>
      <c r="B4939" s="6"/>
      <c r="H4939" s="13"/>
    </row>
    <row r="4940">
      <c r="A4940" s="6"/>
      <c r="B4940" s="6"/>
      <c r="H4940" s="13"/>
    </row>
    <row r="4941">
      <c r="A4941" s="6"/>
      <c r="B4941" s="6"/>
      <c r="H4941" s="13"/>
    </row>
    <row r="4942">
      <c r="A4942" s="6"/>
      <c r="B4942" s="6"/>
      <c r="H4942" s="13"/>
    </row>
    <row r="4943">
      <c r="A4943" s="6"/>
      <c r="B4943" s="6"/>
      <c r="H4943" s="13"/>
    </row>
    <row r="4944">
      <c r="A4944" s="6"/>
      <c r="B4944" s="6"/>
      <c r="H4944" s="13"/>
    </row>
    <row r="4945">
      <c r="A4945" s="6"/>
      <c r="B4945" s="6"/>
      <c r="H4945" s="13"/>
    </row>
    <row r="4946">
      <c r="A4946" s="6"/>
      <c r="B4946" s="6"/>
      <c r="H4946" s="13"/>
    </row>
    <row r="4947">
      <c r="A4947" s="6"/>
      <c r="B4947" s="6"/>
      <c r="H4947" s="13"/>
    </row>
    <row r="4948">
      <c r="A4948" s="6"/>
      <c r="B4948" s="6"/>
      <c r="H4948" s="13"/>
    </row>
    <row r="4949">
      <c r="A4949" s="6"/>
      <c r="B4949" s="6"/>
      <c r="H4949" s="13"/>
    </row>
    <row r="4950">
      <c r="A4950" s="6"/>
      <c r="B4950" s="6"/>
      <c r="H4950" s="13"/>
    </row>
    <row r="4951">
      <c r="A4951" s="6"/>
      <c r="B4951" s="6"/>
      <c r="H4951" s="13"/>
    </row>
    <row r="4952">
      <c r="A4952" s="6"/>
      <c r="B4952" s="6"/>
      <c r="H4952" s="13"/>
    </row>
    <row r="4953">
      <c r="A4953" s="6"/>
      <c r="B4953" s="6"/>
      <c r="H4953" s="13"/>
    </row>
    <row r="4954">
      <c r="A4954" s="6"/>
      <c r="B4954" s="6"/>
      <c r="H4954" s="13"/>
    </row>
    <row r="4955">
      <c r="A4955" s="6"/>
      <c r="B4955" s="6"/>
      <c r="H4955" s="13"/>
    </row>
    <row r="4956">
      <c r="A4956" s="6"/>
      <c r="B4956" s="6"/>
      <c r="H4956" s="13"/>
    </row>
    <row r="4957">
      <c r="A4957" s="6"/>
      <c r="B4957" s="6"/>
      <c r="H4957" s="13"/>
    </row>
    <row r="4958">
      <c r="A4958" s="6"/>
      <c r="B4958" s="6"/>
      <c r="H4958" s="13"/>
    </row>
    <row r="4959">
      <c r="A4959" s="6"/>
      <c r="B4959" s="6"/>
      <c r="H4959" s="13"/>
    </row>
    <row r="4960">
      <c r="A4960" s="6"/>
      <c r="B4960" s="6"/>
      <c r="H4960" s="13"/>
    </row>
    <row r="4961">
      <c r="A4961" s="6"/>
      <c r="B4961" s="6"/>
      <c r="H4961" s="13"/>
    </row>
    <row r="4962">
      <c r="A4962" s="6"/>
      <c r="B4962" s="6"/>
      <c r="H4962" s="13"/>
    </row>
    <row r="4963">
      <c r="A4963" s="6"/>
      <c r="B4963" s="6"/>
      <c r="H4963" s="13"/>
    </row>
    <row r="4964">
      <c r="A4964" s="6"/>
      <c r="B4964" s="6"/>
      <c r="H4964" s="13"/>
    </row>
    <row r="4965">
      <c r="A4965" s="6"/>
      <c r="B4965" s="6"/>
      <c r="H4965" s="13"/>
    </row>
    <row r="4966">
      <c r="A4966" s="6"/>
      <c r="B4966" s="6"/>
      <c r="H4966" s="13"/>
    </row>
    <row r="4967">
      <c r="A4967" s="6"/>
      <c r="B4967" s="6"/>
      <c r="H4967" s="13"/>
    </row>
    <row r="4968">
      <c r="A4968" s="6"/>
      <c r="B4968" s="6"/>
      <c r="H4968" s="13"/>
    </row>
    <row r="4969">
      <c r="A4969" s="6"/>
      <c r="B4969" s="6"/>
      <c r="H4969" s="13"/>
    </row>
    <row r="4970">
      <c r="A4970" s="6"/>
      <c r="B4970" s="6"/>
      <c r="H4970" s="13"/>
    </row>
    <row r="4971">
      <c r="A4971" s="6"/>
      <c r="B4971" s="6"/>
      <c r="H4971" s="13"/>
    </row>
    <row r="4972">
      <c r="A4972" s="6"/>
      <c r="B4972" s="6"/>
      <c r="H4972" s="13"/>
    </row>
    <row r="4973">
      <c r="A4973" s="6"/>
      <c r="B4973" s="6"/>
      <c r="H4973" s="13"/>
    </row>
    <row r="4974">
      <c r="A4974" s="6"/>
      <c r="B4974" s="6"/>
      <c r="H4974" s="13"/>
    </row>
    <row r="4975">
      <c r="A4975" s="6"/>
      <c r="B4975" s="6"/>
      <c r="H4975" s="13"/>
    </row>
    <row r="4976">
      <c r="A4976" s="6"/>
      <c r="B4976" s="6"/>
      <c r="H4976" s="13"/>
    </row>
    <row r="4977">
      <c r="A4977" s="6"/>
      <c r="B4977" s="6"/>
      <c r="H4977" s="13"/>
    </row>
    <row r="4978">
      <c r="A4978" s="6"/>
      <c r="B4978" s="6"/>
      <c r="H4978" s="13"/>
    </row>
    <row r="4979">
      <c r="A4979" s="6"/>
      <c r="B4979" s="6"/>
      <c r="H4979" s="13"/>
    </row>
    <row r="4980">
      <c r="A4980" s="6"/>
      <c r="B4980" s="6"/>
      <c r="H4980" s="13"/>
    </row>
    <row r="4981">
      <c r="A4981" s="6"/>
      <c r="B4981" s="6"/>
      <c r="H4981" s="13"/>
    </row>
    <row r="4982">
      <c r="A4982" s="6"/>
      <c r="B4982" s="6"/>
      <c r="H4982" s="13"/>
    </row>
    <row r="4983">
      <c r="A4983" s="6"/>
      <c r="B4983" s="6"/>
      <c r="H4983" s="13"/>
    </row>
    <row r="4984">
      <c r="A4984" s="6"/>
      <c r="B4984" s="6"/>
      <c r="H4984" s="13"/>
    </row>
    <row r="4985">
      <c r="A4985" s="6"/>
      <c r="B4985" s="6"/>
      <c r="H4985" s="13"/>
    </row>
    <row r="4986">
      <c r="A4986" s="6"/>
      <c r="B4986" s="6"/>
      <c r="H4986" s="13"/>
    </row>
    <row r="4987">
      <c r="A4987" s="6"/>
      <c r="B4987" s="6"/>
      <c r="H4987" s="13"/>
    </row>
    <row r="4988">
      <c r="A4988" s="6"/>
      <c r="B4988" s="6"/>
      <c r="H4988" s="13"/>
    </row>
    <row r="4989">
      <c r="A4989" s="6"/>
      <c r="B4989" s="6"/>
      <c r="H4989" s="13"/>
    </row>
    <row r="4990">
      <c r="A4990" s="6"/>
      <c r="B4990" s="6"/>
      <c r="H4990" s="13"/>
    </row>
    <row r="4991">
      <c r="A4991" s="6"/>
      <c r="B4991" s="6"/>
      <c r="H4991" s="13"/>
    </row>
    <row r="4992">
      <c r="A4992" s="6"/>
      <c r="B4992" s="6"/>
      <c r="H4992" s="13"/>
    </row>
    <row r="4993">
      <c r="A4993" s="6"/>
      <c r="B4993" s="6"/>
      <c r="H4993" s="13"/>
    </row>
    <row r="4994">
      <c r="A4994" s="6"/>
      <c r="B4994" s="6"/>
      <c r="H4994" s="13"/>
    </row>
    <row r="4995">
      <c r="A4995" s="6"/>
      <c r="B4995" s="6"/>
      <c r="H4995" s="13"/>
    </row>
    <row r="4996">
      <c r="A4996" s="6"/>
      <c r="B4996" s="6"/>
      <c r="H4996" s="13"/>
    </row>
    <row r="4997">
      <c r="A4997" s="6"/>
      <c r="B4997" s="6"/>
      <c r="H4997" s="13"/>
    </row>
    <row r="4998">
      <c r="A4998" s="6"/>
      <c r="B4998" s="6"/>
      <c r="H4998" s="13"/>
    </row>
    <row r="4999">
      <c r="A4999" s="6"/>
      <c r="B4999" s="6"/>
      <c r="H4999" s="13"/>
    </row>
    <row r="5000">
      <c r="A5000" s="6"/>
      <c r="B5000" s="6"/>
      <c r="H5000" s="13"/>
    </row>
    <row r="5001">
      <c r="A5001" s="6"/>
      <c r="B5001" s="6"/>
      <c r="H5001" s="13"/>
    </row>
    <row r="5002">
      <c r="A5002" s="6"/>
      <c r="B5002" s="6"/>
      <c r="H5002" s="13"/>
    </row>
    <row r="5003">
      <c r="A5003" s="6"/>
      <c r="B5003" s="6"/>
      <c r="H5003" s="13"/>
    </row>
    <row r="5004">
      <c r="A5004" s="6"/>
      <c r="B5004" s="6"/>
      <c r="H5004" s="13"/>
    </row>
    <row r="5005">
      <c r="A5005" s="6"/>
      <c r="B5005" s="6"/>
      <c r="H5005" s="13"/>
    </row>
    <row r="5006">
      <c r="A5006" s="6"/>
      <c r="B5006" s="6"/>
      <c r="H5006" s="13"/>
    </row>
    <row r="5007">
      <c r="A5007" s="6"/>
      <c r="B5007" s="6"/>
      <c r="H5007" s="13"/>
    </row>
    <row r="5008">
      <c r="A5008" s="6"/>
      <c r="B5008" s="6"/>
      <c r="H5008" s="13"/>
    </row>
    <row r="5009">
      <c r="A5009" s="6"/>
      <c r="B5009" s="6"/>
      <c r="H5009" s="13"/>
    </row>
    <row r="5010">
      <c r="A5010" s="6"/>
      <c r="B5010" s="6"/>
      <c r="H5010" s="13"/>
    </row>
    <row r="5011">
      <c r="A5011" s="6"/>
      <c r="B5011" s="6"/>
      <c r="H5011" s="13"/>
    </row>
    <row r="5012">
      <c r="A5012" s="6"/>
      <c r="B5012" s="6"/>
      <c r="H5012" s="13"/>
    </row>
    <row r="5013">
      <c r="A5013" s="6"/>
      <c r="B5013" s="6"/>
      <c r="H5013" s="13"/>
    </row>
    <row r="5014">
      <c r="A5014" s="6"/>
      <c r="B5014" s="6"/>
      <c r="H5014" s="13"/>
    </row>
    <row r="5015">
      <c r="A5015" s="6"/>
      <c r="B5015" s="6"/>
      <c r="H5015" s="13"/>
    </row>
    <row r="5016">
      <c r="A5016" s="6"/>
      <c r="B5016" s="6"/>
      <c r="H5016" s="13"/>
    </row>
    <row r="5017">
      <c r="A5017" s="6"/>
      <c r="B5017" s="6"/>
      <c r="H5017" s="13"/>
    </row>
    <row r="5018">
      <c r="A5018" s="6"/>
      <c r="B5018" s="6"/>
      <c r="H5018" s="13"/>
    </row>
    <row r="5019">
      <c r="A5019" s="6"/>
      <c r="B5019" s="6"/>
      <c r="H5019" s="13"/>
    </row>
    <row r="5020">
      <c r="A5020" s="6"/>
      <c r="B5020" s="6"/>
      <c r="H5020" s="13"/>
    </row>
    <row r="5021">
      <c r="A5021" s="6"/>
      <c r="B5021" s="6"/>
      <c r="H5021" s="13"/>
    </row>
    <row r="5022">
      <c r="A5022" s="6"/>
      <c r="B5022" s="6"/>
      <c r="H5022" s="13"/>
    </row>
    <row r="5023">
      <c r="A5023" s="6"/>
      <c r="B5023" s="6"/>
      <c r="H5023" s="13"/>
    </row>
    <row r="5024">
      <c r="A5024" s="6"/>
      <c r="B5024" s="6"/>
      <c r="H5024" s="13"/>
    </row>
    <row r="5025">
      <c r="A5025" s="6"/>
      <c r="B5025" s="6"/>
      <c r="H5025" s="13"/>
    </row>
    <row r="5026">
      <c r="A5026" s="6"/>
      <c r="B5026" s="6"/>
      <c r="H5026" s="13"/>
    </row>
    <row r="5027">
      <c r="A5027" s="6"/>
      <c r="B5027" s="6"/>
      <c r="H5027" s="13"/>
    </row>
    <row r="5028">
      <c r="A5028" s="6"/>
      <c r="B5028" s="6"/>
      <c r="H5028" s="13"/>
    </row>
    <row r="5029">
      <c r="A5029" s="6"/>
      <c r="B5029" s="6"/>
      <c r="H5029" s="13"/>
    </row>
    <row r="5030">
      <c r="A5030" s="6"/>
      <c r="B5030" s="6"/>
      <c r="H5030" s="13"/>
    </row>
    <row r="5031">
      <c r="A5031" s="6"/>
      <c r="B5031" s="6"/>
      <c r="H5031" s="13"/>
    </row>
    <row r="5032">
      <c r="A5032" s="6"/>
      <c r="B5032" s="6"/>
      <c r="H5032" s="13"/>
    </row>
    <row r="5033">
      <c r="A5033" s="6"/>
      <c r="B5033" s="6"/>
      <c r="H5033" s="13"/>
    </row>
    <row r="5034">
      <c r="A5034" s="6"/>
      <c r="B5034" s="6"/>
      <c r="H5034" s="13"/>
    </row>
    <row r="5035">
      <c r="A5035" s="6"/>
      <c r="B5035" s="6"/>
      <c r="H5035" s="13"/>
    </row>
    <row r="5036">
      <c r="A5036" s="6"/>
      <c r="B5036" s="6"/>
      <c r="H5036" s="13"/>
    </row>
    <row r="5037">
      <c r="A5037" s="6"/>
      <c r="B5037" s="6"/>
      <c r="H5037" s="13"/>
    </row>
    <row r="5038">
      <c r="A5038" s="6"/>
      <c r="B5038" s="6"/>
      <c r="H5038" s="13"/>
    </row>
    <row r="5039">
      <c r="A5039" s="6"/>
      <c r="B5039" s="6"/>
      <c r="H5039" s="13"/>
    </row>
    <row r="5040">
      <c r="A5040" s="6"/>
      <c r="B5040" s="6"/>
      <c r="H5040" s="13"/>
    </row>
    <row r="5041">
      <c r="A5041" s="6"/>
      <c r="B5041" s="6"/>
      <c r="H5041" s="13"/>
    </row>
    <row r="5042">
      <c r="A5042" s="6"/>
      <c r="B5042" s="6"/>
      <c r="H5042" s="13"/>
    </row>
    <row r="5043">
      <c r="A5043" s="6"/>
      <c r="B5043" s="6"/>
      <c r="H5043" s="13"/>
    </row>
    <row r="5044">
      <c r="A5044" s="6"/>
      <c r="B5044" s="6"/>
      <c r="H5044" s="13"/>
    </row>
    <row r="5045">
      <c r="A5045" s="6"/>
      <c r="B5045" s="6"/>
      <c r="H5045" s="13"/>
    </row>
    <row r="5046">
      <c r="A5046" s="6"/>
      <c r="B5046" s="6"/>
      <c r="H5046" s="13"/>
    </row>
    <row r="5047">
      <c r="A5047" s="6"/>
      <c r="B5047" s="6"/>
      <c r="H5047" s="13"/>
    </row>
    <row r="5048">
      <c r="A5048" s="6"/>
      <c r="B5048" s="6"/>
      <c r="H5048" s="13"/>
    </row>
    <row r="5049">
      <c r="A5049" s="6"/>
      <c r="B5049" s="6"/>
      <c r="H5049" s="13"/>
    </row>
    <row r="5050">
      <c r="A5050" s="6"/>
      <c r="B5050" s="6"/>
      <c r="H5050" s="13"/>
    </row>
    <row r="5051">
      <c r="A5051" s="6"/>
      <c r="B5051" s="6"/>
      <c r="H5051" s="13"/>
    </row>
    <row r="5052">
      <c r="A5052" s="6"/>
      <c r="B5052" s="6"/>
      <c r="H5052" s="13"/>
    </row>
    <row r="5053">
      <c r="A5053" s="6"/>
      <c r="B5053" s="6"/>
      <c r="H5053" s="13"/>
    </row>
    <row r="5054">
      <c r="A5054" s="6"/>
      <c r="B5054" s="6"/>
      <c r="H5054" s="13"/>
    </row>
    <row r="5055">
      <c r="A5055" s="6"/>
      <c r="B5055" s="6"/>
      <c r="H5055" s="13"/>
    </row>
    <row r="5056">
      <c r="A5056" s="6"/>
      <c r="B5056" s="6"/>
      <c r="H5056" s="13"/>
    </row>
    <row r="5057">
      <c r="A5057" s="6"/>
      <c r="B5057" s="6"/>
      <c r="H5057" s="13"/>
    </row>
    <row r="5058">
      <c r="A5058" s="6"/>
      <c r="B5058" s="6"/>
      <c r="H5058" s="13"/>
    </row>
    <row r="5059">
      <c r="A5059" s="6"/>
      <c r="B5059" s="6"/>
      <c r="H5059" s="13"/>
    </row>
    <row r="5060">
      <c r="A5060" s="6"/>
      <c r="B5060" s="6"/>
      <c r="H5060" s="13"/>
    </row>
    <row r="5061">
      <c r="A5061" s="6"/>
      <c r="B5061" s="6"/>
      <c r="H5061" s="13"/>
    </row>
    <row r="5062">
      <c r="A5062" s="6"/>
      <c r="B5062" s="6"/>
      <c r="H5062" s="13"/>
    </row>
    <row r="5063">
      <c r="A5063" s="6"/>
      <c r="B5063" s="6"/>
      <c r="H5063" s="13"/>
    </row>
    <row r="5064">
      <c r="A5064" s="6"/>
      <c r="B5064" s="6"/>
      <c r="H5064" s="13"/>
    </row>
    <row r="5065">
      <c r="A5065" s="6"/>
      <c r="B5065" s="6"/>
      <c r="H5065" s="13"/>
    </row>
    <row r="5066">
      <c r="A5066" s="6"/>
      <c r="B5066" s="6"/>
      <c r="H5066" s="13"/>
    </row>
    <row r="5067">
      <c r="A5067" s="6"/>
      <c r="B5067" s="6"/>
      <c r="H5067" s="13"/>
    </row>
    <row r="5068">
      <c r="A5068" s="6"/>
      <c r="B5068" s="6"/>
      <c r="H5068" s="13"/>
    </row>
    <row r="5069">
      <c r="A5069" s="6"/>
      <c r="B5069" s="6"/>
      <c r="H5069" s="13"/>
    </row>
    <row r="5070">
      <c r="A5070" s="6"/>
      <c r="B5070" s="6"/>
      <c r="H5070" s="13"/>
    </row>
    <row r="5071">
      <c r="A5071" s="6"/>
      <c r="B5071" s="6"/>
      <c r="H5071" s="13"/>
    </row>
    <row r="5072">
      <c r="A5072" s="6"/>
      <c r="B5072" s="6"/>
      <c r="H5072" s="13"/>
    </row>
    <row r="5073">
      <c r="A5073" s="6"/>
      <c r="B5073" s="6"/>
      <c r="H5073" s="13"/>
    </row>
    <row r="5074">
      <c r="A5074" s="6"/>
      <c r="B5074" s="6"/>
      <c r="H5074" s="13"/>
    </row>
    <row r="5075">
      <c r="A5075" s="6"/>
      <c r="B5075" s="6"/>
      <c r="H5075" s="13"/>
    </row>
    <row r="5076">
      <c r="A5076" s="6"/>
      <c r="B5076" s="6"/>
      <c r="H5076" s="13"/>
    </row>
    <row r="5077">
      <c r="A5077" s="6"/>
      <c r="B5077" s="6"/>
      <c r="H5077" s="13"/>
    </row>
    <row r="5078">
      <c r="A5078" s="6"/>
      <c r="B5078" s="6"/>
      <c r="H5078" s="13"/>
    </row>
    <row r="5079">
      <c r="A5079" s="6"/>
      <c r="B5079" s="6"/>
      <c r="H5079" s="13"/>
    </row>
    <row r="5080">
      <c r="A5080" s="6"/>
      <c r="B5080" s="6"/>
      <c r="H5080" s="13"/>
    </row>
    <row r="5081">
      <c r="A5081" s="6"/>
      <c r="B5081" s="6"/>
      <c r="H5081" s="13"/>
    </row>
    <row r="5082">
      <c r="A5082" s="6"/>
      <c r="B5082" s="6"/>
      <c r="H5082" s="13"/>
    </row>
    <row r="5083">
      <c r="A5083" s="6"/>
      <c r="B5083" s="6"/>
      <c r="H5083" s="13"/>
    </row>
    <row r="5084">
      <c r="A5084" s="6"/>
      <c r="B5084" s="6"/>
      <c r="H5084" s="13"/>
    </row>
    <row r="5085">
      <c r="A5085" s="6"/>
      <c r="B5085" s="6"/>
      <c r="H5085" s="13"/>
    </row>
    <row r="5086">
      <c r="A5086" s="6"/>
      <c r="B5086" s="6"/>
      <c r="H5086" s="13"/>
    </row>
    <row r="5087">
      <c r="A5087" s="6"/>
      <c r="B5087" s="6"/>
      <c r="H5087" s="13"/>
    </row>
    <row r="5088">
      <c r="A5088" s="6"/>
      <c r="B5088" s="6"/>
      <c r="H5088" s="13"/>
    </row>
    <row r="5089">
      <c r="A5089" s="6"/>
      <c r="B5089" s="6"/>
      <c r="H5089" s="13"/>
    </row>
    <row r="5090">
      <c r="A5090" s="6"/>
      <c r="B5090" s="6"/>
      <c r="H5090" s="13"/>
    </row>
    <row r="5091">
      <c r="A5091" s="6"/>
      <c r="B5091" s="6"/>
      <c r="H5091" s="13"/>
    </row>
    <row r="5092">
      <c r="A5092" s="6"/>
      <c r="B5092" s="6"/>
      <c r="H5092" s="13"/>
    </row>
    <row r="5093">
      <c r="A5093" s="6"/>
      <c r="B5093" s="6"/>
      <c r="H5093" s="13"/>
    </row>
    <row r="5094">
      <c r="A5094" s="6"/>
      <c r="B5094" s="6"/>
      <c r="H5094" s="13"/>
    </row>
    <row r="5095">
      <c r="A5095" s="6"/>
      <c r="B5095" s="6"/>
      <c r="H5095" s="13"/>
    </row>
    <row r="5096">
      <c r="A5096" s="6"/>
      <c r="B5096" s="6"/>
      <c r="H5096" s="13"/>
    </row>
    <row r="5097">
      <c r="A5097" s="6"/>
      <c r="B5097" s="6"/>
      <c r="H5097" s="13"/>
    </row>
    <row r="5098">
      <c r="A5098" s="6"/>
      <c r="B5098" s="6"/>
      <c r="H5098" s="13"/>
    </row>
    <row r="5099">
      <c r="A5099" s="6"/>
      <c r="B5099" s="6"/>
      <c r="H5099" s="13"/>
    </row>
    <row r="5100">
      <c r="A5100" s="6"/>
      <c r="B5100" s="6"/>
      <c r="H5100" s="13"/>
    </row>
    <row r="5101">
      <c r="A5101" s="6"/>
      <c r="B5101" s="6"/>
      <c r="H5101" s="13"/>
    </row>
    <row r="5102">
      <c r="A5102" s="6"/>
      <c r="B5102" s="6"/>
      <c r="H5102" s="13"/>
    </row>
    <row r="5103">
      <c r="A5103" s="6"/>
      <c r="B5103" s="6"/>
      <c r="H5103" s="13"/>
    </row>
    <row r="5104">
      <c r="A5104" s="6"/>
      <c r="B5104" s="6"/>
      <c r="H5104" s="13"/>
    </row>
    <row r="5105">
      <c r="A5105" s="6"/>
      <c r="B5105" s="6"/>
      <c r="H5105" s="13"/>
    </row>
    <row r="5106">
      <c r="A5106" s="6"/>
      <c r="B5106" s="6"/>
      <c r="H5106" s="13"/>
    </row>
    <row r="5107">
      <c r="A5107" s="6"/>
      <c r="B5107" s="6"/>
      <c r="H5107" s="13"/>
    </row>
    <row r="5108">
      <c r="A5108" s="6"/>
      <c r="B5108" s="6"/>
      <c r="H5108" s="13"/>
    </row>
    <row r="5109">
      <c r="A5109" s="6"/>
      <c r="B5109" s="6"/>
      <c r="H5109" s="13"/>
    </row>
    <row r="5110">
      <c r="A5110" s="6"/>
      <c r="B5110" s="6"/>
      <c r="H5110" s="13"/>
    </row>
    <row r="5111">
      <c r="A5111" s="6"/>
      <c r="B5111" s="6"/>
      <c r="H5111" s="13"/>
    </row>
    <row r="5112">
      <c r="A5112" s="6"/>
      <c r="B5112" s="6"/>
      <c r="H5112" s="13"/>
    </row>
    <row r="5113">
      <c r="A5113" s="6"/>
      <c r="B5113" s="6"/>
      <c r="H5113" s="13"/>
    </row>
    <row r="5114">
      <c r="A5114" s="6"/>
      <c r="B5114" s="6"/>
      <c r="H5114" s="13"/>
    </row>
    <row r="5115">
      <c r="A5115" s="6"/>
      <c r="B5115" s="6"/>
      <c r="H5115" s="13"/>
    </row>
    <row r="5116">
      <c r="A5116" s="6"/>
      <c r="B5116" s="6"/>
      <c r="H5116" s="13"/>
    </row>
    <row r="5117">
      <c r="A5117" s="6"/>
      <c r="B5117" s="6"/>
      <c r="H5117" s="13"/>
    </row>
    <row r="5118">
      <c r="A5118" s="6"/>
      <c r="B5118" s="6"/>
      <c r="H5118" s="13"/>
    </row>
    <row r="5119">
      <c r="A5119" s="6"/>
      <c r="B5119" s="6"/>
      <c r="H5119" s="13"/>
    </row>
    <row r="5120">
      <c r="A5120" s="6"/>
      <c r="B5120" s="6"/>
      <c r="H5120" s="13"/>
    </row>
    <row r="5121">
      <c r="A5121" s="6"/>
      <c r="B5121" s="6"/>
      <c r="H5121" s="13"/>
    </row>
    <row r="5122">
      <c r="A5122" s="6"/>
      <c r="B5122" s="6"/>
      <c r="H5122" s="13"/>
    </row>
    <row r="5123">
      <c r="A5123" s="6"/>
      <c r="B5123" s="6"/>
      <c r="H5123" s="13"/>
    </row>
    <row r="5124">
      <c r="A5124" s="6"/>
      <c r="B5124" s="6"/>
      <c r="H5124" s="13"/>
    </row>
    <row r="5125">
      <c r="A5125" s="6"/>
      <c r="B5125" s="6"/>
      <c r="H5125" s="13"/>
    </row>
    <row r="5126">
      <c r="A5126" s="6"/>
      <c r="B5126" s="6"/>
      <c r="H5126" s="13"/>
    </row>
    <row r="5127">
      <c r="A5127" s="6"/>
      <c r="B5127" s="6"/>
      <c r="H5127" s="13"/>
    </row>
    <row r="5128">
      <c r="A5128" s="6"/>
      <c r="B5128" s="6"/>
      <c r="H5128" s="13"/>
    </row>
    <row r="5129">
      <c r="A5129" s="6"/>
      <c r="B5129" s="6"/>
      <c r="H5129" s="13"/>
    </row>
    <row r="5130">
      <c r="A5130" s="6"/>
      <c r="B5130" s="6"/>
      <c r="H5130" s="13"/>
    </row>
    <row r="5131">
      <c r="A5131" s="6"/>
      <c r="B5131" s="6"/>
      <c r="H5131" s="13"/>
    </row>
    <row r="5132">
      <c r="A5132" s="6"/>
      <c r="B5132" s="6"/>
      <c r="H5132" s="13"/>
    </row>
    <row r="5133">
      <c r="A5133" s="6"/>
      <c r="B5133" s="6"/>
      <c r="H5133" s="13"/>
    </row>
    <row r="5134">
      <c r="A5134" s="6"/>
      <c r="B5134" s="6"/>
      <c r="H5134" s="13"/>
    </row>
    <row r="5135">
      <c r="A5135" s="6"/>
      <c r="B5135" s="6"/>
      <c r="H5135" s="13"/>
    </row>
    <row r="5136">
      <c r="A5136" s="6"/>
      <c r="B5136" s="6"/>
      <c r="H5136" s="13"/>
    </row>
    <row r="5137">
      <c r="A5137" s="6"/>
      <c r="B5137" s="6"/>
      <c r="H5137" s="13"/>
    </row>
    <row r="5138">
      <c r="A5138" s="6"/>
      <c r="B5138" s="6"/>
      <c r="H5138" s="13"/>
    </row>
    <row r="5139">
      <c r="A5139" s="6"/>
      <c r="B5139" s="6"/>
      <c r="H5139" s="13"/>
    </row>
    <row r="5140">
      <c r="A5140" s="6"/>
      <c r="B5140" s="6"/>
      <c r="H5140" s="13"/>
    </row>
    <row r="5141">
      <c r="A5141" s="6"/>
      <c r="B5141" s="6"/>
      <c r="H5141" s="13"/>
    </row>
    <row r="5142">
      <c r="A5142" s="6"/>
      <c r="B5142" s="6"/>
      <c r="H5142" s="13"/>
    </row>
    <row r="5143">
      <c r="A5143" s="6"/>
      <c r="B5143" s="6"/>
      <c r="H5143" s="13"/>
    </row>
    <row r="5144">
      <c r="A5144" s="6"/>
      <c r="B5144" s="6"/>
      <c r="H5144" s="13"/>
    </row>
    <row r="5145">
      <c r="A5145" s="6"/>
      <c r="B5145" s="6"/>
      <c r="H5145" s="13"/>
    </row>
    <row r="5146">
      <c r="A5146" s="6"/>
      <c r="B5146" s="6"/>
      <c r="H5146" s="13"/>
    </row>
    <row r="5147">
      <c r="A5147" s="6"/>
      <c r="B5147" s="6"/>
      <c r="H5147" s="13"/>
    </row>
    <row r="5148">
      <c r="A5148" s="6"/>
      <c r="B5148" s="6"/>
      <c r="H5148" s="13"/>
    </row>
    <row r="5149">
      <c r="A5149" s="6"/>
      <c r="B5149" s="6"/>
      <c r="H5149" s="13"/>
    </row>
    <row r="5150">
      <c r="A5150" s="6"/>
      <c r="B5150" s="6"/>
      <c r="H5150" s="13"/>
    </row>
    <row r="5151">
      <c r="A5151" s="6"/>
      <c r="B5151" s="6"/>
      <c r="H5151" s="13"/>
    </row>
    <row r="5152">
      <c r="A5152" s="6"/>
      <c r="B5152" s="6"/>
      <c r="H5152" s="13"/>
    </row>
    <row r="5153">
      <c r="A5153" s="6"/>
      <c r="B5153" s="6"/>
      <c r="H5153" s="13"/>
    </row>
    <row r="5154">
      <c r="A5154" s="6"/>
      <c r="B5154" s="6"/>
      <c r="H5154" s="13"/>
    </row>
    <row r="5155">
      <c r="A5155" s="6"/>
      <c r="B5155" s="6"/>
      <c r="H5155" s="13"/>
    </row>
    <row r="5156">
      <c r="A5156" s="6"/>
      <c r="B5156" s="6"/>
      <c r="H5156" s="13"/>
    </row>
    <row r="5157">
      <c r="A5157" s="6"/>
      <c r="B5157" s="6"/>
      <c r="H5157" s="13"/>
    </row>
    <row r="5158">
      <c r="A5158" s="6"/>
      <c r="B5158" s="6"/>
      <c r="H5158" s="13"/>
    </row>
    <row r="5159">
      <c r="A5159" s="6"/>
      <c r="B5159" s="6"/>
      <c r="H5159" s="13"/>
    </row>
    <row r="5160">
      <c r="A5160" s="6"/>
      <c r="B5160" s="6"/>
      <c r="H5160" s="13"/>
    </row>
    <row r="5161">
      <c r="A5161" s="6"/>
      <c r="B5161" s="6"/>
      <c r="H5161" s="13"/>
    </row>
    <row r="5162">
      <c r="A5162" s="6"/>
      <c r="B5162" s="6"/>
      <c r="H5162" s="13"/>
    </row>
    <row r="5163">
      <c r="A5163" s="6"/>
      <c r="B5163" s="6"/>
      <c r="H5163" s="13"/>
    </row>
    <row r="5164">
      <c r="A5164" s="6"/>
      <c r="B5164" s="6"/>
      <c r="H5164" s="13"/>
    </row>
    <row r="5165">
      <c r="A5165" s="6"/>
      <c r="B5165" s="6"/>
      <c r="H5165" s="13"/>
    </row>
    <row r="5166">
      <c r="A5166" s="6"/>
      <c r="B5166" s="6"/>
      <c r="H5166" s="13"/>
    </row>
    <row r="5167">
      <c r="A5167" s="6"/>
      <c r="B5167" s="6"/>
      <c r="H5167" s="13"/>
    </row>
    <row r="5168">
      <c r="A5168" s="6"/>
      <c r="B5168" s="6"/>
      <c r="H5168" s="13"/>
    </row>
    <row r="5169">
      <c r="A5169" s="6"/>
      <c r="B5169" s="6"/>
      <c r="H5169" s="13"/>
    </row>
    <row r="5170">
      <c r="A5170" s="6"/>
      <c r="B5170" s="6"/>
      <c r="H5170" s="13"/>
    </row>
    <row r="5171">
      <c r="A5171" s="6"/>
      <c r="B5171" s="6"/>
      <c r="H5171" s="13"/>
    </row>
    <row r="5172">
      <c r="A5172" s="6"/>
      <c r="B5172" s="6"/>
      <c r="H5172" s="13"/>
    </row>
    <row r="5173">
      <c r="A5173" s="6"/>
      <c r="B5173" s="6"/>
      <c r="H5173" s="13"/>
    </row>
    <row r="5174">
      <c r="A5174" s="6"/>
      <c r="B5174" s="6"/>
      <c r="H5174" s="13"/>
    </row>
    <row r="5175">
      <c r="A5175" s="6"/>
      <c r="B5175" s="6"/>
      <c r="H5175" s="13"/>
    </row>
    <row r="5176">
      <c r="A5176" s="6"/>
      <c r="B5176" s="6"/>
      <c r="H5176" s="13"/>
    </row>
    <row r="5177">
      <c r="A5177" s="6"/>
      <c r="B5177" s="6"/>
      <c r="H5177" s="13"/>
    </row>
    <row r="5178">
      <c r="A5178" s="6"/>
      <c r="B5178" s="6"/>
      <c r="H5178" s="13"/>
    </row>
    <row r="5179">
      <c r="A5179" s="6"/>
      <c r="B5179" s="6"/>
      <c r="H5179" s="13"/>
    </row>
    <row r="5180">
      <c r="A5180" s="6"/>
      <c r="B5180" s="6"/>
      <c r="H5180" s="13"/>
    </row>
    <row r="5181">
      <c r="A5181" s="6"/>
      <c r="B5181" s="6"/>
      <c r="H5181" s="13"/>
    </row>
    <row r="5182">
      <c r="A5182" s="6"/>
      <c r="B5182" s="6"/>
      <c r="H5182" s="13"/>
    </row>
    <row r="5183">
      <c r="A5183" s="6"/>
      <c r="B5183" s="6"/>
      <c r="H5183" s="13"/>
    </row>
    <row r="5184">
      <c r="A5184" s="6"/>
      <c r="B5184" s="6"/>
      <c r="H5184" s="13"/>
    </row>
    <row r="5185">
      <c r="A5185" s="6"/>
      <c r="B5185" s="6"/>
      <c r="H5185" s="13"/>
    </row>
    <row r="5186">
      <c r="A5186" s="6"/>
      <c r="B5186" s="6"/>
      <c r="H5186" s="13"/>
    </row>
    <row r="5187">
      <c r="A5187" s="6"/>
      <c r="B5187" s="6"/>
      <c r="H5187" s="13"/>
    </row>
    <row r="5188">
      <c r="A5188" s="6"/>
      <c r="B5188" s="6"/>
      <c r="H5188" s="13"/>
    </row>
    <row r="5189">
      <c r="A5189" s="6"/>
      <c r="B5189" s="6"/>
      <c r="H5189" s="13"/>
    </row>
    <row r="5190">
      <c r="A5190" s="6"/>
      <c r="B5190" s="6"/>
      <c r="H5190" s="13"/>
    </row>
    <row r="5191">
      <c r="A5191" s="6"/>
      <c r="B5191" s="6"/>
      <c r="H5191" s="13"/>
    </row>
    <row r="5192">
      <c r="A5192" s="6"/>
      <c r="B5192" s="6"/>
      <c r="H5192" s="13"/>
    </row>
    <row r="5193">
      <c r="A5193" s="6"/>
      <c r="B5193" s="6"/>
      <c r="H5193" s="13"/>
    </row>
    <row r="5194">
      <c r="A5194" s="6"/>
      <c r="B5194" s="6"/>
      <c r="H5194" s="13"/>
    </row>
    <row r="5195">
      <c r="A5195" s="6"/>
      <c r="B5195" s="6"/>
      <c r="H5195" s="13"/>
    </row>
    <row r="5196">
      <c r="A5196" s="6"/>
      <c r="B5196" s="6"/>
      <c r="H5196" s="13"/>
    </row>
    <row r="5197">
      <c r="A5197" s="6"/>
      <c r="B5197" s="6"/>
      <c r="H5197" s="13"/>
    </row>
    <row r="5198">
      <c r="A5198" s="6"/>
      <c r="B5198" s="6"/>
      <c r="H5198" s="13"/>
    </row>
    <row r="5199">
      <c r="A5199" s="6"/>
      <c r="B5199" s="6"/>
      <c r="H5199" s="13"/>
    </row>
    <row r="5200">
      <c r="A5200" s="6"/>
      <c r="B5200" s="6"/>
      <c r="H5200" s="13"/>
    </row>
    <row r="5201">
      <c r="A5201" s="6"/>
      <c r="B5201" s="6"/>
      <c r="H5201" s="13"/>
    </row>
    <row r="5202">
      <c r="A5202" s="6"/>
      <c r="B5202" s="6"/>
      <c r="H5202" s="13"/>
    </row>
    <row r="5203">
      <c r="A5203" s="6"/>
      <c r="B5203" s="6"/>
      <c r="H5203" s="13"/>
    </row>
    <row r="5204">
      <c r="A5204" s="6"/>
      <c r="B5204" s="6"/>
      <c r="H5204" s="13"/>
    </row>
    <row r="5205">
      <c r="A5205" s="6"/>
      <c r="B5205" s="6"/>
      <c r="H5205" s="13"/>
    </row>
    <row r="5206">
      <c r="A5206" s="6"/>
      <c r="B5206" s="6"/>
      <c r="H5206" s="13"/>
    </row>
    <row r="5207">
      <c r="A5207" s="6"/>
      <c r="B5207" s="6"/>
      <c r="H5207" s="13"/>
    </row>
    <row r="5208">
      <c r="A5208" s="6"/>
      <c r="B5208" s="6"/>
      <c r="H5208" s="13"/>
    </row>
    <row r="5209">
      <c r="A5209" s="6"/>
      <c r="B5209" s="6"/>
      <c r="H5209" s="13"/>
    </row>
    <row r="5210">
      <c r="A5210" s="6"/>
      <c r="B5210" s="6"/>
      <c r="H5210" s="13"/>
    </row>
    <row r="5211">
      <c r="A5211" s="6"/>
      <c r="B5211" s="6"/>
      <c r="H5211" s="13"/>
    </row>
    <row r="5212">
      <c r="A5212" s="6"/>
      <c r="B5212" s="6"/>
      <c r="H5212" s="13"/>
    </row>
    <row r="5213">
      <c r="A5213" s="6"/>
      <c r="B5213" s="6"/>
      <c r="H5213" s="13"/>
    </row>
    <row r="5214">
      <c r="A5214" s="6"/>
      <c r="B5214" s="6"/>
      <c r="H5214" s="13"/>
    </row>
    <row r="5215">
      <c r="A5215" s="6"/>
      <c r="B5215" s="6"/>
      <c r="H5215" s="13"/>
    </row>
    <row r="5216">
      <c r="A5216" s="6"/>
      <c r="B5216" s="6"/>
      <c r="H5216" s="13"/>
    </row>
    <row r="5217">
      <c r="A5217" s="6"/>
      <c r="B5217" s="6"/>
      <c r="H5217" s="13"/>
    </row>
    <row r="5218">
      <c r="A5218" s="6"/>
      <c r="B5218" s="6"/>
      <c r="H5218" s="13"/>
    </row>
    <row r="5219">
      <c r="A5219" s="6"/>
      <c r="B5219" s="6"/>
      <c r="H5219" s="13"/>
    </row>
    <row r="5220">
      <c r="A5220" s="6"/>
      <c r="B5220" s="6"/>
      <c r="H5220" s="13"/>
    </row>
    <row r="5221">
      <c r="A5221" s="6"/>
      <c r="B5221" s="6"/>
      <c r="H5221" s="13"/>
    </row>
    <row r="5222">
      <c r="A5222" s="6"/>
      <c r="B5222" s="6"/>
      <c r="H5222" s="13"/>
    </row>
    <row r="5223">
      <c r="A5223" s="6"/>
      <c r="B5223" s="6"/>
      <c r="H5223" s="13"/>
    </row>
    <row r="5224">
      <c r="A5224" s="6"/>
      <c r="B5224" s="6"/>
      <c r="H5224" s="13"/>
    </row>
    <row r="5225">
      <c r="A5225" s="6"/>
      <c r="B5225" s="6"/>
      <c r="H5225" s="13"/>
    </row>
    <row r="5226">
      <c r="A5226" s="6"/>
      <c r="B5226" s="6"/>
      <c r="H5226" s="13"/>
    </row>
    <row r="5227">
      <c r="A5227" s="6"/>
      <c r="B5227" s="6"/>
      <c r="H5227" s="13"/>
    </row>
    <row r="5228">
      <c r="A5228" s="6"/>
      <c r="B5228" s="6"/>
      <c r="H5228" s="13"/>
    </row>
    <row r="5229">
      <c r="A5229" s="6"/>
      <c r="B5229" s="6"/>
      <c r="H5229" s="13"/>
    </row>
    <row r="5230">
      <c r="A5230" s="6"/>
      <c r="B5230" s="6"/>
      <c r="H5230" s="13"/>
    </row>
    <row r="5231">
      <c r="A5231" s="6"/>
      <c r="B5231" s="6"/>
      <c r="H5231" s="13"/>
    </row>
    <row r="5232">
      <c r="A5232" s="6"/>
      <c r="B5232" s="6"/>
      <c r="H5232" s="13"/>
    </row>
    <row r="5233">
      <c r="A5233" s="6"/>
      <c r="B5233" s="6"/>
      <c r="H5233" s="13"/>
    </row>
    <row r="5234">
      <c r="A5234" s="6"/>
      <c r="B5234" s="6"/>
      <c r="H5234" s="13"/>
    </row>
    <row r="5235">
      <c r="A5235" s="6"/>
      <c r="B5235" s="6"/>
      <c r="H5235" s="13"/>
    </row>
    <row r="5236">
      <c r="A5236" s="6"/>
      <c r="B5236" s="6"/>
      <c r="H5236" s="13"/>
    </row>
    <row r="5237">
      <c r="A5237" s="6"/>
      <c r="B5237" s="6"/>
      <c r="H5237" s="13"/>
    </row>
    <row r="5238">
      <c r="A5238" s="6"/>
      <c r="B5238" s="6"/>
      <c r="H5238" s="13"/>
    </row>
    <row r="5239">
      <c r="A5239" s="6"/>
      <c r="B5239" s="6"/>
      <c r="H5239" s="13"/>
    </row>
    <row r="5240">
      <c r="A5240" s="6"/>
      <c r="B5240" s="6"/>
      <c r="H5240" s="13"/>
    </row>
    <row r="5241">
      <c r="A5241" s="6"/>
      <c r="B5241" s="6"/>
      <c r="H5241" s="13"/>
    </row>
    <row r="5242">
      <c r="A5242" s="6"/>
      <c r="B5242" s="6"/>
      <c r="H5242" s="13"/>
    </row>
    <row r="5243">
      <c r="A5243" s="6"/>
      <c r="B5243" s="6"/>
      <c r="H5243" s="13"/>
    </row>
    <row r="5244">
      <c r="A5244" s="6"/>
      <c r="B5244" s="6"/>
      <c r="H5244" s="13"/>
    </row>
    <row r="5245">
      <c r="A5245" s="6"/>
      <c r="B5245" s="6"/>
      <c r="H5245" s="13"/>
    </row>
    <row r="5246">
      <c r="A5246" s="6"/>
      <c r="B5246" s="6"/>
      <c r="H5246" s="13"/>
    </row>
    <row r="5247">
      <c r="A5247" s="6"/>
      <c r="B5247" s="6"/>
      <c r="H5247" s="13"/>
    </row>
    <row r="5248">
      <c r="A5248" s="6"/>
      <c r="B5248" s="6"/>
      <c r="H5248" s="13"/>
    </row>
    <row r="5249">
      <c r="A5249" s="6"/>
      <c r="B5249" s="6"/>
      <c r="H5249" s="13"/>
    </row>
    <row r="5250">
      <c r="A5250" s="6"/>
      <c r="B5250" s="6"/>
      <c r="H5250" s="13"/>
    </row>
    <row r="5251">
      <c r="A5251" s="6"/>
      <c r="B5251" s="6"/>
      <c r="H5251" s="13"/>
    </row>
    <row r="5252">
      <c r="A5252" s="6"/>
      <c r="B5252" s="6"/>
      <c r="H5252" s="13"/>
    </row>
    <row r="5253">
      <c r="A5253" s="6"/>
      <c r="B5253" s="6"/>
      <c r="H5253" s="13"/>
    </row>
    <row r="5254">
      <c r="A5254" s="6"/>
      <c r="B5254" s="6"/>
      <c r="H5254" s="13"/>
    </row>
    <row r="5255">
      <c r="A5255" s="6"/>
      <c r="B5255" s="6"/>
      <c r="H5255" s="13"/>
    </row>
    <row r="5256">
      <c r="A5256" s="6"/>
      <c r="B5256" s="6"/>
      <c r="H5256" s="13"/>
    </row>
    <row r="5257">
      <c r="A5257" s="6"/>
      <c r="B5257" s="6"/>
      <c r="H5257" s="13"/>
    </row>
    <row r="5258">
      <c r="A5258" s="6"/>
      <c r="B5258" s="6"/>
      <c r="H5258" s="13"/>
    </row>
    <row r="5259">
      <c r="A5259" s="6"/>
      <c r="B5259" s="6"/>
      <c r="H5259" s="13"/>
    </row>
    <row r="5260">
      <c r="A5260" s="6"/>
      <c r="B5260" s="6"/>
      <c r="H5260" s="13"/>
    </row>
    <row r="5261">
      <c r="A5261" s="6"/>
      <c r="B5261" s="6"/>
      <c r="H5261" s="13"/>
    </row>
    <row r="5262">
      <c r="A5262" s="6"/>
      <c r="B5262" s="6"/>
      <c r="H5262" s="13"/>
    </row>
    <row r="5263">
      <c r="A5263" s="6"/>
      <c r="B5263" s="6"/>
      <c r="H5263" s="13"/>
    </row>
    <row r="5264">
      <c r="A5264" s="6"/>
      <c r="B5264" s="6"/>
      <c r="H5264" s="13"/>
    </row>
    <row r="5265">
      <c r="A5265" s="6"/>
      <c r="B5265" s="6"/>
      <c r="H5265" s="13"/>
    </row>
    <row r="5266">
      <c r="A5266" s="6"/>
      <c r="B5266" s="6"/>
      <c r="H5266" s="13"/>
    </row>
    <row r="5267">
      <c r="A5267" s="6"/>
      <c r="B5267" s="6"/>
      <c r="H5267" s="13"/>
    </row>
    <row r="5268">
      <c r="A5268" s="6"/>
      <c r="B5268" s="6"/>
      <c r="H5268" s="13"/>
    </row>
    <row r="5269">
      <c r="A5269" s="6"/>
      <c r="B5269" s="6"/>
      <c r="H5269" s="13"/>
    </row>
    <row r="5270">
      <c r="A5270" s="6"/>
      <c r="B5270" s="6"/>
      <c r="H5270" s="13"/>
    </row>
    <row r="5271">
      <c r="A5271" s="6"/>
      <c r="B5271" s="6"/>
      <c r="H5271" s="13"/>
    </row>
    <row r="5272">
      <c r="A5272" s="6"/>
      <c r="B5272" s="6"/>
      <c r="H5272" s="13"/>
    </row>
    <row r="5273">
      <c r="A5273" s="6"/>
      <c r="B5273" s="6"/>
      <c r="H5273" s="13"/>
    </row>
    <row r="5274">
      <c r="A5274" s="6"/>
      <c r="B5274" s="6"/>
      <c r="H5274" s="13"/>
    </row>
    <row r="5275">
      <c r="A5275" s="6"/>
      <c r="B5275" s="6"/>
      <c r="H5275" s="13"/>
    </row>
    <row r="5276">
      <c r="A5276" s="6"/>
      <c r="B5276" s="6"/>
      <c r="H5276" s="13"/>
    </row>
    <row r="5277">
      <c r="A5277" s="6"/>
      <c r="B5277" s="6"/>
      <c r="H5277" s="13"/>
    </row>
    <row r="5278">
      <c r="A5278" s="6"/>
      <c r="B5278" s="6"/>
      <c r="H5278" s="13"/>
    </row>
    <row r="5279">
      <c r="A5279" s="6"/>
      <c r="B5279" s="6"/>
      <c r="H5279" s="13"/>
    </row>
    <row r="5280">
      <c r="A5280" s="6"/>
      <c r="B5280" s="6"/>
      <c r="H5280" s="13"/>
    </row>
    <row r="5281">
      <c r="A5281" s="6"/>
      <c r="B5281" s="6"/>
      <c r="H5281" s="13"/>
    </row>
    <row r="5282">
      <c r="A5282" s="6"/>
      <c r="B5282" s="6"/>
      <c r="H5282" s="13"/>
    </row>
    <row r="5283">
      <c r="A5283" s="6"/>
      <c r="B5283" s="6"/>
      <c r="H5283" s="13"/>
    </row>
    <row r="5284">
      <c r="A5284" s="6"/>
      <c r="B5284" s="6"/>
      <c r="H5284" s="13"/>
    </row>
    <row r="5285">
      <c r="A5285" s="6"/>
      <c r="B5285" s="6"/>
      <c r="H5285" s="13"/>
    </row>
    <row r="5286">
      <c r="A5286" s="6"/>
      <c r="B5286" s="6"/>
      <c r="H5286" s="13"/>
    </row>
    <row r="5287">
      <c r="A5287" s="6"/>
      <c r="B5287" s="6"/>
      <c r="H5287" s="13"/>
    </row>
    <row r="5288">
      <c r="A5288" s="6"/>
      <c r="B5288" s="6"/>
      <c r="H5288" s="13"/>
    </row>
    <row r="5289">
      <c r="A5289" s="6"/>
      <c r="B5289" s="6"/>
      <c r="H5289" s="13"/>
    </row>
    <row r="5290">
      <c r="A5290" s="6"/>
      <c r="B5290" s="6"/>
      <c r="H5290" s="13"/>
    </row>
    <row r="5291">
      <c r="A5291" s="6"/>
      <c r="B5291" s="6"/>
      <c r="H5291" s="13"/>
    </row>
    <row r="5292">
      <c r="A5292" s="6"/>
      <c r="B5292" s="6"/>
      <c r="H5292" s="13"/>
    </row>
    <row r="5293">
      <c r="A5293" s="6"/>
      <c r="B5293" s="6"/>
      <c r="H5293" s="13"/>
    </row>
    <row r="5294">
      <c r="A5294" s="6"/>
      <c r="B5294" s="6"/>
      <c r="H5294" s="13"/>
    </row>
    <row r="5295">
      <c r="A5295" s="6"/>
      <c r="B5295" s="6"/>
      <c r="H5295" s="13"/>
    </row>
    <row r="5296">
      <c r="A5296" s="6"/>
      <c r="B5296" s="6"/>
      <c r="H5296" s="13"/>
    </row>
    <row r="5297">
      <c r="A5297" s="6"/>
      <c r="B5297" s="6"/>
      <c r="H5297" s="13"/>
    </row>
    <row r="5298">
      <c r="A5298" s="6"/>
      <c r="B5298" s="6"/>
      <c r="H5298" s="13"/>
    </row>
    <row r="5299">
      <c r="A5299" s="6"/>
      <c r="B5299" s="6"/>
      <c r="H5299" s="13"/>
    </row>
    <row r="5300">
      <c r="A5300" s="6"/>
      <c r="B5300" s="6"/>
      <c r="H5300" s="13"/>
    </row>
    <row r="5301">
      <c r="A5301" s="6"/>
      <c r="B5301" s="6"/>
      <c r="H5301" s="13"/>
    </row>
    <row r="5302">
      <c r="A5302" s="6"/>
      <c r="B5302" s="6"/>
      <c r="H5302" s="13"/>
    </row>
    <row r="5303">
      <c r="A5303" s="6"/>
      <c r="B5303" s="6"/>
      <c r="H5303" s="13"/>
    </row>
    <row r="5304">
      <c r="A5304" s="6"/>
      <c r="B5304" s="6"/>
      <c r="H5304" s="13"/>
    </row>
    <row r="5305">
      <c r="A5305" s="6"/>
      <c r="B5305" s="6"/>
      <c r="H5305" s="13"/>
    </row>
    <row r="5306">
      <c r="A5306" s="6"/>
      <c r="B5306" s="6"/>
      <c r="H5306" s="13"/>
    </row>
    <row r="5307">
      <c r="A5307" s="6"/>
      <c r="B5307" s="6"/>
      <c r="H5307" s="13"/>
    </row>
    <row r="5308">
      <c r="A5308" s="6"/>
      <c r="B5308" s="6"/>
      <c r="H5308" s="13"/>
    </row>
    <row r="5309">
      <c r="A5309" s="6"/>
      <c r="B5309" s="6"/>
      <c r="H5309" s="13"/>
    </row>
    <row r="5310">
      <c r="A5310" s="6"/>
      <c r="B5310" s="6"/>
      <c r="H5310" s="13"/>
    </row>
    <row r="5311">
      <c r="A5311" s="6"/>
      <c r="B5311" s="6"/>
      <c r="H5311" s="13"/>
    </row>
    <row r="5312">
      <c r="A5312" s="6"/>
      <c r="B5312" s="6"/>
      <c r="H5312" s="13"/>
    </row>
    <row r="5313">
      <c r="A5313" s="6"/>
      <c r="B5313" s="6"/>
      <c r="H5313" s="13"/>
    </row>
    <row r="5314">
      <c r="A5314" s="6"/>
      <c r="B5314" s="6"/>
      <c r="H5314" s="13"/>
    </row>
    <row r="5315">
      <c r="A5315" s="6"/>
      <c r="B5315" s="6"/>
      <c r="H5315" s="13"/>
    </row>
    <row r="5316">
      <c r="A5316" s="6"/>
      <c r="B5316" s="6"/>
      <c r="H5316" s="13"/>
    </row>
    <row r="5317">
      <c r="A5317" s="6"/>
      <c r="B5317" s="6"/>
      <c r="H5317" s="13"/>
    </row>
    <row r="5318">
      <c r="A5318" s="6"/>
      <c r="B5318" s="6"/>
      <c r="H5318" s="13"/>
    </row>
    <row r="5319">
      <c r="A5319" s="6"/>
      <c r="B5319" s="6"/>
      <c r="H5319" s="13"/>
    </row>
    <row r="5320">
      <c r="A5320" s="6"/>
      <c r="B5320" s="6"/>
      <c r="H5320" s="13"/>
    </row>
    <row r="5321">
      <c r="A5321" s="6"/>
      <c r="B5321" s="6"/>
      <c r="H5321" s="13"/>
    </row>
    <row r="5322">
      <c r="A5322" s="6"/>
      <c r="B5322" s="6"/>
      <c r="H5322" s="13"/>
    </row>
    <row r="5323">
      <c r="A5323" s="6"/>
      <c r="B5323" s="6"/>
      <c r="H5323" s="13"/>
    </row>
    <row r="5324">
      <c r="A5324" s="6"/>
      <c r="B5324" s="6"/>
      <c r="H5324" s="13"/>
    </row>
    <row r="5325">
      <c r="A5325" s="6"/>
      <c r="B5325" s="6"/>
      <c r="H5325" s="13"/>
    </row>
    <row r="5326">
      <c r="A5326" s="6"/>
      <c r="B5326" s="6"/>
      <c r="H5326" s="13"/>
    </row>
    <row r="5327">
      <c r="A5327" s="6"/>
      <c r="B5327" s="6"/>
      <c r="H5327" s="13"/>
    </row>
    <row r="5328">
      <c r="A5328" s="6"/>
      <c r="B5328" s="6"/>
      <c r="H5328" s="13"/>
    </row>
    <row r="5329">
      <c r="A5329" s="6"/>
      <c r="B5329" s="6"/>
      <c r="H5329" s="13"/>
    </row>
    <row r="5330">
      <c r="A5330" s="6"/>
      <c r="B5330" s="6"/>
      <c r="H5330" s="13"/>
    </row>
    <row r="5331">
      <c r="A5331" s="6"/>
      <c r="B5331" s="6"/>
      <c r="H5331" s="13"/>
    </row>
    <row r="5332">
      <c r="A5332" s="6"/>
      <c r="B5332" s="6"/>
      <c r="H5332" s="13"/>
    </row>
    <row r="5333">
      <c r="A5333" s="6"/>
      <c r="B5333" s="6"/>
      <c r="H5333" s="13"/>
    </row>
    <row r="5334">
      <c r="A5334" s="6"/>
      <c r="B5334" s="6"/>
      <c r="H5334" s="13"/>
    </row>
    <row r="5335">
      <c r="A5335" s="6"/>
      <c r="B5335" s="6"/>
      <c r="H5335" s="13"/>
    </row>
    <row r="5336">
      <c r="A5336" s="6"/>
      <c r="B5336" s="6"/>
      <c r="H5336" s="13"/>
    </row>
    <row r="5337">
      <c r="A5337" s="6"/>
      <c r="B5337" s="6"/>
      <c r="H5337" s="13"/>
    </row>
    <row r="5338">
      <c r="A5338" s="6"/>
      <c r="B5338" s="6"/>
      <c r="H5338" s="13"/>
    </row>
    <row r="5339">
      <c r="A5339" s="6"/>
      <c r="B5339" s="6"/>
      <c r="H5339" s="13"/>
    </row>
    <row r="5340">
      <c r="A5340" s="6"/>
      <c r="B5340" s="6"/>
      <c r="H5340" s="13"/>
    </row>
    <row r="5341">
      <c r="A5341" s="6"/>
      <c r="B5341" s="6"/>
      <c r="H5341" s="13"/>
    </row>
    <row r="5342">
      <c r="A5342" s="6"/>
      <c r="B5342" s="6"/>
      <c r="H5342" s="13"/>
    </row>
    <row r="5343">
      <c r="A5343" s="6"/>
      <c r="B5343" s="6"/>
      <c r="H5343" s="13"/>
    </row>
    <row r="5344">
      <c r="A5344" s="6"/>
      <c r="B5344" s="6"/>
      <c r="H5344" s="13"/>
    </row>
    <row r="5345">
      <c r="A5345" s="6"/>
      <c r="B5345" s="6"/>
      <c r="H5345" s="13"/>
    </row>
    <row r="5346">
      <c r="A5346" s="6"/>
      <c r="B5346" s="6"/>
      <c r="H5346" s="13"/>
    </row>
    <row r="5347">
      <c r="A5347" s="6"/>
      <c r="B5347" s="6"/>
      <c r="H5347" s="13"/>
    </row>
    <row r="5348">
      <c r="A5348" s="6"/>
      <c r="B5348" s="6"/>
      <c r="H5348" s="13"/>
    </row>
    <row r="5349">
      <c r="A5349" s="6"/>
      <c r="B5349" s="6"/>
      <c r="H5349" s="13"/>
    </row>
    <row r="5350">
      <c r="A5350" s="6"/>
      <c r="B5350" s="6"/>
      <c r="H5350" s="13"/>
    </row>
    <row r="5351">
      <c r="A5351" s="6"/>
      <c r="B5351" s="6"/>
      <c r="H5351" s="13"/>
    </row>
    <row r="5352">
      <c r="A5352" s="6"/>
      <c r="B5352" s="6"/>
      <c r="H5352" s="13"/>
    </row>
    <row r="5353">
      <c r="A5353" s="6"/>
      <c r="B5353" s="6"/>
      <c r="H5353" s="13"/>
    </row>
    <row r="5354">
      <c r="A5354" s="6"/>
      <c r="B5354" s="6"/>
      <c r="H5354" s="13"/>
    </row>
    <row r="5355">
      <c r="A5355" s="6"/>
      <c r="B5355" s="6"/>
      <c r="H5355" s="13"/>
    </row>
    <row r="5356">
      <c r="A5356" s="6"/>
      <c r="B5356" s="6"/>
      <c r="H5356" s="13"/>
    </row>
    <row r="5357">
      <c r="A5357" s="6"/>
      <c r="B5357" s="6"/>
      <c r="H5357" s="13"/>
    </row>
    <row r="5358">
      <c r="A5358" s="6"/>
      <c r="B5358" s="6"/>
      <c r="H5358" s="13"/>
    </row>
    <row r="5359">
      <c r="A5359" s="6"/>
      <c r="B5359" s="6"/>
      <c r="H5359" s="13"/>
    </row>
    <row r="5360">
      <c r="A5360" s="6"/>
      <c r="B5360" s="6"/>
      <c r="H5360" s="13"/>
    </row>
    <row r="5361">
      <c r="A5361" s="6"/>
      <c r="B5361" s="6"/>
      <c r="H5361" s="13"/>
    </row>
    <row r="5362">
      <c r="A5362" s="6"/>
      <c r="B5362" s="6"/>
      <c r="H5362" s="13"/>
    </row>
    <row r="5363">
      <c r="A5363" s="6"/>
      <c r="B5363" s="6"/>
      <c r="H5363" s="13"/>
    </row>
    <row r="5364">
      <c r="A5364" s="6"/>
      <c r="B5364" s="6"/>
      <c r="H5364" s="13"/>
    </row>
    <row r="5365">
      <c r="A5365" s="6"/>
      <c r="B5365" s="6"/>
      <c r="H5365" s="13"/>
    </row>
    <row r="5366">
      <c r="A5366" s="6"/>
      <c r="B5366" s="6"/>
      <c r="H5366" s="13"/>
    </row>
    <row r="5367">
      <c r="A5367" s="6"/>
      <c r="B5367" s="6"/>
      <c r="H5367" s="13"/>
    </row>
    <row r="5368">
      <c r="A5368" s="6"/>
      <c r="B5368" s="6"/>
      <c r="H5368" s="13"/>
    </row>
    <row r="5369">
      <c r="A5369" s="6"/>
      <c r="B5369" s="6"/>
      <c r="H5369" s="13"/>
    </row>
    <row r="5370">
      <c r="A5370" s="6"/>
      <c r="B5370" s="6"/>
      <c r="H5370" s="13"/>
    </row>
    <row r="5371">
      <c r="A5371" s="6"/>
      <c r="B5371" s="6"/>
      <c r="H5371" s="13"/>
    </row>
    <row r="5372">
      <c r="A5372" s="6"/>
      <c r="B5372" s="6"/>
      <c r="H5372" s="13"/>
    </row>
    <row r="5373">
      <c r="A5373" s="6"/>
      <c r="B5373" s="6"/>
      <c r="H5373" s="13"/>
    </row>
    <row r="5374">
      <c r="A5374" s="6"/>
      <c r="B5374" s="6"/>
      <c r="H5374" s="13"/>
    </row>
    <row r="5375">
      <c r="A5375" s="6"/>
      <c r="B5375" s="6"/>
      <c r="H5375" s="13"/>
    </row>
    <row r="5376">
      <c r="A5376" s="6"/>
      <c r="B5376" s="6"/>
      <c r="H5376" s="13"/>
    </row>
    <row r="5377">
      <c r="A5377" s="6"/>
      <c r="B5377" s="6"/>
      <c r="H5377" s="13"/>
    </row>
    <row r="5378">
      <c r="A5378" s="6"/>
      <c r="B5378" s="6"/>
      <c r="H5378" s="13"/>
    </row>
    <row r="5379">
      <c r="A5379" s="6"/>
      <c r="B5379" s="6"/>
      <c r="H5379" s="13"/>
    </row>
    <row r="5380">
      <c r="A5380" s="6"/>
      <c r="B5380" s="6"/>
      <c r="H5380" s="13"/>
    </row>
    <row r="5381">
      <c r="A5381" s="6"/>
      <c r="B5381" s="6"/>
      <c r="H5381" s="13"/>
    </row>
    <row r="5382">
      <c r="A5382" s="6"/>
      <c r="B5382" s="6"/>
      <c r="H5382" s="13"/>
    </row>
    <row r="5383">
      <c r="A5383" s="6"/>
      <c r="B5383" s="6"/>
      <c r="H5383" s="13"/>
    </row>
    <row r="5384">
      <c r="A5384" s="6"/>
      <c r="B5384" s="6"/>
      <c r="H5384" s="13"/>
    </row>
    <row r="5385">
      <c r="A5385" s="6"/>
      <c r="B5385" s="6"/>
      <c r="H5385" s="13"/>
    </row>
    <row r="5386">
      <c r="A5386" s="6"/>
      <c r="B5386" s="6"/>
      <c r="H5386" s="13"/>
    </row>
    <row r="5387">
      <c r="A5387" s="6"/>
      <c r="B5387" s="6"/>
      <c r="H5387" s="13"/>
    </row>
    <row r="5388">
      <c r="A5388" s="6"/>
      <c r="B5388" s="6"/>
      <c r="H5388" s="13"/>
    </row>
    <row r="5389">
      <c r="A5389" s="6"/>
      <c r="B5389" s="6"/>
      <c r="H5389" s="13"/>
    </row>
    <row r="5390">
      <c r="A5390" s="6"/>
      <c r="B5390" s="6"/>
      <c r="H5390" s="13"/>
    </row>
    <row r="5391">
      <c r="A5391" s="6"/>
      <c r="B5391" s="6"/>
      <c r="H5391" s="13"/>
    </row>
    <row r="5392">
      <c r="A5392" s="6"/>
      <c r="B5392" s="6"/>
      <c r="H5392" s="13"/>
    </row>
    <row r="5393">
      <c r="A5393" s="6"/>
      <c r="B5393" s="6"/>
      <c r="H5393" s="13"/>
    </row>
    <row r="5394">
      <c r="A5394" s="6"/>
      <c r="B5394" s="6"/>
      <c r="H5394" s="13"/>
    </row>
    <row r="5395">
      <c r="A5395" s="6"/>
      <c r="B5395" s="6"/>
      <c r="H5395" s="13"/>
    </row>
    <row r="5396">
      <c r="A5396" s="6"/>
      <c r="B5396" s="6"/>
      <c r="H5396" s="13"/>
    </row>
    <row r="5397">
      <c r="A5397" s="6"/>
      <c r="B5397" s="6"/>
      <c r="H5397" s="13"/>
    </row>
    <row r="5398">
      <c r="A5398" s="6"/>
      <c r="B5398" s="6"/>
      <c r="H5398" s="13"/>
    </row>
    <row r="5399">
      <c r="A5399" s="6"/>
      <c r="B5399" s="6"/>
      <c r="H5399" s="13"/>
    </row>
    <row r="5400">
      <c r="A5400" s="6"/>
      <c r="B5400" s="6"/>
      <c r="H5400" s="13"/>
    </row>
    <row r="5401">
      <c r="A5401" s="6"/>
      <c r="B5401" s="6"/>
      <c r="H5401" s="13"/>
    </row>
    <row r="5402">
      <c r="A5402" s="6"/>
      <c r="B5402" s="6"/>
      <c r="H5402" s="13"/>
    </row>
    <row r="5403">
      <c r="A5403" s="6"/>
      <c r="B5403" s="6"/>
      <c r="H5403" s="13"/>
    </row>
    <row r="5404">
      <c r="A5404" s="6"/>
      <c r="B5404" s="6"/>
      <c r="H5404" s="13"/>
    </row>
    <row r="5405">
      <c r="A5405" s="6"/>
      <c r="B5405" s="6"/>
      <c r="H5405" s="13"/>
    </row>
    <row r="5406">
      <c r="A5406" s="6"/>
      <c r="B5406" s="6"/>
      <c r="H5406" s="13"/>
    </row>
    <row r="5407">
      <c r="A5407" s="6"/>
      <c r="B5407" s="6"/>
      <c r="H5407" s="13"/>
    </row>
    <row r="5408">
      <c r="A5408" s="6"/>
      <c r="B5408" s="6"/>
      <c r="H5408" s="13"/>
    </row>
    <row r="5409">
      <c r="A5409" s="6"/>
      <c r="B5409" s="6"/>
      <c r="H5409" s="13"/>
    </row>
    <row r="5410">
      <c r="A5410" s="6"/>
      <c r="B5410" s="6"/>
      <c r="H5410" s="13"/>
    </row>
    <row r="5411">
      <c r="A5411" s="6"/>
      <c r="B5411" s="6"/>
      <c r="H5411" s="13"/>
    </row>
    <row r="5412">
      <c r="A5412" s="6"/>
      <c r="B5412" s="6"/>
      <c r="H5412" s="13"/>
    </row>
    <row r="5413">
      <c r="A5413" s="6"/>
      <c r="B5413" s="6"/>
      <c r="H5413" s="13"/>
    </row>
    <row r="5414">
      <c r="A5414" s="6"/>
      <c r="B5414" s="6"/>
      <c r="H5414" s="13"/>
    </row>
    <row r="5415">
      <c r="A5415" s="6"/>
      <c r="B5415" s="6"/>
      <c r="H5415" s="13"/>
    </row>
    <row r="5416">
      <c r="A5416" s="6"/>
      <c r="B5416" s="6"/>
      <c r="H5416" s="13"/>
    </row>
    <row r="5417">
      <c r="A5417" s="6"/>
      <c r="B5417" s="6"/>
      <c r="H5417" s="13"/>
    </row>
    <row r="5418">
      <c r="A5418" s="6"/>
      <c r="B5418" s="6"/>
      <c r="H5418" s="13"/>
    </row>
    <row r="5419">
      <c r="A5419" s="6"/>
      <c r="B5419" s="6"/>
      <c r="H5419" s="13"/>
    </row>
    <row r="5420">
      <c r="A5420" s="6"/>
      <c r="B5420" s="6"/>
      <c r="H5420" s="13"/>
    </row>
    <row r="5421">
      <c r="A5421" s="6"/>
      <c r="B5421" s="6"/>
      <c r="H5421" s="13"/>
    </row>
    <row r="5422">
      <c r="A5422" s="6"/>
      <c r="B5422" s="6"/>
      <c r="H5422" s="13"/>
    </row>
    <row r="5423">
      <c r="A5423" s="6"/>
      <c r="B5423" s="6"/>
      <c r="H5423" s="13"/>
    </row>
    <row r="5424">
      <c r="A5424" s="6"/>
      <c r="B5424" s="6"/>
      <c r="H5424" s="13"/>
    </row>
    <row r="5425">
      <c r="A5425" s="6"/>
      <c r="B5425" s="6"/>
      <c r="H5425" s="13"/>
    </row>
    <row r="5426">
      <c r="A5426" s="6"/>
      <c r="B5426" s="6"/>
      <c r="H5426" s="13"/>
    </row>
    <row r="5427">
      <c r="A5427" s="6"/>
      <c r="B5427" s="6"/>
      <c r="H5427" s="13"/>
    </row>
    <row r="5428">
      <c r="A5428" s="6"/>
      <c r="B5428" s="6"/>
      <c r="H5428" s="13"/>
    </row>
    <row r="5429">
      <c r="A5429" s="6"/>
      <c r="B5429" s="6"/>
      <c r="H5429" s="13"/>
    </row>
    <row r="5430">
      <c r="A5430" s="6"/>
      <c r="B5430" s="6"/>
      <c r="H5430" s="13"/>
    </row>
    <row r="5431">
      <c r="A5431" s="6"/>
      <c r="B5431" s="6"/>
      <c r="H5431" s="13"/>
    </row>
    <row r="5432">
      <c r="A5432" s="6"/>
      <c r="B5432" s="6"/>
      <c r="H5432" s="13"/>
    </row>
    <row r="5433">
      <c r="A5433" s="6"/>
      <c r="B5433" s="6"/>
      <c r="H5433" s="13"/>
    </row>
    <row r="5434">
      <c r="A5434" s="6"/>
      <c r="B5434" s="6"/>
      <c r="H5434" s="13"/>
    </row>
    <row r="5435">
      <c r="A5435" s="6"/>
      <c r="B5435" s="6"/>
      <c r="H5435" s="13"/>
    </row>
    <row r="5436">
      <c r="A5436" s="6"/>
      <c r="B5436" s="6"/>
      <c r="H5436" s="13"/>
    </row>
    <row r="5437">
      <c r="A5437" s="6"/>
      <c r="B5437" s="6"/>
      <c r="H5437" s="13"/>
    </row>
    <row r="5438">
      <c r="A5438" s="6"/>
      <c r="B5438" s="6"/>
      <c r="H5438" s="13"/>
    </row>
    <row r="5439">
      <c r="A5439" s="6"/>
      <c r="B5439" s="6"/>
      <c r="H5439" s="13"/>
    </row>
    <row r="5440">
      <c r="A5440" s="6"/>
      <c r="B5440" s="6"/>
      <c r="H5440" s="13"/>
    </row>
    <row r="5441">
      <c r="A5441" s="6"/>
      <c r="B5441" s="6"/>
      <c r="H5441" s="13"/>
    </row>
    <row r="5442">
      <c r="A5442" s="6"/>
      <c r="B5442" s="6"/>
      <c r="H5442" s="13"/>
    </row>
    <row r="5443">
      <c r="A5443" s="6"/>
      <c r="B5443" s="6"/>
      <c r="H5443" s="13"/>
    </row>
    <row r="5444">
      <c r="A5444" s="6"/>
      <c r="B5444" s="6"/>
      <c r="H5444" s="13"/>
    </row>
    <row r="5445">
      <c r="A5445" s="6"/>
      <c r="B5445" s="6"/>
      <c r="H5445" s="13"/>
    </row>
    <row r="5446">
      <c r="A5446" s="6"/>
      <c r="B5446" s="6"/>
      <c r="H5446" s="13"/>
    </row>
    <row r="5447">
      <c r="A5447" s="6"/>
      <c r="B5447" s="6"/>
      <c r="H5447" s="13"/>
    </row>
    <row r="5448">
      <c r="A5448" s="6"/>
      <c r="B5448" s="6"/>
      <c r="H5448" s="13"/>
    </row>
    <row r="5449">
      <c r="A5449" s="6"/>
      <c r="B5449" s="6"/>
      <c r="H5449" s="13"/>
    </row>
    <row r="5450">
      <c r="A5450" s="6"/>
      <c r="B5450" s="6"/>
      <c r="H5450" s="13"/>
    </row>
    <row r="5451">
      <c r="A5451" s="6"/>
      <c r="B5451" s="6"/>
      <c r="H5451" s="13"/>
    </row>
    <row r="5452">
      <c r="A5452" s="6"/>
      <c r="B5452" s="6"/>
      <c r="H5452" s="13"/>
    </row>
    <row r="5453">
      <c r="A5453" s="6"/>
      <c r="B5453" s="6"/>
      <c r="H5453" s="13"/>
    </row>
    <row r="5454">
      <c r="A5454" s="6"/>
      <c r="B5454" s="6"/>
      <c r="H5454" s="13"/>
    </row>
    <row r="5455">
      <c r="A5455" s="6"/>
      <c r="B5455" s="6"/>
      <c r="H5455" s="13"/>
    </row>
    <row r="5456">
      <c r="A5456" s="6"/>
      <c r="B5456" s="6"/>
      <c r="H5456" s="13"/>
    </row>
    <row r="5457">
      <c r="A5457" s="6"/>
      <c r="B5457" s="6"/>
      <c r="H5457" s="13"/>
    </row>
    <row r="5458">
      <c r="A5458" s="6"/>
      <c r="B5458" s="6"/>
      <c r="H5458" s="13"/>
    </row>
    <row r="5459">
      <c r="A5459" s="6"/>
      <c r="B5459" s="6"/>
      <c r="H5459" s="13"/>
    </row>
    <row r="5460">
      <c r="A5460" s="6"/>
      <c r="B5460" s="6"/>
      <c r="H5460" s="13"/>
    </row>
    <row r="5461">
      <c r="A5461" s="6"/>
      <c r="B5461" s="6"/>
      <c r="H5461" s="13"/>
    </row>
    <row r="5462">
      <c r="A5462" s="6"/>
      <c r="B5462" s="6"/>
      <c r="H5462" s="13"/>
    </row>
    <row r="5463">
      <c r="A5463" s="6"/>
      <c r="B5463" s="6"/>
      <c r="H5463" s="13"/>
    </row>
    <row r="5464">
      <c r="A5464" s="6"/>
      <c r="B5464" s="6"/>
      <c r="H5464" s="13"/>
    </row>
    <row r="5465">
      <c r="A5465" s="6"/>
      <c r="B5465" s="6"/>
      <c r="H5465" s="13"/>
    </row>
    <row r="5466">
      <c r="A5466" s="6"/>
      <c r="B5466" s="6"/>
      <c r="H5466" s="13"/>
    </row>
    <row r="5467">
      <c r="A5467" s="6"/>
      <c r="B5467" s="6"/>
      <c r="H5467" s="13"/>
    </row>
    <row r="5468">
      <c r="A5468" s="6"/>
      <c r="B5468" s="6"/>
      <c r="H5468" s="13"/>
    </row>
    <row r="5469">
      <c r="A5469" s="6"/>
      <c r="B5469" s="6"/>
      <c r="H5469" s="13"/>
    </row>
    <row r="5470">
      <c r="A5470" s="6"/>
      <c r="B5470" s="6"/>
      <c r="H5470" s="13"/>
    </row>
    <row r="5471">
      <c r="A5471" s="6"/>
      <c r="B5471" s="6"/>
      <c r="H5471" s="13"/>
    </row>
    <row r="5472">
      <c r="A5472" s="6"/>
      <c r="B5472" s="6"/>
      <c r="H5472" s="13"/>
    </row>
    <row r="5473">
      <c r="A5473" s="6"/>
      <c r="B5473" s="6"/>
      <c r="H5473" s="13"/>
    </row>
    <row r="5474">
      <c r="A5474" s="6"/>
      <c r="B5474" s="6"/>
      <c r="H5474" s="13"/>
    </row>
    <row r="5475">
      <c r="A5475" s="6"/>
      <c r="B5475" s="6"/>
      <c r="H5475" s="13"/>
    </row>
    <row r="5476">
      <c r="A5476" s="6"/>
      <c r="B5476" s="6"/>
      <c r="H5476" s="13"/>
    </row>
    <row r="5477">
      <c r="A5477" s="6"/>
      <c r="B5477" s="6"/>
      <c r="H5477" s="13"/>
    </row>
    <row r="5478">
      <c r="A5478" s="6"/>
      <c r="B5478" s="6"/>
      <c r="H5478" s="13"/>
    </row>
    <row r="5479">
      <c r="A5479" s="6"/>
      <c r="B5479" s="6"/>
      <c r="H5479" s="13"/>
    </row>
    <row r="5480">
      <c r="A5480" s="6"/>
      <c r="B5480" s="6"/>
      <c r="H5480" s="13"/>
    </row>
    <row r="5481">
      <c r="A5481" s="6"/>
      <c r="B5481" s="6"/>
      <c r="H5481" s="13"/>
    </row>
    <row r="5482">
      <c r="A5482" s="6"/>
      <c r="B5482" s="6"/>
      <c r="H5482" s="13"/>
    </row>
    <row r="5483">
      <c r="A5483" s="6"/>
      <c r="B5483" s="6"/>
      <c r="H5483" s="13"/>
    </row>
    <row r="5484">
      <c r="A5484" s="6"/>
      <c r="B5484" s="6"/>
      <c r="H5484" s="13"/>
    </row>
    <row r="5485">
      <c r="A5485" s="6"/>
      <c r="B5485" s="6"/>
      <c r="H5485" s="13"/>
    </row>
    <row r="5486">
      <c r="A5486" s="6"/>
      <c r="B5486" s="6"/>
      <c r="H5486" s="13"/>
    </row>
    <row r="5487">
      <c r="A5487" s="6"/>
      <c r="B5487" s="6"/>
      <c r="H5487" s="13"/>
    </row>
    <row r="5488">
      <c r="A5488" s="6"/>
      <c r="B5488" s="6"/>
      <c r="H5488" s="13"/>
    </row>
    <row r="5489">
      <c r="A5489" s="6"/>
      <c r="B5489" s="6"/>
      <c r="H5489" s="13"/>
    </row>
    <row r="5490">
      <c r="A5490" s="6"/>
      <c r="B5490" s="6"/>
      <c r="H5490" s="13"/>
    </row>
    <row r="5491">
      <c r="A5491" s="6"/>
      <c r="B5491" s="6"/>
      <c r="H5491" s="13"/>
    </row>
    <row r="5492">
      <c r="A5492" s="6"/>
      <c r="B5492" s="6"/>
      <c r="H5492" s="13"/>
    </row>
    <row r="5493">
      <c r="A5493" s="6"/>
      <c r="B5493" s="6"/>
      <c r="H5493" s="13"/>
    </row>
    <row r="5494">
      <c r="A5494" s="6"/>
      <c r="B5494" s="6"/>
      <c r="H5494" s="13"/>
    </row>
    <row r="5495">
      <c r="A5495" s="6"/>
      <c r="B5495" s="6"/>
      <c r="H5495" s="13"/>
    </row>
    <row r="5496">
      <c r="A5496" s="6"/>
      <c r="B5496" s="6"/>
      <c r="H5496" s="13"/>
    </row>
    <row r="5497">
      <c r="A5497" s="6"/>
      <c r="B5497" s="6"/>
      <c r="H5497" s="13"/>
    </row>
    <row r="5498">
      <c r="A5498" s="6"/>
      <c r="B5498" s="6"/>
      <c r="H5498" s="13"/>
    </row>
    <row r="5499">
      <c r="A5499" s="6"/>
      <c r="B5499" s="6"/>
      <c r="H5499" s="13"/>
    </row>
    <row r="5500">
      <c r="A5500" s="6"/>
      <c r="B5500" s="6"/>
      <c r="H5500" s="13"/>
    </row>
    <row r="5501">
      <c r="A5501" s="6"/>
      <c r="B5501" s="6"/>
      <c r="H5501" s="13"/>
    </row>
    <row r="5502">
      <c r="A5502" s="6"/>
      <c r="B5502" s="6"/>
      <c r="H5502" s="13"/>
    </row>
    <row r="5503">
      <c r="A5503" s="6"/>
      <c r="B5503" s="6"/>
      <c r="H5503" s="13"/>
    </row>
    <row r="5504">
      <c r="A5504" s="6"/>
      <c r="B5504" s="6"/>
      <c r="H5504" s="13"/>
    </row>
    <row r="5505">
      <c r="A5505" s="6"/>
      <c r="B5505" s="6"/>
      <c r="H5505" s="13"/>
    </row>
    <row r="5506">
      <c r="A5506" s="6"/>
      <c r="B5506" s="6"/>
      <c r="H5506" s="13"/>
    </row>
    <row r="5507">
      <c r="A5507" s="6"/>
      <c r="B5507" s="6"/>
      <c r="H5507" s="13"/>
    </row>
    <row r="5508">
      <c r="A5508" s="6"/>
      <c r="B5508" s="6"/>
      <c r="H5508" s="13"/>
    </row>
    <row r="5509">
      <c r="A5509" s="6"/>
      <c r="B5509" s="6"/>
      <c r="H5509" s="13"/>
    </row>
    <row r="5510">
      <c r="A5510" s="6"/>
      <c r="B5510" s="6"/>
      <c r="H5510" s="13"/>
    </row>
    <row r="5511">
      <c r="A5511" s="6"/>
      <c r="B5511" s="6"/>
      <c r="H5511" s="13"/>
    </row>
    <row r="5512">
      <c r="A5512" s="6"/>
      <c r="B5512" s="6"/>
      <c r="H5512" s="13"/>
    </row>
    <row r="5513">
      <c r="A5513" s="6"/>
      <c r="B5513" s="6"/>
      <c r="H5513" s="13"/>
    </row>
    <row r="5514">
      <c r="A5514" s="6"/>
      <c r="B5514" s="6"/>
      <c r="H5514" s="13"/>
    </row>
    <row r="5515">
      <c r="A5515" s="6"/>
      <c r="B5515" s="6"/>
      <c r="H5515" s="13"/>
    </row>
    <row r="5516">
      <c r="A5516" s="6"/>
      <c r="B5516" s="6"/>
      <c r="H5516" s="13"/>
    </row>
    <row r="5517">
      <c r="A5517" s="6"/>
      <c r="B5517" s="6"/>
      <c r="H5517" s="13"/>
    </row>
    <row r="5518">
      <c r="A5518" s="6"/>
      <c r="B5518" s="6"/>
      <c r="H5518" s="13"/>
    </row>
    <row r="5519">
      <c r="A5519" s="6"/>
      <c r="B5519" s="6"/>
      <c r="H5519" s="13"/>
    </row>
    <row r="5520">
      <c r="A5520" s="6"/>
      <c r="B5520" s="6"/>
      <c r="H5520" s="13"/>
    </row>
    <row r="5521">
      <c r="A5521" s="6"/>
      <c r="B5521" s="6"/>
      <c r="H5521" s="13"/>
    </row>
    <row r="5522">
      <c r="A5522" s="6"/>
      <c r="B5522" s="6"/>
      <c r="H5522" s="13"/>
    </row>
    <row r="5523">
      <c r="A5523" s="6"/>
      <c r="B5523" s="6"/>
      <c r="H5523" s="13"/>
    </row>
    <row r="5524">
      <c r="A5524" s="6"/>
      <c r="B5524" s="6"/>
      <c r="H5524" s="13"/>
    </row>
    <row r="5525">
      <c r="A5525" s="6"/>
      <c r="B5525" s="6"/>
      <c r="H5525" s="13"/>
    </row>
    <row r="5526">
      <c r="A5526" s="6"/>
      <c r="B5526" s="6"/>
      <c r="H5526" s="13"/>
    </row>
    <row r="5527">
      <c r="A5527" s="6"/>
      <c r="B5527" s="6"/>
      <c r="H5527" s="13"/>
    </row>
    <row r="5528">
      <c r="A5528" s="6"/>
      <c r="B5528" s="6"/>
      <c r="H5528" s="13"/>
    </row>
    <row r="5529">
      <c r="A5529" s="6"/>
      <c r="B5529" s="6"/>
      <c r="H5529" s="13"/>
    </row>
    <row r="5530">
      <c r="A5530" s="6"/>
      <c r="B5530" s="6"/>
      <c r="H5530" s="13"/>
    </row>
    <row r="5531">
      <c r="A5531" s="6"/>
      <c r="B5531" s="6"/>
      <c r="H5531" s="13"/>
    </row>
    <row r="5532">
      <c r="A5532" s="6"/>
      <c r="B5532" s="6"/>
      <c r="H5532" s="13"/>
    </row>
    <row r="5533">
      <c r="A5533" s="6"/>
      <c r="B5533" s="6"/>
      <c r="H5533" s="13"/>
    </row>
    <row r="5534">
      <c r="A5534" s="6"/>
      <c r="B5534" s="6"/>
      <c r="H5534" s="13"/>
    </row>
    <row r="5535">
      <c r="A5535" s="6"/>
      <c r="B5535" s="6"/>
      <c r="H5535" s="13"/>
    </row>
    <row r="5536">
      <c r="A5536" s="6"/>
      <c r="B5536" s="6"/>
      <c r="H5536" s="13"/>
    </row>
    <row r="5537">
      <c r="A5537" s="6"/>
      <c r="B5537" s="6"/>
      <c r="H5537" s="13"/>
    </row>
    <row r="5538">
      <c r="A5538" s="6"/>
      <c r="B5538" s="6"/>
      <c r="H5538" s="13"/>
    </row>
    <row r="5539">
      <c r="A5539" s="6"/>
      <c r="B5539" s="6"/>
      <c r="H5539" s="13"/>
    </row>
    <row r="5540">
      <c r="A5540" s="6"/>
      <c r="B5540" s="6"/>
      <c r="H5540" s="13"/>
    </row>
    <row r="5541">
      <c r="A5541" s="6"/>
      <c r="B5541" s="6"/>
      <c r="H5541" s="13"/>
    </row>
    <row r="5542">
      <c r="A5542" s="6"/>
      <c r="B5542" s="6"/>
      <c r="H5542" s="13"/>
    </row>
    <row r="5543">
      <c r="A5543" s="6"/>
      <c r="B5543" s="6"/>
      <c r="H5543" s="13"/>
    </row>
    <row r="5544">
      <c r="A5544" s="6"/>
      <c r="B5544" s="6"/>
      <c r="H5544" s="13"/>
    </row>
    <row r="5545">
      <c r="A5545" s="6"/>
      <c r="B5545" s="6"/>
      <c r="H5545" s="13"/>
    </row>
    <row r="5546">
      <c r="A5546" s="6"/>
      <c r="B5546" s="6"/>
      <c r="H5546" s="13"/>
    </row>
    <row r="5547">
      <c r="A5547" s="6"/>
      <c r="B5547" s="6"/>
      <c r="H5547" s="13"/>
    </row>
    <row r="5548">
      <c r="A5548" s="6"/>
      <c r="B5548" s="6"/>
      <c r="H5548" s="13"/>
    </row>
    <row r="5549">
      <c r="A5549" s="6"/>
      <c r="B5549" s="6"/>
      <c r="H5549" s="13"/>
    </row>
    <row r="5550">
      <c r="A5550" s="6"/>
      <c r="B5550" s="6"/>
      <c r="H5550" s="13"/>
    </row>
    <row r="5551">
      <c r="A5551" s="6"/>
      <c r="B5551" s="6"/>
      <c r="H5551" s="13"/>
    </row>
    <row r="5552">
      <c r="A5552" s="6"/>
      <c r="B5552" s="6"/>
      <c r="H5552" s="13"/>
    </row>
    <row r="5553">
      <c r="A5553" s="6"/>
      <c r="B5553" s="6"/>
      <c r="H5553" s="13"/>
    </row>
    <row r="5554">
      <c r="A5554" s="6"/>
      <c r="B5554" s="6"/>
      <c r="H5554" s="13"/>
    </row>
    <row r="5555">
      <c r="A5555" s="6"/>
      <c r="B5555" s="6"/>
      <c r="H5555" s="13"/>
    </row>
    <row r="5556">
      <c r="A5556" s="6"/>
      <c r="B5556" s="6"/>
      <c r="H5556" s="13"/>
    </row>
    <row r="5557">
      <c r="A5557" s="6"/>
      <c r="B5557" s="6"/>
      <c r="H5557" s="13"/>
    </row>
    <row r="5558">
      <c r="A5558" s="6"/>
      <c r="B5558" s="6"/>
      <c r="H5558" s="13"/>
    </row>
    <row r="5559">
      <c r="A5559" s="6"/>
      <c r="B5559" s="6"/>
      <c r="H5559" s="13"/>
    </row>
    <row r="5560">
      <c r="A5560" s="6"/>
      <c r="B5560" s="6"/>
      <c r="H5560" s="13"/>
    </row>
    <row r="5561">
      <c r="A5561" s="6"/>
      <c r="B5561" s="6"/>
      <c r="H5561" s="13"/>
    </row>
    <row r="5562">
      <c r="A5562" s="6"/>
      <c r="B5562" s="6"/>
      <c r="H5562" s="13"/>
    </row>
    <row r="5563">
      <c r="A5563" s="6"/>
      <c r="B5563" s="6"/>
      <c r="H5563" s="13"/>
    </row>
    <row r="5564">
      <c r="A5564" s="6"/>
      <c r="B5564" s="6"/>
      <c r="H5564" s="13"/>
    </row>
    <row r="5565">
      <c r="A5565" s="6"/>
      <c r="B5565" s="6"/>
      <c r="H5565" s="13"/>
    </row>
    <row r="5566">
      <c r="A5566" s="6"/>
      <c r="B5566" s="6"/>
      <c r="H5566" s="13"/>
    </row>
    <row r="5567">
      <c r="A5567" s="6"/>
      <c r="B5567" s="6"/>
      <c r="H5567" s="13"/>
    </row>
    <row r="5568">
      <c r="A5568" s="6"/>
      <c r="B5568" s="6"/>
      <c r="H5568" s="13"/>
    </row>
    <row r="5569">
      <c r="A5569" s="6"/>
      <c r="B5569" s="6"/>
      <c r="H5569" s="13"/>
    </row>
    <row r="5570">
      <c r="A5570" s="6"/>
      <c r="B5570" s="6"/>
      <c r="H5570" s="13"/>
    </row>
    <row r="5571">
      <c r="A5571" s="6"/>
      <c r="B5571" s="6"/>
      <c r="H5571" s="13"/>
    </row>
    <row r="5572">
      <c r="A5572" s="6"/>
      <c r="B5572" s="6"/>
      <c r="H5572" s="13"/>
    </row>
    <row r="5573">
      <c r="A5573" s="6"/>
      <c r="B5573" s="6"/>
      <c r="H5573" s="13"/>
    </row>
    <row r="5574">
      <c r="A5574" s="6"/>
      <c r="B5574" s="6"/>
      <c r="H5574" s="13"/>
    </row>
    <row r="5575">
      <c r="A5575" s="6"/>
      <c r="B5575" s="6"/>
      <c r="H5575" s="13"/>
    </row>
    <row r="5576">
      <c r="A5576" s="6"/>
      <c r="B5576" s="6"/>
      <c r="H5576" s="13"/>
    </row>
    <row r="5577">
      <c r="A5577" s="6"/>
      <c r="B5577" s="6"/>
      <c r="H5577" s="13"/>
    </row>
    <row r="5578">
      <c r="A5578" s="6"/>
      <c r="B5578" s="6"/>
      <c r="H5578" s="13"/>
    </row>
    <row r="5579">
      <c r="A5579" s="6"/>
      <c r="B5579" s="6"/>
      <c r="H5579" s="13"/>
    </row>
    <row r="5580">
      <c r="A5580" s="6"/>
      <c r="B5580" s="6"/>
      <c r="H5580" s="13"/>
    </row>
    <row r="5581">
      <c r="A5581" s="6"/>
      <c r="B5581" s="6"/>
      <c r="H5581" s="13"/>
    </row>
    <row r="5582">
      <c r="A5582" s="6"/>
      <c r="B5582" s="6"/>
      <c r="H5582" s="13"/>
    </row>
    <row r="5583">
      <c r="A5583" s="6"/>
      <c r="B5583" s="6"/>
      <c r="H5583" s="13"/>
    </row>
    <row r="5584">
      <c r="A5584" s="6"/>
      <c r="B5584" s="6"/>
      <c r="H5584" s="13"/>
    </row>
    <row r="5585">
      <c r="A5585" s="6"/>
      <c r="B5585" s="6"/>
      <c r="H5585" s="13"/>
    </row>
    <row r="5586">
      <c r="A5586" s="6"/>
      <c r="B5586" s="6"/>
      <c r="H5586" s="13"/>
    </row>
    <row r="5587">
      <c r="A5587" s="6"/>
      <c r="B5587" s="6"/>
      <c r="H5587" s="13"/>
    </row>
    <row r="5588">
      <c r="A5588" s="6"/>
      <c r="B5588" s="6"/>
      <c r="H5588" s="13"/>
    </row>
    <row r="5589">
      <c r="A5589" s="6"/>
      <c r="B5589" s="6"/>
      <c r="H5589" s="13"/>
    </row>
    <row r="5590">
      <c r="A5590" s="6"/>
      <c r="B5590" s="6"/>
      <c r="H5590" s="13"/>
    </row>
    <row r="5591">
      <c r="A5591" s="6"/>
      <c r="B5591" s="6"/>
      <c r="H5591" s="13"/>
    </row>
    <row r="5592">
      <c r="A5592" s="6"/>
      <c r="B5592" s="6"/>
      <c r="H5592" s="13"/>
    </row>
    <row r="5593">
      <c r="A5593" s="6"/>
      <c r="B5593" s="6"/>
      <c r="H5593" s="13"/>
    </row>
    <row r="5594">
      <c r="A5594" s="6"/>
      <c r="B5594" s="6"/>
      <c r="H5594" s="13"/>
    </row>
    <row r="5595">
      <c r="A5595" s="6"/>
      <c r="B5595" s="6"/>
      <c r="H5595" s="13"/>
    </row>
    <row r="5596">
      <c r="A5596" s="6"/>
      <c r="B5596" s="6"/>
      <c r="H5596" s="13"/>
    </row>
    <row r="5597">
      <c r="A5597" s="6"/>
      <c r="B5597" s="6"/>
      <c r="H5597" s="13"/>
    </row>
    <row r="5598">
      <c r="A5598" s="6"/>
      <c r="B5598" s="6"/>
      <c r="H5598" s="13"/>
    </row>
    <row r="5599">
      <c r="A5599" s="6"/>
      <c r="B5599" s="6"/>
      <c r="H5599" s="13"/>
    </row>
    <row r="5600">
      <c r="A5600" s="6"/>
      <c r="B5600" s="6"/>
      <c r="H5600" s="13"/>
    </row>
    <row r="5601">
      <c r="A5601" s="6"/>
      <c r="B5601" s="6"/>
      <c r="H5601" s="13"/>
    </row>
    <row r="5602">
      <c r="A5602" s="6"/>
      <c r="B5602" s="6"/>
      <c r="H5602" s="13"/>
    </row>
    <row r="5603">
      <c r="A5603" s="6"/>
      <c r="B5603" s="6"/>
      <c r="H5603" s="13"/>
    </row>
    <row r="5604">
      <c r="A5604" s="6"/>
      <c r="B5604" s="6"/>
      <c r="H5604" s="13"/>
    </row>
    <row r="5605">
      <c r="A5605" s="6"/>
      <c r="B5605" s="6"/>
      <c r="H5605" s="13"/>
    </row>
    <row r="5606">
      <c r="A5606" s="6"/>
      <c r="B5606" s="6"/>
      <c r="H5606" s="13"/>
    </row>
    <row r="5607">
      <c r="A5607" s="6"/>
      <c r="B5607" s="6"/>
      <c r="H5607" s="13"/>
    </row>
    <row r="5608">
      <c r="A5608" s="6"/>
      <c r="B5608" s="6"/>
      <c r="H5608" s="13"/>
    </row>
    <row r="5609">
      <c r="A5609" s="6"/>
      <c r="B5609" s="6"/>
      <c r="H5609" s="13"/>
    </row>
    <row r="5610">
      <c r="A5610" s="6"/>
      <c r="B5610" s="6"/>
      <c r="H5610" s="13"/>
    </row>
    <row r="5611">
      <c r="A5611" s="6"/>
      <c r="B5611" s="6"/>
      <c r="H5611" s="13"/>
    </row>
    <row r="5612">
      <c r="A5612" s="6"/>
      <c r="B5612" s="6"/>
      <c r="H5612" s="13"/>
    </row>
    <row r="5613">
      <c r="A5613" s="6"/>
      <c r="B5613" s="6"/>
      <c r="H5613" s="13"/>
    </row>
    <row r="5614">
      <c r="A5614" s="6"/>
      <c r="B5614" s="6"/>
      <c r="H5614" s="13"/>
    </row>
    <row r="5615">
      <c r="A5615" s="6"/>
      <c r="B5615" s="6"/>
      <c r="H5615" s="13"/>
    </row>
    <row r="5616">
      <c r="A5616" s="6"/>
      <c r="B5616" s="6"/>
      <c r="H5616" s="13"/>
    </row>
    <row r="5617">
      <c r="A5617" s="6"/>
      <c r="B5617" s="6"/>
      <c r="H5617" s="13"/>
    </row>
    <row r="5618">
      <c r="A5618" s="6"/>
      <c r="B5618" s="6"/>
      <c r="H5618" s="13"/>
    </row>
    <row r="5619">
      <c r="A5619" s="6"/>
      <c r="B5619" s="6"/>
      <c r="H5619" s="13"/>
    </row>
    <row r="5620">
      <c r="A5620" s="6"/>
      <c r="B5620" s="6"/>
      <c r="H5620" s="13"/>
    </row>
    <row r="5621">
      <c r="A5621" s="6"/>
      <c r="B5621" s="6"/>
      <c r="H5621" s="13"/>
    </row>
    <row r="5622">
      <c r="A5622" s="6"/>
      <c r="B5622" s="6"/>
      <c r="H5622" s="13"/>
    </row>
    <row r="5623">
      <c r="A5623" s="6"/>
      <c r="B5623" s="6"/>
      <c r="H5623" s="13"/>
    </row>
    <row r="5624">
      <c r="A5624" s="6"/>
      <c r="B5624" s="6"/>
      <c r="H5624" s="13"/>
    </row>
    <row r="5625">
      <c r="A5625" s="6"/>
      <c r="B5625" s="6"/>
      <c r="H5625" s="13"/>
    </row>
    <row r="5626">
      <c r="A5626" s="6"/>
      <c r="B5626" s="6"/>
      <c r="H5626" s="13"/>
    </row>
    <row r="5627">
      <c r="A5627" s="6"/>
      <c r="B5627" s="6"/>
      <c r="H5627" s="13"/>
    </row>
    <row r="5628">
      <c r="A5628" s="6"/>
      <c r="B5628" s="6"/>
      <c r="H5628" s="13"/>
    </row>
    <row r="5629">
      <c r="A5629" s="6"/>
      <c r="B5629" s="6"/>
      <c r="H5629" s="13"/>
    </row>
    <row r="5630">
      <c r="A5630" s="6"/>
      <c r="B5630" s="6"/>
      <c r="H5630" s="13"/>
    </row>
    <row r="5631">
      <c r="A5631" s="6"/>
      <c r="B5631" s="6"/>
      <c r="H5631" s="13"/>
    </row>
    <row r="5632">
      <c r="A5632" s="6"/>
      <c r="B5632" s="6"/>
      <c r="H5632" s="13"/>
    </row>
    <row r="5633">
      <c r="A5633" s="6"/>
      <c r="B5633" s="6"/>
      <c r="H5633" s="13"/>
    </row>
    <row r="5634">
      <c r="A5634" s="6"/>
      <c r="B5634" s="6"/>
      <c r="H5634" s="13"/>
    </row>
    <row r="5635">
      <c r="A5635" s="6"/>
      <c r="B5635" s="6"/>
      <c r="H5635" s="13"/>
    </row>
    <row r="5636">
      <c r="A5636" s="6"/>
      <c r="B5636" s="6"/>
      <c r="H5636" s="13"/>
    </row>
    <row r="5637">
      <c r="A5637" s="6"/>
      <c r="B5637" s="6"/>
      <c r="H5637" s="13"/>
    </row>
    <row r="5638">
      <c r="A5638" s="6"/>
      <c r="B5638" s="6"/>
      <c r="H5638" s="13"/>
    </row>
    <row r="5639">
      <c r="A5639" s="6"/>
      <c r="B5639" s="6"/>
      <c r="H5639" s="13"/>
    </row>
    <row r="5640">
      <c r="A5640" s="6"/>
      <c r="B5640" s="6"/>
      <c r="H5640" s="13"/>
    </row>
    <row r="5641">
      <c r="A5641" s="6"/>
      <c r="B5641" s="6"/>
      <c r="H5641" s="13"/>
    </row>
    <row r="5642">
      <c r="A5642" s="6"/>
      <c r="B5642" s="6"/>
      <c r="H5642" s="13"/>
    </row>
    <row r="5643">
      <c r="A5643" s="6"/>
      <c r="B5643" s="6"/>
      <c r="H5643" s="13"/>
    </row>
    <row r="5644">
      <c r="A5644" s="6"/>
      <c r="B5644" s="6"/>
      <c r="H5644" s="13"/>
    </row>
    <row r="5645">
      <c r="A5645" s="6"/>
      <c r="B5645" s="6"/>
      <c r="H5645" s="13"/>
    </row>
    <row r="5646">
      <c r="A5646" s="6"/>
      <c r="B5646" s="6"/>
      <c r="H5646" s="13"/>
    </row>
    <row r="5647">
      <c r="A5647" s="6"/>
      <c r="B5647" s="6"/>
      <c r="H5647" s="13"/>
    </row>
    <row r="5648">
      <c r="A5648" s="6"/>
      <c r="B5648" s="6"/>
      <c r="H5648" s="13"/>
    </row>
    <row r="5649">
      <c r="A5649" s="6"/>
      <c r="B5649" s="6"/>
      <c r="H5649" s="13"/>
    </row>
    <row r="5650">
      <c r="A5650" s="6"/>
      <c r="B5650" s="6"/>
      <c r="H5650" s="13"/>
    </row>
    <row r="5651">
      <c r="A5651" s="6"/>
      <c r="B5651" s="6"/>
      <c r="H5651" s="13"/>
    </row>
    <row r="5652">
      <c r="A5652" s="6"/>
      <c r="B5652" s="6"/>
      <c r="H5652" s="13"/>
    </row>
    <row r="5653">
      <c r="A5653" s="6"/>
      <c r="B5653" s="6"/>
      <c r="H5653" s="13"/>
    </row>
    <row r="5654">
      <c r="A5654" s="6"/>
      <c r="B5654" s="6"/>
      <c r="H5654" s="13"/>
    </row>
    <row r="5655">
      <c r="A5655" s="6"/>
      <c r="B5655" s="6"/>
      <c r="H5655" s="13"/>
    </row>
    <row r="5656">
      <c r="A5656" s="6"/>
      <c r="B5656" s="6"/>
      <c r="H5656" s="13"/>
    </row>
    <row r="5657">
      <c r="A5657" s="6"/>
      <c r="B5657" s="6"/>
      <c r="H5657" s="13"/>
    </row>
    <row r="5658">
      <c r="A5658" s="6"/>
      <c r="B5658" s="6"/>
      <c r="H5658" s="13"/>
    </row>
    <row r="5659">
      <c r="A5659" s="6"/>
      <c r="B5659" s="6"/>
      <c r="H5659" s="13"/>
    </row>
    <row r="5660">
      <c r="A5660" s="6"/>
      <c r="B5660" s="6"/>
      <c r="H5660" s="13"/>
    </row>
    <row r="5661">
      <c r="A5661" s="6"/>
      <c r="B5661" s="6"/>
      <c r="H5661" s="13"/>
    </row>
    <row r="5662">
      <c r="A5662" s="6"/>
      <c r="B5662" s="6"/>
      <c r="H5662" s="13"/>
    </row>
    <row r="5663">
      <c r="A5663" s="6"/>
      <c r="B5663" s="6"/>
      <c r="H5663" s="13"/>
    </row>
    <row r="5664">
      <c r="A5664" s="6"/>
      <c r="B5664" s="6"/>
      <c r="H5664" s="13"/>
    </row>
    <row r="5665">
      <c r="A5665" s="6"/>
      <c r="B5665" s="6"/>
      <c r="H5665" s="13"/>
    </row>
    <row r="5666">
      <c r="A5666" s="6"/>
      <c r="B5666" s="6"/>
      <c r="H5666" s="13"/>
    </row>
    <row r="5667">
      <c r="A5667" s="6"/>
      <c r="B5667" s="6"/>
      <c r="H5667" s="13"/>
    </row>
    <row r="5668">
      <c r="A5668" s="6"/>
      <c r="B5668" s="6"/>
      <c r="H5668" s="13"/>
    </row>
    <row r="5669">
      <c r="A5669" s="6"/>
      <c r="B5669" s="6"/>
      <c r="H5669" s="13"/>
    </row>
    <row r="5670">
      <c r="A5670" s="6"/>
      <c r="B5670" s="6"/>
      <c r="H5670" s="13"/>
    </row>
    <row r="5671">
      <c r="A5671" s="6"/>
      <c r="B5671" s="6"/>
      <c r="H5671" s="13"/>
    </row>
    <row r="5672">
      <c r="A5672" s="6"/>
      <c r="B5672" s="6"/>
      <c r="H5672" s="13"/>
    </row>
    <row r="5673">
      <c r="A5673" s="6"/>
      <c r="B5673" s="6"/>
      <c r="H5673" s="13"/>
    </row>
    <row r="5674">
      <c r="A5674" s="6"/>
      <c r="B5674" s="6"/>
      <c r="H5674" s="13"/>
    </row>
    <row r="5675">
      <c r="A5675" s="6"/>
      <c r="B5675" s="6"/>
      <c r="H5675" s="13"/>
    </row>
    <row r="5676">
      <c r="A5676" s="6"/>
      <c r="B5676" s="6"/>
      <c r="H5676" s="13"/>
    </row>
    <row r="5677">
      <c r="A5677" s="6"/>
      <c r="B5677" s="6"/>
      <c r="H5677" s="13"/>
    </row>
    <row r="5678">
      <c r="A5678" s="6"/>
      <c r="B5678" s="6"/>
      <c r="H5678" s="13"/>
    </row>
    <row r="5679">
      <c r="A5679" s="6"/>
      <c r="B5679" s="6"/>
      <c r="H5679" s="13"/>
    </row>
    <row r="5680">
      <c r="A5680" s="6"/>
      <c r="B5680" s="6"/>
      <c r="H5680" s="13"/>
    </row>
    <row r="5681">
      <c r="A5681" s="6"/>
      <c r="B5681" s="6"/>
      <c r="H5681" s="13"/>
    </row>
    <row r="5682">
      <c r="A5682" s="6"/>
      <c r="B5682" s="6"/>
      <c r="H5682" s="13"/>
    </row>
    <row r="5683">
      <c r="A5683" s="6"/>
      <c r="B5683" s="6"/>
      <c r="H5683" s="13"/>
    </row>
    <row r="5684">
      <c r="A5684" s="6"/>
      <c r="B5684" s="6"/>
      <c r="H5684" s="13"/>
    </row>
    <row r="5685">
      <c r="A5685" s="6"/>
      <c r="B5685" s="6"/>
      <c r="H5685" s="13"/>
    </row>
    <row r="5686">
      <c r="A5686" s="6"/>
      <c r="B5686" s="6"/>
      <c r="H5686" s="13"/>
    </row>
    <row r="5687">
      <c r="A5687" s="6"/>
      <c r="B5687" s="6"/>
      <c r="H5687" s="13"/>
    </row>
    <row r="5688">
      <c r="A5688" s="6"/>
      <c r="B5688" s="6"/>
      <c r="H5688" s="13"/>
    </row>
    <row r="5689">
      <c r="A5689" s="6"/>
      <c r="B5689" s="6"/>
      <c r="H5689" s="13"/>
    </row>
    <row r="5690">
      <c r="A5690" s="6"/>
      <c r="B5690" s="6"/>
      <c r="H5690" s="13"/>
    </row>
    <row r="5691">
      <c r="A5691" s="6"/>
      <c r="B5691" s="6"/>
      <c r="H5691" s="13"/>
    </row>
    <row r="5692">
      <c r="A5692" s="6"/>
      <c r="B5692" s="6"/>
      <c r="H5692" s="13"/>
    </row>
    <row r="5693">
      <c r="A5693" s="6"/>
      <c r="B5693" s="6"/>
      <c r="H5693" s="13"/>
    </row>
    <row r="5694">
      <c r="A5694" s="6"/>
      <c r="B5694" s="6"/>
      <c r="H5694" s="13"/>
    </row>
    <row r="5695">
      <c r="A5695" s="6"/>
      <c r="B5695" s="6"/>
      <c r="H5695" s="13"/>
    </row>
    <row r="5696">
      <c r="A5696" s="6"/>
      <c r="B5696" s="6"/>
      <c r="H5696" s="13"/>
    </row>
    <row r="5697">
      <c r="A5697" s="6"/>
      <c r="B5697" s="6"/>
      <c r="H5697" s="13"/>
    </row>
    <row r="5698">
      <c r="A5698" s="6"/>
      <c r="B5698" s="6"/>
      <c r="H5698" s="13"/>
    </row>
    <row r="5699">
      <c r="A5699" s="6"/>
      <c r="B5699" s="6"/>
      <c r="H5699" s="13"/>
    </row>
    <row r="5700">
      <c r="A5700" s="6"/>
      <c r="B5700" s="6"/>
      <c r="H5700" s="13"/>
    </row>
    <row r="5701">
      <c r="A5701" s="6"/>
      <c r="B5701" s="6"/>
      <c r="H5701" s="13"/>
    </row>
    <row r="5702">
      <c r="A5702" s="6"/>
      <c r="B5702" s="6"/>
      <c r="H5702" s="13"/>
    </row>
    <row r="5703">
      <c r="A5703" s="6"/>
      <c r="B5703" s="6"/>
      <c r="H5703" s="13"/>
    </row>
    <row r="5704">
      <c r="A5704" s="6"/>
      <c r="B5704" s="6"/>
      <c r="H5704" s="13"/>
    </row>
    <row r="5705">
      <c r="A5705" s="6"/>
      <c r="B5705" s="6"/>
      <c r="H5705" s="13"/>
    </row>
    <row r="5706">
      <c r="A5706" s="6"/>
      <c r="B5706" s="6"/>
      <c r="H5706" s="13"/>
    </row>
    <row r="5707">
      <c r="A5707" s="6"/>
      <c r="B5707" s="6"/>
      <c r="H5707" s="13"/>
    </row>
    <row r="5708">
      <c r="A5708" s="6"/>
      <c r="B5708" s="6"/>
      <c r="H5708" s="13"/>
    </row>
    <row r="5709">
      <c r="A5709" s="6"/>
      <c r="B5709" s="6"/>
      <c r="H5709" s="13"/>
    </row>
    <row r="5710">
      <c r="A5710" s="6"/>
      <c r="B5710" s="6"/>
      <c r="H5710" s="13"/>
    </row>
    <row r="5711">
      <c r="A5711" s="6"/>
      <c r="B5711" s="6"/>
      <c r="H5711" s="13"/>
    </row>
    <row r="5712">
      <c r="A5712" s="6"/>
      <c r="B5712" s="6"/>
      <c r="H5712" s="13"/>
    </row>
    <row r="5713">
      <c r="A5713" s="6"/>
      <c r="B5713" s="6"/>
      <c r="H5713" s="13"/>
    </row>
    <row r="5714">
      <c r="A5714" s="6"/>
      <c r="B5714" s="6"/>
      <c r="H5714" s="13"/>
    </row>
    <row r="5715">
      <c r="A5715" s="6"/>
      <c r="B5715" s="6"/>
      <c r="H5715" s="13"/>
    </row>
    <row r="5716">
      <c r="A5716" s="6"/>
      <c r="B5716" s="6"/>
      <c r="H5716" s="13"/>
    </row>
    <row r="5717">
      <c r="A5717" s="6"/>
      <c r="B5717" s="6"/>
      <c r="H5717" s="13"/>
    </row>
    <row r="5718">
      <c r="A5718" s="6"/>
      <c r="B5718" s="6"/>
      <c r="H5718" s="13"/>
    </row>
    <row r="5719">
      <c r="A5719" s="6"/>
      <c r="B5719" s="6"/>
      <c r="H5719" s="13"/>
    </row>
    <row r="5720">
      <c r="A5720" s="6"/>
      <c r="B5720" s="6"/>
      <c r="H5720" s="13"/>
    </row>
    <row r="5721">
      <c r="A5721" s="6"/>
      <c r="B5721" s="6"/>
      <c r="H5721" s="13"/>
    </row>
    <row r="5722">
      <c r="A5722" s="6"/>
      <c r="B5722" s="6"/>
      <c r="H5722" s="13"/>
    </row>
    <row r="5723">
      <c r="A5723" s="6"/>
      <c r="B5723" s="6"/>
      <c r="H5723" s="13"/>
    </row>
    <row r="5724">
      <c r="A5724" s="6"/>
      <c r="B5724" s="6"/>
      <c r="H5724" s="13"/>
    </row>
    <row r="5725">
      <c r="A5725" s="6"/>
      <c r="B5725" s="6"/>
      <c r="H5725" s="13"/>
    </row>
    <row r="5726">
      <c r="A5726" s="6"/>
      <c r="B5726" s="6"/>
      <c r="H5726" s="13"/>
    </row>
    <row r="5727">
      <c r="A5727" s="6"/>
      <c r="B5727" s="6"/>
      <c r="H5727" s="13"/>
    </row>
    <row r="5728">
      <c r="A5728" s="6"/>
      <c r="B5728" s="6"/>
      <c r="H5728" s="13"/>
    </row>
    <row r="5729">
      <c r="A5729" s="6"/>
      <c r="B5729" s="6"/>
      <c r="H5729" s="13"/>
    </row>
    <row r="5730">
      <c r="A5730" s="6"/>
      <c r="B5730" s="6"/>
      <c r="H5730" s="13"/>
    </row>
    <row r="5731">
      <c r="A5731" s="6"/>
      <c r="B5731" s="6"/>
      <c r="H5731" s="13"/>
    </row>
    <row r="5732">
      <c r="A5732" s="6"/>
      <c r="B5732" s="6"/>
      <c r="H5732" s="13"/>
    </row>
    <row r="5733">
      <c r="A5733" s="6"/>
      <c r="B5733" s="6"/>
      <c r="H5733" s="13"/>
    </row>
    <row r="5734">
      <c r="A5734" s="6"/>
      <c r="B5734" s="6"/>
      <c r="H5734" s="13"/>
    </row>
    <row r="5735">
      <c r="A5735" s="6"/>
      <c r="B5735" s="6"/>
      <c r="H5735" s="13"/>
    </row>
    <row r="5736">
      <c r="A5736" s="6"/>
      <c r="B5736" s="6"/>
      <c r="H5736" s="13"/>
    </row>
    <row r="5737">
      <c r="A5737" s="6"/>
      <c r="B5737" s="6"/>
      <c r="H5737" s="13"/>
    </row>
    <row r="5738">
      <c r="A5738" s="6"/>
      <c r="B5738" s="6"/>
      <c r="H5738" s="13"/>
    </row>
    <row r="5739">
      <c r="A5739" s="6"/>
      <c r="B5739" s="6"/>
      <c r="H5739" s="13"/>
    </row>
    <row r="5740">
      <c r="A5740" s="6"/>
      <c r="B5740" s="6"/>
      <c r="H5740" s="13"/>
    </row>
    <row r="5741">
      <c r="A5741" s="6"/>
      <c r="B5741" s="6"/>
      <c r="H5741" s="13"/>
    </row>
    <row r="5742">
      <c r="A5742" s="6"/>
      <c r="B5742" s="6"/>
      <c r="H5742" s="13"/>
    </row>
    <row r="5743">
      <c r="A5743" s="6"/>
      <c r="B5743" s="6"/>
      <c r="H5743" s="13"/>
    </row>
    <row r="5744">
      <c r="A5744" s="6"/>
      <c r="B5744" s="6"/>
      <c r="H5744" s="13"/>
    </row>
    <row r="5745">
      <c r="A5745" s="6"/>
      <c r="B5745" s="6"/>
      <c r="H5745" s="13"/>
    </row>
    <row r="5746">
      <c r="A5746" s="6"/>
      <c r="B5746" s="6"/>
      <c r="H5746" s="13"/>
    </row>
    <row r="5747">
      <c r="A5747" s="6"/>
      <c r="B5747" s="6"/>
      <c r="H5747" s="13"/>
    </row>
    <row r="5748">
      <c r="A5748" s="6"/>
      <c r="B5748" s="6"/>
      <c r="H5748" s="13"/>
    </row>
    <row r="5749">
      <c r="A5749" s="6"/>
      <c r="B5749" s="6"/>
      <c r="H5749" s="13"/>
    </row>
    <row r="5750">
      <c r="A5750" s="6"/>
      <c r="B5750" s="6"/>
      <c r="H5750" s="13"/>
    </row>
    <row r="5751">
      <c r="A5751" s="6"/>
      <c r="B5751" s="6"/>
      <c r="H5751" s="13"/>
    </row>
    <row r="5752">
      <c r="A5752" s="6"/>
      <c r="B5752" s="6"/>
      <c r="H5752" s="13"/>
    </row>
    <row r="5753">
      <c r="A5753" s="6"/>
      <c r="B5753" s="6"/>
      <c r="H5753" s="13"/>
    </row>
    <row r="5754">
      <c r="A5754" s="6"/>
      <c r="B5754" s="6"/>
      <c r="H5754" s="13"/>
    </row>
    <row r="5755">
      <c r="A5755" s="6"/>
      <c r="B5755" s="6"/>
      <c r="H5755" s="13"/>
    </row>
    <row r="5756">
      <c r="A5756" s="6"/>
      <c r="B5756" s="6"/>
      <c r="H5756" s="13"/>
    </row>
    <row r="5757">
      <c r="A5757" s="6"/>
      <c r="B5757" s="6"/>
      <c r="H5757" s="13"/>
    </row>
    <row r="5758">
      <c r="A5758" s="6"/>
      <c r="B5758" s="6"/>
      <c r="H5758" s="13"/>
    </row>
    <row r="5759">
      <c r="A5759" s="6"/>
      <c r="B5759" s="6"/>
      <c r="H5759" s="13"/>
    </row>
    <row r="5760">
      <c r="A5760" s="6"/>
      <c r="B5760" s="6"/>
      <c r="H5760" s="13"/>
    </row>
    <row r="5761">
      <c r="A5761" s="6"/>
      <c r="B5761" s="6"/>
      <c r="H5761" s="13"/>
    </row>
    <row r="5762">
      <c r="A5762" s="6"/>
      <c r="B5762" s="6"/>
      <c r="H5762" s="13"/>
    </row>
    <row r="5763">
      <c r="A5763" s="6"/>
      <c r="B5763" s="6"/>
      <c r="H5763" s="13"/>
    </row>
    <row r="5764">
      <c r="A5764" s="6"/>
      <c r="B5764" s="6"/>
      <c r="H5764" s="13"/>
    </row>
    <row r="5765">
      <c r="A5765" s="6"/>
      <c r="B5765" s="6"/>
      <c r="H5765" s="13"/>
    </row>
    <row r="5766">
      <c r="A5766" s="6"/>
      <c r="B5766" s="6"/>
      <c r="H5766" s="13"/>
    </row>
    <row r="5767">
      <c r="A5767" s="6"/>
      <c r="B5767" s="6"/>
      <c r="H5767" s="13"/>
    </row>
    <row r="5768">
      <c r="A5768" s="6"/>
      <c r="B5768" s="6"/>
      <c r="H5768" s="13"/>
    </row>
    <row r="5769">
      <c r="A5769" s="6"/>
      <c r="B5769" s="6"/>
      <c r="H5769" s="13"/>
    </row>
    <row r="5770">
      <c r="A5770" s="6"/>
      <c r="B5770" s="6"/>
      <c r="H5770" s="13"/>
    </row>
    <row r="5771">
      <c r="A5771" s="6"/>
      <c r="B5771" s="6"/>
      <c r="H5771" s="13"/>
    </row>
    <row r="5772">
      <c r="A5772" s="6"/>
      <c r="B5772" s="6"/>
      <c r="H5772" s="13"/>
    </row>
    <row r="5773">
      <c r="A5773" s="6"/>
      <c r="B5773" s="6"/>
      <c r="H5773" s="13"/>
    </row>
    <row r="5774">
      <c r="A5774" s="6"/>
      <c r="B5774" s="6"/>
      <c r="H5774" s="13"/>
    </row>
    <row r="5775">
      <c r="A5775" s="6"/>
      <c r="B5775" s="6"/>
      <c r="H5775" s="13"/>
    </row>
    <row r="5776">
      <c r="A5776" s="6"/>
      <c r="B5776" s="6"/>
      <c r="H5776" s="13"/>
    </row>
    <row r="5777">
      <c r="A5777" s="6"/>
      <c r="B5777" s="6"/>
      <c r="H5777" s="13"/>
    </row>
    <row r="5778">
      <c r="A5778" s="6"/>
      <c r="B5778" s="6"/>
      <c r="H5778" s="13"/>
    </row>
    <row r="5779">
      <c r="A5779" s="6"/>
      <c r="B5779" s="6"/>
      <c r="H5779" s="13"/>
    </row>
    <row r="5780">
      <c r="A5780" s="6"/>
      <c r="B5780" s="6"/>
      <c r="H5780" s="13"/>
    </row>
    <row r="5781">
      <c r="A5781" s="6"/>
      <c r="B5781" s="6"/>
      <c r="H5781" s="13"/>
    </row>
    <row r="5782">
      <c r="A5782" s="6"/>
      <c r="B5782" s="6"/>
      <c r="H5782" s="13"/>
    </row>
    <row r="5783">
      <c r="A5783" s="6"/>
      <c r="B5783" s="6"/>
      <c r="H5783" s="13"/>
    </row>
    <row r="5784">
      <c r="A5784" s="6"/>
      <c r="B5784" s="6"/>
      <c r="H5784" s="13"/>
    </row>
    <row r="5785">
      <c r="A5785" s="6"/>
      <c r="B5785" s="6"/>
      <c r="H5785" s="13"/>
    </row>
    <row r="5786">
      <c r="A5786" s="6"/>
      <c r="B5786" s="6"/>
      <c r="H5786" s="13"/>
    </row>
    <row r="5787">
      <c r="A5787" s="6"/>
      <c r="B5787" s="6"/>
      <c r="H5787" s="13"/>
    </row>
    <row r="5788">
      <c r="A5788" s="6"/>
      <c r="B5788" s="6"/>
      <c r="H5788" s="13"/>
    </row>
    <row r="5789">
      <c r="A5789" s="6"/>
      <c r="B5789" s="6"/>
      <c r="H5789" s="13"/>
    </row>
    <row r="5790">
      <c r="A5790" s="6"/>
      <c r="B5790" s="6"/>
      <c r="H5790" s="13"/>
    </row>
    <row r="5791">
      <c r="A5791" s="6"/>
      <c r="B5791" s="6"/>
      <c r="H5791" s="13"/>
    </row>
    <row r="5792">
      <c r="A5792" s="6"/>
      <c r="B5792" s="6"/>
      <c r="H5792" s="13"/>
    </row>
    <row r="5793">
      <c r="A5793" s="6"/>
      <c r="B5793" s="6"/>
      <c r="H5793" s="13"/>
    </row>
    <row r="5794">
      <c r="A5794" s="6"/>
      <c r="B5794" s="6"/>
      <c r="H5794" s="13"/>
    </row>
    <row r="5795">
      <c r="A5795" s="6"/>
      <c r="B5795" s="6"/>
      <c r="H5795" s="13"/>
    </row>
    <row r="5796">
      <c r="A5796" s="6"/>
      <c r="B5796" s="6"/>
      <c r="H5796" s="13"/>
    </row>
    <row r="5797">
      <c r="A5797" s="6"/>
      <c r="B5797" s="6"/>
      <c r="H5797" s="13"/>
    </row>
    <row r="5798">
      <c r="A5798" s="6"/>
      <c r="B5798" s="6"/>
      <c r="H5798" s="13"/>
    </row>
    <row r="5799">
      <c r="A5799" s="6"/>
      <c r="B5799" s="6"/>
      <c r="H5799" s="13"/>
    </row>
    <row r="5800">
      <c r="A5800" s="6"/>
      <c r="B5800" s="6"/>
      <c r="H5800" s="13"/>
    </row>
    <row r="5801">
      <c r="A5801" s="6"/>
      <c r="B5801" s="6"/>
      <c r="H5801" s="13"/>
    </row>
    <row r="5802">
      <c r="A5802" s="6"/>
      <c r="B5802" s="6"/>
      <c r="H5802" s="13"/>
    </row>
    <row r="5803">
      <c r="A5803" s="6"/>
      <c r="B5803" s="6"/>
      <c r="H5803" s="13"/>
    </row>
    <row r="5804">
      <c r="A5804" s="6"/>
      <c r="B5804" s="6"/>
      <c r="H5804" s="13"/>
    </row>
    <row r="5805">
      <c r="A5805" s="6"/>
      <c r="B5805" s="6"/>
      <c r="H5805" s="13"/>
    </row>
    <row r="5806">
      <c r="A5806" s="6"/>
      <c r="B5806" s="6"/>
      <c r="H5806" s="13"/>
    </row>
    <row r="5807">
      <c r="A5807" s="6"/>
      <c r="B5807" s="6"/>
      <c r="H5807" s="13"/>
    </row>
    <row r="5808">
      <c r="A5808" s="6"/>
      <c r="B5808" s="6"/>
      <c r="H5808" s="13"/>
    </row>
    <row r="5809">
      <c r="A5809" s="6"/>
      <c r="B5809" s="6"/>
      <c r="H5809" s="13"/>
    </row>
    <row r="5810">
      <c r="A5810" s="6"/>
      <c r="B5810" s="6"/>
      <c r="H5810" s="13"/>
    </row>
    <row r="5811">
      <c r="A5811" s="6"/>
      <c r="B5811" s="6"/>
      <c r="H5811" s="13"/>
    </row>
    <row r="5812">
      <c r="A5812" s="6"/>
      <c r="B5812" s="6"/>
      <c r="H5812" s="13"/>
    </row>
    <row r="5813">
      <c r="A5813" s="6"/>
      <c r="B5813" s="6"/>
      <c r="H5813" s="13"/>
    </row>
    <row r="5814">
      <c r="A5814" s="6"/>
      <c r="B5814" s="6"/>
      <c r="H5814" s="13"/>
    </row>
    <row r="5815">
      <c r="A5815" s="6"/>
      <c r="B5815" s="6"/>
      <c r="H5815" s="13"/>
    </row>
    <row r="5816">
      <c r="A5816" s="6"/>
      <c r="B5816" s="6"/>
      <c r="H5816" s="13"/>
    </row>
    <row r="5817">
      <c r="A5817" s="6"/>
      <c r="B5817" s="6"/>
      <c r="H5817" s="13"/>
    </row>
    <row r="5818">
      <c r="A5818" s="6"/>
      <c r="B5818" s="6"/>
      <c r="H5818" s="13"/>
    </row>
    <row r="5819">
      <c r="A5819" s="6"/>
      <c r="B5819" s="6"/>
      <c r="H5819" s="13"/>
    </row>
    <row r="5820">
      <c r="A5820" s="6"/>
      <c r="B5820" s="6"/>
      <c r="H5820" s="13"/>
    </row>
    <row r="5821">
      <c r="A5821" s="6"/>
      <c r="B5821" s="6"/>
      <c r="H5821" s="13"/>
    </row>
    <row r="5822">
      <c r="A5822" s="6"/>
      <c r="B5822" s="6"/>
      <c r="H5822" s="13"/>
    </row>
    <row r="5823">
      <c r="A5823" s="6"/>
      <c r="B5823" s="6"/>
      <c r="H5823" s="13"/>
    </row>
    <row r="5824">
      <c r="A5824" s="6"/>
      <c r="B5824" s="6"/>
      <c r="H5824" s="13"/>
    </row>
    <row r="5825">
      <c r="A5825" s="6"/>
      <c r="B5825" s="6"/>
      <c r="H5825" s="13"/>
    </row>
    <row r="5826">
      <c r="A5826" s="6"/>
      <c r="B5826" s="6"/>
      <c r="H5826" s="13"/>
    </row>
    <row r="5827">
      <c r="A5827" s="6"/>
      <c r="B5827" s="6"/>
      <c r="H5827" s="13"/>
    </row>
    <row r="5828">
      <c r="A5828" s="6"/>
      <c r="B5828" s="6"/>
      <c r="H5828" s="13"/>
    </row>
    <row r="5829">
      <c r="A5829" s="6"/>
      <c r="B5829" s="6"/>
      <c r="H5829" s="13"/>
    </row>
    <row r="5830">
      <c r="A5830" s="6"/>
      <c r="B5830" s="6"/>
      <c r="H5830" s="13"/>
    </row>
    <row r="5831">
      <c r="A5831" s="6"/>
      <c r="B5831" s="6"/>
      <c r="H5831" s="13"/>
    </row>
    <row r="5832">
      <c r="A5832" s="6"/>
      <c r="B5832" s="6"/>
      <c r="H5832" s="13"/>
    </row>
    <row r="5833">
      <c r="A5833" s="6"/>
      <c r="B5833" s="6"/>
      <c r="H5833" s="13"/>
    </row>
    <row r="5834">
      <c r="A5834" s="6"/>
      <c r="B5834" s="6"/>
      <c r="H5834" s="13"/>
    </row>
    <row r="5835">
      <c r="A5835" s="6"/>
      <c r="B5835" s="6"/>
      <c r="H5835" s="13"/>
    </row>
    <row r="5836">
      <c r="A5836" s="6"/>
      <c r="B5836" s="6"/>
      <c r="H5836" s="13"/>
    </row>
    <row r="5837">
      <c r="A5837" s="6"/>
      <c r="B5837" s="6"/>
      <c r="H5837" s="13"/>
    </row>
    <row r="5838">
      <c r="A5838" s="6"/>
      <c r="B5838" s="6"/>
      <c r="H5838" s="13"/>
    </row>
    <row r="5839">
      <c r="A5839" s="6"/>
      <c r="B5839" s="6"/>
      <c r="H5839" s="13"/>
    </row>
    <row r="5840">
      <c r="A5840" s="6"/>
      <c r="B5840" s="6"/>
      <c r="H5840" s="13"/>
    </row>
    <row r="5841">
      <c r="A5841" s="6"/>
      <c r="B5841" s="6"/>
      <c r="H5841" s="13"/>
    </row>
    <row r="5842">
      <c r="A5842" s="6"/>
      <c r="B5842" s="6"/>
      <c r="H5842" s="13"/>
    </row>
    <row r="5843">
      <c r="A5843" s="6"/>
      <c r="B5843" s="6"/>
      <c r="H5843" s="13"/>
    </row>
    <row r="5844">
      <c r="A5844" s="6"/>
      <c r="B5844" s="6"/>
      <c r="H5844" s="13"/>
    </row>
    <row r="5845">
      <c r="A5845" s="6"/>
      <c r="B5845" s="6"/>
      <c r="H5845" s="13"/>
    </row>
    <row r="5846">
      <c r="A5846" s="6"/>
      <c r="B5846" s="6"/>
      <c r="H5846" s="13"/>
    </row>
    <row r="5847">
      <c r="A5847" s="6"/>
      <c r="B5847" s="6"/>
      <c r="H5847" s="13"/>
    </row>
    <row r="5848">
      <c r="A5848" s="6"/>
      <c r="B5848" s="6"/>
      <c r="H5848" s="13"/>
    </row>
    <row r="5849">
      <c r="A5849" s="6"/>
      <c r="B5849" s="6"/>
      <c r="H5849" s="13"/>
    </row>
    <row r="5850">
      <c r="A5850" s="6"/>
      <c r="B5850" s="6"/>
      <c r="H5850" s="13"/>
    </row>
    <row r="5851">
      <c r="A5851" s="6"/>
      <c r="B5851" s="6"/>
      <c r="H5851" s="13"/>
    </row>
    <row r="5852">
      <c r="A5852" s="6"/>
      <c r="B5852" s="6"/>
      <c r="H5852" s="13"/>
    </row>
    <row r="5853">
      <c r="A5853" s="6"/>
      <c r="B5853" s="6"/>
      <c r="H5853" s="13"/>
    </row>
    <row r="5854">
      <c r="A5854" s="6"/>
      <c r="B5854" s="6"/>
      <c r="H5854" s="13"/>
    </row>
    <row r="5855">
      <c r="A5855" s="6"/>
      <c r="B5855" s="6"/>
      <c r="H5855" s="13"/>
    </row>
    <row r="5856">
      <c r="A5856" s="6"/>
      <c r="B5856" s="6"/>
      <c r="H5856" s="13"/>
    </row>
    <row r="5857">
      <c r="A5857" s="6"/>
      <c r="B5857" s="6"/>
      <c r="H5857" s="13"/>
    </row>
    <row r="5858">
      <c r="A5858" s="6"/>
      <c r="B5858" s="6"/>
      <c r="H5858" s="13"/>
    </row>
    <row r="5859">
      <c r="A5859" s="6"/>
      <c r="B5859" s="6"/>
      <c r="H5859" s="13"/>
    </row>
    <row r="5860">
      <c r="A5860" s="6"/>
      <c r="B5860" s="6"/>
      <c r="H5860" s="13"/>
    </row>
    <row r="5861">
      <c r="A5861" s="6"/>
      <c r="B5861" s="6"/>
      <c r="H5861" s="13"/>
    </row>
    <row r="5862">
      <c r="A5862" s="6"/>
      <c r="B5862" s="6"/>
      <c r="H5862" s="13"/>
    </row>
    <row r="5863">
      <c r="A5863" s="6"/>
      <c r="B5863" s="6"/>
      <c r="H5863" s="13"/>
    </row>
    <row r="5864">
      <c r="A5864" s="6"/>
      <c r="B5864" s="6"/>
      <c r="H5864" s="13"/>
    </row>
    <row r="5865">
      <c r="A5865" s="6"/>
      <c r="B5865" s="6"/>
      <c r="H5865" s="13"/>
    </row>
    <row r="5866">
      <c r="A5866" s="6"/>
      <c r="B5866" s="6"/>
      <c r="H5866" s="13"/>
    </row>
    <row r="5867">
      <c r="A5867" s="6"/>
      <c r="B5867" s="6"/>
      <c r="H5867" s="13"/>
    </row>
    <row r="5868">
      <c r="A5868" s="6"/>
      <c r="B5868" s="6"/>
      <c r="H5868" s="13"/>
    </row>
    <row r="5869">
      <c r="A5869" s="6"/>
      <c r="B5869" s="6"/>
      <c r="H5869" s="13"/>
    </row>
    <row r="5870">
      <c r="A5870" s="6"/>
      <c r="B5870" s="6"/>
      <c r="H5870" s="13"/>
    </row>
    <row r="5871">
      <c r="A5871" s="6"/>
      <c r="B5871" s="6"/>
      <c r="H5871" s="13"/>
    </row>
    <row r="5872">
      <c r="A5872" s="6"/>
      <c r="B5872" s="6"/>
      <c r="H5872" s="13"/>
    </row>
    <row r="5873">
      <c r="A5873" s="6"/>
      <c r="B5873" s="6"/>
      <c r="H5873" s="13"/>
    </row>
    <row r="5874">
      <c r="A5874" s="6"/>
      <c r="B5874" s="6"/>
      <c r="H5874" s="13"/>
    </row>
    <row r="5875">
      <c r="A5875" s="6"/>
      <c r="B5875" s="6"/>
      <c r="H5875" s="13"/>
    </row>
    <row r="5876">
      <c r="A5876" s="6"/>
      <c r="B5876" s="6"/>
      <c r="H5876" s="13"/>
    </row>
    <row r="5877">
      <c r="A5877" s="6"/>
      <c r="B5877" s="6"/>
      <c r="H5877" s="13"/>
    </row>
    <row r="5878">
      <c r="A5878" s="6"/>
      <c r="B5878" s="6"/>
      <c r="H5878" s="13"/>
    </row>
    <row r="5879">
      <c r="A5879" s="6"/>
      <c r="B5879" s="6"/>
      <c r="H5879" s="13"/>
    </row>
    <row r="5880">
      <c r="A5880" s="6"/>
      <c r="B5880" s="6"/>
      <c r="H5880" s="13"/>
    </row>
    <row r="5881">
      <c r="A5881" s="6"/>
      <c r="B5881" s="6"/>
      <c r="H5881" s="13"/>
    </row>
    <row r="5882">
      <c r="A5882" s="6"/>
      <c r="B5882" s="6"/>
      <c r="H5882" s="13"/>
    </row>
    <row r="5883">
      <c r="A5883" s="6"/>
      <c r="B5883" s="6"/>
      <c r="H5883" s="13"/>
    </row>
    <row r="5884">
      <c r="A5884" s="6"/>
      <c r="B5884" s="6"/>
      <c r="H5884" s="13"/>
    </row>
    <row r="5885">
      <c r="A5885" s="6"/>
      <c r="B5885" s="6"/>
      <c r="H5885" s="13"/>
    </row>
    <row r="5886">
      <c r="A5886" s="6"/>
      <c r="B5886" s="6"/>
      <c r="H5886" s="13"/>
    </row>
    <row r="5887">
      <c r="A5887" s="6"/>
      <c r="B5887" s="6"/>
      <c r="H5887" s="13"/>
    </row>
    <row r="5888">
      <c r="A5888" s="6"/>
      <c r="B5888" s="6"/>
      <c r="H5888" s="13"/>
    </row>
    <row r="5889">
      <c r="A5889" s="6"/>
      <c r="B5889" s="6"/>
      <c r="H5889" s="13"/>
    </row>
    <row r="5890">
      <c r="A5890" s="6"/>
      <c r="B5890" s="6"/>
      <c r="H5890" s="13"/>
    </row>
    <row r="5891">
      <c r="A5891" s="6"/>
      <c r="B5891" s="6"/>
      <c r="H5891" s="13"/>
    </row>
    <row r="5892">
      <c r="A5892" s="6"/>
      <c r="B5892" s="6"/>
      <c r="H5892" s="13"/>
    </row>
    <row r="5893">
      <c r="A5893" s="6"/>
      <c r="B5893" s="6"/>
      <c r="H5893" s="13"/>
    </row>
    <row r="5894">
      <c r="A5894" s="6"/>
      <c r="B5894" s="6"/>
      <c r="H5894" s="13"/>
    </row>
    <row r="5895">
      <c r="A5895" s="6"/>
      <c r="B5895" s="6"/>
      <c r="H5895" s="13"/>
    </row>
    <row r="5896">
      <c r="A5896" s="6"/>
      <c r="B5896" s="6"/>
      <c r="H5896" s="13"/>
    </row>
    <row r="5897">
      <c r="A5897" s="6"/>
      <c r="B5897" s="6"/>
      <c r="H5897" s="13"/>
    </row>
    <row r="5898">
      <c r="A5898" s="6"/>
      <c r="B5898" s="6"/>
      <c r="H5898" s="13"/>
    </row>
    <row r="5899">
      <c r="A5899" s="6"/>
      <c r="B5899" s="6"/>
      <c r="H5899" s="13"/>
    </row>
    <row r="5900">
      <c r="A5900" s="6"/>
      <c r="B5900" s="6"/>
      <c r="H5900" s="13"/>
    </row>
    <row r="5901">
      <c r="A5901" s="6"/>
      <c r="B5901" s="6"/>
      <c r="H5901" s="13"/>
    </row>
    <row r="5902">
      <c r="A5902" s="6"/>
      <c r="B5902" s="6"/>
      <c r="H5902" s="13"/>
    </row>
    <row r="5903">
      <c r="A5903" s="6"/>
      <c r="B5903" s="6"/>
      <c r="H5903" s="13"/>
    </row>
    <row r="5904">
      <c r="A5904" s="6"/>
      <c r="B5904" s="6"/>
      <c r="H5904" s="13"/>
    </row>
    <row r="5905">
      <c r="A5905" s="6"/>
      <c r="B5905" s="6"/>
      <c r="H5905" s="13"/>
    </row>
    <row r="5906">
      <c r="A5906" s="6"/>
      <c r="B5906" s="6"/>
      <c r="H5906" s="13"/>
    </row>
    <row r="5907">
      <c r="A5907" s="6"/>
      <c r="B5907" s="6"/>
      <c r="H5907" s="13"/>
    </row>
    <row r="5908">
      <c r="A5908" s="6"/>
      <c r="B5908" s="6"/>
      <c r="H5908" s="13"/>
    </row>
    <row r="5909">
      <c r="A5909" s="6"/>
      <c r="B5909" s="6"/>
      <c r="H5909" s="13"/>
    </row>
    <row r="5910">
      <c r="A5910" s="6"/>
      <c r="B5910" s="6"/>
      <c r="H5910" s="13"/>
    </row>
    <row r="5911">
      <c r="A5911" s="6"/>
      <c r="B5911" s="6"/>
      <c r="H5911" s="13"/>
    </row>
    <row r="5912">
      <c r="A5912" s="6"/>
      <c r="B5912" s="6"/>
      <c r="H5912" s="13"/>
    </row>
    <row r="5913">
      <c r="A5913" s="6"/>
      <c r="B5913" s="6"/>
      <c r="H5913" s="13"/>
    </row>
    <row r="5914">
      <c r="A5914" s="6"/>
      <c r="B5914" s="6"/>
      <c r="H5914" s="13"/>
    </row>
    <row r="5915">
      <c r="A5915" s="6"/>
      <c r="B5915" s="6"/>
      <c r="H5915" s="13"/>
    </row>
    <row r="5916">
      <c r="A5916" s="6"/>
      <c r="B5916" s="6"/>
      <c r="H5916" s="13"/>
    </row>
    <row r="5917">
      <c r="A5917" s="6"/>
      <c r="B5917" s="6"/>
      <c r="H5917" s="13"/>
    </row>
    <row r="5918">
      <c r="A5918" s="6"/>
      <c r="B5918" s="6"/>
      <c r="H5918" s="13"/>
    </row>
    <row r="5919">
      <c r="A5919" s="6"/>
      <c r="B5919" s="6"/>
      <c r="H5919" s="13"/>
    </row>
    <row r="5920">
      <c r="A5920" s="6"/>
      <c r="B5920" s="6"/>
      <c r="H5920" s="13"/>
    </row>
    <row r="5921">
      <c r="A5921" s="6"/>
      <c r="B5921" s="6"/>
      <c r="H5921" s="13"/>
    </row>
    <row r="5922">
      <c r="A5922" s="6"/>
      <c r="B5922" s="6"/>
      <c r="H5922" s="13"/>
    </row>
    <row r="5923">
      <c r="A5923" s="6"/>
      <c r="B5923" s="6"/>
      <c r="H5923" s="13"/>
    </row>
    <row r="5924">
      <c r="A5924" s="6"/>
      <c r="B5924" s="6"/>
      <c r="H5924" s="13"/>
    </row>
    <row r="5925">
      <c r="A5925" s="6"/>
      <c r="B5925" s="6"/>
      <c r="H5925" s="13"/>
    </row>
    <row r="5926">
      <c r="A5926" s="6"/>
      <c r="B5926" s="6"/>
      <c r="H5926" s="13"/>
    </row>
    <row r="5927">
      <c r="A5927" s="6"/>
      <c r="B5927" s="6"/>
      <c r="H5927" s="13"/>
    </row>
    <row r="5928">
      <c r="A5928" s="6"/>
      <c r="B5928" s="6"/>
      <c r="H5928" s="13"/>
    </row>
    <row r="5929">
      <c r="A5929" s="6"/>
      <c r="B5929" s="6"/>
      <c r="H5929" s="13"/>
    </row>
    <row r="5930">
      <c r="A5930" s="6"/>
      <c r="B5930" s="6"/>
      <c r="H5930" s="13"/>
    </row>
    <row r="5931">
      <c r="A5931" s="6"/>
      <c r="B5931" s="6"/>
      <c r="H5931" s="13"/>
    </row>
    <row r="5932">
      <c r="A5932" s="6"/>
      <c r="B5932" s="6"/>
      <c r="H5932" s="13"/>
    </row>
    <row r="5933">
      <c r="A5933" s="6"/>
      <c r="B5933" s="6"/>
      <c r="H5933" s="13"/>
    </row>
    <row r="5934">
      <c r="A5934" s="6"/>
      <c r="B5934" s="6"/>
      <c r="H5934" s="13"/>
    </row>
    <row r="5935">
      <c r="A5935" s="6"/>
      <c r="B5935" s="6"/>
      <c r="H5935" s="13"/>
    </row>
    <row r="5936">
      <c r="A5936" s="6"/>
      <c r="B5936" s="6"/>
      <c r="H5936" s="13"/>
    </row>
    <row r="5937">
      <c r="A5937" s="6"/>
      <c r="B5937" s="6"/>
      <c r="H5937" s="13"/>
    </row>
    <row r="5938">
      <c r="A5938" s="6"/>
      <c r="B5938" s="6"/>
      <c r="H5938" s="13"/>
    </row>
    <row r="5939">
      <c r="A5939" s="6"/>
      <c r="B5939" s="6"/>
      <c r="H5939" s="13"/>
    </row>
    <row r="5940">
      <c r="A5940" s="6"/>
      <c r="B5940" s="6"/>
      <c r="H5940" s="13"/>
    </row>
    <row r="5941">
      <c r="A5941" s="6"/>
      <c r="B5941" s="6"/>
      <c r="H5941" s="13"/>
    </row>
    <row r="5942">
      <c r="A5942" s="6"/>
      <c r="B5942" s="6"/>
      <c r="H5942" s="13"/>
    </row>
    <row r="5943">
      <c r="A5943" s="6"/>
      <c r="B5943" s="6"/>
      <c r="H5943" s="13"/>
    </row>
    <row r="5944">
      <c r="A5944" s="6"/>
      <c r="B5944" s="6"/>
      <c r="H5944" s="13"/>
    </row>
    <row r="5945">
      <c r="A5945" s="6"/>
      <c r="B5945" s="6"/>
      <c r="H5945" s="13"/>
    </row>
    <row r="5946">
      <c r="A5946" s="6"/>
      <c r="B5946" s="6"/>
      <c r="H5946" s="13"/>
    </row>
    <row r="5947">
      <c r="A5947" s="6"/>
      <c r="B5947" s="6"/>
      <c r="H5947" s="13"/>
    </row>
    <row r="5948">
      <c r="A5948" s="6"/>
      <c r="B5948" s="6"/>
      <c r="H5948" s="13"/>
    </row>
    <row r="5949">
      <c r="A5949" s="6"/>
      <c r="B5949" s="6"/>
      <c r="H5949" s="13"/>
    </row>
    <row r="5950">
      <c r="A5950" s="6"/>
      <c r="B5950" s="6"/>
      <c r="H5950" s="13"/>
    </row>
    <row r="5951">
      <c r="A5951" s="6"/>
      <c r="B5951" s="6"/>
      <c r="H5951" s="13"/>
    </row>
    <row r="5952">
      <c r="A5952" s="6"/>
      <c r="B5952" s="6"/>
      <c r="H5952" s="13"/>
    </row>
    <row r="5953">
      <c r="A5953" s="6"/>
      <c r="B5953" s="6"/>
      <c r="H5953" s="13"/>
    </row>
    <row r="5954">
      <c r="A5954" s="6"/>
      <c r="B5954" s="6"/>
      <c r="H5954" s="13"/>
    </row>
    <row r="5955">
      <c r="A5955" s="6"/>
      <c r="B5955" s="6"/>
      <c r="H5955" s="13"/>
    </row>
    <row r="5956">
      <c r="A5956" s="6"/>
      <c r="B5956" s="6"/>
      <c r="H5956" s="13"/>
    </row>
    <row r="5957">
      <c r="A5957" s="6"/>
      <c r="B5957" s="6"/>
      <c r="H5957" s="13"/>
    </row>
    <row r="5958">
      <c r="A5958" s="6"/>
      <c r="B5958" s="6"/>
      <c r="H5958" s="13"/>
    </row>
    <row r="5959">
      <c r="A5959" s="6"/>
      <c r="B5959" s="6"/>
      <c r="H5959" s="13"/>
    </row>
    <row r="5960">
      <c r="A5960" s="6"/>
      <c r="B5960" s="6"/>
      <c r="H5960" s="13"/>
    </row>
    <row r="5961">
      <c r="A5961" s="6"/>
      <c r="B5961" s="6"/>
      <c r="H5961" s="13"/>
    </row>
    <row r="5962">
      <c r="A5962" s="6"/>
      <c r="B5962" s="6"/>
      <c r="H5962" s="13"/>
    </row>
    <row r="5963">
      <c r="A5963" s="6"/>
      <c r="B5963" s="6"/>
      <c r="H5963" s="13"/>
    </row>
    <row r="5964">
      <c r="A5964" s="6"/>
      <c r="B5964" s="6"/>
      <c r="H5964" s="13"/>
    </row>
    <row r="5965">
      <c r="A5965" s="6"/>
      <c r="B5965" s="6"/>
      <c r="H5965" s="13"/>
    </row>
    <row r="5966">
      <c r="A5966" s="6"/>
      <c r="B5966" s="6"/>
      <c r="H5966" s="13"/>
    </row>
    <row r="5967">
      <c r="A5967" s="6"/>
      <c r="B5967" s="6"/>
      <c r="H5967" s="13"/>
    </row>
    <row r="5968">
      <c r="A5968" s="6"/>
      <c r="B5968" s="6"/>
      <c r="H5968" s="13"/>
    </row>
    <row r="5969">
      <c r="A5969" s="6"/>
      <c r="B5969" s="6"/>
      <c r="H5969" s="13"/>
    </row>
    <row r="5970">
      <c r="A5970" s="6"/>
      <c r="B5970" s="6"/>
      <c r="H5970" s="13"/>
    </row>
    <row r="5971">
      <c r="A5971" s="6"/>
      <c r="B5971" s="6"/>
      <c r="H5971" s="13"/>
    </row>
    <row r="5972">
      <c r="A5972" s="6"/>
      <c r="B5972" s="6"/>
      <c r="H5972" s="13"/>
    </row>
    <row r="5973">
      <c r="A5973" s="6"/>
      <c r="B5973" s="6"/>
      <c r="H5973" s="13"/>
    </row>
    <row r="5974">
      <c r="A5974" s="6"/>
      <c r="B5974" s="6"/>
      <c r="H5974" s="13"/>
    </row>
    <row r="5975">
      <c r="A5975" s="6"/>
      <c r="B5975" s="6"/>
      <c r="H5975" s="13"/>
    </row>
    <row r="5976">
      <c r="A5976" s="6"/>
      <c r="B5976" s="6"/>
      <c r="H5976" s="13"/>
    </row>
    <row r="5977">
      <c r="A5977" s="6"/>
      <c r="B5977" s="6"/>
      <c r="H5977" s="13"/>
    </row>
    <row r="5978">
      <c r="A5978" s="6"/>
      <c r="B5978" s="6"/>
      <c r="H5978" s="13"/>
    </row>
    <row r="5979">
      <c r="A5979" s="6"/>
      <c r="B5979" s="6"/>
      <c r="H5979" s="13"/>
    </row>
    <row r="5980">
      <c r="A5980" s="6"/>
      <c r="B5980" s="6"/>
      <c r="H5980" s="13"/>
    </row>
    <row r="5981">
      <c r="A5981" s="6"/>
      <c r="B5981" s="6"/>
      <c r="H5981" s="13"/>
    </row>
    <row r="5982">
      <c r="A5982" s="6"/>
      <c r="B5982" s="6"/>
      <c r="H5982" s="13"/>
    </row>
    <row r="5983">
      <c r="A5983" s="6"/>
      <c r="B5983" s="6"/>
      <c r="H5983" s="13"/>
    </row>
    <row r="5984">
      <c r="A5984" s="6"/>
      <c r="B5984" s="6"/>
      <c r="H5984" s="13"/>
    </row>
    <row r="5985">
      <c r="A5985" s="6"/>
      <c r="B5985" s="6"/>
      <c r="H5985" s="13"/>
    </row>
    <row r="5986">
      <c r="A5986" s="6"/>
      <c r="B5986" s="6"/>
      <c r="H5986" s="13"/>
    </row>
    <row r="5987">
      <c r="A5987" s="6"/>
      <c r="B5987" s="6"/>
      <c r="H5987" s="13"/>
    </row>
    <row r="5988">
      <c r="A5988" s="6"/>
      <c r="B5988" s="6"/>
      <c r="H5988" s="13"/>
    </row>
    <row r="5989">
      <c r="A5989" s="6"/>
      <c r="B5989" s="6"/>
      <c r="H5989" s="13"/>
    </row>
    <row r="5990">
      <c r="A5990" s="6"/>
      <c r="B5990" s="6"/>
      <c r="H5990" s="13"/>
    </row>
    <row r="5991">
      <c r="A5991" s="6"/>
      <c r="B5991" s="6"/>
      <c r="H5991" s="13"/>
    </row>
    <row r="5992">
      <c r="A5992" s="6"/>
      <c r="B5992" s="6"/>
      <c r="H5992" s="13"/>
    </row>
    <row r="5993">
      <c r="A5993" s="6"/>
      <c r="B5993" s="6"/>
      <c r="H5993" s="13"/>
    </row>
    <row r="5994">
      <c r="A5994" s="6"/>
      <c r="B5994" s="6"/>
      <c r="H5994" s="13"/>
    </row>
    <row r="5995">
      <c r="A5995" s="6"/>
      <c r="B5995" s="6"/>
      <c r="H5995" s="13"/>
    </row>
    <row r="5996">
      <c r="A5996" s="6"/>
      <c r="B5996" s="6"/>
      <c r="H5996" s="13"/>
    </row>
    <row r="5997">
      <c r="A5997" s="6"/>
      <c r="B5997" s="6"/>
      <c r="H5997" s="13"/>
    </row>
    <row r="5998">
      <c r="A5998" s="6"/>
      <c r="B5998" s="6"/>
      <c r="H5998" s="13"/>
    </row>
    <row r="5999">
      <c r="A5999" s="6"/>
      <c r="B5999" s="6"/>
      <c r="H5999" s="13"/>
    </row>
    <row r="6000">
      <c r="A6000" s="6"/>
      <c r="B6000" s="6"/>
      <c r="H6000" s="13"/>
    </row>
    <row r="6001">
      <c r="A6001" s="6"/>
      <c r="B6001" s="6"/>
      <c r="H6001" s="13"/>
    </row>
    <row r="6002">
      <c r="A6002" s="6"/>
      <c r="B6002" s="6"/>
      <c r="H6002" s="13"/>
    </row>
    <row r="6003">
      <c r="A6003" s="6"/>
      <c r="B6003" s="6"/>
      <c r="H6003" s="13"/>
    </row>
    <row r="6004">
      <c r="A6004" s="6"/>
      <c r="B6004" s="6"/>
      <c r="H6004" s="13"/>
    </row>
    <row r="6005">
      <c r="A6005" s="6"/>
      <c r="B6005" s="6"/>
      <c r="H6005" s="13"/>
    </row>
    <row r="6006">
      <c r="A6006" s="6"/>
      <c r="B6006" s="6"/>
      <c r="H6006" s="13"/>
    </row>
    <row r="6007">
      <c r="A6007" s="6"/>
      <c r="B6007" s="6"/>
      <c r="H6007" s="13"/>
    </row>
    <row r="6008">
      <c r="A6008" s="6"/>
      <c r="B6008" s="6"/>
      <c r="H6008" s="13"/>
    </row>
    <row r="6009">
      <c r="A6009" s="6"/>
      <c r="B6009" s="6"/>
      <c r="H6009" s="13"/>
    </row>
    <row r="6010">
      <c r="A6010" s="6"/>
      <c r="B6010" s="6"/>
      <c r="H6010" s="13"/>
    </row>
    <row r="6011">
      <c r="A6011" s="6"/>
      <c r="B6011" s="6"/>
      <c r="H6011" s="13"/>
    </row>
    <row r="6012">
      <c r="A6012" s="6"/>
      <c r="B6012" s="6"/>
      <c r="H6012" s="13"/>
    </row>
    <row r="6013">
      <c r="A6013" s="6"/>
      <c r="B6013" s="6"/>
      <c r="H6013" s="13"/>
    </row>
    <row r="6014">
      <c r="A6014" s="6"/>
      <c r="B6014" s="6"/>
      <c r="H6014" s="13"/>
    </row>
    <row r="6015">
      <c r="A6015" s="6"/>
      <c r="B6015" s="6"/>
      <c r="H6015" s="13"/>
    </row>
    <row r="6016">
      <c r="A6016" s="6"/>
      <c r="B6016" s="6"/>
      <c r="H6016" s="13"/>
    </row>
    <row r="6017">
      <c r="A6017" s="6"/>
      <c r="B6017" s="6"/>
      <c r="H6017" s="13"/>
    </row>
    <row r="6018">
      <c r="A6018" s="6"/>
      <c r="B6018" s="6"/>
      <c r="H6018" s="13"/>
    </row>
    <row r="6019">
      <c r="A6019" s="6"/>
      <c r="B6019" s="6"/>
      <c r="H6019" s="13"/>
    </row>
    <row r="6020">
      <c r="A6020" s="6"/>
      <c r="B6020" s="6"/>
      <c r="H6020" s="13"/>
    </row>
    <row r="6021">
      <c r="A6021" s="6"/>
      <c r="B6021" s="6"/>
      <c r="H6021" s="13"/>
    </row>
    <row r="6022">
      <c r="A6022" s="6"/>
      <c r="B6022" s="6"/>
      <c r="H6022" s="13"/>
    </row>
    <row r="6023">
      <c r="A6023" s="6"/>
      <c r="B6023" s="6"/>
      <c r="H6023" s="13"/>
    </row>
    <row r="6024">
      <c r="A6024" s="6"/>
      <c r="B6024" s="6"/>
      <c r="H6024" s="13"/>
    </row>
    <row r="6025">
      <c r="A6025" s="6"/>
      <c r="B6025" s="6"/>
      <c r="H6025" s="13"/>
    </row>
    <row r="6026">
      <c r="A6026" s="6"/>
      <c r="B6026" s="6"/>
      <c r="H6026" s="13"/>
    </row>
    <row r="6027">
      <c r="A6027" s="6"/>
      <c r="B6027" s="6"/>
      <c r="H6027" s="13"/>
    </row>
    <row r="6028">
      <c r="A6028" s="6"/>
      <c r="B6028" s="6"/>
      <c r="H6028" s="13"/>
    </row>
    <row r="6029">
      <c r="A6029" s="6"/>
      <c r="B6029" s="6"/>
      <c r="H6029" s="13"/>
    </row>
    <row r="6030">
      <c r="A6030" s="6"/>
      <c r="B6030" s="6"/>
      <c r="H6030" s="13"/>
    </row>
    <row r="6031">
      <c r="A6031" s="6"/>
      <c r="B6031" s="6"/>
      <c r="H6031" s="13"/>
    </row>
    <row r="6032">
      <c r="A6032" s="6"/>
      <c r="B6032" s="6"/>
      <c r="H6032" s="13"/>
    </row>
    <row r="6033">
      <c r="A6033" s="6"/>
      <c r="B6033" s="6"/>
      <c r="H6033" s="13"/>
    </row>
    <row r="6034">
      <c r="A6034" s="6"/>
      <c r="B6034" s="6"/>
      <c r="H6034" s="13"/>
    </row>
    <row r="6035">
      <c r="A6035" s="6"/>
      <c r="B6035" s="6"/>
      <c r="H6035" s="13"/>
    </row>
    <row r="6036">
      <c r="A6036" s="6"/>
      <c r="B6036" s="6"/>
      <c r="H6036" s="13"/>
    </row>
    <row r="6037">
      <c r="A6037" s="6"/>
      <c r="B6037" s="6"/>
      <c r="H6037" s="13"/>
    </row>
    <row r="6038">
      <c r="A6038" s="6"/>
      <c r="B6038" s="6"/>
      <c r="H6038" s="13"/>
    </row>
    <row r="6039">
      <c r="A6039" s="6"/>
      <c r="B6039" s="6"/>
      <c r="H6039" s="13"/>
    </row>
    <row r="6040">
      <c r="A6040" s="6"/>
      <c r="B6040" s="6"/>
      <c r="H6040" s="13"/>
    </row>
    <row r="6041">
      <c r="A6041" s="6"/>
      <c r="B6041" s="6"/>
      <c r="H6041" s="13"/>
    </row>
    <row r="6042">
      <c r="A6042" s="6"/>
      <c r="B6042" s="6"/>
      <c r="H6042" s="13"/>
    </row>
    <row r="6043">
      <c r="A6043" s="6"/>
      <c r="B6043" s="6"/>
      <c r="H6043" s="13"/>
    </row>
    <row r="6044">
      <c r="A6044" s="6"/>
      <c r="B6044" s="6"/>
      <c r="H6044" s="13"/>
    </row>
    <row r="6045">
      <c r="A6045" s="6"/>
      <c r="B6045" s="6"/>
      <c r="H6045" s="13"/>
    </row>
    <row r="6046">
      <c r="A6046" s="6"/>
      <c r="B6046" s="6"/>
      <c r="H6046" s="13"/>
    </row>
    <row r="6047">
      <c r="A6047" s="6"/>
      <c r="B6047" s="6"/>
      <c r="H6047" s="13"/>
    </row>
    <row r="6048">
      <c r="A6048" s="6"/>
      <c r="B6048" s="6"/>
      <c r="H6048" s="13"/>
    </row>
    <row r="6049">
      <c r="A6049" s="6"/>
      <c r="B6049" s="6"/>
      <c r="H6049" s="13"/>
    </row>
    <row r="6050">
      <c r="A6050" s="6"/>
      <c r="B6050" s="6"/>
      <c r="H6050" s="13"/>
    </row>
    <row r="6051">
      <c r="A6051" s="6"/>
      <c r="B6051" s="6"/>
      <c r="H6051" s="13"/>
    </row>
    <row r="6052">
      <c r="A6052" s="6"/>
      <c r="B6052" s="6"/>
      <c r="H6052" s="13"/>
    </row>
    <row r="6053">
      <c r="A6053" s="6"/>
      <c r="B6053" s="6"/>
      <c r="H6053" s="13"/>
    </row>
    <row r="6054">
      <c r="A6054" s="6"/>
      <c r="B6054" s="6"/>
      <c r="H6054" s="13"/>
    </row>
    <row r="6055">
      <c r="A6055" s="6"/>
      <c r="B6055" s="6"/>
      <c r="H6055" s="13"/>
    </row>
    <row r="6056">
      <c r="A6056" s="6"/>
      <c r="B6056" s="6"/>
      <c r="H6056" s="13"/>
    </row>
    <row r="6057">
      <c r="A6057" s="6"/>
      <c r="B6057" s="6"/>
      <c r="H6057" s="13"/>
    </row>
    <row r="6058">
      <c r="A6058" s="6"/>
      <c r="B6058" s="6"/>
      <c r="H6058" s="13"/>
    </row>
    <row r="6059">
      <c r="A6059" s="6"/>
      <c r="B6059" s="6"/>
      <c r="H6059" s="13"/>
    </row>
    <row r="6060">
      <c r="A6060" s="6"/>
      <c r="B6060" s="6"/>
      <c r="H6060" s="13"/>
    </row>
    <row r="6061">
      <c r="A6061" s="6"/>
      <c r="B6061" s="6"/>
      <c r="H6061" s="13"/>
    </row>
    <row r="6062">
      <c r="A6062" s="6"/>
      <c r="B6062" s="6"/>
      <c r="H6062" s="13"/>
    </row>
    <row r="6063">
      <c r="A6063" s="6"/>
      <c r="B6063" s="6"/>
      <c r="H6063" s="13"/>
    </row>
    <row r="6064">
      <c r="A6064" s="6"/>
      <c r="B6064" s="6"/>
      <c r="H6064" s="13"/>
    </row>
    <row r="6065">
      <c r="A6065" s="6"/>
      <c r="B6065" s="6"/>
      <c r="H6065" s="13"/>
    </row>
    <row r="6066">
      <c r="A6066" s="6"/>
      <c r="B6066" s="6"/>
      <c r="H6066" s="13"/>
    </row>
    <row r="6067">
      <c r="A6067" s="6"/>
      <c r="B6067" s="6"/>
      <c r="H6067" s="13"/>
    </row>
    <row r="6068">
      <c r="A6068" s="6"/>
      <c r="B6068" s="6"/>
      <c r="H6068" s="13"/>
    </row>
    <row r="6069">
      <c r="A6069" s="6"/>
      <c r="B6069" s="6"/>
      <c r="H6069" s="13"/>
    </row>
    <row r="6070">
      <c r="A6070" s="6"/>
      <c r="B6070" s="6"/>
      <c r="H6070" s="13"/>
    </row>
    <row r="6071">
      <c r="A6071" s="6"/>
      <c r="B6071" s="6"/>
      <c r="H6071" s="13"/>
    </row>
    <row r="6072">
      <c r="A6072" s="6"/>
      <c r="B6072" s="6"/>
      <c r="H6072" s="13"/>
    </row>
    <row r="6073">
      <c r="A6073" s="6"/>
      <c r="B6073" s="6"/>
      <c r="H6073" s="13"/>
    </row>
    <row r="6074">
      <c r="A6074" s="6"/>
      <c r="B6074" s="6"/>
      <c r="H6074" s="13"/>
    </row>
    <row r="6075">
      <c r="A6075" s="6"/>
      <c r="B6075" s="6"/>
      <c r="H6075" s="13"/>
    </row>
    <row r="6076">
      <c r="A6076" s="6"/>
      <c r="B6076" s="6"/>
      <c r="H6076" s="13"/>
    </row>
    <row r="6077">
      <c r="A6077" s="6"/>
      <c r="B6077" s="6"/>
      <c r="H6077" s="13"/>
    </row>
    <row r="6078">
      <c r="A6078" s="6"/>
      <c r="B6078" s="6"/>
      <c r="H6078" s="13"/>
    </row>
    <row r="6079">
      <c r="A6079" s="6"/>
      <c r="B6079" s="6"/>
      <c r="H6079" s="13"/>
    </row>
    <row r="6080">
      <c r="A6080" s="6"/>
      <c r="B6080" s="6"/>
      <c r="H6080" s="13"/>
    </row>
    <row r="6081">
      <c r="A6081" s="6"/>
      <c r="B6081" s="6"/>
      <c r="H6081" s="13"/>
    </row>
    <row r="6082">
      <c r="A6082" s="6"/>
      <c r="B6082" s="6"/>
      <c r="H6082" s="13"/>
    </row>
    <row r="6083">
      <c r="A6083" s="6"/>
      <c r="B6083" s="6"/>
      <c r="H6083" s="13"/>
    </row>
    <row r="6084">
      <c r="A6084" s="6"/>
      <c r="B6084" s="6"/>
      <c r="H6084" s="13"/>
    </row>
    <row r="6085">
      <c r="A6085" s="6"/>
      <c r="B6085" s="6"/>
      <c r="H6085" s="13"/>
    </row>
    <row r="6086">
      <c r="A6086" s="6"/>
      <c r="B6086" s="6"/>
      <c r="H6086" s="13"/>
    </row>
    <row r="6087">
      <c r="A6087" s="6"/>
      <c r="B6087" s="6"/>
      <c r="H6087" s="13"/>
    </row>
    <row r="6088">
      <c r="A6088" s="6"/>
      <c r="B6088" s="6"/>
      <c r="H6088" s="13"/>
    </row>
    <row r="6089">
      <c r="A6089" s="6"/>
      <c r="B6089" s="6"/>
      <c r="H6089" s="13"/>
    </row>
    <row r="6090">
      <c r="A6090" s="6"/>
      <c r="B6090" s="6"/>
      <c r="H6090" s="13"/>
    </row>
    <row r="6091">
      <c r="A6091" s="6"/>
      <c r="B6091" s="6"/>
      <c r="H6091" s="13"/>
    </row>
    <row r="6092">
      <c r="A6092" s="6"/>
      <c r="B6092" s="6"/>
      <c r="H6092" s="13"/>
    </row>
    <row r="6093">
      <c r="A6093" s="6"/>
      <c r="B6093" s="6"/>
      <c r="H6093" s="13"/>
    </row>
    <row r="6094">
      <c r="A6094" s="6"/>
      <c r="B6094" s="6"/>
      <c r="H6094" s="13"/>
    </row>
    <row r="6095">
      <c r="A6095" s="6"/>
      <c r="B6095" s="6"/>
      <c r="H6095" s="13"/>
    </row>
    <row r="6096">
      <c r="A6096" s="6"/>
      <c r="B6096" s="6"/>
      <c r="H6096" s="13"/>
    </row>
    <row r="6097">
      <c r="A6097" s="6"/>
      <c r="B6097" s="6"/>
      <c r="H6097" s="13"/>
    </row>
    <row r="6098">
      <c r="A6098" s="6"/>
      <c r="B6098" s="6"/>
      <c r="H6098" s="13"/>
    </row>
    <row r="6099">
      <c r="A6099" s="6"/>
      <c r="B6099" s="6"/>
      <c r="H6099" s="13"/>
    </row>
    <row r="6100">
      <c r="A6100" s="6"/>
      <c r="B6100" s="6"/>
      <c r="H6100" s="13"/>
    </row>
    <row r="6101">
      <c r="A6101" s="6"/>
      <c r="B6101" s="6"/>
      <c r="H6101" s="13"/>
    </row>
    <row r="6102">
      <c r="A6102" s="6"/>
      <c r="B6102" s="6"/>
      <c r="H6102" s="13"/>
    </row>
    <row r="6103">
      <c r="A6103" s="6"/>
      <c r="B6103" s="6"/>
      <c r="H6103" s="13"/>
    </row>
    <row r="6104">
      <c r="A6104" s="6"/>
      <c r="B6104" s="6"/>
      <c r="H6104" s="13"/>
    </row>
    <row r="6105">
      <c r="A6105" s="6"/>
      <c r="B6105" s="6"/>
      <c r="H6105" s="13"/>
    </row>
    <row r="6106">
      <c r="A6106" s="6"/>
      <c r="B6106" s="6"/>
      <c r="H6106" s="13"/>
    </row>
    <row r="6107">
      <c r="A6107" s="6"/>
      <c r="B6107" s="6"/>
      <c r="H6107" s="13"/>
    </row>
    <row r="6108">
      <c r="A6108" s="6"/>
      <c r="B6108" s="6"/>
      <c r="H6108" s="13"/>
    </row>
    <row r="6109">
      <c r="A6109" s="6"/>
      <c r="B6109" s="6"/>
      <c r="H6109" s="13"/>
    </row>
    <row r="6110">
      <c r="A6110" s="6"/>
      <c r="B6110" s="6"/>
      <c r="H6110" s="13"/>
    </row>
    <row r="6111">
      <c r="A6111" s="6"/>
      <c r="B6111" s="6"/>
      <c r="H6111" s="13"/>
    </row>
    <row r="6112">
      <c r="A6112" s="6"/>
      <c r="B6112" s="6"/>
      <c r="H6112" s="13"/>
    </row>
    <row r="6113">
      <c r="A6113" s="6"/>
      <c r="B6113" s="6"/>
      <c r="H6113" s="13"/>
    </row>
    <row r="6114">
      <c r="A6114" s="6"/>
      <c r="B6114" s="6"/>
      <c r="H6114" s="13"/>
    </row>
    <row r="6115">
      <c r="A6115" s="6"/>
      <c r="B6115" s="6"/>
      <c r="H6115" s="13"/>
    </row>
    <row r="6116">
      <c r="A6116" s="6"/>
      <c r="B6116" s="6"/>
      <c r="H6116" s="13"/>
    </row>
    <row r="6117">
      <c r="A6117" s="6"/>
      <c r="B6117" s="6"/>
      <c r="H6117" s="13"/>
    </row>
    <row r="6118">
      <c r="A6118" s="6"/>
      <c r="B6118" s="6"/>
      <c r="H6118" s="13"/>
    </row>
    <row r="6119">
      <c r="A6119" s="6"/>
      <c r="B6119" s="6"/>
      <c r="H6119" s="13"/>
    </row>
    <row r="6120">
      <c r="A6120" s="6"/>
      <c r="B6120" s="6"/>
      <c r="H6120" s="13"/>
    </row>
    <row r="6121">
      <c r="A6121" s="6"/>
      <c r="B6121" s="6"/>
      <c r="H6121" s="13"/>
    </row>
    <row r="6122">
      <c r="A6122" s="6"/>
      <c r="B6122" s="6"/>
      <c r="H6122" s="13"/>
    </row>
    <row r="6123">
      <c r="A6123" s="6"/>
      <c r="B6123" s="6"/>
      <c r="H6123" s="13"/>
    </row>
    <row r="6124">
      <c r="A6124" s="6"/>
      <c r="B6124" s="6"/>
      <c r="H6124" s="13"/>
    </row>
    <row r="6125">
      <c r="A6125" s="6"/>
      <c r="B6125" s="6"/>
      <c r="H6125" s="13"/>
    </row>
    <row r="6126">
      <c r="A6126" s="6"/>
      <c r="B6126" s="6"/>
      <c r="H6126" s="13"/>
    </row>
    <row r="6127">
      <c r="A6127" s="6"/>
      <c r="B6127" s="6"/>
      <c r="H6127" s="13"/>
    </row>
    <row r="6128">
      <c r="A6128" s="6"/>
      <c r="B6128" s="6"/>
      <c r="H6128" s="13"/>
    </row>
    <row r="6129">
      <c r="A6129" s="6"/>
      <c r="B6129" s="6"/>
      <c r="H6129" s="13"/>
    </row>
    <row r="6130">
      <c r="A6130" s="6"/>
      <c r="B6130" s="6"/>
      <c r="H6130" s="13"/>
    </row>
    <row r="6131">
      <c r="A6131" s="6"/>
      <c r="B6131" s="6"/>
      <c r="H6131" s="13"/>
    </row>
    <row r="6132">
      <c r="A6132" s="6"/>
      <c r="B6132" s="6"/>
      <c r="H6132" s="13"/>
    </row>
    <row r="6133">
      <c r="A6133" s="6"/>
      <c r="B6133" s="6"/>
      <c r="H6133" s="13"/>
    </row>
    <row r="6134">
      <c r="A6134" s="6"/>
      <c r="B6134" s="6"/>
      <c r="H6134" s="13"/>
    </row>
    <row r="6135">
      <c r="A6135" s="6"/>
      <c r="B6135" s="6"/>
      <c r="H6135" s="13"/>
    </row>
    <row r="6136">
      <c r="A6136" s="6"/>
      <c r="B6136" s="6"/>
      <c r="H6136" s="13"/>
    </row>
    <row r="6137">
      <c r="A6137" s="6"/>
      <c r="B6137" s="6"/>
      <c r="H6137" s="13"/>
    </row>
    <row r="6138">
      <c r="A6138" s="6"/>
      <c r="B6138" s="6"/>
      <c r="H6138" s="13"/>
    </row>
    <row r="6139">
      <c r="A6139" s="6"/>
      <c r="B6139" s="6"/>
      <c r="H6139" s="13"/>
    </row>
    <row r="6140">
      <c r="A6140" s="6"/>
      <c r="B6140" s="6"/>
      <c r="H6140" s="13"/>
    </row>
    <row r="6141">
      <c r="A6141" s="6"/>
      <c r="B6141" s="6"/>
      <c r="H6141" s="13"/>
    </row>
    <row r="6142">
      <c r="A6142" s="6"/>
      <c r="B6142" s="6"/>
      <c r="H6142" s="13"/>
    </row>
    <row r="6143">
      <c r="A6143" s="6"/>
      <c r="B6143" s="6"/>
      <c r="H6143" s="13"/>
    </row>
    <row r="6144">
      <c r="A6144" s="6"/>
      <c r="B6144" s="6"/>
      <c r="H6144" s="13"/>
    </row>
    <row r="6145">
      <c r="A6145" s="6"/>
      <c r="B6145" s="6"/>
      <c r="H6145" s="13"/>
    </row>
    <row r="6146">
      <c r="A6146" s="6"/>
      <c r="B6146" s="6"/>
      <c r="H6146" s="13"/>
    </row>
    <row r="6147">
      <c r="A6147" s="6"/>
      <c r="B6147" s="6"/>
      <c r="H6147" s="13"/>
    </row>
    <row r="6148">
      <c r="A6148" s="6"/>
      <c r="B6148" s="6"/>
      <c r="H6148" s="13"/>
    </row>
    <row r="6149">
      <c r="A6149" s="6"/>
      <c r="B6149" s="6"/>
      <c r="H6149" s="13"/>
    </row>
    <row r="6150">
      <c r="A6150" s="6"/>
      <c r="B6150" s="6"/>
      <c r="H6150" s="13"/>
    </row>
    <row r="6151">
      <c r="A6151" s="6"/>
      <c r="B6151" s="6"/>
      <c r="H6151" s="13"/>
    </row>
    <row r="6152">
      <c r="A6152" s="6"/>
      <c r="B6152" s="6"/>
      <c r="H6152" s="13"/>
    </row>
    <row r="6153">
      <c r="A6153" s="6"/>
      <c r="B6153" s="6"/>
      <c r="H6153" s="13"/>
    </row>
    <row r="6154">
      <c r="A6154" s="6"/>
      <c r="B6154" s="6"/>
      <c r="H6154" s="13"/>
    </row>
    <row r="6155">
      <c r="A6155" s="6"/>
      <c r="B6155" s="6"/>
      <c r="H6155" s="13"/>
    </row>
    <row r="6156">
      <c r="A6156" s="6"/>
      <c r="B6156" s="6"/>
      <c r="H6156" s="13"/>
    </row>
    <row r="6157">
      <c r="A6157" s="6"/>
      <c r="B6157" s="6"/>
      <c r="H6157" s="13"/>
    </row>
    <row r="6158">
      <c r="A6158" s="6"/>
      <c r="B6158" s="6"/>
      <c r="H6158" s="13"/>
    </row>
    <row r="6159">
      <c r="A6159" s="6"/>
      <c r="B6159" s="6"/>
      <c r="H6159" s="13"/>
    </row>
    <row r="6160">
      <c r="A6160" s="6"/>
      <c r="B6160" s="6"/>
      <c r="H6160" s="13"/>
    </row>
    <row r="6161">
      <c r="A6161" s="6"/>
      <c r="B6161" s="6"/>
      <c r="H6161" s="13"/>
    </row>
    <row r="6162">
      <c r="A6162" s="6"/>
      <c r="B6162" s="6"/>
      <c r="H6162" s="13"/>
    </row>
    <row r="6163">
      <c r="A6163" s="6"/>
      <c r="B6163" s="6"/>
      <c r="H6163" s="13"/>
    </row>
    <row r="6164">
      <c r="A6164" s="6"/>
      <c r="B6164" s="6"/>
      <c r="H6164" s="13"/>
    </row>
    <row r="6165">
      <c r="A6165" s="6"/>
      <c r="B6165" s="6"/>
      <c r="H6165" s="13"/>
    </row>
    <row r="6166">
      <c r="A6166" s="6"/>
      <c r="B6166" s="6"/>
      <c r="H6166" s="13"/>
    </row>
    <row r="6167">
      <c r="A6167" s="6"/>
      <c r="B6167" s="6"/>
      <c r="H6167" s="13"/>
    </row>
    <row r="6168">
      <c r="A6168" s="6"/>
      <c r="B6168" s="6"/>
      <c r="H6168" s="13"/>
    </row>
    <row r="6169">
      <c r="A6169" s="6"/>
      <c r="B6169" s="6"/>
      <c r="H6169" s="13"/>
    </row>
    <row r="6170">
      <c r="A6170" s="6"/>
      <c r="B6170" s="6"/>
      <c r="H6170" s="13"/>
    </row>
    <row r="6171">
      <c r="A6171" s="6"/>
      <c r="B6171" s="6"/>
      <c r="H6171" s="13"/>
    </row>
    <row r="6172">
      <c r="A6172" s="6"/>
      <c r="B6172" s="6"/>
      <c r="H6172" s="13"/>
    </row>
    <row r="6173">
      <c r="A6173" s="6"/>
      <c r="B6173" s="6"/>
      <c r="H6173" s="13"/>
    </row>
    <row r="6174">
      <c r="A6174" s="6"/>
      <c r="B6174" s="6"/>
      <c r="H6174" s="13"/>
    </row>
    <row r="6175">
      <c r="A6175" s="6"/>
      <c r="B6175" s="6"/>
      <c r="H6175" s="13"/>
    </row>
    <row r="6176">
      <c r="A6176" s="6"/>
      <c r="B6176" s="6"/>
      <c r="H6176" s="13"/>
    </row>
    <row r="6177">
      <c r="A6177" s="6"/>
      <c r="B6177" s="6"/>
      <c r="H6177" s="13"/>
    </row>
    <row r="6178">
      <c r="A6178" s="6"/>
      <c r="B6178" s="6"/>
      <c r="H6178" s="13"/>
    </row>
    <row r="6179">
      <c r="A6179" s="6"/>
      <c r="B6179" s="6"/>
      <c r="H6179" s="13"/>
    </row>
    <row r="6180">
      <c r="A6180" s="6"/>
      <c r="B6180" s="6"/>
      <c r="H6180" s="13"/>
    </row>
    <row r="6181">
      <c r="A6181" s="6"/>
      <c r="B6181" s="6"/>
      <c r="H6181" s="13"/>
    </row>
    <row r="6182">
      <c r="A6182" s="6"/>
      <c r="B6182" s="6"/>
      <c r="H6182" s="13"/>
    </row>
    <row r="6183">
      <c r="A6183" s="6"/>
      <c r="B6183" s="6"/>
      <c r="H6183" s="13"/>
    </row>
    <row r="6184">
      <c r="A6184" s="6"/>
      <c r="B6184" s="6"/>
      <c r="H6184" s="13"/>
    </row>
    <row r="6185">
      <c r="A6185" s="6"/>
      <c r="B6185" s="6"/>
      <c r="H6185" s="13"/>
    </row>
    <row r="6186">
      <c r="A6186" s="6"/>
      <c r="B6186" s="6"/>
      <c r="H6186" s="13"/>
    </row>
    <row r="6187">
      <c r="A6187" s="6"/>
      <c r="B6187" s="6"/>
      <c r="H6187" s="13"/>
    </row>
    <row r="6188">
      <c r="A6188" s="6"/>
      <c r="B6188" s="6"/>
      <c r="H6188" s="13"/>
    </row>
    <row r="6189">
      <c r="A6189" s="6"/>
      <c r="B6189" s="6"/>
      <c r="H6189" s="13"/>
    </row>
    <row r="6190">
      <c r="A6190" s="6"/>
      <c r="B6190" s="6"/>
      <c r="H6190" s="13"/>
    </row>
    <row r="6191">
      <c r="A6191" s="6"/>
      <c r="B6191" s="6"/>
      <c r="H6191" s="13"/>
    </row>
    <row r="6192">
      <c r="A6192" s="6"/>
      <c r="B6192" s="6"/>
      <c r="H6192" s="13"/>
    </row>
    <row r="6193">
      <c r="A6193" s="6"/>
      <c r="B6193" s="6"/>
      <c r="H6193" s="13"/>
    </row>
    <row r="6194">
      <c r="A6194" s="6"/>
      <c r="B6194" s="6"/>
      <c r="H6194" s="13"/>
    </row>
    <row r="6195">
      <c r="A6195" s="6"/>
      <c r="B6195" s="6"/>
      <c r="H6195" s="13"/>
    </row>
    <row r="6196">
      <c r="A6196" s="6"/>
      <c r="B6196" s="6"/>
      <c r="H6196" s="13"/>
    </row>
    <row r="6197">
      <c r="A6197" s="6"/>
      <c r="B6197" s="6"/>
      <c r="H6197" s="13"/>
    </row>
    <row r="6198">
      <c r="A6198" s="6"/>
      <c r="B6198" s="6"/>
      <c r="H6198" s="13"/>
    </row>
    <row r="6199">
      <c r="A6199" s="6"/>
      <c r="B6199" s="6"/>
      <c r="H6199" s="13"/>
    </row>
    <row r="6200">
      <c r="A6200" s="6"/>
      <c r="B6200" s="6"/>
      <c r="H6200" s="13"/>
    </row>
    <row r="6201">
      <c r="A6201" s="6"/>
      <c r="B6201" s="6"/>
      <c r="H6201" s="13"/>
    </row>
    <row r="6202">
      <c r="A6202" s="6"/>
      <c r="B6202" s="6"/>
      <c r="H6202" s="13"/>
    </row>
    <row r="6203">
      <c r="A6203" s="6"/>
      <c r="B6203" s="6"/>
      <c r="H6203" s="13"/>
    </row>
    <row r="6204">
      <c r="A6204" s="6"/>
      <c r="B6204" s="6"/>
      <c r="H6204" s="13"/>
    </row>
    <row r="6205">
      <c r="A6205" s="6"/>
      <c r="B6205" s="6"/>
      <c r="H6205" s="13"/>
    </row>
    <row r="6206">
      <c r="A6206" s="6"/>
      <c r="B6206" s="6"/>
      <c r="H6206" s="13"/>
    </row>
    <row r="6207">
      <c r="A6207" s="6"/>
      <c r="B6207" s="6"/>
      <c r="H6207" s="13"/>
    </row>
    <row r="6208">
      <c r="A6208" s="6"/>
      <c r="B6208" s="6"/>
      <c r="H6208" s="13"/>
    </row>
    <row r="6209">
      <c r="A6209" s="6"/>
      <c r="B6209" s="6"/>
      <c r="H6209" s="13"/>
    </row>
    <row r="6210">
      <c r="A6210" s="6"/>
      <c r="B6210" s="6"/>
      <c r="H6210" s="13"/>
    </row>
    <row r="6211">
      <c r="A6211" s="6"/>
      <c r="B6211" s="6"/>
      <c r="H6211" s="13"/>
    </row>
    <row r="6212">
      <c r="A6212" s="6"/>
      <c r="B6212" s="6"/>
      <c r="H6212" s="13"/>
    </row>
    <row r="6213">
      <c r="A6213" s="6"/>
      <c r="B6213" s="6"/>
      <c r="H6213" s="13"/>
    </row>
    <row r="6214">
      <c r="A6214" s="6"/>
      <c r="B6214" s="6"/>
      <c r="H6214" s="13"/>
    </row>
    <row r="6215">
      <c r="A6215" s="6"/>
      <c r="B6215" s="6"/>
      <c r="H6215" s="13"/>
    </row>
    <row r="6216">
      <c r="A6216" s="6"/>
      <c r="B6216" s="6"/>
      <c r="H6216" s="13"/>
    </row>
    <row r="6217">
      <c r="A6217" s="6"/>
      <c r="B6217" s="6"/>
      <c r="H6217" s="13"/>
    </row>
    <row r="6218">
      <c r="A6218" s="6"/>
      <c r="B6218" s="6"/>
      <c r="H6218" s="13"/>
    </row>
    <row r="6219">
      <c r="A6219" s="6"/>
      <c r="B6219" s="6"/>
      <c r="H6219" s="13"/>
    </row>
    <row r="6220">
      <c r="A6220" s="6"/>
      <c r="B6220" s="6"/>
      <c r="H6220" s="13"/>
    </row>
    <row r="6221">
      <c r="A6221" s="6"/>
      <c r="B6221" s="6"/>
      <c r="H6221" s="13"/>
    </row>
    <row r="6222">
      <c r="A6222" s="6"/>
      <c r="B6222" s="6"/>
      <c r="H6222" s="13"/>
    </row>
    <row r="6223">
      <c r="A6223" s="6"/>
      <c r="B6223" s="6"/>
      <c r="H6223" s="13"/>
    </row>
    <row r="6224">
      <c r="A6224" s="6"/>
      <c r="B6224" s="6"/>
      <c r="H6224" s="13"/>
    </row>
    <row r="6225">
      <c r="A6225" s="6"/>
      <c r="B6225" s="6"/>
      <c r="H6225" s="13"/>
    </row>
    <row r="6226">
      <c r="A6226" s="6"/>
      <c r="B6226" s="6"/>
      <c r="H6226" s="13"/>
    </row>
    <row r="6227">
      <c r="A6227" s="6"/>
      <c r="B6227" s="6"/>
      <c r="H6227" s="13"/>
    </row>
    <row r="6228">
      <c r="A6228" s="6"/>
      <c r="B6228" s="6"/>
      <c r="H6228" s="13"/>
    </row>
    <row r="6229">
      <c r="A6229" s="6"/>
      <c r="B6229" s="6"/>
      <c r="H6229" s="13"/>
    </row>
    <row r="6230">
      <c r="A6230" s="6"/>
      <c r="B6230" s="6"/>
      <c r="H6230" s="13"/>
    </row>
    <row r="6231">
      <c r="A6231" s="6"/>
      <c r="B6231" s="6"/>
      <c r="H6231" s="13"/>
    </row>
    <row r="6232">
      <c r="A6232" s="6"/>
      <c r="B6232" s="6"/>
      <c r="H6232" s="13"/>
    </row>
    <row r="6233">
      <c r="A6233" s="6"/>
      <c r="B6233" s="6"/>
      <c r="H6233" s="13"/>
    </row>
    <row r="6234">
      <c r="A6234" s="6"/>
      <c r="B6234" s="6"/>
      <c r="H6234" s="13"/>
    </row>
    <row r="6235">
      <c r="A6235" s="6"/>
      <c r="B6235" s="6"/>
      <c r="H6235" s="13"/>
    </row>
    <row r="6236">
      <c r="A6236" s="6"/>
      <c r="B6236" s="6"/>
      <c r="H6236" s="13"/>
    </row>
    <row r="6237">
      <c r="A6237" s="6"/>
      <c r="B6237" s="6"/>
      <c r="H6237" s="13"/>
    </row>
    <row r="6238">
      <c r="A6238" s="6"/>
      <c r="B6238" s="6"/>
      <c r="H6238" s="13"/>
    </row>
    <row r="6239">
      <c r="A6239" s="6"/>
      <c r="B6239" s="6"/>
      <c r="H6239" s="13"/>
    </row>
    <row r="6240">
      <c r="A6240" s="6"/>
      <c r="B6240" s="6"/>
      <c r="H6240" s="13"/>
    </row>
    <row r="6241">
      <c r="A6241" s="6"/>
      <c r="B6241" s="6"/>
      <c r="H6241" s="13"/>
    </row>
    <row r="6242">
      <c r="A6242" s="6"/>
      <c r="B6242" s="6"/>
      <c r="H6242" s="13"/>
    </row>
    <row r="6243">
      <c r="A6243" s="6"/>
      <c r="B6243" s="6"/>
      <c r="H6243" s="13"/>
    </row>
    <row r="6244">
      <c r="A6244" s="6"/>
      <c r="B6244" s="6"/>
      <c r="H6244" s="13"/>
    </row>
    <row r="6245">
      <c r="A6245" s="6"/>
      <c r="B6245" s="6"/>
      <c r="H6245" s="13"/>
    </row>
    <row r="6246">
      <c r="A6246" s="6"/>
      <c r="B6246" s="6"/>
      <c r="H6246" s="13"/>
    </row>
    <row r="6247">
      <c r="A6247" s="6"/>
      <c r="B6247" s="6"/>
      <c r="H6247" s="13"/>
    </row>
    <row r="6248">
      <c r="A6248" s="6"/>
      <c r="B6248" s="6"/>
      <c r="H6248" s="13"/>
    </row>
    <row r="6249">
      <c r="A6249" s="6"/>
      <c r="B6249" s="6"/>
      <c r="H6249" s="13"/>
    </row>
    <row r="6250">
      <c r="A6250" s="6"/>
      <c r="B6250" s="6"/>
      <c r="H6250" s="13"/>
    </row>
    <row r="6251">
      <c r="A6251" s="6"/>
      <c r="B6251" s="6"/>
      <c r="H6251" s="13"/>
    </row>
    <row r="6252">
      <c r="A6252" s="6"/>
      <c r="B6252" s="6"/>
      <c r="H6252" s="13"/>
    </row>
    <row r="6253">
      <c r="A6253" s="6"/>
      <c r="B6253" s="6"/>
      <c r="H6253" s="13"/>
    </row>
    <row r="6254">
      <c r="A6254" s="6"/>
      <c r="B6254" s="6"/>
      <c r="H6254" s="13"/>
    </row>
    <row r="6255">
      <c r="A6255" s="6"/>
      <c r="B6255" s="6"/>
      <c r="H6255" s="13"/>
    </row>
    <row r="6256">
      <c r="A6256" s="6"/>
      <c r="B6256" s="6"/>
      <c r="H6256" s="13"/>
    </row>
    <row r="6257">
      <c r="A6257" s="6"/>
      <c r="B6257" s="6"/>
      <c r="H6257" s="13"/>
    </row>
    <row r="6258">
      <c r="A6258" s="6"/>
      <c r="B6258" s="6"/>
      <c r="H6258" s="13"/>
    </row>
    <row r="6259">
      <c r="A6259" s="6"/>
      <c r="B6259" s="6"/>
      <c r="H6259" s="13"/>
    </row>
    <row r="6260">
      <c r="A6260" s="6"/>
      <c r="B6260" s="6"/>
      <c r="H6260" s="13"/>
    </row>
    <row r="6261">
      <c r="A6261" s="6"/>
      <c r="B6261" s="6"/>
      <c r="H6261" s="13"/>
    </row>
    <row r="6262">
      <c r="A6262" s="6"/>
      <c r="B6262" s="6"/>
      <c r="H6262" s="13"/>
    </row>
    <row r="6263">
      <c r="A6263" s="6"/>
      <c r="B6263" s="6"/>
      <c r="H6263" s="13"/>
    </row>
    <row r="6264">
      <c r="A6264" s="6"/>
      <c r="B6264" s="6"/>
      <c r="H6264" s="13"/>
    </row>
    <row r="6265">
      <c r="A6265" s="6"/>
      <c r="B6265" s="6"/>
      <c r="H6265" s="13"/>
    </row>
    <row r="6266">
      <c r="A6266" s="6"/>
      <c r="B6266" s="6"/>
      <c r="H6266" s="13"/>
    </row>
    <row r="6267">
      <c r="A6267" s="6"/>
      <c r="B6267" s="6"/>
      <c r="H6267" s="13"/>
    </row>
    <row r="6268">
      <c r="A6268" s="6"/>
      <c r="B6268" s="6"/>
      <c r="H6268" s="13"/>
    </row>
    <row r="6269">
      <c r="A6269" s="6"/>
      <c r="B6269" s="6"/>
      <c r="H6269" s="13"/>
    </row>
    <row r="6270">
      <c r="A6270" s="6"/>
      <c r="B6270" s="6"/>
      <c r="H6270" s="13"/>
    </row>
    <row r="6271">
      <c r="A6271" s="6"/>
      <c r="B6271" s="6"/>
      <c r="H6271" s="13"/>
    </row>
    <row r="6272">
      <c r="A6272" s="6"/>
      <c r="B6272" s="6"/>
      <c r="H6272" s="13"/>
    </row>
    <row r="6273">
      <c r="A6273" s="6"/>
      <c r="B6273" s="6"/>
      <c r="H6273" s="13"/>
    </row>
    <row r="6274">
      <c r="A6274" s="6"/>
      <c r="B6274" s="6"/>
      <c r="H6274" s="13"/>
    </row>
    <row r="6275">
      <c r="A6275" s="6"/>
      <c r="B6275" s="6"/>
      <c r="H6275" s="13"/>
    </row>
    <row r="6276">
      <c r="A6276" s="6"/>
      <c r="B6276" s="6"/>
      <c r="H6276" s="13"/>
    </row>
    <row r="6277">
      <c r="A6277" s="6"/>
      <c r="B6277" s="6"/>
      <c r="H6277" s="13"/>
    </row>
    <row r="6278">
      <c r="A6278" s="6"/>
      <c r="B6278" s="6"/>
      <c r="H6278" s="13"/>
    </row>
    <row r="6279">
      <c r="A6279" s="6"/>
      <c r="B6279" s="6"/>
      <c r="H6279" s="13"/>
    </row>
    <row r="6280">
      <c r="A6280" s="6"/>
      <c r="B6280" s="6"/>
      <c r="H6280" s="13"/>
    </row>
    <row r="6281">
      <c r="A6281" s="6"/>
      <c r="B6281" s="6"/>
      <c r="H6281" s="13"/>
    </row>
    <row r="6282">
      <c r="A6282" s="6"/>
      <c r="B6282" s="6"/>
      <c r="H6282" s="13"/>
    </row>
    <row r="6283">
      <c r="A6283" s="6"/>
      <c r="B6283" s="6"/>
      <c r="H6283" s="13"/>
    </row>
    <row r="6284">
      <c r="A6284" s="6"/>
      <c r="B6284" s="6"/>
      <c r="H6284" s="13"/>
    </row>
    <row r="6285">
      <c r="A6285" s="6"/>
      <c r="B6285" s="6"/>
      <c r="H6285" s="13"/>
    </row>
    <row r="6286">
      <c r="A6286" s="6"/>
      <c r="B6286" s="6"/>
      <c r="H6286" s="13"/>
    </row>
    <row r="6287">
      <c r="A6287" s="6"/>
      <c r="B6287" s="6"/>
      <c r="H6287" s="13"/>
    </row>
    <row r="6288">
      <c r="A6288" s="6"/>
      <c r="B6288" s="6"/>
      <c r="H6288" s="13"/>
    </row>
    <row r="6289">
      <c r="A6289" s="6"/>
      <c r="B6289" s="6"/>
      <c r="H6289" s="13"/>
    </row>
    <row r="6290">
      <c r="A6290" s="6"/>
      <c r="B6290" s="6"/>
      <c r="H6290" s="13"/>
    </row>
    <row r="6291">
      <c r="A6291" s="6"/>
      <c r="B6291" s="6"/>
      <c r="H6291" s="13"/>
    </row>
    <row r="6292">
      <c r="A6292" s="6"/>
      <c r="B6292" s="6"/>
      <c r="H6292" s="13"/>
    </row>
    <row r="6293">
      <c r="A6293" s="6"/>
      <c r="B6293" s="6"/>
      <c r="H6293" s="13"/>
    </row>
    <row r="6294">
      <c r="A6294" s="6"/>
      <c r="B6294" s="6"/>
      <c r="H6294" s="13"/>
    </row>
    <row r="6295">
      <c r="A6295" s="6"/>
      <c r="B6295" s="6"/>
      <c r="H6295" s="13"/>
    </row>
    <row r="6296">
      <c r="A6296" s="6"/>
      <c r="B6296" s="6"/>
      <c r="H6296" s="13"/>
    </row>
    <row r="6297">
      <c r="A6297" s="6"/>
      <c r="B6297" s="6"/>
      <c r="H6297" s="13"/>
    </row>
    <row r="6298">
      <c r="A6298" s="6"/>
      <c r="B6298" s="6"/>
      <c r="H6298" s="13"/>
    </row>
    <row r="6299">
      <c r="A6299" s="6"/>
      <c r="B6299" s="6"/>
      <c r="H6299" s="13"/>
    </row>
    <row r="6300">
      <c r="A6300" s="6"/>
      <c r="B6300" s="6"/>
      <c r="H6300" s="13"/>
    </row>
    <row r="6301">
      <c r="A6301" s="6"/>
      <c r="B6301" s="6"/>
      <c r="H6301" s="13"/>
    </row>
    <row r="6302">
      <c r="A6302" s="6"/>
      <c r="B6302" s="6"/>
      <c r="H6302" s="13"/>
    </row>
    <row r="6303">
      <c r="A6303" s="6"/>
      <c r="B6303" s="6"/>
      <c r="H6303" s="13"/>
    </row>
    <row r="6304">
      <c r="A6304" s="6"/>
      <c r="B6304" s="6"/>
      <c r="H6304" s="13"/>
    </row>
    <row r="6305">
      <c r="A6305" s="6"/>
      <c r="B6305" s="6"/>
      <c r="H6305" s="13"/>
    </row>
    <row r="6306">
      <c r="A6306" s="6"/>
      <c r="B6306" s="6"/>
      <c r="H6306" s="13"/>
    </row>
    <row r="6307">
      <c r="A6307" s="6"/>
      <c r="B6307" s="6"/>
      <c r="H6307" s="13"/>
    </row>
    <row r="6308">
      <c r="A6308" s="6"/>
      <c r="B6308" s="6"/>
      <c r="H6308" s="13"/>
    </row>
    <row r="6309">
      <c r="A6309" s="6"/>
      <c r="B6309" s="6"/>
      <c r="H6309" s="13"/>
    </row>
    <row r="6310">
      <c r="A6310" s="6"/>
      <c r="B6310" s="6"/>
      <c r="H6310" s="13"/>
    </row>
    <row r="6311">
      <c r="A6311" s="6"/>
      <c r="B6311" s="6"/>
      <c r="H6311" s="13"/>
    </row>
    <row r="6312">
      <c r="A6312" s="6"/>
      <c r="B6312" s="6"/>
      <c r="H6312" s="13"/>
    </row>
    <row r="6313">
      <c r="A6313" s="6"/>
      <c r="B6313" s="6"/>
      <c r="H6313" s="13"/>
    </row>
    <row r="6314">
      <c r="A6314" s="6"/>
      <c r="B6314" s="6"/>
      <c r="H6314" s="13"/>
    </row>
    <row r="6315">
      <c r="A6315" s="6"/>
      <c r="B6315" s="6"/>
      <c r="H6315" s="13"/>
    </row>
    <row r="6316">
      <c r="A6316" s="6"/>
      <c r="B6316" s="6"/>
      <c r="H6316" s="13"/>
    </row>
    <row r="6317">
      <c r="A6317" s="6"/>
      <c r="B6317" s="6"/>
      <c r="H6317" s="13"/>
    </row>
    <row r="6318">
      <c r="A6318" s="6"/>
      <c r="B6318" s="6"/>
      <c r="H6318" s="13"/>
    </row>
    <row r="6319">
      <c r="A6319" s="6"/>
      <c r="B6319" s="6"/>
      <c r="H6319" s="13"/>
    </row>
    <row r="6320">
      <c r="A6320" s="6"/>
      <c r="B6320" s="6"/>
      <c r="H6320" s="13"/>
    </row>
    <row r="6321">
      <c r="A6321" s="6"/>
      <c r="B6321" s="6"/>
      <c r="H6321" s="13"/>
    </row>
    <row r="6322">
      <c r="A6322" s="6"/>
      <c r="B6322" s="6"/>
      <c r="H6322" s="13"/>
    </row>
    <row r="6323">
      <c r="A6323" s="6"/>
      <c r="B6323" s="6"/>
      <c r="H6323" s="13"/>
    </row>
    <row r="6324">
      <c r="A6324" s="6"/>
      <c r="B6324" s="6"/>
      <c r="H6324" s="13"/>
    </row>
    <row r="6325">
      <c r="A6325" s="6"/>
      <c r="B6325" s="6"/>
      <c r="H6325" s="13"/>
    </row>
    <row r="6326">
      <c r="A6326" s="6"/>
      <c r="B6326" s="6"/>
      <c r="H6326" s="13"/>
    </row>
    <row r="6327">
      <c r="A6327" s="6"/>
      <c r="B6327" s="6"/>
      <c r="H6327" s="13"/>
    </row>
    <row r="6328">
      <c r="A6328" s="6"/>
      <c r="B6328" s="6"/>
      <c r="H6328" s="13"/>
    </row>
    <row r="6329">
      <c r="A6329" s="6"/>
      <c r="B6329" s="6"/>
      <c r="H6329" s="13"/>
    </row>
    <row r="6330">
      <c r="A6330" s="6"/>
      <c r="B6330" s="6"/>
      <c r="H6330" s="13"/>
    </row>
    <row r="6331">
      <c r="A6331" s="6"/>
      <c r="B6331" s="6"/>
      <c r="H6331" s="13"/>
    </row>
    <row r="6332">
      <c r="A6332" s="6"/>
      <c r="B6332" s="6"/>
      <c r="H6332" s="13"/>
    </row>
    <row r="6333">
      <c r="A6333" s="6"/>
      <c r="B6333" s="6"/>
      <c r="H6333" s="13"/>
    </row>
    <row r="6334">
      <c r="A6334" s="6"/>
      <c r="B6334" s="6"/>
      <c r="H6334" s="13"/>
    </row>
    <row r="6335">
      <c r="A6335" s="6"/>
      <c r="B6335" s="6"/>
      <c r="H6335" s="13"/>
    </row>
    <row r="6336">
      <c r="A6336" s="6"/>
      <c r="B6336" s="6"/>
      <c r="H6336" s="13"/>
    </row>
    <row r="6337">
      <c r="A6337" s="6"/>
      <c r="B6337" s="6"/>
      <c r="H6337" s="13"/>
    </row>
    <row r="6338">
      <c r="A6338" s="6"/>
      <c r="B6338" s="6"/>
      <c r="H6338" s="13"/>
    </row>
    <row r="6339">
      <c r="A6339" s="6"/>
      <c r="B6339" s="6"/>
      <c r="H6339" s="13"/>
    </row>
    <row r="6340">
      <c r="A6340" s="6"/>
      <c r="B6340" s="6"/>
      <c r="H6340" s="13"/>
    </row>
    <row r="6341">
      <c r="A6341" s="6"/>
      <c r="B6341" s="6"/>
      <c r="H6341" s="13"/>
    </row>
    <row r="6342">
      <c r="A6342" s="6"/>
      <c r="B6342" s="6"/>
      <c r="H6342" s="13"/>
    </row>
    <row r="6343">
      <c r="A6343" s="6"/>
      <c r="B6343" s="6"/>
      <c r="H6343" s="13"/>
    </row>
    <row r="6344">
      <c r="A6344" s="6"/>
      <c r="B6344" s="6"/>
      <c r="H6344" s="13"/>
    </row>
    <row r="6345">
      <c r="A6345" s="6"/>
      <c r="B6345" s="6"/>
      <c r="H6345" s="13"/>
    </row>
    <row r="6346">
      <c r="A6346" s="6"/>
      <c r="B6346" s="6"/>
      <c r="H6346" s="13"/>
    </row>
    <row r="6347">
      <c r="A6347" s="6"/>
      <c r="B6347" s="6"/>
      <c r="H6347" s="13"/>
    </row>
    <row r="6348">
      <c r="A6348" s="6"/>
      <c r="B6348" s="6"/>
      <c r="H6348" s="13"/>
    </row>
    <row r="6349">
      <c r="A6349" s="6"/>
      <c r="B6349" s="6"/>
      <c r="H6349" s="13"/>
    </row>
    <row r="6350">
      <c r="A6350" s="6"/>
      <c r="B6350" s="6"/>
      <c r="H6350" s="13"/>
    </row>
    <row r="6351">
      <c r="A6351" s="6"/>
      <c r="B6351" s="6"/>
      <c r="H6351" s="13"/>
    </row>
    <row r="6352">
      <c r="A6352" s="6"/>
      <c r="B6352" s="6"/>
      <c r="H6352" s="13"/>
    </row>
    <row r="6353">
      <c r="A6353" s="6"/>
      <c r="B6353" s="6"/>
      <c r="H6353" s="13"/>
    </row>
    <row r="6354">
      <c r="A6354" s="6"/>
      <c r="B6354" s="6"/>
      <c r="H6354" s="13"/>
    </row>
    <row r="6355">
      <c r="A6355" s="6"/>
      <c r="B6355" s="6"/>
      <c r="H6355" s="13"/>
    </row>
    <row r="6356">
      <c r="A6356" s="6"/>
      <c r="B6356" s="6"/>
      <c r="H6356" s="13"/>
    </row>
    <row r="6357">
      <c r="A6357" s="6"/>
      <c r="B6357" s="6"/>
      <c r="H6357" s="13"/>
    </row>
    <row r="6358">
      <c r="A6358" s="6"/>
      <c r="B6358" s="6"/>
      <c r="H6358" s="13"/>
    </row>
    <row r="6359">
      <c r="A6359" s="6"/>
      <c r="B6359" s="6"/>
      <c r="H6359" s="13"/>
    </row>
    <row r="6360">
      <c r="A6360" s="6"/>
      <c r="B6360" s="6"/>
      <c r="H6360" s="13"/>
    </row>
    <row r="6361">
      <c r="A6361" s="6"/>
      <c r="B6361" s="6"/>
      <c r="H6361" s="13"/>
    </row>
    <row r="6362">
      <c r="A6362" s="6"/>
      <c r="B6362" s="6"/>
      <c r="H6362" s="13"/>
    </row>
    <row r="6363">
      <c r="A6363" s="6"/>
      <c r="B6363" s="6"/>
      <c r="H6363" s="13"/>
    </row>
    <row r="6364">
      <c r="A6364" s="6"/>
      <c r="B6364" s="6"/>
      <c r="H6364" s="13"/>
    </row>
    <row r="6365">
      <c r="A6365" s="6"/>
      <c r="B6365" s="6"/>
      <c r="H6365" s="13"/>
    </row>
    <row r="6366">
      <c r="A6366" s="6"/>
      <c r="B6366" s="6"/>
      <c r="H6366" s="13"/>
    </row>
    <row r="6367">
      <c r="A6367" s="6"/>
      <c r="B6367" s="6"/>
      <c r="H6367" s="13"/>
    </row>
    <row r="6368">
      <c r="A6368" s="6"/>
      <c r="B6368" s="6"/>
      <c r="H6368" s="13"/>
    </row>
    <row r="6369">
      <c r="A6369" s="6"/>
      <c r="B6369" s="6"/>
      <c r="H6369" s="13"/>
    </row>
    <row r="6370">
      <c r="A6370" s="6"/>
      <c r="B6370" s="6"/>
      <c r="H6370" s="13"/>
    </row>
    <row r="6371">
      <c r="A6371" s="6"/>
      <c r="B6371" s="6"/>
      <c r="H6371" s="13"/>
    </row>
    <row r="6372">
      <c r="A6372" s="6"/>
      <c r="B6372" s="6"/>
      <c r="H6372" s="13"/>
    </row>
    <row r="6373">
      <c r="A6373" s="6"/>
      <c r="B6373" s="6"/>
      <c r="H6373" s="13"/>
    </row>
    <row r="6374">
      <c r="A6374" s="6"/>
      <c r="B6374" s="6"/>
      <c r="H6374" s="13"/>
    </row>
    <row r="6375">
      <c r="A6375" s="6"/>
      <c r="B6375" s="6"/>
      <c r="H6375" s="13"/>
    </row>
    <row r="6376">
      <c r="A6376" s="6"/>
      <c r="B6376" s="6"/>
      <c r="H6376" s="13"/>
    </row>
    <row r="6377">
      <c r="A6377" s="6"/>
      <c r="B6377" s="6"/>
      <c r="H6377" s="13"/>
    </row>
    <row r="6378">
      <c r="A6378" s="6"/>
      <c r="B6378" s="6"/>
      <c r="H6378" s="13"/>
    </row>
    <row r="6379">
      <c r="A6379" s="6"/>
      <c r="B6379" s="6"/>
      <c r="H6379" s="13"/>
    </row>
    <row r="6380">
      <c r="A6380" s="6"/>
      <c r="B6380" s="6"/>
      <c r="H6380" s="13"/>
    </row>
    <row r="6381">
      <c r="A6381" s="6"/>
      <c r="B6381" s="6"/>
      <c r="H6381" s="13"/>
    </row>
    <row r="6382">
      <c r="A6382" s="6"/>
      <c r="B6382" s="6"/>
      <c r="H6382" s="13"/>
    </row>
    <row r="6383">
      <c r="A6383" s="6"/>
      <c r="B6383" s="6"/>
      <c r="H6383" s="13"/>
    </row>
    <row r="6384">
      <c r="A6384" s="6"/>
      <c r="B6384" s="6"/>
      <c r="H6384" s="13"/>
    </row>
    <row r="6385">
      <c r="A6385" s="6"/>
      <c r="B6385" s="6"/>
      <c r="H6385" s="13"/>
    </row>
    <row r="6386">
      <c r="A6386" s="6"/>
      <c r="B6386" s="6"/>
      <c r="H6386" s="13"/>
    </row>
    <row r="6387">
      <c r="A6387" s="6"/>
      <c r="B6387" s="6"/>
      <c r="H6387" s="13"/>
    </row>
    <row r="6388">
      <c r="A6388" s="6"/>
      <c r="B6388" s="6"/>
      <c r="H6388" s="13"/>
    </row>
    <row r="6389">
      <c r="A6389" s="6"/>
      <c r="B6389" s="6"/>
      <c r="H6389" s="13"/>
    </row>
    <row r="6390">
      <c r="A6390" s="6"/>
      <c r="B6390" s="6"/>
      <c r="H6390" s="13"/>
    </row>
    <row r="6391">
      <c r="A6391" s="6"/>
      <c r="B6391" s="6"/>
      <c r="H6391" s="13"/>
    </row>
    <row r="6392">
      <c r="A6392" s="6"/>
      <c r="B6392" s="6"/>
      <c r="H6392" s="13"/>
    </row>
    <row r="6393">
      <c r="A6393" s="6"/>
      <c r="B6393" s="6"/>
      <c r="H6393" s="13"/>
    </row>
    <row r="6394">
      <c r="A6394" s="6"/>
      <c r="B6394" s="6"/>
      <c r="H6394" s="13"/>
    </row>
    <row r="6395">
      <c r="A6395" s="6"/>
      <c r="B6395" s="6"/>
      <c r="H6395" s="13"/>
    </row>
    <row r="6396">
      <c r="A6396" s="6"/>
      <c r="B6396" s="6"/>
      <c r="H6396" s="13"/>
    </row>
    <row r="6397">
      <c r="A6397" s="6"/>
      <c r="B6397" s="6"/>
      <c r="H6397" s="13"/>
    </row>
    <row r="6398">
      <c r="A6398" s="6"/>
      <c r="B6398" s="6"/>
      <c r="H6398" s="13"/>
    </row>
    <row r="6399">
      <c r="A6399" s="6"/>
      <c r="B6399" s="6"/>
      <c r="H6399" s="13"/>
    </row>
    <row r="6400">
      <c r="A6400" s="6"/>
      <c r="B6400" s="6"/>
      <c r="H6400" s="13"/>
    </row>
    <row r="6401">
      <c r="A6401" s="6"/>
      <c r="B6401" s="6"/>
      <c r="H6401" s="13"/>
    </row>
    <row r="6402">
      <c r="A6402" s="6"/>
      <c r="B6402" s="6"/>
      <c r="H6402" s="13"/>
    </row>
    <row r="6403">
      <c r="A6403" s="6"/>
      <c r="B6403" s="6"/>
      <c r="H6403" s="13"/>
    </row>
    <row r="6404">
      <c r="A6404" s="6"/>
      <c r="B6404" s="6"/>
      <c r="H6404" s="13"/>
    </row>
    <row r="6405">
      <c r="A6405" s="6"/>
      <c r="B6405" s="6"/>
      <c r="H6405" s="13"/>
    </row>
    <row r="6406">
      <c r="A6406" s="6"/>
      <c r="B6406" s="6"/>
      <c r="H6406" s="13"/>
    </row>
    <row r="6407">
      <c r="A6407" s="6"/>
      <c r="B6407" s="6"/>
      <c r="H6407" s="13"/>
    </row>
    <row r="6408">
      <c r="A6408" s="6"/>
      <c r="B6408" s="6"/>
      <c r="H6408" s="13"/>
    </row>
    <row r="6409">
      <c r="A6409" s="6"/>
      <c r="B6409" s="6"/>
      <c r="H6409" s="13"/>
    </row>
    <row r="6410">
      <c r="A6410" s="6"/>
      <c r="B6410" s="6"/>
      <c r="H6410" s="13"/>
    </row>
    <row r="6411">
      <c r="A6411" s="6"/>
      <c r="B6411" s="6"/>
      <c r="H6411" s="13"/>
    </row>
    <row r="6412">
      <c r="A6412" s="6"/>
      <c r="B6412" s="6"/>
      <c r="H6412" s="13"/>
    </row>
    <row r="6413">
      <c r="A6413" s="6"/>
      <c r="B6413" s="6"/>
      <c r="H6413" s="13"/>
    </row>
    <row r="6414">
      <c r="A6414" s="6"/>
      <c r="B6414" s="6"/>
      <c r="H6414" s="13"/>
    </row>
    <row r="6415">
      <c r="A6415" s="6"/>
      <c r="B6415" s="6"/>
      <c r="H6415" s="13"/>
    </row>
    <row r="6416">
      <c r="A6416" s="6"/>
      <c r="B6416" s="6"/>
      <c r="H6416" s="13"/>
    </row>
    <row r="6417">
      <c r="A6417" s="6"/>
      <c r="B6417" s="6"/>
      <c r="H6417" s="13"/>
    </row>
    <row r="6418">
      <c r="A6418" s="6"/>
      <c r="B6418" s="6"/>
      <c r="H6418" s="13"/>
    </row>
    <row r="6419">
      <c r="A6419" s="6"/>
      <c r="B6419" s="6"/>
      <c r="H6419" s="13"/>
    </row>
    <row r="6420">
      <c r="A6420" s="6"/>
      <c r="B6420" s="6"/>
      <c r="H6420" s="13"/>
    </row>
    <row r="6421">
      <c r="A6421" s="6"/>
      <c r="B6421" s="6"/>
      <c r="H6421" s="13"/>
    </row>
    <row r="6422">
      <c r="A6422" s="6"/>
      <c r="B6422" s="6"/>
      <c r="H6422" s="13"/>
    </row>
    <row r="6423">
      <c r="A6423" s="6"/>
      <c r="B6423" s="6"/>
      <c r="H6423" s="13"/>
    </row>
    <row r="6424">
      <c r="A6424" s="6"/>
      <c r="B6424" s="6"/>
      <c r="H6424" s="13"/>
    </row>
    <row r="6425">
      <c r="A6425" s="6"/>
      <c r="B6425" s="6"/>
      <c r="H6425" s="13"/>
    </row>
    <row r="6426">
      <c r="A6426" s="6"/>
      <c r="B6426" s="6"/>
      <c r="H6426" s="13"/>
    </row>
    <row r="6427">
      <c r="A6427" s="6"/>
      <c r="B6427" s="6"/>
      <c r="H6427" s="13"/>
    </row>
    <row r="6428">
      <c r="A6428" s="6"/>
      <c r="B6428" s="6"/>
      <c r="H6428" s="13"/>
    </row>
    <row r="6429">
      <c r="A6429" s="6"/>
      <c r="B6429" s="6"/>
      <c r="H6429" s="13"/>
    </row>
    <row r="6430">
      <c r="A6430" s="6"/>
      <c r="B6430" s="6"/>
      <c r="H6430" s="13"/>
    </row>
    <row r="6431">
      <c r="A6431" s="6"/>
      <c r="B6431" s="6"/>
      <c r="H6431" s="13"/>
    </row>
    <row r="6432">
      <c r="A6432" s="6"/>
      <c r="B6432" s="6"/>
      <c r="H6432" s="13"/>
    </row>
    <row r="6433">
      <c r="A6433" s="6"/>
      <c r="B6433" s="6"/>
      <c r="H6433" s="13"/>
    </row>
    <row r="6434">
      <c r="A6434" s="6"/>
      <c r="B6434" s="6"/>
      <c r="H6434" s="13"/>
    </row>
    <row r="6435">
      <c r="A6435" s="6"/>
      <c r="B6435" s="6"/>
      <c r="H6435" s="13"/>
    </row>
    <row r="6436">
      <c r="A6436" s="6"/>
      <c r="B6436" s="6"/>
      <c r="H6436" s="13"/>
    </row>
    <row r="6437">
      <c r="A6437" s="6"/>
      <c r="B6437" s="6"/>
      <c r="H6437" s="13"/>
    </row>
    <row r="6438">
      <c r="A6438" s="6"/>
      <c r="B6438" s="6"/>
      <c r="H6438" s="13"/>
    </row>
    <row r="6439">
      <c r="A6439" s="6"/>
      <c r="B6439" s="6"/>
      <c r="H6439" s="13"/>
    </row>
    <row r="6440">
      <c r="A6440" s="6"/>
      <c r="B6440" s="6"/>
      <c r="H6440" s="13"/>
    </row>
    <row r="6441">
      <c r="A6441" s="6"/>
      <c r="B6441" s="6"/>
      <c r="H6441" s="13"/>
    </row>
    <row r="6442">
      <c r="A6442" s="6"/>
      <c r="B6442" s="6"/>
      <c r="H6442" s="13"/>
    </row>
    <row r="6443">
      <c r="A6443" s="6"/>
      <c r="B6443" s="6"/>
      <c r="H6443" s="13"/>
    </row>
    <row r="6444">
      <c r="A6444" s="6"/>
      <c r="B6444" s="6"/>
      <c r="H6444" s="13"/>
    </row>
    <row r="6445">
      <c r="A6445" s="6"/>
      <c r="B6445" s="6"/>
      <c r="H6445" s="13"/>
    </row>
    <row r="6446">
      <c r="A6446" s="6"/>
      <c r="B6446" s="6"/>
      <c r="H6446" s="13"/>
    </row>
    <row r="6447">
      <c r="A6447" s="6"/>
      <c r="B6447" s="6"/>
      <c r="H6447" s="13"/>
    </row>
    <row r="6448">
      <c r="A6448" s="6"/>
      <c r="B6448" s="6"/>
      <c r="H6448" s="13"/>
    </row>
    <row r="6449">
      <c r="A6449" s="6"/>
      <c r="B6449" s="6"/>
      <c r="H6449" s="13"/>
    </row>
    <row r="6450">
      <c r="A6450" s="6"/>
      <c r="B6450" s="6"/>
      <c r="H6450" s="13"/>
    </row>
    <row r="6451">
      <c r="A6451" s="6"/>
      <c r="B6451" s="6"/>
      <c r="H6451" s="13"/>
    </row>
    <row r="6452">
      <c r="A6452" s="6"/>
      <c r="B6452" s="6"/>
      <c r="H6452" s="13"/>
    </row>
    <row r="6453">
      <c r="A6453" s="6"/>
      <c r="B6453" s="6"/>
      <c r="H6453" s="13"/>
    </row>
    <row r="6454">
      <c r="A6454" s="6"/>
      <c r="B6454" s="6"/>
      <c r="H6454" s="13"/>
    </row>
    <row r="6455">
      <c r="A6455" s="6"/>
      <c r="B6455" s="6"/>
      <c r="H6455" s="13"/>
    </row>
    <row r="6456">
      <c r="A6456" s="6"/>
      <c r="B6456" s="6"/>
      <c r="H6456" s="13"/>
    </row>
    <row r="6457">
      <c r="A6457" s="6"/>
      <c r="B6457" s="6"/>
      <c r="H6457" s="13"/>
    </row>
    <row r="6458">
      <c r="A6458" s="6"/>
      <c r="B6458" s="6"/>
      <c r="H6458" s="13"/>
    </row>
    <row r="6459">
      <c r="A6459" s="6"/>
      <c r="B6459" s="6"/>
      <c r="H6459" s="13"/>
    </row>
    <row r="6460">
      <c r="A6460" s="6"/>
      <c r="B6460" s="6"/>
      <c r="H6460" s="13"/>
    </row>
    <row r="6461">
      <c r="A6461" s="6"/>
      <c r="B6461" s="6"/>
      <c r="H6461" s="13"/>
    </row>
    <row r="6462">
      <c r="A6462" s="6"/>
      <c r="B6462" s="6"/>
      <c r="H6462" s="13"/>
    </row>
    <row r="6463">
      <c r="A6463" s="6"/>
      <c r="B6463" s="6"/>
      <c r="H6463" s="13"/>
    </row>
    <row r="6464">
      <c r="A6464" s="6"/>
      <c r="B6464" s="6"/>
      <c r="H6464" s="13"/>
    </row>
    <row r="6465">
      <c r="A6465" s="6"/>
      <c r="B6465" s="6"/>
      <c r="H6465" s="13"/>
    </row>
    <row r="6466">
      <c r="A6466" s="6"/>
      <c r="B6466" s="6"/>
      <c r="H6466" s="13"/>
    </row>
    <row r="6467">
      <c r="A6467" s="6"/>
      <c r="B6467" s="6"/>
      <c r="H6467" s="13"/>
    </row>
    <row r="6468">
      <c r="A6468" s="6"/>
      <c r="B6468" s="6"/>
      <c r="H6468" s="13"/>
    </row>
    <row r="6469">
      <c r="A6469" s="6"/>
      <c r="B6469" s="6"/>
      <c r="H6469" s="13"/>
    </row>
    <row r="6470">
      <c r="A6470" s="6"/>
      <c r="B6470" s="6"/>
      <c r="H6470" s="13"/>
    </row>
    <row r="6471">
      <c r="A6471" s="6"/>
      <c r="B6471" s="6"/>
      <c r="H6471" s="13"/>
    </row>
    <row r="6472">
      <c r="A6472" s="6"/>
      <c r="B6472" s="6"/>
      <c r="H6472" s="13"/>
    </row>
    <row r="6473">
      <c r="A6473" s="6"/>
      <c r="B6473" s="6"/>
      <c r="H6473" s="13"/>
    </row>
    <row r="6474">
      <c r="A6474" s="6"/>
      <c r="B6474" s="6"/>
      <c r="H6474" s="13"/>
    </row>
    <row r="6475">
      <c r="A6475" s="6"/>
      <c r="B6475" s="6"/>
      <c r="H6475" s="13"/>
    </row>
    <row r="6476">
      <c r="A6476" s="6"/>
      <c r="B6476" s="6"/>
      <c r="H6476" s="13"/>
    </row>
    <row r="6477">
      <c r="A6477" s="6"/>
      <c r="B6477" s="6"/>
      <c r="H6477" s="13"/>
    </row>
    <row r="6478">
      <c r="A6478" s="6"/>
      <c r="B6478" s="6"/>
      <c r="H6478" s="13"/>
    </row>
    <row r="6479">
      <c r="A6479" s="6"/>
      <c r="B6479" s="6"/>
      <c r="H6479" s="13"/>
    </row>
    <row r="6480">
      <c r="A6480" s="6"/>
      <c r="B6480" s="6"/>
      <c r="H6480" s="13"/>
    </row>
    <row r="6481">
      <c r="A6481" s="6"/>
      <c r="B6481" s="6"/>
      <c r="H6481" s="13"/>
    </row>
    <row r="6482">
      <c r="A6482" s="6"/>
      <c r="B6482" s="6"/>
      <c r="H6482" s="13"/>
    </row>
    <row r="6483">
      <c r="A6483" s="6"/>
      <c r="B6483" s="6"/>
      <c r="H6483" s="13"/>
    </row>
    <row r="6484">
      <c r="A6484" s="6"/>
      <c r="B6484" s="6"/>
      <c r="H6484" s="13"/>
    </row>
    <row r="6485">
      <c r="A6485" s="6"/>
      <c r="B6485" s="6"/>
      <c r="H6485" s="13"/>
    </row>
    <row r="6486">
      <c r="A6486" s="6"/>
      <c r="B6486" s="6"/>
      <c r="H6486" s="13"/>
    </row>
    <row r="6487">
      <c r="A6487" s="6"/>
      <c r="B6487" s="6"/>
      <c r="H6487" s="13"/>
    </row>
    <row r="6488">
      <c r="A6488" s="6"/>
      <c r="B6488" s="6"/>
      <c r="H6488" s="13"/>
    </row>
    <row r="6489">
      <c r="A6489" s="6"/>
      <c r="B6489" s="6"/>
      <c r="H6489" s="13"/>
    </row>
    <row r="6490">
      <c r="A6490" s="6"/>
      <c r="B6490" s="6"/>
      <c r="H6490" s="13"/>
    </row>
    <row r="6491">
      <c r="A6491" s="6"/>
      <c r="B6491" s="6"/>
      <c r="H6491" s="13"/>
    </row>
    <row r="6492">
      <c r="A6492" s="6"/>
      <c r="B6492" s="6"/>
      <c r="H6492" s="13"/>
    </row>
    <row r="6493">
      <c r="A6493" s="6"/>
      <c r="B6493" s="6"/>
      <c r="H6493" s="13"/>
    </row>
    <row r="6494">
      <c r="A6494" s="6"/>
      <c r="B6494" s="6"/>
      <c r="H6494" s="13"/>
    </row>
    <row r="6495">
      <c r="A6495" s="6"/>
      <c r="B6495" s="6"/>
      <c r="H6495" s="13"/>
    </row>
    <row r="6496">
      <c r="A6496" s="6"/>
      <c r="B6496" s="6"/>
      <c r="H6496" s="13"/>
    </row>
    <row r="6497">
      <c r="A6497" s="6"/>
      <c r="B6497" s="6"/>
      <c r="H6497" s="13"/>
    </row>
    <row r="6498">
      <c r="A6498" s="6"/>
      <c r="B6498" s="6"/>
      <c r="H6498" s="13"/>
    </row>
    <row r="6499">
      <c r="A6499" s="6"/>
      <c r="B6499" s="6"/>
      <c r="H6499" s="13"/>
    </row>
    <row r="6500">
      <c r="A6500" s="6"/>
      <c r="B6500" s="6"/>
      <c r="H6500" s="13"/>
    </row>
    <row r="6501">
      <c r="A6501" s="6"/>
      <c r="B6501" s="6"/>
      <c r="H6501" s="13"/>
    </row>
    <row r="6502">
      <c r="A6502" s="6"/>
      <c r="B6502" s="6"/>
      <c r="H6502" s="13"/>
    </row>
    <row r="6503">
      <c r="A6503" s="6"/>
      <c r="B6503" s="6"/>
      <c r="H6503" s="13"/>
    </row>
    <row r="6504">
      <c r="A6504" s="6"/>
      <c r="B6504" s="6"/>
      <c r="H6504" s="13"/>
    </row>
    <row r="6505">
      <c r="A6505" s="6"/>
      <c r="B6505" s="6"/>
      <c r="H6505" s="13"/>
    </row>
    <row r="6506">
      <c r="A6506" s="6"/>
      <c r="B6506" s="6"/>
      <c r="H6506" s="13"/>
    </row>
    <row r="6507">
      <c r="A6507" s="6"/>
      <c r="B6507" s="6"/>
      <c r="H6507" s="13"/>
    </row>
    <row r="6508">
      <c r="A6508" s="6"/>
      <c r="B6508" s="6"/>
      <c r="H6508" s="13"/>
    </row>
    <row r="6509">
      <c r="A6509" s="6"/>
      <c r="B6509" s="6"/>
      <c r="H6509" s="13"/>
    </row>
    <row r="6510">
      <c r="A6510" s="6"/>
      <c r="B6510" s="6"/>
      <c r="H6510" s="13"/>
    </row>
    <row r="6511">
      <c r="A6511" s="6"/>
      <c r="B6511" s="6"/>
      <c r="H6511" s="13"/>
    </row>
    <row r="6512">
      <c r="A6512" s="6"/>
      <c r="B6512" s="6"/>
      <c r="H6512" s="13"/>
    </row>
    <row r="6513">
      <c r="A6513" s="6"/>
      <c r="B6513" s="6"/>
      <c r="H6513" s="13"/>
    </row>
    <row r="6514">
      <c r="A6514" s="6"/>
      <c r="B6514" s="6"/>
      <c r="H6514" s="13"/>
    </row>
    <row r="6515">
      <c r="A6515" s="6"/>
      <c r="B6515" s="6"/>
      <c r="H6515" s="13"/>
    </row>
    <row r="6516">
      <c r="A6516" s="6"/>
      <c r="B6516" s="6"/>
      <c r="H6516" s="13"/>
    </row>
    <row r="6517">
      <c r="A6517" s="6"/>
      <c r="B6517" s="6"/>
      <c r="H6517" s="13"/>
    </row>
    <row r="6518">
      <c r="A6518" s="6"/>
      <c r="B6518" s="6"/>
      <c r="H6518" s="13"/>
    </row>
    <row r="6519">
      <c r="A6519" s="6"/>
      <c r="B6519" s="6"/>
      <c r="H6519" s="13"/>
    </row>
    <row r="6520">
      <c r="A6520" s="6"/>
      <c r="B6520" s="6"/>
      <c r="H6520" s="13"/>
    </row>
    <row r="6521">
      <c r="A6521" s="6"/>
      <c r="B6521" s="6"/>
      <c r="H6521" s="13"/>
    </row>
    <row r="6522">
      <c r="A6522" s="6"/>
      <c r="B6522" s="6"/>
      <c r="H6522" s="13"/>
    </row>
    <row r="6523">
      <c r="A6523" s="6"/>
      <c r="B6523" s="6"/>
      <c r="H6523" s="13"/>
    </row>
    <row r="6524">
      <c r="A6524" s="6"/>
      <c r="B6524" s="6"/>
      <c r="H6524" s="13"/>
    </row>
    <row r="6525">
      <c r="A6525" s="6"/>
      <c r="B6525" s="6"/>
      <c r="H6525" s="13"/>
    </row>
    <row r="6526">
      <c r="A6526" s="6"/>
      <c r="B6526" s="6"/>
      <c r="H6526" s="13"/>
    </row>
    <row r="6527">
      <c r="A6527" s="6"/>
      <c r="B6527" s="6"/>
      <c r="H6527" s="13"/>
    </row>
    <row r="6528">
      <c r="A6528" s="6"/>
      <c r="B6528" s="6"/>
      <c r="H6528" s="13"/>
    </row>
    <row r="6529">
      <c r="A6529" s="6"/>
      <c r="B6529" s="6"/>
      <c r="H6529" s="13"/>
    </row>
    <row r="6530">
      <c r="A6530" s="6"/>
      <c r="B6530" s="6"/>
      <c r="H6530" s="13"/>
    </row>
    <row r="6531">
      <c r="A6531" s="6"/>
      <c r="B6531" s="6"/>
      <c r="H6531" s="13"/>
    </row>
    <row r="6532">
      <c r="A6532" s="6"/>
      <c r="B6532" s="6"/>
      <c r="H6532" s="13"/>
    </row>
    <row r="6533">
      <c r="A6533" s="6"/>
      <c r="B6533" s="6"/>
      <c r="H6533" s="13"/>
    </row>
    <row r="6534">
      <c r="A6534" s="6"/>
      <c r="B6534" s="6"/>
      <c r="H6534" s="13"/>
    </row>
    <row r="6535">
      <c r="A6535" s="6"/>
      <c r="B6535" s="6"/>
      <c r="H6535" s="13"/>
    </row>
    <row r="6536">
      <c r="A6536" s="6"/>
      <c r="B6536" s="6"/>
      <c r="H6536" s="13"/>
    </row>
    <row r="6537">
      <c r="A6537" s="6"/>
      <c r="B6537" s="6"/>
      <c r="H6537" s="13"/>
    </row>
    <row r="6538">
      <c r="A6538" s="6"/>
      <c r="B6538" s="6"/>
      <c r="H6538" s="13"/>
    </row>
    <row r="6539">
      <c r="A6539" s="6"/>
      <c r="B6539" s="6"/>
      <c r="H6539" s="13"/>
    </row>
    <row r="6540">
      <c r="A6540" s="6"/>
      <c r="B6540" s="6"/>
      <c r="H6540" s="13"/>
    </row>
    <row r="6541">
      <c r="A6541" s="6"/>
      <c r="B6541" s="6"/>
      <c r="H6541" s="13"/>
    </row>
    <row r="6542">
      <c r="A6542" s="6"/>
      <c r="B6542" s="6"/>
      <c r="H6542" s="13"/>
    </row>
    <row r="6543">
      <c r="A6543" s="6"/>
      <c r="B6543" s="6"/>
      <c r="H6543" s="13"/>
    </row>
    <row r="6544">
      <c r="A6544" s="6"/>
      <c r="B6544" s="6"/>
      <c r="H6544" s="13"/>
    </row>
    <row r="6545">
      <c r="A6545" s="6"/>
      <c r="B6545" s="6"/>
      <c r="H6545" s="13"/>
    </row>
    <row r="6546">
      <c r="A6546" s="6"/>
      <c r="B6546" s="6"/>
      <c r="H6546" s="13"/>
    </row>
    <row r="6547">
      <c r="A6547" s="6"/>
      <c r="B6547" s="6"/>
      <c r="H6547" s="13"/>
    </row>
    <row r="6548">
      <c r="A6548" s="6"/>
      <c r="B6548" s="6"/>
      <c r="H6548" s="13"/>
    </row>
    <row r="6549">
      <c r="A6549" s="6"/>
      <c r="B6549" s="6"/>
      <c r="H6549" s="13"/>
    </row>
    <row r="6550">
      <c r="A6550" s="6"/>
      <c r="B6550" s="6"/>
      <c r="H6550" s="13"/>
    </row>
    <row r="6551">
      <c r="A6551" s="6"/>
      <c r="B6551" s="6"/>
      <c r="H6551" s="13"/>
    </row>
    <row r="6552">
      <c r="A6552" s="6"/>
      <c r="B6552" s="6"/>
      <c r="H6552" s="13"/>
    </row>
    <row r="6553">
      <c r="A6553" s="6"/>
      <c r="B6553" s="6"/>
      <c r="H6553" s="13"/>
    </row>
    <row r="6554">
      <c r="A6554" s="6"/>
      <c r="B6554" s="6"/>
      <c r="H6554" s="13"/>
    </row>
    <row r="6555">
      <c r="A6555" s="6"/>
      <c r="B6555" s="6"/>
      <c r="H6555" s="13"/>
    </row>
    <row r="6556">
      <c r="A6556" s="6"/>
      <c r="B6556" s="6"/>
      <c r="H6556" s="13"/>
    </row>
    <row r="6557">
      <c r="A6557" s="6"/>
      <c r="B6557" s="6"/>
      <c r="H6557" s="13"/>
    </row>
    <row r="6558">
      <c r="A6558" s="6"/>
      <c r="B6558" s="6"/>
      <c r="H6558" s="13"/>
    </row>
    <row r="6559">
      <c r="A6559" s="6"/>
      <c r="B6559" s="6"/>
      <c r="H6559" s="13"/>
    </row>
    <row r="6560">
      <c r="A6560" s="6"/>
      <c r="B6560" s="6"/>
      <c r="H6560" s="13"/>
    </row>
    <row r="6561">
      <c r="A6561" s="6"/>
      <c r="B6561" s="6"/>
      <c r="H6561" s="13"/>
    </row>
    <row r="6562">
      <c r="A6562" s="6"/>
      <c r="B6562" s="6"/>
      <c r="H6562" s="13"/>
    </row>
    <row r="6563">
      <c r="A6563" s="6"/>
      <c r="B6563" s="6"/>
      <c r="H6563" s="13"/>
    </row>
    <row r="6564">
      <c r="A6564" s="6"/>
      <c r="B6564" s="6"/>
      <c r="H6564" s="13"/>
    </row>
    <row r="6565">
      <c r="A6565" s="6"/>
      <c r="B6565" s="6"/>
      <c r="H6565" s="13"/>
    </row>
    <row r="6566">
      <c r="A6566" s="6"/>
      <c r="B6566" s="6"/>
      <c r="H6566" s="13"/>
    </row>
    <row r="6567">
      <c r="A6567" s="6"/>
      <c r="B6567" s="6"/>
      <c r="H6567" s="13"/>
    </row>
    <row r="6568">
      <c r="A6568" s="6"/>
      <c r="B6568" s="6"/>
      <c r="H6568" s="13"/>
    </row>
    <row r="6569">
      <c r="A6569" s="6"/>
      <c r="B6569" s="6"/>
      <c r="H6569" s="13"/>
    </row>
    <row r="6570">
      <c r="A6570" s="6"/>
      <c r="B6570" s="6"/>
      <c r="H6570" s="13"/>
    </row>
    <row r="6571">
      <c r="A6571" s="6"/>
      <c r="B6571" s="6"/>
      <c r="H6571" s="13"/>
    </row>
    <row r="6572">
      <c r="A6572" s="6"/>
      <c r="B6572" s="6"/>
      <c r="H6572" s="13"/>
    </row>
    <row r="6573">
      <c r="A6573" s="6"/>
      <c r="B6573" s="6"/>
      <c r="H6573" s="13"/>
    </row>
    <row r="6574">
      <c r="A6574" s="6"/>
      <c r="B6574" s="6"/>
      <c r="H6574" s="13"/>
    </row>
    <row r="6575">
      <c r="A6575" s="6"/>
      <c r="B6575" s="6"/>
      <c r="H6575" s="13"/>
    </row>
    <row r="6576">
      <c r="A6576" s="6"/>
      <c r="B6576" s="6"/>
      <c r="H6576" s="13"/>
    </row>
    <row r="6577">
      <c r="A6577" s="6"/>
      <c r="B6577" s="6"/>
      <c r="H6577" s="13"/>
    </row>
    <row r="6578">
      <c r="A6578" s="6"/>
      <c r="B6578" s="6"/>
      <c r="H6578" s="13"/>
    </row>
    <row r="6579">
      <c r="A6579" s="6"/>
      <c r="B6579" s="6"/>
      <c r="H6579" s="13"/>
    </row>
    <row r="6580">
      <c r="A6580" s="6"/>
      <c r="B6580" s="6"/>
      <c r="H6580" s="13"/>
    </row>
    <row r="6581">
      <c r="A6581" s="6"/>
      <c r="B6581" s="6"/>
      <c r="H6581" s="13"/>
    </row>
    <row r="6582">
      <c r="A6582" s="6"/>
      <c r="B6582" s="6"/>
      <c r="H6582" s="13"/>
    </row>
    <row r="6583">
      <c r="A6583" s="6"/>
      <c r="B6583" s="6"/>
      <c r="H6583" s="13"/>
    </row>
    <row r="6584">
      <c r="A6584" s="6"/>
      <c r="B6584" s="6"/>
      <c r="H6584" s="13"/>
    </row>
    <row r="6585">
      <c r="A6585" s="6"/>
      <c r="B6585" s="6"/>
      <c r="H6585" s="13"/>
    </row>
    <row r="6586">
      <c r="A6586" s="6"/>
      <c r="B6586" s="6"/>
      <c r="H6586" s="13"/>
    </row>
    <row r="6587">
      <c r="A6587" s="6"/>
      <c r="B6587" s="6"/>
      <c r="H6587" s="13"/>
    </row>
    <row r="6588">
      <c r="A6588" s="6"/>
      <c r="B6588" s="6"/>
      <c r="H6588" s="13"/>
    </row>
    <row r="6589">
      <c r="A6589" s="6"/>
      <c r="B6589" s="6"/>
      <c r="H6589" s="13"/>
    </row>
    <row r="6590">
      <c r="A6590" s="6"/>
      <c r="B6590" s="6"/>
      <c r="H6590" s="13"/>
    </row>
    <row r="6591">
      <c r="A6591" s="6"/>
      <c r="B6591" s="6"/>
      <c r="H6591" s="13"/>
    </row>
    <row r="6592">
      <c r="A6592" s="6"/>
      <c r="B6592" s="6"/>
      <c r="H6592" s="13"/>
    </row>
    <row r="6593">
      <c r="A6593" s="6"/>
      <c r="B6593" s="6"/>
      <c r="H6593" s="13"/>
    </row>
    <row r="6594">
      <c r="A6594" s="6"/>
      <c r="B6594" s="6"/>
      <c r="H6594" s="13"/>
    </row>
    <row r="6595">
      <c r="A6595" s="6"/>
      <c r="B6595" s="6"/>
      <c r="H6595" s="13"/>
    </row>
    <row r="6596">
      <c r="A6596" s="6"/>
      <c r="B6596" s="6"/>
      <c r="H6596" s="13"/>
    </row>
    <row r="6597">
      <c r="A6597" s="6"/>
      <c r="B6597" s="6"/>
      <c r="H6597" s="13"/>
    </row>
    <row r="6598">
      <c r="A6598" s="6"/>
      <c r="B6598" s="6"/>
      <c r="H6598" s="13"/>
    </row>
    <row r="6599">
      <c r="A6599" s="6"/>
      <c r="B6599" s="6"/>
      <c r="H6599" s="13"/>
    </row>
    <row r="6600">
      <c r="A6600" s="6"/>
      <c r="B6600" s="6"/>
      <c r="H6600" s="13"/>
    </row>
    <row r="6601">
      <c r="A6601" s="6"/>
      <c r="B6601" s="6"/>
      <c r="H6601" s="13"/>
    </row>
    <row r="6602">
      <c r="A6602" s="6"/>
      <c r="B6602" s="6"/>
      <c r="H6602" s="13"/>
    </row>
    <row r="6603">
      <c r="A6603" s="6"/>
      <c r="B6603" s="6"/>
      <c r="H6603" s="13"/>
    </row>
    <row r="6604">
      <c r="A6604" s="6"/>
      <c r="B6604" s="6"/>
      <c r="H6604" s="13"/>
    </row>
    <row r="6605">
      <c r="A6605" s="6"/>
      <c r="B6605" s="6"/>
      <c r="H6605" s="13"/>
    </row>
    <row r="6606">
      <c r="A6606" s="6"/>
      <c r="B6606" s="6"/>
      <c r="H6606" s="13"/>
    </row>
    <row r="6607">
      <c r="A6607" s="6"/>
      <c r="B6607" s="6"/>
      <c r="H6607" s="13"/>
    </row>
    <row r="6608">
      <c r="A6608" s="6"/>
      <c r="B6608" s="6"/>
      <c r="H6608" s="13"/>
    </row>
    <row r="6609">
      <c r="A6609" s="6"/>
      <c r="B6609" s="6"/>
      <c r="H6609" s="13"/>
    </row>
    <row r="6610">
      <c r="A6610" s="6"/>
      <c r="B6610" s="6"/>
      <c r="H6610" s="13"/>
    </row>
    <row r="6611">
      <c r="A6611" s="6"/>
      <c r="B6611" s="6"/>
      <c r="H6611" s="13"/>
    </row>
    <row r="6612">
      <c r="A6612" s="6"/>
      <c r="B6612" s="6"/>
      <c r="H6612" s="13"/>
    </row>
    <row r="6613">
      <c r="A6613" s="6"/>
      <c r="B6613" s="6"/>
      <c r="H6613" s="13"/>
    </row>
    <row r="6614">
      <c r="A6614" s="6"/>
      <c r="B6614" s="6"/>
      <c r="H6614" s="13"/>
    </row>
    <row r="6615">
      <c r="A6615" s="6"/>
      <c r="B6615" s="6"/>
      <c r="H6615" s="13"/>
    </row>
    <row r="6616">
      <c r="A6616" s="6"/>
      <c r="B6616" s="6"/>
      <c r="H6616" s="13"/>
    </row>
    <row r="6617">
      <c r="A6617" s="6"/>
      <c r="B6617" s="6"/>
      <c r="H6617" s="13"/>
    </row>
    <row r="6618">
      <c r="A6618" s="6"/>
      <c r="B6618" s="6"/>
      <c r="H6618" s="13"/>
    </row>
    <row r="6619">
      <c r="A6619" s="6"/>
      <c r="B6619" s="6"/>
      <c r="H6619" s="13"/>
    </row>
    <row r="6620">
      <c r="A6620" s="6"/>
      <c r="B6620" s="6"/>
      <c r="H6620" s="13"/>
    </row>
    <row r="6621">
      <c r="A6621" s="6"/>
      <c r="B6621" s="6"/>
      <c r="H6621" s="13"/>
    </row>
    <row r="6622">
      <c r="A6622" s="6"/>
      <c r="B6622" s="6"/>
      <c r="H6622" s="13"/>
    </row>
    <row r="6623">
      <c r="A6623" s="6"/>
      <c r="B6623" s="6"/>
      <c r="H6623" s="13"/>
    </row>
    <row r="6624">
      <c r="A6624" s="6"/>
      <c r="B6624" s="6"/>
      <c r="H6624" s="13"/>
    </row>
    <row r="6625">
      <c r="A6625" s="6"/>
      <c r="B6625" s="6"/>
      <c r="H6625" s="13"/>
    </row>
    <row r="6626">
      <c r="A6626" s="6"/>
      <c r="B6626" s="6"/>
      <c r="H6626" s="13"/>
    </row>
    <row r="6627">
      <c r="A6627" s="6"/>
      <c r="B6627" s="6"/>
      <c r="H6627" s="13"/>
    </row>
    <row r="6628">
      <c r="A6628" s="6"/>
      <c r="B6628" s="6"/>
      <c r="H6628" s="13"/>
    </row>
    <row r="6629">
      <c r="A6629" s="6"/>
      <c r="B6629" s="6"/>
      <c r="H6629" s="13"/>
    </row>
    <row r="6630">
      <c r="A6630" s="6"/>
      <c r="B6630" s="6"/>
      <c r="H6630" s="13"/>
    </row>
    <row r="6631">
      <c r="A6631" s="6"/>
      <c r="B6631" s="6"/>
      <c r="H6631" s="13"/>
    </row>
    <row r="6632">
      <c r="A6632" s="6"/>
      <c r="B6632" s="6"/>
      <c r="H6632" s="13"/>
    </row>
    <row r="6633">
      <c r="A6633" s="6"/>
      <c r="B6633" s="6"/>
      <c r="H6633" s="13"/>
    </row>
    <row r="6634">
      <c r="A6634" s="6"/>
      <c r="B6634" s="6"/>
      <c r="H6634" s="13"/>
    </row>
    <row r="6635">
      <c r="A6635" s="6"/>
      <c r="B6635" s="6"/>
      <c r="H6635" s="13"/>
    </row>
    <row r="6636">
      <c r="A6636" s="6"/>
      <c r="B6636" s="6"/>
      <c r="H6636" s="13"/>
    </row>
    <row r="6637">
      <c r="A6637" s="6"/>
      <c r="B6637" s="6"/>
      <c r="H6637" s="13"/>
    </row>
    <row r="6638">
      <c r="A6638" s="6"/>
      <c r="B6638" s="6"/>
      <c r="H6638" s="13"/>
    </row>
    <row r="6639">
      <c r="A6639" s="6"/>
      <c r="B6639" s="6"/>
      <c r="H6639" s="13"/>
    </row>
    <row r="6640">
      <c r="A6640" s="6"/>
      <c r="B6640" s="6"/>
      <c r="H6640" s="13"/>
    </row>
    <row r="6641">
      <c r="A6641" s="6"/>
      <c r="B6641" s="6"/>
      <c r="H6641" s="13"/>
    </row>
    <row r="6642">
      <c r="A6642" s="6"/>
      <c r="B6642" s="6"/>
      <c r="H6642" s="13"/>
    </row>
    <row r="6643">
      <c r="A6643" s="6"/>
      <c r="B6643" s="6"/>
      <c r="H6643" s="13"/>
    </row>
    <row r="6644">
      <c r="A6644" s="6"/>
      <c r="B6644" s="6"/>
      <c r="H6644" s="13"/>
    </row>
    <row r="6645">
      <c r="A6645" s="6"/>
      <c r="B6645" s="6"/>
      <c r="H6645" s="13"/>
    </row>
    <row r="6646">
      <c r="A6646" s="6"/>
      <c r="B6646" s="6"/>
      <c r="H6646" s="13"/>
    </row>
    <row r="6647">
      <c r="A6647" s="6"/>
      <c r="B6647" s="6"/>
      <c r="H6647" s="13"/>
    </row>
    <row r="6648">
      <c r="A6648" s="6"/>
      <c r="B6648" s="6"/>
      <c r="H6648" s="13"/>
    </row>
    <row r="6649">
      <c r="A6649" s="6"/>
      <c r="B6649" s="6"/>
      <c r="H6649" s="13"/>
    </row>
    <row r="6650">
      <c r="A6650" s="6"/>
      <c r="B6650" s="6"/>
      <c r="H6650" s="13"/>
    </row>
    <row r="6651">
      <c r="A6651" s="6"/>
      <c r="B6651" s="6"/>
      <c r="H6651" s="13"/>
    </row>
    <row r="6652">
      <c r="A6652" s="6"/>
      <c r="B6652" s="6"/>
      <c r="H6652" s="13"/>
    </row>
    <row r="6653">
      <c r="A6653" s="6"/>
      <c r="B6653" s="6"/>
      <c r="H6653" s="13"/>
    </row>
    <row r="6654">
      <c r="A6654" s="6"/>
      <c r="B6654" s="6"/>
      <c r="H6654" s="13"/>
    </row>
    <row r="6655">
      <c r="A6655" s="6"/>
      <c r="B6655" s="6"/>
      <c r="H6655" s="13"/>
    </row>
    <row r="6656">
      <c r="A6656" s="6"/>
      <c r="B6656" s="6"/>
      <c r="H6656" s="13"/>
    </row>
    <row r="6657">
      <c r="A6657" s="6"/>
      <c r="B6657" s="6"/>
      <c r="H6657" s="13"/>
    </row>
    <row r="6658">
      <c r="A6658" s="6"/>
      <c r="B6658" s="6"/>
      <c r="H6658" s="13"/>
    </row>
    <row r="6659">
      <c r="A6659" s="6"/>
      <c r="B6659" s="6"/>
      <c r="H6659" s="13"/>
    </row>
    <row r="6660">
      <c r="A6660" s="6"/>
      <c r="B6660" s="6"/>
      <c r="H6660" s="13"/>
    </row>
    <row r="6661">
      <c r="A6661" s="6"/>
      <c r="B6661" s="6"/>
      <c r="H6661" s="13"/>
    </row>
    <row r="6662">
      <c r="A6662" s="6"/>
      <c r="B6662" s="6"/>
      <c r="H6662" s="13"/>
    </row>
    <row r="6663">
      <c r="A6663" s="6"/>
      <c r="B6663" s="6"/>
      <c r="H6663" s="13"/>
    </row>
    <row r="6664">
      <c r="A6664" s="6"/>
      <c r="B6664" s="6"/>
      <c r="H6664" s="13"/>
    </row>
    <row r="6665">
      <c r="A6665" s="6"/>
      <c r="B6665" s="6"/>
      <c r="H6665" s="13"/>
    </row>
    <row r="6666">
      <c r="A6666" s="6"/>
      <c r="B6666" s="6"/>
      <c r="H6666" s="13"/>
    </row>
    <row r="6667">
      <c r="A6667" s="6"/>
      <c r="B6667" s="6"/>
      <c r="H6667" s="13"/>
    </row>
    <row r="6668">
      <c r="A6668" s="6"/>
      <c r="B6668" s="6"/>
      <c r="H6668" s="13"/>
    </row>
    <row r="6669">
      <c r="A6669" s="6"/>
      <c r="B6669" s="6"/>
      <c r="H6669" s="13"/>
    </row>
    <row r="6670">
      <c r="A6670" s="6"/>
      <c r="B6670" s="6"/>
      <c r="H6670" s="13"/>
    </row>
    <row r="6671">
      <c r="A6671" s="6"/>
      <c r="B6671" s="6"/>
      <c r="H6671" s="13"/>
    </row>
    <row r="6672">
      <c r="A6672" s="6"/>
      <c r="B6672" s="6"/>
      <c r="H6672" s="13"/>
    </row>
    <row r="6673">
      <c r="A6673" s="6"/>
      <c r="B6673" s="6"/>
      <c r="H6673" s="13"/>
    </row>
    <row r="6674">
      <c r="A6674" s="6"/>
      <c r="B6674" s="6"/>
      <c r="H6674" s="13"/>
    </row>
    <row r="6675">
      <c r="A6675" s="6"/>
      <c r="B6675" s="6"/>
      <c r="H6675" s="13"/>
    </row>
    <row r="6676">
      <c r="A6676" s="6"/>
      <c r="B6676" s="6"/>
      <c r="H6676" s="13"/>
    </row>
    <row r="6677">
      <c r="A6677" s="6"/>
      <c r="B6677" s="6"/>
      <c r="H6677" s="13"/>
    </row>
    <row r="6678">
      <c r="A6678" s="6"/>
      <c r="B6678" s="6"/>
      <c r="H6678" s="13"/>
    </row>
    <row r="6679">
      <c r="A6679" s="6"/>
      <c r="B6679" s="6"/>
      <c r="H6679" s="13"/>
    </row>
    <row r="6680">
      <c r="A6680" s="6"/>
      <c r="B6680" s="6"/>
      <c r="H6680" s="13"/>
    </row>
    <row r="6681">
      <c r="A6681" s="6"/>
      <c r="B6681" s="6"/>
      <c r="H6681" s="13"/>
    </row>
    <row r="6682">
      <c r="A6682" s="6"/>
      <c r="B6682" s="6"/>
      <c r="H6682" s="13"/>
    </row>
    <row r="6683">
      <c r="A6683" s="6"/>
      <c r="B6683" s="6"/>
      <c r="H6683" s="13"/>
    </row>
    <row r="6684">
      <c r="A6684" s="6"/>
      <c r="B6684" s="6"/>
      <c r="H6684" s="13"/>
    </row>
    <row r="6685">
      <c r="A6685" s="6"/>
      <c r="B6685" s="6"/>
      <c r="H6685" s="13"/>
    </row>
    <row r="6686">
      <c r="A6686" s="6"/>
      <c r="B6686" s="6"/>
      <c r="H6686" s="13"/>
    </row>
    <row r="6687">
      <c r="A6687" s="6"/>
      <c r="B6687" s="6"/>
      <c r="H6687" s="13"/>
    </row>
    <row r="6688">
      <c r="A6688" s="6"/>
      <c r="B6688" s="6"/>
      <c r="H6688" s="13"/>
    </row>
    <row r="6689">
      <c r="A6689" s="6"/>
      <c r="B6689" s="6"/>
      <c r="H6689" s="13"/>
    </row>
    <row r="6690">
      <c r="A6690" s="6"/>
      <c r="B6690" s="6"/>
      <c r="H6690" s="13"/>
    </row>
    <row r="6691">
      <c r="A6691" s="6"/>
      <c r="B6691" s="6"/>
      <c r="H6691" s="13"/>
    </row>
    <row r="6692">
      <c r="A6692" s="6"/>
      <c r="B6692" s="6"/>
      <c r="H6692" s="13"/>
    </row>
    <row r="6693">
      <c r="A6693" s="6"/>
      <c r="B6693" s="6"/>
      <c r="H6693" s="13"/>
    </row>
    <row r="6694">
      <c r="A6694" s="6"/>
      <c r="B6694" s="6"/>
      <c r="H6694" s="13"/>
    </row>
    <row r="6695">
      <c r="A6695" s="6"/>
      <c r="B6695" s="6"/>
      <c r="H6695" s="13"/>
    </row>
    <row r="6696">
      <c r="A6696" s="6"/>
      <c r="B6696" s="6"/>
      <c r="H6696" s="13"/>
    </row>
    <row r="6697">
      <c r="A6697" s="6"/>
      <c r="B6697" s="6"/>
      <c r="H6697" s="13"/>
    </row>
    <row r="6698">
      <c r="A6698" s="6"/>
      <c r="B6698" s="6"/>
      <c r="H6698" s="13"/>
    </row>
    <row r="6699">
      <c r="A6699" s="6"/>
      <c r="B6699" s="6"/>
      <c r="H6699" s="13"/>
    </row>
    <row r="6700">
      <c r="A6700" s="6"/>
      <c r="B6700" s="6"/>
      <c r="H6700" s="13"/>
    </row>
    <row r="6701">
      <c r="A6701" s="6"/>
      <c r="B6701" s="6"/>
      <c r="H6701" s="13"/>
    </row>
    <row r="6702">
      <c r="A6702" s="6"/>
      <c r="B6702" s="6"/>
      <c r="H6702" s="13"/>
    </row>
    <row r="6703">
      <c r="A6703" s="6"/>
      <c r="B6703" s="6"/>
      <c r="H6703" s="13"/>
    </row>
    <row r="6704">
      <c r="A6704" s="6"/>
      <c r="B6704" s="6"/>
      <c r="H6704" s="13"/>
    </row>
    <row r="6705">
      <c r="A6705" s="6"/>
      <c r="B6705" s="6"/>
      <c r="H6705" s="13"/>
    </row>
    <row r="6706">
      <c r="A6706" s="6"/>
      <c r="B6706" s="6"/>
      <c r="H6706" s="13"/>
    </row>
    <row r="6707">
      <c r="A6707" s="6"/>
      <c r="B6707" s="6"/>
      <c r="H6707" s="13"/>
    </row>
    <row r="6708">
      <c r="A6708" s="6"/>
      <c r="B6708" s="6"/>
      <c r="H6708" s="13"/>
    </row>
    <row r="6709">
      <c r="A6709" s="6"/>
      <c r="B6709" s="6"/>
      <c r="H6709" s="13"/>
    </row>
    <row r="6710">
      <c r="A6710" s="6"/>
      <c r="B6710" s="6"/>
      <c r="H6710" s="13"/>
    </row>
    <row r="6711">
      <c r="A6711" s="6"/>
      <c r="B6711" s="6"/>
      <c r="H6711" s="13"/>
    </row>
    <row r="6712">
      <c r="A6712" s="6"/>
      <c r="B6712" s="6"/>
      <c r="H6712" s="13"/>
    </row>
    <row r="6713">
      <c r="A6713" s="6"/>
      <c r="B6713" s="6"/>
      <c r="H6713" s="13"/>
    </row>
    <row r="6714">
      <c r="A6714" s="6"/>
      <c r="B6714" s="6"/>
      <c r="H6714" s="13"/>
    </row>
    <row r="6715">
      <c r="A6715" s="6"/>
      <c r="B6715" s="6"/>
      <c r="H6715" s="13"/>
    </row>
    <row r="6716">
      <c r="A6716" s="6"/>
      <c r="B6716" s="6"/>
      <c r="H6716" s="13"/>
    </row>
    <row r="6717">
      <c r="A6717" s="6"/>
      <c r="B6717" s="6"/>
      <c r="H6717" s="13"/>
    </row>
    <row r="6718">
      <c r="A6718" s="6"/>
      <c r="B6718" s="6"/>
      <c r="H6718" s="13"/>
    </row>
    <row r="6719">
      <c r="A6719" s="6"/>
      <c r="B6719" s="6"/>
      <c r="H6719" s="13"/>
    </row>
    <row r="6720">
      <c r="A6720" s="6"/>
      <c r="B6720" s="6"/>
      <c r="H6720" s="13"/>
    </row>
    <row r="6721">
      <c r="A6721" s="6"/>
      <c r="B6721" s="6"/>
      <c r="H6721" s="13"/>
    </row>
    <row r="6722">
      <c r="A6722" s="6"/>
      <c r="B6722" s="6"/>
      <c r="H6722" s="13"/>
    </row>
    <row r="6723">
      <c r="A6723" s="6"/>
      <c r="B6723" s="6"/>
      <c r="H6723" s="13"/>
    </row>
    <row r="6724">
      <c r="A6724" s="6"/>
      <c r="B6724" s="6"/>
      <c r="H6724" s="13"/>
    </row>
    <row r="6725">
      <c r="A6725" s="6"/>
      <c r="B6725" s="6"/>
      <c r="H6725" s="13"/>
    </row>
    <row r="6726">
      <c r="A6726" s="6"/>
      <c r="B6726" s="6"/>
      <c r="H6726" s="13"/>
    </row>
    <row r="6727">
      <c r="A6727" s="6"/>
      <c r="B6727" s="6"/>
      <c r="H6727" s="13"/>
    </row>
    <row r="6728">
      <c r="A6728" s="6"/>
      <c r="B6728" s="6"/>
      <c r="H6728" s="13"/>
    </row>
    <row r="6729">
      <c r="A6729" s="6"/>
      <c r="B6729" s="6"/>
      <c r="H6729" s="13"/>
    </row>
    <row r="6730">
      <c r="A6730" s="6"/>
      <c r="B6730" s="6"/>
      <c r="H6730" s="13"/>
    </row>
    <row r="6731">
      <c r="A6731" s="6"/>
      <c r="B6731" s="6"/>
      <c r="H6731" s="13"/>
    </row>
    <row r="6732">
      <c r="A6732" s="6"/>
      <c r="B6732" s="6"/>
      <c r="H6732" s="13"/>
    </row>
    <row r="6733">
      <c r="A6733" s="6"/>
      <c r="B6733" s="6"/>
      <c r="H6733" s="13"/>
    </row>
    <row r="6734">
      <c r="A6734" s="6"/>
      <c r="B6734" s="6"/>
      <c r="H6734" s="13"/>
    </row>
    <row r="6735">
      <c r="A6735" s="6"/>
      <c r="B6735" s="6"/>
      <c r="H6735" s="13"/>
    </row>
    <row r="6736">
      <c r="A6736" s="6"/>
      <c r="B6736" s="6"/>
      <c r="H6736" s="13"/>
    </row>
    <row r="6737">
      <c r="A6737" s="6"/>
      <c r="B6737" s="6"/>
      <c r="H6737" s="13"/>
    </row>
    <row r="6738">
      <c r="A6738" s="6"/>
      <c r="B6738" s="6"/>
      <c r="H6738" s="13"/>
    </row>
    <row r="6739">
      <c r="A6739" s="6"/>
      <c r="B6739" s="6"/>
      <c r="H6739" s="13"/>
    </row>
    <row r="6740">
      <c r="A6740" s="6"/>
      <c r="B6740" s="6"/>
      <c r="H6740" s="13"/>
    </row>
    <row r="6741">
      <c r="A6741" s="6"/>
      <c r="B6741" s="6"/>
      <c r="H6741" s="13"/>
    </row>
    <row r="6742">
      <c r="A6742" s="6"/>
      <c r="B6742" s="6"/>
      <c r="H6742" s="13"/>
    </row>
    <row r="6743">
      <c r="A6743" s="6"/>
      <c r="B6743" s="6"/>
      <c r="H6743" s="13"/>
    </row>
    <row r="6744">
      <c r="A6744" s="6"/>
      <c r="B6744" s="6"/>
      <c r="H6744" s="13"/>
    </row>
    <row r="6745">
      <c r="A6745" s="6"/>
      <c r="B6745" s="6"/>
      <c r="H6745" s="13"/>
    </row>
    <row r="6746">
      <c r="A6746" s="6"/>
      <c r="B6746" s="6"/>
      <c r="H6746" s="13"/>
    </row>
    <row r="6747">
      <c r="A6747" s="6"/>
      <c r="B6747" s="6"/>
      <c r="H6747" s="13"/>
    </row>
    <row r="6748">
      <c r="A6748" s="6"/>
      <c r="B6748" s="6"/>
      <c r="H6748" s="13"/>
    </row>
    <row r="6749">
      <c r="A6749" s="6"/>
      <c r="B6749" s="6"/>
      <c r="H6749" s="13"/>
    </row>
    <row r="6750">
      <c r="A6750" s="6"/>
      <c r="B6750" s="6"/>
      <c r="H6750" s="13"/>
    </row>
    <row r="6751">
      <c r="A6751" s="6"/>
      <c r="B6751" s="6"/>
      <c r="H6751" s="13"/>
    </row>
    <row r="6752">
      <c r="A6752" s="6"/>
      <c r="B6752" s="6"/>
      <c r="H6752" s="13"/>
    </row>
    <row r="6753">
      <c r="A6753" s="6"/>
      <c r="B6753" s="6"/>
      <c r="H6753" s="13"/>
    </row>
    <row r="6754">
      <c r="A6754" s="6"/>
      <c r="B6754" s="6"/>
      <c r="H6754" s="13"/>
    </row>
    <row r="6755">
      <c r="A6755" s="6"/>
      <c r="B6755" s="6"/>
      <c r="H6755" s="13"/>
    </row>
    <row r="6756">
      <c r="A6756" s="6"/>
      <c r="B6756" s="6"/>
      <c r="H6756" s="13"/>
    </row>
    <row r="6757">
      <c r="A6757" s="6"/>
      <c r="B6757" s="6"/>
      <c r="H6757" s="13"/>
    </row>
    <row r="6758">
      <c r="A6758" s="6"/>
      <c r="B6758" s="6"/>
      <c r="H6758" s="13"/>
    </row>
    <row r="6759">
      <c r="A6759" s="6"/>
      <c r="B6759" s="6"/>
      <c r="H6759" s="13"/>
    </row>
    <row r="6760">
      <c r="A6760" s="6"/>
      <c r="B6760" s="6"/>
      <c r="H6760" s="13"/>
    </row>
    <row r="6761">
      <c r="A6761" s="6"/>
      <c r="B6761" s="6"/>
      <c r="H6761" s="13"/>
    </row>
    <row r="6762">
      <c r="A6762" s="6"/>
      <c r="B6762" s="6"/>
      <c r="H6762" s="13"/>
    </row>
    <row r="6763">
      <c r="A6763" s="6"/>
      <c r="B6763" s="6"/>
      <c r="H6763" s="13"/>
    </row>
    <row r="6764">
      <c r="A6764" s="6"/>
      <c r="B6764" s="6"/>
      <c r="H6764" s="13"/>
    </row>
    <row r="6765">
      <c r="A6765" s="6"/>
      <c r="B6765" s="6"/>
      <c r="H6765" s="13"/>
    </row>
    <row r="6766">
      <c r="A6766" s="6"/>
      <c r="B6766" s="6"/>
      <c r="H6766" s="13"/>
    </row>
    <row r="6767">
      <c r="A6767" s="6"/>
      <c r="B6767" s="6"/>
      <c r="H6767" s="13"/>
    </row>
    <row r="6768">
      <c r="A6768" s="6"/>
      <c r="B6768" s="6"/>
      <c r="H6768" s="13"/>
    </row>
    <row r="6769">
      <c r="A6769" s="6"/>
      <c r="B6769" s="6"/>
      <c r="H6769" s="13"/>
    </row>
    <row r="6770">
      <c r="A6770" s="6"/>
      <c r="B6770" s="6"/>
      <c r="H6770" s="13"/>
    </row>
    <row r="6771">
      <c r="A6771" s="6"/>
      <c r="B6771" s="6"/>
      <c r="H6771" s="13"/>
    </row>
    <row r="6772">
      <c r="A6772" s="6"/>
      <c r="B6772" s="6"/>
      <c r="H6772" s="13"/>
    </row>
    <row r="6773">
      <c r="A6773" s="6"/>
      <c r="B6773" s="6"/>
      <c r="H6773" s="13"/>
    </row>
    <row r="6774">
      <c r="A6774" s="6"/>
      <c r="B6774" s="6"/>
      <c r="H6774" s="13"/>
    </row>
    <row r="6775">
      <c r="A6775" s="6"/>
      <c r="B6775" s="6"/>
      <c r="H6775" s="13"/>
    </row>
    <row r="6776">
      <c r="A6776" s="6"/>
      <c r="B6776" s="6"/>
      <c r="H6776" s="13"/>
    </row>
    <row r="6777">
      <c r="A6777" s="6"/>
      <c r="B6777" s="6"/>
      <c r="H6777" s="13"/>
    </row>
    <row r="6778">
      <c r="A6778" s="6"/>
      <c r="B6778" s="6"/>
      <c r="H6778" s="13"/>
    </row>
    <row r="6779">
      <c r="A6779" s="6"/>
      <c r="B6779" s="6"/>
      <c r="H6779" s="13"/>
    </row>
    <row r="6780">
      <c r="A6780" s="6"/>
      <c r="B6780" s="6"/>
      <c r="H6780" s="13"/>
    </row>
    <row r="6781">
      <c r="A6781" s="6"/>
      <c r="B6781" s="6"/>
      <c r="H6781" s="13"/>
    </row>
    <row r="6782">
      <c r="A6782" s="6"/>
      <c r="B6782" s="6"/>
      <c r="H6782" s="13"/>
    </row>
    <row r="6783">
      <c r="A6783" s="6"/>
      <c r="B6783" s="6"/>
      <c r="H6783" s="13"/>
    </row>
    <row r="6784">
      <c r="A6784" s="6"/>
      <c r="B6784" s="6"/>
      <c r="H6784" s="13"/>
    </row>
    <row r="6785">
      <c r="A6785" s="6"/>
      <c r="B6785" s="6"/>
      <c r="H6785" s="13"/>
    </row>
    <row r="6786">
      <c r="A6786" s="6"/>
      <c r="B6786" s="6"/>
      <c r="H6786" s="13"/>
    </row>
    <row r="6787">
      <c r="A6787" s="6"/>
      <c r="B6787" s="6"/>
      <c r="H6787" s="13"/>
    </row>
    <row r="6788">
      <c r="A6788" s="6"/>
      <c r="B6788" s="6"/>
      <c r="H6788" s="13"/>
    </row>
    <row r="6789">
      <c r="A6789" s="6"/>
      <c r="B6789" s="6"/>
      <c r="H6789" s="13"/>
    </row>
    <row r="6790">
      <c r="A6790" s="6"/>
      <c r="B6790" s="6"/>
      <c r="H6790" s="13"/>
    </row>
    <row r="6791">
      <c r="A6791" s="6"/>
      <c r="B6791" s="6"/>
      <c r="H6791" s="13"/>
    </row>
    <row r="6792">
      <c r="A6792" s="6"/>
      <c r="B6792" s="6"/>
      <c r="H6792" s="13"/>
    </row>
    <row r="6793">
      <c r="A6793" s="6"/>
      <c r="B6793" s="6"/>
      <c r="H6793" s="13"/>
    </row>
    <row r="6794">
      <c r="A6794" s="6"/>
      <c r="B6794" s="6"/>
      <c r="H6794" s="13"/>
    </row>
    <row r="6795">
      <c r="A6795" s="6"/>
      <c r="B6795" s="6"/>
      <c r="H6795" s="13"/>
    </row>
    <row r="6796">
      <c r="A6796" s="6"/>
      <c r="B6796" s="6"/>
      <c r="H6796" s="13"/>
    </row>
    <row r="6797">
      <c r="A6797" s="6"/>
      <c r="B6797" s="6"/>
      <c r="H6797" s="13"/>
    </row>
    <row r="6798">
      <c r="A6798" s="6"/>
      <c r="B6798" s="6"/>
      <c r="H6798" s="13"/>
    </row>
    <row r="6799">
      <c r="A6799" s="6"/>
      <c r="B6799" s="6"/>
      <c r="H6799" s="13"/>
    </row>
    <row r="6800">
      <c r="A6800" s="6"/>
      <c r="B6800" s="6"/>
      <c r="H6800" s="13"/>
    </row>
    <row r="6801">
      <c r="A6801" s="6"/>
      <c r="B6801" s="6"/>
      <c r="H6801" s="13"/>
    </row>
    <row r="6802">
      <c r="A6802" s="6"/>
      <c r="B6802" s="6"/>
      <c r="H6802" s="13"/>
    </row>
    <row r="6803">
      <c r="A6803" s="6"/>
      <c r="B6803" s="6"/>
      <c r="H6803" s="13"/>
    </row>
    <row r="6804">
      <c r="A6804" s="6"/>
      <c r="B6804" s="6"/>
      <c r="H6804" s="13"/>
    </row>
    <row r="6805">
      <c r="A6805" s="6"/>
      <c r="B6805" s="6"/>
      <c r="H6805" s="13"/>
    </row>
    <row r="6806">
      <c r="A6806" s="6"/>
      <c r="B6806" s="6"/>
      <c r="H6806" s="13"/>
    </row>
    <row r="6807">
      <c r="A6807" s="6"/>
      <c r="B6807" s="6"/>
      <c r="H6807" s="13"/>
    </row>
    <row r="6808">
      <c r="A6808" s="6"/>
      <c r="B6808" s="6"/>
      <c r="H6808" s="13"/>
    </row>
    <row r="6809">
      <c r="A6809" s="6"/>
      <c r="B6809" s="6"/>
      <c r="H6809" s="13"/>
    </row>
    <row r="6810">
      <c r="A6810" s="6"/>
      <c r="B6810" s="6"/>
      <c r="H6810" s="13"/>
    </row>
    <row r="6811">
      <c r="A6811" s="6"/>
      <c r="B6811" s="6"/>
      <c r="H6811" s="13"/>
    </row>
    <row r="6812">
      <c r="A6812" s="6"/>
      <c r="B6812" s="6"/>
      <c r="H6812" s="13"/>
    </row>
    <row r="6813">
      <c r="A6813" s="6"/>
      <c r="B6813" s="6"/>
      <c r="H6813" s="13"/>
    </row>
    <row r="6814">
      <c r="A6814" s="6"/>
      <c r="B6814" s="6"/>
      <c r="H6814" s="13"/>
    </row>
    <row r="6815">
      <c r="A6815" s="6"/>
      <c r="B6815" s="6"/>
      <c r="H6815" s="13"/>
    </row>
    <row r="6816">
      <c r="A6816" s="6"/>
      <c r="B6816" s="6"/>
      <c r="H6816" s="13"/>
    </row>
    <row r="6817">
      <c r="A6817" s="6"/>
      <c r="B6817" s="6"/>
      <c r="H6817" s="13"/>
    </row>
    <row r="6818">
      <c r="A6818" s="6"/>
      <c r="B6818" s="6"/>
      <c r="H6818" s="13"/>
    </row>
    <row r="6819">
      <c r="A6819" s="6"/>
      <c r="B6819" s="6"/>
      <c r="H6819" s="13"/>
    </row>
    <row r="6820">
      <c r="A6820" s="6"/>
      <c r="B6820" s="6"/>
      <c r="H6820" s="13"/>
    </row>
    <row r="6821">
      <c r="A6821" s="6"/>
      <c r="B6821" s="6"/>
      <c r="H6821" s="13"/>
    </row>
    <row r="6822">
      <c r="A6822" s="6"/>
      <c r="B6822" s="6"/>
      <c r="H6822" s="13"/>
    </row>
    <row r="6823">
      <c r="A6823" s="6"/>
      <c r="B6823" s="6"/>
      <c r="H6823" s="13"/>
    </row>
    <row r="6824">
      <c r="A6824" s="6"/>
      <c r="B6824" s="6"/>
      <c r="H6824" s="13"/>
    </row>
    <row r="6825">
      <c r="A6825" s="6"/>
      <c r="B6825" s="6"/>
      <c r="H6825" s="13"/>
    </row>
    <row r="6826">
      <c r="A6826" s="6"/>
      <c r="B6826" s="6"/>
      <c r="H6826" s="13"/>
    </row>
    <row r="6827">
      <c r="A6827" s="6"/>
      <c r="B6827" s="6"/>
      <c r="H6827" s="13"/>
    </row>
    <row r="6828">
      <c r="A6828" s="6"/>
      <c r="B6828" s="6"/>
      <c r="H6828" s="13"/>
    </row>
    <row r="6829">
      <c r="A6829" s="6"/>
      <c r="B6829" s="6"/>
      <c r="H6829" s="13"/>
    </row>
    <row r="6830">
      <c r="A6830" s="6"/>
      <c r="B6830" s="6"/>
      <c r="H6830" s="13"/>
    </row>
    <row r="6831">
      <c r="A6831" s="6"/>
      <c r="B6831" s="6"/>
      <c r="H6831" s="13"/>
    </row>
    <row r="6832">
      <c r="A6832" s="6"/>
      <c r="B6832" s="6"/>
      <c r="H6832" s="13"/>
    </row>
    <row r="6833">
      <c r="A6833" s="6"/>
      <c r="B6833" s="6"/>
      <c r="H6833" s="13"/>
    </row>
    <row r="6834">
      <c r="A6834" s="6"/>
      <c r="B6834" s="6"/>
      <c r="H6834" s="13"/>
    </row>
    <row r="6835">
      <c r="A6835" s="6"/>
      <c r="B6835" s="6"/>
      <c r="H6835" s="13"/>
    </row>
    <row r="6836">
      <c r="A6836" s="6"/>
      <c r="B6836" s="6"/>
      <c r="H6836" s="13"/>
    </row>
    <row r="6837">
      <c r="A6837" s="6"/>
      <c r="B6837" s="6"/>
      <c r="H6837" s="13"/>
    </row>
    <row r="6838">
      <c r="A6838" s="6"/>
      <c r="B6838" s="6"/>
      <c r="H6838" s="13"/>
    </row>
    <row r="6839">
      <c r="A6839" s="6"/>
      <c r="B6839" s="6"/>
      <c r="H6839" s="13"/>
    </row>
    <row r="6840">
      <c r="A6840" s="6"/>
      <c r="B6840" s="6"/>
      <c r="H6840" s="13"/>
    </row>
    <row r="6841">
      <c r="A6841" s="6"/>
      <c r="B6841" s="6"/>
      <c r="H6841" s="13"/>
    </row>
    <row r="6842">
      <c r="A6842" s="6"/>
      <c r="B6842" s="6"/>
      <c r="H6842" s="13"/>
    </row>
    <row r="6843">
      <c r="A6843" s="6"/>
      <c r="B6843" s="6"/>
      <c r="H6843" s="13"/>
    </row>
    <row r="6844">
      <c r="A6844" s="6"/>
      <c r="B6844" s="6"/>
      <c r="H6844" s="13"/>
    </row>
    <row r="6845">
      <c r="A6845" s="6"/>
      <c r="B6845" s="6"/>
      <c r="H6845" s="13"/>
    </row>
    <row r="6846">
      <c r="A6846" s="6"/>
      <c r="B6846" s="6"/>
      <c r="H6846" s="13"/>
    </row>
    <row r="6847">
      <c r="A6847" s="6"/>
      <c r="B6847" s="6"/>
      <c r="H6847" s="13"/>
    </row>
    <row r="6848">
      <c r="A6848" s="6"/>
      <c r="B6848" s="6"/>
      <c r="H6848" s="13"/>
    </row>
    <row r="6849">
      <c r="A6849" s="6"/>
      <c r="B6849" s="6"/>
      <c r="H6849" s="13"/>
    </row>
    <row r="6850">
      <c r="A6850" s="6"/>
      <c r="B6850" s="6"/>
      <c r="H6850" s="13"/>
    </row>
    <row r="6851">
      <c r="A6851" s="6"/>
      <c r="B6851" s="6"/>
      <c r="H6851" s="13"/>
    </row>
    <row r="6852">
      <c r="A6852" s="6"/>
      <c r="B6852" s="6"/>
      <c r="H6852" s="13"/>
    </row>
    <row r="6853">
      <c r="A6853" s="6"/>
      <c r="B6853" s="6"/>
      <c r="H6853" s="13"/>
    </row>
    <row r="6854">
      <c r="A6854" s="6"/>
      <c r="B6854" s="6"/>
      <c r="H6854" s="13"/>
    </row>
    <row r="6855">
      <c r="A6855" s="6"/>
      <c r="B6855" s="6"/>
      <c r="H6855" s="13"/>
    </row>
    <row r="6856">
      <c r="A6856" s="6"/>
      <c r="B6856" s="6"/>
      <c r="H6856" s="13"/>
    </row>
    <row r="6857">
      <c r="A6857" s="6"/>
      <c r="B6857" s="6"/>
      <c r="H6857" s="13"/>
    </row>
    <row r="6858">
      <c r="A6858" s="6"/>
      <c r="B6858" s="6"/>
      <c r="H6858" s="13"/>
    </row>
    <row r="6859">
      <c r="A6859" s="6"/>
      <c r="B6859" s="6"/>
      <c r="H6859" s="13"/>
    </row>
    <row r="6860">
      <c r="A6860" s="6"/>
      <c r="B6860" s="6"/>
      <c r="H6860" s="13"/>
    </row>
    <row r="6861">
      <c r="A6861" s="6"/>
      <c r="B6861" s="6"/>
      <c r="H6861" s="13"/>
    </row>
    <row r="6862">
      <c r="A6862" s="6"/>
      <c r="B6862" s="6"/>
      <c r="H6862" s="13"/>
    </row>
    <row r="6863">
      <c r="A6863" s="6"/>
      <c r="B6863" s="6"/>
      <c r="H6863" s="13"/>
    </row>
    <row r="6864">
      <c r="A6864" s="6"/>
      <c r="B6864" s="6"/>
      <c r="H6864" s="13"/>
    </row>
    <row r="6865">
      <c r="A6865" s="6"/>
      <c r="B6865" s="6"/>
      <c r="H6865" s="13"/>
    </row>
    <row r="6866">
      <c r="A6866" s="6"/>
      <c r="B6866" s="6"/>
      <c r="H6866" s="13"/>
    </row>
    <row r="6867">
      <c r="A6867" s="6"/>
      <c r="B6867" s="6"/>
      <c r="H6867" s="13"/>
    </row>
    <row r="6868">
      <c r="A6868" s="6"/>
      <c r="B6868" s="6"/>
      <c r="H6868" s="13"/>
    </row>
    <row r="6869">
      <c r="A6869" s="6"/>
      <c r="B6869" s="6"/>
      <c r="H6869" s="13"/>
    </row>
    <row r="6870">
      <c r="A6870" s="6"/>
      <c r="B6870" s="6"/>
      <c r="H6870" s="13"/>
    </row>
    <row r="6871">
      <c r="A6871" s="6"/>
      <c r="B6871" s="6"/>
      <c r="H6871" s="13"/>
    </row>
    <row r="6872">
      <c r="A6872" s="6"/>
      <c r="B6872" s="6"/>
      <c r="H6872" s="13"/>
    </row>
    <row r="6873">
      <c r="A6873" s="6"/>
      <c r="B6873" s="6"/>
      <c r="H6873" s="13"/>
    </row>
    <row r="6874">
      <c r="A6874" s="6"/>
      <c r="B6874" s="6"/>
      <c r="H6874" s="13"/>
    </row>
    <row r="6875">
      <c r="A6875" s="6"/>
      <c r="B6875" s="6"/>
      <c r="H6875" s="13"/>
    </row>
    <row r="6876">
      <c r="A6876" s="6"/>
      <c r="B6876" s="6"/>
      <c r="H6876" s="13"/>
    </row>
    <row r="6877">
      <c r="A6877" s="6"/>
      <c r="B6877" s="6"/>
      <c r="H6877" s="13"/>
    </row>
    <row r="6878">
      <c r="A6878" s="6"/>
      <c r="B6878" s="6"/>
      <c r="H6878" s="13"/>
    </row>
    <row r="6879">
      <c r="A6879" s="6"/>
      <c r="B6879" s="6"/>
      <c r="H6879" s="13"/>
    </row>
    <row r="6880">
      <c r="A6880" s="6"/>
      <c r="B6880" s="6"/>
      <c r="H6880" s="13"/>
    </row>
    <row r="6881">
      <c r="A6881" s="6"/>
      <c r="B6881" s="6"/>
      <c r="H6881" s="13"/>
    </row>
    <row r="6882">
      <c r="A6882" s="6"/>
      <c r="B6882" s="6"/>
      <c r="H6882" s="13"/>
    </row>
    <row r="6883">
      <c r="A6883" s="6"/>
      <c r="B6883" s="6"/>
      <c r="H6883" s="13"/>
    </row>
    <row r="6884">
      <c r="A6884" s="6"/>
      <c r="B6884" s="6"/>
      <c r="H6884" s="13"/>
    </row>
    <row r="6885">
      <c r="A6885" s="6"/>
      <c r="B6885" s="6"/>
      <c r="H6885" s="13"/>
    </row>
    <row r="6886">
      <c r="A6886" s="6"/>
      <c r="B6886" s="6"/>
      <c r="H6886" s="13"/>
    </row>
    <row r="6887">
      <c r="A6887" s="6"/>
      <c r="B6887" s="6"/>
      <c r="H6887" s="13"/>
    </row>
    <row r="6888">
      <c r="A6888" s="6"/>
      <c r="B6888" s="6"/>
      <c r="H6888" s="13"/>
    </row>
    <row r="6889">
      <c r="A6889" s="6"/>
      <c r="B6889" s="6"/>
      <c r="H6889" s="13"/>
    </row>
    <row r="6890">
      <c r="A6890" s="6"/>
      <c r="B6890" s="6"/>
      <c r="H6890" s="13"/>
    </row>
    <row r="6891">
      <c r="A6891" s="6"/>
      <c r="B6891" s="6"/>
      <c r="H6891" s="13"/>
    </row>
    <row r="6892">
      <c r="A6892" s="6"/>
      <c r="B6892" s="6"/>
      <c r="H6892" s="13"/>
    </row>
    <row r="6893">
      <c r="A6893" s="6"/>
      <c r="B6893" s="6"/>
      <c r="H6893" s="13"/>
    </row>
    <row r="6894">
      <c r="A6894" s="6"/>
      <c r="B6894" s="6"/>
      <c r="H6894" s="13"/>
    </row>
    <row r="6895">
      <c r="A6895" s="6"/>
      <c r="B6895" s="6"/>
      <c r="H6895" s="13"/>
    </row>
    <row r="6896">
      <c r="A6896" s="6"/>
      <c r="B6896" s="6"/>
      <c r="H6896" s="13"/>
    </row>
    <row r="6897">
      <c r="A6897" s="6"/>
      <c r="B6897" s="6"/>
      <c r="H6897" s="13"/>
    </row>
    <row r="6898">
      <c r="A6898" s="6"/>
      <c r="B6898" s="6"/>
      <c r="H6898" s="13"/>
    </row>
    <row r="6899">
      <c r="A6899" s="6"/>
      <c r="B6899" s="6"/>
      <c r="H6899" s="13"/>
    </row>
    <row r="6900">
      <c r="A6900" s="6"/>
      <c r="B6900" s="6"/>
      <c r="H6900" s="13"/>
    </row>
    <row r="6901">
      <c r="A6901" s="6"/>
      <c r="B6901" s="6"/>
      <c r="H6901" s="13"/>
    </row>
    <row r="6902">
      <c r="A6902" s="6"/>
      <c r="B6902" s="6"/>
      <c r="H6902" s="13"/>
    </row>
    <row r="6903">
      <c r="A6903" s="6"/>
      <c r="B6903" s="6"/>
      <c r="H6903" s="13"/>
    </row>
    <row r="6904">
      <c r="A6904" s="6"/>
      <c r="B6904" s="6"/>
      <c r="H6904" s="13"/>
    </row>
    <row r="6905">
      <c r="A6905" s="6"/>
      <c r="B6905" s="6"/>
      <c r="H6905" s="13"/>
    </row>
    <row r="6906">
      <c r="A6906" s="6"/>
      <c r="B6906" s="6"/>
      <c r="H6906" s="13"/>
    </row>
    <row r="6907">
      <c r="A6907" s="6"/>
      <c r="B6907" s="6"/>
      <c r="H6907" s="13"/>
    </row>
    <row r="6908">
      <c r="A6908" s="6"/>
      <c r="B6908" s="6"/>
      <c r="H6908" s="13"/>
    </row>
    <row r="6909">
      <c r="A6909" s="6"/>
      <c r="B6909" s="6"/>
      <c r="H6909" s="13"/>
    </row>
    <row r="6910">
      <c r="A6910" s="6"/>
      <c r="B6910" s="6"/>
      <c r="H6910" s="13"/>
    </row>
    <row r="6911">
      <c r="A6911" s="6"/>
      <c r="B6911" s="6"/>
      <c r="H6911" s="13"/>
    </row>
    <row r="6912">
      <c r="A6912" s="6"/>
      <c r="B6912" s="6"/>
      <c r="H6912" s="13"/>
    </row>
    <row r="6913">
      <c r="A6913" s="6"/>
      <c r="B6913" s="6"/>
      <c r="H6913" s="13"/>
    </row>
    <row r="6914">
      <c r="A6914" s="6"/>
      <c r="B6914" s="6"/>
      <c r="H6914" s="13"/>
    </row>
    <row r="6915">
      <c r="A6915" s="6"/>
      <c r="B6915" s="6"/>
      <c r="H6915" s="13"/>
    </row>
    <row r="6916">
      <c r="A6916" s="6"/>
      <c r="B6916" s="6"/>
      <c r="H6916" s="13"/>
    </row>
    <row r="6917">
      <c r="A6917" s="6"/>
      <c r="B6917" s="6"/>
      <c r="H6917" s="13"/>
    </row>
    <row r="6918">
      <c r="A6918" s="6"/>
      <c r="B6918" s="6"/>
      <c r="H6918" s="13"/>
    </row>
    <row r="6919">
      <c r="A6919" s="6"/>
      <c r="B6919" s="6"/>
      <c r="H6919" s="13"/>
    </row>
    <row r="6920">
      <c r="A6920" s="6"/>
      <c r="B6920" s="6"/>
      <c r="H6920" s="13"/>
    </row>
    <row r="6921">
      <c r="A6921" s="6"/>
      <c r="B6921" s="6"/>
      <c r="H6921" s="13"/>
    </row>
    <row r="6922">
      <c r="A6922" s="6"/>
      <c r="B6922" s="6"/>
      <c r="H6922" s="13"/>
    </row>
    <row r="6923">
      <c r="A6923" s="6"/>
      <c r="B6923" s="6"/>
      <c r="H6923" s="13"/>
    </row>
    <row r="6924">
      <c r="A6924" s="6"/>
      <c r="B6924" s="6"/>
      <c r="H6924" s="13"/>
    </row>
    <row r="6925">
      <c r="A6925" s="6"/>
      <c r="B6925" s="6"/>
      <c r="H6925" s="13"/>
    </row>
    <row r="6926">
      <c r="A6926" s="6"/>
      <c r="B6926" s="6"/>
      <c r="H6926" s="13"/>
    </row>
    <row r="6927">
      <c r="A6927" s="6"/>
      <c r="B6927" s="6"/>
      <c r="H6927" s="13"/>
    </row>
    <row r="6928">
      <c r="A6928" s="6"/>
      <c r="B6928" s="6"/>
      <c r="H6928" s="13"/>
    </row>
    <row r="6929">
      <c r="A6929" s="6"/>
      <c r="B6929" s="6"/>
      <c r="H6929" s="13"/>
    </row>
    <row r="6930">
      <c r="A6930" s="6"/>
      <c r="B6930" s="6"/>
      <c r="H6930" s="13"/>
    </row>
    <row r="6931">
      <c r="A6931" s="6"/>
      <c r="B6931" s="6"/>
      <c r="H6931" s="13"/>
    </row>
    <row r="6932">
      <c r="A6932" s="6"/>
      <c r="B6932" s="6"/>
      <c r="H6932" s="13"/>
    </row>
    <row r="6933">
      <c r="A6933" s="6"/>
      <c r="B6933" s="6"/>
      <c r="H6933" s="13"/>
    </row>
    <row r="6934">
      <c r="A6934" s="6"/>
      <c r="B6934" s="6"/>
      <c r="H6934" s="13"/>
    </row>
    <row r="6935">
      <c r="A6935" s="6"/>
      <c r="B6935" s="6"/>
      <c r="H6935" s="13"/>
    </row>
    <row r="6936">
      <c r="A6936" s="6"/>
      <c r="B6936" s="6"/>
      <c r="H6936" s="13"/>
    </row>
    <row r="6937">
      <c r="A6937" s="6"/>
      <c r="B6937" s="6"/>
      <c r="H6937" s="13"/>
    </row>
    <row r="6938">
      <c r="A6938" s="6"/>
      <c r="B6938" s="6"/>
      <c r="H6938" s="13"/>
    </row>
    <row r="6939">
      <c r="A6939" s="6"/>
      <c r="B6939" s="6"/>
      <c r="H6939" s="13"/>
    </row>
    <row r="6940">
      <c r="A6940" s="6"/>
      <c r="B6940" s="6"/>
      <c r="H6940" s="13"/>
    </row>
    <row r="6941">
      <c r="A6941" s="6"/>
      <c r="B6941" s="6"/>
      <c r="H6941" s="13"/>
    </row>
    <row r="6942">
      <c r="A6942" s="6"/>
      <c r="B6942" s="6"/>
      <c r="H6942" s="13"/>
    </row>
    <row r="6943">
      <c r="A6943" s="6"/>
      <c r="B6943" s="6"/>
      <c r="H6943" s="13"/>
    </row>
    <row r="6944">
      <c r="A6944" s="6"/>
      <c r="B6944" s="6"/>
      <c r="H6944" s="13"/>
    </row>
    <row r="6945">
      <c r="A6945" s="6"/>
      <c r="B6945" s="6"/>
      <c r="H6945" s="13"/>
    </row>
    <row r="6946">
      <c r="A6946" s="6"/>
      <c r="B6946" s="6"/>
      <c r="H6946" s="13"/>
    </row>
    <row r="6947">
      <c r="A6947" s="6"/>
      <c r="B6947" s="6"/>
      <c r="H6947" s="13"/>
    </row>
    <row r="6948">
      <c r="A6948" s="6"/>
      <c r="B6948" s="6"/>
      <c r="H6948" s="13"/>
    </row>
    <row r="6949">
      <c r="A6949" s="6"/>
      <c r="B6949" s="6"/>
      <c r="H6949" s="13"/>
    </row>
    <row r="6950">
      <c r="A6950" s="6"/>
      <c r="B6950" s="6"/>
      <c r="H6950" s="13"/>
    </row>
    <row r="6951">
      <c r="A6951" s="6"/>
      <c r="B6951" s="6"/>
      <c r="H6951" s="13"/>
    </row>
    <row r="6952">
      <c r="A6952" s="6"/>
      <c r="B6952" s="6"/>
      <c r="H6952" s="13"/>
    </row>
    <row r="6953">
      <c r="A6953" s="6"/>
      <c r="B6953" s="6"/>
      <c r="H6953" s="13"/>
    </row>
    <row r="6954">
      <c r="A6954" s="6"/>
      <c r="B6954" s="6"/>
      <c r="H6954" s="13"/>
    </row>
    <row r="6955">
      <c r="A6955" s="6"/>
      <c r="B6955" s="6"/>
      <c r="H6955" s="13"/>
    </row>
    <row r="6956">
      <c r="A6956" s="6"/>
      <c r="B6956" s="6"/>
      <c r="H6956" s="13"/>
    </row>
    <row r="6957">
      <c r="A6957" s="6"/>
      <c r="B6957" s="6"/>
      <c r="H6957" s="13"/>
    </row>
    <row r="6958">
      <c r="A6958" s="6"/>
      <c r="B6958" s="6"/>
      <c r="H6958" s="13"/>
    </row>
    <row r="6959">
      <c r="A6959" s="6"/>
      <c r="B6959" s="6"/>
      <c r="H6959" s="13"/>
    </row>
    <row r="6960">
      <c r="A6960" s="6"/>
      <c r="B6960" s="6"/>
      <c r="H6960" s="13"/>
    </row>
    <row r="6961">
      <c r="A6961" s="6"/>
      <c r="B6961" s="6"/>
      <c r="H6961" s="13"/>
    </row>
    <row r="6962">
      <c r="A6962" s="6"/>
      <c r="B6962" s="6"/>
      <c r="H6962" s="13"/>
    </row>
    <row r="6963">
      <c r="A6963" s="6"/>
      <c r="B6963" s="6"/>
      <c r="H6963" s="13"/>
    </row>
    <row r="6964">
      <c r="A6964" s="6"/>
      <c r="B6964" s="6"/>
      <c r="H6964" s="13"/>
    </row>
    <row r="6965">
      <c r="A6965" s="6"/>
      <c r="B6965" s="6"/>
      <c r="H6965" s="13"/>
    </row>
    <row r="6966">
      <c r="A6966" s="6"/>
      <c r="B6966" s="6"/>
      <c r="H6966" s="13"/>
    </row>
    <row r="6967">
      <c r="A6967" s="6"/>
      <c r="B6967" s="6"/>
      <c r="H6967" s="13"/>
    </row>
    <row r="6968">
      <c r="A6968" s="6"/>
      <c r="B6968" s="6"/>
      <c r="H6968" s="13"/>
    </row>
    <row r="6969">
      <c r="A6969" s="6"/>
      <c r="B6969" s="6"/>
      <c r="H6969" s="13"/>
    </row>
    <row r="6970">
      <c r="A6970" s="6"/>
      <c r="B6970" s="6"/>
      <c r="H6970" s="13"/>
    </row>
    <row r="6971">
      <c r="A6971" s="6"/>
      <c r="B6971" s="6"/>
      <c r="H6971" s="13"/>
    </row>
    <row r="6972">
      <c r="A6972" s="6"/>
      <c r="B6972" s="6"/>
      <c r="H6972" s="13"/>
    </row>
    <row r="6973">
      <c r="A6973" s="6"/>
      <c r="B6973" s="6"/>
      <c r="H6973" s="13"/>
    </row>
    <row r="6974">
      <c r="A6974" s="6"/>
      <c r="B6974" s="6"/>
      <c r="H6974" s="13"/>
    </row>
    <row r="6975">
      <c r="A6975" s="6"/>
      <c r="B6975" s="6"/>
      <c r="H6975" s="13"/>
    </row>
    <row r="6976">
      <c r="A6976" s="6"/>
      <c r="B6976" s="6"/>
      <c r="H6976" s="13"/>
    </row>
    <row r="6977">
      <c r="A6977" s="6"/>
      <c r="B6977" s="6"/>
      <c r="H6977" s="13"/>
    </row>
    <row r="6978">
      <c r="A6978" s="6"/>
      <c r="B6978" s="6"/>
      <c r="H6978" s="13"/>
    </row>
    <row r="6979">
      <c r="A6979" s="6"/>
      <c r="B6979" s="6"/>
      <c r="H6979" s="13"/>
    </row>
    <row r="6980">
      <c r="A6980" s="6"/>
      <c r="B6980" s="6"/>
      <c r="H6980" s="13"/>
    </row>
    <row r="6981">
      <c r="A6981" s="6"/>
      <c r="B6981" s="6"/>
      <c r="H6981" s="13"/>
    </row>
    <row r="6982">
      <c r="A6982" s="6"/>
      <c r="B6982" s="6"/>
      <c r="H6982" s="13"/>
    </row>
    <row r="6983">
      <c r="A6983" s="6"/>
      <c r="B6983" s="6"/>
      <c r="H6983" s="13"/>
    </row>
    <row r="6984">
      <c r="A6984" s="6"/>
      <c r="B6984" s="6"/>
      <c r="H6984" s="13"/>
    </row>
    <row r="6985">
      <c r="A6985" s="6"/>
      <c r="B6985" s="6"/>
      <c r="H6985" s="13"/>
    </row>
    <row r="6986">
      <c r="A6986" s="6"/>
      <c r="B6986" s="6"/>
      <c r="H6986" s="13"/>
    </row>
    <row r="6987">
      <c r="A6987" s="6"/>
      <c r="B6987" s="6"/>
      <c r="H6987" s="13"/>
    </row>
    <row r="6988">
      <c r="A6988" s="6"/>
      <c r="B6988" s="6"/>
      <c r="H6988" s="13"/>
    </row>
    <row r="6989">
      <c r="A6989" s="6"/>
      <c r="B6989" s="6"/>
      <c r="H6989" s="13"/>
    </row>
    <row r="6990">
      <c r="A6990" s="6"/>
      <c r="B6990" s="6"/>
      <c r="H6990" s="13"/>
    </row>
    <row r="6991">
      <c r="A6991" s="6"/>
      <c r="B6991" s="6"/>
      <c r="H6991" s="13"/>
    </row>
    <row r="6992">
      <c r="A6992" s="6"/>
      <c r="B6992" s="6"/>
      <c r="H6992" s="13"/>
    </row>
    <row r="6993">
      <c r="A6993" s="6"/>
      <c r="B6993" s="6"/>
      <c r="H6993" s="13"/>
    </row>
    <row r="6994">
      <c r="A6994" s="6"/>
      <c r="B6994" s="6"/>
      <c r="H6994" s="13"/>
    </row>
    <row r="6995">
      <c r="A6995" s="6"/>
      <c r="B6995" s="6"/>
      <c r="H6995" s="13"/>
    </row>
    <row r="6996">
      <c r="A6996" s="6"/>
      <c r="B6996" s="6"/>
      <c r="H6996" s="13"/>
    </row>
    <row r="6997">
      <c r="A6997" s="6"/>
      <c r="B6997" s="6"/>
      <c r="H6997" s="13"/>
    </row>
    <row r="6998">
      <c r="A6998" s="6"/>
      <c r="B6998" s="6"/>
      <c r="H6998" s="13"/>
    </row>
    <row r="6999">
      <c r="A6999" s="6"/>
      <c r="B6999" s="6"/>
      <c r="H6999" s="13"/>
    </row>
    <row r="7000">
      <c r="A7000" s="6"/>
      <c r="B7000" s="6"/>
      <c r="H7000" s="13"/>
    </row>
    <row r="7001">
      <c r="A7001" s="6"/>
      <c r="B7001" s="6"/>
      <c r="H7001" s="13"/>
    </row>
    <row r="7002">
      <c r="A7002" s="6"/>
      <c r="B7002" s="6"/>
      <c r="H7002" s="13"/>
    </row>
    <row r="7003">
      <c r="A7003" s="6"/>
      <c r="B7003" s="6"/>
      <c r="H7003" s="13"/>
    </row>
    <row r="7004">
      <c r="A7004" s="6"/>
      <c r="B7004" s="6"/>
      <c r="H7004" s="13"/>
    </row>
    <row r="7005">
      <c r="A7005" s="6"/>
      <c r="B7005" s="6"/>
      <c r="H7005" s="13"/>
    </row>
    <row r="7006">
      <c r="A7006" s="6"/>
      <c r="B7006" s="6"/>
      <c r="H7006" s="13"/>
    </row>
    <row r="7007">
      <c r="A7007" s="6"/>
      <c r="B7007" s="6"/>
      <c r="H7007" s="13"/>
    </row>
    <row r="7008">
      <c r="A7008" s="6"/>
      <c r="B7008" s="6"/>
      <c r="H7008" s="13"/>
    </row>
    <row r="7009">
      <c r="A7009" s="6"/>
      <c r="B7009" s="6"/>
      <c r="H7009" s="13"/>
    </row>
    <row r="7010">
      <c r="A7010" s="6"/>
      <c r="B7010" s="6"/>
      <c r="H7010" s="13"/>
    </row>
    <row r="7011">
      <c r="A7011" s="6"/>
      <c r="B7011" s="6"/>
      <c r="H7011" s="13"/>
    </row>
    <row r="7012">
      <c r="A7012" s="6"/>
      <c r="B7012" s="6"/>
      <c r="H7012" s="13"/>
    </row>
    <row r="7013">
      <c r="A7013" s="6"/>
      <c r="B7013" s="6"/>
      <c r="H7013" s="13"/>
    </row>
    <row r="7014">
      <c r="A7014" s="6"/>
      <c r="B7014" s="6"/>
      <c r="H7014" s="13"/>
    </row>
    <row r="7015">
      <c r="A7015" s="6"/>
      <c r="B7015" s="6"/>
      <c r="H7015" s="13"/>
    </row>
    <row r="7016">
      <c r="A7016" s="6"/>
      <c r="B7016" s="6"/>
      <c r="H7016" s="13"/>
    </row>
    <row r="7017">
      <c r="A7017" s="6"/>
      <c r="B7017" s="6"/>
      <c r="H7017" s="13"/>
    </row>
    <row r="7018">
      <c r="A7018" s="6"/>
      <c r="B7018" s="6"/>
      <c r="H7018" s="13"/>
    </row>
    <row r="7019">
      <c r="A7019" s="6"/>
      <c r="B7019" s="6"/>
      <c r="H7019" s="13"/>
    </row>
    <row r="7020">
      <c r="A7020" s="6"/>
      <c r="B7020" s="6"/>
      <c r="H7020" s="13"/>
    </row>
    <row r="7021">
      <c r="A7021" s="6"/>
      <c r="B7021" s="6"/>
      <c r="H7021" s="13"/>
    </row>
    <row r="7022">
      <c r="A7022" s="6"/>
      <c r="B7022" s="6"/>
      <c r="H7022" s="13"/>
    </row>
    <row r="7023">
      <c r="A7023" s="6"/>
      <c r="B7023" s="6"/>
      <c r="H7023" s="13"/>
    </row>
    <row r="7024">
      <c r="A7024" s="6"/>
      <c r="B7024" s="6"/>
      <c r="H7024" s="13"/>
    </row>
    <row r="7025">
      <c r="A7025" s="6"/>
      <c r="B7025" s="6"/>
      <c r="H7025" s="13"/>
    </row>
    <row r="7026">
      <c r="A7026" s="6"/>
      <c r="B7026" s="6"/>
      <c r="H7026" s="13"/>
    </row>
    <row r="7027">
      <c r="A7027" s="6"/>
      <c r="B7027" s="6"/>
      <c r="H7027" s="13"/>
    </row>
    <row r="7028">
      <c r="A7028" s="6"/>
      <c r="B7028" s="6"/>
      <c r="H7028" s="13"/>
    </row>
    <row r="7029">
      <c r="A7029" s="6"/>
      <c r="B7029" s="6"/>
      <c r="H7029" s="13"/>
    </row>
    <row r="7030">
      <c r="A7030" s="6"/>
      <c r="B7030" s="6"/>
      <c r="H7030" s="13"/>
    </row>
    <row r="7031">
      <c r="A7031" s="6"/>
      <c r="B7031" s="6"/>
      <c r="H7031" s="13"/>
    </row>
    <row r="7032">
      <c r="A7032" s="6"/>
      <c r="B7032" s="6"/>
      <c r="H7032" s="13"/>
    </row>
    <row r="7033">
      <c r="A7033" s="6"/>
      <c r="B7033" s="6"/>
      <c r="H7033" s="13"/>
    </row>
    <row r="7034">
      <c r="A7034" s="6"/>
      <c r="B7034" s="6"/>
      <c r="H7034" s="13"/>
    </row>
    <row r="7035">
      <c r="A7035" s="6"/>
      <c r="B7035" s="6"/>
      <c r="H7035" s="13"/>
    </row>
    <row r="7036">
      <c r="A7036" s="6"/>
      <c r="B7036" s="6"/>
      <c r="H7036" s="13"/>
    </row>
    <row r="7037">
      <c r="A7037" s="6"/>
      <c r="B7037" s="6"/>
      <c r="H7037" s="13"/>
    </row>
    <row r="7038">
      <c r="A7038" s="6"/>
      <c r="B7038" s="6"/>
      <c r="H7038" s="13"/>
    </row>
    <row r="7039">
      <c r="A7039" s="6"/>
      <c r="B7039" s="6"/>
      <c r="H7039" s="13"/>
    </row>
    <row r="7040">
      <c r="A7040" s="6"/>
      <c r="B7040" s="6"/>
      <c r="H7040" s="13"/>
    </row>
    <row r="7041">
      <c r="A7041" s="6"/>
      <c r="B7041" s="6"/>
      <c r="H7041" s="13"/>
    </row>
    <row r="7042">
      <c r="A7042" s="6"/>
      <c r="B7042" s="6"/>
      <c r="H7042" s="13"/>
    </row>
    <row r="7043">
      <c r="A7043" s="6"/>
      <c r="B7043" s="6"/>
      <c r="H7043" s="13"/>
    </row>
    <row r="7044">
      <c r="A7044" s="6"/>
      <c r="B7044" s="6"/>
      <c r="H7044" s="13"/>
    </row>
    <row r="7045">
      <c r="A7045" s="6"/>
      <c r="B7045" s="6"/>
      <c r="H7045" s="13"/>
    </row>
    <row r="7046">
      <c r="A7046" s="6"/>
      <c r="B7046" s="6"/>
      <c r="H7046" s="13"/>
    </row>
    <row r="7047">
      <c r="A7047" s="6"/>
      <c r="B7047" s="6"/>
      <c r="H7047" s="13"/>
    </row>
    <row r="7048">
      <c r="A7048" s="6"/>
      <c r="B7048" s="6"/>
      <c r="H7048" s="13"/>
    </row>
    <row r="7049">
      <c r="A7049" s="6"/>
      <c r="B7049" s="6"/>
      <c r="H7049" s="13"/>
    </row>
    <row r="7050">
      <c r="A7050" s="6"/>
      <c r="B7050" s="6"/>
      <c r="H7050" s="13"/>
    </row>
    <row r="7051">
      <c r="A7051" s="6"/>
      <c r="B7051" s="6"/>
      <c r="H7051" s="13"/>
    </row>
    <row r="7052">
      <c r="A7052" s="6"/>
      <c r="B7052" s="6"/>
      <c r="H7052" s="13"/>
    </row>
    <row r="7053">
      <c r="A7053" s="6"/>
      <c r="B7053" s="6"/>
      <c r="H7053" s="13"/>
    </row>
    <row r="7054">
      <c r="A7054" s="6"/>
      <c r="B7054" s="6"/>
      <c r="H7054" s="13"/>
    </row>
    <row r="7055">
      <c r="A7055" s="6"/>
      <c r="B7055" s="6"/>
      <c r="H7055" s="13"/>
    </row>
    <row r="7056">
      <c r="A7056" s="6"/>
      <c r="B7056" s="6"/>
      <c r="H7056" s="13"/>
    </row>
    <row r="7057">
      <c r="A7057" s="6"/>
      <c r="B7057" s="6"/>
      <c r="H7057" s="13"/>
    </row>
    <row r="7058">
      <c r="A7058" s="6"/>
      <c r="B7058" s="6"/>
      <c r="H7058" s="13"/>
    </row>
    <row r="7059">
      <c r="A7059" s="6"/>
      <c r="B7059" s="6"/>
      <c r="H7059" s="13"/>
    </row>
    <row r="7060">
      <c r="A7060" s="6"/>
      <c r="B7060" s="6"/>
      <c r="H7060" s="13"/>
    </row>
    <row r="7061">
      <c r="A7061" s="6"/>
      <c r="B7061" s="6"/>
      <c r="H7061" s="13"/>
    </row>
    <row r="7062">
      <c r="A7062" s="6"/>
      <c r="B7062" s="6"/>
      <c r="H7062" s="13"/>
    </row>
    <row r="7063">
      <c r="A7063" s="6"/>
      <c r="B7063" s="6"/>
      <c r="H7063" s="13"/>
    </row>
    <row r="7064">
      <c r="A7064" s="6"/>
      <c r="B7064" s="6"/>
      <c r="H7064" s="13"/>
    </row>
    <row r="7065">
      <c r="A7065" s="6"/>
      <c r="B7065" s="6"/>
      <c r="H7065" s="13"/>
    </row>
    <row r="7066">
      <c r="A7066" s="6"/>
      <c r="B7066" s="6"/>
      <c r="H7066" s="13"/>
    </row>
    <row r="7067">
      <c r="A7067" s="6"/>
      <c r="B7067" s="6"/>
      <c r="H7067" s="13"/>
    </row>
    <row r="7068">
      <c r="A7068" s="6"/>
      <c r="B7068" s="6"/>
      <c r="H7068" s="13"/>
    </row>
    <row r="7069">
      <c r="A7069" s="6"/>
      <c r="B7069" s="6"/>
      <c r="H7069" s="13"/>
    </row>
    <row r="7070">
      <c r="A7070" s="6"/>
      <c r="B7070" s="6"/>
      <c r="H7070" s="13"/>
    </row>
    <row r="7071">
      <c r="A7071" s="6"/>
      <c r="B7071" s="6"/>
      <c r="H7071" s="13"/>
    </row>
    <row r="7072">
      <c r="A7072" s="6"/>
      <c r="B7072" s="6"/>
      <c r="H7072" s="13"/>
    </row>
    <row r="7073">
      <c r="A7073" s="6"/>
      <c r="B7073" s="6"/>
      <c r="H7073" s="13"/>
    </row>
    <row r="7074">
      <c r="A7074" s="6"/>
      <c r="B7074" s="6"/>
      <c r="H7074" s="13"/>
    </row>
    <row r="7075">
      <c r="A7075" s="6"/>
      <c r="B7075" s="6"/>
      <c r="H7075" s="13"/>
    </row>
    <row r="7076">
      <c r="A7076" s="6"/>
      <c r="B7076" s="6"/>
      <c r="H7076" s="13"/>
    </row>
    <row r="7077">
      <c r="A7077" s="6"/>
      <c r="B7077" s="6"/>
      <c r="H7077" s="13"/>
    </row>
    <row r="7078">
      <c r="A7078" s="6"/>
      <c r="B7078" s="6"/>
      <c r="H7078" s="13"/>
    </row>
    <row r="7079">
      <c r="A7079" s="6"/>
      <c r="B7079" s="6"/>
      <c r="H7079" s="13"/>
    </row>
    <row r="7080">
      <c r="A7080" s="6"/>
      <c r="B7080" s="6"/>
      <c r="H7080" s="13"/>
    </row>
    <row r="7081">
      <c r="A7081" s="6"/>
      <c r="B7081" s="6"/>
      <c r="H7081" s="13"/>
    </row>
    <row r="7082">
      <c r="A7082" s="6"/>
      <c r="B7082" s="6"/>
      <c r="H7082" s="13"/>
    </row>
    <row r="7083">
      <c r="A7083" s="6"/>
      <c r="B7083" s="6"/>
      <c r="H7083" s="13"/>
    </row>
    <row r="7084">
      <c r="A7084" s="6"/>
      <c r="B7084" s="6"/>
      <c r="H7084" s="13"/>
    </row>
    <row r="7085">
      <c r="A7085" s="6"/>
      <c r="B7085" s="6"/>
      <c r="H7085" s="13"/>
    </row>
    <row r="7086">
      <c r="A7086" s="6"/>
      <c r="B7086" s="6"/>
      <c r="H7086" s="13"/>
    </row>
    <row r="7087">
      <c r="A7087" s="6"/>
      <c r="B7087" s="6"/>
      <c r="H7087" s="13"/>
    </row>
    <row r="7088">
      <c r="A7088" s="6"/>
      <c r="B7088" s="6"/>
      <c r="H7088" s="13"/>
    </row>
    <row r="7089">
      <c r="A7089" s="6"/>
      <c r="B7089" s="6"/>
      <c r="H7089" s="13"/>
    </row>
    <row r="7090">
      <c r="A7090" s="6"/>
      <c r="B7090" s="6"/>
      <c r="H7090" s="13"/>
    </row>
    <row r="7091">
      <c r="A7091" s="6"/>
      <c r="B7091" s="6"/>
      <c r="H7091" s="13"/>
    </row>
    <row r="7092">
      <c r="A7092" s="6"/>
      <c r="B7092" s="6"/>
      <c r="H7092" s="13"/>
    </row>
    <row r="7093">
      <c r="A7093" s="6"/>
      <c r="B7093" s="6"/>
      <c r="H7093" s="13"/>
    </row>
    <row r="7094">
      <c r="A7094" s="6"/>
      <c r="B7094" s="6"/>
      <c r="H7094" s="13"/>
    </row>
    <row r="7095">
      <c r="A7095" s="6"/>
      <c r="B7095" s="6"/>
      <c r="H7095" s="13"/>
    </row>
    <row r="7096">
      <c r="A7096" s="6"/>
      <c r="B7096" s="6"/>
      <c r="H7096" s="13"/>
    </row>
    <row r="7097">
      <c r="A7097" s="6"/>
      <c r="B7097" s="6"/>
      <c r="H7097" s="13"/>
    </row>
    <row r="7098">
      <c r="A7098" s="6"/>
      <c r="B7098" s="6"/>
      <c r="H7098" s="13"/>
    </row>
    <row r="7099">
      <c r="A7099" s="6"/>
      <c r="B7099" s="6"/>
      <c r="H7099" s="13"/>
    </row>
    <row r="7100">
      <c r="A7100" s="6"/>
      <c r="B7100" s="6"/>
      <c r="H7100" s="13"/>
    </row>
    <row r="7101">
      <c r="A7101" s="6"/>
      <c r="B7101" s="6"/>
      <c r="H7101" s="13"/>
    </row>
    <row r="7102">
      <c r="A7102" s="6"/>
      <c r="B7102" s="6"/>
      <c r="H7102" s="13"/>
    </row>
    <row r="7103">
      <c r="A7103" s="6"/>
      <c r="B7103" s="6"/>
      <c r="H7103" s="13"/>
    </row>
    <row r="7104">
      <c r="A7104" s="6"/>
      <c r="B7104" s="6"/>
      <c r="H7104" s="13"/>
    </row>
    <row r="7105">
      <c r="A7105" s="6"/>
      <c r="B7105" s="6"/>
      <c r="H7105" s="13"/>
    </row>
    <row r="7106">
      <c r="A7106" s="6"/>
      <c r="B7106" s="6"/>
      <c r="H7106" s="13"/>
    </row>
    <row r="7107">
      <c r="A7107" s="6"/>
      <c r="B7107" s="6"/>
      <c r="H7107" s="13"/>
    </row>
    <row r="7108">
      <c r="A7108" s="6"/>
      <c r="B7108" s="6"/>
      <c r="H7108" s="13"/>
    </row>
    <row r="7109">
      <c r="A7109" s="6"/>
      <c r="B7109" s="6"/>
      <c r="H7109" s="13"/>
    </row>
    <row r="7110">
      <c r="A7110" s="6"/>
      <c r="B7110" s="6"/>
      <c r="H7110" s="13"/>
    </row>
    <row r="7111">
      <c r="A7111" s="6"/>
      <c r="B7111" s="6"/>
      <c r="H7111" s="13"/>
    </row>
    <row r="7112">
      <c r="A7112" s="6"/>
      <c r="B7112" s="6"/>
      <c r="H7112" s="13"/>
    </row>
    <row r="7113">
      <c r="A7113" s="6"/>
      <c r="B7113" s="6"/>
      <c r="H7113" s="13"/>
    </row>
    <row r="7114">
      <c r="A7114" s="6"/>
      <c r="B7114" s="6"/>
      <c r="H7114" s="13"/>
    </row>
    <row r="7115">
      <c r="A7115" s="6"/>
      <c r="B7115" s="6"/>
      <c r="H7115" s="13"/>
    </row>
    <row r="7116">
      <c r="A7116" s="6"/>
      <c r="B7116" s="6"/>
      <c r="H7116" s="13"/>
    </row>
    <row r="7117">
      <c r="A7117" s="6"/>
      <c r="B7117" s="6"/>
      <c r="H7117" s="13"/>
    </row>
    <row r="7118">
      <c r="A7118" s="6"/>
      <c r="B7118" s="6"/>
      <c r="H7118" s="13"/>
    </row>
    <row r="7119">
      <c r="A7119" s="6"/>
      <c r="B7119" s="6"/>
      <c r="H7119" s="13"/>
    </row>
    <row r="7120">
      <c r="A7120" s="6"/>
      <c r="B7120" s="6"/>
      <c r="H7120" s="13"/>
    </row>
    <row r="7121">
      <c r="A7121" s="6"/>
      <c r="B7121" s="6"/>
      <c r="H7121" s="13"/>
    </row>
    <row r="7122">
      <c r="A7122" s="6"/>
      <c r="B7122" s="6"/>
      <c r="H7122" s="13"/>
    </row>
    <row r="7123">
      <c r="A7123" s="6"/>
      <c r="B7123" s="6"/>
      <c r="H7123" s="13"/>
    </row>
    <row r="7124">
      <c r="A7124" s="6"/>
      <c r="B7124" s="6"/>
      <c r="H7124" s="13"/>
    </row>
    <row r="7125">
      <c r="A7125" s="6"/>
      <c r="B7125" s="6"/>
      <c r="H7125" s="13"/>
    </row>
    <row r="7126">
      <c r="A7126" s="6"/>
      <c r="B7126" s="6"/>
      <c r="H7126" s="13"/>
    </row>
    <row r="7127">
      <c r="A7127" s="6"/>
      <c r="B7127" s="6"/>
      <c r="H7127" s="13"/>
    </row>
    <row r="7128">
      <c r="A7128" s="6"/>
      <c r="B7128" s="6"/>
      <c r="H7128" s="13"/>
    </row>
    <row r="7129">
      <c r="A7129" s="6"/>
      <c r="B7129" s="6"/>
      <c r="H7129" s="13"/>
    </row>
    <row r="7130">
      <c r="A7130" s="6"/>
      <c r="B7130" s="6"/>
      <c r="H7130" s="13"/>
    </row>
    <row r="7131">
      <c r="A7131" s="6"/>
      <c r="B7131" s="6"/>
      <c r="H7131" s="13"/>
    </row>
    <row r="7132">
      <c r="A7132" s="6"/>
      <c r="B7132" s="6"/>
      <c r="H7132" s="13"/>
    </row>
    <row r="7133">
      <c r="A7133" s="6"/>
      <c r="B7133" s="6"/>
      <c r="H7133" s="13"/>
    </row>
    <row r="7134">
      <c r="A7134" s="6"/>
      <c r="B7134" s="6"/>
      <c r="H7134" s="13"/>
    </row>
    <row r="7135">
      <c r="A7135" s="6"/>
      <c r="B7135" s="6"/>
      <c r="H7135" s="13"/>
    </row>
    <row r="7136">
      <c r="A7136" s="6"/>
      <c r="B7136" s="6"/>
      <c r="H7136" s="13"/>
    </row>
    <row r="7137">
      <c r="A7137" s="6"/>
      <c r="B7137" s="6"/>
      <c r="H7137" s="13"/>
    </row>
    <row r="7138">
      <c r="A7138" s="6"/>
      <c r="B7138" s="6"/>
      <c r="H7138" s="13"/>
    </row>
    <row r="7139">
      <c r="A7139" s="6"/>
      <c r="B7139" s="6"/>
      <c r="H7139" s="13"/>
    </row>
    <row r="7140">
      <c r="A7140" s="6"/>
      <c r="B7140" s="6"/>
      <c r="H7140" s="13"/>
    </row>
    <row r="7141">
      <c r="A7141" s="6"/>
      <c r="B7141" s="6"/>
      <c r="H7141" s="13"/>
    </row>
    <row r="7142">
      <c r="A7142" s="6"/>
      <c r="B7142" s="6"/>
      <c r="H7142" s="13"/>
    </row>
    <row r="7143">
      <c r="A7143" s="6"/>
      <c r="B7143" s="6"/>
      <c r="H7143" s="13"/>
    </row>
    <row r="7144">
      <c r="A7144" s="6"/>
      <c r="B7144" s="6"/>
      <c r="H7144" s="13"/>
    </row>
    <row r="7145">
      <c r="A7145" s="6"/>
      <c r="B7145" s="6"/>
      <c r="H7145" s="13"/>
    </row>
    <row r="7146">
      <c r="A7146" s="6"/>
      <c r="B7146" s="6"/>
      <c r="H7146" s="13"/>
    </row>
    <row r="7147">
      <c r="A7147" s="6"/>
      <c r="B7147" s="6"/>
      <c r="H7147" s="13"/>
    </row>
    <row r="7148">
      <c r="A7148" s="6"/>
      <c r="B7148" s="6"/>
      <c r="H7148" s="13"/>
    </row>
    <row r="7149">
      <c r="A7149" s="6"/>
      <c r="B7149" s="6"/>
      <c r="H7149" s="13"/>
    </row>
    <row r="7150">
      <c r="A7150" s="6"/>
      <c r="B7150" s="6"/>
      <c r="H7150" s="13"/>
    </row>
    <row r="7151">
      <c r="A7151" s="6"/>
      <c r="B7151" s="6"/>
      <c r="H7151" s="13"/>
    </row>
    <row r="7152">
      <c r="A7152" s="6"/>
      <c r="B7152" s="6"/>
      <c r="H7152" s="13"/>
    </row>
    <row r="7153">
      <c r="A7153" s="6"/>
      <c r="B7153" s="6"/>
      <c r="H7153" s="13"/>
    </row>
    <row r="7154">
      <c r="A7154" s="6"/>
      <c r="B7154" s="6"/>
      <c r="H7154" s="13"/>
    </row>
    <row r="7155">
      <c r="A7155" s="6"/>
      <c r="B7155" s="6"/>
      <c r="H7155" s="13"/>
    </row>
    <row r="7156">
      <c r="A7156" s="6"/>
      <c r="B7156" s="6"/>
      <c r="H7156" s="13"/>
    </row>
    <row r="7157">
      <c r="A7157" s="6"/>
      <c r="B7157" s="6"/>
      <c r="H7157" s="13"/>
    </row>
    <row r="7158">
      <c r="A7158" s="6"/>
      <c r="B7158" s="6"/>
      <c r="H7158" s="13"/>
    </row>
    <row r="7159">
      <c r="A7159" s="6"/>
      <c r="B7159" s="6"/>
      <c r="H7159" s="13"/>
    </row>
    <row r="7160">
      <c r="A7160" s="6"/>
      <c r="B7160" s="6"/>
      <c r="H7160" s="13"/>
    </row>
    <row r="7161">
      <c r="A7161" s="6"/>
      <c r="B7161" s="6"/>
      <c r="H7161" s="13"/>
    </row>
    <row r="7162">
      <c r="A7162" s="6"/>
      <c r="B7162" s="6"/>
      <c r="H7162" s="13"/>
    </row>
    <row r="7163">
      <c r="A7163" s="6"/>
      <c r="B7163" s="6"/>
      <c r="H7163" s="13"/>
    </row>
    <row r="7164">
      <c r="A7164" s="6"/>
      <c r="B7164" s="6"/>
      <c r="H7164" s="13"/>
    </row>
    <row r="7165">
      <c r="A7165" s="6"/>
      <c r="B7165" s="6"/>
      <c r="H7165" s="13"/>
    </row>
    <row r="7166">
      <c r="A7166" s="6"/>
      <c r="B7166" s="6"/>
      <c r="H7166" s="13"/>
    </row>
    <row r="7167">
      <c r="A7167" s="6"/>
      <c r="B7167" s="6"/>
      <c r="H7167" s="13"/>
    </row>
    <row r="7168">
      <c r="A7168" s="6"/>
      <c r="B7168" s="6"/>
      <c r="H7168" s="13"/>
    </row>
    <row r="7169">
      <c r="A7169" s="6"/>
      <c r="B7169" s="6"/>
      <c r="H7169" s="13"/>
    </row>
    <row r="7170">
      <c r="A7170" s="6"/>
      <c r="B7170" s="6"/>
      <c r="H7170" s="13"/>
    </row>
    <row r="7171">
      <c r="A7171" s="6"/>
      <c r="B7171" s="6"/>
      <c r="H7171" s="13"/>
    </row>
    <row r="7172">
      <c r="A7172" s="6"/>
      <c r="B7172" s="6"/>
      <c r="H7172" s="13"/>
    </row>
    <row r="7173">
      <c r="A7173" s="6"/>
      <c r="B7173" s="6"/>
      <c r="H7173" s="13"/>
    </row>
    <row r="7174">
      <c r="A7174" s="6"/>
      <c r="B7174" s="6"/>
      <c r="H7174" s="13"/>
    </row>
    <row r="7175">
      <c r="A7175" s="6"/>
      <c r="B7175" s="6"/>
      <c r="H7175" s="13"/>
    </row>
    <row r="7176">
      <c r="A7176" s="6"/>
      <c r="B7176" s="6"/>
      <c r="H7176" s="13"/>
    </row>
    <row r="7177">
      <c r="A7177" s="6"/>
      <c r="B7177" s="6"/>
      <c r="H7177" s="13"/>
    </row>
    <row r="7178">
      <c r="A7178" s="6"/>
      <c r="B7178" s="6"/>
      <c r="H7178" s="13"/>
    </row>
    <row r="7179">
      <c r="A7179" s="6"/>
      <c r="B7179" s="6"/>
      <c r="H7179" s="13"/>
    </row>
    <row r="7180">
      <c r="A7180" s="6"/>
      <c r="B7180" s="6"/>
      <c r="H7180" s="13"/>
    </row>
    <row r="7181">
      <c r="A7181" s="6"/>
      <c r="B7181" s="6"/>
      <c r="H7181" s="13"/>
    </row>
    <row r="7182">
      <c r="A7182" s="6"/>
      <c r="B7182" s="6"/>
      <c r="H7182" s="13"/>
    </row>
    <row r="7183">
      <c r="A7183" s="6"/>
      <c r="B7183" s="6"/>
      <c r="H7183" s="13"/>
    </row>
    <row r="7184">
      <c r="A7184" s="6"/>
      <c r="B7184" s="6"/>
      <c r="H7184" s="13"/>
    </row>
    <row r="7185">
      <c r="A7185" s="6"/>
      <c r="B7185" s="6"/>
      <c r="H7185" s="13"/>
    </row>
    <row r="7186">
      <c r="A7186" s="6"/>
      <c r="B7186" s="6"/>
      <c r="H7186" s="13"/>
    </row>
    <row r="7187">
      <c r="A7187" s="6"/>
      <c r="B7187" s="6"/>
      <c r="H7187" s="13"/>
    </row>
    <row r="7188">
      <c r="A7188" s="6"/>
      <c r="B7188" s="6"/>
      <c r="H7188" s="13"/>
    </row>
    <row r="7189">
      <c r="A7189" s="6"/>
      <c r="B7189" s="6"/>
      <c r="H7189" s="13"/>
    </row>
    <row r="7190">
      <c r="A7190" s="6"/>
      <c r="B7190" s="6"/>
      <c r="H7190" s="13"/>
    </row>
    <row r="7191">
      <c r="A7191" s="6"/>
      <c r="B7191" s="6"/>
      <c r="H7191" s="13"/>
    </row>
    <row r="7192">
      <c r="A7192" s="6"/>
      <c r="B7192" s="6"/>
      <c r="H7192" s="13"/>
    </row>
    <row r="7193">
      <c r="A7193" s="6"/>
      <c r="B7193" s="6"/>
      <c r="H7193" s="13"/>
    </row>
    <row r="7194">
      <c r="A7194" s="6"/>
      <c r="B7194" s="6"/>
      <c r="H7194" s="13"/>
    </row>
    <row r="7195">
      <c r="A7195" s="6"/>
      <c r="B7195" s="6"/>
      <c r="H7195" s="13"/>
    </row>
    <row r="7196">
      <c r="A7196" s="6"/>
      <c r="B7196" s="6"/>
      <c r="H7196" s="13"/>
    </row>
    <row r="7197">
      <c r="A7197" s="6"/>
      <c r="B7197" s="6"/>
      <c r="H7197" s="13"/>
    </row>
    <row r="7198">
      <c r="A7198" s="6"/>
      <c r="B7198" s="6"/>
      <c r="H7198" s="13"/>
    </row>
    <row r="7199">
      <c r="A7199" s="6"/>
      <c r="B7199" s="6"/>
      <c r="H7199" s="13"/>
    </row>
    <row r="7200">
      <c r="A7200" s="6"/>
      <c r="B7200" s="6"/>
      <c r="H7200" s="13"/>
    </row>
    <row r="7201">
      <c r="A7201" s="6"/>
      <c r="B7201" s="6"/>
      <c r="H7201" s="13"/>
    </row>
    <row r="7202">
      <c r="A7202" s="6"/>
      <c r="B7202" s="6"/>
      <c r="H7202" s="13"/>
    </row>
    <row r="7203">
      <c r="A7203" s="6"/>
      <c r="B7203" s="6"/>
      <c r="H7203" s="13"/>
    </row>
    <row r="7204">
      <c r="A7204" s="6"/>
      <c r="B7204" s="6"/>
      <c r="H7204" s="13"/>
    </row>
    <row r="7205">
      <c r="A7205" s="6"/>
      <c r="B7205" s="6"/>
      <c r="H7205" s="13"/>
    </row>
    <row r="7206">
      <c r="A7206" s="6"/>
      <c r="B7206" s="6"/>
      <c r="H7206" s="13"/>
    </row>
    <row r="7207">
      <c r="A7207" s="6"/>
      <c r="B7207" s="6"/>
      <c r="H7207" s="13"/>
    </row>
    <row r="7208">
      <c r="A7208" s="6"/>
      <c r="B7208" s="6"/>
      <c r="H7208" s="13"/>
    </row>
    <row r="7209">
      <c r="A7209" s="6"/>
      <c r="B7209" s="6"/>
      <c r="H7209" s="13"/>
    </row>
    <row r="7210">
      <c r="A7210" s="6"/>
      <c r="B7210" s="6"/>
      <c r="H7210" s="13"/>
    </row>
    <row r="7211">
      <c r="A7211" s="6"/>
      <c r="B7211" s="6"/>
      <c r="H7211" s="13"/>
    </row>
    <row r="7212">
      <c r="A7212" s="6"/>
      <c r="B7212" s="6"/>
      <c r="H7212" s="13"/>
    </row>
    <row r="7213">
      <c r="A7213" s="6"/>
      <c r="B7213" s="6"/>
      <c r="H7213" s="13"/>
    </row>
    <row r="7214">
      <c r="A7214" s="6"/>
      <c r="B7214" s="6"/>
      <c r="H7214" s="13"/>
    </row>
    <row r="7215">
      <c r="A7215" s="6"/>
      <c r="B7215" s="6"/>
      <c r="H7215" s="13"/>
    </row>
    <row r="7216">
      <c r="A7216" s="6"/>
      <c r="B7216" s="6"/>
      <c r="H7216" s="13"/>
    </row>
    <row r="7217">
      <c r="A7217" s="6"/>
      <c r="B7217" s="6"/>
      <c r="H7217" s="13"/>
    </row>
    <row r="7218">
      <c r="A7218" s="6"/>
      <c r="B7218" s="6"/>
      <c r="H7218" s="13"/>
    </row>
    <row r="7219">
      <c r="A7219" s="6"/>
      <c r="B7219" s="6"/>
      <c r="H7219" s="13"/>
    </row>
    <row r="7220">
      <c r="A7220" s="6"/>
      <c r="B7220" s="6"/>
      <c r="H7220" s="13"/>
    </row>
    <row r="7221">
      <c r="A7221" s="6"/>
      <c r="B7221" s="6"/>
      <c r="H7221" s="13"/>
    </row>
    <row r="7222">
      <c r="A7222" s="6"/>
      <c r="B7222" s="6"/>
      <c r="H7222" s="13"/>
    </row>
    <row r="7223">
      <c r="A7223" s="6"/>
      <c r="B7223" s="6"/>
      <c r="H7223" s="13"/>
    </row>
    <row r="7224">
      <c r="A7224" s="6"/>
      <c r="B7224" s="6"/>
      <c r="H7224" s="13"/>
    </row>
    <row r="7225">
      <c r="A7225" s="6"/>
      <c r="B7225" s="6"/>
      <c r="H7225" s="13"/>
    </row>
    <row r="7226">
      <c r="A7226" s="6"/>
      <c r="B7226" s="6"/>
      <c r="H7226" s="13"/>
    </row>
    <row r="7227">
      <c r="A7227" s="6"/>
      <c r="B7227" s="6"/>
      <c r="H7227" s="13"/>
    </row>
    <row r="7228">
      <c r="A7228" s="6"/>
      <c r="B7228" s="6"/>
      <c r="H7228" s="13"/>
    </row>
    <row r="7229">
      <c r="A7229" s="6"/>
      <c r="B7229" s="6"/>
      <c r="H7229" s="13"/>
    </row>
    <row r="7230">
      <c r="A7230" s="6"/>
      <c r="B7230" s="6"/>
      <c r="H7230" s="13"/>
    </row>
    <row r="7231">
      <c r="A7231" s="6"/>
      <c r="B7231" s="6"/>
      <c r="H7231" s="13"/>
    </row>
    <row r="7232">
      <c r="A7232" s="6"/>
      <c r="B7232" s="6"/>
      <c r="H7232" s="13"/>
    </row>
    <row r="7233">
      <c r="A7233" s="6"/>
      <c r="B7233" s="6"/>
      <c r="H7233" s="13"/>
    </row>
    <row r="7234">
      <c r="A7234" s="6"/>
      <c r="B7234" s="6"/>
      <c r="H7234" s="13"/>
    </row>
    <row r="7235">
      <c r="A7235" s="6"/>
      <c r="B7235" s="6"/>
      <c r="H7235" s="13"/>
    </row>
    <row r="7236">
      <c r="A7236" s="6"/>
      <c r="B7236" s="6"/>
      <c r="H7236" s="13"/>
    </row>
    <row r="7237">
      <c r="A7237" s="6"/>
      <c r="B7237" s="6"/>
      <c r="H7237" s="13"/>
    </row>
    <row r="7238">
      <c r="A7238" s="6"/>
      <c r="B7238" s="6"/>
      <c r="H7238" s="13"/>
    </row>
    <row r="7239">
      <c r="A7239" s="6"/>
      <c r="B7239" s="6"/>
      <c r="H7239" s="13"/>
    </row>
    <row r="7240">
      <c r="A7240" s="6"/>
      <c r="B7240" s="6"/>
      <c r="H7240" s="13"/>
    </row>
    <row r="7241">
      <c r="A7241" s="6"/>
      <c r="B7241" s="6"/>
      <c r="H7241" s="13"/>
    </row>
    <row r="7242">
      <c r="A7242" s="6"/>
      <c r="B7242" s="6"/>
      <c r="H7242" s="13"/>
    </row>
    <row r="7243">
      <c r="A7243" s="6"/>
      <c r="B7243" s="6"/>
      <c r="H7243" s="13"/>
    </row>
    <row r="7244">
      <c r="A7244" s="6"/>
      <c r="B7244" s="6"/>
      <c r="H7244" s="13"/>
    </row>
    <row r="7245">
      <c r="A7245" s="6"/>
      <c r="B7245" s="6"/>
      <c r="H7245" s="13"/>
    </row>
    <row r="7246">
      <c r="A7246" s="6"/>
      <c r="B7246" s="6"/>
      <c r="H7246" s="13"/>
    </row>
    <row r="7247">
      <c r="A7247" s="6"/>
      <c r="B7247" s="6"/>
      <c r="H7247" s="13"/>
    </row>
    <row r="7248">
      <c r="A7248" s="6"/>
      <c r="B7248" s="6"/>
      <c r="H7248" s="13"/>
    </row>
    <row r="7249">
      <c r="A7249" s="6"/>
      <c r="B7249" s="6"/>
      <c r="H7249" s="13"/>
    </row>
    <row r="7250">
      <c r="A7250" s="6"/>
      <c r="B7250" s="6"/>
      <c r="H7250" s="13"/>
    </row>
    <row r="7251">
      <c r="A7251" s="6"/>
      <c r="B7251" s="6"/>
      <c r="H7251" s="13"/>
    </row>
    <row r="7252">
      <c r="A7252" s="6"/>
      <c r="B7252" s="6"/>
      <c r="H7252" s="13"/>
    </row>
    <row r="7253">
      <c r="A7253" s="6"/>
      <c r="B7253" s="6"/>
      <c r="H7253" s="13"/>
    </row>
    <row r="7254">
      <c r="A7254" s="6"/>
      <c r="B7254" s="6"/>
      <c r="H7254" s="13"/>
    </row>
    <row r="7255">
      <c r="A7255" s="6"/>
      <c r="B7255" s="6"/>
      <c r="H7255" s="13"/>
    </row>
    <row r="7256">
      <c r="A7256" s="6"/>
      <c r="B7256" s="6"/>
      <c r="H7256" s="13"/>
    </row>
    <row r="7257">
      <c r="A7257" s="6"/>
      <c r="B7257" s="6"/>
      <c r="H7257" s="13"/>
    </row>
    <row r="7258">
      <c r="A7258" s="6"/>
      <c r="B7258" s="6"/>
      <c r="H7258" s="13"/>
    </row>
    <row r="7259">
      <c r="A7259" s="6"/>
      <c r="B7259" s="6"/>
      <c r="H7259" s="13"/>
    </row>
    <row r="7260">
      <c r="A7260" s="6"/>
      <c r="B7260" s="6"/>
      <c r="H7260" s="13"/>
    </row>
    <row r="7261">
      <c r="A7261" s="6"/>
      <c r="B7261" s="6"/>
      <c r="H7261" s="13"/>
    </row>
    <row r="7262">
      <c r="A7262" s="6"/>
      <c r="B7262" s="6"/>
      <c r="H7262" s="13"/>
    </row>
    <row r="7263">
      <c r="A7263" s="6"/>
      <c r="B7263" s="6"/>
      <c r="H7263" s="13"/>
    </row>
    <row r="7264">
      <c r="A7264" s="6"/>
      <c r="B7264" s="6"/>
      <c r="H7264" s="13"/>
    </row>
    <row r="7265">
      <c r="A7265" s="6"/>
      <c r="B7265" s="6"/>
      <c r="H7265" s="13"/>
    </row>
    <row r="7266">
      <c r="A7266" s="6"/>
      <c r="B7266" s="6"/>
      <c r="H7266" s="13"/>
    </row>
    <row r="7267">
      <c r="A7267" s="6"/>
      <c r="B7267" s="6"/>
      <c r="H7267" s="13"/>
    </row>
    <row r="7268">
      <c r="A7268" s="6"/>
      <c r="B7268" s="6"/>
      <c r="H7268" s="13"/>
    </row>
    <row r="7269">
      <c r="A7269" s="6"/>
      <c r="B7269" s="6"/>
      <c r="H7269" s="13"/>
    </row>
    <row r="7270">
      <c r="A7270" s="6"/>
      <c r="B7270" s="6"/>
      <c r="H7270" s="13"/>
    </row>
    <row r="7271">
      <c r="A7271" s="6"/>
      <c r="B7271" s="6"/>
      <c r="H7271" s="13"/>
    </row>
    <row r="7272">
      <c r="A7272" s="6"/>
      <c r="B7272" s="6"/>
      <c r="H7272" s="13"/>
    </row>
    <row r="7273">
      <c r="A7273" s="6"/>
      <c r="B7273" s="6"/>
      <c r="H7273" s="13"/>
    </row>
    <row r="7274">
      <c r="A7274" s="6"/>
      <c r="B7274" s="6"/>
      <c r="H7274" s="13"/>
    </row>
    <row r="7275">
      <c r="A7275" s="6"/>
      <c r="B7275" s="6"/>
      <c r="H7275" s="13"/>
    </row>
    <row r="7276">
      <c r="A7276" s="6"/>
      <c r="B7276" s="6"/>
      <c r="H7276" s="13"/>
    </row>
    <row r="7277">
      <c r="A7277" s="6"/>
      <c r="B7277" s="6"/>
      <c r="H7277" s="13"/>
    </row>
    <row r="7278">
      <c r="A7278" s="6"/>
      <c r="B7278" s="6"/>
      <c r="H7278" s="13"/>
    </row>
    <row r="7279">
      <c r="A7279" s="6"/>
      <c r="B7279" s="6"/>
      <c r="H7279" s="13"/>
    </row>
    <row r="7280">
      <c r="A7280" s="6"/>
      <c r="B7280" s="6"/>
      <c r="H7280" s="13"/>
    </row>
    <row r="7281">
      <c r="A7281" s="6"/>
      <c r="B7281" s="6"/>
      <c r="H7281" s="13"/>
    </row>
    <row r="7282">
      <c r="A7282" s="6"/>
      <c r="B7282" s="6"/>
      <c r="H7282" s="13"/>
    </row>
    <row r="7283">
      <c r="A7283" s="6"/>
      <c r="B7283" s="6"/>
      <c r="H7283" s="13"/>
    </row>
    <row r="7284">
      <c r="A7284" s="6"/>
      <c r="B7284" s="6"/>
      <c r="H7284" s="13"/>
    </row>
    <row r="7285">
      <c r="A7285" s="6"/>
      <c r="B7285" s="6"/>
      <c r="H7285" s="13"/>
    </row>
    <row r="7286">
      <c r="A7286" s="6"/>
      <c r="B7286" s="6"/>
      <c r="H7286" s="13"/>
    </row>
    <row r="7287">
      <c r="A7287" s="6"/>
      <c r="B7287" s="6"/>
      <c r="H7287" s="13"/>
    </row>
    <row r="7288">
      <c r="A7288" s="6"/>
      <c r="B7288" s="6"/>
      <c r="H7288" s="13"/>
    </row>
    <row r="7289">
      <c r="A7289" s="6"/>
      <c r="B7289" s="6"/>
      <c r="H7289" s="13"/>
    </row>
    <row r="7290">
      <c r="A7290" s="6"/>
      <c r="B7290" s="6"/>
      <c r="H7290" s="13"/>
    </row>
    <row r="7291">
      <c r="A7291" s="6"/>
      <c r="B7291" s="6"/>
      <c r="H7291" s="13"/>
    </row>
    <row r="7292">
      <c r="A7292" s="6"/>
      <c r="B7292" s="6"/>
      <c r="H7292" s="13"/>
    </row>
    <row r="7293">
      <c r="A7293" s="6"/>
      <c r="B7293" s="6"/>
      <c r="H7293" s="13"/>
    </row>
    <row r="7294">
      <c r="A7294" s="6"/>
      <c r="B7294" s="6"/>
      <c r="H7294" s="13"/>
    </row>
    <row r="7295">
      <c r="A7295" s="6"/>
      <c r="B7295" s="6"/>
      <c r="H7295" s="13"/>
    </row>
    <row r="7296">
      <c r="A7296" s="6"/>
      <c r="B7296" s="6"/>
      <c r="H7296" s="13"/>
    </row>
    <row r="7297">
      <c r="A7297" s="6"/>
      <c r="B7297" s="6"/>
      <c r="H7297" s="13"/>
    </row>
    <row r="7298">
      <c r="A7298" s="6"/>
      <c r="B7298" s="6"/>
      <c r="H7298" s="13"/>
    </row>
    <row r="7299">
      <c r="A7299" s="6"/>
      <c r="B7299" s="6"/>
      <c r="H7299" s="13"/>
    </row>
    <row r="7300">
      <c r="A7300" s="6"/>
      <c r="B7300" s="6"/>
      <c r="H7300" s="13"/>
    </row>
    <row r="7301">
      <c r="A7301" s="6"/>
      <c r="B7301" s="6"/>
      <c r="H7301" s="13"/>
    </row>
    <row r="7302">
      <c r="A7302" s="6"/>
      <c r="B7302" s="6"/>
      <c r="H7302" s="13"/>
    </row>
    <row r="7303">
      <c r="A7303" s="6"/>
      <c r="B7303" s="6"/>
      <c r="H7303" s="13"/>
    </row>
    <row r="7304">
      <c r="A7304" s="6"/>
      <c r="B7304" s="6"/>
      <c r="H7304" s="13"/>
    </row>
    <row r="7305">
      <c r="A7305" s="6"/>
      <c r="B7305" s="6"/>
      <c r="H7305" s="13"/>
    </row>
    <row r="7306">
      <c r="A7306" s="6"/>
      <c r="B7306" s="6"/>
      <c r="H7306" s="13"/>
    </row>
    <row r="7307">
      <c r="A7307" s="6"/>
      <c r="B7307" s="6"/>
      <c r="H7307" s="13"/>
    </row>
    <row r="7308">
      <c r="A7308" s="6"/>
      <c r="B7308" s="6"/>
      <c r="H7308" s="13"/>
    </row>
    <row r="7309">
      <c r="A7309" s="6"/>
      <c r="B7309" s="6"/>
      <c r="H7309" s="13"/>
    </row>
    <row r="7310">
      <c r="A7310" s="6"/>
      <c r="B7310" s="6"/>
      <c r="H7310" s="13"/>
    </row>
    <row r="7311">
      <c r="A7311" s="6"/>
      <c r="B7311" s="6"/>
      <c r="H7311" s="13"/>
    </row>
    <row r="7312">
      <c r="A7312" s="6"/>
      <c r="B7312" s="6"/>
      <c r="H7312" s="13"/>
    </row>
    <row r="7313">
      <c r="A7313" s="6"/>
      <c r="B7313" s="6"/>
      <c r="H7313" s="13"/>
    </row>
    <row r="7314">
      <c r="A7314" s="6"/>
      <c r="B7314" s="6"/>
      <c r="H7314" s="13"/>
    </row>
    <row r="7315">
      <c r="A7315" s="6"/>
      <c r="B7315" s="6"/>
      <c r="H7315" s="13"/>
    </row>
    <row r="7316">
      <c r="A7316" s="6"/>
      <c r="B7316" s="6"/>
      <c r="H7316" s="13"/>
    </row>
    <row r="7317">
      <c r="A7317" s="6"/>
      <c r="B7317" s="6"/>
      <c r="H7317" s="13"/>
    </row>
    <row r="7318">
      <c r="A7318" s="6"/>
      <c r="B7318" s="6"/>
      <c r="H7318" s="13"/>
    </row>
    <row r="7319">
      <c r="A7319" s="6"/>
      <c r="B7319" s="6"/>
      <c r="H7319" s="13"/>
    </row>
    <row r="7320">
      <c r="A7320" s="6"/>
      <c r="B7320" s="6"/>
      <c r="H7320" s="13"/>
    </row>
    <row r="7321">
      <c r="A7321" s="6"/>
      <c r="B7321" s="6"/>
      <c r="H7321" s="13"/>
    </row>
    <row r="7322">
      <c r="A7322" s="6"/>
      <c r="B7322" s="6"/>
      <c r="H7322" s="13"/>
    </row>
    <row r="7323">
      <c r="A7323" s="6"/>
      <c r="B7323" s="6"/>
      <c r="H7323" s="13"/>
    </row>
    <row r="7324">
      <c r="A7324" s="6"/>
      <c r="B7324" s="6"/>
      <c r="H7324" s="13"/>
    </row>
    <row r="7325">
      <c r="A7325" s="6"/>
      <c r="B7325" s="6"/>
      <c r="H7325" s="13"/>
    </row>
    <row r="7326">
      <c r="A7326" s="6"/>
      <c r="B7326" s="6"/>
      <c r="H7326" s="13"/>
    </row>
    <row r="7327">
      <c r="A7327" s="6"/>
      <c r="B7327" s="6"/>
      <c r="H7327" s="13"/>
    </row>
    <row r="7328">
      <c r="A7328" s="6"/>
      <c r="B7328" s="6"/>
      <c r="H7328" s="13"/>
    </row>
    <row r="7329">
      <c r="A7329" s="6"/>
      <c r="B7329" s="6"/>
      <c r="H7329" s="13"/>
    </row>
    <row r="7330">
      <c r="A7330" s="6"/>
      <c r="B7330" s="6"/>
      <c r="H7330" s="13"/>
    </row>
    <row r="7331">
      <c r="A7331" s="6"/>
      <c r="B7331" s="6"/>
      <c r="H7331" s="13"/>
    </row>
    <row r="7332">
      <c r="A7332" s="6"/>
      <c r="B7332" s="6"/>
      <c r="H7332" s="13"/>
    </row>
    <row r="7333">
      <c r="A7333" s="6"/>
      <c r="B7333" s="6"/>
      <c r="H7333" s="13"/>
    </row>
    <row r="7334">
      <c r="A7334" s="6"/>
      <c r="B7334" s="6"/>
      <c r="H7334" s="13"/>
    </row>
    <row r="7335">
      <c r="A7335" s="6"/>
      <c r="B7335" s="6"/>
      <c r="H7335" s="13"/>
    </row>
    <row r="7336">
      <c r="A7336" s="6"/>
      <c r="B7336" s="6"/>
      <c r="H7336" s="13"/>
    </row>
    <row r="7337">
      <c r="A7337" s="6"/>
      <c r="B7337" s="6"/>
      <c r="H7337" s="13"/>
    </row>
    <row r="7338">
      <c r="A7338" s="6"/>
      <c r="B7338" s="6"/>
      <c r="H7338" s="13"/>
    </row>
    <row r="7339">
      <c r="A7339" s="6"/>
      <c r="B7339" s="6"/>
      <c r="H7339" s="13"/>
    </row>
    <row r="7340">
      <c r="A7340" s="6"/>
      <c r="B7340" s="6"/>
      <c r="H7340" s="13"/>
    </row>
    <row r="7341">
      <c r="A7341" s="6"/>
      <c r="B7341" s="6"/>
      <c r="H7341" s="13"/>
    </row>
    <row r="7342">
      <c r="A7342" s="6"/>
      <c r="B7342" s="6"/>
      <c r="H7342" s="13"/>
    </row>
    <row r="7343">
      <c r="A7343" s="6"/>
      <c r="B7343" s="6"/>
      <c r="H7343" s="13"/>
    </row>
    <row r="7344">
      <c r="A7344" s="6"/>
      <c r="B7344" s="6"/>
      <c r="H7344" s="13"/>
    </row>
    <row r="7345">
      <c r="A7345" s="6"/>
      <c r="B7345" s="6"/>
      <c r="H7345" s="13"/>
    </row>
    <row r="7346">
      <c r="A7346" s="6"/>
      <c r="B7346" s="6"/>
      <c r="H7346" s="13"/>
    </row>
    <row r="7347">
      <c r="A7347" s="6"/>
      <c r="B7347" s="6"/>
      <c r="H7347" s="13"/>
    </row>
    <row r="7348">
      <c r="A7348" s="6"/>
      <c r="B7348" s="6"/>
      <c r="H7348" s="13"/>
    </row>
    <row r="7349">
      <c r="A7349" s="6"/>
      <c r="B7349" s="6"/>
      <c r="H7349" s="13"/>
    </row>
    <row r="7350">
      <c r="A7350" s="6"/>
      <c r="B7350" s="6"/>
      <c r="H7350" s="13"/>
    </row>
    <row r="7351">
      <c r="A7351" s="6"/>
      <c r="B7351" s="6"/>
      <c r="H7351" s="13"/>
    </row>
    <row r="7352">
      <c r="A7352" s="6"/>
      <c r="B7352" s="6"/>
      <c r="H7352" s="13"/>
    </row>
    <row r="7353">
      <c r="A7353" s="6"/>
      <c r="B7353" s="6"/>
      <c r="H7353" s="13"/>
    </row>
    <row r="7354">
      <c r="A7354" s="6"/>
      <c r="B7354" s="6"/>
      <c r="H7354" s="13"/>
    </row>
    <row r="7355">
      <c r="A7355" s="6"/>
      <c r="B7355" s="6"/>
      <c r="H7355" s="13"/>
    </row>
    <row r="7356">
      <c r="A7356" s="6"/>
      <c r="B7356" s="6"/>
      <c r="H7356" s="13"/>
    </row>
    <row r="7357">
      <c r="A7357" s="6"/>
      <c r="B7357" s="6"/>
      <c r="H7357" s="13"/>
    </row>
    <row r="7358">
      <c r="A7358" s="6"/>
      <c r="B7358" s="6"/>
      <c r="H7358" s="13"/>
    </row>
    <row r="7359">
      <c r="A7359" s="6"/>
      <c r="B7359" s="6"/>
      <c r="H7359" s="13"/>
    </row>
    <row r="7360">
      <c r="A7360" s="6"/>
      <c r="B7360" s="6"/>
      <c r="H7360" s="13"/>
    </row>
    <row r="7361">
      <c r="A7361" s="6"/>
      <c r="B7361" s="6"/>
      <c r="H7361" s="13"/>
    </row>
    <row r="7362">
      <c r="A7362" s="6"/>
      <c r="B7362" s="6"/>
      <c r="H7362" s="13"/>
    </row>
    <row r="7363">
      <c r="A7363" s="6"/>
      <c r="B7363" s="6"/>
      <c r="H7363" s="13"/>
    </row>
    <row r="7364">
      <c r="A7364" s="6"/>
      <c r="B7364" s="6"/>
      <c r="H7364" s="13"/>
    </row>
    <row r="7365">
      <c r="A7365" s="6"/>
      <c r="B7365" s="6"/>
      <c r="H7365" s="13"/>
    </row>
    <row r="7366">
      <c r="A7366" s="6"/>
      <c r="B7366" s="6"/>
      <c r="H7366" s="13"/>
    </row>
    <row r="7367">
      <c r="A7367" s="6"/>
      <c r="B7367" s="6"/>
      <c r="H7367" s="13"/>
    </row>
    <row r="7368">
      <c r="A7368" s="6"/>
      <c r="B7368" s="6"/>
      <c r="H7368" s="13"/>
    </row>
    <row r="7369">
      <c r="A7369" s="6"/>
      <c r="B7369" s="6"/>
      <c r="H7369" s="13"/>
    </row>
    <row r="7370">
      <c r="A7370" s="6"/>
      <c r="B7370" s="6"/>
      <c r="H7370" s="13"/>
    </row>
    <row r="7371">
      <c r="A7371" s="6"/>
      <c r="B7371" s="6"/>
      <c r="H7371" s="13"/>
    </row>
    <row r="7372">
      <c r="A7372" s="6"/>
      <c r="B7372" s="6"/>
      <c r="H7372" s="13"/>
    </row>
    <row r="7373">
      <c r="A7373" s="6"/>
      <c r="B7373" s="6"/>
      <c r="H7373" s="13"/>
    </row>
    <row r="7374">
      <c r="A7374" s="6"/>
      <c r="B7374" s="6"/>
      <c r="H7374" s="13"/>
    </row>
    <row r="7375">
      <c r="A7375" s="6"/>
      <c r="B7375" s="6"/>
      <c r="H7375" s="13"/>
    </row>
    <row r="7376">
      <c r="A7376" s="6"/>
      <c r="B7376" s="6"/>
      <c r="H7376" s="13"/>
    </row>
    <row r="7377">
      <c r="A7377" s="6"/>
      <c r="B7377" s="6"/>
      <c r="H7377" s="13"/>
    </row>
    <row r="7378">
      <c r="A7378" s="6"/>
      <c r="B7378" s="6"/>
      <c r="H7378" s="13"/>
    </row>
    <row r="7379">
      <c r="A7379" s="6"/>
      <c r="B7379" s="6"/>
      <c r="H7379" s="13"/>
    </row>
    <row r="7380">
      <c r="A7380" s="6"/>
      <c r="B7380" s="6"/>
      <c r="H7380" s="13"/>
    </row>
    <row r="7381">
      <c r="A7381" s="6"/>
      <c r="B7381" s="6"/>
      <c r="H7381" s="13"/>
    </row>
    <row r="7382">
      <c r="A7382" s="6"/>
      <c r="B7382" s="6"/>
      <c r="H7382" s="13"/>
    </row>
    <row r="7383">
      <c r="A7383" s="6"/>
      <c r="B7383" s="6"/>
      <c r="H7383" s="13"/>
    </row>
    <row r="7384">
      <c r="A7384" s="6"/>
      <c r="B7384" s="6"/>
      <c r="H7384" s="13"/>
    </row>
    <row r="7385">
      <c r="A7385" s="6"/>
      <c r="B7385" s="6"/>
      <c r="H7385" s="13"/>
    </row>
    <row r="7386">
      <c r="A7386" s="6"/>
      <c r="B7386" s="6"/>
      <c r="H7386" s="13"/>
    </row>
    <row r="7387">
      <c r="A7387" s="6"/>
      <c r="B7387" s="6"/>
      <c r="H7387" s="13"/>
    </row>
    <row r="7388">
      <c r="A7388" s="6"/>
      <c r="B7388" s="6"/>
      <c r="H7388" s="13"/>
    </row>
    <row r="7389">
      <c r="A7389" s="6"/>
      <c r="B7389" s="6"/>
      <c r="H7389" s="13"/>
    </row>
    <row r="7390">
      <c r="A7390" s="6"/>
      <c r="B7390" s="6"/>
      <c r="H7390" s="13"/>
    </row>
    <row r="7391">
      <c r="A7391" s="6"/>
      <c r="B7391" s="6"/>
      <c r="H7391" s="13"/>
    </row>
    <row r="7392">
      <c r="A7392" s="6"/>
      <c r="B7392" s="6"/>
      <c r="H7392" s="13"/>
    </row>
    <row r="7393">
      <c r="A7393" s="6"/>
      <c r="B7393" s="6"/>
      <c r="H7393" s="13"/>
    </row>
    <row r="7394">
      <c r="A7394" s="6"/>
      <c r="B7394" s="6"/>
      <c r="H7394" s="13"/>
    </row>
    <row r="7395">
      <c r="A7395" s="6"/>
      <c r="B7395" s="6"/>
      <c r="H7395" s="13"/>
    </row>
    <row r="7396">
      <c r="A7396" s="6"/>
      <c r="B7396" s="6"/>
      <c r="H7396" s="13"/>
    </row>
    <row r="7397">
      <c r="A7397" s="6"/>
      <c r="B7397" s="6"/>
      <c r="H7397" s="13"/>
    </row>
    <row r="7398">
      <c r="A7398" s="6"/>
      <c r="B7398" s="6"/>
      <c r="H7398" s="13"/>
    </row>
    <row r="7399">
      <c r="A7399" s="6"/>
      <c r="B7399" s="6"/>
      <c r="H7399" s="13"/>
    </row>
    <row r="7400">
      <c r="A7400" s="6"/>
      <c r="B7400" s="6"/>
      <c r="H7400" s="13"/>
    </row>
    <row r="7401">
      <c r="A7401" s="6"/>
      <c r="B7401" s="6"/>
      <c r="H7401" s="13"/>
    </row>
    <row r="7402">
      <c r="A7402" s="6"/>
      <c r="B7402" s="6"/>
      <c r="H7402" s="13"/>
    </row>
    <row r="7403">
      <c r="A7403" s="6"/>
      <c r="B7403" s="6"/>
      <c r="H7403" s="13"/>
    </row>
    <row r="7404">
      <c r="A7404" s="6"/>
      <c r="B7404" s="6"/>
      <c r="H7404" s="13"/>
    </row>
    <row r="7405">
      <c r="A7405" s="6"/>
      <c r="B7405" s="6"/>
      <c r="H7405" s="13"/>
    </row>
    <row r="7406">
      <c r="A7406" s="6"/>
      <c r="B7406" s="6"/>
      <c r="H7406" s="13"/>
    </row>
    <row r="7407">
      <c r="A7407" s="6"/>
      <c r="B7407" s="6"/>
      <c r="H7407" s="13"/>
    </row>
    <row r="7408">
      <c r="A7408" s="6"/>
      <c r="B7408" s="6"/>
      <c r="H7408" s="13"/>
    </row>
    <row r="7409">
      <c r="A7409" s="6"/>
      <c r="B7409" s="6"/>
      <c r="H7409" s="13"/>
    </row>
    <row r="7410">
      <c r="A7410" s="6"/>
      <c r="B7410" s="6"/>
      <c r="H7410" s="13"/>
    </row>
    <row r="7411">
      <c r="A7411" s="6"/>
      <c r="B7411" s="6"/>
      <c r="H7411" s="13"/>
    </row>
    <row r="7412">
      <c r="A7412" s="6"/>
      <c r="B7412" s="6"/>
      <c r="H7412" s="13"/>
    </row>
    <row r="7413">
      <c r="A7413" s="6"/>
      <c r="B7413" s="6"/>
      <c r="H7413" s="13"/>
    </row>
    <row r="7414">
      <c r="A7414" s="6"/>
      <c r="B7414" s="6"/>
      <c r="H7414" s="13"/>
    </row>
    <row r="7415">
      <c r="A7415" s="6"/>
      <c r="B7415" s="6"/>
      <c r="H7415" s="13"/>
    </row>
    <row r="7416">
      <c r="A7416" s="6"/>
      <c r="B7416" s="6"/>
      <c r="H7416" s="13"/>
    </row>
    <row r="7417">
      <c r="A7417" s="6"/>
      <c r="B7417" s="6"/>
      <c r="H7417" s="13"/>
    </row>
    <row r="7418">
      <c r="A7418" s="6"/>
      <c r="B7418" s="6"/>
      <c r="H7418" s="13"/>
    </row>
    <row r="7419">
      <c r="A7419" s="6"/>
      <c r="B7419" s="6"/>
      <c r="H7419" s="13"/>
    </row>
    <row r="7420">
      <c r="A7420" s="6"/>
      <c r="B7420" s="6"/>
      <c r="H7420" s="13"/>
    </row>
    <row r="7421">
      <c r="A7421" s="6"/>
      <c r="B7421" s="6"/>
      <c r="H7421" s="13"/>
    </row>
    <row r="7422">
      <c r="A7422" s="6"/>
      <c r="B7422" s="6"/>
      <c r="H7422" s="13"/>
    </row>
    <row r="7423">
      <c r="A7423" s="6"/>
      <c r="B7423" s="6"/>
      <c r="H7423" s="13"/>
    </row>
    <row r="7424">
      <c r="A7424" s="6"/>
      <c r="B7424" s="6"/>
      <c r="H7424" s="13"/>
    </row>
    <row r="7425">
      <c r="A7425" s="6"/>
      <c r="B7425" s="6"/>
      <c r="H7425" s="13"/>
    </row>
    <row r="7426">
      <c r="A7426" s="6"/>
      <c r="B7426" s="6"/>
      <c r="H7426" s="13"/>
    </row>
    <row r="7427">
      <c r="A7427" s="6"/>
      <c r="B7427" s="6"/>
      <c r="H7427" s="13"/>
    </row>
    <row r="7428">
      <c r="A7428" s="6"/>
      <c r="B7428" s="6"/>
      <c r="H7428" s="13"/>
    </row>
    <row r="7429">
      <c r="A7429" s="6"/>
      <c r="B7429" s="6"/>
      <c r="H7429" s="13"/>
    </row>
    <row r="7430">
      <c r="A7430" s="6"/>
      <c r="B7430" s="6"/>
      <c r="H7430" s="13"/>
    </row>
    <row r="7431">
      <c r="A7431" s="6"/>
      <c r="B7431" s="6"/>
      <c r="H7431" s="13"/>
    </row>
    <row r="7432">
      <c r="A7432" s="6"/>
      <c r="B7432" s="6"/>
      <c r="H7432" s="13"/>
    </row>
    <row r="7433">
      <c r="A7433" s="6"/>
      <c r="B7433" s="6"/>
      <c r="H7433" s="13"/>
    </row>
    <row r="7434">
      <c r="A7434" s="6"/>
      <c r="B7434" s="6"/>
      <c r="H7434" s="13"/>
    </row>
    <row r="7435">
      <c r="A7435" s="6"/>
      <c r="B7435" s="6"/>
      <c r="H7435" s="13"/>
    </row>
    <row r="7436">
      <c r="A7436" s="6"/>
      <c r="B7436" s="6"/>
      <c r="H7436" s="13"/>
    </row>
    <row r="7437">
      <c r="A7437" s="6"/>
      <c r="B7437" s="6"/>
      <c r="H7437" s="13"/>
    </row>
    <row r="7438">
      <c r="A7438" s="6"/>
      <c r="B7438" s="6"/>
      <c r="H7438" s="13"/>
    </row>
    <row r="7439">
      <c r="A7439" s="6"/>
      <c r="B7439" s="6"/>
      <c r="H7439" s="13"/>
    </row>
    <row r="7440">
      <c r="A7440" s="6"/>
      <c r="B7440" s="6"/>
      <c r="H7440" s="13"/>
    </row>
    <row r="7441">
      <c r="A7441" s="6"/>
      <c r="B7441" s="6"/>
      <c r="H7441" s="13"/>
    </row>
    <row r="7442">
      <c r="A7442" s="6"/>
      <c r="B7442" s="6"/>
      <c r="H7442" s="13"/>
    </row>
    <row r="7443">
      <c r="A7443" s="6"/>
      <c r="B7443" s="6"/>
      <c r="H7443" s="13"/>
    </row>
    <row r="7444">
      <c r="A7444" s="6"/>
      <c r="B7444" s="6"/>
      <c r="H7444" s="13"/>
    </row>
    <row r="7445">
      <c r="A7445" s="6"/>
      <c r="B7445" s="6"/>
      <c r="H7445" s="13"/>
    </row>
    <row r="7446">
      <c r="A7446" s="6"/>
      <c r="B7446" s="6"/>
      <c r="H7446" s="13"/>
    </row>
    <row r="7447">
      <c r="A7447" s="6"/>
      <c r="B7447" s="6"/>
      <c r="H7447" s="13"/>
    </row>
    <row r="7448">
      <c r="A7448" s="6"/>
      <c r="B7448" s="6"/>
      <c r="H7448" s="13"/>
    </row>
    <row r="7449">
      <c r="A7449" s="6"/>
      <c r="B7449" s="6"/>
      <c r="H7449" s="13"/>
    </row>
    <row r="7450">
      <c r="A7450" s="6"/>
      <c r="B7450" s="6"/>
      <c r="H7450" s="13"/>
    </row>
    <row r="7451">
      <c r="A7451" s="6"/>
      <c r="B7451" s="6"/>
      <c r="H7451" s="13"/>
    </row>
    <row r="7452">
      <c r="A7452" s="6"/>
      <c r="B7452" s="6"/>
      <c r="H7452" s="13"/>
    </row>
    <row r="7453">
      <c r="A7453" s="6"/>
      <c r="B7453" s="6"/>
      <c r="H7453" s="13"/>
    </row>
    <row r="7454">
      <c r="A7454" s="6"/>
      <c r="B7454" s="6"/>
      <c r="H7454" s="13"/>
    </row>
    <row r="7455">
      <c r="A7455" s="6"/>
      <c r="B7455" s="6"/>
      <c r="H7455" s="13"/>
    </row>
    <row r="7456">
      <c r="A7456" s="6"/>
      <c r="B7456" s="6"/>
      <c r="H7456" s="13"/>
    </row>
    <row r="7457">
      <c r="A7457" s="6"/>
      <c r="B7457" s="6"/>
      <c r="H7457" s="13"/>
    </row>
    <row r="7458">
      <c r="A7458" s="6"/>
      <c r="B7458" s="6"/>
      <c r="H7458" s="13"/>
    </row>
    <row r="7459">
      <c r="A7459" s="6"/>
      <c r="B7459" s="6"/>
      <c r="H7459" s="13"/>
    </row>
    <row r="7460">
      <c r="A7460" s="6"/>
      <c r="B7460" s="6"/>
      <c r="H7460" s="13"/>
    </row>
    <row r="7461">
      <c r="A7461" s="6"/>
      <c r="B7461" s="6"/>
      <c r="H7461" s="13"/>
    </row>
    <row r="7462">
      <c r="A7462" s="6"/>
      <c r="B7462" s="6"/>
      <c r="H7462" s="13"/>
    </row>
    <row r="7463">
      <c r="A7463" s="6"/>
      <c r="B7463" s="6"/>
      <c r="H7463" s="13"/>
    </row>
    <row r="7464">
      <c r="A7464" s="6"/>
      <c r="B7464" s="6"/>
      <c r="H7464" s="13"/>
    </row>
    <row r="7465">
      <c r="A7465" s="6"/>
      <c r="B7465" s="6"/>
      <c r="H7465" s="13"/>
    </row>
    <row r="7466">
      <c r="A7466" s="6"/>
      <c r="B7466" s="6"/>
      <c r="H7466" s="13"/>
    </row>
    <row r="7467">
      <c r="A7467" s="6"/>
      <c r="B7467" s="6"/>
      <c r="H7467" s="13"/>
    </row>
    <row r="7468">
      <c r="A7468" s="6"/>
      <c r="B7468" s="6"/>
      <c r="H7468" s="13"/>
    </row>
    <row r="7469">
      <c r="A7469" s="6"/>
      <c r="B7469" s="6"/>
      <c r="H7469" s="13"/>
    </row>
    <row r="7470">
      <c r="A7470" s="6"/>
      <c r="B7470" s="6"/>
      <c r="H7470" s="13"/>
    </row>
    <row r="7471">
      <c r="A7471" s="6"/>
      <c r="B7471" s="6"/>
      <c r="H7471" s="13"/>
    </row>
    <row r="7472">
      <c r="A7472" s="6"/>
      <c r="B7472" s="6"/>
      <c r="H7472" s="13"/>
    </row>
    <row r="7473">
      <c r="A7473" s="6"/>
      <c r="B7473" s="6"/>
      <c r="H7473" s="13"/>
    </row>
    <row r="7474">
      <c r="A7474" s="6"/>
      <c r="B7474" s="6"/>
      <c r="H7474" s="13"/>
    </row>
    <row r="7475">
      <c r="A7475" s="6"/>
      <c r="B7475" s="6"/>
      <c r="H7475" s="13"/>
    </row>
    <row r="7476">
      <c r="A7476" s="6"/>
      <c r="B7476" s="6"/>
      <c r="H7476" s="13"/>
    </row>
    <row r="7477">
      <c r="A7477" s="6"/>
      <c r="B7477" s="6"/>
      <c r="H7477" s="13"/>
    </row>
    <row r="7478">
      <c r="A7478" s="6"/>
      <c r="B7478" s="6"/>
      <c r="H7478" s="13"/>
    </row>
    <row r="7479">
      <c r="A7479" s="6"/>
      <c r="B7479" s="6"/>
      <c r="H7479" s="13"/>
    </row>
    <row r="7480">
      <c r="A7480" s="6"/>
      <c r="B7480" s="6"/>
      <c r="H7480" s="13"/>
    </row>
    <row r="7481">
      <c r="A7481" s="6"/>
      <c r="B7481" s="6"/>
      <c r="H7481" s="13"/>
    </row>
    <row r="7482">
      <c r="A7482" s="6"/>
      <c r="B7482" s="6"/>
      <c r="H7482" s="13"/>
    </row>
    <row r="7483">
      <c r="A7483" s="6"/>
      <c r="B7483" s="6"/>
      <c r="H7483" s="13"/>
    </row>
    <row r="7484">
      <c r="A7484" s="6"/>
      <c r="B7484" s="6"/>
      <c r="H7484" s="13"/>
    </row>
    <row r="7485">
      <c r="A7485" s="6"/>
      <c r="B7485" s="6"/>
      <c r="H7485" s="13"/>
    </row>
    <row r="7486">
      <c r="A7486" s="6"/>
      <c r="B7486" s="6"/>
      <c r="H7486" s="13"/>
    </row>
    <row r="7487">
      <c r="A7487" s="6"/>
      <c r="B7487" s="6"/>
      <c r="H7487" s="13"/>
    </row>
    <row r="7488">
      <c r="A7488" s="6"/>
      <c r="B7488" s="6"/>
      <c r="H7488" s="13"/>
    </row>
    <row r="7489">
      <c r="A7489" s="6"/>
      <c r="B7489" s="6"/>
      <c r="H7489" s="13"/>
    </row>
    <row r="7490">
      <c r="A7490" s="6"/>
      <c r="B7490" s="6"/>
      <c r="H7490" s="13"/>
    </row>
    <row r="7491">
      <c r="A7491" s="6"/>
      <c r="B7491" s="6"/>
      <c r="H7491" s="13"/>
    </row>
    <row r="7492">
      <c r="A7492" s="6"/>
      <c r="B7492" s="6"/>
      <c r="H7492" s="13"/>
    </row>
    <row r="7493">
      <c r="A7493" s="6"/>
      <c r="B7493" s="6"/>
      <c r="H7493" s="13"/>
    </row>
    <row r="7494">
      <c r="A7494" s="6"/>
      <c r="B7494" s="6"/>
      <c r="H7494" s="13"/>
    </row>
    <row r="7495">
      <c r="A7495" s="6"/>
      <c r="B7495" s="6"/>
      <c r="H7495" s="13"/>
    </row>
    <row r="7496">
      <c r="A7496" s="6"/>
      <c r="B7496" s="6"/>
      <c r="H7496" s="13"/>
    </row>
    <row r="7497">
      <c r="A7497" s="6"/>
      <c r="B7497" s="6"/>
      <c r="H7497" s="13"/>
    </row>
    <row r="7498">
      <c r="A7498" s="6"/>
      <c r="B7498" s="6"/>
      <c r="H7498" s="13"/>
    </row>
    <row r="7499">
      <c r="A7499" s="6"/>
      <c r="B7499" s="6"/>
      <c r="H7499" s="13"/>
    </row>
    <row r="7500">
      <c r="A7500" s="6"/>
      <c r="B7500" s="6"/>
      <c r="H7500" s="13"/>
    </row>
    <row r="7501">
      <c r="A7501" s="6"/>
      <c r="B7501" s="6"/>
      <c r="H7501" s="13"/>
    </row>
    <row r="7502">
      <c r="A7502" s="6"/>
      <c r="B7502" s="6"/>
      <c r="H7502" s="13"/>
    </row>
    <row r="7503">
      <c r="A7503" s="6"/>
      <c r="B7503" s="6"/>
      <c r="H7503" s="13"/>
    </row>
    <row r="7504">
      <c r="A7504" s="6"/>
      <c r="B7504" s="6"/>
      <c r="H7504" s="13"/>
    </row>
    <row r="7505">
      <c r="A7505" s="6"/>
      <c r="B7505" s="6"/>
      <c r="H7505" s="13"/>
    </row>
    <row r="7506">
      <c r="A7506" s="6"/>
      <c r="B7506" s="6"/>
      <c r="H7506" s="13"/>
    </row>
    <row r="7507">
      <c r="A7507" s="6"/>
      <c r="B7507" s="6"/>
      <c r="H7507" s="13"/>
    </row>
    <row r="7508">
      <c r="A7508" s="6"/>
      <c r="B7508" s="6"/>
      <c r="H7508" s="13"/>
    </row>
    <row r="7509">
      <c r="A7509" s="6"/>
      <c r="B7509" s="6"/>
      <c r="H7509" s="13"/>
    </row>
    <row r="7510">
      <c r="A7510" s="6"/>
      <c r="B7510" s="6"/>
      <c r="H7510" s="13"/>
    </row>
    <row r="7511">
      <c r="A7511" s="6"/>
      <c r="B7511" s="6"/>
      <c r="H7511" s="13"/>
    </row>
    <row r="7512">
      <c r="A7512" s="6"/>
      <c r="B7512" s="6"/>
      <c r="H7512" s="13"/>
    </row>
    <row r="7513">
      <c r="A7513" s="6"/>
      <c r="B7513" s="6"/>
      <c r="H7513" s="13"/>
    </row>
    <row r="7514">
      <c r="A7514" s="6"/>
      <c r="B7514" s="6"/>
      <c r="H7514" s="13"/>
    </row>
    <row r="7515">
      <c r="A7515" s="6"/>
      <c r="B7515" s="6"/>
      <c r="H7515" s="13"/>
    </row>
    <row r="7516">
      <c r="A7516" s="6"/>
      <c r="B7516" s="6"/>
      <c r="H7516" s="13"/>
    </row>
    <row r="7517">
      <c r="A7517" s="6"/>
      <c r="B7517" s="6"/>
      <c r="H7517" s="13"/>
    </row>
    <row r="7518">
      <c r="A7518" s="6"/>
      <c r="B7518" s="6"/>
      <c r="H7518" s="13"/>
    </row>
    <row r="7519">
      <c r="A7519" s="6"/>
      <c r="B7519" s="6"/>
      <c r="H7519" s="13"/>
    </row>
    <row r="7520">
      <c r="A7520" s="6"/>
      <c r="B7520" s="6"/>
      <c r="H7520" s="13"/>
    </row>
    <row r="7521">
      <c r="A7521" s="6"/>
      <c r="B7521" s="6"/>
      <c r="H7521" s="13"/>
    </row>
    <row r="7522">
      <c r="A7522" s="6"/>
      <c r="B7522" s="6"/>
      <c r="H7522" s="13"/>
    </row>
    <row r="7523">
      <c r="A7523" s="6"/>
      <c r="B7523" s="6"/>
      <c r="H7523" s="13"/>
    </row>
    <row r="7524">
      <c r="A7524" s="6"/>
      <c r="B7524" s="6"/>
      <c r="H7524" s="13"/>
    </row>
    <row r="7525">
      <c r="A7525" s="6"/>
      <c r="B7525" s="6"/>
      <c r="H7525" s="13"/>
    </row>
    <row r="7526">
      <c r="A7526" s="6"/>
      <c r="B7526" s="6"/>
      <c r="H7526" s="13"/>
    </row>
    <row r="7527">
      <c r="A7527" s="6"/>
      <c r="B7527" s="6"/>
      <c r="H7527" s="13"/>
    </row>
    <row r="7528">
      <c r="A7528" s="6"/>
      <c r="B7528" s="6"/>
      <c r="H7528" s="13"/>
    </row>
    <row r="7529">
      <c r="A7529" s="6"/>
      <c r="B7529" s="6"/>
      <c r="H7529" s="13"/>
    </row>
    <row r="7530">
      <c r="A7530" s="6"/>
      <c r="B7530" s="6"/>
      <c r="H7530" s="13"/>
    </row>
    <row r="7531">
      <c r="A7531" s="6"/>
      <c r="B7531" s="6"/>
      <c r="H7531" s="13"/>
    </row>
    <row r="7532">
      <c r="A7532" s="6"/>
      <c r="B7532" s="6"/>
      <c r="H7532" s="13"/>
    </row>
    <row r="7533">
      <c r="A7533" s="6"/>
      <c r="B7533" s="6"/>
      <c r="H7533" s="13"/>
    </row>
    <row r="7534">
      <c r="A7534" s="6"/>
      <c r="B7534" s="6"/>
      <c r="H7534" s="13"/>
    </row>
    <row r="7535">
      <c r="A7535" s="6"/>
      <c r="B7535" s="6"/>
      <c r="H7535" s="13"/>
    </row>
    <row r="7536">
      <c r="A7536" s="6"/>
      <c r="B7536" s="6"/>
      <c r="H7536" s="13"/>
    </row>
    <row r="7537">
      <c r="A7537" s="6"/>
      <c r="B7537" s="6"/>
      <c r="H7537" s="13"/>
    </row>
    <row r="7538">
      <c r="A7538" s="6"/>
      <c r="B7538" s="6"/>
      <c r="H7538" s="13"/>
    </row>
    <row r="7539">
      <c r="A7539" s="6"/>
      <c r="B7539" s="6"/>
      <c r="H7539" s="13"/>
    </row>
    <row r="7540">
      <c r="A7540" s="6"/>
      <c r="B7540" s="6"/>
      <c r="H7540" s="13"/>
    </row>
    <row r="7541">
      <c r="A7541" s="6"/>
      <c r="B7541" s="6"/>
      <c r="H7541" s="13"/>
    </row>
    <row r="7542">
      <c r="A7542" s="6"/>
      <c r="B7542" s="6"/>
      <c r="H7542" s="13"/>
    </row>
    <row r="7543">
      <c r="A7543" s="6"/>
      <c r="B7543" s="6"/>
      <c r="H7543" s="13"/>
    </row>
    <row r="7544">
      <c r="A7544" s="6"/>
      <c r="B7544" s="6"/>
      <c r="H7544" s="13"/>
    </row>
    <row r="7545">
      <c r="A7545" s="6"/>
      <c r="B7545" s="6"/>
      <c r="H7545" s="13"/>
    </row>
    <row r="7546">
      <c r="A7546" s="6"/>
      <c r="B7546" s="6"/>
      <c r="H7546" s="13"/>
    </row>
    <row r="7547">
      <c r="A7547" s="6"/>
      <c r="B7547" s="6"/>
      <c r="H7547" s="13"/>
    </row>
    <row r="7548">
      <c r="A7548" s="6"/>
      <c r="B7548" s="6"/>
      <c r="H7548" s="13"/>
    </row>
    <row r="7549">
      <c r="A7549" s="6"/>
      <c r="B7549" s="6"/>
      <c r="H7549" s="13"/>
    </row>
    <row r="7550">
      <c r="A7550" s="6"/>
      <c r="B7550" s="6"/>
      <c r="H7550" s="13"/>
    </row>
    <row r="7551">
      <c r="A7551" s="6"/>
      <c r="B7551" s="6"/>
      <c r="H7551" s="13"/>
    </row>
    <row r="7552">
      <c r="A7552" s="6"/>
      <c r="B7552" s="6"/>
      <c r="H7552" s="13"/>
    </row>
    <row r="7553">
      <c r="A7553" s="6"/>
      <c r="B7553" s="6"/>
      <c r="H7553" s="13"/>
    </row>
    <row r="7554">
      <c r="A7554" s="6"/>
      <c r="B7554" s="6"/>
      <c r="H7554" s="13"/>
    </row>
    <row r="7555">
      <c r="A7555" s="6"/>
      <c r="B7555" s="6"/>
      <c r="H7555" s="13"/>
    </row>
    <row r="7556">
      <c r="A7556" s="6"/>
      <c r="B7556" s="6"/>
      <c r="H7556" s="13"/>
    </row>
    <row r="7557">
      <c r="A7557" s="6"/>
      <c r="B7557" s="6"/>
      <c r="H7557" s="13"/>
    </row>
    <row r="7558">
      <c r="A7558" s="6"/>
      <c r="B7558" s="6"/>
      <c r="H7558" s="13"/>
    </row>
    <row r="7559">
      <c r="A7559" s="6"/>
      <c r="B7559" s="6"/>
      <c r="H7559" s="13"/>
    </row>
    <row r="7560">
      <c r="A7560" s="6"/>
      <c r="B7560" s="6"/>
      <c r="H7560" s="13"/>
    </row>
    <row r="7561">
      <c r="A7561" s="6"/>
      <c r="B7561" s="6"/>
      <c r="H7561" s="13"/>
    </row>
    <row r="7562">
      <c r="A7562" s="6"/>
      <c r="B7562" s="6"/>
      <c r="H7562" s="13"/>
    </row>
    <row r="7563">
      <c r="A7563" s="6"/>
      <c r="B7563" s="6"/>
      <c r="H7563" s="13"/>
    </row>
    <row r="7564">
      <c r="A7564" s="6"/>
      <c r="B7564" s="6"/>
      <c r="H7564" s="13"/>
    </row>
    <row r="7565">
      <c r="A7565" s="6"/>
      <c r="B7565" s="6"/>
      <c r="H7565" s="13"/>
    </row>
    <row r="7566">
      <c r="A7566" s="6"/>
      <c r="B7566" s="6"/>
      <c r="H7566" s="13"/>
    </row>
    <row r="7567">
      <c r="A7567" s="6"/>
      <c r="B7567" s="6"/>
      <c r="H7567" s="13"/>
    </row>
    <row r="7568">
      <c r="A7568" s="6"/>
      <c r="B7568" s="6"/>
      <c r="H7568" s="13"/>
    </row>
    <row r="7569">
      <c r="A7569" s="6"/>
      <c r="B7569" s="6"/>
      <c r="H7569" s="13"/>
    </row>
    <row r="7570">
      <c r="A7570" s="6"/>
      <c r="B7570" s="6"/>
      <c r="H7570" s="13"/>
    </row>
    <row r="7571">
      <c r="A7571" s="6"/>
      <c r="B7571" s="6"/>
      <c r="H7571" s="13"/>
    </row>
    <row r="7572">
      <c r="A7572" s="6"/>
      <c r="B7572" s="6"/>
      <c r="H7572" s="13"/>
    </row>
    <row r="7573">
      <c r="A7573" s="6"/>
      <c r="B7573" s="6"/>
      <c r="H7573" s="13"/>
    </row>
    <row r="7574">
      <c r="A7574" s="6"/>
      <c r="B7574" s="6"/>
      <c r="H7574" s="13"/>
    </row>
    <row r="7575">
      <c r="A7575" s="6"/>
      <c r="B7575" s="6"/>
      <c r="H7575" s="13"/>
    </row>
    <row r="7576">
      <c r="A7576" s="6"/>
      <c r="B7576" s="6"/>
      <c r="H7576" s="13"/>
    </row>
    <row r="7577">
      <c r="A7577" s="6"/>
      <c r="B7577" s="6"/>
      <c r="H7577" s="13"/>
    </row>
    <row r="7578">
      <c r="A7578" s="6"/>
      <c r="B7578" s="6"/>
      <c r="H7578" s="13"/>
    </row>
    <row r="7579">
      <c r="A7579" s="6"/>
      <c r="B7579" s="6"/>
      <c r="H7579" s="13"/>
    </row>
    <row r="7580">
      <c r="A7580" s="6"/>
      <c r="B7580" s="6"/>
      <c r="H7580" s="13"/>
    </row>
    <row r="7581">
      <c r="A7581" s="6"/>
      <c r="B7581" s="6"/>
      <c r="H7581" s="13"/>
    </row>
    <row r="7582">
      <c r="A7582" s="6"/>
      <c r="B7582" s="6"/>
      <c r="H7582" s="13"/>
    </row>
    <row r="7583">
      <c r="A7583" s="6"/>
      <c r="B7583" s="6"/>
      <c r="H7583" s="13"/>
    </row>
    <row r="7584">
      <c r="A7584" s="6"/>
      <c r="B7584" s="6"/>
      <c r="H7584" s="13"/>
    </row>
    <row r="7585">
      <c r="A7585" s="6"/>
      <c r="B7585" s="6"/>
      <c r="H7585" s="13"/>
    </row>
    <row r="7586">
      <c r="A7586" s="6"/>
      <c r="B7586" s="6"/>
      <c r="H7586" s="13"/>
    </row>
    <row r="7587">
      <c r="A7587" s="6"/>
      <c r="B7587" s="6"/>
      <c r="H7587" s="13"/>
    </row>
    <row r="7588">
      <c r="A7588" s="6"/>
      <c r="B7588" s="6"/>
      <c r="H7588" s="13"/>
    </row>
    <row r="7589">
      <c r="A7589" s="6"/>
      <c r="B7589" s="6"/>
      <c r="H7589" s="13"/>
    </row>
    <row r="7590">
      <c r="A7590" s="6"/>
      <c r="B7590" s="6"/>
      <c r="H7590" s="13"/>
    </row>
    <row r="7591">
      <c r="A7591" s="6"/>
      <c r="B7591" s="6"/>
      <c r="H7591" s="13"/>
    </row>
    <row r="7592">
      <c r="A7592" s="6"/>
      <c r="B7592" s="6"/>
      <c r="H7592" s="13"/>
    </row>
    <row r="7593">
      <c r="A7593" s="6"/>
      <c r="B7593" s="6"/>
      <c r="H7593" s="13"/>
    </row>
    <row r="7594">
      <c r="A7594" s="6"/>
      <c r="B7594" s="6"/>
      <c r="H7594" s="13"/>
    </row>
    <row r="7595">
      <c r="A7595" s="6"/>
      <c r="B7595" s="6"/>
      <c r="H7595" s="13"/>
    </row>
    <row r="7596">
      <c r="A7596" s="6"/>
      <c r="B7596" s="6"/>
      <c r="H7596" s="13"/>
    </row>
    <row r="7597">
      <c r="A7597" s="6"/>
      <c r="B7597" s="6"/>
      <c r="H7597" s="13"/>
    </row>
    <row r="7598">
      <c r="A7598" s="6"/>
      <c r="B7598" s="6"/>
      <c r="H7598" s="13"/>
    </row>
    <row r="7599">
      <c r="A7599" s="6"/>
      <c r="B7599" s="6"/>
      <c r="H7599" s="13"/>
    </row>
    <row r="7600">
      <c r="A7600" s="6"/>
      <c r="B7600" s="6"/>
      <c r="H7600" s="13"/>
    </row>
    <row r="7601">
      <c r="A7601" s="6"/>
      <c r="B7601" s="6"/>
      <c r="H7601" s="13"/>
    </row>
    <row r="7602">
      <c r="A7602" s="6"/>
      <c r="B7602" s="6"/>
      <c r="H7602" s="13"/>
    </row>
    <row r="7603">
      <c r="A7603" s="6"/>
      <c r="B7603" s="6"/>
      <c r="H7603" s="13"/>
    </row>
    <row r="7604">
      <c r="A7604" s="6"/>
      <c r="B7604" s="6"/>
      <c r="H7604" s="13"/>
    </row>
    <row r="7605">
      <c r="A7605" s="6"/>
      <c r="B7605" s="6"/>
      <c r="H7605" s="13"/>
    </row>
    <row r="7606">
      <c r="A7606" s="6"/>
      <c r="B7606" s="6"/>
      <c r="H7606" s="13"/>
    </row>
    <row r="7607">
      <c r="A7607" s="6"/>
      <c r="B7607" s="6"/>
      <c r="H7607" s="13"/>
    </row>
    <row r="7608">
      <c r="A7608" s="6"/>
      <c r="B7608" s="6"/>
      <c r="H7608" s="13"/>
    </row>
    <row r="7609">
      <c r="A7609" s="6"/>
      <c r="B7609" s="6"/>
      <c r="H7609" s="13"/>
    </row>
    <row r="7610">
      <c r="A7610" s="6"/>
      <c r="B7610" s="6"/>
      <c r="H7610" s="13"/>
    </row>
    <row r="7611">
      <c r="A7611" s="6"/>
      <c r="B7611" s="6"/>
      <c r="H7611" s="13"/>
    </row>
    <row r="7612">
      <c r="A7612" s="6"/>
      <c r="B7612" s="6"/>
      <c r="H7612" s="13"/>
    </row>
    <row r="7613">
      <c r="A7613" s="6"/>
      <c r="B7613" s="6"/>
      <c r="H7613" s="13"/>
    </row>
    <row r="7614">
      <c r="A7614" s="6"/>
      <c r="B7614" s="6"/>
      <c r="H7614" s="13"/>
    </row>
    <row r="7615">
      <c r="A7615" s="6"/>
      <c r="B7615" s="6"/>
      <c r="H7615" s="13"/>
    </row>
    <row r="7616">
      <c r="A7616" s="6"/>
      <c r="B7616" s="6"/>
      <c r="H7616" s="13"/>
    </row>
    <row r="7617">
      <c r="A7617" s="6"/>
      <c r="B7617" s="6"/>
      <c r="H7617" s="13"/>
    </row>
    <row r="7618">
      <c r="A7618" s="6"/>
      <c r="B7618" s="6"/>
      <c r="H7618" s="13"/>
    </row>
    <row r="7619">
      <c r="A7619" s="6"/>
      <c r="B7619" s="6"/>
      <c r="H7619" s="13"/>
    </row>
    <row r="7620">
      <c r="A7620" s="6"/>
      <c r="B7620" s="6"/>
      <c r="H7620" s="13"/>
    </row>
    <row r="7621">
      <c r="A7621" s="6"/>
      <c r="B7621" s="6"/>
      <c r="H7621" s="13"/>
    </row>
    <row r="7622">
      <c r="A7622" s="6"/>
      <c r="B7622" s="6"/>
      <c r="H7622" s="13"/>
    </row>
    <row r="7623">
      <c r="A7623" s="6"/>
      <c r="B7623" s="6"/>
      <c r="H7623" s="13"/>
    </row>
    <row r="7624">
      <c r="A7624" s="6"/>
      <c r="B7624" s="6"/>
      <c r="H7624" s="13"/>
    </row>
    <row r="7625">
      <c r="A7625" s="6"/>
      <c r="B7625" s="6"/>
      <c r="H7625" s="13"/>
    </row>
    <row r="7626">
      <c r="A7626" s="6"/>
      <c r="B7626" s="6"/>
      <c r="H7626" s="13"/>
    </row>
    <row r="7627">
      <c r="A7627" s="6"/>
      <c r="B7627" s="6"/>
      <c r="H7627" s="13"/>
    </row>
    <row r="7628">
      <c r="A7628" s="6"/>
      <c r="B7628" s="6"/>
      <c r="H7628" s="13"/>
    </row>
    <row r="7629">
      <c r="A7629" s="6"/>
      <c r="B7629" s="6"/>
      <c r="H7629" s="13"/>
    </row>
    <row r="7630">
      <c r="A7630" s="6"/>
      <c r="B7630" s="6"/>
      <c r="H7630" s="13"/>
    </row>
    <row r="7631">
      <c r="A7631" s="6"/>
      <c r="B7631" s="6"/>
      <c r="H7631" s="13"/>
    </row>
    <row r="7632">
      <c r="A7632" s="6"/>
      <c r="B7632" s="6"/>
      <c r="H7632" s="13"/>
    </row>
    <row r="7633">
      <c r="A7633" s="6"/>
      <c r="B7633" s="6"/>
      <c r="H7633" s="13"/>
    </row>
    <row r="7634">
      <c r="A7634" s="6"/>
      <c r="B7634" s="6"/>
      <c r="H7634" s="13"/>
    </row>
    <row r="7635">
      <c r="A7635" s="6"/>
      <c r="B7635" s="6"/>
      <c r="H7635" s="13"/>
    </row>
    <row r="7636">
      <c r="A7636" s="6"/>
      <c r="B7636" s="6"/>
      <c r="H7636" s="13"/>
    </row>
    <row r="7637">
      <c r="A7637" s="6"/>
      <c r="B7637" s="6"/>
      <c r="H7637" s="13"/>
    </row>
    <row r="7638">
      <c r="A7638" s="6"/>
      <c r="B7638" s="6"/>
      <c r="H7638" s="13"/>
    </row>
    <row r="7639">
      <c r="A7639" s="6"/>
      <c r="B7639" s="6"/>
      <c r="H7639" s="13"/>
    </row>
    <row r="7640">
      <c r="A7640" s="6"/>
      <c r="B7640" s="6"/>
      <c r="H7640" s="13"/>
    </row>
    <row r="7641">
      <c r="A7641" s="6"/>
      <c r="B7641" s="6"/>
      <c r="H7641" s="13"/>
    </row>
    <row r="7642">
      <c r="A7642" s="6"/>
      <c r="B7642" s="6"/>
      <c r="H7642" s="13"/>
    </row>
    <row r="7643">
      <c r="A7643" s="6"/>
      <c r="B7643" s="6"/>
      <c r="H7643" s="13"/>
    </row>
    <row r="7644">
      <c r="A7644" s="6"/>
      <c r="B7644" s="6"/>
      <c r="H7644" s="13"/>
    </row>
    <row r="7645">
      <c r="A7645" s="6"/>
      <c r="B7645" s="6"/>
      <c r="H7645" s="13"/>
    </row>
    <row r="7646">
      <c r="A7646" s="6"/>
      <c r="B7646" s="6"/>
      <c r="H7646" s="13"/>
    </row>
    <row r="7647">
      <c r="A7647" s="6"/>
      <c r="B7647" s="6"/>
      <c r="H7647" s="13"/>
    </row>
    <row r="7648">
      <c r="A7648" s="6"/>
      <c r="B7648" s="6"/>
      <c r="H7648" s="13"/>
    </row>
    <row r="7649">
      <c r="A7649" s="6"/>
      <c r="B7649" s="6"/>
      <c r="H7649" s="13"/>
    </row>
    <row r="7650">
      <c r="A7650" s="6"/>
      <c r="B7650" s="6"/>
      <c r="H7650" s="13"/>
    </row>
    <row r="7651">
      <c r="A7651" s="6"/>
      <c r="B7651" s="6"/>
      <c r="H7651" s="13"/>
    </row>
    <row r="7652">
      <c r="A7652" s="6"/>
      <c r="B7652" s="6"/>
      <c r="H7652" s="13"/>
    </row>
    <row r="7653">
      <c r="A7653" s="6"/>
      <c r="B7653" s="6"/>
      <c r="H7653" s="13"/>
    </row>
    <row r="7654">
      <c r="A7654" s="6"/>
      <c r="B7654" s="6"/>
      <c r="H7654" s="13"/>
    </row>
    <row r="7655">
      <c r="A7655" s="6"/>
      <c r="B7655" s="6"/>
      <c r="H7655" s="13"/>
    </row>
    <row r="7656">
      <c r="A7656" s="6"/>
      <c r="B7656" s="6"/>
      <c r="H7656" s="13"/>
    </row>
    <row r="7657">
      <c r="A7657" s="6"/>
      <c r="B7657" s="6"/>
      <c r="H7657" s="13"/>
    </row>
    <row r="7658">
      <c r="A7658" s="6"/>
      <c r="B7658" s="6"/>
      <c r="H7658" s="13"/>
    </row>
    <row r="7659">
      <c r="A7659" s="6"/>
      <c r="B7659" s="6"/>
      <c r="H7659" s="13"/>
    </row>
    <row r="7660">
      <c r="A7660" s="6"/>
      <c r="B7660" s="6"/>
      <c r="H7660" s="13"/>
    </row>
    <row r="7661">
      <c r="A7661" s="6"/>
      <c r="B7661" s="6"/>
      <c r="H7661" s="13"/>
    </row>
    <row r="7662">
      <c r="A7662" s="6"/>
      <c r="B7662" s="6"/>
      <c r="H7662" s="13"/>
    </row>
    <row r="7663">
      <c r="A7663" s="6"/>
      <c r="B7663" s="6"/>
      <c r="H7663" s="13"/>
    </row>
    <row r="7664">
      <c r="A7664" s="6"/>
      <c r="B7664" s="6"/>
      <c r="H7664" s="13"/>
    </row>
    <row r="7665">
      <c r="A7665" s="6"/>
      <c r="B7665" s="6"/>
      <c r="H7665" s="13"/>
    </row>
    <row r="7666">
      <c r="A7666" s="6"/>
      <c r="B7666" s="6"/>
      <c r="H7666" s="13"/>
    </row>
    <row r="7667">
      <c r="A7667" s="6"/>
      <c r="B7667" s="6"/>
      <c r="H7667" s="13"/>
    </row>
    <row r="7668">
      <c r="A7668" s="6"/>
      <c r="B7668" s="6"/>
      <c r="H7668" s="13"/>
    </row>
    <row r="7669">
      <c r="A7669" s="6"/>
      <c r="B7669" s="6"/>
      <c r="H7669" s="13"/>
    </row>
    <row r="7670">
      <c r="A7670" s="6"/>
      <c r="B7670" s="6"/>
      <c r="H7670" s="13"/>
    </row>
    <row r="7671">
      <c r="A7671" s="6"/>
      <c r="B7671" s="6"/>
      <c r="H7671" s="13"/>
    </row>
    <row r="7672">
      <c r="A7672" s="6"/>
      <c r="B7672" s="6"/>
      <c r="H7672" s="13"/>
    </row>
    <row r="7673">
      <c r="A7673" s="6"/>
      <c r="B7673" s="6"/>
      <c r="H7673" s="13"/>
    </row>
    <row r="7674">
      <c r="A7674" s="6"/>
      <c r="B7674" s="6"/>
      <c r="H7674" s="13"/>
    </row>
    <row r="7675">
      <c r="A7675" s="6"/>
      <c r="B7675" s="6"/>
      <c r="H7675" s="13"/>
    </row>
    <row r="7676">
      <c r="A7676" s="6"/>
      <c r="B7676" s="6"/>
      <c r="H7676" s="13"/>
    </row>
    <row r="7677">
      <c r="A7677" s="6"/>
      <c r="B7677" s="6"/>
      <c r="H7677" s="13"/>
    </row>
    <row r="7678">
      <c r="A7678" s="6"/>
      <c r="B7678" s="6"/>
      <c r="H7678" s="13"/>
    </row>
    <row r="7679">
      <c r="A7679" s="6"/>
      <c r="B7679" s="6"/>
      <c r="H7679" s="13"/>
    </row>
    <row r="7680">
      <c r="A7680" s="6"/>
      <c r="B7680" s="6"/>
      <c r="H7680" s="13"/>
    </row>
    <row r="7681">
      <c r="A7681" s="6"/>
      <c r="B7681" s="6"/>
      <c r="H7681" s="13"/>
    </row>
    <row r="7682">
      <c r="A7682" s="6"/>
      <c r="B7682" s="6"/>
      <c r="H7682" s="13"/>
    </row>
    <row r="7683">
      <c r="A7683" s="6"/>
      <c r="B7683" s="6"/>
      <c r="H7683" s="13"/>
    </row>
    <row r="7684">
      <c r="A7684" s="6"/>
      <c r="B7684" s="6"/>
      <c r="H7684" s="13"/>
    </row>
    <row r="7685">
      <c r="A7685" s="6"/>
      <c r="B7685" s="6"/>
      <c r="H7685" s="13"/>
    </row>
    <row r="7686">
      <c r="A7686" s="6"/>
      <c r="B7686" s="6"/>
      <c r="H7686" s="13"/>
    </row>
    <row r="7687">
      <c r="A7687" s="6"/>
      <c r="B7687" s="6"/>
      <c r="H7687" s="13"/>
    </row>
    <row r="7688">
      <c r="A7688" s="6"/>
      <c r="B7688" s="6"/>
      <c r="H7688" s="13"/>
    </row>
    <row r="7689">
      <c r="A7689" s="6"/>
      <c r="B7689" s="6"/>
      <c r="H7689" s="13"/>
    </row>
    <row r="7690">
      <c r="A7690" s="6"/>
      <c r="B7690" s="6"/>
      <c r="H7690" s="13"/>
    </row>
    <row r="7691">
      <c r="A7691" s="6"/>
      <c r="B7691" s="6"/>
      <c r="H7691" s="13"/>
    </row>
    <row r="7692">
      <c r="A7692" s="6"/>
      <c r="B7692" s="6"/>
      <c r="H7692" s="13"/>
    </row>
    <row r="7693">
      <c r="A7693" s="6"/>
      <c r="B7693" s="6"/>
      <c r="H7693" s="13"/>
    </row>
    <row r="7694">
      <c r="A7694" s="6"/>
      <c r="B7694" s="6"/>
      <c r="H7694" s="13"/>
    </row>
    <row r="7695">
      <c r="A7695" s="6"/>
      <c r="B7695" s="6"/>
      <c r="H7695" s="13"/>
    </row>
    <row r="7696">
      <c r="A7696" s="6"/>
      <c r="B7696" s="6"/>
      <c r="H7696" s="13"/>
    </row>
    <row r="7697">
      <c r="A7697" s="6"/>
      <c r="B7697" s="6"/>
      <c r="H7697" s="13"/>
    </row>
    <row r="7698">
      <c r="A7698" s="6"/>
      <c r="B7698" s="6"/>
      <c r="H7698" s="13"/>
    </row>
    <row r="7699">
      <c r="A7699" s="6"/>
      <c r="B7699" s="6"/>
      <c r="H7699" s="13"/>
    </row>
    <row r="7700">
      <c r="A7700" s="6"/>
      <c r="B7700" s="6"/>
      <c r="H7700" s="13"/>
    </row>
    <row r="7701">
      <c r="A7701" s="6"/>
      <c r="B7701" s="6"/>
      <c r="H7701" s="13"/>
    </row>
    <row r="7702">
      <c r="A7702" s="6"/>
      <c r="B7702" s="6"/>
      <c r="H7702" s="13"/>
    </row>
    <row r="7703">
      <c r="A7703" s="6"/>
      <c r="B7703" s="6"/>
      <c r="H7703" s="13"/>
    </row>
    <row r="7704">
      <c r="A7704" s="6"/>
      <c r="B7704" s="6"/>
      <c r="H7704" s="13"/>
    </row>
    <row r="7705">
      <c r="A7705" s="6"/>
      <c r="B7705" s="6"/>
      <c r="H7705" s="13"/>
    </row>
    <row r="7706">
      <c r="A7706" s="6"/>
      <c r="B7706" s="6"/>
      <c r="H7706" s="13"/>
    </row>
    <row r="7707">
      <c r="A7707" s="6"/>
      <c r="B7707" s="6"/>
      <c r="H7707" s="13"/>
    </row>
    <row r="7708">
      <c r="A7708" s="6"/>
      <c r="B7708" s="6"/>
      <c r="H7708" s="13"/>
    </row>
    <row r="7709">
      <c r="A7709" s="6"/>
      <c r="B7709" s="6"/>
      <c r="H7709" s="13"/>
    </row>
    <row r="7710">
      <c r="A7710" s="6"/>
      <c r="B7710" s="6"/>
      <c r="H7710" s="13"/>
    </row>
    <row r="7711">
      <c r="A7711" s="6"/>
      <c r="B7711" s="6"/>
      <c r="H7711" s="13"/>
    </row>
    <row r="7712">
      <c r="A7712" s="6"/>
      <c r="B7712" s="6"/>
      <c r="H7712" s="13"/>
    </row>
    <row r="7713">
      <c r="A7713" s="6"/>
      <c r="B7713" s="6"/>
      <c r="H7713" s="13"/>
    </row>
    <row r="7714">
      <c r="A7714" s="6"/>
      <c r="B7714" s="6"/>
      <c r="H7714" s="13"/>
    </row>
    <row r="7715">
      <c r="A7715" s="6"/>
      <c r="B7715" s="6"/>
      <c r="H7715" s="13"/>
    </row>
    <row r="7716">
      <c r="A7716" s="6"/>
      <c r="B7716" s="6"/>
      <c r="H7716" s="13"/>
    </row>
    <row r="7717">
      <c r="A7717" s="6"/>
      <c r="B7717" s="6"/>
      <c r="H7717" s="13"/>
    </row>
    <row r="7718">
      <c r="A7718" s="6"/>
      <c r="B7718" s="6"/>
      <c r="H7718" s="13"/>
    </row>
    <row r="7719">
      <c r="A7719" s="6"/>
      <c r="B7719" s="6"/>
      <c r="H7719" s="13"/>
    </row>
    <row r="7720">
      <c r="A7720" s="6"/>
      <c r="B7720" s="6"/>
      <c r="H7720" s="13"/>
    </row>
    <row r="7721">
      <c r="A7721" s="6"/>
      <c r="B7721" s="6"/>
      <c r="H7721" s="13"/>
    </row>
    <row r="7722">
      <c r="A7722" s="6"/>
      <c r="B7722" s="6"/>
      <c r="H7722" s="13"/>
    </row>
    <row r="7723">
      <c r="A7723" s="6"/>
      <c r="B7723" s="6"/>
      <c r="H7723" s="13"/>
    </row>
    <row r="7724">
      <c r="A7724" s="6"/>
      <c r="B7724" s="6"/>
      <c r="H7724" s="13"/>
    </row>
    <row r="7725">
      <c r="A7725" s="6"/>
      <c r="B7725" s="6"/>
      <c r="H7725" s="13"/>
    </row>
    <row r="7726">
      <c r="A7726" s="6"/>
      <c r="B7726" s="6"/>
      <c r="H7726" s="13"/>
    </row>
    <row r="7727">
      <c r="A7727" s="6"/>
      <c r="B7727" s="6"/>
      <c r="H7727" s="13"/>
    </row>
    <row r="7728">
      <c r="A7728" s="6"/>
      <c r="B7728" s="6"/>
      <c r="H7728" s="13"/>
    </row>
    <row r="7729">
      <c r="A7729" s="6"/>
      <c r="B7729" s="6"/>
      <c r="H7729" s="13"/>
    </row>
    <row r="7730">
      <c r="A7730" s="6"/>
      <c r="B7730" s="6"/>
      <c r="H7730" s="13"/>
    </row>
    <row r="7731">
      <c r="A7731" s="6"/>
      <c r="B7731" s="6"/>
      <c r="H7731" s="13"/>
    </row>
    <row r="7732">
      <c r="A7732" s="6"/>
      <c r="B7732" s="6"/>
      <c r="H7732" s="13"/>
    </row>
    <row r="7733">
      <c r="A7733" s="6"/>
      <c r="B7733" s="6"/>
      <c r="H7733" s="13"/>
    </row>
    <row r="7734">
      <c r="A7734" s="6"/>
      <c r="B7734" s="6"/>
      <c r="H7734" s="13"/>
    </row>
    <row r="7735">
      <c r="A7735" s="6"/>
      <c r="B7735" s="6"/>
      <c r="H7735" s="13"/>
    </row>
    <row r="7736">
      <c r="A7736" s="6"/>
      <c r="B7736" s="6"/>
      <c r="H7736" s="13"/>
    </row>
    <row r="7737">
      <c r="A7737" s="6"/>
      <c r="B7737" s="6"/>
      <c r="H7737" s="13"/>
    </row>
    <row r="7738">
      <c r="A7738" s="6"/>
      <c r="B7738" s="6"/>
      <c r="H7738" s="13"/>
    </row>
    <row r="7739">
      <c r="A7739" s="6"/>
      <c r="B7739" s="6"/>
      <c r="H7739" s="13"/>
    </row>
    <row r="7740">
      <c r="A7740" s="6"/>
      <c r="B7740" s="6"/>
      <c r="H7740" s="13"/>
    </row>
    <row r="7741">
      <c r="A7741" s="6"/>
      <c r="B7741" s="6"/>
      <c r="H7741" s="13"/>
    </row>
    <row r="7742">
      <c r="A7742" s="6"/>
      <c r="B7742" s="6"/>
      <c r="H7742" s="13"/>
    </row>
    <row r="7743">
      <c r="A7743" s="6"/>
      <c r="B7743" s="6"/>
      <c r="H7743" s="13"/>
    </row>
    <row r="7744">
      <c r="A7744" s="6"/>
      <c r="B7744" s="6"/>
      <c r="H7744" s="13"/>
    </row>
    <row r="7745">
      <c r="A7745" s="6"/>
      <c r="B7745" s="6"/>
      <c r="H7745" s="13"/>
    </row>
    <row r="7746">
      <c r="A7746" s="6"/>
      <c r="B7746" s="6"/>
      <c r="H7746" s="13"/>
    </row>
    <row r="7747">
      <c r="A7747" s="6"/>
      <c r="B7747" s="6"/>
      <c r="H7747" s="13"/>
    </row>
    <row r="7748">
      <c r="A7748" s="6"/>
      <c r="B7748" s="6"/>
      <c r="H7748" s="13"/>
    </row>
    <row r="7749">
      <c r="A7749" s="6"/>
      <c r="B7749" s="6"/>
      <c r="H7749" s="13"/>
    </row>
    <row r="7750">
      <c r="A7750" s="6"/>
      <c r="B7750" s="6"/>
      <c r="H7750" s="13"/>
    </row>
    <row r="7751">
      <c r="A7751" s="6"/>
      <c r="B7751" s="6"/>
      <c r="H7751" s="13"/>
    </row>
    <row r="7752">
      <c r="A7752" s="6"/>
      <c r="B7752" s="6"/>
      <c r="H7752" s="13"/>
    </row>
    <row r="7753">
      <c r="A7753" s="6"/>
      <c r="B7753" s="6"/>
      <c r="H7753" s="13"/>
    </row>
    <row r="7754">
      <c r="A7754" s="6"/>
      <c r="B7754" s="6"/>
      <c r="H7754" s="13"/>
    </row>
    <row r="7755">
      <c r="A7755" s="6"/>
      <c r="B7755" s="6"/>
      <c r="H7755" s="13"/>
    </row>
    <row r="7756">
      <c r="A7756" s="6"/>
      <c r="B7756" s="6"/>
      <c r="H7756" s="13"/>
    </row>
    <row r="7757">
      <c r="A7757" s="6"/>
      <c r="B7757" s="6"/>
      <c r="H7757" s="13"/>
    </row>
    <row r="7758">
      <c r="A7758" s="6"/>
      <c r="B7758" s="6"/>
      <c r="H7758" s="13"/>
    </row>
    <row r="7759">
      <c r="A7759" s="6"/>
      <c r="B7759" s="6"/>
      <c r="H7759" s="13"/>
    </row>
    <row r="7760">
      <c r="A7760" s="6"/>
      <c r="B7760" s="6"/>
      <c r="H7760" s="13"/>
    </row>
    <row r="7761">
      <c r="A7761" s="6"/>
      <c r="B7761" s="6"/>
      <c r="H7761" s="13"/>
    </row>
    <row r="7762">
      <c r="A7762" s="6"/>
      <c r="B7762" s="6"/>
      <c r="H7762" s="13"/>
    </row>
    <row r="7763">
      <c r="A7763" s="6"/>
      <c r="B7763" s="6"/>
      <c r="H7763" s="13"/>
    </row>
    <row r="7764">
      <c r="A7764" s="6"/>
      <c r="B7764" s="6"/>
      <c r="H7764" s="13"/>
    </row>
    <row r="7765">
      <c r="A7765" s="6"/>
      <c r="B7765" s="6"/>
      <c r="H7765" s="13"/>
    </row>
    <row r="7766">
      <c r="A7766" s="6"/>
      <c r="B7766" s="6"/>
      <c r="H7766" s="13"/>
    </row>
    <row r="7767">
      <c r="A7767" s="6"/>
      <c r="B7767" s="6"/>
      <c r="H7767" s="13"/>
    </row>
    <row r="7768">
      <c r="A7768" s="6"/>
      <c r="B7768" s="6"/>
      <c r="H7768" s="13"/>
    </row>
    <row r="7769">
      <c r="A7769" s="6"/>
      <c r="B7769" s="6"/>
      <c r="H7769" s="13"/>
    </row>
    <row r="7770">
      <c r="A7770" s="6"/>
      <c r="B7770" s="6"/>
      <c r="H7770" s="13"/>
    </row>
    <row r="7771">
      <c r="A7771" s="6"/>
      <c r="B7771" s="6"/>
      <c r="H7771" s="13"/>
    </row>
    <row r="7772">
      <c r="A7772" s="6"/>
      <c r="B7772" s="6"/>
      <c r="H7772" s="13"/>
    </row>
    <row r="7773">
      <c r="A7773" s="6"/>
      <c r="B7773" s="6"/>
      <c r="H7773" s="13"/>
    </row>
    <row r="7774">
      <c r="A7774" s="6"/>
      <c r="B7774" s="6"/>
      <c r="H7774" s="13"/>
    </row>
    <row r="7775">
      <c r="A7775" s="6"/>
      <c r="B7775" s="6"/>
      <c r="H7775" s="13"/>
    </row>
    <row r="7776">
      <c r="A7776" s="6"/>
      <c r="B7776" s="6"/>
      <c r="H7776" s="13"/>
    </row>
    <row r="7777">
      <c r="A7777" s="6"/>
      <c r="B7777" s="6"/>
      <c r="H7777" s="13"/>
    </row>
    <row r="7778">
      <c r="A7778" s="6"/>
      <c r="B7778" s="6"/>
      <c r="H7778" s="13"/>
    </row>
    <row r="7779">
      <c r="A7779" s="6"/>
      <c r="B7779" s="6"/>
      <c r="H7779" s="13"/>
    </row>
    <row r="7780">
      <c r="A7780" s="6"/>
      <c r="B7780" s="6"/>
      <c r="H7780" s="13"/>
    </row>
    <row r="7781">
      <c r="A7781" s="6"/>
      <c r="B7781" s="6"/>
      <c r="H7781" s="13"/>
    </row>
    <row r="7782">
      <c r="A7782" s="6"/>
      <c r="B7782" s="6"/>
      <c r="H7782" s="13"/>
    </row>
    <row r="7783">
      <c r="A7783" s="6"/>
      <c r="B7783" s="6"/>
      <c r="H7783" s="13"/>
    </row>
    <row r="7784">
      <c r="A7784" s="6"/>
      <c r="B7784" s="6"/>
      <c r="H7784" s="13"/>
    </row>
    <row r="7785">
      <c r="A7785" s="6"/>
      <c r="B7785" s="6"/>
      <c r="H7785" s="13"/>
    </row>
    <row r="7786">
      <c r="A7786" s="6"/>
      <c r="B7786" s="6"/>
      <c r="H7786" s="13"/>
    </row>
    <row r="7787">
      <c r="A7787" s="6"/>
      <c r="B7787" s="6"/>
      <c r="H7787" s="13"/>
    </row>
    <row r="7788">
      <c r="A7788" s="6"/>
      <c r="B7788" s="6"/>
      <c r="H7788" s="13"/>
    </row>
    <row r="7789">
      <c r="A7789" s="6"/>
      <c r="B7789" s="6"/>
      <c r="H7789" s="13"/>
    </row>
    <row r="7790">
      <c r="A7790" s="6"/>
      <c r="B7790" s="6"/>
      <c r="H7790" s="13"/>
    </row>
    <row r="7791">
      <c r="A7791" s="6"/>
      <c r="B7791" s="6"/>
      <c r="H7791" s="13"/>
    </row>
    <row r="7792">
      <c r="A7792" s="6"/>
      <c r="B7792" s="6"/>
      <c r="H7792" s="13"/>
    </row>
    <row r="7793">
      <c r="A7793" s="6"/>
      <c r="B7793" s="6"/>
      <c r="H7793" s="13"/>
    </row>
    <row r="7794">
      <c r="A7794" s="6"/>
      <c r="B7794" s="6"/>
      <c r="H7794" s="13"/>
    </row>
    <row r="7795">
      <c r="A7795" s="6"/>
      <c r="B7795" s="6"/>
      <c r="H7795" s="13"/>
    </row>
    <row r="7796">
      <c r="A7796" s="6"/>
      <c r="B7796" s="6"/>
      <c r="H7796" s="13"/>
    </row>
    <row r="7797">
      <c r="A7797" s="6"/>
      <c r="B7797" s="6"/>
      <c r="H7797" s="13"/>
    </row>
    <row r="7798">
      <c r="A7798" s="6"/>
      <c r="B7798" s="6"/>
      <c r="H7798" s="13"/>
    </row>
    <row r="7799">
      <c r="A7799" s="6"/>
      <c r="B7799" s="6"/>
      <c r="H7799" s="13"/>
    </row>
    <row r="7800">
      <c r="A7800" s="6"/>
      <c r="B7800" s="6"/>
      <c r="H7800" s="13"/>
    </row>
    <row r="7801">
      <c r="A7801" s="6"/>
      <c r="B7801" s="6"/>
      <c r="H7801" s="13"/>
    </row>
    <row r="7802">
      <c r="A7802" s="6"/>
      <c r="B7802" s="6"/>
      <c r="H7802" s="13"/>
    </row>
    <row r="7803">
      <c r="A7803" s="6"/>
      <c r="B7803" s="6"/>
      <c r="H7803" s="13"/>
    </row>
    <row r="7804">
      <c r="A7804" s="6"/>
      <c r="B7804" s="6"/>
      <c r="H7804" s="13"/>
    </row>
    <row r="7805">
      <c r="A7805" s="6"/>
      <c r="B7805" s="6"/>
      <c r="H7805" s="13"/>
    </row>
    <row r="7806">
      <c r="A7806" s="6"/>
      <c r="B7806" s="6"/>
      <c r="H7806" s="13"/>
    </row>
    <row r="7807">
      <c r="A7807" s="6"/>
      <c r="B7807" s="6"/>
      <c r="H7807" s="13"/>
    </row>
    <row r="7808">
      <c r="A7808" s="6"/>
      <c r="B7808" s="6"/>
      <c r="H7808" s="13"/>
    </row>
    <row r="7809">
      <c r="A7809" s="6"/>
      <c r="B7809" s="6"/>
      <c r="H7809" s="13"/>
    </row>
    <row r="7810">
      <c r="A7810" s="6"/>
      <c r="B7810" s="6"/>
      <c r="H7810" s="13"/>
    </row>
    <row r="7811">
      <c r="A7811" s="6"/>
      <c r="B7811" s="6"/>
      <c r="H7811" s="13"/>
    </row>
    <row r="7812">
      <c r="A7812" s="6"/>
      <c r="B7812" s="6"/>
      <c r="H7812" s="13"/>
    </row>
    <row r="7813">
      <c r="A7813" s="6"/>
      <c r="B7813" s="6"/>
      <c r="H7813" s="13"/>
    </row>
    <row r="7814">
      <c r="A7814" s="6"/>
      <c r="B7814" s="6"/>
      <c r="H7814" s="13"/>
    </row>
    <row r="7815">
      <c r="A7815" s="6"/>
      <c r="B7815" s="6"/>
      <c r="H7815" s="13"/>
    </row>
    <row r="7816">
      <c r="A7816" s="6"/>
      <c r="B7816" s="6"/>
      <c r="H7816" s="13"/>
    </row>
    <row r="7817">
      <c r="A7817" s="6"/>
      <c r="B7817" s="6"/>
      <c r="H7817" s="13"/>
    </row>
    <row r="7818">
      <c r="A7818" s="6"/>
      <c r="B7818" s="6"/>
      <c r="H7818" s="13"/>
    </row>
    <row r="7819">
      <c r="A7819" s="6"/>
      <c r="B7819" s="6"/>
      <c r="H7819" s="13"/>
    </row>
    <row r="7820">
      <c r="A7820" s="6"/>
      <c r="B7820" s="6"/>
      <c r="H7820" s="13"/>
    </row>
    <row r="7821">
      <c r="A7821" s="6"/>
      <c r="B7821" s="6"/>
      <c r="H7821" s="13"/>
    </row>
    <row r="7822">
      <c r="A7822" s="6"/>
      <c r="B7822" s="6"/>
      <c r="H7822" s="13"/>
    </row>
    <row r="7823">
      <c r="A7823" s="6"/>
      <c r="B7823" s="6"/>
      <c r="H7823" s="13"/>
    </row>
    <row r="7824">
      <c r="A7824" s="6"/>
      <c r="B7824" s="6"/>
      <c r="H7824" s="13"/>
    </row>
    <row r="7825">
      <c r="A7825" s="6"/>
      <c r="B7825" s="6"/>
      <c r="H7825" s="13"/>
    </row>
    <row r="7826">
      <c r="A7826" s="6"/>
      <c r="B7826" s="6"/>
      <c r="H7826" s="13"/>
    </row>
    <row r="7827">
      <c r="A7827" s="6"/>
      <c r="B7827" s="6"/>
      <c r="H7827" s="13"/>
    </row>
    <row r="7828">
      <c r="A7828" s="6"/>
      <c r="B7828" s="6"/>
      <c r="H7828" s="13"/>
    </row>
    <row r="7829">
      <c r="A7829" s="6"/>
      <c r="B7829" s="6"/>
      <c r="H7829" s="13"/>
    </row>
    <row r="7830">
      <c r="A7830" s="6"/>
      <c r="B7830" s="6"/>
      <c r="H7830" s="13"/>
    </row>
    <row r="7831">
      <c r="A7831" s="6"/>
      <c r="B7831" s="6"/>
      <c r="H7831" s="13"/>
    </row>
    <row r="7832">
      <c r="A7832" s="6"/>
      <c r="B7832" s="6"/>
      <c r="H7832" s="13"/>
    </row>
    <row r="7833">
      <c r="A7833" s="6"/>
      <c r="B7833" s="6"/>
      <c r="H7833" s="13"/>
    </row>
    <row r="7834">
      <c r="A7834" s="6"/>
      <c r="B7834" s="6"/>
      <c r="H7834" s="13"/>
    </row>
    <row r="7835">
      <c r="A7835" s="6"/>
      <c r="B7835" s="6"/>
      <c r="H7835" s="13"/>
    </row>
    <row r="7836">
      <c r="A7836" s="6"/>
      <c r="B7836" s="6"/>
      <c r="H7836" s="13"/>
    </row>
    <row r="7837">
      <c r="A7837" s="6"/>
      <c r="B7837" s="6"/>
      <c r="H7837" s="13"/>
    </row>
    <row r="7838">
      <c r="A7838" s="6"/>
      <c r="B7838" s="6"/>
      <c r="H7838" s="13"/>
    </row>
    <row r="7839">
      <c r="A7839" s="6"/>
      <c r="B7839" s="6"/>
      <c r="H7839" s="13"/>
    </row>
    <row r="7840">
      <c r="A7840" s="6"/>
      <c r="B7840" s="6"/>
      <c r="H7840" s="13"/>
    </row>
    <row r="7841">
      <c r="A7841" s="6"/>
      <c r="B7841" s="6"/>
      <c r="H7841" s="13"/>
    </row>
    <row r="7842">
      <c r="A7842" s="6"/>
      <c r="B7842" s="6"/>
      <c r="H7842" s="13"/>
    </row>
    <row r="7843">
      <c r="A7843" s="6"/>
      <c r="B7843" s="6"/>
      <c r="H7843" s="13"/>
    </row>
    <row r="7844">
      <c r="A7844" s="6"/>
      <c r="B7844" s="6"/>
      <c r="H7844" s="13"/>
    </row>
    <row r="7845">
      <c r="A7845" s="6"/>
      <c r="B7845" s="6"/>
      <c r="H7845" s="13"/>
    </row>
    <row r="7846">
      <c r="A7846" s="6"/>
      <c r="B7846" s="6"/>
      <c r="H7846" s="13"/>
    </row>
    <row r="7847">
      <c r="A7847" s="6"/>
      <c r="B7847" s="6"/>
      <c r="H7847" s="13"/>
    </row>
    <row r="7848">
      <c r="A7848" s="6"/>
      <c r="B7848" s="6"/>
      <c r="H7848" s="13"/>
    </row>
    <row r="7849">
      <c r="A7849" s="6"/>
      <c r="B7849" s="6"/>
      <c r="H7849" s="13"/>
    </row>
    <row r="7850">
      <c r="A7850" s="6"/>
      <c r="B7850" s="6"/>
      <c r="H7850" s="13"/>
    </row>
    <row r="7851">
      <c r="A7851" s="6"/>
      <c r="B7851" s="6"/>
      <c r="H7851" s="13"/>
    </row>
    <row r="7852">
      <c r="A7852" s="6"/>
      <c r="B7852" s="6"/>
      <c r="H7852" s="13"/>
    </row>
    <row r="7853">
      <c r="A7853" s="6"/>
      <c r="B7853" s="6"/>
      <c r="H7853" s="13"/>
    </row>
    <row r="7854">
      <c r="A7854" s="6"/>
      <c r="B7854" s="6"/>
      <c r="H7854" s="13"/>
    </row>
    <row r="7855">
      <c r="A7855" s="6"/>
      <c r="B7855" s="6"/>
      <c r="H7855" s="13"/>
    </row>
    <row r="7856">
      <c r="A7856" s="6"/>
      <c r="B7856" s="6"/>
      <c r="H7856" s="13"/>
    </row>
    <row r="7857">
      <c r="A7857" s="6"/>
      <c r="B7857" s="6"/>
      <c r="H7857" s="13"/>
    </row>
    <row r="7858">
      <c r="A7858" s="6"/>
      <c r="B7858" s="6"/>
      <c r="H7858" s="13"/>
    </row>
    <row r="7859">
      <c r="A7859" s="6"/>
      <c r="B7859" s="6"/>
      <c r="H7859" s="13"/>
    </row>
    <row r="7860">
      <c r="A7860" s="6"/>
      <c r="B7860" s="6"/>
      <c r="H7860" s="13"/>
    </row>
    <row r="7861">
      <c r="A7861" s="6"/>
      <c r="B7861" s="6"/>
      <c r="H7861" s="13"/>
    </row>
    <row r="7862">
      <c r="A7862" s="6"/>
      <c r="B7862" s="6"/>
      <c r="H7862" s="13"/>
    </row>
    <row r="7863">
      <c r="A7863" s="6"/>
      <c r="B7863" s="6"/>
      <c r="H7863" s="13"/>
    </row>
    <row r="7864">
      <c r="A7864" s="6"/>
      <c r="B7864" s="6"/>
      <c r="H7864" s="13"/>
    </row>
    <row r="7865">
      <c r="A7865" s="6"/>
      <c r="B7865" s="6"/>
      <c r="H7865" s="13"/>
    </row>
    <row r="7866">
      <c r="A7866" s="6"/>
      <c r="B7866" s="6"/>
      <c r="H7866" s="13"/>
    </row>
    <row r="7867">
      <c r="A7867" s="6"/>
      <c r="B7867" s="6"/>
      <c r="H7867" s="13"/>
    </row>
    <row r="7868">
      <c r="A7868" s="6"/>
      <c r="B7868" s="6"/>
      <c r="H7868" s="13"/>
    </row>
    <row r="7869">
      <c r="A7869" s="6"/>
      <c r="B7869" s="6"/>
      <c r="H7869" s="13"/>
    </row>
    <row r="7870">
      <c r="A7870" s="6"/>
      <c r="B7870" s="6"/>
      <c r="H7870" s="13"/>
    </row>
    <row r="7871">
      <c r="A7871" s="6"/>
      <c r="B7871" s="6"/>
      <c r="H7871" s="13"/>
    </row>
    <row r="7872">
      <c r="A7872" s="6"/>
      <c r="B7872" s="6"/>
      <c r="H7872" s="13"/>
    </row>
    <row r="7873">
      <c r="A7873" s="6"/>
      <c r="B7873" s="6"/>
      <c r="H7873" s="13"/>
    </row>
    <row r="7874">
      <c r="A7874" s="6"/>
      <c r="B7874" s="6"/>
      <c r="H7874" s="13"/>
    </row>
    <row r="7875">
      <c r="A7875" s="6"/>
      <c r="B7875" s="6"/>
      <c r="H7875" s="13"/>
    </row>
    <row r="7876">
      <c r="A7876" s="6"/>
      <c r="B7876" s="6"/>
      <c r="H7876" s="13"/>
    </row>
    <row r="7877">
      <c r="A7877" s="6"/>
      <c r="B7877" s="6"/>
      <c r="H7877" s="13"/>
    </row>
    <row r="7878">
      <c r="A7878" s="6"/>
      <c r="B7878" s="6"/>
      <c r="H7878" s="13"/>
    </row>
    <row r="7879">
      <c r="A7879" s="6"/>
      <c r="B7879" s="6"/>
      <c r="H7879" s="13"/>
    </row>
    <row r="7880">
      <c r="A7880" s="6"/>
      <c r="B7880" s="6"/>
      <c r="H7880" s="13"/>
    </row>
    <row r="7881">
      <c r="A7881" s="6"/>
      <c r="B7881" s="6"/>
      <c r="H7881" s="13"/>
    </row>
    <row r="7882">
      <c r="A7882" s="6"/>
      <c r="B7882" s="6"/>
      <c r="H7882" s="13"/>
    </row>
    <row r="7883">
      <c r="A7883" s="6"/>
      <c r="B7883" s="6"/>
      <c r="H7883" s="13"/>
    </row>
    <row r="7884">
      <c r="A7884" s="6"/>
      <c r="B7884" s="6"/>
      <c r="H7884" s="13"/>
    </row>
    <row r="7885">
      <c r="A7885" s="6"/>
      <c r="B7885" s="6"/>
      <c r="H7885" s="13"/>
    </row>
    <row r="7886">
      <c r="A7886" s="6"/>
      <c r="B7886" s="6"/>
      <c r="H7886" s="13"/>
    </row>
    <row r="7887">
      <c r="A7887" s="6"/>
      <c r="B7887" s="6"/>
      <c r="H7887" s="13"/>
    </row>
    <row r="7888">
      <c r="A7888" s="6"/>
      <c r="B7888" s="6"/>
      <c r="H7888" s="13"/>
    </row>
    <row r="7889">
      <c r="A7889" s="6"/>
      <c r="B7889" s="6"/>
      <c r="H7889" s="13"/>
    </row>
    <row r="7890">
      <c r="A7890" s="6"/>
      <c r="B7890" s="6"/>
      <c r="H7890" s="13"/>
    </row>
    <row r="7891">
      <c r="A7891" s="6"/>
      <c r="B7891" s="6"/>
      <c r="H7891" s="13"/>
    </row>
    <row r="7892">
      <c r="A7892" s="6"/>
      <c r="B7892" s="6"/>
      <c r="H7892" s="13"/>
    </row>
    <row r="7893">
      <c r="A7893" s="6"/>
      <c r="B7893" s="6"/>
      <c r="H7893" s="13"/>
    </row>
    <row r="7894">
      <c r="A7894" s="6"/>
      <c r="B7894" s="6"/>
      <c r="H7894" s="13"/>
    </row>
    <row r="7895">
      <c r="A7895" s="6"/>
      <c r="B7895" s="6"/>
      <c r="H7895" s="13"/>
    </row>
    <row r="7896">
      <c r="A7896" s="6"/>
      <c r="B7896" s="6"/>
      <c r="H7896" s="13"/>
    </row>
    <row r="7897">
      <c r="A7897" s="6"/>
      <c r="B7897" s="6"/>
      <c r="H7897" s="13"/>
    </row>
    <row r="7898">
      <c r="A7898" s="6"/>
      <c r="B7898" s="6"/>
      <c r="H7898" s="13"/>
    </row>
    <row r="7899">
      <c r="A7899" s="6"/>
      <c r="B7899" s="6"/>
      <c r="H7899" s="13"/>
    </row>
    <row r="7900">
      <c r="A7900" s="6"/>
      <c r="B7900" s="6"/>
      <c r="H7900" s="13"/>
    </row>
    <row r="7901">
      <c r="A7901" s="6"/>
      <c r="B7901" s="6"/>
      <c r="H7901" s="13"/>
    </row>
    <row r="7902">
      <c r="A7902" s="6"/>
      <c r="B7902" s="6"/>
      <c r="H7902" s="13"/>
    </row>
    <row r="7903">
      <c r="A7903" s="6"/>
      <c r="B7903" s="6"/>
      <c r="H7903" s="13"/>
    </row>
    <row r="7904">
      <c r="A7904" s="6"/>
      <c r="B7904" s="6"/>
      <c r="H7904" s="13"/>
    </row>
    <row r="7905">
      <c r="A7905" s="6"/>
      <c r="B7905" s="6"/>
      <c r="H7905" s="13"/>
    </row>
    <row r="7906">
      <c r="A7906" s="6"/>
      <c r="B7906" s="6"/>
      <c r="H7906" s="13"/>
    </row>
    <row r="7907">
      <c r="A7907" s="6"/>
      <c r="B7907" s="6"/>
      <c r="H7907" s="13"/>
    </row>
    <row r="7908">
      <c r="A7908" s="6"/>
      <c r="B7908" s="6"/>
      <c r="H7908" s="13"/>
    </row>
    <row r="7909">
      <c r="A7909" s="6"/>
      <c r="B7909" s="6"/>
      <c r="H7909" s="13"/>
    </row>
    <row r="7910">
      <c r="A7910" s="6"/>
      <c r="B7910" s="6"/>
      <c r="H7910" s="13"/>
    </row>
    <row r="7911">
      <c r="A7911" s="6"/>
      <c r="B7911" s="6"/>
      <c r="H7911" s="13"/>
    </row>
    <row r="7912">
      <c r="A7912" s="6"/>
      <c r="B7912" s="6"/>
      <c r="H7912" s="13"/>
    </row>
    <row r="7913">
      <c r="A7913" s="6"/>
      <c r="B7913" s="6"/>
      <c r="H7913" s="13"/>
    </row>
    <row r="7914">
      <c r="A7914" s="6"/>
      <c r="B7914" s="6"/>
      <c r="H7914" s="13"/>
    </row>
    <row r="7915">
      <c r="A7915" s="6"/>
      <c r="B7915" s="6"/>
      <c r="H7915" s="13"/>
    </row>
    <row r="7916">
      <c r="A7916" s="6"/>
      <c r="B7916" s="6"/>
      <c r="H7916" s="13"/>
    </row>
    <row r="7917">
      <c r="A7917" s="6"/>
      <c r="B7917" s="6"/>
      <c r="H7917" s="13"/>
    </row>
    <row r="7918">
      <c r="A7918" s="6"/>
      <c r="B7918" s="6"/>
      <c r="H7918" s="13"/>
    </row>
    <row r="7919">
      <c r="A7919" s="6"/>
      <c r="B7919" s="6"/>
      <c r="H7919" s="13"/>
    </row>
    <row r="7920">
      <c r="A7920" s="6"/>
      <c r="B7920" s="6"/>
      <c r="H7920" s="13"/>
    </row>
    <row r="7921">
      <c r="A7921" s="6"/>
      <c r="B7921" s="6"/>
      <c r="H7921" s="13"/>
    </row>
    <row r="7922">
      <c r="A7922" s="6"/>
      <c r="B7922" s="6"/>
      <c r="H7922" s="13"/>
    </row>
    <row r="7923">
      <c r="A7923" s="6"/>
      <c r="B7923" s="6"/>
      <c r="H7923" s="13"/>
    </row>
    <row r="7924">
      <c r="A7924" s="6"/>
      <c r="B7924" s="6"/>
      <c r="H7924" s="13"/>
    </row>
    <row r="7925">
      <c r="A7925" s="6"/>
      <c r="B7925" s="6"/>
      <c r="H7925" s="13"/>
    </row>
    <row r="7926">
      <c r="A7926" s="6"/>
      <c r="B7926" s="6"/>
      <c r="H7926" s="13"/>
    </row>
    <row r="7927">
      <c r="A7927" s="6"/>
      <c r="B7927" s="6"/>
      <c r="H7927" s="13"/>
    </row>
    <row r="7928">
      <c r="A7928" s="6"/>
      <c r="B7928" s="6"/>
      <c r="H7928" s="13"/>
    </row>
    <row r="7929">
      <c r="A7929" s="6"/>
      <c r="B7929" s="6"/>
      <c r="H7929" s="13"/>
    </row>
    <row r="7930">
      <c r="A7930" s="6"/>
      <c r="B7930" s="6"/>
      <c r="H7930" s="13"/>
    </row>
    <row r="7931">
      <c r="A7931" s="6"/>
      <c r="B7931" s="6"/>
      <c r="H7931" s="13"/>
    </row>
    <row r="7932">
      <c r="A7932" s="6"/>
      <c r="B7932" s="6"/>
      <c r="H7932" s="13"/>
    </row>
    <row r="7933">
      <c r="A7933" s="6"/>
      <c r="B7933" s="6"/>
      <c r="H7933" s="13"/>
    </row>
    <row r="7934">
      <c r="A7934" s="6"/>
      <c r="B7934" s="6"/>
      <c r="H7934" s="13"/>
    </row>
    <row r="7935">
      <c r="A7935" s="6"/>
      <c r="B7935" s="6"/>
      <c r="H7935" s="13"/>
    </row>
    <row r="7936">
      <c r="A7936" s="6"/>
      <c r="B7936" s="6"/>
      <c r="H7936" s="13"/>
    </row>
    <row r="7937">
      <c r="A7937" s="6"/>
      <c r="B7937" s="6"/>
      <c r="H7937" s="13"/>
    </row>
    <row r="7938">
      <c r="A7938" s="6"/>
      <c r="B7938" s="6"/>
      <c r="H7938" s="13"/>
    </row>
    <row r="7939">
      <c r="A7939" s="6"/>
      <c r="B7939" s="6"/>
      <c r="H7939" s="13"/>
    </row>
    <row r="7940">
      <c r="A7940" s="6"/>
      <c r="B7940" s="6"/>
      <c r="H7940" s="13"/>
    </row>
    <row r="7941">
      <c r="A7941" s="6"/>
      <c r="B7941" s="6"/>
      <c r="H7941" s="13"/>
    </row>
    <row r="7942">
      <c r="A7942" s="6"/>
      <c r="B7942" s="6"/>
      <c r="H7942" s="13"/>
    </row>
    <row r="7943">
      <c r="A7943" s="6"/>
      <c r="B7943" s="6"/>
      <c r="H7943" s="13"/>
    </row>
    <row r="7944">
      <c r="A7944" s="6"/>
      <c r="B7944" s="6"/>
      <c r="H7944" s="13"/>
    </row>
    <row r="7945">
      <c r="A7945" s="6"/>
      <c r="B7945" s="6"/>
      <c r="H7945" s="13"/>
    </row>
    <row r="7946">
      <c r="A7946" s="6"/>
      <c r="B7946" s="6"/>
      <c r="H7946" s="13"/>
    </row>
    <row r="7947">
      <c r="A7947" s="6"/>
      <c r="B7947" s="6"/>
      <c r="H7947" s="13"/>
    </row>
    <row r="7948">
      <c r="A7948" s="6"/>
      <c r="B7948" s="6"/>
      <c r="H7948" s="13"/>
    </row>
    <row r="7949">
      <c r="A7949" s="6"/>
      <c r="B7949" s="6"/>
      <c r="H7949" s="13"/>
    </row>
    <row r="7950">
      <c r="A7950" s="6"/>
      <c r="B7950" s="6"/>
      <c r="H7950" s="13"/>
    </row>
    <row r="7951">
      <c r="A7951" s="6"/>
      <c r="B7951" s="6"/>
      <c r="H7951" s="13"/>
    </row>
    <row r="7952">
      <c r="A7952" s="6"/>
      <c r="B7952" s="6"/>
      <c r="H7952" s="13"/>
    </row>
    <row r="7953">
      <c r="A7953" s="6"/>
      <c r="B7953" s="6"/>
      <c r="H7953" s="13"/>
    </row>
    <row r="7954">
      <c r="A7954" s="6"/>
      <c r="B7954" s="6"/>
      <c r="H7954" s="13"/>
    </row>
    <row r="7955">
      <c r="A7955" s="6"/>
      <c r="B7955" s="6"/>
      <c r="H7955" s="13"/>
    </row>
    <row r="7956">
      <c r="A7956" s="6"/>
      <c r="B7956" s="6"/>
      <c r="H7956" s="13"/>
    </row>
    <row r="7957">
      <c r="A7957" s="6"/>
      <c r="B7957" s="6"/>
      <c r="H7957" s="13"/>
    </row>
    <row r="7958">
      <c r="A7958" s="6"/>
      <c r="B7958" s="6"/>
      <c r="H7958" s="13"/>
    </row>
    <row r="7959">
      <c r="A7959" s="6"/>
      <c r="B7959" s="6"/>
      <c r="H7959" s="13"/>
    </row>
    <row r="7960">
      <c r="A7960" s="6"/>
      <c r="B7960" s="6"/>
      <c r="H7960" s="13"/>
    </row>
    <row r="7961">
      <c r="A7961" s="6"/>
      <c r="B7961" s="6"/>
      <c r="H7961" s="13"/>
    </row>
    <row r="7962">
      <c r="A7962" s="6"/>
      <c r="B7962" s="6"/>
      <c r="H7962" s="13"/>
    </row>
    <row r="7963">
      <c r="A7963" s="6"/>
      <c r="B7963" s="6"/>
      <c r="H7963" s="13"/>
    </row>
    <row r="7964">
      <c r="A7964" s="6"/>
      <c r="B7964" s="6"/>
      <c r="H7964" s="13"/>
    </row>
    <row r="7965">
      <c r="A7965" s="6"/>
      <c r="B7965" s="6"/>
      <c r="H7965" s="13"/>
    </row>
    <row r="7966">
      <c r="A7966" s="6"/>
      <c r="B7966" s="6"/>
      <c r="H7966" s="13"/>
    </row>
    <row r="7967">
      <c r="A7967" s="6"/>
      <c r="B7967" s="6"/>
      <c r="H7967" s="13"/>
    </row>
    <row r="7968">
      <c r="A7968" s="6"/>
      <c r="B7968" s="6"/>
      <c r="H7968" s="13"/>
    </row>
    <row r="7969">
      <c r="A7969" s="6"/>
      <c r="B7969" s="6"/>
      <c r="H7969" s="13"/>
    </row>
    <row r="7970">
      <c r="A7970" s="6"/>
      <c r="B7970" s="6"/>
      <c r="H7970" s="13"/>
    </row>
    <row r="7971">
      <c r="A7971" s="6"/>
      <c r="B7971" s="6"/>
      <c r="H7971" s="13"/>
    </row>
    <row r="7972">
      <c r="A7972" s="6"/>
      <c r="B7972" s="6"/>
      <c r="H7972" s="13"/>
    </row>
    <row r="7973">
      <c r="A7973" s="6"/>
      <c r="B7973" s="6"/>
      <c r="H7973" s="13"/>
    </row>
    <row r="7974">
      <c r="A7974" s="6"/>
      <c r="B7974" s="6"/>
      <c r="H7974" s="13"/>
    </row>
    <row r="7975">
      <c r="A7975" s="6"/>
      <c r="B7975" s="6"/>
      <c r="H7975" s="13"/>
    </row>
    <row r="7976">
      <c r="A7976" s="6"/>
      <c r="B7976" s="6"/>
      <c r="H7976" s="13"/>
    </row>
    <row r="7977">
      <c r="A7977" s="6"/>
      <c r="B7977" s="6"/>
      <c r="H7977" s="13"/>
    </row>
    <row r="7978">
      <c r="A7978" s="6"/>
      <c r="B7978" s="6"/>
      <c r="H7978" s="13"/>
    </row>
    <row r="7979">
      <c r="A7979" s="6"/>
      <c r="B7979" s="6"/>
      <c r="H7979" s="13"/>
    </row>
    <row r="7980">
      <c r="A7980" s="6"/>
      <c r="B7980" s="6"/>
      <c r="H7980" s="13"/>
    </row>
    <row r="7981">
      <c r="A7981" s="6"/>
      <c r="B7981" s="6"/>
      <c r="H7981" s="13"/>
    </row>
    <row r="7982">
      <c r="A7982" s="6"/>
      <c r="B7982" s="6"/>
      <c r="H7982" s="13"/>
    </row>
    <row r="7983">
      <c r="A7983" s="6"/>
      <c r="B7983" s="6"/>
      <c r="H7983" s="13"/>
    </row>
    <row r="7984">
      <c r="A7984" s="6"/>
      <c r="B7984" s="6"/>
      <c r="H7984" s="13"/>
    </row>
    <row r="7985">
      <c r="A7985" s="6"/>
      <c r="B7985" s="6"/>
      <c r="H7985" s="13"/>
    </row>
    <row r="7986">
      <c r="A7986" s="6"/>
      <c r="B7986" s="6"/>
      <c r="H7986" s="13"/>
    </row>
    <row r="7987">
      <c r="A7987" s="6"/>
      <c r="B7987" s="6"/>
      <c r="H7987" s="13"/>
    </row>
    <row r="7988">
      <c r="A7988" s="6"/>
      <c r="B7988" s="6"/>
      <c r="H7988" s="13"/>
    </row>
    <row r="7989">
      <c r="A7989" s="6"/>
      <c r="B7989" s="6"/>
      <c r="H7989" s="13"/>
    </row>
    <row r="7990">
      <c r="A7990" s="6"/>
      <c r="B7990" s="6"/>
      <c r="H7990" s="13"/>
    </row>
    <row r="7991">
      <c r="A7991" s="6"/>
      <c r="B7991" s="6"/>
      <c r="H7991" s="13"/>
    </row>
    <row r="7992">
      <c r="A7992" s="6"/>
      <c r="B7992" s="6"/>
      <c r="H7992" s="13"/>
    </row>
    <row r="7993">
      <c r="A7993" s="6"/>
      <c r="B7993" s="6"/>
      <c r="H7993" s="13"/>
    </row>
    <row r="7994">
      <c r="A7994" s="6"/>
      <c r="B7994" s="6"/>
      <c r="H7994" s="13"/>
    </row>
    <row r="7995">
      <c r="A7995" s="6"/>
      <c r="B7995" s="6"/>
      <c r="H7995" s="13"/>
    </row>
    <row r="7996">
      <c r="A7996" s="6"/>
      <c r="B7996" s="6"/>
      <c r="H7996" s="13"/>
    </row>
    <row r="7997">
      <c r="A7997" s="6"/>
      <c r="B7997" s="6"/>
      <c r="H7997" s="13"/>
    </row>
    <row r="7998">
      <c r="A7998" s="6"/>
      <c r="B7998" s="6"/>
      <c r="H7998" s="13"/>
    </row>
    <row r="7999">
      <c r="A7999" s="6"/>
      <c r="B7999" s="6"/>
      <c r="H7999" s="13"/>
    </row>
    <row r="8000">
      <c r="A8000" s="6"/>
      <c r="B8000" s="6"/>
      <c r="H8000" s="13"/>
    </row>
    <row r="8001">
      <c r="A8001" s="6"/>
      <c r="B8001" s="6"/>
      <c r="H8001" s="13"/>
    </row>
    <row r="8002">
      <c r="A8002" s="6"/>
      <c r="B8002" s="6"/>
      <c r="H8002" s="13"/>
    </row>
    <row r="8003">
      <c r="A8003" s="6"/>
      <c r="B8003" s="6"/>
      <c r="H8003" s="13"/>
    </row>
    <row r="8004">
      <c r="A8004" s="6"/>
      <c r="B8004" s="6"/>
      <c r="H8004" s="13"/>
    </row>
    <row r="8005">
      <c r="A8005" s="6"/>
      <c r="B8005" s="6"/>
      <c r="H8005" s="13"/>
    </row>
    <row r="8006">
      <c r="A8006" s="6"/>
      <c r="B8006" s="6"/>
      <c r="H8006" s="13"/>
    </row>
    <row r="8007">
      <c r="A8007" s="6"/>
      <c r="B8007" s="6"/>
      <c r="H8007" s="13"/>
    </row>
    <row r="8008">
      <c r="A8008" s="6"/>
      <c r="B8008" s="6"/>
      <c r="H8008" s="13"/>
    </row>
    <row r="8009">
      <c r="A8009" s="6"/>
      <c r="B8009" s="6"/>
      <c r="H8009" s="13"/>
    </row>
    <row r="8010">
      <c r="A8010" s="6"/>
      <c r="B8010" s="6"/>
      <c r="H8010" s="13"/>
    </row>
    <row r="8011">
      <c r="A8011" s="6"/>
      <c r="B8011" s="6"/>
      <c r="H8011" s="13"/>
    </row>
    <row r="8012">
      <c r="A8012" s="6"/>
      <c r="B8012" s="6"/>
      <c r="H8012" s="13"/>
    </row>
    <row r="8013">
      <c r="A8013" s="6"/>
      <c r="B8013" s="6"/>
      <c r="H8013" s="13"/>
    </row>
    <row r="8014">
      <c r="A8014" s="6"/>
      <c r="B8014" s="6"/>
      <c r="H8014" s="13"/>
    </row>
    <row r="8015">
      <c r="A8015" s="6"/>
      <c r="B8015" s="6"/>
      <c r="H8015" s="13"/>
    </row>
    <row r="8016">
      <c r="A8016" s="6"/>
      <c r="B8016" s="6"/>
      <c r="H8016" s="13"/>
    </row>
    <row r="8017">
      <c r="A8017" s="6"/>
      <c r="B8017" s="6"/>
      <c r="H8017" s="13"/>
    </row>
    <row r="8018">
      <c r="A8018" s="6"/>
      <c r="B8018" s="6"/>
      <c r="H8018" s="13"/>
    </row>
    <row r="8019">
      <c r="A8019" s="6"/>
      <c r="B8019" s="6"/>
      <c r="H8019" s="13"/>
    </row>
    <row r="8020">
      <c r="A8020" s="6"/>
      <c r="B8020" s="6"/>
      <c r="H8020" s="13"/>
    </row>
    <row r="8021">
      <c r="A8021" s="6"/>
      <c r="B8021" s="6"/>
      <c r="H8021" s="13"/>
    </row>
    <row r="8022">
      <c r="A8022" s="6"/>
      <c r="B8022" s="6"/>
      <c r="H8022" s="13"/>
    </row>
    <row r="8023">
      <c r="A8023" s="6"/>
      <c r="B8023" s="6"/>
      <c r="H8023" s="13"/>
    </row>
    <row r="8024">
      <c r="A8024" s="6"/>
      <c r="B8024" s="6"/>
      <c r="H8024" s="13"/>
    </row>
    <row r="8025">
      <c r="A8025" s="6"/>
      <c r="B8025" s="6"/>
      <c r="H8025" s="13"/>
    </row>
    <row r="8026">
      <c r="A8026" s="6"/>
      <c r="B8026" s="6"/>
      <c r="H8026" s="13"/>
    </row>
    <row r="8027">
      <c r="A8027" s="6"/>
      <c r="B8027" s="6"/>
      <c r="H8027" s="13"/>
    </row>
    <row r="8028">
      <c r="A8028" s="6"/>
      <c r="B8028" s="6"/>
      <c r="H8028" s="13"/>
    </row>
    <row r="8029">
      <c r="A8029" s="6"/>
      <c r="B8029" s="6"/>
      <c r="H8029" s="13"/>
    </row>
    <row r="8030">
      <c r="A8030" s="6"/>
      <c r="B8030" s="6"/>
      <c r="H8030" s="13"/>
    </row>
    <row r="8031">
      <c r="A8031" s="6"/>
      <c r="B8031" s="6"/>
      <c r="H8031" s="13"/>
    </row>
    <row r="8032">
      <c r="A8032" s="6"/>
      <c r="B8032" s="6"/>
      <c r="H8032" s="13"/>
    </row>
    <row r="8033">
      <c r="A8033" s="6"/>
      <c r="B8033" s="6"/>
      <c r="H8033" s="13"/>
    </row>
    <row r="8034">
      <c r="A8034" s="6"/>
      <c r="B8034" s="6"/>
      <c r="H8034" s="13"/>
    </row>
    <row r="8035">
      <c r="A8035" s="6"/>
      <c r="B8035" s="6"/>
      <c r="H8035" s="13"/>
    </row>
    <row r="8036">
      <c r="A8036" s="6"/>
      <c r="B8036" s="6"/>
      <c r="H8036" s="13"/>
    </row>
    <row r="8037">
      <c r="A8037" s="6"/>
      <c r="B8037" s="6"/>
      <c r="H8037" s="13"/>
    </row>
    <row r="8038">
      <c r="A8038" s="6"/>
      <c r="B8038" s="6"/>
      <c r="H8038" s="13"/>
    </row>
    <row r="8039">
      <c r="A8039" s="6"/>
      <c r="B8039" s="6"/>
      <c r="H8039" s="13"/>
    </row>
    <row r="8040">
      <c r="A8040" s="6"/>
      <c r="B8040" s="6"/>
      <c r="H8040" s="13"/>
    </row>
    <row r="8041">
      <c r="A8041" s="6"/>
      <c r="B8041" s="6"/>
      <c r="H8041" s="13"/>
    </row>
    <row r="8042">
      <c r="A8042" s="6"/>
      <c r="B8042" s="6"/>
      <c r="H8042" s="13"/>
    </row>
    <row r="8043">
      <c r="A8043" s="6"/>
      <c r="B8043" s="6"/>
      <c r="H8043" s="13"/>
    </row>
    <row r="8044">
      <c r="A8044" s="6"/>
      <c r="B8044" s="6"/>
      <c r="H8044" s="13"/>
    </row>
    <row r="8045">
      <c r="A8045" s="6"/>
      <c r="B8045" s="6"/>
      <c r="H8045" s="13"/>
    </row>
    <row r="8046">
      <c r="A8046" s="6"/>
      <c r="B8046" s="6"/>
      <c r="H8046" s="13"/>
    </row>
    <row r="8047">
      <c r="A8047" s="6"/>
      <c r="B8047" s="6"/>
      <c r="H8047" s="13"/>
    </row>
    <row r="8048">
      <c r="A8048" s="6"/>
      <c r="B8048" s="6"/>
      <c r="H8048" s="13"/>
    </row>
    <row r="8049">
      <c r="A8049" s="6"/>
      <c r="B8049" s="6"/>
      <c r="H8049" s="13"/>
    </row>
    <row r="8050">
      <c r="A8050" s="6"/>
      <c r="B8050" s="6"/>
      <c r="H8050" s="13"/>
    </row>
    <row r="8051">
      <c r="A8051" s="6"/>
      <c r="B8051" s="6"/>
      <c r="H8051" s="13"/>
    </row>
    <row r="8052">
      <c r="A8052" s="6"/>
      <c r="B8052" s="6"/>
      <c r="H8052" s="13"/>
    </row>
    <row r="8053">
      <c r="A8053" s="6"/>
      <c r="B8053" s="6"/>
      <c r="H8053" s="13"/>
    </row>
    <row r="8054">
      <c r="A8054" s="6"/>
      <c r="B8054" s="6"/>
      <c r="H8054" s="13"/>
    </row>
    <row r="8055">
      <c r="A8055" s="6"/>
      <c r="B8055" s="6"/>
      <c r="H8055" s="13"/>
    </row>
    <row r="8056">
      <c r="A8056" s="6"/>
      <c r="B8056" s="6"/>
      <c r="H8056" s="13"/>
    </row>
    <row r="8057">
      <c r="A8057" s="6"/>
      <c r="B8057" s="6"/>
      <c r="H8057" s="13"/>
    </row>
    <row r="8058">
      <c r="A8058" s="6"/>
      <c r="B8058" s="6"/>
      <c r="H8058" s="13"/>
    </row>
    <row r="8059">
      <c r="A8059" s="6"/>
      <c r="B8059" s="6"/>
      <c r="H8059" s="13"/>
    </row>
    <row r="8060">
      <c r="A8060" s="6"/>
      <c r="B8060" s="6"/>
      <c r="H8060" s="13"/>
    </row>
    <row r="8061">
      <c r="A8061" s="6"/>
      <c r="B8061" s="6"/>
      <c r="H8061" s="13"/>
    </row>
    <row r="8062">
      <c r="A8062" s="6"/>
      <c r="B8062" s="6"/>
      <c r="H8062" s="13"/>
    </row>
    <row r="8063">
      <c r="A8063" s="6"/>
      <c r="B8063" s="6"/>
      <c r="H8063" s="13"/>
    </row>
    <row r="8064">
      <c r="A8064" s="6"/>
      <c r="B8064" s="6"/>
      <c r="H8064" s="13"/>
    </row>
    <row r="8065">
      <c r="A8065" s="6"/>
      <c r="B8065" s="6"/>
      <c r="H8065" s="13"/>
    </row>
    <row r="8066">
      <c r="A8066" s="6"/>
      <c r="B8066" s="6"/>
      <c r="H8066" s="13"/>
    </row>
    <row r="8067">
      <c r="A8067" s="6"/>
      <c r="B8067" s="6"/>
      <c r="H8067" s="13"/>
    </row>
    <row r="8068">
      <c r="A8068" s="6"/>
      <c r="B8068" s="6"/>
      <c r="H8068" s="13"/>
    </row>
    <row r="8069">
      <c r="A8069" s="6"/>
      <c r="B8069" s="6"/>
      <c r="H8069" s="13"/>
    </row>
    <row r="8070">
      <c r="A8070" s="6"/>
      <c r="B8070" s="6"/>
      <c r="H8070" s="13"/>
    </row>
    <row r="8071">
      <c r="A8071" s="6"/>
      <c r="B8071" s="6"/>
      <c r="H8071" s="13"/>
    </row>
    <row r="8072">
      <c r="A8072" s="6"/>
      <c r="B8072" s="6"/>
      <c r="H8072" s="13"/>
    </row>
    <row r="8073">
      <c r="A8073" s="6"/>
      <c r="B8073" s="6"/>
      <c r="H8073" s="13"/>
    </row>
    <row r="8074">
      <c r="A8074" s="6"/>
      <c r="B8074" s="6"/>
      <c r="H8074" s="13"/>
    </row>
    <row r="8075">
      <c r="A8075" s="6"/>
      <c r="B8075" s="6"/>
      <c r="H8075" s="13"/>
    </row>
    <row r="8076">
      <c r="A8076" s="6"/>
      <c r="B8076" s="6"/>
      <c r="H8076" s="13"/>
    </row>
    <row r="8077">
      <c r="A8077" s="6"/>
      <c r="B8077" s="6"/>
      <c r="H8077" s="13"/>
    </row>
    <row r="8078">
      <c r="A8078" s="6"/>
      <c r="B8078" s="6"/>
      <c r="H8078" s="13"/>
    </row>
    <row r="8079">
      <c r="A8079" s="6"/>
      <c r="B8079" s="6"/>
      <c r="H8079" s="13"/>
    </row>
    <row r="8080">
      <c r="A8080" s="6"/>
      <c r="B8080" s="6"/>
      <c r="H8080" s="13"/>
    </row>
    <row r="8081">
      <c r="A8081" s="6"/>
      <c r="B8081" s="6"/>
      <c r="H8081" s="13"/>
    </row>
    <row r="8082">
      <c r="A8082" s="6"/>
      <c r="B8082" s="6"/>
      <c r="H8082" s="13"/>
    </row>
    <row r="8083">
      <c r="A8083" s="6"/>
      <c r="B8083" s="6"/>
      <c r="H8083" s="13"/>
    </row>
    <row r="8084">
      <c r="A8084" s="6"/>
      <c r="B8084" s="6"/>
      <c r="H8084" s="13"/>
    </row>
    <row r="8085">
      <c r="A8085" s="6"/>
      <c r="B8085" s="6"/>
      <c r="H8085" s="13"/>
    </row>
    <row r="8086">
      <c r="A8086" s="6"/>
      <c r="B8086" s="6"/>
      <c r="H8086" s="13"/>
    </row>
    <row r="8087">
      <c r="A8087" s="6"/>
      <c r="B8087" s="6"/>
      <c r="H8087" s="13"/>
    </row>
    <row r="8088">
      <c r="A8088" s="6"/>
      <c r="B8088" s="6"/>
      <c r="H8088" s="13"/>
    </row>
    <row r="8089">
      <c r="A8089" s="6"/>
      <c r="B8089" s="6"/>
      <c r="H8089" s="13"/>
    </row>
    <row r="8090">
      <c r="A8090" s="6"/>
      <c r="B8090" s="6"/>
      <c r="H8090" s="13"/>
    </row>
    <row r="8091">
      <c r="A8091" s="6"/>
      <c r="B8091" s="6"/>
      <c r="H8091" s="13"/>
    </row>
    <row r="8092">
      <c r="A8092" s="6"/>
      <c r="B8092" s="6"/>
      <c r="H8092" s="13"/>
    </row>
    <row r="8093">
      <c r="A8093" s="6"/>
      <c r="B8093" s="6"/>
      <c r="H8093" s="13"/>
    </row>
    <row r="8094">
      <c r="A8094" s="6"/>
      <c r="B8094" s="6"/>
      <c r="H8094" s="13"/>
    </row>
    <row r="8095">
      <c r="A8095" s="6"/>
      <c r="B8095" s="6"/>
      <c r="H8095" s="13"/>
    </row>
    <row r="8096">
      <c r="A8096" s="6"/>
      <c r="B8096" s="6"/>
      <c r="H8096" s="13"/>
    </row>
    <row r="8097">
      <c r="A8097" s="6"/>
      <c r="B8097" s="6"/>
      <c r="H8097" s="13"/>
    </row>
    <row r="8098">
      <c r="A8098" s="6"/>
      <c r="B8098" s="6"/>
      <c r="H8098" s="13"/>
    </row>
    <row r="8099">
      <c r="A8099" s="6"/>
      <c r="B8099" s="6"/>
      <c r="H8099" s="13"/>
    </row>
    <row r="8100">
      <c r="A8100" s="6"/>
      <c r="B8100" s="6"/>
      <c r="H8100" s="13"/>
    </row>
    <row r="8101">
      <c r="A8101" s="6"/>
      <c r="B8101" s="6"/>
      <c r="H8101" s="13"/>
    </row>
    <row r="8102">
      <c r="A8102" s="6"/>
      <c r="B8102" s="6"/>
      <c r="H8102" s="13"/>
    </row>
    <row r="8103">
      <c r="A8103" s="6"/>
      <c r="B8103" s="6"/>
      <c r="H8103" s="13"/>
    </row>
    <row r="8104">
      <c r="A8104" s="6"/>
      <c r="B8104" s="6"/>
      <c r="H8104" s="13"/>
    </row>
    <row r="8105">
      <c r="A8105" s="6"/>
      <c r="B8105" s="6"/>
      <c r="H8105" s="13"/>
    </row>
    <row r="8106">
      <c r="A8106" s="6"/>
      <c r="B8106" s="6"/>
      <c r="H8106" s="13"/>
    </row>
    <row r="8107">
      <c r="A8107" s="6"/>
      <c r="B8107" s="6"/>
      <c r="H8107" s="13"/>
    </row>
    <row r="8108">
      <c r="A8108" s="6"/>
      <c r="B8108" s="6"/>
      <c r="H8108" s="13"/>
    </row>
    <row r="8109">
      <c r="A8109" s="6"/>
      <c r="B8109" s="6"/>
      <c r="H8109" s="13"/>
    </row>
    <row r="8110">
      <c r="A8110" s="6"/>
      <c r="B8110" s="6"/>
      <c r="H8110" s="13"/>
    </row>
    <row r="8111">
      <c r="A8111" s="6"/>
      <c r="B8111" s="6"/>
      <c r="H8111" s="13"/>
    </row>
    <row r="8112">
      <c r="A8112" s="6"/>
      <c r="B8112" s="6"/>
      <c r="H8112" s="13"/>
    </row>
    <row r="8113">
      <c r="A8113" s="6"/>
      <c r="B8113" s="6"/>
      <c r="H8113" s="13"/>
    </row>
    <row r="8114">
      <c r="A8114" s="6"/>
      <c r="B8114" s="6"/>
      <c r="H8114" s="13"/>
    </row>
    <row r="8115">
      <c r="A8115" s="6"/>
      <c r="B8115" s="6"/>
      <c r="H8115" s="13"/>
    </row>
    <row r="8116">
      <c r="A8116" s="6"/>
      <c r="B8116" s="6"/>
      <c r="H8116" s="13"/>
    </row>
    <row r="8117">
      <c r="A8117" s="6"/>
      <c r="B8117" s="6"/>
      <c r="H8117" s="13"/>
    </row>
    <row r="8118">
      <c r="A8118" s="6"/>
      <c r="B8118" s="6"/>
      <c r="H8118" s="13"/>
    </row>
    <row r="8119">
      <c r="A8119" s="6"/>
      <c r="B8119" s="6"/>
      <c r="H8119" s="13"/>
    </row>
    <row r="8120">
      <c r="A8120" s="6"/>
      <c r="B8120" s="6"/>
      <c r="H8120" s="13"/>
    </row>
    <row r="8121">
      <c r="A8121" s="6"/>
      <c r="B8121" s="6"/>
      <c r="H8121" s="13"/>
    </row>
    <row r="8122">
      <c r="A8122" s="6"/>
      <c r="B8122" s="6"/>
      <c r="H8122" s="13"/>
    </row>
    <row r="8123">
      <c r="A8123" s="6"/>
      <c r="B8123" s="6"/>
      <c r="H8123" s="13"/>
    </row>
    <row r="8124">
      <c r="A8124" s="6"/>
      <c r="B8124" s="6"/>
      <c r="H8124" s="13"/>
    </row>
    <row r="8125">
      <c r="A8125" s="6"/>
      <c r="B8125" s="6"/>
      <c r="H8125" s="13"/>
    </row>
    <row r="8126">
      <c r="A8126" s="6"/>
      <c r="B8126" s="6"/>
      <c r="H8126" s="13"/>
    </row>
    <row r="8127">
      <c r="A8127" s="6"/>
      <c r="B8127" s="6"/>
      <c r="H8127" s="13"/>
    </row>
    <row r="8128">
      <c r="A8128" s="6"/>
      <c r="B8128" s="6"/>
      <c r="H8128" s="13"/>
    </row>
    <row r="8129">
      <c r="A8129" s="6"/>
      <c r="B8129" s="6"/>
      <c r="H8129" s="13"/>
    </row>
    <row r="8130">
      <c r="A8130" s="6"/>
      <c r="B8130" s="6"/>
      <c r="H8130" s="13"/>
    </row>
    <row r="8131">
      <c r="A8131" s="6"/>
      <c r="B8131" s="6"/>
      <c r="H8131" s="13"/>
    </row>
    <row r="8132">
      <c r="A8132" s="6"/>
      <c r="B8132" s="6"/>
      <c r="H8132" s="13"/>
    </row>
    <row r="8133">
      <c r="A8133" s="6"/>
      <c r="B8133" s="6"/>
      <c r="H8133" s="13"/>
    </row>
    <row r="8134">
      <c r="A8134" s="6"/>
      <c r="B8134" s="6"/>
      <c r="H8134" s="13"/>
    </row>
    <row r="8135">
      <c r="A8135" s="6"/>
      <c r="B8135" s="6"/>
      <c r="H8135" s="13"/>
    </row>
    <row r="8136">
      <c r="A8136" s="6"/>
      <c r="B8136" s="6"/>
      <c r="H8136" s="13"/>
    </row>
    <row r="8137">
      <c r="A8137" s="6"/>
      <c r="B8137" s="6"/>
      <c r="H8137" s="13"/>
    </row>
    <row r="8138">
      <c r="A8138" s="6"/>
      <c r="B8138" s="6"/>
      <c r="H8138" s="13"/>
    </row>
    <row r="8139">
      <c r="A8139" s="6"/>
      <c r="B8139" s="6"/>
      <c r="H8139" s="13"/>
    </row>
    <row r="8140">
      <c r="A8140" s="6"/>
      <c r="B8140" s="6"/>
      <c r="H8140" s="13"/>
    </row>
    <row r="8141">
      <c r="A8141" s="6"/>
      <c r="B8141" s="6"/>
      <c r="H8141" s="13"/>
    </row>
    <row r="8142">
      <c r="A8142" s="6"/>
      <c r="B8142" s="6"/>
      <c r="H8142" s="13"/>
    </row>
    <row r="8143">
      <c r="A8143" s="6"/>
      <c r="B8143" s="6"/>
      <c r="H8143" s="13"/>
    </row>
    <row r="8144">
      <c r="A8144" s="6"/>
      <c r="B8144" s="6"/>
      <c r="H8144" s="13"/>
    </row>
    <row r="8145">
      <c r="A8145" s="6"/>
      <c r="B8145" s="6"/>
      <c r="H8145" s="13"/>
    </row>
    <row r="8146">
      <c r="A8146" s="6"/>
      <c r="B8146" s="6"/>
      <c r="H8146" s="13"/>
    </row>
    <row r="8147">
      <c r="A8147" s="6"/>
      <c r="B8147" s="6"/>
      <c r="H8147" s="13"/>
    </row>
    <row r="8148">
      <c r="A8148" s="6"/>
      <c r="B8148" s="6"/>
      <c r="H8148" s="13"/>
    </row>
    <row r="8149">
      <c r="A8149" s="6"/>
      <c r="B8149" s="6"/>
      <c r="H8149" s="13"/>
    </row>
    <row r="8150">
      <c r="A8150" s="6"/>
      <c r="B8150" s="6"/>
      <c r="H8150" s="13"/>
    </row>
    <row r="8151">
      <c r="A8151" s="6"/>
      <c r="B8151" s="6"/>
      <c r="H8151" s="13"/>
    </row>
    <row r="8152">
      <c r="A8152" s="6"/>
      <c r="B8152" s="6"/>
      <c r="H8152" s="13"/>
    </row>
    <row r="8153">
      <c r="A8153" s="6"/>
      <c r="B8153" s="6"/>
      <c r="H8153" s="13"/>
    </row>
    <row r="8154">
      <c r="A8154" s="6"/>
      <c r="B8154" s="6"/>
      <c r="H8154" s="13"/>
    </row>
    <row r="8155">
      <c r="A8155" s="6"/>
      <c r="B8155" s="6"/>
      <c r="H8155" s="13"/>
    </row>
    <row r="8156">
      <c r="A8156" s="6"/>
      <c r="B8156" s="6"/>
      <c r="H8156" s="13"/>
    </row>
    <row r="8157">
      <c r="A8157" s="6"/>
      <c r="B8157" s="6"/>
      <c r="H8157" s="13"/>
    </row>
    <row r="8158">
      <c r="A8158" s="6"/>
      <c r="B8158" s="6"/>
      <c r="H8158" s="13"/>
    </row>
    <row r="8159">
      <c r="A8159" s="6"/>
      <c r="B8159" s="6"/>
      <c r="H8159" s="13"/>
    </row>
    <row r="8160">
      <c r="A8160" s="6"/>
      <c r="B8160" s="6"/>
      <c r="H8160" s="13"/>
    </row>
    <row r="8161">
      <c r="A8161" s="6"/>
      <c r="B8161" s="6"/>
      <c r="H8161" s="13"/>
    </row>
    <row r="8162">
      <c r="A8162" s="6"/>
      <c r="B8162" s="6"/>
      <c r="H8162" s="13"/>
    </row>
    <row r="8163">
      <c r="A8163" s="6"/>
      <c r="B8163" s="6"/>
      <c r="H8163" s="13"/>
    </row>
    <row r="8164">
      <c r="A8164" s="6"/>
      <c r="B8164" s="6"/>
      <c r="H8164" s="13"/>
    </row>
    <row r="8165">
      <c r="A8165" s="6"/>
      <c r="B8165" s="6"/>
      <c r="H8165" s="13"/>
    </row>
    <row r="8166">
      <c r="A8166" s="6"/>
      <c r="B8166" s="6"/>
      <c r="H8166" s="13"/>
    </row>
    <row r="8167">
      <c r="A8167" s="6"/>
      <c r="B8167" s="6"/>
      <c r="H8167" s="13"/>
    </row>
    <row r="8168">
      <c r="A8168" s="6"/>
      <c r="B8168" s="6"/>
      <c r="H8168" s="13"/>
    </row>
    <row r="8169">
      <c r="A8169" s="6"/>
      <c r="B8169" s="6"/>
      <c r="H8169" s="13"/>
    </row>
    <row r="8170">
      <c r="A8170" s="6"/>
      <c r="B8170" s="6"/>
      <c r="H8170" s="13"/>
    </row>
    <row r="8171">
      <c r="A8171" s="6"/>
      <c r="B8171" s="6"/>
      <c r="H8171" s="13"/>
    </row>
    <row r="8172">
      <c r="A8172" s="6"/>
      <c r="B8172" s="6"/>
      <c r="H8172" s="13"/>
    </row>
    <row r="8173">
      <c r="A8173" s="6"/>
      <c r="B8173" s="6"/>
      <c r="H8173" s="13"/>
    </row>
    <row r="8174">
      <c r="A8174" s="6"/>
      <c r="B8174" s="6"/>
      <c r="H8174" s="13"/>
    </row>
    <row r="8175">
      <c r="A8175" s="6"/>
      <c r="B8175" s="6"/>
      <c r="H8175" s="13"/>
    </row>
    <row r="8176">
      <c r="A8176" s="6"/>
      <c r="B8176" s="6"/>
      <c r="H8176" s="13"/>
    </row>
    <row r="8177">
      <c r="A8177" s="6"/>
      <c r="B8177" s="6"/>
      <c r="H8177" s="13"/>
    </row>
    <row r="8178">
      <c r="A8178" s="6"/>
      <c r="B8178" s="6"/>
      <c r="H8178" s="13"/>
    </row>
    <row r="8179">
      <c r="A8179" s="6"/>
      <c r="B8179" s="6"/>
      <c r="H8179" s="13"/>
    </row>
    <row r="8180">
      <c r="A8180" s="6"/>
      <c r="B8180" s="6"/>
      <c r="H8180" s="13"/>
    </row>
    <row r="8181">
      <c r="A8181" s="6"/>
      <c r="B8181" s="6"/>
      <c r="H8181" s="13"/>
    </row>
    <row r="8182">
      <c r="A8182" s="6"/>
      <c r="B8182" s="6"/>
      <c r="H8182" s="13"/>
    </row>
    <row r="8183">
      <c r="A8183" s="6"/>
      <c r="B8183" s="6"/>
      <c r="H8183" s="13"/>
    </row>
    <row r="8184">
      <c r="A8184" s="6"/>
      <c r="B8184" s="6"/>
      <c r="H8184" s="13"/>
    </row>
    <row r="8185">
      <c r="A8185" s="6"/>
      <c r="B8185" s="6"/>
      <c r="H8185" s="13"/>
    </row>
    <row r="8186">
      <c r="A8186" s="6"/>
      <c r="B8186" s="6"/>
      <c r="H8186" s="13"/>
    </row>
    <row r="8187">
      <c r="A8187" s="6"/>
      <c r="B8187" s="6"/>
      <c r="H8187" s="13"/>
    </row>
    <row r="8188">
      <c r="A8188" s="6"/>
      <c r="B8188" s="6"/>
      <c r="H8188" s="13"/>
    </row>
    <row r="8189">
      <c r="A8189" s="6"/>
      <c r="B8189" s="6"/>
      <c r="H8189" s="13"/>
    </row>
    <row r="8190">
      <c r="A8190" s="6"/>
      <c r="B8190" s="6"/>
      <c r="H8190" s="13"/>
    </row>
    <row r="8191">
      <c r="A8191" s="6"/>
      <c r="B8191" s="6"/>
      <c r="H8191" s="13"/>
    </row>
    <row r="8192">
      <c r="A8192" s="6"/>
      <c r="B8192" s="6"/>
      <c r="H8192" s="13"/>
    </row>
    <row r="8193">
      <c r="A8193" s="6"/>
      <c r="B8193" s="6"/>
      <c r="H8193" s="13"/>
    </row>
    <row r="8194">
      <c r="A8194" s="6"/>
      <c r="B8194" s="6"/>
      <c r="H8194" s="13"/>
    </row>
    <row r="8195">
      <c r="A8195" s="6"/>
      <c r="B8195" s="6"/>
      <c r="H8195" s="13"/>
    </row>
    <row r="8196">
      <c r="A8196" s="6"/>
      <c r="B8196" s="6"/>
      <c r="H8196" s="13"/>
    </row>
    <row r="8197">
      <c r="A8197" s="6"/>
      <c r="B8197" s="6"/>
      <c r="H8197" s="13"/>
    </row>
    <row r="8198">
      <c r="A8198" s="6"/>
      <c r="B8198" s="6"/>
      <c r="H8198" s="13"/>
    </row>
    <row r="8199">
      <c r="A8199" s="6"/>
      <c r="B8199" s="6"/>
      <c r="H8199" s="13"/>
    </row>
    <row r="8200">
      <c r="A8200" s="6"/>
      <c r="B8200" s="6"/>
      <c r="H8200" s="13"/>
    </row>
    <row r="8201">
      <c r="A8201" s="6"/>
      <c r="B8201" s="6"/>
      <c r="H8201" s="13"/>
    </row>
    <row r="8202">
      <c r="A8202" s="6"/>
      <c r="B8202" s="6"/>
      <c r="H8202" s="13"/>
    </row>
    <row r="8203">
      <c r="A8203" s="6"/>
      <c r="B8203" s="6"/>
      <c r="H8203" s="13"/>
    </row>
    <row r="8204">
      <c r="A8204" s="6"/>
      <c r="B8204" s="6"/>
      <c r="H8204" s="13"/>
    </row>
    <row r="8205">
      <c r="A8205" s="6"/>
      <c r="B8205" s="6"/>
      <c r="H8205" s="13"/>
    </row>
    <row r="8206">
      <c r="A8206" s="6"/>
      <c r="B8206" s="6"/>
      <c r="H8206" s="13"/>
    </row>
    <row r="8207">
      <c r="A8207" s="6"/>
      <c r="B8207" s="6"/>
      <c r="H8207" s="13"/>
    </row>
    <row r="8208">
      <c r="A8208" s="6"/>
      <c r="B8208" s="6"/>
      <c r="H8208" s="13"/>
    </row>
    <row r="8209">
      <c r="A8209" s="6"/>
      <c r="B8209" s="6"/>
      <c r="H8209" s="13"/>
    </row>
    <row r="8210">
      <c r="A8210" s="6"/>
      <c r="B8210" s="6"/>
      <c r="H8210" s="13"/>
    </row>
    <row r="8211">
      <c r="A8211" s="6"/>
      <c r="B8211" s="6"/>
      <c r="H8211" s="13"/>
    </row>
    <row r="8212">
      <c r="A8212" s="6"/>
      <c r="B8212" s="6"/>
      <c r="H8212" s="13"/>
    </row>
    <row r="8213">
      <c r="A8213" s="6"/>
      <c r="B8213" s="6"/>
      <c r="H8213" s="13"/>
    </row>
    <row r="8214">
      <c r="A8214" s="6"/>
      <c r="B8214" s="6"/>
      <c r="H8214" s="13"/>
    </row>
    <row r="8215">
      <c r="A8215" s="6"/>
      <c r="B8215" s="6"/>
      <c r="H8215" s="13"/>
    </row>
    <row r="8216">
      <c r="A8216" s="6"/>
      <c r="B8216" s="6"/>
      <c r="H8216" s="13"/>
    </row>
    <row r="8217">
      <c r="A8217" s="6"/>
      <c r="B8217" s="6"/>
      <c r="H8217" s="13"/>
    </row>
    <row r="8218">
      <c r="A8218" s="6"/>
      <c r="B8218" s="6"/>
      <c r="H8218" s="13"/>
    </row>
    <row r="8219">
      <c r="A8219" s="6"/>
      <c r="B8219" s="6"/>
      <c r="H8219" s="13"/>
    </row>
    <row r="8220">
      <c r="A8220" s="6"/>
      <c r="B8220" s="6"/>
      <c r="H8220" s="13"/>
    </row>
    <row r="8221">
      <c r="A8221" s="6"/>
      <c r="B8221" s="6"/>
      <c r="H8221" s="13"/>
    </row>
    <row r="8222">
      <c r="A8222" s="6"/>
      <c r="B8222" s="6"/>
      <c r="H8222" s="13"/>
    </row>
    <row r="8223">
      <c r="A8223" s="6"/>
      <c r="B8223" s="6"/>
      <c r="H8223" s="13"/>
    </row>
    <row r="8224">
      <c r="A8224" s="6"/>
      <c r="B8224" s="6"/>
      <c r="H8224" s="13"/>
    </row>
    <row r="8225">
      <c r="A8225" s="6"/>
      <c r="B8225" s="6"/>
      <c r="H8225" s="13"/>
    </row>
    <row r="8226">
      <c r="A8226" s="6"/>
      <c r="B8226" s="6"/>
      <c r="H8226" s="13"/>
    </row>
    <row r="8227">
      <c r="A8227" s="6"/>
      <c r="B8227" s="6"/>
      <c r="H8227" s="13"/>
    </row>
    <row r="8228">
      <c r="A8228" s="6"/>
      <c r="B8228" s="6"/>
      <c r="H8228" s="13"/>
    </row>
    <row r="8229">
      <c r="A8229" s="6"/>
      <c r="B8229" s="6"/>
      <c r="H8229" s="13"/>
    </row>
    <row r="8230">
      <c r="A8230" s="6"/>
      <c r="B8230" s="6"/>
      <c r="H8230" s="13"/>
    </row>
    <row r="8231">
      <c r="A8231" s="6"/>
      <c r="B8231" s="6"/>
      <c r="H8231" s="13"/>
    </row>
    <row r="8232">
      <c r="A8232" s="6"/>
      <c r="B8232" s="6"/>
      <c r="H8232" s="13"/>
    </row>
    <row r="8233">
      <c r="A8233" s="6"/>
      <c r="B8233" s="6"/>
      <c r="H8233" s="13"/>
    </row>
    <row r="8234">
      <c r="A8234" s="6"/>
      <c r="B8234" s="6"/>
      <c r="H8234" s="13"/>
    </row>
    <row r="8235">
      <c r="A8235" s="6"/>
      <c r="B8235" s="6"/>
      <c r="H8235" s="13"/>
    </row>
    <row r="8236">
      <c r="A8236" s="6"/>
      <c r="B8236" s="6"/>
      <c r="H8236" s="13"/>
    </row>
    <row r="8237">
      <c r="A8237" s="6"/>
      <c r="B8237" s="6"/>
      <c r="H8237" s="13"/>
    </row>
    <row r="8238">
      <c r="A8238" s="6"/>
      <c r="B8238" s="6"/>
      <c r="H8238" s="13"/>
    </row>
    <row r="8239">
      <c r="A8239" s="6"/>
      <c r="B8239" s="6"/>
      <c r="H8239" s="13"/>
    </row>
    <row r="8240">
      <c r="A8240" s="6"/>
      <c r="B8240" s="6"/>
      <c r="H8240" s="13"/>
    </row>
    <row r="8241">
      <c r="A8241" s="6"/>
      <c r="B8241" s="6"/>
      <c r="H8241" s="13"/>
    </row>
    <row r="8242">
      <c r="A8242" s="6"/>
      <c r="B8242" s="6"/>
      <c r="H8242" s="13"/>
    </row>
    <row r="8243">
      <c r="A8243" s="6"/>
      <c r="B8243" s="6"/>
      <c r="H8243" s="13"/>
    </row>
    <row r="8244">
      <c r="A8244" s="6"/>
      <c r="B8244" s="6"/>
      <c r="H8244" s="13"/>
    </row>
    <row r="8245">
      <c r="A8245" s="6"/>
      <c r="B8245" s="6"/>
      <c r="H8245" s="13"/>
    </row>
    <row r="8246">
      <c r="A8246" s="6"/>
      <c r="B8246" s="6"/>
      <c r="H8246" s="13"/>
    </row>
    <row r="8247">
      <c r="A8247" s="6"/>
      <c r="B8247" s="6"/>
      <c r="H8247" s="13"/>
    </row>
    <row r="8248">
      <c r="A8248" s="6"/>
      <c r="B8248" s="6"/>
      <c r="H8248" s="13"/>
    </row>
    <row r="8249">
      <c r="A8249" s="6"/>
      <c r="B8249" s="6"/>
      <c r="H8249" s="13"/>
    </row>
    <row r="8250">
      <c r="A8250" s="6"/>
      <c r="B8250" s="6"/>
      <c r="H8250" s="13"/>
    </row>
    <row r="8251">
      <c r="A8251" s="6"/>
      <c r="B8251" s="6"/>
      <c r="H8251" s="13"/>
    </row>
    <row r="8252">
      <c r="A8252" s="6"/>
      <c r="B8252" s="6"/>
      <c r="H8252" s="13"/>
    </row>
    <row r="8253">
      <c r="A8253" s="6"/>
      <c r="B8253" s="6"/>
      <c r="H8253" s="13"/>
    </row>
    <row r="8254">
      <c r="A8254" s="6"/>
      <c r="B8254" s="6"/>
      <c r="H8254" s="13"/>
    </row>
    <row r="8255">
      <c r="A8255" s="6"/>
      <c r="B8255" s="6"/>
      <c r="H8255" s="13"/>
    </row>
    <row r="8256">
      <c r="A8256" s="6"/>
      <c r="B8256" s="6"/>
      <c r="H8256" s="13"/>
    </row>
    <row r="8257">
      <c r="A8257" s="6"/>
      <c r="B8257" s="6"/>
      <c r="H8257" s="13"/>
    </row>
    <row r="8258">
      <c r="A8258" s="6"/>
      <c r="B8258" s="6"/>
      <c r="H8258" s="13"/>
    </row>
    <row r="8259">
      <c r="A8259" s="6"/>
      <c r="B8259" s="6"/>
      <c r="H8259" s="13"/>
    </row>
    <row r="8260">
      <c r="A8260" s="6"/>
      <c r="B8260" s="6"/>
      <c r="H8260" s="13"/>
    </row>
    <row r="8261">
      <c r="A8261" s="6"/>
      <c r="B8261" s="6"/>
      <c r="H8261" s="13"/>
    </row>
    <row r="8262">
      <c r="A8262" s="6"/>
      <c r="B8262" s="6"/>
      <c r="H8262" s="13"/>
    </row>
    <row r="8263">
      <c r="A8263" s="6"/>
      <c r="B8263" s="6"/>
      <c r="H8263" s="13"/>
    </row>
    <row r="8264">
      <c r="A8264" s="6"/>
      <c r="B8264" s="6"/>
      <c r="H8264" s="13"/>
    </row>
    <row r="8265">
      <c r="A8265" s="6"/>
      <c r="B8265" s="6"/>
      <c r="H8265" s="13"/>
    </row>
    <row r="8266">
      <c r="A8266" s="6"/>
      <c r="B8266" s="6"/>
      <c r="H8266" s="13"/>
    </row>
    <row r="8267">
      <c r="A8267" s="6"/>
      <c r="B8267" s="6"/>
      <c r="H8267" s="13"/>
    </row>
    <row r="8268">
      <c r="A8268" s="6"/>
      <c r="B8268" s="6"/>
      <c r="H8268" s="13"/>
    </row>
    <row r="8269">
      <c r="A8269" s="6"/>
      <c r="B8269" s="6"/>
      <c r="H8269" s="13"/>
    </row>
    <row r="8270">
      <c r="A8270" s="6"/>
      <c r="B8270" s="6"/>
      <c r="H8270" s="13"/>
    </row>
    <row r="8271">
      <c r="A8271" s="6"/>
      <c r="B8271" s="6"/>
      <c r="H8271" s="13"/>
    </row>
    <row r="8272">
      <c r="A8272" s="6"/>
      <c r="B8272" s="6"/>
      <c r="H8272" s="13"/>
    </row>
    <row r="8273">
      <c r="A8273" s="6"/>
      <c r="B8273" s="6"/>
      <c r="H8273" s="13"/>
    </row>
    <row r="8274">
      <c r="A8274" s="6"/>
      <c r="B8274" s="6"/>
      <c r="H8274" s="13"/>
    </row>
    <row r="8275">
      <c r="A8275" s="6"/>
      <c r="B8275" s="6"/>
      <c r="H8275" s="13"/>
    </row>
    <row r="8276">
      <c r="A8276" s="6"/>
      <c r="B8276" s="6"/>
      <c r="H8276" s="13"/>
    </row>
    <row r="8277">
      <c r="A8277" s="6"/>
      <c r="B8277" s="6"/>
      <c r="H8277" s="13"/>
    </row>
    <row r="8278">
      <c r="A8278" s="6"/>
      <c r="B8278" s="6"/>
      <c r="H8278" s="13"/>
    </row>
    <row r="8279">
      <c r="A8279" s="6"/>
      <c r="B8279" s="6"/>
      <c r="H8279" s="13"/>
    </row>
    <row r="8280">
      <c r="A8280" s="6"/>
      <c r="B8280" s="6"/>
      <c r="H8280" s="13"/>
    </row>
    <row r="8281">
      <c r="A8281" s="6"/>
      <c r="B8281" s="6"/>
      <c r="H8281" s="13"/>
    </row>
    <row r="8282">
      <c r="A8282" s="6"/>
      <c r="B8282" s="6"/>
      <c r="H8282" s="13"/>
    </row>
    <row r="8283">
      <c r="A8283" s="6"/>
      <c r="B8283" s="6"/>
      <c r="H8283" s="13"/>
    </row>
    <row r="8284">
      <c r="A8284" s="6"/>
      <c r="B8284" s="6"/>
      <c r="H8284" s="13"/>
    </row>
    <row r="8285">
      <c r="A8285" s="6"/>
      <c r="B8285" s="6"/>
      <c r="H8285" s="13"/>
    </row>
    <row r="8286">
      <c r="A8286" s="6"/>
      <c r="B8286" s="6"/>
      <c r="H8286" s="13"/>
    </row>
    <row r="8287">
      <c r="A8287" s="6"/>
      <c r="B8287" s="6"/>
      <c r="H8287" s="13"/>
    </row>
    <row r="8288">
      <c r="A8288" s="6"/>
      <c r="B8288" s="6"/>
      <c r="H8288" s="13"/>
    </row>
    <row r="8289">
      <c r="A8289" s="6"/>
      <c r="B8289" s="6"/>
      <c r="H8289" s="13"/>
    </row>
    <row r="8290">
      <c r="A8290" s="6"/>
      <c r="B8290" s="6"/>
      <c r="H8290" s="13"/>
    </row>
    <row r="8291">
      <c r="A8291" s="6"/>
      <c r="B8291" s="6"/>
      <c r="H8291" s="13"/>
    </row>
    <row r="8292">
      <c r="A8292" s="6"/>
      <c r="B8292" s="6"/>
      <c r="H8292" s="13"/>
    </row>
    <row r="8293">
      <c r="A8293" s="6"/>
      <c r="B8293" s="6"/>
      <c r="H8293" s="13"/>
    </row>
    <row r="8294">
      <c r="A8294" s="6"/>
      <c r="B8294" s="6"/>
      <c r="H8294" s="13"/>
    </row>
    <row r="8295">
      <c r="A8295" s="6"/>
      <c r="B8295" s="6"/>
      <c r="H8295" s="13"/>
    </row>
    <row r="8296">
      <c r="A8296" s="6"/>
      <c r="B8296" s="6"/>
      <c r="H8296" s="13"/>
    </row>
    <row r="8297">
      <c r="A8297" s="6"/>
      <c r="B8297" s="6"/>
      <c r="H8297" s="13"/>
    </row>
    <row r="8298">
      <c r="A8298" s="6"/>
      <c r="B8298" s="6"/>
      <c r="H8298" s="13"/>
    </row>
    <row r="8299">
      <c r="A8299" s="6"/>
      <c r="B8299" s="6"/>
      <c r="H8299" s="13"/>
    </row>
    <row r="8300">
      <c r="A8300" s="6"/>
      <c r="B8300" s="6"/>
      <c r="H8300" s="13"/>
    </row>
    <row r="8301">
      <c r="A8301" s="6"/>
      <c r="B8301" s="6"/>
      <c r="H8301" s="13"/>
    </row>
    <row r="8302">
      <c r="A8302" s="6"/>
      <c r="B8302" s="6"/>
      <c r="H8302" s="13"/>
    </row>
    <row r="8303">
      <c r="A8303" s="6"/>
      <c r="B8303" s="6"/>
      <c r="H8303" s="13"/>
    </row>
    <row r="8304">
      <c r="A8304" s="6"/>
      <c r="B8304" s="6"/>
      <c r="H8304" s="13"/>
    </row>
    <row r="8305">
      <c r="A8305" s="6"/>
      <c r="B8305" s="6"/>
      <c r="H8305" s="13"/>
    </row>
    <row r="8306">
      <c r="A8306" s="6"/>
      <c r="B8306" s="6"/>
      <c r="H8306" s="13"/>
    </row>
    <row r="8307">
      <c r="A8307" s="6"/>
      <c r="B8307" s="6"/>
      <c r="H8307" s="13"/>
    </row>
    <row r="8308">
      <c r="A8308" s="6"/>
      <c r="B8308" s="6"/>
      <c r="H8308" s="13"/>
    </row>
    <row r="8309">
      <c r="A8309" s="6"/>
      <c r="B8309" s="6"/>
      <c r="H8309" s="13"/>
    </row>
    <row r="8310">
      <c r="A8310" s="6"/>
      <c r="B8310" s="6"/>
      <c r="H8310" s="13"/>
    </row>
    <row r="8311">
      <c r="A8311" s="6"/>
      <c r="B8311" s="6"/>
      <c r="H8311" s="13"/>
    </row>
    <row r="8312">
      <c r="A8312" s="6"/>
      <c r="B8312" s="6"/>
      <c r="H8312" s="13"/>
    </row>
    <row r="8313">
      <c r="A8313" s="6"/>
      <c r="B8313" s="6"/>
      <c r="H8313" s="13"/>
    </row>
    <row r="8314">
      <c r="A8314" s="6"/>
      <c r="B8314" s="6"/>
      <c r="H8314" s="13"/>
    </row>
    <row r="8315">
      <c r="A8315" s="6"/>
      <c r="B8315" s="6"/>
      <c r="H8315" s="13"/>
    </row>
    <row r="8316">
      <c r="A8316" s="6"/>
      <c r="B8316" s="6"/>
      <c r="H8316" s="13"/>
    </row>
    <row r="8317">
      <c r="A8317" s="6"/>
      <c r="B8317" s="6"/>
      <c r="H8317" s="13"/>
    </row>
    <row r="8318">
      <c r="A8318" s="6"/>
      <c r="B8318" s="6"/>
      <c r="H8318" s="13"/>
    </row>
    <row r="8319">
      <c r="A8319" s="6"/>
      <c r="B8319" s="6"/>
      <c r="H8319" s="13"/>
    </row>
    <row r="8320">
      <c r="A8320" s="6"/>
      <c r="B8320" s="6"/>
      <c r="H8320" s="13"/>
    </row>
    <row r="8321">
      <c r="A8321" s="6"/>
      <c r="B8321" s="6"/>
      <c r="H8321" s="13"/>
    </row>
    <row r="8322">
      <c r="A8322" s="6"/>
      <c r="B8322" s="6"/>
      <c r="H8322" s="13"/>
    </row>
    <row r="8323">
      <c r="A8323" s="6"/>
      <c r="B8323" s="6"/>
      <c r="H8323" s="13"/>
    </row>
    <row r="8324">
      <c r="A8324" s="6"/>
      <c r="B8324" s="6"/>
      <c r="H8324" s="13"/>
    </row>
    <row r="8325">
      <c r="A8325" s="6"/>
      <c r="B8325" s="6"/>
      <c r="H8325" s="13"/>
    </row>
    <row r="8326">
      <c r="A8326" s="6"/>
      <c r="B8326" s="6"/>
      <c r="H8326" s="13"/>
    </row>
    <row r="8327">
      <c r="A8327" s="6"/>
      <c r="B8327" s="6"/>
      <c r="H8327" s="13"/>
    </row>
    <row r="8328">
      <c r="A8328" s="6"/>
      <c r="B8328" s="6"/>
      <c r="H8328" s="13"/>
    </row>
    <row r="8329">
      <c r="A8329" s="6"/>
      <c r="B8329" s="6"/>
      <c r="H8329" s="13"/>
    </row>
    <row r="8330">
      <c r="A8330" s="6"/>
      <c r="B8330" s="6"/>
      <c r="H8330" s="13"/>
    </row>
    <row r="8331">
      <c r="A8331" s="6"/>
      <c r="B8331" s="6"/>
      <c r="H8331" s="13"/>
    </row>
    <row r="8332">
      <c r="A8332" s="6"/>
      <c r="B8332" s="6"/>
      <c r="H8332" s="13"/>
    </row>
    <row r="8333">
      <c r="A8333" s="6"/>
      <c r="B8333" s="6"/>
      <c r="H8333" s="13"/>
    </row>
    <row r="8334">
      <c r="A8334" s="6"/>
      <c r="B8334" s="6"/>
      <c r="H8334" s="13"/>
    </row>
    <row r="8335">
      <c r="A8335" s="6"/>
      <c r="B8335" s="6"/>
      <c r="H8335" s="13"/>
    </row>
    <row r="8336">
      <c r="A8336" s="6"/>
      <c r="B8336" s="6"/>
      <c r="H8336" s="13"/>
    </row>
    <row r="8337">
      <c r="A8337" s="6"/>
      <c r="B8337" s="6"/>
      <c r="H8337" s="13"/>
    </row>
    <row r="8338">
      <c r="A8338" s="6"/>
      <c r="B8338" s="6"/>
      <c r="H8338" s="13"/>
    </row>
    <row r="8339">
      <c r="A8339" s="6"/>
      <c r="B8339" s="6"/>
      <c r="H8339" s="13"/>
    </row>
    <row r="8340">
      <c r="A8340" s="6"/>
      <c r="B8340" s="6"/>
      <c r="H8340" s="13"/>
    </row>
    <row r="8341">
      <c r="A8341" s="6"/>
      <c r="B8341" s="6"/>
      <c r="H8341" s="13"/>
    </row>
    <row r="8342">
      <c r="A8342" s="6"/>
      <c r="B8342" s="6"/>
      <c r="H8342" s="13"/>
    </row>
    <row r="8343">
      <c r="A8343" s="6"/>
      <c r="B8343" s="6"/>
      <c r="H8343" s="13"/>
    </row>
    <row r="8344">
      <c r="A8344" s="6"/>
      <c r="B8344" s="6"/>
      <c r="H8344" s="13"/>
    </row>
    <row r="8345">
      <c r="A8345" s="6"/>
      <c r="B8345" s="6"/>
      <c r="H8345" s="13"/>
    </row>
    <row r="8346">
      <c r="A8346" s="6"/>
      <c r="B8346" s="6"/>
      <c r="H8346" s="13"/>
    </row>
    <row r="8347">
      <c r="A8347" s="6"/>
      <c r="B8347" s="6"/>
      <c r="H8347" s="13"/>
    </row>
    <row r="8348">
      <c r="A8348" s="6"/>
      <c r="B8348" s="6"/>
      <c r="H8348" s="13"/>
    </row>
    <row r="8349">
      <c r="A8349" s="6"/>
      <c r="B8349" s="6"/>
      <c r="H8349" s="13"/>
    </row>
    <row r="8350">
      <c r="A8350" s="6"/>
      <c r="B8350" s="6"/>
      <c r="H8350" s="13"/>
    </row>
    <row r="8351">
      <c r="A8351" s="6"/>
      <c r="B8351" s="6"/>
      <c r="H8351" s="13"/>
    </row>
    <row r="8352">
      <c r="A8352" s="6"/>
      <c r="B8352" s="6"/>
      <c r="H8352" s="13"/>
    </row>
    <row r="8353">
      <c r="A8353" s="6"/>
      <c r="B8353" s="6"/>
      <c r="H8353" s="13"/>
    </row>
    <row r="8354">
      <c r="A8354" s="6"/>
      <c r="B8354" s="6"/>
      <c r="H8354" s="13"/>
    </row>
    <row r="8355">
      <c r="A8355" s="6"/>
      <c r="B8355" s="6"/>
      <c r="H8355" s="13"/>
    </row>
    <row r="8356">
      <c r="A8356" s="6"/>
      <c r="B8356" s="6"/>
      <c r="H8356" s="13"/>
    </row>
    <row r="8357">
      <c r="A8357" s="6"/>
      <c r="B8357" s="6"/>
      <c r="H8357" s="13"/>
    </row>
    <row r="8358">
      <c r="A8358" s="6"/>
      <c r="B8358" s="6"/>
      <c r="H8358" s="13"/>
    </row>
    <row r="8359">
      <c r="A8359" s="6"/>
      <c r="B8359" s="6"/>
      <c r="H8359" s="13"/>
    </row>
    <row r="8360">
      <c r="A8360" s="6"/>
      <c r="B8360" s="6"/>
      <c r="H8360" s="13"/>
    </row>
    <row r="8361">
      <c r="A8361" s="6"/>
      <c r="B8361" s="6"/>
      <c r="H8361" s="13"/>
    </row>
    <row r="8362">
      <c r="A8362" s="6"/>
      <c r="B8362" s="6"/>
      <c r="H8362" s="13"/>
    </row>
    <row r="8363">
      <c r="A8363" s="6"/>
      <c r="B8363" s="6"/>
      <c r="H8363" s="13"/>
    </row>
    <row r="8364">
      <c r="A8364" s="6"/>
      <c r="B8364" s="6"/>
      <c r="H8364" s="13"/>
    </row>
    <row r="8365">
      <c r="A8365" s="6"/>
      <c r="B8365" s="6"/>
      <c r="H8365" s="13"/>
    </row>
    <row r="8366">
      <c r="A8366" s="6"/>
      <c r="B8366" s="6"/>
      <c r="H8366" s="13"/>
    </row>
    <row r="8367">
      <c r="A8367" s="6"/>
      <c r="B8367" s="6"/>
      <c r="H8367" s="13"/>
    </row>
    <row r="8368">
      <c r="A8368" s="6"/>
      <c r="B8368" s="6"/>
      <c r="H8368" s="13"/>
    </row>
    <row r="8369">
      <c r="A8369" s="6"/>
      <c r="B8369" s="6"/>
      <c r="H8369" s="13"/>
    </row>
    <row r="8370">
      <c r="A8370" s="6"/>
      <c r="B8370" s="6"/>
      <c r="H8370" s="13"/>
    </row>
    <row r="8371">
      <c r="A8371" s="6"/>
      <c r="B8371" s="6"/>
      <c r="H8371" s="13"/>
    </row>
    <row r="8372">
      <c r="A8372" s="6"/>
      <c r="B8372" s="6"/>
      <c r="H8372" s="13"/>
    </row>
    <row r="8373">
      <c r="A8373" s="6"/>
      <c r="B8373" s="6"/>
      <c r="H8373" s="13"/>
    </row>
    <row r="8374">
      <c r="A8374" s="6"/>
      <c r="B8374" s="6"/>
      <c r="H8374" s="13"/>
    </row>
    <row r="8375">
      <c r="A8375" s="6"/>
      <c r="B8375" s="6"/>
      <c r="H8375" s="13"/>
    </row>
    <row r="8376">
      <c r="A8376" s="6"/>
      <c r="B8376" s="6"/>
      <c r="H8376" s="13"/>
    </row>
    <row r="8377">
      <c r="A8377" s="6"/>
      <c r="B8377" s="6"/>
      <c r="H8377" s="13"/>
    </row>
    <row r="8378">
      <c r="A8378" s="6"/>
      <c r="B8378" s="6"/>
      <c r="H8378" s="13"/>
    </row>
    <row r="8379">
      <c r="A8379" s="6"/>
      <c r="B8379" s="6"/>
      <c r="H8379" s="13"/>
    </row>
    <row r="8380">
      <c r="A8380" s="6"/>
      <c r="B8380" s="6"/>
      <c r="H8380" s="13"/>
    </row>
    <row r="8381">
      <c r="A8381" s="6"/>
      <c r="B8381" s="6"/>
      <c r="H8381" s="13"/>
    </row>
    <row r="8382">
      <c r="A8382" s="6"/>
      <c r="B8382" s="6"/>
      <c r="H8382" s="13"/>
    </row>
    <row r="8383">
      <c r="A8383" s="6"/>
      <c r="B8383" s="6"/>
      <c r="H8383" s="13"/>
    </row>
    <row r="8384">
      <c r="A8384" s="6"/>
      <c r="B8384" s="6"/>
      <c r="H8384" s="13"/>
    </row>
    <row r="8385">
      <c r="A8385" s="6"/>
      <c r="B8385" s="6"/>
      <c r="H8385" s="13"/>
    </row>
    <row r="8386">
      <c r="A8386" s="6"/>
      <c r="B8386" s="6"/>
      <c r="H8386" s="13"/>
    </row>
    <row r="8387">
      <c r="A8387" s="6"/>
      <c r="B8387" s="6"/>
      <c r="H8387" s="13"/>
    </row>
    <row r="8388">
      <c r="A8388" s="6"/>
      <c r="B8388" s="6"/>
      <c r="H8388" s="13"/>
    </row>
    <row r="8389">
      <c r="A8389" s="6"/>
      <c r="B8389" s="6"/>
      <c r="H8389" s="13"/>
    </row>
    <row r="8390">
      <c r="A8390" s="6"/>
      <c r="B8390" s="6"/>
      <c r="H8390" s="13"/>
    </row>
    <row r="8391">
      <c r="A8391" s="6"/>
      <c r="B8391" s="6"/>
      <c r="H8391" s="13"/>
    </row>
    <row r="8392">
      <c r="A8392" s="6"/>
      <c r="B8392" s="6"/>
      <c r="H8392" s="13"/>
    </row>
    <row r="8393">
      <c r="A8393" s="6"/>
      <c r="B8393" s="6"/>
      <c r="H8393" s="13"/>
    </row>
    <row r="8394">
      <c r="A8394" s="6"/>
      <c r="B8394" s="6"/>
      <c r="H8394" s="13"/>
    </row>
    <row r="8395">
      <c r="A8395" s="6"/>
      <c r="B8395" s="6"/>
      <c r="H8395" s="13"/>
    </row>
    <row r="8396">
      <c r="A8396" s="6"/>
      <c r="B8396" s="6"/>
      <c r="H8396" s="13"/>
    </row>
    <row r="8397">
      <c r="A8397" s="6"/>
      <c r="B8397" s="6"/>
      <c r="H8397" s="13"/>
    </row>
    <row r="8398">
      <c r="A8398" s="6"/>
      <c r="B8398" s="6"/>
      <c r="H8398" s="13"/>
    </row>
    <row r="8399">
      <c r="A8399" s="6"/>
      <c r="B8399" s="6"/>
      <c r="H8399" s="13"/>
    </row>
    <row r="8400">
      <c r="A8400" s="6"/>
      <c r="B8400" s="6"/>
      <c r="H8400" s="13"/>
    </row>
    <row r="8401">
      <c r="A8401" s="6"/>
      <c r="B8401" s="6"/>
      <c r="H8401" s="13"/>
    </row>
    <row r="8402">
      <c r="A8402" s="6"/>
      <c r="B8402" s="6"/>
      <c r="H8402" s="13"/>
    </row>
    <row r="8403">
      <c r="A8403" s="6"/>
      <c r="B8403" s="6"/>
      <c r="H8403" s="13"/>
    </row>
    <row r="8404">
      <c r="A8404" s="6"/>
      <c r="B8404" s="6"/>
      <c r="H8404" s="13"/>
    </row>
    <row r="8405">
      <c r="A8405" s="6"/>
      <c r="B8405" s="6"/>
      <c r="H8405" s="13"/>
    </row>
    <row r="8406">
      <c r="A8406" s="6"/>
      <c r="B8406" s="6"/>
      <c r="H8406" s="13"/>
    </row>
    <row r="8407">
      <c r="A8407" s="6"/>
      <c r="B8407" s="6"/>
      <c r="H8407" s="13"/>
    </row>
    <row r="8408">
      <c r="A8408" s="6"/>
      <c r="B8408" s="6"/>
      <c r="H8408" s="13"/>
    </row>
    <row r="8409">
      <c r="A8409" s="6"/>
      <c r="B8409" s="6"/>
      <c r="H8409" s="13"/>
    </row>
    <row r="8410">
      <c r="A8410" s="6"/>
      <c r="B8410" s="6"/>
      <c r="H8410" s="13"/>
    </row>
    <row r="8411">
      <c r="A8411" s="6"/>
      <c r="B8411" s="6"/>
      <c r="H8411" s="13"/>
    </row>
    <row r="8412">
      <c r="A8412" s="6"/>
      <c r="B8412" s="6"/>
      <c r="H8412" s="13"/>
    </row>
    <row r="8413">
      <c r="A8413" s="6"/>
      <c r="B8413" s="6"/>
      <c r="H8413" s="13"/>
    </row>
    <row r="8414">
      <c r="A8414" s="6"/>
      <c r="B8414" s="6"/>
      <c r="H8414" s="13"/>
    </row>
    <row r="8415">
      <c r="A8415" s="6"/>
      <c r="B8415" s="6"/>
      <c r="H8415" s="13"/>
    </row>
    <row r="8416">
      <c r="A8416" s="6"/>
      <c r="B8416" s="6"/>
      <c r="H8416" s="13"/>
    </row>
    <row r="8417">
      <c r="A8417" s="6"/>
      <c r="B8417" s="6"/>
      <c r="H8417" s="13"/>
    </row>
    <row r="8418">
      <c r="A8418" s="6"/>
      <c r="B8418" s="6"/>
      <c r="H8418" s="13"/>
    </row>
    <row r="8419">
      <c r="A8419" s="6"/>
      <c r="B8419" s="6"/>
      <c r="H8419" s="13"/>
    </row>
    <row r="8420">
      <c r="A8420" s="6"/>
      <c r="B8420" s="6"/>
      <c r="H8420" s="13"/>
    </row>
    <row r="8421">
      <c r="A8421" s="6"/>
      <c r="B8421" s="6"/>
      <c r="H8421" s="13"/>
    </row>
    <row r="8422">
      <c r="A8422" s="6"/>
      <c r="B8422" s="6"/>
      <c r="H8422" s="13"/>
    </row>
    <row r="8423">
      <c r="A8423" s="6"/>
      <c r="B8423" s="6"/>
      <c r="H8423" s="13"/>
    </row>
    <row r="8424">
      <c r="A8424" s="6"/>
      <c r="B8424" s="6"/>
      <c r="H8424" s="13"/>
    </row>
    <row r="8425">
      <c r="A8425" s="6"/>
      <c r="B8425" s="6"/>
      <c r="H8425" s="13"/>
    </row>
    <row r="8426">
      <c r="A8426" s="6"/>
      <c r="B8426" s="6"/>
      <c r="H8426" s="13"/>
    </row>
    <row r="8427">
      <c r="A8427" s="6"/>
      <c r="B8427" s="6"/>
      <c r="H8427" s="13"/>
    </row>
    <row r="8428">
      <c r="A8428" s="6"/>
      <c r="B8428" s="6"/>
      <c r="H8428" s="13"/>
    </row>
    <row r="8429">
      <c r="A8429" s="6"/>
      <c r="B8429" s="6"/>
      <c r="H8429" s="13"/>
    </row>
    <row r="8430">
      <c r="A8430" s="6"/>
      <c r="B8430" s="6"/>
      <c r="H8430" s="13"/>
    </row>
    <row r="8431">
      <c r="A8431" s="6"/>
      <c r="B8431" s="6"/>
      <c r="H8431" s="13"/>
    </row>
    <row r="8432">
      <c r="A8432" s="6"/>
      <c r="B8432" s="6"/>
      <c r="H8432" s="13"/>
    </row>
    <row r="8433">
      <c r="A8433" s="6"/>
      <c r="B8433" s="6"/>
      <c r="H8433" s="13"/>
    </row>
    <row r="8434">
      <c r="A8434" s="6"/>
      <c r="B8434" s="6"/>
      <c r="H8434" s="13"/>
    </row>
    <row r="8435">
      <c r="A8435" s="6"/>
      <c r="B8435" s="6"/>
      <c r="H8435" s="13"/>
    </row>
    <row r="8436">
      <c r="A8436" s="6"/>
      <c r="B8436" s="6"/>
      <c r="H8436" s="13"/>
    </row>
    <row r="8437">
      <c r="A8437" s="6"/>
      <c r="B8437" s="6"/>
      <c r="H8437" s="13"/>
    </row>
    <row r="8438">
      <c r="A8438" s="6"/>
      <c r="B8438" s="6"/>
      <c r="H8438" s="13"/>
    </row>
    <row r="8439">
      <c r="A8439" s="6"/>
      <c r="B8439" s="6"/>
      <c r="H8439" s="13"/>
    </row>
    <row r="8440">
      <c r="A8440" s="6"/>
      <c r="B8440" s="6"/>
      <c r="H8440" s="13"/>
    </row>
    <row r="8441">
      <c r="A8441" s="6"/>
      <c r="B8441" s="6"/>
      <c r="H8441" s="13"/>
    </row>
    <row r="8442">
      <c r="A8442" s="6"/>
      <c r="B8442" s="6"/>
      <c r="H8442" s="13"/>
    </row>
    <row r="8443">
      <c r="A8443" s="6"/>
      <c r="B8443" s="6"/>
      <c r="H8443" s="13"/>
    </row>
    <row r="8444">
      <c r="A8444" s="6"/>
      <c r="B8444" s="6"/>
      <c r="H8444" s="13"/>
    </row>
    <row r="8445">
      <c r="A8445" s="6"/>
      <c r="B8445" s="6"/>
      <c r="H8445" s="13"/>
    </row>
    <row r="8446">
      <c r="A8446" s="6"/>
      <c r="B8446" s="6"/>
      <c r="H8446" s="13"/>
    </row>
    <row r="8447">
      <c r="A8447" s="6"/>
      <c r="B8447" s="6"/>
      <c r="H8447" s="13"/>
    </row>
    <row r="8448">
      <c r="A8448" s="6"/>
      <c r="B8448" s="6"/>
      <c r="H8448" s="13"/>
    </row>
    <row r="8449">
      <c r="A8449" s="6"/>
      <c r="B8449" s="6"/>
      <c r="H8449" s="13"/>
    </row>
    <row r="8450">
      <c r="A8450" s="6"/>
      <c r="B8450" s="6"/>
      <c r="H8450" s="13"/>
    </row>
    <row r="8451">
      <c r="A8451" s="6"/>
      <c r="B8451" s="6"/>
      <c r="H8451" s="13"/>
    </row>
    <row r="8452">
      <c r="A8452" s="6"/>
      <c r="B8452" s="6"/>
      <c r="H8452" s="13"/>
    </row>
    <row r="8453">
      <c r="A8453" s="6"/>
      <c r="B8453" s="6"/>
      <c r="H8453" s="13"/>
    </row>
    <row r="8454">
      <c r="A8454" s="6"/>
      <c r="B8454" s="6"/>
      <c r="H8454" s="13"/>
    </row>
    <row r="8455">
      <c r="A8455" s="6"/>
      <c r="B8455" s="6"/>
      <c r="H8455" s="13"/>
    </row>
    <row r="8456">
      <c r="A8456" s="6"/>
      <c r="B8456" s="6"/>
      <c r="H8456" s="13"/>
    </row>
    <row r="8457">
      <c r="A8457" s="6"/>
      <c r="B8457" s="6"/>
      <c r="H8457" s="13"/>
    </row>
    <row r="8458">
      <c r="A8458" s="6"/>
      <c r="B8458" s="6"/>
      <c r="H8458" s="13"/>
    </row>
    <row r="8459">
      <c r="A8459" s="6"/>
      <c r="B8459" s="6"/>
      <c r="H8459" s="13"/>
    </row>
    <row r="8460">
      <c r="A8460" s="6"/>
      <c r="B8460" s="6"/>
      <c r="H8460" s="13"/>
    </row>
    <row r="8461">
      <c r="A8461" s="6"/>
      <c r="B8461" s="6"/>
      <c r="H8461" s="13"/>
    </row>
    <row r="8462">
      <c r="A8462" s="6"/>
      <c r="B8462" s="6"/>
      <c r="H8462" s="13"/>
    </row>
    <row r="8463">
      <c r="A8463" s="6"/>
      <c r="B8463" s="6"/>
      <c r="H8463" s="13"/>
    </row>
    <row r="8464">
      <c r="A8464" s="6"/>
      <c r="B8464" s="6"/>
      <c r="H8464" s="13"/>
    </row>
    <row r="8465">
      <c r="A8465" s="6"/>
      <c r="B8465" s="6"/>
      <c r="H8465" s="13"/>
    </row>
    <row r="8466">
      <c r="A8466" s="6"/>
      <c r="B8466" s="6"/>
      <c r="H8466" s="13"/>
    </row>
    <row r="8467">
      <c r="A8467" s="6"/>
      <c r="B8467" s="6"/>
      <c r="H8467" s="13"/>
    </row>
    <row r="8468">
      <c r="A8468" s="6"/>
      <c r="B8468" s="6"/>
      <c r="H8468" s="13"/>
    </row>
    <row r="8469">
      <c r="A8469" s="6"/>
      <c r="B8469" s="6"/>
      <c r="H8469" s="13"/>
    </row>
    <row r="8470">
      <c r="A8470" s="6"/>
      <c r="B8470" s="6"/>
      <c r="H8470" s="13"/>
    </row>
    <row r="8471">
      <c r="A8471" s="6"/>
      <c r="B8471" s="6"/>
      <c r="H8471" s="13"/>
    </row>
    <row r="8472">
      <c r="A8472" s="6"/>
      <c r="B8472" s="6"/>
      <c r="H8472" s="13"/>
    </row>
    <row r="8473">
      <c r="A8473" s="6"/>
      <c r="B8473" s="6"/>
      <c r="H8473" s="13"/>
    </row>
    <row r="8474">
      <c r="A8474" s="6"/>
      <c r="B8474" s="6"/>
      <c r="H8474" s="13"/>
    </row>
    <row r="8475">
      <c r="A8475" s="6"/>
      <c r="B8475" s="6"/>
      <c r="H8475" s="13"/>
    </row>
    <row r="8476">
      <c r="A8476" s="6"/>
      <c r="B8476" s="6"/>
      <c r="H8476" s="13"/>
    </row>
    <row r="8477">
      <c r="A8477" s="6"/>
      <c r="B8477" s="6"/>
      <c r="H8477" s="13"/>
    </row>
    <row r="8478">
      <c r="A8478" s="6"/>
      <c r="B8478" s="6"/>
      <c r="H8478" s="13"/>
    </row>
    <row r="8479">
      <c r="A8479" s="6"/>
      <c r="B8479" s="6"/>
      <c r="H8479" s="13"/>
    </row>
    <row r="8480">
      <c r="A8480" s="6"/>
      <c r="B8480" s="6"/>
      <c r="H8480" s="13"/>
    </row>
    <row r="8481">
      <c r="A8481" s="6"/>
      <c r="B8481" s="6"/>
      <c r="H8481" s="13"/>
    </row>
    <row r="8482">
      <c r="A8482" s="6"/>
      <c r="B8482" s="6"/>
      <c r="H8482" s="13"/>
    </row>
    <row r="8483">
      <c r="A8483" s="6"/>
      <c r="B8483" s="6"/>
      <c r="H8483" s="13"/>
    </row>
    <row r="8484">
      <c r="A8484" s="6"/>
      <c r="B8484" s="6"/>
      <c r="H8484" s="13"/>
    </row>
    <row r="8485">
      <c r="A8485" s="6"/>
      <c r="B8485" s="6"/>
      <c r="H8485" s="13"/>
    </row>
    <row r="8486">
      <c r="A8486" s="6"/>
      <c r="B8486" s="6"/>
      <c r="H8486" s="13"/>
    </row>
    <row r="8487">
      <c r="A8487" s="6"/>
      <c r="B8487" s="6"/>
      <c r="H8487" s="13"/>
    </row>
    <row r="8488">
      <c r="A8488" s="6"/>
      <c r="B8488" s="6"/>
      <c r="H8488" s="13"/>
    </row>
    <row r="8489">
      <c r="A8489" s="6"/>
      <c r="B8489" s="6"/>
      <c r="H8489" s="13"/>
    </row>
    <row r="8490">
      <c r="A8490" s="6"/>
      <c r="B8490" s="6"/>
      <c r="H8490" s="13"/>
    </row>
    <row r="8491">
      <c r="A8491" s="6"/>
      <c r="B8491" s="6"/>
      <c r="H8491" s="13"/>
    </row>
    <row r="8492">
      <c r="A8492" s="6"/>
      <c r="B8492" s="6"/>
      <c r="H8492" s="13"/>
    </row>
    <row r="8493">
      <c r="A8493" s="6"/>
      <c r="B8493" s="6"/>
      <c r="H8493" s="13"/>
    </row>
    <row r="8494">
      <c r="A8494" s="6"/>
      <c r="B8494" s="6"/>
      <c r="H8494" s="13"/>
    </row>
    <row r="8495">
      <c r="A8495" s="6"/>
      <c r="B8495" s="6"/>
      <c r="H8495" s="13"/>
    </row>
    <row r="8496">
      <c r="A8496" s="6"/>
      <c r="B8496" s="6"/>
      <c r="H8496" s="13"/>
    </row>
    <row r="8497">
      <c r="A8497" s="6"/>
      <c r="B8497" s="6"/>
      <c r="H8497" s="13"/>
    </row>
    <row r="8498">
      <c r="A8498" s="6"/>
      <c r="B8498" s="6"/>
      <c r="H8498" s="13"/>
    </row>
    <row r="8499">
      <c r="A8499" s="6"/>
      <c r="B8499" s="6"/>
      <c r="H8499" s="13"/>
    </row>
    <row r="8500">
      <c r="A8500" s="6"/>
      <c r="B8500" s="6"/>
      <c r="H8500" s="13"/>
    </row>
    <row r="8501">
      <c r="A8501" s="6"/>
      <c r="B8501" s="6"/>
      <c r="H8501" s="13"/>
    </row>
    <row r="8502">
      <c r="A8502" s="6"/>
      <c r="B8502" s="6"/>
      <c r="H8502" s="13"/>
    </row>
    <row r="8503">
      <c r="A8503" s="6"/>
      <c r="B8503" s="6"/>
      <c r="H8503" s="13"/>
    </row>
    <row r="8504">
      <c r="A8504" s="6"/>
      <c r="B8504" s="6"/>
      <c r="H8504" s="13"/>
    </row>
    <row r="8505">
      <c r="A8505" s="6"/>
      <c r="B8505" s="6"/>
      <c r="H8505" s="13"/>
    </row>
    <row r="8506">
      <c r="A8506" s="6"/>
      <c r="B8506" s="6"/>
      <c r="H8506" s="13"/>
    </row>
    <row r="8507">
      <c r="A8507" s="6"/>
      <c r="B8507" s="6"/>
      <c r="H8507" s="13"/>
    </row>
    <row r="8508">
      <c r="A8508" s="6"/>
      <c r="B8508" s="6"/>
      <c r="H8508" s="13"/>
    </row>
    <row r="8509">
      <c r="A8509" s="6"/>
      <c r="B8509" s="6"/>
      <c r="H8509" s="13"/>
    </row>
    <row r="8510">
      <c r="A8510" s="6"/>
      <c r="B8510" s="6"/>
      <c r="H8510" s="13"/>
    </row>
    <row r="8511">
      <c r="A8511" s="6"/>
      <c r="B8511" s="6"/>
      <c r="H8511" s="13"/>
    </row>
    <row r="8512">
      <c r="A8512" s="6"/>
      <c r="B8512" s="6"/>
      <c r="H8512" s="13"/>
    </row>
    <row r="8513">
      <c r="A8513" s="6"/>
      <c r="B8513" s="6"/>
      <c r="H8513" s="13"/>
    </row>
    <row r="8514">
      <c r="A8514" s="6"/>
      <c r="B8514" s="6"/>
      <c r="H8514" s="13"/>
    </row>
    <row r="8515">
      <c r="A8515" s="6"/>
      <c r="B8515" s="6"/>
      <c r="H8515" s="13"/>
    </row>
    <row r="8516">
      <c r="A8516" s="6"/>
      <c r="B8516" s="6"/>
      <c r="H8516" s="13"/>
    </row>
    <row r="8517">
      <c r="A8517" s="6"/>
      <c r="B8517" s="6"/>
      <c r="H8517" s="13"/>
    </row>
    <row r="8518">
      <c r="A8518" s="6"/>
      <c r="B8518" s="6"/>
      <c r="H8518" s="13"/>
    </row>
    <row r="8519">
      <c r="A8519" s="6"/>
      <c r="B8519" s="6"/>
      <c r="H8519" s="13"/>
    </row>
    <row r="8520">
      <c r="A8520" s="6"/>
      <c r="B8520" s="6"/>
      <c r="H8520" s="13"/>
    </row>
    <row r="8521">
      <c r="A8521" s="6"/>
      <c r="B8521" s="6"/>
      <c r="H8521" s="13"/>
    </row>
    <row r="8522">
      <c r="A8522" s="6"/>
      <c r="B8522" s="6"/>
      <c r="H8522" s="13"/>
    </row>
    <row r="8523">
      <c r="A8523" s="6"/>
      <c r="B8523" s="6"/>
      <c r="H8523" s="13"/>
    </row>
    <row r="8524">
      <c r="A8524" s="6"/>
      <c r="B8524" s="6"/>
      <c r="H8524" s="13"/>
    </row>
    <row r="8525">
      <c r="A8525" s="6"/>
      <c r="B8525" s="6"/>
      <c r="H8525" s="13"/>
    </row>
    <row r="8526">
      <c r="A8526" s="6"/>
      <c r="B8526" s="6"/>
      <c r="H8526" s="13"/>
    </row>
    <row r="8527">
      <c r="A8527" s="6"/>
      <c r="B8527" s="6"/>
      <c r="H8527" s="13"/>
    </row>
    <row r="8528">
      <c r="A8528" s="6"/>
      <c r="B8528" s="6"/>
      <c r="H8528" s="13"/>
    </row>
    <row r="8529">
      <c r="A8529" s="6"/>
      <c r="B8529" s="6"/>
      <c r="H8529" s="13"/>
    </row>
    <row r="8530">
      <c r="A8530" s="6"/>
      <c r="B8530" s="6"/>
      <c r="H8530" s="13"/>
    </row>
    <row r="8531">
      <c r="A8531" s="6"/>
      <c r="B8531" s="6"/>
      <c r="H8531" s="13"/>
    </row>
    <row r="8532">
      <c r="A8532" s="6"/>
      <c r="B8532" s="6"/>
      <c r="H8532" s="13"/>
    </row>
    <row r="8533">
      <c r="A8533" s="6"/>
      <c r="B8533" s="6"/>
      <c r="H8533" s="13"/>
    </row>
    <row r="8534">
      <c r="A8534" s="6"/>
      <c r="B8534" s="6"/>
      <c r="H8534" s="13"/>
    </row>
    <row r="8535">
      <c r="A8535" s="6"/>
      <c r="B8535" s="6"/>
      <c r="H8535" s="13"/>
    </row>
    <row r="8536">
      <c r="A8536" s="6"/>
      <c r="B8536" s="6"/>
      <c r="H8536" s="13"/>
    </row>
    <row r="8537">
      <c r="A8537" s="6"/>
      <c r="B8537" s="6"/>
      <c r="H8537" s="13"/>
    </row>
    <row r="8538">
      <c r="A8538" s="6"/>
      <c r="B8538" s="6"/>
      <c r="H8538" s="13"/>
    </row>
    <row r="8539">
      <c r="A8539" s="6"/>
      <c r="B8539" s="6"/>
      <c r="H8539" s="13"/>
    </row>
    <row r="8540">
      <c r="A8540" s="6"/>
      <c r="B8540" s="6"/>
      <c r="H8540" s="13"/>
    </row>
    <row r="8541">
      <c r="A8541" s="6"/>
      <c r="B8541" s="6"/>
      <c r="H8541" s="13"/>
    </row>
    <row r="8542">
      <c r="A8542" s="6"/>
      <c r="B8542" s="6"/>
      <c r="H8542" s="13"/>
    </row>
    <row r="8543">
      <c r="A8543" s="6"/>
      <c r="B8543" s="6"/>
      <c r="H8543" s="13"/>
    </row>
    <row r="8544">
      <c r="A8544" s="6"/>
      <c r="B8544" s="6"/>
      <c r="H8544" s="13"/>
    </row>
    <row r="8545">
      <c r="A8545" s="6"/>
      <c r="B8545" s="6"/>
      <c r="H8545" s="13"/>
    </row>
    <row r="8546">
      <c r="A8546" s="6"/>
      <c r="B8546" s="6"/>
      <c r="H8546" s="13"/>
    </row>
    <row r="8547">
      <c r="A8547" s="6"/>
      <c r="B8547" s="6"/>
      <c r="H8547" s="13"/>
    </row>
    <row r="8548">
      <c r="A8548" s="6"/>
      <c r="B8548" s="6"/>
      <c r="H8548" s="13"/>
    </row>
    <row r="8549">
      <c r="A8549" s="6"/>
      <c r="B8549" s="6"/>
      <c r="H8549" s="13"/>
    </row>
    <row r="8550">
      <c r="A8550" s="6"/>
      <c r="B8550" s="6"/>
      <c r="H8550" s="13"/>
    </row>
    <row r="8551">
      <c r="A8551" s="6"/>
      <c r="B8551" s="6"/>
      <c r="H8551" s="13"/>
    </row>
    <row r="8552">
      <c r="A8552" s="6"/>
      <c r="B8552" s="6"/>
      <c r="H8552" s="13"/>
    </row>
    <row r="8553">
      <c r="A8553" s="6"/>
      <c r="B8553" s="6"/>
      <c r="H8553" s="13"/>
    </row>
    <row r="8554">
      <c r="A8554" s="6"/>
      <c r="B8554" s="6"/>
      <c r="H8554" s="13"/>
    </row>
    <row r="8555">
      <c r="A8555" s="6"/>
      <c r="B8555" s="6"/>
      <c r="H8555" s="13"/>
    </row>
    <row r="8556">
      <c r="A8556" s="6"/>
      <c r="B8556" s="6"/>
      <c r="H8556" s="13"/>
    </row>
    <row r="8557">
      <c r="A8557" s="6"/>
      <c r="B8557" s="6"/>
      <c r="H8557" s="13"/>
    </row>
    <row r="8558">
      <c r="A8558" s="6"/>
      <c r="B8558" s="6"/>
      <c r="H8558" s="13"/>
    </row>
    <row r="8559">
      <c r="A8559" s="6"/>
      <c r="B8559" s="6"/>
      <c r="H8559" s="13"/>
    </row>
    <row r="8560">
      <c r="A8560" s="6"/>
      <c r="B8560" s="6"/>
      <c r="H8560" s="13"/>
    </row>
    <row r="8561">
      <c r="A8561" s="6"/>
      <c r="B8561" s="6"/>
      <c r="H8561" s="13"/>
    </row>
    <row r="8562">
      <c r="A8562" s="6"/>
      <c r="B8562" s="6"/>
      <c r="H8562" s="13"/>
    </row>
    <row r="8563">
      <c r="A8563" s="6"/>
      <c r="B8563" s="6"/>
      <c r="H8563" s="13"/>
    </row>
    <row r="8564">
      <c r="A8564" s="6"/>
      <c r="B8564" s="6"/>
      <c r="H8564" s="13"/>
    </row>
    <row r="8565">
      <c r="A8565" s="6"/>
      <c r="B8565" s="6"/>
      <c r="H8565" s="13"/>
    </row>
    <row r="8566">
      <c r="A8566" s="6"/>
      <c r="B8566" s="6"/>
      <c r="H8566" s="13"/>
    </row>
    <row r="8567">
      <c r="A8567" s="6"/>
      <c r="B8567" s="6"/>
      <c r="H8567" s="13"/>
    </row>
    <row r="8568">
      <c r="A8568" s="6"/>
      <c r="B8568" s="6"/>
      <c r="H8568" s="13"/>
    </row>
    <row r="8569">
      <c r="A8569" s="6"/>
      <c r="B8569" s="6"/>
      <c r="H8569" s="13"/>
    </row>
    <row r="8570">
      <c r="A8570" s="6"/>
      <c r="B8570" s="6"/>
      <c r="H8570" s="13"/>
    </row>
    <row r="8571">
      <c r="A8571" s="6"/>
      <c r="B8571" s="6"/>
      <c r="H8571" s="13"/>
    </row>
    <row r="8572">
      <c r="A8572" s="6"/>
      <c r="B8572" s="6"/>
      <c r="H8572" s="13"/>
    </row>
    <row r="8573">
      <c r="A8573" s="6"/>
      <c r="B8573" s="6"/>
      <c r="H8573" s="13"/>
    </row>
    <row r="8574">
      <c r="A8574" s="6"/>
      <c r="B8574" s="6"/>
      <c r="H8574" s="13"/>
    </row>
    <row r="8575">
      <c r="A8575" s="6"/>
      <c r="B8575" s="6"/>
      <c r="H8575" s="13"/>
    </row>
    <row r="8576">
      <c r="A8576" s="6"/>
      <c r="B8576" s="6"/>
      <c r="H8576" s="13"/>
    </row>
    <row r="8577">
      <c r="A8577" s="6"/>
      <c r="B8577" s="6"/>
      <c r="H8577" s="13"/>
    </row>
    <row r="8578">
      <c r="A8578" s="6"/>
      <c r="B8578" s="6"/>
      <c r="H8578" s="13"/>
    </row>
    <row r="8579">
      <c r="A8579" s="6"/>
      <c r="B8579" s="6"/>
      <c r="H8579" s="13"/>
    </row>
    <row r="8580">
      <c r="A8580" s="6"/>
      <c r="B8580" s="6"/>
      <c r="H8580" s="13"/>
    </row>
    <row r="8581">
      <c r="A8581" s="6"/>
      <c r="B8581" s="6"/>
      <c r="H8581" s="13"/>
    </row>
    <row r="8582">
      <c r="A8582" s="6"/>
      <c r="B8582" s="6"/>
      <c r="H8582" s="13"/>
    </row>
    <row r="8583">
      <c r="A8583" s="6"/>
      <c r="B8583" s="6"/>
      <c r="H8583" s="13"/>
    </row>
    <row r="8584">
      <c r="A8584" s="6"/>
      <c r="B8584" s="6"/>
      <c r="H8584" s="13"/>
    </row>
    <row r="8585">
      <c r="A8585" s="6"/>
      <c r="B8585" s="6"/>
      <c r="H8585" s="13"/>
    </row>
    <row r="8586">
      <c r="A8586" s="6"/>
      <c r="B8586" s="6"/>
      <c r="H8586" s="13"/>
    </row>
    <row r="8587">
      <c r="A8587" s="6"/>
      <c r="B8587" s="6"/>
      <c r="H8587" s="13"/>
    </row>
    <row r="8588">
      <c r="A8588" s="6"/>
      <c r="B8588" s="6"/>
      <c r="H8588" s="13"/>
    </row>
    <row r="8589">
      <c r="A8589" s="6"/>
      <c r="B8589" s="6"/>
      <c r="H8589" s="13"/>
    </row>
    <row r="8590">
      <c r="A8590" s="6"/>
      <c r="B8590" s="6"/>
      <c r="H8590" s="13"/>
    </row>
    <row r="8591">
      <c r="A8591" s="6"/>
      <c r="B8591" s="6"/>
      <c r="H8591" s="13"/>
    </row>
    <row r="8592">
      <c r="A8592" s="6"/>
      <c r="B8592" s="6"/>
      <c r="H8592" s="13"/>
    </row>
    <row r="8593">
      <c r="A8593" s="6"/>
      <c r="B8593" s="6"/>
      <c r="H8593" s="13"/>
    </row>
    <row r="8594">
      <c r="A8594" s="6"/>
      <c r="B8594" s="6"/>
      <c r="H8594" s="13"/>
    </row>
    <row r="8595">
      <c r="A8595" s="6"/>
      <c r="B8595" s="6"/>
      <c r="H8595" s="13"/>
    </row>
    <row r="8596">
      <c r="A8596" s="6"/>
      <c r="B8596" s="6"/>
      <c r="H8596" s="13"/>
    </row>
    <row r="8597">
      <c r="A8597" s="6"/>
      <c r="B8597" s="6"/>
      <c r="H8597" s="13"/>
    </row>
    <row r="8598">
      <c r="A8598" s="6"/>
      <c r="B8598" s="6"/>
      <c r="H8598" s="13"/>
    </row>
    <row r="8599">
      <c r="A8599" s="6"/>
      <c r="B8599" s="6"/>
      <c r="H8599" s="13"/>
    </row>
    <row r="8600">
      <c r="A8600" s="6"/>
      <c r="B8600" s="6"/>
      <c r="H8600" s="13"/>
    </row>
    <row r="8601">
      <c r="A8601" s="6"/>
      <c r="B8601" s="6"/>
      <c r="H8601" s="13"/>
    </row>
    <row r="8602">
      <c r="A8602" s="6"/>
      <c r="B8602" s="6"/>
      <c r="H8602" s="13"/>
    </row>
    <row r="8603">
      <c r="A8603" s="6"/>
      <c r="B8603" s="6"/>
      <c r="H8603" s="13"/>
    </row>
    <row r="8604">
      <c r="A8604" s="6"/>
      <c r="B8604" s="6"/>
      <c r="H8604" s="13"/>
    </row>
    <row r="8605">
      <c r="A8605" s="6"/>
      <c r="B8605" s="6"/>
      <c r="H8605" s="13"/>
    </row>
    <row r="8606">
      <c r="A8606" s="6"/>
      <c r="B8606" s="6"/>
      <c r="H8606" s="13"/>
    </row>
    <row r="8607">
      <c r="A8607" s="6"/>
      <c r="B8607" s="6"/>
      <c r="H8607" s="13"/>
    </row>
    <row r="8608">
      <c r="A8608" s="6"/>
      <c r="B8608" s="6"/>
      <c r="H8608" s="13"/>
    </row>
    <row r="8609">
      <c r="A8609" s="6"/>
      <c r="B8609" s="6"/>
      <c r="H8609" s="13"/>
    </row>
    <row r="8610">
      <c r="A8610" s="6"/>
      <c r="B8610" s="6"/>
      <c r="H8610" s="13"/>
    </row>
    <row r="8611">
      <c r="A8611" s="6"/>
      <c r="B8611" s="6"/>
      <c r="H8611" s="13"/>
    </row>
    <row r="8612">
      <c r="A8612" s="6"/>
      <c r="B8612" s="6"/>
      <c r="H8612" s="13"/>
    </row>
    <row r="8613">
      <c r="A8613" s="6"/>
      <c r="B8613" s="6"/>
      <c r="H8613" s="13"/>
    </row>
    <row r="8614">
      <c r="A8614" s="6"/>
      <c r="B8614" s="6"/>
      <c r="H8614" s="13"/>
    </row>
    <row r="8615">
      <c r="A8615" s="6"/>
      <c r="B8615" s="6"/>
      <c r="H8615" s="13"/>
    </row>
    <row r="8616">
      <c r="A8616" s="6"/>
      <c r="B8616" s="6"/>
      <c r="H8616" s="13"/>
    </row>
    <row r="8617">
      <c r="A8617" s="6"/>
      <c r="B8617" s="6"/>
      <c r="H8617" s="13"/>
    </row>
    <row r="8618">
      <c r="A8618" s="6"/>
      <c r="B8618" s="6"/>
      <c r="H8618" s="13"/>
    </row>
    <row r="8619">
      <c r="A8619" s="6"/>
      <c r="B8619" s="6"/>
      <c r="H8619" s="13"/>
    </row>
    <row r="8620">
      <c r="A8620" s="6"/>
      <c r="B8620" s="6"/>
      <c r="H8620" s="13"/>
    </row>
    <row r="8621">
      <c r="A8621" s="6"/>
      <c r="B8621" s="6"/>
      <c r="H8621" s="13"/>
    </row>
    <row r="8622">
      <c r="A8622" s="6"/>
      <c r="B8622" s="6"/>
      <c r="H8622" s="13"/>
    </row>
    <row r="8623">
      <c r="A8623" s="6"/>
      <c r="B8623" s="6"/>
      <c r="H8623" s="13"/>
    </row>
    <row r="8624">
      <c r="A8624" s="6"/>
      <c r="B8624" s="6"/>
      <c r="H8624" s="13"/>
    </row>
    <row r="8625">
      <c r="A8625" s="6"/>
      <c r="B8625" s="6"/>
      <c r="H8625" s="13"/>
    </row>
    <row r="8626">
      <c r="A8626" s="6"/>
      <c r="B8626" s="6"/>
      <c r="H8626" s="13"/>
    </row>
    <row r="8627">
      <c r="A8627" s="6"/>
      <c r="B8627" s="6"/>
      <c r="H8627" s="13"/>
    </row>
    <row r="8628">
      <c r="A8628" s="6"/>
      <c r="B8628" s="6"/>
      <c r="H8628" s="13"/>
    </row>
    <row r="8629">
      <c r="A8629" s="6"/>
      <c r="B8629" s="6"/>
      <c r="H8629" s="13"/>
    </row>
    <row r="8630">
      <c r="A8630" s="6"/>
      <c r="B8630" s="6"/>
      <c r="H8630" s="13"/>
    </row>
    <row r="8631">
      <c r="A8631" s="6"/>
      <c r="B8631" s="6"/>
      <c r="H8631" s="13"/>
    </row>
    <row r="8632">
      <c r="A8632" s="6"/>
      <c r="B8632" s="6"/>
      <c r="H8632" s="13"/>
    </row>
    <row r="8633">
      <c r="A8633" s="6"/>
      <c r="B8633" s="6"/>
      <c r="H8633" s="13"/>
    </row>
    <row r="8634">
      <c r="A8634" s="6"/>
      <c r="B8634" s="6"/>
      <c r="H8634" s="13"/>
    </row>
    <row r="8635">
      <c r="A8635" s="6"/>
      <c r="B8635" s="6"/>
      <c r="H8635" s="13"/>
    </row>
    <row r="8636">
      <c r="A8636" s="6"/>
      <c r="B8636" s="6"/>
      <c r="H8636" s="13"/>
    </row>
    <row r="8637">
      <c r="A8637" s="6"/>
      <c r="B8637" s="6"/>
      <c r="H8637" s="13"/>
    </row>
    <row r="8638">
      <c r="A8638" s="6"/>
      <c r="B8638" s="6"/>
      <c r="H8638" s="13"/>
    </row>
    <row r="8639">
      <c r="A8639" s="6"/>
      <c r="B8639" s="6"/>
      <c r="H8639" s="13"/>
    </row>
    <row r="8640">
      <c r="A8640" s="6"/>
      <c r="B8640" s="6"/>
      <c r="H8640" s="13"/>
    </row>
    <row r="8641">
      <c r="A8641" s="6"/>
      <c r="B8641" s="6"/>
      <c r="H8641" s="13"/>
    </row>
    <row r="8642">
      <c r="A8642" s="6"/>
      <c r="B8642" s="6"/>
      <c r="H8642" s="13"/>
    </row>
    <row r="8643">
      <c r="A8643" s="6"/>
      <c r="B8643" s="6"/>
      <c r="H8643" s="13"/>
    </row>
    <row r="8644">
      <c r="A8644" s="6"/>
      <c r="B8644" s="6"/>
      <c r="H8644" s="13"/>
    </row>
    <row r="8645">
      <c r="A8645" s="6"/>
      <c r="B8645" s="6"/>
      <c r="H8645" s="13"/>
    </row>
    <row r="8646">
      <c r="A8646" s="6"/>
      <c r="B8646" s="6"/>
      <c r="H8646" s="13"/>
    </row>
    <row r="8647">
      <c r="A8647" s="6"/>
      <c r="B8647" s="6"/>
      <c r="H8647" s="13"/>
    </row>
    <row r="8648">
      <c r="A8648" s="6"/>
      <c r="B8648" s="6"/>
      <c r="H8648" s="13"/>
    </row>
    <row r="8649">
      <c r="A8649" s="6"/>
      <c r="B8649" s="6"/>
      <c r="H8649" s="13"/>
    </row>
    <row r="8650">
      <c r="A8650" s="6"/>
      <c r="B8650" s="6"/>
      <c r="H8650" s="13"/>
    </row>
    <row r="8651">
      <c r="A8651" s="6"/>
      <c r="B8651" s="6"/>
      <c r="H8651" s="13"/>
    </row>
    <row r="8652">
      <c r="A8652" s="6"/>
      <c r="B8652" s="6"/>
      <c r="H8652" s="13"/>
    </row>
    <row r="8653">
      <c r="A8653" s="6"/>
      <c r="B8653" s="6"/>
      <c r="H8653" s="13"/>
    </row>
    <row r="8654">
      <c r="A8654" s="6"/>
      <c r="B8654" s="6"/>
      <c r="H8654" s="13"/>
    </row>
    <row r="8655">
      <c r="A8655" s="6"/>
      <c r="B8655" s="6"/>
      <c r="H8655" s="13"/>
    </row>
    <row r="8656">
      <c r="A8656" s="6"/>
      <c r="B8656" s="6"/>
      <c r="H8656" s="13"/>
    </row>
    <row r="8657">
      <c r="A8657" s="6"/>
      <c r="B8657" s="6"/>
      <c r="H8657" s="13"/>
    </row>
    <row r="8658">
      <c r="A8658" s="6"/>
      <c r="B8658" s="6"/>
      <c r="H8658" s="13"/>
    </row>
    <row r="8659">
      <c r="A8659" s="6"/>
      <c r="B8659" s="6"/>
      <c r="H8659" s="13"/>
    </row>
    <row r="8660">
      <c r="A8660" s="6"/>
      <c r="B8660" s="6"/>
      <c r="H8660" s="13"/>
    </row>
    <row r="8661">
      <c r="A8661" s="6"/>
      <c r="B8661" s="6"/>
      <c r="H8661" s="13"/>
    </row>
    <row r="8662">
      <c r="A8662" s="6"/>
      <c r="B8662" s="6"/>
      <c r="H8662" s="13"/>
    </row>
    <row r="8663">
      <c r="A8663" s="6"/>
      <c r="B8663" s="6"/>
      <c r="H8663" s="13"/>
    </row>
    <row r="8664">
      <c r="A8664" s="6"/>
      <c r="B8664" s="6"/>
      <c r="H8664" s="13"/>
    </row>
    <row r="8665">
      <c r="A8665" s="6"/>
      <c r="B8665" s="6"/>
      <c r="H8665" s="13"/>
    </row>
    <row r="8666">
      <c r="A8666" s="6"/>
      <c r="B8666" s="6"/>
      <c r="H8666" s="13"/>
    </row>
    <row r="8667">
      <c r="A8667" s="6"/>
      <c r="B8667" s="6"/>
      <c r="H8667" s="13"/>
    </row>
    <row r="8668">
      <c r="A8668" s="6"/>
      <c r="B8668" s="6"/>
      <c r="H8668" s="13"/>
    </row>
    <row r="8669">
      <c r="A8669" s="6"/>
      <c r="B8669" s="6"/>
      <c r="H8669" s="13"/>
    </row>
    <row r="8670">
      <c r="A8670" s="6"/>
      <c r="B8670" s="6"/>
      <c r="H8670" s="13"/>
    </row>
    <row r="8671">
      <c r="A8671" s="6"/>
      <c r="B8671" s="6"/>
      <c r="H8671" s="13"/>
    </row>
    <row r="8672">
      <c r="A8672" s="6"/>
      <c r="B8672" s="6"/>
      <c r="H8672" s="13"/>
    </row>
    <row r="8673">
      <c r="A8673" s="6"/>
      <c r="B8673" s="6"/>
      <c r="H8673" s="13"/>
    </row>
    <row r="8674">
      <c r="A8674" s="6"/>
      <c r="B8674" s="6"/>
      <c r="H8674" s="13"/>
    </row>
    <row r="8675">
      <c r="A8675" s="6"/>
      <c r="B8675" s="6"/>
      <c r="H8675" s="13"/>
    </row>
    <row r="8676">
      <c r="A8676" s="6"/>
      <c r="B8676" s="6"/>
      <c r="H8676" s="13"/>
    </row>
    <row r="8677">
      <c r="A8677" s="6"/>
      <c r="B8677" s="6"/>
      <c r="H8677" s="13"/>
    </row>
    <row r="8678">
      <c r="A8678" s="6"/>
      <c r="B8678" s="6"/>
      <c r="H8678" s="13"/>
    </row>
    <row r="8679">
      <c r="A8679" s="6"/>
      <c r="B8679" s="6"/>
      <c r="H8679" s="13"/>
    </row>
    <row r="8680">
      <c r="A8680" s="6"/>
      <c r="B8680" s="6"/>
      <c r="H8680" s="13"/>
    </row>
    <row r="8681">
      <c r="A8681" s="6"/>
      <c r="B8681" s="6"/>
      <c r="H8681" s="13"/>
    </row>
    <row r="8682">
      <c r="A8682" s="6"/>
      <c r="B8682" s="6"/>
      <c r="H8682" s="13"/>
    </row>
    <row r="8683">
      <c r="A8683" s="6"/>
      <c r="B8683" s="6"/>
      <c r="H8683" s="13"/>
    </row>
    <row r="8684">
      <c r="A8684" s="6"/>
      <c r="B8684" s="6"/>
      <c r="H8684" s="13"/>
    </row>
    <row r="8685">
      <c r="A8685" s="6"/>
      <c r="B8685" s="6"/>
      <c r="H8685" s="13"/>
    </row>
    <row r="8686">
      <c r="A8686" s="6"/>
      <c r="B8686" s="6"/>
      <c r="H8686" s="13"/>
    </row>
    <row r="8687">
      <c r="A8687" s="6"/>
      <c r="B8687" s="6"/>
      <c r="H8687" s="13"/>
    </row>
    <row r="8688">
      <c r="A8688" s="6"/>
      <c r="B8688" s="6"/>
      <c r="H8688" s="13"/>
    </row>
    <row r="8689">
      <c r="A8689" s="6"/>
      <c r="B8689" s="6"/>
      <c r="H8689" s="13"/>
    </row>
    <row r="8690">
      <c r="A8690" s="6"/>
      <c r="B8690" s="6"/>
      <c r="H8690" s="13"/>
    </row>
    <row r="8691">
      <c r="A8691" s="6"/>
      <c r="B8691" s="6"/>
      <c r="H8691" s="13"/>
    </row>
    <row r="8692">
      <c r="A8692" s="6"/>
      <c r="B8692" s="6"/>
      <c r="H8692" s="13"/>
    </row>
    <row r="8693">
      <c r="A8693" s="6"/>
      <c r="B8693" s="6"/>
      <c r="H8693" s="13"/>
    </row>
    <row r="8694">
      <c r="A8694" s="6"/>
      <c r="B8694" s="6"/>
      <c r="H8694" s="13"/>
    </row>
    <row r="8695">
      <c r="A8695" s="6"/>
      <c r="B8695" s="6"/>
      <c r="H8695" s="13"/>
    </row>
    <row r="8696">
      <c r="A8696" s="6"/>
      <c r="B8696" s="6"/>
      <c r="H8696" s="13"/>
    </row>
    <row r="8697">
      <c r="A8697" s="6"/>
      <c r="B8697" s="6"/>
      <c r="H8697" s="13"/>
    </row>
    <row r="8698">
      <c r="A8698" s="6"/>
      <c r="B8698" s="6"/>
      <c r="H8698" s="13"/>
    </row>
    <row r="8699">
      <c r="A8699" s="6"/>
      <c r="B8699" s="6"/>
      <c r="H8699" s="13"/>
    </row>
    <row r="8700">
      <c r="A8700" s="6"/>
      <c r="B8700" s="6"/>
      <c r="H8700" s="13"/>
    </row>
    <row r="8701">
      <c r="A8701" s="6"/>
      <c r="B8701" s="6"/>
      <c r="H8701" s="13"/>
    </row>
    <row r="8702">
      <c r="A8702" s="6"/>
      <c r="B8702" s="6"/>
      <c r="H8702" s="13"/>
    </row>
    <row r="8703">
      <c r="A8703" s="6"/>
      <c r="B8703" s="6"/>
      <c r="H8703" s="13"/>
    </row>
    <row r="8704">
      <c r="A8704" s="6"/>
      <c r="B8704" s="6"/>
      <c r="H8704" s="13"/>
    </row>
    <row r="8705">
      <c r="A8705" s="6"/>
      <c r="B8705" s="6"/>
      <c r="H8705" s="13"/>
    </row>
    <row r="8706">
      <c r="A8706" s="6"/>
      <c r="B8706" s="6"/>
      <c r="H8706" s="13"/>
    </row>
    <row r="8707">
      <c r="A8707" s="6"/>
      <c r="B8707" s="6"/>
      <c r="H8707" s="13"/>
    </row>
    <row r="8708">
      <c r="A8708" s="6"/>
      <c r="B8708" s="6"/>
      <c r="H8708" s="13"/>
    </row>
    <row r="8709">
      <c r="A8709" s="6"/>
      <c r="B8709" s="6"/>
      <c r="H8709" s="13"/>
    </row>
    <row r="8710">
      <c r="A8710" s="6"/>
      <c r="B8710" s="6"/>
      <c r="H8710" s="13"/>
    </row>
    <row r="8711">
      <c r="A8711" s="6"/>
      <c r="B8711" s="6"/>
      <c r="H8711" s="13"/>
    </row>
    <row r="8712">
      <c r="A8712" s="6"/>
      <c r="B8712" s="6"/>
      <c r="H8712" s="13"/>
    </row>
    <row r="8713">
      <c r="A8713" s="6"/>
      <c r="B8713" s="6"/>
      <c r="H8713" s="13"/>
    </row>
    <row r="8714">
      <c r="A8714" s="6"/>
      <c r="B8714" s="6"/>
      <c r="H8714" s="13"/>
    </row>
    <row r="8715">
      <c r="A8715" s="6"/>
      <c r="B8715" s="6"/>
      <c r="H8715" s="13"/>
    </row>
    <row r="8716">
      <c r="A8716" s="6"/>
      <c r="B8716" s="6"/>
      <c r="H8716" s="13"/>
    </row>
    <row r="8717">
      <c r="A8717" s="6"/>
      <c r="B8717" s="6"/>
      <c r="H8717" s="13"/>
    </row>
    <row r="8718">
      <c r="A8718" s="6"/>
      <c r="B8718" s="6"/>
      <c r="H8718" s="13"/>
    </row>
    <row r="8719">
      <c r="A8719" s="6"/>
      <c r="B8719" s="6"/>
      <c r="H8719" s="13"/>
    </row>
    <row r="8720">
      <c r="A8720" s="6"/>
      <c r="B8720" s="6"/>
      <c r="H8720" s="13"/>
    </row>
    <row r="8721">
      <c r="A8721" s="6"/>
      <c r="B8721" s="6"/>
      <c r="H8721" s="13"/>
    </row>
    <row r="8722">
      <c r="A8722" s="6"/>
      <c r="B8722" s="6"/>
      <c r="H8722" s="13"/>
    </row>
    <row r="8723">
      <c r="A8723" s="6"/>
      <c r="B8723" s="6"/>
      <c r="H8723" s="13"/>
    </row>
    <row r="8724">
      <c r="A8724" s="6"/>
      <c r="B8724" s="6"/>
      <c r="H8724" s="13"/>
    </row>
    <row r="8725">
      <c r="A8725" s="6"/>
      <c r="B8725" s="6"/>
      <c r="H8725" s="13"/>
    </row>
    <row r="8726">
      <c r="A8726" s="6"/>
      <c r="B8726" s="6"/>
      <c r="H8726" s="13"/>
    </row>
    <row r="8727">
      <c r="A8727" s="6"/>
      <c r="B8727" s="6"/>
      <c r="H8727" s="13"/>
    </row>
    <row r="8728">
      <c r="A8728" s="6"/>
      <c r="B8728" s="6"/>
      <c r="H8728" s="13"/>
    </row>
    <row r="8729">
      <c r="A8729" s="6"/>
      <c r="B8729" s="6"/>
      <c r="H8729" s="13"/>
    </row>
    <row r="8730">
      <c r="A8730" s="6"/>
      <c r="B8730" s="6"/>
      <c r="H8730" s="13"/>
    </row>
    <row r="8731">
      <c r="A8731" s="6"/>
      <c r="B8731" s="6"/>
      <c r="H8731" s="13"/>
    </row>
    <row r="8732">
      <c r="A8732" s="6"/>
      <c r="B8732" s="6"/>
      <c r="H8732" s="13"/>
    </row>
    <row r="8733">
      <c r="A8733" s="6"/>
      <c r="B8733" s="6"/>
      <c r="H8733" s="13"/>
    </row>
    <row r="8734">
      <c r="A8734" s="6"/>
      <c r="B8734" s="6"/>
      <c r="H8734" s="13"/>
    </row>
    <row r="8735">
      <c r="A8735" s="6"/>
      <c r="B8735" s="6"/>
      <c r="H8735" s="13"/>
    </row>
    <row r="8736">
      <c r="A8736" s="6"/>
      <c r="B8736" s="6"/>
      <c r="H8736" s="13"/>
    </row>
    <row r="8737">
      <c r="A8737" s="6"/>
      <c r="B8737" s="6"/>
      <c r="H8737" s="13"/>
    </row>
    <row r="8738">
      <c r="A8738" s="6"/>
      <c r="B8738" s="6"/>
      <c r="H8738" s="13"/>
    </row>
    <row r="8739">
      <c r="A8739" s="6"/>
      <c r="B8739" s="6"/>
      <c r="H8739" s="13"/>
    </row>
    <row r="8740">
      <c r="A8740" s="6"/>
      <c r="B8740" s="6"/>
      <c r="H8740" s="13"/>
    </row>
    <row r="8741">
      <c r="A8741" s="6"/>
      <c r="B8741" s="6"/>
      <c r="H8741" s="13"/>
    </row>
    <row r="8742">
      <c r="A8742" s="6"/>
      <c r="B8742" s="6"/>
      <c r="H8742" s="13"/>
    </row>
    <row r="8743">
      <c r="A8743" s="6"/>
      <c r="B8743" s="6"/>
      <c r="H8743" s="13"/>
    </row>
    <row r="8744">
      <c r="A8744" s="6"/>
      <c r="B8744" s="6"/>
      <c r="H8744" s="13"/>
    </row>
    <row r="8745">
      <c r="A8745" s="6"/>
      <c r="B8745" s="6"/>
      <c r="H8745" s="13"/>
    </row>
    <row r="8746">
      <c r="A8746" s="6"/>
      <c r="B8746" s="6"/>
      <c r="H8746" s="13"/>
    </row>
    <row r="8747">
      <c r="A8747" s="6"/>
      <c r="B8747" s="6"/>
      <c r="H8747" s="13"/>
    </row>
    <row r="8748">
      <c r="A8748" s="6"/>
      <c r="B8748" s="6"/>
      <c r="H8748" s="13"/>
    </row>
    <row r="8749">
      <c r="A8749" s="6"/>
      <c r="B8749" s="6"/>
      <c r="H8749" s="13"/>
    </row>
    <row r="8750">
      <c r="A8750" s="6"/>
      <c r="B8750" s="6"/>
      <c r="H8750" s="13"/>
    </row>
    <row r="8751">
      <c r="A8751" s="6"/>
      <c r="B8751" s="6"/>
      <c r="H8751" s="13"/>
    </row>
    <row r="8752">
      <c r="A8752" s="6"/>
      <c r="B8752" s="6"/>
      <c r="H8752" s="13"/>
    </row>
    <row r="8753">
      <c r="A8753" s="6"/>
      <c r="B8753" s="6"/>
      <c r="H8753" s="13"/>
    </row>
    <row r="8754">
      <c r="A8754" s="6"/>
      <c r="B8754" s="6"/>
      <c r="H8754" s="13"/>
    </row>
    <row r="8755">
      <c r="A8755" s="6"/>
      <c r="B8755" s="6"/>
      <c r="H8755" s="13"/>
    </row>
    <row r="8756">
      <c r="A8756" s="6"/>
      <c r="B8756" s="6"/>
      <c r="H8756" s="13"/>
    </row>
    <row r="8757">
      <c r="A8757" s="6"/>
      <c r="B8757" s="6"/>
      <c r="H8757" s="13"/>
    </row>
    <row r="8758">
      <c r="A8758" s="6"/>
      <c r="B8758" s="6"/>
      <c r="H8758" s="13"/>
    </row>
    <row r="8759">
      <c r="A8759" s="6"/>
      <c r="B8759" s="6"/>
      <c r="H8759" s="13"/>
    </row>
    <row r="8760">
      <c r="A8760" s="6"/>
      <c r="B8760" s="6"/>
      <c r="H8760" s="13"/>
    </row>
    <row r="8761">
      <c r="A8761" s="6"/>
      <c r="B8761" s="6"/>
      <c r="H8761" s="13"/>
    </row>
    <row r="8762">
      <c r="A8762" s="6"/>
      <c r="B8762" s="6"/>
      <c r="H8762" s="13"/>
    </row>
    <row r="8763">
      <c r="A8763" s="6"/>
      <c r="B8763" s="6"/>
      <c r="H8763" s="13"/>
    </row>
    <row r="8764">
      <c r="A8764" s="6"/>
      <c r="B8764" s="6"/>
      <c r="H8764" s="13"/>
    </row>
    <row r="8765">
      <c r="A8765" s="6"/>
      <c r="B8765" s="6"/>
      <c r="H8765" s="13"/>
    </row>
    <row r="8766">
      <c r="A8766" s="6"/>
      <c r="B8766" s="6"/>
      <c r="H8766" s="13"/>
    </row>
    <row r="8767">
      <c r="A8767" s="6"/>
      <c r="B8767" s="6"/>
      <c r="H8767" s="13"/>
    </row>
    <row r="8768">
      <c r="A8768" s="6"/>
      <c r="B8768" s="6"/>
      <c r="H8768" s="13"/>
    </row>
    <row r="8769">
      <c r="A8769" s="6"/>
      <c r="B8769" s="6"/>
      <c r="H8769" s="13"/>
    </row>
    <row r="8770">
      <c r="A8770" s="6"/>
      <c r="B8770" s="6"/>
      <c r="H8770" s="13"/>
    </row>
    <row r="8771">
      <c r="A8771" s="6"/>
      <c r="B8771" s="6"/>
      <c r="H8771" s="13"/>
    </row>
    <row r="8772">
      <c r="A8772" s="6"/>
      <c r="B8772" s="6"/>
      <c r="H8772" s="13"/>
    </row>
    <row r="8773">
      <c r="A8773" s="6"/>
      <c r="B8773" s="6"/>
      <c r="H8773" s="13"/>
    </row>
    <row r="8774">
      <c r="A8774" s="6"/>
      <c r="B8774" s="6"/>
      <c r="H8774" s="13"/>
    </row>
    <row r="8775">
      <c r="A8775" s="6"/>
      <c r="B8775" s="6"/>
      <c r="H8775" s="13"/>
    </row>
    <row r="8776">
      <c r="A8776" s="6"/>
      <c r="B8776" s="6"/>
      <c r="H8776" s="13"/>
    </row>
    <row r="8777">
      <c r="A8777" s="6"/>
      <c r="B8777" s="6"/>
      <c r="H8777" s="13"/>
    </row>
    <row r="8778">
      <c r="A8778" s="6"/>
      <c r="B8778" s="6"/>
      <c r="H8778" s="13"/>
    </row>
    <row r="8779">
      <c r="A8779" s="6"/>
      <c r="B8779" s="6"/>
      <c r="H8779" s="13"/>
    </row>
    <row r="8780">
      <c r="A8780" s="6"/>
      <c r="B8780" s="6"/>
      <c r="H8780" s="13"/>
    </row>
    <row r="8781">
      <c r="A8781" s="6"/>
      <c r="B8781" s="6"/>
      <c r="H8781" s="13"/>
    </row>
    <row r="8782">
      <c r="A8782" s="6"/>
      <c r="B8782" s="6"/>
      <c r="H8782" s="13"/>
    </row>
    <row r="8783">
      <c r="A8783" s="6"/>
      <c r="B8783" s="6"/>
      <c r="H8783" s="13"/>
    </row>
    <row r="8784">
      <c r="A8784" s="6"/>
      <c r="B8784" s="6"/>
      <c r="H8784" s="13"/>
    </row>
    <row r="8785">
      <c r="A8785" s="6"/>
      <c r="B8785" s="6"/>
      <c r="H8785" s="13"/>
    </row>
    <row r="8786">
      <c r="A8786" s="6"/>
      <c r="B8786" s="6"/>
      <c r="H8786" s="13"/>
    </row>
    <row r="8787">
      <c r="A8787" s="6"/>
      <c r="B8787" s="6"/>
      <c r="H8787" s="13"/>
    </row>
    <row r="8788">
      <c r="A8788" s="6"/>
      <c r="B8788" s="6"/>
      <c r="H8788" s="13"/>
    </row>
    <row r="8789">
      <c r="A8789" s="6"/>
      <c r="B8789" s="6"/>
      <c r="H8789" s="13"/>
    </row>
    <row r="8790">
      <c r="A8790" s="6"/>
      <c r="B8790" s="6"/>
      <c r="H8790" s="13"/>
    </row>
    <row r="8791">
      <c r="A8791" s="6"/>
      <c r="B8791" s="6"/>
      <c r="H8791" s="13"/>
    </row>
    <row r="8792">
      <c r="A8792" s="6"/>
      <c r="B8792" s="6"/>
      <c r="H8792" s="13"/>
    </row>
    <row r="8793">
      <c r="A8793" s="6"/>
      <c r="B8793" s="6"/>
      <c r="H8793" s="13"/>
    </row>
    <row r="8794">
      <c r="A8794" s="6"/>
      <c r="B8794" s="6"/>
      <c r="H8794" s="13"/>
    </row>
    <row r="8795">
      <c r="A8795" s="6"/>
      <c r="B8795" s="6"/>
      <c r="H8795" s="13"/>
    </row>
    <row r="8796">
      <c r="A8796" s="6"/>
      <c r="B8796" s="6"/>
      <c r="H8796" s="13"/>
    </row>
    <row r="8797">
      <c r="A8797" s="6"/>
      <c r="B8797" s="6"/>
      <c r="H8797" s="13"/>
    </row>
    <row r="8798">
      <c r="A8798" s="6"/>
      <c r="B8798" s="6"/>
      <c r="H8798" s="13"/>
    </row>
    <row r="8799">
      <c r="A8799" s="6"/>
      <c r="B8799" s="6"/>
      <c r="H8799" s="13"/>
    </row>
    <row r="8800">
      <c r="A8800" s="6"/>
      <c r="B8800" s="6"/>
      <c r="H8800" s="13"/>
    </row>
    <row r="8801">
      <c r="A8801" s="6"/>
      <c r="B8801" s="6"/>
      <c r="H8801" s="13"/>
    </row>
    <row r="8802">
      <c r="A8802" s="6"/>
      <c r="B8802" s="6"/>
      <c r="H8802" s="13"/>
    </row>
    <row r="8803">
      <c r="A8803" s="6"/>
      <c r="B8803" s="6"/>
      <c r="H8803" s="13"/>
    </row>
    <row r="8804">
      <c r="A8804" s="6"/>
      <c r="B8804" s="6"/>
      <c r="H8804" s="13"/>
    </row>
    <row r="8805">
      <c r="A8805" s="6"/>
      <c r="B8805" s="6"/>
      <c r="H8805" s="13"/>
    </row>
    <row r="8806">
      <c r="A8806" s="6"/>
      <c r="B8806" s="6"/>
      <c r="H8806" s="13"/>
    </row>
    <row r="8807">
      <c r="A8807" s="6"/>
      <c r="B8807" s="6"/>
      <c r="H8807" s="13"/>
    </row>
    <row r="8808">
      <c r="A8808" s="6"/>
      <c r="B8808" s="6"/>
      <c r="H8808" s="13"/>
    </row>
    <row r="8809">
      <c r="A8809" s="6"/>
      <c r="B8809" s="6"/>
      <c r="H8809" s="13"/>
    </row>
    <row r="8810">
      <c r="A8810" s="6"/>
      <c r="B8810" s="6"/>
      <c r="H8810" s="13"/>
    </row>
    <row r="8811">
      <c r="A8811" s="6"/>
      <c r="B8811" s="6"/>
      <c r="H8811" s="13"/>
    </row>
    <row r="8812">
      <c r="A8812" s="6"/>
      <c r="B8812" s="6"/>
      <c r="H8812" s="13"/>
    </row>
    <row r="8813">
      <c r="A8813" s="6"/>
      <c r="B8813" s="6"/>
      <c r="H8813" s="13"/>
    </row>
    <row r="8814">
      <c r="A8814" s="6"/>
      <c r="B8814" s="6"/>
      <c r="H8814" s="13"/>
    </row>
    <row r="8815">
      <c r="A8815" s="6"/>
      <c r="B8815" s="6"/>
      <c r="H8815" s="13"/>
    </row>
    <row r="8816">
      <c r="A8816" s="6"/>
      <c r="B8816" s="6"/>
      <c r="H8816" s="13"/>
    </row>
    <row r="8817">
      <c r="A8817" s="6"/>
      <c r="B8817" s="6"/>
      <c r="H8817" s="13"/>
    </row>
    <row r="8818">
      <c r="A8818" s="6"/>
      <c r="B8818" s="6"/>
      <c r="H8818" s="13"/>
    </row>
    <row r="8819">
      <c r="A8819" s="6"/>
      <c r="B8819" s="6"/>
      <c r="H8819" s="13"/>
    </row>
    <row r="8820">
      <c r="A8820" s="6"/>
      <c r="B8820" s="6"/>
      <c r="H8820" s="13"/>
    </row>
    <row r="8821">
      <c r="A8821" s="6"/>
      <c r="B8821" s="6"/>
      <c r="H8821" s="13"/>
    </row>
    <row r="8822">
      <c r="A8822" s="6"/>
      <c r="B8822" s="6"/>
      <c r="H8822" s="13"/>
    </row>
    <row r="8823">
      <c r="A8823" s="6"/>
      <c r="B8823" s="6"/>
      <c r="H8823" s="13"/>
    </row>
    <row r="8824">
      <c r="A8824" s="6"/>
      <c r="B8824" s="6"/>
      <c r="H8824" s="13"/>
    </row>
    <row r="8825">
      <c r="A8825" s="6"/>
      <c r="B8825" s="6"/>
      <c r="H8825" s="13"/>
    </row>
    <row r="8826">
      <c r="A8826" s="6"/>
      <c r="B8826" s="6"/>
      <c r="H8826" s="13"/>
    </row>
    <row r="8827">
      <c r="A8827" s="6"/>
      <c r="B8827" s="6"/>
      <c r="H8827" s="13"/>
    </row>
    <row r="8828">
      <c r="A8828" s="6"/>
      <c r="B8828" s="6"/>
      <c r="H8828" s="13"/>
    </row>
    <row r="8829">
      <c r="A8829" s="6"/>
      <c r="B8829" s="6"/>
      <c r="H8829" s="13"/>
    </row>
    <row r="8830">
      <c r="A8830" s="6"/>
      <c r="B8830" s="6"/>
      <c r="H8830" s="13"/>
    </row>
    <row r="8831">
      <c r="A8831" s="6"/>
      <c r="B8831" s="6"/>
      <c r="H8831" s="13"/>
    </row>
    <row r="8832">
      <c r="A8832" s="6"/>
      <c r="B8832" s="6"/>
      <c r="H8832" s="13"/>
    </row>
    <row r="8833">
      <c r="A8833" s="6"/>
      <c r="B8833" s="6"/>
      <c r="H8833" s="13"/>
    </row>
    <row r="8834">
      <c r="A8834" s="6"/>
      <c r="B8834" s="6"/>
      <c r="H8834" s="13"/>
    </row>
    <row r="8835">
      <c r="A8835" s="6"/>
      <c r="B8835" s="6"/>
      <c r="H8835" s="13"/>
    </row>
    <row r="8836">
      <c r="A8836" s="6"/>
      <c r="B8836" s="6"/>
      <c r="H8836" s="13"/>
    </row>
    <row r="8837">
      <c r="A8837" s="6"/>
      <c r="B8837" s="6"/>
      <c r="H8837" s="13"/>
    </row>
    <row r="8838">
      <c r="A8838" s="6"/>
      <c r="B8838" s="6"/>
      <c r="H8838" s="13"/>
    </row>
    <row r="8839">
      <c r="A8839" s="6"/>
      <c r="B8839" s="6"/>
      <c r="H8839" s="13"/>
    </row>
    <row r="8840">
      <c r="A8840" s="6"/>
      <c r="B8840" s="6"/>
      <c r="H8840" s="13"/>
    </row>
    <row r="8841">
      <c r="A8841" s="6"/>
      <c r="B8841" s="6"/>
      <c r="H8841" s="13"/>
    </row>
    <row r="8842">
      <c r="A8842" s="6"/>
      <c r="B8842" s="6"/>
      <c r="H8842" s="13"/>
    </row>
    <row r="8843">
      <c r="A8843" s="6"/>
      <c r="B8843" s="6"/>
      <c r="H8843" s="13"/>
    </row>
    <row r="8844">
      <c r="A8844" s="6"/>
      <c r="B8844" s="6"/>
      <c r="H8844" s="13"/>
    </row>
    <row r="8845">
      <c r="A8845" s="6"/>
      <c r="B8845" s="6"/>
      <c r="H8845" s="13"/>
    </row>
    <row r="8846">
      <c r="A8846" s="6"/>
      <c r="B8846" s="6"/>
      <c r="H8846" s="13"/>
    </row>
    <row r="8847">
      <c r="A8847" s="6"/>
      <c r="B8847" s="6"/>
      <c r="H8847" s="13"/>
    </row>
    <row r="8848">
      <c r="A8848" s="6"/>
      <c r="B8848" s="6"/>
      <c r="H8848" s="13"/>
    </row>
    <row r="8849">
      <c r="A8849" s="6"/>
      <c r="B8849" s="6"/>
      <c r="H8849" s="13"/>
    </row>
    <row r="8850">
      <c r="A8850" s="6"/>
      <c r="B8850" s="6"/>
      <c r="H8850" s="13"/>
    </row>
    <row r="8851">
      <c r="A8851" s="6"/>
      <c r="B8851" s="6"/>
      <c r="H8851" s="13"/>
    </row>
    <row r="8852">
      <c r="A8852" s="6"/>
      <c r="B8852" s="6"/>
      <c r="H8852" s="13"/>
    </row>
    <row r="8853">
      <c r="A8853" s="6"/>
      <c r="B8853" s="6"/>
      <c r="H8853" s="13"/>
    </row>
    <row r="8854">
      <c r="A8854" s="6"/>
      <c r="B8854" s="6"/>
      <c r="H8854" s="13"/>
    </row>
    <row r="8855">
      <c r="A8855" s="6"/>
      <c r="B8855" s="6"/>
      <c r="H8855" s="13"/>
    </row>
    <row r="8856">
      <c r="A8856" s="6"/>
      <c r="B8856" s="6"/>
      <c r="H8856" s="13"/>
    </row>
    <row r="8857">
      <c r="A8857" s="6"/>
      <c r="B8857" s="6"/>
      <c r="H8857" s="13"/>
    </row>
    <row r="8858">
      <c r="A8858" s="6"/>
      <c r="B8858" s="6"/>
      <c r="H8858" s="13"/>
    </row>
    <row r="8859">
      <c r="A8859" s="6"/>
      <c r="B8859" s="6"/>
      <c r="H8859" s="13"/>
    </row>
    <row r="8860">
      <c r="A8860" s="6"/>
      <c r="B8860" s="6"/>
      <c r="H8860" s="13"/>
    </row>
    <row r="8861">
      <c r="A8861" s="6"/>
      <c r="B8861" s="6"/>
      <c r="H8861" s="13"/>
    </row>
    <row r="8862">
      <c r="A8862" s="6"/>
      <c r="B8862" s="6"/>
      <c r="H8862" s="13"/>
    </row>
    <row r="8863">
      <c r="A8863" s="6"/>
      <c r="B8863" s="6"/>
      <c r="H8863" s="13"/>
    </row>
    <row r="8864">
      <c r="A8864" s="6"/>
      <c r="B8864" s="6"/>
      <c r="H8864" s="13"/>
    </row>
    <row r="8865">
      <c r="A8865" s="6"/>
      <c r="B8865" s="6"/>
      <c r="H8865" s="13"/>
    </row>
    <row r="8866">
      <c r="A8866" s="6"/>
      <c r="B8866" s="6"/>
      <c r="H8866" s="13"/>
    </row>
    <row r="8867">
      <c r="A8867" s="6"/>
      <c r="B8867" s="6"/>
      <c r="H8867" s="13"/>
    </row>
    <row r="8868">
      <c r="A8868" s="6"/>
      <c r="B8868" s="6"/>
      <c r="H8868" s="13"/>
    </row>
    <row r="8869">
      <c r="A8869" s="6"/>
      <c r="B8869" s="6"/>
      <c r="H8869" s="13"/>
    </row>
    <row r="8870">
      <c r="A8870" s="6"/>
      <c r="B8870" s="6"/>
      <c r="H8870" s="13"/>
    </row>
    <row r="8871">
      <c r="A8871" s="6"/>
      <c r="B8871" s="6"/>
      <c r="H8871" s="13"/>
    </row>
    <row r="8872">
      <c r="A8872" s="6"/>
      <c r="B8872" s="6"/>
      <c r="H8872" s="13"/>
    </row>
    <row r="8873">
      <c r="A8873" s="6"/>
      <c r="B8873" s="6"/>
      <c r="H8873" s="13"/>
    </row>
    <row r="8874">
      <c r="A8874" s="6"/>
      <c r="B8874" s="6"/>
      <c r="H8874" s="13"/>
    </row>
    <row r="8875">
      <c r="A8875" s="6"/>
      <c r="B8875" s="6"/>
      <c r="H8875" s="13"/>
    </row>
    <row r="8876">
      <c r="A8876" s="6"/>
      <c r="B8876" s="6"/>
      <c r="H8876" s="13"/>
    </row>
    <row r="8877">
      <c r="A8877" s="6"/>
      <c r="B8877" s="6"/>
      <c r="H8877" s="13"/>
    </row>
    <row r="8878">
      <c r="A8878" s="6"/>
      <c r="B8878" s="6"/>
      <c r="H8878" s="13"/>
    </row>
    <row r="8879">
      <c r="A8879" s="6"/>
      <c r="B8879" s="6"/>
      <c r="H8879" s="13"/>
    </row>
    <row r="8880">
      <c r="A8880" s="6"/>
      <c r="B8880" s="6"/>
      <c r="H8880" s="13"/>
    </row>
    <row r="8881">
      <c r="A8881" s="6"/>
      <c r="B8881" s="6"/>
      <c r="H8881" s="13"/>
    </row>
    <row r="8882">
      <c r="A8882" s="6"/>
      <c r="B8882" s="6"/>
      <c r="H8882" s="13"/>
    </row>
    <row r="8883">
      <c r="A8883" s="6"/>
      <c r="B8883" s="6"/>
      <c r="H8883" s="13"/>
    </row>
    <row r="8884">
      <c r="A8884" s="6"/>
      <c r="B8884" s="6"/>
      <c r="H8884" s="13"/>
    </row>
    <row r="8885">
      <c r="A8885" s="6"/>
      <c r="B8885" s="6"/>
      <c r="H8885" s="13"/>
    </row>
    <row r="8886">
      <c r="A8886" s="6"/>
      <c r="B8886" s="6"/>
      <c r="H8886" s="13"/>
    </row>
    <row r="8887">
      <c r="A8887" s="6"/>
      <c r="B8887" s="6"/>
      <c r="H8887" s="13"/>
    </row>
    <row r="8888">
      <c r="A8888" s="6"/>
      <c r="B8888" s="6"/>
      <c r="H8888" s="13"/>
    </row>
    <row r="8889">
      <c r="A8889" s="6"/>
      <c r="B8889" s="6"/>
      <c r="H8889" s="13"/>
    </row>
    <row r="8890">
      <c r="A8890" s="6"/>
      <c r="B8890" s="6"/>
      <c r="H8890" s="13"/>
    </row>
    <row r="8891">
      <c r="A8891" s="6"/>
      <c r="B8891" s="6"/>
      <c r="H8891" s="13"/>
    </row>
    <row r="8892">
      <c r="A8892" s="6"/>
      <c r="B8892" s="6"/>
      <c r="H8892" s="13"/>
    </row>
    <row r="8893">
      <c r="A8893" s="6"/>
      <c r="B8893" s="6"/>
      <c r="H8893" s="13"/>
    </row>
    <row r="8894">
      <c r="A8894" s="6"/>
      <c r="B8894" s="6"/>
      <c r="H8894" s="13"/>
    </row>
    <row r="8895">
      <c r="A8895" s="6"/>
      <c r="B8895" s="6"/>
      <c r="H8895" s="13"/>
    </row>
    <row r="8896">
      <c r="A8896" s="6"/>
      <c r="B8896" s="6"/>
      <c r="H8896" s="13"/>
    </row>
    <row r="8897">
      <c r="A8897" s="6"/>
      <c r="B8897" s="6"/>
      <c r="H8897" s="13"/>
    </row>
    <row r="8898">
      <c r="A8898" s="6"/>
      <c r="B8898" s="6"/>
      <c r="H8898" s="13"/>
    </row>
    <row r="8899">
      <c r="A8899" s="6"/>
      <c r="B8899" s="6"/>
      <c r="H8899" s="13"/>
    </row>
    <row r="8900">
      <c r="A8900" s="6"/>
      <c r="B8900" s="6"/>
      <c r="H8900" s="13"/>
    </row>
    <row r="8901">
      <c r="A8901" s="6"/>
      <c r="B8901" s="6"/>
      <c r="H8901" s="13"/>
    </row>
    <row r="8902">
      <c r="A8902" s="6"/>
      <c r="B8902" s="6"/>
      <c r="H8902" s="13"/>
    </row>
    <row r="8903">
      <c r="A8903" s="6"/>
      <c r="B8903" s="6"/>
      <c r="H8903" s="13"/>
    </row>
    <row r="8904">
      <c r="A8904" s="6"/>
      <c r="B8904" s="6"/>
      <c r="H8904" s="13"/>
    </row>
    <row r="8905">
      <c r="A8905" s="6"/>
      <c r="B8905" s="6"/>
      <c r="H8905" s="13"/>
    </row>
    <row r="8906">
      <c r="A8906" s="6"/>
      <c r="B8906" s="6"/>
      <c r="H8906" s="13"/>
    </row>
    <row r="8907">
      <c r="A8907" s="6"/>
      <c r="B8907" s="6"/>
      <c r="H8907" s="13"/>
    </row>
    <row r="8908">
      <c r="A8908" s="6"/>
      <c r="B8908" s="6"/>
      <c r="H8908" s="13"/>
    </row>
    <row r="8909">
      <c r="A8909" s="6"/>
      <c r="B8909" s="6"/>
      <c r="H8909" s="13"/>
    </row>
    <row r="8910">
      <c r="A8910" s="6"/>
      <c r="B8910" s="6"/>
      <c r="H8910" s="13"/>
    </row>
    <row r="8911">
      <c r="A8911" s="6"/>
      <c r="B8911" s="6"/>
      <c r="H8911" s="13"/>
    </row>
    <row r="8912">
      <c r="A8912" s="6"/>
      <c r="B8912" s="6"/>
      <c r="H8912" s="13"/>
    </row>
    <row r="8913">
      <c r="A8913" s="6"/>
      <c r="B8913" s="6"/>
      <c r="H8913" s="13"/>
    </row>
    <row r="8914">
      <c r="A8914" s="6"/>
      <c r="B8914" s="6"/>
      <c r="H8914" s="13"/>
    </row>
    <row r="8915">
      <c r="A8915" s="6"/>
      <c r="B8915" s="6"/>
      <c r="H8915" s="13"/>
    </row>
    <row r="8916">
      <c r="A8916" s="6"/>
      <c r="B8916" s="6"/>
      <c r="H8916" s="13"/>
    </row>
    <row r="8917">
      <c r="A8917" s="6"/>
      <c r="B8917" s="6"/>
      <c r="H8917" s="13"/>
    </row>
    <row r="8918">
      <c r="A8918" s="6"/>
      <c r="B8918" s="6"/>
      <c r="H8918" s="13"/>
    </row>
    <row r="8919">
      <c r="A8919" s="6"/>
      <c r="B8919" s="6"/>
      <c r="H8919" s="13"/>
    </row>
    <row r="8920">
      <c r="A8920" s="6"/>
      <c r="B8920" s="6"/>
      <c r="H8920" s="13"/>
    </row>
    <row r="8921">
      <c r="A8921" s="6"/>
      <c r="B8921" s="6"/>
      <c r="H8921" s="13"/>
    </row>
    <row r="8922">
      <c r="A8922" s="6"/>
      <c r="B8922" s="6"/>
      <c r="H8922" s="13"/>
    </row>
    <row r="8923">
      <c r="A8923" s="6"/>
      <c r="B8923" s="6"/>
      <c r="H8923" s="13"/>
    </row>
    <row r="8924">
      <c r="A8924" s="6"/>
      <c r="B8924" s="6"/>
      <c r="H8924" s="13"/>
    </row>
    <row r="8925">
      <c r="A8925" s="6"/>
      <c r="B8925" s="6"/>
      <c r="H8925" s="13"/>
    </row>
    <row r="8926">
      <c r="A8926" s="6"/>
      <c r="B8926" s="6"/>
      <c r="H8926" s="13"/>
    </row>
    <row r="8927">
      <c r="A8927" s="6"/>
      <c r="B8927" s="6"/>
      <c r="H8927" s="13"/>
    </row>
    <row r="8928">
      <c r="A8928" s="6"/>
      <c r="B8928" s="6"/>
      <c r="H8928" s="13"/>
    </row>
    <row r="8929">
      <c r="A8929" s="6"/>
      <c r="B8929" s="6"/>
      <c r="H8929" s="13"/>
    </row>
    <row r="8930">
      <c r="A8930" s="6"/>
      <c r="B8930" s="6"/>
      <c r="H8930" s="13"/>
    </row>
    <row r="8931">
      <c r="A8931" s="6"/>
      <c r="B8931" s="6"/>
      <c r="H8931" s="13"/>
    </row>
    <row r="8932">
      <c r="A8932" s="6"/>
      <c r="B8932" s="6"/>
      <c r="H8932" s="13"/>
    </row>
    <row r="8933">
      <c r="A8933" s="6"/>
      <c r="B8933" s="6"/>
      <c r="H8933" s="13"/>
    </row>
    <row r="8934">
      <c r="A8934" s="6"/>
      <c r="B8934" s="6"/>
      <c r="H8934" s="13"/>
    </row>
    <row r="8935">
      <c r="A8935" s="6"/>
      <c r="B8935" s="6"/>
      <c r="H8935" s="13"/>
    </row>
    <row r="8936">
      <c r="A8936" s="6"/>
      <c r="B8936" s="6"/>
      <c r="H8936" s="13"/>
    </row>
    <row r="8937">
      <c r="A8937" s="6"/>
      <c r="B8937" s="6"/>
      <c r="H8937" s="13"/>
    </row>
    <row r="8938">
      <c r="A8938" s="6"/>
      <c r="B8938" s="6"/>
      <c r="H8938" s="13"/>
    </row>
    <row r="8939">
      <c r="A8939" s="6"/>
      <c r="B8939" s="6"/>
      <c r="H8939" s="13"/>
    </row>
    <row r="8940">
      <c r="A8940" s="6"/>
      <c r="B8940" s="6"/>
      <c r="H8940" s="13"/>
    </row>
    <row r="8941">
      <c r="A8941" s="6"/>
      <c r="B8941" s="6"/>
      <c r="H8941" s="13"/>
    </row>
    <row r="8942">
      <c r="A8942" s="6"/>
      <c r="B8942" s="6"/>
      <c r="H8942" s="13"/>
    </row>
    <row r="8943">
      <c r="A8943" s="6"/>
      <c r="B8943" s="6"/>
      <c r="H8943" s="13"/>
    </row>
    <row r="8944">
      <c r="A8944" s="6"/>
      <c r="B8944" s="6"/>
      <c r="H8944" s="13"/>
    </row>
    <row r="8945">
      <c r="A8945" s="6"/>
      <c r="B8945" s="6"/>
      <c r="H8945" s="13"/>
    </row>
    <row r="8946">
      <c r="A8946" s="6"/>
      <c r="B8946" s="6"/>
      <c r="H8946" s="13"/>
    </row>
    <row r="8947">
      <c r="A8947" s="6"/>
      <c r="B8947" s="6"/>
      <c r="H8947" s="13"/>
    </row>
    <row r="8948">
      <c r="A8948" s="6"/>
      <c r="B8948" s="6"/>
      <c r="H8948" s="13"/>
    </row>
    <row r="8949">
      <c r="A8949" s="6"/>
      <c r="B8949" s="6"/>
      <c r="H8949" s="13"/>
    </row>
    <row r="8950">
      <c r="A8950" s="6"/>
      <c r="B8950" s="6"/>
      <c r="H8950" s="13"/>
    </row>
    <row r="8951">
      <c r="A8951" s="6"/>
      <c r="B8951" s="6"/>
      <c r="H8951" s="13"/>
    </row>
    <row r="8952">
      <c r="A8952" s="6"/>
      <c r="B8952" s="6"/>
      <c r="H8952" s="13"/>
    </row>
    <row r="8953">
      <c r="A8953" s="6"/>
      <c r="B8953" s="6"/>
      <c r="H8953" s="13"/>
    </row>
    <row r="8954">
      <c r="A8954" s="6"/>
      <c r="B8954" s="6"/>
      <c r="H8954" s="13"/>
    </row>
    <row r="8955">
      <c r="A8955" s="6"/>
      <c r="B8955" s="6"/>
      <c r="H8955" s="13"/>
    </row>
    <row r="8956">
      <c r="A8956" s="6"/>
      <c r="B8956" s="6"/>
      <c r="H8956" s="13"/>
    </row>
    <row r="8957">
      <c r="A8957" s="6"/>
      <c r="B8957" s="6"/>
      <c r="H8957" s="13"/>
    </row>
    <row r="8958">
      <c r="A8958" s="6"/>
      <c r="B8958" s="6"/>
      <c r="H8958" s="13"/>
    </row>
    <row r="8959">
      <c r="A8959" s="6"/>
      <c r="B8959" s="6"/>
      <c r="H8959" s="13"/>
    </row>
    <row r="8960">
      <c r="A8960" s="6"/>
      <c r="B8960" s="6"/>
      <c r="H8960" s="13"/>
    </row>
    <row r="8961">
      <c r="A8961" s="6"/>
      <c r="B8961" s="6"/>
      <c r="H8961" s="13"/>
    </row>
    <row r="8962">
      <c r="A8962" s="6"/>
      <c r="B8962" s="6"/>
      <c r="H8962" s="13"/>
    </row>
    <row r="8963">
      <c r="A8963" s="6"/>
      <c r="B8963" s="6"/>
      <c r="H8963" s="13"/>
    </row>
    <row r="8964">
      <c r="A8964" s="6"/>
      <c r="B8964" s="6"/>
      <c r="H8964" s="13"/>
    </row>
    <row r="8965">
      <c r="A8965" s="6"/>
      <c r="B8965" s="6"/>
      <c r="H8965" s="13"/>
    </row>
    <row r="8966">
      <c r="A8966" s="6"/>
      <c r="B8966" s="6"/>
      <c r="H8966" s="13"/>
    </row>
    <row r="8967">
      <c r="A8967" s="6"/>
      <c r="B8967" s="6"/>
      <c r="H8967" s="13"/>
    </row>
    <row r="8968">
      <c r="A8968" s="6"/>
      <c r="B8968" s="6"/>
      <c r="H8968" s="13"/>
    </row>
    <row r="8969">
      <c r="A8969" s="6"/>
      <c r="B8969" s="6"/>
      <c r="H8969" s="13"/>
    </row>
    <row r="8970">
      <c r="A8970" s="6"/>
      <c r="B8970" s="6"/>
      <c r="H8970" s="13"/>
    </row>
    <row r="8971">
      <c r="A8971" s="6"/>
      <c r="B8971" s="6"/>
      <c r="H8971" s="13"/>
    </row>
    <row r="8972">
      <c r="A8972" s="6"/>
      <c r="B8972" s="6"/>
      <c r="H8972" s="13"/>
    </row>
    <row r="8973">
      <c r="A8973" s="6"/>
      <c r="B8973" s="6"/>
      <c r="H8973" s="13"/>
    </row>
    <row r="8974">
      <c r="A8974" s="6"/>
      <c r="B8974" s="6"/>
      <c r="H8974" s="13"/>
    </row>
    <row r="8975">
      <c r="A8975" s="6"/>
      <c r="B8975" s="6"/>
      <c r="H8975" s="13"/>
    </row>
    <row r="8976">
      <c r="A8976" s="6"/>
      <c r="B8976" s="6"/>
      <c r="H8976" s="13"/>
    </row>
    <row r="8977">
      <c r="A8977" s="6"/>
      <c r="B8977" s="6"/>
      <c r="H8977" s="13"/>
    </row>
    <row r="8978">
      <c r="A8978" s="6"/>
      <c r="B8978" s="6"/>
      <c r="H8978" s="13"/>
    </row>
    <row r="8979">
      <c r="A8979" s="6"/>
      <c r="B8979" s="6"/>
      <c r="H8979" s="13"/>
    </row>
    <row r="8980">
      <c r="A8980" s="6"/>
      <c r="B8980" s="6"/>
      <c r="H8980" s="13"/>
    </row>
    <row r="8981">
      <c r="A8981" s="6"/>
      <c r="B8981" s="6"/>
      <c r="H8981" s="13"/>
    </row>
    <row r="8982">
      <c r="A8982" s="6"/>
      <c r="B8982" s="6"/>
      <c r="H8982" s="13"/>
    </row>
    <row r="8983">
      <c r="A8983" s="6"/>
      <c r="B8983" s="6"/>
      <c r="H8983" s="13"/>
    </row>
    <row r="8984">
      <c r="A8984" s="6"/>
      <c r="B8984" s="6"/>
      <c r="H8984" s="13"/>
    </row>
    <row r="8985">
      <c r="A8985" s="6"/>
      <c r="B8985" s="6"/>
      <c r="H8985" s="13"/>
    </row>
    <row r="8986">
      <c r="A8986" s="6"/>
      <c r="B8986" s="6"/>
      <c r="H8986" s="13"/>
    </row>
    <row r="8987">
      <c r="A8987" s="6"/>
      <c r="B8987" s="6"/>
      <c r="H8987" s="13"/>
    </row>
    <row r="8988">
      <c r="A8988" s="6"/>
      <c r="B8988" s="6"/>
      <c r="H8988" s="13"/>
    </row>
    <row r="8989">
      <c r="A8989" s="6"/>
      <c r="B8989" s="6"/>
      <c r="H8989" s="13"/>
    </row>
    <row r="8990">
      <c r="A8990" s="6"/>
      <c r="B8990" s="6"/>
      <c r="H8990" s="13"/>
    </row>
    <row r="8991">
      <c r="A8991" s="6"/>
      <c r="B8991" s="6"/>
      <c r="H8991" s="13"/>
    </row>
    <row r="8992">
      <c r="A8992" s="6"/>
      <c r="B8992" s="6"/>
      <c r="H8992" s="13"/>
    </row>
    <row r="8993">
      <c r="A8993" s="6"/>
      <c r="B8993" s="6"/>
      <c r="H8993" s="13"/>
    </row>
    <row r="8994">
      <c r="A8994" s="6"/>
      <c r="B8994" s="6"/>
      <c r="H8994" s="13"/>
    </row>
    <row r="8995">
      <c r="A8995" s="6"/>
      <c r="B8995" s="6"/>
      <c r="H8995" s="13"/>
    </row>
    <row r="8996">
      <c r="A8996" s="6"/>
      <c r="B8996" s="6"/>
      <c r="H8996" s="13"/>
    </row>
    <row r="8997">
      <c r="A8997" s="6"/>
      <c r="B8997" s="6"/>
      <c r="H8997" s="13"/>
    </row>
    <row r="8998">
      <c r="A8998" s="6"/>
      <c r="B8998" s="6"/>
      <c r="H8998" s="13"/>
    </row>
    <row r="8999">
      <c r="A8999" s="6"/>
      <c r="B8999" s="6"/>
      <c r="H8999" s="13"/>
    </row>
    <row r="9000">
      <c r="A9000" s="6"/>
      <c r="B9000" s="6"/>
      <c r="H9000" s="13"/>
    </row>
    <row r="9001">
      <c r="A9001" s="6"/>
      <c r="B9001" s="6"/>
      <c r="H9001" s="13"/>
    </row>
    <row r="9002">
      <c r="A9002" s="6"/>
      <c r="B9002" s="6"/>
      <c r="H9002" s="13"/>
    </row>
    <row r="9003">
      <c r="A9003" s="6"/>
      <c r="B9003" s="6"/>
      <c r="H9003" s="13"/>
    </row>
    <row r="9004">
      <c r="A9004" s="6"/>
      <c r="B9004" s="6"/>
      <c r="H9004" s="13"/>
    </row>
    <row r="9005">
      <c r="A9005" s="6"/>
      <c r="B9005" s="6"/>
      <c r="H9005" s="13"/>
    </row>
    <row r="9006">
      <c r="A9006" s="6"/>
      <c r="B9006" s="6"/>
      <c r="H9006" s="13"/>
    </row>
    <row r="9007">
      <c r="A9007" s="6"/>
      <c r="B9007" s="6"/>
      <c r="H9007" s="13"/>
    </row>
    <row r="9008">
      <c r="A9008" s="6"/>
      <c r="B9008" s="6"/>
      <c r="H9008" s="13"/>
    </row>
    <row r="9009">
      <c r="A9009" s="6"/>
      <c r="B9009" s="6"/>
      <c r="H9009" s="13"/>
    </row>
    <row r="9010">
      <c r="A9010" s="6"/>
      <c r="B9010" s="6"/>
      <c r="H9010" s="13"/>
    </row>
    <row r="9011">
      <c r="A9011" s="6"/>
      <c r="B9011" s="6"/>
      <c r="H9011" s="13"/>
    </row>
    <row r="9012">
      <c r="A9012" s="6"/>
      <c r="B9012" s="6"/>
      <c r="H9012" s="13"/>
    </row>
    <row r="9013">
      <c r="A9013" s="6"/>
      <c r="B9013" s="6"/>
      <c r="H9013" s="13"/>
    </row>
    <row r="9014">
      <c r="A9014" s="6"/>
      <c r="B9014" s="6"/>
      <c r="H9014" s="13"/>
    </row>
    <row r="9015">
      <c r="A9015" s="6"/>
      <c r="B9015" s="6"/>
      <c r="H9015" s="13"/>
    </row>
    <row r="9016">
      <c r="A9016" s="6"/>
      <c r="B9016" s="6"/>
      <c r="H9016" s="13"/>
    </row>
    <row r="9017">
      <c r="A9017" s="6"/>
      <c r="B9017" s="6"/>
      <c r="H9017" s="13"/>
    </row>
    <row r="9018">
      <c r="A9018" s="6"/>
      <c r="B9018" s="6"/>
      <c r="H9018" s="13"/>
    </row>
    <row r="9019">
      <c r="A9019" s="6"/>
      <c r="B9019" s="6"/>
      <c r="H9019" s="13"/>
    </row>
    <row r="9020">
      <c r="A9020" s="6"/>
      <c r="B9020" s="6"/>
      <c r="H9020" s="13"/>
    </row>
    <row r="9021">
      <c r="A9021" s="6"/>
      <c r="B9021" s="6"/>
      <c r="H9021" s="13"/>
    </row>
    <row r="9022">
      <c r="A9022" s="6"/>
      <c r="B9022" s="6"/>
      <c r="H9022" s="13"/>
    </row>
    <row r="9023">
      <c r="A9023" s="6"/>
      <c r="B9023" s="6"/>
      <c r="H9023" s="13"/>
    </row>
    <row r="9024">
      <c r="A9024" s="6"/>
      <c r="B9024" s="6"/>
      <c r="H9024" s="13"/>
    </row>
    <row r="9025">
      <c r="A9025" s="6"/>
      <c r="B9025" s="6"/>
      <c r="H9025" s="13"/>
    </row>
    <row r="9026">
      <c r="A9026" s="6"/>
      <c r="B9026" s="6"/>
      <c r="H9026" s="13"/>
    </row>
    <row r="9027">
      <c r="A9027" s="6"/>
      <c r="B9027" s="6"/>
      <c r="H9027" s="13"/>
    </row>
    <row r="9028">
      <c r="A9028" s="6"/>
      <c r="B9028" s="6"/>
      <c r="H9028" s="13"/>
    </row>
    <row r="9029">
      <c r="A9029" s="6"/>
      <c r="B9029" s="6"/>
      <c r="H9029" s="13"/>
    </row>
    <row r="9030">
      <c r="A9030" s="6"/>
      <c r="B9030" s="6"/>
      <c r="H9030" s="13"/>
    </row>
    <row r="9031">
      <c r="A9031" s="6"/>
      <c r="B9031" s="6"/>
      <c r="H9031" s="13"/>
    </row>
    <row r="9032">
      <c r="A9032" s="6"/>
      <c r="B9032" s="6"/>
      <c r="H9032" s="13"/>
    </row>
    <row r="9033">
      <c r="A9033" s="6"/>
      <c r="B9033" s="6"/>
      <c r="H9033" s="13"/>
    </row>
    <row r="9034">
      <c r="A9034" s="6"/>
      <c r="B9034" s="6"/>
      <c r="H9034" s="13"/>
    </row>
    <row r="9035">
      <c r="A9035" s="6"/>
      <c r="B9035" s="6"/>
      <c r="H9035" s="13"/>
    </row>
    <row r="9036">
      <c r="A9036" s="6"/>
      <c r="B9036" s="6"/>
      <c r="H9036" s="13"/>
    </row>
    <row r="9037">
      <c r="A9037" s="6"/>
      <c r="B9037" s="6"/>
      <c r="H9037" s="13"/>
    </row>
    <row r="9038">
      <c r="A9038" s="6"/>
      <c r="B9038" s="6"/>
      <c r="H9038" s="13"/>
    </row>
    <row r="9039">
      <c r="A9039" s="6"/>
      <c r="B9039" s="6"/>
      <c r="H9039" s="13"/>
    </row>
    <row r="9040">
      <c r="A9040" s="6"/>
      <c r="B9040" s="6"/>
      <c r="H9040" s="13"/>
    </row>
    <row r="9041">
      <c r="A9041" s="6"/>
      <c r="B9041" s="6"/>
      <c r="H9041" s="13"/>
    </row>
    <row r="9042">
      <c r="A9042" s="6"/>
      <c r="B9042" s="6"/>
      <c r="H9042" s="13"/>
    </row>
    <row r="9043">
      <c r="A9043" s="6"/>
      <c r="B9043" s="6"/>
      <c r="H9043" s="13"/>
    </row>
    <row r="9044">
      <c r="A9044" s="6"/>
      <c r="B9044" s="6"/>
      <c r="H9044" s="13"/>
    </row>
    <row r="9045">
      <c r="A9045" s="6"/>
      <c r="B9045" s="6"/>
      <c r="H9045" s="13"/>
    </row>
    <row r="9046">
      <c r="A9046" s="6"/>
      <c r="B9046" s="6"/>
      <c r="H9046" s="13"/>
    </row>
    <row r="9047">
      <c r="A9047" s="6"/>
      <c r="B9047" s="6"/>
      <c r="H9047" s="13"/>
    </row>
    <row r="9048">
      <c r="A9048" s="6"/>
      <c r="B9048" s="6"/>
      <c r="H9048" s="13"/>
    </row>
    <row r="9049">
      <c r="A9049" s="6"/>
      <c r="B9049" s="6"/>
      <c r="H9049" s="13"/>
    </row>
    <row r="9050">
      <c r="A9050" s="6"/>
      <c r="B9050" s="6"/>
      <c r="H9050" s="13"/>
    </row>
    <row r="9051">
      <c r="A9051" s="6"/>
      <c r="B9051" s="6"/>
      <c r="H9051" s="13"/>
    </row>
    <row r="9052">
      <c r="A9052" s="6"/>
      <c r="B9052" s="6"/>
      <c r="H9052" s="13"/>
    </row>
    <row r="9053">
      <c r="A9053" s="6"/>
      <c r="B9053" s="6"/>
      <c r="H9053" s="13"/>
    </row>
    <row r="9054">
      <c r="A9054" s="6"/>
      <c r="B9054" s="6"/>
      <c r="H9054" s="13"/>
    </row>
    <row r="9055">
      <c r="A9055" s="6"/>
      <c r="B9055" s="6"/>
      <c r="H9055" s="13"/>
    </row>
    <row r="9056">
      <c r="A9056" s="6"/>
      <c r="B9056" s="6"/>
      <c r="H9056" s="13"/>
    </row>
    <row r="9057">
      <c r="A9057" s="6"/>
      <c r="B9057" s="6"/>
      <c r="H9057" s="13"/>
    </row>
    <row r="9058">
      <c r="A9058" s="6"/>
      <c r="B9058" s="6"/>
      <c r="H9058" s="13"/>
    </row>
    <row r="9059">
      <c r="A9059" s="6"/>
      <c r="B9059" s="6"/>
      <c r="H9059" s="13"/>
    </row>
    <row r="9060">
      <c r="A9060" s="6"/>
      <c r="B9060" s="6"/>
      <c r="H9060" s="13"/>
    </row>
    <row r="9061">
      <c r="A9061" s="6"/>
      <c r="B9061" s="6"/>
      <c r="H9061" s="13"/>
    </row>
    <row r="9062">
      <c r="A9062" s="6"/>
      <c r="B9062" s="6"/>
      <c r="H9062" s="13"/>
    </row>
    <row r="9063">
      <c r="A9063" s="6"/>
      <c r="B9063" s="6"/>
      <c r="H9063" s="13"/>
    </row>
    <row r="9064">
      <c r="A9064" s="6"/>
      <c r="B9064" s="6"/>
      <c r="H9064" s="13"/>
    </row>
    <row r="9065">
      <c r="A9065" s="6"/>
      <c r="B9065" s="6"/>
      <c r="H9065" s="13"/>
    </row>
    <row r="9066">
      <c r="A9066" s="6"/>
      <c r="B9066" s="6"/>
      <c r="H9066" s="13"/>
    </row>
    <row r="9067">
      <c r="A9067" s="6"/>
      <c r="B9067" s="6"/>
      <c r="H9067" s="13"/>
    </row>
    <row r="9068">
      <c r="A9068" s="6"/>
      <c r="B9068" s="6"/>
      <c r="H9068" s="13"/>
    </row>
    <row r="9069">
      <c r="A9069" s="6"/>
      <c r="B9069" s="6"/>
      <c r="H9069" s="13"/>
    </row>
    <row r="9070">
      <c r="A9070" s="6"/>
      <c r="B9070" s="6"/>
      <c r="H9070" s="13"/>
    </row>
    <row r="9071">
      <c r="A9071" s="6"/>
      <c r="B9071" s="6"/>
      <c r="H9071" s="13"/>
    </row>
    <row r="9072">
      <c r="A9072" s="6"/>
      <c r="B9072" s="6"/>
      <c r="H9072" s="13"/>
    </row>
    <row r="9073">
      <c r="A9073" s="6"/>
      <c r="B9073" s="6"/>
      <c r="H9073" s="13"/>
    </row>
    <row r="9074">
      <c r="A9074" s="6"/>
      <c r="B9074" s="6"/>
      <c r="H9074" s="13"/>
    </row>
    <row r="9075">
      <c r="A9075" s="6"/>
      <c r="B9075" s="6"/>
      <c r="H9075" s="13"/>
    </row>
    <row r="9076">
      <c r="A9076" s="6"/>
      <c r="B9076" s="6"/>
      <c r="H9076" s="13"/>
    </row>
    <row r="9077">
      <c r="A9077" s="6"/>
      <c r="B9077" s="6"/>
      <c r="H9077" s="13"/>
    </row>
    <row r="9078">
      <c r="A9078" s="6"/>
      <c r="B9078" s="6"/>
      <c r="H9078" s="13"/>
    </row>
    <row r="9079">
      <c r="A9079" s="6"/>
      <c r="B9079" s="6"/>
      <c r="H9079" s="13"/>
    </row>
    <row r="9080">
      <c r="A9080" s="6"/>
      <c r="B9080" s="6"/>
      <c r="H9080" s="13"/>
    </row>
    <row r="9081">
      <c r="A9081" s="6"/>
      <c r="B9081" s="6"/>
      <c r="H9081" s="13"/>
    </row>
    <row r="9082">
      <c r="A9082" s="6"/>
      <c r="B9082" s="6"/>
      <c r="H9082" s="13"/>
    </row>
    <row r="9083">
      <c r="A9083" s="6"/>
      <c r="B9083" s="6"/>
      <c r="H9083" s="13"/>
    </row>
    <row r="9084">
      <c r="A9084" s="6"/>
      <c r="B9084" s="6"/>
      <c r="H9084" s="13"/>
    </row>
    <row r="9085">
      <c r="A9085" s="6"/>
      <c r="B9085" s="6"/>
      <c r="H9085" s="13"/>
    </row>
    <row r="9086">
      <c r="A9086" s="6"/>
      <c r="B9086" s="6"/>
      <c r="H9086" s="13"/>
    </row>
    <row r="9087">
      <c r="A9087" s="6"/>
      <c r="B9087" s="6"/>
      <c r="H9087" s="13"/>
    </row>
    <row r="9088">
      <c r="A9088" s="6"/>
      <c r="B9088" s="6"/>
      <c r="H9088" s="13"/>
    </row>
    <row r="9089">
      <c r="A9089" s="6"/>
      <c r="B9089" s="6"/>
      <c r="H9089" s="13"/>
    </row>
    <row r="9090">
      <c r="A9090" s="6"/>
      <c r="B9090" s="6"/>
      <c r="H9090" s="13"/>
    </row>
    <row r="9091">
      <c r="A9091" s="6"/>
      <c r="B9091" s="6"/>
      <c r="H9091" s="13"/>
    </row>
    <row r="9092">
      <c r="A9092" s="6"/>
      <c r="B9092" s="6"/>
      <c r="H9092" s="13"/>
    </row>
    <row r="9093">
      <c r="A9093" s="6"/>
      <c r="B9093" s="6"/>
      <c r="H9093" s="13"/>
    </row>
    <row r="9094">
      <c r="A9094" s="6"/>
      <c r="B9094" s="6"/>
      <c r="H9094" s="13"/>
    </row>
    <row r="9095">
      <c r="A9095" s="6"/>
      <c r="B9095" s="6"/>
      <c r="H9095" s="13"/>
    </row>
    <row r="9096">
      <c r="A9096" s="6"/>
      <c r="B9096" s="6"/>
      <c r="H9096" s="13"/>
    </row>
    <row r="9097">
      <c r="A9097" s="6"/>
      <c r="B9097" s="6"/>
      <c r="H9097" s="13"/>
    </row>
    <row r="9098">
      <c r="A9098" s="6"/>
      <c r="B9098" s="6"/>
      <c r="H9098" s="13"/>
    </row>
    <row r="9099">
      <c r="A9099" s="6"/>
      <c r="B9099" s="6"/>
      <c r="H9099" s="13"/>
    </row>
    <row r="9100">
      <c r="A9100" s="6"/>
      <c r="B9100" s="6"/>
      <c r="H9100" s="13"/>
    </row>
    <row r="9101">
      <c r="A9101" s="6"/>
      <c r="B9101" s="6"/>
      <c r="H9101" s="13"/>
    </row>
    <row r="9102">
      <c r="A9102" s="6"/>
      <c r="B9102" s="6"/>
      <c r="H9102" s="13"/>
    </row>
    <row r="9103">
      <c r="A9103" s="6"/>
      <c r="B9103" s="6"/>
      <c r="H9103" s="13"/>
    </row>
    <row r="9104">
      <c r="A9104" s="6"/>
      <c r="B9104" s="6"/>
      <c r="H9104" s="13"/>
    </row>
    <row r="9105">
      <c r="A9105" s="6"/>
      <c r="B9105" s="6"/>
      <c r="H9105" s="13"/>
    </row>
    <row r="9106">
      <c r="A9106" s="6"/>
      <c r="B9106" s="6"/>
      <c r="H9106" s="13"/>
    </row>
    <row r="9107">
      <c r="A9107" s="6"/>
      <c r="B9107" s="6"/>
      <c r="H9107" s="13"/>
    </row>
    <row r="9108">
      <c r="A9108" s="6"/>
      <c r="B9108" s="6"/>
      <c r="H9108" s="13"/>
    </row>
    <row r="9109">
      <c r="A9109" s="6"/>
      <c r="B9109" s="6"/>
      <c r="H9109" s="13"/>
    </row>
    <row r="9110">
      <c r="A9110" s="6"/>
      <c r="B9110" s="6"/>
      <c r="H9110" s="13"/>
    </row>
    <row r="9111">
      <c r="A9111" s="6"/>
      <c r="B9111" s="6"/>
      <c r="H9111" s="13"/>
    </row>
    <row r="9112">
      <c r="A9112" s="6"/>
      <c r="B9112" s="6"/>
      <c r="H9112" s="13"/>
    </row>
    <row r="9113">
      <c r="A9113" s="6"/>
      <c r="B9113" s="6"/>
      <c r="H9113" s="13"/>
    </row>
    <row r="9114">
      <c r="A9114" s="6"/>
      <c r="B9114" s="6"/>
      <c r="H9114" s="13"/>
    </row>
    <row r="9115">
      <c r="A9115" s="6"/>
      <c r="B9115" s="6"/>
      <c r="H9115" s="13"/>
    </row>
    <row r="9116">
      <c r="A9116" s="6"/>
      <c r="B9116" s="6"/>
      <c r="H9116" s="13"/>
    </row>
    <row r="9117">
      <c r="A9117" s="6"/>
      <c r="B9117" s="6"/>
      <c r="H9117" s="13"/>
    </row>
    <row r="9118">
      <c r="A9118" s="6"/>
      <c r="B9118" s="6"/>
      <c r="H9118" s="13"/>
    </row>
    <row r="9119">
      <c r="A9119" s="6"/>
      <c r="B9119" s="6"/>
      <c r="H9119" s="13"/>
    </row>
    <row r="9120">
      <c r="A9120" s="6"/>
      <c r="B9120" s="6"/>
      <c r="H9120" s="13"/>
    </row>
    <row r="9121">
      <c r="A9121" s="6"/>
      <c r="B9121" s="6"/>
      <c r="H9121" s="13"/>
    </row>
    <row r="9122">
      <c r="A9122" s="6"/>
      <c r="B9122" s="6"/>
      <c r="H9122" s="13"/>
    </row>
    <row r="9123">
      <c r="A9123" s="6"/>
      <c r="B9123" s="6"/>
      <c r="H9123" s="13"/>
    </row>
    <row r="9124">
      <c r="A9124" s="6"/>
      <c r="B9124" s="6"/>
      <c r="H9124" s="13"/>
    </row>
    <row r="9125">
      <c r="A9125" s="6"/>
      <c r="B9125" s="6"/>
      <c r="H9125" s="13"/>
    </row>
    <row r="9126">
      <c r="A9126" s="6"/>
      <c r="B9126" s="6"/>
      <c r="H9126" s="13"/>
    </row>
    <row r="9127">
      <c r="A9127" s="6"/>
      <c r="B9127" s="6"/>
      <c r="H9127" s="13"/>
    </row>
    <row r="9128">
      <c r="A9128" s="6"/>
      <c r="B9128" s="6"/>
      <c r="H9128" s="13"/>
    </row>
    <row r="9129">
      <c r="A9129" s="6"/>
      <c r="B9129" s="6"/>
      <c r="H9129" s="13"/>
    </row>
    <row r="9130">
      <c r="A9130" s="6"/>
      <c r="B9130" s="6"/>
      <c r="H9130" s="13"/>
    </row>
    <row r="9131">
      <c r="A9131" s="6"/>
      <c r="B9131" s="6"/>
      <c r="H9131" s="13"/>
    </row>
    <row r="9132">
      <c r="A9132" s="6"/>
      <c r="B9132" s="6"/>
      <c r="H9132" s="13"/>
    </row>
    <row r="9133">
      <c r="A9133" s="6"/>
      <c r="B9133" s="6"/>
      <c r="H9133" s="13"/>
    </row>
    <row r="9134">
      <c r="A9134" s="6"/>
      <c r="B9134" s="6"/>
      <c r="H9134" s="13"/>
    </row>
    <row r="9135">
      <c r="A9135" s="6"/>
      <c r="B9135" s="6"/>
      <c r="H9135" s="13"/>
    </row>
    <row r="9136">
      <c r="A9136" s="6"/>
      <c r="B9136" s="6"/>
      <c r="H9136" s="13"/>
    </row>
    <row r="9137">
      <c r="A9137" s="6"/>
      <c r="B9137" s="6"/>
      <c r="H9137" s="13"/>
    </row>
    <row r="9138">
      <c r="A9138" s="6"/>
      <c r="B9138" s="6"/>
      <c r="H9138" s="13"/>
    </row>
    <row r="9139">
      <c r="A9139" s="6"/>
      <c r="B9139" s="6"/>
      <c r="H9139" s="13"/>
    </row>
    <row r="9140">
      <c r="A9140" s="6"/>
      <c r="B9140" s="6"/>
      <c r="H9140" s="13"/>
    </row>
    <row r="9141">
      <c r="A9141" s="6"/>
      <c r="B9141" s="6"/>
      <c r="H9141" s="13"/>
    </row>
    <row r="9142">
      <c r="A9142" s="6"/>
      <c r="B9142" s="6"/>
      <c r="H9142" s="13"/>
    </row>
    <row r="9143">
      <c r="A9143" s="6"/>
      <c r="B9143" s="6"/>
      <c r="H9143" s="13"/>
    </row>
    <row r="9144">
      <c r="A9144" s="6"/>
      <c r="B9144" s="6"/>
      <c r="H9144" s="13"/>
    </row>
    <row r="9145">
      <c r="A9145" s="6"/>
      <c r="B9145" s="6"/>
      <c r="H9145" s="13"/>
    </row>
    <row r="9146">
      <c r="A9146" s="6"/>
      <c r="B9146" s="6"/>
      <c r="H9146" s="13"/>
    </row>
    <row r="9147">
      <c r="A9147" s="6"/>
      <c r="B9147" s="6"/>
      <c r="H9147" s="13"/>
    </row>
    <row r="9148">
      <c r="A9148" s="6"/>
      <c r="B9148" s="6"/>
      <c r="H9148" s="13"/>
    </row>
    <row r="9149">
      <c r="A9149" s="6"/>
      <c r="B9149" s="6"/>
      <c r="H9149" s="13"/>
    </row>
    <row r="9150">
      <c r="A9150" s="6"/>
      <c r="B9150" s="6"/>
      <c r="H9150" s="13"/>
    </row>
    <row r="9151">
      <c r="A9151" s="6"/>
      <c r="B9151" s="6"/>
      <c r="H9151" s="13"/>
    </row>
    <row r="9152">
      <c r="A9152" s="6"/>
      <c r="B9152" s="6"/>
      <c r="H9152" s="13"/>
    </row>
    <row r="9153">
      <c r="A9153" s="6"/>
      <c r="B9153" s="6"/>
      <c r="H9153" s="13"/>
    </row>
    <row r="9154">
      <c r="A9154" s="6"/>
      <c r="B9154" s="6"/>
      <c r="H9154" s="13"/>
    </row>
    <row r="9155">
      <c r="A9155" s="6"/>
      <c r="B9155" s="6"/>
      <c r="H9155" s="13"/>
    </row>
    <row r="9156">
      <c r="A9156" s="6"/>
      <c r="B9156" s="6"/>
      <c r="H9156" s="13"/>
    </row>
    <row r="9157">
      <c r="A9157" s="6"/>
      <c r="B9157" s="6"/>
      <c r="H9157" s="13"/>
    </row>
    <row r="9158">
      <c r="A9158" s="6"/>
      <c r="B9158" s="6"/>
      <c r="H9158" s="13"/>
    </row>
    <row r="9159">
      <c r="A9159" s="6"/>
      <c r="B9159" s="6"/>
      <c r="H9159" s="13"/>
    </row>
    <row r="9160">
      <c r="A9160" s="6"/>
      <c r="B9160" s="6"/>
      <c r="H9160" s="13"/>
    </row>
    <row r="9161">
      <c r="A9161" s="6"/>
      <c r="B9161" s="6"/>
      <c r="H9161" s="13"/>
    </row>
    <row r="9162">
      <c r="A9162" s="6"/>
      <c r="B9162" s="6"/>
      <c r="H9162" s="13"/>
    </row>
    <row r="9163">
      <c r="A9163" s="6"/>
      <c r="B9163" s="6"/>
      <c r="H9163" s="13"/>
    </row>
    <row r="9164">
      <c r="A9164" s="6"/>
      <c r="B9164" s="6"/>
      <c r="H9164" s="13"/>
    </row>
    <row r="9165">
      <c r="A9165" s="6"/>
      <c r="B9165" s="6"/>
      <c r="H9165" s="13"/>
    </row>
    <row r="9166">
      <c r="A9166" s="6"/>
      <c r="B9166" s="6"/>
      <c r="H9166" s="13"/>
    </row>
    <row r="9167">
      <c r="A9167" s="6"/>
      <c r="B9167" s="6"/>
      <c r="H9167" s="13"/>
    </row>
    <row r="9168">
      <c r="A9168" s="6"/>
      <c r="B9168" s="6"/>
      <c r="H9168" s="13"/>
    </row>
    <row r="9169">
      <c r="A9169" s="6"/>
      <c r="B9169" s="6"/>
      <c r="H9169" s="13"/>
    </row>
    <row r="9170">
      <c r="A9170" s="6"/>
      <c r="B9170" s="6"/>
      <c r="H9170" s="13"/>
    </row>
    <row r="9171">
      <c r="A9171" s="6"/>
      <c r="B9171" s="6"/>
      <c r="H9171" s="13"/>
    </row>
    <row r="9172">
      <c r="A9172" s="6"/>
      <c r="B9172" s="6"/>
      <c r="H9172" s="13"/>
    </row>
    <row r="9173">
      <c r="A9173" s="6"/>
      <c r="B9173" s="6"/>
      <c r="H9173" s="13"/>
    </row>
    <row r="9174">
      <c r="A9174" s="6"/>
      <c r="B9174" s="6"/>
      <c r="H9174" s="13"/>
    </row>
    <row r="9175">
      <c r="A9175" s="6"/>
      <c r="B9175" s="6"/>
      <c r="H9175" s="13"/>
    </row>
    <row r="9176">
      <c r="A9176" s="6"/>
      <c r="B9176" s="6"/>
      <c r="H9176" s="13"/>
    </row>
    <row r="9177">
      <c r="A9177" s="6"/>
      <c r="B9177" s="6"/>
      <c r="H9177" s="13"/>
    </row>
    <row r="9178">
      <c r="A9178" s="6"/>
      <c r="B9178" s="6"/>
      <c r="H9178" s="13"/>
    </row>
    <row r="9179">
      <c r="A9179" s="6"/>
      <c r="B9179" s="6"/>
      <c r="H9179" s="13"/>
    </row>
    <row r="9180">
      <c r="A9180" s="6"/>
      <c r="B9180" s="6"/>
      <c r="H9180" s="13"/>
    </row>
    <row r="9181">
      <c r="A9181" s="6"/>
      <c r="B9181" s="6"/>
      <c r="H9181" s="13"/>
    </row>
    <row r="9182">
      <c r="A9182" s="6"/>
      <c r="B9182" s="6"/>
      <c r="H9182" s="13"/>
    </row>
    <row r="9183">
      <c r="A9183" s="6"/>
      <c r="B9183" s="6"/>
      <c r="H9183" s="13"/>
    </row>
    <row r="9184">
      <c r="A9184" s="6"/>
      <c r="B9184" s="6"/>
      <c r="H9184" s="13"/>
    </row>
    <row r="9185">
      <c r="A9185" s="6"/>
      <c r="B9185" s="6"/>
      <c r="H9185" s="13"/>
    </row>
    <row r="9186">
      <c r="A9186" s="6"/>
      <c r="B9186" s="6"/>
      <c r="H9186" s="13"/>
    </row>
    <row r="9187">
      <c r="A9187" s="6"/>
      <c r="B9187" s="6"/>
      <c r="H9187" s="13"/>
    </row>
    <row r="9188">
      <c r="A9188" s="6"/>
      <c r="B9188" s="6"/>
      <c r="H9188" s="13"/>
    </row>
    <row r="9189">
      <c r="A9189" s="6"/>
      <c r="B9189" s="6"/>
      <c r="H9189" s="13"/>
    </row>
    <row r="9190">
      <c r="A9190" s="6"/>
      <c r="B9190" s="6"/>
      <c r="H9190" s="13"/>
    </row>
    <row r="9191">
      <c r="A9191" s="6"/>
      <c r="B9191" s="6"/>
      <c r="H9191" s="13"/>
    </row>
    <row r="9192">
      <c r="A9192" s="6"/>
      <c r="B9192" s="6"/>
      <c r="H9192" s="13"/>
    </row>
    <row r="9193">
      <c r="A9193" s="6"/>
      <c r="B9193" s="6"/>
      <c r="H9193" s="13"/>
    </row>
    <row r="9194">
      <c r="A9194" s="6"/>
      <c r="B9194" s="6"/>
      <c r="H9194" s="13"/>
    </row>
    <row r="9195">
      <c r="A9195" s="6"/>
      <c r="B9195" s="6"/>
      <c r="H9195" s="13"/>
    </row>
    <row r="9196">
      <c r="A9196" s="6"/>
      <c r="B9196" s="6"/>
      <c r="H9196" s="13"/>
    </row>
    <row r="9197">
      <c r="A9197" s="6"/>
      <c r="B9197" s="6"/>
      <c r="H9197" s="13"/>
    </row>
    <row r="9198">
      <c r="A9198" s="6"/>
      <c r="B9198" s="6"/>
      <c r="H9198" s="13"/>
    </row>
    <row r="9199">
      <c r="A9199" s="6"/>
      <c r="B9199" s="6"/>
      <c r="H9199" s="13"/>
    </row>
    <row r="9200">
      <c r="A9200" s="6"/>
      <c r="B9200" s="6"/>
      <c r="H9200" s="13"/>
    </row>
    <row r="9201">
      <c r="A9201" s="6"/>
      <c r="B9201" s="6"/>
      <c r="H9201" s="13"/>
    </row>
    <row r="9202">
      <c r="A9202" s="6"/>
      <c r="B9202" s="6"/>
      <c r="H9202" s="13"/>
    </row>
    <row r="9203">
      <c r="A9203" s="6"/>
      <c r="B9203" s="6"/>
      <c r="H9203" s="13"/>
    </row>
    <row r="9204">
      <c r="A9204" s="6"/>
      <c r="B9204" s="6"/>
      <c r="H9204" s="13"/>
    </row>
    <row r="9205">
      <c r="A9205" s="6"/>
      <c r="B9205" s="6"/>
      <c r="H9205" s="13"/>
    </row>
    <row r="9206">
      <c r="A9206" s="6"/>
      <c r="B9206" s="6"/>
      <c r="H9206" s="13"/>
    </row>
    <row r="9207">
      <c r="A9207" s="6"/>
      <c r="B9207" s="6"/>
      <c r="H9207" s="13"/>
    </row>
    <row r="9208">
      <c r="A9208" s="6"/>
      <c r="B9208" s="6"/>
      <c r="H9208" s="13"/>
    </row>
    <row r="9209">
      <c r="A9209" s="6"/>
      <c r="B9209" s="6"/>
      <c r="H9209" s="13"/>
    </row>
    <row r="9210">
      <c r="A9210" s="6"/>
      <c r="B9210" s="6"/>
      <c r="H9210" s="13"/>
    </row>
    <row r="9211">
      <c r="A9211" s="6"/>
      <c r="B9211" s="6"/>
      <c r="H9211" s="13"/>
    </row>
    <row r="9212">
      <c r="A9212" s="6"/>
      <c r="B9212" s="6"/>
      <c r="H9212" s="13"/>
    </row>
    <row r="9213">
      <c r="A9213" s="6"/>
      <c r="B9213" s="6"/>
      <c r="H9213" s="13"/>
    </row>
    <row r="9214">
      <c r="A9214" s="6"/>
      <c r="B9214" s="6"/>
      <c r="H9214" s="13"/>
    </row>
    <row r="9215">
      <c r="A9215" s="6"/>
      <c r="B9215" s="6"/>
      <c r="H9215" s="13"/>
    </row>
    <row r="9216">
      <c r="A9216" s="6"/>
      <c r="B9216" s="6"/>
      <c r="H9216" s="13"/>
    </row>
    <row r="9217">
      <c r="A9217" s="6"/>
      <c r="B9217" s="6"/>
      <c r="H9217" s="13"/>
    </row>
    <row r="9218">
      <c r="A9218" s="6"/>
      <c r="B9218" s="6"/>
      <c r="H9218" s="13"/>
    </row>
    <row r="9219">
      <c r="A9219" s="6"/>
      <c r="B9219" s="6"/>
      <c r="H9219" s="13"/>
    </row>
    <row r="9220">
      <c r="A9220" s="6"/>
      <c r="B9220" s="6"/>
      <c r="H9220" s="13"/>
    </row>
    <row r="9221">
      <c r="A9221" s="6"/>
      <c r="B9221" s="6"/>
      <c r="H9221" s="13"/>
    </row>
    <row r="9222">
      <c r="A9222" s="6"/>
      <c r="B9222" s="6"/>
      <c r="H9222" s="13"/>
    </row>
    <row r="9223">
      <c r="A9223" s="6"/>
      <c r="B9223" s="6"/>
      <c r="H9223" s="13"/>
    </row>
    <row r="9224">
      <c r="A9224" s="6"/>
      <c r="B9224" s="6"/>
      <c r="H9224" s="13"/>
    </row>
    <row r="9225">
      <c r="A9225" s="6"/>
      <c r="B9225" s="6"/>
      <c r="H9225" s="13"/>
    </row>
    <row r="9226">
      <c r="A9226" s="6"/>
      <c r="B9226" s="6"/>
      <c r="H9226" s="13"/>
    </row>
    <row r="9227">
      <c r="A9227" s="6"/>
      <c r="B9227" s="6"/>
      <c r="H9227" s="13"/>
    </row>
    <row r="9228">
      <c r="A9228" s="6"/>
      <c r="B9228" s="6"/>
      <c r="H9228" s="13"/>
    </row>
    <row r="9229">
      <c r="A9229" s="6"/>
      <c r="B9229" s="6"/>
      <c r="H9229" s="13"/>
    </row>
    <row r="9230">
      <c r="A9230" s="6"/>
      <c r="B9230" s="6"/>
      <c r="H9230" s="13"/>
    </row>
    <row r="9231">
      <c r="A9231" s="6"/>
      <c r="B9231" s="6"/>
      <c r="H9231" s="13"/>
    </row>
    <row r="9232">
      <c r="A9232" s="6"/>
      <c r="B9232" s="6"/>
      <c r="H9232" s="13"/>
    </row>
    <row r="9233">
      <c r="A9233" s="6"/>
      <c r="B9233" s="6"/>
      <c r="H9233" s="13"/>
    </row>
    <row r="9234">
      <c r="A9234" s="6"/>
      <c r="B9234" s="6"/>
      <c r="H9234" s="13"/>
    </row>
    <row r="9235">
      <c r="A9235" s="6"/>
      <c r="B9235" s="6"/>
      <c r="H9235" s="13"/>
    </row>
    <row r="9236">
      <c r="A9236" s="6"/>
      <c r="B9236" s="6"/>
      <c r="H9236" s="13"/>
    </row>
    <row r="9237">
      <c r="A9237" s="6"/>
      <c r="B9237" s="6"/>
      <c r="H9237" s="13"/>
    </row>
    <row r="9238">
      <c r="A9238" s="6"/>
      <c r="B9238" s="6"/>
      <c r="H9238" s="13"/>
    </row>
    <row r="9239">
      <c r="A9239" s="6"/>
      <c r="B9239" s="6"/>
      <c r="H9239" s="13"/>
    </row>
    <row r="9240">
      <c r="A9240" s="6"/>
      <c r="B9240" s="6"/>
      <c r="H9240" s="13"/>
    </row>
    <row r="9241">
      <c r="A9241" s="6"/>
      <c r="B9241" s="6"/>
      <c r="H9241" s="13"/>
    </row>
    <row r="9242">
      <c r="A9242" s="6"/>
      <c r="B9242" s="6"/>
      <c r="H9242" s="13"/>
    </row>
    <row r="9243">
      <c r="A9243" s="6"/>
      <c r="B9243" s="6"/>
      <c r="H9243" s="13"/>
    </row>
    <row r="9244">
      <c r="A9244" s="6"/>
      <c r="B9244" s="6"/>
      <c r="H9244" s="13"/>
    </row>
    <row r="9245">
      <c r="A9245" s="6"/>
      <c r="B9245" s="6"/>
      <c r="H9245" s="13"/>
    </row>
    <row r="9246">
      <c r="A9246" s="6"/>
      <c r="B9246" s="6"/>
      <c r="H9246" s="13"/>
    </row>
    <row r="9247">
      <c r="A9247" s="6"/>
      <c r="B9247" s="6"/>
      <c r="H9247" s="13"/>
    </row>
    <row r="9248">
      <c r="A9248" s="6"/>
      <c r="B9248" s="6"/>
      <c r="H9248" s="13"/>
    </row>
    <row r="9249">
      <c r="A9249" s="6"/>
      <c r="B9249" s="6"/>
      <c r="H9249" s="13"/>
    </row>
    <row r="9250">
      <c r="A9250" s="6"/>
      <c r="B9250" s="6"/>
      <c r="H9250" s="13"/>
    </row>
    <row r="9251">
      <c r="A9251" s="6"/>
      <c r="B9251" s="6"/>
      <c r="H9251" s="13"/>
    </row>
    <row r="9252">
      <c r="A9252" s="6"/>
      <c r="B9252" s="6"/>
      <c r="H9252" s="13"/>
    </row>
    <row r="9253">
      <c r="A9253" s="6"/>
      <c r="B9253" s="6"/>
      <c r="H9253" s="13"/>
    </row>
    <row r="9254">
      <c r="A9254" s="6"/>
      <c r="B9254" s="6"/>
      <c r="H9254" s="13"/>
    </row>
    <row r="9255">
      <c r="A9255" s="6"/>
      <c r="B9255" s="6"/>
      <c r="H9255" s="13"/>
    </row>
    <row r="9256">
      <c r="A9256" s="6"/>
      <c r="B9256" s="6"/>
      <c r="H9256" s="13"/>
    </row>
    <row r="9257">
      <c r="A9257" s="6"/>
      <c r="B9257" s="6"/>
      <c r="H9257" s="13"/>
    </row>
    <row r="9258">
      <c r="A9258" s="6"/>
      <c r="B9258" s="6"/>
      <c r="H9258" s="13"/>
    </row>
    <row r="9259">
      <c r="A9259" s="6"/>
      <c r="B9259" s="6"/>
      <c r="H9259" s="13"/>
    </row>
    <row r="9260">
      <c r="A9260" s="6"/>
      <c r="B9260" s="6"/>
      <c r="H9260" s="13"/>
    </row>
    <row r="9261">
      <c r="A9261" s="6"/>
      <c r="B9261" s="6"/>
      <c r="H9261" s="13"/>
    </row>
    <row r="9262">
      <c r="A9262" s="6"/>
      <c r="B9262" s="6"/>
      <c r="H9262" s="13"/>
    </row>
    <row r="9263">
      <c r="A9263" s="6"/>
      <c r="B9263" s="6"/>
      <c r="H9263" s="13"/>
    </row>
    <row r="9264">
      <c r="A9264" s="6"/>
      <c r="B9264" s="6"/>
      <c r="H9264" s="13"/>
    </row>
    <row r="9265">
      <c r="A9265" s="6"/>
      <c r="B9265" s="6"/>
      <c r="H9265" s="13"/>
    </row>
    <row r="9266">
      <c r="A9266" s="6"/>
      <c r="B9266" s="6"/>
      <c r="H9266" s="13"/>
    </row>
    <row r="9267">
      <c r="A9267" s="6"/>
      <c r="B9267" s="6"/>
      <c r="H9267" s="13"/>
    </row>
    <row r="9268">
      <c r="A9268" s="6"/>
      <c r="B9268" s="6"/>
      <c r="H9268" s="13"/>
    </row>
    <row r="9269">
      <c r="A9269" s="6"/>
      <c r="B9269" s="6"/>
      <c r="H9269" s="13"/>
    </row>
    <row r="9270">
      <c r="A9270" s="6"/>
      <c r="B9270" s="6"/>
      <c r="H9270" s="13"/>
    </row>
    <row r="9271">
      <c r="A9271" s="6"/>
      <c r="B9271" s="6"/>
      <c r="H9271" s="13"/>
    </row>
    <row r="9272">
      <c r="A9272" s="6"/>
      <c r="B9272" s="6"/>
      <c r="H9272" s="13"/>
    </row>
    <row r="9273">
      <c r="A9273" s="6"/>
      <c r="B9273" s="6"/>
      <c r="H9273" s="13"/>
    </row>
    <row r="9274">
      <c r="A9274" s="6"/>
      <c r="B9274" s="6"/>
      <c r="H9274" s="13"/>
    </row>
    <row r="9275">
      <c r="A9275" s="6"/>
      <c r="B9275" s="6"/>
      <c r="H9275" s="13"/>
    </row>
    <row r="9276">
      <c r="A9276" s="6"/>
      <c r="B9276" s="6"/>
      <c r="H9276" s="13"/>
    </row>
    <row r="9277">
      <c r="A9277" s="6"/>
      <c r="B9277" s="6"/>
      <c r="H9277" s="13"/>
    </row>
    <row r="9278">
      <c r="A9278" s="6"/>
      <c r="B9278" s="6"/>
      <c r="H9278" s="13"/>
    </row>
    <row r="9279">
      <c r="A9279" s="6"/>
      <c r="B9279" s="6"/>
      <c r="H9279" s="13"/>
    </row>
    <row r="9280">
      <c r="A9280" s="6"/>
      <c r="B9280" s="6"/>
      <c r="H9280" s="13"/>
    </row>
    <row r="9281">
      <c r="A9281" s="6"/>
      <c r="B9281" s="6"/>
      <c r="H9281" s="13"/>
    </row>
    <row r="9282">
      <c r="A9282" s="6"/>
      <c r="B9282" s="6"/>
      <c r="H9282" s="13"/>
    </row>
    <row r="9283">
      <c r="A9283" s="6"/>
      <c r="B9283" s="6"/>
      <c r="H9283" s="13"/>
    </row>
    <row r="9284">
      <c r="A9284" s="6"/>
      <c r="B9284" s="6"/>
      <c r="H9284" s="13"/>
    </row>
    <row r="9285">
      <c r="A9285" s="6"/>
      <c r="B9285" s="6"/>
      <c r="H9285" s="13"/>
    </row>
    <row r="9286">
      <c r="A9286" s="6"/>
      <c r="B9286" s="6"/>
      <c r="H9286" s="13"/>
    </row>
    <row r="9287">
      <c r="A9287" s="6"/>
      <c r="B9287" s="6"/>
      <c r="H9287" s="13"/>
    </row>
    <row r="9288">
      <c r="A9288" s="6"/>
      <c r="B9288" s="6"/>
      <c r="H9288" s="13"/>
    </row>
    <row r="9289">
      <c r="A9289" s="6"/>
      <c r="B9289" s="6"/>
      <c r="H9289" s="13"/>
    </row>
    <row r="9290">
      <c r="A9290" s="6"/>
      <c r="B9290" s="6"/>
      <c r="H9290" s="13"/>
    </row>
    <row r="9291">
      <c r="A9291" s="6"/>
      <c r="B9291" s="6"/>
      <c r="H9291" s="13"/>
    </row>
    <row r="9292">
      <c r="A9292" s="6"/>
      <c r="B9292" s="6"/>
      <c r="H9292" s="13"/>
    </row>
    <row r="9293">
      <c r="A9293" s="6"/>
      <c r="B9293" s="6"/>
      <c r="H9293" s="13"/>
    </row>
    <row r="9294">
      <c r="A9294" s="6"/>
      <c r="B9294" s="6"/>
      <c r="H9294" s="13"/>
    </row>
    <row r="9295">
      <c r="A9295" s="6"/>
      <c r="B9295" s="6"/>
      <c r="H9295" s="13"/>
    </row>
    <row r="9296">
      <c r="A9296" s="6"/>
      <c r="B9296" s="6"/>
      <c r="H9296" s="13"/>
    </row>
    <row r="9297">
      <c r="A9297" s="6"/>
      <c r="B9297" s="6"/>
      <c r="H9297" s="13"/>
    </row>
    <row r="9298">
      <c r="A9298" s="6"/>
      <c r="B9298" s="6"/>
      <c r="H9298" s="13"/>
    </row>
    <row r="9299">
      <c r="A9299" s="6"/>
      <c r="B9299" s="6"/>
      <c r="H9299" s="13"/>
    </row>
    <row r="9300">
      <c r="A9300" s="6"/>
      <c r="B9300" s="6"/>
      <c r="H9300" s="13"/>
    </row>
    <row r="9301">
      <c r="A9301" s="6"/>
      <c r="B9301" s="6"/>
      <c r="H9301" s="13"/>
    </row>
    <row r="9302">
      <c r="A9302" s="6"/>
      <c r="B9302" s="6"/>
      <c r="H9302" s="13"/>
    </row>
    <row r="9303">
      <c r="A9303" s="6"/>
      <c r="B9303" s="6"/>
      <c r="H9303" s="13"/>
    </row>
    <row r="9304">
      <c r="A9304" s="6"/>
      <c r="B9304" s="6"/>
      <c r="H9304" s="13"/>
    </row>
    <row r="9305">
      <c r="A9305" s="6"/>
      <c r="B9305" s="6"/>
      <c r="H9305" s="13"/>
    </row>
    <row r="9306">
      <c r="A9306" s="6"/>
      <c r="B9306" s="6"/>
      <c r="H9306" s="13"/>
    </row>
    <row r="9307">
      <c r="A9307" s="6"/>
      <c r="B9307" s="6"/>
      <c r="H9307" s="13"/>
    </row>
    <row r="9308">
      <c r="A9308" s="6"/>
      <c r="B9308" s="6"/>
      <c r="H9308" s="13"/>
    </row>
    <row r="9309">
      <c r="A9309" s="6"/>
      <c r="B9309" s="6"/>
      <c r="H9309" s="13"/>
    </row>
    <row r="9310">
      <c r="A9310" s="6"/>
      <c r="B9310" s="6"/>
      <c r="H9310" s="13"/>
    </row>
    <row r="9311">
      <c r="A9311" s="6"/>
      <c r="B9311" s="6"/>
      <c r="H9311" s="13"/>
    </row>
    <row r="9312">
      <c r="A9312" s="6"/>
      <c r="B9312" s="6"/>
      <c r="H9312" s="13"/>
    </row>
    <row r="9313">
      <c r="A9313" s="6"/>
      <c r="B9313" s="6"/>
      <c r="H9313" s="13"/>
    </row>
    <row r="9314">
      <c r="A9314" s="6"/>
      <c r="B9314" s="6"/>
      <c r="H9314" s="13"/>
    </row>
    <row r="9315">
      <c r="A9315" s="6"/>
      <c r="B9315" s="6"/>
      <c r="H9315" s="13"/>
    </row>
    <row r="9316">
      <c r="A9316" s="6"/>
      <c r="B9316" s="6"/>
      <c r="H9316" s="13"/>
    </row>
    <row r="9317">
      <c r="A9317" s="6"/>
      <c r="B9317" s="6"/>
      <c r="H9317" s="13"/>
    </row>
    <row r="9318">
      <c r="A9318" s="6"/>
      <c r="B9318" s="6"/>
      <c r="H9318" s="13"/>
    </row>
    <row r="9319">
      <c r="A9319" s="6"/>
      <c r="B9319" s="6"/>
      <c r="H9319" s="13"/>
    </row>
    <row r="9320">
      <c r="A9320" s="6"/>
      <c r="B9320" s="6"/>
      <c r="H9320" s="13"/>
    </row>
    <row r="9321">
      <c r="A9321" s="6"/>
      <c r="B9321" s="6"/>
      <c r="H9321" s="13"/>
    </row>
    <row r="9322">
      <c r="A9322" s="6"/>
      <c r="B9322" s="6"/>
      <c r="H9322" s="13"/>
    </row>
    <row r="9323">
      <c r="A9323" s="6"/>
      <c r="B9323" s="6"/>
      <c r="H9323" s="13"/>
    </row>
    <row r="9324">
      <c r="A9324" s="6"/>
      <c r="B9324" s="6"/>
      <c r="H9324" s="13"/>
    </row>
    <row r="9325">
      <c r="A9325" s="6"/>
      <c r="B9325" s="6"/>
      <c r="H9325" s="13"/>
    </row>
    <row r="9326">
      <c r="A9326" s="6"/>
      <c r="B9326" s="6"/>
      <c r="H9326" s="13"/>
    </row>
    <row r="9327">
      <c r="A9327" s="6"/>
      <c r="B9327" s="6"/>
      <c r="H9327" s="13"/>
    </row>
    <row r="9328">
      <c r="A9328" s="6"/>
      <c r="B9328" s="6"/>
      <c r="H9328" s="13"/>
    </row>
    <row r="9329">
      <c r="A9329" s="6"/>
      <c r="B9329" s="6"/>
      <c r="H9329" s="13"/>
    </row>
    <row r="9330">
      <c r="A9330" s="6"/>
      <c r="B9330" s="6"/>
      <c r="H9330" s="13"/>
    </row>
    <row r="9331">
      <c r="A9331" s="6"/>
      <c r="B9331" s="6"/>
      <c r="H9331" s="13"/>
    </row>
    <row r="9332">
      <c r="A9332" s="6"/>
      <c r="B9332" s="6"/>
      <c r="H9332" s="13"/>
    </row>
    <row r="9333">
      <c r="A9333" s="6"/>
      <c r="B9333" s="6"/>
      <c r="H9333" s="13"/>
    </row>
    <row r="9334">
      <c r="A9334" s="6"/>
      <c r="B9334" s="6"/>
      <c r="H9334" s="13"/>
    </row>
    <row r="9335">
      <c r="A9335" s="6"/>
      <c r="B9335" s="6"/>
      <c r="H9335" s="13"/>
    </row>
    <row r="9336">
      <c r="A9336" s="6"/>
      <c r="B9336" s="6"/>
      <c r="H9336" s="13"/>
    </row>
    <row r="9337">
      <c r="A9337" s="6"/>
      <c r="B9337" s="6"/>
      <c r="H9337" s="13"/>
    </row>
    <row r="9338">
      <c r="A9338" s="6"/>
      <c r="B9338" s="6"/>
      <c r="H9338" s="13"/>
    </row>
    <row r="9339">
      <c r="A9339" s="6"/>
      <c r="B9339" s="6"/>
      <c r="H9339" s="13"/>
    </row>
    <row r="9340">
      <c r="A9340" s="6"/>
      <c r="B9340" s="6"/>
      <c r="H9340" s="13"/>
    </row>
    <row r="9341">
      <c r="A9341" s="6"/>
      <c r="B9341" s="6"/>
      <c r="H9341" s="13"/>
    </row>
    <row r="9342">
      <c r="A9342" s="6"/>
      <c r="B9342" s="6"/>
      <c r="H9342" s="13"/>
    </row>
    <row r="9343">
      <c r="A9343" s="6"/>
      <c r="B9343" s="6"/>
      <c r="H9343" s="13"/>
    </row>
    <row r="9344">
      <c r="A9344" s="6"/>
      <c r="B9344" s="6"/>
      <c r="H9344" s="13"/>
    </row>
    <row r="9345">
      <c r="A9345" s="6"/>
      <c r="B9345" s="6"/>
      <c r="H9345" s="13"/>
    </row>
    <row r="9346">
      <c r="A9346" s="6"/>
      <c r="B9346" s="6"/>
      <c r="H9346" s="13"/>
    </row>
    <row r="9347">
      <c r="A9347" s="6"/>
      <c r="B9347" s="6"/>
      <c r="H9347" s="13"/>
    </row>
    <row r="9348">
      <c r="A9348" s="6"/>
      <c r="B9348" s="6"/>
      <c r="H9348" s="13"/>
    </row>
    <row r="9349">
      <c r="A9349" s="6"/>
      <c r="B9349" s="6"/>
      <c r="H9349" s="13"/>
    </row>
    <row r="9350">
      <c r="A9350" s="6"/>
      <c r="B9350" s="6"/>
      <c r="H9350" s="13"/>
    </row>
    <row r="9351">
      <c r="A9351" s="6"/>
      <c r="B9351" s="6"/>
      <c r="H9351" s="13"/>
    </row>
    <row r="9352">
      <c r="A9352" s="6"/>
      <c r="B9352" s="6"/>
      <c r="H9352" s="13"/>
    </row>
    <row r="9353">
      <c r="A9353" s="6"/>
      <c r="B9353" s="6"/>
      <c r="H9353" s="13"/>
    </row>
    <row r="9354">
      <c r="A9354" s="6"/>
      <c r="B9354" s="6"/>
      <c r="H9354" s="13"/>
    </row>
    <row r="9355">
      <c r="A9355" s="6"/>
      <c r="B9355" s="6"/>
      <c r="H9355" s="13"/>
    </row>
    <row r="9356">
      <c r="A9356" s="6"/>
      <c r="B9356" s="6"/>
      <c r="H9356" s="13"/>
    </row>
    <row r="9357">
      <c r="A9357" s="6"/>
      <c r="B9357" s="6"/>
      <c r="H9357" s="13"/>
    </row>
    <row r="9358">
      <c r="A9358" s="6"/>
      <c r="B9358" s="6"/>
      <c r="H9358" s="13"/>
    </row>
    <row r="9359">
      <c r="A9359" s="6"/>
      <c r="B9359" s="6"/>
      <c r="H9359" s="13"/>
    </row>
    <row r="9360">
      <c r="A9360" s="6"/>
      <c r="B9360" s="6"/>
      <c r="H9360" s="13"/>
    </row>
    <row r="9361">
      <c r="A9361" s="6"/>
      <c r="B9361" s="6"/>
      <c r="H9361" s="13"/>
    </row>
    <row r="9362">
      <c r="A9362" s="6"/>
      <c r="B9362" s="6"/>
      <c r="H9362" s="13"/>
    </row>
    <row r="9363">
      <c r="A9363" s="6"/>
      <c r="B9363" s="6"/>
      <c r="H9363" s="13"/>
    </row>
    <row r="9364">
      <c r="A9364" s="6"/>
      <c r="B9364" s="6"/>
      <c r="H9364" s="13"/>
    </row>
    <row r="9365">
      <c r="A9365" s="6"/>
      <c r="B9365" s="6"/>
      <c r="H9365" s="13"/>
    </row>
    <row r="9366">
      <c r="A9366" s="6"/>
      <c r="B9366" s="6"/>
      <c r="H9366" s="13"/>
    </row>
    <row r="9367">
      <c r="A9367" s="6"/>
      <c r="B9367" s="6"/>
      <c r="H9367" s="13"/>
    </row>
    <row r="9368">
      <c r="A9368" s="6"/>
      <c r="B9368" s="6"/>
      <c r="H9368" s="13"/>
    </row>
    <row r="9369">
      <c r="A9369" s="6"/>
      <c r="B9369" s="6"/>
      <c r="H9369" s="13"/>
    </row>
    <row r="9370">
      <c r="A9370" s="6"/>
      <c r="B9370" s="6"/>
      <c r="H9370" s="13"/>
    </row>
    <row r="9371">
      <c r="A9371" s="6"/>
      <c r="B9371" s="6"/>
      <c r="H9371" s="13"/>
    </row>
    <row r="9372">
      <c r="A9372" s="6"/>
      <c r="B9372" s="6"/>
      <c r="H9372" s="13"/>
    </row>
    <row r="9373">
      <c r="A9373" s="6"/>
      <c r="B9373" s="6"/>
      <c r="H9373" s="13"/>
    </row>
    <row r="9374">
      <c r="A9374" s="6"/>
      <c r="B9374" s="6"/>
      <c r="H9374" s="13"/>
    </row>
    <row r="9375">
      <c r="A9375" s="6"/>
      <c r="B9375" s="6"/>
      <c r="H9375" s="13"/>
    </row>
    <row r="9376">
      <c r="A9376" s="6"/>
      <c r="B9376" s="6"/>
      <c r="H9376" s="13"/>
    </row>
    <row r="9377">
      <c r="A9377" s="6"/>
      <c r="B9377" s="6"/>
      <c r="H9377" s="13"/>
    </row>
    <row r="9378">
      <c r="A9378" s="6"/>
      <c r="B9378" s="6"/>
      <c r="H9378" s="13"/>
    </row>
    <row r="9379">
      <c r="A9379" s="6"/>
      <c r="B9379" s="6"/>
      <c r="H9379" s="13"/>
    </row>
    <row r="9380">
      <c r="A9380" s="6"/>
      <c r="B9380" s="6"/>
      <c r="H9380" s="13"/>
    </row>
    <row r="9381">
      <c r="A9381" s="6"/>
      <c r="B9381" s="6"/>
      <c r="H9381" s="13"/>
    </row>
    <row r="9382">
      <c r="A9382" s="6"/>
      <c r="B9382" s="6"/>
      <c r="H9382" s="13"/>
    </row>
    <row r="9383">
      <c r="A9383" s="6"/>
      <c r="B9383" s="6"/>
      <c r="H9383" s="13"/>
    </row>
    <row r="9384">
      <c r="A9384" s="6"/>
      <c r="B9384" s="6"/>
      <c r="H9384" s="13"/>
    </row>
    <row r="9385">
      <c r="A9385" s="6"/>
      <c r="B9385" s="6"/>
      <c r="H9385" s="13"/>
    </row>
    <row r="9386">
      <c r="A9386" s="6"/>
      <c r="B9386" s="6"/>
      <c r="H9386" s="13"/>
    </row>
    <row r="9387">
      <c r="A9387" s="6"/>
      <c r="B9387" s="6"/>
      <c r="H9387" s="13"/>
    </row>
    <row r="9388">
      <c r="A9388" s="6"/>
      <c r="B9388" s="6"/>
      <c r="H9388" s="13"/>
    </row>
    <row r="9389">
      <c r="A9389" s="6"/>
      <c r="B9389" s="6"/>
      <c r="H9389" s="13"/>
    </row>
    <row r="9390">
      <c r="A9390" s="6"/>
      <c r="B9390" s="6"/>
      <c r="H9390" s="13"/>
    </row>
    <row r="9391">
      <c r="A9391" s="6"/>
      <c r="B9391" s="6"/>
      <c r="H9391" s="13"/>
    </row>
    <row r="9392">
      <c r="A9392" s="6"/>
      <c r="B9392" s="6"/>
      <c r="H9392" s="13"/>
    </row>
    <row r="9393">
      <c r="A9393" s="6"/>
      <c r="B9393" s="6"/>
      <c r="H9393" s="13"/>
    </row>
    <row r="9394">
      <c r="A9394" s="6"/>
      <c r="B9394" s="6"/>
      <c r="H9394" s="13"/>
    </row>
    <row r="9395">
      <c r="A9395" s="6"/>
      <c r="B9395" s="6"/>
      <c r="H9395" s="13"/>
    </row>
    <row r="9396">
      <c r="A9396" s="6"/>
      <c r="B9396" s="6"/>
      <c r="H9396" s="13"/>
    </row>
    <row r="9397">
      <c r="A9397" s="6"/>
      <c r="B9397" s="6"/>
      <c r="H9397" s="13"/>
    </row>
    <row r="9398">
      <c r="A9398" s="6"/>
      <c r="B9398" s="6"/>
      <c r="H9398" s="13"/>
    </row>
    <row r="9399">
      <c r="A9399" s="6"/>
      <c r="B9399" s="6"/>
      <c r="H9399" s="13"/>
    </row>
    <row r="9400">
      <c r="A9400" s="6"/>
      <c r="B9400" s="6"/>
      <c r="H9400" s="13"/>
    </row>
    <row r="9401">
      <c r="A9401" s="6"/>
      <c r="B9401" s="6"/>
      <c r="H9401" s="13"/>
    </row>
    <row r="9402">
      <c r="A9402" s="6"/>
      <c r="B9402" s="6"/>
      <c r="H9402" s="13"/>
    </row>
    <row r="9403">
      <c r="A9403" s="6"/>
      <c r="B9403" s="6"/>
      <c r="H9403" s="13"/>
    </row>
    <row r="9404">
      <c r="A9404" s="6"/>
      <c r="B9404" s="6"/>
      <c r="H9404" s="13"/>
    </row>
    <row r="9405">
      <c r="A9405" s="6"/>
      <c r="B9405" s="6"/>
      <c r="H9405" s="13"/>
    </row>
    <row r="9406">
      <c r="A9406" s="6"/>
      <c r="B9406" s="6"/>
      <c r="H9406" s="13"/>
    </row>
    <row r="9407">
      <c r="A9407" s="6"/>
      <c r="B9407" s="6"/>
      <c r="H9407" s="13"/>
    </row>
    <row r="9408">
      <c r="A9408" s="6"/>
      <c r="B9408" s="6"/>
      <c r="H9408" s="13"/>
    </row>
    <row r="9409">
      <c r="A9409" s="6"/>
      <c r="B9409" s="6"/>
      <c r="H9409" s="13"/>
    </row>
    <row r="9410">
      <c r="A9410" s="6"/>
      <c r="B9410" s="6"/>
      <c r="H9410" s="13"/>
    </row>
    <row r="9411">
      <c r="A9411" s="6"/>
      <c r="B9411" s="6"/>
      <c r="H9411" s="13"/>
    </row>
    <row r="9412">
      <c r="A9412" s="6"/>
      <c r="B9412" s="6"/>
      <c r="H9412" s="13"/>
    </row>
    <row r="9413">
      <c r="A9413" s="6"/>
      <c r="B9413" s="6"/>
      <c r="H9413" s="13"/>
    </row>
    <row r="9414">
      <c r="A9414" s="6"/>
      <c r="B9414" s="6"/>
      <c r="H9414" s="13"/>
    </row>
    <row r="9415">
      <c r="A9415" s="6"/>
      <c r="B9415" s="6"/>
      <c r="H9415" s="13"/>
    </row>
    <row r="9416">
      <c r="A9416" s="6"/>
      <c r="B9416" s="6"/>
      <c r="H9416" s="13"/>
    </row>
    <row r="9417">
      <c r="A9417" s="6"/>
      <c r="B9417" s="6"/>
      <c r="H9417" s="13"/>
    </row>
    <row r="9418">
      <c r="A9418" s="6"/>
      <c r="B9418" s="6"/>
      <c r="H9418" s="13"/>
    </row>
    <row r="9419">
      <c r="A9419" s="6"/>
      <c r="B9419" s="6"/>
      <c r="H9419" s="13"/>
    </row>
    <row r="9420">
      <c r="A9420" s="6"/>
      <c r="B9420" s="6"/>
      <c r="H9420" s="13"/>
    </row>
    <row r="9421">
      <c r="A9421" s="6"/>
      <c r="B9421" s="6"/>
      <c r="H9421" s="13"/>
    </row>
    <row r="9422">
      <c r="A9422" s="6"/>
      <c r="B9422" s="6"/>
      <c r="H9422" s="13"/>
    </row>
    <row r="9423">
      <c r="A9423" s="6"/>
      <c r="B9423" s="6"/>
      <c r="H9423" s="13"/>
    </row>
    <row r="9424">
      <c r="A9424" s="6"/>
      <c r="B9424" s="6"/>
      <c r="H9424" s="13"/>
    </row>
    <row r="9425">
      <c r="A9425" s="6"/>
      <c r="B9425" s="6"/>
      <c r="H9425" s="13"/>
    </row>
    <row r="9426">
      <c r="A9426" s="6"/>
      <c r="B9426" s="6"/>
      <c r="H9426" s="13"/>
    </row>
    <row r="9427">
      <c r="A9427" s="6"/>
      <c r="B9427" s="6"/>
      <c r="H9427" s="13"/>
    </row>
    <row r="9428">
      <c r="A9428" s="6"/>
      <c r="B9428" s="6"/>
      <c r="H9428" s="13"/>
    </row>
    <row r="9429">
      <c r="A9429" s="6"/>
      <c r="B9429" s="6"/>
      <c r="H9429" s="13"/>
    </row>
    <row r="9430">
      <c r="A9430" s="6"/>
      <c r="B9430" s="6"/>
      <c r="H9430" s="13"/>
    </row>
    <row r="9431">
      <c r="A9431" s="6"/>
      <c r="B9431" s="6"/>
      <c r="H9431" s="13"/>
    </row>
    <row r="9432">
      <c r="A9432" s="6"/>
      <c r="B9432" s="6"/>
      <c r="H9432" s="13"/>
    </row>
    <row r="9433">
      <c r="A9433" s="6"/>
      <c r="B9433" s="6"/>
      <c r="H9433" s="13"/>
    </row>
    <row r="9434">
      <c r="A9434" s="6"/>
      <c r="B9434" s="6"/>
      <c r="H9434" s="13"/>
    </row>
    <row r="9435">
      <c r="A9435" s="6"/>
      <c r="B9435" s="6"/>
      <c r="H9435" s="13"/>
    </row>
    <row r="9436">
      <c r="A9436" s="6"/>
      <c r="B9436" s="6"/>
      <c r="H9436" s="13"/>
    </row>
    <row r="9437">
      <c r="A9437" s="6"/>
      <c r="B9437" s="6"/>
      <c r="H9437" s="13"/>
    </row>
    <row r="9438">
      <c r="A9438" s="6"/>
      <c r="B9438" s="6"/>
      <c r="H9438" s="13"/>
    </row>
    <row r="9439">
      <c r="A9439" s="6"/>
      <c r="B9439" s="6"/>
      <c r="H9439" s="13"/>
    </row>
    <row r="9440">
      <c r="A9440" s="6"/>
      <c r="B9440" s="6"/>
      <c r="H9440" s="13"/>
    </row>
    <row r="9441">
      <c r="A9441" s="6"/>
      <c r="B9441" s="6"/>
      <c r="H9441" s="13"/>
    </row>
    <row r="9442">
      <c r="A9442" s="6"/>
      <c r="B9442" s="6"/>
      <c r="H9442" s="13"/>
    </row>
    <row r="9443">
      <c r="A9443" s="6"/>
      <c r="B9443" s="6"/>
      <c r="H9443" s="13"/>
    </row>
    <row r="9444">
      <c r="A9444" s="6"/>
      <c r="B9444" s="6"/>
      <c r="H9444" s="13"/>
    </row>
    <row r="9445">
      <c r="A9445" s="6"/>
      <c r="B9445" s="6"/>
      <c r="H9445" s="13"/>
    </row>
    <row r="9446">
      <c r="A9446" s="6"/>
      <c r="B9446" s="6"/>
      <c r="H9446" s="13"/>
    </row>
    <row r="9447">
      <c r="A9447" s="6"/>
      <c r="B9447" s="6"/>
      <c r="H9447" s="13"/>
    </row>
    <row r="9448">
      <c r="A9448" s="6"/>
      <c r="B9448" s="6"/>
      <c r="H9448" s="13"/>
    </row>
    <row r="9449">
      <c r="A9449" s="6"/>
      <c r="B9449" s="6"/>
      <c r="H9449" s="13"/>
    </row>
    <row r="9450">
      <c r="A9450" s="6"/>
      <c r="B9450" s="6"/>
      <c r="H9450" s="13"/>
    </row>
    <row r="9451">
      <c r="A9451" s="6"/>
      <c r="B9451" s="6"/>
      <c r="H9451" s="13"/>
    </row>
    <row r="9452">
      <c r="A9452" s="6"/>
      <c r="B9452" s="6"/>
      <c r="H9452" s="13"/>
    </row>
    <row r="9453">
      <c r="A9453" s="6"/>
      <c r="B9453" s="6"/>
      <c r="H9453" s="13"/>
    </row>
    <row r="9454">
      <c r="A9454" s="6"/>
      <c r="B9454" s="6"/>
      <c r="H9454" s="13"/>
    </row>
    <row r="9455">
      <c r="A9455" s="6"/>
      <c r="B9455" s="6"/>
      <c r="H9455" s="13"/>
    </row>
    <row r="9456">
      <c r="A9456" s="6"/>
      <c r="B9456" s="6"/>
      <c r="H9456" s="13"/>
    </row>
    <row r="9457">
      <c r="A9457" s="6"/>
      <c r="B9457" s="6"/>
      <c r="H9457" s="13"/>
    </row>
    <row r="9458">
      <c r="A9458" s="6"/>
      <c r="B9458" s="6"/>
      <c r="H9458" s="13"/>
    </row>
    <row r="9459">
      <c r="A9459" s="6"/>
      <c r="B9459" s="6"/>
      <c r="H9459" s="13"/>
    </row>
    <row r="9460">
      <c r="A9460" s="6"/>
      <c r="B9460" s="6"/>
      <c r="H9460" s="13"/>
    </row>
    <row r="9461">
      <c r="A9461" s="6"/>
      <c r="B9461" s="6"/>
      <c r="H9461" s="13"/>
    </row>
    <row r="9462">
      <c r="A9462" s="6"/>
      <c r="B9462" s="6"/>
      <c r="H9462" s="13"/>
    </row>
    <row r="9463">
      <c r="A9463" s="6"/>
      <c r="B9463" s="6"/>
      <c r="H9463" s="13"/>
    </row>
    <row r="9464">
      <c r="A9464" s="6"/>
      <c r="B9464" s="6"/>
      <c r="H9464" s="13"/>
    </row>
    <row r="9465">
      <c r="A9465" s="6"/>
      <c r="B9465" s="6"/>
      <c r="H9465" s="13"/>
    </row>
    <row r="9466">
      <c r="A9466" s="6"/>
      <c r="B9466" s="6"/>
      <c r="H9466" s="13"/>
    </row>
    <row r="9467">
      <c r="A9467" s="6"/>
      <c r="B9467" s="6"/>
      <c r="H9467" s="13"/>
    </row>
    <row r="9468">
      <c r="A9468" s="6"/>
      <c r="B9468" s="6"/>
      <c r="H9468" s="13"/>
    </row>
    <row r="9469">
      <c r="A9469" s="6"/>
      <c r="B9469" s="6"/>
      <c r="H9469" s="13"/>
    </row>
    <row r="9470">
      <c r="A9470" s="6"/>
      <c r="B9470" s="6"/>
      <c r="H9470" s="13"/>
    </row>
    <row r="9471">
      <c r="A9471" s="6"/>
      <c r="B9471" s="6"/>
      <c r="H9471" s="13"/>
    </row>
    <row r="9472">
      <c r="A9472" s="6"/>
      <c r="B9472" s="6"/>
      <c r="H9472" s="13"/>
    </row>
    <row r="9473">
      <c r="A9473" s="6"/>
      <c r="B9473" s="6"/>
      <c r="H9473" s="13"/>
    </row>
    <row r="9474">
      <c r="A9474" s="6"/>
      <c r="B9474" s="6"/>
      <c r="H9474" s="13"/>
    </row>
    <row r="9475">
      <c r="A9475" s="6"/>
      <c r="B9475" s="6"/>
      <c r="H9475" s="13"/>
    </row>
    <row r="9476">
      <c r="A9476" s="6"/>
      <c r="B9476" s="6"/>
      <c r="H9476" s="13"/>
    </row>
    <row r="9477">
      <c r="A9477" s="6"/>
      <c r="B9477" s="6"/>
      <c r="H9477" s="13"/>
    </row>
    <row r="9478">
      <c r="A9478" s="6"/>
      <c r="B9478" s="6"/>
      <c r="H9478" s="13"/>
    </row>
    <row r="9479">
      <c r="A9479" s="6"/>
      <c r="B9479" s="6"/>
      <c r="H9479" s="13"/>
    </row>
    <row r="9480">
      <c r="A9480" s="6"/>
      <c r="B9480" s="6"/>
      <c r="H9480" s="13"/>
    </row>
    <row r="9481">
      <c r="A9481" s="6"/>
      <c r="B9481" s="6"/>
      <c r="H9481" s="13"/>
    </row>
    <row r="9482">
      <c r="A9482" s="6"/>
      <c r="B9482" s="6"/>
      <c r="H9482" s="13"/>
    </row>
    <row r="9483">
      <c r="A9483" s="6"/>
      <c r="B9483" s="6"/>
      <c r="H9483" s="13"/>
    </row>
    <row r="9484">
      <c r="A9484" s="6"/>
      <c r="B9484" s="6"/>
      <c r="H9484" s="13"/>
    </row>
    <row r="9485">
      <c r="A9485" s="6"/>
      <c r="B9485" s="6"/>
      <c r="H9485" s="13"/>
    </row>
    <row r="9486">
      <c r="A9486" s="6"/>
      <c r="B9486" s="6"/>
      <c r="H9486" s="13"/>
    </row>
    <row r="9487">
      <c r="A9487" s="6"/>
      <c r="B9487" s="6"/>
      <c r="H9487" s="13"/>
    </row>
    <row r="9488">
      <c r="A9488" s="6"/>
      <c r="B9488" s="6"/>
      <c r="H9488" s="13"/>
    </row>
    <row r="9489">
      <c r="A9489" s="6"/>
      <c r="B9489" s="6"/>
      <c r="H9489" s="13"/>
    </row>
    <row r="9490">
      <c r="A9490" s="6"/>
      <c r="B9490" s="6"/>
      <c r="H9490" s="13"/>
    </row>
    <row r="9491">
      <c r="A9491" s="6"/>
      <c r="B9491" s="6"/>
      <c r="H9491" s="13"/>
    </row>
    <row r="9492">
      <c r="A9492" s="6"/>
      <c r="B9492" s="6"/>
      <c r="H9492" s="13"/>
    </row>
    <row r="9493">
      <c r="A9493" s="6"/>
      <c r="B9493" s="6"/>
      <c r="H9493" s="13"/>
    </row>
    <row r="9494">
      <c r="A9494" s="6"/>
      <c r="B9494" s="6"/>
      <c r="H9494" s="13"/>
    </row>
    <row r="9495">
      <c r="A9495" s="6"/>
      <c r="B9495" s="6"/>
      <c r="H9495" s="13"/>
    </row>
    <row r="9496">
      <c r="A9496" s="6"/>
      <c r="B9496" s="6"/>
      <c r="H9496" s="13"/>
    </row>
    <row r="9497">
      <c r="A9497" s="6"/>
      <c r="B9497" s="6"/>
      <c r="H9497" s="13"/>
    </row>
    <row r="9498">
      <c r="A9498" s="6"/>
      <c r="B9498" s="6"/>
      <c r="H9498" s="13"/>
    </row>
    <row r="9499">
      <c r="A9499" s="6"/>
      <c r="B9499" s="6"/>
      <c r="H9499" s="13"/>
    </row>
    <row r="9500">
      <c r="A9500" s="6"/>
      <c r="B9500" s="6"/>
      <c r="H9500" s="13"/>
    </row>
    <row r="9501">
      <c r="A9501" s="6"/>
      <c r="B9501" s="6"/>
      <c r="H9501" s="13"/>
    </row>
    <row r="9502">
      <c r="A9502" s="6"/>
      <c r="B9502" s="6"/>
      <c r="H9502" s="13"/>
    </row>
    <row r="9503">
      <c r="A9503" s="6"/>
      <c r="B9503" s="6"/>
      <c r="H9503" s="13"/>
    </row>
    <row r="9504">
      <c r="A9504" s="6"/>
      <c r="B9504" s="6"/>
      <c r="H9504" s="13"/>
    </row>
    <row r="9505">
      <c r="A9505" s="6"/>
      <c r="B9505" s="6"/>
      <c r="H9505" s="13"/>
    </row>
    <row r="9506">
      <c r="A9506" s="6"/>
      <c r="B9506" s="6"/>
      <c r="H9506" s="13"/>
    </row>
    <row r="9507">
      <c r="A9507" s="6"/>
      <c r="B9507" s="6"/>
      <c r="H9507" s="13"/>
    </row>
    <row r="9508">
      <c r="A9508" s="6"/>
      <c r="B9508" s="6"/>
      <c r="H9508" s="13"/>
    </row>
    <row r="9509">
      <c r="A9509" s="6"/>
      <c r="B9509" s="6"/>
      <c r="H9509" s="13"/>
    </row>
    <row r="9510">
      <c r="A9510" s="6"/>
      <c r="B9510" s="6"/>
      <c r="H9510" s="13"/>
    </row>
    <row r="9511">
      <c r="A9511" s="6"/>
      <c r="B9511" s="6"/>
      <c r="H9511" s="13"/>
    </row>
    <row r="9512">
      <c r="A9512" s="6"/>
      <c r="B9512" s="6"/>
      <c r="H9512" s="13"/>
    </row>
    <row r="9513">
      <c r="A9513" s="6"/>
      <c r="B9513" s="6"/>
      <c r="H9513" s="13"/>
    </row>
    <row r="9514">
      <c r="A9514" s="6"/>
      <c r="B9514" s="6"/>
      <c r="H9514" s="13"/>
    </row>
    <row r="9515">
      <c r="A9515" s="6"/>
      <c r="B9515" s="6"/>
      <c r="H9515" s="13"/>
    </row>
    <row r="9516">
      <c r="A9516" s="6"/>
      <c r="B9516" s="6"/>
      <c r="H9516" s="13"/>
    </row>
    <row r="9517">
      <c r="A9517" s="6"/>
      <c r="B9517" s="6"/>
      <c r="H9517" s="13"/>
    </row>
    <row r="9518">
      <c r="A9518" s="6"/>
      <c r="B9518" s="6"/>
      <c r="H9518" s="13"/>
    </row>
    <row r="9519">
      <c r="A9519" s="6"/>
      <c r="B9519" s="6"/>
      <c r="H9519" s="13"/>
    </row>
    <row r="9520">
      <c r="A9520" s="6"/>
      <c r="B9520" s="6"/>
      <c r="H9520" s="13"/>
    </row>
    <row r="9521">
      <c r="A9521" s="6"/>
      <c r="B9521" s="6"/>
      <c r="H9521" s="13"/>
    </row>
    <row r="9522">
      <c r="A9522" s="6"/>
      <c r="B9522" s="6"/>
      <c r="H9522" s="13"/>
    </row>
    <row r="9523">
      <c r="A9523" s="6"/>
      <c r="B9523" s="6"/>
      <c r="H9523" s="13"/>
    </row>
    <row r="9524">
      <c r="A9524" s="6"/>
      <c r="B9524" s="6"/>
      <c r="H9524" s="13"/>
    </row>
    <row r="9525">
      <c r="A9525" s="6"/>
      <c r="B9525" s="6"/>
      <c r="H9525" s="13"/>
    </row>
    <row r="9526">
      <c r="A9526" s="6"/>
      <c r="B9526" s="6"/>
      <c r="H9526" s="13"/>
    </row>
    <row r="9527">
      <c r="A9527" s="6"/>
      <c r="B9527" s="6"/>
      <c r="H9527" s="13"/>
    </row>
    <row r="9528">
      <c r="A9528" s="6"/>
      <c r="B9528" s="6"/>
      <c r="H9528" s="13"/>
    </row>
    <row r="9529">
      <c r="A9529" s="6"/>
      <c r="B9529" s="6"/>
      <c r="H9529" s="13"/>
    </row>
    <row r="9530">
      <c r="A9530" s="6"/>
      <c r="B9530" s="6"/>
      <c r="H9530" s="13"/>
    </row>
    <row r="9531">
      <c r="A9531" s="6"/>
      <c r="B9531" s="6"/>
      <c r="H9531" s="13"/>
    </row>
    <row r="9532">
      <c r="A9532" s="6"/>
      <c r="B9532" s="6"/>
      <c r="H9532" s="13"/>
    </row>
    <row r="9533">
      <c r="A9533" s="6"/>
      <c r="B9533" s="6"/>
      <c r="H9533" s="13"/>
    </row>
    <row r="9534">
      <c r="A9534" s="6"/>
      <c r="B9534" s="6"/>
      <c r="H9534" s="13"/>
    </row>
    <row r="9535">
      <c r="A9535" s="6"/>
      <c r="B9535" s="6"/>
      <c r="H9535" s="13"/>
    </row>
    <row r="9536">
      <c r="A9536" s="6"/>
      <c r="B9536" s="6"/>
      <c r="H9536" s="13"/>
    </row>
    <row r="9537">
      <c r="A9537" s="6"/>
      <c r="B9537" s="6"/>
      <c r="H9537" s="13"/>
    </row>
    <row r="9538">
      <c r="A9538" s="6"/>
      <c r="B9538" s="6"/>
      <c r="H9538" s="13"/>
    </row>
    <row r="9539">
      <c r="A9539" s="6"/>
      <c r="B9539" s="6"/>
      <c r="H9539" s="13"/>
    </row>
    <row r="9540">
      <c r="A9540" s="6"/>
      <c r="B9540" s="6"/>
      <c r="H9540" s="13"/>
    </row>
    <row r="9541">
      <c r="A9541" s="6"/>
      <c r="B9541" s="6"/>
      <c r="H9541" s="13"/>
    </row>
    <row r="9542">
      <c r="A9542" s="6"/>
      <c r="B9542" s="6"/>
      <c r="H9542" s="13"/>
    </row>
    <row r="9543">
      <c r="A9543" s="6"/>
      <c r="B9543" s="6"/>
      <c r="H9543" s="13"/>
    </row>
    <row r="9544">
      <c r="A9544" s="6"/>
      <c r="B9544" s="6"/>
      <c r="H9544" s="13"/>
    </row>
    <row r="9545">
      <c r="A9545" s="6"/>
      <c r="B9545" s="6"/>
      <c r="H9545" s="13"/>
    </row>
    <row r="9546">
      <c r="A9546" s="6"/>
      <c r="B9546" s="6"/>
      <c r="H9546" s="13"/>
    </row>
    <row r="9547">
      <c r="A9547" s="6"/>
      <c r="B9547" s="6"/>
      <c r="H9547" s="13"/>
    </row>
    <row r="9548">
      <c r="A9548" s="6"/>
      <c r="B9548" s="6"/>
      <c r="H9548" s="13"/>
    </row>
    <row r="9549">
      <c r="A9549" s="6"/>
      <c r="B9549" s="6"/>
      <c r="H9549" s="13"/>
    </row>
    <row r="9550">
      <c r="A9550" s="6"/>
      <c r="B9550" s="6"/>
      <c r="H9550" s="13"/>
    </row>
    <row r="9551">
      <c r="A9551" s="6"/>
      <c r="B9551" s="6"/>
      <c r="H9551" s="13"/>
    </row>
    <row r="9552">
      <c r="A9552" s="6"/>
      <c r="B9552" s="6"/>
      <c r="H9552" s="13"/>
    </row>
    <row r="9553">
      <c r="A9553" s="6"/>
      <c r="B9553" s="6"/>
      <c r="H9553" s="13"/>
    </row>
    <row r="9554">
      <c r="A9554" s="6"/>
      <c r="B9554" s="6"/>
      <c r="H9554" s="13"/>
    </row>
    <row r="9555">
      <c r="A9555" s="6"/>
      <c r="B9555" s="6"/>
      <c r="H9555" s="13"/>
    </row>
    <row r="9556">
      <c r="A9556" s="6"/>
      <c r="B9556" s="6"/>
      <c r="H9556" s="13"/>
    </row>
    <row r="9557">
      <c r="A9557" s="6"/>
      <c r="B9557" s="6"/>
      <c r="H9557" s="13"/>
    </row>
    <row r="9558">
      <c r="A9558" s="6"/>
      <c r="B9558" s="6"/>
      <c r="H9558" s="13"/>
    </row>
    <row r="9559">
      <c r="A9559" s="6"/>
      <c r="B9559" s="6"/>
      <c r="H9559" s="13"/>
    </row>
    <row r="9560">
      <c r="A9560" s="6"/>
      <c r="B9560" s="6"/>
      <c r="H9560" s="13"/>
    </row>
    <row r="9561">
      <c r="A9561" s="6"/>
      <c r="B9561" s="6"/>
      <c r="H9561" s="13"/>
    </row>
    <row r="9562">
      <c r="A9562" s="6"/>
      <c r="B9562" s="6"/>
      <c r="H9562" s="13"/>
    </row>
    <row r="9563">
      <c r="A9563" s="6"/>
      <c r="B9563" s="6"/>
      <c r="H9563" s="13"/>
    </row>
    <row r="9564">
      <c r="A9564" s="6"/>
      <c r="B9564" s="6"/>
      <c r="H9564" s="13"/>
    </row>
    <row r="9565">
      <c r="A9565" s="6"/>
      <c r="B9565" s="6"/>
      <c r="H9565" s="13"/>
    </row>
    <row r="9566">
      <c r="A9566" s="6"/>
      <c r="B9566" s="6"/>
      <c r="H9566" s="13"/>
    </row>
    <row r="9567">
      <c r="A9567" s="6"/>
      <c r="B9567" s="6"/>
      <c r="H9567" s="13"/>
    </row>
    <row r="9568">
      <c r="A9568" s="6"/>
      <c r="B9568" s="6"/>
      <c r="H9568" s="13"/>
    </row>
    <row r="9569">
      <c r="A9569" s="6"/>
      <c r="B9569" s="6"/>
      <c r="H9569" s="13"/>
    </row>
    <row r="9570">
      <c r="A9570" s="6"/>
      <c r="B9570" s="6"/>
      <c r="H9570" s="13"/>
    </row>
    <row r="9571">
      <c r="A9571" s="6"/>
      <c r="B9571" s="6"/>
      <c r="H9571" s="13"/>
    </row>
    <row r="9572">
      <c r="A9572" s="6"/>
      <c r="B9572" s="6"/>
      <c r="H9572" s="13"/>
    </row>
    <row r="9573">
      <c r="A9573" s="6"/>
      <c r="B9573" s="6"/>
      <c r="H9573" s="13"/>
    </row>
    <row r="9574">
      <c r="A9574" s="6"/>
      <c r="B9574" s="6"/>
      <c r="H9574" s="13"/>
    </row>
    <row r="9575">
      <c r="A9575" s="6"/>
      <c r="B9575" s="6"/>
      <c r="H9575" s="13"/>
    </row>
    <row r="9576">
      <c r="A9576" s="6"/>
      <c r="B9576" s="6"/>
      <c r="H9576" s="13"/>
    </row>
    <row r="9577">
      <c r="A9577" s="6"/>
      <c r="B9577" s="6"/>
      <c r="H9577" s="13"/>
    </row>
    <row r="9578">
      <c r="A9578" s="6"/>
      <c r="B9578" s="6"/>
      <c r="H9578" s="13"/>
    </row>
    <row r="9579">
      <c r="A9579" s="6"/>
      <c r="B9579" s="6"/>
      <c r="H9579" s="13"/>
    </row>
    <row r="9580">
      <c r="A9580" s="6"/>
      <c r="B9580" s="6"/>
      <c r="H9580" s="13"/>
    </row>
    <row r="9581">
      <c r="A9581" s="6"/>
      <c r="B9581" s="6"/>
      <c r="H9581" s="13"/>
    </row>
    <row r="9582">
      <c r="A9582" s="6"/>
      <c r="B9582" s="6"/>
      <c r="H9582" s="13"/>
    </row>
    <row r="9583">
      <c r="A9583" s="6"/>
      <c r="B9583" s="6"/>
      <c r="H9583" s="13"/>
    </row>
    <row r="9584">
      <c r="A9584" s="6"/>
      <c r="B9584" s="6"/>
      <c r="H9584" s="13"/>
    </row>
    <row r="9585">
      <c r="A9585" s="6"/>
      <c r="B9585" s="6"/>
      <c r="H9585" s="13"/>
    </row>
    <row r="9586">
      <c r="A9586" s="6"/>
      <c r="B9586" s="6"/>
      <c r="H9586" s="13"/>
    </row>
    <row r="9587">
      <c r="A9587" s="6"/>
      <c r="B9587" s="6"/>
      <c r="H9587" s="13"/>
    </row>
    <row r="9588">
      <c r="A9588" s="6"/>
      <c r="B9588" s="6"/>
      <c r="H9588" s="13"/>
    </row>
    <row r="9589">
      <c r="A9589" s="6"/>
      <c r="B9589" s="6"/>
      <c r="H9589" s="13"/>
    </row>
    <row r="9590">
      <c r="A9590" s="6"/>
      <c r="B9590" s="6"/>
      <c r="H9590" s="13"/>
    </row>
    <row r="9591">
      <c r="A9591" s="6"/>
      <c r="B9591" s="6"/>
      <c r="H9591" s="13"/>
    </row>
    <row r="9592">
      <c r="A9592" s="6"/>
      <c r="B9592" s="6"/>
      <c r="H9592" s="13"/>
    </row>
    <row r="9593">
      <c r="A9593" s="6"/>
      <c r="B9593" s="6"/>
      <c r="H9593" s="13"/>
    </row>
    <row r="9594">
      <c r="A9594" s="6"/>
      <c r="B9594" s="6"/>
      <c r="H9594" s="13"/>
    </row>
    <row r="9595">
      <c r="A9595" s="6"/>
      <c r="B9595" s="6"/>
      <c r="H9595" s="13"/>
    </row>
    <row r="9596">
      <c r="A9596" s="6"/>
      <c r="B9596" s="6"/>
      <c r="H9596" s="13"/>
    </row>
    <row r="9597">
      <c r="A9597" s="6"/>
      <c r="B9597" s="6"/>
      <c r="H9597" s="13"/>
    </row>
    <row r="9598">
      <c r="A9598" s="6"/>
      <c r="B9598" s="6"/>
      <c r="H9598" s="13"/>
    </row>
    <row r="9599">
      <c r="A9599" s="6"/>
      <c r="B9599" s="6"/>
      <c r="H9599" s="13"/>
    </row>
    <row r="9600">
      <c r="A9600" s="6"/>
      <c r="B9600" s="6"/>
      <c r="H9600" s="13"/>
    </row>
    <row r="9601">
      <c r="A9601" s="6"/>
      <c r="B9601" s="6"/>
      <c r="H9601" s="13"/>
    </row>
    <row r="9602">
      <c r="A9602" s="6"/>
      <c r="B9602" s="6"/>
      <c r="H9602" s="13"/>
    </row>
    <row r="9603">
      <c r="A9603" s="6"/>
      <c r="B9603" s="6"/>
      <c r="H9603" s="13"/>
    </row>
    <row r="9604">
      <c r="A9604" s="6"/>
      <c r="B9604" s="6"/>
      <c r="H9604" s="13"/>
    </row>
    <row r="9605">
      <c r="A9605" s="6"/>
      <c r="B9605" s="6"/>
      <c r="H9605" s="13"/>
    </row>
    <row r="9606">
      <c r="A9606" s="6"/>
      <c r="B9606" s="6"/>
      <c r="H9606" s="13"/>
    </row>
    <row r="9607">
      <c r="A9607" s="6"/>
      <c r="B9607" s="6"/>
      <c r="H9607" s="13"/>
    </row>
    <row r="9608">
      <c r="A9608" s="6"/>
      <c r="B9608" s="6"/>
      <c r="H9608" s="13"/>
    </row>
    <row r="9609">
      <c r="A9609" s="6"/>
      <c r="B9609" s="6"/>
      <c r="H9609" s="13"/>
    </row>
    <row r="9610">
      <c r="A9610" s="6"/>
      <c r="B9610" s="6"/>
      <c r="H9610" s="13"/>
    </row>
    <row r="9611">
      <c r="A9611" s="6"/>
      <c r="B9611" s="6"/>
      <c r="H9611" s="13"/>
    </row>
    <row r="9612">
      <c r="A9612" s="6"/>
      <c r="B9612" s="6"/>
      <c r="H9612" s="13"/>
    </row>
    <row r="9613">
      <c r="A9613" s="6"/>
      <c r="B9613" s="6"/>
      <c r="H9613" s="13"/>
    </row>
    <row r="9614">
      <c r="A9614" s="6"/>
      <c r="B9614" s="6"/>
      <c r="H9614" s="13"/>
    </row>
    <row r="9615">
      <c r="A9615" s="6"/>
      <c r="B9615" s="6"/>
      <c r="H9615" s="13"/>
    </row>
    <row r="9616">
      <c r="A9616" s="6"/>
      <c r="B9616" s="6"/>
      <c r="H9616" s="13"/>
    </row>
    <row r="9617">
      <c r="A9617" s="6"/>
      <c r="B9617" s="6"/>
      <c r="H9617" s="13"/>
    </row>
    <row r="9618">
      <c r="A9618" s="6"/>
      <c r="B9618" s="6"/>
      <c r="H9618" s="13"/>
    </row>
    <row r="9619">
      <c r="A9619" s="6"/>
      <c r="B9619" s="6"/>
      <c r="H9619" s="13"/>
    </row>
    <row r="9620">
      <c r="A9620" s="6"/>
      <c r="B9620" s="6"/>
      <c r="H9620" s="13"/>
    </row>
    <row r="9621">
      <c r="A9621" s="6"/>
      <c r="B9621" s="6"/>
      <c r="H9621" s="13"/>
    </row>
    <row r="9622">
      <c r="A9622" s="6"/>
      <c r="B9622" s="6"/>
      <c r="H9622" s="13"/>
    </row>
    <row r="9623">
      <c r="A9623" s="6"/>
      <c r="B9623" s="6"/>
      <c r="H9623" s="13"/>
    </row>
    <row r="9624">
      <c r="A9624" s="6"/>
      <c r="B9624" s="6"/>
      <c r="H9624" s="13"/>
    </row>
    <row r="9625">
      <c r="A9625" s="6"/>
      <c r="B9625" s="6"/>
      <c r="H9625" s="13"/>
    </row>
    <row r="9626">
      <c r="A9626" s="6"/>
      <c r="B9626" s="6"/>
      <c r="H9626" s="13"/>
    </row>
    <row r="9627">
      <c r="A9627" s="6"/>
      <c r="B9627" s="6"/>
      <c r="H9627" s="13"/>
    </row>
    <row r="9628">
      <c r="A9628" s="6"/>
      <c r="B9628" s="6"/>
      <c r="H9628" s="13"/>
    </row>
    <row r="9629">
      <c r="A9629" s="6"/>
      <c r="B9629" s="6"/>
      <c r="H9629" s="13"/>
    </row>
    <row r="9630">
      <c r="A9630" s="6"/>
      <c r="B9630" s="6"/>
      <c r="H9630" s="13"/>
    </row>
    <row r="9631">
      <c r="A9631" s="6"/>
      <c r="B9631" s="6"/>
      <c r="H9631" s="13"/>
    </row>
    <row r="9632">
      <c r="A9632" s="6"/>
      <c r="B9632" s="6"/>
      <c r="H9632" s="13"/>
    </row>
    <row r="9633">
      <c r="A9633" s="6"/>
      <c r="B9633" s="6"/>
      <c r="H9633" s="13"/>
    </row>
    <row r="9634">
      <c r="A9634" s="6"/>
      <c r="B9634" s="6"/>
      <c r="H9634" s="13"/>
    </row>
    <row r="9635">
      <c r="A9635" s="6"/>
      <c r="B9635" s="6"/>
      <c r="H9635" s="13"/>
    </row>
    <row r="9636">
      <c r="A9636" s="6"/>
      <c r="B9636" s="6"/>
      <c r="H9636" s="13"/>
    </row>
    <row r="9637">
      <c r="A9637" s="6"/>
      <c r="B9637" s="6"/>
      <c r="H9637" s="13"/>
    </row>
    <row r="9638">
      <c r="A9638" s="6"/>
      <c r="B9638" s="6"/>
      <c r="H9638" s="13"/>
    </row>
    <row r="9639">
      <c r="A9639" s="6"/>
      <c r="B9639" s="6"/>
      <c r="H9639" s="13"/>
    </row>
    <row r="9640">
      <c r="A9640" s="6"/>
      <c r="B9640" s="6"/>
      <c r="H9640" s="13"/>
    </row>
    <row r="9641">
      <c r="A9641" s="6"/>
      <c r="B9641" s="6"/>
      <c r="H9641" s="13"/>
    </row>
    <row r="9642">
      <c r="A9642" s="6"/>
      <c r="B9642" s="6"/>
      <c r="H9642" s="13"/>
    </row>
    <row r="9643">
      <c r="A9643" s="6"/>
      <c r="B9643" s="6"/>
      <c r="H9643" s="13"/>
    </row>
    <row r="9644">
      <c r="A9644" s="6"/>
      <c r="B9644" s="6"/>
      <c r="H9644" s="13"/>
    </row>
    <row r="9645">
      <c r="A9645" s="6"/>
      <c r="B9645" s="6"/>
      <c r="H9645" s="13"/>
    </row>
    <row r="9646">
      <c r="A9646" s="6"/>
      <c r="B9646" s="6"/>
      <c r="H9646" s="13"/>
    </row>
    <row r="9647">
      <c r="A9647" s="6"/>
      <c r="B9647" s="6"/>
      <c r="H9647" s="13"/>
    </row>
    <row r="9648">
      <c r="A9648" s="6"/>
      <c r="B9648" s="6"/>
      <c r="H9648" s="13"/>
    </row>
    <row r="9649">
      <c r="A9649" s="6"/>
      <c r="B9649" s="6"/>
      <c r="H9649" s="13"/>
    </row>
    <row r="9650">
      <c r="A9650" s="6"/>
      <c r="B9650" s="6"/>
      <c r="H9650" s="13"/>
    </row>
    <row r="9651">
      <c r="A9651" s="6"/>
      <c r="B9651" s="6"/>
      <c r="H9651" s="13"/>
    </row>
    <row r="9652">
      <c r="A9652" s="6"/>
      <c r="B9652" s="6"/>
      <c r="H9652" s="13"/>
    </row>
    <row r="9653">
      <c r="A9653" s="6"/>
      <c r="B9653" s="6"/>
      <c r="H9653" s="13"/>
    </row>
    <row r="9654">
      <c r="A9654" s="6"/>
      <c r="B9654" s="6"/>
      <c r="H9654" s="13"/>
    </row>
    <row r="9655">
      <c r="A9655" s="6"/>
      <c r="B9655" s="6"/>
      <c r="H9655" s="13"/>
    </row>
    <row r="9656">
      <c r="A9656" s="6"/>
      <c r="B9656" s="6"/>
      <c r="H9656" s="13"/>
    </row>
    <row r="9657">
      <c r="A9657" s="6"/>
      <c r="B9657" s="6"/>
      <c r="H9657" s="13"/>
    </row>
    <row r="9658">
      <c r="A9658" s="6"/>
      <c r="B9658" s="6"/>
      <c r="H9658" s="13"/>
    </row>
    <row r="9659">
      <c r="A9659" s="6"/>
      <c r="B9659" s="6"/>
      <c r="H9659" s="13"/>
    </row>
    <row r="9660">
      <c r="A9660" s="6"/>
      <c r="B9660" s="6"/>
      <c r="H9660" s="13"/>
    </row>
    <row r="9661">
      <c r="A9661" s="6"/>
      <c r="B9661" s="6"/>
      <c r="H9661" s="13"/>
    </row>
    <row r="9662">
      <c r="A9662" s="6"/>
      <c r="B9662" s="6"/>
      <c r="H9662" s="13"/>
    </row>
    <row r="9663">
      <c r="A9663" s="6"/>
      <c r="B9663" s="6"/>
      <c r="H9663" s="13"/>
    </row>
    <row r="9664">
      <c r="A9664" s="6"/>
      <c r="B9664" s="6"/>
      <c r="H9664" s="13"/>
    </row>
    <row r="9665">
      <c r="A9665" s="6"/>
      <c r="B9665" s="6"/>
      <c r="H9665" s="13"/>
    </row>
    <row r="9666">
      <c r="A9666" s="6"/>
      <c r="B9666" s="6"/>
      <c r="H9666" s="13"/>
    </row>
    <row r="9667">
      <c r="A9667" s="6"/>
      <c r="B9667" s="6"/>
      <c r="H9667" s="13"/>
    </row>
    <row r="9668">
      <c r="A9668" s="6"/>
      <c r="B9668" s="6"/>
      <c r="H9668" s="13"/>
    </row>
    <row r="9669">
      <c r="A9669" s="6"/>
      <c r="B9669" s="6"/>
      <c r="H9669" s="13"/>
    </row>
    <row r="9670">
      <c r="A9670" s="6"/>
      <c r="B9670" s="6"/>
      <c r="H9670" s="13"/>
    </row>
    <row r="9671">
      <c r="A9671" s="6"/>
      <c r="B9671" s="6"/>
      <c r="H9671" s="13"/>
    </row>
    <row r="9672">
      <c r="A9672" s="6"/>
      <c r="B9672" s="6"/>
      <c r="H9672" s="13"/>
    </row>
    <row r="9673">
      <c r="A9673" s="6"/>
      <c r="B9673" s="6"/>
      <c r="H9673" s="13"/>
    </row>
    <row r="9674">
      <c r="A9674" s="6"/>
      <c r="B9674" s="6"/>
      <c r="H9674" s="13"/>
    </row>
    <row r="9675">
      <c r="A9675" s="6"/>
      <c r="B9675" s="6"/>
      <c r="H9675" s="13"/>
    </row>
    <row r="9676">
      <c r="A9676" s="6"/>
      <c r="B9676" s="6"/>
      <c r="H9676" s="13"/>
    </row>
    <row r="9677">
      <c r="A9677" s="6"/>
      <c r="B9677" s="6"/>
      <c r="H9677" s="13"/>
    </row>
    <row r="9678">
      <c r="A9678" s="6"/>
      <c r="B9678" s="6"/>
      <c r="H9678" s="13"/>
    </row>
    <row r="9679">
      <c r="A9679" s="6"/>
      <c r="B9679" s="6"/>
      <c r="H9679" s="13"/>
    </row>
    <row r="9680">
      <c r="A9680" s="6"/>
      <c r="B9680" s="6"/>
      <c r="H9680" s="13"/>
    </row>
    <row r="9681">
      <c r="A9681" s="6"/>
      <c r="B9681" s="6"/>
      <c r="H9681" s="13"/>
    </row>
    <row r="9682">
      <c r="A9682" s="6"/>
      <c r="B9682" s="6"/>
      <c r="H9682" s="13"/>
    </row>
    <row r="9683">
      <c r="A9683" s="6"/>
      <c r="B9683" s="6"/>
      <c r="H9683" s="13"/>
    </row>
    <row r="9684">
      <c r="A9684" s="6"/>
      <c r="B9684" s="6"/>
      <c r="H9684" s="13"/>
    </row>
    <row r="9685">
      <c r="A9685" s="6"/>
      <c r="B9685" s="6"/>
      <c r="H9685" s="13"/>
    </row>
    <row r="9686">
      <c r="A9686" s="6"/>
      <c r="B9686" s="6"/>
      <c r="H9686" s="13"/>
    </row>
    <row r="9687">
      <c r="A9687" s="6"/>
      <c r="B9687" s="6"/>
      <c r="H9687" s="13"/>
    </row>
    <row r="9688">
      <c r="A9688" s="6"/>
      <c r="B9688" s="6"/>
      <c r="H9688" s="13"/>
    </row>
    <row r="9689">
      <c r="A9689" s="6"/>
      <c r="B9689" s="6"/>
      <c r="H9689" s="13"/>
    </row>
    <row r="9690">
      <c r="A9690" s="6"/>
      <c r="B9690" s="6"/>
      <c r="H9690" s="13"/>
    </row>
    <row r="9691">
      <c r="A9691" s="6"/>
      <c r="B9691" s="6"/>
      <c r="H9691" s="13"/>
    </row>
    <row r="9692">
      <c r="A9692" s="6"/>
      <c r="B9692" s="6"/>
      <c r="H9692" s="13"/>
    </row>
    <row r="9693">
      <c r="A9693" s="6"/>
      <c r="B9693" s="6"/>
      <c r="H9693" s="13"/>
    </row>
    <row r="9694">
      <c r="A9694" s="6"/>
      <c r="B9694" s="6"/>
      <c r="H9694" s="13"/>
    </row>
    <row r="9695">
      <c r="A9695" s="6"/>
      <c r="B9695" s="6"/>
      <c r="H9695" s="13"/>
    </row>
    <row r="9696">
      <c r="A9696" s="6"/>
      <c r="B9696" s="6"/>
      <c r="H9696" s="13"/>
    </row>
    <row r="9697">
      <c r="A9697" s="6"/>
      <c r="B9697" s="6"/>
      <c r="H9697" s="13"/>
    </row>
    <row r="9698">
      <c r="A9698" s="6"/>
      <c r="B9698" s="6"/>
      <c r="H9698" s="13"/>
    </row>
    <row r="9699">
      <c r="A9699" s="6"/>
      <c r="B9699" s="6"/>
      <c r="H9699" s="13"/>
    </row>
    <row r="9700">
      <c r="A9700" s="6"/>
      <c r="B9700" s="6"/>
      <c r="H9700" s="13"/>
    </row>
    <row r="9701">
      <c r="A9701" s="6"/>
      <c r="B9701" s="6"/>
      <c r="H9701" s="13"/>
    </row>
    <row r="9702">
      <c r="A9702" s="6"/>
      <c r="B9702" s="6"/>
      <c r="H9702" s="13"/>
    </row>
    <row r="9703">
      <c r="A9703" s="6"/>
      <c r="B9703" s="6"/>
      <c r="H9703" s="13"/>
    </row>
    <row r="9704">
      <c r="A9704" s="6"/>
      <c r="B9704" s="6"/>
      <c r="H9704" s="13"/>
    </row>
    <row r="9705">
      <c r="A9705" s="6"/>
      <c r="B9705" s="6"/>
      <c r="H9705" s="13"/>
    </row>
    <row r="9706">
      <c r="A9706" s="6"/>
      <c r="B9706" s="6"/>
      <c r="H9706" s="13"/>
    </row>
    <row r="9707">
      <c r="A9707" s="6"/>
      <c r="B9707" s="6"/>
      <c r="H9707" s="13"/>
    </row>
    <row r="9708">
      <c r="A9708" s="6"/>
      <c r="B9708" s="6"/>
      <c r="H9708" s="13"/>
    </row>
    <row r="9709">
      <c r="A9709" s="6"/>
      <c r="B9709" s="6"/>
      <c r="H9709" s="13"/>
    </row>
    <row r="9710">
      <c r="A9710" s="6"/>
      <c r="B9710" s="6"/>
      <c r="H9710" s="13"/>
    </row>
    <row r="9711">
      <c r="A9711" s="6"/>
      <c r="B9711" s="6"/>
      <c r="H9711" s="13"/>
    </row>
    <row r="9712">
      <c r="A9712" s="6"/>
      <c r="B9712" s="6"/>
      <c r="H9712" s="13"/>
    </row>
    <row r="9713">
      <c r="A9713" s="6"/>
      <c r="B9713" s="6"/>
      <c r="H9713" s="13"/>
    </row>
    <row r="9714">
      <c r="A9714" s="6"/>
      <c r="B9714" s="6"/>
      <c r="H9714" s="13"/>
    </row>
    <row r="9715">
      <c r="A9715" s="6"/>
      <c r="B9715" s="6"/>
      <c r="H9715" s="13"/>
    </row>
    <row r="9716">
      <c r="A9716" s="6"/>
      <c r="B9716" s="6"/>
      <c r="H9716" s="13"/>
    </row>
    <row r="9717">
      <c r="A9717" s="6"/>
      <c r="B9717" s="6"/>
      <c r="H9717" s="13"/>
    </row>
    <row r="9718">
      <c r="A9718" s="6"/>
      <c r="B9718" s="6"/>
      <c r="H9718" s="13"/>
    </row>
    <row r="9719">
      <c r="A9719" s="6"/>
      <c r="B9719" s="6"/>
      <c r="H9719" s="13"/>
    </row>
    <row r="9720">
      <c r="A9720" s="6"/>
      <c r="B9720" s="6"/>
      <c r="H9720" s="13"/>
    </row>
    <row r="9721">
      <c r="A9721" s="6"/>
      <c r="B9721" s="6"/>
      <c r="H9721" s="13"/>
    </row>
    <row r="9722">
      <c r="A9722" s="6"/>
      <c r="B9722" s="6"/>
      <c r="H9722" s="13"/>
    </row>
    <row r="9723">
      <c r="A9723" s="6"/>
      <c r="B9723" s="6"/>
      <c r="H9723" s="13"/>
    </row>
    <row r="9724">
      <c r="A9724" s="6"/>
      <c r="B9724" s="6"/>
      <c r="H9724" s="13"/>
    </row>
    <row r="9725">
      <c r="A9725" s="6"/>
      <c r="B9725" s="6"/>
      <c r="H9725" s="13"/>
    </row>
    <row r="9726">
      <c r="A9726" s="6"/>
      <c r="B9726" s="6"/>
      <c r="H9726" s="13"/>
    </row>
    <row r="9727">
      <c r="A9727" s="6"/>
      <c r="B9727" s="6"/>
      <c r="H9727" s="13"/>
    </row>
    <row r="9728">
      <c r="A9728" s="6"/>
      <c r="B9728" s="6"/>
      <c r="H9728" s="13"/>
    </row>
    <row r="9729">
      <c r="A9729" s="6"/>
      <c r="B9729" s="6"/>
      <c r="H9729" s="13"/>
    </row>
    <row r="9730">
      <c r="A9730" s="6"/>
      <c r="B9730" s="6"/>
      <c r="H9730" s="13"/>
    </row>
    <row r="9731">
      <c r="A9731" s="6"/>
      <c r="B9731" s="6"/>
      <c r="H9731" s="13"/>
    </row>
    <row r="9732">
      <c r="A9732" s="6"/>
      <c r="B9732" s="6"/>
      <c r="H9732" s="13"/>
    </row>
    <row r="9733">
      <c r="A9733" s="6"/>
      <c r="B9733" s="6"/>
      <c r="H9733" s="13"/>
    </row>
    <row r="9734">
      <c r="A9734" s="6"/>
      <c r="B9734" s="6"/>
      <c r="H9734" s="13"/>
    </row>
    <row r="9735">
      <c r="A9735" s="6"/>
      <c r="B9735" s="6"/>
      <c r="H9735" s="13"/>
    </row>
    <row r="9736">
      <c r="A9736" s="6"/>
      <c r="B9736" s="6"/>
      <c r="H9736" s="13"/>
    </row>
    <row r="9737">
      <c r="A9737" s="6"/>
      <c r="B9737" s="6"/>
      <c r="H9737" s="13"/>
    </row>
    <row r="9738">
      <c r="A9738" s="6"/>
      <c r="B9738" s="6"/>
      <c r="H9738" s="13"/>
    </row>
    <row r="9739">
      <c r="A9739" s="6"/>
      <c r="B9739" s="6"/>
      <c r="H9739" s="13"/>
    </row>
    <row r="9740">
      <c r="A9740" s="6"/>
      <c r="B9740" s="6"/>
      <c r="H9740" s="13"/>
    </row>
    <row r="9741">
      <c r="A9741" s="6"/>
      <c r="B9741" s="6"/>
      <c r="H9741" s="13"/>
    </row>
    <row r="9742">
      <c r="A9742" s="6"/>
      <c r="B9742" s="6"/>
      <c r="H9742" s="13"/>
    </row>
    <row r="9743">
      <c r="A9743" s="6"/>
      <c r="B9743" s="6"/>
      <c r="H9743" s="13"/>
    </row>
    <row r="9744">
      <c r="A9744" s="6"/>
      <c r="B9744" s="6"/>
      <c r="H9744" s="13"/>
    </row>
    <row r="9745">
      <c r="A9745" s="6"/>
      <c r="B9745" s="6"/>
      <c r="H9745" s="13"/>
    </row>
    <row r="9746">
      <c r="A9746" s="6"/>
      <c r="B9746" s="6"/>
      <c r="H9746" s="13"/>
    </row>
    <row r="9747">
      <c r="A9747" s="6"/>
      <c r="B9747" s="6"/>
      <c r="H9747" s="13"/>
    </row>
    <row r="9748">
      <c r="A9748" s="6"/>
      <c r="B9748" s="6"/>
      <c r="H9748" s="13"/>
    </row>
    <row r="9749">
      <c r="A9749" s="6"/>
      <c r="B9749" s="6"/>
      <c r="H9749" s="13"/>
    </row>
    <row r="9750">
      <c r="A9750" s="6"/>
      <c r="B9750" s="6"/>
      <c r="H9750" s="13"/>
    </row>
    <row r="9751">
      <c r="A9751" s="6"/>
      <c r="B9751" s="6"/>
      <c r="H9751" s="13"/>
    </row>
    <row r="9752">
      <c r="A9752" s="6"/>
      <c r="B9752" s="6"/>
      <c r="H9752" s="13"/>
    </row>
    <row r="9753">
      <c r="A9753" s="6"/>
      <c r="B9753" s="6"/>
      <c r="H9753" s="13"/>
    </row>
    <row r="9754">
      <c r="A9754" s="6"/>
      <c r="B9754" s="6"/>
      <c r="H9754" s="13"/>
    </row>
    <row r="9755">
      <c r="A9755" s="6"/>
      <c r="B9755" s="6"/>
      <c r="H9755" s="13"/>
    </row>
    <row r="9756">
      <c r="A9756" s="6"/>
      <c r="B9756" s="6"/>
      <c r="H9756" s="13"/>
    </row>
    <row r="9757">
      <c r="A9757" s="6"/>
      <c r="B9757" s="6"/>
      <c r="H9757" s="13"/>
    </row>
    <row r="9758">
      <c r="A9758" s="6"/>
      <c r="B9758" s="6"/>
      <c r="H9758" s="13"/>
    </row>
    <row r="9759">
      <c r="A9759" s="6"/>
      <c r="B9759" s="6"/>
      <c r="H9759" s="13"/>
    </row>
    <row r="9760">
      <c r="A9760" s="6"/>
      <c r="B9760" s="6"/>
      <c r="H9760" s="13"/>
    </row>
    <row r="9761">
      <c r="A9761" s="6"/>
      <c r="B9761" s="6"/>
      <c r="H9761" s="13"/>
    </row>
    <row r="9762">
      <c r="A9762" s="6"/>
      <c r="B9762" s="6"/>
      <c r="H9762" s="13"/>
    </row>
    <row r="9763">
      <c r="A9763" s="6"/>
      <c r="B9763" s="6"/>
      <c r="H9763" s="13"/>
    </row>
    <row r="9764">
      <c r="A9764" s="6"/>
      <c r="B9764" s="6"/>
      <c r="H9764" s="13"/>
    </row>
    <row r="9765">
      <c r="A9765" s="6"/>
      <c r="B9765" s="6"/>
      <c r="H9765" s="13"/>
    </row>
    <row r="9766">
      <c r="A9766" s="6"/>
      <c r="B9766" s="6"/>
      <c r="H9766" s="13"/>
    </row>
    <row r="9767">
      <c r="A9767" s="6"/>
      <c r="B9767" s="6"/>
      <c r="H9767" s="13"/>
    </row>
    <row r="9768">
      <c r="A9768" s="6"/>
      <c r="B9768" s="6"/>
      <c r="H9768" s="13"/>
    </row>
    <row r="9769">
      <c r="A9769" s="6"/>
      <c r="B9769" s="6"/>
      <c r="H9769" s="13"/>
    </row>
    <row r="9770">
      <c r="A9770" s="6"/>
      <c r="B9770" s="6"/>
      <c r="H9770" s="13"/>
    </row>
    <row r="9771">
      <c r="A9771" s="6"/>
      <c r="B9771" s="6"/>
      <c r="H9771" s="13"/>
    </row>
    <row r="9772">
      <c r="A9772" s="6"/>
      <c r="B9772" s="6"/>
      <c r="H9772" s="13"/>
    </row>
    <row r="9773">
      <c r="A9773" s="6"/>
      <c r="B9773" s="6"/>
      <c r="H9773" s="13"/>
    </row>
    <row r="9774">
      <c r="A9774" s="6"/>
      <c r="B9774" s="6"/>
      <c r="H9774" s="13"/>
    </row>
    <row r="9775">
      <c r="A9775" s="6"/>
      <c r="B9775" s="6"/>
      <c r="H9775" s="13"/>
    </row>
    <row r="9776">
      <c r="A9776" s="6"/>
      <c r="B9776" s="6"/>
      <c r="H9776" s="13"/>
    </row>
    <row r="9777">
      <c r="A9777" s="6"/>
      <c r="B9777" s="6"/>
      <c r="H9777" s="13"/>
    </row>
    <row r="9778">
      <c r="A9778" s="6"/>
      <c r="B9778" s="6"/>
      <c r="H9778" s="13"/>
    </row>
    <row r="9779">
      <c r="A9779" s="6"/>
      <c r="B9779" s="6"/>
      <c r="H9779" s="13"/>
    </row>
    <row r="9780">
      <c r="A9780" s="6"/>
      <c r="B9780" s="6"/>
      <c r="H9780" s="13"/>
    </row>
    <row r="9781">
      <c r="A9781" s="6"/>
      <c r="B9781" s="6"/>
      <c r="H9781" s="13"/>
    </row>
    <row r="9782">
      <c r="A9782" s="6"/>
      <c r="B9782" s="6"/>
      <c r="H9782" s="13"/>
    </row>
    <row r="9783">
      <c r="A9783" s="6"/>
      <c r="B9783" s="6"/>
      <c r="H9783" s="13"/>
    </row>
    <row r="9784">
      <c r="A9784" s="6"/>
      <c r="B9784" s="6"/>
      <c r="H9784" s="13"/>
    </row>
    <row r="9785">
      <c r="A9785" s="6"/>
      <c r="B9785" s="6"/>
      <c r="H9785" s="13"/>
    </row>
    <row r="9786">
      <c r="A9786" s="6"/>
      <c r="B9786" s="6"/>
      <c r="H9786" s="13"/>
    </row>
    <row r="9787">
      <c r="A9787" s="6"/>
      <c r="B9787" s="6"/>
      <c r="H9787" s="13"/>
    </row>
    <row r="9788">
      <c r="A9788" s="6"/>
      <c r="B9788" s="6"/>
      <c r="H9788" s="13"/>
    </row>
    <row r="9789">
      <c r="A9789" s="6"/>
      <c r="B9789" s="6"/>
      <c r="H9789" s="13"/>
    </row>
    <row r="9790">
      <c r="A9790" s="6"/>
      <c r="B9790" s="6"/>
      <c r="H9790" s="13"/>
    </row>
    <row r="9791">
      <c r="A9791" s="6"/>
      <c r="B9791" s="6"/>
      <c r="H9791" s="13"/>
    </row>
    <row r="9792">
      <c r="A9792" s="6"/>
      <c r="B9792" s="6"/>
      <c r="H9792" s="13"/>
    </row>
    <row r="9793">
      <c r="A9793" s="6"/>
      <c r="B9793" s="6"/>
      <c r="H9793" s="13"/>
    </row>
    <row r="9794">
      <c r="A9794" s="6"/>
      <c r="B9794" s="6"/>
      <c r="H9794" s="13"/>
    </row>
    <row r="9795">
      <c r="A9795" s="6"/>
      <c r="B9795" s="6"/>
      <c r="H9795" s="13"/>
    </row>
    <row r="9796">
      <c r="A9796" s="6"/>
      <c r="B9796" s="6"/>
      <c r="H9796" s="13"/>
    </row>
    <row r="9797">
      <c r="A9797" s="6"/>
      <c r="B9797" s="6"/>
      <c r="H9797" s="13"/>
    </row>
    <row r="9798">
      <c r="A9798" s="6"/>
      <c r="B9798" s="6"/>
      <c r="H9798" s="13"/>
    </row>
    <row r="9799">
      <c r="A9799" s="6"/>
      <c r="B9799" s="6"/>
      <c r="H9799" s="13"/>
    </row>
    <row r="9800">
      <c r="A9800" s="6"/>
      <c r="B9800" s="6"/>
      <c r="H9800" s="13"/>
    </row>
    <row r="9801">
      <c r="A9801" s="6"/>
      <c r="B9801" s="6"/>
      <c r="H9801" s="13"/>
    </row>
    <row r="9802">
      <c r="A9802" s="6"/>
      <c r="B9802" s="6"/>
      <c r="H9802" s="13"/>
    </row>
    <row r="9803">
      <c r="A9803" s="6"/>
      <c r="B9803" s="6"/>
      <c r="H9803" s="13"/>
    </row>
    <row r="9804">
      <c r="A9804" s="6"/>
      <c r="B9804" s="6"/>
      <c r="H9804" s="13"/>
    </row>
    <row r="9805">
      <c r="A9805" s="6"/>
      <c r="B9805" s="6"/>
      <c r="H9805" s="13"/>
    </row>
    <row r="9806">
      <c r="A9806" s="6"/>
      <c r="B9806" s="6"/>
      <c r="H9806" s="13"/>
    </row>
    <row r="9807">
      <c r="A9807" s="6"/>
      <c r="B9807" s="6"/>
      <c r="H9807" s="13"/>
    </row>
    <row r="9808">
      <c r="A9808" s="6"/>
      <c r="B9808" s="6"/>
      <c r="H9808" s="13"/>
    </row>
    <row r="9809">
      <c r="A9809" s="6"/>
      <c r="B9809" s="6"/>
      <c r="H9809" s="13"/>
    </row>
    <row r="9810">
      <c r="A9810" s="6"/>
      <c r="B9810" s="6"/>
      <c r="H9810" s="13"/>
    </row>
    <row r="9811">
      <c r="A9811" s="6"/>
      <c r="B9811" s="6"/>
      <c r="H9811" s="13"/>
    </row>
    <row r="9812">
      <c r="A9812" s="6"/>
      <c r="B9812" s="6"/>
      <c r="H9812" s="13"/>
    </row>
    <row r="9813">
      <c r="A9813" s="6"/>
      <c r="B9813" s="6"/>
      <c r="H9813" s="13"/>
    </row>
    <row r="9814">
      <c r="A9814" s="6"/>
      <c r="B9814" s="6"/>
      <c r="H9814" s="13"/>
    </row>
    <row r="9815">
      <c r="A9815" s="6"/>
      <c r="B9815" s="6"/>
      <c r="H9815" s="13"/>
    </row>
    <row r="9816">
      <c r="A9816" s="6"/>
      <c r="B9816" s="6"/>
      <c r="H9816" s="13"/>
    </row>
    <row r="9817">
      <c r="A9817" s="6"/>
      <c r="B9817" s="6"/>
      <c r="H9817" s="13"/>
    </row>
    <row r="9818">
      <c r="A9818" s="6"/>
      <c r="B9818" s="6"/>
      <c r="H9818" s="13"/>
    </row>
    <row r="9819">
      <c r="A9819" s="6"/>
      <c r="B9819" s="6"/>
      <c r="H9819" s="13"/>
    </row>
    <row r="9820">
      <c r="A9820" s="6"/>
      <c r="B9820" s="6"/>
      <c r="H9820" s="13"/>
    </row>
    <row r="9821">
      <c r="A9821" s="6"/>
      <c r="B9821" s="6"/>
      <c r="H9821" s="13"/>
    </row>
    <row r="9822">
      <c r="A9822" s="6"/>
      <c r="B9822" s="6"/>
      <c r="H9822" s="13"/>
    </row>
    <row r="9823">
      <c r="A9823" s="6"/>
      <c r="B9823" s="6"/>
      <c r="H9823" s="13"/>
    </row>
    <row r="9824">
      <c r="A9824" s="6"/>
      <c r="B9824" s="6"/>
      <c r="H9824" s="13"/>
    </row>
    <row r="9825">
      <c r="A9825" s="6"/>
      <c r="B9825" s="6"/>
      <c r="H9825" s="13"/>
    </row>
    <row r="9826">
      <c r="A9826" s="6"/>
      <c r="B9826" s="6"/>
      <c r="H9826" s="13"/>
    </row>
    <row r="9827">
      <c r="A9827" s="6"/>
      <c r="B9827" s="6"/>
      <c r="H9827" s="13"/>
    </row>
    <row r="9828">
      <c r="A9828" s="6"/>
      <c r="B9828" s="6"/>
      <c r="H9828" s="13"/>
    </row>
    <row r="9829">
      <c r="A9829" s="6"/>
      <c r="B9829" s="6"/>
      <c r="H9829" s="13"/>
    </row>
    <row r="9830">
      <c r="A9830" s="6"/>
      <c r="B9830" s="6"/>
      <c r="H9830" s="13"/>
    </row>
    <row r="9831">
      <c r="A9831" s="6"/>
      <c r="B9831" s="6"/>
      <c r="H9831" s="13"/>
    </row>
    <row r="9832">
      <c r="A9832" s="6"/>
      <c r="B9832" s="6"/>
      <c r="H9832" s="13"/>
    </row>
    <row r="9833">
      <c r="A9833" s="6"/>
      <c r="B9833" s="6"/>
      <c r="H9833" s="13"/>
    </row>
    <row r="9834">
      <c r="A9834" s="6"/>
      <c r="B9834" s="6"/>
      <c r="H9834" s="13"/>
    </row>
    <row r="9835">
      <c r="A9835" s="6"/>
      <c r="B9835" s="6"/>
      <c r="H9835" s="13"/>
    </row>
    <row r="9836">
      <c r="A9836" s="6"/>
      <c r="B9836" s="6"/>
      <c r="H9836" s="13"/>
    </row>
    <row r="9837">
      <c r="A9837" s="6"/>
      <c r="B9837" s="6"/>
      <c r="H9837" s="13"/>
    </row>
    <row r="9838">
      <c r="A9838" s="6"/>
      <c r="B9838" s="6"/>
      <c r="H9838" s="13"/>
    </row>
    <row r="9839">
      <c r="A9839" s="6"/>
      <c r="B9839" s="6"/>
      <c r="H9839" s="13"/>
    </row>
    <row r="9840">
      <c r="A9840" s="6"/>
      <c r="B9840" s="6"/>
      <c r="H9840" s="13"/>
    </row>
    <row r="9841">
      <c r="A9841" s="6"/>
      <c r="B9841" s="6"/>
      <c r="H9841" s="13"/>
    </row>
    <row r="9842">
      <c r="A9842" s="6"/>
      <c r="B9842" s="6"/>
      <c r="H9842" s="13"/>
    </row>
    <row r="9843">
      <c r="A9843" s="6"/>
      <c r="B9843" s="6"/>
      <c r="H9843" s="13"/>
    </row>
    <row r="9844">
      <c r="A9844" s="6"/>
      <c r="B9844" s="6"/>
      <c r="H9844" s="13"/>
    </row>
    <row r="9845">
      <c r="A9845" s="6"/>
      <c r="B9845" s="6"/>
      <c r="H9845" s="13"/>
    </row>
    <row r="9846">
      <c r="A9846" s="6"/>
      <c r="B9846" s="6"/>
      <c r="H9846" s="13"/>
    </row>
    <row r="9847">
      <c r="A9847" s="6"/>
      <c r="B9847" s="6"/>
      <c r="H9847" s="13"/>
    </row>
    <row r="9848">
      <c r="A9848" s="6"/>
      <c r="B9848" s="6"/>
      <c r="H9848" s="13"/>
    </row>
    <row r="9849">
      <c r="A9849" s="6"/>
      <c r="B9849" s="6"/>
      <c r="H9849" s="13"/>
    </row>
    <row r="9850">
      <c r="A9850" s="6"/>
      <c r="B9850" s="6"/>
      <c r="H9850" s="13"/>
    </row>
    <row r="9851">
      <c r="A9851" s="6"/>
      <c r="B9851" s="6"/>
      <c r="H9851" s="13"/>
    </row>
    <row r="9852">
      <c r="A9852" s="6"/>
      <c r="B9852" s="6"/>
      <c r="H9852" s="13"/>
    </row>
    <row r="9853">
      <c r="A9853" s="6"/>
      <c r="B9853" s="6"/>
      <c r="H9853" s="13"/>
    </row>
    <row r="9854">
      <c r="A9854" s="6"/>
      <c r="B9854" s="6"/>
      <c r="H9854" s="13"/>
    </row>
    <row r="9855">
      <c r="A9855" s="6"/>
      <c r="B9855" s="6"/>
      <c r="H9855" s="13"/>
    </row>
    <row r="9856">
      <c r="A9856" s="6"/>
      <c r="B9856" s="6"/>
      <c r="H9856" s="13"/>
    </row>
    <row r="9857">
      <c r="A9857" s="6"/>
      <c r="B9857" s="6"/>
      <c r="H9857" s="13"/>
    </row>
    <row r="9858">
      <c r="A9858" s="6"/>
      <c r="B9858" s="6"/>
      <c r="H9858" s="13"/>
    </row>
    <row r="9859">
      <c r="A9859" s="6"/>
      <c r="B9859" s="6"/>
      <c r="H9859" s="13"/>
    </row>
    <row r="9860">
      <c r="A9860" s="6"/>
      <c r="B9860" s="6"/>
      <c r="H9860" s="13"/>
    </row>
    <row r="9861">
      <c r="A9861" s="6"/>
      <c r="B9861" s="6"/>
      <c r="H9861" s="13"/>
    </row>
    <row r="9862">
      <c r="A9862" s="6"/>
      <c r="B9862" s="6"/>
      <c r="H9862" s="13"/>
    </row>
    <row r="9863">
      <c r="A9863" s="6"/>
      <c r="B9863" s="6"/>
      <c r="H9863" s="13"/>
    </row>
    <row r="9864">
      <c r="A9864" s="6"/>
      <c r="B9864" s="6"/>
      <c r="H9864" s="13"/>
    </row>
    <row r="9865">
      <c r="A9865" s="6"/>
      <c r="B9865" s="6"/>
      <c r="H9865" s="13"/>
    </row>
    <row r="9866">
      <c r="A9866" s="6"/>
      <c r="B9866" s="6"/>
      <c r="H9866" s="13"/>
    </row>
    <row r="9867">
      <c r="A9867" s="6"/>
      <c r="B9867" s="6"/>
      <c r="H9867" s="13"/>
    </row>
    <row r="9868">
      <c r="A9868" s="6"/>
      <c r="B9868" s="6"/>
      <c r="H9868" s="13"/>
    </row>
    <row r="9869">
      <c r="A9869" s="6"/>
      <c r="B9869" s="6"/>
      <c r="H9869" s="13"/>
    </row>
    <row r="9870">
      <c r="A9870" s="6"/>
      <c r="B9870" s="6"/>
      <c r="H9870" s="13"/>
    </row>
    <row r="9871">
      <c r="A9871" s="6"/>
      <c r="B9871" s="6"/>
      <c r="H9871" s="13"/>
    </row>
    <row r="9872">
      <c r="A9872" s="6"/>
      <c r="B9872" s="6"/>
      <c r="H9872" s="13"/>
    </row>
    <row r="9873">
      <c r="A9873" s="6"/>
      <c r="B9873" s="6"/>
      <c r="H9873" s="13"/>
    </row>
    <row r="9874">
      <c r="A9874" s="6"/>
      <c r="B9874" s="6"/>
      <c r="H9874" s="13"/>
    </row>
    <row r="9875">
      <c r="A9875" s="6"/>
      <c r="B9875" s="6"/>
      <c r="H9875" s="13"/>
    </row>
    <row r="9876">
      <c r="A9876" s="6"/>
      <c r="B9876" s="6"/>
      <c r="H9876" s="13"/>
    </row>
    <row r="9877">
      <c r="A9877" s="6"/>
      <c r="B9877" s="6"/>
      <c r="H9877" s="13"/>
    </row>
    <row r="9878">
      <c r="A9878" s="6"/>
      <c r="B9878" s="6"/>
      <c r="H9878" s="13"/>
    </row>
    <row r="9879">
      <c r="A9879" s="6"/>
      <c r="B9879" s="6"/>
      <c r="H9879" s="13"/>
    </row>
    <row r="9880">
      <c r="A9880" s="6"/>
      <c r="B9880" s="6"/>
      <c r="H9880" s="13"/>
    </row>
    <row r="9881">
      <c r="A9881" s="6"/>
      <c r="B9881" s="6"/>
      <c r="H9881" s="13"/>
    </row>
    <row r="9882">
      <c r="A9882" s="6"/>
      <c r="B9882" s="6"/>
      <c r="H9882" s="13"/>
    </row>
    <row r="9883">
      <c r="A9883" s="6"/>
      <c r="B9883" s="6"/>
      <c r="H9883" s="13"/>
    </row>
    <row r="9884">
      <c r="A9884" s="6"/>
      <c r="B9884" s="6"/>
      <c r="H9884" s="13"/>
    </row>
    <row r="9885">
      <c r="A9885" s="6"/>
      <c r="B9885" s="6"/>
      <c r="H9885" s="13"/>
    </row>
    <row r="9886">
      <c r="A9886" s="6"/>
      <c r="B9886" s="6"/>
      <c r="H9886" s="13"/>
    </row>
    <row r="9887">
      <c r="A9887" s="6"/>
      <c r="B9887" s="6"/>
      <c r="H9887" s="13"/>
    </row>
    <row r="9888">
      <c r="A9888" s="6"/>
      <c r="B9888" s="6"/>
      <c r="H9888" s="13"/>
    </row>
    <row r="9889">
      <c r="A9889" s="6"/>
      <c r="B9889" s="6"/>
      <c r="H9889" s="13"/>
    </row>
    <row r="9890">
      <c r="A9890" s="6"/>
      <c r="B9890" s="6"/>
      <c r="H9890" s="13"/>
    </row>
    <row r="9891">
      <c r="A9891" s="6"/>
      <c r="B9891" s="6"/>
      <c r="H9891" s="13"/>
    </row>
    <row r="9892">
      <c r="A9892" s="6"/>
      <c r="B9892" s="6"/>
      <c r="H9892" s="13"/>
    </row>
    <row r="9893">
      <c r="A9893" s="6"/>
      <c r="B9893" s="6"/>
      <c r="H9893" s="13"/>
    </row>
    <row r="9894">
      <c r="A9894" s="6"/>
      <c r="B9894" s="6"/>
      <c r="H9894" s="13"/>
    </row>
    <row r="9895">
      <c r="A9895" s="6"/>
      <c r="B9895" s="6"/>
      <c r="H9895" s="13"/>
    </row>
    <row r="9896">
      <c r="A9896" s="6"/>
      <c r="B9896" s="6"/>
      <c r="H9896" s="13"/>
    </row>
    <row r="9897">
      <c r="A9897" s="6"/>
      <c r="B9897" s="6"/>
      <c r="H9897" s="13"/>
    </row>
    <row r="9898">
      <c r="A9898" s="6"/>
      <c r="B9898" s="6"/>
      <c r="H9898" s="13"/>
    </row>
    <row r="9899">
      <c r="A9899" s="6"/>
      <c r="B9899" s="6"/>
      <c r="H9899" s="13"/>
    </row>
    <row r="9900">
      <c r="A9900" s="6"/>
      <c r="B9900" s="6"/>
      <c r="H9900" s="13"/>
    </row>
    <row r="9901">
      <c r="A9901" s="6"/>
      <c r="B9901" s="6"/>
      <c r="H9901" s="13"/>
    </row>
    <row r="9902">
      <c r="A9902" s="6"/>
      <c r="B9902" s="6"/>
      <c r="H9902" s="13"/>
    </row>
    <row r="9903">
      <c r="A9903" s="6"/>
      <c r="B9903" s="6"/>
      <c r="H9903" s="13"/>
    </row>
    <row r="9904">
      <c r="A9904" s="6"/>
      <c r="B9904" s="6"/>
      <c r="H9904" s="13"/>
    </row>
    <row r="9905">
      <c r="A9905" s="6"/>
      <c r="B9905" s="6"/>
      <c r="H9905" s="13"/>
    </row>
    <row r="9906">
      <c r="A9906" s="6"/>
      <c r="B9906" s="6"/>
      <c r="H9906" s="13"/>
    </row>
    <row r="9907">
      <c r="A9907" s="6"/>
      <c r="B9907" s="6"/>
      <c r="H9907" s="13"/>
    </row>
    <row r="9908">
      <c r="A9908" s="6"/>
      <c r="B9908" s="6"/>
      <c r="H9908" s="13"/>
    </row>
    <row r="9909">
      <c r="A9909" s="6"/>
      <c r="B9909" s="6"/>
      <c r="H9909" s="13"/>
    </row>
    <row r="9910">
      <c r="A9910" s="6"/>
      <c r="B9910" s="6"/>
      <c r="H9910" s="13"/>
    </row>
    <row r="9911">
      <c r="A9911" s="6"/>
      <c r="B9911" s="6"/>
      <c r="H9911" s="13"/>
    </row>
    <row r="9912">
      <c r="A9912" s="6"/>
      <c r="B9912" s="6"/>
      <c r="H9912" s="13"/>
    </row>
    <row r="9913">
      <c r="A9913" s="6"/>
      <c r="B9913" s="6"/>
      <c r="H9913" s="13"/>
    </row>
    <row r="9914">
      <c r="A9914" s="6"/>
      <c r="B9914" s="6"/>
      <c r="H9914" s="13"/>
    </row>
    <row r="9915">
      <c r="A9915" s="6"/>
      <c r="B9915" s="6"/>
      <c r="H9915" s="13"/>
    </row>
    <row r="9916">
      <c r="A9916" s="6"/>
      <c r="B9916" s="6"/>
      <c r="H9916" s="13"/>
    </row>
    <row r="9917">
      <c r="A9917" s="6"/>
      <c r="B9917" s="6"/>
      <c r="H9917" s="13"/>
    </row>
    <row r="9918">
      <c r="A9918" s="6"/>
      <c r="B9918" s="6"/>
      <c r="H9918" s="13"/>
    </row>
    <row r="9919">
      <c r="A9919" s="6"/>
      <c r="B9919" s="6"/>
      <c r="H9919" s="13"/>
    </row>
    <row r="9920">
      <c r="A9920" s="6"/>
      <c r="B9920" s="6"/>
      <c r="H9920" s="13"/>
    </row>
    <row r="9921">
      <c r="A9921" s="6"/>
      <c r="B9921" s="6"/>
      <c r="H9921" s="13"/>
    </row>
    <row r="9922">
      <c r="A9922" s="6"/>
      <c r="B9922" s="6"/>
      <c r="H9922" s="13"/>
    </row>
    <row r="9923">
      <c r="A9923" s="6"/>
      <c r="B9923" s="6"/>
      <c r="H9923" s="13"/>
    </row>
    <row r="9924">
      <c r="A9924" s="6"/>
      <c r="B9924" s="6"/>
      <c r="H9924" s="13"/>
    </row>
    <row r="9925">
      <c r="A9925" s="6"/>
      <c r="B9925" s="6"/>
      <c r="H9925" s="13"/>
    </row>
    <row r="9926">
      <c r="A9926" s="6"/>
      <c r="B9926" s="6"/>
      <c r="H9926" s="13"/>
    </row>
    <row r="9927">
      <c r="A9927" s="6"/>
      <c r="B9927" s="6"/>
      <c r="H9927" s="13"/>
    </row>
    <row r="9928">
      <c r="A9928" s="6"/>
      <c r="B9928" s="6"/>
      <c r="H9928" s="13"/>
    </row>
    <row r="9929">
      <c r="A9929" s="6"/>
      <c r="B9929" s="6"/>
      <c r="H9929" s="13"/>
    </row>
    <row r="9930">
      <c r="A9930" s="6"/>
      <c r="B9930" s="6"/>
      <c r="H9930" s="13"/>
    </row>
    <row r="9931">
      <c r="A9931" s="6"/>
      <c r="B9931" s="6"/>
      <c r="H9931" s="13"/>
    </row>
    <row r="9932">
      <c r="A9932" s="6"/>
      <c r="B9932" s="6"/>
      <c r="H9932" s="13"/>
    </row>
    <row r="9933">
      <c r="A9933" s="6"/>
      <c r="B9933" s="6"/>
      <c r="H9933" s="13"/>
    </row>
    <row r="9934">
      <c r="A9934" s="6"/>
      <c r="B9934" s="6"/>
      <c r="H9934" s="13"/>
    </row>
    <row r="9935">
      <c r="A9935" s="6"/>
      <c r="B9935" s="6"/>
      <c r="H9935" s="13"/>
    </row>
    <row r="9936">
      <c r="A9936" s="6"/>
      <c r="B9936" s="6"/>
      <c r="H9936" s="13"/>
    </row>
    <row r="9937">
      <c r="A9937" s="6"/>
      <c r="B9937" s="6"/>
      <c r="H9937" s="13"/>
    </row>
    <row r="9938">
      <c r="A9938" s="6"/>
      <c r="B9938" s="6"/>
      <c r="H9938" s="13"/>
    </row>
    <row r="9939">
      <c r="A9939" s="6"/>
      <c r="B9939" s="6"/>
      <c r="H9939" s="13"/>
    </row>
    <row r="9940">
      <c r="A9940" s="6"/>
      <c r="B9940" s="6"/>
      <c r="H9940" s="13"/>
    </row>
    <row r="9941">
      <c r="A9941" s="6"/>
      <c r="B9941" s="6"/>
      <c r="H9941" s="13"/>
    </row>
    <row r="9942">
      <c r="A9942" s="6"/>
      <c r="B9942" s="6"/>
      <c r="H9942" s="13"/>
    </row>
    <row r="9943">
      <c r="A9943" s="6"/>
      <c r="B9943" s="6"/>
      <c r="H9943" s="13"/>
    </row>
    <row r="9944">
      <c r="A9944" s="6"/>
      <c r="B9944" s="6"/>
      <c r="H9944" s="13"/>
    </row>
    <row r="9945">
      <c r="A9945" s="6"/>
      <c r="B9945" s="6"/>
      <c r="H9945" s="13"/>
    </row>
    <row r="9946">
      <c r="A9946" s="6"/>
      <c r="B9946" s="6"/>
      <c r="H9946" s="13"/>
    </row>
    <row r="9947">
      <c r="A9947" s="6"/>
      <c r="B9947" s="6"/>
      <c r="H9947" s="13"/>
    </row>
    <row r="9948">
      <c r="A9948" s="6"/>
      <c r="B9948" s="6"/>
      <c r="H9948" s="13"/>
    </row>
    <row r="9949">
      <c r="A9949" s="6"/>
      <c r="B9949" s="6"/>
      <c r="H9949" s="13"/>
    </row>
    <row r="9950">
      <c r="A9950" s="6"/>
      <c r="B9950" s="6"/>
      <c r="H9950" s="13"/>
    </row>
    <row r="9951">
      <c r="A9951" s="6"/>
      <c r="B9951" s="6"/>
      <c r="H9951" s="13"/>
    </row>
    <row r="9952">
      <c r="A9952" s="6"/>
      <c r="B9952" s="6"/>
      <c r="H9952" s="13"/>
    </row>
    <row r="9953">
      <c r="A9953" s="6"/>
      <c r="B9953" s="6"/>
      <c r="H9953" s="13"/>
    </row>
    <row r="9954">
      <c r="A9954" s="6"/>
      <c r="B9954" s="6"/>
      <c r="H9954" s="13"/>
    </row>
    <row r="9955">
      <c r="A9955" s="6"/>
      <c r="B9955" s="6"/>
      <c r="H9955" s="13"/>
    </row>
    <row r="9956">
      <c r="A9956" s="6"/>
      <c r="B9956" s="6"/>
      <c r="H9956" s="13"/>
    </row>
    <row r="9957">
      <c r="A9957" s="6"/>
      <c r="B9957" s="6"/>
      <c r="H9957" s="13"/>
    </row>
    <row r="9958">
      <c r="A9958" s="6"/>
      <c r="B9958" s="6"/>
      <c r="H9958" s="13"/>
    </row>
    <row r="9959">
      <c r="A9959" s="6"/>
      <c r="B9959" s="6"/>
      <c r="H9959" s="13"/>
    </row>
    <row r="9960">
      <c r="A9960" s="6"/>
      <c r="B9960" s="6"/>
      <c r="H9960" s="13"/>
    </row>
    <row r="9961">
      <c r="A9961" s="6"/>
      <c r="B9961" s="6"/>
      <c r="H9961" s="13"/>
    </row>
    <row r="9962">
      <c r="A9962" s="6"/>
      <c r="B9962" s="6"/>
      <c r="H9962" s="13"/>
    </row>
    <row r="9963">
      <c r="A9963" s="6"/>
      <c r="B9963" s="6"/>
      <c r="H9963" s="13"/>
    </row>
    <row r="9964">
      <c r="A9964" s="6"/>
      <c r="B9964" s="6"/>
      <c r="H9964" s="13"/>
    </row>
    <row r="9965">
      <c r="A9965" s="6"/>
      <c r="B9965" s="6"/>
      <c r="H9965" s="13"/>
    </row>
    <row r="9966">
      <c r="A9966" s="6"/>
      <c r="B9966" s="6"/>
      <c r="H9966" s="13"/>
    </row>
    <row r="9967">
      <c r="A9967" s="6"/>
      <c r="B9967" s="6"/>
      <c r="H9967" s="13"/>
    </row>
    <row r="9968">
      <c r="A9968" s="6"/>
      <c r="B9968" s="6"/>
      <c r="H9968" s="13"/>
    </row>
    <row r="9969">
      <c r="A9969" s="6"/>
      <c r="B9969" s="6"/>
      <c r="H9969" s="13"/>
    </row>
    <row r="9970">
      <c r="A9970" s="6"/>
      <c r="B9970" s="6"/>
      <c r="H9970" s="13"/>
    </row>
    <row r="9971">
      <c r="A9971" s="6"/>
      <c r="B9971" s="6"/>
      <c r="H9971" s="13"/>
    </row>
    <row r="9972">
      <c r="A9972" s="6"/>
      <c r="B9972" s="6"/>
      <c r="H9972" s="13"/>
    </row>
    <row r="9973">
      <c r="A9973" s="6"/>
      <c r="B9973" s="6"/>
      <c r="H9973" s="13"/>
    </row>
    <row r="9974">
      <c r="A9974" s="6"/>
      <c r="B9974" s="6"/>
      <c r="H9974" s="13"/>
    </row>
    <row r="9975">
      <c r="A9975" s="6"/>
      <c r="B9975" s="6"/>
      <c r="H9975" s="13"/>
    </row>
    <row r="9976">
      <c r="A9976" s="6"/>
      <c r="B9976" s="6"/>
      <c r="H9976" s="13"/>
    </row>
    <row r="9977">
      <c r="A9977" s="6"/>
      <c r="B9977" s="6"/>
      <c r="H9977" s="13"/>
    </row>
    <row r="9978">
      <c r="A9978" s="6"/>
      <c r="B9978" s="6"/>
      <c r="H9978" s="13"/>
    </row>
    <row r="9979">
      <c r="A9979" s="6"/>
      <c r="B9979" s="6"/>
      <c r="H9979" s="13"/>
    </row>
    <row r="9980">
      <c r="A9980" s="6"/>
      <c r="B9980" s="6"/>
      <c r="H9980" s="13"/>
    </row>
    <row r="9981">
      <c r="A9981" s="6"/>
      <c r="B9981" s="6"/>
      <c r="H9981" s="13"/>
    </row>
    <row r="9982">
      <c r="A9982" s="6"/>
      <c r="B9982" s="6"/>
      <c r="H9982" s="13"/>
    </row>
    <row r="9983">
      <c r="A9983" s="6"/>
      <c r="B9983" s="6"/>
      <c r="H9983" s="13"/>
    </row>
    <row r="9984">
      <c r="A9984" s="6"/>
      <c r="B9984" s="6"/>
      <c r="H9984" s="13"/>
    </row>
    <row r="9985">
      <c r="A9985" s="6"/>
      <c r="B9985" s="6"/>
      <c r="H9985" s="13"/>
    </row>
    <row r="9986">
      <c r="A9986" s="6"/>
      <c r="B9986" s="6"/>
      <c r="H9986" s="13"/>
    </row>
    <row r="9987">
      <c r="A9987" s="6"/>
      <c r="B9987" s="6"/>
      <c r="H9987" s="13"/>
    </row>
    <row r="9988">
      <c r="A9988" s="6"/>
      <c r="B9988" s="6"/>
      <c r="H9988" s="13"/>
    </row>
    <row r="9989">
      <c r="A9989" s="6"/>
      <c r="B9989" s="6"/>
      <c r="H9989" s="13"/>
    </row>
    <row r="9990">
      <c r="A9990" s="6"/>
      <c r="B9990" s="6"/>
      <c r="H9990" s="13"/>
    </row>
    <row r="9991">
      <c r="A9991" s="6"/>
      <c r="B9991" s="6"/>
      <c r="H9991" s="13"/>
    </row>
    <row r="9992">
      <c r="A9992" s="6"/>
      <c r="B9992" s="6"/>
      <c r="H9992" s="13"/>
    </row>
    <row r="9993">
      <c r="A9993" s="6"/>
      <c r="B9993" s="6"/>
      <c r="H9993" s="13"/>
    </row>
    <row r="9994">
      <c r="A9994" s="6"/>
      <c r="B9994" s="6"/>
      <c r="H9994" s="13"/>
    </row>
    <row r="9995">
      <c r="A9995" s="6"/>
      <c r="B9995" s="6"/>
      <c r="H9995" s="13"/>
    </row>
    <row r="9996">
      <c r="A9996" s="6"/>
      <c r="B9996" s="6"/>
      <c r="H9996" s="13"/>
    </row>
    <row r="9997">
      <c r="A9997" s="6"/>
      <c r="B9997" s="6"/>
      <c r="H9997" s="13"/>
    </row>
    <row r="9998">
      <c r="A9998" s="6"/>
      <c r="B9998" s="6"/>
      <c r="H9998" s="13"/>
    </row>
    <row r="9999">
      <c r="A9999" s="6"/>
      <c r="B9999" s="6"/>
      <c r="H9999" s="13"/>
    </row>
    <row r="10000">
      <c r="A10000" s="6"/>
      <c r="B10000" s="6"/>
      <c r="H10000" s="13"/>
    </row>
    <row r="10001">
      <c r="A10001" s="6"/>
      <c r="B10001" s="6"/>
      <c r="H10001" s="13"/>
    </row>
    <row r="10002">
      <c r="A10002" s="6"/>
      <c r="B10002" s="6"/>
      <c r="H10002" s="13"/>
    </row>
    <row r="10003">
      <c r="A10003" s="6"/>
      <c r="B10003" s="6"/>
      <c r="H10003" s="13"/>
    </row>
    <row r="10004">
      <c r="A10004" s="6"/>
      <c r="B10004" s="6"/>
      <c r="H10004" s="13"/>
    </row>
    <row r="10005">
      <c r="A10005" s="6"/>
      <c r="B10005" s="6"/>
      <c r="H10005" s="13"/>
    </row>
    <row r="10006">
      <c r="A10006" s="6"/>
      <c r="B10006" s="6"/>
      <c r="H10006" s="13"/>
    </row>
    <row r="10007">
      <c r="A10007" s="6"/>
      <c r="B10007" s="6"/>
      <c r="H10007" s="13"/>
    </row>
    <row r="10008">
      <c r="A10008" s="6"/>
      <c r="B10008" s="6"/>
      <c r="H10008" s="13"/>
    </row>
    <row r="10009">
      <c r="A10009" s="6"/>
      <c r="B10009" s="6"/>
      <c r="H10009" s="13"/>
    </row>
    <row r="10010">
      <c r="A10010" s="6"/>
      <c r="B10010" s="6"/>
      <c r="H10010" s="13"/>
    </row>
    <row r="10011">
      <c r="A10011" s="6"/>
      <c r="B10011" s="6"/>
      <c r="H10011" s="13"/>
    </row>
    <row r="10012">
      <c r="A10012" s="6"/>
      <c r="B10012" s="6"/>
      <c r="H10012" s="13"/>
    </row>
    <row r="10013">
      <c r="A10013" s="6"/>
      <c r="B10013" s="6"/>
      <c r="H10013" s="13"/>
    </row>
    <row r="10014">
      <c r="A10014" s="6"/>
      <c r="B10014" s="6"/>
      <c r="H10014" s="13"/>
    </row>
    <row r="10015">
      <c r="A10015" s="6"/>
      <c r="B10015" s="6"/>
      <c r="H10015" s="13"/>
    </row>
    <row r="10016">
      <c r="A10016" s="6"/>
      <c r="B10016" s="6"/>
      <c r="H10016" s="13"/>
    </row>
    <row r="10017">
      <c r="A10017" s="6"/>
      <c r="B10017" s="6"/>
      <c r="H10017" s="13"/>
    </row>
    <row r="10018">
      <c r="A10018" s="6"/>
      <c r="B10018" s="6"/>
      <c r="H10018" s="13"/>
    </row>
    <row r="10019">
      <c r="A10019" s="6"/>
      <c r="B10019" s="6"/>
      <c r="H10019" s="13"/>
    </row>
    <row r="10020">
      <c r="A10020" s="6"/>
      <c r="B10020" s="6"/>
      <c r="H10020" s="13"/>
    </row>
    <row r="10021">
      <c r="A10021" s="6"/>
      <c r="B10021" s="6"/>
      <c r="H10021" s="13"/>
    </row>
    <row r="10022">
      <c r="A10022" s="6"/>
      <c r="B10022" s="6"/>
      <c r="H10022" s="13"/>
    </row>
    <row r="10023">
      <c r="A10023" s="6"/>
      <c r="B10023" s="6"/>
      <c r="H10023" s="13"/>
    </row>
    <row r="10024">
      <c r="A10024" s="6"/>
      <c r="B10024" s="6"/>
      <c r="H10024" s="13"/>
    </row>
    <row r="10025">
      <c r="A10025" s="6"/>
      <c r="B10025" s="6"/>
      <c r="H10025" s="13"/>
    </row>
    <row r="10026">
      <c r="A10026" s="6"/>
      <c r="B10026" s="6"/>
      <c r="H10026" s="13"/>
    </row>
    <row r="10027">
      <c r="A10027" s="6"/>
      <c r="B10027" s="6"/>
      <c r="H10027" s="13"/>
    </row>
    <row r="10028">
      <c r="A10028" s="6"/>
      <c r="B10028" s="6"/>
      <c r="H10028" s="13"/>
    </row>
    <row r="10029">
      <c r="A10029" s="6"/>
      <c r="B10029" s="6"/>
      <c r="H10029" s="13"/>
    </row>
    <row r="10030">
      <c r="A10030" s="6"/>
      <c r="B10030" s="6"/>
      <c r="H10030" s="13"/>
    </row>
    <row r="10031">
      <c r="A10031" s="6"/>
      <c r="B10031" s="6"/>
      <c r="H10031" s="13"/>
    </row>
    <row r="10032">
      <c r="A10032" s="6"/>
      <c r="B10032" s="6"/>
      <c r="H10032" s="13"/>
    </row>
    <row r="10033">
      <c r="A10033" s="6"/>
      <c r="B10033" s="6"/>
      <c r="H10033" s="13"/>
    </row>
    <row r="10034">
      <c r="A10034" s="6"/>
      <c r="B10034" s="6"/>
      <c r="H10034" s="13"/>
    </row>
    <row r="10035">
      <c r="A10035" s="6"/>
      <c r="B10035" s="6"/>
      <c r="H10035" s="13"/>
    </row>
    <row r="10036">
      <c r="A10036" s="6"/>
      <c r="B10036" s="6"/>
      <c r="H10036" s="13"/>
    </row>
    <row r="10037">
      <c r="A10037" s="6"/>
      <c r="B10037" s="6"/>
      <c r="H10037" s="13"/>
    </row>
    <row r="10038">
      <c r="A10038" s="6"/>
      <c r="B10038" s="6"/>
      <c r="H10038" s="13"/>
    </row>
    <row r="10039">
      <c r="A10039" s="6"/>
      <c r="B10039" s="6"/>
      <c r="H10039" s="13"/>
    </row>
    <row r="10040">
      <c r="A10040" s="6"/>
      <c r="B10040" s="6"/>
      <c r="H10040" s="13"/>
    </row>
    <row r="10041">
      <c r="A10041" s="6"/>
      <c r="B10041" s="6"/>
      <c r="H10041" s="13"/>
    </row>
    <row r="10042">
      <c r="A10042" s="6"/>
      <c r="B10042" s="6"/>
      <c r="H10042" s="13"/>
    </row>
    <row r="10043">
      <c r="A10043" s="6"/>
      <c r="B10043" s="6"/>
      <c r="H10043" s="13"/>
    </row>
    <row r="10044">
      <c r="A10044" s="6"/>
      <c r="B10044" s="6"/>
      <c r="H10044" s="13"/>
    </row>
    <row r="10045">
      <c r="A10045" s="6"/>
      <c r="B10045" s="6"/>
      <c r="H10045" s="13"/>
    </row>
    <row r="10046">
      <c r="A10046" s="6"/>
      <c r="B10046" s="6"/>
      <c r="H10046" s="13"/>
    </row>
    <row r="10047">
      <c r="A10047" s="6"/>
      <c r="B10047" s="6"/>
      <c r="H10047" s="13"/>
    </row>
    <row r="10048">
      <c r="A10048" s="6"/>
      <c r="B10048" s="6"/>
      <c r="H10048" s="13"/>
    </row>
    <row r="10049">
      <c r="A10049" s="6"/>
      <c r="B10049" s="6"/>
      <c r="H10049" s="13"/>
    </row>
    <row r="10050">
      <c r="A10050" s="6"/>
      <c r="B10050" s="6"/>
      <c r="H10050" s="13"/>
    </row>
    <row r="10051">
      <c r="A10051" s="6"/>
      <c r="B10051" s="6"/>
      <c r="H10051" s="13"/>
    </row>
    <row r="10052">
      <c r="A10052" s="6"/>
      <c r="B10052" s="6"/>
      <c r="H10052" s="13"/>
    </row>
    <row r="10053">
      <c r="A10053" s="6"/>
      <c r="B10053" s="6"/>
      <c r="H10053" s="13"/>
    </row>
    <row r="10054">
      <c r="A10054" s="6"/>
      <c r="B10054" s="6"/>
      <c r="H10054" s="13"/>
    </row>
    <row r="10055">
      <c r="A10055" s="6"/>
      <c r="B10055" s="6"/>
      <c r="H10055" s="13"/>
    </row>
    <row r="10056">
      <c r="A10056" s="6"/>
      <c r="B10056" s="6"/>
      <c r="H10056" s="13"/>
    </row>
    <row r="10057">
      <c r="A10057" s="6"/>
      <c r="B10057" s="6"/>
      <c r="H10057" s="13"/>
    </row>
    <row r="10058">
      <c r="A10058" s="6"/>
      <c r="B10058" s="6"/>
      <c r="H10058" s="13"/>
    </row>
    <row r="10059">
      <c r="A10059" s="6"/>
      <c r="B10059" s="6"/>
      <c r="H10059" s="13"/>
    </row>
    <row r="10060">
      <c r="A10060" s="6"/>
      <c r="B10060" s="6"/>
      <c r="H10060" s="13"/>
    </row>
    <row r="10061">
      <c r="A10061" s="6"/>
      <c r="B10061" s="6"/>
      <c r="H10061" s="13"/>
    </row>
    <row r="10062">
      <c r="A10062" s="6"/>
      <c r="B10062" s="6"/>
      <c r="H10062" s="13"/>
    </row>
    <row r="10063">
      <c r="A10063" s="6"/>
      <c r="B10063" s="6"/>
      <c r="H10063" s="13"/>
    </row>
    <row r="10064">
      <c r="A10064" s="6"/>
      <c r="B10064" s="6"/>
      <c r="H10064" s="13"/>
    </row>
    <row r="10065">
      <c r="A10065" s="6"/>
      <c r="B10065" s="6"/>
      <c r="H10065" s="13"/>
    </row>
    <row r="10066">
      <c r="A10066" s="6"/>
      <c r="B10066" s="6"/>
      <c r="H10066" s="13"/>
    </row>
    <row r="10067">
      <c r="A10067" s="6"/>
      <c r="B10067" s="6"/>
      <c r="H10067" s="13"/>
    </row>
    <row r="10068">
      <c r="A10068" s="6"/>
      <c r="B10068" s="6"/>
      <c r="H10068" s="13"/>
    </row>
    <row r="10069">
      <c r="A10069" s="6"/>
      <c r="B10069" s="6"/>
      <c r="H10069" s="13"/>
    </row>
    <row r="10070">
      <c r="A10070" s="6"/>
      <c r="B10070" s="6"/>
      <c r="H10070" s="13"/>
    </row>
    <row r="10071">
      <c r="A10071" s="6"/>
      <c r="B10071" s="6"/>
      <c r="H10071" s="13"/>
    </row>
    <row r="10072">
      <c r="A10072" s="6"/>
      <c r="B10072" s="6"/>
      <c r="H10072" s="13"/>
    </row>
    <row r="10073">
      <c r="A10073" s="6"/>
      <c r="B10073" s="6"/>
      <c r="H10073" s="13"/>
    </row>
    <row r="10074">
      <c r="A10074" s="6"/>
      <c r="B10074" s="6"/>
      <c r="H10074" s="13"/>
    </row>
    <row r="10075">
      <c r="A10075" s="6"/>
      <c r="B10075" s="6"/>
      <c r="H10075" s="13"/>
    </row>
    <row r="10076">
      <c r="A10076" s="6"/>
      <c r="B10076" s="6"/>
      <c r="H10076" s="13"/>
    </row>
    <row r="10077">
      <c r="A10077" s="6"/>
      <c r="B10077" s="6"/>
      <c r="H10077" s="13"/>
    </row>
    <row r="10078">
      <c r="A10078" s="6"/>
      <c r="B10078" s="6"/>
      <c r="H10078" s="13"/>
    </row>
    <row r="10079">
      <c r="A10079" s="6"/>
      <c r="B10079" s="6"/>
      <c r="H10079" s="13"/>
    </row>
    <row r="10080">
      <c r="A10080" s="6"/>
      <c r="B10080" s="6"/>
      <c r="H10080" s="13"/>
    </row>
    <row r="10081">
      <c r="A10081" s="6"/>
      <c r="B10081" s="6"/>
      <c r="H10081" s="13"/>
    </row>
    <row r="10082">
      <c r="A10082" s="6"/>
      <c r="B10082" s="6"/>
      <c r="H10082" s="13"/>
    </row>
    <row r="10083">
      <c r="A10083" s="6"/>
      <c r="B10083" s="6"/>
      <c r="H10083" s="13"/>
    </row>
    <row r="10084">
      <c r="A10084" s="6"/>
      <c r="B10084" s="6"/>
      <c r="H10084" s="13"/>
    </row>
    <row r="10085">
      <c r="A10085" s="6"/>
      <c r="B10085" s="6"/>
      <c r="H10085" s="13"/>
    </row>
    <row r="10086">
      <c r="A10086" s="6"/>
      <c r="B10086" s="6"/>
      <c r="H10086" s="13"/>
    </row>
    <row r="10087">
      <c r="A10087" s="6"/>
      <c r="B10087" s="6"/>
      <c r="H10087" s="13"/>
    </row>
    <row r="10088">
      <c r="A10088" s="6"/>
      <c r="B10088" s="6"/>
      <c r="H10088" s="13"/>
    </row>
    <row r="10089">
      <c r="A10089" s="6"/>
      <c r="B10089" s="6"/>
      <c r="H10089" s="13"/>
    </row>
    <row r="10090">
      <c r="A10090" s="6"/>
      <c r="B10090" s="6"/>
      <c r="H10090" s="13"/>
    </row>
    <row r="10091">
      <c r="A10091" s="6"/>
      <c r="B10091" s="6"/>
      <c r="H10091" s="13"/>
    </row>
    <row r="10092">
      <c r="A10092" s="6"/>
      <c r="B10092" s="6"/>
      <c r="H10092" s="13"/>
    </row>
    <row r="10093">
      <c r="A10093" s="6"/>
      <c r="B10093" s="6"/>
      <c r="H10093" s="13"/>
    </row>
    <row r="10094">
      <c r="A10094" s="6"/>
      <c r="B10094" s="6"/>
      <c r="H10094" s="13"/>
    </row>
    <row r="10095">
      <c r="A10095" s="6"/>
      <c r="B10095" s="6"/>
      <c r="H10095" s="13"/>
    </row>
    <row r="10096">
      <c r="A10096" s="6"/>
      <c r="B10096" s="6"/>
      <c r="H10096" s="13"/>
    </row>
    <row r="10097">
      <c r="A10097" s="6"/>
      <c r="B10097" s="6"/>
      <c r="H10097" s="13"/>
    </row>
    <row r="10098">
      <c r="A10098" s="6"/>
      <c r="B10098" s="6"/>
      <c r="H10098" s="13"/>
    </row>
    <row r="10099">
      <c r="A10099" s="6"/>
      <c r="B10099" s="6"/>
      <c r="H10099" s="13"/>
    </row>
    <row r="10100">
      <c r="A10100" s="6"/>
      <c r="B10100" s="6"/>
      <c r="H10100" s="13"/>
    </row>
    <row r="10101">
      <c r="A10101" s="6"/>
      <c r="B10101" s="6"/>
      <c r="H10101" s="13"/>
    </row>
    <row r="10102">
      <c r="A10102" s="6"/>
      <c r="B10102" s="6"/>
      <c r="H10102" s="13"/>
    </row>
    <row r="10103">
      <c r="A10103" s="6"/>
      <c r="B10103" s="6"/>
      <c r="H10103" s="13"/>
    </row>
    <row r="10104">
      <c r="A10104" s="6"/>
      <c r="B10104" s="6"/>
      <c r="H10104" s="13"/>
    </row>
    <row r="10105">
      <c r="A10105" s="6"/>
      <c r="B10105" s="6"/>
      <c r="H10105" s="13"/>
    </row>
    <row r="10106">
      <c r="A10106" s="6"/>
      <c r="B10106" s="6"/>
      <c r="H10106" s="13"/>
    </row>
    <row r="10107">
      <c r="A10107" s="6"/>
      <c r="B10107" s="6"/>
      <c r="H10107" s="13"/>
    </row>
    <row r="10108">
      <c r="A10108" s="6"/>
      <c r="B10108" s="6"/>
      <c r="H10108" s="13"/>
    </row>
    <row r="10109">
      <c r="A10109" s="6"/>
      <c r="B10109" s="6"/>
      <c r="H10109" s="13"/>
    </row>
    <row r="10110">
      <c r="A10110" s="6"/>
      <c r="B10110" s="6"/>
      <c r="H10110" s="13"/>
    </row>
    <row r="10111">
      <c r="A10111" s="6"/>
      <c r="B10111" s="6"/>
      <c r="H10111" s="13"/>
    </row>
    <row r="10112">
      <c r="A10112" s="6"/>
      <c r="B10112" s="6"/>
      <c r="H10112" s="13"/>
    </row>
    <row r="10113">
      <c r="A10113" s="6"/>
      <c r="B10113" s="6"/>
      <c r="H10113" s="13"/>
    </row>
    <row r="10114">
      <c r="A10114" s="6"/>
      <c r="B10114" s="6"/>
      <c r="H10114" s="13"/>
    </row>
    <row r="10115">
      <c r="A10115" s="6"/>
      <c r="B10115" s="6"/>
      <c r="H10115" s="13"/>
    </row>
    <row r="10116">
      <c r="A10116" s="6"/>
      <c r="B10116" s="6"/>
      <c r="H10116" s="13"/>
    </row>
    <row r="10117">
      <c r="A10117" s="6"/>
      <c r="B10117" s="6"/>
      <c r="H10117" s="13"/>
    </row>
    <row r="10118">
      <c r="A10118" s="6"/>
      <c r="B10118" s="6"/>
      <c r="H10118" s="13"/>
    </row>
    <row r="10119">
      <c r="A10119" s="6"/>
      <c r="B10119" s="6"/>
      <c r="H10119" s="13"/>
    </row>
    <row r="10120">
      <c r="A10120" s="6"/>
      <c r="B10120" s="6"/>
      <c r="H10120" s="13"/>
    </row>
    <row r="10121">
      <c r="A10121" s="6"/>
      <c r="B10121" s="6"/>
      <c r="H10121" s="13"/>
    </row>
    <row r="10122">
      <c r="A10122" s="6"/>
      <c r="B10122" s="6"/>
      <c r="H10122" s="13"/>
    </row>
    <row r="10123">
      <c r="A10123" s="6"/>
      <c r="B10123" s="6"/>
      <c r="H10123" s="13"/>
    </row>
    <row r="10124">
      <c r="A10124" s="6"/>
      <c r="B10124" s="6"/>
      <c r="H10124" s="13"/>
    </row>
    <row r="10125">
      <c r="A10125" s="6"/>
      <c r="B10125" s="6"/>
      <c r="H10125" s="13"/>
    </row>
    <row r="10126">
      <c r="A10126" s="6"/>
      <c r="B10126" s="6"/>
      <c r="H10126" s="13"/>
    </row>
    <row r="10127">
      <c r="A10127" s="6"/>
      <c r="B10127" s="6"/>
      <c r="H10127" s="13"/>
    </row>
    <row r="10128">
      <c r="A10128" s="6"/>
      <c r="B10128" s="6"/>
      <c r="H10128" s="13"/>
    </row>
    <row r="10129">
      <c r="A10129" s="6"/>
      <c r="B10129" s="6"/>
      <c r="H10129" s="13"/>
    </row>
    <row r="10130">
      <c r="A10130" s="6"/>
      <c r="B10130" s="6"/>
      <c r="H10130" s="13"/>
    </row>
    <row r="10131">
      <c r="A10131" s="6"/>
      <c r="B10131" s="6"/>
      <c r="H10131" s="13"/>
    </row>
    <row r="10132">
      <c r="A10132" s="6"/>
      <c r="B10132" s="6"/>
      <c r="H10132" s="13"/>
    </row>
    <row r="10133">
      <c r="A10133" s="6"/>
      <c r="B10133" s="6"/>
      <c r="H10133" s="13"/>
    </row>
    <row r="10134">
      <c r="A10134" s="6"/>
      <c r="B10134" s="6"/>
      <c r="H10134" s="13"/>
    </row>
    <row r="10135">
      <c r="A10135" s="6"/>
      <c r="B10135" s="6"/>
      <c r="H10135" s="13"/>
    </row>
    <row r="10136">
      <c r="A10136" s="6"/>
      <c r="B10136" s="6"/>
      <c r="H10136" s="13"/>
    </row>
    <row r="10137">
      <c r="A10137" s="6"/>
      <c r="B10137" s="6"/>
      <c r="H10137" s="13"/>
    </row>
    <row r="10138">
      <c r="A10138" s="6"/>
      <c r="B10138" s="6"/>
      <c r="H10138" s="13"/>
    </row>
    <row r="10139">
      <c r="A10139" s="6"/>
      <c r="B10139" s="6"/>
      <c r="H10139" s="13"/>
    </row>
    <row r="10140">
      <c r="A10140" s="6"/>
      <c r="B10140" s="6"/>
      <c r="H10140" s="13"/>
    </row>
    <row r="10141">
      <c r="A10141" s="6"/>
      <c r="B10141" s="6"/>
      <c r="H10141" s="13"/>
    </row>
    <row r="10142">
      <c r="A10142" s="6"/>
      <c r="B10142" s="6"/>
      <c r="H10142" s="13"/>
    </row>
    <row r="10143">
      <c r="A10143" s="6"/>
      <c r="B10143" s="6"/>
      <c r="H10143" s="13"/>
    </row>
    <row r="10144">
      <c r="A10144" s="6"/>
      <c r="B10144" s="6"/>
      <c r="H10144" s="13"/>
    </row>
    <row r="10145">
      <c r="A10145" s="6"/>
      <c r="B10145" s="6"/>
      <c r="H10145" s="13"/>
    </row>
    <row r="10146">
      <c r="A10146" s="6"/>
      <c r="B10146" s="6"/>
      <c r="H10146" s="13"/>
    </row>
    <row r="10147">
      <c r="A10147" s="6"/>
      <c r="B10147" s="6"/>
      <c r="H10147" s="13"/>
    </row>
    <row r="10148">
      <c r="A10148" s="6"/>
      <c r="B10148" s="6"/>
      <c r="H10148" s="13"/>
    </row>
    <row r="10149">
      <c r="A10149" s="6"/>
      <c r="B10149" s="6"/>
      <c r="H10149" s="13"/>
    </row>
    <row r="10150">
      <c r="A10150" s="6"/>
      <c r="B10150" s="6"/>
      <c r="H10150" s="13"/>
    </row>
    <row r="10151">
      <c r="A10151" s="6"/>
      <c r="B10151" s="6"/>
      <c r="H10151" s="13"/>
    </row>
    <row r="10152">
      <c r="A10152" s="6"/>
      <c r="B10152" s="6"/>
      <c r="H10152" s="13"/>
    </row>
    <row r="10153">
      <c r="A10153" s="6"/>
      <c r="B10153" s="6"/>
      <c r="H10153" s="13"/>
    </row>
    <row r="10154">
      <c r="A10154" s="6"/>
      <c r="B10154" s="6"/>
      <c r="H10154" s="13"/>
    </row>
    <row r="10155">
      <c r="A10155" s="6"/>
      <c r="B10155" s="6"/>
      <c r="H10155" s="13"/>
    </row>
    <row r="10156">
      <c r="A10156" s="6"/>
      <c r="B10156" s="6"/>
      <c r="H10156" s="13"/>
    </row>
    <row r="10157">
      <c r="A10157" s="6"/>
      <c r="B10157" s="6"/>
      <c r="H10157" s="13"/>
    </row>
    <row r="10158">
      <c r="A10158" s="6"/>
      <c r="B10158" s="6"/>
      <c r="H10158" s="13"/>
    </row>
    <row r="10159">
      <c r="A10159" s="6"/>
      <c r="B10159" s="6"/>
      <c r="H10159" s="13"/>
    </row>
    <row r="10160">
      <c r="A10160" s="6"/>
      <c r="B10160" s="6"/>
      <c r="H10160" s="13"/>
    </row>
    <row r="10161">
      <c r="A10161" s="6"/>
      <c r="B10161" s="6"/>
      <c r="H10161" s="13"/>
    </row>
    <row r="10162">
      <c r="A10162" s="6"/>
      <c r="B10162" s="6"/>
      <c r="H10162" s="13"/>
    </row>
    <row r="10163">
      <c r="A10163" s="6"/>
      <c r="B10163" s="6"/>
      <c r="H10163" s="13"/>
    </row>
    <row r="10164">
      <c r="A10164" s="6"/>
      <c r="B10164" s="6"/>
      <c r="H10164" s="13"/>
    </row>
    <row r="10165">
      <c r="A10165" s="6"/>
      <c r="B10165" s="6"/>
      <c r="H10165" s="13"/>
    </row>
    <row r="10166">
      <c r="A10166" s="6"/>
      <c r="B10166" s="6"/>
      <c r="H10166" s="13"/>
    </row>
    <row r="10167">
      <c r="A10167" s="6"/>
      <c r="B10167" s="6"/>
      <c r="H10167" s="13"/>
    </row>
    <row r="10168">
      <c r="A10168" s="6"/>
      <c r="B10168" s="6"/>
      <c r="H10168" s="13"/>
    </row>
    <row r="10169">
      <c r="A10169" s="6"/>
      <c r="B10169" s="6"/>
      <c r="H10169" s="13"/>
    </row>
    <row r="10170">
      <c r="A10170" s="6"/>
      <c r="B10170" s="6"/>
      <c r="H10170" s="13"/>
    </row>
    <row r="10171">
      <c r="A10171" s="6"/>
      <c r="B10171" s="6"/>
      <c r="H10171" s="13"/>
    </row>
    <row r="10172">
      <c r="A10172" s="6"/>
      <c r="B10172" s="6"/>
      <c r="H10172" s="13"/>
    </row>
    <row r="10173">
      <c r="A10173" s="6"/>
      <c r="B10173" s="6"/>
      <c r="H10173" s="13"/>
    </row>
    <row r="10174">
      <c r="A10174" s="6"/>
      <c r="B10174" s="6"/>
      <c r="H10174" s="13"/>
    </row>
    <row r="10175">
      <c r="A10175" s="6"/>
      <c r="B10175" s="6"/>
      <c r="H10175" s="13"/>
    </row>
    <row r="10176">
      <c r="A10176" s="6"/>
      <c r="B10176" s="6"/>
      <c r="H10176" s="13"/>
    </row>
    <row r="10177">
      <c r="A10177" s="6"/>
      <c r="B10177" s="6"/>
      <c r="H10177" s="13"/>
    </row>
    <row r="10178">
      <c r="A10178" s="6"/>
      <c r="B10178" s="6"/>
      <c r="H10178" s="13"/>
    </row>
    <row r="10179">
      <c r="A10179" s="6"/>
      <c r="B10179" s="6"/>
      <c r="H10179" s="13"/>
    </row>
    <row r="10180">
      <c r="A10180" s="6"/>
      <c r="B10180" s="6"/>
      <c r="H10180" s="13"/>
    </row>
    <row r="10181">
      <c r="A10181" s="6"/>
      <c r="B10181" s="6"/>
      <c r="H10181" s="13"/>
    </row>
    <row r="10182">
      <c r="A10182" s="6"/>
      <c r="B10182" s="6"/>
      <c r="H10182" s="13"/>
    </row>
    <row r="10183">
      <c r="A10183" s="6"/>
      <c r="B10183" s="6"/>
      <c r="H10183" s="13"/>
    </row>
    <row r="10184">
      <c r="A10184" s="6"/>
      <c r="B10184" s="6"/>
      <c r="H10184" s="13"/>
    </row>
    <row r="10185">
      <c r="A10185" s="6"/>
      <c r="B10185" s="6"/>
      <c r="H10185" s="13"/>
    </row>
    <row r="10186">
      <c r="A10186" s="6"/>
      <c r="B10186" s="6"/>
      <c r="H10186" s="13"/>
    </row>
    <row r="10187">
      <c r="A10187" s="6"/>
      <c r="B10187" s="6"/>
      <c r="H10187" s="13"/>
    </row>
    <row r="10188">
      <c r="A10188" s="6"/>
      <c r="B10188" s="6"/>
      <c r="H10188" s="13"/>
    </row>
    <row r="10189">
      <c r="A10189" s="6"/>
      <c r="B10189" s="6"/>
      <c r="H10189" s="13"/>
    </row>
    <row r="10190">
      <c r="A10190" s="6"/>
      <c r="B10190" s="6"/>
      <c r="H10190" s="13"/>
    </row>
    <row r="10191">
      <c r="A10191" s="6"/>
      <c r="B10191" s="6"/>
      <c r="H10191" s="13"/>
    </row>
    <row r="10192">
      <c r="A10192" s="6"/>
      <c r="B10192" s="6"/>
      <c r="H10192" s="13"/>
    </row>
    <row r="10193">
      <c r="A10193" s="6"/>
      <c r="B10193" s="6"/>
      <c r="H10193" s="13"/>
    </row>
    <row r="10194">
      <c r="A10194" s="6"/>
      <c r="B10194" s="6"/>
      <c r="H10194" s="13"/>
    </row>
    <row r="10195">
      <c r="A10195" s="6"/>
      <c r="B10195" s="6"/>
      <c r="H10195" s="13"/>
    </row>
    <row r="10196">
      <c r="A10196" s="6"/>
      <c r="B10196" s="6"/>
      <c r="H10196" s="13"/>
    </row>
    <row r="10197">
      <c r="A10197" s="6"/>
      <c r="B10197" s="6"/>
      <c r="H10197" s="13"/>
    </row>
    <row r="10198">
      <c r="A10198" s="6"/>
      <c r="B10198" s="6"/>
      <c r="H10198" s="13"/>
    </row>
    <row r="10199">
      <c r="A10199" s="6"/>
      <c r="B10199" s="6"/>
      <c r="H10199" s="13"/>
    </row>
    <row r="10200">
      <c r="A10200" s="6"/>
      <c r="B10200" s="6"/>
      <c r="H10200" s="13"/>
    </row>
    <row r="10201">
      <c r="A10201" s="6"/>
      <c r="B10201" s="6"/>
      <c r="H10201" s="13"/>
    </row>
    <row r="10202">
      <c r="A10202" s="6"/>
      <c r="B10202" s="6"/>
      <c r="H10202" s="13"/>
    </row>
    <row r="10203">
      <c r="A10203" s="6"/>
      <c r="B10203" s="6"/>
      <c r="H10203" s="13"/>
    </row>
    <row r="10204">
      <c r="A10204" s="6"/>
      <c r="B10204" s="6"/>
      <c r="H10204" s="13"/>
    </row>
    <row r="10205">
      <c r="A10205" s="6"/>
      <c r="B10205" s="6"/>
      <c r="H10205" s="13"/>
    </row>
    <row r="10206">
      <c r="A10206" s="6"/>
      <c r="B10206" s="6"/>
      <c r="H10206" s="13"/>
    </row>
    <row r="10207">
      <c r="A10207" s="6"/>
      <c r="B10207" s="6"/>
      <c r="H10207" s="13"/>
    </row>
    <row r="10208">
      <c r="A10208" s="6"/>
      <c r="B10208" s="6"/>
      <c r="H10208" s="13"/>
    </row>
    <row r="10209">
      <c r="A10209" s="6"/>
      <c r="B10209" s="6"/>
      <c r="H10209" s="13"/>
    </row>
    <row r="10210">
      <c r="A10210" s="6"/>
      <c r="B10210" s="6"/>
      <c r="H10210" s="13"/>
    </row>
    <row r="10211">
      <c r="A10211" s="6"/>
      <c r="B10211" s="6"/>
      <c r="H10211" s="13"/>
    </row>
    <row r="10212">
      <c r="A10212" s="6"/>
      <c r="B10212" s="6"/>
      <c r="H10212" s="13"/>
    </row>
    <row r="10213">
      <c r="A10213" s="6"/>
      <c r="B10213" s="6"/>
      <c r="H10213" s="13"/>
    </row>
    <row r="10214">
      <c r="A10214" s="6"/>
      <c r="B10214" s="6"/>
      <c r="H10214" s="13"/>
    </row>
    <row r="10215">
      <c r="A10215" s="6"/>
      <c r="B10215" s="6"/>
      <c r="H10215" s="13"/>
    </row>
    <row r="10216">
      <c r="A10216" s="6"/>
      <c r="B10216" s="6"/>
      <c r="H10216" s="13"/>
    </row>
    <row r="10217">
      <c r="A10217" s="6"/>
      <c r="B10217" s="6"/>
      <c r="H10217" s="13"/>
    </row>
    <row r="10218">
      <c r="A10218" s="6"/>
      <c r="B10218" s="6"/>
      <c r="H10218" s="13"/>
    </row>
    <row r="10219">
      <c r="A10219" s="6"/>
      <c r="B10219" s="6"/>
      <c r="H10219" s="13"/>
    </row>
    <row r="10220">
      <c r="A10220" s="6"/>
      <c r="B10220" s="6"/>
      <c r="H10220" s="13"/>
    </row>
    <row r="10221">
      <c r="A10221" s="6"/>
      <c r="B10221" s="6"/>
      <c r="H10221" s="13"/>
    </row>
    <row r="10222">
      <c r="A10222" s="6"/>
      <c r="B10222" s="6"/>
      <c r="H10222" s="13"/>
    </row>
    <row r="10223">
      <c r="A10223" s="6"/>
      <c r="B10223" s="6"/>
      <c r="H10223" s="13"/>
    </row>
    <row r="10224">
      <c r="A10224" s="6"/>
      <c r="B10224" s="6"/>
      <c r="H10224" s="13"/>
    </row>
    <row r="10225">
      <c r="A10225" s="6"/>
      <c r="B10225" s="6"/>
      <c r="H10225" s="13"/>
    </row>
    <row r="10226">
      <c r="A10226" s="6"/>
      <c r="B10226" s="6"/>
      <c r="H10226" s="13"/>
    </row>
    <row r="10227">
      <c r="A10227" s="6"/>
      <c r="B10227" s="6"/>
      <c r="H10227" s="13"/>
    </row>
    <row r="10228">
      <c r="A10228" s="6"/>
      <c r="B10228" s="6"/>
      <c r="H10228" s="13"/>
    </row>
    <row r="10229">
      <c r="A10229" s="6"/>
      <c r="B10229" s="6"/>
      <c r="H10229" s="13"/>
    </row>
    <row r="10230">
      <c r="A10230" s="6"/>
      <c r="B10230" s="6"/>
      <c r="H10230" s="13"/>
    </row>
    <row r="10231">
      <c r="A10231" s="6"/>
      <c r="B10231" s="6"/>
      <c r="H10231" s="13"/>
    </row>
    <row r="10232">
      <c r="A10232" s="6"/>
      <c r="B10232" s="6"/>
      <c r="H10232" s="13"/>
    </row>
    <row r="10233">
      <c r="A10233" s="6"/>
      <c r="B10233" s="6"/>
      <c r="H10233" s="13"/>
    </row>
    <row r="10234">
      <c r="A10234" s="6"/>
      <c r="B10234" s="6"/>
      <c r="H10234" s="13"/>
    </row>
    <row r="10235">
      <c r="A10235" s="6"/>
      <c r="B10235" s="6"/>
      <c r="H10235" s="13"/>
    </row>
    <row r="10236">
      <c r="A10236" s="6"/>
      <c r="B10236" s="6"/>
      <c r="H10236" s="13"/>
    </row>
    <row r="10237">
      <c r="A10237" s="6"/>
      <c r="B10237" s="6"/>
      <c r="H10237" s="13"/>
    </row>
    <row r="10238">
      <c r="A10238" s="6"/>
      <c r="B10238" s="6"/>
      <c r="H10238" s="13"/>
    </row>
    <row r="10239">
      <c r="A10239" s="6"/>
      <c r="B10239" s="6"/>
      <c r="H10239" s="13"/>
    </row>
    <row r="10240">
      <c r="A10240" s="6"/>
      <c r="B10240" s="6"/>
      <c r="H10240" s="13"/>
    </row>
    <row r="10241">
      <c r="A10241" s="6"/>
      <c r="B10241" s="6"/>
      <c r="H10241" s="13"/>
    </row>
    <row r="10242">
      <c r="A10242" s="6"/>
      <c r="B10242" s="6"/>
      <c r="H10242" s="13"/>
    </row>
    <row r="10243">
      <c r="A10243" s="6"/>
      <c r="B10243" s="6"/>
      <c r="H10243" s="13"/>
    </row>
    <row r="10244">
      <c r="A10244" s="6"/>
      <c r="B10244" s="6"/>
      <c r="H10244" s="13"/>
    </row>
    <row r="10245">
      <c r="A10245" s="6"/>
      <c r="B10245" s="6"/>
      <c r="H10245" s="13"/>
    </row>
    <row r="10246">
      <c r="A10246" s="6"/>
      <c r="B10246" s="6"/>
      <c r="H10246" s="13"/>
    </row>
    <row r="10247">
      <c r="A10247" s="6"/>
      <c r="B10247" s="6"/>
      <c r="H10247" s="13"/>
    </row>
    <row r="10248">
      <c r="A10248" s="6"/>
      <c r="B10248" s="6"/>
      <c r="H10248" s="13"/>
    </row>
    <row r="10249">
      <c r="A10249" s="6"/>
      <c r="B10249" s="6"/>
      <c r="H10249" s="13"/>
    </row>
    <row r="10250">
      <c r="A10250" s="6"/>
      <c r="B10250" s="6"/>
      <c r="H10250" s="13"/>
    </row>
    <row r="10251">
      <c r="A10251" s="6"/>
      <c r="B10251" s="6"/>
      <c r="H10251" s="13"/>
    </row>
    <row r="10252">
      <c r="A10252" s="6"/>
      <c r="B10252" s="6"/>
      <c r="H10252" s="13"/>
    </row>
    <row r="10253">
      <c r="A10253" s="6"/>
      <c r="B10253" s="6"/>
      <c r="H10253" s="13"/>
    </row>
    <row r="10254">
      <c r="A10254" s="6"/>
      <c r="B10254" s="6"/>
      <c r="H10254" s="13"/>
    </row>
    <row r="10255">
      <c r="A10255" s="6"/>
      <c r="B10255" s="6"/>
      <c r="H10255" s="13"/>
    </row>
    <row r="10256">
      <c r="A10256" s="6"/>
      <c r="B10256" s="6"/>
      <c r="H10256" s="13"/>
    </row>
    <row r="10257">
      <c r="A10257" s="6"/>
      <c r="B10257" s="6"/>
      <c r="H10257" s="13"/>
    </row>
    <row r="10258">
      <c r="A10258" s="6"/>
      <c r="B10258" s="6"/>
      <c r="H10258" s="13"/>
    </row>
    <row r="10259">
      <c r="A10259" s="6"/>
      <c r="B10259" s="6"/>
      <c r="H10259" s="13"/>
    </row>
    <row r="10260">
      <c r="A10260" s="6"/>
      <c r="B10260" s="6"/>
      <c r="H10260" s="13"/>
    </row>
    <row r="10261">
      <c r="A10261" s="6"/>
      <c r="B10261" s="6"/>
      <c r="H10261" s="13"/>
    </row>
    <row r="10262">
      <c r="A10262" s="6"/>
      <c r="B10262" s="6"/>
      <c r="H10262" s="13"/>
    </row>
    <row r="10263">
      <c r="A10263" s="6"/>
      <c r="B10263" s="6"/>
      <c r="H10263" s="13"/>
    </row>
    <row r="10264">
      <c r="A10264" s="6"/>
      <c r="B10264" s="6"/>
      <c r="H10264" s="13"/>
    </row>
    <row r="10265">
      <c r="A10265" s="6"/>
      <c r="B10265" s="6"/>
      <c r="H10265" s="13"/>
    </row>
    <row r="10266">
      <c r="A10266" s="6"/>
      <c r="B10266" s="6"/>
      <c r="H10266" s="13"/>
    </row>
    <row r="10267">
      <c r="A10267" s="6"/>
      <c r="B10267" s="6"/>
      <c r="H10267" s="13"/>
    </row>
    <row r="10268">
      <c r="A10268" s="6"/>
      <c r="B10268" s="6"/>
      <c r="H10268" s="13"/>
    </row>
    <row r="10269">
      <c r="A10269" s="6"/>
      <c r="B10269" s="6"/>
      <c r="H10269" s="13"/>
    </row>
    <row r="10270">
      <c r="A10270" s="6"/>
      <c r="B10270" s="6"/>
      <c r="H10270" s="13"/>
    </row>
    <row r="10271">
      <c r="A10271" s="6"/>
      <c r="B10271" s="6"/>
      <c r="H10271" s="13"/>
    </row>
    <row r="10272">
      <c r="A10272" s="6"/>
      <c r="B10272" s="6"/>
      <c r="H10272" s="13"/>
    </row>
    <row r="10273">
      <c r="A10273" s="6"/>
      <c r="B10273" s="6"/>
      <c r="H10273" s="13"/>
    </row>
    <row r="10274">
      <c r="A10274" s="6"/>
      <c r="B10274" s="6"/>
      <c r="H10274" s="13"/>
    </row>
    <row r="10275">
      <c r="A10275" s="6"/>
      <c r="B10275" s="6"/>
      <c r="H10275" s="13"/>
    </row>
    <row r="10276">
      <c r="A10276" s="6"/>
      <c r="B10276" s="6"/>
      <c r="H10276" s="13"/>
    </row>
    <row r="10277">
      <c r="A10277" s="6"/>
      <c r="B10277" s="6"/>
      <c r="H10277" s="13"/>
    </row>
    <row r="10278">
      <c r="A10278" s="6"/>
      <c r="B10278" s="6"/>
      <c r="H10278" s="13"/>
    </row>
    <row r="10279">
      <c r="A10279" s="6"/>
      <c r="B10279" s="6"/>
      <c r="H10279" s="13"/>
    </row>
    <row r="10280">
      <c r="A10280" s="6"/>
      <c r="B10280" s="6"/>
      <c r="H10280" s="13"/>
    </row>
    <row r="10281">
      <c r="A10281" s="6"/>
      <c r="B10281" s="6"/>
      <c r="H10281" s="13"/>
    </row>
    <row r="10282">
      <c r="A10282" s="6"/>
      <c r="B10282" s="6"/>
      <c r="H10282" s="13"/>
    </row>
    <row r="10283">
      <c r="A10283" s="6"/>
      <c r="B10283" s="6"/>
      <c r="H10283" s="13"/>
    </row>
    <row r="10284">
      <c r="A10284" s="6"/>
      <c r="B10284" s="6"/>
      <c r="H10284" s="13"/>
    </row>
    <row r="10285">
      <c r="A10285" s="6"/>
      <c r="B10285" s="6"/>
      <c r="H10285" s="13"/>
    </row>
    <row r="10286">
      <c r="A10286" s="6"/>
      <c r="B10286" s="6"/>
      <c r="H10286" s="13"/>
    </row>
    <row r="10287">
      <c r="A10287" s="6"/>
      <c r="B10287" s="6"/>
      <c r="H10287" s="13"/>
    </row>
    <row r="10288">
      <c r="A10288" s="6"/>
      <c r="B10288" s="6"/>
      <c r="H10288" s="13"/>
    </row>
    <row r="10289">
      <c r="A10289" s="6"/>
      <c r="B10289" s="6"/>
      <c r="H10289" s="13"/>
    </row>
    <row r="10290">
      <c r="A10290" s="6"/>
      <c r="B10290" s="6"/>
      <c r="H10290" s="13"/>
    </row>
    <row r="10291">
      <c r="A10291" s="6"/>
      <c r="B10291" s="6"/>
      <c r="H10291" s="13"/>
    </row>
    <row r="10292">
      <c r="A10292" s="6"/>
      <c r="B10292" s="6"/>
      <c r="H10292" s="13"/>
    </row>
    <row r="10293">
      <c r="A10293" s="6"/>
      <c r="B10293" s="6"/>
      <c r="H10293" s="13"/>
    </row>
    <row r="10294">
      <c r="A10294" s="6"/>
      <c r="B10294" s="6"/>
      <c r="H10294" s="13"/>
    </row>
    <row r="10295">
      <c r="A10295" s="6"/>
      <c r="B10295" s="6"/>
      <c r="H10295" s="13"/>
    </row>
    <row r="10296">
      <c r="A10296" s="6"/>
      <c r="B10296" s="6"/>
      <c r="H10296" s="13"/>
    </row>
    <row r="10297">
      <c r="A10297" s="6"/>
      <c r="B10297" s="6"/>
      <c r="H10297" s="13"/>
    </row>
    <row r="10298">
      <c r="A10298" s="6"/>
      <c r="B10298" s="6"/>
      <c r="H10298" s="13"/>
    </row>
    <row r="10299">
      <c r="A10299" s="6"/>
      <c r="B10299" s="6"/>
      <c r="H10299" s="13"/>
    </row>
    <row r="10300">
      <c r="A10300" s="6"/>
      <c r="B10300" s="6"/>
      <c r="H10300" s="13"/>
    </row>
    <row r="10301">
      <c r="A10301" s="6"/>
      <c r="B10301" s="6"/>
      <c r="H10301" s="13"/>
    </row>
    <row r="10302">
      <c r="A10302" s="6"/>
      <c r="B10302" s="6"/>
      <c r="H10302" s="13"/>
    </row>
    <row r="10303">
      <c r="A10303" s="6"/>
      <c r="B10303" s="6"/>
      <c r="H10303" s="13"/>
    </row>
    <row r="10304">
      <c r="A10304" s="6"/>
      <c r="B10304" s="6"/>
      <c r="H10304" s="13"/>
    </row>
    <row r="10305">
      <c r="A10305" s="6"/>
      <c r="B10305" s="6"/>
      <c r="H10305" s="13"/>
    </row>
    <row r="10306">
      <c r="A10306" s="6"/>
      <c r="B10306" s="6"/>
      <c r="H10306" s="13"/>
    </row>
    <row r="10307">
      <c r="A10307" s="6"/>
      <c r="B10307" s="6"/>
      <c r="H10307" s="13"/>
    </row>
    <row r="10308">
      <c r="A10308" s="6"/>
      <c r="B10308" s="6"/>
      <c r="H10308" s="13"/>
    </row>
    <row r="10309">
      <c r="A10309" s="6"/>
      <c r="B10309" s="6"/>
      <c r="H10309" s="13"/>
    </row>
    <row r="10310">
      <c r="A10310" s="6"/>
      <c r="B10310" s="6"/>
      <c r="H10310" s="13"/>
    </row>
    <row r="10311">
      <c r="A10311" s="6"/>
      <c r="B10311" s="6"/>
      <c r="H10311" s="13"/>
    </row>
    <row r="10312">
      <c r="A10312" s="6"/>
      <c r="B10312" s="6"/>
      <c r="H10312" s="13"/>
    </row>
    <row r="10313">
      <c r="A10313" s="6"/>
      <c r="B10313" s="6"/>
      <c r="H10313" s="13"/>
    </row>
    <row r="10314">
      <c r="A10314" s="6"/>
      <c r="B10314" s="6"/>
      <c r="H10314" s="13"/>
    </row>
    <row r="10315">
      <c r="A10315" s="6"/>
      <c r="B10315" s="6"/>
      <c r="H10315" s="13"/>
    </row>
    <row r="10316">
      <c r="A10316" s="6"/>
      <c r="B10316" s="6"/>
      <c r="H10316" s="13"/>
    </row>
    <row r="10317">
      <c r="A10317" s="6"/>
      <c r="B10317" s="6"/>
      <c r="H10317" s="13"/>
    </row>
    <row r="10318">
      <c r="A10318" s="6"/>
      <c r="B10318" s="6"/>
      <c r="H10318" s="13"/>
    </row>
    <row r="10319">
      <c r="A10319" s="6"/>
      <c r="B10319" s="6"/>
      <c r="H10319" s="13"/>
    </row>
    <row r="10320">
      <c r="A10320" s="6"/>
      <c r="B10320" s="6"/>
      <c r="H10320" s="13"/>
    </row>
    <row r="10321">
      <c r="A10321" s="6"/>
      <c r="B10321" s="6"/>
      <c r="H10321" s="13"/>
    </row>
    <row r="10322">
      <c r="A10322" s="6"/>
      <c r="B10322" s="6"/>
      <c r="H10322" s="13"/>
    </row>
    <row r="10323">
      <c r="A10323" s="6"/>
      <c r="B10323" s="6"/>
      <c r="H10323" s="13"/>
    </row>
    <row r="10324">
      <c r="A10324" s="6"/>
      <c r="B10324" s="6"/>
      <c r="H10324" s="13"/>
    </row>
    <row r="10325">
      <c r="A10325" s="6"/>
      <c r="B10325" s="6"/>
      <c r="H10325" s="13"/>
    </row>
    <row r="10326">
      <c r="A10326" s="6"/>
      <c r="B10326" s="6"/>
      <c r="H10326" s="13"/>
    </row>
    <row r="10327">
      <c r="A10327" s="6"/>
      <c r="B10327" s="6"/>
      <c r="H10327" s="13"/>
    </row>
    <row r="10328">
      <c r="A10328" s="6"/>
      <c r="B10328" s="6"/>
      <c r="H10328" s="13"/>
    </row>
    <row r="10329">
      <c r="A10329" s="6"/>
      <c r="B10329" s="6"/>
      <c r="H10329" s="13"/>
    </row>
    <row r="10330">
      <c r="A10330" s="6"/>
      <c r="B10330" s="6"/>
      <c r="H10330" s="13"/>
    </row>
    <row r="10331">
      <c r="A10331" s="6"/>
      <c r="B10331" s="6"/>
      <c r="H10331" s="13"/>
    </row>
    <row r="10332">
      <c r="A10332" s="6"/>
      <c r="B10332" s="6"/>
      <c r="H10332" s="13"/>
    </row>
    <row r="10333">
      <c r="A10333" s="6"/>
      <c r="B10333" s="6"/>
      <c r="H10333" s="13"/>
    </row>
    <row r="10334">
      <c r="A10334" s="6"/>
      <c r="B10334" s="6"/>
      <c r="H10334" s="13"/>
    </row>
    <row r="10335">
      <c r="A10335" s="6"/>
      <c r="B10335" s="6"/>
      <c r="H10335" s="13"/>
    </row>
    <row r="10336">
      <c r="A10336" s="6"/>
      <c r="B10336" s="6"/>
      <c r="H10336" s="13"/>
    </row>
    <row r="10337">
      <c r="A10337" s="6"/>
      <c r="B10337" s="6"/>
      <c r="H10337" s="13"/>
    </row>
    <row r="10338">
      <c r="A10338" s="6"/>
      <c r="B10338" s="6"/>
      <c r="H10338" s="13"/>
    </row>
    <row r="10339">
      <c r="A10339" s="6"/>
      <c r="B10339" s="6"/>
      <c r="H10339" s="13"/>
    </row>
    <row r="10340">
      <c r="A10340" s="6"/>
      <c r="B10340" s="6"/>
      <c r="H10340" s="13"/>
    </row>
    <row r="10341">
      <c r="A10341" s="6"/>
      <c r="B10341" s="6"/>
      <c r="H10341" s="13"/>
    </row>
    <row r="10342">
      <c r="A10342" s="6"/>
      <c r="B10342" s="6"/>
      <c r="H10342" s="13"/>
    </row>
    <row r="10343">
      <c r="A10343" s="6"/>
      <c r="B10343" s="6"/>
      <c r="H10343" s="13"/>
    </row>
    <row r="10344">
      <c r="A10344" s="6"/>
      <c r="B10344" s="6"/>
      <c r="H10344" s="13"/>
    </row>
    <row r="10345">
      <c r="A10345" s="6"/>
      <c r="B10345" s="6"/>
      <c r="H10345" s="13"/>
    </row>
    <row r="10346">
      <c r="A10346" s="6"/>
      <c r="B10346" s="6"/>
      <c r="H10346" s="13"/>
    </row>
    <row r="10347">
      <c r="A10347" s="6"/>
      <c r="B10347" s="6"/>
      <c r="H10347" s="13"/>
    </row>
    <row r="10348">
      <c r="A10348" s="6"/>
      <c r="B10348" s="6"/>
      <c r="H10348" s="13"/>
    </row>
    <row r="10349">
      <c r="A10349" s="6"/>
      <c r="B10349" s="6"/>
      <c r="H10349" s="13"/>
    </row>
    <row r="10350">
      <c r="A10350" s="6"/>
      <c r="B10350" s="6"/>
      <c r="H10350" s="13"/>
    </row>
    <row r="10351">
      <c r="A10351" s="6"/>
      <c r="B10351" s="6"/>
      <c r="H10351" s="13"/>
    </row>
    <row r="10352">
      <c r="A10352" s="6"/>
      <c r="B10352" s="6"/>
      <c r="H10352" s="13"/>
    </row>
    <row r="10353">
      <c r="A10353" s="6"/>
      <c r="B10353" s="6"/>
      <c r="H10353" s="13"/>
    </row>
    <row r="10354">
      <c r="A10354" s="6"/>
      <c r="B10354" s="6"/>
      <c r="H10354" s="13"/>
    </row>
    <row r="10355">
      <c r="A10355" s="6"/>
      <c r="B10355" s="6"/>
      <c r="H10355" s="13"/>
    </row>
    <row r="10356">
      <c r="A10356" s="6"/>
      <c r="B10356" s="6"/>
      <c r="H10356" s="13"/>
    </row>
    <row r="10357">
      <c r="A10357" s="6"/>
      <c r="B10357" s="6"/>
      <c r="H10357" s="13"/>
    </row>
    <row r="10358">
      <c r="A10358" s="6"/>
      <c r="B10358" s="6"/>
      <c r="H10358" s="13"/>
    </row>
    <row r="10359">
      <c r="A10359" s="6"/>
      <c r="B10359" s="6"/>
      <c r="H10359" s="13"/>
    </row>
    <row r="10360">
      <c r="A10360" s="6"/>
      <c r="B10360" s="6"/>
      <c r="H10360" s="13"/>
    </row>
    <row r="10361">
      <c r="A10361" s="6"/>
      <c r="B10361" s="6"/>
      <c r="H10361" s="13"/>
    </row>
    <row r="10362">
      <c r="A10362" s="6"/>
      <c r="B10362" s="6"/>
      <c r="H10362" s="13"/>
    </row>
    <row r="10363">
      <c r="A10363" s="6"/>
      <c r="B10363" s="6"/>
      <c r="H10363" s="13"/>
    </row>
    <row r="10364">
      <c r="A10364" s="6"/>
      <c r="B10364" s="6"/>
      <c r="H10364" s="13"/>
    </row>
    <row r="10365">
      <c r="A10365" s="6"/>
      <c r="B10365" s="6"/>
      <c r="H10365" s="13"/>
    </row>
    <row r="10366">
      <c r="A10366" s="6"/>
      <c r="B10366" s="6"/>
      <c r="H10366" s="13"/>
    </row>
    <row r="10367">
      <c r="A10367" s="6"/>
      <c r="B10367" s="6"/>
      <c r="H10367" s="13"/>
    </row>
    <row r="10368">
      <c r="A10368" s="6"/>
      <c r="B10368" s="6"/>
      <c r="H10368" s="13"/>
    </row>
    <row r="10369">
      <c r="A10369" s="6"/>
      <c r="B10369" s="6"/>
      <c r="H10369" s="13"/>
    </row>
    <row r="10370">
      <c r="A10370" s="6"/>
      <c r="B10370" s="6"/>
      <c r="H10370" s="13"/>
    </row>
    <row r="10371">
      <c r="A10371" s="6"/>
      <c r="B10371" s="6"/>
      <c r="H10371" s="13"/>
    </row>
    <row r="10372">
      <c r="A10372" s="6"/>
      <c r="B10372" s="6"/>
      <c r="H10372" s="13"/>
    </row>
    <row r="10373">
      <c r="A10373" s="6"/>
      <c r="B10373" s="6"/>
      <c r="H10373" s="13"/>
    </row>
    <row r="10374">
      <c r="A10374" s="6"/>
      <c r="B10374" s="6"/>
      <c r="H10374" s="13"/>
    </row>
    <row r="10375">
      <c r="A10375" s="6"/>
      <c r="B10375" s="6"/>
      <c r="H10375" s="13"/>
    </row>
    <row r="10376">
      <c r="A10376" s="6"/>
      <c r="B10376" s="6"/>
      <c r="H10376" s="13"/>
    </row>
    <row r="10377">
      <c r="A10377" s="6"/>
      <c r="B10377" s="6"/>
      <c r="H10377" s="13"/>
    </row>
    <row r="10378">
      <c r="A10378" s="6"/>
      <c r="B10378" s="6"/>
      <c r="H10378" s="13"/>
    </row>
    <row r="10379">
      <c r="A10379" s="6"/>
      <c r="B10379" s="6"/>
      <c r="H10379" s="13"/>
    </row>
    <row r="10380">
      <c r="A10380" s="6"/>
      <c r="B10380" s="6"/>
      <c r="H10380" s="13"/>
    </row>
    <row r="10381">
      <c r="A10381" s="6"/>
      <c r="B10381" s="6"/>
      <c r="H10381" s="13"/>
    </row>
    <row r="10382">
      <c r="A10382" s="6"/>
      <c r="B10382" s="6"/>
      <c r="H10382" s="13"/>
    </row>
    <row r="10383">
      <c r="A10383" s="6"/>
      <c r="B10383" s="6"/>
      <c r="H10383" s="13"/>
    </row>
    <row r="10384">
      <c r="A10384" s="6"/>
      <c r="B10384" s="6"/>
      <c r="H10384" s="13"/>
    </row>
    <row r="10385">
      <c r="A10385" s="6"/>
      <c r="B10385" s="6"/>
      <c r="H10385" s="13"/>
    </row>
    <row r="10386">
      <c r="A10386" s="6"/>
      <c r="B10386" s="6"/>
      <c r="H10386" s="13"/>
    </row>
    <row r="10387">
      <c r="A10387" s="6"/>
      <c r="B10387" s="6"/>
      <c r="H10387" s="13"/>
    </row>
    <row r="10388">
      <c r="A10388" s="6"/>
      <c r="B10388" s="6"/>
      <c r="H10388" s="13"/>
    </row>
    <row r="10389">
      <c r="A10389" s="6"/>
      <c r="B10389" s="6"/>
      <c r="H10389" s="13"/>
    </row>
    <row r="10390">
      <c r="A10390" s="6"/>
      <c r="B10390" s="6"/>
      <c r="H10390" s="13"/>
    </row>
    <row r="10391">
      <c r="A10391" s="6"/>
      <c r="B10391" s="6"/>
      <c r="H10391" s="13"/>
    </row>
    <row r="10392">
      <c r="A10392" s="6"/>
      <c r="B10392" s="6"/>
      <c r="H10392" s="13"/>
    </row>
    <row r="10393">
      <c r="A10393" s="6"/>
      <c r="B10393" s="6"/>
      <c r="H10393" s="13"/>
    </row>
    <row r="10394">
      <c r="A10394" s="6"/>
      <c r="B10394" s="6"/>
      <c r="H10394" s="13"/>
    </row>
    <row r="10395">
      <c r="A10395" s="6"/>
      <c r="B10395" s="6"/>
      <c r="H10395" s="13"/>
    </row>
    <row r="10396">
      <c r="A10396" s="6"/>
      <c r="B10396" s="6"/>
      <c r="H10396" s="13"/>
    </row>
    <row r="10397">
      <c r="A10397" s="6"/>
      <c r="B10397" s="6"/>
      <c r="H10397" s="13"/>
    </row>
    <row r="10398">
      <c r="A10398" s="6"/>
      <c r="B10398" s="6"/>
      <c r="H10398" s="13"/>
    </row>
    <row r="10399">
      <c r="A10399" s="6"/>
      <c r="B10399" s="6"/>
      <c r="H10399" s="13"/>
    </row>
    <row r="10400">
      <c r="A10400" s="6"/>
      <c r="B10400" s="6"/>
      <c r="H10400" s="13"/>
    </row>
    <row r="10401">
      <c r="A10401" s="6"/>
      <c r="B10401" s="6"/>
      <c r="H10401" s="13"/>
    </row>
    <row r="10402">
      <c r="A10402" s="6"/>
      <c r="B10402" s="6"/>
      <c r="H10402" s="13"/>
    </row>
    <row r="10403">
      <c r="A10403" s="6"/>
      <c r="B10403" s="6"/>
      <c r="H10403" s="13"/>
    </row>
    <row r="10404">
      <c r="A10404" s="6"/>
      <c r="B10404" s="6"/>
      <c r="H10404" s="13"/>
    </row>
    <row r="10405">
      <c r="A10405" s="6"/>
      <c r="B10405" s="6"/>
      <c r="H10405" s="13"/>
    </row>
    <row r="10406">
      <c r="A10406" s="6"/>
      <c r="B10406" s="6"/>
      <c r="H10406" s="13"/>
    </row>
    <row r="10407">
      <c r="A10407" s="6"/>
      <c r="B10407" s="6"/>
      <c r="H10407" s="13"/>
    </row>
    <row r="10408">
      <c r="A10408" s="6"/>
      <c r="B10408" s="6"/>
      <c r="H10408" s="13"/>
    </row>
    <row r="10409">
      <c r="A10409" s="6"/>
      <c r="B10409" s="6"/>
      <c r="H10409" s="13"/>
    </row>
    <row r="10410">
      <c r="A10410" s="6"/>
      <c r="B10410" s="6"/>
      <c r="H10410" s="13"/>
    </row>
    <row r="10411">
      <c r="A10411" s="6"/>
      <c r="B10411" s="6"/>
      <c r="H10411" s="13"/>
    </row>
    <row r="10412">
      <c r="A10412" s="6"/>
      <c r="B10412" s="6"/>
      <c r="H10412" s="13"/>
    </row>
    <row r="10413">
      <c r="A10413" s="6"/>
      <c r="B10413" s="6"/>
      <c r="H10413" s="13"/>
    </row>
    <row r="10414">
      <c r="A10414" s="6"/>
      <c r="B10414" s="6"/>
      <c r="H10414" s="13"/>
    </row>
    <row r="10415">
      <c r="A10415" s="6"/>
      <c r="B10415" s="6"/>
      <c r="H10415" s="13"/>
    </row>
    <row r="10416">
      <c r="A10416" s="6"/>
      <c r="B10416" s="6"/>
      <c r="H10416" s="13"/>
    </row>
    <row r="10417">
      <c r="A10417" s="6"/>
      <c r="B10417" s="6"/>
      <c r="H10417" s="13"/>
    </row>
    <row r="10418">
      <c r="A10418" s="6"/>
      <c r="B10418" s="6"/>
      <c r="H10418" s="13"/>
    </row>
    <row r="10419">
      <c r="A10419" s="6"/>
      <c r="B10419" s="6"/>
      <c r="H10419" s="13"/>
    </row>
    <row r="10420">
      <c r="A10420" s="6"/>
      <c r="B10420" s="6"/>
      <c r="H10420" s="13"/>
    </row>
    <row r="10421">
      <c r="A10421" s="6"/>
      <c r="B10421" s="6"/>
      <c r="H10421" s="13"/>
    </row>
    <row r="10422">
      <c r="A10422" s="6"/>
      <c r="B10422" s="6"/>
      <c r="H10422" s="13"/>
    </row>
    <row r="10423">
      <c r="A10423" s="6"/>
      <c r="B10423" s="6"/>
      <c r="H10423" s="13"/>
    </row>
    <row r="10424">
      <c r="A10424" s="6"/>
      <c r="B10424" s="6"/>
      <c r="H10424" s="13"/>
    </row>
    <row r="10425">
      <c r="A10425" s="6"/>
      <c r="B10425" s="6"/>
      <c r="H10425" s="13"/>
    </row>
    <row r="10426">
      <c r="A10426" s="6"/>
      <c r="B10426" s="6"/>
      <c r="H10426" s="13"/>
    </row>
    <row r="10427">
      <c r="A10427" s="6"/>
      <c r="B10427" s="6"/>
      <c r="H10427" s="13"/>
    </row>
    <row r="10428">
      <c r="A10428" s="6"/>
      <c r="B10428" s="6"/>
      <c r="H10428" s="13"/>
    </row>
    <row r="10429">
      <c r="A10429" s="6"/>
      <c r="B10429" s="6"/>
      <c r="H10429" s="13"/>
    </row>
    <row r="10430">
      <c r="A10430" s="6"/>
      <c r="B10430" s="6"/>
      <c r="H10430" s="13"/>
    </row>
    <row r="10431">
      <c r="A10431" s="6"/>
      <c r="B10431" s="6"/>
      <c r="H10431" s="13"/>
    </row>
    <row r="10432">
      <c r="A10432" s="6"/>
      <c r="B10432" s="6"/>
      <c r="H10432" s="13"/>
    </row>
    <row r="10433">
      <c r="A10433" s="6"/>
      <c r="B10433" s="6"/>
      <c r="H10433" s="13"/>
    </row>
    <row r="10434">
      <c r="A10434" s="6"/>
      <c r="B10434" s="6"/>
      <c r="H10434" s="13"/>
    </row>
    <row r="10435">
      <c r="A10435" s="6"/>
      <c r="B10435" s="6"/>
      <c r="H10435" s="13"/>
    </row>
    <row r="10436">
      <c r="A10436" s="6"/>
      <c r="B10436" s="6"/>
      <c r="H10436" s="13"/>
    </row>
    <row r="10437">
      <c r="A10437" s="6"/>
      <c r="B10437" s="6"/>
      <c r="H10437" s="13"/>
    </row>
    <row r="10438">
      <c r="A10438" s="6"/>
      <c r="B10438" s="6"/>
      <c r="H10438" s="13"/>
    </row>
    <row r="10439">
      <c r="A10439" s="6"/>
      <c r="B10439" s="6"/>
      <c r="H10439" s="13"/>
    </row>
    <row r="10440">
      <c r="A10440" s="6"/>
      <c r="B10440" s="6"/>
      <c r="H10440" s="13"/>
    </row>
    <row r="10441">
      <c r="A10441" s="6"/>
      <c r="B10441" s="6"/>
      <c r="H10441" s="13"/>
    </row>
    <row r="10442">
      <c r="A10442" s="6"/>
      <c r="B10442" s="6"/>
      <c r="H10442" s="13"/>
    </row>
    <row r="10443">
      <c r="A10443" s="6"/>
      <c r="B10443" s="6"/>
      <c r="H10443" s="13"/>
    </row>
    <row r="10444">
      <c r="A10444" s="6"/>
      <c r="B10444" s="6"/>
      <c r="H10444" s="13"/>
    </row>
    <row r="10445">
      <c r="A10445" s="6"/>
      <c r="B10445" s="6"/>
      <c r="H10445" s="13"/>
    </row>
    <row r="10446">
      <c r="A10446" s="6"/>
      <c r="B10446" s="6"/>
      <c r="H10446" s="13"/>
    </row>
    <row r="10447">
      <c r="A10447" s="6"/>
      <c r="B10447" s="6"/>
      <c r="H10447" s="13"/>
    </row>
    <row r="10448">
      <c r="A10448" s="6"/>
      <c r="B10448" s="6"/>
      <c r="H10448" s="13"/>
    </row>
    <row r="10449">
      <c r="A10449" s="6"/>
      <c r="B10449" s="6"/>
      <c r="H10449" s="13"/>
    </row>
    <row r="10450">
      <c r="A10450" s="6"/>
      <c r="B10450" s="6"/>
      <c r="H10450" s="13"/>
    </row>
    <row r="10451">
      <c r="A10451" s="6"/>
      <c r="B10451" s="6"/>
      <c r="H10451" s="13"/>
    </row>
    <row r="10452">
      <c r="A10452" s="6"/>
      <c r="B10452" s="6"/>
      <c r="H10452" s="13"/>
    </row>
    <row r="10453">
      <c r="A10453" s="6"/>
      <c r="B10453" s="6"/>
      <c r="H10453" s="13"/>
    </row>
    <row r="10454">
      <c r="A10454" s="6"/>
      <c r="B10454" s="6"/>
      <c r="H10454" s="13"/>
    </row>
    <row r="10455">
      <c r="A10455" s="6"/>
      <c r="B10455" s="6"/>
      <c r="H10455" s="13"/>
    </row>
    <row r="10456">
      <c r="A10456" s="6"/>
      <c r="B10456" s="6"/>
      <c r="H10456" s="13"/>
    </row>
    <row r="10457">
      <c r="A10457" s="6"/>
      <c r="B10457" s="6"/>
      <c r="H10457" s="13"/>
    </row>
    <row r="10458">
      <c r="A10458" s="6"/>
      <c r="B10458" s="6"/>
      <c r="H10458" s="13"/>
    </row>
    <row r="10459">
      <c r="A10459" s="6"/>
      <c r="B10459" s="6"/>
      <c r="H10459" s="13"/>
    </row>
    <row r="10460">
      <c r="A10460" s="6"/>
      <c r="B10460" s="6"/>
      <c r="H10460" s="13"/>
    </row>
    <row r="10461">
      <c r="A10461" s="6"/>
      <c r="B10461" s="6"/>
      <c r="H10461" s="13"/>
    </row>
    <row r="10462">
      <c r="A10462" s="6"/>
      <c r="B10462" s="6"/>
      <c r="H10462" s="13"/>
    </row>
    <row r="10463">
      <c r="A10463" s="6"/>
      <c r="B10463" s="6"/>
      <c r="H10463" s="13"/>
    </row>
    <row r="10464">
      <c r="A10464" s="6"/>
      <c r="B10464" s="6"/>
      <c r="H10464" s="13"/>
    </row>
    <row r="10465">
      <c r="A10465" s="6"/>
      <c r="B10465" s="6"/>
      <c r="H10465" s="13"/>
    </row>
    <row r="10466">
      <c r="A10466" s="6"/>
      <c r="B10466" s="6"/>
      <c r="H10466" s="13"/>
    </row>
    <row r="10467">
      <c r="A10467" s="6"/>
      <c r="B10467" s="6"/>
      <c r="H10467" s="13"/>
    </row>
    <row r="10468">
      <c r="A10468" s="6"/>
      <c r="B10468" s="6"/>
      <c r="H10468" s="13"/>
    </row>
    <row r="10469">
      <c r="A10469" s="6"/>
      <c r="B10469" s="6"/>
      <c r="H10469" s="13"/>
    </row>
    <row r="10470">
      <c r="A10470" s="6"/>
      <c r="B10470" s="6"/>
      <c r="H10470" s="13"/>
    </row>
    <row r="10471">
      <c r="A10471" s="6"/>
      <c r="B10471" s="6"/>
      <c r="H10471" s="13"/>
    </row>
    <row r="10472">
      <c r="A10472" s="6"/>
      <c r="B10472" s="6"/>
      <c r="H10472" s="13"/>
    </row>
    <row r="10473">
      <c r="A10473" s="6"/>
      <c r="B10473" s="6"/>
      <c r="H10473" s="13"/>
    </row>
    <row r="10474">
      <c r="A10474" s="6"/>
      <c r="B10474" s="6"/>
      <c r="H10474" s="13"/>
    </row>
    <row r="10475">
      <c r="A10475" s="6"/>
      <c r="B10475" s="6"/>
      <c r="H10475" s="13"/>
    </row>
    <row r="10476">
      <c r="A10476" s="6"/>
      <c r="B10476" s="6"/>
      <c r="H10476" s="13"/>
    </row>
    <row r="10477">
      <c r="A10477" s="6"/>
      <c r="B10477" s="6"/>
      <c r="H10477" s="13"/>
    </row>
    <row r="10478">
      <c r="A10478" s="6"/>
      <c r="B10478" s="6"/>
      <c r="H10478" s="13"/>
    </row>
    <row r="10479">
      <c r="A10479" s="6"/>
      <c r="B10479" s="6"/>
      <c r="H10479" s="13"/>
    </row>
    <row r="10480">
      <c r="A10480" s="6"/>
      <c r="B10480" s="6"/>
      <c r="H10480" s="13"/>
    </row>
    <row r="10481">
      <c r="A10481" s="6"/>
      <c r="B10481" s="6"/>
      <c r="H10481" s="13"/>
    </row>
    <row r="10482">
      <c r="A10482" s="6"/>
      <c r="B10482" s="6"/>
      <c r="H10482" s="13"/>
    </row>
    <row r="10483">
      <c r="A10483" s="6"/>
      <c r="B10483" s="6"/>
      <c r="H10483" s="13"/>
    </row>
    <row r="10484">
      <c r="A10484" s="6"/>
      <c r="B10484" s="6"/>
      <c r="H10484" s="13"/>
    </row>
    <row r="10485">
      <c r="A10485" s="6"/>
      <c r="B10485" s="6"/>
      <c r="H10485" s="13"/>
    </row>
    <row r="10486">
      <c r="A10486" s="6"/>
      <c r="B10486" s="6"/>
      <c r="H10486" s="13"/>
    </row>
    <row r="10487">
      <c r="A10487" s="6"/>
      <c r="B10487" s="6"/>
      <c r="H10487" s="13"/>
    </row>
    <row r="10488">
      <c r="A10488" s="6"/>
      <c r="B10488" s="6"/>
      <c r="H10488" s="13"/>
    </row>
    <row r="10489">
      <c r="A10489" s="6"/>
      <c r="B10489" s="6"/>
      <c r="H10489" s="13"/>
    </row>
    <row r="10490">
      <c r="A10490" s="6"/>
      <c r="B10490" s="6"/>
      <c r="H10490" s="13"/>
    </row>
    <row r="10491">
      <c r="A10491" s="6"/>
      <c r="B10491" s="6"/>
      <c r="H10491" s="13"/>
    </row>
    <row r="10492">
      <c r="A10492" s="6"/>
      <c r="B10492" s="6"/>
      <c r="H10492" s="13"/>
    </row>
    <row r="10493">
      <c r="A10493" s="6"/>
      <c r="B10493" s="6"/>
      <c r="H10493" s="13"/>
    </row>
    <row r="10494">
      <c r="A10494" s="6"/>
      <c r="B10494" s="6"/>
      <c r="H10494" s="13"/>
    </row>
    <row r="10495">
      <c r="A10495" s="6"/>
      <c r="B10495" s="6"/>
      <c r="H10495" s="13"/>
    </row>
    <row r="10496">
      <c r="A10496" s="6"/>
      <c r="B10496" s="6"/>
      <c r="H10496" s="13"/>
    </row>
    <row r="10497">
      <c r="A10497" s="6"/>
      <c r="B10497" s="6"/>
      <c r="H10497" s="13"/>
    </row>
    <row r="10498">
      <c r="A10498" s="6"/>
      <c r="B10498" s="6"/>
      <c r="H10498" s="13"/>
    </row>
    <row r="10499">
      <c r="A10499" s="6"/>
      <c r="B10499" s="6"/>
      <c r="H10499" s="13"/>
    </row>
    <row r="10500">
      <c r="A10500" s="6"/>
      <c r="B10500" s="6"/>
      <c r="H10500" s="13"/>
    </row>
    <row r="10501">
      <c r="A10501" s="6"/>
      <c r="B10501" s="6"/>
      <c r="H10501" s="13"/>
    </row>
    <row r="10502">
      <c r="A10502" s="6"/>
      <c r="B10502" s="6"/>
      <c r="H10502" s="13"/>
    </row>
    <row r="10503">
      <c r="A10503" s="6"/>
      <c r="B10503" s="6"/>
      <c r="H10503" s="13"/>
    </row>
    <row r="10504">
      <c r="A10504" s="6"/>
      <c r="B10504" s="6"/>
      <c r="H10504" s="13"/>
    </row>
    <row r="10505">
      <c r="A10505" s="6"/>
      <c r="B10505" s="6"/>
      <c r="H10505" s="13"/>
    </row>
    <row r="10506">
      <c r="A10506" s="6"/>
      <c r="B10506" s="6"/>
      <c r="H10506" s="13"/>
    </row>
    <row r="10507">
      <c r="A10507" s="6"/>
      <c r="B10507" s="6"/>
      <c r="H10507" s="13"/>
    </row>
    <row r="10508">
      <c r="A10508" s="6"/>
      <c r="B10508" s="6"/>
      <c r="H10508" s="13"/>
    </row>
    <row r="10509">
      <c r="A10509" s="6"/>
      <c r="B10509" s="6"/>
      <c r="H10509" s="13"/>
    </row>
    <row r="10510">
      <c r="A10510" s="6"/>
      <c r="B10510" s="6"/>
      <c r="H10510" s="13"/>
    </row>
    <row r="10511">
      <c r="A10511" s="6"/>
      <c r="B10511" s="6"/>
      <c r="H10511" s="13"/>
    </row>
    <row r="10512">
      <c r="A10512" s="6"/>
      <c r="B10512" s="6"/>
      <c r="H10512" s="13"/>
    </row>
    <row r="10513">
      <c r="A10513" s="6"/>
      <c r="B10513" s="6"/>
      <c r="H10513" s="13"/>
    </row>
    <row r="10514">
      <c r="A10514" s="6"/>
      <c r="B10514" s="6"/>
      <c r="H10514" s="13"/>
    </row>
    <row r="10515">
      <c r="A10515" s="6"/>
      <c r="B10515" s="6"/>
      <c r="H10515" s="13"/>
    </row>
    <row r="10516">
      <c r="A10516" s="6"/>
      <c r="B10516" s="6"/>
      <c r="H10516" s="13"/>
    </row>
    <row r="10517">
      <c r="A10517" s="6"/>
      <c r="B10517" s="6"/>
      <c r="H10517" s="13"/>
    </row>
    <row r="10518">
      <c r="A10518" s="6"/>
      <c r="B10518" s="6"/>
      <c r="H10518" s="13"/>
    </row>
    <row r="10519">
      <c r="A10519" s="6"/>
      <c r="B10519" s="6"/>
      <c r="H10519" s="13"/>
    </row>
    <row r="10520">
      <c r="A10520" s="6"/>
      <c r="B10520" s="6"/>
      <c r="H10520" s="13"/>
    </row>
    <row r="10521">
      <c r="A10521" s="6"/>
      <c r="B10521" s="6"/>
      <c r="H10521" s="13"/>
    </row>
    <row r="10522">
      <c r="A10522" s="6"/>
      <c r="B10522" s="6"/>
      <c r="H10522" s="13"/>
    </row>
    <row r="10523">
      <c r="A10523" s="6"/>
      <c r="B10523" s="6"/>
      <c r="H10523" s="13"/>
    </row>
    <row r="10524">
      <c r="A10524" s="6"/>
      <c r="B10524" s="6"/>
      <c r="H10524" s="13"/>
    </row>
    <row r="10525">
      <c r="A10525" s="6"/>
      <c r="B10525" s="6"/>
      <c r="H10525" s="13"/>
    </row>
    <row r="10526">
      <c r="A10526" s="6"/>
      <c r="B10526" s="6"/>
      <c r="H10526" s="13"/>
    </row>
    <row r="10527">
      <c r="A10527" s="6"/>
      <c r="B10527" s="6"/>
      <c r="H10527" s="13"/>
    </row>
    <row r="10528">
      <c r="A10528" s="6"/>
      <c r="B10528" s="6"/>
      <c r="H10528" s="13"/>
    </row>
    <row r="10529">
      <c r="A10529" s="6"/>
      <c r="B10529" s="6"/>
      <c r="H10529" s="13"/>
    </row>
    <row r="10530">
      <c r="A10530" s="6"/>
      <c r="B10530" s="6"/>
      <c r="H10530" s="13"/>
    </row>
    <row r="10531">
      <c r="A10531" s="6"/>
      <c r="B10531" s="6"/>
      <c r="H10531" s="13"/>
    </row>
    <row r="10532">
      <c r="A10532" s="6"/>
      <c r="B10532" s="6"/>
      <c r="H10532" s="13"/>
    </row>
    <row r="10533">
      <c r="A10533" s="6"/>
      <c r="B10533" s="6"/>
      <c r="H10533" s="13"/>
    </row>
    <row r="10534">
      <c r="A10534" s="6"/>
      <c r="B10534" s="6"/>
      <c r="H10534" s="13"/>
    </row>
    <row r="10535">
      <c r="A10535" s="6"/>
      <c r="B10535" s="6"/>
      <c r="H10535" s="13"/>
    </row>
    <row r="10536">
      <c r="A10536" s="6"/>
      <c r="B10536" s="6"/>
      <c r="H10536" s="13"/>
    </row>
    <row r="10537">
      <c r="A10537" s="6"/>
      <c r="B10537" s="6"/>
      <c r="H10537" s="13"/>
    </row>
    <row r="10538">
      <c r="A10538" s="6"/>
      <c r="B10538" s="6"/>
      <c r="H10538" s="13"/>
    </row>
    <row r="10539">
      <c r="A10539" s="6"/>
      <c r="B10539" s="6"/>
      <c r="H10539" s="13"/>
    </row>
    <row r="10540">
      <c r="A10540" s="6"/>
      <c r="B10540" s="6"/>
      <c r="H10540" s="13"/>
    </row>
    <row r="10541">
      <c r="A10541" s="6"/>
      <c r="B10541" s="6"/>
      <c r="H10541" s="13"/>
    </row>
    <row r="10542">
      <c r="A10542" s="6"/>
      <c r="B10542" s="6"/>
      <c r="H10542" s="13"/>
    </row>
    <row r="10543">
      <c r="A10543" s="6"/>
      <c r="B10543" s="6"/>
      <c r="H10543" s="13"/>
    </row>
    <row r="10544">
      <c r="A10544" s="6"/>
      <c r="B10544" s="6"/>
      <c r="H10544" s="13"/>
    </row>
    <row r="10545">
      <c r="A10545" s="6"/>
      <c r="B10545" s="6"/>
      <c r="H10545" s="13"/>
    </row>
    <row r="10546">
      <c r="A10546" s="6"/>
      <c r="B10546" s="6"/>
      <c r="H10546" s="13"/>
    </row>
    <row r="10547">
      <c r="A10547" s="6"/>
      <c r="B10547" s="6"/>
      <c r="H10547" s="13"/>
    </row>
    <row r="10548">
      <c r="A10548" s="6"/>
      <c r="B10548" s="6"/>
      <c r="H10548" s="13"/>
    </row>
    <row r="10549">
      <c r="A10549" s="6"/>
      <c r="B10549" s="6"/>
      <c r="H10549" s="13"/>
    </row>
    <row r="10550">
      <c r="A10550" s="6"/>
      <c r="B10550" s="6"/>
      <c r="H10550" s="13"/>
    </row>
    <row r="10551">
      <c r="A10551" s="6"/>
      <c r="B10551" s="6"/>
      <c r="H10551" s="13"/>
    </row>
    <row r="10552">
      <c r="A10552" s="6"/>
      <c r="B10552" s="6"/>
      <c r="H10552" s="13"/>
    </row>
    <row r="10553">
      <c r="A10553" s="6"/>
      <c r="B10553" s="6"/>
      <c r="H10553" s="13"/>
    </row>
    <row r="10554">
      <c r="A10554" s="6"/>
      <c r="B10554" s="6"/>
      <c r="H10554" s="13"/>
    </row>
    <row r="10555">
      <c r="A10555" s="6"/>
      <c r="B10555" s="6"/>
      <c r="H10555" s="13"/>
    </row>
    <row r="10556">
      <c r="A10556" s="6"/>
      <c r="B10556" s="6"/>
      <c r="H10556" s="13"/>
    </row>
    <row r="10557">
      <c r="A10557" s="6"/>
      <c r="B10557" s="6"/>
      <c r="H10557" s="13"/>
    </row>
    <row r="10558">
      <c r="A10558" s="6"/>
      <c r="B10558" s="6"/>
      <c r="H10558" s="13"/>
    </row>
    <row r="10559">
      <c r="A10559" s="6"/>
      <c r="B10559" s="6"/>
      <c r="H10559" s="13"/>
    </row>
    <row r="10560">
      <c r="A10560" s="6"/>
      <c r="B10560" s="6"/>
      <c r="H10560" s="13"/>
    </row>
    <row r="10561">
      <c r="A10561" s="6"/>
      <c r="B10561" s="6"/>
      <c r="H10561" s="13"/>
    </row>
    <row r="10562">
      <c r="A10562" s="6"/>
      <c r="B10562" s="6"/>
      <c r="H10562" s="13"/>
    </row>
    <row r="10563">
      <c r="A10563" s="6"/>
      <c r="B10563" s="6"/>
      <c r="H10563" s="13"/>
    </row>
    <row r="10564">
      <c r="A10564" s="6"/>
      <c r="B10564" s="6"/>
      <c r="H10564" s="13"/>
    </row>
    <row r="10565">
      <c r="A10565" s="6"/>
      <c r="B10565" s="6"/>
      <c r="H10565" s="13"/>
    </row>
    <row r="10566">
      <c r="A10566" s="6"/>
      <c r="B10566" s="6"/>
      <c r="H10566" s="13"/>
    </row>
    <row r="10567">
      <c r="A10567" s="6"/>
      <c r="B10567" s="6"/>
      <c r="H10567" s="13"/>
    </row>
    <row r="10568">
      <c r="A10568" s="6"/>
      <c r="B10568" s="6"/>
      <c r="H10568" s="13"/>
    </row>
    <row r="10569">
      <c r="A10569" s="6"/>
      <c r="B10569" s="6"/>
      <c r="H10569" s="13"/>
    </row>
    <row r="10570">
      <c r="A10570" s="6"/>
      <c r="B10570" s="6"/>
      <c r="H10570" s="13"/>
    </row>
    <row r="10571">
      <c r="A10571" s="6"/>
      <c r="B10571" s="6"/>
      <c r="H10571" s="13"/>
    </row>
    <row r="10572">
      <c r="A10572" s="6"/>
      <c r="B10572" s="6"/>
      <c r="H10572" s="13"/>
    </row>
    <row r="10573">
      <c r="A10573" s="6"/>
      <c r="B10573" s="6"/>
      <c r="H10573" s="13"/>
    </row>
    <row r="10574">
      <c r="A10574" s="6"/>
      <c r="B10574" s="6"/>
      <c r="H10574" s="13"/>
    </row>
    <row r="10575">
      <c r="A10575" s="6"/>
      <c r="B10575" s="6"/>
      <c r="H10575" s="13"/>
    </row>
    <row r="10576">
      <c r="A10576" s="6"/>
      <c r="B10576" s="6"/>
      <c r="H10576" s="13"/>
    </row>
    <row r="10577">
      <c r="A10577" s="6"/>
      <c r="B10577" s="6"/>
      <c r="H10577" s="13"/>
    </row>
    <row r="10578">
      <c r="A10578" s="6"/>
      <c r="B10578" s="6"/>
      <c r="H10578" s="13"/>
    </row>
    <row r="10579">
      <c r="A10579" s="6"/>
      <c r="B10579" s="6"/>
      <c r="H10579" s="13"/>
    </row>
    <row r="10580">
      <c r="A10580" s="6"/>
      <c r="B10580" s="6"/>
      <c r="H10580" s="13"/>
    </row>
    <row r="10581">
      <c r="A10581" s="6"/>
      <c r="B10581" s="6"/>
      <c r="H10581" s="13"/>
    </row>
    <row r="10582">
      <c r="A10582" s="6"/>
      <c r="B10582" s="6"/>
      <c r="H10582" s="13"/>
    </row>
    <row r="10583">
      <c r="A10583" s="6"/>
      <c r="B10583" s="6"/>
      <c r="H10583" s="13"/>
    </row>
    <row r="10584">
      <c r="A10584" s="6"/>
      <c r="B10584" s="6"/>
      <c r="H10584" s="13"/>
    </row>
    <row r="10585">
      <c r="A10585" s="6"/>
      <c r="B10585" s="6"/>
      <c r="H10585" s="13"/>
    </row>
    <row r="10586">
      <c r="A10586" s="6"/>
      <c r="B10586" s="6"/>
      <c r="H10586" s="13"/>
    </row>
    <row r="10587">
      <c r="A10587" s="6"/>
      <c r="B10587" s="6"/>
      <c r="H10587" s="13"/>
    </row>
    <row r="10588">
      <c r="A10588" s="6"/>
      <c r="B10588" s="6"/>
      <c r="H10588" s="13"/>
    </row>
    <row r="10589">
      <c r="A10589" s="6"/>
      <c r="B10589" s="6"/>
      <c r="H10589" s="13"/>
    </row>
    <row r="10590">
      <c r="A10590" s="6"/>
      <c r="B10590" s="6"/>
      <c r="H10590" s="13"/>
    </row>
    <row r="10591">
      <c r="A10591" s="6"/>
      <c r="B10591" s="6"/>
      <c r="H10591" s="13"/>
    </row>
    <row r="10592">
      <c r="A10592" s="6"/>
      <c r="B10592" s="6"/>
      <c r="H10592" s="13"/>
    </row>
    <row r="10593">
      <c r="A10593" s="6"/>
      <c r="B10593" s="6"/>
      <c r="H10593" s="13"/>
    </row>
    <row r="10594">
      <c r="A10594" s="6"/>
      <c r="B10594" s="6"/>
      <c r="H10594" s="13"/>
    </row>
    <row r="10595">
      <c r="A10595" s="6"/>
      <c r="B10595" s="6"/>
      <c r="H10595" s="13"/>
    </row>
    <row r="10596">
      <c r="A10596" s="6"/>
      <c r="B10596" s="6"/>
      <c r="H10596" s="13"/>
    </row>
    <row r="10597">
      <c r="A10597" s="6"/>
      <c r="B10597" s="6"/>
      <c r="H10597" s="13"/>
    </row>
    <row r="10598">
      <c r="A10598" s="6"/>
      <c r="B10598" s="6"/>
      <c r="H10598" s="13"/>
    </row>
    <row r="10599">
      <c r="A10599" s="6"/>
      <c r="B10599" s="6"/>
      <c r="H10599" s="13"/>
    </row>
    <row r="10600">
      <c r="A10600" s="6"/>
      <c r="B10600" s="6"/>
      <c r="H10600" s="13"/>
    </row>
    <row r="10601">
      <c r="A10601" s="6"/>
      <c r="B10601" s="6"/>
      <c r="H10601" s="13"/>
    </row>
    <row r="10602">
      <c r="A10602" s="6"/>
      <c r="B10602" s="6"/>
      <c r="H10602" s="13"/>
    </row>
    <row r="10603">
      <c r="A10603" s="6"/>
      <c r="B10603" s="6"/>
      <c r="H10603" s="13"/>
    </row>
    <row r="10604">
      <c r="A10604" s="6"/>
      <c r="B10604" s="6"/>
      <c r="H10604" s="13"/>
    </row>
    <row r="10605">
      <c r="A10605" s="6"/>
      <c r="B10605" s="6"/>
      <c r="H10605" s="13"/>
    </row>
    <row r="10606">
      <c r="A10606" s="6"/>
      <c r="B10606" s="6"/>
      <c r="H10606" s="13"/>
    </row>
    <row r="10607">
      <c r="A10607" s="6"/>
      <c r="B10607" s="6"/>
      <c r="H10607" s="13"/>
    </row>
    <row r="10608">
      <c r="A10608" s="6"/>
      <c r="B10608" s="6"/>
      <c r="H10608" s="13"/>
    </row>
    <row r="10609">
      <c r="A10609" s="6"/>
      <c r="B10609" s="6"/>
      <c r="H10609" s="13"/>
    </row>
    <row r="10610">
      <c r="A10610" s="6"/>
      <c r="B10610" s="6"/>
      <c r="H10610" s="13"/>
    </row>
    <row r="10611">
      <c r="A10611" s="6"/>
      <c r="B10611" s="6"/>
      <c r="H10611" s="13"/>
    </row>
    <row r="10612">
      <c r="A10612" s="6"/>
      <c r="B10612" s="6"/>
      <c r="H10612" s="13"/>
    </row>
    <row r="10613">
      <c r="A10613" s="6"/>
      <c r="B10613" s="6"/>
      <c r="H10613" s="13"/>
    </row>
    <row r="10614">
      <c r="A10614" s="6"/>
      <c r="B10614" s="6"/>
      <c r="H10614" s="13"/>
    </row>
    <row r="10615">
      <c r="A10615" s="6"/>
      <c r="B10615" s="6"/>
      <c r="H10615" s="13"/>
    </row>
    <row r="10616">
      <c r="A10616" s="6"/>
      <c r="B10616" s="6"/>
      <c r="H10616" s="13"/>
    </row>
    <row r="10617">
      <c r="A10617" s="6"/>
      <c r="B10617" s="6"/>
      <c r="H10617" s="13"/>
    </row>
    <row r="10618">
      <c r="A10618" s="6"/>
      <c r="B10618" s="6"/>
      <c r="H10618" s="13"/>
    </row>
    <row r="10619">
      <c r="A10619" s="6"/>
      <c r="B10619" s="6"/>
      <c r="H10619" s="13"/>
    </row>
    <row r="10620">
      <c r="A10620" s="6"/>
      <c r="B10620" s="6"/>
      <c r="H10620" s="13"/>
    </row>
    <row r="10621">
      <c r="A10621" s="6"/>
      <c r="B10621" s="6"/>
      <c r="H10621" s="13"/>
    </row>
    <row r="10622">
      <c r="A10622" s="6"/>
      <c r="B10622" s="6"/>
      <c r="H10622" s="13"/>
    </row>
    <row r="10623">
      <c r="A10623" s="6"/>
      <c r="B10623" s="6"/>
      <c r="H10623" s="13"/>
    </row>
    <row r="10624">
      <c r="A10624" s="6"/>
      <c r="B10624" s="6"/>
      <c r="H10624" s="13"/>
    </row>
    <row r="10625">
      <c r="A10625" s="6"/>
      <c r="B10625" s="6"/>
      <c r="H10625" s="13"/>
    </row>
    <row r="10626">
      <c r="A10626" s="6"/>
      <c r="B10626" s="6"/>
      <c r="H10626" s="13"/>
    </row>
    <row r="10627">
      <c r="A10627" s="6"/>
      <c r="B10627" s="6"/>
      <c r="H10627" s="13"/>
    </row>
    <row r="10628">
      <c r="A10628" s="6"/>
      <c r="B10628" s="6"/>
      <c r="H10628" s="13"/>
    </row>
    <row r="10629">
      <c r="A10629" s="6"/>
      <c r="B10629" s="6"/>
      <c r="H10629" s="13"/>
    </row>
    <row r="10630">
      <c r="A10630" s="6"/>
      <c r="B10630" s="6"/>
      <c r="H10630" s="13"/>
    </row>
    <row r="10631">
      <c r="A10631" s="6"/>
      <c r="B10631" s="6"/>
      <c r="H10631" s="13"/>
    </row>
    <row r="10632">
      <c r="A10632" s="6"/>
      <c r="B10632" s="6"/>
      <c r="H10632" s="13"/>
    </row>
    <row r="10633">
      <c r="A10633" s="6"/>
      <c r="B10633" s="6"/>
      <c r="H10633" s="13"/>
    </row>
    <row r="10634">
      <c r="A10634" s="6"/>
      <c r="B10634" s="6"/>
      <c r="H10634" s="13"/>
    </row>
    <row r="10635">
      <c r="A10635" s="6"/>
      <c r="B10635" s="6"/>
      <c r="H10635" s="13"/>
    </row>
    <row r="10636">
      <c r="A10636" s="6"/>
      <c r="B10636" s="6"/>
      <c r="H10636" s="13"/>
    </row>
    <row r="10637">
      <c r="A10637" s="6"/>
      <c r="B10637" s="6"/>
      <c r="H10637" s="13"/>
    </row>
    <row r="10638">
      <c r="A10638" s="6"/>
      <c r="B10638" s="6"/>
      <c r="H10638" s="13"/>
    </row>
    <row r="10639">
      <c r="A10639" s="6"/>
      <c r="B10639" s="6"/>
      <c r="H10639" s="13"/>
    </row>
    <row r="10640">
      <c r="A10640" s="6"/>
      <c r="B10640" s="6"/>
      <c r="H10640" s="13"/>
    </row>
    <row r="10641">
      <c r="A10641" s="6"/>
      <c r="B10641" s="6"/>
      <c r="H10641" s="13"/>
    </row>
    <row r="10642">
      <c r="A10642" s="6"/>
      <c r="B10642" s="6"/>
      <c r="H10642" s="13"/>
    </row>
    <row r="10643">
      <c r="A10643" s="6"/>
      <c r="B10643" s="6"/>
      <c r="H10643" s="13"/>
    </row>
    <row r="10644">
      <c r="A10644" s="6"/>
      <c r="B10644" s="6"/>
      <c r="H10644" s="13"/>
    </row>
    <row r="10645">
      <c r="A10645" s="6"/>
      <c r="B10645" s="6"/>
      <c r="H10645" s="13"/>
    </row>
    <row r="10646">
      <c r="A10646" s="6"/>
      <c r="B10646" s="6"/>
      <c r="H10646" s="13"/>
    </row>
    <row r="10647">
      <c r="A10647" s="6"/>
      <c r="B10647" s="6"/>
      <c r="H10647" s="13"/>
    </row>
    <row r="10648">
      <c r="A10648" s="6"/>
      <c r="B10648" s="6"/>
      <c r="H10648" s="13"/>
    </row>
    <row r="10649">
      <c r="A10649" s="6"/>
      <c r="B10649" s="6"/>
      <c r="H10649" s="13"/>
    </row>
    <row r="10650">
      <c r="A10650" s="6"/>
      <c r="B10650" s="6"/>
      <c r="H10650" s="13"/>
    </row>
    <row r="10651">
      <c r="A10651" s="6"/>
      <c r="B10651" s="6"/>
      <c r="H10651" s="13"/>
    </row>
    <row r="10652">
      <c r="A10652" s="6"/>
      <c r="B10652" s="6"/>
      <c r="H10652" s="13"/>
    </row>
    <row r="10653">
      <c r="A10653" s="6"/>
      <c r="B10653" s="6"/>
      <c r="H10653" s="13"/>
    </row>
    <row r="10654">
      <c r="A10654" s="6"/>
      <c r="B10654" s="6"/>
      <c r="H10654" s="13"/>
    </row>
    <row r="10655">
      <c r="A10655" s="6"/>
      <c r="B10655" s="6"/>
      <c r="H10655" s="13"/>
    </row>
    <row r="10656">
      <c r="A10656" s="6"/>
      <c r="B10656" s="6"/>
      <c r="H10656" s="13"/>
    </row>
    <row r="10657">
      <c r="A10657" s="6"/>
      <c r="B10657" s="6"/>
      <c r="H10657" s="13"/>
    </row>
    <row r="10658">
      <c r="A10658" s="6"/>
      <c r="B10658" s="6"/>
      <c r="H10658" s="13"/>
    </row>
    <row r="10659">
      <c r="A10659" s="6"/>
      <c r="B10659" s="6"/>
      <c r="H10659" s="13"/>
    </row>
    <row r="10660">
      <c r="A10660" s="6"/>
      <c r="B10660" s="6"/>
      <c r="H10660" s="13"/>
    </row>
    <row r="10661">
      <c r="A10661" s="6"/>
      <c r="B10661" s="6"/>
      <c r="H10661" s="13"/>
    </row>
    <row r="10662">
      <c r="A10662" s="6"/>
      <c r="B10662" s="6"/>
      <c r="H10662" s="13"/>
    </row>
    <row r="10663">
      <c r="A10663" s="6"/>
      <c r="B10663" s="6"/>
      <c r="H10663" s="13"/>
    </row>
    <row r="10664">
      <c r="A10664" s="6"/>
      <c r="B10664" s="6"/>
      <c r="H10664" s="13"/>
    </row>
    <row r="10665">
      <c r="A10665" s="6"/>
      <c r="B10665" s="6"/>
      <c r="H10665" s="13"/>
    </row>
    <row r="10666">
      <c r="A10666" s="6"/>
      <c r="B10666" s="6"/>
      <c r="H10666" s="13"/>
    </row>
    <row r="10667">
      <c r="A10667" s="6"/>
      <c r="B10667" s="6"/>
      <c r="H10667" s="13"/>
    </row>
    <row r="10668">
      <c r="A10668" s="6"/>
      <c r="B10668" s="6"/>
      <c r="H10668" s="13"/>
    </row>
    <row r="10669">
      <c r="A10669" s="6"/>
      <c r="B10669" s="6"/>
      <c r="H10669" s="13"/>
    </row>
    <row r="10670">
      <c r="A10670" s="6"/>
      <c r="B10670" s="6"/>
      <c r="H10670" s="13"/>
    </row>
    <row r="10671">
      <c r="A10671" s="6"/>
      <c r="B10671" s="6"/>
      <c r="H10671" s="13"/>
    </row>
    <row r="10672">
      <c r="A10672" s="6"/>
      <c r="B10672" s="6"/>
      <c r="H10672" s="13"/>
    </row>
    <row r="10673">
      <c r="A10673" s="6"/>
      <c r="B10673" s="6"/>
      <c r="H10673" s="13"/>
    </row>
    <row r="10674">
      <c r="A10674" s="6"/>
      <c r="B10674" s="6"/>
      <c r="H10674" s="13"/>
    </row>
    <row r="10675">
      <c r="A10675" s="6"/>
      <c r="B10675" s="6"/>
      <c r="H10675" s="13"/>
    </row>
    <row r="10676">
      <c r="A10676" s="6"/>
      <c r="B10676" s="6"/>
      <c r="H10676" s="13"/>
    </row>
    <row r="10677">
      <c r="A10677" s="6"/>
      <c r="B10677" s="6"/>
      <c r="H10677" s="13"/>
    </row>
    <row r="10678">
      <c r="A10678" s="6"/>
      <c r="B10678" s="6"/>
      <c r="H10678" s="13"/>
    </row>
    <row r="10679">
      <c r="A10679" s="6"/>
      <c r="B10679" s="6"/>
      <c r="H10679" s="13"/>
    </row>
    <row r="10680">
      <c r="A10680" s="6"/>
      <c r="B10680" s="6"/>
      <c r="H10680" s="13"/>
    </row>
    <row r="10681">
      <c r="A10681" s="6"/>
      <c r="B10681" s="6"/>
      <c r="H10681" s="13"/>
    </row>
    <row r="10682">
      <c r="A10682" s="6"/>
      <c r="B10682" s="6"/>
      <c r="H10682" s="13"/>
    </row>
    <row r="10683">
      <c r="A10683" s="6"/>
      <c r="B10683" s="6"/>
      <c r="H10683" s="13"/>
    </row>
    <row r="10684">
      <c r="A10684" s="6"/>
      <c r="B10684" s="6"/>
      <c r="H10684" s="13"/>
    </row>
    <row r="10685">
      <c r="A10685" s="6"/>
      <c r="B10685" s="6"/>
      <c r="H10685" s="13"/>
    </row>
    <row r="10686">
      <c r="A10686" s="6"/>
      <c r="B10686" s="6"/>
      <c r="H10686" s="13"/>
    </row>
    <row r="10687">
      <c r="A10687" s="6"/>
      <c r="B10687" s="6"/>
      <c r="H10687" s="13"/>
    </row>
    <row r="10688">
      <c r="A10688" s="6"/>
      <c r="B10688" s="6"/>
      <c r="H10688" s="13"/>
    </row>
    <row r="10689">
      <c r="A10689" s="6"/>
      <c r="B10689" s="6"/>
      <c r="H10689" s="13"/>
    </row>
    <row r="10690">
      <c r="A10690" s="6"/>
      <c r="B10690" s="6"/>
      <c r="H10690" s="13"/>
    </row>
    <row r="10691">
      <c r="A10691" s="6"/>
      <c r="B10691" s="6"/>
      <c r="H10691" s="13"/>
    </row>
    <row r="10692">
      <c r="A10692" s="6"/>
      <c r="B10692" s="6"/>
      <c r="H10692" s="13"/>
    </row>
    <row r="10693">
      <c r="A10693" s="6"/>
      <c r="B10693" s="6"/>
      <c r="H10693" s="13"/>
    </row>
    <row r="10694">
      <c r="A10694" s="6"/>
      <c r="B10694" s="6"/>
      <c r="H10694" s="13"/>
    </row>
    <row r="10695">
      <c r="A10695" s="6"/>
      <c r="B10695" s="6"/>
      <c r="H10695" s="13"/>
    </row>
    <row r="10696">
      <c r="A10696" s="6"/>
      <c r="B10696" s="6"/>
      <c r="H10696" s="13"/>
    </row>
    <row r="10697">
      <c r="A10697" s="6"/>
      <c r="B10697" s="6"/>
      <c r="H10697" s="13"/>
    </row>
    <row r="10698">
      <c r="A10698" s="6"/>
      <c r="B10698" s="6"/>
      <c r="H10698" s="13"/>
    </row>
    <row r="10699">
      <c r="A10699" s="6"/>
      <c r="B10699" s="6"/>
      <c r="H10699" s="13"/>
    </row>
    <row r="10700">
      <c r="A10700" s="6"/>
      <c r="B10700" s="6"/>
      <c r="H10700" s="13"/>
    </row>
    <row r="10701">
      <c r="A10701" s="6"/>
      <c r="B10701" s="6"/>
      <c r="H10701" s="13"/>
    </row>
    <row r="10702">
      <c r="A10702" s="6"/>
      <c r="B10702" s="6"/>
      <c r="H10702" s="13"/>
    </row>
    <row r="10703">
      <c r="A10703" s="6"/>
      <c r="B10703" s="6"/>
      <c r="H10703" s="13"/>
    </row>
    <row r="10704">
      <c r="A10704" s="6"/>
      <c r="B10704" s="6"/>
      <c r="H10704" s="13"/>
    </row>
    <row r="10705">
      <c r="A10705" s="6"/>
      <c r="B10705" s="6"/>
      <c r="H10705" s="13"/>
    </row>
    <row r="10706">
      <c r="A10706" s="6"/>
      <c r="B10706" s="6"/>
      <c r="H10706" s="13"/>
    </row>
    <row r="10707">
      <c r="A10707" s="6"/>
      <c r="B10707" s="6"/>
      <c r="H10707" s="13"/>
    </row>
    <row r="10708">
      <c r="A10708" s="6"/>
      <c r="B10708" s="6"/>
      <c r="H10708" s="13"/>
    </row>
    <row r="10709">
      <c r="A10709" s="6"/>
      <c r="B10709" s="6"/>
      <c r="H10709" s="13"/>
    </row>
    <row r="10710">
      <c r="A10710" s="6"/>
      <c r="B10710" s="6"/>
      <c r="H10710" s="13"/>
    </row>
    <row r="10711">
      <c r="A10711" s="6"/>
      <c r="B10711" s="6"/>
      <c r="H10711" s="13"/>
    </row>
    <row r="10712">
      <c r="A10712" s="6"/>
      <c r="B10712" s="6"/>
      <c r="H10712" s="13"/>
    </row>
    <row r="10713">
      <c r="A10713" s="6"/>
      <c r="B10713" s="6"/>
      <c r="H10713" s="13"/>
    </row>
    <row r="10714">
      <c r="A10714" s="6"/>
      <c r="B10714" s="6"/>
      <c r="H10714" s="13"/>
    </row>
    <row r="10715">
      <c r="A10715" s="6"/>
      <c r="B10715" s="6"/>
      <c r="H10715" s="13"/>
    </row>
    <row r="10716">
      <c r="A10716" s="6"/>
      <c r="B10716" s="6"/>
      <c r="H10716" s="13"/>
    </row>
    <row r="10717">
      <c r="A10717" s="6"/>
      <c r="B10717" s="6"/>
      <c r="H10717" s="13"/>
    </row>
    <row r="10718">
      <c r="A10718" s="6"/>
      <c r="B10718" s="6"/>
      <c r="H10718" s="13"/>
    </row>
    <row r="10719">
      <c r="A10719" s="6"/>
      <c r="B10719" s="6"/>
      <c r="H10719" s="13"/>
    </row>
    <row r="10720">
      <c r="A10720" s="6"/>
      <c r="B10720" s="6"/>
      <c r="H10720" s="13"/>
    </row>
    <row r="10721">
      <c r="A10721" s="6"/>
      <c r="B10721" s="6"/>
      <c r="H10721" s="13"/>
    </row>
    <row r="10722">
      <c r="A10722" s="6"/>
      <c r="B10722" s="6"/>
      <c r="H10722" s="13"/>
    </row>
    <row r="10723">
      <c r="A10723" s="6"/>
      <c r="B10723" s="6"/>
      <c r="H10723" s="13"/>
    </row>
    <row r="10724">
      <c r="A10724" s="6"/>
      <c r="B10724" s="6"/>
      <c r="H10724" s="13"/>
    </row>
    <row r="10725">
      <c r="A10725" s="6"/>
      <c r="B10725" s="6"/>
      <c r="H10725" s="13"/>
    </row>
    <row r="10726">
      <c r="A10726" s="6"/>
      <c r="B10726" s="6"/>
      <c r="H10726" s="13"/>
    </row>
    <row r="10727">
      <c r="A10727" s="6"/>
      <c r="B10727" s="6"/>
      <c r="H10727" s="13"/>
    </row>
    <row r="10728">
      <c r="A10728" s="6"/>
      <c r="B10728" s="6"/>
      <c r="H10728" s="13"/>
    </row>
    <row r="10729">
      <c r="A10729" s="6"/>
      <c r="B10729" s="6"/>
      <c r="H10729" s="13"/>
    </row>
    <row r="10730">
      <c r="A10730" s="6"/>
      <c r="B10730" s="6"/>
      <c r="H10730" s="13"/>
    </row>
    <row r="10731">
      <c r="A10731" s="6"/>
      <c r="B10731" s="6"/>
      <c r="H10731" s="13"/>
    </row>
    <row r="10732">
      <c r="A10732" s="6"/>
      <c r="B10732" s="6"/>
      <c r="H10732" s="13"/>
    </row>
    <row r="10733">
      <c r="A10733" s="6"/>
      <c r="B10733" s="6"/>
      <c r="H10733" s="13"/>
    </row>
    <row r="10734">
      <c r="A10734" s="6"/>
      <c r="B10734" s="6"/>
      <c r="H10734" s="13"/>
    </row>
    <row r="10735">
      <c r="A10735" s="6"/>
      <c r="B10735" s="6"/>
      <c r="H10735" s="13"/>
    </row>
    <row r="10736">
      <c r="A10736" s="6"/>
      <c r="B10736" s="6"/>
      <c r="H10736" s="13"/>
    </row>
    <row r="10737">
      <c r="A10737" s="6"/>
      <c r="B10737" s="6"/>
      <c r="H10737" s="13"/>
    </row>
    <row r="10738">
      <c r="A10738" s="6"/>
      <c r="B10738" s="6"/>
      <c r="H10738" s="13"/>
    </row>
    <row r="10739">
      <c r="A10739" s="6"/>
      <c r="B10739" s="6"/>
      <c r="H10739" s="13"/>
    </row>
    <row r="10740">
      <c r="A10740" s="6"/>
      <c r="B10740" s="6"/>
      <c r="H10740" s="13"/>
    </row>
    <row r="10741">
      <c r="A10741" s="6"/>
      <c r="B10741" s="6"/>
      <c r="H10741" s="13"/>
    </row>
    <row r="10742">
      <c r="A10742" s="6"/>
      <c r="B10742" s="6"/>
      <c r="H10742" s="13"/>
    </row>
    <row r="10743">
      <c r="A10743" s="6"/>
      <c r="B10743" s="6"/>
      <c r="H10743" s="13"/>
    </row>
    <row r="10744">
      <c r="A10744" s="6"/>
      <c r="B10744" s="6"/>
      <c r="H10744" s="13"/>
    </row>
    <row r="10745">
      <c r="A10745" s="6"/>
      <c r="B10745" s="6"/>
      <c r="H10745" s="13"/>
    </row>
    <row r="10746">
      <c r="A10746" s="6"/>
      <c r="B10746" s="6"/>
      <c r="H10746" s="13"/>
    </row>
    <row r="10747">
      <c r="A10747" s="6"/>
      <c r="B10747" s="6"/>
      <c r="H10747" s="13"/>
    </row>
    <row r="10748">
      <c r="A10748" s="6"/>
      <c r="B10748" s="6"/>
      <c r="H10748" s="13"/>
    </row>
    <row r="10749">
      <c r="A10749" s="6"/>
      <c r="B10749" s="6"/>
      <c r="H10749" s="13"/>
    </row>
    <row r="10750">
      <c r="A10750" s="6"/>
      <c r="B10750" s="6"/>
      <c r="H10750" s="13"/>
    </row>
    <row r="10751">
      <c r="A10751" s="6"/>
      <c r="B10751" s="6"/>
      <c r="H10751" s="13"/>
    </row>
    <row r="10752">
      <c r="A10752" s="6"/>
      <c r="B10752" s="6"/>
      <c r="H10752" s="13"/>
    </row>
    <row r="10753">
      <c r="A10753" s="6"/>
      <c r="B10753" s="6"/>
      <c r="H10753" s="13"/>
    </row>
    <row r="10754">
      <c r="A10754" s="6"/>
      <c r="B10754" s="6"/>
      <c r="H10754" s="13"/>
    </row>
    <row r="10755">
      <c r="A10755" s="6"/>
      <c r="B10755" s="6"/>
      <c r="H10755" s="13"/>
    </row>
    <row r="10756">
      <c r="A10756" s="6"/>
      <c r="B10756" s="6"/>
      <c r="H10756" s="13"/>
    </row>
    <row r="10757">
      <c r="A10757" s="6"/>
      <c r="B10757" s="6"/>
      <c r="H10757" s="13"/>
    </row>
    <row r="10758">
      <c r="A10758" s="6"/>
      <c r="B10758" s="6"/>
      <c r="H10758" s="13"/>
    </row>
    <row r="10759">
      <c r="A10759" s="6"/>
      <c r="B10759" s="6"/>
      <c r="H10759" s="13"/>
    </row>
    <row r="10760">
      <c r="A10760" s="6"/>
      <c r="B10760" s="6"/>
      <c r="H10760" s="13"/>
    </row>
    <row r="10761">
      <c r="A10761" s="6"/>
      <c r="B10761" s="6"/>
      <c r="H10761" s="13"/>
    </row>
    <row r="10762">
      <c r="A10762" s="6"/>
      <c r="B10762" s="6"/>
      <c r="H10762" s="13"/>
    </row>
    <row r="10763">
      <c r="A10763" s="6"/>
      <c r="B10763" s="6"/>
      <c r="H10763" s="13"/>
    </row>
    <row r="10764">
      <c r="A10764" s="6"/>
      <c r="B10764" s="6"/>
      <c r="H10764" s="13"/>
    </row>
    <row r="10765">
      <c r="A10765" s="6"/>
      <c r="B10765" s="6"/>
      <c r="H10765" s="13"/>
    </row>
    <row r="10766">
      <c r="A10766" s="6"/>
      <c r="B10766" s="6"/>
      <c r="H10766" s="13"/>
    </row>
    <row r="10767">
      <c r="A10767" s="6"/>
      <c r="B10767" s="6"/>
      <c r="H10767" s="13"/>
    </row>
    <row r="10768">
      <c r="A10768" s="6"/>
      <c r="B10768" s="6"/>
      <c r="H10768" s="13"/>
    </row>
    <row r="10769">
      <c r="A10769" s="6"/>
      <c r="B10769" s="6"/>
      <c r="H10769" s="13"/>
    </row>
    <row r="10770">
      <c r="A10770" s="6"/>
      <c r="B10770" s="6"/>
      <c r="H10770" s="13"/>
    </row>
    <row r="10771">
      <c r="A10771" s="6"/>
      <c r="B10771" s="6"/>
      <c r="H10771" s="13"/>
    </row>
    <row r="10772">
      <c r="A10772" s="6"/>
      <c r="B10772" s="6"/>
      <c r="H10772" s="13"/>
    </row>
    <row r="10773">
      <c r="A10773" s="6"/>
      <c r="B10773" s="6"/>
      <c r="H10773" s="13"/>
    </row>
    <row r="10774">
      <c r="A10774" s="6"/>
      <c r="B10774" s="6"/>
      <c r="H10774" s="13"/>
    </row>
    <row r="10775">
      <c r="A10775" s="6"/>
      <c r="B10775" s="6"/>
      <c r="H10775" s="13"/>
    </row>
    <row r="10776">
      <c r="A10776" s="6"/>
      <c r="B10776" s="6"/>
      <c r="H10776" s="13"/>
    </row>
    <row r="10777">
      <c r="A10777" s="6"/>
      <c r="B10777" s="6"/>
      <c r="H10777" s="13"/>
    </row>
    <row r="10778">
      <c r="A10778" s="6"/>
      <c r="B10778" s="6"/>
      <c r="H10778" s="13"/>
    </row>
    <row r="10779">
      <c r="A10779" s="6"/>
      <c r="B10779" s="6"/>
      <c r="H10779" s="13"/>
    </row>
    <row r="10780">
      <c r="A10780" s="6"/>
      <c r="B10780" s="6"/>
      <c r="H10780" s="13"/>
    </row>
    <row r="10781">
      <c r="A10781" s="6"/>
      <c r="B10781" s="6"/>
      <c r="H10781" s="13"/>
    </row>
    <row r="10782">
      <c r="A10782" s="6"/>
      <c r="B10782" s="6"/>
      <c r="H10782" s="13"/>
    </row>
    <row r="10783">
      <c r="A10783" s="6"/>
      <c r="B10783" s="6"/>
      <c r="H10783" s="13"/>
    </row>
    <row r="10784">
      <c r="A10784" s="6"/>
      <c r="B10784" s="6"/>
      <c r="H10784" s="13"/>
    </row>
    <row r="10785">
      <c r="A10785" s="6"/>
      <c r="B10785" s="6"/>
      <c r="H10785" s="13"/>
    </row>
    <row r="10786">
      <c r="A10786" s="6"/>
      <c r="B10786" s="6"/>
      <c r="H10786" s="13"/>
    </row>
    <row r="10787">
      <c r="A10787" s="6"/>
      <c r="B10787" s="6"/>
      <c r="H10787" s="13"/>
    </row>
    <row r="10788">
      <c r="A10788" s="6"/>
      <c r="B10788" s="6"/>
      <c r="H10788" s="13"/>
    </row>
    <row r="10789">
      <c r="A10789" s="6"/>
      <c r="B10789" s="6"/>
      <c r="H10789" s="13"/>
    </row>
    <row r="10790">
      <c r="A10790" s="6"/>
      <c r="B10790" s="6"/>
      <c r="H10790" s="13"/>
    </row>
    <row r="10791">
      <c r="A10791" s="6"/>
      <c r="B10791" s="6"/>
      <c r="H10791" s="13"/>
    </row>
    <row r="10792">
      <c r="A10792" s="6"/>
      <c r="B10792" s="6"/>
      <c r="H10792" s="13"/>
    </row>
    <row r="10793">
      <c r="A10793" s="6"/>
      <c r="B10793" s="6"/>
      <c r="H10793" s="13"/>
    </row>
    <row r="10794">
      <c r="A10794" s="6"/>
      <c r="B10794" s="6"/>
      <c r="H10794" s="13"/>
    </row>
    <row r="10795">
      <c r="A10795" s="6"/>
      <c r="B10795" s="6"/>
      <c r="H10795" s="13"/>
    </row>
    <row r="10796">
      <c r="A10796" s="6"/>
      <c r="B10796" s="6"/>
      <c r="H10796" s="13"/>
    </row>
    <row r="10797">
      <c r="A10797" s="6"/>
      <c r="B10797" s="6"/>
      <c r="H10797" s="13"/>
    </row>
    <row r="10798">
      <c r="A10798" s="6"/>
      <c r="B10798" s="6"/>
      <c r="H10798" s="13"/>
    </row>
    <row r="10799">
      <c r="A10799" s="6"/>
      <c r="B10799" s="6"/>
      <c r="H10799" s="13"/>
    </row>
    <row r="10800">
      <c r="A10800" s="6"/>
      <c r="B10800" s="6"/>
      <c r="H10800" s="13"/>
    </row>
    <row r="10801">
      <c r="A10801" s="6"/>
      <c r="B10801" s="6"/>
      <c r="H10801" s="13"/>
    </row>
    <row r="10802">
      <c r="A10802" s="6"/>
      <c r="B10802" s="6"/>
      <c r="H10802" s="13"/>
    </row>
    <row r="10803">
      <c r="A10803" s="6"/>
      <c r="B10803" s="6"/>
      <c r="H10803" s="13"/>
    </row>
    <row r="10804">
      <c r="A10804" s="6"/>
      <c r="B10804" s="6"/>
      <c r="H10804" s="13"/>
    </row>
    <row r="10805">
      <c r="A10805" s="6"/>
      <c r="B10805" s="6"/>
      <c r="H10805" s="13"/>
    </row>
    <row r="10806">
      <c r="A10806" s="6"/>
      <c r="B10806" s="6"/>
      <c r="H10806" s="13"/>
    </row>
    <row r="10807">
      <c r="A10807" s="6"/>
      <c r="B10807" s="6"/>
      <c r="H10807" s="13"/>
    </row>
    <row r="10808">
      <c r="A10808" s="6"/>
      <c r="B10808" s="6"/>
      <c r="H10808" s="13"/>
    </row>
    <row r="10809">
      <c r="A10809" s="6"/>
      <c r="B10809" s="6"/>
      <c r="H10809" s="13"/>
    </row>
    <row r="10810">
      <c r="A10810" s="6"/>
      <c r="B10810" s="6"/>
      <c r="H10810" s="13"/>
    </row>
    <row r="10811">
      <c r="A10811" s="6"/>
      <c r="B10811" s="6"/>
      <c r="H10811" s="13"/>
    </row>
    <row r="10812">
      <c r="A10812" s="6"/>
      <c r="B10812" s="6"/>
      <c r="H10812" s="13"/>
    </row>
    <row r="10813">
      <c r="A10813" s="6"/>
      <c r="B10813" s="6"/>
      <c r="H10813" s="13"/>
    </row>
    <row r="10814">
      <c r="A10814" s="6"/>
      <c r="B10814" s="6"/>
      <c r="H10814" s="13"/>
    </row>
    <row r="10815">
      <c r="A10815" s="6"/>
      <c r="B10815" s="6"/>
      <c r="H10815" s="13"/>
    </row>
    <row r="10816">
      <c r="A10816" s="6"/>
      <c r="B10816" s="6"/>
      <c r="H10816" s="13"/>
    </row>
    <row r="10817">
      <c r="A10817" s="6"/>
      <c r="B10817" s="6"/>
      <c r="H10817" s="13"/>
    </row>
    <row r="10818">
      <c r="A10818" s="6"/>
      <c r="B10818" s="6"/>
      <c r="H10818" s="13"/>
    </row>
    <row r="10819">
      <c r="A10819" s="6"/>
      <c r="B10819" s="6"/>
      <c r="H10819" s="13"/>
    </row>
    <row r="10820">
      <c r="A10820" s="6"/>
      <c r="B10820" s="6"/>
      <c r="H10820" s="13"/>
    </row>
    <row r="10821">
      <c r="A10821" s="6"/>
      <c r="B10821" s="6"/>
      <c r="H10821" s="13"/>
    </row>
    <row r="10822">
      <c r="A10822" s="6"/>
      <c r="B10822" s="6"/>
      <c r="H10822" s="13"/>
    </row>
    <row r="10823">
      <c r="A10823" s="6"/>
      <c r="B10823" s="6"/>
      <c r="H10823" s="13"/>
    </row>
    <row r="10824">
      <c r="A10824" s="6"/>
      <c r="B10824" s="6"/>
      <c r="H10824" s="13"/>
    </row>
    <row r="10825">
      <c r="A10825" s="6"/>
      <c r="B10825" s="6"/>
      <c r="H10825" s="13"/>
    </row>
    <row r="10826">
      <c r="A10826" s="6"/>
      <c r="B10826" s="6"/>
      <c r="H10826" s="13"/>
    </row>
    <row r="10827">
      <c r="A10827" s="6"/>
      <c r="B10827" s="6"/>
      <c r="H10827" s="13"/>
    </row>
    <row r="10828">
      <c r="A10828" s="6"/>
      <c r="B10828" s="6"/>
      <c r="H10828" s="13"/>
    </row>
    <row r="10829">
      <c r="A10829" s="6"/>
      <c r="B10829" s="6"/>
      <c r="H10829" s="13"/>
    </row>
    <row r="10830">
      <c r="A10830" s="6"/>
      <c r="B10830" s="6"/>
      <c r="H10830" s="13"/>
    </row>
    <row r="10831">
      <c r="A10831" s="6"/>
      <c r="B10831" s="6"/>
      <c r="H10831" s="13"/>
    </row>
    <row r="10832">
      <c r="A10832" s="6"/>
      <c r="B10832" s="6"/>
      <c r="H10832" s="13"/>
    </row>
    <row r="10833">
      <c r="A10833" s="6"/>
      <c r="B10833" s="6"/>
      <c r="H10833" s="13"/>
    </row>
    <row r="10834">
      <c r="A10834" s="6"/>
      <c r="B10834" s="6"/>
      <c r="H10834" s="13"/>
    </row>
    <row r="10835">
      <c r="A10835" s="6"/>
      <c r="B10835" s="6"/>
      <c r="H10835" s="13"/>
    </row>
    <row r="10836">
      <c r="A10836" s="6"/>
      <c r="B10836" s="6"/>
      <c r="H10836" s="13"/>
    </row>
    <row r="10837">
      <c r="A10837" s="6"/>
      <c r="B10837" s="6"/>
      <c r="H10837" s="13"/>
    </row>
    <row r="10838">
      <c r="A10838" s="6"/>
      <c r="B10838" s="6"/>
      <c r="H10838" s="13"/>
    </row>
    <row r="10839">
      <c r="A10839" s="6"/>
      <c r="B10839" s="6"/>
      <c r="H10839" s="13"/>
    </row>
    <row r="10840">
      <c r="A10840" s="6"/>
      <c r="B10840" s="6"/>
      <c r="H10840" s="13"/>
    </row>
    <row r="10841">
      <c r="A10841" s="6"/>
      <c r="B10841" s="6"/>
      <c r="H10841" s="13"/>
    </row>
    <row r="10842">
      <c r="A10842" s="6"/>
      <c r="B10842" s="6"/>
      <c r="H10842" s="13"/>
    </row>
    <row r="10843">
      <c r="A10843" s="6"/>
      <c r="B10843" s="6"/>
      <c r="H10843" s="13"/>
    </row>
    <row r="10844">
      <c r="A10844" s="6"/>
      <c r="B10844" s="6"/>
      <c r="H10844" s="13"/>
    </row>
    <row r="10845">
      <c r="A10845" s="6"/>
      <c r="B10845" s="6"/>
      <c r="H10845" s="13"/>
    </row>
    <row r="10846">
      <c r="A10846" s="6"/>
      <c r="B10846" s="6"/>
      <c r="H10846" s="13"/>
    </row>
    <row r="10847">
      <c r="A10847" s="6"/>
      <c r="B10847" s="6"/>
      <c r="H10847" s="13"/>
    </row>
    <row r="10848">
      <c r="A10848" s="6"/>
      <c r="B10848" s="6"/>
      <c r="H10848" s="13"/>
    </row>
    <row r="10849">
      <c r="A10849" s="6"/>
      <c r="B10849" s="6"/>
      <c r="H10849" s="13"/>
    </row>
    <row r="10850">
      <c r="A10850" s="6"/>
      <c r="B10850" s="6"/>
      <c r="H10850" s="13"/>
    </row>
    <row r="10851">
      <c r="A10851" s="6"/>
      <c r="B10851" s="6"/>
      <c r="H10851" s="13"/>
    </row>
    <row r="10852">
      <c r="A10852" s="6"/>
      <c r="B10852" s="6"/>
      <c r="H10852" s="13"/>
    </row>
    <row r="10853">
      <c r="A10853" s="6"/>
      <c r="B10853" s="6"/>
      <c r="H10853" s="13"/>
    </row>
    <row r="10854">
      <c r="A10854" s="6"/>
      <c r="B10854" s="6"/>
      <c r="H10854" s="13"/>
    </row>
    <row r="10855">
      <c r="A10855" s="6"/>
      <c r="B10855" s="6"/>
      <c r="H10855" s="13"/>
    </row>
    <row r="10856">
      <c r="A10856" s="6"/>
      <c r="B10856" s="6"/>
      <c r="H10856" s="13"/>
    </row>
    <row r="10857">
      <c r="A10857" s="6"/>
      <c r="B10857" s="6"/>
      <c r="H10857" s="13"/>
    </row>
    <row r="10858">
      <c r="A10858" s="6"/>
      <c r="B10858" s="6"/>
      <c r="H10858" s="13"/>
    </row>
    <row r="10859">
      <c r="A10859" s="6"/>
      <c r="B10859" s="6"/>
      <c r="H10859" s="13"/>
    </row>
    <row r="10860">
      <c r="A10860" s="6"/>
      <c r="B10860" s="6"/>
      <c r="H10860" s="13"/>
    </row>
    <row r="10861">
      <c r="A10861" s="6"/>
      <c r="B10861" s="6"/>
      <c r="H10861" s="13"/>
    </row>
    <row r="10862">
      <c r="A10862" s="6"/>
      <c r="B10862" s="6"/>
      <c r="H10862" s="13"/>
    </row>
    <row r="10863">
      <c r="A10863" s="6"/>
      <c r="B10863" s="6"/>
      <c r="H10863" s="13"/>
    </row>
    <row r="10864">
      <c r="A10864" s="6"/>
      <c r="B10864" s="6"/>
      <c r="H10864" s="13"/>
    </row>
    <row r="10865">
      <c r="A10865" s="6"/>
      <c r="B10865" s="6"/>
      <c r="H10865" s="13"/>
    </row>
    <row r="10866">
      <c r="A10866" s="6"/>
      <c r="B10866" s="6"/>
      <c r="H10866" s="13"/>
    </row>
    <row r="10867">
      <c r="A10867" s="6"/>
      <c r="B10867" s="6"/>
      <c r="H10867" s="13"/>
    </row>
    <row r="10868">
      <c r="A10868" s="6"/>
      <c r="B10868" s="6"/>
      <c r="H10868" s="13"/>
    </row>
    <row r="10869">
      <c r="A10869" s="6"/>
      <c r="B10869" s="6"/>
      <c r="H10869" s="13"/>
    </row>
    <row r="10870">
      <c r="A10870" s="6"/>
      <c r="B10870" s="6"/>
      <c r="H10870" s="13"/>
    </row>
    <row r="10871">
      <c r="A10871" s="6"/>
      <c r="B10871" s="6"/>
      <c r="H10871" s="13"/>
    </row>
    <row r="10872">
      <c r="A10872" s="6"/>
      <c r="B10872" s="6"/>
      <c r="H10872" s="13"/>
    </row>
    <row r="10873">
      <c r="A10873" s="6"/>
      <c r="B10873" s="6"/>
      <c r="H10873" s="13"/>
    </row>
    <row r="10874">
      <c r="A10874" s="6"/>
      <c r="B10874" s="6"/>
      <c r="H10874" s="13"/>
    </row>
    <row r="10875">
      <c r="A10875" s="6"/>
      <c r="B10875" s="6"/>
      <c r="H10875" s="13"/>
    </row>
    <row r="10876">
      <c r="A10876" s="6"/>
      <c r="B10876" s="6"/>
      <c r="H10876" s="13"/>
    </row>
    <row r="10877">
      <c r="A10877" s="6"/>
      <c r="B10877" s="6"/>
      <c r="H10877" s="13"/>
    </row>
    <row r="10878">
      <c r="A10878" s="6"/>
      <c r="B10878" s="6"/>
      <c r="H10878" s="13"/>
    </row>
    <row r="10879">
      <c r="A10879" s="6"/>
      <c r="B10879" s="6"/>
      <c r="H10879" s="13"/>
    </row>
    <row r="10880">
      <c r="A10880" s="6"/>
      <c r="B10880" s="6"/>
      <c r="H10880" s="13"/>
    </row>
    <row r="10881">
      <c r="A10881" s="6"/>
      <c r="B10881" s="6"/>
      <c r="H10881" s="13"/>
    </row>
    <row r="10882">
      <c r="A10882" s="6"/>
      <c r="B10882" s="6"/>
      <c r="H10882" s="13"/>
    </row>
    <row r="10883">
      <c r="A10883" s="6"/>
      <c r="B10883" s="6"/>
      <c r="H10883" s="13"/>
    </row>
    <row r="10884">
      <c r="A10884" s="6"/>
      <c r="B10884" s="6"/>
      <c r="H10884" s="13"/>
    </row>
    <row r="10885">
      <c r="A10885" s="6"/>
      <c r="B10885" s="6"/>
      <c r="H10885" s="13"/>
    </row>
    <row r="10886">
      <c r="A10886" s="6"/>
      <c r="B10886" s="6"/>
      <c r="H10886" s="13"/>
    </row>
    <row r="10887">
      <c r="A10887" s="6"/>
      <c r="B10887" s="6"/>
      <c r="H10887" s="13"/>
    </row>
    <row r="10888">
      <c r="A10888" s="6"/>
      <c r="B10888" s="6"/>
      <c r="H10888" s="13"/>
    </row>
    <row r="10889">
      <c r="A10889" s="6"/>
      <c r="B10889" s="6"/>
      <c r="H10889" s="13"/>
    </row>
    <row r="10890">
      <c r="A10890" s="6"/>
      <c r="B10890" s="6"/>
      <c r="H10890" s="13"/>
    </row>
    <row r="10891">
      <c r="A10891" s="6"/>
      <c r="B10891" s="6"/>
      <c r="H10891" s="13"/>
    </row>
    <row r="10892">
      <c r="A10892" s="6"/>
      <c r="B10892" s="6"/>
      <c r="H10892" s="13"/>
    </row>
    <row r="10893">
      <c r="A10893" s="6"/>
      <c r="B10893" s="6"/>
      <c r="H10893" s="13"/>
    </row>
    <row r="10894">
      <c r="A10894" s="6"/>
      <c r="B10894" s="6"/>
      <c r="H10894" s="13"/>
    </row>
    <row r="10895">
      <c r="A10895" s="6"/>
      <c r="B10895" s="6"/>
      <c r="H10895" s="13"/>
    </row>
    <row r="10896">
      <c r="A10896" s="6"/>
      <c r="B10896" s="6"/>
      <c r="H10896" s="13"/>
    </row>
    <row r="10897">
      <c r="A10897" s="6"/>
      <c r="B10897" s="6"/>
      <c r="H10897" s="13"/>
    </row>
    <row r="10898">
      <c r="A10898" s="6"/>
      <c r="B10898" s="6"/>
      <c r="H10898" s="13"/>
    </row>
    <row r="10899">
      <c r="A10899" s="6"/>
      <c r="B10899" s="6"/>
      <c r="H10899" s="13"/>
    </row>
    <row r="10900">
      <c r="A10900" s="6"/>
      <c r="B10900" s="6"/>
      <c r="H10900" s="13"/>
    </row>
    <row r="10901">
      <c r="A10901" s="6"/>
      <c r="B10901" s="6"/>
      <c r="H10901" s="13"/>
    </row>
    <row r="10902">
      <c r="A10902" s="6"/>
      <c r="B10902" s="6"/>
      <c r="H10902" s="13"/>
    </row>
    <row r="10903">
      <c r="A10903" s="6"/>
      <c r="B10903" s="6"/>
      <c r="H10903" s="13"/>
    </row>
    <row r="10904">
      <c r="A10904" s="6"/>
      <c r="B10904" s="6"/>
      <c r="H10904" s="13"/>
    </row>
    <row r="10905">
      <c r="A10905" s="6"/>
      <c r="B10905" s="6"/>
      <c r="H10905" s="13"/>
    </row>
    <row r="10906">
      <c r="A10906" s="6"/>
      <c r="B10906" s="6"/>
      <c r="H10906" s="13"/>
    </row>
    <row r="10907">
      <c r="A10907" s="6"/>
      <c r="B10907" s="6"/>
      <c r="H10907" s="13"/>
    </row>
    <row r="10908">
      <c r="A10908" s="6"/>
      <c r="B10908" s="6"/>
      <c r="H10908" s="13"/>
    </row>
    <row r="10909">
      <c r="A10909" s="6"/>
      <c r="B10909" s="6"/>
      <c r="H10909" s="13"/>
    </row>
    <row r="10910">
      <c r="A10910" s="6"/>
      <c r="B10910" s="6"/>
      <c r="H10910" s="13"/>
    </row>
    <row r="10911">
      <c r="A10911" s="6"/>
      <c r="B10911" s="6"/>
      <c r="H10911" s="13"/>
    </row>
    <row r="10912">
      <c r="A10912" s="6"/>
      <c r="B10912" s="6"/>
      <c r="H10912" s="13"/>
    </row>
    <row r="10913">
      <c r="A10913" s="6"/>
      <c r="B10913" s="6"/>
      <c r="H10913" s="13"/>
    </row>
    <row r="10914">
      <c r="A10914" s="6"/>
      <c r="B10914" s="6"/>
      <c r="H10914" s="13"/>
    </row>
    <row r="10915">
      <c r="A10915" s="6"/>
      <c r="B10915" s="6"/>
      <c r="H10915" s="13"/>
    </row>
    <row r="10916">
      <c r="A10916" s="6"/>
      <c r="B10916" s="6"/>
      <c r="H10916" s="13"/>
    </row>
    <row r="10917">
      <c r="A10917" s="6"/>
      <c r="B10917" s="6"/>
      <c r="H10917" s="13"/>
    </row>
    <row r="10918">
      <c r="A10918" s="6"/>
      <c r="B10918" s="6"/>
      <c r="H10918" s="13"/>
    </row>
    <row r="10919">
      <c r="A10919" s="6"/>
      <c r="B10919" s="6"/>
      <c r="H10919" s="13"/>
    </row>
    <row r="10920">
      <c r="A10920" s="6"/>
      <c r="B10920" s="6"/>
      <c r="H10920" s="13"/>
    </row>
    <row r="10921">
      <c r="A10921" s="6"/>
      <c r="B10921" s="6"/>
      <c r="H10921" s="13"/>
    </row>
    <row r="10922">
      <c r="A10922" s="6"/>
      <c r="B10922" s="6"/>
      <c r="H10922" s="13"/>
    </row>
    <row r="10923">
      <c r="A10923" s="6"/>
      <c r="B10923" s="6"/>
      <c r="H10923" s="13"/>
    </row>
    <row r="10924">
      <c r="A10924" s="6"/>
      <c r="B10924" s="6"/>
      <c r="H10924" s="13"/>
    </row>
    <row r="10925">
      <c r="A10925" s="6"/>
      <c r="B10925" s="6"/>
      <c r="H10925" s="13"/>
    </row>
    <row r="10926">
      <c r="A10926" s="6"/>
      <c r="B10926" s="6"/>
      <c r="H10926" s="13"/>
    </row>
    <row r="10927">
      <c r="A10927" s="6"/>
      <c r="B10927" s="6"/>
      <c r="H10927" s="13"/>
    </row>
    <row r="10928">
      <c r="A10928" s="6"/>
      <c r="B10928" s="6"/>
      <c r="H10928" s="13"/>
    </row>
    <row r="10929">
      <c r="A10929" s="6"/>
      <c r="B10929" s="6"/>
      <c r="H10929" s="13"/>
    </row>
    <row r="10930">
      <c r="A10930" s="6"/>
      <c r="B10930" s="6"/>
      <c r="H10930" s="13"/>
    </row>
    <row r="10931">
      <c r="A10931" s="6"/>
      <c r="B10931" s="6"/>
      <c r="H10931" s="13"/>
    </row>
    <row r="10932">
      <c r="A10932" s="6"/>
      <c r="B10932" s="6"/>
      <c r="H10932" s="13"/>
    </row>
    <row r="10933">
      <c r="A10933" s="6"/>
      <c r="B10933" s="6"/>
      <c r="H10933" s="13"/>
    </row>
    <row r="10934">
      <c r="A10934" s="6"/>
      <c r="B10934" s="6"/>
      <c r="H10934" s="13"/>
    </row>
    <row r="10935">
      <c r="A10935" s="6"/>
      <c r="B10935" s="6"/>
      <c r="H10935" s="13"/>
    </row>
    <row r="10936">
      <c r="A10936" s="6"/>
      <c r="B10936" s="6"/>
      <c r="H10936" s="13"/>
    </row>
    <row r="10937">
      <c r="A10937" s="6"/>
      <c r="B10937" s="6"/>
      <c r="H10937" s="13"/>
    </row>
    <row r="10938">
      <c r="A10938" s="6"/>
      <c r="B10938" s="6"/>
      <c r="H10938" s="13"/>
    </row>
    <row r="10939">
      <c r="A10939" s="6"/>
      <c r="B10939" s="6"/>
      <c r="H10939" s="13"/>
    </row>
    <row r="10940">
      <c r="A10940" s="6"/>
      <c r="B10940" s="6"/>
      <c r="H10940" s="13"/>
    </row>
    <row r="10941">
      <c r="A10941" s="6"/>
      <c r="B10941" s="6"/>
      <c r="H10941" s="13"/>
    </row>
    <row r="10942">
      <c r="A10942" s="6"/>
      <c r="B10942" s="6"/>
      <c r="H10942" s="13"/>
    </row>
    <row r="10943">
      <c r="A10943" s="6"/>
      <c r="B10943" s="6"/>
      <c r="H10943" s="13"/>
    </row>
    <row r="10944">
      <c r="A10944" s="6"/>
      <c r="B10944" s="6"/>
      <c r="H10944" s="13"/>
    </row>
    <row r="10945">
      <c r="A10945" s="6"/>
      <c r="B10945" s="6"/>
      <c r="H10945" s="13"/>
    </row>
    <row r="10946">
      <c r="A10946" s="6"/>
      <c r="B10946" s="6"/>
      <c r="H10946" s="13"/>
    </row>
    <row r="10947">
      <c r="A10947" s="6"/>
      <c r="B10947" s="6"/>
      <c r="H10947" s="13"/>
    </row>
    <row r="10948">
      <c r="A10948" s="6"/>
      <c r="B10948" s="6"/>
      <c r="H10948" s="13"/>
    </row>
    <row r="10949">
      <c r="A10949" s="6"/>
      <c r="B10949" s="6"/>
      <c r="H10949" s="13"/>
    </row>
    <row r="10950">
      <c r="A10950" s="6"/>
      <c r="B10950" s="6"/>
      <c r="H10950" s="13"/>
    </row>
    <row r="10951">
      <c r="A10951" s="6"/>
      <c r="B10951" s="6"/>
      <c r="H10951" s="13"/>
    </row>
    <row r="10952">
      <c r="A10952" s="6"/>
      <c r="B10952" s="6"/>
      <c r="H10952" s="13"/>
    </row>
    <row r="10953">
      <c r="A10953" s="6"/>
      <c r="B10953" s="6"/>
      <c r="H10953" s="13"/>
    </row>
    <row r="10954">
      <c r="A10954" s="6"/>
      <c r="B10954" s="6"/>
      <c r="H10954" s="13"/>
    </row>
    <row r="10955">
      <c r="A10955" s="6"/>
      <c r="B10955" s="6"/>
      <c r="H10955" s="13"/>
    </row>
    <row r="10956">
      <c r="A10956" s="6"/>
      <c r="B10956" s="6"/>
      <c r="H10956" s="13"/>
    </row>
    <row r="10957">
      <c r="A10957" s="6"/>
      <c r="B10957" s="6"/>
      <c r="H10957" s="13"/>
    </row>
    <row r="10958">
      <c r="A10958" s="6"/>
      <c r="B10958" s="6"/>
      <c r="H10958" s="13"/>
    </row>
    <row r="10959">
      <c r="A10959" s="6"/>
      <c r="B10959" s="6"/>
      <c r="H10959" s="13"/>
    </row>
    <row r="10960">
      <c r="A10960" s="6"/>
      <c r="B10960" s="6"/>
      <c r="H10960" s="13"/>
    </row>
    <row r="10961">
      <c r="A10961" s="6"/>
      <c r="B10961" s="6"/>
      <c r="H10961" s="13"/>
    </row>
    <row r="10962">
      <c r="A10962" s="6"/>
      <c r="B10962" s="6"/>
      <c r="H10962" s="13"/>
    </row>
    <row r="10963">
      <c r="A10963" s="6"/>
      <c r="B10963" s="6"/>
      <c r="H10963" s="13"/>
    </row>
    <row r="10964">
      <c r="A10964" s="6"/>
      <c r="B10964" s="6"/>
      <c r="H10964" s="13"/>
    </row>
    <row r="10965">
      <c r="A10965" s="6"/>
      <c r="B10965" s="6"/>
      <c r="H10965" s="13"/>
    </row>
    <row r="10966">
      <c r="A10966" s="6"/>
      <c r="B10966" s="6"/>
      <c r="H10966" s="13"/>
    </row>
    <row r="10967">
      <c r="A10967" s="6"/>
      <c r="B10967" s="6"/>
      <c r="H10967" s="13"/>
    </row>
    <row r="10968">
      <c r="A10968" s="6"/>
      <c r="B10968" s="6"/>
      <c r="H10968" s="13"/>
    </row>
    <row r="10969">
      <c r="A10969" s="6"/>
      <c r="B10969" s="6"/>
      <c r="H10969" s="13"/>
    </row>
    <row r="10970">
      <c r="A10970" s="6"/>
      <c r="B10970" s="6"/>
      <c r="H10970" s="13"/>
    </row>
    <row r="10971">
      <c r="A10971" s="6"/>
      <c r="B10971" s="6"/>
      <c r="H10971" s="13"/>
    </row>
    <row r="10972">
      <c r="A10972" s="6"/>
      <c r="B10972" s="6"/>
      <c r="H10972" s="13"/>
    </row>
    <row r="10973">
      <c r="A10973" s="6"/>
      <c r="B10973" s="6"/>
      <c r="H10973" s="13"/>
    </row>
    <row r="10974">
      <c r="A10974" s="6"/>
      <c r="B10974" s="6"/>
      <c r="H10974" s="13"/>
    </row>
    <row r="10975">
      <c r="A10975" s="6"/>
      <c r="B10975" s="6"/>
      <c r="H10975" s="13"/>
    </row>
    <row r="10976">
      <c r="A10976" s="6"/>
      <c r="B10976" s="6"/>
      <c r="H10976" s="13"/>
    </row>
    <row r="10977">
      <c r="A10977" s="6"/>
      <c r="B10977" s="6"/>
      <c r="H10977" s="13"/>
    </row>
    <row r="10978">
      <c r="A10978" s="6"/>
      <c r="B10978" s="6"/>
      <c r="H10978" s="13"/>
    </row>
    <row r="10979">
      <c r="A10979" s="6"/>
      <c r="B10979" s="6"/>
      <c r="H10979" s="13"/>
    </row>
    <row r="10980">
      <c r="A10980" s="6"/>
      <c r="B10980" s="6"/>
      <c r="H10980" s="13"/>
    </row>
    <row r="10981">
      <c r="A10981" s="6"/>
      <c r="B10981" s="6"/>
      <c r="H10981" s="13"/>
    </row>
    <row r="10982">
      <c r="A10982" s="6"/>
      <c r="B10982" s="6"/>
      <c r="H10982" s="13"/>
    </row>
    <row r="10983">
      <c r="A10983" s="6"/>
      <c r="B10983" s="6"/>
      <c r="H10983" s="13"/>
    </row>
    <row r="10984">
      <c r="A10984" s="6"/>
      <c r="B10984" s="6"/>
      <c r="H10984" s="13"/>
    </row>
    <row r="10985">
      <c r="A10985" s="6"/>
      <c r="B10985" s="6"/>
      <c r="H10985" s="13"/>
    </row>
    <row r="10986">
      <c r="A10986" s="6"/>
      <c r="B10986" s="6"/>
      <c r="H10986" s="13"/>
    </row>
    <row r="10987">
      <c r="A10987" s="6"/>
      <c r="B10987" s="6"/>
      <c r="H10987" s="13"/>
    </row>
    <row r="10988">
      <c r="A10988" s="6"/>
      <c r="B10988" s="6"/>
      <c r="H10988" s="13"/>
    </row>
    <row r="10989">
      <c r="A10989" s="6"/>
      <c r="B10989" s="6"/>
      <c r="H10989" s="13"/>
    </row>
    <row r="10990">
      <c r="A10990" s="6"/>
      <c r="B10990" s="6"/>
      <c r="H10990" s="13"/>
    </row>
    <row r="10991">
      <c r="A10991" s="6"/>
      <c r="B10991" s="6"/>
      <c r="H10991" s="13"/>
    </row>
    <row r="10992">
      <c r="A10992" s="6"/>
      <c r="B10992" s="6"/>
      <c r="H10992" s="13"/>
    </row>
    <row r="10993">
      <c r="A10993" s="6"/>
      <c r="B10993" s="6"/>
      <c r="H10993" s="13"/>
    </row>
    <row r="10994">
      <c r="A10994" s="6"/>
      <c r="B10994" s="6"/>
      <c r="H10994" s="13"/>
    </row>
    <row r="10995">
      <c r="A10995" s="6"/>
      <c r="B10995" s="6"/>
      <c r="H10995" s="13"/>
    </row>
    <row r="10996">
      <c r="A10996" s="6"/>
      <c r="B10996" s="6"/>
      <c r="H10996" s="13"/>
    </row>
    <row r="10997">
      <c r="A10997" s="6"/>
      <c r="B10997" s="6"/>
      <c r="H10997" s="13"/>
    </row>
    <row r="10998">
      <c r="A10998" s="6"/>
      <c r="B10998" s="6"/>
      <c r="H10998" s="13"/>
    </row>
    <row r="10999">
      <c r="A10999" s="6"/>
      <c r="B10999" s="6"/>
      <c r="H10999" s="13"/>
    </row>
    <row r="11000">
      <c r="A11000" s="6"/>
      <c r="B11000" s="6"/>
      <c r="H11000" s="13"/>
    </row>
    <row r="11001">
      <c r="A11001" s="6"/>
      <c r="B11001" s="6"/>
      <c r="H11001" s="13"/>
    </row>
    <row r="11002">
      <c r="A11002" s="6"/>
      <c r="B11002" s="6"/>
      <c r="H11002" s="13"/>
    </row>
    <row r="11003">
      <c r="A11003" s="6"/>
      <c r="B11003" s="6"/>
      <c r="H11003" s="13"/>
    </row>
    <row r="11004">
      <c r="A11004" s="6"/>
      <c r="B11004" s="6"/>
      <c r="H11004" s="13"/>
    </row>
    <row r="11005">
      <c r="A11005" s="6"/>
      <c r="B11005" s="6"/>
      <c r="H11005" s="13"/>
    </row>
    <row r="11006">
      <c r="A11006" s="6"/>
      <c r="B11006" s="6"/>
      <c r="H11006" s="13"/>
    </row>
    <row r="11007">
      <c r="A11007" s="6"/>
      <c r="B11007" s="6"/>
      <c r="H11007" s="13"/>
    </row>
    <row r="11008">
      <c r="A11008" s="6"/>
      <c r="B11008" s="6"/>
      <c r="H11008" s="13"/>
    </row>
    <row r="11009">
      <c r="A11009" s="6"/>
      <c r="B11009" s="6"/>
      <c r="H11009" s="13"/>
    </row>
    <row r="11010">
      <c r="A11010" s="6"/>
      <c r="B11010" s="6"/>
      <c r="H11010" s="13"/>
    </row>
    <row r="11011">
      <c r="A11011" s="6"/>
      <c r="B11011" s="6"/>
      <c r="H11011" s="13"/>
    </row>
    <row r="11012">
      <c r="A11012" s="6"/>
      <c r="B11012" s="6"/>
      <c r="H11012" s="13"/>
    </row>
    <row r="11013">
      <c r="A11013" s="6"/>
      <c r="B11013" s="6"/>
      <c r="H11013" s="13"/>
    </row>
    <row r="11014">
      <c r="A11014" s="6"/>
      <c r="B11014" s="6"/>
      <c r="H11014" s="13"/>
    </row>
    <row r="11015">
      <c r="A11015" s="6"/>
      <c r="B11015" s="6"/>
      <c r="H11015" s="13"/>
    </row>
    <row r="11016">
      <c r="A11016" s="6"/>
      <c r="B11016" s="6"/>
      <c r="H11016" s="13"/>
    </row>
    <row r="11017">
      <c r="A11017" s="6"/>
      <c r="B11017" s="6"/>
      <c r="H11017" s="13"/>
    </row>
    <row r="11018">
      <c r="A11018" s="6"/>
      <c r="B11018" s="6"/>
      <c r="H11018" s="13"/>
    </row>
    <row r="11019">
      <c r="A11019" s="6"/>
      <c r="B11019" s="6"/>
      <c r="H11019" s="13"/>
    </row>
    <row r="11020">
      <c r="A11020" s="6"/>
      <c r="B11020" s="6"/>
      <c r="H11020" s="13"/>
    </row>
    <row r="11021">
      <c r="A11021" s="6"/>
      <c r="B11021" s="6"/>
      <c r="H11021" s="13"/>
    </row>
    <row r="11022">
      <c r="A11022" s="6"/>
      <c r="B11022" s="6"/>
      <c r="H11022" s="13"/>
    </row>
    <row r="11023">
      <c r="A11023" s="6"/>
      <c r="B11023" s="6"/>
      <c r="H11023" s="13"/>
    </row>
    <row r="11024">
      <c r="A11024" s="6"/>
      <c r="B11024" s="6"/>
      <c r="H11024" s="13"/>
    </row>
    <row r="11025">
      <c r="A11025" s="6"/>
      <c r="B11025" s="6"/>
      <c r="H11025" s="13"/>
    </row>
    <row r="11026">
      <c r="A11026" s="6"/>
      <c r="B11026" s="6"/>
      <c r="H11026" s="13"/>
    </row>
    <row r="11027">
      <c r="A11027" s="6"/>
      <c r="B11027" s="6"/>
      <c r="H11027" s="13"/>
    </row>
    <row r="11028">
      <c r="A11028" s="6"/>
      <c r="B11028" s="6"/>
      <c r="H11028" s="13"/>
    </row>
    <row r="11029">
      <c r="A11029" s="6"/>
      <c r="B11029" s="6"/>
      <c r="H11029" s="13"/>
    </row>
    <row r="11030">
      <c r="A11030" s="6"/>
      <c r="B11030" s="6"/>
      <c r="H11030" s="13"/>
    </row>
    <row r="11031">
      <c r="A11031" s="6"/>
      <c r="B11031" s="6"/>
      <c r="H11031" s="13"/>
    </row>
    <row r="11032">
      <c r="A11032" s="6"/>
      <c r="B11032" s="6"/>
      <c r="H11032" s="13"/>
    </row>
    <row r="11033">
      <c r="A11033" s="6"/>
      <c r="B11033" s="6"/>
      <c r="H11033" s="13"/>
    </row>
    <row r="11034">
      <c r="A11034" s="6"/>
      <c r="B11034" s="6"/>
      <c r="H11034" s="13"/>
    </row>
    <row r="11035">
      <c r="A11035" s="6"/>
      <c r="B11035" s="6"/>
      <c r="H11035" s="13"/>
    </row>
    <row r="11036">
      <c r="A11036" s="6"/>
      <c r="B11036" s="6"/>
      <c r="H11036" s="13"/>
    </row>
    <row r="11037">
      <c r="A11037" s="6"/>
      <c r="B11037" s="6"/>
      <c r="H11037" s="13"/>
    </row>
    <row r="11038">
      <c r="A11038" s="6"/>
      <c r="B11038" s="6"/>
      <c r="H11038" s="13"/>
    </row>
    <row r="11039">
      <c r="A11039" s="6"/>
      <c r="B11039" s="6"/>
      <c r="H11039" s="13"/>
    </row>
    <row r="11040">
      <c r="A11040" s="6"/>
      <c r="B11040" s="6"/>
      <c r="H11040" s="13"/>
    </row>
    <row r="11041">
      <c r="A11041" s="6"/>
      <c r="B11041" s="6"/>
      <c r="H11041" s="13"/>
    </row>
    <row r="11042">
      <c r="A11042" s="6"/>
      <c r="B11042" s="6"/>
      <c r="H11042" s="13"/>
    </row>
    <row r="11043">
      <c r="A11043" s="6"/>
      <c r="B11043" s="6"/>
      <c r="H11043" s="13"/>
    </row>
    <row r="11044">
      <c r="A11044" s="6"/>
      <c r="B11044" s="6"/>
      <c r="H11044" s="13"/>
    </row>
    <row r="11045">
      <c r="A11045" s="6"/>
      <c r="B11045" s="6"/>
      <c r="H11045" s="13"/>
    </row>
    <row r="11046">
      <c r="A11046" s="6"/>
      <c r="B11046" s="6"/>
      <c r="H11046" s="13"/>
    </row>
    <row r="11047">
      <c r="A11047" s="6"/>
      <c r="B11047" s="6"/>
      <c r="H11047" s="13"/>
    </row>
    <row r="11048">
      <c r="A11048" s="6"/>
      <c r="B11048" s="6"/>
      <c r="H11048" s="13"/>
    </row>
    <row r="11049">
      <c r="A11049" s="6"/>
      <c r="B11049" s="6"/>
      <c r="H11049" s="13"/>
    </row>
    <row r="11050">
      <c r="A11050" s="6"/>
      <c r="B11050" s="6"/>
      <c r="H11050" s="13"/>
    </row>
    <row r="11051">
      <c r="A11051" s="6"/>
      <c r="B11051" s="6"/>
      <c r="H11051" s="13"/>
    </row>
    <row r="11052">
      <c r="A11052" s="6"/>
      <c r="B11052" s="6"/>
      <c r="H11052" s="13"/>
    </row>
    <row r="11053">
      <c r="A11053" s="6"/>
      <c r="B11053" s="6"/>
      <c r="H11053" s="13"/>
    </row>
    <row r="11054">
      <c r="A11054" s="6"/>
      <c r="B11054" s="6"/>
      <c r="H11054" s="13"/>
    </row>
    <row r="11055">
      <c r="A11055" s="6"/>
      <c r="B11055" s="6"/>
      <c r="H11055" s="13"/>
    </row>
    <row r="11056">
      <c r="A11056" s="6"/>
      <c r="B11056" s="6"/>
      <c r="H11056" s="13"/>
    </row>
    <row r="11057">
      <c r="A11057" s="6"/>
      <c r="B11057" s="6"/>
      <c r="H11057" s="13"/>
    </row>
    <row r="11058">
      <c r="A11058" s="6"/>
      <c r="B11058" s="6"/>
      <c r="H11058" s="13"/>
    </row>
    <row r="11059">
      <c r="A11059" s="6"/>
      <c r="B11059" s="6"/>
      <c r="H11059" s="13"/>
    </row>
    <row r="11060">
      <c r="A11060" s="6"/>
      <c r="B11060" s="6"/>
      <c r="H11060" s="13"/>
    </row>
    <row r="11061">
      <c r="A11061" s="6"/>
      <c r="B11061" s="6"/>
      <c r="H11061" s="13"/>
    </row>
    <row r="11062">
      <c r="A11062" s="6"/>
      <c r="B11062" s="6"/>
      <c r="H11062" s="13"/>
    </row>
    <row r="11063">
      <c r="A11063" s="6"/>
      <c r="B11063" s="6"/>
      <c r="H11063" s="13"/>
    </row>
    <row r="11064">
      <c r="A11064" s="6"/>
      <c r="B11064" s="6"/>
      <c r="H11064" s="13"/>
    </row>
    <row r="11065">
      <c r="A11065" s="6"/>
      <c r="B11065" s="6"/>
      <c r="H11065" s="13"/>
    </row>
    <row r="11066">
      <c r="A11066" s="6"/>
      <c r="B11066" s="6"/>
      <c r="H11066" s="13"/>
    </row>
    <row r="11067">
      <c r="A11067" s="6"/>
      <c r="B11067" s="6"/>
      <c r="H11067" s="13"/>
    </row>
    <row r="11068">
      <c r="A11068" s="6"/>
      <c r="B11068" s="6"/>
      <c r="H11068" s="13"/>
    </row>
    <row r="11069">
      <c r="A11069" s="6"/>
      <c r="B11069" s="6"/>
      <c r="H11069" s="13"/>
    </row>
    <row r="11070">
      <c r="A11070" s="6"/>
      <c r="B11070" s="6"/>
      <c r="H11070" s="13"/>
    </row>
    <row r="11071">
      <c r="A11071" s="6"/>
      <c r="B11071" s="6"/>
      <c r="H11071" s="13"/>
    </row>
    <row r="11072">
      <c r="A11072" s="6"/>
      <c r="B11072" s="6"/>
      <c r="H11072" s="13"/>
    </row>
    <row r="11073">
      <c r="A11073" s="6"/>
      <c r="B11073" s="6"/>
      <c r="H11073" s="13"/>
    </row>
    <row r="11074">
      <c r="A11074" s="6"/>
      <c r="B11074" s="6"/>
      <c r="H11074" s="13"/>
    </row>
    <row r="11075">
      <c r="A11075" s="6"/>
      <c r="B11075" s="6"/>
      <c r="H11075" s="13"/>
    </row>
    <row r="11076">
      <c r="A11076" s="6"/>
      <c r="B11076" s="6"/>
      <c r="H11076" s="13"/>
    </row>
    <row r="11077">
      <c r="A11077" s="6"/>
      <c r="B11077" s="6"/>
      <c r="H11077" s="13"/>
    </row>
    <row r="11078">
      <c r="A11078" s="6"/>
      <c r="B11078" s="6"/>
      <c r="H11078" s="13"/>
    </row>
    <row r="11079">
      <c r="A11079" s="6"/>
      <c r="B11079" s="6"/>
      <c r="H11079" s="13"/>
    </row>
    <row r="11080">
      <c r="A11080" s="6"/>
      <c r="B11080" s="6"/>
      <c r="H11080" s="13"/>
    </row>
    <row r="11081">
      <c r="A11081" s="6"/>
      <c r="B11081" s="6"/>
      <c r="H11081" s="13"/>
    </row>
    <row r="11082">
      <c r="A11082" s="6"/>
      <c r="B11082" s="6"/>
      <c r="H11082" s="13"/>
    </row>
    <row r="11083">
      <c r="A11083" s="6"/>
      <c r="B11083" s="6"/>
      <c r="H11083" s="13"/>
    </row>
    <row r="11084">
      <c r="A11084" s="6"/>
      <c r="B11084" s="6"/>
      <c r="H11084" s="13"/>
    </row>
    <row r="11085">
      <c r="A11085" s="6"/>
      <c r="B11085" s="6"/>
      <c r="H11085" s="13"/>
    </row>
    <row r="11086">
      <c r="A11086" s="6"/>
      <c r="B11086" s="6"/>
      <c r="H11086" s="13"/>
    </row>
    <row r="11087">
      <c r="A11087" s="6"/>
      <c r="B11087" s="6"/>
      <c r="H11087" s="13"/>
    </row>
    <row r="11088">
      <c r="A11088" s="6"/>
      <c r="B11088" s="6"/>
      <c r="H11088" s="13"/>
    </row>
    <row r="11089">
      <c r="A11089" s="6"/>
      <c r="B11089" s="6"/>
      <c r="H11089" s="13"/>
    </row>
    <row r="11090">
      <c r="A11090" s="6"/>
      <c r="B11090" s="6"/>
      <c r="H11090" s="13"/>
    </row>
    <row r="11091">
      <c r="A11091" s="6"/>
      <c r="B11091" s="6"/>
      <c r="H11091" s="13"/>
    </row>
    <row r="11092">
      <c r="A11092" s="6"/>
      <c r="B11092" s="6"/>
      <c r="H11092" s="13"/>
    </row>
    <row r="11093">
      <c r="A11093" s="6"/>
      <c r="B11093" s="6"/>
      <c r="H11093" s="13"/>
    </row>
    <row r="11094">
      <c r="A11094" s="6"/>
      <c r="B11094" s="6"/>
      <c r="H11094" s="13"/>
    </row>
    <row r="11095">
      <c r="A11095" s="6"/>
      <c r="B11095" s="6"/>
      <c r="H11095" s="13"/>
    </row>
    <row r="11096">
      <c r="A11096" s="6"/>
      <c r="B11096" s="6"/>
      <c r="H11096" s="13"/>
    </row>
    <row r="11097">
      <c r="A11097" s="6"/>
      <c r="B11097" s="6"/>
      <c r="H11097" s="13"/>
    </row>
    <row r="11098">
      <c r="A11098" s="6"/>
      <c r="B11098" s="6"/>
      <c r="H11098" s="13"/>
    </row>
    <row r="11099">
      <c r="A11099" s="6"/>
      <c r="B11099" s="6"/>
      <c r="H11099" s="13"/>
    </row>
    <row r="11100">
      <c r="A11100" s="6"/>
      <c r="B11100" s="6"/>
      <c r="H11100" s="13"/>
    </row>
    <row r="11101">
      <c r="A11101" s="6"/>
      <c r="B11101" s="6"/>
      <c r="H11101" s="13"/>
    </row>
    <row r="11102">
      <c r="A11102" s="6"/>
      <c r="B11102" s="6"/>
      <c r="H11102" s="13"/>
    </row>
    <row r="11103">
      <c r="A11103" s="6"/>
      <c r="B11103" s="6"/>
      <c r="H11103" s="13"/>
    </row>
    <row r="11104">
      <c r="A11104" s="6"/>
      <c r="B11104" s="6"/>
      <c r="H11104" s="13"/>
    </row>
    <row r="11105">
      <c r="A11105" s="6"/>
      <c r="B11105" s="6"/>
      <c r="H11105" s="13"/>
    </row>
    <row r="11106">
      <c r="A11106" s="6"/>
      <c r="B11106" s="6"/>
      <c r="H11106" s="13"/>
    </row>
    <row r="11107">
      <c r="A11107" s="6"/>
      <c r="B11107" s="6"/>
      <c r="H11107" s="13"/>
    </row>
    <row r="11108">
      <c r="A11108" s="6"/>
      <c r="B11108" s="6"/>
      <c r="H11108" s="13"/>
    </row>
    <row r="11109">
      <c r="A11109" s="6"/>
      <c r="B11109" s="6"/>
      <c r="H11109" s="13"/>
    </row>
    <row r="11110">
      <c r="A11110" s="6"/>
      <c r="B11110" s="6"/>
      <c r="H11110" s="13"/>
    </row>
    <row r="11111">
      <c r="A11111" s="6"/>
      <c r="B11111" s="6"/>
      <c r="H11111" s="13"/>
    </row>
    <row r="11112">
      <c r="A11112" s="6"/>
      <c r="B11112" s="6"/>
      <c r="H11112" s="13"/>
    </row>
    <row r="11113">
      <c r="A11113" s="6"/>
      <c r="B11113" s="6"/>
      <c r="H11113" s="13"/>
    </row>
    <row r="11114">
      <c r="A11114" s="6"/>
      <c r="B11114" s="6"/>
      <c r="H11114" s="13"/>
    </row>
    <row r="11115">
      <c r="A11115" s="6"/>
      <c r="B11115" s="6"/>
      <c r="H11115" s="13"/>
    </row>
    <row r="11116">
      <c r="A11116" s="6"/>
      <c r="B11116" s="6"/>
      <c r="H11116" s="13"/>
    </row>
    <row r="11117">
      <c r="A11117" s="6"/>
      <c r="B11117" s="6"/>
      <c r="H11117" s="13"/>
    </row>
    <row r="11118">
      <c r="A11118" s="6"/>
      <c r="B11118" s="6"/>
      <c r="H11118" s="13"/>
    </row>
    <row r="11119">
      <c r="A11119" s="6"/>
      <c r="B11119" s="6"/>
      <c r="H11119" s="13"/>
    </row>
    <row r="11120">
      <c r="A11120" s="6"/>
      <c r="B11120" s="6"/>
      <c r="H11120" s="13"/>
    </row>
    <row r="11121">
      <c r="A11121" s="6"/>
      <c r="B11121" s="6"/>
      <c r="H11121" s="13"/>
    </row>
    <row r="11122">
      <c r="A11122" s="6"/>
      <c r="B11122" s="6"/>
      <c r="H11122" s="13"/>
    </row>
    <row r="11123">
      <c r="A11123" s="6"/>
      <c r="B11123" s="6"/>
      <c r="H11123" s="13"/>
    </row>
    <row r="11124">
      <c r="A11124" s="6"/>
      <c r="B11124" s="6"/>
      <c r="H11124" s="13"/>
    </row>
    <row r="11125">
      <c r="A11125" s="6"/>
      <c r="B11125" s="6"/>
      <c r="H11125" s="13"/>
    </row>
    <row r="11126">
      <c r="A11126" s="6"/>
      <c r="B11126" s="6"/>
      <c r="H11126" s="13"/>
    </row>
    <row r="11127">
      <c r="A11127" s="6"/>
      <c r="B11127" s="6"/>
      <c r="H11127" s="13"/>
    </row>
    <row r="11128">
      <c r="A11128" s="6"/>
      <c r="B11128" s="6"/>
      <c r="H11128" s="13"/>
    </row>
    <row r="11129">
      <c r="A11129" s="6"/>
      <c r="B11129" s="6"/>
      <c r="H11129" s="13"/>
    </row>
    <row r="11130">
      <c r="A11130" s="6"/>
      <c r="B11130" s="6"/>
      <c r="H11130" s="13"/>
    </row>
    <row r="11131">
      <c r="A11131" s="6"/>
      <c r="B11131" s="6"/>
      <c r="H11131" s="13"/>
    </row>
    <row r="11132">
      <c r="A11132" s="6"/>
      <c r="B11132" s="6"/>
      <c r="H11132" s="13"/>
    </row>
    <row r="11133">
      <c r="A11133" s="6"/>
      <c r="B11133" s="6"/>
      <c r="H11133" s="13"/>
    </row>
    <row r="11134">
      <c r="A11134" s="6"/>
      <c r="B11134" s="6"/>
      <c r="H11134" s="13"/>
    </row>
    <row r="11135">
      <c r="A11135" s="6"/>
      <c r="B11135" s="6"/>
      <c r="H11135" s="13"/>
    </row>
    <row r="11136">
      <c r="A11136" s="6"/>
      <c r="B11136" s="6"/>
      <c r="H11136" s="13"/>
    </row>
    <row r="11137">
      <c r="A11137" s="6"/>
      <c r="B11137" s="6"/>
      <c r="H11137" s="13"/>
    </row>
    <row r="11138">
      <c r="A11138" s="6"/>
      <c r="B11138" s="6"/>
      <c r="H11138" s="13"/>
    </row>
    <row r="11139">
      <c r="A11139" s="6"/>
      <c r="B11139" s="6"/>
      <c r="H11139" s="13"/>
    </row>
    <row r="11140">
      <c r="A11140" s="6"/>
      <c r="B11140" s="6"/>
      <c r="H11140" s="13"/>
    </row>
    <row r="11141">
      <c r="A11141" s="6"/>
      <c r="B11141" s="6"/>
      <c r="H11141" s="13"/>
    </row>
    <row r="11142">
      <c r="A11142" s="6"/>
      <c r="B11142" s="6"/>
      <c r="H11142" s="13"/>
    </row>
    <row r="11143">
      <c r="A11143" s="6"/>
      <c r="B11143" s="6"/>
      <c r="H11143" s="13"/>
    </row>
    <row r="11144">
      <c r="A11144" s="6"/>
      <c r="B11144" s="6"/>
      <c r="H11144" s="13"/>
    </row>
    <row r="11145">
      <c r="A11145" s="6"/>
      <c r="B11145" s="6"/>
      <c r="H11145" s="13"/>
    </row>
    <row r="11146">
      <c r="A11146" s="6"/>
      <c r="B11146" s="6"/>
      <c r="H11146" s="13"/>
    </row>
    <row r="11147">
      <c r="A11147" s="6"/>
      <c r="B11147" s="6"/>
      <c r="H11147" s="13"/>
    </row>
    <row r="11148">
      <c r="A11148" s="6"/>
      <c r="B11148" s="6"/>
      <c r="H11148" s="13"/>
    </row>
    <row r="11149">
      <c r="A11149" s="6"/>
      <c r="B11149" s="6"/>
      <c r="H11149" s="13"/>
    </row>
    <row r="11150">
      <c r="A11150" s="6"/>
      <c r="B11150" s="6"/>
      <c r="H11150" s="13"/>
    </row>
    <row r="11151">
      <c r="A11151" s="6"/>
      <c r="B11151" s="6"/>
      <c r="H11151" s="13"/>
    </row>
    <row r="11152">
      <c r="A11152" s="6"/>
      <c r="B11152" s="6"/>
      <c r="H11152" s="13"/>
    </row>
    <row r="11153">
      <c r="A11153" s="6"/>
      <c r="B11153" s="6"/>
      <c r="H11153" s="13"/>
    </row>
    <row r="11154">
      <c r="A11154" s="6"/>
      <c r="B11154" s="6"/>
      <c r="H11154" s="13"/>
    </row>
    <row r="11155">
      <c r="A11155" s="6"/>
      <c r="B11155" s="6"/>
      <c r="H11155" s="13"/>
    </row>
    <row r="11156">
      <c r="A11156" s="6"/>
      <c r="B11156" s="6"/>
      <c r="H11156" s="13"/>
    </row>
    <row r="11157">
      <c r="A11157" s="6"/>
      <c r="B11157" s="6"/>
      <c r="H11157" s="13"/>
    </row>
    <row r="11158">
      <c r="A11158" s="6"/>
      <c r="B11158" s="6"/>
      <c r="H11158" s="13"/>
    </row>
    <row r="11159">
      <c r="A11159" s="6"/>
      <c r="B11159" s="6"/>
      <c r="H11159" s="13"/>
    </row>
    <row r="11160">
      <c r="A11160" s="6"/>
      <c r="B11160" s="6"/>
      <c r="H11160" s="13"/>
    </row>
    <row r="11161">
      <c r="A11161" s="6"/>
      <c r="B11161" s="6"/>
      <c r="H11161" s="13"/>
    </row>
    <row r="11162">
      <c r="A11162" s="6"/>
      <c r="B11162" s="6"/>
      <c r="H11162" s="13"/>
    </row>
    <row r="11163">
      <c r="A11163" s="6"/>
      <c r="B11163" s="6"/>
      <c r="H11163" s="13"/>
    </row>
    <row r="11164">
      <c r="A11164" s="6"/>
      <c r="B11164" s="6"/>
      <c r="H11164" s="13"/>
    </row>
    <row r="11165">
      <c r="A11165" s="6"/>
      <c r="B11165" s="6"/>
      <c r="H11165" s="13"/>
    </row>
    <row r="11166">
      <c r="A11166" s="6"/>
      <c r="B11166" s="6"/>
      <c r="H11166" s="13"/>
    </row>
    <row r="11167">
      <c r="A11167" s="6"/>
      <c r="B11167" s="6"/>
      <c r="H11167" s="13"/>
    </row>
    <row r="11168">
      <c r="A11168" s="6"/>
      <c r="B11168" s="6"/>
      <c r="H11168" s="13"/>
    </row>
    <row r="11169">
      <c r="A11169" s="6"/>
      <c r="B11169" s="6"/>
      <c r="H11169" s="13"/>
    </row>
    <row r="11170">
      <c r="A11170" s="6"/>
      <c r="B11170" s="6"/>
      <c r="H11170" s="13"/>
    </row>
    <row r="11171">
      <c r="A11171" s="6"/>
      <c r="B11171" s="6"/>
      <c r="H11171" s="13"/>
    </row>
    <row r="11172">
      <c r="A11172" s="6"/>
      <c r="B11172" s="6"/>
      <c r="H11172" s="13"/>
    </row>
    <row r="11173">
      <c r="A11173" s="6"/>
      <c r="B11173" s="6"/>
      <c r="H11173" s="13"/>
    </row>
    <row r="11174">
      <c r="A11174" s="6"/>
      <c r="B11174" s="6"/>
      <c r="H11174" s="13"/>
    </row>
    <row r="11175">
      <c r="A11175" s="6"/>
      <c r="B11175" s="6"/>
      <c r="H11175" s="13"/>
    </row>
    <row r="11176">
      <c r="A11176" s="6"/>
      <c r="B11176" s="6"/>
      <c r="H11176" s="13"/>
    </row>
    <row r="11177">
      <c r="A11177" s="6"/>
      <c r="B11177" s="6"/>
      <c r="H11177" s="13"/>
    </row>
    <row r="11178">
      <c r="A11178" s="6"/>
      <c r="B11178" s="6"/>
      <c r="H11178" s="13"/>
    </row>
    <row r="11179">
      <c r="A11179" s="6"/>
      <c r="B11179" s="6"/>
      <c r="H11179" s="13"/>
    </row>
    <row r="11180">
      <c r="A11180" s="6"/>
      <c r="B11180" s="6"/>
      <c r="H11180" s="13"/>
    </row>
    <row r="11181">
      <c r="A11181" s="6"/>
      <c r="B11181" s="6"/>
      <c r="H11181" s="13"/>
    </row>
    <row r="11182">
      <c r="A11182" s="6"/>
      <c r="B11182" s="6"/>
      <c r="H11182" s="13"/>
    </row>
    <row r="11183">
      <c r="A11183" s="6"/>
      <c r="B11183" s="6"/>
      <c r="H11183" s="13"/>
    </row>
    <row r="11184">
      <c r="A11184" s="6"/>
      <c r="B11184" s="6"/>
      <c r="H11184" s="13"/>
    </row>
    <row r="11185">
      <c r="A11185" s="6"/>
      <c r="B11185" s="6"/>
      <c r="H11185" s="13"/>
    </row>
    <row r="11186">
      <c r="A11186" s="6"/>
      <c r="B11186" s="6"/>
      <c r="H11186" s="13"/>
    </row>
    <row r="11187">
      <c r="A11187" s="6"/>
      <c r="B11187" s="6"/>
      <c r="H11187" s="13"/>
    </row>
    <row r="11188">
      <c r="A11188" s="6"/>
      <c r="B11188" s="6"/>
      <c r="H11188" s="13"/>
    </row>
    <row r="11189">
      <c r="A11189" s="6"/>
      <c r="B11189" s="6"/>
      <c r="H11189" s="13"/>
    </row>
    <row r="11190">
      <c r="A11190" s="6"/>
      <c r="B11190" s="6"/>
      <c r="H11190" s="13"/>
    </row>
    <row r="11191">
      <c r="A11191" s="6"/>
      <c r="B11191" s="6"/>
      <c r="H11191" s="13"/>
    </row>
    <row r="11192">
      <c r="A11192" s="6"/>
      <c r="B11192" s="6"/>
      <c r="H11192" s="13"/>
    </row>
    <row r="11193">
      <c r="A11193" s="6"/>
      <c r="B11193" s="6"/>
      <c r="H11193" s="13"/>
    </row>
    <row r="11194">
      <c r="A11194" s="6"/>
      <c r="B11194" s="6"/>
      <c r="H11194" s="13"/>
    </row>
    <row r="11195">
      <c r="A11195" s="6"/>
      <c r="B11195" s="6"/>
      <c r="H11195" s="13"/>
    </row>
    <row r="11196">
      <c r="A11196" s="6"/>
      <c r="B11196" s="6"/>
      <c r="H11196" s="13"/>
    </row>
    <row r="11197">
      <c r="A11197" s="6"/>
      <c r="B11197" s="6"/>
      <c r="H11197" s="13"/>
    </row>
    <row r="11198">
      <c r="A11198" s="6"/>
      <c r="B11198" s="6"/>
      <c r="H11198" s="13"/>
    </row>
    <row r="11199">
      <c r="A11199" s="6"/>
      <c r="B11199" s="6"/>
      <c r="H11199" s="13"/>
    </row>
    <row r="11200">
      <c r="A11200" s="6"/>
      <c r="B11200" s="6"/>
      <c r="H11200" s="13"/>
    </row>
    <row r="11201">
      <c r="A11201" s="6"/>
      <c r="B11201" s="6"/>
      <c r="H11201" s="13"/>
    </row>
    <row r="11202">
      <c r="A11202" s="6"/>
      <c r="B11202" s="6"/>
      <c r="H11202" s="13"/>
    </row>
    <row r="11203">
      <c r="A11203" s="6"/>
      <c r="B11203" s="6"/>
      <c r="H11203" s="13"/>
    </row>
    <row r="11204">
      <c r="A11204" s="6"/>
      <c r="B11204" s="6"/>
      <c r="H11204" s="13"/>
    </row>
    <row r="11205">
      <c r="A11205" s="6"/>
      <c r="B11205" s="6"/>
      <c r="H11205" s="13"/>
    </row>
    <row r="11206">
      <c r="A11206" s="6"/>
      <c r="B11206" s="6"/>
      <c r="H11206" s="13"/>
    </row>
    <row r="11207">
      <c r="A11207" s="6"/>
      <c r="B11207" s="6"/>
      <c r="H11207" s="13"/>
    </row>
    <row r="11208">
      <c r="A11208" s="6"/>
      <c r="B11208" s="6"/>
      <c r="H11208" s="13"/>
    </row>
    <row r="11209">
      <c r="A11209" s="6"/>
      <c r="B11209" s="6"/>
      <c r="H11209" s="13"/>
    </row>
    <row r="11210">
      <c r="A11210" s="6"/>
      <c r="B11210" s="6"/>
      <c r="H11210" s="13"/>
    </row>
    <row r="11211">
      <c r="A11211" s="6"/>
      <c r="B11211" s="6"/>
      <c r="H11211" s="13"/>
    </row>
    <row r="11212">
      <c r="A11212" s="6"/>
      <c r="B11212" s="6"/>
      <c r="H11212" s="13"/>
    </row>
    <row r="11213">
      <c r="A11213" s="6"/>
      <c r="B11213" s="6"/>
      <c r="H11213" s="13"/>
    </row>
    <row r="11214">
      <c r="A11214" s="6"/>
      <c r="B11214" s="6"/>
      <c r="H11214" s="13"/>
    </row>
    <row r="11215">
      <c r="A11215" s="6"/>
      <c r="B11215" s="6"/>
      <c r="H11215" s="13"/>
    </row>
    <row r="11216">
      <c r="A11216" s="6"/>
      <c r="B11216" s="6"/>
      <c r="H11216" s="13"/>
    </row>
    <row r="11217">
      <c r="A11217" s="6"/>
      <c r="B11217" s="6"/>
      <c r="H11217" s="13"/>
    </row>
    <row r="11218">
      <c r="A11218" s="6"/>
      <c r="B11218" s="6"/>
      <c r="H11218" s="13"/>
    </row>
    <row r="11219">
      <c r="A11219" s="6"/>
      <c r="B11219" s="6"/>
      <c r="H11219" s="13"/>
    </row>
    <row r="11220">
      <c r="A11220" s="6"/>
      <c r="B11220" s="6"/>
      <c r="H11220" s="13"/>
    </row>
    <row r="11221">
      <c r="A11221" s="6"/>
      <c r="B11221" s="6"/>
      <c r="H11221" s="13"/>
    </row>
    <row r="11222">
      <c r="A11222" s="6"/>
      <c r="B11222" s="6"/>
      <c r="H11222" s="13"/>
    </row>
    <row r="11223">
      <c r="A11223" s="6"/>
      <c r="B11223" s="6"/>
      <c r="H11223" s="13"/>
    </row>
    <row r="11224">
      <c r="A11224" s="6"/>
      <c r="B11224" s="6"/>
      <c r="H11224" s="13"/>
    </row>
    <row r="11225">
      <c r="A11225" s="6"/>
      <c r="B11225" s="6"/>
      <c r="H11225" s="13"/>
    </row>
    <row r="11226">
      <c r="A11226" s="6"/>
      <c r="B11226" s="6"/>
      <c r="H11226" s="13"/>
    </row>
    <row r="11227">
      <c r="A11227" s="6"/>
      <c r="B11227" s="6"/>
      <c r="H11227" s="13"/>
    </row>
    <row r="11228">
      <c r="A11228" s="6"/>
      <c r="B11228" s="6"/>
      <c r="H11228" s="13"/>
    </row>
    <row r="11229">
      <c r="A11229" s="6"/>
      <c r="B11229" s="6"/>
      <c r="H11229" s="13"/>
    </row>
    <row r="11230">
      <c r="A11230" s="6"/>
      <c r="B11230" s="6"/>
      <c r="H11230" s="13"/>
    </row>
    <row r="11231">
      <c r="A11231" s="6"/>
      <c r="B11231" s="6"/>
      <c r="H11231" s="13"/>
    </row>
    <row r="11232">
      <c r="A11232" s="6"/>
      <c r="B11232" s="6"/>
      <c r="H11232" s="13"/>
    </row>
    <row r="11233">
      <c r="A11233" s="6"/>
      <c r="B11233" s="6"/>
      <c r="H11233" s="13"/>
    </row>
    <row r="11234">
      <c r="A11234" s="6"/>
      <c r="B11234" s="6"/>
      <c r="H11234" s="13"/>
    </row>
    <row r="11235">
      <c r="A11235" s="6"/>
      <c r="B11235" s="6"/>
      <c r="H11235" s="13"/>
    </row>
    <row r="11236">
      <c r="A11236" s="6"/>
      <c r="B11236" s="6"/>
      <c r="H11236" s="13"/>
    </row>
    <row r="11237">
      <c r="A11237" s="6"/>
      <c r="B11237" s="6"/>
      <c r="H11237" s="13"/>
    </row>
    <row r="11238">
      <c r="A11238" s="6"/>
      <c r="B11238" s="6"/>
      <c r="H11238" s="13"/>
    </row>
    <row r="11239">
      <c r="A11239" s="6"/>
      <c r="B11239" s="6"/>
      <c r="H11239" s="13"/>
    </row>
    <row r="11240">
      <c r="A11240" s="6"/>
      <c r="B11240" s="6"/>
      <c r="H11240" s="13"/>
    </row>
    <row r="11241">
      <c r="A11241" s="6"/>
      <c r="B11241" s="6"/>
      <c r="H11241" s="13"/>
    </row>
    <row r="11242">
      <c r="A11242" s="6"/>
      <c r="B11242" s="6"/>
      <c r="H11242" s="13"/>
    </row>
    <row r="11243">
      <c r="A11243" s="6"/>
      <c r="B11243" s="6"/>
      <c r="H11243" s="13"/>
    </row>
    <row r="11244">
      <c r="A11244" s="6"/>
      <c r="B11244" s="6"/>
      <c r="H11244" s="13"/>
    </row>
    <row r="11245">
      <c r="A11245" s="6"/>
      <c r="B11245" s="6"/>
      <c r="H11245" s="13"/>
    </row>
    <row r="11246">
      <c r="A11246" s="6"/>
      <c r="B11246" s="6"/>
      <c r="H11246" s="13"/>
    </row>
    <row r="11247">
      <c r="A11247" s="6"/>
      <c r="B11247" s="6"/>
      <c r="H11247" s="13"/>
    </row>
    <row r="11248">
      <c r="A11248" s="6"/>
      <c r="B11248" s="6"/>
      <c r="H11248" s="13"/>
    </row>
    <row r="11249">
      <c r="A11249" s="6"/>
      <c r="B11249" s="6"/>
      <c r="H11249" s="13"/>
    </row>
    <row r="11250">
      <c r="A11250" s="6"/>
      <c r="B11250" s="6"/>
      <c r="H11250" s="13"/>
    </row>
    <row r="11251">
      <c r="A11251" s="6"/>
      <c r="B11251" s="6"/>
      <c r="H11251" s="13"/>
    </row>
    <row r="11252">
      <c r="A11252" s="6"/>
      <c r="B11252" s="6"/>
      <c r="H11252" s="13"/>
    </row>
    <row r="11253">
      <c r="A11253" s="6"/>
      <c r="B11253" s="6"/>
      <c r="H11253" s="13"/>
    </row>
    <row r="11254">
      <c r="A11254" s="6"/>
      <c r="B11254" s="6"/>
      <c r="H11254" s="13"/>
    </row>
    <row r="11255">
      <c r="A11255" s="6"/>
      <c r="B11255" s="6"/>
      <c r="H11255" s="13"/>
    </row>
    <row r="11256">
      <c r="A11256" s="6"/>
      <c r="B11256" s="6"/>
      <c r="H11256" s="13"/>
    </row>
    <row r="11257">
      <c r="A11257" s="6"/>
      <c r="B11257" s="6"/>
      <c r="H11257" s="13"/>
    </row>
    <row r="11258">
      <c r="A11258" s="6"/>
      <c r="B11258" s="6"/>
      <c r="H11258" s="13"/>
    </row>
    <row r="11259">
      <c r="A11259" s="6"/>
      <c r="B11259" s="6"/>
      <c r="H11259" s="13"/>
    </row>
    <row r="11260">
      <c r="A11260" s="6"/>
      <c r="B11260" s="6"/>
      <c r="H11260" s="13"/>
    </row>
    <row r="11261">
      <c r="A11261" s="6"/>
      <c r="B11261" s="6"/>
      <c r="H11261" s="13"/>
    </row>
    <row r="11262">
      <c r="A11262" s="6"/>
      <c r="B11262" s="6"/>
      <c r="H11262" s="13"/>
    </row>
    <row r="11263">
      <c r="A11263" s="6"/>
      <c r="B11263" s="6"/>
      <c r="H11263" s="13"/>
    </row>
    <row r="11264">
      <c r="A11264" s="6"/>
      <c r="B11264" s="6"/>
      <c r="H11264" s="13"/>
    </row>
    <row r="11265">
      <c r="A11265" s="6"/>
      <c r="B11265" s="6"/>
      <c r="H11265" s="13"/>
    </row>
    <row r="11266">
      <c r="A11266" s="6"/>
      <c r="B11266" s="6"/>
      <c r="H11266" s="13"/>
    </row>
    <row r="11267">
      <c r="A11267" s="6"/>
      <c r="B11267" s="6"/>
      <c r="H11267" s="13"/>
    </row>
    <row r="11268">
      <c r="A11268" s="6"/>
      <c r="B11268" s="6"/>
      <c r="H11268" s="13"/>
    </row>
    <row r="11269">
      <c r="A11269" s="6"/>
      <c r="B11269" s="6"/>
      <c r="H11269" s="13"/>
    </row>
    <row r="11270">
      <c r="A11270" s="6"/>
      <c r="B11270" s="6"/>
      <c r="H11270" s="13"/>
    </row>
    <row r="11271">
      <c r="A11271" s="6"/>
      <c r="B11271" s="6"/>
      <c r="H11271" s="13"/>
    </row>
    <row r="11272">
      <c r="A11272" s="6"/>
      <c r="B11272" s="6"/>
      <c r="H11272" s="13"/>
    </row>
    <row r="11273">
      <c r="A11273" s="6"/>
      <c r="B11273" s="6"/>
      <c r="H11273" s="13"/>
    </row>
    <row r="11274">
      <c r="A11274" s="6"/>
      <c r="B11274" s="6"/>
      <c r="H11274" s="13"/>
    </row>
    <row r="11275">
      <c r="A11275" s="6"/>
      <c r="B11275" s="6"/>
      <c r="H11275" s="13"/>
    </row>
    <row r="11276">
      <c r="A11276" s="6"/>
      <c r="B11276" s="6"/>
      <c r="H11276" s="13"/>
    </row>
    <row r="11277">
      <c r="A11277" s="6"/>
      <c r="B11277" s="6"/>
      <c r="H11277" s="13"/>
    </row>
    <row r="11278">
      <c r="A11278" s="6"/>
      <c r="B11278" s="6"/>
      <c r="H11278" s="13"/>
    </row>
    <row r="11279">
      <c r="A11279" s="6"/>
      <c r="B11279" s="6"/>
      <c r="H11279" s="13"/>
    </row>
    <row r="11280">
      <c r="A11280" s="6"/>
      <c r="B11280" s="6"/>
      <c r="H11280" s="13"/>
    </row>
    <row r="11281">
      <c r="A11281" s="6"/>
      <c r="B11281" s="6"/>
      <c r="H11281" s="13"/>
    </row>
    <row r="11282">
      <c r="A11282" s="6"/>
      <c r="B11282" s="6"/>
      <c r="H11282" s="13"/>
    </row>
    <row r="11283">
      <c r="A11283" s="6"/>
      <c r="B11283" s="6"/>
      <c r="H11283" s="13"/>
    </row>
    <row r="11284">
      <c r="A11284" s="6"/>
      <c r="B11284" s="6"/>
      <c r="H11284" s="13"/>
    </row>
    <row r="11285">
      <c r="A11285" s="6"/>
      <c r="B11285" s="6"/>
      <c r="H11285" s="13"/>
    </row>
    <row r="11286">
      <c r="A11286" s="6"/>
      <c r="B11286" s="6"/>
      <c r="H11286" s="13"/>
    </row>
    <row r="11287">
      <c r="A11287" s="6"/>
      <c r="B11287" s="6"/>
      <c r="H11287" s="13"/>
    </row>
    <row r="11288">
      <c r="A11288" s="6"/>
      <c r="B11288" s="6"/>
      <c r="H11288" s="13"/>
    </row>
    <row r="11289">
      <c r="A11289" s="6"/>
      <c r="B11289" s="6"/>
      <c r="H11289" s="13"/>
    </row>
    <row r="11290">
      <c r="A11290" s="6"/>
      <c r="B11290" s="6"/>
      <c r="H11290" s="13"/>
    </row>
    <row r="11291">
      <c r="A11291" s="6"/>
      <c r="B11291" s="6"/>
      <c r="H11291" s="13"/>
    </row>
    <row r="11292">
      <c r="A11292" s="6"/>
      <c r="B11292" s="6"/>
      <c r="H11292" s="13"/>
    </row>
    <row r="11293">
      <c r="A11293" s="6"/>
      <c r="B11293" s="6"/>
      <c r="H11293" s="13"/>
    </row>
    <row r="11294">
      <c r="A11294" s="6"/>
      <c r="B11294" s="6"/>
      <c r="H11294" s="13"/>
    </row>
    <row r="11295">
      <c r="A11295" s="6"/>
      <c r="B11295" s="6"/>
      <c r="H11295" s="13"/>
    </row>
    <row r="11296">
      <c r="A11296" s="6"/>
      <c r="B11296" s="6"/>
      <c r="H11296" s="13"/>
    </row>
    <row r="11297">
      <c r="A11297" s="6"/>
      <c r="B11297" s="6"/>
      <c r="H11297" s="13"/>
    </row>
    <row r="11298">
      <c r="A11298" s="6"/>
      <c r="B11298" s="6"/>
      <c r="H11298" s="13"/>
    </row>
    <row r="11299">
      <c r="A11299" s="6"/>
      <c r="B11299" s="6"/>
      <c r="H11299" s="13"/>
    </row>
    <row r="11300">
      <c r="A11300" s="6"/>
      <c r="B11300" s="6"/>
      <c r="H11300" s="13"/>
    </row>
    <row r="11301">
      <c r="A11301" s="6"/>
      <c r="B11301" s="6"/>
      <c r="H11301" s="13"/>
    </row>
    <row r="11302">
      <c r="A11302" s="6"/>
      <c r="B11302" s="6"/>
      <c r="H11302" s="13"/>
    </row>
    <row r="11303">
      <c r="A11303" s="6"/>
      <c r="B11303" s="6"/>
      <c r="H11303" s="13"/>
    </row>
    <row r="11304">
      <c r="A11304" s="6"/>
      <c r="B11304" s="6"/>
      <c r="H11304" s="13"/>
    </row>
    <row r="11305">
      <c r="A11305" s="6"/>
      <c r="B11305" s="6"/>
      <c r="H11305" s="13"/>
    </row>
    <row r="11306">
      <c r="A11306" s="6"/>
      <c r="B11306" s="6"/>
      <c r="H11306" s="13"/>
    </row>
    <row r="11307">
      <c r="A11307" s="6"/>
      <c r="B11307" s="6"/>
      <c r="H11307" s="13"/>
    </row>
    <row r="11308">
      <c r="A11308" s="6"/>
      <c r="B11308" s="6"/>
      <c r="H11308" s="13"/>
    </row>
    <row r="11309">
      <c r="A11309" s="6"/>
      <c r="B11309" s="6"/>
      <c r="H11309" s="13"/>
    </row>
    <row r="11310">
      <c r="A11310" s="6"/>
      <c r="B11310" s="6"/>
      <c r="H11310" s="13"/>
    </row>
    <row r="11311">
      <c r="A11311" s="6"/>
      <c r="B11311" s="6"/>
      <c r="H11311" s="13"/>
    </row>
    <row r="11312">
      <c r="A11312" s="6"/>
      <c r="B11312" s="6"/>
      <c r="H11312" s="13"/>
    </row>
    <row r="11313">
      <c r="A11313" s="6"/>
      <c r="B11313" s="6"/>
      <c r="H11313" s="13"/>
    </row>
    <row r="11314">
      <c r="A11314" s="6"/>
      <c r="B11314" s="6"/>
      <c r="H11314" s="13"/>
    </row>
    <row r="11315">
      <c r="A11315" s="6"/>
      <c r="B11315" s="6"/>
      <c r="H11315" s="13"/>
    </row>
    <row r="11316">
      <c r="A11316" s="6"/>
      <c r="B11316" s="6"/>
      <c r="H11316" s="13"/>
    </row>
    <row r="11317">
      <c r="A11317" s="6"/>
      <c r="B11317" s="6"/>
      <c r="H11317" s="13"/>
    </row>
    <row r="11318">
      <c r="A11318" s="6"/>
      <c r="B11318" s="6"/>
      <c r="H11318" s="13"/>
    </row>
    <row r="11319">
      <c r="A11319" s="6"/>
      <c r="B11319" s="6"/>
      <c r="H11319" s="13"/>
    </row>
    <row r="11320">
      <c r="A11320" s="6"/>
      <c r="B11320" s="6"/>
      <c r="H11320" s="13"/>
    </row>
    <row r="11321">
      <c r="A11321" s="6"/>
      <c r="B11321" s="6"/>
      <c r="H11321" s="13"/>
    </row>
    <row r="11322">
      <c r="A11322" s="6"/>
      <c r="B11322" s="6"/>
      <c r="H11322" s="13"/>
    </row>
    <row r="11323">
      <c r="A11323" s="6"/>
      <c r="B11323" s="6"/>
      <c r="H11323" s="13"/>
    </row>
    <row r="11324">
      <c r="A11324" s="6"/>
      <c r="B11324" s="6"/>
      <c r="H11324" s="13"/>
    </row>
    <row r="11325">
      <c r="A11325" s="6"/>
      <c r="B11325" s="6"/>
      <c r="H11325" s="13"/>
    </row>
    <row r="11326">
      <c r="A11326" s="6"/>
      <c r="B11326" s="6"/>
      <c r="H11326" s="13"/>
    </row>
    <row r="11327">
      <c r="A11327" s="6"/>
      <c r="B11327" s="6"/>
      <c r="H11327" s="13"/>
    </row>
    <row r="11328">
      <c r="A11328" s="6"/>
      <c r="B11328" s="6"/>
      <c r="H11328" s="13"/>
    </row>
    <row r="11329">
      <c r="A11329" s="6"/>
      <c r="B11329" s="6"/>
      <c r="H11329" s="13"/>
    </row>
    <row r="11330">
      <c r="A11330" s="6"/>
      <c r="B11330" s="6"/>
      <c r="H11330" s="13"/>
    </row>
    <row r="11331">
      <c r="A11331" s="6"/>
      <c r="B11331" s="6"/>
      <c r="H11331" s="13"/>
    </row>
    <row r="11332">
      <c r="A11332" s="6"/>
      <c r="B11332" s="6"/>
      <c r="H11332" s="13"/>
    </row>
    <row r="11333">
      <c r="A11333" s="6"/>
      <c r="B11333" s="6"/>
      <c r="H11333" s="13"/>
    </row>
    <row r="11334">
      <c r="A11334" s="6"/>
      <c r="B11334" s="6"/>
      <c r="H11334" s="13"/>
    </row>
    <row r="11335">
      <c r="A11335" s="6"/>
      <c r="B11335" s="6"/>
      <c r="H11335" s="13"/>
    </row>
    <row r="11336">
      <c r="A11336" s="6"/>
      <c r="B11336" s="6"/>
      <c r="H11336" s="13"/>
    </row>
    <row r="11337">
      <c r="A11337" s="6"/>
      <c r="B11337" s="6"/>
      <c r="H11337" s="13"/>
    </row>
    <row r="11338">
      <c r="A11338" s="6"/>
      <c r="B11338" s="6"/>
      <c r="H11338" s="13"/>
    </row>
    <row r="11339">
      <c r="A11339" s="6"/>
      <c r="B11339" s="6"/>
      <c r="H11339" s="13"/>
    </row>
    <row r="11340">
      <c r="A11340" s="6"/>
      <c r="B11340" s="6"/>
      <c r="H11340" s="13"/>
    </row>
    <row r="11341">
      <c r="A11341" s="6"/>
      <c r="B11341" s="6"/>
      <c r="H11341" s="13"/>
    </row>
    <row r="11342">
      <c r="A11342" s="6"/>
      <c r="B11342" s="6"/>
      <c r="H11342" s="13"/>
    </row>
    <row r="11343">
      <c r="A11343" s="6"/>
      <c r="B11343" s="6"/>
      <c r="H11343" s="13"/>
    </row>
    <row r="11344">
      <c r="A11344" s="6"/>
      <c r="B11344" s="6"/>
      <c r="H11344" s="13"/>
    </row>
    <row r="11345">
      <c r="A11345" s="6"/>
      <c r="B11345" s="6"/>
      <c r="H11345" s="13"/>
    </row>
    <row r="11346">
      <c r="A11346" s="6"/>
      <c r="B11346" s="6"/>
      <c r="H11346" s="13"/>
    </row>
    <row r="11347">
      <c r="A11347" s="6"/>
      <c r="B11347" s="6"/>
      <c r="H11347" s="13"/>
    </row>
    <row r="11348">
      <c r="A11348" s="6"/>
      <c r="B11348" s="6"/>
      <c r="H11348" s="13"/>
    </row>
    <row r="11349">
      <c r="A11349" s="6"/>
      <c r="B11349" s="6"/>
      <c r="H11349" s="13"/>
    </row>
    <row r="11350">
      <c r="A11350" s="6"/>
      <c r="B11350" s="6"/>
      <c r="H11350" s="13"/>
    </row>
    <row r="11351">
      <c r="A11351" s="6"/>
      <c r="B11351" s="6"/>
      <c r="H11351" s="13"/>
    </row>
    <row r="11352">
      <c r="A11352" s="6"/>
      <c r="B11352" s="6"/>
      <c r="H11352" s="13"/>
    </row>
    <row r="11353">
      <c r="A11353" s="6"/>
      <c r="B11353" s="6"/>
      <c r="H11353" s="13"/>
    </row>
    <row r="11354">
      <c r="A11354" s="6"/>
      <c r="B11354" s="6"/>
      <c r="H11354" s="13"/>
    </row>
    <row r="11355">
      <c r="A11355" s="6"/>
      <c r="B11355" s="6"/>
      <c r="H11355" s="13"/>
    </row>
    <row r="11356">
      <c r="A11356" s="6"/>
      <c r="B11356" s="6"/>
      <c r="H11356" s="13"/>
    </row>
    <row r="11357">
      <c r="A11357" s="6"/>
      <c r="B11357" s="6"/>
      <c r="H11357" s="13"/>
    </row>
    <row r="11358">
      <c r="A11358" s="6"/>
      <c r="B11358" s="6"/>
      <c r="H11358" s="13"/>
    </row>
    <row r="11359">
      <c r="A11359" s="6"/>
      <c r="B11359" s="6"/>
      <c r="H11359" s="13"/>
    </row>
    <row r="11360">
      <c r="A11360" s="6"/>
      <c r="B11360" s="6"/>
      <c r="H11360" s="13"/>
    </row>
    <row r="11361">
      <c r="A11361" s="6"/>
      <c r="B11361" s="6"/>
      <c r="H11361" s="13"/>
    </row>
    <row r="11362">
      <c r="A11362" s="6"/>
      <c r="B11362" s="6"/>
      <c r="H11362" s="13"/>
    </row>
    <row r="11363">
      <c r="A11363" s="6"/>
      <c r="B11363" s="6"/>
      <c r="H11363" s="13"/>
    </row>
    <row r="11364">
      <c r="A11364" s="6"/>
      <c r="B11364" s="6"/>
      <c r="H11364" s="13"/>
    </row>
    <row r="11365">
      <c r="A11365" s="6"/>
      <c r="B11365" s="6"/>
      <c r="H11365" s="13"/>
    </row>
    <row r="11366">
      <c r="A11366" s="6"/>
      <c r="B11366" s="6"/>
      <c r="H11366" s="13"/>
    </row>
    <row r="11367">
      <c r="A11367" s="6"/>
      <c r="B11367" s="6"/>
      <c r="H11367" s="13"/>
    </row>
    <row r="11368">
      <c r="A11368" s="6"/>
      <c r="B11368" s="6"/>
      <c r="H11368" s="13"/>
    </row>
    <row r="11369">
      <c r="A11369" s="6"/>
      <c r="B11369" s="6"/>
      <c r="H11369" s="13"/>
    </row>
    <row r="11370">
      <c r="A11370" s="6"/>
      <c r="B11370" s="6"/>
      <c r="H11370" s="13"/>
    </row>
    <row r="11371">
      <c r="A11371" s="6"/>
      <c r="B11371" s="6"/>
      <c r="H11371" s="13"/>
    </row>
    <row r="11372">
      <c r="A11372" s="6"/>
      <c r="B11372" s="6"/>
      <c r="H11372" s="13"/>
    </row>
    <row r="11373">
      <c r="A11373" s="6"/>
      <c r="B11373" s="6"/>
      <c r="H11373" s="13"/>
    </row>
    <row r="11374">
      <c r="A11374" s="6"/>
      <c r="B11374" s="6"/>
      <c r="H11374" s="13"/>
    </row>
    <row r="11375">
      <c r="A11375" s="6"/>
      <c r="B11375" s="6"/>
      <c r="H11375" s="13"/>
    </row>
    <row r="11376">
      <c r="A11376" s="6"/>
      <c r="B11376" s="6"/>
      <c r="H11376" s="13"/>
    </row>
    <row r="11377">
      <c r="A11377" s="6"/>
      <c r="B11377" s="6"/>
      <c r="H11377" s="13"/>
    </row>
    <row r="11378">
      <c r="A11378" s="6"/>
      <c r="B11378" s="6"/>
      <c r="H11378" s="13"/>
    </row>
    <row r="11379">
      <c r="A11379" s="6"/>
      <c r="B11379" s="6"/>
      <c r="H11379" s="13"/>
    </row>
    <row r="11380">
      <c r="A11380" s="6"/>
      <c r="B11380" s="6"/>
      <c r="H11380" s="13"/>
    </row>
    <row r="11381">
      <c r="A11381" s="6"/>
      <c r="B11381" s="6"/>
      <c r="H11381" s="13"/>
    </row>
    <row r="11382">
      <c r="A11382" s="6"/>
      <c r="B11382" s="6"/>
      <c r="H11382" s="13"/>
    </row>
    <row r="11383">
      <c r="A11383" s="6"/>
      <c r="B11383" s="6"/>
      <c r="H11383" s="13"/>
    </row>
    <row r="11384">
      <c r="A11384" s="6"/>
      <c r="B11384" s="6"/>
      <c r="H11384" s="13"/>
    </row>
    <row r="11385">
      <c r="A11385" s="6"/>
      <c r="B11385" s="6"/>
      <c r="H11385" s="13"/>
    </row>
    <row r="11386">
      <c r="A11386" s="6"/>
      <c r="B11386" s="6"/>
      <c r="H11386" s="13"/>
    </row>
    <row r="11387">
      <c r="A11387" s="6"/>
      <c r="B11387" s="6"/>
      <c r="H11387" s="13"/>
    </row>
    <row r="11388">
      <c r="A11388" s="6"/>
      <c r="B11388" s="6"/>
      <c r="H11388" s="13"/>
    </row>
    <row r="11389">
      <c r="A11389" s="6"/>
      <c r="B11389" s="6"/>
      <c r="H11389" s="13"/>
    </row>
    <row r="11390">
      <c r="A11390" s="6"/>
      <c r="B11390" s="6"/>
      <c r="H11390" s="13"/>
    </row>
    <row r="11391">
      <c r="A11391" s="6"/>
      <c r="B11391" s="6"/>
      <c r="H11391" s="13"/>
    </row>
    <row r="11392">
      <c r="A11392" s="6"/>
      <c r="B11392" s="6"/>
      <c r="H11392" s="13"/>
    </row>
    <row r="11393">
      <c r="A11393" s="6"/>
      <c r="B11393" s="6"/>
      <c r="H11393" s="13"/>
    </row>
    <row r="11394">
      <c r="A11394" s="6"/>
      <c r="B11394" s="6"/>
      <c r="H11394" s="13"/>
    </row>
    <row r="11395">
      <c r="A11395" s="6"/>
      <c r="B11395" s="6"/>
      <c r="H11395" s="13"/>
    </row>
    <row r="11396">
      <c r="A11396" s="6"/>
      <c r="B11396" s="6"/>
      <c r="H11396" s="13"/>
    </row>
    <row r="11397">
      <c r="A11397" s="6"/>
      <c r="B11397" s="6"/>
      <c r="H11397" s="13"/>
    </row>
    <row r="11398">
      <c r="A11398" s="6"/>
      <c r="B11398" s="6"/>
      <c r="H11398" s="13"/>
    </row>
    <row r="11399">
      <c r="A11399" s="6"/>
      <c r="B11399" s="6"/>
      <c r="H11399" s="13"/>
    </row>
    <row r="11400">
      <c r="A11400" s="6"/>
      <c r="B11400" s="6"/>
      <c r="H11400" s="13"/>
    </row>
    <row r="11401">
      <c r="A11401" s="6"/>
      <c r="B11401" s="6"/>
      <c r="H11401" s="13"/>
    </row>
    <row r="11402">
      <c r="A11402" s="6"/>
      <c r="B11402" s="6"/>
      <c r="H11402" s="13"/>
    </row>
    <row r="11403">
      <c r="A11403" s="6"/>
      <c r="B11403" s="6"/>
      <c r="H11403" s="13"/>
    </row>
    <row r="11404">
      <c r="A11404" s="6"/>
      <c r="B11404" s="6"/>
      <c r="H11404" s="13"/>
    </row>
    <row r="11405">
      <c r="A11405" s="6"/>
      <c r="B11405" s="6"/>
      <c r="H11405" s="13"/>
    </row>
    <row r="11406">
      <c r="A11406" s="6"/>
      <c r="B11406" s="6"/>
      <c r="H11406" s="13"/>
    </row>
    <row r="11407">
      <c r="A11407" s="6"/>
      <c r="B11407" s="6"/>
      <c r="H11407" s="13"/>
    </row>
    <row r="11408">
      <c r="A11408" s="6"/>
      <c r="B11408" s="6"/>
      <c r="H11408" s="13"/>
    </row>
    <row r="11409">
      <c r="A11409" s="6"/>
      <c r="B11409" s="6"/>
      <c r="H11409" s="13"/>
    </row>
    <row r="11410">
      <c r="A11410" s="6"/>
      <c r="B11410" s="6"/>
      <c r="H11410" s="13"/>
    </row>
    <row r="11411">
      <c r="A11411" s="6"/>
      <c r="B11411" s="6"/>
      <c r="H11411" s="13"/>
    </row>
    <row r="11412">
      <c r="A11412" s="6"/>
      <c r="B11412" s="6"/>
      <c r="H11412" s="13"/>
    </row>
    <row r="11413">
      <c r="A11413" s="6"/>
      <c r="B11413" s="6"/>
      <c r="H11413" s="13"/>
    </row>
    <row r="11414">
      <c r="A11414" s="6"/>
      <c r="B11414" s="6"/>
      <c r="H11414" s="13"/>
    </row>
    <row r="11415">
      <c r="A11415" s="6"/>
      <c r="B11415" s="6"/>
      <c r="H11415" s="13"/>
    </row>
    <row r="11416">
      <c r="A11416" s="6"/>
      <c r="B11416" s="6"/>
      <c r="H11416" s="13"/>
    </row>
    <row r="11417">
      <c r="A11417" s="6"/>
      <c r="B11417" s="6"/>
      <c r="H11417" s="13"/>
    </row>
    <row r="11418">
      <c r="A11418" s="6"/>
      <c r="B11418" s="6"/>
      <c r="H11418" s="13"/>
    </row>
    <row r="11419">
      <c r="A11419" s="6"/>
      <c r="B11419" s="6"/>
      <c r="H11419" s="13"/>
    </row>
    <row r="11420">
      <c r="A11420" s="6"/>
      <c r="B11420" s="6"/>
      <c r="H11420" s="13"/>
    </row>
    <row r="11421">
      <c r="A11421" s="6"/>
      <c r="B11421" s="6"/>
      <c r="H11421" s="13"/>
    </row>
    <row r="11422">
      <c r="A11422" s="6"/>
      <c r="B11422" s="6"/>
      <c r="H11422" s="13"/>
    </row>
    <row r="11423">
      <c r="A11423" s="6"/>
      <c r="B11423" s="6"/>
      <c r="H11423" s="13"/>
    </row>
    <row r="11424">
      <c r="A11424" s="6"/>
      <c r="B11424" s="6"/>
      <c r="H11424" s="13"/>
    </row>
    <row r="11425">
      <c r="A11425" s="6"/>
      <c r="B11425" s="6"/>
      <c r="H11425" s="13"/>
    </row>
    <row r="11426">
      <c r="A11426" s="6"/>
      <c r="B11426" s="6"/>
      <c r="H11426" s="13"/>
    </row>
    <row r="11427">
      <c r="A11427" s="6"/>
      <c r="B11427" s="6"/>
      <c r="H11427" s="13"/>
    </row>
    <row r="11428">
      <c r="A11428" s="6"/>
      <c r="B11428" s="6"/>
      <c r="H11428" s="13"/>
    </row>
    <row r="11429">
      <c r="A11429" s="6"/>
      <c r="B11429" s="6"/>
      <c r="H11429" s="13"/>
    </row>
    <row r="11430">
      <c r="A11430" s="6"/>
      <c r="B11430" s="6"/>
      <c r="H11430" s="13"/>
    </row>
    <row r="11431">
      <c r="A11431" s="6"/>
      <c r="B11431" s="6"/>
      <c r="H11431" s="13"/>
    </row>
    <row r="11432">
      <c r="A11432" s="6"/>
      <c r="B11432" s="6"/>
      <c r="H11432" s="13"/>
    </row>
    <row r="11433">
      <c r="A11433" s="6"/>
      <c r="B11433" s="6"/>
      <c r="H11433" s="13"/>
    </row>
    <row r="11434">
      <c r="A11434" s="6"/>
      <c r="B11434" s="6"/>
      <c r="H11434" s="13"/>
    </row>
    <row r="11435">
      <c r="A11435" s="6"/>
      <c r="B11435" s="6"/>
      <c r="H11435" s="13"/>
    </row>
    <row r="11436">
      <c r="A11436" s="6"/>
      <c r="B11436" s="6"/>
      <c r="H11436" s="13"/>
    </row>
    <row r="11437">
      <c r="A11437" s="6"/>
      <c r="B11437" s="6"/>
      <c r="H11437" s="13"/>
    </row>
    <row r="11438">
      <c r="A11438" s="6"/>
      <c r="B11438" s="6"/>
      <c r="H11438" s="13"/>
    </row>
    <row r="11439">
      <c r="A11439" s="6"/>
      <c r="B11439" s="6"/>
      <c r="H11439" s="13"/>
    </row>
    <row r="11440">
      <c r="A11440" s="6"/>
      <c r="B11440" s="6"/>
      <c r="H11440" s="13"/>
    </row>
    <row r="11441">
      <c r="A11441" s="6"/>
      <c r="B11441" s="6"/>
      <c r="H11441" s="13"/>
    </row>
    <row r="11442">
      <c r="A11442" s="6"/>
      <c r="B11442" s="6"/>
      <c r="H11442" s="13"/>
    </row>
    <row r="11443">
      <c r="A11443" s="6"/>
      <c r="B11443" s="6"/>
      <c r="H11443" s="13"/>
    </row>
    <row r="11444">
      <c r="A11444" s="6"/>
      <c r="B11444" s="6"/>
      <c r="H11444" s="13"/>
    </row>
    <row r="11445">
      <c r="A11445" s="6"/>
      <c r="B11445" s="6"/>
      <c r="H11445" s="13"/>
    </row>
    <row r="11446">
      <c r="A11446" s="6"/>
      <c r="B11446" s="6"/>
      <c r="H11446" s="13"/>
    </row>
    <row r="11447">
      <c r="A11447" s="6"/>
      <c r="B11447" s="6"/>
      <c r="H11447" s="13"/>
    </row>
    <row r="11448">
      <c r="A11448" s="6"/>
      <c r="B11448" s="6"/>
      <c r="H11448" s="13"/>
    </row>
    <row r="11449">
      <c r="A11449" s="6"/>
      <c r="B11449" s="6"/>
      <c r="H11449" s="13"/>
    </row>
    <row r="11450">
      <c r="A11450" s="6"/>
      <c r="B11450" s="6"/>
      <c r="H11450" s="13"/>
    </row>
    <row r="11451">
      <c r="A11451" s="6"/>
      <c r="B11451" s="6"/>
      <c r="H11451" s="13"/>
    </row>
    <row r="11452">
      <c r="A11452" s="6"/>
      <c r="B11452" s="6"/>
      <c r="H11452" s="13"/>
    </row>
    <row r="11453">
      <c r="A11453" s="6"/>
      <c r="B11453" s="6"/>
      <c r="H11453" s="13"/>
    </row>
    <row r="11454">
      <c r="A11454" s="6"/>
      <c r="B11454" s="6"/>
      <c r="H11454" s="13"/>
    </row>
    <row r="11455">
      <c r="A11455" s="6"/>
      <c r="B11455" s="6"/>
      <c r="H11455" s="13"/>
    </row>
    <row r="11456">
      <c r="A11456" s="6"/>
      <c r="B11456" s="6"/>
      <c r="H11456" s="13"/>
    </row>
    <row r="11457">
      <c r="A11457" s="6"/>
      <c r="B11457" s="6"/>
      <c r="H11457" s="13"/>
    </row>
    <row r="11458">
      <c r="A11458" s="6"/>
      <c r="B11458" s="6"/>
      <c r="H11458" s="13"/>
    </row>
    <row r="11459">
      <c r="A11459" s="6"/>
      <c r="B11459" s="6"/>
      <c r="H11459" s="13"/>
    </row>
    <row r="11460">
      <c r="A11460" s="6"/>
      <c r="B11460" s="6"/>
      <c r="H11460" s="13"/>
    </row>
    <row r="11461">
      <c r="A11461" s="6"/>
      <c r="B11461" s="6"/>
      <c r="H11461" s="13"/>
    </row>
    <row r="11462">
      <c r="A11462" s="6"/>
      <c r="B11462" s="6"/>
      <c r="H11462" s="13"/>
    </row>
    <row r="11463">
      <c r="A11463" s="6"/>
      <c r="B11463" s="6"/>
      <c r="H11463" s="13"/>
    </row>
    <row r="11464">
      <c r="A11464" s="6"/>
      <c r="B11464" s="6"/>
      <c r="H11464" s="13"/>
    </row>
    <row r="11465">
      <c r="A11465" s="6"/>
      <c r="B11465" s="6"/>
      <c r="H11465" s="13"/>
    </row>
    <row r="11466">
      <c r="A11466" s="6"/>
      <c r="B11466" s="6"/>
      <c r="H11466" s="13"/>
    </row>
    <row r="11467">
      <c r="A11467" s="6"/>
      <c r="B11467" s="6"/>
      <c r="H11467" s="13"/>
    </row>
    <row r="11468">
      <c r="A11468" s="6"/>
      <c r="B11468" s="6"/>
      <c r="H11468" s="13"/>
    </row>
    <row r="11469">
      <c r="A11469" s="6"/>
      <c r="B11469" s="6"/>
      <c r="H11469" s="13"/>
    </row>
    <row r="11470">
      <c r="A11470" s="6"/>
      <c r="B11470" s="6"/>
      <c r="H11470" s="13"/>
    </row>
    <row r="11471">
      <c r="A11471" s="6"/>
      <c r="B11471" s="6"/>
      <c r="H11471" s="13"/>
    </row>
    <row r="11472">
      <c r="A11472" s="6"/>
      <c r="B11472" s="6"/>
      <c r="H11472" s="13"/>
    </row>
    <row r="11473">
      <c r="A11473" s="6"/>
      <c r="B11473" s="6"/>
      <c r="H11473" s="13"/>
    </row>
    <row r="11474">
      <c r="A11474" s="6"/>
      <c r="B11474" s="6"/>
      <c r="H11474" s="13"/>
    </row>
    <row r="11475">
      <c r="A11475" s="6"/>
      <c r="B11475" s="6"/>
      <c r="H11475" s="13"/>
    </row>
    <row r="11476">
      <c r="A11476" s="6"/>
      <c r="B11476" s="6"/>
      <c r="H11476" s="13"/>
    </row>
    <row r="11477">
      <c r="A11477" s="6"/>
      <c r="B11477" s="6"/>
      <c r="H11477" s="13"/>
    </row>
    <row r="11478">
      <c r="A11478" s="6"/>
      <c r="B11478" s="6"/>
      <c r="H11478" s="13"/>
    </row>
    <row r="11479">
      <c r="A11479" s="6"/>
      <c r="B11479" s="6"/>
      <c r="H11479" s="13"/>
    </row>
    <row r="11480">
      <c r="A11480" s="6"/>
      <c r="B11480" s="6"/>
      <c r="H11480" s="13"/>
    </row>
    <row r="11481">
      <c r="A11481" s="6"/>
      <c r="B11481" s="6"/>
      <c r="H11481" s="13"/>
    </row>
    <row r="11482">
      <c r="A11482" s="6"/>
      <c r="B11482" s="6"/>
      <c r="H11482" s="13"/>
    </row>
    <row r="11483">
      <c r="A11483" s="6"/>
      <c r="B11483" s="6"/>
      <c r="H11483" s="13"/>
    </row>
    <row r="11484">
      <c r="A11484" s="6"/>
      <c r="B11484" s="6"/>
      <c r="H11484" s="13"/>
    </row>
    <row r="11485">
      <c r="A11485" s="6"/>
      <c r="B11485" s="6"/>
      <c r="H11485" s="13"/>
    </row>
    <row r="11486">
      <c r="A11486" s="6"/>
      <c r="B11486" s="6"/>
      <c r="H11486" s="13"/>
    </row>
    <row r="11487">
      <c r="A11487" s="6"/>
      <c r="B11487" s="6"/>
      <c r="H11487" s="13"/>
    </row>
    <row r="11488">
      <c r="A11488" s="6"/>
      <c r="B11488" s="6"/>
      <c r="H11488" s="13"/>
    </row>
    <row r="11489">
      <c r="A11489" s="6"/>
      <c r="B11489" s="6"/>
      <c r="H11489" s="13"/>
    </row>
    <row r="11490">
      <c r="A11490" s="6"/>
      <c r="B11490" s="6"/>
      <c r="H11490" s="13"/>
    </row>
    <row r="11491">
      <c r="A11491" s="6"/>
      <c r="B11491" s="6"/>
      <c r="H11491" s="13"/>
    </row>
    <row r="11492">
      <c r="A11492" s="6"/>
      <c r="B11492" s="6"/>
      <c r="H11492" s="13"/>
    </row>
    <row r="11493">
      <c r="A11493" s="6"/>
      <c r="B11493" s="6"/>
      <c r="H11493" s="13"/>
    </row>
    <row r="11494">
      <c r="A11494" s="6"/>
      <c r="B11494" s="6"/>
      <c r="H11494" s="13"/>
    </row>
    <row r="11495">
      <c r="A11495" s="6"/>
      <c r="B11495" s="6"/>
      <c r="H11495" s="13"/>
    </row>
    <row r="11496">
      <c r="A11496" s="6"/>
      <c r="B11496" s="6"/>
      <c r="H11496" s="13"/>
    </row>
    <row r="11497">
      <c r="A11497" s="6"/>
      <c r="B11497" s="6"/>
      <c r="H11497" s="13"/>
    </row>
    <row r="11498">
      <c r="A11498" s="6"/>
      <c r="B11498" s="6"/>
      <c r="H11498" s="13"/>
    </row>
    <row r="11499">
      <c r="A11499" s="6"/>
      <c r="B11499" s="6"/>
      <c r="H11499" s="13"/>
    </row>
    <row r="11500">
      <c r="A11500" s="6"/>
      <c r="B11500" s="6"/>
      <c r="H11500" s="13"/>
    </row>
    <row r="11501">
      <c r="A11501" s="6"/>
      <c r="B11501" s="6"/>
      <c r="H11501" s="13"/>
    </row>
    <row r="11502">
      <c r="A11502" s="6"/>
      <c r="B11502" s="6"/>
      <c r="H11502" s="13"/>
    </row>
    <row r="11503">
      <c r="A11503" s="6"/>
      <c r="B11503" s="6"/>
      <c r="H11503" s="13"/>
    </row>
    <row r="11504">
      <c r="A11504" s="6"/>
      <c r="B11504" s="6"/>
      <c r="H11504" s="13"/>
    </row>
    <row r="11505">
      <c r="A11505" s="6"/>
      <c r="B11505" s="6"/>
      <c r="H11505" s="13"/>
    </row>
    <row r="11506">
      <c r="A11506" s="6"/>
      <c r="B11506" s="6"/>
      <c r="H11506" s="13"/>
    </row>
    <row r="11507">
      <c r="A11507" s="6"/>
      <c r="B11507" s="6"/>
      <c r="H11507" s="13"/>
    </row>
    <row r="11508">
      <c r="A11508" s="6"/>
      <c r="B11508" s="6"/>
      <c r="H11508" s="13"/>
    </row>
    <row r="11509">
      <c r="A11509" s="6"/>
      <c r="B11509" s="6"/>
      <c r="H11509" s="13"/>
    </row>
    <row r="11510">
      <c r="A11510" s="6"/>
      <c r="B11510" s="6"/>
      <c r="H11510" s="13"/>
    </row>
    <row r="11511">
      <c r="A11511" s="6"/>
      <c r="B11511" s="6"/>
      <c r="H11511" s="13"/>
    </row>
    <row r="11512">
      <c r="A11512" s="6"/>
      <c r="B11512" s="6"/>
      <c r="H11512" s="13"/>
    </row>
    <row r="11513">
      <c r="A11513" s="6"/>
      <c r="B11513" s="6"/>
      <c r="H11513" s="13"/>
    </row>
    <row r="11514">
      <c r="A11514" s="6"/>
      <c r="B11514" s="6"/>
      <c r="H11514" s="13"/>
    </row>
    <row r="11515">
      <c r="A11515" s="6"/>
      <c r="B11515" s="6"/>
      <c r="H11515" s="13"/>
    </row>
    <row r="11516">
      <c r="A11516" s="6"/>
      <c r="B11516" s="6"/>
      <c r="H11516" s="13"/>
    </row>
    <row r="11517">
      <c r="A11517" s="6"/>
      <c r="B11517" s="6"/>
      <c r="H11517" s="13"/>
    </row>
    <row r="11518">
      <c r="A11518" s="6"/>
      <c r="B11518" s="6"/>
      <c r="H11518" s="13"/>
    </row>
    <row r="11519">
      <c r="A11519" s="6"/>
      <c r="B11519" s="6"/>
      <c r="H11519" s="13"/>
    </row>
    <row r="11520">
      <c r="A11520" s="6"/>
      <c r="B11520" s="6"/>
      <c r="H11520" s="13"/>
    </row>
    <row r="11521">
      <c r="A11521" s="6"/>
      <c r="B11521" s="6"/>
      <c r="H11521" s="13"/>
    </row>
    <row r="11522">
      <c r="A11522" s="6"/>
      <c r="B11522" s="6"/>
      <c r="H11522" s="13"/>
    </row>
    <row r="11523">
      <c r="A11523" s="6"/>
      <c r="B11523" s="6"/>
      <c r="H11523" s="13"/>
    </row>
    <row r="11524">
      <c r="A11524" s="6"/>
      <c r="B11524" s="6"/>
      <c r="H11524" s="13"/>
    </row>
    <row r="11525">
      <c r="A11525" s="6"/>
      <c r="B11525" s="6"/>
      <c r="H11525" s="13"/>
    </row>
    <row r="11526">
      <c r="A11526" s="6"/>
      <c r="B11526" s="6"/>
      <c r="H11526" s="13"/>
    </row>
    <row r="11527">
      <c r="A11527" s="6"/>
      <c r="B11527" s="6"/>
      <c r="H11527" s="13"/>
    </row>
    <row r="11528">
      <c r="A11528" s="6"/>
      <c r="B11528" s="6"/>
      <c r="H11528" s="13"/>
    </row>
    <row r="11529">
      <c r="A11529" s="6"/>
      <c r="B11529" s="6"/>
      <c r="H11529" s="13"/>
    </row>
    <row r="11530">
      <c r="A11530" s="6"/>
      <c r="B11530" s="6"/>
      <c r="H11530" s="13"/>
    </row>
    <row r="11531">
      <c r="A11531" s="6"/>
      <c r="B11531" s="6"/>
      <c r="H11531" s="13"/>
    </row>
    <row r="11532">
      <c r="A11532" s="6"/>
      <c r="B11532" s="6"/>
      <c r="H11532" s="13"/>
    </row>
    <row r="11533">
      <c r="A11533" s="6"/>
      <c r="B11533" s="6"/>
      <c r="H11533" s="13"/>
    </row>
    <row r="11534">
      <c r="A11534" s="6"/>
      <c r="B11534" s="6"/>
      <c r="H11534" s="13"/>
    </row>
    <row r="11535">
      <c r="A11535" s="6"/>
      <c r="B11535" s="6"/>
      <c r="H11535" s="13"/>
    </row>
    <row r="11536">
      <c r="A11536" s="6"/>
      <c r="B11536" s="6"/>
      <c r="H11536" s="13"/>
    </row>
    <row r="11537">
      <c r="A11537" s="6"/>
      <c r="B11537" s="6"/>
      <c r="H11537" s="13"/>
    </row>
    <row r="11538">
      <c r="A11538" s="6"/>
      <c r="B11538" s="6"/>
      <c r="H11538" s="13"/>
    </row>
    <row r="11539">
      <c r="A11539" s="6"/>
      <c r="B11539" s="6"/>
      <c r="H11539" s="13"/>
    </row>
    <row r="11540">
      <c r="A11540" s="6"/>
      <c r="B11540" s="6"/>
      <c r="H11540" s="13"/>
    </row>
    <row r="11541">
      <c r="A11541" s="6"/>
      <c r="B11541" s="6"/>
      <c r="H11541" s="13"/>
    </row>
    <row r="11542">
      <c r="A11542" s="6"/>
      <c r="B11542" s="6"/>
      <c r="H11542" s="13"/>
    </row>
    <row r="11543">
      <c r="A11543" s="6"/>
      <c r="B11543" s="6"/>
      <c r="H11543" s="13"/>
    </row>
    <row r="11544">
      <c r="A11544" s="6"/>
      <c r="B11544" s="6"/>
      <c r="H11544" s="13"/>
    </row>
    <row r="11545">
      <c r="A11545" s="6"/>
      <c r="B11545" s="6"/>
      <c r="H11545" s="13"/>
    </row>
    <row r="11546">
      <c r="A11546" s="6"/>
      <c r="B11546" s="6"/>
      <c r="H11546" s="13"/>
    </row>
    <row r="11547">
      <c r="A11547" s="6"/>
      <c r="B11547" s="6"/>
      <c r="H11547" s="13"/>
    </row>
    <row r="11548">
      <c r="A11548" s="6"/>
      <c r="B11548" s="6"/>
      <c r="H11548" s="13"/>
    </row>
    <row r="11549">
      <c r="A11549" s="6"/>
      <c r="B11549" s="6"/>
      <c r="H11549" s="13"/>
    </row>
    <row r="11550">
      <c r="A11550" s="6"/>
      <c r="B11550" s="6"/>
      <c r="H11550" s="13"/>
    </row>
    <row r="11551">
      <c r="A11551" s="6"/>
      <c r="B11551" s="6"/>
      <c r="H11551" s="13"/>
    </row>
    <row r="11552">
      <c r="A11552" s="6"/>
      <c r="B11552" s="6"/>
      <c r="H11552" s="13"/>
    </row>
    <row r="11553">
      <c r="A11553" s="6"/>
      <c r="B11553" s="6"/>
      <c r="H11553" s="13"/>
    </row>
    <row r="11554">
      <c r="A11554" s="6"/>
      <c r="B11554" s="6"/>
      <c r="H11554" s="13"/>
    </row>
    <row r="11555">
      <c r="A11555" s="6"/>
      <c r="B11555" s="6"/>
      <c r="H11555" s="13"/>
    </row>
    <row r="11556">
      <c r="A11556" s="6"/>
      <c r="B11556" s="6"/>
      <c r="H11556" s="13"/>
    </row>
    <row r="11557">
      <c r="A11557" s="6"/>
      <c r="B11557" s="6"/>
      <c r="H11557" s="13"/>
    </row>
    <row r="11558">
      <c r="A11558" s="6"/>
      <c r="B11558" s="6"/>
      <c r="H11558" s="13"/>
    </row>
    <row r="11559">
      <c r="A11559" s="6"/>
      <c r="B11559" s="6"/>
      <c r="H11559" s="13"/>
    </row>
    <row r="11560">
      <c r="A11560" s="6"/>
      <c r="B11560" s="6"/>
      <c r="H11560" s="13"/>
    </row>
    <row r="11561">
      <c r="A11561" s="6"/>
      <c r="B11561" s="6"/>
      <c r="H11561" s="13"/>
    </row>
    <row r="11562">
      <c r="A11562" s="6"/>
      <c r="B11562" s="6"/>
      <c r="H11562" s="13"/>
    </row>
    <row r="11563">
      <c r="A11563" s="6"/>
      <c r="B11563" s="6"/>
      <c r="H11563" s="13"/>
    </row>
    <row r="11564">
      <c r="A11564" s="6"/>
      <c r="B11564" s="6"/>
      <c r="H11564" s="13"/>
    </row>
    <row r="11565">
      <c r="A11565" s="6"/>
      <c r="B11565" s="6"/>
      <c r="H11565" s="13"/>
    </row>
    <row r="11566">
      <c r="A11566" s="6"/>
      <c r="B11566" s="6"/>
      <c r="H11566" s="13"/>
    </row>
    <row r="11567">
      <c r="A11567" s="6"/>
      <c r="B11567" s="6"/>
      <c r="H11567" s="13"/>
    </row>
    <row r="11568">
      <c r="A11568" s="6"/>
      <c r="B11568" s="6"/>
      <c r="H11568" s="13"/>
    </row>
    <row r="11569">
      <c r="A11569" s="6"/>
      <c r="B11569" s="6"/>
      <c r="H11569" s="13"/>
    </row>
    <row r="11570">
      <c r="A11570" s="6"/>
      <c r="B11570" s="6"/>
      <c r="H11570" s="13"/>
    </row>
    <row r="11571">
      <c r="A11571" s="6"/>
      <c r="B11571" s="6"/>
      <c r="H11571" s="13"/>
    </row>
    <row r="11572">
      <c r="A11572" s="6"/>
      <c r="B11572" s="6"/>
      <c r="H11572" s="13"/>
    </row>
    <row r="11573">
      <c r="A11573" s="6"/>
      <c r="B11573" s="6"/>
      <c r="H11573" s="13"/>
    </row>
    <row r="11574">
      <c r="A11574" s="6"/>
      <c r="B11574" s="6"/>
      <c r="H11574" s="13"/>
    </row>
    <row r="11575">
      <c r="A11575" s="6"/>
      <c r="B11575" s="6"/>
      <c r="H11575" s="13"/>
    </row>
    <row r="11576">
      <c r="A11576" s="6"/>
      <c r="B11576" s="6"/>
      <c r="H11576" s="13"/>
    </row>
    <row r="11577">
      <c r="A11577" s="6"/>
      <c r="B11577" s="6"/>
      <c r="H11577" s="13"/>
    </row>
    <row r="11578">
      <c r="A11578" s="6"/>
      <c r="B11578" s="6"/>
      <c r="H11578" s="13"/>
    </row>
    <row r="11579">
      <c r="A11579" s="6"/>
      <c r="B11579" s="6"/>
      <c r="H11579" s="13"/>
    </row>
    <row r="11580">
      <c r="A11580" s="6"/>
      <c r="B11580" s="6"/>
      <c r="H11580" s="13"/>
    </row>
    <row r="11581">
      <c r="A11581" s="6"/>
      <c r="B11581" s="6"/>
      <c r="H11581" s="13"/>
    </row>
    <row r="11582">
      <c r="A11582" s="6"/>
      <c r="B11582" s="6"/>
      <c r="H11582" s="13"/>
    </row>
    <row r="11583">
      <c r="A11583" s="6"/>
      <c r="B11583" s="6"/>
      <c r="H11583" s="13"/>
    </row>
    <row r="11584">
      <c r="A11584" s="6"/>
      <c r="B11584" s="6"/>
      <c r="H11584" s="13"/>
    </row>
    <row r="11585">
      <c r="A11585" s="6"/>
      <c r="B11585" s="6"/>
      <c r="H11585" s="13"/>
    </row>
    <row r="11586">
      <c r="A11586" s="6"/>
      <c r="B11586" s="6"/>
      <c r="H11586" s="13"/>
    </row>
    <row r="11587">
      <c r="A11587" s="6"/>
      <c r="B11587" s="6"/>
      <c r="H11587" s="13"/>
    </row>
    <row r="11588">
      <c r="A11588" s="6"/>
      <c r="B11588" s="6"/>
      <c r="H11588" s="13"/>
    </row>
    <row r="11589">
      <c r="A11589" s="6"/>
      <c r="B11589" s="6"/>
      <c r="H11589" s="13"/>
    </row>
    <row r="11590">
      <c r="A11590" s="6"/>
      <c r="B11590" s="6"/>
      <c r="H11590" s="13"/>
    </row>
    <row r="11591">
      <c r="A11591" s="6"/>
      <c r="B11591" s="6"/>
      <c r="H11591" s="13"/>
    </row>
    <row r="11592">
      <c r="A11592" s="6"/>
      <c r="B11592" s="6"/>
      <c r="H11592" s="13"/>
    </row>
    <row r="11593">
      <c r="A11593" s="6"/>
      <c r="B11593" s="6"/>
      <c r="H11593" s="13"/>
    </row>
    <row r="11594">
      <c r="A11594" s="6"/>
      <c r="B11594" s="6"/>
      <c r="H11594" s="13"/>
    </row>
    <row r="11595">
      <c r="A11595" s="6"/>
      <c r="B11595" s="6"/>
      <c r="H11595" s="13"/>
    </row>
    <row r="11596">
      <c r="A11596" s="6"/>
      <c r="B11596" s="6"/>
      <c r="H11596" s="13"/>
    </row>
    <row r="11597">
      <c r="A11597" s="6"/>
      <c r="B11597" s="6"/>
      <c r="H11597" s="13"/>
    </row>
    <row r="11598">
      <c r="A11598" s="6"/>
      <c r="B11598" s="6"/>
      <c r="H11598" s="13"/>
    </row>
    <row r="11599">
      <c r="A11599" s="6"/>
      <c r="B11599" s="6"/>
      <c r="H11599" s="13"/>
    </row>
    <row r="11600">
      <c r="A11600" s="6"/>
      <c r="B11600" s="6"/>
      <c r="H11600" s="13"/>
    </row>
    <row r="11601">
      <c r="A11601" s="6"/>
      <c r="B11601" s="6"/>
      <c r="H11601" s="13"/>
    </row>
    <row r="11602">
      <c r="A11602" s="6"/>
      <c r="B11602" s="6"/>
      <c r="H11602" s="13"/>
    </row>
    <row r="11603">
      <c r="A11603" s="6"/>
      <c r="B11603" s="6"/>
      <c r="H11603" s="13"/>
    </row>
    <row r="11604">
      <c r="A11604" s="6"/>
      <c r="B11604" s="6"/>
      <c r="H11604" s="13"/>
    </row>
    <row r="11605">
      <c r="A11605" s="6"/>
      <c r="B11605" s="6"/>
      <c r="H11605" s="13"/>
    </row>
    <row r="11606">
      <c r="A11606" s="6"/>
      <c r="B11606" s="6"/>
      <c r="H11606" s="13"/>
    </row>
    <row r="11607">
      <c r="A11607" s="6"/>
      <c r="B11607" s="6"/>
      <c r="H11607" s="13"/>
    </row>
    <row r="11608">
      <c r="A11608" s="6"/>
      <c r="B11608" s="6"/>
      <c r="H11608" s="13"/>
    </row>
    <row r="11609">
      <c r="A11609" s="6"/>
      <c r="B11609" s="6"/>
      <c r="H11609" s="13"/>
    </row>
    <row r="11610">
      <c r="A11610" s="6"/>
      <c r="B11610" s="6"/>
      <c r="H11610" s="13"/>
    </row>
    <row r="11611">
      <c r="A11611" s="6"/>
      <c r="B11611" s="6"/>
      <c r="H11611" s="13"/>
    </row>
    <row r="11612">
      <c r="A11612" s="6"/>
      <c r="B11612" s="6"/>
      <c r="H11612" s="13"/>
    </row>
    <row r="11613">
      <c r="A11613" s="6"/>
      <c r="B11613" s="6"/>
      <c r="H11613" s="13"/>
    </row>
    <row r="11614">
      <c r="A11614" s="6"/>
      <c r="B11614" s="6"/>
      <c r="H11614" s="13"/>
    </row>
    <row r="11615">
      <c r="A11615" s="6"/>
      <c r="B11615" s="6"/>
      <c r="H11615" s="13"/>
    </row>
    <row r="11616">
      <c r="A11616" s="6"/>
      <c r="B11616" s="6"/>
      <c r="H11616" s="13"/>
    </row>
    <row r="11617">
      <c r="A11617" s="6"/>
      <c r="B11617" s="6"/>
      <c r="H11617" s="13"/>
    </row>
    <row r="11618">
      <c r="A11618" s="6"/>
      <c r="B11618" s="6"/>
      <c r="H11618" s="13"/>
    </row>
    <row r="11619">
      <c r="A11619" s="6"/>
      <c r="B11619" s="6"/>
      <c r="H11619" s="13"/>
    </row>
    <row r="11620">
      <c r="A11620" s="6"/>
      <c r="B11620" s="6"/>
      <c r="H11620" s="13"/>
    </row>
    <row r="11621">
      <c r="A11621" s="6"/>
      <c r="B11621" s="6"/>
      <c r="H11621" s="13"/>
    </row>
    <row r="11622">
      <c r="A11622" s="6"/>
      <c r="B11622" s="6"/>
      <c r="H11622" s="13"/>
    </row>
    <row r="11623">
      <c r="A11623" s="6"/>
      <c r="B11623" s="6"/>
      <c r="H11623" s="13"/>
    </row>
    <row r="11624">
      <c r="A11624" s="6"/>
      <c r="B11624" s="6"/>
      <c r="H11624" s="13"/>
    </row>
    <row r="11625">
      <c r="A11625" s="6"/>
      <c r="B11625" s="6"/>
      <c r="H11625" s="13"/>
    </row>
    <row r="11626">
      <c r="A11626" s="6"/>
      <c r="B11626" s="6"/>
      <c r="H11626" s="13"/>
    </row>
    <row r="11627">
      <c r="A11627" s="6"/>
      <c r="B11627" s="6"/>
      <c r="H11627" s="13"/>
    </row>
    <row r="11628">
      <c r="A11628" s="6"/>
      <c r="B11628" s="6"/>
      <c r="H11628" s="13"/>
    </row>
    <row r="11629">
      <c r="A11629" s="6"/>
      <c r="B11629" s="6"/>
      <c r="H11629" s="13"/>
    </row>
    <row r="11630">
      <c r="A11630" s="6"/>
      <c r="B11630" s="6"/>
      <c r="H11630" s="13"/>
    </row>
    <row r="11631">
      <c r="A11631" s="6"/>
      <c r="B11631" s="6"/>
      <c r="H11631" s="13"/>
    </row>
    <row r="11632">
      <c r="A11632" s="6"/>
      <c r="B11632" s="6"/>
      <c r="H11632" s="13"/>
    </row>
    <row r="11633">
      <c r="A11633" s="6"/>
      <c r="B11633" s="6"/>
      <c r="H11633" s="13"/>
    </row>
    <row r="11634">
      <c r="A11634" s="6"/>
      <c r="B11634" s="6"/>
      <c r="H11634" s="13"/>
    </row>
    <row r="11635">
      <c r="A11635" s="6"/>
      <c r="B11635" s="6"/>
      <c r="H11635" s="13"/>
    </row>
    <row r="11636">
      <c r="A11636" s="6"/>
      <c r="B11636" s="6"/>
      <c r="H11636" s="13"/>
    </row>
    <row r="11637">
      <c r="A11637" s="6"/>
      <c r="B11637" s="6"/>
      <c r="H11637" s="13"/>
    </row>
    <row r="11638">
      <c r="A11638" s="6"/>
      <c r="B11638" s="6"/>
      <c r="H11638" s="13"/>
    </row>
    <row r="11639">
      <c r="A11639" s="6"/>
      <c r="B11639" s="6"/>
      <c r="H11639" s="13"/>
    </row>
    <row r="11640">
      <c r="A11640" s="6"/>
      <c r="B11640" s="6"/>
      <c r="H11640" s="13"/>
    </row>
    <row r="11641">
      <c r="A11641" s="6"/>
      <c r="B11641" s="6"/>
      <c r="H11641" s="13"/>
    </row>
    <row r="11642">
      <c r="A11642" s="6"/>
      <c r="B11642" s="6"/>
      <c r="H11642" s="13"/>
    </row>
    <row r="11643">
      <c r="A11643" s="6"/>
      <c r="B11643" s="6"/>
      <c r="H11643" s="13"/>
    </row>
    <row r="11644">
      <c r="A11644" s="6"/>
      <c r="B11644" s="6"/>
      <c r="H11644" s="13"/>
    </row>
    <row r="11645">
      <c r="A11645" s="6"/>
      <c r="B11645" s="6"/>
      <c r="H11645" s="13"/>
    </row>
    <row r="11646">
      <c r="A11646" s="6"/>
      <c r="B11646" s="6"/>
      <c r="H11646" s="13"/>
    </row>
    <row r="11647">
      <c r="A11647" s="6"/>
      <c r="B11647" s="6"/>
      <c r="H11647" s="13"/>
    </row>
    <row r="11648">
      <c r="A11648" s="6"/>
      <c r="B11648" s="6"/>
      <c r="H11648" s="13"/>
    </row>
    <row r="11649">
      <c r="A11649" s="6"/>
      <c r="B11649" s="6"/>
      <c r="H11649" s="13"/>
    </row>
    <row r="11650">
      <c r="A11650" s="6"/>
      <c r="B11650" s="6"/>
      <c r="H11650" s="13"/>
    </row>
    <row r="11651">
      <c r="A11651" s="6"/>
      <c r="B11651" s="6"/>
      <c r="H11651" s="13"/>
    </row>
    <row r="11652">
      <c r="A11652" s="6"/>
      <c r="B11652" s="6"/>
      <c r="H11652" s="13"/>
    </row>
    <row r="11653">
      <c r="A11653" s="6"/>
      <c r="B11653" s="6"/>
      <c r="H11653" s="13"/>
    </row>
    <row r="11654">
      <c r="A11654" s="6"/>
      <c r="B11654" s="6"/>
      <c r="H11654" s="13"/>
    </row>
    <row r="11655">
      <c r="A11655" s="6"/>
      <c r="B11655" s="6"/>
      <c r="H11655" s="13"/>
    </row>
    <row r="11656">
      <c r="A11656" s="6"/>
      <c r="B11656" s="6"/>
      <c r="H11656" s="13"/>
    </row>
    <row r="11657">
      <c r="A11657" s="6"/>
      <c r="B11657" s="6"/>
      <c r="H11657" s="13"/>
    </row>
    <row r="11658">
      <c r="A11658" s="6"/>
      <c r="B11658" s="6"/>
      <c r="H11658" s="13"/>
    </row>
    <row r="11659">
      <c r="A11659" s="6"/>
      <c r="B11659" s="6"/>
      <c r="H11659" s="13"/>
    </row>
    <row r="11660">
      <c r="A11660" s="6"/>
      <c r="B11660" s="6"/>
      <c r="H11660" s="13"/>
    </row>
    <row r="11661">
      <c r="A11661" s="6"/>
      <c r="B11661" s="6"/>
      <c r="H11661" s="13"/>
    </row>
    <row r="11662">
      <c r="A11662" s="6"/>
      <c r="B11662" s="6"/>
      <c r="H11662" s="13"/>
    </row>
    <row r="11663">
      <c r="A11663" s="6"/>
      <c r="B11663" s="6"/>
      <c r="H11663" s="13"/>
    </row>
    <row r="11664">
      <c r="A11664" s="6"/>
      <c r="B11664" s="6"/>
      <c r="H11664" s="13"/>
    </row>
    <row r="11665">
      <c r="A11665" s="6"/>
      <c r="B11665" s="6"/>
      <c r="H11665" s="13"/>
    </row>
    <row r="11666">
      <c r="A11666" s="6"/>
      <c r="B11666" s="6"/>
      <c r="H11666" s="13"/>
    </row>
    <row r="11667">
      <c r="A11667" s="6"/>
      <c r="B11667" s="6"/>
      <c r="H11667" s="13"/>
    </row>
    <row r="11668">
      <c r="A11668" s="6"/>
      <c r="B11668" s="6"/>
      <c r="H11668" s="13"/>
    </row>
    <row r="11669">
      <c r="A11669" s="6"/>
      <c r="B11669" s="6"/>
      <c r="H11669" s="13"/>
    </row>
    <row r="11670">
      <c r="A11670" s="6"/>
      <c r="B11670" s="6"/>
      <c r="H11670" s="13"/>
    </row>
    <row r="11671">
      <c r="A11671" s="6"/>
      <c r="B11671" s="6"/>
      <c r="H11671" s="13"/>
    </row>
    <row r="11672">
      <c r="A11672" s="6"/>
      <c r="B11672" s="6"/>
      <c r="H11672" s="13"/>
    </row>
    <row r="11673">
      <c r="A11673" s="6"/>
      <c r="B11673" s="6"/>
      <c r="H11673" s="13"/>
    </row>
    <row r="11674">
      <c r="A11674" s="6"/>
      <c r="B11674" s="6"/>
      <c r="H11674" s="13"/>
    </row>
    <row r="11675">
      <c r="A11675" s="6"/>
      <c r="B11675" s="6"/>
      <c r="H11675" s="13"/>
    </row>
    <row r="11676">
      <c r="A11676" s="6"/>
      <c r="B11676" s="6"/>
      <c r="H11676" s="13"/>
    </row>
    <row r="11677">
      <c r="A11677" s="6"/>
      <c r="B11677" s="6"/>
      <c r="H11677" s="13"/>
    </row>
    <row r="11678">
      <c r="A11678" s="6"/>
      <c r="B11678" s="6"/>
      <c r="H11678" s="13"/>
    </row>
    <row r="11679">
      <c r="A11679" s="6"/>
      <c r="B11679" s="6"/>
      <c r="H11679" s="13"/>
    </row>
    <row r="11680">
      <c r="A11680" s="6"/>
      <c r="B11680" s="6"/>
      <c r="H11680" s="13"/>
    </row>
    <row r="11681">
      <c r="A11681" s="6"/>
      <c r="B11681" s="6"/>
      <c r="H11681" s="13"/>
    </row>
    <row r="11682">
      <c r="A11682" s="6"/>
      <c r="B11682" s="6"/>
      <c r="H11682" s="13"/>
    </row>
    <row r="11683">
      <c r="A11683" s="6"/>
      <c r="B11683" s="6"/>
      <c r="H11683" s="13"/>
    </row>
    <row r="11684">
      <c r="A11684" s="6"/>
      <c r="B11684" s="6"/>
      <c r="H11684" s="13"/>
    </row>
    <row r="11685">
      <c r="A11685" s="6"/>
      <c r="B11685" s="6"/>
      <c r="H11685" s="13"/>
    </row>
    <row r="11686">
      <c r="A11686" s="6"/>
      <c r="B11686" s="6"/>
      <c r="H11686" s="13"/>
    </row>
    <row r="11687">
      <c r="A11687" s="6"/>
      <c r="B11687" s="6"/>
      <c r="H11687" s="13"/>
    </row>
    <row r="11688">
      <c r="A11688" s="6"/>
      <c r="B11688" s="6"/>
      <c r="H11688" s="13"/>
    </row>
    <row r="11689">
      <c r="A11689" s="6"/>
      <c r="B11689" s="6"/>
      <c r="H11689" s="13"/>
    </row>
    <row r="11690">
      <c r="A11690" s="6"/>
      <c r="B11690" s="6"/>
      <c r="H11690" s="13"/>
    </row>
    <row r="11691">
      <c r="A11691" s="6"/>
      <c r="B11691" s="6"/>
      <c r="H11691" s="13"/>
    </row>
    <row r="11692">
      <c r="A11692" s="6"/>
      <c r="B11692" s="6"/>
      <c r="H11692" s="13"/>
    </row>
    <row r="11693">
      <c r="A11693" s="6"/>
      <c r="B11693" s="6"/>
      <c r="H11693" s="13"/>
    </row>
    <row r="11694">
      <c r="A11694" s="6"/>
      <c r="B11694" s="6"/>
      <c r="H11694" s="13"/>
    </row>
    <row r="11695">
      <c r="A11695" s="6"/>
      <c r="B11695" s="6"/>
      <c r="H11695" s="13"/>
    </row>
    <row r="11696">
      <c r="A11696" s="6"/>
      <c r="B11696" s="6"/>
      <c r="H11696" s="13"/>
    </row>
    <row r="11697">
      <c r="A11697" s="6"/>
      <c r="B11697" s="6"/>
      <c r="H11697" s="13"/>
    </row>
    <row r="11698">
      <c r="A11698" s="6"/>
      <c r="B11698" s="6"/>
      <c r="H11698" s="13"/>
    </row>
    <row r="11699">
      <c r="A11699" s="6"/>
      <c r="B11699" s="6"/>
      <c r="H11699" s="13"/>
    </row>
    <row r="11700">
      <c r="A11700" s="6"/>
      <c r="B11700" s="6"/>
      <c r="H11700" s="13"/>
    </row>
    <row r="11701">
      <c r="A11701" s="6"/>
      <c r="B11701" s="6"/>
      <c r="H11701" s="13"/>
    </row>
    <row r="11702">
      <c r="A11702" s="6"/>
      <c r="B11702" s="6"/>
      <c r="H11702" s="13"/>
    </row>
    <row r="11703">
      <c r="A11703" s="6"/>
      <c r="B11703" s="6"/>
      <c r="H11703" s="13"/>
    </row>
    <row r="11704">
      <c r="A11704" s="6"/>
      <c r="B11704" s="6"/>
      <c r="H11704" s="13"/>
    </row>
    <row r="11705">
      <c r="A11705" s="6"/>
      <c r="B11705" s="6"/>
      <c r="H11705" s="13"/>
    </row>
    <row r="11706">
      <c r="A11706" s="6"/>
      <c r="B11706" s="6"/>
      <c r="H11706" s="13"/>
    </row>
    <row r="11707">
      <c r="A11707" s="6"/>
      <c r="B11707" s="6"/>
      <c r="H11707" s="13"/>
    </row>
    <row r="11708">
      <c r="A11708" s="6"/>
      <c r="B11708" s="6"/>
      <c r="H11708" s="13"/>
    </row>
    <row r="11709">
      <c r="A11709" s="6"/>
      <c r="B11709" s="6"/>
      <c r="H11709" s="13"/>
    </row>
    <row r="11710">
      <c r="A11710" s="6"/>
      <c r="B11710" s="6"/>
      <c r="H11710" s="13"/>
    </row>
    <row r="11711">
      <c r="A11711" s="6"/>
      <c r="B11711" s="6"/>
      <c r="H11711" s="13"/>
    </row>
    <row r="11712">
      <c r="A11712" s="6"/>
      <c r="B11712" s="6"/>
      <c r="H11712" s="13"/>
    </row>
    <row r="11713">
      <c r="A11713" s="6"/>
      <c r="B11713" s="6"/>
      <c r="H11713" s="13"/>
    </row>
    <row r="11714">
      <c r="A11714" s="6"/>
      <c r="B11714" s="6"/>
      <c r="H11714" s="13"/>
    </row>
    <row r="11715">
      <c r="A11715" s="6"/>
      <c r="B11715" s="6"/>
      <c r="H11715" s="13"/>
    </row>
    <row r="11716">
      <c r="A11716" s="6"/>
      <c r="B11716" s="6"/>
      <c r="H11716" s="13"/>
    </row>
    <row r="11717">
      <c r="A11717" s="6"/>
      <c r="B11717" s="6"/>
      <c r="H11717" s="13"/>
    </row>
    <row r="11718">
      <c r="A11718" s="6"/>
      <c r="B11718" s="6"/>
      <c r="H11718" s="13"/>
    </row>
    <row r="11719">
      <c r="A11719" s="6"/>
      <c r="B11719" s="6"/>
      <c r="H11719" s="13"/>
    </row>
    <row r="11720">
      <c r="A11720" s="6"/>
      <c r="B11720" s="6"/>
      <c r="H11720" s="13"/>
    </row>
    <row r="11721">
      <c r="A11721" s="6"/>
      <c r="B11721" s="6"/>
      <c r="H11721" s="13"/>
    </row>
    <row r="11722">
      <c r="A11722" s="6"/>
      <c r="B11722" s="6"/>
      <c r="H11722" s="13"/>
    </row>
    <row r="11723">
      <c r="A11723" s="6"/>
      <c r="B11723" s="6"/>
      <c r="H11723" s="13"/>
    </row>
    <row r="11724">
      <c r="A11724" s="6"/>
      <c r="B11724" s="6"/>
      <c r="H11724" s="13"/>
    </row>
    <row r="11725">
      <c r="A11725" s="6"/>
      <c r="B11725" s="6"/>
      <c r="H11725" s="13"/>
    </row>
    <row r="11726">
      <c r="A11726" s="6"/>
      <c r="B11726" s="6"/>
      <c r="H11726" s="13"/>
    </row>
    <row r="11727">
      <c r="A11727" s="6"/>
      <c r="B11727" s="6"/>
      <c r="H11727" s="13"/>
    </row>
    <row r="11728">
      <c r="A11728" s="6"/>
      <c r="B11728" s="6"/>
      <c r="H11728" s="13"/>
    </row>
    <row r="11729">
      <c r="A11729" s="6"/>
      <c r="B11729" s="6"/>
      <c r="H11729" s="13"/>
    </row>
    <row r="11730">
      <c r="A11730" s="6"/>
      <c r="B11730" s="6"/>
      <c r="H11730" s="13"/>
    </row>
    <row r="11731">
      <c r="A11731" s="6"/>
      <c r="B11731" s="6"/>
      <c r="H11731" s="13"/>
    </row>
    <row r="11732">
      <c r="A11732" s="6"/>
      <c r="B11732" s="6"/>
      <c r="H11732" s="13"/>
    </row>
    <row r="11733">
      <c r="A11733" s="6"/>
      <c r="B11733" s="6"/>
      <c r="H11733" s="13"/>
    </row>
    <row r="11734">
      <c r="A11734" s="6"/>
      <c r="B11734" s="6"/>
      <c r="H11734" s="13"/>
    </row>
    <row r="11735">
      <c r="A11735" s="6"/>
      <c r="B11735" s="6"/>
      <c r="H11735" s="13"/>
    </row>
    <row r="11736">
      <c r="A11736" s="6"/>
      <c r="B11736" s="6"/>
      <c r="H11736" s="13"/>
    </row>
    <row r="11737">
      <c r="A11737" s="6"/>
      <c r="B11737" s="6"/>
      <c r="H11737" s="13"/>
    </row>
    <row r="11738">
      <c r="A11738" s="6"/>
      <c r="B11738" s="6"/>
      <c r="H11738" s="13"/>
    </row>
    <row r="11739">
      <c r="A11739" s="6"/>
      <c r="B11739" s="6"/>
      <c r="H11739" s="13"/>
    </row>
    <row r="11740">
      <c r="A11740" s="6"/>
      <c r="B11740" s="6"/>
      <c r="H11740" s="13"/>
    </row>
    <row r="11741">
      <c r="A11741" s="6"/>
      <c r="B11741" s="6"/>
      <c r="H11741" s="13"/>
    </row>
    <row r="11742">
      <c r="A11742" s="6"/>
      <c r="B11742" s="6"/>
      <c r="H11742" s="13"/>
    </row>
    <row r="11743">
      <c r="A11743" s="6"/>
      <c r="B11743" s="6"/>
      <c r="H11743" s="13"/>
    </row>
    <row r="11744">
      <c r="A11744" s="6"/>
      <c r="B11744" s="6"/>
      <c r="H11744" s="13"/>
    </row>
    <row r="11745">
      <c r="A11745" s="6"/>
      <c r="B11745" s="6"/>
      <c r="H11745" s="13"/>
    </row>
    <row r="11746">
      <c r="A11746" s="6"/>
      <c r="B11746" s="6"/>
      <c r="H11746" s="13"/>
    </row>
    <row r="11747">
      <c r="A11747" s="6"/>
      <c r="B11747" s="6"/>
      <c r="H11747" s="13"/>
    </row>
    <row r="11748">
      <c r="A11748" s="6"/>
      <c r="B11748" s="6"/>
      <c r="H11748" s="13"/>
    </row>
    <row r="11749">
      <c r="A11749" s="6"/>
      <c r="B11749" s="6"/>
      <c r="H11749" s="13"/>
    </row>
    <row r="11750">
      <c r="A11750" s="6"/>
      <c r="B11750" s="6"/>
      <c r="H11750" s="13"/>
    </row>
    <row r="11751">
      <c r="A11751" s="6"/>
      <c r="B11751" s="6"/>
      <c r="H11751" s="13"/>
    </row>
    <row r="11752">
      <c r="A11752" s="6"/>
      <c r="B11752" s="6"/>
      <c r="H11752" s="13"/>
    </row>
    <row r="11753">
      <c r="A11753" s="6"/>
      <c r="B11753" s="6"/>
      <c r="H11753" s="13"/>
    </row>
    <row r="11754">
      <c r="A11754" s="6"/>
      <c r="B11754" s="6"/>
      <c r="H11754" s="13"/>
    </row>
    <row r="11755">
      <c r="A11755" s="6"/>
      <c r="B11755" s="6"/>
      <c r="H11755" s="13"/>
    </row>
    <row r="11756">
      <c r="A11756" s="6"/>
      <c r="B11756" s="6"/>
      <c r="H11756" s="13"/>
    </row>
    <row r="11757">
      <c r="A11757" s="6"/>
      <c r="B11757" s="6"/>
      <c r="H11757" s="13"/>
    </row>
    <row r="11758">
      <c r="A11758" s="6"/>
      <c r="B11758" s="6"/>
      <c r="H11758" s="13"/>
    </row>
    <row r="11759">
      <c r="A11759" s="6"/>
      <c r="B11759" s="6"/>
      <c r="H11759" s="13"/>
    </row>
    <row r="11760">
      <c r="A11760" s="6"/>
      <c r="B11760" s="6"/>
      <c r="H11760" s="13"/>
    </row>
    <row r="11761">
      <c r="A11761" s="6"/>
      <c r="B11761" s="6"/>
      <c r="H11761" s="13"/>
    </row>
    <row r="11762">
      <c r="A11762" s="6"/>
      <c r="B11762" s="6"/>
      <c r="H11762" s="13"/>
    </row>
    <row r="11763">
      <c r="A11763" s="6"/>
      <c r="B11763" s="6"/>
      <c r="H11763" s="13"/>
    </row>
    <row r="11764">
      <c r="A11764" s="6"/>
      <c r="B11764" s="6"/>
      <c r="H11764" s="13"/>
    </row>
    <row r="11765">
      <c r="A11765" s="6"/>
      <c r="B11765" s="6"/>
      <c r="H11765" s="13"/>
    </row>
    <row r="11766">
      <c r="A11766" s="6"/>
      <c r="B11766" s="6"/>
      <c r="H11766" s="13"/>
    </row>
    <row r="11767">
      <c r="A11767" s="6"/>
      <c r="B11767" s="6"/>
      <c r="H11767" s="13"/>
    </row>
    <row r="11768">
      <c r="A11768" s="6"/>
      <c r="B11768" s="6"/>
      <c r="H11768" s="13"/>
    </row>
    <row r="11769">
      <c r="A11769" s="6"/>
      <c r="B11769" s="6"/>
      <c r="H11769" s="13"/>
    </row>
    <row r="11770">
      <c r="A11770" s="6"/>
      <c r="B11770" s="6"/>
      <c r="H11770" s="13"/>
    </row>
    <row r="11771">
      <c r="A11771" s="6"/>
      <c r="B11771" s="6"/>
      <c r="H11771" s="13"/>
    </row>
    <row r="11772">
      <c r="A11772" s="6"/>
      <c r="B11772" s="6"/>
      <c r="H11772" s="13"/>
    </row>
    <row r="11773">
      <c r="A11773" s="6"/>
      <c r="B11773" s="6"/>
      <c r="H11773" s="13"/>
    </row>
    <row r="11774">
      <c r="A11774" s="6"/>
      <c r="B11774" s="6"/>
      <c r="H11774" s="13"/>
    </row>
    <row r="11775">
      <c r="A11775" s="6"/>
      <c r="B11775" s="6"/>
      <c r="H11775" s="13"/>
    </row>
    <row r="11776">
      <c r="A11776" s="6"/>
      <c r="B11776" s="6"/>
      <c r="H11776" s="13"/>
    </row>
    <row r="11777">
      <c r="A11777" s="6"/>
      <c r="B11777" s="6"/>
      <c r="H11777" s="13"/>
    </row>
    <row r="11778">
      <c r="A11778" s="6"/>
      <c r="B11778" s="6"/>
      <c r="H11778" s="13"/>
    </row>
    <row r="11779">
      <c r="A11779" s="6"/>
      <c r="B11779" s="6"/>
      <c r="H11779" s="13"/>
    </row>
    <row r="11780">
      <c r="A11780" s="6"/>
      <c r="B11780" s="6"/>
      <c r="H11780" s="13"/>
    </row>
    <row r="11781">
      <c r="A11781" s="6"/>
      <c r="B11781" s="6"/>
      <c r="H11781" s="13"/>
    </row>
    <row r="11782">
      <c r="A11782" s="6"/>
      <c r="B11782" s="6"/>
      <c r="H11782" s="13"/>
    </row>
    <row r="11783">
      <c r="A11783" s="6"/>
      <c r="B11783" s="6"/>
      <c r="H11783" s="13"/>
    </row>
    <row r="11784">
      <c r="A11784" s="6"/>
      <c r="B11784" s="6"/>
      <c r="H11784" s="13"/>
    </row>
    <row r="11785">
      <c r="A11785" s="6"/>
      <c r="B11785" s="6"/>
      <c r="H11785" s="13"/>
    </row>
    <row r="11786">
      <c r="A11786" s="6"/>
      <c r="B11786" s="6"/>
      <c r="H11786" s="13"/>
    </row>
    <row r="11787">
      <c r="A11787" s="6"/>
      <c r="B11787" s="6"/>
      <c r="H11787" s="13"/>
    </row>
    <row r="11788">
      <c r="A11788" s="6"/>
      <c r="B11788" s="6"/>
      <c r="H11788" s="13"/>
    </row>
    <row r="11789">
      <c r="A11789" s="6"/>
      <c r="B11789" s="6"/>
      <c r="H11789" s="13"/>
    </row>
    <row r="11790">
      <c r="A11790" s="6"/>
      <c r="B11790" s="6"/>
      <c r="H11790" s="13"/>
    </row>
    <row r="11791">
      <c r="A11791" s="6"/>
      <c r="B11791" s="6"/>
      <c r="H11791" s="13"/>
    </row>
    <row r="11792">
      <c r="A11792" s="6"/>
      <c r="B11792" s="6"/>
      <c r="H11792" s="13"/>
    </row>
    <row r="11793">
      <c r="A11793" s="6"/>
      <c r="B11793" s="6"/>
      <c r="H11793" s="13"/>
    </row>
    <row r="11794">
      <c r="A11794" s="6"/>
      <c r="B11794" s="6"/>
      <c r="H11794" s="13"/>
    </row>
    <row r="11795">
      <c r="A11795" s="6"/>
      <c r="B11795" s="6"/>
      <c r="H11795" s="13"/>
    </row>
    <row r="11796">
      <c r="A11796" s="6"/>
      <c r="B11796" s="6"/>
      <c r="H11796" s="13"/>
    </row>
    <row r="11797">
      <c r="A11797" s="6"/>
      <c r="B11797" s="6"/>
      <c r="H11797" s="13"/>
    </row>
    <row r="11798">
      <c r="A11798" s="6"/>
      <c r="B11798" s="6"/>
      <c r="H11798" s="13"/>
    </row>
    <row r="11799">
      <c r="A11799" s="6"/>
      <c r="B11799" s="6"/>
      <c r="H11799" s="13"/>
    </row>
    <row r="11800">
      <c r="A11800" s="6"/>
      <c r="B11800" s="6"/>
      <c r="H11800" s="13"/>
    </row>
    <row r="11801">
      <c r="A11801" s="6"/>
      <c r="B11801" s="6"/>
      <c r="H11801" s="13"/>
    </row>
    <row r="11802">
      <c r="A11802" s="6"/>
      <c r="B11802" s="6"/>
      <c r="H11802" s="13"/>
    </row>
    <row r="11803">
      <c r="A11803" s="6"/>
      <c r="B11803" s="6"/>
      <c r="H11803" s="13"/>
    </row>
    <row r="11804">
      <c r="A11804" s="6"/>
      <c r="B11804" s="6"/>
      <c r="H11804" s="13"/>
    </row>
    <row r="11805">
      <c r="A11805" s="6"/>
      <c r="B11805" s="6"/>
      <c r="H11805" s="13"/>
    </row>
    <row r="11806">
      <c r="A11806" s="6"/>
      <c r="B11806" s="6"/>
      <c r="H11806" s="13"/>
    </row>
    <row r="11807">
      <c r="A11807" s="6"/>
      <c r="B11807" s="6"/>
      <c r="H11807" s="13"/>
    </row>
    <row r="11808">
      <c r="A11808" s="6"/>
      <c r="B11808" s="6"/>
      <c r="H11808" s="13"/>
    </row>
    <row r="11809">
      <c r="A11809" s="6"/>
      <c r="B11809" s="6"/>
      <c r="H11809" s="13"/>
    </row>
    <row r="11810">
      <c r="A11810" s="6"/>
      <c r="B11810" s="6"/>
      <c r="H11810" s="13"/>
    </row>
    <row r="11811">
      <c r="A11811" s="6"/>
      <c r="B11811" s="6"/>
      <c r="H11811" s="13"/>
    </row>
    <row r="11812">
      <c r="A11812" s="6"/>
      <c r="B11812" s="6"/>
      <c r="H11812" s="13"/>
    </row>
    <row r="11813">
      <c r="A11813" s="6"/>
      <c r="B11813" s="6"/>
      <c r="H11813" s="13"/>
    </row>
    <row r="11814">
      <c r="A11814" s="6"/>
      <c r="B11814" s="6"/>
      <c r="H11814" s="13"/>
    </row>
    <row r="11815">
      <c r="A11815" s="6"/>
      <c r="B11815" s="6"/>
      <c r="H11815" s="13"/>
    </row>
    <row r="11816">
      <c r="A11816" s="6"/>
      <c r="B11816" s="6"/>
      <c r="H11816" s="13"/>
    </row>
    <row r="11817">
      <c r="A11817" s="6"/>
      <c r="B11817" s="6"/>
      <c r="H11817" s="13"/>
    </row>
    <row r="11818">
      <c r="A11818" s="6"/>
      <c r="B11818" s="6"/>
      <c r="H11818" s="13"/>
    </row>
    <row r="11819">
      <c r="A11819" s="6"/>
      <c r="B11819" s="6"/>
      <c r="H11819" s="13"/>
    </row>
    <row r="11820">
      <c r="A11820" s="6"/>
      <c r="B11820" s="6"/>
      <c r="H11820" s="13"/>
    </row>
    <row r="11821">
      <c r="A11821" s="6"/>
      <c r="B11821" s="6"/>
      <c r="H11821" s="13"/>
    </row>
    <row r="11822">
      <c r="A11822" s="6"/>
      <c r="B11822" s="6"/>
      <c r="H11822" s="13"/>
    </row>
    <row r="11823">
      <c r="A11823" s="6"/>
      <c r="B11823" s="6"/>
      <c r="H11823" s="13"/>
    </row>
    <row r="11824">
      <c r="A11824" s="6"/>
      <c r="B11824" s="6"/>
      <c r="H11824" s="13"/>
    </row>
    <row r="11825">
      <c r="A11825" s="6"/>
      <c r="B11825" s="6"/>
      <c r="H11825" s="13"/>
    </row>
    <row r="11826">
      <c r="A11826" s="6"/>
      <c r="B11826" s="6"/>
      <c r="H11826" s="13"/>
    </row>
    <row r="11827">
      <c r="A11827" s="6"/>
      <c r="B11827" s="6"/>
      <c r="H11827" s="13"/>
    </row>
    <row r="11828">
      <c r="A11828" s="6"/>
      <c r="B11828" s="6"/>
      <c r="H11828" s="13"/>
    </row>
    <row r="11829">
      <c r="A11829" s="6"/>
      <c r="B11829" s="6"/>
      <c r="H11829" s="13"/>
    </row>
    <row r="11830">
      <c r="A11830" s="6"/>
      <c r="B11830" s="6"/>
      <c r="H11830" s="13"/>
    </row>
    <row r="11831">
      <c r="A11831" s="6"/>
      <c r="B11831" s="6"/>
      <c r="H11831" s="13"/>
    </row>
    <row r="11832">
      <c r="A11832" s="6"/>
      <c r="B11832" s="6"/>
      <c r="H11832" s="13"/>
    </row>
    <row r="11833">
      <c r="A11833" s="6"/>
      <c r="B11833" s="6"/>
      <c r="H11833" s="13"/>
    </row>
    <row r="11834">
      <c r="A11834" s="6"/>
      <c r="B11834" s="6"/>
      <c r="H11834" s="13"/>
    </row>
    <row r="11835">
      <c r="A11835" s="6"/>
      <c r="B11835" s="6"/>
      <c r="H11835" s="13"/>
    </row>
    <row r="11836">
      <c r="A11836" s="6"/>
      <c r="B11836" s="6"/>
      <c r="H11836" s="13"/>
    </row>
    <row r="11837">
      <c r="A11837" s="6"/>
      <c r="B11837" s="6"/>
      <c r="H11837" s="13"/>
    </row>
    <row r="11838">
      <c r="A11838" s="6"/>
      <c r="B11838" s="6"/>
      <c r="H11838" s="13"/>
    </row>
    <row r="11839">
      <c r="A11839" s="6"/>
      <c r="B11839" s="6"/>
      <c r="H11839" s="13"/>
    </row>
    <row r="11840">
      <c r="A11840" s="6"/>
      <c r="B11840" s="6"/>
      <c r="H11840" s="13"/>
    </row>
    <row r="11841">
      <c r="A11841" s="6"/>
      <c r="B11841" s="6"/>
      <c r="H11841" s="13"/>
    </row>
    <row r="11842">
      <c r="A11842" s="6"/>
      <c r="B11842" s="6"/>
      <c r="H11842" s="13"/>
    </row>
    <row r="11843">
      <c r="A11843" s="6"/>
      <c r="B11843" s="6"/>
      <c r="H11843" s="13"/>
    </row>
    <row r="11844">
      <c r="A11844" s="6"/>
      <c r="B11844" s="6"/>
      <c r="H11844" s="13"/>
    </row>
    <row r="11845">
      <c r="A11845" s="6"/>
      <c r="B11845" s="6"/>
      <c r="H11845" s="13"/>
    </row>
    <row r="11846">
      <c r="A11846" s="6"/>
      <c r="B11846" s="6"/>
      <c r="H11846" s="13"/>
    </row>
    <row r="11847">
      <c r="A11847" s="6"/>
      <c r="B11847" s="6"/>
      <c r="H11847" s="13"/>
    </row>
    <row r="11848">
      <c r="A11848" s="6"/>
      <c r="B11848" s="6"/>
      <c r="H11848" s="13"/>
    </row>
    <row r="11849">
      <c r="A11849" s="6"/>
      <c r="B11849" s="6"/>
      <c r="H11849" s="13"/>
    </row>
    <row r="11850">
      <c r="A11850" s="6"/>
      <c r="B11850" s="6"/>
      <c r="H11850" s="13"/>
    </row>
    <row r="11851">
      <c r="A11851" s="6"/>
      <c r="B11851" s="6"/>
      <c r="H11851" s="13"/>
    </row>
    <row r="11852">
      <c r="A11852" s="6"/>
      <c r="B11852" s="6"/>
      <c r="H11852" s="13"/>
    </row>
    <row r="11853">
      <c r="A11853" s="6"/>
      <c r="B11853" s="6"/>
      <c r="H11853" s="13"/>
    </row>
    <row r="11854">
      <c r="A11854" s="6"/>
      <c r="B11854" s="6"/>
      <c r="H11854" s="13"/>
    </row>
    <row r="11855">
      <c r="A11855" s="6"/>
      <c r="B11855" s="6"/>
      <c r="H11855" s="13"/>
    </row>
    <row r="11856">
      <c r="A11856" s="6"/>
      <c r="B11856" s="6"/>
      <c r="H11856" s="13"/>
    </row>
    <row r="11857">
      <c r="A11857" s="6"/>
      <c r="B11857" s="6"/>
      <c r="H11857" s="13"/>
    </row>
    <row r="11858">
      <c r="A11858" s="6"/>
      <c r="B11858" s="6"/>
      <c r="H11858" s="13"/>
    </row>
    <row r="11859">
      <c r="A11859" s="6"/>
      <c r="B11859" s="6"/>
      <c r="H11859" s="13"/>
    </row>
    <row r="11860">
      <c r="A11860" s="6"/>
      <c r="B11860" s="6"/>
      <c r="H11860" s="13"/>
    </row>
    <row r="11861">
      <c r="A11861" s="6"/>
      <c r="B11861" s="6"/>
      <c r="H11861" s="13"/>
    </row>
    <row r="11862">
      <c r="A11862" s="6"/>
      <c r="B11862" s="6"/>
      <c r="H11862" s="13"/>
    </row>
    <row r="11863">
      <c r="A11863" s="6"/>
      <c r="B11863" s="6"/>
      <c r="H11863" s="13"/>
    </row>
    <row r="11864">
      <c r="A11864" s="6"/>
      <c r="B11864" s="6"/>
      <c r="H11864" s="13"/>
    </row>
    <row r="11865">
      <c r="A11865" s="6"/>
      <c r="B11865" s="6"/>
      <c r="H11865" s="13"/>
    </row>
    <row r="11866">
      <c r="A11866" s="6"/>
      <c r="B11866" s="6"/>
      <c r="H11866" s="13"/>
    </row>
    <row r="11867">
      <c r="A11867" s="6"/>
      <c r="B11867" s="6"/>
      <c r="H11867" s="13"/>
    </row>
    <row r="11868">
      <c r="A11868" s="6"/>
      <c r="B11868" s="6"/>
      <c r="H11868" s="13"/>
    </row>
    <row r="11869">
      <c r="A11869" s="6"/>
      <c r="B11869" s="6"/>
      <c r="H11869" s="13"/>
    </row>
    <row r="11870">
      <c r="A11870" s="6"/>
      <c r="B11870" s="6"/>
      <c r="H11870" s="13"/>
    </row>
    <row r="11871">
      <c r="A11871" s="6"/>
      <c r="B11871" s="6"/>
      <c r="H11871" s="13"/>
    </row>
    <row r="11872">
      <c r="A11872" s="6"/>
      <c r="B11872" s="6"/>
      <c r="H11872" s="13"/>
    </row>
    <row r="11873">
      <c r="A11873" s="6"/>
      <c r="B11873" s="6"/>
      <c r="H11873" s="13"/>
    </row>
    <row r="11874">
      <c r="A11874" s="6"/>
      <c r="B11874" s="6"/>
      <c r="H11874" s="13"/>
    </row>
    <row r="11875">
      <c r="A11875" s="6"/>
      <c r="B11875" s="6"/>
      <c r="H11875" s="13"/>
    </row>
    <row r="11876">
      <c r="A11876" s="6"/>
      <c r="B11876" s="6"/>
      <c r="H11876" s="13"/>
    </row>
    <row r="11877">
      <c r="A11877" s="6"/>
      <c r="B11877" s="6"/>
      <c r="H11877" s="13"/>
    </row>
    <row r="11878">
      <c r="A11878" s="6"/>
      <c r="B11878" s="6"/>
      <c r="H11878" s="13"/>
    </row>
    <row r="11879">
      <c r="A11879" s="6"/>
      <c r="B11879" s="6"/>
      <c r="H11879" s="13"/>
    </row>
    <row r="11880">
      <c r="A11880" s="6"/>
      <c r="B11880" s="6"/>
      <c r="H11880" s="13"/>
    </row>
    <row r="11881">
      <c r="A11881" s="6"/>
      <c r="B11881" s="6"/>
      <c r="H11881" s="13"/>
    </row>
    <row r="11882">
      <c r="A11882" s="6"/>
      <c r="B11882" s="6"/>
      <c r="H11882" s="13"/>
    </row>
    <row r="11883">
      <c r="A11883" s="6"/>
      <c r="B11883" s="6"/>
      <c r="H11883" s="13"/>
    </row>
    <row r="11884">
      <c r="A11884" s="6"/>
      <c r="B11884" s="6"/>
      <c r="H11884" s="13"/>
    </row>
    <row r="11885">
      <c r="A11885" s="6"/>
      <c r="B11885" s="6"/>
      <c r="H11885" s="13"/>
    </row>
    <row r="11886">
      <c r="A11886" s="6"/>
      <c r="B11886" s="6"/>
      <c r="H11886" s="13"/>
    </row>
    <row r="11887">
      <c r="A11887" s="6"/>
      <c r="B11887" s="6"/>
      <c r="H11887" s="13"/>
    </row>
    <row r="11888">
      <c r="A11888" s="6"/>
      <c r="B11888" s="6"/>
      <c r="H11888" s="13"/>
    </row>
    <row r="11889">
      <c r="A11889" s="6"/>
      <c r="B11889" s="6"/>
      <c r="H11889" s="13"/>
    </row>
    <row r="11890">
      <c r="A11890" s="6"/>
      <c r="B11890" s="6"/>
      <c r="H11890" s="13"/>
    </row>
    <row r="11891">
      <c r="A11891" s="6"/>
      <c r="B11891" s="6"/>
      <c r="H11891" s="13"/>
    </row>
    <row r="11892">
      <c r="A11892" s="6"/>
      <c r="B11892" s="6"/>
      <c r="H11892" s="13"/>
    </row>
    <row r="11893">
      <c r="A11893" s="6"/>
      <c r="B11893" s="6"/>
      <c r="H11893" s="13"/>
    </row>
    <row r="11894">
      <c r="A11894" s="6"/>
      <c r="B11894" s="6"/>
      <c r="H11894" s="13"/>
    </row>
    <row r="11895">
      <c r="A11895" s="6"/>
      <c r="B11895" s="6"/>
      <c r="H11895" s="13"/>
    </row>
    <row r="11896">
      <c r="A11896" s="6"/>
      <c r="B11896" s="6"/>
      <c r="H11896" s="13"/>
    </row>
    <row r="11897">
      <c r="A11897" s="6"/>
      <c r="B11897" s="6"/>
      <c r="H11897" s="13"/>
    </row>
    <row r="11898">
      <c r="A11898" s="6"/>
      <c r="B11898" s="6"/>
      <c r="H11898" s="13"/>
    </row>
    <row r="11899">
      <c r="A11899" s="6"/>
      <c r="B11899" s="6"/>
      <c r="H11899" s="13"/>
    </row>
    <row r="11900">
      <c r="A11900" s="6"/>
      <c r="B11900" s="6"/>
      <c r="H11900" s="13"/>
    </row>
    <row r="11901">
      <c r="A11901" s="6"/>
      <c r="B11901" s="6"/>
      <c r="H11901" s="13"/>
    </row>
    <row r="11902">
      <c r="A11902" s="6"/>
      <c r="B11902" s="6"/>
      <c r="H11902" s="13"/>
    </row>
    <row r="11903">
      <c r="A11903" s="6"/>
      <c r="B11903" s="6"/>
      <c r="H11903" s="13"/>
    </row>
    <row r="11904">
      <c r="A11904" s="6"/>
      <c r="B11904" s="6"/>
      <c r="H11904" s="13"/>
    </row>
    <row r="11905">
      <c r="A11905" s="6"/>
      <c r="B11905" s="6"/>
      <c r="H11905" s="13"/>
    </row>
    <row r="11906">
      <c r="A11906" s="6"/>
      <c r="B11906" s="6"/>
      <c r="H11906" s="13"/>
    </row>
    <row r="11907">
      <c r="A11907" s="6"/>
      <c r="B11907" s="6"/>
      <c r="H11907" s="13"/>
    </row>
    <row r="11908">
      <c r="A11908" s="6"/>
      <c r="B11908" s="6"/>
      <c r="H11908" s="13"/>
    </row>
    <row r="11909">
      <c r="A11909" s="6"/>
      <c r="B11909" s="6"/>
      <c r="H11909" s="13"/>
    </row>
    <row r="11910">
      <c r="A11910" s="6"/>
      <c r="B11910" s="6"/>
      <c r="H11910" s="13"/>
    </row>
    <row r="11911">
      <c r="A11911" s="6"/>
      <c r="B11911" s="6"/>
      <c r="H11911" s="13"/>
    </row>
    <row r="11912">
      <c r="A11912" s="6"/>
      <c r="B11912" s="6"/>
      <c r="H11912" s="13"/>
    </row>
    <row r="11913">
      <c r="A11913" s="6"/>
      <c r="B11913" s="6"/>
      <c r="H11913" s="13"/>
    </row>
    <row r="11914">
      <c r="A11914" s="6"/>
      <c r="B11914" s="6"/>
      <c r="H11914" s="13"/>
    </row>
    <row r="11915">
      <c r="A11915" s="6"/>
      <c r="B11915" s="6"/>
      <c r="H11915" s="13"/>
    </row>
    <row r="11916">
      <c r="A11916" s="6"/>
      <c r="B11916" s="6"/>
      <c r="H11916" s="13"/>
    </row>
    <row r="11917">
      <c r="A11917" s="6"/>
      <c r="B11917" s="6"/>
      <c r="H11917" s="13"/>
    </row>
    <row r="11918">
      <c r="A11918" s="6"/>
      <c r="B11918" s="6"/>
      <c r="H11918" s="13"/>
    </row>
    <row r="11919">
      <c r="A11919" s="6"/>
      <c r="B11919" s="6"/>
      <c r="H11919" s="13"/>
    </row>
    <row r="11920">
      <c r="A11920" s="6"/>
      <c r="B11920" s="6"/>
      <c r="H11920" s="13"/>
    </row>
    <row r="11921">
      <c r="A11921" s="6"/>
      <c r="B11921" s="6"/>
      <c r="H11921" s="13"/>
    </row>
    <row r="11922">
      <c r="A11922" s="6"/>
      <c r="B11922" s="6"/>
      <c r="H11922" s="13"/>
    </row>
    <row r="11923">
      <c r="A11923" s="6"/>
      <c r="B11923" s="6"/>
      <c r="H11923" s="13"/>
    </row>
    <row r="11924">
      <c r="A11924" s="6"/>
      <c r="B11924" s="6"/>
      <c r="H11924" s="13"/>
    </row>
    <row r="11925">
      <c r="A11925" s="6"/>
      <c r="B11925" s="6"/>
      <c r="H11925" s="13"/>
    </row>
    <row r="11926">
      <c r="A11926" s="6"/>
      <c r="B11926" s="6"/>
      <c r="H11926" s="13"/>
    </row>
    <row r="11927">
      <c r="A11927" s="6"/>
      <c r="B11927" s="6"/>
      <c r="H11927" s="13"/>
    </row>
    <row r="11928">
      <c r="A11928" s="6"/>
      <c r="B11928" s="6"/>
      <c r="H11928" s="13"/>
    </row>
    <row r="11929">
      <c r="A11929" s="6"/>
      <c r="B11929" s="6"/>
      <c r="H11929" s="13"/>
    </row>
    <row r="11930">
      <c r="A11930" s="6"/>
      <c r="B11930" s="6"/>
      <c r="H11930" s="13"/>
    </row>
    <row r="11931">
      <c r="A11931" s="6"/>
      <c r="B11931" s="6"/>
      <c r="H11931" s="13"/>
    </row>
    <row r="11932">
      <c r="A11932" s="6"/>
      <c r="B11932" s="6"/>
      <c r="H11932" s="13"/>
    </row>
    <row r="11933">
      <c r="A11933" s="6"/>
      <c r="B11933" s="6"/>
      <c r="H11933" s="13"/>
    </row>
    <row r="11934">
      <c r="A11934" s="6"/>
      <c r="B11934" s="6"/>
      <c r="H11934" s="13"/>
    </row>
    <row r="11935">
      <c r="A11935" s="6"/>
      <c r="B11935" s="6"/>
      <c r="H11935" s="13"/>
    </row>
    <row r="11936">
      <c r="A11936" s="6"/>
      <c r="B11936" s="6"/>
      <c r="H11936" s="13"/>
    </row>
    <row r="11937">
      <c r="A11937" s="6"/>
      <c r="B11937" s="6"/>
      <c r="H11937" s="13"/>
    </row>
    <row r="11938">
      <c r="A11938" s="6"/>
      <c r="B11938" s="6"/>
      <c r="H11938" s="13"/>
    </row>
    <row r="11939">
      <c r="A11939" s="6"/>
      <c r="B11939" s="6"/>
      <c r="H11939" s="13"/>
    </row>
    <row r="11940">
      <c r="A11940" s="6"/>
      <c r="B11940" s="6"/>
      <c r="H11940" s="13"/>
    </row>
    <row r="11941">
      <c r="A11941" s="6"/>
      <c r="B11941" s="6"/>
      <c r="H11941" s="13"/>
    </row>
    <row r="11942">
      <c r="A11942" s="6"/>
      <c r="B11942" s="6"/>
      <c r="H11942" s="13"/>
    </row>
    <row r="11943">
      <c r="A11943" s="6"/>
      <c r="B11943" s="6"/>
      <c r="H11943" s="13"/>
    </row>
    <row r="11944">
      <c r="A11944" s="6"/>
      <c r="B11944" s="6"/>
      <c r="H11944" s="13"/>
    </row>
    <row r="11945">
      <c r="A11945" s="6"/>
      <c r="B11945" s="6"/>
      <c r="H11945" s="13"/>
    </row>
    <row r="11946">
      <c r="A11946" s="6"/>
      <c r="B11946" s="6"/>
      <c r="H11946" s="13"/>
    </row>
    <row r="11947">
      <c r="A11947" s="6"/>
      <c r="B11947" s="6"/>
      <c r="H11947" s="13"/>
    </row>
    <row r="11948">
      <c r="A11948" s="6"/>
      <c r="B11948" s="6"/>
      <c r="H11948" s="13"/>
    </row>
    <row r="11949">
      <c r="A11949" s="6"/>
      <c r="B11949" s="6"/>
      <c r="H11949" s="13"/>
    </row>
    <row r="11950">
      <c r="A11950" s="6"/>
      <c r="B11950" s="6"/>
      <c r="H11950" s="13"/>
    </row>
    <row r="11951">
      <c r="A11951" s="6"/>
      <c r="B11951" s="6"/>
      <c r="H11951" s="13"/>
    </row>
    <row r="11952">
      <c r="A11952" s="6"/>
      <c r="B11952" s="6"/>
      <c r="H11952" s="13"/>
    </row>
    <row r="11953">
      <c r="A11953" s="6"/>
      <c r="B11953" s="6"/>
      <c r="H11953" s="13"/>
    </row>
    <row r="11954">
      <c r="A11954" s="6"/>
      <c r="B11954" s="6"/>
      <c r="H11954" s="13"/>
    </row>
    <row r="11955">
      <c r="A11955" s="6"/>
      <c r="B11955" s="6"/>
      <c r="H11955" s="13"/>
    </row>
    <row r="11956">
      <c r="A11956" s="6"/>
      <c r="B11956" s="6"/>
      <c r="H11956" s="13"/>
    </row>
    <row r="11957">
      <c r="A11957" s="6"/>
      <c r="B11957" s="6"/>
      <c r="H11957" s="13"/>
    </row>
    <row r="11958">
      <c r="A11958" s="6"/>
      <c r="B11958" s="6"/>
      <c r="H11958" s="13"/>
    </row>
    <row r="11959">
      <c r="A11959" s="6"/>
      <c r="B11959" s="6"/>
      <c r="H11959" s="13"/>
    </row>
    <row r="11960">
      <c r="A11960" s="6"/>
      <c r="B11960" s="6"/>
      <c r="H11960" s="13"/>
    </row>
    <row r="11961">
      <c r="A11961" s="6"/>
      <c r="B11961" s="6"/>
      <c r="H11961" s="13"/>
    </row>
    <row r="11962">
      <c r="A11962" s="6"/>
      <c r="B11962" s="6"/>
      <c r="H11962" s="13"/>
    </row>
    <row r="11963">
      <c r="A11963" s="6"/>
      <c r="B11963" s="6"/>
      <c r="H11963" s="13"/>
    </row>
    <row r="11964">
      <c r="A11964" s="6"/>
      <c r="B11964" s="6"/>
      <c r="H11964" s="13"/>
    </row>
    <row r="11965">
      <c r="A11965" s="6"/>
      <c r="B11965" s="6"/>
      <c r="H11965" s="13"/>
    </row>
    <row r="11966">
      <c r="A11966" s="6"/>
      <c r="B11966" s="6"/>
      <c r="H11966" s="13"/>
    </row>
    <row r="11967">
      <c r="A11967" s="6"/>
      <c r="B11967" s="6"/>
      <c r="H11967" s="13"/>
    </row>
    <row r="11968">
      <c r="A11968" s="6"/>
      <c r="B11968" s="6"/>
      <c r="H11968" s="13"/>
    </row>
    <row r="11969">
      <c r="A11969" s="6"/>
      <c r="B11969" s="6"/>
      <c r="H11969" s="13"/>
    </row>
    <row r="11970">
      <c r="A11970" s="6"/>
      <c r="B11970" s="6"/>
      <c r="H11970" s="13"/>
    </row>
    <row r="11971">
      <c r="A11971" s="6"/>
      <c r="B11971" s="6"/>
      <c r="H11971" s="13"/>
    </row>
    <row r="11972">
      <c r="A11972" s="6"/>
      <c r="B11972" s="6"/>
      <c r="H11972" s="13"/>
    </row>
    <row r="11973">
      <c r="A11973" s="6"/>
      <c r="B11973" s="6"/>
      <c r="H11973" s="13"/>
    </row>
    <row r="11974">
      <c r="A11974" s="6"/>
      <c r="B11974" s="6"/>
      <c r="H11974" s="13"/>
    </row>
    <row r="11975">
      <c r="A11975" s="6"/>
      <c r="B11975" s="6"/>
      <c r="H11975" s="13"/>
    </row>
    <row r="11976">
      <c r="A11976" s="6"/>
      <c r="B11976" s="6"/>
      <c r="H11976" s="13"/>
    </row>
    <row r="11977">
      <c r="A11977" s="6"/>
      <c r="B11977" s="6"/>
      <c r="H11977" s="13"/>
    </row>
    <row r="11978">
      <c r="A11978" s="6"/>
      <c r="B11978" s="6"/>
      <c r="H11978" s="13"/>
    </row>
    <row r="11979">
      <c r="A11979" s="6"/>
      <c r="B11979" s="6"/>
      <c r="H11979" s="13"/>
    </row>
    <row r="11980">
      <c r="A11980" s="6"/>
      <c r="B11980" s="6"/>
      <c r="H11980" s="13"/>
    </row>
    <row r="11981">
      <c r="A11981" s="6"/>
      <c r="B11981" s="6"/>
      <c r="H11981" s="13"/>
    </row>
    <row r="11982">
      <c r="A11982" s="6"/>
      <c r="B11982" s="6"/>
      <c r="H11982" s="13"/>
    </row>
    <row r="11983">
      <c r="A11983" s="6"/>
      <c r="B11983" s="6"/>
      <c r="H11983" s="13"/>
    </row>
    <row r="11984">
      <c r="A11984" s="6"/>
      <c r="B11984" s="6"/>
      <c r="H11984" s="13"/>
    </row>
    <row r="11985">
      <c r="A11985" s="6"/>
      <c r="B11985" s="6"/>
      <c r="H11985" s="13"/>
    </row>
    <row r="11986">
      <c r="A11986" s="6"/>
      <c r="B11986" s="6"/>
      <c r="H11986" s="13"/>
    </row>
    <row r="11987">
      <c r="A11987" s="6"/>
      <c r="B11987" s="6"/>
      <c r="H11987" s="13"/>
    </row>
    <row r="11988">
      <c r="A11988" s="6"/>
      <c r="B11988" s="6"/>
      <c r="H11988" s="13"/>
    </row>
    <row r="11989">
      <c r="A11989" s="6"/>
      <c r="B11989" s="6"/>
      <c r="H11989" s="13"/>
    </row>
    <row r="11990">
      <c r="A11990" s="6"/>
      <c r="B11990" s="6"/>
      <c r="H11990" s="13"/>
    </row>
    <row r="11991">
      <c r="A11991" s="6"/>
      <c r="B11991" s="6"/>
      <c r="H11991" s="13"/>
    </row>
    <row r="11992">
      <c r="A11992" s="6"/>
      <c r="B11992" s="6"/>
      <c r="H11992" s="13"/>
    </row>
    <row r="11993">
      <c r="A11993" s="6"/>
      <c r="B11993" s="6"/>
      <c r="H11993" s="13"/>
    </row>
    <row r="11994">
      <c r="A11994" s="6"/>
      <c r="B11994" s="6"/>
      <c r="H11994" s="13"/>
    </row>
    <row r="11995">
      <c r="A11995" s="6"/>
      <c r="B11995" s="6"/>
      <c r="H11995" s="13"/>
    </row>
    <row r="11996">
      <c r="A11996" s="6"/>
      <c r="B11996" s="6"/>
      <c r="H11996" s="13"/>
    </row>
    <row r="11997">
      <c r="A11997" s="6"/>
      <c r="B11997" s="6"/>
      <c r="H11997" s="13"/>
    </row>
    <row r="11998">
      <c r="A11998" s="6"/>
      <c r="B11998" s="6"/>
      <c r="H11998" s="13"/>
    </row>
    <row r="11999">
      <c r="A11999" s="6"/>
      <c r="B11999" s="6"/>
      <c r="H11999" s="13"/>
    </row>
    <row r="12000">
      <c r="A12000" s="6"/>
      <c r="B12000" s="6"/>
      <c r="H12000" s="13"/>
    </row>
    <row r="12001">
      <c r="A12001" s="6"/>
      <c r="B12001" s="6"/>
      <c r="H12001" s="13"/>
    </row>
    <row r="12002">
      <c r="A12002" s="6"/>
      <c r="B12002" s="6"/>
      <c r="H12002" s="13"/>
    </row>
    <row r="12003">
      <c r="A12003" s="6"/>
      <c r="B12003" s="6"/>
      <c r="H12003" s="13"/>
    </row>
    <row r="12004">
      <c r="A12004" s="6"/>
      <c r="B12004" s="6"/>
      <c r="H12004" s="13"/>
    </row>
    <row r="12005">
      <c r="A12005" s="6"/>
      <c r="B12005" s="6"/>
      <c r="H12005" s="13"/>
    </row>
    <row r="12006">
      <c r="A12006" s="6"/>
      <c r="B12006" s="6"/>
      <c r="H12006" s="13"/>
    </row>
    <row r="12007">
      <c r="A12007" s="6"/>
      <c r="B12007" s="6"/>
      <c r="H12007" s="13"/>
    </row>
    <row r="12008">
      <c r="A12008" s="6"/>
      <c r="B12008" s="6"/>
      <c r="H12008" s="13"/>
    </row>
    <row r="12009">
      <c r="A12009" s="6"/>
      <c r="B12009" s="6"/>
      <c r="H12009" s="13"/>
    </row>
    <row r="12010">
      <c r="A12010" s="6"/>
      <c r="B12010" s="6"/>
      <c r="H12010" s="13"/>
    </row>
    <row r="12011">
      <c r="A12011" s="6"/>
      <c r="B12011" s="6"/>
      <c r="H12011" s="13"/>
    </row>
    <row r="12012">
      <c r="A12012" s="6"/>
      <c r="B12012" s="6"/>
      <c r="H12012" s="13"/>
    </row>
    <row r="12013">
      <c r="A12013" s="6"/>
      <c r="B12013" s="6"/>
      <c r="H12013" s="13"/>
    </row>
    <row r="12014">
      <c r="A12014" s="6"/>
      <c r="B12014" s="6"/>
      <c r="H12014" s="13"/>
    </row>
    <row r="12015">
      <c r="A12015" s="6"/>
      <c r="B12015" s="6"/>
      <c r="H12015" s="13"/>
    </row>
    <row r="12016">
      <c r="A12016" s="6"/>
      <c r="B12016" s="6"/>
      <c r="H12016" s="13"/>
    </row>
    <row r="12017">
      <c r="A12017" s="6"/>
      <c r="B12017" s="6"/>
      <c r="H12017" s="13"/>
    </row>
    <row r="12018">
      <c r="A12018" s="6"/>
      <c r="B12018" s="6"/>
      <c r="H12018" s="13"/>
    </row>
    <row r="12019">
      <c r="A12019" s="6"/>
      <c r="B12019" s="6"/>
      <c r="H12019" s="13"/>
    </row>
    <row r="12020">
      <c r="A12020" s="6"/>
      <c r="B12020" s="6"/>
      <c r="H12020" s="13"/>
    </row>
    <row r="12021">
      <c r="A12021" s="6"/>
      <c r="B12021" s="6"/>
      <c r="H12021" s="13"/>
    </row>
    <row r="12022">
      <c r="A12022" s="6"/>
      <c r="B12022" s="6"/>
      <c r="H12022" s="13"/>
    </row>
    <row r="12023">
      <c r="A12023" s="6"/>
      <c r="B12023" s="6"/>
      <c r="H12023" s="13"/>
    </row>
    <row r="12024">
      <c r="A12024" s="6"/>
      <c r="B12024" s="6"/>
      <c r="H12024" s="13"/>
    </row>
    <row r="12025">
      <c r="A12025" s="6"/>
      <c r="B12025" s="6"/>
      <c r="H12025" s="13"/>
    </row>
    <row r="12026">
      <c r="A12026" s="6"/>
      <c r="B12026" s="6"/>
      <c r="H12026" s="13"/>
    </row>
    <row r="12027">
      <c r="A12027" s="6"/>
      <c r="B12027" s="6"/>
      <c r="H12027" s="13"/>
    </row>
    <row r="12028">
      <c r="A12028" s="6"/>
      <c r="B12028" s="6"/>
      <c r="H12028" s="13"/>
    </row>
    <row r="12029">
      <c r="A12029" s="6"/>
      <c r="B12029" s="6"/>
      <c r="H12029" s="13"/>
    </row>
    <row r="12030">
      <c r="A12030" s="6"/>
      <c r="B12030" s="6"/>
      <c r="H12030" s="13"/>
    </row>
    <row r="12031">
      <c r="A12031" s="6"/>
      <c r="B12031" s="6"/>
      <c r="H12031" s="13"/>
    </row>
    <row r="12032">
      <c r="A12032" s="6"/>
      <c r="B12032" s="6"/>
      <c r="H12032" s="13"/>
    </row>
    <row r="12033">
      <c r="A12033" s="6"/>
      <c r="B12033" s="6"/>
      <c r="H12033" s="13"/>
    </row>
    <row r="12034">
      <c r="A12034" s="6"/>
      <c r="B12034" s="6"/>
      <c r="H12034" s="13"/>
    </row>
    <row r="12035">
      <c r="A12035" s="6"/>
      <c r="B12035" s="6"/>
      <c r="H12035" s="13"/>
    </row>
    <row r="12036">
      <c r="A12036" s="6"/>
      <c r="B12036" s="6"/>
      <c r="H12036" s="13"/>
    </row>
    <row r="12037">
      <c r="A12037" s="6"/>
      <c r="B12037" s="6"/>
      <c r="H12037" s="13"/>
    </row>
    <row r="12038">
      <c r="A12038" s="6"/>
      <c r="B12038" s="6"/>
      <c r="H12038" s="13"/>
    </row>
    <row r="12039">
      <c r="A12039" s="6"/>
      <c r="B12039" s="6"/>
      <c r="H12039" s="13"/>
    </row>
    <row r="12040">
      <c r="A12040" s="6"/>
      <c r="B12040" s="6"/>
      <c r="H12040" s="13"/>
    </row>
    <row r="12041">
      <c r="A12041" s="6"/>
      <c r="B12041" s="6"/>
      <c r="H12041" s="13"/>
    </row>
    <row r="12042">
      <c r="A12042" s="6"/>
      <c r="B12042" s="6"/>
      <c r="H12042" s="13"/>
    </row>
    <row r="12043">
      <c r="A12043" s="6"/>
      <c r="B12043" s="6"/>
      <c r="H12043" s="13"/>
    </row>
    <row r="12044">
      <c r="A12044" s="6"/>
      <c r="B12044" s="6"/>
      <c r="H12044" s="13"/>
    </row>
    <row r="12045">
      <c r="A12045" s="6"/>
      <c r="B12045" s="6"/>
      <c r="H12045" s="13"/>
    </row>
    <row r="12046">
      <c r="A12046" s="6"/>
      <c r="B12046" s="6"/>
      <c r="H12046" s="13"/>
    </row>
    <row r="12047">
      <c r="A12047" s="6"/>
      <c r="B12047" s="6"/>
      <c r="H12047" s="13"/>
    </row>
    <row r="12048">
      <c r="A12048" s="6"/>
      <c r="B12048" s="6"/>
      <c r="H12048" s="13"/>
    </row>
    <row r="12049">
      <c r="A12049" s="6"/>
      <c r="B12049" s="6"/>
      <c r="H12049" s="13"/>
    </row>
    <row r="12050">
      <c r="A12050" s="6"/>
      <c r="B12050" s="6"/>
      <c r="H12050" s="13"/>
    </row>
    <row r="12051">
      <c r="A12051" s="6"/>
      <c r="B12051" s="6"/>
      <c r="H12051" s="13"/>
    </row>
    <row r="12052">
      <c r="A12052" s="6"/>
      <c r="B12052" s="6"/>
      <c r="H12052" s="13"/>
    </row>
    <row r="12053">
      <c r="A12053" s="6"/>
      <c r="B12053" s="6"/>
      <c r="H12053" s="13"/>
    </row>
    <row r="12054">
      <c r="A12054" s="6"/>
      <c r="B12054" s="6"/>
      <c r="H12054" s="13"/>
    </row>
    <row r="12055">
      <c r="A12055" s="6"/>
      <c r="B12055" s="6"/>
      <c r="H12055" s="13"/>
    </row>
    <row r="12056">
      <c r="A12056" s="6"/>
      <c r="B12056" s="6"/>
      <c r="H12056" s="13"/>
    </row>
    <row r="12057">
      <c r="A12057" s="6"/>
      <c r="B12057" s="6"/>
      <c r="H12057" s="13"/>
    </row>
    <row r="12058">
      <c r="A12058" s="6"/>
      <c r="B12058" s="6"/>
      <c r="H12058" s="13"/>
    </row>
    <row r="12059">
      <c r="A12059" s="6"/>
      <c r="B12059" s="6"/>
      <c r="H12059" s="13"/>
    </row>
    <row r="12060">
      <c r="A12060" s="6"/>
      <c r="B12060" s="6"/>
      <c r="H12060" s="13"/>
    </row>
    <row r="12061">
      <c r="A12061" s="6"/>
      <c r="B12061" s="6"/>
      <c r="H12061" s="13"/>
    </row>
    <row r="12062">
      <c r="A12062" s="6"/>
      <c r="B12062" s="6"/>
      <c r="H12062" s="13"/>
    </row>
    <row r="12063">
      <c r="A12063" s="6"/>
      <c r="B12063" s="6"/>
      <c r="H12063" s="13"/>
    </row>
    <row r="12064">
      <c r="A12064" s="6"/>
      <c r="B12064" s="6"/>
      <c r="H12064" s="13"/>
    </row>
    <row r="12065">
      <c r="A12065" s="6"/>
      <c r="B12065" s="6"/>
      <c r="H12065" s="13"/>
    </row>
    <row r="12066">
      <c r="A12066" s="6"/>
      <c r="B12066" s="6"/>
      <c r="H12066" s="13"/>
    </row>
    <row r="12067">
      <c r="A12067" s="6"/>
      <c r="B12067" s="6"/>
      <c r="H12067" s="13"/>
    </row>
    <row r="12068">
      <c r="A12068" s="6"/>
      <c r="B12068" s="6"/>
      <c r="H12068" s="13"/>
    </row>
    <row r="12069">
      <c r="A12069" s="6"/>
      <c r="B12069" s="6"/>
      <c r="H12069" s="13"/>
    </row>
    <row r="12070">
      <c r="A12070" s="6"/>
      <c r="B12070" s="6"/>
      <c r="H12070" s="13"/>
    </row>
    <row r="12071">
      <c r="A12071" s="6"/>
      <c r="B12071" s="6"/>
      <c r="H12071" s="13"/>
    </row>
    <row r="12072">
      <c r="A12072" s="6"/>
      <c r="B12072" s="6"/>
      <c r="H12072" s="13"/>
    </row>
    <row r="12073">
      <c r="A12073" s="6"/>
      <c r="B12073" s="6"/>
      <c r="H12073" s="13"/>
    </row>
    <row r="12074">
      <c r="A12074" s="6"/>
      <c r="B12074" s="6"/>
      <c r="H12074" s="13"/>
    </row>
    <row r="12075">
      <c r="A12075" s="6"/>
      <c r="B12075" s="6"/>
      <c r="H12075" s="13"/>
    </row>
    <row r="12076">
      <c r="A12076" s="6"/>
      <c r="B12076" s="6"/>
      <c r="H12076" s="13"/>
    </row>
    <row r="12077">
      <c r="A12077" s="6"/>
      <c r="B12077" s="6"/>
      <c r="H12077" s="13"/>
    </row>
    <row r="12078">
      <c r="A12078" s="6"/>
      <c r="B12078" s="6"/>
      <c r="H12078" s="13"/>
    </row>
    <row r="12079">
      <c r="A12079" s="6"/>
      <c r="B12079" s="6"/>
      <c r="H12079" s="13"/>
    </row>
    <row r="12080">
      <c r="A12080" s="6"/>
      <c r="B12080" s="6"/>
      <c r="H12080" s="13"/>
    </row>
    <row r="12081">
      <c r="A12081" s="6"/>
      <c r="B12081" s="6"/>
      <c r="H12081" s="13"/>
    </row>
    <row r="12082">
      <c r="A12082" s="6"/>
      <c r="B12082" s="6"/>
      <c r="H12082" s="13"/>
    </row>
    <row r="12083">
      <c r="A12083" s="6"/>
      <c r="B12083" s="6"/>
      <c r="H12083" s="13"/>
    </row>
    <row r="12084">
      <c r="A12084" s="6"/>
      <c r="B12084" s="6"/>
      <c r="H12084" s="13"/>
    </row>
    <row r="12085">
      <c r="A12085" s="6"/>
      <c r="B12085" s="6"/>
      <c r="H12085" s="13"/>
    </row>
    <row r="12086">
      <c r="A12086" s="6"/>
      <c r="B12086" s="6"/>
      <c r="H12086" s="13"/>
    </row>
    <row r="12087">
      <c r="A12087" s="6"/>
      <c r="B12087" s="6"/>
      <c r="H12087" s="13"/>
    </row>
    <row r="12088">
      <c r="A12088" s="6"/>
      <c r="B12088" s="6"/>
      <c r="H12088" s="13"/>
    </row>
    <row r="12089">
      <c r="A12089" s="6"/>
      <c r="B12089" s="6"/>
      <c r="H12089" s="13"/>
    </row>
    <row r="12090">
      <c r="A12090" s="6"/>
      <c r="B12090" s="6"/>
      <c r="H12090" s="13"/>
    </row>
    <row r="12091">
      <c r="A12091" s="6"/>
      <c r="B12091" s="6"/>
      <c r="H12091" s="13"/>
    </row>
    <row r="12092">
      <c r="A12092" s="6"/>
      <c r="B12092" s="6"/>
      <c r="H12092" s="13"/>
    </row>
    <row r="12093">
      <c r="A12093" s="6"/>
      <c r="B12093" s="6"/>
      <c r="H12093" s="13"/>
    </row>
    <row r="12094">
      <c r="A12094" s="6"/>
      <c r="B12094" s="6"/>
      <c r="H12094" s="13"/>
    </row>
    <row r="12095">
      <c r="A12095" s="6"/>
      <c r="B12095" s="6"/>
      <c r="H12095" s="13"/>
    </row>
    <row r="12096">
      <c r="A12096" s="6"/>
      <c r="B12096" s="6"/>
      <c r="H12096" s="13"/>
    </row>
    <row r="12097">
      <c r="A12097" s="6"/>
      <c r="B12097" s="6"/>
      <c r="H12097" s="13"/>
    </row>
    <row r="12098">
      <c r="A12098" s="6"/>
      <c r="B12098" s="6"/>
      <c r="H12098" s="13"/>
    </row>
    <row r="12099">
      <c r="A12099" s="6"/>
      <c r="B12099" s="6"/>
      <c r="H12099" s="13"/>
    </row>
    <row r="12100">
      <c r="A12100" s="6"/>
      <c r="B12100" s="6"/>
      <c r="H12100" s="13"/>
    </row>
    <row r="12101">
      <c r="A12101" s="6"/>
      <c r="B12101" s="6"/>
      <c r="H12101" s="13"/>
    </row>
    <row r="12102">
      <c r="A12102" s="6"/>
      <c r="B12102" s="6"/>
      <c r="H12102" s="13"/>
    </row>
    <row r="12103">
      <c r="A12103" s="6"/>
      <c r="B12103" s="6"/>
      <c r="H12103" s="13"/>
    </row>
    <row r="12104">
      <c r="A12104" s="6"/>
      <c r="B12104" s="6"/>
      <c r="H12104" s="13"/>
    </row>
    <row r="12105">
      <c r="A12105" s="6"/>
      <c r="B12105" s="6"/>
      <c r="H12105" s="13"/>
    </row>
    <row r="12106">
      <c r="A12106" s="6"/>
      <c r="B12106" s="6"/>
      <c r="H12106" s="13"/>
    </row>
    <row r="12107">
      <c r="A12107" s="6"/>
      <c r="B12107" s="6"/>
      <c r="H12107" s="13"/>
    </row>
    <row r="12108">
      <c r="A12108" s="6"/>
      <c r="B12108" s="6"/>
      <c r="H12108" s="13"/>
    </row>
    <row r="12109">
      <c r="A12109" s="6"/>
      <c r="B12109" s="6"/>
      <c r="H12109" s="13"/>
    </row>
    <row r="12110">
      <c r="A12110" s="6"/>
      <c r="B12110" s="6"/>
      <c r="H12110" s="13"/>
    </row>
    <row r="12111">
      <c r="A12111" s="6"/>
      <c r="B12111" s="6"/>
      <c r="H12111" s="13"/>
    </row>
    <row r="12112">
      <c r="A12112" s="6"/>
      <c r="B12112" s="6"/>
      <c r="H12112" s="13"/>
    </row>
    <row r="12113">
      <c r="A12113" s="6"/>
      <c r="B12113" s="6"/>
      <c r="H12113" s="13"/>
    </row>
    <row r="12114">
      <c r="A12114" s="6"/>
      <c r="B12114" s="6"/>
      <c r="H12114" s="13"/>
    </row>
    <row r="12115">
      <c r="A12115" s="6"/>
      <c r="B12115" s="6"/>
      <c r="H12115" s="13"/>
    </row>
    <row r="12116">
      <c r="A12116" s="6"/>
      <c r="B12116" s="6"/>
      <c r="H12116" s="13"/>
    </row>
    <row r="12117">
      <c r="A12117" s="6"/>
      <c r="B12117" s="6"/>
      <c r="H12117" s="13"/>
    </row>
    <row r="12118">
      <c r="A12118" s="6"/>
      <c r="B12118" s="6"/>
      <c r="H12118" s="13"/>
    </row>
    <row r="12119">
      <c r="A12119" s="6"/>
      <c r="B12119" s="6"/>
      <c r="H12119" s="13"/>
    </row>
    <row r="12120">
      <c r="A12120" s="6"/>
      <c r="B12120" s="6"/>
      <c r="H12120" s="13"/>
    </row>
    <row r="12121">
      <c r="A12121" s="6"/>
      <c r="B12121" s="6"/>
      <c r="H12121" s="13"/>
    </row>
    <row r="12122">
      <c r="A12122" s="6"/>
      <c r="B12122" s="6"/>
      <c r="H12122" s="13"/>
    </row>
    <row r="12123">
      <c r="A12123" s="6"/>
      <c r="B12123" s="6"/>
      <c r="H12123" s="13"/>
    </row>
    <row r="12124">
      <c r="A12124" s="6"/>
      <c r="B12124" s="6"/>
      <c r="H12124" s="13"/>
    </row>
    <row r="12125">
      <c r="A12125" s="6"/>
      <c r="B12125" s="6"/>
      <c r="H12125" s="13"/>
    </row>
    <row r="12126">
      <c r="A12126" s="6"/>
      <c r="B12126" s="6"/>
      <c r="H12126" s="13"/>
    </row>
    <row r="12127">
      <c r="A12127" s="6"/>
      <c r="B12127" s="6"/>
      <c r="H12127" s="13"/>
    </row>
    <row r="12128">
      <c r="A12128" s="6"/>
      <c r="B12128" s="6"/>
      <c r="H12128" s="13"/>
    </row>
    <row r="12129">
      <c r="A12129" s="6"/>
      <c r="B12129" s="6"/>
      <c r="H12129" s="13"/>
    </row>
    <row r="12130">
      <c r="A12130" s="6"/>
      <c r="B12130" s="6"/>
      <c r="H12130" s="13"/>
    </row>
    <row r="12131">
      <c r="A12131" s="6"/>
      <c r="B12131" s="6"/>
      <c r="H12131" s="13"/>
    </row>
    <row r="12132">
      <c r="A12132" s="6"/>
      <c r="B12132" s="6"/>
      <c r="H12132" s="13"/>
    </row>
    <row r="12133">
      <c r="A12133" s="6"/>
      <c r="B12133" s="6"/>
      <c r="H12133" s="13"/>
    </row>
    <row r="12134">
      <c r="A12134" s="6"/>
      <c r="B12134" s="6"/>
      <c r="H12134" s="13"/>
    </row>
    <row r="12135">
      <c r="A12135" s="6"/>
      <c r="B12135" s="6"/>
      <c r="H12135" s="13"/>
    </row>
    <row r="12136">
      <c r="A12136" s="6"/>
      <c r="B12136" s="6"/>
      <c r="H12136" s="13"/>
    </row>
    <row r="12137">
      <c r="A12137" s="6"/>
      <c r="B12137" s="6"/>
      <c r="H12137" s="13"/>
    </row>
    <row r="12138">
      <c r="A12138" s="6"/>
      <c r="B12138" s="6"/>
      <c r="H12138" s="13"/>
    </row>
    <row r="12139">
      <c r="A12139" s="6"/>
      <c r="B12139" s="6"/>
      <c r="H12139" s="13"/>
    </row>
    <row r="12140">
      <c r="A12140" s="6"/>
      <c r="B12140" s="6"/>
      <c r="H12140" s="13"/>
    </row>
    <row r="12141">
      <c r="A12141" s="6"/>
      <c r="B12141" s="6"/>
      <c r="H12141" s="13"/>
    </row>
    <row r="12142">
      <c r="A12142" s="6"/>
      <c r="B12142" s="6"/>
      <c r="H12142" s="13"/>
    </row>
    <row r="12143">
      <c r="A12143" s="6"/>
      <c r="B12143" s="6"/>
      <c r="H12143" s="13"/>
    </row>
    <row r="12144">
      <c r="A12144" s="6"/>
      <c r="B12144" s="6"/>
      <c r="H12144" s="13"/>
    </row>
    <row r="12145">
      <c r="A12145" s="6"/>
      <c r="B12145" s="6"/>
      <c r="H12145" s="13"/>
    </row>
    <row r="12146">
      <c r="A12146" s="6"/>
      <c r="B12146" s="6"/>
      <c r="H12146" s="13"/>
    </row>
    <row r="12147">
      <c r="A12147" s="6"/>
      <c r="B12147" s="6"/>
      <c r="H12147" s="13"/>
    </row>
    <row r="12148">
      <c r="A12148" s="6"/>
      <c r="B12148" s="6"/>
      <c r="H12148" s="13"/>
    </row>
    <row r="12149">
      <c r="A12149" s="6"/>
      <c r="B12149" s="6"/>
      <c r="H12149" s="13"/>
    </row>
    <row r="12150">
      <c r="A12150" s="6"/>
      <c r="B12150" s="6"/>
      <c r="H12150" s="13"/>
    </row>
    <row r="12151">
      <c r="A12151" s="6"/>
      <c r="B12151" s="6"/>
      <c r="H12151" s="13"/>
    </row>
    <row r="12152">
      <c r="A12152" s="6"/>
      <c r="B12152" s="6"/>
      <c r="H12152" s="13"/>
    </row>
    <row r="12153">
      <c r="A12153" s="6"/>
      <c r="B12153" s="6"/>
      <c r="H12153" s="13"/>
    </row>
    <row r="12154">
      <c r="A12154" s="6"/>
      <c r="B12154" s="6"/>
      <c r="H12154" s="13"/>
    </row>
    <row r="12155">
      <c r="A12155" s="6"/>
      <c r="B12155" s="6"/>
      <c r="H12155" s="13"/>
    </row>
    <row r="12156">
      <c r="A12156" s="6"/>
      <c r="B12156" s="6"/>
      <c r="H12156" s="13"/>
    </row>
    <row r="12157">
      <c r="A12157" s="6"/>
      <c r="B12157" s="6"/>
      <c r="H12157" s="13"/>
    </row>
    <row r="12158">
      <c r="A12158" s="6"/>
      <c r="B12158" s="6"/>
      <c r="H12158" s="13"/>
    </row>
    <row r="12159">
      <c r="A12159" s="6"/>
      <c r="B12159" s="6"/>
      <c r="H12159" s="13"/>
    </row>
    <row r="12160">
      <c r="A12160" s="6"/>
      <c r="B12160" s="6"/>
      <c r="H12160" s="13"/>
    </row>
    <row r="12161">
      <c r="A12161" s="6"/>
      <c r="B12161" s="6"/>
      <c r="H12161" s="13"/>
    </row>
    <row r="12162">
      <c r="A12162" s="6"/>
      <c r="B12162" s="6"/>
      <c r="H12162" s="13"/>
    </row>
    <row r="12163">
      <c r="A12163" s="6"/>
      <c r="B12163" s="6"/>
      <c r="H12163" s="13"/>
    </row>
    <row r="12164">
      <c r="A12164" s="6"/>
      <c r="B12164" s="6"/>
      <c r="H12164" s="13"/>
    </row>
    <row r="12165">
      <c r="A12165" s="6"/>
      <c r="B12165" s="6"/>
      <c r="H12165" s="13"/>
    </row>
    <row r="12166">
      <c r="A12166" s="6"/>
      <c r="B12166" s="6"/>
      <c r="H12166" s="13"/>
    </row>
    <row r="12167">
      <c r="A12167" s="6"/>
      <c r="B12167" s="6"/>
      <c r="H12167" s="13"/>
    </row>
    <row r="12168">
      <c r="A12168" s="6"/>
      <c r="B12168" s="6"/>
      <c r="H12168" s="13"/>
    </row>
    <row r="12169">
      <c r="A12169" s="6"/>
      <c r="B12169" s="6"/>
      <c r="H12169" s="13"/>
    </row>
    <row r="12170">
      <c r="A12170" s="6"/>
      <c r="B12170" s="6"/>
      <c r="H12170" s="13"/>
    </row>
    <row r="12171">
      <c r="A12171" s="6"/>
      <c r="B12171" s="6"/>
      <c r="H12171" s="13"/>
    </row>
    <row r="12172">
      <c r="A12172" s="6"/>
      <c r="B12172" s="6"/>
      <c r="H12172" s="13"/>
    </row>
    <row r="12173">
      <c r="A12173" s="6"/>
      <c r="B12173" s="6"/>
      <c r="H12173" s="13"/>
    </row>
    <row r="12174">
      <c r="A12174" s="6"/>
      <c r="B12174" s="6"/>
      <c r="H12174" s="13"/>
    </row>
    <row r="12175">
      <c r="A12175" s="6"/>
      <c r="B12175" s="6"/>
      <c r="H12175" s="13"/>
    </row>
    <row r="12176">
      <c r="A12176" s="6"/>
      <c r="B12176" s="6"/>
      <c r="H12176" s="13"/>
    </row>
    <row r="12177">
      <c r="A12177" s="6"/>
      <c r="B12177" s="6"/>
      <c r="H12177" s="13"/>
    </row>
    <row r="12178">
      <c r="A12178" s="6"/>
      <c r="B12178" s="6"/>
      <c r="H12178" s="13"/>
    </row>
    <row r="12179">
      <c r="A12179" s="6"/>
      <c r="B12179" s="6"/>
      <c r="H12179" s="13"/>
    </row>
    <row r="12180">
      <c r="A12180" s="6"/>
      <c r="B12180" s="6"/>
      <c r="H12180" s="13"/>
    </row>
    <row r="12181">
      <c r="A12181" s="6"/>
      <c r="B12181" s="6"/>
      <c r="H12181" s="13"/>
    </row>
    <row r="12182">
      <c r="A12182" s="6"/>
      <c r="B12182" s="6"/>
      <c r="H12182" s="13"/>
    </row>
    <row r="12183">
      <c r="A12183" s="6"/>
      <c r="B12183" s="6"/>
      <c r="H12183" s="13"/>
    </row>
    <row r="12184">
      <c r="A12184" s="6"/>
      <c r="B12184" s="6"/>
      <c r="H12184" s="13"/>
    </row>
    <row r="12185">
      <c r="A12185" s="6"/>
      <c r="B12185" s="6"/>
      <c r="H12185" s="13"/>
    </row>
    <row r="12186">
      <c r="A12186" s="6"/>
      <c r="B12186" s="6"/>
      <c r="H12186" s="13"/>
    </row>
    <row r="12187">
      <c r="A12187" s="6"/>
      <c r="B12187" s="6"/>
      <c r="H12187" s="13"/>
    </row>
    <row r="12188">
      <c r="A12188" s="6"/>
      <c r="B12188" s="6"/>
      <c r="H12188" s="13"/>
    </row>
    <row r="12189">
      <c r="A12189" s="6"/>
      <c r="B12189" s="6"/>
      <c r="H12189" s="13"/>
    </row>
    <row r="12190">
      <c r="A12190" s="6"/>
      <c r="B12190" s="6"/>
      <c r="H12190" s="13"/>
    </row>
    <row r="12191">
      <c r="A12191" s="6"/>
      <c r="B12191" s="6"/>
      <c r="H12191" s="13"/>
    </row>
    <row r="12192">
      <c r="A12192" s="6"/>
      <c r="B12192" s="6"/>
      <c r="H12192" s="13"/>
    </row>
    <row r="12193">
      <c r="A12193" s="6"/>
      <c r="B12193" s="6"/>
      <c r="H12193" s="13"/>
    </row>
    <row r="12194">
      <c r="A12194" s="6"/>
      <c r="B12194" s="6"/>
      <c r="H12194" s="13"/>
    </row>
    <row r="12195">
      <c r="A12195" s="6"/>
      <c r="B12195" s="6"/>
      <c r="H12195" s="13"/>
    </row>
    <row r="12196">
      <c r="A12196" s="6"/>
      <c r="B12196" s="6"/>
      <c r="H12196" s="13"/>
    </row>
    <row r="12197">
      <c r="A12197" s="6"/>
      <c r="B12197" s="6"/>
      <c r="H12197" s="13"/>
    </row>
    <row r="12198">
      <c r="A12198" s="6"/>
      <c r="B12198" s="6"/>
      <c r="H12198" s="13"/>
    </row>
    <row r="12199">
      <c r="A12199" s="6"/>
      <c r="B12199" s="6"/>
      <c r="H12199" s="13"/>
    </row>
    <row r="12200">
      <c r="A12200" s="6"/>
      <c r="B12200" s="6"/>
      <c r="H12200" s="13"/>
    </row>
    <row r="12201">
      <c r="A12201" s="6"/>
      <c r="B12201" s="6"/>
      <c r="H12201" s="13"/>
    </row>
    <row r="12202">
      <c r="A12202" s="6"/>
      <c r="B12202" s="6"/>
      <c r="H12202" s="13"/>
    </row>
    <row r="12203">
      <c r="A12203" s="6"/>
      <c r="B12203" s="6"/>
      <c r="H12203" s="13"/>
    </row>
    <row r="12204">
      <c r="A12204" s="6"/>
      <c r="B12204" s="6"/>
      <c r="H12204" s="13"/>
    </row>
    <row r="12205">
      <c r="A12205" s="6"/>
      <c r="B12205" s="6"/>
      <c r="H12205" s="13"/>
    </row>
    <row r="12206">
      <c r="A12206" s="6"/>
      <c r="B12206" s="6"/>
      <c r="H12206" s="13"/>
    </row>
    <row r="12207">
      <c r="A12207" s="6"/>
      <c r="B12207" s="6"/>
      <c r="H12207" s="13"/>
    </row>
    <row r="12208">
      <c r="A12208" s="6"/>
      <c r="B12208" s="6"/>
      <c r="H12208" s="13"/>
    </row>
    <row r="12209">
      <c r="A12209" s="6"/>
      <c r="B12209" s="6"/>
      <c r="H12209" s="13"/>
    </row>
    <row r="12210">
      <c r="A12210" s="6"/>
      <c r="B12210" s="6"/>
      <c r="H12210" s="13"/>
    </row>
    <row r="12211">
      <c r="A12211" s="6"/>
      <c r="B12211" s="6"/>
      <c r="H12211" s="13"/>
    </row>
    <row r="12212">
      <c r="A12212" s="6"/>
      <c r="B12212" s="6"/>
      <c r="H12212" s="13"/>
    </row>
    <row r="12213">
      <c r="A12213" s="6"/>
      <c r="B12213" s="6"/>
      <c r="H12213" s="13"/>
    </row>
    <row r="12214">
      <c r="A12214" s="6"/>
      <c r="B12214" s="6"/>
      <c r="H12214" s="13"/>
    </row>
    <row r="12215">
      <c r="A12215" s="6"/>
      <c r="B12215" s="6"/>
      <c r="H12215" s="13"/>
    </row>
    <row r="12216">
      <c r="A12216" s="6"/>
      <c r="B12216" s="6"/>
      <c r="H12216" s="13"/>
    </row>
    <row r="12217">
      <c r="A12217" s="6"/>
      <c r="B12217" s="6"/>
      <c r="H12217" s="13"/>
    </row>
    <row r="12218">
      <c r="A12218" s="6"/>
      <c r="B12218" s="6"/>
      <c r="H12218" s="13"/>
    </row>
    <row r="12219">
      <c r="A12219" s="6"/>
      <c r="B12219" s="6"/>
      <c r="H12219" s="13"/>
    </row>
    <row r="12220">
      <c r="A12220" s="6"/>
      <c r="B12220" s="6"/>
      <c r="H12220" s="13"/>
    </row>
    <row r="12221">
      <c r="A12221" s="6"/>
      <c r="B12221" s="6"/>
      <c r="H12221" s="13"/>
    </row>
    <row r="12222">
      <c r="A12222" s="6"/>
      <c r="B12222" s="6"/>
      <c r="H12222" s="13"/>
    </row>
    <row r="12223">
      <c r="A12223" s="6"/>
      <c r="B12223" s="6"/>
      <c r="H12223" s="13"/>
    </row>
    <row r="12224">
      <c r="A12224" s="6"/>
      <c r="B12224" s="6"/>
      <c r="H12224" s="13"/>
    </row>
    <row r="12225">
      <c r="A12225" s="6"/>
      <c r="B12225" s="6"/>
      <c r="H12225" s="13"/>
    </row>
    <row r="12226">
      <c r="A12226" s="6"/>
      <c r="B12226" s="6"/>
      <c r="H12226" s="13"/>
    </row>
    <row r="12227">
      <c r="A12227" s="6"/>
      <c r="B12227" s="6"/>
      <c r="H12227" s="13"/>
    </row>
    <row r="12228">
      <c r="A12228" s="6"/>
      <c r="B12228" s="6"/>
      <c r="H12228" s="13"/>
    </row>
    <row r="12229">
      <c r="A12229" s="6"/>
      <c r="B12229" s="6"/>
      <c r="H12229" s="13"/>
    </row>
    <row r="12230">
      <c r="A12230" s="6"/>
      <c r="B12230" s="6"/>
      <c r="H12230" s="13"/>
    </row>
    <row r="12231">
      <c r="A12231" s="6"/>
      <c r="B12231" s="6"/>
      <c r="H12231" s="13"/>
    </row>
    <row r="12232">
      <c r="A12232" s="6"/>
      <c r="B12232" s="6"/>
      <c r="H12232" s="13"/>
    </row>
    <row r="12233">
      <c r="A12233" s="6"/>
      <c r="B12233" s="6"/>
      <c r="H12233" s="13"/>
    </row>
    <row r="12234">
      <c r="A12234" s="6"/>
      <c r="B12234" s="6"/>
      <c r="H12234" s="13"/>
    </row>
    <row r="12235">
      <c r="A12235" s="6"/>
      <c r="B12235" s="6"/>
      <c r="H12235" s="13"/>
    </row>
    <row r="12236">
      <c r="A12236" s="6"/>
      <c r="B12236" s="6"/>
      <c r="H12236" s="13"/>
    </row>
    <row r="12237">
      <c r="A12237" s="6"/>
      <c r="B12237" s="6"/>
      <c r="H12237" s="13"/>
    </row>
    <row r="12238">
      <c r="A12238" s="6"/>
      <c r="B12238" s="6"/>
      <c r="H12238" s="13"/>
    </row>
    <row r="12239">
      <c r="A12239" s="6"/>
      <c r="B12239" s="6"/>
      <c r="H12239" s="13"/>
    </row>
    <row r="12240">
      <c r="A12240" s="6"/>
      <c r="B12240" s="6"/>
      <c r="H12240" s="13"/>
    </row>
    <row r="12241">
      <c r="A12241" s="6"/>
      <c r="B12241" s="6"/>
      <c r="H12241" s="13"/>
    </row>
    <row r="12242">
      <c r="A12242" s="6"/>
      <c r="B12242" s="6"/>
      <c r="H12242" s="13"/>
    </row>
    <row r="12243">
      <c r="A12243" s="6"/>
      <c r="B12243" s="6"/>
      <c r="H12243" s="13"/>
    </row>
    <row r="12244">
      <c r="A12244" s="6"/>
      <c r="B12244" s="6"/>
      <c r="H12244" s="13"/>
    </row>
    <row r="12245">
      <c r="A12245" s="6"/>
      <c r="B12245" s="6"/>
      <c r="H12245" s="13"/>
    </row>
    <row r="12246">
      <c r="A12246" s="6"/>
      <c r="B12246" s="6"/>
      <c r="H12246" s="13"/>
    </row>
    <row r="12247">
      <c r="A12247" s="6"/>
      <c r="B12247" s="6"/>
      <c r="H12247" s="13"/>
    </row>
    <row r="12248">
      <c r="A12248" s="6"/>
      <c r="B12248" s="6"/>
      <c r="H12248" s="13"/>
    </row>
    <row r="12249">
      <c r="A12249" s="6"/>
      <c r="B12249" s="6"/>
      <c r="H12249" s="13"/>
    </row>
    <row r="12250">
      <c r="A12250" s="6"/>
      <c r="B12250" s="6"/>
      <c r="H12250" s="13"/>
    </row>
    <row r="12251">
      <c r="A12251" s="6"/>
      <c r="B12251" s="6"/>
      <c r="H12251" s="13"/>
    </row>
    <row r="12252">
      <c r="A12252" s="6"/>
      <c r="B12252" s="6"/>
      <c r="H12252" s="13"/>
    </row>
    <row r="12253">
      <c r="A12253" s="6"/>
      <c r="B12253" s="6"/>
      <c r="H12253" s="13"/>
    </row>
    <row r="12254">
      <c r="A12254" s="6"/>
      <c r="B12254" s="6"/>
      <c r="H12254" s="13"/>
    </row>
    <row r="12255">
      <c r="A12255" s="6"/>
      <c r="B12255" s="6"/>
      <c r="H12255" s="13"/>
    </row>
    <row r="12256">
      <c r="A12256" s="6"/>
      <c r="B12256" s="6"/>
      <c r="H12256" s="13"/>
    </row>
    <row r="12257">
      <c r="A12257" s="6"/>
      <c r="B12257" s="6"/>
      <c r="H12257" s="13"/>
    </row>
    <row r="12258">
      <c r="A12258" s="6"/>
      <c r="B12258" s="6"/>
      <c r="H12258" s="13"/>
    </row>
    <row r="12259">
      <c r="A12259" s="6"/>
      <c r="B12259" s="6"/>
      <c r="H12259" s="13"/>
    </row>
    <row r="12260">
      <c r="A12260" s="6"/>
      <c r="B12260" s="6"/>
      <c r="H12260" s="13"/>
    </row>
    <row r="12261">
      <c r="A12261" s="6"/>
      <c r="B12261" s="6"/>
      <c r="H12261" s="13"/>
    </row>
    <row r="12262">
      <c r="A12262" s="6"/>
      <c r="B12262" s="6"/>
      <c r="H12262" s="13"/>
    </row>
    <row r="12263">
      <c r="A12263" s="6"/>
      <c r="B12263" s="6"/>
      <c r="H12263" s="13"/>
    </row>
    <row r="12264">
      <c r="A12264" s="6"/>
      <c r="B12264" s="6"/>
      <c r="H12264" s="13"/>
    </row>
    <row r="12265">
      <c r="A12265" s="6"/>
      <c r="B12265" s="6"/>
      <c r="H12265" s="13"/>
    </row>
    <row r="12266">
      <c r="A12266" s="6"/>
      <c r="B12266" s="6"/>
      <c r="H12266" s="13"/>
    </row>
    <row r="12267">
      <c r="A12267" s="6"/>
      <c r="B12267" s="6"/>
      <c r="H12267" s="13"/>
    </row>
    <row r="12268">
      <c r="A12268" s="6"/>
      <c r="B12268" s="6"/>
      <c r="H12268" s="13"/>
    </row>
    <row r="12269">
      <c r="A12269" s="6"/>
      <c r="B12269" s="6"/>
      <c r="H12269" s="13"/>
    </row>
    <row r="12270">
      <c r="A12270" s="6"/>
      <c r="B12270" s="6"/>
      <c r="H12270" s="13"/>
    </row>
    <row r="12271">
      <c r="A12271" s="6"/>
      <c r="B12271" s="6"/>
      <c r="H12271" s="13"/>
    </row>
    <row r="12272">
      <c r="A12272" s="6"/>
      <c r="B12272" s="6"/>
      <c r="H12272" s="13"/>
    </row>
    <row r="12273">
      <c r="A12273" s="6"/>
      <c r="B12273" s="6"/>
      <c r="H12273" s="13"/>
    </row>
    <row r="12274">
      <c r="A12274" s="6"/>
      <c r="B12274" s="6"/>
      <c r="H12274" s="13"/>
    </row>
    <row r="12275">
      <c r="A12275" s="6"/>
      <c r="B12275" s="6"/>
      <c r="H12275" s="13"/>
    </row>
    <row r="12276">
      <c r="A12276" s="6"/>
      <c r="B12276" s="6"/>
      <c r="H12276" s="13"/>
    </row>
    <row r="12277">
      <c r="A12277" s="6"/>
      <c r="B12277" s="6"/>
      <c r="H12277" s="13"/>
    </row>
    <row r="12278">
      <c r="A12278" s="6"/>
      <c r="B12278" s="6"/>
      <c r="H12278" s="13"/>
    </row>
    <row r="12279">
      <c r="A12279" s="6"/>
      <c r="B12279" s="6"/>
      <c r="H12279" s="13"/>
    </row>
    <row r="12280">
      <c r="A12280" s="6"/>
      <c r="B12280" s="6"/>
      <c r="H12280" s="13"/>
    </row>
    <row r="12281">
      <c r="A12281" s="6"/>
      <c r="B12281" s="6"/>
      <c r="H12281" s="13"/>
    </row>
    <row r="12282">
      <c r="A12282" s="6"/>
      <c r="B12282" s="6"/>
      <c r="H12282" s="13"/>
    </row>
    <row r="12283">
      <c r="A12283" s="6"/>
      <c r="B12283" s="6"/>
      <c r="H12283" s="13"/>
    </row>
    <row r="12284">
      <c r="A12284" s="6"/>
      <c r="B12284" s="6"/>
      <c r="H12284" s="13"/>
    </row>
    <row r="12285">
      <c r="A12285" s="6"/>
      <c r="B12285" s="6"/>
      <c r="H12285" s="13"/>
    </row>
    <row r="12286">
      <c r="A12286" s="6"/>
      <c r="B12286" s="6"/>
      <c r="H12286" s="13"/>
    </row>
    <row r="12287">
      <c r="A12287" s="6"/>
      <c r="B12287" s="6"/>
      <c r="H12287" s="13"/>
    </row>
    <row r="12288">
      <c r="A12288" s="6"/>
      <c r="B12288" s="6"/>
      <c r="H12288" s="13"/>
    </row>
    <row r="12289">
      <c r="A12289" s="6"/>
      <c r="B12289" s="6"/>
      <c r="H12289" s="13"/>
    </row>
    <row r="12290">
      <c r="A12290" s="6"/>
      <c r="B12290" s="6"/>
      <c r="H12290" s="13"/>
    </row>
    <row r="12291">
      <c r="A12291" s="6"/>
      <c r="B12291" s="6"/>
      <c r="H12291" s="13"/>
    </row>
    <row r="12292">
      <c r="A12292" s="6"/>
      <c r="B12292" s="6"/>
      <c r="H12292" s="13"/>
    </row>
    <row r="12293">
      <c r="A12293" s="6"/>
      <c r="B12293" s="6"/>
      <c r="H12293" s="13"/>
    </row>
    <row r="12294">
      <c r="A12294" s="6"/>
      <c r="B12294" s="6"/>
      <c r="H12294" s="13"/>
    </row>
    <row r="12295">
      <c r="A12295" s="6"/>
      <c r="B12295" s="6"/>
      <c r="H12295" s="13"/>
    </row>
    <row r="12296">
      <c r="A12296" s="6"/>
      <c r="B12296" s="6"/>
      <c r="H12296" s="13"/>
    </row>
    <row r="12297">
      <c r="A12297" s="6"/>
      <c r="B12297" s="6"/>
      <c r="H12297" s="13"/>
    </row>
    <row r="12298">
      <c r="A12298" s="6"/>
      <c r="B12298" s="6"/>
      <c r="H12298" s="13"/>
    </row>
    <row r="12299">
      <c r="A12299" s="6"/>
      <c r="B12299" s="6"/>
      <c r="H12299" s="13"/>
    </row>
    <row r="12300">
      <c r="A12300" s="6"/>
      <c r="B12300" s="6"/>
      <c r="H12300" s="13"/>
    </row>
    <row r="12301">
      <c r="A12301" s="6"/>
      <c r="B12301" s="6"/>
      <c r="H12301" s="13"/>
    </row>
    <row r="12302">
      <c r="A12302" s="6"/>
      <c r="B12302" s="6"/>
      <c r="H12302" s="13"/>
    </row>
    <row r="12303">
      <c r="A12303" s="6"/>
      <c r="B12303" s="6"/>
      <c r="H12303" s="13"/>
    </row>
    <row r="12304">
      <c r="A12304" s="6"/>
      <c r="B12304" s="6"/>
      <c r="H12304" s="13"/>
    </row>
    <row r="12305">
      <c r="A12305" s="6"/>
      <c r="B12305" s="6"/>
      <c r="H12305" s="13"/>
    </row>
    <row r="12306">
      <c r="A12306" s="6"/>
      <c r="B12306" s="6"/>
      <c r="H12306" s="13"/>
    </row>
    <row r="12307">
      <c r="A12307" s="6"/>
      <c r="B12307" s="6"/>
      <c r="H12307" s="13"/>
    </row>
    <row r="12308">
      <c r="A12308" s="6"/>
      <c r="B12308" s="6"/>
      <c r="H12308" s="13"/>
    </row>
    <row r="12309">
      <c r="A12309" s="6"/>
      <c r="B12309" s="6"/>
      <c r="H12309" s="13"/>
    </row>
    <row r="12310">
      <c r="A12310" s="6"/>
      <c r="B12310" s="6"/>
      <c r="H12310" s="13"/>
    </row>
    <row r="12311">
      <c r="A12311" s="6"/>
      <c r="B12311" s="6"/>
      <c r="H12311" s="13"/>
    </row>
    <row r="12312">
      <c r="A12312" s="6"/>
      <c r="B12312" s="6"/>
      <c r="H12312" s="13"/>
    </row>
    <row r="12313">
      <c r="A12313" s="6"/>
      <c r="B12313" s="6"/>
      <c r="H12313" s="13"/>
    </row>
    <row r="12314">
      <c r="A12314" s="6"/>
      <c r="B12314" s="6"/>
      <c r="H12314" s="13"/>
    </row>
    <row r="12315">
      <c r="A12315" s="6"/>
      <c r="B12315" s="6"/>
      <c r="H12315" s="13"/>
    </row>
    <row r="12316">
      <c r="A12316" s="6"/>
      <c r="B12316" s="6"/>
      <c r="H12316" s="13"/>
    </row>
    <row r="12317">
      <c r="A12317" s="6"/>
      <c r="B12317" s="6"/>
      <c r="H12317" s="13"/>
    </row>
    <row r="12318">
      <c r="A12318" s="6"/>
      <c r="B12318" s="6"/>
      <c r="H12318" s="13"/>
    </row>
    <row r="12319">
      <c r="A12319" s="6"/>
      <c r="B12319" s="6"/>
      <c r="H12319" s="13"/>
    </row>
    <row r="12320">
      <c r="A12320" s="6"/>
      <c r="B12320" s="6"/>
      <c r="H12320" s="13"/>
    </row>
    <row r="12321">
      <c r="A12321" s="6"/>
      <c r="B12321" s="6"/>
      <c r="H12321" s="13"/>
    </row>
    <row r="12322">
      <c r="A12322" s="6"/>
      <c r="B12322" s="6"/>
      <c r="H12322" s="13"/>
    </row>
    <row r="12323">
      <c r="A12323" s="6"/>
      <c r="B12323" s="6"/>
      <c r="H12323" s="13"/>
    </row>
    <row r="12324">
      <c r="A12324" s="6"/>
      <c r="B12324" s="6"/>
      <c r="H12324" s="13"/>
    </row>
    <row r="12325">
      <c r="A12325" s="6"/>
      <c r="B12325" s="6"/>
      <c r="H12325" s="13"/>
    </row>
    <row r="12326">
      <c r="A12326" s="6"/>
      <c r="B12326" s="6"/>
      <c r="H12326" s="13"/>
    </row>
    <row r="12327">
      <c r="A12327" s="6"/>
      <c r="B12327" s="6"/>
      <c r="H12327" s="13"/>
    </row>
    <row r="12328">
      <c r="A12328" s="6"/>
      <c r="B12328" s="6"/>
      <c r="H12328" s="13"/>
    </row>
    <row r="12329">
      <c r="A12329" s="6"/>
      <c r="B12329" s="6"/>
      <c r="H12329" s="13"/>
    </row>
    <row r="12330">
      <c r="A12330" s="6"/>
      <c r="B12330" s="6"/>
      <c r="H12330" s="13"/>
    </row>
    <row r="12331">
      <c r="A12331" s="6"/>
      <c r="B12331" s="6"/>
      <c r="H12331" s="13"/>
    </row>
    <row r="12332">
      <c r="A12332" s="6"/>
      <c r="B12332" s="6"/>
      <c r="H12332" s="13"/>
    </row>
    <row r="12333">
      <c r="A12333" s="6"/>
      <c r="B12333" s="6"/>
      <c r="H12333" s="13"/>
    </row>
    <row r="12334">
      <c r="A12334" s="6"/>
      <c r="B12334" s="6"/>
      <c r="H12334" s="13"/>
    </row>
    <row r="12335">
      <c r="A12335" s="6"/>
      <c r="B12335" s="6"/>
      <c r="H12335" s="13"/>
    </row>
    <row r="12336">
      <c r="A12336" s="6"/>
      <c r="B12336" s="6"/>
      <c r="H12336" s="13"/>
    </row>
    <row r="12337">
      <c r="A12337" s="6"/>
      <c r="B12337" s="6"/>
      <c r="H12337" s="13"/>
    </row>
    <row r="12338">
      <c r="A12338" s="6"/>
      <c r="B12338" s="6"/>
      <c r="H12338" s="13"/>
    </row>
    <row r="12339">
      <c r="A12339" s="6"/>
      <c r="B12339" s="6"/>
      <c r="H12339" s="13"/>
    </row>
    <row r="12340">
      <c r="A12340" s="6"/>
      <c r="B12340" s="6"/>
      <c r="H12340" s="13"/>
    </row>
    <row r="12341">
      <c r="A12341" s="6"/>
      <c r="B12341" s="6"/>
      <c r="H12341" s="13"/>
    </row>
    <row r="12342">
      <c r="A12342" s="6"/>
      <c r="B12342" s="6"/>
      <c r="H12342" s="13"/>
    </row>
    <row r="12343">
      <c r="A12343" s="6"/>
      <c r="B12343" s="6"/>
      <c r="H12343" s="13"/>
    </row>
    <row r="12344">
      <c r="A12344" s="6"/>
      <c r="B12344" s="6"/>
      <c r="H12344" s="13"/>
    </row>
    <row r="12345">
      <c r="A12345" s="6"/>
      <c r="B12345" s="6"/>
      <c r="H12345" s="13"/>
    </row>
    <row r="12346">
      <c r="A12346" s="6"/>
      <c r="B12346" s="6"/>
      <c r="H12346" s="13"/>
    </row>
    <row r="12347">
      <c r="A12347" s="6"/>
      <c r="B12347" s="6"/>
      <c r="H12347" s="13"/>
    </row>
    <row r="12348">
      <c r="A12348" s="6"/>
      <c r="B12348" s="6"/>
      <c r="H12348" s="13"/>
    </row>
    <row r="12349">
      <c r="A12349" s="6"/>
      <c r="B12349" s="6"/>
      <c r="H12349" s="13"/>
    </row>
    <row r="12350">
      <c r="A12350" s="6"/>
      <c r="B12350" s="6"/>
      <c r="H12350" s="13"/>
    </row>
    <row r="12351">
      <c r="A12351" s="6"/>
      <c r="B12351" s="6"/>
      <c r="H12351" s="13"/>
    </row>
    <row r="12352">
      <c r="A12352" s="6"/>
      <c r="B12352" s="6"/>
      <c r="H12352" s="13"/>
    </row>
    <row r="12353">
      <c r="A12353" s="6"/>
      <c r="B12353" s="6"/>
      <c r="H12353" s="13"/>
    </row>
    <row r="12354">
      <c r="A12354" s="6"/>
      <c r="B12354" s="6"/>
      <c r="H12354" s="13"/>
    </row>
    <row r="12355">
      <c r="A12355" s="6"/>
      <c r="B12355" s="6"/>
      <c r="H12355" s="13"/>
    </row>
    <row r="12356">
      <c r="A12356" s="6"/>
      <c r="B12356" s="6"/>
      <c r="H12356" s="13"/>
    </row>
    <row r="12357">
      <c r="A12357" s="6"/>
      <c r="B12357" s="6"/>
      <c r="H12357" s="13"/>
    </row>
    <row r="12358">
      <c r="A12358" s="6"/>
      <c r="B12358" s="6"/>
      <c r="H12358" s="13"/>
    </row>
    <row r="12359">
      <c r="A12359" s="6"/>
      <c r="B12359" s="6"/>
      <c r="H12359" s="13"/>
    </row>
    <row r="12360">
      <c r="A12360" s="6"/>
      <c r="B12360" s="6"/>
      <c r="H12360" s="13"/>
    </row>
    <row r="12361">
      <c r="A12361" s="6"/>
      <c r="B12361" s="6"/>
      <c r="H12361" s="13"/>
    </row>
    <row r="12362">
      <c r="A12362" s="6"/>
      <c r="B12362" s="6"/>
      <c r="H12362" s="13"/>
    </row>
    <row r="12363">
      <c r="A12363" s="6"/>
      <c r="B12363" s="6"/>
      <c r="H12363" s="13"/>
    </row>
    <row r="12364">
      <c r="A12364" s="6"/>
      <c r="B12364" s="6"/>
      <c r="H12364" s="13"/>
    </row>
    <row r="12365">
      <c r="A12365" s="6"/>
      <c r="B12365" s="6"/>
      <c r="H12365" s="13"/>
    </row>
    <row r="12366">
      <c r="A12366" s="6"/>
      <c r="B12366" s="6"/>
      <c r="H12366" s="13"/>
    </row>
    <row r="12367">
      <c r="A12367" s="6"/>
      <c r="B12367" s="6"/>
      <c r="H12367" s="13"/>
    </row>
    <row r="12368">
      <c r="A12368" s="6"/>
      <c r="B12368" s="6"/>
      <c r="H12368" s="13"/>
    </row>
    <row r="12369">
      <c r="A12369" s="6"/>
      <c r="B12369" s="6"/>
      <c r="H12369" s="13"/>
    </row>
    <row r="12370">
      <c r="A12370" s="6"/>
      <c r="B12370" s="6"/>
      <c r="H12370" s="13"/>
    </row>
    <row r="12371">
      <c r="A12371" s="6"/>
      <c r="B12371" s="6"/>
      <c r="H12371" s="13"/>
    </row>
    <row r="12372">
      <c r="A12372" s="6"/>
      <c r="B12372" s="6"/>
      <c r="H12372" s="13"/>
    </row>
    <row r="12373">
      <c r="A12373" s="6"/>
      <c r="B12373" s="6"/>
      <c r="H12373" s="13"/>
    </row>
    <row r="12374">
      <c r="A12374" s="6"/>
      <c r="B12374" s="6"/>
      <c r="H12374" s="13"/>
    </row>
    <row r="12375">
      <c r="A12375" s="6"/>
      <c r="B12375" s="6"/>
      <c r="H12375" s="13"/>
    </row>
    <row r="12376">
      <c r="A12376" s="6"/>
      <c r="B12376" s="6"/>
      <c r="H12376" s="13"/>
    </row>
    <row r="12377">
      <c r="A12377" s="6"/>
      <c r="B12377" s="6"/>
      <c r="H12377" s="13"/>
    </row>
    <row r="12378">
      <c r="A12378" s="6"/>
      <c r="B12378" s="6"/>
      <c r="H12378" s="13"/>
    </row>
    <row r="12379">
      <c r="A12379" s="6"/>
      <c r="B12379" s="6"/>
      <c r="H12379" s="13"/>
    </row>
    <row r="12380">
      <c r="A12380" s="6"/>
      <c r="B12380" s="6"/>
      <c r="H12380" s="13"/>
    </row>
    <row r="12381">
      <c r="A12381" s="6"/>
      <c r="B12381" s="6"/>
      <c r="H12381" s="13"/>
    </row>
    <row r="12382">
      <c r="A12382" s="6"/>
      <c r="B12382" s="6"/>
      <c r="H12382" s="13"/>
    </row>
    <row r="12383">
      <c r="A12383" s="6"/>
      <c r="B12383" s="6"/>
      <c r="H12383" s="13"/>
    </row>
    <row r="12384">
      <c r="A12384" s="6"/>
      <c r="B12384" s="6"/>
      <c r="H12384" s="13"/>
    </row>
    <row r="12385">
      <c r="A12385" s="6"/>
      <c r="B12385" s="6"/>
      <c r="H12385" s="13"/>
    </row>
    <row r="12386">
      <c r="A12386" s="6"/>
      <c r="B12386" s="6"/>
      <c r="H12386" s="13"/>
    </row>
    <row r="12387">
      <c r="A12387" s="6"/>
      <c r="B12387" s="6"/>
      <c r="H12387" s="13"/>
    </row>
    <row r="12388">
      <c r="A12388" s="6"/>
      <c r="B12388" s="6"/>
      <c r="H12388" s="13"/>
    </row>
    <row r="12389">
      <c r="A12389" s="6"/>
      <c r="B12389" s="6"/>
      <c r="H12389" s="13"/>
    </row>
    <row r="12390">
      <c r="A12390" s="6"/>
      <c r="B12390" s="6"/>
      <c r="H12390" s="13"/>
    </row>
    <row r="12391">
      <c r="A12391" s="6"/>
      <c r="B12391" s="6"/>
      <c r="H12391" s="13"/>
    </row>
    <row r="12392">
      <c r="A12392" s="6"/>
      <c r="B12392" s="6"/>
      <c r="H12392" s="13"/>
    </row>
    <row r="12393">
      <c r="A12393" s="6"/>
      <c r="B12393" s="6"/>
      <c r="H12393" s="13"/>
    </row>
    <row r="12394">
      <c r="A12394" s="6"/>
      <c r="B12394" s="6"/>
      <c r="H12394" s="13"/>
    </row>
    <row r="12395">
      <c r="A12395" s="6"/>
      <c r="B12395" s="6"/>
      <c r="H12395" s="13"/>
    </row>
    <row r="12396">
      <c r="A12396" s="6"/>
      <c r="B12396" s="6"/>
      <c r="H12396" s="13"/>
    </row>
    <row r="12397">
      <c r="A12397" s="6"/>
      <c r="B12397" s="6"/>
      <c r="H12397" s="13"/>
    </row>
    <row r="12398">
      <c r="A12398" s="6"/>
      <c r="B12398" s="6"/>
      <c r="H12398" s="13"/>
    </row>
    <row r="12399">
      <c r="A12399" s="6"/>
      <c r="B12399" s="6"/>
      <c r="H12399" s="13"/>
    </row>
    <row r="12400">
      <c r="A12400" s="6"/>
      <c r="B12400" s="6"/>
      <c r="H12400" s="13"/>
    </row>
    <row r="12401">
      <c r="A12401" s="6"/>
      <c r="B12401" s="6"/>
      <c r="H12401" s="13"/>
    </row>
    <row r="12402">
      <c r="A12402" s="6"/>
      <c r="B12402" s="6"/>
      <c r="H12402" s="13"/>
    </row>
    <row r="12403">
      <c r="A12403" s="6"/>
      <c r="B12403" s="6"/>
      <c r="H12403" s="13"/>
    </row>
    <row r="12404">
      <c r="A12404" s="6"/>
      <c r="B12404" s="6"/>
      <c r="H12404" s="13"/>
    </row>
    <row r="12405">
      <c r="A12405" s="6"/>
      <c r="B12405" s="6"/>
      <c r="H12405" s="13"/>
    </row>
    <row r="12406">
      <c r="A12406" s="6"/>
      <c r="B12406" s="6"/>
      <c r="H12406" s="13"/>
    </row>
    <row r="12407">
      <c r="A12407" s="6"/>
      <c r="B12407" s="6"/>
      <c r="H12407" s="13"/>
    </row>
    <row r="12408">
      <c r="A12408" s="6"/>
      <c r="B12408" s="6"/>
      <c r="H12408" s="13"/>
    </row>
    <row r="12409">
      <c r="A12409" s="6"/>
      <c r="B12409" s="6"/>
      <c r="H12409" s="13"/>
    </row>
    <row r="12410">
      <c r="A12410" s="6"/>
      <c r="B12410" s="6"/>
      <c r="H12410" s="13"/>
    </row>
    <row r="12411">
      <c r="A12411" s="6"/>
      <c r="B12411" s="6"/>
      <c r="H12411" s="13"/>
    </row>
    <row r="12412">
      <c r="A12412" s="6"/>
      <c r="B12412" s="6"/>
      <c r="H12412" s="13"/>
    </row>
    <row r="12413">
      <c r="A12413" s="6"/>
      <c r="B12413" s="6"/>
      <c r="H12413" s="13"/>
    </row>
    <row r="12414">
      <c r="A12414" s="6"/>
      <c r="B12414" s="6"/>
      <c r="H12414" s="13"/>
    </row>
    <row r="12415">
      <c r="A12415" s="6"/>
      <c r="B12415" s="6"/>
      <c r="H12415" s="13"/>
    </row>
    <row r="12416">
      <c r="A12416" s="6"/>
      <c r="B12416" s="6"/>
      <c r="H12416" s="13"/>
    </row>
    <row r="12417">
      <c r="A12417" s="6"/>
      <c r="B12417" s="6"/>
      <c r="H12417" s="13"/>
    </row>
    <row r="12418">
      <c r="A12418" s="6"/>
      <c r="B12418" s="6"/>
      <c r="H12418" s="13"/>
    </row>
    <row r="12419">
      <c r="A12419" s="6"/>
      <c r="B12419" s="6"/>
      <c r="H12419" s="13"/>
    </row>
    <row r="12420">
      <c r="A12420" s="6"/>
      <c r="B12420" s="6"/>
      <c r="H12420" s="13"/>
    </row>
    <row r="12421">
      <c r="A12421" s="6"/>
      <c r="B12421" s="6"/>
      <c r="H12421" s="13"/>
    </row>
    <row r="12422">
      <c r="A12422" s="6"/>
      <c r="B12422" s="6"/>
      <c r="H12422" s="13"/>
    </row>
    <row r="12423">
      <c r="A12423" s="6"/>
      <c r="B12423" s="6"/>
      <c r="H12423" s="13"/>
    </row>
    <row r="12424">
      <c r="A12424" s="6"/>
      <c r="B12424" s="6"/>
      <c r="H12424" s="13"/>
    </row>
    <row r="12425">
      <c r="A12425" s="6"/>
      <c r="B12425" s="6"/>
      <c r="H12425" s="13"/>
    </row>
    <row r="12426">
      <c r="A12426" s="6"/>
      <c r="B12426" s="6"/>
      <c r="H12426" s="13"/>
    </row>
    <row r="12427">
      <c r="A12427" s="6"/>
      <c r="B12427" s="6"/>
      <c r="H12427" s="13"/>
    </row>
    <row r="12428">
      <c r="A12428" s="6"/>
      <c r="B12428" s="6"/>
      <c r="H12428" s="13"/>
    </row>
    <row r="12429">
      <c r="A12429" s="6"/>
      <c r="B12429" s="6"/>
      <c r="H12429" s="13"/>
    </row>
    <row r="12430">
      <c r="A12430" s="6"/>
      <c r="B12430" s="6"/>
      <c r="H12430" s="13"/>
    </row>
    <row r="12431">
      <c r="A12431" s="6"/>
      <c r="B12431" s="6"/>
      <c r="H12431" s="13"/>
    </row>
    <row r="12432">
      <c r="A12432" s="6"/>
      <c r="B12432" s="6"/>
      <c r="H12432" s="13"/>
    </row>
    <row r="12433">
      <c r="A12433" s="6"/>
      <c r="B12433" s="6"/>
      <c r="H12433" s="13"/>
    </row>
    <row r="12434">
      <c r="A12434" s="6"/>
      <c r="B12434" s="6"/>
      <c r="H12434" s="13"/>
    </row>
    <row r="12435">
      <c r="A12435" s="6"/>
      <c r="B12435" s="6"/>
      <c r="H12435" s="13"/>
    </row>
    <row r="12436">
      <c r="A12436" s="6"/>
      <c r="B12436" s="6"/>
      <c r="H12436" s="13"/>
    </row>
    <row r="12437">
      <c r="A12437" s="6"/>
      <c r="B12437" s="6"/>
      <c r="H12437" s="13"/>
    </row>
    <row r="12438">
      <c r="A12438" s="6"/>
      <c r="B12438" s="6"/>
      <c r="H12438" s="13"/>
    </row>
    <row r="12439">
      <c r="A12439" s="6"/>
      <c r="B12439" s="6"/>
      <c r="H12439" s="13"/>
    </row>
    <row r="12440">
      <c r="A12440" s="6"/>
      <c r="B12440" s="6"/>
      <c r="H12440" s="13"/>
    </row>
    <row r="12441">
      <c r="A12441" s="6"/>
      <c r="B12441" s="6"/>
      <c r="H12441" s="13"/>
    </row>
    <row r="12442">
      <c r="A12442" s="6"/>
      <c r="B12442" s="6"/>
      <c r="H12442" s="13"/>
    </row>
    <row r="12443">
      <c r="A12443" s="6"/>
      <c r="B12443" s="6"/>
      <c r="H12443" s="13"/>
    </row>
    <row r="12444">
      <c r="A12444" s="6"/>
      <c r="B12444" s="6"/>
      <c r="H12444" s="13"/>
    </row>
    <row r="12445">
      <c r="A12445" s="6"/>
      <c r="B12445" s="6"/>
      <c r="H12445" s="13"/>
    </row>
    <row r="12446">
      <c r="A12446" s="6"/>
      <c r="B12446" s="6"/>
      <c r="H12446" s="13"/>
    </row>
    <row r="12447">
      <c r="A12447" s="6"/>
      <c r="B12447" s="6"/>
      <c r="H12447" s="13"/>
    </row>
    <row r="12448">
      <c r="A12448" s="6"/>
      <c r="B12448" s="6"/>
      <c r="H12448" s="13"/>
    </row>
    <row r="12449">
      <c r="A12449" s="6"/>
      <c r="B12449" s="6"/>
      <c r="H12449" s="13"/>
    </row>
    <row r="12450">
      <c r="A12450" s="6"/>
      <c r="B12450" s="6"/>
      <c r="H12450" s="13"/>
    </row>
    <row r="12451">
      <c r="A12451" s="6"/>
      <c r="B12451" s="6"/>
      <c r="H12451" s="13"/>
    </row>
    <row r="12452">
      <c r="A12452" s="6"/>
      <c r="B12452" s="6"/>
      <c r="H12452" s="13"/>
    </row>
    <row r="12453">
      <c r="A12453" s="6"/>
      <c r="B12453" s="6"/>
      <c r="H12453" s="13"/>
    </row>
    <row r="12454">
      <c r="A12454" s="6"/>
      <c r="B12454" s="6"/>
      <c r="H12454" s="13"/>
    </row>
    <row r="12455">
      <c r="A12455" s="6"/>
      <c r="B12455" s="6"/>
      <c r="H12455" s="13"/>
    </row>
    <row r="12456">
      <c r="A12456" s="6"/>
      <c r="B12456" s="6"/>
      <c r="H12456" s="13"/>
    </row>
    <row r="12457">
      <c r="A12457" s="6"/>
      <c r="B12457" s="6"/>
      <c r="H12457" s="13"/>
    </row>
    <row r="12458">
      <c r="A12458" s="6"/>
      <c r="B12458" s="6"/>
      <c r="H12458" s="13"/>
    </row>
    <row r="12459">
      <c r="A12459" s="6"/>
      <c r="B12459" s="6"/>
      <c r="H12459" s="13"/>
    </row>
    <row r="12460">
      <c r="A12460" s="6"/>
      <c r="B12460" s="6"/>
      <c r="H12460" s="13"/>
    </row>
    <row r="12461">
      <c r="A12461" s="6"/>
      <c r="B12461" s="6"/>
      <c r="H12461" s="13"/>
    </row>
    <row r="12462">
      <c r="A12462" s="6"/>
      <c r="B12462" s="6"/>
      <c r="H12462" s="13"/>
    </row>
    <row r="12463">
      <c r="A12463" s="6"/>
      <c r="B12463" s="6"/>
      <c r="H12463" s="13"/>
    </row>
    <row r="12464">
      <c r="A12464" s="6"/>
      <c r="B12464" s="6"/>
      <c r="H12464" s="13"/>
    </row>
    <row r="12465">
      <c r="A12465" s="6"/>
      <c r="B12465" s="6"/>
      <c r="H12465" s="13"/>
    </row>
    <row r="12466">
      <c r="A12466" s="6"/>
      <c r="B12466" s="6"/>
      <c r="H12466" s="13"/>
    </row>
    <row r="12467">
      <c r="A12467" s="6"/>
      <c r="B12467" s="6"/>
      <c r="H12467" s="13"/>
    </row>
    <row r="12468">
      <c r="A12468" s="6"/>
      <c r="B12468" s="6"/>
      <c r="H12468" s="13"/>
    </row>
    <row r="12469">
      <c r="A12469" s="6"/>
      <c r="B12469" s="6"/>
      <c r="H12469" s="13"/>
    </row>
    <row r="12470">
      <c r="A12470" s="6"/>
      <c r="B12470" s="6"/>
      <c r="H12470" s="13"/>
    </row>
    <row r="12471">
      <c r="A12471" s="6"/>
      <c r="B12471" s="6"/>
      <c r="H12471" s="13"/>
    </row>
    <row r="12472">
      <c r="A12472" s="6"/>
      <c r="B12472" s="6"/>
      <c r="H12472" s="13"/>
    </row>
    <row r="12473">
      <c r="A12473" s="6"/>
      <c r="B12473" s="6"/>
      <c r="H12473" s="13"/>
    </row>
    <row r="12474">
      <c r="A12474" s="6"/>
      <c r="B12474" s="6"/>
      <c r="H12474" s="13"/>
    </row>
    <row r="12475">
      <c r="A12475" s="6"/>
      <c r="B12475" s="6"/>
      <c r="H12475" s="13"/>
    </row>
    <row r="12476">
      <c r="A12476" s="6"/>
      <c r="B12476" s="6"/>
      <c r="H12476" s="13"/>
    </row>
    <row r="12477">
      <c r="A12477" s="6"/>
      <c r="B12477" s="6"/>
      <c r="H12477" s="13"/>
    </row>
    <row r="12478">
      <c r="A12478" s="6"/>
      <c r="B12478" s="6"/>
      <c r="H12478" s="13"/>
    </row>
    <row r="12479">
      <c r="A12479" s="6"/>
      <c r="B12479" s="6"/>
      <c r="H12479" s="13"/>
    </row>
    <row r="12480">
      <c r="A12480" s="6"/>
      <c r="B12480" s="6"/>
      <c r="H12480" s="13"/>
    </row>
    <row r="12481">
      <c r="A12481" s="6"/>
      <c r="B12481" s="6"/>
      <c r="H12481" s="13"/>
    </row>
    <row r="12482">
      <c r="A12482" s="6"/>
      <c r="B12482" s="6"/>
      <c r="H12482" s="13"/>
    </row>
    <row r="12483">
      <c r="A12483" s="6"/>
      <c r="B12483" s="6"/>
      <c r="H12483" s="13"/>
    </row>
    <row r="12484">
      <c r="A12484" s="6"/>
      <c r="B12484" s="6"/>
      <c r="H12484" s="13"/>
    </row>
    <row r="12485">
      <c r="A12485" s="6"/>
      <c r="B12485" s="6"/>
      <c r="H12485" s="13"/>
    </row>
    <row r="12486">
      <c r="A12486" s="6"/>
      <c r="B12486" s="6"/>
      <c r="H12486" s="13"/>
    </row>
    <row r="12487">
      <c r="A12487" s="6"/>
      <c r="B12487" s="6"/>
      <c r="H12487" s="13"/>
    </row>
    <row r="12488">
      <c r="A12488" s="6"/>
      <c r="B12488" s="6"/>
      <c r="H12488" s="13"/>
    </row>
    <row r="12489">
      <c r="A12489" s="6"/>
      <c r="B12489" s="6"/>
      <c r="H12489" s="13"/>
    </row>
    <row r="12490">
      <c r="A12490" s="6"/>
      <c r="B12490" s="6"/>
      <c r="H12490" s="13"/>
    </row>
    <row r="12491">
      <c r="A12491" s="6"/>
      <c r="B12491" s="6"/>
      <c r="H12491" s="13"/>
    </row>
    <row r="12492">
      <c r="A12492" s="6"/>
      <c r="B12492" s="6"/>
      <c r="H12492" s="13"/>
    </row>
    <row r="12493">
      <c r="A12493" s="6"/>
      <c r="B12493" s="6"/>
      <c r="H12493" s="13"/>
    </row>
    <row r="12494">
      <c r="A12494" s="6"/>
      <c r="B12494" s="6"/>
      <c r="H12494" s="13"/>
    </row>
    <row r="12495">
      <c r="A12495" s="6"/>
      <c r="B12495" s="6"/>
      <c r="H12495" s="13"/>
    </row>
    <row r="12496">
      <c r="A12496" s="6"/>
      <c r="B12496" s="6"/>
      <c r="H12496" s="13"/>
    </row>
    <row r="12497">
      <c r="A12497" s="6"/>
      <c r="B12497" s="6"/>
      <c r="H12497" s="13"/>
    </row>
    <row r="12498">
      <c r="A12498" s="6"/>
      <c r="B12498" s="6"/>
      <c r="H12498" s="13"/>
    </row>
    <row r="12499">
      <c r="A12499" s="6"/>
      <c r="B12499" s="6"/>
      <c r="H12499" s="13"/>
    </row>
    <row r="12500">
      <c r="A12500" s="6"/>
      <c r="B12500" s="6"/>
      <c r="H12500" s="13"/>
    </row>
    <row r="12501">
      <c r="A12501" s="6"/>
      <c r="B12501" s="6"/>
      <c r="H12501" s="13"/>
    </row>
    <row r="12502">
      <c r="A12502" s="6"/>
      <c r="B12502" s="6"/>
      <c r="H12502" s="13"/>
    </row>
    <row r="12503">
      <c r="A12503" s="6"/>
      <c r="B12503" s="6"/>
      <c r="H12503" s="13"/>
    </row>
    <row r="12504">
      <c r="A12504" s="6"/>
      <c r="B12504" s="6"/>
      <c r="H12504" s="13"/>
    </row>
    <row r="12505">
      <c r="A12505" s="6"/>
      <c r="B12505" s="6"/>
      <c r="H12505" s="13"/>
    </row>
    <row r="12506">
      <c r="A12506" s="6"/>
      <c r="B12506" s="6"/>
      <c r="H12506" s="13"/>
    </row>
    <row r="12507">
      <c r="A12507" s="6"/>
      <c r="B12507" s="6"/>
      <c r="H12507" s="13"/>
    </row>
    <row r="12508">
      <c r="A12508" s="6"/>
      <c r="B12508" s="6"/>
      <c r="H12508" s="13"/>
    </row>
    <row r="12509">
      <c r="A12509" s="6"/>
      <c r="B12509" s="6"/>
      <c r="H12509" s="13"/>
    </row>
    <row r="12510">
      <c r="A12510" s="6"/>
      <c r="B12510" s="6"/>
      <c r="H12510" s="13"/>
    </row>
    <row r="12511">
      <c r="A12511" s="6"/>
      <c r="B12511" s="6"/>
      <c r="H12511" s="13"/>
    </row>
    <row r="12512">
      <c r="A12512" s="6"/>
      <c r="B12512" s="6"/>
      <c r="H12512" s="13"/>
    </row>
    <row r="12513">
      <c r="A12513" s="6"/>
      <c r="B12513" s="6"/>
      <c r="H12513" s="13"/>
    </row>
    <row r="12514">
      <c r="A12514" s="6"/>
      <c r="B12514" s="6"/>
      <c r="H12514" s="13"/>
    </row>
    <row r="12515">
      <c r="A12515" s="6"/>
      <c r="B12515" s="6"/>
      <c r="H12515" s="13"/>
    </row>
    <row r="12516">
      <c r="A12516" s="6"/>
      <c r="B12516" s="6"/>
      <c r="H12516" s="13"/>
    </row>
    <row r="12517">
      <c r="A12517" s="6"/>
      <c r="B12517" s="6"/>
      <c r="H12517" s="13"/>
    </row>
    <row r="12518">
      <c r="A12518" s="6"/>
      <c r="B12518" s="6"/>
      <c r="H12518" s="13"/>
    </row>
    <row r="12519">
      <c r="A12519" s="6"/>
      <c r="B12519" s="6"/>
      <c r="H12519" s="13"/>
    </row>
    <row r="12520">
      <c r="A12520" s="6"/>
      <c r="B12520" s="6"/>
      <c r="H12520" s="13"/>
    </row>
    <row r="12521">
      <c r="A12521" s="6"/>
      <c r="B12521" s="6"/>
      <c r="H12521" s="13"/>
    </row>
    <row r="12522">
      <c r="A12522" s="6"/>
      <c r="B12522" s="6"/>
      <c r="H12522" s="13"/>
    </row>
    <row r="12523">
      <c r="A12523" s="6"/>
      <c r="B12523" s="6"/>
      <c r="H12523" s="13"/>
    </row>
    <row r="12524">
      <c r="A12524" s="6"/>
      <c r="B12524" s="6"/>
      <c r="H12524" s="13"/>
    </row>
    <row r="12525">
      <c r="A12525" s="6"/>
      <c r="B12525" s="6"/>
      <c r="H12525" s="13"/>
    </row>
    <row r="12526">
      <c r="A12526" s="6"/>
      <c r="B12526" s="6"/>
      <c r="H12526" s="13"/>
    </row>
    <row r="12527">
      <c r="A12527" s="6"/>
      <c r="B12527" s="6"/>
      <c r="H12527" s="13"/>
    </row>
    <row r="12528">
      <c r="A12528" s="6"/>
      <c r="B12528" s="6"/>
      <c r="H12528" s="13"/>
    </row>
    <row r="12529">
      <c r="A12529" s="6"/>
      <c r="B12529" s="6"/>
      <c r="H12529" s="13"/>
    </row>
    <row r="12530">
      <c r="A12530" s="6"/>
      <c r="B12530" s="6"/>
      <c r="H12530" s="13"/>
    </row>
    <row r="12531">
      <c r="A12531" s="6"/>
      <c r="B12531" s="6"/>
      <c r="H12531" s="13"/>
    </row>
    <row r="12532">
      <c r="A12532" s="6"/>
      <c r="B12532" s="6"/>
      <c r="H12532" s="13"/>
    </row>
    <row r="12533">
      <c r="A12533" s="6"/>
      <c r="B12533" s="6"/>
      <c r="H12533" s="13"/>
    </row>
    <row r="12534">
      <c r="A12534" s="6"/>
      <c r="B12534" s="6"/>
      <c r="H12534" s="13"/>
    </row>
    <row r="12535">
      <c r="A12535" s="6"/>
      <c r="B12535" s="6"/>
      <c r="H12535" s="13"/>
    </row>
    <row r="12536">
      <c r="A12536" s="6"/>
      <c r="B12536" s="6"/>
      <c r="H12536" s="13"/>
    </row>
    <row r="12537">
      <c r="A12537" s="6"/>
      <c r="B12537" s="6"/>
      <c r="H12537" s="13"/>
    </row>
    <row r="12538">
      <c r="A12538" s="6"/>
      <c r="B12538" s="6"/>
      <c r="H12538" s="13"/>
    </row>
    <row r="12539">
      <c r="A12539" s="6"/>
      <c r="B12539" s="6"/>
      <c r="H12539" s="13"/>
    </row>
    <row r="12540">
      <c r="A12540" s="6"/>
      <c r="B12540" s="6"/>
      <c r="H12540" s="13"/>
    </row>
    <row r="12541">
      <c r="A12541" s="6"/>
      <c r="B12541" s="6"/>
      <c r="H12541" s="13"/>
    </row>
    <row r="12542">
      <c r="A12542" s="6"/>
      <c r="B12542" s="6"/>
      <c r="H12542" s="13"/>
    </row>
    <row r="12543">
      <c r="A12543" s="6"/>
      <c r="B12543" s="6"/>
      <c r="H12543" s="13"/>
    </row>
    <row r="12544">
      <c r="A12544" s="6"/>
      <c r="B12544" s="6"/>
      <c r="H12544" s="13"/>
    </row>
    <row r="12545">
      <c r="A12545" s="6"/>
      <c r="B12545" s="6"/>
      <c r="H12545" s="13"/>
    </row>
    <row r="12546">
      <c r="A12546" s="6"/>
      <c r="B12546" s="6"/>
      <c r="H12546" s="13"/>
    </row>
    <row r="12547">
      <c r="A12547" s="6"/>
      <c r="B12547" s="6"/>
      <c r="H12547" s="13"/>
    </row>
    <row r="12548">
      <c r="A12548" s="6"/>
      <c r="B12548" s="6"/>
      <c r="H12548" s="13"/>
    </row>
    <row r="12549">
      <c r="A12549" s="6"/>
      <c r="B12549" s="6"/>
      <c r="H12549" s="13"/>
    </row>
    <row r="12550">
      <c r="A12550" s="6"/>
      <c r="B12550" s="6"/>
      <c r="H12550" s="13"/>
    </row>
    <row r="12551">
      <c r="A12551" s="6"/>
      <c r="B12551" s="6"/>
      <c r="H12551" s="13"/>
    </row>
    <row r="12552">
      <c r="A12552" s="6"/>
      <c r="B12552" s="6"/>
      <c r="H12552" s="13"/>
    </row>
    <row r="12553">
      <c r="A12553" s="6"/>
      <c r="B12553" s="6"/>
      <c r="H12553" s="13"/>
    </row>
    <row r="12554">
      <c r="A12554" s="6"/>
      <c r="B12554" s="6"/>
      <c r="H12554" s="13"/>
    </row>
    <row r="12555">
      <c r="A12555" s="6"/>
      <c r="B12555" s="6"/>
      <c r="H12555" s="13"/>
    </row>
    <row r="12556">
      <c r="A12556" s="6"/>
      <c r="B12556" s="6"/>
      <c r="H12556" s="13"/>
    </row>
    <row r="12557">
      <c r="A12557" s="6"/>
      <c r="B12557" s="6"/>
      <c r="H12557" s="13"/>
    </row>
    <row r="12558">
      <c r="A12558" s="6"/>
      <c r="B12558" s="6"/>
      <c r="H12558" s="13"/>
    </row>
    <row r="12559">
      <c r="A12559" s="6"/>
      <c r="B12559" s="6"/>
      <c r="H12559" s="13"/>
    </row>
    <row r="12560">
      <c r="A12560" s="6"/>
      <c r="B12560" s="6"/>
      <c r="H12560" s="13"/>
    </row>
    <row r="12561">
      <c r="A12561" s="6"/>
      <c r="B12561" s="6"/>
      <c r="H12561" s="13"/>
    </row>
    <row r="12562">
      <c r="A12562" s="6"/>
      <c r="B12562" s="6"/>
      <c r="H12562" s="13"/>
    </row>
    <row r="12563">
      <c r="A12563" s="6"/>
      <c r="B12563" s="6"/>
      <c r="H12563" s="13"/>
    </row>
    <row r="12564">
      <c r="A12564" s="6"/>
      <c r="B12564" s="6"/>
      <c r="H12564" s="13"/>
    </row>
    <row r="12565">
      <c r="A12565" s="6"/>
      <c r="B12565" s="6"/>
      <c r="H12565" s="13"/>
    </row>
    <row r="12566">
      <c r="A12566" s="6"/>
      <c r="B12566" s="6"/>
      <c r="H12566" s="13"/>
    </row>
    <row r="12567">
      <c r="A12567" s="6"/>
      <c r="B12567" s="6"/>
      <c r="H12567" s="13"/>
    </row>
    <row r="12568">
      <c r="A12568" s="6"/>
      <c r="B12568" s="6"/>
      <c r="H12568" s="13"/>
    </row>
    <row r="12569">
      <c r="A12569" s="6"/>
      <c r="B12569" s="6"/>
      <c r="H12569" s="13"/>
    </row>
    <row r="12570">
      <c r="A12570" s="6"/>
      <c r="B12570" s="6"/>
      <c r="H12570" s="13"/>
    </row>
    <row r="12571">
      <c r="A12571" s="6"/>
      <c r="B12571" s="6"/>
      <c r="H12571" s="13"/>
    </row>
    <row r="12572">
      <c r="A12572" s="6"/>
      <c r="B12572" s="6"/>
      <c r="H12572" s="13"/>
    </row>
    <row r="12573">
      <c r="A12573" s="6"/>
      <c r="B12573" s="6"/>
      <c r="H12573" s="13"/>
    </row>
    <row r="12574">
      <c r="A12574" s="6"/>
      <c r="B12574" s="6"/>
      <c r="H12574" s="13"/>
    </row>
    <row r="12575">
      <c r="A12575" s="6"/>
      <c r="B12575" s="6"/>
      <c r="H12575" s="13"/>
    </row>
    <row r="12576">
      <c r="A12576" s="6"/>
      <c r="B12576" s="6"/>
      <c r="H12576" s="13"/>
    </row>
    <row r="12577">
      <c r="A12577" s="6"/>
      <c r="B12577" s="6"/>
      <c r="H12577" s="13"/>
    </row>
    <row r="12578">
      <c r="A12578" s="6"/>
      <c r="B12578" s="6"/>
      <c r="H12578" s="13"/>
    </row>
    <row r="12579">
      <c r="A12579" s="6"/>
      <c r="B12579" s="6"/>
      <c r="H12579" s="13"/>
    </row>
    <row r="12580">
      <c r="A12580" s="6"/>
      <c r="B12580" s="6"/>
      <c r="H12580" s="13"/>
    </row>
    <row r="12581">
      <c r="A12581" s="6"/>
      <c r="B12581" s="6"/>
      <c r="H12581" s="13"/>
    </row>
    <row r="12582">
      <c r="A12582" s="6"/>
      <c r="B12582" s="6"/>
      <c r="H12582" s="13"/>
    </row>
    <row r="12583">
      <c r="A12583" s="6"/>
      <c r="B12583" s="6"/>
      <c r="H12583" s="13"/>
    </row>
    <row r="12584">
      <c r="A12584" s="6"/>
      <c r="B12584" s="6"/>
      <c r="H12584" s="13"/>
    </row>
    <row r="12585">
      <c r="A12585" s="6"/>
      <c r="B12585" s="6"/>
      <c r="H12585" s="13"/>
    </row>
    <row r="12586">
      <c r="A12586" s="6"/>
      <c r="B12586" s="6"/>
      <c r="H12586" s="13"/>
    </row>
    <row r="12587">
      <c r="A12587" s="6"/>
      <c r="B12587" s="6"/>
      <c r="H12587" s="13"/>
    </row>
    <row r="12588">
      <c r="A12588" s="6"/>
      <c r="B12588" s="6"/>
      <c r="H12588" s="13"/>
    </row>
    <row r="12589">
      <c r="A12589" s="6"/>
      <c r="B12589" s="6"/>
      <c r="H12589" s="13"/>
    </row>
    <row r="12590">
      <c r="A12590" s="6"/>
      <c r="B12590" s="6"/>
      <c r="H12590" s="13"/>
    </row>
    <row r="12591">
      <c r="A12591" s="6"/>
      <c r="B12591" s="6"/>
      <c r="H12591" s="13"/>
    </row>
    <row r="12592">
      <c r="A12592" s="6"/>
      <c r="B12592" s="6"/>
      <c r="H12592" s="13"/>
    </row>
    <row r="12593">
      <c r="A12593" s="6"/>
      <c r="B12593" s="6"/>
      <c r="H12593" s="13"/>
    </row>
    <row r="12594">
      <c r="A12594" s="6"/>
      <c r="B12594" s="6"/>
      <c r="H12594" s="13"/>
    </row>
    <row r="12595">
      <c r="A12595" s="6"/>
      <c r="B12595" s="6"/>
      <c r="H12595" s="13"/>
    </row>
    <row r="12596">
      <c r="A12596" s="6"/>
      <c r="B12596" s="6"/>
      <c r="H12596" s="13"/>
    </row>
    <row r="12597">
      <c r="A12597" s="6"/>
      <c r="B12597" s="6"/>
      <c r="H12597" s="13"/>
    </row>
    <row r="12598">
      <c r="A12598" s="6"/>
      <c r="B12598" s="6"/>
      <c r="H12598" s="13"/>
    </row>
    <row r="12599">
      <c r="A12599" s="6"/>
      <c r="B12599" s="6"/>
      <c r="H12599" s="13"/>
    </row>
    <row r="12600">
      <c r="A12600" s="6"/>
      <c r="B12600" s="6"/>
      <c r="H12600" s="13"/>
    </row>
    <row r="12601">
      <c r="A12601" s="6"/>
      <c r="B12601" s="6"/>
      <c r="H12601" s="13"/>
    </row>
    <row r="12602">
      <c r="A12602" s="6"/>
      <c r="B12602" s="6"/>
      <c r="H12602" s="13"/>
    </row>
    <row r="12603">
      <c r="A12603" s="6"/>
      <c r="B12603" s="6"/>
      <c r="H12603" s="13"/>
    </row>
    <row r="12604">
      <c r="A12604" s="6"/>
      <c r="B12604" s="6"/>
      <c r="H12604" s="13"/>
    </row>
    <row r="12605">
      <c r="A12605" s="6"/>
      <c r="B12605" s="6"/>
      <c r="H12605" s="13"/>
    </row>
    <row r="12606">
      <c r="A12606" s="6"/>
      <c r="B12606" s="6"/>
      <c r="H12606" s="13"/>
    </row>
    <row r="12607">
      <c r="A12607" s="6"/>
      <c r="B12607" s="6"/>
      <c r="H12607" s="13"/>
    </row>
    <row r="12608">
      <c r="A12608" s="6"/>
      <c r="B12608" s="6"/>
      <c r="H12608" s="13"/>
    </row>
    <row r="12609">
      <c r="A12609" s="6"/>
      <c r="B12609" s="6"/>
      <c r="H12609" s="13"/>
    </row>
    <row r="12610">
      <c r="A12610" s="6"/>
      <c r="B12610" s="6"/>
      <c r="H12610" s="13"/>
    </row>
    <row r="12611">
      <c r="A12611" s="6"/>
      <c r="B12611" s="6"/>
      <c r="H12611" s="13"/>
    </row>
    <row r="12612">
      <c r="A12612" s="6"/>
      <c r="B12612" s="6"/>
      <c r="H12612" s="13"/>
    </row>
    <row r="12613">
      <c r="A12613" s="6"/>
      <c r="B12613" s="6"/>
      <c r="H12613" s="13"/>
    </row>
    <row r="12614">
      <c r="A12614" s="6"/>
      <c r="B12614" s="6"/>
      <c r="H12614" s="13"/>
    </row>
    <row r="12615">
      <c r="A12615" s="6"/>
      <c r="B12615" s="6"/>
      <c r="H12615" s="13"/>
    </row>
    <row r="12616">
      <c r="A12616" s="6"/>
      <c r="B12616" s="6"/>
      <c r="H12616" s="13"/>
    </row>
    <row r="12617">
      <c r="A12617" s="6"/>
      <c r="B12617" s="6"/>
      <c r="H12617" s="13"/>
    </row>
    <row r="12618">
      <c r="A12618" s="6"/>
      <c r="B12618" s="6"/>
      <c r="H12618" s="13"/>
    </row>
    <row r="12619">
      <c r="A12619" s="6"/>
      <c r="B12619" s="6"/>
      <c r="H12619" s="13"/>
    </row>
    <row r="12620">
      <c r="A12620" s="6"/>
      <c r="B12620" s="6"/>
      <c r="H12620" s="13"/>
    </row>
    <row r="12621">
      <c r="A12621" s="6"/>
      <c r="B12621" s="6"/>
      <c r="H12621" s="13"/>
    </row>
    <row r="12622">
      <c r="A12622" s="6"/>
      <c r="B12622" s="6"/>
      <c r="H12622" s="13"/>
    </row>
    <row r="12623">
      <c r="A12623" s="6"/>
      <c r="B12623" s="6"/>
      <c r="H12623" s="13"/>
    </row>
    <row r="12624">
      <c r="A12624" s="6"/>
      <c r="B12624" s="6"/>
      <c r="H12624" s="13"/>
    </row>
    <row r="12625">
      <c r="A12625" s="6"/>
      <c r="B12625" s="6"/>
      <c r="H12625" s="13"/>
    </row>
    <row r="12626">
      <c r="A12626" s="6"/>
      <c r="B12626" s="6"/>
      <c r="H12626" s="13"/>
    </row>
    <row r="12627">
      <c r="A12627" s="6"/>
      <c r="B12627" s="6"/>
      <c r="H12627" s="13"/>
    </row>
    <row r="12628">
      <c r="A12628" s="6"/>
      <c r="B12628" s="6"/>
      <c r="H12628" s="13"/>
    </row>
    <row r="12629">
      <c r="A12629" s="6"/>
      <c r="B12629" s="6"/>
      <c r="H12629" s="13"/>
    </row>
    <row r="12630">
      <c r="A12630" s="6"/>
      <c r="B12630" s="6"/>
      <c r="H12630" s="13"/>
    </row>
    <row r="12631">
      <c r="A12631" s="6"/>
      <c r="B12631" s="6"/>
      <c r="H12631" s="13"/>
    </row>
    <row r="12632">
      <c r="A12632" s="6"/>
      <c r="B12632" s="6"/>
      <c r="H12632" s="13"/>
    </row>
    <row r="12633">
      <c r="A12633" s="6"/>
      <c r="B12633" s="6"/>
      <c r="H12633" s="13"/>
    </row>
    <row r="12634">
      <c r="A12634" s="6"/>
      <c r="B12634" s="6"/>
      <c r="H12634" s="13"/>
    </row>
    <row r="12635">
      <c r="A12635" s="6"/>
      <c r="B12635" s="6"/>
      <c r="H12635" s="13"/>
    </row>
    <row r="12636">
      <c r="A12636" s="6"/>
      <c r="B12636" s="6"/>
      <c r="H12636" s="13"/>
    </row>
    <row r="12637">
      <c r="A12637" s="6"/>
      <c r="B12637" s="6"/>
      <c r="H12637" s="13"/>
    </row>
    <row r="12638">
      <c r="A12638" s="6"/>
      <c r="B12638" s="6"/>
      <c r="H12638" s="13"/>
    </row>
    <row r="12639">
      <c r="A12639" s="6"/>
      <c r="B12639" s="6"/>
      <c r="H12639" s="13"/>
    </row>
    <row r="12640">
      <c r="A12640" s="6"/>
      <c r="B12640" s="6"/>
      <c r="H12640" s="13"/>
    </row>
    <row r="12641">
      <c r="A12641" s="6"/>
      <c r="B12641" s="6"/>
      <c r="H12641" s="13"/>
    </row>
    <row r="12642">
      <c r="A12642" s="6"/>
      <c r="B12642" s="6"/>
      <c r="H12642" s="13"/>
    </row>
    <row r="12643">
      <c r="A12643" s="6"/>
      <c r="B12643" s="6"/>
      <c r="H12643" s="13"/>
    </row>
    <row r="12644">
      <c r="A12644" s="6"/>
      <c r="B12644" s="6"/>
      <c r="H12644" s="13"/>
    </row>
    <row r="12645">
      <c r="A12645" s="6"/>
      <c r="B12645" s="6"/>
      <c r="H12645" s="13"/>
    </row>
    <row r="12646">
      <c r="A12646" s="6"/>
      <c r="B12646" s="6"/>
      <c r="H12646" s="13"/>
    </row>
    <row r="12647">
      <c r="A12647" s="6"/>
      <c r="B12647" s="6"/>
      <c r="H12647" s="13"/>
    </row>
    <row r="12648">
      <c r="A12648" s="6"/>
      <c r="B12648" s="6"/>
      <c r="H12648" s="13"/>
    </row>
    <row r="12649">
      <c r="A12649" s="6"/>
      <c r="B12649" s="6"/>
      <c r="H12649" s="13"/>
    </row>
    <row r="12650">
      <c r="A12650" s="6"/>
      <c r="B12650" s="6"/>
      <c r="H12650" s="13"/>
    </row>
    <row r="12651">
      <c r="A12651" s="6"/>
      <c r="B12651" s="6"/>
      <c r="H12651" s="13"/>
    </row>
    <row r="12652">
      <c r="A12652" s="6"/>
      <c r="B12652" s="6"/>
      <c r="H12652" s="13"/>
    </row>
    <row r="12653">
      <c r="A12653" s="6"/>
      <c r="B12653" s="6"/>
      <c r="H12653" s="13"/>
    </row>
    <row r="12654">
      <c r="A12654" s="6"/>
      <c r="B12654" s="6"/>
      <c r="H12654" s="13"/>
    </row>
    <row r="12655">
      <c r="A12655" s="6"/>
      <c r="B12655" s="6"/>
      <c r="H12655" s="13"/>
    </row>
    <row r="12656">
      <c r="A12656" s="6"/>
      <c r="B12656" s="6"/>
      <c r="H12656" s="13"/>
    </row>
    <row r="12657">
      <c r="A12657" s="6"/>
      <c r="B12657" s="6"/>
      <c r="H12657" s="13"/>
    </row>
    <row r="12658">
      <c r="A12658" s="6"/>
      <c r="B12658" s="6"/>
      <c r="H12658" s="13"/>
    </row>
    <row r="12659">
      <c r="A12659" s="6"/>
      <c r="B12659" s="6"/>
      <c r="H12659" s="13"/>
    </row>
    <row r="12660">
      <c r="A12660" s="6"/>
      <c r="B12660" s="6"/>
      <c r="H12660" s="13"/>
    </row>
    <row r="12661">
      <c r="A12661" s="6"/>
      <c r="B12661" s="6"/>
      <c r="H12661" s="13"/>
    </row>
    <row r="12662">
      <c r="A12662" s="6"/>
      <c r="B12662" s="6"/>
      <c r="H12662" s="13"/>
    </row>
    <row r="12663">
      <c r="A12663" s="6"/>
      <c r="B12663" s="6"/>
      <c r="H12663" s="13"/>
    </row>
    <row r="12664">
      <c r="A12664" s="6"/>
      <c r="B12664" s="6"/>
      <c r="H12664" s="13"/>
    </row>
    <row r="12665">
      <c r="A12665" s="6"/>
      <c r="B12665" s="6"/>
      <c r="H12665" s="13"/>
    </row>
    <row r="12666">
      <c r="A12666" s="6"/>
      <c r="B12666" s="6"/>
      <c r="H12666" s="13"/>
    </row>
    <row r="12667">
      <c r="A12667" s="6"/>
      <c r="B12667" s="6"/>
      <c r="H12667" s="13"/>
    </row>
    <row r="12668">
      <c r="A12668" s="6"/>
      <c r="B12668" s="6"/>
      <c r="H12668" s="13"/>
    </row>
    <row r="12669">
      <c r="A12669" s="6"/>
      <c r="B12669" s="6"/>
      <c r="H12669" s="13"/>
    </row>
    <row r="12670">
      <c r="A12670" s="6"/>
      <c r="B12670" s="6"/>
      <c r="H12670" s="13"/>
    </row>
    <row r="12671">
      <c r="A12671" s="6"/>
      <c r="B12671" s="6"/>
      <c r="H12671" s="13"/>
    </row>
    <row r="12672">
      <c r="A12672" s="6"/>
      <c r="B12672" s="6"/>
      <c r="H12672" s="13"/>
    </row>
    <row r="12673">
      <c r="A12673" s="6"/>
      <c r="B12673" s="6"/>
      <c r="H12673" s="13"/>
    </row>
    <row r="12674">
      <c r="A12674" s="6"/>
      <c r="B12674" s="6"/>
      <c r="H12674" s="13"/>
    </row>
    <row r="12675">
      <c r="A12675" s="6"/>
      <c r="B12675" s="6"/>
      <c r="H12675" s="13"/>
    </row>
    <row r="12676">
      <c r="A12676" s="6"/>
      <c r="B12676" s="6"/>
      <c r="H12676" s="13"/>
    </row>
    <row r="12677">
      <c r="A12677" s="6"/>
      <c r="B12677" s="6"/>
      <c r="H12677" s="13"/>
    </row>
    <row r="12678">
      <c r="A12678" s="6"/>
      <c r="B12678" s="6"/>
      <c r="H12678" s="13"/>
    </row>
    <row r="12679">
      <c r="A12679" s="6"/>
      <c r="B12679" s="6"/>
      <c r="H12679" s="13"/>
    </row>
    <row r="12680">
      <c r="A12680" s="6"/>
      <c r="B12680" s="6"/>
      <c r="H12680" s="13"/>
    </row>
    <row r="12681">
      <c r="A12681" s="6"/>
      <c r="B12681" s="6"/>
      <c r="H12681" s="13"/>
    </row>
    <row r="12682">
      <c r="A12682" s="6"/>
      <c r="B12682" s="6"/>
      <c r="H12682" s="13"/>
    </row>
    <row r="12683">
      <c r="A12683" s="6"/>
      <c r="B12683" s="6"/>
      <c r="H12683" s="13"/>
    </row>
    <row r="12684">
      <c r="A12684" s="6"/>
      <c r="B12684" s="6"/>
      <c r="H12684" s="13"/>
    </row>
    <row r="12685">
      <c r="A12685" s="6"/>
      <c r="B12685" s="6"/>
      <c r="H12685" s="13"/>
    </row>
    <row r="12686">
      <c r="A12686" s="6"/>
      <c r="B12686" s="6"/>
      <c r="H12686" s="13"/>
    </row>
    <row r="12687">
      <c r="A12687" s="6"/>
      <c r="B12687" s="6"/>
      <c r="H12687" s="13"/>
    </row>
    <row r="12688">
      <c r="A12688" s="6"/>
      <c r="B12688" s="6"/>
      <c r="H12688" s="13"/>
    </row>
    <row r="12689">
      <c r="A12689" s="6"/>
      <c r="B12689" s="6"/>
      <c r="H12689" s="13"/>
    </row>
    <row r="12690">
      <c r="A12690" s="6"/>
      <c r="B12690" s="6"/>
      <c r="H12690" s="13"/>
    </row>
    <row r="12691">
      <c r="A12691" s="6"/>
      <c r="B12691" s="6"/>
      <c r="H12691" s="13"/>
    </row>
    <row r="12692">
      <c r="A12692" s="6"/>
      <c r="B12692" s="6"/>
      <c r="H12692" s="13"/>
    </row>
    <row r="12693">
      <c r="A12693" s="6"/>
      <c r="B12693" s="6"/>
      <c r="H12693" s="13"/>
    </row>
    <row r="12694">
      <c r="A12694" s="6"/>
      <c r="B12694" s="6"/>
      <c r="H12694" s="13"/>
    </row>
    <row r="12695">
      <c r="A12695" s="6"/>
      <c r="B12695" s="6"/>
      <c r="H12695" s="13"/>
    </row>
    <row r="12696">
      <c r="A12696" s="6"/>
      <c r="B12696" s="6"/>
      <c r="H12696" s="13"/>
    </row>
    <row r="12697">
      <c r="A12697" s="6"/>
      <c r="B12697" s="6"/>
      <c r="H12697" s="13"/>
    </row>
    <row r="12698">
      <c r="A12698" s="6"/>
      <c r="B12698" s="6"/>
      <c r="H12698" s="13"/>
    </row>
    <row r="12699">
      <c r="A12699" s="6"/>
      <c r="B12699" s="6"/>
      <c r="H12699" s="13"/>
    </row>
    <row r="12700">
      <c r="A12700" s="6"/>
      <c r="B12700" s="6"/>
      <c r="H12700" s="13"/>
    </row>
    <row r="12701">
      <c r="A12701" s="6"/>
      <c r="B12701" s="6"/>
      <c r="H12701" s="13"/>
    </row>
    <row r="12702">
      <c r="A12702" s="6"/>
      <c r="B12702" s="6"/>
      <c r="H12702" s="13"/>
    </row>
    <row r="12703">
      <c r="A12703" s="6"/>
      <c r="B12703" s="6"/>
      <c r="H12703" s="13"/>
    </row>
    <row r="12704">
      <c r="A12704" s="6"/>
      <c r="B12704" s="6"/>
      <c r="H12704" s="13"/>
    </row>
    <row r="12705">
      <c r="A12705" s="6"/>
      <c r="B12705" s="6"/>
      <c r="H12705" s="13"/>
    </row>
    <row r="12706">
      <c r="A12706" s="6"/>
      <c r="B12706" s="6"/>
      <c r="H12706" s="13"/>
    </row>
    <row r="12707">
      <c r="A12707" s="6"/>
      <c r="B12707" s="6"/>
      <c r="H12707" s="13"/>
    </row>
    <row r="12708">
      <c r="A12708" s="6"/>
      <c r="B12708" s="6"/>
      <c r="H12708" s="13"/>
    </row>
    <row r="12709">
      <c r="A12709" s="6"/>
      <c r="B12709" s="6"/>
      <c r="H12709" s="13"/>
    </row>
    <row r="12710">
      <c r="A12710" s="6"/>
      <c r="B12710" s="6"/>
      <c r="H12710" s="13"/>
    </row>
    <row r="12711">
      <c r="A12711" s="6"/>
      <c r="B12711" s="6"/>
      <c r="H12711" s="13"/>
    </row>
    <row r="12712">
      <c r="A12712" s="6"/>
      <c r="B12712" s="6"/>
      <c r="H12712" s="13"/>
    </row>
    <row r="12713">
      <c r="A12713" s="6"/>
      <c r="B12713" s="6"/>
      <c r="H12713" s="13"/>
    </row>
    <row r="12714">
      <c r="A12714" s="6"/>
      <c r="B12714" s="6"/>
      <c r="H12714" s="13"/>
    </row>
    <row r="12715">
      <c r="A12715" s="6"/>
      <c r="B12715" s="6"/>
      <c r="H12715" s="13"/>
    </row>
    <row r="12716">
      <c r="A12716" s="6"/>
      <c r="B12716" s="6"/>
      <c r="H12716" s="13"/>
    </row>
    <row r="12717">
      <c r="A12717" s="6"/>
      <c r="B12717" s="6"/>
      <c r="H12717" s="13"/>
    </row>
    <row r="12718">
      <c r="A12718" s="6"/>
      <c r="B12718" s="6"/>
      <c r="H12718" s="13"/>
    </row>
    <row r="12719">
      <c r="A12719" s="6"/>
      <c r="B12719" s="6"/>
      <c r="H12719" s="13"/>
    </row>
    <row r="12720">
      <c r="A12720" s="6"/>
      <c r="B12720" s="6"/>
      <c r="H12720" s="13"/>
    </row>
    <row r="12721">
      <c r="A12721" s="6"/>
      <c r="B12721" s="6"/>
      <c r="H12721" s="13"/>
    </row>
    <row r="12722">
      <c r="A12722" s="6"/>
      <c r="B12722" s="6"/>
      <c r="H12722" s="13"/>
    </row>
    <row r="12723">
      <c r="A12723" s="6"/>
      <c r="B12723" s="6"/>
      <c r="H12723" s="13"/>
    </row>
    <row r="12724">
      <c r="A12724" s="6"/>
      <c r="B12724" s="6"/>
      <c r="H12724" s="13"/>
    </row>
    <row r="12725">
      <c r="A12725" s="6"/>
      <c r="B12725" s="6"/>
      <c r="H12725" s="13"/>
    </row>
    <row r="12726">
      <c r="A12726" s="6"/>
      <c r="B12726" s="6"/>
      <c r="H12726" s="13"/>
    </row>
    <row r="12727">
      <c r="A12727" s="6"/>
      <c r="B12727" s="6"/>
      <c r="H12727" s="13"/>
    </row>
    <row r="12728">
      <c r="A12728" s="6"/>
      <c r="B12728" s="6"/>
      <c r="H12728" s="13"/>
    </row>
    <row r="12729">
      <c r="A12729" s="6"/>
      <c r="B12729" s="6"/>
      <c r="H12729" s="13"/>
    </row>
    <row r="12730">
      <c r="A12730" s="6"/>
      <c r="B12730" s="6"/>
      <c r="H12730" s="13"/>
    </row>
    <row r="12731">
      <c r="A12731" s="6"/>
      <c r="B12731" s="6"/>
      <c r="H12731" s="13"/>
    </row>
    <row r="12732">
      <c r="A12732" s="6"/>
      <c r="B12732" s="6"/>
      <c r="H12732" s="13"/>
    </row>
    <row r="12733">
      <c r="A12733" s="6"/>
      <c r="B12733" s="6"/>
      <c r="H12733" s="13"/>
    </row>
    <row r="12734">
      <c r="A12734" s="6"/>
      <c r="B12734" s="6"/>
      <c r="H12734" s="13"/>
    </row>
    <row r="12735">
      <c r="A12735" s="6"/>
      <c r="B12735" s="6"/>
      <c r="H12735" s="13"/>
    </row>
    <row r="12736">
      <c r="A12736" s="6"/>
      <c r="B12736" s="6"/>
      <c r="H12736" s="13"/>
    </row>
    <row r="12737">
      <c r="A12737" s="6"/>
      <c r="B12737" s="6"/>
      <c r="H12737" s="13"/>
    </row>
    <row r="12738">
      <c r="A12738" s="6"/>
      <c r="B12738" s="6"/>
      <c r="H12738" s="13"/>
    </row>
    <row r="12739">
      <c r="A12739" s="6"/>
      <c r="B12739" s="6"/>
      <c r="H12739" s="13"/>
    </row>
    <row r="12740">
      <c r="A12740" s="6"/>
      <c r="B12740" s="6"/>
      <c r="H12740" s="13"/>
    </row>
    <row r="12741">
      <c r="A12741" s="6"/>
      <c r="B12741" s="6"/>
      <c r="H12741" s="13"/>
    </row>
    <row r="12742">
      <c r="A12742" s="6"/>
      <c r="B12742" s="6"/>
      <c r="H12742" s="13"/>
    </row>
    <row r="12743">
      <c r="A12743" s="6"/>
      <c r="B12743" s="6"/>
      <c r="H12743" s="13"/>
    </row>
    <row r="12744">
      <c r="A12744" s="6"/>
      <c r="B12744" s="6"/>
      <c r="H12744" s="13"/>
    </row>
    <row r="12745">
      <c r="A12745" s="6"/>
      <c r="B12745" s="6"/>
      <c r="H12745" s="13"/>
    </row>
    <row r="12746">
      <c r="A12746" s="6"/>
      <c r="B12746" s="6"/>
      <c r="H12746" s="13"/>
    </row>
    <row r="12747">
      <c r="A12747" s="6"/>
      <c r="B12747" s="6"/>
      <c r="H12747" s="13"/>
    </row>
    <row r="12748">
      <c r="A12748" s="6"/>
      <c r="B12748" s="6"/>
      <c r="H12748" s="13"/>
    </row>
    <row r="12749">
      <c r="A12749" s="6"/>
      <c r="B12749" s="6"/>
      <c r="H12749" s="13"/>
    </row>
    <row r="12750">
      <c r="A12750" s="6"/>
      <c r="B12750" s="6"/>
      <c r="H12750" s="13"/>
    </row>
    <row r="12751">
      <c r="A12751" s="6"/>
      <c r="B12751" s="6"/>
      <c r="H12751" s="13"/>
    </row>
    <row r="12752">
      <c r="A12752" s="6"/>
      <c r="B12752" s="6"/>
      <c r="H12752" s="13"/>
    </row>
    <row r="12753">
      <c r="A12753" s="6"/>
      <c r="B12753" s="6"/>
      <c r="H12753" s="13"/>
    </row>
    <row r="12754">
      <c r="A12754" s="6"/>
      <c r="B12754" s="6"/>
      <c r="H12754" s="13"/>
    </row>
    <row r="12755">
      <c r="A12755" s="6"/>
      <c r="B12755" s="6"/>
      <c r="H12755" s="13"/>
    </row>
    <row r="12756">
      <c r="A12756" s="6"/>
      <c r="B12756" s="6"/>
      <c r="H12756" s="13"/>
    </row>
    <row r="12757">
      <c r="A12757" s="6"/>
      <c r="B12757" s="6"/>
      <c r="H12757" s="13"/>
    </row>
    <row r="12758">
      <c r="A12758" s="6"/>
      <c r="B12758" s="6"/>
      <c r="H12758" s="13"/>
    </row>
    <row r="12759">
      <c r="A12759" s="6"/>
      <c r="B12759" s="6"/>
      <c r="H12759" s="13"/>
    </row>
    <row r="12760">
      <c r="A12760" s="6"/>
      <c r="B12760" s="6"/>
      <c r="H12760" s="13"/>
    </row>
    <row r="12761">
      <c r="A12761" s="6"/>
      <c r="B12761" s="6"/>
      <c r="H12761" s="13"/>
    </row>
    <row r="12762">
      <c r="A12762" s="6"/>
      <c r="B12762" s="6"/>
      <c r="H12762" s="13"/>
    </row>
    <row r="12763">
      <c r="A12763" s="6"/>
      <c r="B12763" s="6"/>
      <c r="H12763" s="13"/>
    </row>
    <row r="12764">
      <c r="A12764" s="6"/>
      <c r="B12764" s="6"/>
      <c r="H12764" s="13"/>
    </row>
    <row r="12765">
      <c r="A12765" s="6"/>
      <c r="B12765" s="6"/>
      <c r="H12765" s="13"/>
    </row>
    <row r="12766">
      <c r="A12766" s="6"/>
      <c r="B12766" s="6"/>
      <c r="H12766" s="13"/>
    </row>
    <row r="12767">
      <c r="A12767" s="6"/>
      <c r="B12767" s="6"/>
      <c r="H12767" s="13"/>
    </row>
    <row r="12768">
      <c r="A12768" s="6"/>
      <c r="B12768" s="6"/>
      <c r="H12768" s="13"/>
    </row>
    <row r="12769">
      <c r="A12769" s="6"/>
      <c r="B12769" s="6"/>
      <c r="H12769" s="13"/>
    </row>
    <row r="12770">
      <c r="A12770" s="6"/>
      <c r="B12770" s="6"/>
      <c r="H12770" s="13"/>
    </row>
    <row r="12771">
      <c r="A12771" s="6"/>
      <c r="B12771" s="6"/>
      <c r="H12771" s="13"/>
    </row>
    <row r="12772">
      <c r="A12772" s="6"/>
      <c r="B12772" s="6"/>
      <c r="H12772" s="13"/>
    </row>
    <row r="12773">
      <c r="A12773" s="6"/>
      <c r="B12773" s="6"/>
      <c r="H12773" s="13"/>
    </row>
    <row r="12774">
      <c r="A12774" s="6"/>
      <c r="B12774" s="6"/>
      <c r="H12774" s="13"/>
    </row>
    <row r="12775">
      <c r="A12775" s="6"/>
      <c r="B12775" s="6"/>
      <c r="H12775" s="13"/>
    </row>
    <row r="12776">
      <c r="A12776" s="6"/>
      <c r="B12776" s="6"/>
      <c r="H12776" s="13"/>
    </row>
    <row r="12777">
      <c r="A12777" s="6"/>
      <c r="B12777" s="6"/>
      <c r="H12777" s="13"/>
    </row>
    <row r="12778">
      <c r="A12778" s="6"/>
      <c r="B12778" s="6"/>
      <c r="H12778" s="13"/>
    </row>
    <row r="12779">
      <c r="A12779" s="6"/>
      <c r="B12779" s="6"/>
      <c r="H12779" s="13"/>
    </row>
    <row r="12780">
      <c r="A12780" s="6"/>
      <c r="B12780" s="6"/>
      <c r="H12780" s="13"/>
    </row>
    <row r="12781">
      <c r="A12781" s="6"/>
      <c r="B12781" s="6"/>
      <c r="H12781" s="13"/>
    </row>
    <row r="12782">
      <c r="A12782" s="6"/>
      <c r="B12782" s="6"/>
      <c r="H12782" s="13"/>
    </row>
    <row r="12783">
      <c r="A12783" s="6"/>
      <c r="B12783" s="6"/>
      <c r="H12783" s="13"/>
    </row>
    <row r="12784">
      <c r="A12784" s="6"/>
      <c r="B12784" s="6"/>
      <c r="H12784" s="13"/>
    </row>
    <row r="12785">
      <c r="A12785" s="6"/>
      <c r="B12785" s="6"/>
      <c r="H12785" s="13"/>
    </row>
    <row r="12786">
      <c r="A12786" s="6"/>
      <c r="B12786" s="6"/>
      <c r="H12786" s="13"/>
    </row>
    <row r="12787">
      <c r="A12787" s="6"/>
      <c r="B12787" s="6"/>
      <c r="H12787" s="13"/>
    </row>
    <row r="12788">
      <c r="A12788" s="6"/>
      <c r="B12788" s="6"/>
      <c r="H12788" s="13"/>
    </row>
    <row r="12789">
      <c r="A12789" s="6"/>
      <c r="B12789" s="6"/>
      <c r="H12789" s="13"/>
    </row>
    <row r="12790">
      <c r="A12790" s="6"/>
      <c r="B12790" s="6"/>
      <c r="H12790" s="13"/>
    </row>
    <row r="12791">
      <c r="A12791" s="6"/>
      <c r="B12791" s="6"/>
      <c r="H12791" s="13"/>
    </row>
    <row r="12792">
      <c r="A12792" s="6"/>
      <c r="B12792" s="6"/>
      <c r="H12792" s="13"/>
    </row>
    <row r="12793">
      <c r="A12793" s="6"/>
      <c r="B12793" s="6"/>
      <c r="H12793" s="13"/>
    </row>
    <row r="12794">
      <c r="A12794" s="6"/>
      <c r="B12794" s="6"/>
      <c r="H12794" s="13"/>
    </row>
    <row r="12795">
      <c r="A12795" s="6"/>
      <c r="B12795" s="6"/>
      <c r="H12795" s="13"/>
    </row>
    <row r="12796">
      <c r="A12796" s="6"/>
      <c r="B12796" s="6"/>
      <c r="H12796" s="13"/>
    </row>
    <row r="12797">
      <c r="A12797" s="6"/>
      <c r="B12797" s="6"/>
      <c r="H12797" s="13"/>
    </row>
    <row r="12798">
      <c r="A12798" s="6"/>
      <c r="B12798" s="6"/>
      <c r="H12798" s="13"/>
    </row>
    <row r="12799">
      <c r="A12799" s="6"/>
      <c r="B12799" s="6"/>
      <c r="H12799" s="13"/>
    </row>
    <row r="12800">
      <c r="A12800" s="6"/>
      <c r="B12800" s="6"/>
      <c r="H12800" s="13"/>
    </row>
    <row r="12801">
      <c r="A12801" s="6"/>
      <c r="B12801" s="6"/>
      <c r="H12801" s="13"/>
    </row>
    <row r="12802">
      <c r="A12802" s="6"/>
      <c r="B12802" s="6"/>
      <c r="H12802" s="13"/>
    </row>
    <row r="12803">
      <c r="A12803" s="6"/>
      <c r="B12803" s="6"/>
      <c r="H12803" s="13"/>
    </row>
    <row r="12804">
      <c r="A12804" s="6"/>
      <c r="B12804" s="6"/>
      <c r="H12804" s="13"/>
    </row>
    <row r="12805">
      <c r="A12805" s="6"/>
      <c r="B12805" s="6"/>
      <c r="H12805" s="13"/>
    </row>
    <row r="12806">
      <c r="A12806" s="6"/>
      <c r="B12806" s="6"/>
      <c r="H12806" s="13"/>
    </row>
    <row r="12807">
      <c r="A12807" s="6"/>
      <c r="B12807" s="6"/>
      <c r="H12807" s="13"/>
    </row>
    <row r="12808">
      <c r="A12808" s="6"/>
      <c r="B12808" s="6"/>
      <c r="H12808" s="13"/>
    </row>
    <row r="12809">
      <c r="A12809" s="6"/>
      <c r="B12809" s="6"/>
      <c r="H12809" s="13"/>
    </row>
    <row r="12810">
      <c r="A12810" s="6"/>
      <c r="B12810" s="6"/>
      <c r="H12810" s="13"/>
    </row>
    <row r="12811">
      <c r="A12811" s="6"/>
      <c r="B12811" s="6"/>
      <c r="H12811" s="13"/>
    </row>
    <row r="12812">
      <c r="A12812" s="6"/>
      <c r="B12812" s="6"/>
      <c r="H12812" s="13"/>
    </row>
    <row r="12813">
      <c r="A12813" s="6"/>
      <c r="B12813" s="6"/>
      <c r="H12813" s="13"/>
    </row>
    <row r="12814">
      <c r="A12814" s="6"/>
      <c r="B12814" s="6"/>
      <c r="H12814" s="13"/>
    </row>
    <row r="12815">
      <c r="A12815" s="6"/>
      <c r="B12815" s="6"/>
      <c r="H12815" s="13"/>
    </row>
    <row r="12816">
      <c r="A12816" s="6"/>
      <c r="B12816" s="6"/>
      <c r="H12816" s="13"/>
    </row>
    <row r="12817">
      <c r="A12817" s="6"/>
      <c r="B12817" s="6"/>
      <c r="H12817" s="13"/>
    </row>
    <row r="12818">
      <c r="A12818" s="6"/>
      <c r="B12818" s="6"/>
      <c r="H12818" s="13"/>
    </row>
    <row r="12819">
      <c r="A12819" s="6"/>
      <c r="B12819" s="6"/>
      <c r="H12819" s="13"/>
    </row>
    <row r="12820">
      <c r="A12820" s="6"/>
      <c r="B12820" s="6"/>
      <c r="H12820" s="13"/>
    </row>
    <row r="12821">
      <c r="A12821" s="6"/>
      <c r="B12821" s="6"/>
      <c r="H12821" s="13"/>
    </row>
    <row r="12822">
      <c r="A12822" s="6"/>
      <c r="B12822" s="6"/>
      <c r="H12822" s="13"/>
    </row>
    <row r="12823">
      <c r="A12823" s="6"/>
      <c r="B12823" s="6"/>
      <c r="H12823" s="13"/>
    </row>
    <row r="12824">
      <c r="A12824" s="6"/>
      <c r="B12824" s="6"/>
      <c r="H12824" s="13"/>
    </row>
    <row r="12825">
      <c r="A12825" s="6"/>
      <c r="B12825" s="6"/>
      <c r="H12825" s="13"/>
    </row>
    <row r="12826">
      <c r="A12826" s="6"/>
      <c r="B12826" s="6"/>
      <c r="H12826" s="13"/>
    </row>
    <row r="12827">
      <c r="A12827" s="6"/>
      <c r="B12827" s="6"/>
      <c r="H12827" s="13"/>
    </row>
    <row r="12828">
      <c r="A12828" s="6"/>
      <c r="B12828" s="6"/>
      <c r="H12828" s="13"/>
    </row>
    <row r="12829">
      <c r="A12829" s="6"/>
      <c r="B12829" s="6"/>
      <c r="H12829" s="13"/>
    </row>
    <row r="12830">
      <c r="A12830" s="6"/>
      <c r="B12830" s="6"/>
      <c r="H12830" s="13"/>
    </row>
    <row r="12831">
      <c r="A12831" s="6"/>
      <c r="B12831" s="6"/>
      <c r="H12831" s="13"/>
    </row>
    <row r="12832">
      <c r="A12832" s="6"/>
      <c r="B12832" s="6"/>
      <c r="H12832" s="13"/>
    </row>
    <row r="12833">
      <c r="A12833" s="6"/>
      <c r="B12833" s="6"/>
      <c r="H12833" s="13"/>
    </row>
    <row r="12834">
      <c r="A12834" s="6"/>
      <c r="B12834" s="6"/>
      <c r="H12834" s="13"/>
    </row>
    <row r="12835">
      <c r="A12835" s="6"/>
      <c r="B12835" s="6"/>
      <c r="H12835" s="13"/>
    </row>
    <row r="12836">
      <c r="A12836" s="6"/>
      <c r="B12836" s="6"/>
      <c r="H12836" s="13"/>
    </row>
    <row r="12837">
      <c r="A12837" s="6"/>
      <c r="B12837" s="6"/>
      <c r="H12837" s="13"/>
    </row>
    <row r="12838">
      <c r="A12838" s="6"/>
      <c r="B12838" s="6"/>
      <c r="H12838" s="13"/>
    </row>
    <row r="12839">
      <c r="A12839" s="6"/>
      <c r="B12839" s="6"/>
      <c r="H12839" s="13"/>
    </row>
    <row r="12840">
      <c r="A12840" s="6"/>
      <c r="B12840" s="6"/>
      <c r="H12840" s="13"/>
    </row>
    <row r="12841">
      <c r="A12841" s="6"/>
      <c r="B12841" s="6"/>
      <c r="H12841" s="13"/>
    </row>
    <row r="12842">
      <c r="A12842" s="6"/>
      <c r="B12842" s="6"/>
      <c r="H12842" s="13"/>
    </row>
    <row r="12843">
      <c r="A12843" s="6"/>
      <c r="B12843" s="6"/>
      <c r="H12843" s="13"/>
    </row>
    <row r="12844">
      <c r="A12844" s="6"/>
      <c r="B12844" s="6"/>
      <c r="H12844" s="13"/>
    </row>
    <row r="12845">
      <c r="A12845" s="6"/>
      <c r="B12845" s="6"/>
      <c r="H12845" s="13"/>
    </row>
    <row r="12846">
      <c r="A12846" s="6"/>
      <c r="B12846" s="6"/>
      <c r="H12846" s="13"/>
    </row>
    <row r="12847">
      <c r="A12847" s="6"/>
      <c r="B12847" s="6"/>
      <c r="H12847" s="13"/>
    </row>
    <row r="12848">
      <c r="A12848" s="6"/>
      <c r="B12848" s="6"/>
      <c r="H12848" s="13"/>
    </row>
    <row r="12849">
      <c r="A12849" s="6"/>
      <c r="B12849" s="6"/>
      <c r="H12849" s="13"/>
    </row>
    <row r="12850">
      <c r="A12850" s="6"/>
      <c r="B12850" s="6"/>
      <c r="H12850" s="13"/>
    </row>
    <row r="12851">
      <c r="A12851" s="6"/>
      <c r="B12851" s="6"/>
      <c r="H12851" s="13"/>
    </row>
    <row r="12852">
      <c r="A12852" s="6"/>
      <c r="B12852" s="6"/>
      <c r="H12852" s="13"/>
    </row>
    <row r="12853">
      <c r="A12853" s="6"/>
      <c r="B12853" s="6"/>
      <c r="H12853" s="13"/>
    </row>
    <row r="12854">
      <c r="A12854" s="6"/>
      <c r="B12854" s="6"/>
      <c r="H12854" s="13"/>
    </row>
    <row r="12855">
      <c r="A12855" s="6"/>
      <c r="B12855" s="6"/>
      <c r="H12855" s="13"/>
    </row>
    <row r="12856">
      <c r="A12856" s="6"/>
      <c r="B12856" s="6"/>
      <c r="H12856" s="13"/>
    </row>
    <row r="12857">
      <c r="A12857" s="6"/>
      <c r="B12857" s="6"/>
      <c r="H12857" s="13"/>
    </row>
    <row r="12858">
      <c r="A12858" s="6"/>
      <c r="B12858" s="6"/>
      <c r="H12858" s="13"/>
    </row>
    <row r="12859">
      <c r="A12859" s="6"/>
      <c r="B12859" s="6"/>
      <c r="H12859" s="13"/>
    </row>
    <row r="12860">
      <c r="A12860" s="6"/>
      <c r="B12860" s="6"/>
      <c r="H12860" s="13"/>
    </row>
    <row r="12861">
      <c r="A12861" s="6"/>
      <c r="B12861" s="6"/>
      <c r="H12861" s="13"/>
    </row>
    <row r="12862">
      <c r="A12862" s="6"/>
      <c r="B12862" s="6"/>
      <c r="H12862" s="13"/>
    </row>
    <row r="12863">
      <c r="A12863" s="6"/>
      <c r="B12863" s="6"/>
      <c r="H12863" s="13"/>
    </row>
    <row r="12864">
      <c r="A12864" s="6"/>
      <c r="B12864" s="6"/>
      <c r="H12864" s="13"/>
    </row>
    <row r="12865">
      <c r="A12865" s="6"/>
      <c r="B12865" s="6"/>
      <c r="H12865" s="13"/>
    </row>
    <row r="12866">
      <c r="A12866" s="6"/>
      <c r="B12866" s="6"/>
      <c r="H12866" s="13"/>
    </row>
    <row r="12867">
      <c r="A12867" s="6"/>
      <c r="B12867" s="6"/>
      <c r="H12867" s="13"/>
    </row>
    <row r="12868">
      <c r="A12868" s="6"/>
      <c r="B12868" s="6"/>
      <c r="H12868" s="13"/>
    </row>
    <row r="12869">
      <c r="A12869" s="6"/>
      <c r="B12869" s="6"/>
      <c r="H12869" s="13"/>
    </row>
    <row r="12870">
      <c r="A12870" s="6"/>
      <c r="B12870" s="6"/>
      <c r="H12870" s="13"/>
    </row>
    <row r="12871">
      <c r="A12871" s="6"/>
      <c r="B12871" s="6"/>
      <c r="H12871" s="13"/>
    </row>
    <row r="12872">
      <c r="A12872" s="6"/>
      <c r="B12872" s="6"/>
      <c r="H12872" s="13"/>
    </row>
    <row r="12873">
      <c r="A12873" s="6"/>
      <c r="B12873" s="6"/>
      <c r="H12873" s="13"/>
    </row>
    <row r="12874">
      <c r="A12874" s="6"/>
      <c r="B12874" s="6"/>
      <c r="H12874" s="13"/>
    </row>
    <row r="12875">
      <c r="A12875" s="6"/>
      <c r="B12875" s="6"/>
      <c r="H12875" s="13"/>
    </row>
    <row r="12876">
      <c r="A12876" s="6"/>
      <c r="B12876" s="6"/>
      <c r="H12876" s="13"/>
    </row>
    <row r="12877">
      <c r="A12877" s="6"/>
      <c r="B12877" s="6"/>
      <c r="H12877" s="13"/>
    </row>
    <row r="12878">
      <c r="A12878" s="6"/>
      <c r="B12878" s="6"/>
      <c r="H12878" s="13"/>
    </row>
    <row r="12879">
      <c r="A12879" s="6"/>
      <c r="B12879" s="6"/>
      <c r="H12879" s="13"/>
    </row>
    <row r="12880">
      <c r="A12880" s="6"/>
      <c r="B12880" s="6"/>
      <c r="H12880" s="13"/>
    </row>
    <row r="12881">
      <c r="A12881" s="6"/>
      <c r="B12881" s="6"/>
      <c r="H12881" s="13"/>
    </row>
    <row r="12882">
      <c r="A12882" s="6"/>
      <c r="B12882" s="6"/>
      <c r="H12882" s="13"/>
    </row>
    <row r="12883">
      <c r="A12883" s="6"/>
      <c r="B12883" s="6"/>
      <c r="H12883" s="13"/>
    </row>
    <row r="12884">
      <c r="A12884" s="6"/>
      <c r="B12884" s="6"/>
      <c r="H12884" s="13"/>
    </row>
    <row r="12885">
      <c r="A12885" s="6"/>
      <c r="B12885" s="6"/>
      <c r="H12885" s="13"/>
    </row>
    <row r="12886">
      <c r="A12886" s="6"/>
      <c r="B12886" s="6"/>
      <c r="H12886" s="13"/>
    </row>
    <row r="12887">
      <c r="A12887" s="6"/>
      <c r="B12887" s="6"/>
      <c r="H12887" s="13"/>
    </row>
    <row r="12888">
      <c r="A12888" s="6"/>
      <c r="B12888" s="6"/>
      <c r="H12888" s="13"/>
    </row>
    <row r="12889">
      <c r="A12889" s="6"/>
      <c r="B12889" s="6"/>
      <c r="H12889" s="13"/>
    </row>
    <row r="12890">
      <c r="A12890" s="6"/>
      <c r="B12890" s="6"/>
      <c r="H12890" s="13"/>
    </row>
    <row r="12891">
      <c r="A12891" s="6"/>
      <c r="B12891" s="6"/>
      <c r="H12891" s="13"/>
    </row>
    <row r="12892">
      <c r="A12892" s="6"/>
      <c r="B12892" s="6"/>
      <c r="H12892" s="13"/>
    </row>
    <row r="12893">
      <c r="A12893" s="6"/>
      <c r="B12893" s="6"/>
      <c r="H12893" s="13"/>
    </row>
    <row r="12894">
      <c r="A12894" s="6"/>
      <c r="B12894" s="6"/>
      <c r="H12894" s="13"/>
    </row>
    <row r="12895">
      <c r="A12895" s="6"/>
      <c r="B12895" s="6"/>
      <c r="H12895" s="13"/>
    </row>
    <row r="12896">
      <c r="A12896" s="6"/>
      <c r="B12896" s="6"/>
      <c r="H12896" s="13"/>
    </row>
    <row r="12897">
      <c r="A12897" s="6"/>
      <c r="B12897" s="6"/>
      <c r="H12897" s="13"/>
    </row>
    <row r="12898">
      <c r="A12898" s="6"/>
      <c r="B12898" s="6"/>
      <c r="H12898" s="13"/>
    </row>
    <row r="12899">
      <c r="A12899" s="6"/>
      <c r="B12899" s="6"/>
      <c r="H12899" s="13"/>
    </row>
    <row r="12900">
      <c r="A12900" s="6"/>
      <c r="B12900" s="6"/>
      <c r="H12900" s="13"/>
    </row>
    <row r="12901">
      <c r="A12901" s="6"/>
      <c r="B12901" s="6"/>
      <c r="H12901" s="13"/>
    </row>
    <row r="12902">
      <c r="A12902" s="6"/>
      <c r="B12902" s="6"/>
      <c r="H12902" s="13"/>
    </row>
    <row r="12903">
      <c r="A12903" s="6"/>
      <c r="B12903" s="6"/>
      <c r="H12903" s="13"/>
    </row>
    <row r="12904">
      <c r="A12904" s="6"/>
      <c r="B12904" s="6"/>
      <c r="H12904" s="13"/>
    </row>
    <row r="12905">
      <c r="A12905" s="6"/>
      <c r="B12905" s="6"/>
      <c r="H12905" s="13"/>
    </row>
    <row r="12906">
      <c r="A12906" s="6"/>
      <c r="B12906" s="6"/>
      <c r="H12906" s="13"/>
    </row>
    <row r="12907">
      <c r="A12907" s="6"/>
      <c r="B12907" s="6"/>
      <c r="H12907" s="13"/>
    </row>
    <row r="12908">
      <c r="A12908" s="6"/>
      <c r="B12908" s="6"/>
      <c r="H12908" s="13"/>
    </row>
    <row r="12909">
      <c r="A12909" s="6"/>
      <c r="B12909" s="6"/>
      <c r="H12909" s="13"/>
    </row>
    <row r="12910">
      <c r="A12910" s="6"/>
      <c r="B12910" s="6"/>
      <c r="H12910" s="13"/>
    </row>
    <row r="12911">
      <c r="A12911" s="6"/>
      <c r="B12911" s="6"/>
      <c r="H12911" s="13"/>
    </row>
    <row r="12912">
      <c r="A12912" s="6"/>
      <c r="B12912" s="6"/>
      <c r="H12912" s="13"/>
    </row>
    <row r="12913">
      <c r="A12913" s="6"/>
      <c r="B12913" s="6"/>
      <c r="H12913" s="13"/>
    </row>
    <row r="12914">
      <c r="A12914" s="6"/>
      <c r="B12914" s="6"/>
      <c r="H12914" s="13"/>
    </row>
    <row r="12915">
      <c r="A12915" s="6"/>
      <c r="B12915" s="6"/>
      <c r="H12915" s="13"/>
    </row>
    <row r="12916">
      <c r="A12916" s="6"/>
      <c r="B12916" s="6"/>
      <c r="H12916" s="13"/>
    </row>
    <row r="12917">
      <c r="A12917" s="6"/>
      <c r="B12917" s="6"/>
      <c r="H12917" s="13"/>
    </row>
    <row r="12918">
      <c r="A12918" s="6"/>
      <c r="B12918" s="6"/>
      <c r="H12918" s="13"/>
    </row>
    <row r="12919">
      <c r="A12919" s="6"/>
      <c r="B12919" s="6"/>
      <c r="H12919" s="13"/>
    </row>
    <row r="12920">
      <c r="A12920" s="6"/>
      <c r="B12920" s="6"/>
      <c r="H12920" s="13"/>
    </row>
    <row r="12921">
      <c r="A12921" s="6"/>
      <c r="B12921" s="6"/>
      <c r="H12921" s="13"/>
    </row>
    <row r="12922">
      <c r="A12922" s="6"/>
      <c r="B12922" s="6"/>
      <c r="H12922" s="13"/>
    </row>
    <row r="12923">
      <c r="A12923" s="6"/>
      <c r="B12923" s="6"/>
      <c r="H12923" s="13"/>
    </row>
    <row r="12924">
      <c r="A12924" s="6"/>
      <c r="B12924" s="6"/>
      <c r="H12924" s="13"/>
    </row>
    <row r="12925">
      <c r="A12925" s="6"/>
      <c r="B12925" s="6"/>
      <c r="H12925" s="13"/>
    </row>
    <row r="12926">
      <c r="A12926" s="6"/>
      <c r="B12926" s="6"/>
      <c r="H12926" s="13"/>
    </row>
    <row r="12927">
      <c r="A12927" s="6"/>
      <c r="B12927" s="6"/>
      <c r="H12927" s="13"/>
    </row>
    <row r="12928">
      <c r="A12928" s="6"/>
      <c r="B12928" s="6"/>
      <c r="H12928" s="13"/>
    </row>
    <row r="12929">
      <c r="A12929" s="6"/>
      <c r="B12929" s="6"/>
      <c r="H12929" s="13"/>
    </row>
    <row r="12930">
      <c r="A12930" s="6"/>
      <c r="B12930" s="6"/>
      <c r="H12930" s="13"/>
    </row>
    <row r="12931">
      <c r="A12931" s="6"/>
      <c r="B12931" s="6"/>
      <c r="H12931" s="13"/>
    </row>
    <row r="12932">
      <c r="A12932" s="6"/>
      <c r="B12932" s="6"/>
      <c r="H12932" s="13"/>
    </row>
    <row r="12933">
      <c r="A12933" s="6"/>
      <c r="B12933" s="6"/>
      <c r="H12933" s="13"/>
    </row>
    <row r="12934">
      <c r="A12934" s="6"/>
      <c r="B12934" s="6"/>
      <c r="H12934" s="13"/>
    </row>
    <row r="12935">
      <c r="A12935" s="6"/>
      <c r="B12935" s="6"/>
      <c r="H12935" s="13"/>
    </row>
    <row r="12936">
      <c r="A12936" s="6"/>
      <c r="B12936" s="6"/>
      <c r="H12936" s="13"/>
    </row>
    <row r="12937">
      <c r="A12937" s="6"/>
      <c r="B12937" s="6"/>
      <c r="H12937" s="13"/>
    </row>
    <row r="12938">
      <c r="A12938" s="6"/>
      <c r="B12938" s="6"/>
      <c r="H12938" s="13"/>
    </row>
    <row r="12939">
      <c r="A12939" s="6"/>
      <c r="B12939" s="6"/>
      <c r="H12939" s="13"/>
    </row>
    <row r="12940">
      <c r="A12940" s="6"/>
      <c r="B12940" s="6"/>
      <c r="H12940" s="13"/>
    </row>
    <row r="12941">
      <c r="A12941" s="6"/>
      <c r="B12941" s="6"/>
      <c r="H12941" s="13"/>
    </row>
    <row r="12942">
      <c r="A12942" s="6"/>
      <c r="B12942" s="6"/>
      <c r="H12942" s="13"/>
    </row>
    <row r="12943">
      <c r="A12943" s="6"/>
      <c r="B12943" s="6"/>
      <c r="H12943" s="13"/>
    </row>
    <row r="12944">
      <c r="A12944" s="6"/>
      <c r="B12944" s="6"/>
      <c r="H12944" s="13"/>
    </row>
    <row r="12945">
      <c r="A12945" s="6"/>
      <c r="B12945" s="6"/>
      <c r="H12945" s="13"/>
    </row>
    <row r="12946">
      <c r="A12946" s="6"/>
      <c r="B12946" s="6"/>
      <c r="H12946" s="13"/>
    </row>
    <row r="12947">
      <c r="A12947" s="6"/>
      <c r="B12947" s="6"/>
      <c r="H12947" s="13"/>
    </row>
    <row r="12948">
      <c r="A12948" s="6"/>
      <c r="B12948" s="6"/>
      <c r="H12948" s="13"/>
    </row>
    <row r="12949">
      <c r="A12949" s="6"/>
      <c r="B12949" s="6"/>
      <c r="H12949" s="13"/>
    </row>
    <row r="12950">
      <c r="A12950" s="6"/>
      <c r="B12950" s="6"/>
      <c r="H12950" s="13"/>
    </row>
    <row r="12951">
      <c r="A12951" s="6"/>
      <c r="B12951" s="6"/>
      <c r="H12951" s="13"/>
    </row>
    <row r="12952">
      <c r="A12952" s="6"/>
      <c r="B12952" s="6"/>
      <c r="H12952" s="13"/>
    </row>
    <row r="12953">
      <c r="A12953" s="6"/>
      <c r="B12953" s="6"/>
      <c r="H12953" s="13"/>
    </row>
    <row r="12954">
      <c r="A12954" s="6"/>
      <c r="B12954" s="6"/>
      <c r="H12954" s="13"/>
    </row>
    <row r="12955">
      <c r="A12955" s="6"/>
      <c r="B12955" s="6"/>
      <c r="H12955" s="13"/>
    </row>
    <row r="12956">
      <c r="A12956" s="6"/>
      <c r="B12956" s="6"/>
      <c r="H12956" s="13"/>
    </row>
    <row r="12957">
      <c r="A12957" s="6"/>
      <c r="B12957" s="6"/>
      <c r="H12957" s="13"/>
    </row>
    <row r="12958">
      <c r="A12958" s="6"/>
      <c r="B12958" s="6"/>
      <c r="H12958" s="13"/>
    </row>
    <row r="12959">
      <c r="A12959" s="6"/>
      <c r="B12959" s="6"/>
      <c r="H12959" s="13"/>
    </row>
    <row r="12960">
      <c r="A12960" s="6"/>
      <c r="B12960" s="6"/>
      <c r="H12960" s="13"/>
    </row>
    <row r="12961">
      <c r="A12961" s="6"/>
      <c r="B12961" s="6"/>
      <c r="H12961" s="13"/>
    </row>
    <row r="12962">
      <c r="A12962" s="6"/>
      <c r="B12962" s="6"/>
      <c r="H12962" s="13"/>
    </row>
    <row r="12963">
      <c r="A12963" s="6"/>
      <c r="B12963" s="6"/>
      <c r="H12963" s="13"/>
    </row>
    <row r="12964">
      <c r="A12964" s="6"/>
      <c r="B12964" s="6"/>
      <c r="H12964" s="13"/>
    </row>
    <row r="12965">
      <c r="A12965" s="6"/>
      <c r="B12965" s="6"/>
      <c r="H12965" s="13"/>
    </row>
    <row r="12966">
      <c r="A12966" s="6"/>
      <c r="B12966" s="6"/>
      <c r="H12966" s="13"/>
    </row>
    <row r="12967">
      <c r="A12967" s="6"/>
      <c r="B12967" s="6"/>
      <c r="H12967" s="13"/>
    </row>
    <row r="12968">
      <c r="A12968" s="6"/>
      <c r="B12968" s="6"/>
      <c r="H12968" s="13"/>
    </row>
    <row r="12969">
      <c r="A12969" s="6"/>
      <c r="B12969" s="6"/>
      <c r="H12969" s="13"/>
    </row>
    <row r="12970">
      <c r="A12970" s="6"/>
      <c r="B12970" s="6"/>
      <c r="H12970" s="13"/>
    </row>
    <row r="12971">
      <c r="A12971" s="6"/>
      <c r="B12971" s="6"/>
      <c r="H12971" s="13"/>
    </row>
    <row r="12972">
      <c r="A12972" s="6"/>
      <c r="B12972" s="6"/>
      <c r="H12972" s="13"/>
    </row>
    <row r="12973">
      <c r="A12973" s="6"/>
      <c r="B12973" s="6"/>
      <c r="H12973" s="13"/>
    </row>
    <row r="12974">
      <c r="A12974" s="6"/>
      <c r="B12974" s="6"/>
      <c r="H12974" s="13"/>
    </row>
    <row r="12975">
      <c r="A12975" s="6"/>
      <c r="B12975" s="6"/>
      <c r="H12975" s="13"/>
    </row>
    <row r="12976">
      <c r="A12976" s="6"/>
      <c r="B12976" s="6"/>
      <c r="H12976" s="13"/>
    </row>
    <row r="12977">
      <c r="A12977" s="6"/>
      <c r="B12977" s="6"/>
      <c r="H12977" s="13"/>
    </row>
    <row r="12978">
      <c r="A12978" s="6"/>
      <c r="B12978" s="6"/>
      <c r="H12978" s="13"/>
    </row>
    <row r="12979">
      <c r="A12979" s="6"/>
      <c r="B12979" s="6"/>
      <c r="H12979" s="13"/>
    </row>
    <row r="12980">
      <c r="A12980" s="6"/>
      <c r="B12980" s="6"/>
      <c r="H12980" s="13"/>
    </row>
    <row r="12981">
      <c r="A12981" s="6"/>
      <c r="B12981" s="6"/>
      <c r="H12981" s="13"/>
    </row>
    <row r="12982">
      <c r="A12982" s="6"/>
      <c r="B12982" s="6"/>
      <c r="H12982" s="13"/>
    </row>
    <row r="12983">
      <c r="A12983" s="6"/>
      <c r="B12983" s="6"/>
      <c r="H12983" s="13"/>
    </row>
    <row r="12984">
      <c r="A12984" s="6"/>
      <c r="B12984" s="6"/>
      <c r="H12984" s="13"/>
    </row>
    <row r="12985">
      <c r="A12985" s="6"/>
      <c r="B12985" s="6"/>
      <c r="H12985" s="13"/>
    </row>
    <row r="12986">
      <c r="A12986" s="6"/>
      <c r="B12986" s="6"/>
      <c r="H12986" s="13"/>
    </row>
    <row r="12987">
      <c r="A12987" s="6"/>
      <c r="B12987" s="6"/>
      <c r="H12987" s="13"/>
    </row>
    <row r="12988">
      <c r="A12988" s="6"/>
      <c r="B12988" s="6"/>
      <c r="H12988" s="13"/>
    </row>
    <row r="12989">
      <c r="A12989" s="6"/>
      <c r="B12989" s="6"/>
      <c r="H12989" s="13"/>
    </row>
    <row r="12990">
      <c r="A12990" s="6"/>
      <c r="B12990" s="6"/>
      <c r="H12990" s="13"/>
    </row>
    <row r="12991">
      <c r="A12991" s="6"/>
      <c r="B12991" s="6"/>
      <c r="H12991" s="13"/>
    </row>
    <row r="12992">
      <c r="A12992" s="6"/>
      <c r="B12992" s="6"/>
      <c r="H12992" s="13"/>
    </row>
    <row r="12993">
      <c r="A12993" s="6"/>
      <c r="B12993" s="6"/>
      <c r="H12993" s="13"/>
    </row>
    <row r="12994">
      <c r="A12994" s="6"/>
      <c r="B12994" s="6"/>
      <c r="H12994" s="13"/>
    </row>
    <row r="12995">
      <c r="A12995" s="6"/>
      <c r="B12995" s="6"/>
      <c r="H12995" s="13"/>
    </row>
    <row r="12996">
      <c r="A12996" s="6"/>
      <c r="B12996" s="6"/>
      <c r="H12996" s="13"/>
    </row>
    <row r="12997">
      <c r="A12997" s="6"/>
      <c r="B12997" s="6"/>
      <c r="H12997" s="13"/>
    </row>
    <row r="12998">
      <c r="A12998" s="6"/>
      <c r="B12998" s="6"/>
      <c r="H12998" s="13"/>
    </row>
    <row r="12999">
      <c r="A12999" s="6"/>
      <c r="B12999" s="6"/>
      <c r="H12999" s="13"/>
    </row>
    <row r="13000">
      <c r="A13000" s="6"/>
      <c r="B13000" s="6"/>
      <c r="H13000" s="13"/>
    </row>
    <row r="13001">
      <c r="A13001" s="6"/>
      <c r="B13001" s="6"/>
      <c r="H13001" s="13"/>
    </row>
    <row r="13002">
      <c r="A13002" s="6"/>
      <c r="B13002" s="6"/>
      <c r="H13002" s="13"/>
    </row>
    <row r="13003">
      <c r="A13003" s="6"/>
      <c r="B13003" s="6"/>
      <c r="H13003" s="13"/>
    </row>
    <row r="13004">
      <c r="A13004" s="6"/>
      <c r="B13004" s="6"/>
      <c r="H13004" s="13"/>
    </row>
    <row r="13005">
      <c r="A13005" s="6"/>
      <c r="B13005" s="6"/>
      <c r="H13005" s="13"/>
    </row>
    <row r="13006">
      <c r="A13006" s="6"/>
      <c r="B13006" s="6"/>
      <c r="H13006" s="13"/>
    </row>
    <row r="13007">
      <c r="A13007" s="6"/>
      <c r="B13007" s="6"/>
      <c r="H13007" s="13"/>
    </row>
    <row r="13008">
      <c r="A13008" s="6"/>
      <c r="B13008" s="6"/>
      <c r="H13008" s="13"/>
    </row>
    <row r="13009">
      <c r="A13009" s="6"/>
      <c r="B13009" s="6"/>
      <c r="H13009" s="13"/>
    </row>
    <row r="13010">
      <c r="A13010" s="6"/>
      <c r="B13010" s="6"/>
      <c r="H13010" s="13"/>
    </row>
    <row r="13011">
      <c r="A13011" s="6"/>
      <c r="B13011" s="6"/>
      <c r="H13011" s="13"/>
    </row>
    <row r="13012">
      <c r="A13012" s="6"/>
      <c r="B13012" s="6"/>
      <c r="H13012" s="13"/>
    </row>
    <row r="13013">
      <c r="A13013" s="6"/>
      <c r="B13013" s="6"/>
      <c r="H13013" s="13"/>
    </row>
    <row r="13014">
      <c r="A13014" s="6"/>
      <c r="B13014" s="6"/>
      <c r="H13014" s="13"/>
    </row>
    <row r="13015">
      <c r="A13015" s="6"/>
      <c r="B13015" s="6"/>
      <c r="H13015" s="13"/>
    </row>
    <row r="13016">
      <c r="A13016" s="6"/>
      <c r="B13016" s="6"/>
      <c r="H13016" s="13"/>
    </row>
    <row r="13017">
      <c r="A13017" s="6"/>
      <c r="B13017" s="6"/>
      <c r="H13017" s="13"/>
    </row>
    <row r="13018">
      <c r="A13018" s="6"/>
      <c r="B13018" s="6"/>
      <c r="H13018" s="13"/>
    </row>
    <row r="13019">
      <c r="A13019" s="6"/>
      <c r="B13019" s="6"/>
      <c r="H13019" s="13"/>
    </row>
    <row r="13020">
      <c r="A13020" s="6"/>
      <c r="B13020" s="6"/>
      <c r="H13020" s="13"/>
    </row>
    <row r="13021">
      <c r="A13021" s="6"/>
      <c r="B13021" s="6"/>
      <c r="H13021" s="13"/>
    </row>
    <row r="13022">
      <c r="A13022" s="6"/>
      <c r="B13022" s="6"/>
      <c r="H13022" s="13"/>
    </row>
    <row r="13023">
      <c r="A13023" s="6"/>
      <c r="B13023" s="6"/>
      <c r="H13023" s="13"/>
    </row>
    <row r="13024">
      <c r="A13024" s="6"/>
      <c r="B13024" s="6"/>
      <c r="H13024" s="13"/>
    </row>
    <row r="13025">
      <c r="A13025" s="6"/>
      <c r="B13025" s="6"/>
      <c r="H13025" s="13"/>
    </row>
    <row r="13026">
      <c r="A13026" s="6"/>
      <c r="B13026" s="6"/>
      <c r="H13026" s="13"/>
    </row>
    <row r="13027">
      <c r="A13027" s="6"/>
      <c r="B13027" s="6"/>
      <c r="H13027" s="13"/>
    </row>
    <row r="13028">
      <c r="A13028" s="6"/>
      <c r="B13028" s="6"/>
      <c r="H13028" s="13"/>
    </row>
    <row r="13029">
      <c r="A13029" s="6"/>
      <c r="B13029" s="6"/>
      <c r="H13029" s="13"/>
    </row>
    <row r="13030">
      <c r="A13030" s="6"/>
      <c r="B13030" s="6"/>
      <c r="H13030" s="13"/>
    </row>
    <row r="13031">
      <c r="A13031" s="6"/>
      <c r="B13031" s="6"/>
      <c r="H13031" s="13"/>
    </row>
    <row r="13032">
      <c r="A13032" s="6"/>
      <c r="B13032" s="6"/>
      <c r="H13032" s="13"/>
    </row>
    <row r="13033">
      <c r="A13033" s="6"/>
      <c r="B13033" s="6"/>
      <c r="H13033" s="13"/>
    </row>
    <row r="13034">
      <c r="A13034" s="6"/>
      <c r="B13034" s="6"/>
      <c r="H13034" s="13"/>
    </row>
    <row r="13035">
      <c r="A13035" s="6"/>
      <c r="B13035" s="6"/>
      <c r="H13035" s="13"/>
    </row>
    <row r="13036">
      <c r="A13036" s="6"/>
      <c r="B13036" s="6"/>
      <c r="H13036" s="13"/>
    </row>
    <row r="13037">
      <c r="A13037" s="6"/>
      <c r="B13037" s="6"/>
      <c r="H13037" s="13"/>
    </row>
    <row r="13038">
      <c r="A13038" s="6"/>
      <c r="B13038" s="6"/>
      <c r="H13038" s="13"/>
    </row>
    <row r="13039">
      <c r="A13039" s="6"/>
      <c r="B13039" s="6"/>
      <c r="H13039" s="13"/>
    </row>
    <row r="13040">
      <c r="A13040" s="6"/>
      <c r="B13040" s="6"/>
      <c r="H13040" s="13"/>
    </row>
    <row r="13041">
      <c r="A13041" s="6"/>
      <c r="B13041" s="6"/>
      <c r="H13041" s="13"/>
    </row>
    <row r="13042">
      <c r="A13042" s="6"/>
      <c r="B13042" s="6"/>
      <c r="H13042" s="13"/>
    </row>
    <row r="13043">
      <c r="A13043" s="6"/>
      <c r="B13043" s="6"/>
      <c r="H13043" s="13"/>
    </row>
    <row r="13044">
      <c r="A13044" s="6"/>
      <c r="B13044" s="6"/>
      <c r="H13044" s="13"/>
    </row>
    <row r="13045">
      <c r="A13045" s="6"/>
      <c r="B13045" s="6"/>
      <c r="H13045" s="13"/>
    </row>
    <row r="13046">
      <c r="A13046" s="6"/>
      <c r="B13046" s="6"/>
      <c r="H13046" s="13"/>
    </row>
    <row r="13047">
      <c r="A13047" s="6"/>
      <c r="B13047" s="6"/>
      <c r="H13047" s="13"/>
    </row>
    <row r="13048">
      <c r="A13048" s="6"/>
      <c r="B13048" s="6"/>
      <c r="H13048" s="13"/>
    </row>
    <row r="13049">
      <c r="A13049" s="6"/>
      <c r="B13049" s="6"/>
      <c r="H13049" s="13"/>
    </row>
    <row r="13050">
      <c r="A13050" s="6"/>
      <c r="B13050" s="6"/>
      <c r="H13050" s="13"/>
    </row>
    <row r="13051">
      <c r="A13051" s="6"/>
      <c r="B13051" s="6"/>
      <c r="H13051" s="13"/>
    </row>
    <row r="13052">
      <c r="A13052" s="6"/>
      <c r="B13052" s="6"/>
      <c r="H13052" s="13"/>
    </row>
    <row r="13053">
      <c r="A13053" s="6"/>
      <c r="B13053" s="6"/>
      <c r="H13053" s="13"/>
    </row>
    <row r="13054">
      <c r="A13054" s="6"/>
      <c r="B13054" s="6"/>
      <c r="H13054" s="13"/>
    </row>
    <row r="13055">
      <c r="A13055" s="6"/>
      <c r="B13055" s="6"/>
      <c r="H13055" s="13"/>
    </row>
    <row r="13056">
      <c r="A13056" s="6"/>
      <c r="B13056" s="6"/>
      <c r="H13056" s="13"/>
    </row>
    <row r="13057">
      <c r="A13057" s="6"/>
      <c r="B13057" s="6"/>
      <c r="H13057" s="13"/>
    </row>
    <row r="13058">
      <c r="A13058" s="6"/>
      <c r="B13058" s="6"/>
      <c r="H13058" s="13"/>
    </row>
    <row r="13059">
      <c r="A13059" s="6"/>
      <c r="B13059" s="6"/>
      <c r="H13059" s="13"/>
    </row>
    <row r="13060">
      <c r="A13060" s="6"/>
      <c r="B13060" s="6"/>
      <c r="H13060" s="13"/>
    </row>
    <row r="13061">
      <c r="A13061" s="6"/>
      <c r="B13061" s="6"/>
      <c r="H13061" s="13"/>
    </row>
    <row r="13062">
      <c r="A13062" s="6"/>
      <c r="B13062" s="6"/>
      <c r="H13062" s="13"/>
    </row>
    <row r="13063">
      <c r="A13063" s="6"/>
      <c r="B13063" s="6"/>
      <c r="H13063" s="13"/>
    </row>
    <row r="13064">
      <c r="A13064" s="6"/>
      <c r="B13064" s="6"/>
      <c r="H13064" s="13"/>
    </row>
    <row r="13065">
      <c r="A13065" s="6"/>
      <c r="B13065" s="6"/>
      <c r="H13065" s="13"/>
    </row>
    <row r="13066">
      <c r="A13066" s="6"/>
      <c r="B13066" s="6"/>
      <c r="H13066" s="13"/>
    </row>
    <row r="13067">
      <c r="A13067" s="6"/>
      <c r="B13067" s="6"/>
      <c r="H13067" s="13"/>
    </row>
    <row r="13068">
      <c r="A13068" s="6"/>
      <c r="B13068" s="6"/>
      <c r="H13068" s="13"/>
    </row>
    <row r="13069">
      <c r="A13069" s="6"/>
      <c r="B13069" s="6"/>
      <c r="H13069" s="13"/>
    </row>
    <row r="13070">
      <c r="A13070" s="6"/>
      <c r="B13070" s="6"/>
      <c r="H13070" s="13"/>
    </row>
    <row r="13071">
      <c r="A13071" s="6"/>
      <c r="B13071" s="6"/>
      <c r="H13071" s="13"/>
    </row>
    <row r="13072">
      <c r="A13072" s="6"/>
      <c r="B13072" s="6"/>
      <c r="H13072" s="13"/>
    </row>
    <row r="13073">
      <c r="A13073" s="6"/>
      <c r="B13073" s="6"/>
      <c r="H13073" s="13"/>
    </row>
    <row r="13074">
      <c r="A13074" s="6"/>
      <c r="B13074" s="6"/>
      <c r="H13074" s="13"/>
    </row>
    <row r="13075">
      <c r="A13075" s="6"/>
      <c r="B13075" s="6"/>
      <c r="H13075" s="13"/>
    </row>
    <row r="13076">
      <c r="A13076" s="6"/>
      <c r="B13076" s="6"/>
      <c r="H13076" s="13"/>
    </row>
    <row r="13077">
      <c r="A13077" s="6"/>
      <c r="B13077" s="6"/>
      <c r="H13077" s="13"/>
    </row>
    <row r="13078">
      <c r="A13078" s="6"/>
      <c r="B13078" s="6"/>
      <c r="H13078" s="13"/>
    </row>
    <row r="13079">
      <c r="A13079" s="6"/>
      <c r="B13079" s="6"/>
      <c r="H13079" s="13"/>
    </row>
    <row r="13080">
      <c r="A13080" s="6"/>
      <c r="B13080" s="6"/>
      <c r="H13080" s="13"/>
    </row>
    <row r="13081">
      <c r="A13081" s="6"/>
      <c r="B13081" s="6"/>
      <c r="H13081" s="13"/>
    </row>
    <row r="13082">
      <c r="A13082" s="6"/>
      <c r="B13082" s="6"/>
      <c r="H13082" s="13"/>
    </row>
    <row r="13083">
      <c r="A13083" s="6"/>
      <c r="B13083" s="6"/>
      <c r="H13083" s="13"/>
    </row>
    <row r="13084">
      <c r="A13084" s="6"/>
      <c r="B13084" s="6"/>
      <c r="H13084" s="13"/>
    </row>
    <row r="13085">
      <c r="A13085" s="6"/>
      <c r="B13085" s="6"/>
      <c r="H13085" s="13"/>
    </row>
    <row r="13086">
      <c r="A13086" s="6"/>
      <c r="B13086" s="6"/>
      <c r="H13086" s="13"/>
    </row>
    <row r="13087">
      <c r="A13087" s="6"/>
      <c r="B13087" s="6"/>
      <c r="H13087" s="13"/>
    </row>
    <row r="13088">
      <c r="A13088" s="6"/>
      <c r="B13088" s="6"/>
      <c r="H13088" s="13"/>
    </row>
    <row r="13089">
      <c r="A13089" s="6"/>
      <c r="B13089" s="6"/>
      <c r="H13089" s="13"/>
    </row>
    <row r="13090">
      <c r="A13090" s="6"/>
      <c r="B13090" s="6"/>
      <c r="H13090" s="13"/>
    </row>
    <row r="13091">
      <c r="A13091" s="6"/>
      <c r="B13091" s="6"/>
      <c r="H13091" s="13"/>
    </row>
    <row r="13092">
      <c r="A13092" s="6"/>
      <c r="B13092" s="6"/>
      <c r="H13092" s="13"/>
    </row>
    <row r="13093">
      <c r="A13093" s="6"/>
      <c r="B13093" s="6"/>
      <c r="H13093" s="13"/>
    </row>
    <row r="13094">
      <c r="A13094" s="6"/>
      <c r="B13094" s="6"/>
      <c r="H13094" s="13"/>
    </row>
    <row r="13095">
      <c r="A13095" s="6"/>
      <c r="B13095" s="6"/>
      <c r="H13095" s="13"/>
    </row>
    <row r="13096">
      <c r="A13096" s="6"/>
      <c r="B13096" s="6"/>
      <c r="H13096" s="13"/>
    </row>
    <row r="13097">
      <c r="A13097" s="6"/>
      <c r="B13097" s="6"/>
      <c r="H13097" s="13"/>
    </row>
    <row r="13098">
      <c r="A13098" s="6"/>
      <c r="B13098" s="6"/>
      <c r="H13098" s="13"/>
    </row>
    <row r="13099">
      <c r="A13099" s="6"/>
      <c r="B13099" s="6"/>
      <c r="H13099" s="13"/>
    </row>
    <row r="13100">
      <c r="A13100" s="6"/>
      <c r="B13100" s="6"/>
      <c r="H13100" s="13"/>
    </row>
    <row r="13101">
      <c r="A13101" s="6"/>
      <c r="B13101" s="6"/>
      <c r="H13101" s="13"/>
    </row>
    <row r="13102">
      <c r="A13102" s="6"/>
      <c r="B13102" s="6"/>
      <c r="H13102" s="13"/>
    </row>
    <row r="13103">
      <c r="A13103" s="6"/>
      <c r="B13103" s="6"/>
      <c r="H13103" s="13"/>
    </row>
    <row r="13104">
      <c r="A13104" s="6"/>
      <c r="B13104" s="6"/>
      <c r="H13104" s="13"/>
    </row>
    <row r="13105">
      <c r="A13105" s="6"/>
      <c r="B13105" s="6"/>
      <c r="H13105" s="13"/>
    </row>
    <row r="13106">
      <c r="A13106" s="6"/>
      <c r="B13106" s="6"/>
      <c r="H13106" s="13"/>
    </row>
    <row r="13107">
      <c r="A13107" s="6"/>
      <c r="B13107" s="6"/>
      <c r="H13107" s="13"/>
    </row>
    <row r="13108">
      <c r="A13108" s="6"/>
      <c r="B13108" s="6"/>
      <c r="H13108" s="13"/>
    </row>
    <row r="13109">
      <c r="A13109" s="6"/>
      <c r="B13109" s="6"/>
      <c r="H13109" s="13"/>
    </row>
    <row r="13110">
      <c r="A13110" s="6"/>
      <c r="B13110" s="6"/>
      <c r="H13110" s="13"/>
    </row>
    <row r="13111">
      <c r="A13111" s="6"/>
      <c r="B13111" s="6"/>
      <c r="H13111" s="13"/>
    </row>
    <row r="13112">
      <c r="A13112" s="6"/>
      <c r="B13112" s="6"/>
      <c r="H13112" s="13"/>
    </row>
    <row r="13113">
      <c r="A13113" s="6"/>
      <c r="B13113" s="6"/>
      <c r="H13113" s="13"/>
    </row>
    <row r="13114">
      <c r="A13114" s="6"/>
      <c r="B13114" s="6"/>
      <c r="H13114" s="13"/>
    </row>
    <row r="13115">
      <c r="A13115" s="6"/>
      <c r="B13115" s="6"/>
      <c r="H13115" s="13"/>
    </row>
    <row r="13116">
      <c r="A13116" s="6"/>
      <c r="B13116" s="6"/>
      <c r="H13116" s="13"/>
    </row>
    <row r="13117">
      <c r="A13117" s="6"/>
      <c r="B13117" s="6"/>
      <c r="H13117" s="13"/>
    </row>
    <row r="13118">
      <c r="A13118" s="6"/>
      <c r="B13118" s="6"/>
      <c r="H13118" s="13"/>
    </row>
    <row r="13119">
      <c r="A13119" s="6"/>
      <c r="B13119" s="6"/>
      <c r="H13119" s="13"/>
    </row>
    <row r="13120">
      <c r="A13120" s="6"/>
      <c r="B13120" s="6"/>
      <c r="H13120" s="13"/>
    </row>
    <row r="13121">
      <c r="A13121" s="6"/>
      <c r="B13121" s="6"/>
      <c r="H13121" s="13"/>
    </row>
    <row r="13122">
      <c r="A13122" s="6"/>
      <c r="B13122" s="6"/>
      <c r="H13122" s="13"/>
    </row>
    <row r="13123">
      <c r="A13123" s="6"/>
      <c r="B13123" s="6"/>
      <c r="H13123" s="13"/>
    </row>
    <row r="13124">
      <c r="A13124" s="6"/>
      <c r="B13124" s="6"/>
      <c r="H13124" s="13"/>
    </row>
    <row r="13125">
      <c r="A13125" s="6"/>
      <c r="B13125" s="6"/>
      <c r="H13125" s="13"/>
    </row>
    <row r="13126">
      <c r="A13126" s="6"/>
      <c r="B13126" s="6"/>
      <c r="H13126" s="13"/>
    </row>
    <row r="13127">
      <c r="A13127" s="6"/>
      <c r="B13127" s="6"/>
      <c r="H13127" s="13"/>
    </row>
    <row r="13128">
      <c r="A13128" s="6"/>
      <c r="B13128" s="6"/>
      <c r="H13128" s="13"/>
    </row>
    <row r="13129">
      <c r="A13129" s="6"/>
      <c r="B13129" s="6"/>
      <c r="H13129" s="13"/>
    </row>
    <row r="13130">
      <c r="A13130" s="6"/>
      <c r="B13130" s="6"/>
      <c r="H13130" s="13"/>
    </row>
    <row r="13131">
      <c r="A13131" s="6"/>
      <c r="B13131" s="6"/>
      <c r="H13131" s="13"/>
    </row>
    <row r="13132">
      <c r="A13132" s="6"/>
      <c r="B13132" s="6"/>
      <c r="H13132" s="13"/>
    </row>
    <row r="13133">
      <c r="A13133" s="6"/>
      <c r="B13133" s="6"/>
      <c r="H13133" s="13"/>
    </row>
    <row r="13134">
      <c r="A13134" s="6"/>
      <c r="B13134" s="6"/>
      <c r="H13134" s="13"/>
    </row>
    <row r="13135">
      <c r="A13135" s="6"/>
      <c r="B13135" s="6"/>
      <c r="H13135" s="13"/>
    </row>
    <row r="13136">
      <c r="A13136" s="6"/>
      <c r="B13136" s="6"/>
      <c r="H13136" s="13"/>
    </row>
    <row r="13137">
      <c r="A13137" s="6"/>
      <c r="B13137" s="6"/>
      <c r="H13137" s="13"/>
    </row>
    <row r="13138">
      <c r="A13138" s="6"/>
      <c r="B13138" s="6"/>
      <c r="H13138" s="13"/>
    </row>
    <row r="13139">
      <c r="A13139" s="6"/>
      <c r="B13139" s="6"/>
      <c r="H13139" s="13"/>
    </row>
    <row r="13140">
      <c r="A13140" s="6"/>
      <c r="B13140" s="6"/>
      <c r="H13140" s="13"/>
    </row>
    <row r="13141">
      <c r="A13141" s="6"/>
      <c r="B13141" s="6"/>
      <c r="H13141" s="13"/>
    </row>
    <row r="13142">
      <c r="A13142" s="6"/>
      <c r="B13142" s="6"/>
      <c r="H13142" s="13"/>
    </row>
    <row r="13143">
      <c r="A13143" s="6"/>
      <c r="B13143" s="6"/>
      <c r="H13143" s="13"/>
    </row>
    <row r="13144">
      <c r="A13144" s="6"/>
      <c r="B13144" s="6"/>
      <c r="H13144" s="13"/>
    </row>
    <row r="13145">
      <c r="A13145" s="6"/>
      <c r="B13145" s="6"/>
      <c r="H13145" s="13"/>
    </row>
    <row r="13146">
      <c r="A13146" s="6"/>
      <c r="B13146" s="6"/>
      <c r="H13146" s="13"/>
    </row>
    <row r="13147">
      <c r="A13147" s="6"/>
      <c r="B13147" s="6"/>
      <c r="H13147" s="13"/>
    </row>
    <row r="13148">
      <c r="A13148" s="6"/>
      <c r="B13148" s="6"/>
      <c r="H13148" s="13"/>
    </row>
    <row r="13149">
      <c r="A13149" s="6"/>
      <c r="B13149" s="6"/>
      <c r="H13149" s="13"/>
    </row>
    <row r="13150">
      <c r="A13150" s="6"/>
      <c r="B13150" s="6"/>
      <c r="H13150" s="13"/>
    </row>
    <row r="13151">
      <c r="A13151" s="6"/>
      <c r="B13151" s="6"/>
      <c r="H13151" s="13"/>
    </row>
    <row r="13152">
      <c r="A13152" s="6"/>
      <c r="B13152" s="6"/>
      <c r="H13152" s="13"/>
    </row>
    <row r="13153">
      <c r="A13153" s="6"/>
      <c r="B13153" s="6"/>
      <c r="H13153" s="13"/>
    </row>
    <row r="13154">
      <c r="A13154" s="6"/>
      <c r="B13154" s="6"/>
      <c r="H13154" s="13"/>
    </row>
    <row r="13155">
      <c r="A13155" s="6"/>
      <c r="B13155" s="6"/>
      <c r="H13155" s="13"/>
    </row>
    <row r="13156">
      <c r="A13156" s="6"/>
      <c r="B13156" s="6"/>
      <c r="H13156" s="13"/>
    </row>
    <row r="13157">
      <c r="A13157" s="6"/>
      <c r="B13157" s="6"/>
      <c r="H13157" s="13"/>
    </row>
    <row r="13158">
      <c r="A13158" s="6"/>
      <c r="B13158" s="6"/>
      <c r="H13158" s="13"/>
    </row>
    <row r="13159">
      <c r="A13159" s="6"/>
      <c r="B13159" s="6"/>
      <c r="H13159" s="13"/>
    </row>
    <row r="13160">
      <c r="A13160" s="6"/>
      <c r="B13160" s="6"/>
      <c r="H13160" s="13"/>
    </row>
    <row r="13161">
      <c r="A13161" s="6"/>
      <c r="B13161" s="6"/>
      <c r="H13161" s="13"/>
    </row>
    <row r="13162">
      <c r="A13162" s="6"/>
      <c r="B13162" s="6"/>
      <c r="H13162" s="13"/>
    </row>
    <row r="13163">
      <c r="A13163" s="6"/>
      <c r="B13163" s="6"/>
      <c r="H13163" s="13"/>
    </row>
    <row r="13164">
      <c r="A13164" s="6"/>
      <c r="B13164" s="6"/>
      <c r="H13164" s="13"/>
    </row>
    <row r="13165">
      <c r="A13165" s="6"/>
      <c r="B13165" s="6"/>
      <c r="H13165" s="13"/>
    </row>
    <row r="13166">
      <c r="A13166" s="6"/>
      <c r="B13166" s="6"/>
      <c r="H13166" s="13"/>
    </row>
    <row r="13167">
      <c r="A13167" s="6"/>
      <c r="B13167" s="6"/>
      <c r="H13167" s="13"/>
    </row>
    <row r="13168">
      <c r="A13168" s="6"/>
      <c r="B13168" s="6"/>
      <c r="H13168" s="13"/>
    </row>
    <row r="13169">
      <c r="A13169" s="6"/>
      <c r="B13169" s="6"/>
      <c r="H13169" s="13"/>
    </row>
    <row r="13170">
      <c r="A13170" s="6"/>
      <c r="B13170" s="6"/>
      <c r="H13170" s="13"/>
    </row>
    <row r="13171">
      <c r="A13171" s="6"/>
      <c r="B13171" s="6"/>
      <c r="H13171" s="13"/>
    </row>
    <row r="13172">
      <c r="A13172" s="6"/>
      <c r="B13172" s="6"/>
      <c r="H13172" s="13"/>
    </row>
    <row r="13173">
      <c r="A13173" s="6"/>
      <c r="B13173" s="6"/>
      <c r="H13173" s="13"/>
    </row>
    <row r="13174">
      <c r="A13174" s="6"/>
      <c r="B13174" s="6"/>
      <c r="H13174" s="13"/>
    </row>
    <row r="13175">
      <c r="A13175" s="6"/>
      <c r="B13175" s="6"/>
      <c r="H13175" s="13"/>
    </row>
    <row r="13176">
      <c r="A13176" s="6"/>
      <c r="B13176" s="6"/>
      <c r="H13176" s="13"/>
    </row>
    <row r="13177">
      <c r="A13177" s="6"/>
      <c r="B13177" s="6"/>
      <c r="H13177" s="13"/>
    </row>
    <row r="13178">
      <c r="A13178" s="6"/>
      <c r="B13178" s="6"/>
      <c r="H13178" s="13"/>
    </row>
    <row r="13179">
      <c r="A13179" s="6"/>
      <c r="B13179" s="6"/>
      <c r="H13179" s="13"/>
    </row>
    <row r="13180">
      <c r="A13180" s="6"/>
      <c r="B13180" s="6"/>
      <c r="H13180" s="13"/>
    </row>
    <row r="13181">
      <c r="A13181" s="6"/>
      <c r="B13181" s="6"/>
      <c r="H13181" s="13"/>
    </row>
    <row r="13182">
      <c r="A13182" s="6"/>
      <c r="B13182" s="6"/>
      <c r="H13182" s="13"/>
    </row>
    <row r="13183">
      <c r="A13183" s="6"/>
      <c r="B13183" s="6"/>
      <c r="H13183" s="13"/>
    </row>
    <row r="13184">
      <c r="A13184" s="6"/>
      <c r="B13184" s="6"/>
      <c r="H13184" s="13"/>
    </row>
    <row r="13185">
      <c r="A13185" s="6"/>
      <c r="B13185" s="6"/>
      <c r="H13185" s="13"/>
    </row>
    <row r="13186">
      <c r="A13186" s="6"/>
      <c r="B13186" s="6"/>
      <c r="H13186" s="13"/>
    </row>
    <row r="13187">
      <c r="A13187" s="6"/>
      <c r="B13187" s="6"/>
      <c r="H13187" s="13"/>
    </row>
    <row r="13188">
      <c r="A13188" s="6"/>
      <c r="B13188" s="6"/>
      <c r="H13188" s="13"/>
    </row>
    <row r="13189">
      <c r="A13189" s="6"/>
      <c r="B13189" s="6"/>
      <c r="H13189" s="13"/>
    </row>
    <row r="13190">
      <c r="A13190" s="6"/>
      <c r="B13190" s="6"/>
      <c r="H13190" s="13"/>
    </row>
    <row r="13191">
      <c r="A13191" s="6"/>
      <c r="B13191" s="6"/>
      <c r="H13191" s="13"/>
    </row>
    <row r="13192">
      <c r="A13192" s="6"/>
      <c r="B13192" s="6"/>
      <c r="H13192" s="13"/>
    </row>
    <row r="13193">
      <c r="A13193" s="6"/>
      <c r="B13193" s="6"/>
      <c r="H13193" s="13"/>
    </row>
    <row r="13194">
      <c r="A13194" s="6"/>
      <c r="B13194" s="6"/>
      <c r="H13194" s="13"/>
    </row>
    <row r="13195">
      <c r="A13195" s="6"/>
      <c r="B13195" s="6"/>
      <c r="H13195" s="13"/>
    </row>
    <row r="13196">
      <c r="A13196" s="6"/>
      <c r="B13196" s="6"/>
      <c r="H13196" s="13"/>
    </row>
    <row r="13197">
      <c r="A13197" s="6"/>
      <c r="B13197" s="6"/>
      <c r="H13197" s="13"/>
    </row>
    <row r="13198">
      <c r="A13198" s="6"/>
      <c r="B13198" s="6"/>
      <c r="H13198" s="13"/>
    </row>
    <row r="13199">
      <c r="A13199" s="6"/>
      <c r="B13199" s="6"/>
      <c r="H13199" s="13"/>
    </row>
    <row r="13200">
      <c r="A13200" s="6"/>
      <c r="B13200" s="6"/>
      <c r="H13200" s="13"/>
    </row>
    <row r="13201">
      <c r="A13201" s="6"/>
      <c r="B13201" s="6"/>
      <c r="H13201" s="13"/>
    </row>
    <row r="13202">
      <c r="A13202" s="6"/>
      <c r="B13202" s="6"/>
      <c r="H13202" s="13"/>
    </row>
    <row r="13203">
      <c r="A13203" s="6"/>
      <c r="B13203" s="6"/>
      <c r="H13203" s="13"/>
    </row>
    <row r="13204">
      <c r="A13204" s="6"/>
      <c r="B13204" s="6"/>
      <c r="H13204" s="13"/>
    </row>
    <row r="13205">
      <c r="A13205" s="6"/>
      <c r="B13205" s="6"/>
      <c r="H13205" s="13"/>
    </row>
    <row r="13206">
      <c r="A13206" s="6"/>
      <c r="B13206" s="6"/>
      <c r="H13206" s="13"/>
    </row>
    <row r="13207">
      <c r="A13207" s="6"/>
      <c r="B13207" s="6"/>
      <c r="H13207" s="13"/>
    </row>
    <row r="13208">
      <c r="A13208" s="6"/>
      <c r="B13208" s="6"/>
      <c r="H13208" s="13"/>
    </row>
    <row r="13209">
      <c r="A13209" s="6"/>
      <c r="B13209" s="6"/>
      <c r="H13209" s="13"/>
    </row>
    <row r="13210">
      <c r="A13210" s="6"/>
      <c r="B13210" s="6"/>
      <c r="H13210" s="13"/>
    </row>
    <row r="13211">
      <c r="A13211" s="6"/>
      <c r="B13211" s="6"/>
      <c r="H13211" s="13"/>
    </row>
    <row r="13212">
      <c r="A13212" s="6"/>
      <c r="B13212" s="6"/>
      <c r="H13212" s="13"/>
    </row>
    <row r="13213">
      <c r="A13213" s="6"/>
      <c r="B13213" s="6"/>
      <c r="H13213" s="13"/>
    </row>
    <row r="13214">
      <c r="A13214" s="6"/>
      <c r="B13214" s="6"/>
      <c r="H13214" s="13"/>
    </row>
    <row r="13215">
      <c r="A13215" s="6"/>
      <c r="B13215" s="6"/>
      <c r="H13215" s="13"/>
    </row>
    <row r="13216">
      <c r="A13216" s="6"/>
      <c r="B13216" s="6"/>
      <c r="H13216" s="13"/>
    </row>
    <row r="13217">
      <c r="A13217" s="6"/>
      <c r="B13217" s="6"/>
      <c r="H13217" s="13"/>
    </row>
    <row r="13218">
      <c r="A13218" s="6"/>
      <c r="B13218" s="6"/>
      <c r="H13218" s="13"/>
    </row>
    <row r="13219">
      <c r="A13219" s="6"/>
      <c r="B13219" s="6"/>
      <c r="H13219" s="13"/>
    </row>
    <row r="13220">
      <c r="A13220" s="6"/>
      <c r="B13220" s="6"/>
      <c r="H13220" s="13"/>
    </row>
    <row r="13221">
      <c r="A13221" s="6"/>
      <c r="B13221" s="6"/>
      <c r="H13221" s="13"/>
    </row>
    <row r="13222">
      <c r="A13222" s="6"/>
      <c r="B13222" s="6"/>
      <c r="H13222" s="13"/>
    </row>
    <row r="13223">
      <c r="A13223" s="6"/>
      <c r="B13223" s="6"/>
      <c r="H13223" s="13"/>
    </row>
    <row r="13224">
      <c r="A13224" s="6"/>
      <c r="B13224" s="6"/>
      <c r="H13224" s="13"/>
    </row>
    <row r="13225">
      <c r="A13225" s="6"/>
      <c r="B13225" s="6"/>
      <c r="H13225" s="13"/>
    </row>
    <row r="13226">
      <c r="A13226" s="6"/>
      <c r="B13226" s="6"/>
      <c r="H13226" s="13"/>
    </row>
    <row r="13227">
      <c r="A13227" s="6"/>
      <c r="B13227" s="6"/>
      <c r="H13227" s="13"/>
    </row>
    <row r="13228">
      <c r="A13228" s="6"/>
      <c r="B13228" s="6"/>
      <c r="H13228" s="13"/>
    </row>
    <row r="13229">
      <c r="A13229" s="6"/>
      <c r="B13229" s="6"/>
      <c r="H13229" s="13"/>
    </row>
    <row r="13230">
      <c r="A13230" s="6"/>
      <c r="B13230" s="6"/>
      <c r="H13230" s="13"/>
    </row>
    <row r="13231">
      <c r="A13231" s="6"/>
      <c r="B13231" s="6"/>
      <c r="H13231" s="13"/>
    </row>
    <row r="13232">
      <c r="A13232" s="6"/>
      <c r="B13232" s="6"/>
      <c r="H13232" s="13"/>
    </row>
    <row r="13233">
      <c r="A13233" s="6"/>
      <c r="B13233" s="6"/>
      <c r="H13233" s="13"/>
    </row>
    <row r="13234">
      <c r="A13234" s="6"/>
      <c r="B13234" s="6"/>
      <c r="H13234" s="13"/>
    </row>
    <row r="13235">
      <c r="A13235" s="6"/>
      <c r="B13235" s="6"/>
      <c r="H13235" s="13"/>
    </row>
    <row r="13236">
      <c r="A13236" s="6"/>
      <c r="B13236" s="6"/>
      <c r="H13236" s="13"/>
    </row>
    <row r="13237">
      <c r="A13237" s="6"/>
      <c r="B13237" s="6"/>
      <c r="H13237" s="13"/>
    </row>
    <row r="13238">
      <c r="A13238" s="6"/>
      <c r="B13238" s="6"/>
      <c r="H13238" s="13"/>
    </row>
    <row r="13239">
      <c r="A13239" s="6"/>
      <c r="B13239" s="6"/>
      <c r="H13239" s="13"/>
    </row>
    <row r="13240">
      <c r="A13240" s="6"/>
      <c r="B13240" s="6"/>
      <c r="H13240" s="13"/>
    </row>
    <row r="13241">
      <c r="A13241" s="6"/>
      <c r="B13241" s="6"/>
      <c r="H13241" s="13"/>
    </row>
    <row r="13242">
      <c r="A13242" s="6"/>
      <c r="B13242" s="6"/>
      <c r="H13242" s="13"/>
    </row>
    <row r="13243">
      <c r="A13243" s="6"/>
      <c r="B13243" s="6"/>
      <c r="H13243" s="13"/>
    </row>
    <row r="13244">
      <c r="A13244" s="6"/>
      <c r="B13244" s="6"/>
      <c r="H13244" s="13"/>
    </row>
    <row r="13245">
      <c r="A13245" s="6"/>
      <c r="B13245" s="6"/>
      <c r="H13245" s="13"/>
    </row>
    <row r="13246">
      <c r="A13246" s="6"/>
      <c r="B13246" s="6"/>
      <c r="H13246" s="13"/>
    </row>
    <row r="13247">
      <c r="A13247" s="6"/>
      <c r="B13247" s="6"/>
      <c r="H13247" s="13"/>
    </row>
    <row r="13248">
      <c r="A13248" s="6"/>
      <c r="B13248" s="6"/>
      <c r="H13248" s="13"/>
    </row>
    <row r="13249">
      <c r="A13249" s="6"/>
      <c r="B13249" s="6"/>
      <c r="H13249" s="13"/>
    </row>
    <row r="13250">
      <c r="A13250" s="6"/>
      <c r="B13250" s="6"/>
      <c r="H13250" s="13"/>
    </row>
    <row r="13251">
      <c r="A13251" s="6"/>
      <c r="B13251" s="6"/>
      <c r="H13251" s="13"/>
    </row>
    <row r="13252">
      <c r="A13252" s="6"/>
      <c r="B13252" s="6"/>
      <c r="H13252" s="13"/>
    </row>
    <row r="13253">
      <c r="A13253" s="6"/>
      <c r="B13253" s="6"/>
      <c r="H13253" s="13"/>
    </row>
    <row r="13254">
      <c r="A13254" s="6"/>
      <c r="B13254" s="6"/>
      <c r="H13254" s="13"/>
    </row>
    <row r="13255">
      <c r="A13255" s="6"/>
      <c r="B13255" s="6"/>
      <c r="H13255" s="13"/>
    </row>
    <row r="13256">
      <c r="A13256" s="6"/>
      <c r="B13256" s="6"/>
      <c r="H13256" s="13"/>
    </row>
    <row r="13257">
      <c r="A13257" s="6"/>
      <c r="B13257" s="6"/>
      <c r="H13257" s="13"/>
    </row>
    <row r="13258">
      <c r="A13258" s="6"/>
      <c r="B13258" s="6"/>
      <c r="H13258" s="13"/>
    </row>
    <row r="13259">
      <c r="A13259" s="6"/>
      <c r="B13259" s="6"/>
      <c r="H13259" s="13"/>
    </row>
    <row r="13260">
      <c r="A13260" s="6"/>
      <c r="B13260" s="6"/>
      <c r="H13260" s="13"/>
    </row>
    <row r="13261">
      <c r="A13261" s="6"/>
      <c r="B13261" s="6"/>
      <c r="H13261" s="13"/>
    </row>
    <row r="13262">
      <c r="A13262" s="6"/>
      <c r="B13262" s="6"/>
      <c r="H13262" s="13"/>
    </row>
    <row r="13263">
      <c r="A13263" s="6"/>
      <c r="B13263" s="6"/>
      <c r="H13263" s="13"/>
    </row>
    <row r="13264">
      <c r="A13264" s="6"/>
      <c r="B13264" s="6"/>
      <c r="H13264" s="13"/>
    </row>
    <row r="13265">
      <c r="A13265" s="6"/>
      <c r="B13265" s="6"/>
      <c r="H13265" s="13"/>
    </row>
    <row r="13266">
      <c r="A13266" s="6"/>
      <c r="B13266" s="6"/>
      <c r="H13266" s="13"/>
    </row>
    <row r="13267">
      <c r="A13267" s="6"/>
      <c r="B13267" s="6"/>
      <c r="H13267" s="13"/>
    </row>
    <row r="13268">
      <c r="A13268" s="6"/>
      <c r="B13268" s="6"/>
      <c r="H13268" s="13"/>
    </row>
    <row r="13269">
      <c r="A13269" s="6"/>
      <c r="B13269" s="6"/>
      <c r="H13269" s="13"/>
    </row>
    <row r="13270">
      <c r="A13270" s="6"/>
      <c r="B13270" s="6"/>
      <c r="H13270" s="13"/>
    </row>
    <row r="13271">
      <c r="A13271" s="6"/>
      <c r="B13271" s="6"/>
      <c r="H13271" s="13"/>
    </row>
    <row r="13272">
      <c r="A13272" s="6"/>
      <c r="B13272" s="6"/>
      <c r="H13272" s="13"/>
    </row>
    <row r="13273">
      <c r="A13273" s="6"/>
      <c r="B13273" s="6"/>
      <c r="H13273" s="13"/>
    </row>
    <row r="13274">
      <c r="A13274" s="6"/>
      <c r="B13274" s="6"/>
      <c r="H13274" s="13"/>
    </row>
    <row r="13275">
      <c r="A13275" s="6"/>
      <c r="B13275" s="6"/>
      <c r="H13275" s="13"/>
    </row>
    <row r="13276">
      <c r="A13276" s="6"/>
      <c r="B13276" s="6"/>
      <c r="H13276" s="13"/>
    </row>
    <row r="13277">
      <c r="A13277" s="6"/>
      <c r="B13277" s="6"/>
      <c r="H13277" s="13"/>
    </row>
    <row r="13278">
      <c r="A13278" s="6"/>
      <c r="B13278" s="6"/>
      <c r="H13278" s="13"/>
    </row>
    <row r="13279">
      <c r="A13279" s="6"/>
      <c r="B13279" s="6"/>
      <c r="H13279" s="13"/>
    </row>
    <row r="13280">
      <c r="A13280" s="6"/>
      <c r="B13280" s="6"/>
      <c r="H13280" s="13"/>
    </row>
    <row r="13281">
      <c r="A13281" s="6"/>
      <c r="B13281" s="6"/>
      <c r="H13281" s="13"/>
    </row>
    <row r="13282">
      <c r="A13282" s="6"/>
      <c r="B13282" s="6"/>
      <c r="H13282" s="13"/>
    </row>
    <row r="13283">
      <c r="A13283" s="6"/>
      <c r="B13283" s="6"/>
      <c r="H13283" s="13"/>
    </row>
    <row r="13284">
      <c r="A13284" s="6"/>
      <c r="B13284" s="6"/>
      <c r="H13284" s="13"/>
    </row>
    <row r="13285">
      <c r="A13285" s="6"/>
      <c r="B13285" s="6"/>
      <c r="H13285" s="13"/>
    </row>
    <row r="13286">
      <c r="A13286" s="6"/>
      <c r="B13286" s="6"/>
      <c r="H13286" s="13"/>
    </row>
    <row r="13287">
      <c r="A13287" s="6"/>
      <c r="B13287" s="6"/>
      <c r="H13287" s="13"/>
    </row>
    <row r="13288">
      <c r="A13288" s="6"/>
      <c r="B13288" s="6"/>
      <c r="H13288" s="13"/>
    </row>
    <row r="13289">
      <c r="A13289" s="6"/>
      <c r="B13289" s="6"/>
      <c r="H13289" s="13"/>
    </row>
    <row r="13290">
      <c r="A13290" s="6"/>
      <c r="B13290" s="6"/>
      <c r="H13290" s="13"/>
    </row>
    <row r="13291">
      <c r="A13291" s="6"/>
      <c r="B13291" s="6"/>
      <c r="H13291" s="13"/>
    </row>
    <row r="13292">
      <c r="A13292" s="6"/>
      <c r="B13292" s="6"/>
      <c r="H13292" s="13"/>
    </row>
    <row r="13293">
      <c r="A13293" s="6"/>
      <c r="B13293" s="6"/>
      <c r="H13293" s="13"/>
    </row>
    <row r="13294">
      <c r="A13294" s="6"/>
      <c r="B13294" s="6"/>
      <c r="H13294" s="13"/>
    </row>
    <row r="13295">
      <c r="A13295" s="6"/>
      <c r="B13295" s="6"/>
      <c r="H13295" s="13"/>
    </row>
    <row r="13296">
      <c r="A13296" s="6"/>
      <c r="B13296" s="6"/>
      <c r="H13296" s="13"/>
    </row>
    <row r="13297">
      <c r="A13297" s="6"/>
      <c r="B13297" s="6"/>
      <c r="H13297" s="13"/>
    </row>
    <row r="13298">
      <c r="A13298" s="6"/>
      <c r="B13298" s="6"/>
      <c r="H13298" s="13"/>
    </row>
    <row r="13299">
      <c r="A13299" s="6"/>
      <c r="B13299" s="6"/>
      <c r="H13299" s="13"/>
    </row>
    <row r="13300">
      <c r="A13300" s="6"/>
      <c r="B13300" s="6"/>
      <c r="H13300" s="13"/>
    </row>
    <row r="13301">
      <c r="A13301" s="6"/>
      <c r="B13301" s="6"/>
      <c r="H13301" s="13"/>
    </row>
    <row r="13302">
      <c r="A13302" s="6"/>
      <c r="B13302" s="6"/>
      <c r="H13302" s="13"/>
    </row>
    <row r="13303">
      <c r="A13303" s="6"/>
      <c r="B13303" s="6"/>
      <c r="H13303" s="13"/>
    </row>
    <row r="13304">
      <c r="A13304" s="6"/>
      <c r="B13304" s="6"/>
      <c r="H13304" s="13"/>
    </row>
    <row r="13305">
      <c r="A13305" s="6"/>
      <c r="B13305" s="6"/>
      <c r="H13305" s="13"/>
    </row>
    <row r="13306">
      <c r="A13306" s="6"/>
      <c r="B13306" s="6"/>
      <c r="H13306" s="13"/>
    </row>
    <row r="13307">
      <c r="A13307" s="6"/>
      <c r="B13307" s="6"/>
      <c r="H13307" s="13"/>
    </row>
    <row r="13308">
      <c r="A13308" s="6"/>
      <c r="B13308" s="6"/>
      <c r="H13308" s="13"/>
    </row>
    <row r="13309">
      <c r="A13309" s="6"/>
      <c r="B13309" s="6"/>
      <c r="H13309" s="13"/>
    </row>
    <row r="13310">
      <c r="A13310" s="6"/>
      <c r="B13310" s="6"/>
      <c r="H13310" s="13"/>
    </row>
    <row r="13311">
      <c r="A13311" s="6"/>
      <c r="B13311" s="6"/>
      <c r="H13311" s="13"/>
    </row>
    <row r="13312">
      <c r="A13312" s="6"/>
      <c r="B13312" s="6"/>
      <c r="H13312" s="13"/>
    </row>
    <row r="13313">
      <c r="A13313" s="6"/>
      <c r="B13313" s="6"/>
      <c r="H13313" s="13"/>
    </row>
    <row r="13314">
      <c r="A13314" s="6"/>
      <c r="B13314" s="6"/>
      <c r="H13314" s="13"/>
    </row>
    <row r="13315">
      <c r="A13315" s="6"/>
      <c r="B13315" s="6"/>
      <c r="H13315" s="13"/>
    </row>
    <row r="13316">
      <c r="A13316" s="6"/>
      <c r="B13316" s="6"/>
      <c r="H13316" s="13"/>
    </row>
    <row r="13317">
      <c r="A13317" s="6"/>
      <c r="B13317" s="6"/>
      <c r="H13317" s="13"/>
    </row>
    <row r="13318">
      <c r="A13318" s="6"/>
      <c r="B13318" s="6"/>
      <c r="H13318" s="13"/>
    </row>
    <row r="13319">
      <c r="A13319" s="6"/>
      <c r="B13319" s="6"/>
      <c r="H13319" s="13"/>
    </row>
    <row r="13320">
      <c r="A13320" s="6"/>
      <c r="B13320" s="6"/>
      <c r="H13320" s="13"/>
    </row>
    <row r="13321">
      <c r="A13321" s="6"/>
      <c r="B13321" s="6"/>
      <c r="H13321" s="13"/>
    </row>
    <row r="13322">
      <c r="A13322" s="6"/>
      <c r="B13322" s="6"/>
      <c r="H13322" s="13"/>
    </row>
    <row r="13323">
      <c r="A13323" s="6"/>
      <c r="B13323" s="6"/>
      <c r="H13323" s="13"/>
    </row>
    <row r="13324">
      <c r="A13324" s="6"/>
      <c r="B13324" s="6"/>
      <c r="H13324" s="13"/>
    </row>
    <row r="13325">
      <c r="A13325" s="6"/>
      <c r="B13325" s="6"/>
      <c r="H13325" s="13"/>
    </row>
    <row r="13326">
      <c r="A13326" s="6"/>
      <c r="B13326" s="6"/>
      <c r="H13326" s="13"/>
    </row>
    <row r="13327">
      <c r="A13327" s="6"/>
      <c r="B13327" s="6"/>
      <c r="H13327" s="13"/>
    </row>
    <row r="13328">
      <c r="A13328" s="6"/>
      <c r="B13328" s="6"/>
      <c r="H13328" s="13"/>
    </row>
    <row r="13329">
      <c r="A13329" s="6"/>
      <c r="B13329" s="6"/>
      <c r="H13329" s="13"/>
    </row>
    <row r="13330">
      <c r="A13330" s="6"/>
      <c r="B13330" s="6"/>
      <c r="H13330" s="13"/>
    </row>
    <row r="13331">
      <c r="A13331" s="6"/>
      <c r="B13331" s="6"/>
      <c r="H13331" s="13"/>
    </row>
    <row r="13332">
      <c r="A13332" s="6"/>
      <c r="B13332" s="6"/>
      <c r="H13332" s="13"/>
    </row>
    <row r="13333">
      <c r="A13333" s="6"/>
      <c r="B13333" s="6"/>
      <c r="H13333" s="13"/>
    </row>
    <row r="13334">
      <c r="A13334" s="6"/>
      <c r="B13334" s="6"/>
      <c r="H13334" s="13"/>
    </row>
    <row r="13335">
      <c r="A13335" s="6"/>
      <c r="B13335" s="6"/>
      <c r="H13335" s="13"/>
    </row>
    <row r="13336">
      <c r="A13336" s="6"/>
      <c r="B13336" s="6"/>
      <c r="H13336" s="13"/>
    </row>
    <row r="13337">
      <c r="A13337" s="6"/>
      <c r="B13337" s="6"/>
      <c r="H13337" s="13"/>
    </row>
    <row r="13338">
      <c r="A13338" s="6"/>
      <c r="B13338" s="6"/>
      <c r="H13338" s="13"/>
    </row>
    <row r="13339">
      <c r="A13339" s="6"/>
      <c r="B13339" s="6"/>
      <c r="H13339" s="13"/>
    </row>
    <row r="13340">
      <c r="A13340" s="6"/>
      <c r="B13340" s="6"/>
      <c r="H13340" s="13"/>
    </row>
    <row r="13341">
      <c r="A13341" s="6"/>
      <c r="B13341" s="6"/>
      <c r="H13341" s="13"/>
    </row>
    <row r="13342">
      <c r="A13342" s="6"/>
      <c r="B13342" s="6"/>
      <c r="H13342" s="13"/>
    </row>
    <row r="13343">
      <c r="A13343" s="6"/>
      <c r="B13343" s="6"/>
      <c r="H13343" s="13"/>
    </row>
    <row r="13344">
      <c r="A13344" s="6"/>
      <c r="B13344" s="6"/>
      <c r="H13344" s="13"/>
    </row>
    <row r="13345">
      <c r="A13345" s="6"/>
      <c r="B13345" s="6"/>
      <c r="H13345" s="13"/>
    </row>
    <row r="13346">
      <c r="A13346" s="6"/>
      <c r="B13346" s="6"/>
      <c r="H13346" s="13"/>
    </row>
    <row r="13347">
      <c r="A13347" s="6"/>
      <c r="B13347" s="6"/>
      <c r="H13347" s="13"/>
    </row>
    <row r="13348">
      <c r="A13348" s="6"/>
      <c r="B13348" s="6"/>
      <c r="H13348" s="13"/>
    </row>
    <row r="13349">
      <c r="A13349" s="6"/>
      <c r="B13349" s="6"/>
      <c r="H13349" s="13"/>
    </row>
    <row r="13350">
      <c r="A13350" s="6"/>
      <c r="B13350" s="6"/>
      <c r="H13350" s="13"/>
    </row>
    <row r="13351">
      <c r="A13351" s="6"/>
      <c r="B13351" s="6"/>
      <c r="H13351" s="13"/>
    </row>
    <row r="13352">
      <c r="A13352" s="6"/>
      <c r="B13352" s="6"/>
      <c r="H13352" s="13"/>
    </row>
    <row r="13353">
      <c r="A13353" s="6"/>
      <c r="B13353" s="6"/>
      <c r="H13353" s="13"/>
    </row>
    <row r="13354">
      <c r="A13354" s="6"/>
      <c r="B13354" s="6"/>
      <c r="H13354" s="13"/>
    </row>
    <row r="13355">
      <c r="A13355" s="6"/>
      <c r="B13355" s="6"/>
      <c r="H13355" s="13"/>
    </row>
    <row r="13356">
      <c r="A13356" s="6"/>
      <c r="B13356" s="6"/>
      <c r="H13356" s="13"/>
    </row>
    <row r="13357">
      <c r="A13357" s="6"/>
      <c r="B13357" s="6"/>
      <c r="H13357" s="13"/>
    </row>
    <row r="13358">
      <c r="A13358" s="6"/>
      <c r="B13358" s="6"/>
      <c r="H13358" s="13"/>
    </row>
    <row r="13359">
      <c r="A13359" s="6"/>
      <c r="B13359" s="6"/>
      <c r="H13359" s="13"/>
    </row>
    <row r="13360">
      <c r="A13360" s="6"/>
      <c r="B13360" s="6"/>
      <c r="H13360" s="13"/>
    </row>
    <row r="13361">
      <c r="A13361" s="6"/>
      <c r="B13361" s="6"/>
      <c r="H13361" s="13"/>
    </row>
    <row r="13362">
      <c r="A13362" s="6"/>
      <c r="B13362" s="6"/>
      <c r="H13362" s="13"/>
    </row>
    <row r="13363">
      <c r="A13363" s="6"/>
      <c r="B13363" s="6"/>
      <c r="H13363" s="13"/>
    </row>
    <row r="13364">
      <c r="A13364" s="6"/>
      <c r="B13364" s="6"/>
      <c r="H13364" s="13"/>
    </row>
    <row r="13365">
      <c r="A13365" s="6"/>
      <c r="B13365" s="6"/>
      <c r="H13365" s="13"/>
    </row>
    <row r="13366">
      <c r="A13366" s="6"/>
      <c r="B13366" s="6"/>
      <c r="H13366" s="13"/>
    </row>
    <row r="13367">
      <c r="A13367" s="6"/>
      <c r="B13367" s="6"/>
      <c r="H13367" s="13"/>
    </row>
    <row r="13368">
      <c r="A13368" s="6"/>
      <c r="B13368" s="6"/>
      <c r="H13368" s="13"/>
    </row>
    <row r="13369">
      <c r="A13369" s="6"/>
      <c r="B13369" s="6"/>
      <c r="H13369" s="13"/>
    </row>
    <row r="13370">
      <c r="A13370" s="6"/>
      <c r="B13370" s="6"/>
      <c r="H13370" s="13"/>
    </row>
    <row r="13371">
      <c r="A13371" s="6"/>
      <c r="B13371" s="6"/>
      <c r="H13371" s="13"/>
    </row>
    <row r="13372">
      <c r="A13372" s="6"/>
      <c r="B13372" s="6"/>
      <c r="H13372" s="13"/>
    </row>
    <row r="13373">
      <c r="A13373" s="6"/>
      <c r="B13373" s="6"/>
      <c r="H13373" s="13"/>
    </row>
    <row r="13374">
      <c r="A13374" s="6"/>
      <c r="B13374" s="6"/>
      <c r="H13374" s="13"/>
    </row>
    <row r="13375">
      <c r="A13375" s="6"/>
      <c r="B13375" s="6"/>
      <c r="H13375" s="13"/>
    </row>
    <row r="13376">
      <c r="A13376" s="6"/>
      <c r="B13376" s="6"/>
      <c r="H13376" s="13"/>
    </row>
    <row r="13377">
      <c r="A13377" s="6"/>
      <c r="B13377" s="6"/>
      <c r="H13377" s="13"/>
    </row>
    <row r="13378">
      <c r="A13378" s="6"/>
      <c r="B13378" s="6"/>
      <c r="H13378" s="13"/>
    </row>
    <row r="13379">
      <c r="A13379" s="6"/>
      <c r="B13379" s="6"/>
      <c r="H13379" s="13"/>
    </row>
    <row r="13380">
      <c r="A13380" s="6"/>
      <c r="B13380" s="6"/>
      <c r="H13380" s="13"/>
    </row>
    <row r="13381">
      <c r="A13381" s="6"/>
      <c r="B13381" s="6"/>
      <c r="H13381" s="13"/>
    </row>
    <row r="13382">
      <c r="A13382" s="6"/>
      <c r="B13382" s="6"/>
      <c r="H13382" s="13"/>
    </row>
    <row r="13383">
      <c r="A13383" s="6"/>
      <c r="B13383" s="6"/>
      <c r="H13383" s="13"/>
    </row>
    <row r="13384">
      <c r="A13384" s="6"/>
      <c r="B13384" s="6"/>
      <c r="H13384" s="13"/>
    </row>
    <row r="13385">
      <c r="A13385" s="6"/>
      <c r="B13385" s="6"/>
      <c r="H13385" s="13"/>
    </row>
    <row r="13386">
      <c r="A13386" s="6"/>
      <c r="B13386" s="6"/>
      <c r="H13386" s="13"/>
    </row>
    <row r="13387">
      <c r="A13387" s="6"/>
      <c r="B13387" s="6"/>
      <c r="H13387" s="13"/>
    </row>
    <row r="13388">
      <c r="A13388" s="6"/>
      <c r="B13388" s="6"/>
      <c r="H13388" s="13"/>
    </row>
    <row r="13389">
      <c r="A13389" s="6"/>
      <c r="B13389" s="6"/>
      <c r="H13389" s="13"/>
    </row>
    <row r="13390">
      <c r="A13390" s="6"/>
      <c r="B13390" s="6"/>
      <c r="H13390" s="13"/>
    </row>
    <row r="13391">
      <c r="A13391" s="6"/>
      <c r="B13391" s="6"/>
      <c r="H13391" s="13"/>
    </row>
    <row r="13392">
      <c r="A13392" s="6"/>
      <c r="B13392" s="6"/>
      <c r="H13392" s="13"/>
    </row>
    <row r="13393">
      <c r="A13393" s="6"/>
      <c r="B13393" s="6"/>
      <c r="H13393" s="13"/>
    </row>
    <row r="13394">
      <c r="A13394" s="6"/>
      <c r="B13394" s="6"/>
      <c r="H13394" s="13"/>
    </row>
    <row r="13395">
      <c r="A13395" s="6"/>
      <c r="B13395" s="6"/>
      <c r="H13395" s="13"/>
    </row>
    <row r="13396">
      <c r="A13396" s="6"/>
      <c r="B13396" s="6"/>
      <c r="H13396" s="13"/>
    </row>
    <row r="13397">
      <c r="A13397" s="6"/>
      <c r="B13397" s="6"/>
      <c r="H13397" s="13"/>
    </row>
    <row r="13398">
      <c r="A13398" s="6"/>
      <c r="B13398" s="6"/>
      <c r="H13398" s="13"/>
    </row>
    <row r="13399">
      <c r="A13399" s="6"/>
      <c r="B13399" s="6"/>
      <c r="H13399" s="13"/>
    </row>
    <row r="13400">
      <c r="A13400" s="6"/>
      <c r="B13400" s="6"/>
      <c r="H13400" s="13"/>
    </row>
    <row r="13401">
      <c r="A13401" s="6"/>
      <c r="B13401" s="6"/>
      <c r="H13401" s="13"/>
    </row>
    <row r="13402">
      <c r="A13402" s="6"/>
      <c r="B13402" s="6"/>
      <c r="H13402" s="13"/>
    </row>
    <row r="13403">
      <c r="A13403" s="6"/>
      <c r="B13403" s="6"/>
      <c r="H13403" s="13"/>
    </row>
    <row r="13404">
      <c r="A13404" s="6"/>
      <c r="B13404" s="6"/>
      <c r="H13404" s="13"/>
    </row>
    <row r="13405">
      <c r="A13405" s="6"/>
      <c r="B13405" s="6"/>
      <c r="H13405" s="13"/>
    </row>
    <row r="13406">
      <c r="A13406" s="6"/>
      <c r="B13406" s="6"/>
      <c r="H13406" s="13"/>
    </row>
    <row r="13407">
      <c r="A13407" s="6"/>
      <c r="B13407" s="6"/>
      <c r="H13407" s="13"/>
    </row>
    <row r="13408">
      <c r="A13408" s="6"/>
      <c r="B13408" s="6"/>
      <c r="H13408" s="13"/>
    </row>
    <row r="13409">
      <c r="A13409" s="6"/>
      <c r="B13409" s="6"/>
      <c r="H13409" s="13"/>
    </row>
    <row r="13410">
      <c r="A13410" s="6"/>
      <c r="B13410" s="6"/>
      <c r="H13410" s="13"/>
    </row>
    <row r="13411">
      <c r="A13411" s="6"/>
      <c r="B13411" s="6"/>
      <c r="H13411" s="13"/>
    </row>
    <row r="13412">
      <c r="A13412" s="6"/>
      <c r="B13412" s="6"/>
      <c r="H13412" s="13"/>
    </row>
    <row r="13413">
      <c r="A13413" s="6"/>
      <c r="B13413" s="6"/>
      <c r="H13413" s="13"/>
    </row>
    <row r="13414">
      <c r="A13414" s="6"/>
      <c r="B13414" s="6"/>
      <c r="H13414" s="13"/>
    </row>
    <row r="13415">
      <c r="A13415" s="6"/>
      <c r="B13415" s="6"/>
      <c r="H13415" s="13"/>
    </row>
    <row r="13416">
      <c r="A13416" s="6"/>
      <c r="B13416" s="6"/>
      <c r="H13416" s="13"/>
    </row>
    <row r="13417">
      <c r="A13417" s="6"/>
      <c r="B13417" s="6"/>
      <c r="H13417" s="13"/>
    </row>
    <row r="13418">
      <c r="A13418" s="6"/>
      <c r="B13418" s="6"/>
      <c r="H13418" s="13"/>
    </row>
    <row r="13419">
      <c r="A13419" s="6"/>
      <c r="B13419" s="6"/>
      <c r="H13419" s="13"/>
    </row>
    <row r="13420">
      <c r="A13420" s="6"/>
      <c r="B13420" s="6"/>
      <c r="H13420" s="13"/>
    </row>
    <row r="13421">
      <c r="A13421" s="6"/>
      <c r="B13421" s="6"/>
      <c r="H13421" s="13"/>
    </row>
    <row r="13422">
      <c r="A13422" s="6"/>
      <c r="B13422" s="6"/>
      <c r="H13422" s="13"/>
    </row>
    <row r="13423">
      <c r="A13423" s="6"/>
      <c r="B13423" s="6"/>
      <c r="H13423" s="13"/>
    </row>
    <row r="13424">
      <c r="A13424" s="6"/>
      <c r="B13424" s="6"/>
      <c r="H13424" s="13"/>
    </row>
    <row r="13425">
      <c r="A13425" s="6"/>
      <c r="B13425" s="6"/>
      <c r="H13425" s="13"/>
    </row>
    <row r="13426">
      <c r="A13426" s="6"/>
      <c r="B13426" s="6"/>
      <c r="H13426" s="13"/>
    </row>
    <row r="13427">
      <c r="A13427" s="6"/>
      <c r="B13427" s="6"/>
      <c r="H13427" s="13"/>
    </row>
    <row r="13428">
      <c r="A13428" s="6"/>
      <c r="B13428" s="6"/>
      <c r="H13428" s="13"/>
    </row>
    <row r="13429">
      <c r="A13429" s="6"/>
      <c r="B13429" s="6"/>
      <c r="H13429" s="13"/>
    </row>
    <row r="13430">
      <c r="A13430" s="6"/>
      <c r="B13430" s="6"/>
      <c r="H13430" s="13"/>
    </row>
    <row r="13431">
      <c r="A13431" s="6"/>
      <c r="B13431" s="6"/>
      <c r="H13431" s="13"/>
    </row>
    <row r="13432">
      <c r="A13432" s="6"/>
      <c r="B13432" s="6"/>
      <c r="H13432" s="13"/>
    </row>
    <row r="13433">
      <c r="A13433" s="6"/>
      <c r="B13433" s="6"/>
      <c r="H13433" s="13"/>
    </row>
    <row r="13434">
      <c r="A13434" s="6"/>
      <c r="B13434" s="6"/>
      <c r="H13434" s="13"/>
    </row>
    <row r="13435">
      <c r="A13435" s="6"/>
      <c r="B13435" s="6"/>
      <c r="H13435" s="13"/>
    </row>
    <row r="13436">
      <c r="A13436" s="6"/>
      <c r="B13436" s="6"/>
      <c r="H13436" s="13"/>
    </row>
    <row r="13437">
      <c r="A13437" s="6"/>
      <c r="B13437" s="6"/>
      <c r="H13437" s="13"/>
    </row>
    <row r="13438">
      <c r="A13438" s="6"/>
      <c r="B13438" s="6"/>
      <c r="H13438" s="13"/>
    </row>
    <row r="13439">
      <c r="A13439" s="6"/>
      <c r="B13439" s="6"/>
      <c r="H13439" s="13"/>
    </row>
    <row r="13440">
      <c r="A13440" s="6"/>
      <c r="B13440" s="6"/>
      <c r="H13440" s="13"/>
    </row>
    <row r="13441">
      <c r="A13441" s="6"/>
      <c r="B13441" s="6"/>
      <c r="H13441" s="13"/>
    </row>
    <row r="13442">
      <c r="A13442" s="6"/>
      <c r="B13442" s="6"/>
      <c r="H13442" s="13"/>
    </row>
    <row r="13443">
      <c r="A13443" s="6"/>
      <c r="B13443" s="6"/>
      <c r="H13443" s="13"/>
    </row>
    <row r="13444">
      <c r="A13444" s="6"/>
      <c r="B13444" s="6"/>
      <c r="H13444" s="13"/>
    </row>
    <row r="13445">
      <c r="A13445" s="6"/>
      <c r="B13445" s="6"/>
      <c r="H13445" s="13"/>
    </row>
    <row r="13446">
      <c r="A13446" s="6"/>
      <c r="B13446" s="6"/>
      <c r="H13446" s="13"/>
    </row>
    <row r="13447">
      <c r="A13447" s="6"/>
      <c r="B13447" s="6"/>
      <c r="H13447" s="13"/>
    </row>
    <row r="13448">
      <c r="A13448" s="6"/>
      <c r="B13448" s="6"/>
      <c r="H13448" s="13"/>
    </row>
    <row r="13449">
      <c r="A13449" s="6"/>
      <c r="B13449" s="6"/>
      <c r="H13449" s="13"/>
    </row>
    <row r="13450">
      <c r="A13450" s="6"/>
      <c r="B13450" s="6"/>
      <c r="H13450" s="13"/>
    </row>
    <row r="13451">
      <c r="A13451" s="6"/>
      <c r="B13451" s="6"/>
      <c r="H13451" s="13"/>
    </row>
    <row r="13452">
      <c r="A13452" s="6"/>
      <c r="B13452" s="6"/>
      <c r="H13452" s="13"/>
    </row>
    <row r="13453">
      <c r="A13453" s="6"/>
      <c r="B13453" s="6"/>
      <c r="H13453" s="13"/>
    </row>
    <row r="13454">
      <c r="A13454" s="6"/>
      <c r="B13454" s="6"/>
      <c r="H13454" s="13"/>
    </row>
    <row r="13455">
      <c r="A13455" s="6"/>
      <c r="B13455" s="6"/>
      <c r="H13455" s="13"/>
    </row>
    <row r="13456">
      <c r="A13456" s="6"/>
      <c r="B13456" s="6"/>
      <c r="H13456" s="13"/>
    </row>
    <row r="13457">
      <c r="A13457" s="6"/>
      <c r="B13457" s="6"/>
      <c r="H13457" s="13"/>
    </row>
    <row r="13458">
      <c r="A13458" s="6"/>
      <c r="B13458" s="6"/>
      <c r="H13458" s="13"/>
    </row>
    <row r="13459">
      <c r="A13459" s="6"/>
      <c r="B13459" s="6"/>
      <c r="H13459" s="13"/>
    </row>
    <row r="13460">
      <c r="A13460" s="6"/>
      <c r="B13460" s="6"/>
      <c r="H13460" s="13"/>
    </row>
    <row r="13461">
      <c r="A13461" s="6"/>
      <c r="B13461" s="6"/>
      <c r="H13461" s="13"/>
    </row>
    <row r="13462">
      <c r="A13462" s="6"/>
      <c r="B13462" s="6"/>
      <c r="H13462" s="13"/>
    </row>
    <row r="13463">
      <c r="A13463" s="6"/>
      <c r="B13463" s="6"/>
      <c r="H13463" s="13"/>
    </row>
    <row r="13464">
      <c r="A13464" s="6"/>
      <c r="B13464" s="6"/>
      <c r="H13464" s="13"/>
    </row>
    <row r="13465">
      <c r="A13465" s="6"/>
      <c r="B13465" s="6"/>
      <c r="H13465" s="13"/>
    </row>
    <row r="13466">
      <c r="A13466" s="6"/>
      <c r="B13466" s="6"/>
      <c r="H13466" s="13"/>
    </row>
    <row r="13467">
      <c r="A13467" s="6"/>
      <c r="B13467" s="6"/>
      <c r="H13467" s="13"/>
    </row>
    <row r="13468">
      <c r="A13468" s="6"/>
      <c r="B13468" s="6"/>
      <c r="H13468" s="13"/>
    </row>
    <row r="13469">
      <c r="A13469" s="6"/>
      <c r="B13469" s="6"/>
      <c r="H13469" s="13"/>
    </row>
    <row r="13470">
      <c r="A13470" s="6"/>
      <c r="B13470" s="6"/>
      <c r="H13470" s="13"/>
    </row>
    <row r="13471">
      <c r="A13471" s="6"/>
      <c r="B13471" s="6"/>
      <c r="H13471" s="13"/>
    </row>
    <row r="13472">
      <c r="A13472" s="6"/>
      <c r="B13472" s="6"/>
      <c r="H13472" s="13"/>
    </row>
    <row r="13473">
      <c r="A13473" s="6"/>
      <c r="B13473" s="6"/>
      <c r="H13473" s="13"/>
    </row>
    <row r="13474">
      <c r="A13474" s="6"/>
      <c r="B13474" s="6"/>
      <c r="H13474" s="13"/>
    </row>
    <row r="13475">
      <c r="A13475" s="6"/>
      <c r="B13475" s="6"/>
      <c r="H13475" s="13"/>
    </row>
    <row r="13476">
      <c r="A13476" s="6"/>
      <c r="B13476" s="6"/>
      <c r="H13476" s="13"/>
    </row>
    <row r="13477">
      <c r="A13477" s="6"/>
      <c r="B13477" s="6"/>
      <c r="H13477" s="13"/>
    </row>
    <row r="13478">
      <c r="A13478" s="6"/>
      <c r="B13478" s="6"/>
      <c r="H13478" s="13"/>
    </row>
    <row r="13479">
      <c r="A13479" s="6"/>
      <c r="B13479" s="6"/>
      <c r="H13479" s="13"/>
    </row>
    <row r="13480">
      <c r="A13480" s="6"/>
      <c r="B13480" s="6"/>
      <c r="H13480" s="13"/>
    </row>
    <row r="13481">
      <c r="A13481" s="6"/>
      <c r="B13481" s="6"/>
      <c r="H13481" s="13"/>
    </row>
    <row r="13482">
      <c r="A13482" s="6"/>
      <c r="B13482" s="6"/>
      <c r="H13482" s="13"/>
    </row>
    <row r="13483">
      <c r="A13483" s="6"/>
      <c r="B13483" s="6"/>
      <c r="H13483" s="13"/>
    </row>
    <row r="13484">
      <c r="A13484" s="6"/>
      <c r="B13484" s="6"/>
      <c r="H13484" s="13"/>
    </row>
    <row r="13485">
      <c r="A13485" s="6"/>
      <c r="B13485" s="6"/>
      <c r="H13485" s="13"/>
    </row>
    <row r="13486">
      <c r="A13486" s="6"/>
      <c r="B13486" s="6"/>
      <c r="H13486" s="13"/>
    </row>
    <row r="13487">
      <c r="A13487" s="6"/>
      <c r="B13487" s="6"/>
      <c r="H13487" s="13"/>
    </row>
    <row r="13488">
      <c r="A13488" s="6"/>
      <c r="B13488" s="6"/>
      <c r="H13488" s="13"/>
    </row>
    <row r="13489">
      <c r="A13489" s="6"/>
      <c r="B13489" s="6"/>
      <c r="H13489" s="13"/>
    </row>
    <row r="13490">
      <c r="A13490" s="6"/>
      <c r="B13490" s="6"/>
      <c r="H13490" s="13"/>
    </row>
    <row r="13491">
      <c r="A13491" s="6"/>
      <c r="B13491" s="6"/>
      <c r="H13491" s="13"/>
    </row>
    <row r="13492">
      <c r="A13492" s="6"/>
      <c r="B13492" s="6"/>
      <c r="H13492" s="13"/>
    </row>
    <row r="13493">
      <c r="A13493" s="6"/>
      <c r="B13493" s="6"/>
      <c r="H13493" s="13"/>
    </row>
    <row r="13494">
      <c r="A13494" s="6"/>
      <c r="B13494" s="6"/>
      <c r="H13494" s="13"/>
    </row>
    <row r="13495">
      <c r="A13495" s="6"/>
      <c r="B13495" s="6"/>
      <c r="H13495" s="13"/>
    </row>
    <row r="13496">
      <c r="A13496" s="6"/>
      <c r="B13496" s="6"/>
      <c r="H13496" s="13"/>
    </row>
    <row r="13497">
      <c r="A13497" s="6"/>
      <c r="B13497" s="6"/>
      <c r="H13497" s="13"/>
    </row>
    <row r="13498">
      <c r="A13498" s="6"/>
      <c r="B13498" s="6"/>
      <c r="H13498" s="13"/>
    </row>
    <row r="13499">
      <c r="A13499" s="6"/>
      <c r="B13499" s="6"/>
      <c r="H13499" s="13"/>
    </row>
    <row r="13500">
      <c r="A13500" s="6"/>
      <c r="B13500" s="6"/>
      <c r="H13500" s="13"/>
    </row>
    <row r="13501">
      <c r="A13501" s="6"/>
      <c r="B13501" s="6"/>
      <c r="H13501" s="13"/>
    </row>
    <row r="13502">
      <c r="A13502" s="6"/>
      <c r="B13502" s="6"/>
      <c r="H13502" s="13"/>
    </row>
    <row r="13503">
      <c r="A13503" s="6"/>
      <c r="B13503" s="6"/>
      <c r="H13503" s="13"/>
    </row>
    <row r="13504">
      <c r="A13504" s="6"/>
      <c r="B13504" s="6"/>
      <c r="H13504" s="13"/>
    </row>
    <row r="13505">
      <c r="A13505" s="6"/>
      <c r="B13505" s="6"/>
      <c r="H13505" s="13"/>
    </row>
    <row r="13506">
      <c r="A13506" s="6"/>
      <c r="B13506" s="6"/>
      <c r="H13506" s="13"/>
    </row>
    <row r="13507">
      <c r="A13507" s="6"/>
      <c r="B13507" s="6"/>
      <c r="H13507" s="13"/>
    </row>
    <row r="13508">
      <c r="A13508" s="6"/>
      <c r="B13508" s="6"/>
      <c r="H13508" s="13"/>
    </row>
    <row r="13509">
      <c r="A13509" s="6"/>
      <c r="B13509" s="6"/>
      <c r="H13509" s="13"/>
    </row>
    <row r="13510">
      <c r="A13510" s="6"/>
      <c r="B13510" s="6"/>
      <c r="H13510" s="13"/>
    </row>
    <row r="13511">
      <c r="A13511" s="6"/>
      <c r="B13511" s="6"/>
      <c r="H13511" s="13"/>
    </row>
    <row r="13512">
      <c r="A13512" s="6"/>
      <c r="B13512" s="6"/>
      <c r="H13512" s="13"/>
    </row>
    <row r="13513">
      <c r="A13513" s="6"/>
      <c r="B13513" s="6"/>
      <c r="H13513" s="13"/>
    </row>
    <row r="13514">
      <c r="A13514" s="6"/>
      <c r="B13514" s="6"/>
      <c r="H13514" s="13"/>
    </row>
    <row r="13515">
      <c r="A13515" s="6"/>
      <c r="B13515" s="6"/>
      <c r="H13515" s="13"/>
    </row>
    <row r="13516">
      <c r="A13516" s="6"/>
      <c r="B13516" s="6"/>
      <c r="H13516" s="13"/>
    </row>
    <row r="13517">
      <c r="A13517" s="6"/>
      <c r="B13517" s="6"/>
      <c r="H13517" s="13"/>
    </row>
    <row r="13518">
      <c r="A13518" s="6"/>
      <c r="B13518" s="6"/>
      <c r="H13518" s="13"/>
    </row>
    <row r="13519">
      <c r="A13519" s="6"/>
      <c r="B13519" s="6"/>
      <c r="H13519" s="13"/>
    </row>
    <row r="13520">
      <c r="A13520" s="6"/>
      <c r="B13520" s="6"/>
      <c r="H13520" s="13"/>
    </row>
    <row r="13521">
      <c r="A13521" s="6"/>
      <c r="B13521" s="6"/>
      <c r="H13521" s="13"/>
    </row>
    <row r="13522">
      <c r="A13522" s="6"/>
      <c r="B13522" s="6"/>
      <c r="H13522" s="13"/>
    </row>
    <row r="13523">
      <c r="A13523" s="6"/>
      <c r="B13523" s="6"/>
      <c r="H13523" s="13"/>
    </row>
    <row r="13524">
      <c r="A13524" s="6"/>
      <c r="B13524" s="6"/>
      <c r="H13524" s="13"/>
    </row>
    <row r="13525">
      <c r="A13525" s="6"/>
      <c r="B13525" s="6"/>
      <c r="H13525" s="13"/>
    </row>
    <row r="13526">
      <c r="A13526" s="6"/>
      <c r="B13526" s="6"/>
      <c r="H13526" s="13"/>
    </row>
    <row r="13527">
      <c r="A13527" s="6"/>
      <c r="B13527" s="6"/>
      <c r="H13527" s="13"/>
    </row>
    <row r="13528">
      <c r="A13528" s="6"/>
      <c r="B13528" s="6"/>
      <c r="H13528" s="13"/>
    </row>
    <row r="13529">
      <c r="A13529" s="6"/>
      <c r="B13529" s="6"/>
      <c r="H13529" s="13"/>
    </row>
    <row r="13530">
      <c r="A13530" s="6"/>
      <c r="B13530" s="6"/>
      <c r="H13530" s="13"/>
    </row>
    <row r="13531">
      <c r="A13531" s="6"/>
      <c r="B13531" s="6"/>
      <c r="H13531" s="13"/>
    </row>
    <row r="13532">
      <c r="A13532" s="6"/>
      <c r="B13532" s="6"/>
      <c r="H13532" s="13"/>
    </row>
    <row r="13533">
      <c r="A13533" s="6"/>
      <c r="B13533" s="6"/>
      <c r="H13533" s="13"/>
    </row>
    <row r="13534">
      <c r="A13534" s="6"/>
      <c r="B13534" s="6"/>
      <c r="H13534" s="13"/>
    </row>
    <row r="13535">
      <c r="A13535" s="6"/>
      <c r="B13535" s="6"/>
      <c r="H13535" s="13"/>
    </row>
    <row r="13536">
      <c r="A13536" s="6"/>
      <c r="B13536" s="6"/>
      <c r="H13536" s="13"/>
    </row>
    <row r="13537">
      <c r="A13537" s="6"/>
      <c r="B13537" s="6"/>
      <c r="H13537" s="13"/>
    </row>
    <row r="13538">
      <c r="A13538" s="6"/>
      <c r="B13538" s="6"/>
      <c r="H13538" s="13"/>
    </row>
    <row r="13539">
      <c r="A13539" s="6"/>
      <c r="B13539" s="6"/>
      <c r="H13539" s="13"/>
    </row>
    <row r="13540">
      <c r="A13540" s="6"/>
      <c r="B13540" s="6"/>
      <c r="H13540" s="13"/>
    </row>
    <row r="13541">
      <c r="A13541" s="6"/>
      <c r="B13541" s="6"/>
      <c r="H13541" s="13"/>
    </row>
    <row r="13542">
      <c r="A13542" s="6"/>
      <c r="B13542" s="6"/>
      <c r="H13542" s="13"/>
    </row>
    <row r="13543">
      <c r="A13543" s="6"/>
      <c r="B13543" s="6"/>
      <c r="H13543" s="13"/>
    </row>
    <row r="13544">
      <c r="A13544" s="6"/>
      <c r="B13544" s="6"/>
      <c r="H13544" s="13"/>
    </row>
    <row r="13545">
      <c r="A13545" s="6"/>
      <c r="B13545" s="6"/>
      <c r="H13545" s="13"/>
    </row>
    <row r="13546">
      <c r="A13546" s="6"/>
      <c r="B13546" s="6"/>
      <c r="H13546" s="13"/>
    </row>
    <row r="13547">
      <c r="A13547" s="6"/>
      <c r="B13547" s="6"/>
      <c r="H13547" s="13"/>
    </row>
    <row r="13548">
      <c r="A13548" s="6"/>
      <c r="B13548" s="6"/>
      <c r="H13548" s="13"/>
    </row>
    <row r="13549">
      <c r="A13549" s="6"/>
      <c r="B13549" s="6"/>
      <c r="H13549" s="13"/>
    </row>
    <row r="13550">
      <c r="A13550" s="6"/>
      <c r="B13550" s="6"/>
      <c r="H13550" s="13"/>
    </row>
    <row r="13551">
      <c r="A13551" s="6"/>
      <c r="B13551" s="6"/>
      <c r="H13551" s="13"/>
    </row>
    <row r="13552">
      <c r="A13552" s="6"/>
      <c r="B13552" s="6"/>
      <c r="H13552" s="13"/>
    </row>
    <row r="13553">
      <c r="A13553" s="6"/>
      <c r="B13553" s="6"/>
      <c r="H13553" s="13"/>
    </row>
    <row r="13554">
      <c r="A13554" s="6"/>
      <c r="B13554" s="6"/>
      <c r="H13554" s="13"/>
    </row>
    <row r="13555">
      <c r="A13555" s="6"/>
      <c r="B13555" s="6"/>
      <c r="H13555" s="13"/>
    </row>
    <row r="13556">
      <c r="A13556" s="6"/>
      <c r="B13556" s="6"/>
      <c r="H13556" s="13"/>
    </row>
    <row r="13557">
      <c r="A13557" s="6"/>
      <c r="B13557" s="6"/>
      <c r="H13557" s="13"/>
    </row>
    <row r="13558">
      <c r="A13558" s="6"/>
      <c r="B13558" s="6"/>
      <c r="H13558" s="13"/>
    </row>
    <row r="13559">
      <c r="A13559" s="6"/>
      <c r="B13559" s="6"/>
      <c r="H13559" s="13"/>
    </row>
    <row r="13560">
      <c r="A13560" s="6"/>
      <c r="B13560" s="6"/>
      <c r="H13560" s="13"/>
    </row>
    <row r="13561">
      <c r="A13561" s="6"/>
      <c r="B13561" s="6"/>
      <c r="H13561" s="13"/>
    </row>
    <row r="13562">
      <c r="A13562" s="6"/>
      <c r="B13562" s="6"/>
      <c r="H13562" s="13"/>
    </row>
    <row r="13563">
      <c r="A13563" s="6"/>
      <c r="B13563" s="6"/>
      <c r="H13563" s="13"/>
    </row>
    <row r="13564">
      <c r="A13564" s="6"/>
      <c r="B13564" s="6"/>
      <c r="H13564" s="13"/>
    </row>
    <row r="13565">
      <c r="A13565" s="6"/>
      <c r="B13565" s="6"/>
      <c r="H13565" s="13"/>
    </row>
    <row r="13566">
      <c r="A13566" s="6"/>
      <c r="B13566" s="6"/>
      <c r="H13566" s="13"/>
    </row>
    <row r="13567">
      <c r="A13567" s="6"/>
      <c r="B13567" s="6"/>
      <c r="H13567" s="13"/>
    </row>
    <row r="13568">
      <c r="A13568" s="6"/>
      <c r="B13568" s="6"/>
      <c r="H13568" s="13"/>
    </row>
    <row r="13569">
      <c r="A13569" s="6"/>
      <c r="B13569" s="6"/>
      <c r="H13569" s="13"/>
    </row>
    <row r="13570">
      <c r="A13570" s="6"/>
      <c r="B13570" s="6"/>
      <c r="H13570" s="13"/>
    </row>
    <row r="13571">
      <c r="A13571" s="6"/>
      <c r="B13571" s="6"/>
      <c r="H13571" s="13"/>
    </row>
    <row r="13572">
      <c r="A13572" s="6"/>
      <c r="B13572" s="6"/>
      <c r="H13572" s="13"/>
    </row>
    <row r="13573">
      <c r="A13573" s="6"/>
      <c r="B13573" s="6"/>
      <c r="H13573" s="13"/>
    </row>
    <row r="13574">
      <c r="A13574" s="6"/>
      <c r="B13574" s="6"/>
      <c r="H13574" s="13"/>
    </row>
    <row r="13575">
      <c r="A13575" s="6"/>
      <c r="B13575" s="6"/>
      <c r="H13575" s="13"/>
    </row>
    <row r="13576">
      <c r="A13576" s="6"/>
      <c r="B13576" s="6"/>
      <c r="H13576" s="13"/>
    </row>
    <row r="13577">
      <c r="A13577" s="6"/>
      <c r="B13577" s="6"/>
      <c r="H13577" s="13"/>
    </row>
    <row r="13578">
      <c r="A13578" s="6"/>
      <c r="B13578" s="6"/>
      <c r="H13578" s="13"/>
    </row>
    <row r="13579">
      <c r="A13579" s="6"/>
      <c r="B13579" s="6"/>
      <c r="H13579" s="13"/>
    </row>
    <row r="13580">
      <c r="A13580" s="6"/>
      <c r="B13580" s="6"/>
      <c r="H13580" s="13"/>
    </row>
    <row r="13581">
      <c r="A13581" s="6"/>
      <c r="B13581" s="6"/>
      <c r="H13581" s="13"/>
    </row>
    <row r="13582">
      <c r="A13582" s="6"/>
      <c r="B13582" s="6"/>
      <c r="H13582" s="13"/>
    </row>
    <row r="13583">
      <c r="A13583" s="6"/>
      <c r="B13583" s="6"/>
      <c r="H13583" s="13"/>
    </row>
    <row r="13584">
      <c r="A13584" s="6"/>
      <c r="B13584" s="6"/>
      <c r="H13584" s="13"/>
    </row>
    <row r="13585">
      <c r="A13585" s="6"/>
      <c r="B13585" s="6"/>
      <c r="H13585" s="13"/>
    </row>
    <row r="13586">
      <c r="A13586" s="6"/>
      <c r="B13586" s="6"/>
      <c r="H13586" s="13"/>
    </row>
    <row r="13587">
      <c r="A13587" s="6"/>
      <c r="B13587" s="6"/>
      <c r="H13587" s="13"/>
    </row>
    <row r="13588">
      <c r="A13588" s="6"/>
      <c r="B13588" s="6"/>
      <c r="H13588" s="13"/>
    </row>
    <row r="13589">
      <c r="A13589" s="6"/>
      <c r="B13589" s="6"/>
      <c r="H13589" s="13"/>
    </row>
    <row r="13590">
      <c r="A13590" s="6"/>
      <c r="B13590" s="6"/>
      <c r="H13590" s="13"/>
    </row>
    <row r="13591">
      <c r="A13591" s="6"/>
      <c r="B13591" s="6"/>
      <c r="H13591" s="13"/>
    </row>
    <row r="13592">
      <c r="A13592" s="6"/>
      <c r="B13592" s="6"/>
      <c r="H13592" s="13"/>
    </row>
    <row r="13593">
      <c r="A13593" s="6"/>
      <c r="B13593" s="6"/>
      <c r="H13593" s="13"/>
    </row>
    <row r="13594">
      <c r="A13594" s="6"/>
      <c r="B13594" s="6"/>
      <c r="H13594" s="13"/>
    </row>
    <row r="13595">
      <c r="A13595" s="6"/>
      <c r="B13595" s="6"/>
      <c r="H13595" s="13"/>
    </row>
    <row r="13596">
      <c r="A13596" s="6"/>
      <c r="B13596" s="6"/>
      <c r="H13596" s="13"/>
    </row>
    <row r="13597">
      <c r="A13597" s="6"/>
      <c r="B13597" s="6"/>
      <c r="H13597" s="13"/>
    </row>
    <row r="13598">
      <c r="A13598" s="6"/>
      <c r="B13598" s="6"/>
      <c r="H13598" s="13"/>
    </row>
    <row r="13599">
      <c r="A13599" s="6"/>
      <c r="B13599" s="6"/>
      <c r="H13599" s="13"/>
    </row>
    <row r="13600">
      <c r="A13600" s="6"/>
      <c r="B13600" s="6"/>
      <c r="H13600" s="13"/>
    </row>
    <row r="13601">
      <c r="A13601" s="6"/>
      <c r="B13601" s="6"/>
      <c r="H13601" s="13"/>
    </row>
    <row r="13602">
      <c r="A13602" s="6"/>
      <c r="B13602" s="6"/>
      <c r="H13602" s="13"/>
    </row>
    <row r="13603">
      <c r="A13603" s="6"/>
      <c r="B13603" s="6"/>
      <c r="H13603" s="13"/>
    </row>
    <row r="13604">
      <c r="A13604" s="6"/>
      <c r="B13604" s="6"/>
      <c r="H13604" s="13"/>
    </row>
    <row r="13605">
      <c r="A13605" s="6"/>
      <c r="B13605" s="6"/>
      <c r="H13605" s="13"/>
    </row>
    <row r="13606">
      <c r="A13606" s="6"/>
      <c r="B13606" s="6"/>
      <c r="H13606" s="13"/>
    </row>
    <row r="13607">
      <c r="A13607" s="6"/>
      <c r="B13607" s="6"/>
      <c r="H13607" s="13"/>
    </row>
    <row r="13608">
      <c r="A13608" s="6"/>
      <c r="B13608" s="6"/>
      <c r="H13608" s="13"/>
    </row>
    <row r="13609">
      <c r="A13609" s="6"/>
      <c r="B13609" s="6"/>
      <c r="H13609" s="13"/>
    </row>
    <row r="13610">
      <c r="A13610" s="6"/>
      <c r="B13610" s="6"/>
      <c r="H13610" s="13"/>
    </row>
    <row r="13611">
      <c r="A13611" s="6"/>
      <c r="B13611" s="6"/>
      <c r="H13611" s="13"/>
    </row>
    <row r="13612">
      <c r="A13612" s="6"/>
      <c r="B13612" s="6"/>
      <c r="H13612" s="13"/>
    </row>
    <row r="13613">
      <c r="A13613" s="6"/>
      <c r="B13613" s="6"/>
      <c r="H13613" s="13"/>
    </row>
    <row r="13614">
      <c r="A13614" s="6"/>
      <c r="B13614" s="6"/>
      <c r="H13614" s="13"/>
    </row>
    <row r="13615">
      <c r="A13615" s="6"/>
      <c r="B13615" s="6"/>
      <c r="H13615" s="13"/>
    </row>
    <row r="13616">
      <c r="A13616" s="6"/>
      <c r="B13616" s="6"/>
      <c r="H13616" s="13"/>
    </row>
    <row r="13617">
      <c r="A13617" s="6"/>
      <c r="B13617" s="6"/>
      <c r="H13617" s="13"/>
    </row>
    <row r="13618">
      <c r="A13618" s="6"/>
      <c r="B13618" s="6"/>
      <c r="H13618" s="13"/>
    </row>
    <row r="13619">
      <c r="A13619" s="6"/>
      <c r="B13619" s="6"/>
      <c r="H13619" s="13"/>
    </row>
    <row r="13620">
      <c r="A13620" s="6"/>
      <c r="B13620" s="6"/>
      <c r="H13620" s="13"/>
    </row>
    <row r="13621">
      <c r="A13621" s="6"/>
      <c r="B13621" s="6"/>
      <c r="H13621" s="13"/>
    </row>
    <row r="13622">
      <c r="A13622" s="6"/>
      <c r="B13622" s="6"/>
      <c r="H13622" s="13"/>
    </row>
    <row r="13623">
      <c r="A13623" s="6"/>
      <c r="B13623" s="6"/>
      <c r="H13623" s="13"/>
    </row>
    <row r="13624">
      <c r="A13624" s="6"/>
      <c r="B13624" s="6"/>
      <c r="H13624" s="13"/>
    </row>
    <row r="13625">
      <c r="A13625" s="6"/>
      <c r="B13625" s="6"/>
      <c r="H13625" s="13"/>
    </row>
    <row r="13626">
      <c r="A13626" s="6"/>
      <c r="B13626" s="6"/>
      <c r="H13626" s="13"/>
    </row>
    <row r="13627">
      <c r="A13627" s="6"/>
      <c r="B13627" s="6"/>
      <c r="H13627" s="13"/>
    </row>
    <row r="13628">
      <c r="A13628" s="6"/>
      <c r="B13628" s="6"/>
      <c r="H13628" s="13"/>
    </row>
    <row r="13629">
      <c r="A13629" s="6"/>
      <c r="B13629" s="6"/>
      <c r="H13629" s="13"/>
    </row>
    <row r="13630">
      <c r="A13630" s="6"/>
      <c r="B13630" s="6"/>
      <c r="H13630" s="13"/>
    </row>
    <row r="13631">
      <c r="A13631" s="6"/>
      <c r="B13631" s="6"/>
      <c r="H13631" s="13"/>
    </row>
    <row r="13632">
      <c r="A13632" s="6"/>
      <c r="B13632" s="6"/>
      <c r="H13632" s="13"/>
    </row>
    <row r="13633">
      <c r="A13633" s="6"/>
      <c r="B13633" s="6"/>
      <c r="H13633" s="13"/>
    </row>
    <row r="13634">
      <c r="A13634" s="6"/>
      <c r="B13634" s="6"/>
      <c r="H13634" s="13"/>
    </row>
    <row r="13635">
      <c r="A13635" s="6"/>
      <c r="B13635" s="6"/>
      <c r="H13635" s="13"/>
    </row>
    <row r="13636">
      <c r="A13636" s="6"/>
      <c r="B13636" s="6"/>
      <c r="H13636" s="13"/>
    </row>
    <row r="13637">
      <c r="A13637" s="6"/>
      <c r="B13637" s="6"/>
      <c r="H13637" s="13"/>
    </row>
    <row r="13638">
      <c r="A13638" s="6"/>
      <c r="B13638" s="6"/>
      <c r="H13638" s="13"/>
    </row>
    <row r="13639">
      <c r="A13639" s="6"/>
      <c r="B13639" s="6"/>
      <c r="H13639" s="13"/>
    </row>
    <row r="13640">
      <c r="A13640" s="6"/>
      <c r="B13640" s="6"/>
      <c r="H13640" s="13"/>
    </row>
    <row r="13641">
      <c r="A13641" s="6"/>
      <c r="B13641" s="6"/>
      <c r="H13641" s="13"/>
    </row>
    <row r="13642">
      <c r="A13642" s="6"/>
      <c r="B13642" s="6"/>
      <c r="H13642" s="13"/>
    </row>
    <row r="13643">
      <c r="A13643" s="6"/>
      <c r="B13643" s="6"/>
      <c r="H13643" s="13"/>
    </row>
    <row r="13644">
      <c r="A13644" s="6"/>
      <c r="B13644" s="6"/>
      <c r="H13644" s="13"/>
    </row>
    <row r="13645">
      <c r="A13645" s="6"/>
      <c r="B13645" s="6"/>
      <c r="H13645" s="13"/>
    </row>
    <row r="13646">
      <c r="A13646" s="6"/>
      <c r="B13646" s="6"/>
      <c r="H13646" s="13"/>
    </row>
    <row r="13647">
      <c r="A13647" s="6"/>
      <c r="B13647" s="6"/>
      <c r="H13647" s="13"/>
    </row>
    <row r="13648">
      <c r="A13648" s="6"/>
      <c r="B13648" s="6"/>
      <c r="H13648" s="13"/>
    </row>
    <row r="13649">
      <c r="A13649" s="6"/>
      <c r="B13649" s="6"/>
      <c r="H13649" s="13"/>
    </row>
    <row r="13650">
      <c r="A13650" s="6"/>
      <c r="B13650" s="6"/>
      <c r="H13650" s="13"/>
    </row>
    <row r="13651">
      <c r="A13651" s="6"/>
      <c r="B13651" s="6"/>
      <c r="H13651" s="13"/>
    </row>
    <row r="13652">
      <c r="A13652" s="6"/>
      <c r="B13652" s="6"/>
      <c r="H13652" s="13"/>
    </row>
    <row r="13653">
      <c r="A13653" s="6"/>
      <c r="B13653" s="6"/>
      <c r="H13653" s="13"/>
    </row>
    <row r="13654">
      <c r="A13654" s="6"/>
      <c r="B13654" s="6"/>
      <c r="H13654" s="13"/>
    </row>
    <row r="13655">
      <c r="A13655" s="6"/>
      <c r="B13655" s="6"/>
      <c r="H13655" s="13"/>
    </row>
    <row r="13656">
      <c r="A13656" s="6"/>
      <c r="B13656" s="6"/>
      <c r="H13656" s="13"/>
    </row>
    <row r="13657">
      <c r="A13657" s="6"/>
      <c r="B13657" s="6"/>
      <c r="H13657" s="13"/>
    </row>
    <row r="13658">
      <c r="A13658" s="6"/>
      <c r="B13658" s="6"/>
      <c r="H13658" s="13"/>
    </row>
    <row r="13659">
      <c r="A13659" s="6"/>
      <c r="B13659" s="6"/>
      <c r="H13659" s="13"/>
    </row>
    <row r="13660">
      <c r="A13660" s="6"/>
      <c r="B13660" s="6"/>
      <c r="H13660" s="13"/>
    </row>
    <row r="13661">
      <c r="A13661" s="6"/>
      <c r="B13661" s="6"/>
      <c r="H13661" s="13"/>
    </row>
    <row r="13662">
      <c r="A13662" s="6"/>
      <c r="B13662" s="6"/>
      <c r="H13662" s="13"/>
    </row>
    <row r="13663">
      <c r="A13663" s="6"/>
      <c r="B13663" s="6"/>
      <c r="H13663" s="13"/>
    </row>
    <row r="13664">
      <c r="A13664" s="6"/>
      <c r="B13664" s="6"/>
      <c r="H13664" s="13"/>
    </row>
    <row r="13665">
      <c r="A13665" s="6"/>
      <c r="B13665" s="6"/>
      <c r="H13665" s="13"/>
    </row>
    <row r="13666">
      <c r="A13666" s="6"/>
      <c r="B13666" s="6"/>
      <c r="H13666" s="13"/>
    </row>
    <row r="13667">
      <c r="A13667" s="6"/>
      <c r="B13667" s="6"/>
      <c r="H13667" s="13"/>
    </row>
    <row r="13668">
      <c r="A13668" s="6"/>
      <c r="B13668" s="6"/>
      <c r="H13668" s="13"/>
    </row>
    <row r="13669">
      <c r="A13669" s="6"/>
      <c r="B13669" s="6"/>
      <c r="H13669" s="13"/>
    </row>
    <row r="13670">
      <c r="A13670" s="6"/>
      <c r="B13670" s="6"/>
      <c r="H13670" s="13"/>
    </row>
    <row r="13671">
      <c r="A13671" s="6"/>
      <c r="B13671" s="6"/>
      <c r="H13671" s="13"/>
    </row>
    <row r="13672">
      <c r="A13672" s="6"/>
      <c r="B13672" s="6"/>
      <c r="H13672" s="13"/>
    </row>
    <row r="13673">
      <c r="A13673" s="6"/>
      <c r="B13673" s="6"/>
      <c r="H13673" s="13"/>
    </row>
    <row r="13674">
      <c r="A13674" s="6"/>
      <c r="B13674" s="6"/>
      <c r="H13674" s="13"/>
    </row>
    <row r="13675">
      <c r="A13675" s="6"/>
      <c r="B13675" s="6"/>
      <c r="H13675" s="13"/>
    </row>
    <row r="13676">
      <c r="A13676" s="6"/>
      <c r="B13676" s="6"/>
      <c r="H13676" s="13"/>
    </row>
    <row r="13677">
      <c r="A13677" s="6"/>
      <c r="B13677" s="6"/>
      <c r="H13677" s="13"/>
    </row>
    <row r="13678">
      <c r="A13678" s="6"/>
      <c r="B13678" s="6"/>
      <c r="H13678" s="13"/>
    </row>
    <row r="13679">
      <c r="A13679" s="6"/>
      <c r="B13679" s="6"/>
      <c r="H13679" s="13"/>
    </row>
    <row r="13680">
      <c r="A13680" s="6"/>
      <c r="B13680" s="6"/>
      <c r="H13680" s="13"/>
    </row>
    <row r="13681">
      <c r="A13681" s="6"/>
      <c r="B13681" s="6"/>
      <c r="H13681" s="13"/>
    </row>
    <row r="13682">
      <c r="A13682" s="6"/>
      <c r="B13682" s="6"/>
      <c r="H13682" s="13"/>
    </row>
    <row r="13683">
      <c r="A13683" s="6"/>
      <c r="B13683" s="6"/>
      <c r="H13683" s="13"/>
    </row>
    <row r="13684">
      <c r="A13684" s="6"/>
      <c r="B13684" s="6"/>
      <c r="H13684" s="13"/>
    </row>
    <row r="13685">
      <c r="A13685" s="6"/>
      <c r="B13685" s="6"/>
      <c r="H13685" s="13"/>
    </row>
    <row r="13686">
      <c r="A13686" s="6"/>
      <c r="B13686" s="6"/>
      <c r="H13686" s="13"/>
    </row>
    <row r="13687">
      <c r="A13687" s="6"/>
      <c r="B13687" s="6"/>
      <c r="H13687" s="13"/>
    </row>
    <row r="13688">
      <c r="A13688" s="6"/>
      <c r="B13688" s="6"/>
      <c r="H13688" s="13"/>
    </row>
    <row r="13689">
      <c r="A13689" s="6"/>
      <c r="B13689" s="6"/>
      <c r="H13689" s="13"/>
    </row>
    <row r="13690">
      <c r="A13690" s="6"/>
      <c r="B13690" s="6"/>
      <c r="H13690" s="13"/>
    </row>
    <row r="13691">
      <c r="A13691" s="6"/>
      <c r="B13691" s="6"/>
      <c r="H13691" s="13"/>
    </row>
    <row r="13692">
      <c r="A13692" s="6"/>
      <c r="B13692" s="6"/>
      <c r="H13692" s="13"/>
    </row>
    <row r="13693">
      <c r="A13693" s="6"/>
      <c r="B13693" s="6"/>
      <c r="H13693" s="13"/>
    </row>
    <row r="13694">
      <c r="A13694" s="6"/>
      <c r="B13694" s="6"/>
      <c r="H13694" s="13"/>
    </row>
    <row r="13695">
      <c r="A13695" s="6"/>
      <c r="B13695" s="6"/>
      <c r="H13695" s="13"/>
    </row>
    <row r="13696">
      <c r="A13696" s="6"/>
      <c r="B13696" s="6"/>
      <c r="H13696" s="13"/>
    </row>
    <row r="13697">
      <c r="A13697" s="6"/>
      <c r="B13697" s="6"/>
      <c r="H13697" s="13"/>
    </row>
    <row r="13698">
      <c r="A13698" s="6"/>
      <c r="B13698" s="6"/>
      <c r="H13698" s="13"/>
    </row>
    <row r="13699">
      <c r="A13699" s="6"/>
      <c r="B13699" s="6"/>
      <c r="H13699" s="13"/>
    </row>
    <row r="13700">
      <c r="A13700" s="6"/>
      <c r="B13700" s="6"/>
      <c r="H13700" s="13"/>
    </row>
    <row r="13701">
      <c r="A13701" s="6"/>
      <c r="B13701" s="6"/>
      <c r="H13701" s="13"/>
    </row>
    <row r="13702">
      <c r="A13702" s="6"/>
      <c r="B13702" s="6"/>
      <c r="H13702" s="13"/>
    </row>
    <row r="13703">
      <c r="A13703" s="6"/>
      <c r="B13703" s="6"/>
      <c r="H13703" s="13"/>
    </row>
    <row r="13704">
      <c r="A13704" s="6"/>
      <c r="B13704" s="6"/>
      <c r="H13704" s="13"/>
    </row>
    <row r="13705">
      <c r="A13705" s="6"/>
      <c r="B13705" s="6"/>
      <c r="H13705" s="13"/>
    </row>
    <row r="13706">
      <c r="A13706" s="6"/>
      <c r="B13706" s="6"/>
      <c r="H13706" s="13"/>
    </row>
    <row r="13707">
      <c r="A13707" s="6"/>
      <c r="B13707" s="6"/>
      <c r="H13707" s="13"/>
    </row>
    <row r="13708">
      <c r="A13708" s="6"/>
      <c r="B13708" s="6"/>
      <c r="H13708" s="13"/>
    </row>
    <row r="13709">
      <c r="A13709" s="6"/>
      <c r="B13709" s="6"/>
      <c r="H13709" s="13"/>
    </row>
    <row r="13710">
      <c r="A13710" s="6"/>
      <c r="B13710" s="6"/>
      <c r="H13710" s="13"/>
    </row>
    <row r="13711">
      <c r="A13711" s="6"/>
      <c r="B13711" s="6"/>
      <c r="H13711" s="13"/>
    </row>
    <row r="13712">
      <c r="A13712" s="6"/>
      <c r="B13712" s="6"/>
      <c r="H13712" s="13"/>
    </row>
    <row r="13713">
      <c r="A13713" s="6"/>
      <c r="B13713" s="6"/>
      <c r="H13713" s="13"/>
    </row>
    <row r="13714">
      <c r="A13714" s="6"/>
      <c r="B13714" s="6"/>
      <c r="H13714" s="13"/>
    </row>
    <row r="13715">
      <c r="A13715" s="6"/>
      <c r="B13715" s="6"/>
      <c r="H13715" s="13"/>
    </row>
    <row r="13716">
      <c r="A13716" s="6"/>
      <c r="B13716" s="6"/>
      <c r="H13716" s="13"/>
    </row>
    <row r="13717">
      <c r="A13717" s="6"/>
      <c r="B13717" s="6"/>
      <c r="H13717" s="13"/>
    </row>
    <row r="13718">
      <c r="A13718" s="6"/>
      <c r="B13718" s="6"/>
      <c r="H13718" s="13"/>
    </row>
    <row r="13719">
      <c r="A13719" s="6"/>
      <c r="B13719" s="6"/>
      <c r="H13719" s="13"/>
    </row>
    <row r="13720">
      <c r="A13720" s="6"/>
      <c r="B13720" s="6"/>
      <c r="H13720" s="13"/>
    </row>
    <row r="13721">
      <c r="A13721" s="6"/>
      <c r="B13721" s="6"/>
      <c r="H13721" s="13"/>
    </row>
    <row r="13722">
      <c r="A13722" s="6"/>
      <c r="B13722" s="6"/>
      <c r="H13722" s="13"/>
    </row>
    <row r="13723">
      <c r="A13723" s="6"/>
      <c r="B13723" s="6"/>
      <c r="H13723" s="13"/>
    </row>
    <row r="13724">
      <c r="A13724" s="6"/>
      <c r="B13724" s="6"/>
      <c r="H13724" s="13"/>
    </row>
    <row r="13725">
      <c r="A13725" s="6"/>
      <c r="B13725" s="6"/>
      <c r="H13725" s="13"/>
    </row>
    <row r="13726">
      <c r="A13726" s="6"/>
      <c r="B13726" s="6"/>
      <c r="H13726" s="13"/>
    </row>
    <row r="13727">
      <c r="A13727" s="6"/>
      <c r="B13727" s="6"/>
      <c r="H13727" s="13"/>
    </row>
    <row r="13728">
      <c r="A13728" s="6"/>
      <c r="B13728" s="6"/>
      <c r="H13728" s="13"/>
    </row>
    <row r="13729">
      <c r="A13729" s="6"/>
      <c r="B13729" s="6"/>
      <c r="H13729" s="13"/>
    </row>
    <row r="13730">
      <c r="A13730" s="6"/>
      <c r="B13730" s="6"/>
      <c r="H13730" s="13"/>
    </row>
    <row r="13731">
      <c r="A13731" s="6"/>
      <c r="B13731" s="6"/>
      <c r="H13731" s="13"/>
    </row>
    <row r="13732">
      <c r="A13732" s="6"/>
      <c r="B13732" s="6"/>
      <c r="H13732" s="13"/>
    </row>
    <row r="13733">
      <c r="A13733" s="6"/>
      <c r="B13733" s="6"/>
      <c r="H13733" s="13"/>
    </row>
    <row r="13734">
      <c r="A13734" s="6"/>
      <c r="B13734" s="6"/>
      <c r="H13734" s="13"/>
    </row>
    <row r="13735">
      <c r="A13735" s="6"/>
      <c r="B13735" s="6"/>
      <c r="H13735" s="13"/>
    </row>
    <row r="13736">
      <c r="A13736" s="6"/>
      <c r="B13736" s="6"/>
      <c r="H13736" s="13"/>
    </row>
    <row r="13737">
      <c r="A13737" s="6"/>
      <c r="B13737" s="6"/>
      <c r="H13737" s="13"/>
    </row>
    <row r="13738">
      <c r="A13738" s="6"/>
      <c r="B13738" s="6"/>
      <c r="H13738" s="13"/>
    </row>
    <row r="13739">
      <c r="A13739" s="6"/>
      <c r="B13739" s="6"/>
      <c r="H13739" s="13"/>
    </row>
    <row r="13740">
      <c r="A13740" s="6"/>
      <c r="B13740" s="6"/>
      <c r="H13740" s="13"/>
    </row>
    <row r="13741">
      <c r="A13741" s="6"/>
      <c r="B13741" s="6"/>
      <c r="H13741" s="13"/>
    </row>
    <row r="13742">
      <c r="A13742" s="6"/>
      <c r="B13742" s="6"/>
      <c r="H13742" s="13"/>
    </row>
    <row r="13743">
      <c r="A13743" s="6"/>
      <c r="B13743" s="6"/>
      <c r="H13743" s="13"/>
    </row>
    <row r="13744">
      <c r="A13744" s="6"/>
      <c r="B13744" s="6"/>
      <c r="H13744" s="13"/>
    </row>
    <row r="13745">
      <c r="A13745" s="6"/>
      <c r="B13745" s="6"/>
      <c r="H13745" s="13"/>
    </row>
    <row r="13746">
      <c r="A13746" s="6"/>
      <c r="B13746" s="6"/>
      <c r="H13746" s="13"/>
    </row>
    <row r="13747">
      <c r="A13747" s="6"/>
      <c r="B13747" s="6"/>
      <c r="H13747" s="13"/>
    </row>
    <row r="13748">
      <c r="A13748" s="6"/>
      <c r="B13748" s="6"/>
      <c r="H13748" s="13"/>
    </row>
    <row r="13749">
      <c r="A13749" s="6"/>
      <c r="B13749" s="6"/>
      <c r="H13749" s="13"/>
    </row>
    <row r="13750">
      <c r="A13750" s="6"/>
      <c r="B13750" s="6"/>
      <c r="H13750" s="13"/>
    </row>
    <row r="13751">
      <c r="A13751" s="6"/>
      <c r="B13751" s="6"/>
      <c r="H13751" s="13"/>
    </row>
    <row r="13752">
      <c r="A13752" s="6"/>
      <c r="B13752" s="6"/>
      <c r="H13752" s="13"/>
    </row>
    <row r="13753">
      <c r="A13753" s="6"/>
      <c r="B13753" s="6"/>
      <c r="H13753" s="13"/>
    </row>
    <row r="13754">
      <c r="A13754" s="6"/>
      <c r="B13754" s="6"/>
      <c r="H13754" s="13"/>
    </row>
    <row r="13755">
      <c r="A13755" s="6"/>
      <c r="B13755" s="6"/>
      <c r="H13755" s="13"/>
    </row>
    <row r="13756">
      <c r="A13756" s="6"/>
      <c r="B13756" s="6"/>
      <c r="H13756" s="13"/>
    </row>
    <row r="13757">
      <c r="A13757" s="6"/>
      <c r="B13757" s="6"/>
      <c r="H13757" s="13"/>
    </row>
    <row r="13758">
      <c r="A13758" s="6"/>
      <c r="B13758" s="6"/>
      <c r="H13758" s="13"/>
    </row>
    <row r="13759">
      <c r="A13759" s="6"/>
      <c r="B13759" s="6"/>
      <c r="H13759" s="13"/>
    </row>
    <row r="13760">
      <c r="A13760" s="6"/>
      <c r="B13760" s="6"/>
      <c r="H13760" s="13"/>
    </row>
    <row r="13761">
      <c r="A13761" s="6"/>
      <c r="B13761" s="6"/>
      <c r="H13761" s="13"/>
    </row>
    <row r="13762">
      <c r="A13762" s="6"/>
      <c r="B13762" s="6"/>
      <c r="H13762" s="13"/>
    </row>
    <row r="13763">
      <c r="A13763" s="6"/>
      <c r="B13763" s="6"/>
      <c r="H13763" s="13"/>
    </row>
    <row r="13764">
      <c r="A13764" s="6"/>
      <c r="B13764" s="6"/>
      <c r="H13764" s="13"/>
    </row>
    <row r="13765">
      <c r="A13765" s="6"/>
      <c r="B13765" s="6"/>
      <c r="H13765" s="13"/>
    </row>
    <row r="13766">
      <c r="A13766" s="6"/>
      <c r="B13766" s="6"/>
      <c r="H13766" s="13"/>
    </row>
    <row r="13767">
      <c r="A13767" s="6"/>
      <c r="B13767" s="6"/>
      <c r="H13767" s="13"/>
    </row>
    <row r="13768">
      <c r="A13768" s="6"/>
      <c r="B13768" s="6"/>
      <c r="H13768" s="13"/>
    </row>
    <row r="13769">
      <c r="A13769" s="6"/>
      <c r="B13769" s="6"/>
      <c r="H13769" s="13"/>
    </row>
    <row r="13770">
      <c r="A13770" s="6"/>
      <c r="B13770" s="6"/>
      <c r="H13770" s="13"/>
    </row>
    <row r="13771">
      <c r="A13771" s="6"/>
      <c r="B13771" s="6"/>
      <c r="H13771" s="13"/>
    </row>
    <row r="13772">
      <c r="A13772" s="6"/>
      <c r="B13772" s="6"/>
      <c r="H13772" s="13"/>
    </row>
    <row r="13773">
      <c r="A13773" s="6"/>
      <c r="B13773" s="6"/>
      <c r="H13773" s="13"/>
    </row>
    <row r="13774">
      <c r="A13774" s="6"/>
      <c r="B13774" s="6"/>
      <c r="H13774" s="13"/>
    </row>
    <row r="13775">
      <c r="A13775" s="6"/>
      <c r="B13775" s="6"/>
      <c r="H13775" s="13"/>
    </row>
    <row r="13776">
      <c r="A13776" s="6"/>
      <c r="B13776" s="6"/>
      <c r="H13776" s="13"/>
    </row>
    <row r="13777">
      <c r="A13777" s="6"/>
      <c r="B13777" s="6"/>
      <c r="H13777" s="13"/>
    </row>
    <row r="13778">
      <c r="A13778" s="6"/>
      <c r="B13778" s="6"/>
      <c r="H13778" s="13"/>
    </row>
    <row r="13779">
      <c r="A13779" s="6"/>
      <c r="B13779" s="6"/>
      <c r="H13779" s="13"/>
    </row>
    <row r="13780">
      <c r="A13780" s="6"/>
      <c r="B13780" s="6"/>
      <c r="H13780" s="13"/>
    </row>
    <row r="13781">
      <c r="A13781" s="6"/>
      <c r="B13781" s="6"/>
      <c r="H13781" s="13"/>
    </row>
    <row r="13782">
      <c r="A13782" s="6"/>
      <c r="B13782" s="6"/>
      <c r="H13782" s="13"/>
    </row>
    <row r="13783">
      <c r="A13783" s="6"/>
      <c r="B13783" s="6"/>
      <c r="H13783" s="13"/>
    </row>
    <row r="13784">
      <c r="A13784" s="6"/>
      <c r="B13784" s="6"/>
      <c r="H13784" s="13"/>
    </row>
    <row r="13785">
      <c r="A13785" s="6"/>
      <c r="B13785" s="6"/>
      <c r="H13785" s="13"/>
    </row>
    <row r="13786">
      <c r="A13786" s="6"/>
      <c r="B13786" s="6"/>
      <c r="H13786" s="13"/>
    </row>
    <row r="13787">
      <c r="A13787" s="6"/>
      <c r="B13787" s="6"/>
      <c r="H13787" s="13"/>
    </row>
    <row r="13788">
      <c r="A13788" s="6"/>
      <c r="B13788" s="6"/>
      <c r="H13788" s="13"/>
    </row>
    <row r="13789">
      <c r="A13789" s="6"/>
      <c r="B13789" s="6"/>
      <c r="H13789" s="13"/>
    </row>
    <row r="13790">
      <c r="A13790" s="6"/>
      <c r="B13790" s="6"/>
      <c r="H13790" s="13"/>
    </row>
    <row r="13791">
      <c r="A13791" s="6"/>
      <c r="B13791" s="6"/>
      <c r="H13791" s="13"/>
    </row>
    <row r="13792">
      <c r="A13792" s="6"/>
      <c r="B13792" s="6"/>
      <c r="H13792" s="13"/>
    </row>
    <row r="13793">
      <c r="A13793" s="6"/>
      <c r="B13793" s="6"/>
      <c r="H13793" s="13"/>
    </row>
    <row r="13794">
      <c r="A13794" s="6"/>
      <c r="B13794" s="6"/>
      <c r="H13794" s="13"/>
    </row>
    <row r="13795">
      <c r="A13795" s="6"/>
      <c r="B13795" s="6"/>
      <c r="H13795" s="13"/>
    </row>
    <row r="13796">
      <c r="A13796" s="6"/>
      <c r="B13796" s="6"/>
      <c r="H13796" s="13"/>
    </row>
    <row r="13797">
      <c r="A13797" s="6"/>
      <c r="B13797" s="6"/>
      <c r="H13797" s="13"/>
    </row>
    <row r="13798">
      <c r="A13798" s="6"/>
      <c r="B13798" s="6"/>
      <c r="H13798" s="13"/>
    </row>
    <row r="13799">
      <c r="A13799" s="6"/>
      <c r="B13799" s="6"/>
      <c r="H13799" s="13"/>
    </row>
    <row r="13800">
      <c r="A13800" s="6"/>
      <c r="B13800" s="6"/>
      <c r="H13800" s="13"/>
    </row>
    <row r="13801">
      <c r="A13801" s="6"/>
      <c r="B13801" s="6"/>
      <c r="H13801" s="13"/>
    </row>
    <row r="13802">
      <c r="A13802" s="6"/>
      <c r="B13802" s="6"/>
      <c r="H13802" s="13"/>
    </row>
    <row r="13803">
      <c r="A13803" s="6"/>
      <c r="B13803" s="6"/>
      <c r="H13803" s="13"/>
    </row>
    <row r="13804">
      <c r="A13804" s="6"/>
      <c r="B13804" s="6"/>
      <c r="H13804" s="13"/>
    </row>
    <row r="13805">
      <c r="A13805" s="6"/>
      <c r="B13805" s="6"/>
      <c r="H13805" s="13"/>
    </row>
    <row r="13806">
      <c r="A13806" s="6"/>
      <c r="B13806" s="6"/>
      <c r="H13806" s="13"/>
    </row>
    <row r="13807">
      <c r="A13807" s="6"/>
      <c r="B13807" s="6"/>
      <c r="H13807" s="13"/>
    </row>
    <row r="13808">
      <c r="A13808" s="6"/>
      <c r="B13808" s="6"/>
      <c r="H13808" s="13"/>
    </row>
    <row r="13809">
      <c r="A13809" s="6"/>
      <c r="B13809" s="6"/>
      <c r="H13809" s="13"/>
    </row>
    <row r="13810">
      <c r="A13810" s="6"/>
      <c r="B13810" s="6"/>
      <c r="H13810" s="13"/>
    </row>
    <row r="13811">
      <c r="A13811" s="6"/>
      <c r="B13811" s="6"/>
      <c r="H13811" s="13"/>
    </row>
    <row r="13812">
      <c r="A13812" s="6"/>
      <c r="B13812" s="6"/>
      <c r="H13812" s="13"/>
    </row>
    <row r="13813">
      <c r="A13813" s="6"/>
      <c r="B13813" s="6"/>
      <c r="H13813" s="13"/>
    </row>
    <row r="13814">
      <c r="A13814" s="6"/>
      <c r="B13814" s="6"/>
      <c r="H13814" s="13"/>
    </row>
    <row r="13815">
      <c r="A13815" s="6"/>
      <c r="B13815" s="6"/>
      <c r="H13815" s="13"/>
    </row>
    <row r="13816">
      <c r="A13816" s="6"/>
      <c r="B13816" s="6"/>
      <c r="H13816" s="13"/>
    </row>
    <row r="13817">
      <c r="A13817" s="6"/>
      <c r="B13817" s="6"/>
      <c r="H13817" s="13"/>
    </row>
    <row r="13818">
      <c r="A13818" s="6"/>
      <c r="B13818" s="6"/>
      <c r="H13818" s="13"/>
    </row>
    <row r="13819">
      <c r="A13819" s="6"/>
      <c r="B13819" s="6"/>
      <c r="H13819" s="13"/>
    </row>
    <row r="13820">
      <c r="A13820" s="6"/>
      <c r="B13820" s="6"/>
      <c r="H13820" s="13"/>
    </row>
    <row r="13821">
      <c r="A13821" s="6"/>
      <c r="B13821" s="6"/>
      <c r="H13821" s="13"/>
    </row>
    <row r="13822">
      <c r="A13822" s="6"/>
      <c r="B13822" s="6"/>
      <c r="H13822" s="13"/>
    </row>
    <row r="13823">
      <c r="A13823" s="6"/>
      <c r="B13823" s="6"/>
      <c r="H13823" s="13"/>
    </row>
    <row r="13824">
      <c r="A13824" s="6"/>
      <c r="B13824" s="6"/>
      <c r="H13824" s="13"/>
    </row>
    <row r="13825">
      <c r="A13825" s="6"/>
      <c r="B13825" s="6"/>
      <c r="H13825" s="13"/>
    </row>
    <row r="13826">
      <c r="A13826" s="6"/>
      <c r="B13826" s="6"/>
      <c r="H13826" s="13"/>
    </row>
    <row r="13827">
      <c r="A13827" s="6"/>
      <c r="B13827" s="6"/>
      <c r="H13827" s="13"/>
    </row>
    <row r="13828">
      <c r="A13828" s="6"/>
      <c r="B13828" s="6"/>
      <c r="H13828" s="13"/>
    </row>
    <row r="13829">
      <c r="A13829" s="6"/>
      <c r="B13829" s="6"/>
      <c r="H13829" s="13"/>
    </row>
    <row r="13830">
      <c r="A13830" s="6"/>
      <c r="B13830" s="6"/>
      <c r="H13830" s="13"/>
    </row>
    <row r="13831">
      <c r="A13831" s="6"/>
      <c r="B13831" s="6"/>
      <c r="H13831" s="13"/>
    </row>
    <row r="13832">
      <c r="A13832" s="6"/>
      <c r="B13832" s="6"/>
      <c r="H13832" s="13"/>
    </row>
    <row r="13833">
      <c r="A13833" s="6"/>
      <c r="B13833" s="6"/>
      <c r="H13833" s="13"/>
    </row>
    <row r="13834">
      <c r="A13834" s="6"/>
      <c r="B13834" s="6"/>
      <c r="H13834" s="13"/>
    </row>
    <row r="13835">
      <c r="A13835" s="6"/>
      <c r="B13835" s="6"/>
      <c r="H13835" s="13"/>
    </row>
    <row r="13836">
      <c r="A13836" s="6"/>
      <c r="B13836" s="6"/>
      <c r="H13836" s="13"/>
    </row>
    <row r="13837">
      <c r="A13837" s="6"/>
      <c r="B13837" s="6"/>
      <c r="H13837" s="13"/>
    </row>
    <row r="13838">
      <c r="A13838" s="6"/>
      <c r="B13838" s="6"/>
      <c r="H13838" s="13"/>
    </row>
    <row r="13839">
      <c r="A13839" s="6"/>
      <c r="B13839" s="6"/>
      <c r="H13839" s="13"/>
    </row>
    <row r="13840">
      <c r="A13840" s="6"/>
      <c r="B13840" s="6"/>
      <c r="H13840" s="13"/>
    </row>
    <row r="13841">
      <c r="A13841" s="6"/>
      <c r="B13841" s="6"/>
      <c r="H13841" s="13"/>
    </row>
    <row r="13842">
      <c r="A13842" s="6"/>
      <c r="B13842" s="6"/>
      <c r="H13842" s="13"/>
    </row>
    <row r="13843">
      <c r="A13843" s="6"/>
      <c r="B13843" s="6"/>
      <c r="H13843" s="13"/>
    </row>
    <row r="13844">
      <c r="A13844" s="6"/>
      <c r="B13844" s="6"/>
      <c r="H13844" s="13"/>
    </row>
    <row r="13845">
      <c r="A13845" s="6"/>
      <c r="B13845" s="6"/>
      <c r="H13845" s="13"/>
    </row>
    <row r="13846">
      <c r="A13846" s="6"/>
      <c r="B13846" s="6"/>
      <c r="H13846" s="13"/>
    </row>
    <row r="13847">
      <c r="A13847" s="6"/>
      <c r="B13847" s="6"/>
      <c r="H13847" s="13"/>
    </row>
    <row r="13848">
      <c r="A13848" s="6"/>
      <c r="B13848" s="6"/>
      <c r="H13848" s="13"/>
    </row>
    <row r="13849">
      <c r="A13849" s="6"/>
      <c r="B13849" s="6"/>
      <c r="H13849" s="13"/>
    </row>
    <row r="13850">
      <c r="A13850" s="6"/>
      <c r="B13850" s="6"/>
      <c r="H13850" s="13"/>
    </row>
    <row r="13851">
      <c r="A13851" s="6"/>
      <c r="B13851" s="6"/>
      <c r="H13851" s="13"/>
    </row>
    <row r="13852">
      <c r="A13852" s="6"/>
      <c r="B13852" s="6"/>
      <c r="H13852" s="13"/>
    </row>
    <row r="13853">
      <c r="A13853" s="6"/>
      <c r="B13853" s="6"/>
      <c r="H13853" s="13"/>
    </row>
    <row r="13854">
      <c r="A13854" s="6"/>
      <c r="B13854" s="6"/>
      <c r="H13854" s="13"/>
    </row>
    <row r="13855">
      <c r="A13855" s="6"/>
      <c r="B13855" s="6"/>
      <c r="H13855" s="13"/>
    </row>
    <row r="13856">
      <c r="A13856" s="6"/>
      <c r="B13856" s="6"/>
      <c r="H13856" s="13"/>
    </row>
    <row r="13857">
      <c r="A13857" s="6"/>
      <c r="B13857" s="6"/>
      <c r="H13857" s="13"/>
    </row>
    <row r="13858">
      <c r="A13858" s="6"/>
      <c r="B13858" s="6"/>
      <c r="H13858" s="13"/>
    </row>
    <row r="13859">
      <c r="A13859" s="6"/>
      <c r="B13859" s="6"/>
      <c r="H13859" s="13"/>
    </row>
    <row r="13860">
      <c r="A13860" s="6"/>
      <c r="B13860" s="6"/>
      <c r="H13860" s="13"/>
    </row>
    <row r="13861">
      <c r="A13861" s="6"/>
      <c r="B13861" s="6"/>
      <c r="H13861" s="13"/>
    </row>
    <row r="13862">
      <c r="A13862" s="6"/>
      <c r="B13862" s="6"/>
      <c r="H13862" s="13"/>
    </row>
    <row r="13863">
      <c r="A13863" s="6"/>
      <c r="B13863" s="6"/>
      <c r="H13863" s="13"/>
    </row>
    <row r="13864">
      <c r="A13864" s="6"/>
      <c r="B13864" s="6"/>
      <c r="H13864" s="13"/>
    </row>
    <row r="13865">
      <c r="A13865" s="6"/>
      <c r="B13865" s="6"/>
      <c r="H13865" s="13"/>
    </row>
    <row r="13866">
      <c r="A13866" s="6"/>
      <c r="B13866" s="6"/>
      <c r="H13866" s="13"/>
    </row>
    <row r="13867">
      <c r="A13867" s="6"/>
      <c r="B13867" s="6"/>
      <c r="H13867" s="13"/>
    </row>
    <row r="13868">
      <c r="A13868" s="6"/>
      <c r="B13868" s="6"/>
      <c r="H13868" s="13"/>
    </row>
    <row r="13869">
      <c r="A13869" s="6"/>
      <c r="B13869" s="6"/>
      <c r="H13869" s="13"/>
    </row>
    <row r="13870">
      <c r="A13870" s="6"/>
      <c r="B13870" s="6"/>
      <c r="H13870" s="13"/>
    </row>
    <row r="13871">
      <c r="A13871" s="6"/>
      <c r="B13871" s="6"/>
      <c r="H13871" s="13"/>
    </row>
    <row r="13872">
      <c r="A13872" s="6"/>
      <c r="B13872" s="6"/>
      <c r="H13872" s="13"/>
    </row>
    <row r="13873">
      <c r="A13873" s="6"/>
      <c r="B13873" s="6"/>
      <c r="H13873" s="13"/>
    </row>
    <row r="13874">
      <c r="A13874" s="6"/>
      <c r="B13874" s="6"/>
      <c r="H13874" s="13"/>
    </row>
    <row r="13875">
      <c r="A13875" s="6"/>
      <c r="B13875" s="6"/>
      <c r="H13875" s="13"/>
    </row>
    <row r="13876">
      <c r="A13876" s="6"/>
      <c r="B13876" s="6"/>
      <c r="H13876" s="13"/>
    </row>
    <row r="13877">
      <c r="A13877" s="6"/>
      <c r="B13877" s="6"/>
      <c r="H13877" s="13"/>
    </row>
    <row r="13878">
      <c r="A13878" s="6"/>
      <c r="B13878" s="6"/>
      <c r="H13878" s="13"/>
    </row>
    <row r="13879">
      <c r="A13879" s="6"/>
      <c r="B13879" s="6"/>
      <c r="H13879" s="13"/>
    </row>
    <row r="13880">
      <c r="A13880" s="6"/>
      <c r="B13880" s="6"/>
      <c r="H13880" s="13"/>
    </row>
    <row r="13881">
      <c r="A13881" s="6"/>
      <c r="B13881" s="6"/>
      <c r="H13881" s="13"/>
    </row>
    <row r="13882">
      <c r="A13882" s="6"/>
      <c r="B13882" s="6"/>
      <c r="H13882" s="13"/>
    </row>
    <row r="13883">
      <c r="A13883" s="6"/>
      <c r="B13883" s="6"/>
      <c r="H13883" s="13"/>
    </row>
    <row r="13884">
      <c r="A13884" s="6"/>
      <c r="B13884" s="6"/>
      <c r="H13884" s="13"/>
    </row>
    <row r="13885">
      <c r="A13885" s="6"/>
      <c r="B13885" s="6"/>
      <c r="H13885" s="13"/>
    </row>
    <row r="13886">
      <c r="A13886" s="6"/>
      <c r="B13886" s="6"/>
      <c r="H13886" s="13"/>
    </row>
    <row r="13887">
      <c r="A13887" s="6"/>
      <c r="B13887" s="6"/>
      <c r="H13887" s="13"/>
    </row>
    <row r="13888">
      <c r="A13888" s="6"/>
      <c r="B13888" s="6"/>
      <c r="H13888" s="13"/>
    </row>
    <row r="13889">
      <c r="A13889" s="6"/>
      <c r="B13889" s="6"/>
      <c r="H13889" s="13"/>
    </row>
    <row r="13890">
      <c r="A13890" s="6"/>
      <c r="B13890" s="6"/>
      <c r="H13890" s="13"/>
    </row>
    <row r="13891">
      <c r="A13891" s="6"/>
      <c r="B13891" s="6"/>
      <c r="H13891" s="13"/>
    </row>
    <row r="13892">
      <c r="A13892" s="6"/>
      <c r="B13892" s="6"/>
      <c r="H13892" s="13"/>
    </row>
    <row r="13893">
      <c r="A13893" s="6"/>
      <c r="B13893" s="6"/>
      <c r="H13893" s="13"/>
    </row>
    <row r="13894">
      <c r="A13894" s="6"/>
      <c r="B13894" s="6"/>
      <c r="H13894" s="13"/>
    </row>
    <row r="13895">
      <c r="A13895" s="6"/>
      <c r="B13895" s="6"/>
      <c r="H13895" s="13"/>
    </row>
    <row r="13896">
      <c r="A13896" s="6"/>
      <c r="B13896" s="6"/>
      <c r="H13896" s="13"/>
    </row>
    <row r="13897">
      <c r="A13897" s="6"/>
      <c r="B13897" s="6"/>
      <c r="H13897" s="13"/>
    </row>
    <row r="13898">
      <c r="A13898" s="6"/>
      <c r="B13898" s="6"/>
      <c r="H13898" s="13"/>
    </row>
    <row r="13899">
      <c r="A13899" s="6"/>
      <c r="B13899" s="6"/>
      <c r="H13899" s="13"/>
    </row>
    <row r="13900">
      <c r="A13900" s="6"/>
      <c r="B13900" s="6"/>
      <c r="H13900" s="13"/>
    </row>
    <row r="13901">
      <c r="A13901" s="6"/>
      <c r="B13901" s="6"/>
      <c r="H13901" s="13"/>
    </row>
    <row r="13902">
      <c r="A13902" s="6"/>
      <c r="B13902" s="6"/>
      <c r="H13902" s="13"/>
    </row>
    <row r="13903">
      <c r="A13903" s="6"/>
      <c r="B13903" s="6"/>
      <c r="H13903" s="13"/>
    </row>
    <row r="13904">
      <c r="A13904" s="6"/>
      <c r="B13904" s="6"/>
      <c r="H13904" s="13"/>
    </row>
    <row r="13905">
      <c r="A13905" s="6"/>
      <c r="B13905" s="6"/>
      <c r="H13905" s="13"/>
    </row>
    <row r="13906">
      <c r="A13906" s="6"/>
      <c r="B13906" s="6"/>
      <c r="H13906" s="13"/>
    </row>
    <row r="13907">
      <c r="A13907" s="6"/>
      <c r="B13907" s="6"/>
      <c r="H13907" s="13"/>
    </row>
    <row r="13908">
      <c r="A13908" s="6"/>
      <c r="B13908" s="6"/>
      <c r="H13908" s="13"/>
    </row>
    <row r="13909">
      <c r="A13909" s="6"/>
      <c r="B13909" s="6"/>
      <c r="H13909" s="13"/>
    </row>
    <row r="13910">
      <c r="A13910" s="6"/>
      <c r="B13910" s="6"/>
      <c r="H13910" s="13"/>
    </row>
    <row r="13911">
      <c r="A13911" s="6"/>
      <c r="B13911" s="6"/>
      <c r="H13911" s="13"/>
    </row>
    <row r="13912">
      <c r="A13912" s="6"/>
      <c r="B13912" s="6"/>
      <c r="H13912" s="13"/>
    </row>
    <row r="13913">
      <c r="A13913" s="6"/>
      <c r="B13913" s="6"/>
      <c r="H13913" s="13"/>
    </row>
    <row r="13914">
      <c r="A13914" s="6"/>
      <c r="B13914" s="6"/>
      <c r="H13914" s="13"/>
    </row>
    <row r="13915">
      <c r="A13915" s="6"/>
      <c r="B13915" s="6"/>
      <c r="H13915" s="13"/>
    </row>
    <row r="13916">
      <c r="A13916" s="6"/>
      <c r="B13916" s="6"/>
      <c r="H13916" s="13"/>
    </row>
    <row r="13917">
      <c r="A13917" s="6"/>
      <c r="B13917" s="6"/>
      <c r="H13917" s="13"/>
    </row>
    <row r="13918">
      <c r="A13918" s="6"/>
      <c r="B13918" s="6"/>
      <c r="H13918" s="13"/>
    </row>
    <row r="13919">
      <c r="A13919" s="6"/>
      <c r="B13919" s="6"/>
      <c r="H13919" s="13"/>
    </row>
    <row r="13920">
      <c r="A13920" s="6"/>
      <c r="B13920" s="6"/>
      <c r="H13920" s="13"/>
    </row>
    <row r="13921">
      <c r="A13921" s="6"/>
      <c r="B13921" s="6"/>
      <c r="H13921" s="13"/>
    </row>
    <row r="13922">
      <c r="A13922" s="6"/>
      <c r="B13922" s="6"/>
      <c r="H13922" s="13"/>
    </row>
    <row r="13923">
      <c r="A13923" s="6"/>
      <c r="B13923" s="6"/>
      <c r="H13923" s="13"/>
    </row>
    <row r="13924">
      <c r="A13924" s="6"/>
      <c r="B13924" s="6"/>
      <c r="H13924" s="13"/>
    </row>
    <row r="13925">
      <c r="A13925" s="6"/>
      <c r="B13925" s="6"/>
      <c r="H13925" s="13"/>
    </row>
    <row r="13926">
      <c r="A13926" s="6"/>
      <c r="B13926" s="6"/>
      <c r="H13926" s="13"/>
    </row>
    <row r="13927">
      <c r="A13927" s="6"/>
      <c r="B13927" s="6"/>
      <c r="H13927" s="13"/>
    </row>
    <row r="13928">
      <c r="A13928" s="6"/>
      <c r="B13928" s="6"/>
      <c r="H13928" s="13"/>
    </row>
    <row r="13929">
      <c r="A13929" s="6"/>
      <c r="B13929" s="6"/>
      <c r="H13929" s="13"/>
    </row>
    <row r="13930">
      <c r="A13930" s="6"/>
      <c r="B13930" s="6"/>
      <c r="H13930" s="13"/>
    </row>
    <row r="13931">
      <c r="A13931" s="6"/>
      <c r="B13931" s="6"/>
      <c r="H13931" s="13"/>
    </row>
    <row r="13932">
      <c r="A13932" s="6"/>
      <c r="B13932" s="6"/>
      <c r="H13932" s="13"/>
    </row>
    <row r="13933">
      <c r="A13933" s="6"/>
      <c r="B13933" s="6"/>
      <c r="H13933" s="13"/>
    </row>
    <row r="13934">
      <c r="A13934" s="6"/>
      <c r="B13934" s="6"/>
      <c r="H13934" s="13"/>
    </row>
    <row r="13935">
      <c r="A13935" s="6"/>
      <c r="B13935" s="6"/>
      <c r="H13935" s="13"/>
    </row>
    <row r="13936">
      <c r="A13936" s="6"/>
      <c r="B13936" s="6"/>
      <c r="H13936" s="13"/>
    </row>
    <row r="13937">
      <c r="A13937" s="6"/>
      <c r="B13937" s="6"/>
      <c r="H13937" s="13"/>
    </row>
    <row r="13938">
      <c r="A13938" s="6"/>
      <c r="B13938" s="6"/>
      <c r="H13938" s="13"/>
    </row>
    <row r="13939">
      <c r="A13939" s="6"/>
      <c r="B13939" s="6"/>
      <c r="H13939" s="13"/>
    </row>
    <row r="13940">
      <c r="A13940" s="6"/>
      <c r="B13940" s="6"/>
      <c r="H13940" s="13"/>
    </row>
    <row r="13941">
      <c r="A13941" s="6"/>
      <c r="B13941" s="6"/>
      <c r="H13941" s="13"/>
    </row>
    <row r="13942">
      <c r="A13942" s="6"/>
      <c r="B13942" s="6"/>
      <c r="H13942" s="13"/>
    </row>
    <row r="13943">
      <c r="A13943" s="6"/>
      <c r="B13943" s="6"/>
      <c r="H13943" s="13"/>
    </row>
    <row r="13944">
      <c r="A13944" s="6"/>
      <c r="B13944" s="6"/>
      <c r="H13944" s="13"/>
    </row>
    <row r="13945">
      <c r="A13945" s="6"/>
      <c r="B13945" s="6"/>
      <c r="H13945" s="13"/>
    </row>
    <row r="13946">
      <c r="A13946" s="6"/>
      <c r="B13946" s="6"/>
      <c r="H13946" s="13"/>
    </row>
    <row r="13947">
      <c r="A13947" s="6"/>
      <c r="B13947" s="6"/>
      <c r="H13947" s="13"/>
    </row>
    <row r="13948">
      <c r="A13948" s="6"/>
      <c r="B13948" s="6"/>
      <c r="H13948" s="13"/>
    </row>
    <row r="13949">
      <c r="A13949" s="6"/>
      <c r="B13949" s="6"/>
      <c r="H13949" s="13"/>
    </row>
    <row r="13950">
      <c r="A13950" s="6"/>
      <c r="B13950" s="6"/>
      <c r="H13950" s="13"/>
    </row>
    <row r="13951">
      <c r="A13951" s="6"/>
      <c r="B13951" s="6"/>
      <c r="H13951" s="13"/>
    </row>
    <row r="13952">
      <c r="A13952" s="6"/>
      <c r="B13952" s="6"/>
      <c r="H13952" s="13"/>
    </row>
    <row r="13953">
      <c r="A13953" s="6"/>
      <c r="B13953" s="6"/>
      <c r="H13953" s="13"/>
    </row>
    <row r="13954">
      <c r="A13954" s="6"/>
      <c r="B13954" s="6"/>
      <c r="H13954" s="13"/>
    </row>
    <row r="13955">
      <c r="A13955" s="6"/>
      <c r="B13955" s="6"/>
      <c r="H13955" s="13"/>
    </row>
    <row r="13956">
      <c r="A13956" s="6"/>
      <c r="B13956" s="6"/>
      <c r="H13956" s="13"/>
    </row>
    <row r="13957">
      <c r="A13957" s="6"/>
      <c r="B13957" s="6"/>
      <c r="H13957" s="13"/>
    </row>
    <row r="13958">
      <c r="A13958" s="6"/>
      <c r="B13958" s="6"/>
      <c r="H13958" s="13"/>
    </row>
    <row r="13959">
      <c r="A13959" s="6"/>
      <c r="B13959" s="6"/>
      <c r="H13959" s="13"/>
    </row>
    <row r="13960">
      <c r="A13960" s="6"/>
      <c r="B13960" s="6"/>
      <c r="H13960" s="13"/>
    </row>
    <row r="13961">
      <c r="A13961" s="6"/>
      <c r="B13961" s="6"/>
      <c r="H13961" s="13"/>
    </row>
    <row r="13962">
      <c r="A13962" s="6"/>
      <c r="B13962" s="6"/>
      <c r="H13962" s="13"/>
    </row>
    <row r="13963">
      <c r="A13963" s="6"/>
      <c r="B13963" s="6"/>
      <c r="H13963" s="13"/>
    </row>
    <row r="13964">
      <c r="A13964" s="6"/>
      <c r="B13964" s="6"/>
      <c r="H13964" s="13"/>
    </row>
    <row r="13965">
      <c r="A13965" s="6"/>
      <c r="B13965" s="6"/>
      <c r="H13965" s="13"/>
    </row>
    <row r="13966">
      <c r="A13966" s="6"/>
      <c r="B13966" s="6"/>
      <c r="H13966" s="13"/>
    </row>
    <row r="13967">
      <c r="A13967" s="6"/>
      <c r="B13967" s="6"/>
      <c r="H13967" s="13"/>
    </row>
    <row r="13968">
      <c r="A13968" s="6"/>
      <c r="B13968" s="6"/>
      <c r="H13968" s="13"/>
    </row>
    <row r="13969">
      <c r="A13969" s="6"/>
      <c r="B13969" s="6"/>
      <c r="H13969" s="13"/>
    </row>
    <row r="13970">
      <c r="A13970" s="6"/>
      <c r="B13970" s="6"/>
      <c r="H13970" s="13"/>
    </row>
    <row r="13971">
      <c r="A13971" s="6"/>
      <c r="B13971" s="6"/>
      <c r="H13971" s="13"/>
    </row>
    <row r="13972">
      <c r="A13972" s="6"/>
      <c r="B13972" s="6"/>
      <c r="H13972" s="13"/>
    </row>
    <row r="13973">
      <c r="A13973" s="6"/>
      <c r="B13973" s="6"/>
      <c r="H13973" s="13"/>
    </row>
    <row r="13974">
      <c r="A13974" s="6"/>
      <c r="B13974" s="6"/>
      <c r="H13974" s="13"/>
    </row>
    <row r="13975">
      <c r="A13975" s="6"/>
      <c r="B13975" s="6"/>
      <c r="H13975" s="13"/>
    </row>
    <row r="13976">
      <c r="A13976" s="6"/>
      <c r="B13976" s="6"/>
      <c r="H13976" s="13"/>
    </row>
    <row r="13977">
      <c r="A13977" s="6"/>
      <c r="B13977" s="6"/>
      <c r="H13977" s="13"/>
    </row>
    <row r="13978">
      <c r="A13978" s="6"/>
      <c r="B13978" s="6"/>
      <c r="H13978" s="13"/>
    </row>
    <row r="13979">
      <c r="A13979" s="6"/>
      <c r="B13979" s="6"/>
      <c r="H13979" s="13"/>
    </row>
    <row r="13980">
      <c r="A13980" s="6"/>
      <c r="B13980" s="6"/>
      <c r="H13980" s="13"/>
    </row>
    <row r="13981">
      <c r="A13981" s="6"/>
      <c r="B13981" s="6"/>
      <c r="H13981" s="13"/>
    </row>
    <row r="13982">
      <c r="A13982" s="6"/>
      <c r="B13982" s="6"/>
      <c r="H13982" s="13"/>
    </row>
    <row r="13983">
      <c r="A13983" s="6"/>
      <c r="B13983" s="6"/>
      <c r="H13983" s="13"/>
    </row>
    <row r="13984">
      <c r="A13984" s="6"/>
      <c r="B13984" s="6"/>
      <c r="H13984" s="13"/>
    </row>
    <row r="13985">
      <c r="A13985" s="6"/>
      <c r="B13985" s="6"/>
      <c r="H13985" s="13"/>
    </row>
    <row r="13986">
      <c r="A13986" s="6"/>
      <c r="B13986" s="6"/>
      <c r="H13986" s="13"/>
    </row>
    <row r="13987">
      <c r="A13987" s="6"/>
      <c r="B13987" s="6"/>
      <c r="H13987" s="13"/>
    </row>
    <row r="13988">
      <c r="A13988" s="6"/>
      <c r="B13988" s="6"/>
      <c r="H13988" s="13"/>
    </row>
    <row r="13989">
      <c r="A13989" s="6"/>
      <c r="B13989" s="6"/>
      <c r="H13989" s="13"/>
    </row>
    <row r="13990">
      <c r="A13990" s="6"/>
      <c r="B13990" s="6"/>
      <c r="H13990" s="13"/>
    </row>
    <row r="13991">
      <c r="A13991" s="6"/>
      <c r="B13991" s="6"/>
      <c r="H13991" s="13"/>
    </row>
    <row r="13992">
      <c r="A13992" s="6"/>
      <c r="B13992" s="6"/>
      <c r="H13992" s="13"/>
    </row>
    <row r="13993">
      <c r="A13993" s="6"/>
      <c r="B13993" s="6"/>
      <c r="H13993" s="13"/>
    </row>
    <row r="13994">
      <c r="A13994" s="6"/>
      <c r="B13994" s="6"/>
      <c r="H13994" s="13"/>
    </row>
    <row r="13995">
      <c r="A13995" s="6"/>
      <c r="B13995" s="6"/>
      <c r="H13995" s="13"/>
    </row>
    <row r="13996">
      <c r="A13996" s="6"/>
      <c r="B13996" s="6"/>
      <c r="H13996" s="13"/>
    </row>
    <row r="13997">
      <c r="A13997" s="6"/>
      <c r="B13997" s="6"/>
      <c r="H13997" s="13"/>
    </row>
    <row r="13998">
      <c r="A13998" s="6"/>
      <c r="B13998" s="6"/>
      <c r="H13998" s="13"/>
    </row>
    <row r="13999">
      <c r="A13999" s="6"/>
      <c r="B13999" s="6"/>
      <c r="H13999" s="13"/>
    </row>
    <row r="14000">
      <c r="A14000" s="6"/>
      <c r="B14000" s="6"/>
      <c r="H14000" s="13"/>
    </row>
    <row r="14001">
      <c r="A14001" s="6"/>
      <c r="B14001" s="6"/>
      <c r="H14001" s="13"/>
    </row>
    <row r="14002">
      <c r="A14002" s="6"/>
      <c r="B14002" s="6"/>
      <c r="H14002" s="13"/>
    </row>
    <row r="14003">
      <c r="A14003" s="6"/>
      <c r="B14003" s="6"/>
      <c r="H14003" s="13"/>
    </row>
    <row r="14004">
      <c r="A14004" s="6"/>
      <c r="B14004" s="6"/>
      <c r="H14004" s="13"/>
    </row>
    <row r="14005">
      <c r="A14005" s="6"/>
      <c r="B14005" s="6"/>
      <c r="H14005" s="13"/>
    </row>
    <row r="14006">
      <c r="A14006" s="6"/>
      <c r="B14006" s="6"/>
      <c r="H14006" s="13"/>
    </row>
    <row r="14007">
      <c r="A14007" s="6"/>
      <c r="B14007" s="6"/>
      <c r="H14007" s="13"/>
    </row>
    <row r="14008">
      <c r="A14008" s="6"/>
      <c r="B14008" s="6"/>
      <c r="H14008" s="13"/>
    </row>
    <row r="14009">
      <c r="A14009" s="6"/>
      <c r="B14009" s="6"/>
      <c r="H14009" s="13"/>
    </row>
    <row r="14010">
      <c r="A14010" s="6"/>
      <c r="B14010" s="6"/>
      <c r="H14010" s="13"/>
    </row>
    <row r="14011">
      <c r="A14011" s="6"/>
      <c r="B14011" s="6"/>
      <c r="H14011" s="13"/>
    </row>
    <row r="14012">
      <c r="A14012" s="6"/>
      <c r="B14012" s="6"/>
      <c r="H14012" s="13"/>
    </row>
    <row r="14013">
      <c r="A14013" s="6"/>
      <c r="B14013" s="6"/>
      <c r="H14013" s="13"/>
    </row>
    <row r="14014">
      <c r="A14014" s="6"/>
      <c r="B14014" s="6"/>
      <c r="H14014" s="13"/>
    </row>
    <row r="14015">
      <c r="A14015" s="6"/>
      <c r="B14015" s="6"/>
      <c r="H14015" s="13"/>
    </row>
    <row r="14016">
      <c r="A14016" s="6"/>
      <c r="B14016" s="6"/>
      <c r="H14016" s="13"/>
    </row>
    <row r="14017">
      <c r="A14017" s="6"/>
      <c r="B14017" s="6"/>
      <c r="H14017" s="13"/>
    </row>
    <row r="14018">
      <c r="A14018" s="6"/>
      <c r="B14018" s="6"/>
      <c r="H14018" s="13"/>
    </row>
    <row r="14019">
      <c r="A14019" s="6"/>
      <c r="B14019" s="6"/>
      <c r="H14019" s="13"/>
    </row>
    <row r="14020">
      <c r="A14020" s="6"/>
      <c r="B14020" s="6"/>
      <c r="H14020" s="13"/>
    </row>
    <row r="14021">
      <c r="A14021" s="6"/>
      <c r="B14021" s="6"/>
      <c r="H14021" s="13"/>
    </row>
    <row r="14022">
      <c r="A14022" s="6"/>
      <c r="B14022" s="6"/>
      <c r="H14022" s="13"/>
    </row>
    <row r="14023">
      <c r="A14023" s="6"/>
      <c r="B14023" s="6"/>
      <c r="H14023" s="13"/>
    </row>
    <row r="14024">
      <c r="A14024" s="6"/>
      <c r="B14024" s="6"/>
      <c r="H14024" s="13"/>
    </row>
    <row r="14025">
      <c r="A14025" s="6"/>
      <c r="B14025" s="6"/>
      <c r="H14025" s="13"/>
    </row>
    <row r="14026">
      <c r="A14026" s="6"/>
      <c r="B14026" s="6"/>
      <c r="H14026" s="13"/>
    </row>
    <row r="14027">
      <c r="A14027" s="6"/>
      <c r="B14027" s="6"/>
      <c r="H14027" s="13"/>
    </row>
    <row r="14028">
      <c r="A14028" s="6"/>
      <c r="B14028" s="6"/>
      <c r="H14028" s="13"/>
    </row>
    <row r="14029">
      <c r="A14029" s="6"/>
      <c r="B14029" s="6"/>
      <c r="H14029" s="13"/>
    </row>
    <row r="14030">
      <c r="A14030" s="6"/>
      <c r="B14030" s="6"/>
      <c r="H14030" s="13"/>
    </row>
    <row r="14031">
      <c r="A14031" s="6"/>
      <c r="B14031" s="6"/>
      <c r="H14031" s="13"/>
    </row>
    <row r="14032">
      <c r="A14032" s="6"/>
      <c r="B14032" s="6"/>
      <c r="H14032" s="13"/>
    </row>
    <row r="14033">
      <c r="A14033" s="6"/>
      <c r="B14033" s="6"/>
      <c r="H14033" s="13"/>
    </row>
    <row r="14034">
      <c r="A14034" s="6"/>
      <c r="B14034" s="6"/>
      <c r="H14034" s="13"/>
    </row>
    <row r="14035">
      <c r="A14035" s="6"/>
      <c r="B14035" s="6"/>
      <c r="H14035" s="13"/>
    </row>
    <row r="14036">
      <c r="A14036" s="6"/>
      <c r="B14036" s="6"/>
      <c r="H14036" s="13"/>
    </row>
    <row r="14037">
      <c r="A14037" s="6"/>
      <c r="B14037" s="6"/>
      <c r="H14037" s="13"/>
    </row>
    <row r="14038">
      <c r="A14038" s="6"/>
      <c r="B14038" s="6"/>
      <c r="H14038" s="13"/>
    </row>
    <row r="14039">
      <c r="A14039" s="6"/>
      <c r="B14039" s="6"/>
      <c r="H14039" s="13"/>
    </row>
    <row r="14040">
      <c r="A14040" s="6"/>
      <c r="B14040" s="6"/>
      <c r="H14040" s="13"/>
    </row>
    <row r="14041">
      <c r="A14041" s="6"/>
      <c r="B14041" s="6"/>
      <c r="H14041" s="13"/>
    </row>
    <row r="14042">
      <c r="A14042" s="6"/>
      <c r="B14042" s="6"/>
      <c r="H14042" s="13"/>
    </row>
    <row r="14043">
      <c r="A14043" s="6"/>
      <c r="B14043" s="6"/>
      <c r="H14043" s="13"/>
    </row>
    <row r="14044">
      <c r="A14044" s="6"/>
      <c r="B14044" s="6"/>
      <c r="H14044" s="13"/>
    </row>
    <row r="14045">
      <c r="A14045" s="6"/>
      <c r="B14045" s="6"/>
      <c r="H14045" s="13"/>
    </row>
    <row r="14046">
      <c r="A14046" s="6"/>
      <c r="B14046" s="6"/>
      <c r="H14046" s="13"/>
    </row>
    <row r="14047">
      <c r="A14047" s="6"/>
      <c r="B14047" s="6"/>
      <c r="H14047" s="13"/>
    </row>
    <row r="14048">
      <c r="A14048" s="6"/>
      <c r="B14048" s="6"/>
      <c r="H14048" s="13"/>
    </row>
    <row r="14049">
      <c r="A14049" s="6"/>
      <c r="B14049" s="6"/>
      <c r="H14049" s="13"/>
    </row>
    <row r="14050">
      <c r="A14050" s="6"/>
      <c r="B14050" s="6"/>
      <c r="H14050" s="13"/>
    </row>
    <row r="14051">
      <c r="A14051" s="6"/>
      <c r="B14051" s="6"/>
      <c r="H14051" s="13"/>
    </row>
    <row r="14052">
      <c r="A14052" s="6"/>
      <c r="B14052" s="6"/>
      <c r="H14052" s="13"/>
    </row>
    <row r="14053">
      <c r="A14053" s="6"/>
      <c r="B14053" s="6"/>
      <c r="H14053" s="13"/>
    </row>
    <row r="14054">
      <c r="A14054" s="6"/>
      <c r="B14054" s="6"/>
      <c r="H14054" s="13"/>
    </row>
    <row r="14055">
      <c r="A14055" s="6"/>
      <c r="B14055" s="6"/>
      <c r="H14055" s="13"/>
    </row>
    <row r="14056">
      <c r="A14056" s="6"/>
      <c r="B14056" s="6"/>
      <c r="H14056" s="13"/>
    </row>
    <row r="14057">
      <c r="A14057" s="6"/>
      <c r="B14057" s="6"/>
      <c r="H14057" s="13"/>
    </row>
    <row r="14058">
      <c r="A14058" s="6"/>
      <c r="B14058" s="6"/>
      <c r="H14058" s="13"/>
    </row>
    <row r="14059">
      <c r="A14059" s="6"/>
      <c r="B14059" s="6"/>
      <c r="H14059" s="13"/>
    </row>
    <row r="14060">
      <c r="A14060" s="6"/>
      <c r="B14060" s="6"/>
      <c r="H14060" s="13"/>
    </row>
    <row r="14061">
      <c r="A14061" s="6"/>
      <c r="B14061" s="6"/>
      <c r="H14061" s="13"/>
    </row>
    <row r="14062">
      <c r="A14062" s="6"/>
      <c r="B14062" s="6"/>
      <c r="H14062" s="13"/>
    </row>
    <row r="14063">
      <c r="A14063" s="6"/>
      <c r="B14063" s="6"/>
      <c r="H14063" s="13"/>
    </row>
    <row r="14064">
      <c r="A14064" s="6"/>
      <c r="B14064" s="6"/>
      <c r="H14064" s="13"/>
    </row>
    <row r="14065">
      <c r="A14065" s="6"/>
      <c r="B14065" s="6"/>
      <c r="H14065" s="13"/>
    </row>
    <row r="14066">
      <c r="A14066" s="6"/>
      <c r="B14066" s="6"/>
      <c r="H14066" s="13"/>
    </row>
    <row r="14067">
      <c r="A14067" s="6"/>
      <c r="B14067" s="6"/>
      <c r="H14067" s="13"/>
    </row>
    <row r="14068">
      <c r="A14068" s="6"/>
      <c r="B14068" s="6"/>
      <c r="H14068" s="13"/>
    </row>
    <row r="14069">
      <c r="A14069" s="6"/>
      <c r="B14069" s="6"/>
      <c r="H14069" s="13"/>
    </row>
    <row r="14070">
      <c r="A14070" s="6"/>
      <c r="B14070" s="6"/>
      <c r="H14070" s="13"/>
    </row>
    <row r="14071">
      <c r="A14071" s="6"/>
      <c r="B14071" s="6"/>
      <c r="H14071" s="13"/>
    </row>
    <row r="14072">
      <c r="A14072" s="6"/>
      <c r="B14072" s="6"/>
      <c r="H14072" s="13"/>
    </row>
    <row r="14073">
      <c r="A14073" s="6"/>
      <c r="B14073" s="6"/>
      <c r="H14073" s="13"/>
    </row>
    <row r="14074">
      <c r="A14074" s="6"/>
      <c r="B14074" s="6"/>
      <c r="H14074" s="13"/>
    </row>
    <row r="14075">
      <c r="A14075" s="6"/>
      <c r="B14075" s="6"/>
      <c r="H14075" s="13"/>
    </row>
    <row r="14076">
      <c r="A14076" s="6"/>
      <c r="B14076" s="6"/>
      <c r="H14076" s="13"/>
    </row>
    <row r="14077">
      <c r="A14077" s="6"/>
      <c r="B14077" s="6"/>
      <c r="H14077" s="13"/>
    </row>
    <row r="14078">
      <c r="A14078" s="6"/>
      <c r="B14078" s="6"/>
      <c r="H14078" s="13"/>
    </row>
    <row r="14079">
      <c r="A14079" s="6"/>
      <c r="B14079" s="6"/>
      <c r="H14079" s="13"/>
    </row>
    <row r="14080">
      <c r="A14080" s="6"/>
      <c r="B14080" s="6"/>
      <c r="H14080" s="13"/>
    </row>
    <row r="14081">
      <c r="A14081" s="6"/>
      <c r="B14081" s="6"/>
      <c r="H14081" s="13"/>
    </row>
    <row r="14082">
      <c r="A14082" s="6"/>
      <c r="B14082" s="6"/>
      <c r="H14082" s="13"/>
    </row>
    <row r="14083">
      <c r="A14083" s="6"/>
      <c r="B14083" s="6"/>
      <c r="H14083" s="13"/>
    </row>
    <row r="14084">
      <c r="A14084" s="6"/>
      <c r="B14084" s="6"/>
      <c r="H14084" s="13"/>
    </row>
    <row r="14085">
      <c r="A14085" s="6"/>
      <c r="B14085" s="6"/>
      <c r="H14085" s="13"/>
    </row>
    <row r="14086">
      <c r="A14086" s="6"/>
      <c r="B14086" s="6"/>
      <c r="H14086" s="13"/>
    </row>
    <row r="14087">
      <c r="A14087" s="6"/>
      <c r="B14087" s="6"/>
      <c r="H14087" s="13"/>
    </row>
    <row r="14088">
      <c r="A14088" s="6"/>
      <c r="B14088" s="6"/>
      <c r="H14088" s="13"/>
    </row>
    <row r="14089">
      <c r="A14089" s="6"/>
      <c r="B14089" s="6"/>
      <c r="H14089" s="13"/>
    </row>
    <row r="14090">
      <c r="A14090" s="6"/>
      <c r="B14090" s="6"/>
      <c r="H14090" s="13"/>
    </row>
    <row r="14091">
      <c r="A14091" s="6"/>
      <c r="B14091" s="6"/>
      <c r="H14091" s="13"/>
    </row>
    <row r="14092">
      <c r="A14092" s="6"/>
      <c r="B14092" s="6"/>
      <c r="H14092" s="13"/>
    </row>
    <row r="14093">
      <c r="A14093" s="6"/>
      <c r="B14093" s="6"/>
      <c r="H14093" s="13"/>
    </row>
    <row r="14094">
      <c r="A14094" s="6"/>
      <c r="B14094" s="6"/>
      <c r="H14094" s="13"/>
    </row>
    <row r="14095">
      <c r="A14095" s="6"/>
      <c r="B14095" s="6"/>
      <c r="H14095" s="13"/>
    </row>
    <row r="14096">
      <c r="A14096" s="6"/>
      <c r="B14096" s="6"/>
      <c r="H14096" s="13"/>
    </row>
    <row r="14097">
      <c r="A14097" s="6"/>
      <c r="B14097" s="6"/>
      <c r="H14097" s="13"/>
    </row>
    <row r="14098">
      <c r="A14098" s="6"/>
      <c r="B14098" s="6"/>
      <c r="H14098" s="13"/>
    </row>
    <row r="14099">
      <c r="A14099" s="6"/>
      <c r="B14099" s="6"/>
      <c r="H14099" s="13"/>
    </row>
    <row r="14100">
      <c r="A14100" s="6"/>
      <c r="B14100" s="6"/>
      <c r="H14100" s="13"/>
    </row>
    <row r="14101">
      <c r="A14101" s="6"/>
      <c r="B14101" s="6"/>
      <c r="H14101" s="13"/>
    </row>
    <row r="14102">
      <c r="A14102" s="6"/>
      <c r="B14102" s="6"/>
      <c r="H14102" s="13"/>
    </row>
    <row r="14103">
      <c r="A14103" s="6"/>
      <c r="B14103" s="6"/>
      <c r="H14103" s="13"/>
    </row>
    <row r="14104">
      <c r="A14104" s="6"/>
      <c r="B14104" s="6"/>
      <c r="H14104" s="13"/>
    </row>
    <row r="14105">
      <c r="A14105" s="6"/>
      <c r="B14105" s="6"/>
      <c r="H14105" s="13"/>
    </row>
    <row r="14106">
      <c r="A14106" s="6"/>
      <c r="B14106" s="6"/>
      <c r="H14106" s="13"/>
    </row>
    <row r="14107">
      <c r="A14107" s="6"/>
      <c r="B14107" s="6"/>
      <c r="H14107" s="13"/>
    </row>
    <row r="14108">
      <c r="A14108" s="6"/>
      <c r="B14108" s="6"/>
      <c r="H14108" s="13"/>
    </row>
    <row r="14109">
      <c r="A14109" s="6"/>
      <c r="B14109" s="6"/>
      <c r="H14109" s="13"/>
    </row>
    <row r="14110">
      <c r="A14110" s="6"/>
      <c r="B14110" s="6"/>
      <c r="H14110" s="13"/>
    </row>
    <row r="14111">
      <c r="A14111" s="6"/>
      <c r="B14111" s="6"/>
      <c r="H14111" s="13"/>
    </row>
    <row r="14112">
      <c r="A14112" s="6"/>
      <c r="B14112" s="6"/>
      <c r="H14112" s="13"/>
    </row>
    <row r="14113">
      <c r="A14113" s="6"/>
      <c r="B14113" s="6"/>
      <c r="H14113" s="13"/>
    </row>
    <row r="14114">
      <c r="A14114" s="6"/>
      <c r="B14114" s="6"/>
      <c r="H14114" s="13"/>
    </row>
    <row r="14115">
      <c r="A14115" s="6"/>
      <c r="B14115" s="6"/>
      <c r="H14115" s="13"/>
    </row>
    <row r="14116">
      <c r="A14116" s="6"/>
      <c r="B14116" s="6"/>
      <c r="H14116" s="13"/>
    </row>
    <row r="14117">
      <c r="A14117" s="6"/>
      <c r="B14117" s="6"/>
      <c r="H14117" s="13"/>
    </row>
    <row r="14118">
      <c r="A14118" s="6"/>
      <c r="B14118" s="6"/>
      <c r="H14118" s="13"/>
    </row>
    <row r="14119">
      <c r="A14119" s="6"/>
      <c r="B14119" s="6"/>
      <c r="H14119" s="13"/>
    </row>
    <row r="14120">
      <c r="A14120" s="6"/>
      <c r="B14120" s="6"/>
      <c r="H14120" s="13"/>
    </row>
    <row r="14121">
      <c r="A14121" s="6"/>
      <c r="B14121" s="6"/>
      <c r="H14121" s="13"/>
    </row>
    <row r="14122">
      <c r="A14122" s="6"/>
      <c r="B14122" s="6"/>
      <c r="H14122" s="13"/>
    </row>
    <row r="14123">
      <c r="A14123" s="6"/>
      <c r="B14123" s="6"/>
      <c r="H14123" s="13"/>
    </row>
    <row r="14124">
      <c r="A14124" s="6"/>
      <c r="B14124" s="6"/>
      <c r="H14124" s="13"/>
    </row>
    <row r="14125">
      <c r="A14125" s="6"/>
      <c r="B14125" s="6"/>
      <c r="H14125" s="13"/>
    </row>
    <row r="14126">
      <c r="A14126" s="6"/>
      <c r="B14126" s="6"/>
      <c r="H14126" s="13"/>
    </row>
    <row r="14127">
      <c r="A14127" s="6"/>
      <c r="B14127" s="6"/>
      <c r="H14127" s="13"/>
    </row>
    <row r="14128">
      <c r="A14128" s="6"/>
      <c r="B14128" s="6"/>
      <c r="H14128" s="13"/>
    </row>
    <row r="14129">
      <c r="A14129" s="6"/>
      <c r="B14129" s="6"/>
      <c r="H14129" s="13"/>
    </row>
    <row r="14130">
      <c r="A14130" s="6"/>
      <c r="B14130" s="6"/>
      <c r="H14130" s="13"/>
    </row>
    <row r="14131">
      <c r="A14131" s="6"/>
      <c r="B14131" s="6"/>
      <c r="H14131" s="13"/>
    </row>
    <row r="14132">
      <c r="A14132" s="6"/>
      <c r="B14132" s="6"/>
      <c r="H14132" s="13"/>
    </row>
    <row r="14133">
      <c r="A14133" s="6"/>
      <c r="B14133" s="6"/>
      <c r="H14133" s="13"/>
    </row>
    <row r="14134">
      <c r="A14134" s="6"/>
      <c r="B14134" s="6"/>
      <c r="H14134" s="13"/>
    </row>
    <row r="14135">
      <c r="A14135" s="6"/>
      <c r="B14135" s="6"/>
      <c r="H14135" s="13"/>
    </row>
    <row r="14136">
      <c r="A14136" s="6"/>
      <c r="B14136" s="6"/>
      <c r="H14136" s="13"/>
    </row>
    <row r="14137">
      <c r="A14137" s="6"/>
      <c r="B14137" s="6"/>
      <c r="H14137" s="13"/>
    </row>
    <row r="14138">
      <c r="A14138" s="6"/>
      <c r="B14138" s="6"/>
      <c r="H14138" s="13"/>
    </row>
    <row r="14139">
      <c r="A14139" s="6"/>
      <c r="B14139" s="6"/>
      <c r="H14139" s="13"/>
    </row>
    <row r="14140">
      <c r="A14140" s="6"/>
      <c r="B14140" s="6"/>
      <c r="H14140" s="13"/>
    </row>
    <row r="14141">
      <c r="A14141" s="6"/>
      <c r="B14141" s="6"/>
      <c r="H14141" s="13"/>
    </row>
    <row r="14142">
      <c r="A14142" s="6"/>
      <c r="B14142" s="6"/>
      <c r="H14142" s="13"/>
    </row>
    <row r="14143">
      <c r="A14143" s="6"/>
      <c r="B14143" s="6"/>
      <c r="H14143" s="13"/>
    </row>
    <row r="14144">
      <c r="A14144" s="6"/>
      <c r="B14144" s="6"/>
      <c r="H14144" s="13"/>
    </row>
    <row r="14145">
      <c r="A14145" s="6"/>
      <c r="B14145" s="6"/>
      <c r="H14145" s="13"/>
    </row>
    <row r="14146">
      <c r="A14146" s="6"/>
      <c r="B14146" s="6"/>
      <c r="H14146" s="13"/>
    </row>
    <row r="14147">
      <c r="A14147" s="6"/>
      <c r="B14147" s="6"/>
      <c r="H14147" s="13"/>
    </row>
    <row r="14148">
      <c r="A14148" s="6"/>
      <c r="B14148" s="6"/>
      <c r="H14148" s="13"/>
    </row>
    <row r="14149">
      <c r="A14149" s="6"/>
      <c r="B14149" s="6"/>
      <c r="H14149" s="13"/>
    </row>
    <row r="14150">
      <c r="A14150" s="6"/>
      <c r="B14150" s="6"/>
      <c r="H14150" s="13"/>
    </row>
    <row r="14151">
      <c r="A14151" s="6"/>
      <c r="B14151" s="6"/>
      <c r="H14151" s="13"/>
    </row>
    <row r="14152">
      <c r="A14152" s="6"/>
      <c r="B14152" s="6"/>
      <c r="H14152" s="13"/>
    </row>
    <row r="14153">
      <c r="A14153" s="6"/>
      <c r="B14153" s="6"/>
      <c r="H14153" s="13"/>
    </row>
    <row r="14154">
      <c r="A14154" s="6"/>
      <c r="B14154" s="6"/>
      <c r="H14154" s="13"/>
    </row>
    <row r="14155">
      <c r="A14155" s="6"/>
      <c r="B14155" s="6"/>
      <c r="H14155" s="13"/>
    </row>
    <row r="14156">
      <c r="A14156" s="6"/>
      <c r="B14156" s="6"/>
      <c r="H14156" s="13"/>
    </row>
    <row r="14157">
      <c r="A14157" s="6"/>
      <c r="B14157" s="6"/>
      <c r="H14157" s="13"/>
    </row>
    <row r="14158">
      <c r="A14158" s="6"/>
      <c r="B14158" s="6"/>
      <c r="H14158" s="13"/>
    </row>
    <row r="14159">
      <c r="A14159" s="6"/>
      <c r="B14159" s="6"/>
      <c r="H14159" s="13"/>
    </row>
    <row r="14160">
      <c r="A14160" s="6"/>
      <c r="B14160" s="6"/>
      <c r="H14160" s="13"/>
    </row>
    <row r="14161">
      <c r="A14161" s="6"/>
      <c r="B14161" s="6"/>
      <c r="H14161" s="13"/>
    </row>
    <row r="14162">
      <c r="A14162" s="6"/>
      <c r="B14162" s="6"/>
      <c r="H14162" s="13"/>
    </row>
    <row r="14163">
      <c r="A14163" s="6"/>
      <c r="B14163" s="6"/>
      <c r="H14163" s="13"/>
    </row>
    <row r="14164">
      <c r="A14164" s="6"/>
      <c r="B14164" s="6"/>
      <c r="H14164" s="13"/>
    </row>
    <row r="14165">
      <c r="A14165" s="6"/>
      <c r="B14165" s="6"/>
      <c r="H14165" s="13"/>
    </row>
    <row r="14166">
      <c r="A14166" s="6"/>
      <c r="B14166" s="6"/>
      <c r="H14166" s="13"/>
    </row>
    <row r="14167">
      <c r="A14167" s="6"/>
      <c r="B14167" s="6"/>
      <c r="H14167" s="13"/>
    </row>
    <row r="14168">
      <c r="A14168" s="6"/>
      <c r="B14168" s="6"/>
      <c r="H14168" s="13"/>
    </row>
    <row r="14169">
      <c r="A14169" s="6"/>
      <c r="B14169" s="6"/>
      <c r="H14169" s="13"/>
    </row>
    <row r="14170">
      <c r="A14170" s="6"/>
      <c r="B14170" s="6"/>
      <c r="H14170" s="13"/>
    </row>
    <row r="14171">
      <c r="A14171" s="6"/>
      <c r="B14171" s="6"/>
      <c r="H14171" s="13"/>
    </row>
    <row r="14172">
      <c r="A14172" s="6"/>
      <c r="B14172" s="6"/>
      <c r="H14172" s="13"/>
    </row>
    <row r="14173">
      <c r="A14173" s="6"/>
      <c r="B14173" s="6"/>
      <c r="H14173" s="13"/>
    </row>
    <row r="14174">
      <c r="A14174" s="6"/>
      <c r="B14174" s="6"/>
      <c r="H14174" s="13"/>
    </row>
    <row r="14175">
      <c r="A14175" s="6"/>
      <c r="B14175" s="6"/>
      <c r="H14175" s="13"/>
    </row>
    <row r="14176">
      <c r="A14176" s="6"/>
      <c r="B14176" s="6"/>
      <c r="H14176" s="13"/>
    </row>
    <row r="14177">
      <c r="A14177" s="6"/>
      <c r="B14177" s="6"/>
      <c r="H14177" s="13"/>
    </row>
    <row r="14178">
      <c r="A14178" s="6"/>
      <c r="B14178" s="6"/>
      <c r="H14178" s="13"/>
    </row>
    <row r="14179">
      <c r="A14179" s="6"/>
      <c r="B14179" s="6"/>
      <c r="H14179" s="13"/>
    </row>
    <row r="14180">
      <c r="A14180" s="6"/>
      <c r="B14180" s="6"/>
      <c r="H14180" s="13"/>
    </row>
    <row r="14181">
      <c r="A14181" s="6"/>
      <c r="B14181" s="6"/>
      <c r="H14181" s="13"/>
    </row>
    <row r="14182">
      <c r="A14182" s="6"/>
      <c r="B14182" s="6"/>
      <c r="H14182" s="13"/>
    </row>
    <row r="14183">
      <c r="A14183" s="6"/>
      <c r="B14183" s="6"/>
      <c r="H14183" s="13"/>
    </row>
    <row r="14184">
      <c r="A14184" s="6"/>
      <c r="B14184" s="6"/>
      <c r="H14184" s="13"/>
    </row>
    <row r="14185">
      <c r="A14185" s="6"/>
      <c r="B14185" s="6"/>
      <c r="H14185" s="13"/>
    </row>
    <row r="14186">
      <c r="A14186" s="6"/>
      <c r="B14186" s="6"/>
      <c r="H14186" s="13"/>
    </row>
    <row r="14187">
      <c r="A14187" s="6"/>
      <c r="B14187" s="6"/>
      <c r="H14187" s="13"/>
    </row>
    <row r="14188">
      <c r="A14188" s="6"/>
      <c r="B14188" s="6"/>
      <c r="H14188" s="13"/>
    </row>
    <row r="14189">
      <c r="A14189" s="6"/>
      <c r="B14189" s="6"/>
      <c r="H14189" s="13"/>
    </row>
    <row r="14190">
      <c r="A14190" s="6"/>
      <c r="B14190" s="6"/>
      <c r="H14190" s="13"/>
    </row>
    <row r="14191">
      <c r="A14191" s="6"/>
      <c r="B14191" s="6"/>
      <c r="H14191" s="13"/>
    </row>
    <row r="14192">
      <c r="A14192" s="6"/>
      <c r="B14192" s="6"/>
      <c r="H14192" s="13"/>
    </row>
    <row r="14193">
      <c r="A14193" s="6"/>
      <c r="B14193" s="6"/>
      <c r="H14193" s="13"/>
    </row>
    <row r="14194">
      <c r="A14194" s="6"/>
      <c r="B14194" s="6"/>
      <c r="H14194" s="13"/>
    </row>
    <row r="14195">
      <c r="A14195" s="6"/>
      <c r="B14195" s="6"/>
      <c r="H14195" s="13"/>
    </row>
    <row r="14196">
      <c r="A14196" s="6"/>
      <c r="B14196" s="6"/>
      <c r="H14196" s="13"/>
    </row>
    <row r="14197">
      <c r="A14197" s="6"/>
      <c r="B14197" s="6"/>
      <c r="H14197" s="13"/>
    </row>
    <row r="14198">
      <c r="A14198" s="6"/>
      <c r="B14198" s="6"/>
      <c r="H14198" s="13"/>
    </row>
    <row r="14199">
      <c r="A14199" s="6"/>
      <c r="B14199" s="6"/>
      <c r="H14199" s="13"/>
    </row>
    <row r="14200">
      <c r="A14200" s="6"/>
      <c r="B14200" s="6"/>
      <c r="H14200" s="13"/>
    </row>
    <row r="14201">
      <c r="A14201" s="6"/>
      <c r="B14201" s="6"/>
      <c r="H14201" s="13"/>
    </row>
    <row r="14202">
      <c r="A14202" s="6"/>
      <c r="B14202" s="6"/>
      <c r="H14202" s="13"/>
    </row>
    <row r="14203">
      <c r="A14203" s="6"/>
      <c r="B14203" s="6"/>
      <c r="H14203" s="13"/>
    </row>
    <row r="14204">
      <c r="A14204" s="6"/>
      <c r="B14204" s="6"/>
      <c r="H14204" s="13"/>
    </row>
    <row r="14205">
      <c r="A14205" s="6"/>
      <c r="B14205" s="6"/>
      <c r="H14205" s="13"/>
    </row>
    <row r="14206">
      <c r="A14206" s="6"/>
      <c r="B14206" s="6"/>
      <c r="H14206" s="13"/>
    </row>
    <row r="14207">
      <c r="A14207" s="6"/>
      <c r="B14207" s="6"/>
      <c r="H14207" s="13"/>
    </row>
    <row r="14208">
      <c r="A14208" s="6"/>
      <c r="B14208" s="6"/>
      <c r="H14208" s="13"/>
    </row>
    <row r="14209">
      <c r="A14209" s="6"/>
      <c r="B14209" s="6"/>
      <c r="H14209" s="13"/>
    </row>
    <row r="14210">
      <c r="A14210" s="6"/>
      <c r="B14210" s="6"/>
      <c r="H14210" s="13"/>
    </row>
    <row r="14211">
      <c r="A14211" s="6"/>
      <c r="B14211" s="6"/>
      <c r="H14211" s="13"/>
    </row>
    <row r="14212">
      <c r="A14212" s="6"/>
      <c r="B14212" s="6"/>
      <c r="H14212" s="13"/>
    </row>
    <row r="14213">
      <c r="A14213" s="6"/>
      <c r="B14213" s="6"/>
      <c r="H14213" s="13"/>
    </row>
    <row r="14214">
      <c r="A14214" s="6"/>
      <c r="B14214" s="6"/>
      <c r="H14214" s="13"/>
    </row>
    <row r="14215">
      <c r="A14215" s="6"/>
      <c r="B14215" s="6"/>
      <c r="H14215" s="13"/>
    </row>
    <row r="14216">
      <c r="A14216" s="6"/>
      <c r="B14216" s="6"/>
      <c r="H14216" s="13"/>
    </row>
    <row r="14217">
      <c r="A14217" s="6"/>
      <c r="B14217" s="6"/>
      <c r="H14217" s="13"/>
    </row>
    <row r="14218">
      <c r="A14218" s="6"/>
      <c r="B14218" s="6"/>
      <c r="H14218" s="13"/>
    </row>
    <row r="14219">
      <c r="A14219" s="6"/>
      <c r="B14219" s="6"/>
      <c r="H14219" s="13"/>
    </row>
    <row r="14220">
      <c r="A14220" s="6"/>
      <c r="B14220" s="6"/>
      <c r="H14220" s="13"/>
    </row>
    <row r="14221">
      <c r="A14221" s="6"/>
      <c r="B14221" s="6"/>
      <c r="H14221" s="13"/>
    </row>
    <row r="14222">
      <c r="A14222" s="6"/>
      <c r="B14222" s="6"/>
      <c r="H14222" s="13"/>
    </row>
    <row r="14223">
      <c r="A14223" s="6"/>
      <c r="B14223" s="6"/>
      <c r="H14223" s="13"/>
    </row>
    <row r="14224">
      <c r="A14224" s="6"/>
      <c r="B14224" s="6"/>
      <c r="H14224" s="13"/>
    </row>
    <row r="14225">
      <c r="A14225" s="6"/>
      <c r="B14225" s="6"/>
      <c r="H14225" s="13"/>
    </row>
    <row r="14226">
      <c r="A14226" s="6"/>
      <c r="B14226" s="6"/>
      <c r="H14226" s="13"/>
    </row>
    <row r="14227">
      <c r="A14227" s="6"/>
      <c r="B14227" s="6"/>
      <c r="H14227" s="13"/>
    </row>
    <row r="14228">
      <c r="A14228" s="6"/>
      <c r="B14228" s="6"/>
      <c r="H14228" s="13"/>
    </row>
    <row r="14229">
      <c r="A14229" s="6"/>
      <c r="B14229" s="6"/>
      <c r="H14229" s="13"/>
    </row>
    <row r="14230">
      <c r="A14230" s="6"/>
      <c r="B14230" s="6"/>
      <c r="H14230" s="13"/>
    </row>
    <row r="14231">
      <c r="A14231" s="6"/>
      <c r="B14231" s="6"/>
      <c r="H14231" s="13"/>
    </row>
    <row r="14232">
      <c r="A14232" s="6"/>
      <c r="B14232" s="6"/>
      <c r="H14232" s="13"/>
    </row>
    <row r="14233">
      <c r="A14233" s="6"/>
      <c r="B14233" s="6"/>
      <c r="H14233" s="13"/>
    </row>
    <row r="14234">
      <c r="A14234" s="6"/>
      <c r="B14234" s="6"/>
      <c r="H14234" s="13"/>
    </row>
    <row r="14235">
      <c r="A14235" s="6"/>
      <c r="B14235" s="6"/>
      <c r="H14235" s="13"/>
    </row>
    <row r="14236">
      <c r="A14236" s="6"/>
      <c r="B14236" s="6"/>
      <c r="H14236" s="13"/>
    </row>
    <row r="14237">
      <c r="A14237" s="6"/>
      <c r="B14237" s="6"/>
      <c r="H14237" s="13"/>
    </row>
    <row r="14238">
      <c r="A14238" s="6"/>
      <c r="B14238" s="6"/>
      <c r="H14238" s="13"/>
    </row>
    <row r="14239">
      <c r="A14239" s="6"/>
      <c r="B14239" s="6"/>
      <c r="H14239" s="13"/>
    </row>
    <row r="14240">
      <c r="A14240" s="6"/>
      <c r="B14240" s="6"/>
      <c r="H14240" s="13"/>
    </row>
    <row r="14241">
      <c r="A14241" s="6"/>
      <c r="B14241" s="6"/>
      <c r="H14241" s="13"/>
    </row>
    <row r="14242">
      <c r="A14242" s="6"/>
      <c r="B14242" s="6"/>
      <c r="H14242" s="13"/>
    </row>
    <row r="14243">
      <c r="A14243" s="6"/>
      <c r="B14243" s="6"/>
      <c r="H14243" s="13"/>
    </row>
    <row r="14244">
      <c r="A14244" s="6"/>
      <c r="B14244" s="6"/>
      <c r="H14244" s="13"/>
    </row>
    <row r="14245">
      <c r="A14245" s="6"/>
      <c r="B14245" s="6"/>
      <c r="H14245" s="13"/>
    </row>
    <row r="14246">
      <c r="A14246" s="6"/>
      <c r="B14246" s="6"/>
      <c r="H14246" s="13"/>
    </row>
    <row r="14247">
      <c r="A14247" s="6"/>
      <c r="B14247" s="6"/>
      <c r="H14247" s="13"/>
    </row>
    <row r="14248">
      <c r="A14248" s="6"/>
      <c r="B14248" s="6"/>
      <c r="H14248" s="13"/>
    </row>
    <row r="14249">
      <c r="A14249" s="6"/>
      <c r="B14249" s="6"/>
      <c r="H14249" s="13"/>
    </row>
    <row r="14250">
      <c r="A14250" s="6"/>
      <c r="B14250" s="6"/>
      <c r="H14250" s="13"/>
    </row>
    <row r="14251">
      <c r="A14251" s="6"/>
      <c r="B14251" s="6"/>
      <c r="H14251" s="13"/>
    </row>
    <row r="14252">
      <c r="A14252" s="6"/>
      <c r="B14252" s="6"/>
      <c r="H14252" s="13"/>
    </row>
    <row r="14253">
      <c r="A14253" s="6"/>
      <c r="B14253" s="6"/>
      <c r="H14253" s="13"/>
    </row>
    <row r="14254">
      <c r="A14254" s="6"/>
      <c r="B14254" s="6"/>
      <c r="H14254" s="13"/>
    </row>
    <row r="14255">
      <c r="A14255" s="6"/>
      <c r="B14255" s="6"/>
      <c r="H14255" s="13"/>
    </row>
    <row r="14256">
      <c r="A14256" s="6"/>
      <c r="B14256" s="6"/>
      <c r="H14256" s="13"/>
    </row>
    <row r="14257">
      <c r="A14257" s="6"/>
      <c r="B14257" s="6"/>
      <c r="H14257" s="13"/>
    </row>
    <row r="14258">
      <c r="A14258" s="6"/>
      <c r="B14258" s="6"/>
      <c r="H14258" s="13"/>
    </row>
    <row r="14259">
      <c r="A14259" s="6"/>
      <c r="B14259" s="6"/>
      <c r="H14259" s="13"/>
    </row>
    <row r="14260">
      <c r="A14260" s="6"/>
      <c r="B14260" s="6"/>
      <c r="H14260" s="13"/>
    </row>
    <row r="14261">
      <c r="A14261" s="6"/>
      <c r="B14261" s="6"/>
      <c r="H14261" s="13"/>
    </row>
    <row r="14262">
      <c r="A14262" s="6"/>
      <c r="B14262" s="6"/>
      <c r="H14262" s="13"/>
    </row>
    <row r="14263">
      <c r="A14263" s="6"/>
      <c r="B14263" s="6"/>
      <c r="H14263" s="13"/>
    </row>
    <row r="14264">
      <c r="A14264" s="6"/>
      <c r="B14264" s="6"/>
      <c r="H14264" s="13"/>
    </row>
    <row r="14265">
      <c r="A14265" s="6"/>
      <c r="B14265" s="6"/>
      <c r="H14265" s="13"/>
    </row>
    <row r="14266">
      <c r="A14266" s="6"/>
      <c r="B14266" s="6"/>
      <c r="H14266" s="13"/>
    </row>
    <row r="14267">
      <c r="A14267" s="6"/>
      <c r="B14267" s="6"/>
      <c r="H14267" s="13"/>
    </row>
    <row r="14268">
      <c r="A14268" s="6"/>
      <c r="B14268" s="6"/>
      <c r="H14268" s="13"/>
    </row>
    <row r="14269">
      <c r="A14269" s="6"/>
      <c r="B14269" s="6"/>
      <c r="H14269" s="13"/>
    </row>
    <row r="14270">
      <c r="A14270" s="6"/>
      <c r="B14270" s="6"/>
      <c r="H14270" s="13"/>
    </row>
    <row r="14271">
      <c r="A14271" s="6"/>
      <c r="B14271" s="6"/>
      <c r="H14271" s="13"/>
    </row>
    <row r="14272">
      <c r="A14272" s="6"/>
      <c r="B14272" s="6"/>
      <c r="H14272" s="13"/>
    </row>
    <row r="14273">
      <c r="A14273" s="6"/>
      <c r="B14273" s="6"/>
      <c r="H14273" s="13"/>
    </row>
    <row r="14274">
      <c r="A14274" s="6"/>
      <c r="B14274" s="6"/>
      <c r="H14274" s="13"/>
    </row>
    <row r="14275">
      <c r="A14275" s="6"/>
      <c r="B14275" s="6"/>
      <c r="H14275" s="13"/>
    </row>
    <row r="14276">
      <c r="A14276" s="6"/>
      <c r="B14276" s="6"/>
      <c r="H14276" s="13"/>
    </row>
    <row r="14277">
      <c r="A14277" s="6"/>
      <c r="B14277" s="6"/>
      <c r="H14277" s="13"/>
    </row>
    <row r="14278">
      <c r="A14278" s="6"/>
      <c r="B14278" s="6"/>
      <c r="H14278" s="13"/>
    </row>
    <row r="14279">
      <c r="A14279" s="6"/>
      <c r="B14279" s="6"/>
      <c r="H14279" s="13"/>
    </row>
    <row r="14280">
      <c r="A14280" s="6"/>
      <c r="B14280" s="6"/>
      <c r="H14280" s="13"/>
    </row>
    <row r="14281">
      <c r="A14281" s="6"/>
      <c r="B14281" s="6"/>
      <c r="H14281" s="13"/>
    </row>
    <row r="14282">
      <c r="A14282" s="6"/>
      <c r="B14282" s="6"/>
      <c r="H14282" s="13"/>
    </row>
    <row r="14283">
      <c r="A14283" s="6"/>
      <c r="B14283" s="6"/>
      <c r="H14283" s="13"/>
    </row>
    <row r="14284">
      <c r="A14284" s="6"/>
      <c r="B14284" s="6"/>
      <c r="H14284" s="13"/>
    </row>
    <row r="14285">
      <c r="A14285" s="6"/>
      <c r="B14285" s="6"/>
      <c r="H14285" s="13"/>
    </row>
    <row r="14286">
      <c r="A14286" s="6"/>
      <c r="B14286" s="6"/>
      <c r="H14286" s="13"/>
    </row>
    <row r="14287">
      <c r="A14287" s="6"/>
      <c r="B14287" s="6"/>
      <c r="H14287" s="13"/>
    </row>
    <row r="14288">
      <c r="A14288" s="6"/>
      <c r="B14288" s="6"/>
      <c r="H14288" s="13"/>
    </row>
    <row r="14289">
      <c r="A14289" s="6"/>
      <c r="B14289" s="6"/>
      <c r="H14289" s="13"/>
    </row>
    <row r="14290">
      <c r="A14290" s="6"/>
      <c r="B14290" s="6"/>
      <c r="H14290" s="13"/>
    </row>
    <row r="14291">
      <c r="A14291" s="6"/>
      <c r="B14291" s="6"/>
      <c r="H14291" s="13"/>
    </row>
    <row r="14292">
      <c r="A14292" s="6"/>
      <c r="B14292" s="6"/>
      <c r="H14292" s="13"/>
    </row>
    <row r="14293">
      <c r="A14293" s="6"/>
      <c r="B14293" s="6"/>
      <c r="H14293" s="13"/>
    </row>
    <row r="14294">
      <c r="A14294" s="6"/>
      <c r="B14294" s="6"/>
      <c r="H14294" s="13"/>
    </row>
    <row r="14295">
      <c r="A14295" s="6"/>
      <c r="B14295" s="6"/>
      <c r="H14295" s="13"/>
    </row>
    <row r="14296">
      <c r="A14296" s="6"/>
      <c r="B14296" s="6"/>
      <c r="H14296" s="13"/>
    </row>
    <row r="14297">
      <c r="A14297" s="6"/>
      <c r="B14297" s="6"/>
      <c r="H14297" s="13"/>
    </row>
    <row r="14298">
      <c r="A14298" s="6"/>
      <c r="B14298" s="6"/>
      <c r="H14298" s="13"/>
    </row>
    <row r="14299">
      <c r="A14299" s="6"/>
      <c r="B14299" s="6"/>
      <c r="H14299" s="13"/>
    </row>
    <row r="14300">
      <c r="A14300" s="6"/>
      <c r="B14300" s="6"/>
      <c r="H14300" s="13"/>
    </row>
    <row r="14301">
      <c r="A14301" s="6"/>
      <c r="B14301" s="6"/>
      <c r="H14301" s="13"/>
    </row>
    <row r="14302">
      <c r="A14302" s="6"/>
      <c r="B14302" s="6"/>
      <c r="H14302" s="13"/>
    </row>
    <row r="14303">
      <c r="A14303" s="6"/>
      <c r="B14303" s="6"/>
      <c r="H14303" s="13"/>
    </row>
    <row r="14304">
      <c r="A14304" s="6"/>
      <c r="B14304" s="6"/>
      <c r="H14304" s="13"/>
    </row>
    <row r="14305">
      <c r="A14305" s="6"/>
      <c r="B14305" s="6"/>
      <c r="H14305" s="13"/>
    </row>
    <row r="14306">
      <c r="A14306" s="6"/>
      <c r="B14306" s="6"/>
      <c r="H14306" s="13"/>
    </row>
    <row r="14307">
      <c r="A14307" s="6"/>
      <c r="B14307" s="6"/>
      <c r="H14307" s="13"/>
    </row>
    <row r="14308">
      <c r="A14308" s="6"/>
      <c r="B14308" s="6"/>
      <c r="H14308" s="13"/>
    </row>
    <row r="14309">
      <c r="A14309" s="6"/>
      <c r="B14309" s="6"/>
      <c r="H14309" s="13"/>
    </row>
    <row r="14310">
      <c r="A14310" s="6"/>
      <c r="B14310" s="6"/>
      <c r="H14310" s="13"/>
    </row>
    <row r="14311">
      <c r="A14311" s="6"/>
      <c r="B14311" s="6"/>
      <c r="H14311" s="13"/>
    </row>
    <row r="14312">
      <c r="A14312" s="6"/>
      <c r="B14312" s="6"/>
      <c r="H14312" s="13"/>
    </row>
    <row r="14313">
      <c r="A14313" s="6"/>
      <c r="B14313" s="6"/>
      <c r="H14313" s="13"/>
    </row>
    <row r="14314">
      <c r="A14314" s="6"/>
      <c r="B14314" s="6"/>
      <c r="H14314" s="13"/>
    </row>
    <row r="14315">
      <c r="A14315" s="6"/>
      <c r="B14315" s="6"/>
      <c r="H14315" s="13"/>
    </row>
    <row r="14316">
      <c r="A14316" s="6"/>
      <c r="B14316" s="6"/>
      <c r="H14316" s="13"/>
    </row>
    <row r="14317">
      <c r="A14317" s="6"/>
      <c r="B14317" s="6"/>
      <c r="H14317" s="13"/>
    </row>
    <row r="14318">
      <c r="A14318" s="6"/>
      <c r="B14318" s="6"/>
      <c r="H14318" s="13"/>
    </row>
    <row r="14319">
      <c r="A14319" s="6"/>
      <c r="B14319" s="6"/>
      <c r="H14319" s="13"/>
    </row>
    <row r="14320">
      <c r="A14320" s="6"/>
      <c r="B14320" s="6"/>
      <c r="H14320" s="13"/>
    </row>
    <row r="14321">
      <c r="A14321" s="6"/>
      <c r="B14321" s="6"/>
      <c r="H14321" s="13"/>
    </row>
    <row r="14322">
      <c r="A14322" s="6"/>
      <c r="B14322" s="6"/>
      <c r="H14322" s="13"/>
    </row>
    <row r="14323">
      <c r="A14323" s="6"/>
      <c r="B14323" s="6"/>
      <c r="H14323" s="13"/>
    </row>
    <row r="14324">
      <c r="A14324" s="6"/>
      <c r="B14324" s="6"/>
      <c r="H14324" s="13"/>
    </row>
    <row r="14325">
      <c r="A14325" s="6"/>
      <c r="B14325" s="6"/>
      <c r="H14325" s="13"/>
    </row>
    <row r="14326">
      <c r="A14326" s="6"/>
      <c r="B14326" s="6"/>
      <c r="H14326" s="13"/>
    </row>
    <row r="14327">
      <c r="A14327" s="6"/>
      <c r="B14327" s="6"/>
      <c r="H14327" s="13"/>
    </row>
    <row r="14328">
      <c r="A14328" s="6"/>
      <c r="B14328" s="6"/>
      <c r="H14328" s="13"/>
    </row>
    <row r="14329">
      <c r="A14329" s="6"/>
      <c r="B14329" s="6"/>
      <c r="H14329" s="13"/>
    </row>
    <row r="14330">
      <c r="A14330" s="6"/>
      <c r="B14330" s="6"/>
      <c r="H14330" s="13"/>
    </row>
    <row r="14331">
      <c r="A14331" s="6"/>
      <c r="B14331" s="6"/>
      <c r="H14331" s="13"/>
    </row>
    <row r="14332">
      <c r="A14332" s="6"/>
      <c r="B14332" s="6"/>
      <c r="H14332" s="13"/>
    </row>
    <row r="14333">
      <c r="A14333" s="6"/>
      <c r="B14333" s="6"/>
      <c r="H14333" s="13"/>
    </row>
    <row r="14334">
      <c r="A14334" s="6"/>
      <c r="B14334" s="6"/>
      <c r="H14334" s="13"/>
    </row>
    <row r="14335">
      <c r="A14335" s="6"/>
      <c r="B14335" s="6"/>
      <c r="H14335" s="13"/>
    </row>
    <row r="14336">
      <c r="A14336" s="6"/>
      <c r="B14336" s="6"/>
      <c r="H14336" s="13"/>
    </row>
    <row r="14337">
      <c r="A14337" s="6"/>
      <c r="B14337" s="6"/>
      <c r="H14337" s="13"/>
    </row>
    <row r="14338">
      <c r="A14338" s="6"/>
      <c r="B14338" s="6"/>
      <c r="H14338" s="13"/>
    </row>
    <row r="14339">
      <c r="A14339" s="6"/>
      <c r="B14339" s="6"/>
      <c r="H14339" s="13"/>
    </row>
    <row r="14340">
      <c r="A14340" s="6"/>
      <c r="B14340" s="6"/>
      <c r="H14340" s="13"/>
    </row>
    <row r="14341">
      <c r="A14341" s="6"/>
      <c r="B14341" s="6"/>
      <c r="H14341" s="13"/>
    </row>
    <row r="14342">
      <c r="A14342" s="6"/>
      <c r="B14342" s="6"/>
      <c r="H14342" s="13"/>
    </row>
    <row r="14343">
      <c r="A14343" s="6"/>
      <c r="B14343" s="6"/>
      <c r="H14343" s="13"/>
    </row>
    <row r="14344">
      <c r="A14344" s="6"/>
      <c r="B14344" s="6"/>
      <c r="H14344" s="13"/>
    </row>
    <row r="14345">
      <c r="A14345" s="6"/>
      <c r="B14345" s="6"/>
      <c r="H14345" s="13"/>
    </row>
    <row r="14346">
      <c r="A14346" s="6"/>
      <c r="B14346" s="6"/>
      <c r="H14346" s="13"/>
    </row>
    <row r="14347">
      <c r="A14347" s="6"/>
      <c r="B14347" s="6"/>
      <c r="H14347" s="13"/>
    </row>
    <row r="14348">
      <c r="A14348" s="6"/>
      <c r="B14348" s="6"/>
      <c r="H14348" s="13"/>
    </row>
    <row r="14349">
      <c r="A14349" s="6"/>
      <c r="B14349" s="6"/>
      <c r="H14349" s="13"/>
    </row>
    <row r="14350">
      <c r="A14350" s="6"/>
      <c r="B14350" s="6"/>
      <c r="H14350" s="13"/>
    </row>
    <row r="14351">
      <c r="A14351" s="6"/>
      <c r="B14351" s="6"/>
      <c r="H14351" s="13"/>
    </row>
    <row r="14352">
      <c r="A14352" s="6"/>
      <c r="B14352" s="6"/>
      <c r="H14352" s="13"/>
    </row>
    <row r="14353">
      <c r="A14353" s="6"/>
      <c r="B14353" s="6"/>
      <c r="H14353" s="13"/>
    </row>
    <row r="14354">
      <c r="A14354" s="6"/>
      <c r="B14354" s="6"/>
      <c r="H14354" s="13"/>
    </row>
    <row r="14355">
      <c r="A14355" s="6"/>
      <c r="B14355" s="6"/>
      <c r="H14355" s="13"/>
    </row>
    <row r="14356">
      <c r="A14356" s="6"/>
      <c r="B14356" s="6"/>
      <c r="H14356" s="13"/>
    </row>
    <row r="14357">
      <c r="A14357" s="6"/>
      <c r="B14357" s="6"/>
      <c r="H14357" s="13"/>
    </row>
    <row r="14358">
      <c r="A14358" s="6"/>
      <c r="B14358" s="6"/>
      <c r="H14358" s="13"/>
    </row>
    <row r="14359">
      <c r="A14359" s="6"/>
      <c r="B14359" s="6"/>
      <c r="H14359" s="13"/>
    </row>
    <row r="14360">
      <c r="A14360" s="6"/>
      <c r="B14360" s="6"/>
      <c r="H14360" s="13"/>
    </row>
    <row r="14361">
      <c r="A14361" s="6"/>
      <c r="B14361" s="6"/>
      <c r="H14361" s="13"/>
    </row>
    <row r="14362">
      <c r="A14362" s="6"/>
      <c r="B14362" s="6"/>
      <c r="H14362" s="13"/>
    </row>
    <row r="14363">
      <c r="A14363" s="6"/>
      <c r="B14363" s="6"/>
      <c r="H14363" s="13"/>
    </row>
    <row r="14364">
      <c r="A14364" s="6"/>
      <c r="B14364" s="6"/>
      <c r="H14364" s="13"/>
    </row>
    <row r="14365">
      <c r="A14365" s="6"/>
      <c r="B14365" s="6"/>
      <c r="H14365" s="13"/>
    </row>
    <row r="14366">
      <c r="A14366" s="6"/>
      <c r="B14366" s="6"/>
      <c r="H14366" s="13"/>
    </row>
    <row r="14367">
      <c r="A14367" s="6"/>
      <c r="B14367" s="6"/>
      <c r="H14367" s="13"/>
    </row>
    <row r="14368">
      <c r="A14368" s="6"/>
      <c r="B14368" s="6"/>
      <c r="H14368" s="13"/>
    </row>
    <row r="14369">
      <c r="A14369" s="6"/>
      <c r="B14369" s="6"/>
      <c r="H14369" s="13"/>
    </row>
    <row r="14370">
      <c r="A14370" s="6"/>
      <c r="B14370" s="6"/>
      <c r="H14370" s="13"/>
    </row>
    <row r="14371">
      <c r="A14371" s="6"/>
      <c r="B14371" s="6"/>
      <c r="H14371" s="13"/>
    </row>
    <row r="14372">
      <c r="A14372" s="6"/>
      <c r="B14372" s="6"/>
      <c r="H14372" s="13"/>
    </row>
    <row r="14373">
      <c r="A14373" s="6"/>
      <c r="B14373" s="6"/>
      <c r="H14373" s="13"/>
    </row>
    <row r="14374">
      <c r="A14374" s="6"/>
      <c r="B14374" s="6"/>
      <c r="H14374" s="13"/>
    </row>
    <row r="14375">
      <c r="A14375" s="6"/>
      <c r="B14375" s="6"/>
      <c r="H14375" s="13"/>
    </row>
    <row r="14376">
      <c r="A14376" s="6"/>
      <c r="B14376" s="6"/>
      <c r="H14376" s="13"/>
    </row>
    <row r="14377">
      <c r="A14377" s="6"/>
      <c r="B14377" s="6"/>
      <c r="H14377" s="13"/>
    </row>
    <row r="14378">
      <c r="A14378" s="6"/>
      <c r="B14378" s="6"/>
      <c r="H14378" s="13"/>
    </row>
    <row r="14379">
      <c r="A14379" s="6"/>
      <c r="B14379" s="6"/>
      <c r="H14379" s="13"/>
    </row>
    <row r="14380">
      <c r="A14380" s="6"/>
      <c r="B14380" s="6"/>
      <c r="H14380" s="13"/>
    </row>
    <row r="14381">
      <c r="A14381" s="6"/>
      <c r="B14381" s="6"/>
      <c r="H14381" s="13"/>
    </row>
    <row r="14382">
      <c r="A14382" s="6"/>
      <c r="B14382" s="6"/>
      <c r="H14382" s="13"/>
    </row>
    <row r="14383">
      <c r="A14383" s="6"/>
      <c r="B14383" s="6"/>
      <c r="H14383" s="13"/>
    </row>
    <row r="14384">
      <c r="A14384" s="6"/>
      <c r="B14384" s="6"/>
      <c r="H14384" s="13"/>
    </row>
    <row r="14385">
      <c r="A14385" s="6"/>
      <c r="B14385" s="6"/>
      <c r="H14385" s="13"/>
    </row>
    <row r="14386">
      <c r="A14386" s="6"/>
      <c r="B14386" s="6"/>
      <c r="H14386" s="13"/>
    </row>
    <row r="14387">
      <c r="A14387" s="6"/>
      <c r="B14387" s="6"/>
      <c r="H14387" s="13"/>
    </row>
    <row r="14388">
      <c r="A14388" s="6"/>
      <c r="B14388" s="6"/>
      <c r="H14388" s="13"/>
    </row>
    <row r="14389">
      <c r="A14389" s="6"/>
      <c r="B14389" s="6"/>
      <c r="H14389" s="13"/>
    </row>
    <row r="14390">
      <c r="A14390" s="6"/>
      <c r="B14390" s="6"/>
      <c r="H14390" s="13"/>
    </row>
    <row r="14391">
      <c r="A14391" s="6"/>
      <c r="B14391" s="6"/>
      <c r="H14391" s="13"/>
    </row>
    <row r="14392">
      <c r="A14392" s="6"/>
      <c r="B14392" s="6"/>
      <c r="H14392" s="13"/>
    </row>
    <row r="14393">
      <c r="A14393" s="6"/>
      <c r="B14393" s="6"/>
      <c r="H14393" s="13"/>
    </row>
    <row r="14394">
      <c r="A14394" s="6"/>
      <c r="B14394" s="6"/>
      <c r="H14394" s="13"/>
    </row>
    <row r="14395">
      <c r="A14395" s="6"/>
      <c r="B14395" s="6"/>
      <c r="H14395" s="13"/>
    </row>
    <row r="14396">
      <c r="A14396" s="6"/>
      <c r="B14396" s="6"/>
      <c r="H14396" s="13"/>
    </row>
    <row r="14397">
      <c r="A14397" s="6"/>
      <c r="B14397" s="6"/>
      <c r="H14397" s="13"/>
    </row>
    <row r="14398">
      <c r="A14398" s="6"/>
      <c r="B14398" s="6"/>
      <c r="H14398" s="13"/>
    </row>
    <row r="14399">
      <c r="A14399" s="6"/>
      <c r="B14399" s="6"/>
      <c r="H14399" s="13"/>
    </row>
    <row r="14400">
      <c r="A14400" s="6"/>
      <c r="B14400" s="6"/>
      <c r="H14400" s="13"/>
    </row>
    <row r="14401">
      <c r="A14401" s="6"/>
      <c r="B14401" s="6"/>
      <c r="H14401" s="13"/>
    </row>
    <row r="14402">
      <c r="A14402" s="6"/>
      <c r="B14402" s="6"/>
      <c r="H14402" s="13"/>
    </row>
    <row r="14403">
      <c r="A14403" s="6"/>
      <c r="B14403" s="6"/>
      <c r="H14403" s="13"/>
    </row>
    <row r="14404">
      <c r="A14404" s="6"/>
      <c r="B14404" s="6"/>
      <c r="H14404" s="13"/>
    </row>
    <row r="14405">
      <c r="A14405" s="6"/>
      <c r="B14405" s="6"/>
      <c r="H14405" s="13"/>
    </row>
    <row r="14406">
      <c r="A14406" s="6"/>
      <c r="B14406" s="6"/>
      <c r="H14406" s="13"/>
    </row>
    <row r="14407">
      <c r="A14407" s="6"/>
      <c r="B14407" s="6"/>
      <c r="H14407" s="13"/>
    </row>
    <row r="14408">
      <c r="A14408" s="6"/>
      <c r="B14408" s="6"/>
      <c r="H14408" s="13"/>
    </row>
    <row r="14409">
      <c r="A14409" s="6"/>
      <c r="B14409" s="6"/>
      <c r="H14409" s="13"/>
    </row>
    <row r="14410">
      <c r="A14410" s="6"/>
      <c r="B14410" s="6"/>
      <c r="H14410" s="13"/>
    </row>
    <row r="14411">
      <c r="A14411" s="6"/>
      <c r="B14411" s="6"/>
      <c r="H14411" s="13"/>
    </row>
    <row r="14412">
      <c r="A14412" s="6"/>
      <c r="B14412" s="6"/>
      <c r="H14412" s="13"/>
    </row>
    <row r="14413">
      <c r="A14413" s="6"/>
      <c r="B14413" s="6"/>
      <c r="H14413" s="13"/>
    </row>
    <row r="14414">
      <c r="A14414" s="6"/>
      <c r="B14414" s="6"/>
      <c r="H14414" s="13"/>
    </row>
    <row r="14415">
      <c r="A14415" s="6"/>
      <c r="B14415" s="6"/>
      <c r="H14415" s="13"/>
    </row>
    <row r="14416">
      <c r="A14416" s="6"/>
      <c r="B14416" s="6"/>
      <c r="H14416" s="13"/>
    </row>
    <row r="14417">
      <c r="A14417" s="6"/>
      <c r="B14417" s="6"/>
      <c r="H14417" s="13"/>
    </row>
    <row r="14418">
      <c r="A14418" s="6"/>
      <c r="B14418" s="6"/>
      <c r="H14418" s="13"/>
    </row>
    <row r="14419">
      <c r="A14419" s="6"/>
      <c r="B14419" s="6"/>
      <c r="H14419" s="13"/>
    </row>
    <row r="14420">
      <c r="A14420" s="6"/>
      <c r="B14420" s="6"/>
      <c r="H14420" s="13"/>
    </row>
    <row r="14421">
      <c r="A14421" s="6"/>
      <c r="B14421" s="6"/>
      <c r="H14421" s="13"/>
    </row>
    <row r="14422">
      <c r="A14422" s="6"/>
      <c r="B14422" s="6"/>
      <c r="H14422" s="13"/>
    </row>
    <row r="14423">
      <c r="A14423" s="6"/>
      <c r="B14423" s="6"/>
      <c r="H14423" s="13"/>
    </row>
    <row r="14424">
      <c r="A14424" s="6"/>
      <c r="B14424" s="6"/>
      <c r="H14424" s="13"/>
    </row>
    <row r="14425">
      <c r="A14425" s="6"/>
      <c r="B14425" s="6"/>
      <c r="H14425" s="13"/>
    </row>
    <row r="14426">
      <c r="A14426" s="6"/>
      <c r="B14426" s="6"/>
      <c r="H14426" s="13"/>
    </row>
    <row r="14427">
      <c r="A14427" s="6"/>
      <c r="B14427" s="6"/>
      <c r="H14427" s="13"/>
    </row>
    <row r="14428">
      <c r="A14428" s="6"/>
      <c r="B14428" s="6"/>
      <c r="H14428" s="13"/>
    </row>
    <row r="14429">
      <c r="A14429" s="6"/>
      <c r="B14429" s="6"/>
      <c r="H14429" s="13"/>
    </row>
    <row r="14430">
      <c r="A14430" s="6"/>
      <c r="B14430" s="6"/>
      <c r="H14430" s="13"/>
    </row>
    <row r="14431">
      <c r="A14431" s="6"/>
      <c r="B14431" s="6"/>
      <c r="H14431" s="13"/>
    </row>
    <row r="14432">
      <c r="A14432" s="6"/>
      <c r="B14432" s="6"/>
      <c r="H14432" s="13"/>
    </row>
    <row r="14433">
      <c r="A14433" s="6"/>
      <c r="B14433" s="6"/>
      <c r="H14433" s="13"/>
    </row>
    <row r="14434">
      <c r="A14434" s="6"/>
      <c r="B14434" s="6"/>
      <c r="H14434" s="13"/>
    </row>
    <row r="14435">
      <c r="A14435" s="6"/>
      <c r="B14435" s="6"/>
      <c r="H14435" s="13"/>
    </row>
    <row r="14436">
      <c r="A14436" s="6"/>
      <c r="B14436" s="6"/>
      <c r="H14436" s="13"/>
    </row>
    <row r="14437">
      <c r="A14437" s="6"/>
      <c r="B14437" s="6"/>
      <c r="H14437" s="13"/>
    </row>
    <row r="14438">
      <c r="A14438" s="6"/>
      <c r="B14438" s="6"/>
      <c r="H14438" s="13"/>
    </row>
    <row r="14439">
      <c r="A14439" s="6"/>
      <c r="B14439" s="6"/>
      <c r="H14439" s="13"/>
    </row>
    <row r="14440">
      <c r="A14440" s="6"/>
      <c r="B14440" s="6"/>
      <c r="H14440" s="13"/>
    </row>
    <row r="14441">
      <c r="A14441" s="6"/>
      <c r="B14441" s="6"/>
      <c r="H14441" s="13"/>
    </row>
    <row r="14442">
      <c r="A14442" s="6"/>
      <c r="B14442" s="6"/>
      <c r="H14442" s="13"/>
    </row>
    <row r="14443">
      <c r="A14443" s="6"/>
      <c r="B14443" s="6"/>
      <c r="H14443" s="13"/>
    </row>
    <row r="14444">
      <c r="A14444" s="6"/>
      <c r="B14444" s="6"/>
      <c r="H14444" s="13"/>
    </row>
    <row r="14445">
      <c r="A14445" s="6"/>
      <c r="B14445" s="6"/>
      <c r="H14445" s="13"/>
    </row>
    <row r="14446">
      <c r="A14446" s="6"/>
      <c r="B14446" s="6"/>
      <c r="H14446" s="13"/>
    </row>
    <row r="14447">
      <c r="A14447" s="6"/>
      <c r="B14447" s="6"/>
      <c r="H14447" s="13"/>
    </row>
    <row r="14448">
      <c r="A14448" s="6"/>
      <c r="B14448" s="6"/>
      <c r="H14448" s="13"/>
    </row>
    <row r="14449">
      <c r="A14449" s="6"/>
      <c r="B14449" s="6"/>
      <c r="H14449" s="13"/>
    </row>
    <row r="14450">
      <c r="A14450" s="6"/>
      <c r="B14450" s="6"/>
      <c r="H14450" s="13"/>
    </row>
    <row r="14451">
      <c r="A14451" s="6"/>
      <c r="B14451" s="6"/>
      <c r="H14451" s="13"/>
    </row>
    <row r="14452">
      <c r="A14452" s="6"/>
      <c r="B14452" s="6"/>
      <c r="H14452" s="13"/>
    </row>
    <row r="14453">
      <c r="A14453" s="6"/>
      <c r="B14453" s="6"/>
      <c r="H14453" s="13"/>
    </row>
    <row r="14454">
      <c r="A14454" s="6"/>
      <c r="B14454" s="6"/>
      <c r="H14454" s="13"/>
    </row>
    <row r="14455">
      <c r="A14455" s="6"/>
      <c r="B14455" s="6"/>
      <c r="H14455" s="13"/>
    </row>
    <row r="14456">
      <c r="A14456" s="6"/>
      <c r="B14456" s="6"/>
      <c r="H14456" s="13"/>
    </row>
    <row r="14457">
      <c r="A14457" s="6"/>
      <c r="B14457" s="6"/>
      <c r="H14457" s="13"/>
    </row>
    <row r="14458">
      <c r="A14458" s="6"/>
      <c r="B14458" s="6"/>
      <c r="H14458" s="13"/>
    </row>
    <row r="14459">
      <c r="A14459" s="6"/>
      <c r="B14459" s="6"/>
      <c r="H14459" s="13"/>
    </row>
    <row r="14460">
      <c r="A14460" s="6"/>
      <c r="B14460" s="6"/>
      <c r="H14460" s="13"/>
    </row>
    <row r="14461">
      <c r="A14461" s="6"/>
      <c r="B14461" s="6"/>
      <c r="H14461" s="13"/>
    </row>
    <row r="14462">
      <c r="A14462" s="6"/>
      <c r="B14462" s="6"/>
      <c r="H14462" s="13"/>
    </row>
    <row r="14463">
      <c r="A14463" s="6"/>
      <c r="B14463" s="6"/>
      <c r="H14463" s="13"/>
    </row>
    <row r="14464">
      <c r="A14464" s="6"/>
      <c r="B14464" s="6"/>
      <c r="H14464" s="13"/>
    </row>
    <row r="14465">
      <c r="A14465" s="6"/>
      <c r="B14465" s="6"/>
      <c r="H14465" s="13"/>
    </row>
    <row r="14466">
      <c r="A14466" s="6"/>
      <c r="B14466" s="6"/>
      <c r="H14466" s="13"/>
    </row>
    <row r="14467">
      <c r="A14467" s="6"/>
      <c r="B14467" s="6"/>
      <c r="H14467" s="13"/>
    </row>
    <row r="14468">
      <c r="A14468" s="6"/>
      <c r="B14468" s="6"/>
      <c r="H14468" s="13"/>
    </row>
    <row r="14469">
      <c r="A14469" s="6"/>
      <c r="B14469" s="6"/>
      <c r="H14469" s="13"/>
    </row>
    <row r="14470">
      <c r="A14470" s="6"/>
      <c r="B14470" s="6"/>
      <c r="H14470" s="13"/>
    </row>
    <row r="14471">
      <c r="A14471" s="6"/>
      <c r="B14471" s="6"/>
      <c r="H14471" s="13"/>
    </row>
    <row r="14472">
      <c r="A14472" s="6"/>
      <c r="B14472" s="6"/>
      <c r="H14472" s="13"/>
    </row>
    <row r="14473">
      <c r="A14473" s="6"/>
      <c r="B14473" s="6"/>
      <c r="H14473" s="13"/>
    </row>
    <row r="14474">
      <c r="A14474" s="6"/>
      <c r="B14474" s="6"/>
      <c r="H14474" s="13"/>
    </row>
    <row r="14475">
      <c r="A14475" s="6"/>
      <c r="B14475" s="6"/>
      <c r="H14475" s="13"/>
    </row>
    <row r="14476">
      <c r="A14476" s="6"/>
      <c r="B14476" s="6"/>
      <c r="H14476" s="13"/>
    </row>
    <row r="14477">
      <c r="A14477" s="6"/>
      <c r="B14477" s="6"/>
      <c r="H14477" s="13"/>
    </row>
    <row r="14478">
      <c r="A14478" s="6"/>
      <c r="B14478" s="6"/>
      <c r="H14478" s="13"/>
    </row>
    <row r="14479">
      <c r="A14479" s="6"/>
      <c r="B14479" s="6"/>
      <c r="H14479" s="13"/>
    </row>
    <row r="14480">
      <c r="A14480" s="6"/>
      <c r="B14480" s="6"/>
      <c r="H14480" s="13"/>
    </row>
    <row r="14481">
      <c r="A14481" s="6"/>
      <c r="B14481" s="6"/>
      <c r="H14481" s="13"/>
    </row>
    <row r="14482">
      <c r="A14482" s="6"/>
      <c r="B14482" s="6"/>
      <c r="H14482" s="13"/>
    </row>
    <row r="14483">
      <c r="A14483" s="6"/>
      <c r="B14483" s="6"/>
      <c r="H14483" s="13"/>
    </row>
    <row r="14484">
      <c r="A14484" s="6"/>
      <c r="B14484" s="6"/>
      <c r="H14484" s="13"/>
    </row>
    <row r="14485">
      <c r="A14485" s="6"/>
      <c r="B14485" s="6"/>
      <c r="H14485" s="13"/>
    </row>
    <row r="14486">
      <c r="A14486" s="6"/>
      <c r="B14486" s="6"/>
      <c r="H14486" s="13"/>
    </row>
    <row r="14487">
      <c r="A14487" s="6"/>
      <c r="B14487" s="6"/>
      <c r="H14487" s="13"/>
    </row>
    <row r="14488">
      <c r="A14488" s="6"/>
      <c r="B14488" s="6"/>
      <c r="H14488" s="13"/>
    </row>
    <row r="14489">
      <c r="A14489" s="6"/>
      <c r="B14489" s="6"/>
      <c r="H14489" s="13"/>
    </row>
    <row r="14490">
      <c r="A14490" s="6"/>
      <c r="B14490" s="6"/>
      <c r="H14490" s="13"/>
    </row>
    <row r="14491">
      <c r="A14491" s="6"/>
      <c r="B14491" s="6"/>
      <c r="H14491" s="13"/>
    </row>
    <row r="14492">
      <c r="A14492" s="6"/>
      <c r="B14492" s="6"/>
      <c r="H14492" s="13"/>
    </row>
    <row r="14493">
      <c r="A14493" s="6"/>
      <c r="B14493" s="6"/>
      <c r="H14493" s="13"/>
    </row>
    <row r="14494">
      <c r="A14494" s="6"/>
      <c r="B14494" s="6"/>
      <c r="H14494" s="13"/>
    </row>
    <row r="14495">
      <c r="A14495" s="6"/>
      <c r="B14495" s="6"/>
      <c r="H14495" s="13"/>
    </row>
    <row r="14496">
      <c r="A14496" s="6"/>
      <c r="B14496" s="6"/>
      <c r="H14496" s="13"/>
    </row>
    <row r="14497">
      <c r="A14497" s="6"/>
      <c r="B14497" s="6"/>
      <c r="H14497" s="13"/>
    </row>
    <row r="14498">
      <c r="A14498" s="6"/>
      <c r="B14498" s="6"/>
      <c r="H14498" s="13"/>
    </row>
    <row r="14499">
      <c r="A14499" s="6"/>
      <c r="B14499" s="6"/>
      <c r="H14499" s="13"/>
    </row>
    <row r="14500">
      <c r="A14500" s="6"/>
      <c r="B14500" s="6"/>
      <c r="H14500" s="13"/>
    </row>
    <row r="14501">
      <c r="A14501" s="6"/>
      <c r="B14501" s="6"/>
      <c r="H14501" s="13"/>
    </row>
    <row r="14502">
      <c r="A14502" s="6"/>
      <c r="B14502" s="6"/>
      <c r="H14502" s="13"/>
    </row>
    <row r="14503">
      <c r="A14503" s="6"/>
      <c r="B14503" s="6"/>
      <c r="H14503" s="13"/>
    </row>
    <row r="14504">
      <c r="A14504" s="6"/>
      <c r="B14504" s="6"/>
      <c r="H14504" s="13"/>
    </row>
    <row r="14505">
      <c r="A14505" s="6"/>
      <c r="B14505" s="6"/>
      <c r="H14505" s="13"/>
    </row>
    <row r="14506">
      <c r="A14506" s="6"/>
      <c r="B14506" s="6"/>
      <c r="H14506" s="13"/>
    </row>
    <row r="14507">
      <c r="A14507" s="6"/>
      <c r="B14507" s="6"/>
      <c r="H14507" s="13"/>
    </row>
    <row r="14508">
      <c r="A14508" s="6"/>
      <c r="B14508" s="6"/>
      <c r="H14508" s="13"/>
    </row>
    <row r="14509">
      <c r="A14509" s="6"/>
      <c r="B14509" s="6"/>
      <c r="H14509" s="13"/>
    </row>
    <row r="14510">
      <c r="A14510" s="6"/>
      <c r="B14510" s="6"/>
      <c r="H14510" s="13"/>
    </row>
    <row r="14511">
      <c r="A14511" s="6"/>
      <c r="B14511" s="6"/>
      <c r="H14511" s="13"/>
    </row>
    <row r="14512">
      <c r="A14512" s="6"/>
      <c r="B14512" s="6"/>
      <c r="H14512" s="13"/>
    </row>
    <row r="14513">
      <c r="A14513" s="6"/>
      <c r="B14513" s="6"/>
      <c r="H14513" s="13"/>
    </row>
    <row r="14514">
      <c r="A14514" s="6"/>
      <c r="B14514" s="6"/>
      <c r="H14514" s="13"/>
    </row>
    <row r="14515">
      <c r="A14515" s="6"/>
      <c r="B14515" s="6"/>
      <c r="H14515" s="13"/>
    </row>
    <row r="14516">
      <c r="A14516" s="6"/>
      <c r="B14516" s="6"/>
      <c r="H14516" s="13"/>
    </row>
    <row r="14517">
      <c r="A14517" s="6"/>
      <c r="B14517" s="6"/>
      <c r="H14517" s="13"/>
    </row>
    <row r="14518">
      <c r="A14518" s="6"/>
      <c r="B14518" s="6"/>
      <c r="H14518" s="13"/>
    </row>
    <row r="14519">
      <c r="A14519" s="6"/>
      <c r="B14519" s="6"/>
      <c r="H14519" s="13"/>
    </row>
    <row r="14520">
      <c r="A14520" s="6"/>
      <c r="B14520" s="6"/>
      <c r="H14520" s="13"/>
    </row>
    <row r="14521">
      <c r="A14521" s="6"/>
      <c r="B14521" s="6"/>
      <c r="H14521" s="13"/>
    </row>
    <row r="14522">
      <c r="A14522" s="6"/>
      <c r="B14522" s="6"/>
      <c r="H14522" s="13"/>
    </row>
    <row r="14523">
      <c r="A14523" s="6"/>
      <c r="B14523" s="6"/>
      <c r="H14523" s="13"/>
    </row>
    <row r="14524">
      <c r="A14524" s="6"/>
      <c r="B14524" s="6"/>
      <c r="H14524" s="13"/>
    </row>
    <row r="14525">
      <c r="A14525" s="6"/>
      <c r="B14525" s="6"/>
      <c r="H14525" s="13"/>
    </row>
    <row r="14526">
      <c r="A14526" s="6"/>
      <c r="B14526" s="6"/>
      <c r="H14526" s="13"/>
    </row>
    <row r="14527">
      <c r="A14527" s="6"/>
      <c r="B14527" s="6"/>
      <c r="H14527" s="13"/>
    </row>
    <row r="14528">
      <c r="A14528" s="6"/>
      <c r="B14528" s="6"/>
      <c r="H14528" s="13"/>
    </row>
    <row r="14529">
      <c r="A14529" s="6"/>
      <c r="B14529" s="6"/>
      <c r="H14529" s="13"/>
    </row>
    <row r="14530">
      <c r="A14530" s="6"/>
      <c r="B14530" s="6"/>
      <c r="H14530" s="13"/>
    </row>
    <row r="14531">
      <c r="A14531" s="6"/>
      <c r="B14531" s="6"/>
      <c r="H14531" s="13"/>
    </row>
    <row r="14532">
      <c r="A14532" s="6"/>
      <c r="B14532" s="6"/>
      <c r="H14532" s="13"/>
    </row>
    <row r="14533">
      <c r="A14533" s="6"/>
      <c r="B14533" s="6"/>
      <c r="H14533" s="13"/>
    </row>
    <row r="14534">
      <c r="A14534" s="6"/>
      <c r="B14534" s="6"/>
      <c r="H14534" s="13"/>
    </row>
    <row r="14535">
      <c r="A14535" s="6"/>
      <c r="B14535" s="6"/>
      <c r="H14535" s="13"/>
    </row>
    <row r="14536">
      <c r="A14536" s="6"/>
      <c r="B14536" s="6"/>
      <c r="H14536" s="13"/>
    </row>
    <row r="14537">
      <c r="A14537" s="6"/>
      <c r="B14537" s="6"/>
      <c r="H14537" s="13"/>
    </row>
    <row r="14538">
      <c r="A14538" s="6"/>
      <c r="B14538" s="6"/>
      <c r="H14538" s="13"/>
    </row>
    <row r="14539">
      <c r="A14539" s="6"/>
      <c r="B14539" s="6"/>
      <c r="H14539" s="13"/>
    </row>
    <row r="14540">
      <c r="A14540" s="6"/>
      <c r="B14540" s="6"/>
      <c r="H14540" s="13"/>
    </row>
    <row r="14541">
      <c r="A14541" s="6"/>
      <c r="B14541" s="6"/>
      <c r="H14541" s="13"/>
    </row>
    <row r="14542">
      <c r="A14542" s="6"/>
      <c r="B14542" s="6"/>
      <c r="H14542" s="13"/>
    </row>
    <row r="14543">
      <c r="A14543" s="6"/>
      <c r="B14543" s="6"/>
      <c r="H14543" s="13"/>
    </row>
    <row r="14544">
      <c r="A14544" s="6"/>
      <c r="B14544" s="6"/>
      <c r="H14544" s="13"/>
    </row>
    <row r="14545">
      <c r="A14545" s="6"/>
      <c r="B14545" s="6"/>
      <c r="H14545" s="13"/>
    </row>
    <row r="14546">
      <c r="A14546" s="6"/>
      <c r="B14546" s="6"/>
      <c r="H14546" s="13"/>
    </row>
    <row r="14547">
      <c r="A14547" s="6"/>
      <c r="B14547" s="6"/>
      <c r="H14547" s="13"/>
    </row>
    <row r="14548">
      <c r="A14548" s="6"/>
      <c r="B14548" s="6"/>
      <c r="H14548" s="13"/>
    </row>
    <row r="14549">
      <c r="A14549" s="6"/>
      <c r="B14549" s="6"/>
      <c r="H14549" s="13"/>
    </row>
    <row r="14550">
      <c r="A14550" s="6"/>
      <c r="B14550" s="6"/>
      <c r="H14550" s="13"/>
    </row>
    <row r="14551">
      <c r="A14551" s="6"/>
      <c r="B14551" s="6"/>
      <c r="H14551" s="13"/>
    </row>
    <row r="14552">
      <c r="A14552" s="6"/>
      <c r="B14552" s="6"/>
      <c r="H14552" s="13"/>
    </row>
    <row r="14553">
      <c r="A14553" s="6"/>
      <c r="B14553" s="6"/>
      <c r="H14553" s="13"/>
    </row>
    <row r="14554">
      <c r="A14554" s="6"/>
      <c r="B14554" s="6"/>
      <c r="H14554" s="13"/>
    </row>
    <row r="14555">
      <c r="A14555" s="6"/>
      <c r="B14555" s="6"/>
      <c r="H14555" s="13"/>
    </row>
    <row r="14556">
      <c r="A14556" s="6"/>
      <c r="B14556" s="6"/>
      <c r="H14556" s="13"/>
    </row>
    <row r="14557">
      <c r="A14557" s="6"/>
      <c r="B14557" s="6"/>
      <c r="H14557" s="13"/>
    </row>
    <row r="14558">
      <c r="A14558" s="6"/>
      <c r="B14558" s="6"/>
      <c r="H14558" s="13"/>
    </row>
    <row r="14559">
      <c r="A14559" s="6"/>
      <c r="B14559" s="6"/>
      <c r="H14559" s="13"/>
    </row>
    <row r="14560">
      <c r="A14560" s="6"/>
      <c r="B14560" s="6"/>
      <c r="H14560" s="13"/>
    </row>
    <row r="14561">
      <c r="A14561" s="6"/>
      <c r="B14561" s="6"/>
      <c r="H14561" s="13"/>
    </row>
    <row r="14562">
      <c r="A14562" s="6"/>
      <c r="B14562" s="6"/>
      <c r="H14562" s="13"/>
    </row>
    <row r="14563">
      <c r="A14563" s="6"/>
      <c r="B14563" s="6"/>
      <c r="H14563" s="13"/>
    </row>
    <row r="14564">
      <c r="A14564" s="6"/>
      <c r="B14564" s="6"/>
      <c r="H14564" s="13"/>
    </row>
    <row r="14565">
      <c r="A14565" s="6"/>
      <c r="B14565" s="6"/>
      <c r="H14565" s="13"/>
    </row>
    <row r="14566">
      <c r="A14566" s="6"/>
      <c r="B14566" s="6"/>
      <c r="H14566" s="13"/>
    </row>
    <row r="14567">
      <c r="A14567" s="6"/>
      <c r="B14567" s="6"/>
      <c r="H14567" s="13"/>
    </row>
    <row r="14568">
      <c r="A14568" s="6"/>
      <c r="B14568" s="6"/>
      <c r="H14568" s="13"/>
    </row>
    <row r="14569">
      <c r="A14569" s="6"/>
      <c r="B14569" s="6"/>
      <c r="H14569" s="13"/>
    </row>
    <row r="14570">
      <c r="A14570" s="6"/>
      <c r="B14570" s="6"/>
      <c r="H14570" s="13"/>
    </row>
    <row r="14571">
      <c r="A14571" s="6"/>
      <c r="B14571" s="6"/>
      <c r="H14571" s="13"/>
    </row>
    <row r="14572">
      <c r="A14572" s="6"/>
      <c r="B14572" s="6"/>
      <c r="H14572" s="13"/>
    </row>
    <row r="14573">
      <c r="A14573" s="6"/>
      <c r="B14573" s="6"/>
      <c r="H14573" s="13"/>
    </row>
    <row r="14574">
      <c r="A14574" s="6"/>
      <c r="B14574" s="6"/>
      <c r="H14574" s="13"/>
    </row>
    <row r="14575">
      <c r="A14575" s="6"/>
      <c r="B14575" s="6"/>
      <c r="H14575" s="13"/>
    </row>
    <row r="14576">
      <c r="A14576" s="6"/>
      <c r="B14576" s="6"/>
      <c r="H14576" s="13"/>
    </row>
    <row r="14577">
      <c r="A14577" s="6"/>
      <c r="B14577" s="6"/>
      <c r="H14577" s="13"/>
    </row>
    <row r="14578">
      <c r="A14578" s="6"/>
      <c r="B14578" s="6"/>
      <c r="H14578" s="13"/>
    </row>
    <row r="14579">
      <c r="A14579" s="6"/>
      <c r="B14579" s="6"/>
      <c r="H14579" s="13"/>
    </row>
    <row r="14580">
      <c r="A14580" s="6"/>
      <c r="B14580" s="6"/>
      <c r="H14580" s="13"/>
    </row>
    <row r="14581">
      <c r="A14581" s="6"/>
      <c r="B14581" s="6"/>
      <c r="H14581" s="13"/>
    </row>
    <row r="14582">
      <c r="A14582" s="6"/>
      <c r="B14582" s="6"/>
      <c r="H14582" s="13"/>
    </row>
    <row r="14583">
      <c r="A14583" s="6"/>
      <c r="B14583" s="6"/>
      <c r="H14583" s="13"/>
    </row>
    <row r="14584">
      <c r="A14584" s="6"/>
      <c r="B14584" s="6"/>
      <c r="H14584" s="13"/>
    </row>
    <row r="14585">
      <c r="A14585" s="6"/>
      <c r="B14585" s="6"/>
      <c r="H14585" s="13"/>
    </row>
    <row r="14586">
      <c r="A14586" s="6"/>
      <c r="B14586" s="6"/>
      <c r="H14586" s="13"/>
    </row>
    <row r="14587">
      <c r="A14587" s="6"/>
      <c r="B14587" s="6"/>
      <c r="H14587" s="13"/>
    </row>
    <row r="14588">
      <c r="A14588" s="6"/>
      <c r="B14588" s="6"/>
      <c r="H14588" s="13"/>
    </row>
    <row r="14589">
      <c r="A14589" s="6"/>
      <c r="B14589" s="6"/>
      <c r="H14589" s="13"/>
    </row>
    <row r="14590">
      <c r="A14590" s="6"/>
      <c r="B14590" s="6"/>
      <c r="H14590" s="13"/>
    </row>
    <row r="14591">
      <c r="A14591" s="6"/>
      <c r="B14591" s="6"/>
      <c r="H14591" s="13"/>
    </row>
    <row r="14592">
      <c r="A14592" s="6"/>
      <c r="B14592" s="6"/>
      <c r="H14592" s="13"/>
    </row>
    <row r="14593">
      <c r="A14593" s="6"/>
      <c r="B14593" s="6"/>
      <c r="H14593" s="13"/>
    </row>
    <row r="14594">
      <c r="A14594" s="6"/>
      <c r="B14594" s="6"/>
      <c r="H14594" s="13"/>
    </row>
    <row r="14595">
      <c r="A14595" s="6"/>
      <c r="B14595" s="6"/>
      <c r="H14595" s="13"/>
    </row>
    <row r="14596">
      <c r="A14596" s="6"/>
      <c r="B14596" s="6"/>
      <c r="H14596" s="13"/>
    </row>
    <row r="14597">
      <c r="A14597" s="6"/>
      <c r="B14597" s="6"/>
      <c r="H14597" s="13"/>
    </row>
    <row r="14598">
      <c r="A14598" s="6"/>
      <c r="B14598" s="6"/>
      <c r="H14598" s="13"/>
    </row>
    <row r="14599">
      <c r="A14599" s="6"/>
      <c r="B14599" s="6"/>
      <c r="H14599" s="13"/>
    </row>
    <row r="14600">
      <c r="A14600" s="6"/>
      <c r="B14600" s="6"/>
      <c r="H14600" s="13"/>
    </row>
    <row r="14601">
      <c r="A14601" s="6"/>
      <c r="B14601" s="6"/>
      <c r="H14601" s="13"/>
    </row>
    <row r="14602">
      <c r="A14602" s="6"/>
      <c r="B14602" s="6"/>
      <c r="H14602" s="13"/>
    </row>
    <row r="14603">
      <c r="A14603" s="6"/>
      <c r="B14603" s="6"/>
      <c r="H14603" s="13"/>
    </row>
    <row r="14604">
      <c r="A14604" s="6"/>
      <c r="B14604" s="6"/>
      <c r="H14604" s="13"/>
    </row>
    <row r="14605">
      <c r="A14605" s="6"/>
      <c r="B14605" s="6"/>
      <c r="H14605" s="13"/>
    </row>
    <row r="14606">
      <c r="A14606" s="6"/>
      <c r="B14606" s="6"/>
      <c r="H14606" s="13"/>
    </row>
    <row r="14607">
      <c r="A14607" s="6"/>
      <c r="B14607" s="6"/>
      <c r="H14607" s="13"/>
    </row>
    <row r="14608">
      <c r="A14608" s="6"/>
      <c r="B14608" s="6"/>
      <c r="H14608" s="13"/>
    </row>
    <row r="14609">
      <c r="A14609" s="6"/>
      <c r="B14609" s="6"/>
      <c r="H14609" s="13"/>
    </row>
    <row r="14610">
      <c r="A14610" s="6"/>
      <c r="B14610" s="6"/>
      <c r="H14610" s="13"/>
    </row>
    <row r="14611">
      <c r="A14611" s="6"/>
      <c r="B14611" s="6"/>
      <c r="H14611" s="13"/>
    </row>
    <row r="14612">
      <c r="A14612" s="6"/>
      <c r="B14612" s="6"/>
      <c r="H14612" s="13"/>
    </row>
    <row r="14613">
      <c r="A14613" s="6"/>
      <c r="B14613" s="6"/>
      <c r="H14613" s="13"/>
    </row>
    <row r="14614">
      <c r="A14614" s="6"/>
      <c r="B14614" s="6"/>
      <c r="H14614" s="13"/>
    </row>
    <row r="14615">
      <c r="A14615" s="6"/>
      <c r="B14615" s="6"/>
      <c r="H14615" s="13"/>
    </row>
    <row r="14616">
      <c r="A14616" s="6"/>
      <c r="B14616" s="6"/>
      <c r="H14616" s="13"/>
    </row>
    <row r="14617">
      <c r="A14617" s="6"/>
      <c r="B14617" s="6"/>
      <c r="H14617" s="13"/>
    </row>
    <row r="14618">
      <c r="A14618" s="6"/>
      <c r="B14618" s="6"/>
      <c r="H14618" s="13"/>
    </row>
    <row r="14619">
      <c r="A14619" s="6"/>
      <c r="B14619" s="6"/>
      <c r="H14619" s="13"/>
    </row>
    <row r="14620">
      <c r="A14620" s="6"/>
      <c r="B14620" s="6"/>
      <c r="H14620" s="13"/>
    </row>
    <row r="14621">
      <c r="A14621" s="6"/>
      <c r="B14621" s="6"/>
      <c r="H14621" s="13"/>
    </row>
    <row r="14622">
      <c r="A14622" s="6"/>
      <c r="B14622" s="6"/>
      <c r="H14622" s="13"/>
    </row>
    <row r="14623">
      <c r="A14623" s="6"/>
      <c r="B14623" s="6"/>
      <c r="H14623" s="13"/>
    </row>
    <row r="14624">
      <c r="A14624" s="6"/>
      <c r="B14624" s="6"/>
      <c r="H14624" s="13"/>
    </row>
    <row r="14625">
      <c r="A14625" s="6"/>
      <c r="B14625" s="6"/>
      <c r="H14625" s="13"/>
    </row>
    <row r="14626">
      <c r="A14626" s="6"/>
      <c r="B14626" s="6"/>
      <c r="H14626" s="13"/>
    </row>
    <row r="14627">
      <c r="A14627" s="6"/>
      <c r="B14627" s="6"/>
      <c r="H14627" s="13"/>
    </row>
    <row r="14628">
      <c r="A14628" s="6"/>
      <c r="B14628" s="6"/>
      <c r="H14628" s="13"/>
    </row>
    <row r="14629">
      <c r="A14629" s="6"/>
      <c r="B14629" s="6"/>
      <c r="H14629" s="13"/>
    </row>
    <row r="14630">
      <c r="A14630" s="6"/>
      <c r="B14630" s="6"/>
      <c r="H14630" s="13"/>
    </row>
    <row r="14631">
      <c r="A14631" s="6"/>
      <c r="B14631" s="6"/>
      <c r="H14631" s="13"/>
    </row>
    <row r="14632">
      <c r="A14632" s="6"/>
      <c r="B14632" s="6"/>
      <c r="H14632" s="13"/>
    </row>
    <row r="14633">
      <c r="A14633" s="6"/>
      <c r="B14633" s="6"/>
      <c r="H14633" s="13"/>
    </row>
    <row r="14634">
      <c r="A14634" s="6"/>
      <c r="B14634" s="6"/>
      <c r="H14634" s="13"/>
    </row>
    <row r="14635">
      <c r="A14635" s="6"/>
      <c r="B14635" s="6"/>
      <c r="H14635" s="13"/>
    </row>
    <row r="14636">
      <c r="A14636" s="6"/>
      <c r="B14636" s="6"/>
      <c r="H14636" s="13"/>
    </row>
    <row r="14637">
      <c r="A14637" s="6"/>
      <c r="B14637" s="6"/>
      <c r="H14637" s="13"/>
    </row>
    <row r="14638">
      <c r="A14638" s="6"/>
      <c r="B14638" s="6"/>
      <c r="H14638" s="13"/>
    </row>
    <row r="14639">
      <c r="A14639" s="6"/>
      <c r="B14639" s="6"/>
      <c r="H14639" s="13"/>
    </row>
    <row r="14640">
      <c r="A14640" s="6"/>
      <c r="B14640" s="6"/>
      <c r="H14640" s="13"/>
    </row>
    <row r="14641">
      <c r="A14641" s="6"/>
      <c r="B14641" s="6"/>
      <c r="H14641" s="13"/>
    </row>
    <row r="14642">
      <c r="A14642" s="6"/>
      <c r="B14642" s="6"/>
      <c r="H14642" s="13"/>
    </row>
    <row r="14643">
      <c r="A14643" s="6"/>
      <c r="B14643" s="6"/>
      <c r="H14643" s="13"/>
    </row>
    <row r="14644">
      <c r="A14644" s="6"/>
      <c r="B14644" s="6"/>
      <c r="H14644" s="13"/>
    </row>
    <row r="14645">
      <c r="A14645" s="6"/>
      <c r="B14645" s="6"/>
      <c r="H14645" s="13"/>
    </row>
    <row r="14646">
      <c r="A14646" s="6"/>
      <c r="B14646" s="6"/>
      <c r="H14646" s="13"/>
    </row>
    <row r="14647">
      <c r="A14647" s="6"/>
      <c r="B14647" s="6"/>
      <c r="H14647" s="13"/>
    </row>
    <row r="14648">
      <c r="A14648" s="6"/>
      <c r="B14648" s="6"/>
      <c r="H14648" s="13"/>
    </row>
    <row r="14649">
      <c r="A14649" s="6"/>
      <c r="B14649" s="6"/>
      <c r="H14649" s="13"/>
    </row>
    <row r="14650">
      <c r="A14650" s="6"/>
      <c r="B14650" s="6"/>
      <c r="H14650" s="13"/>
    </row>
    <row r="14651">
      <c r="A14651" s="6"/>
      <c r="B14651" s="6"/>
      <c r="H14651" s="13"/>
    </row>
    <row r="14652">
      <c r="A14652" s="6"/>
      <c r="B14652" s="6"/>
      <c r="H14652" s="13"/>
    </row>
    <row r="14653">
      <c r="A14653" s="6"/>
      <c r="B14653" s="6"/>
      <c r="H14653" s="13"/>
    </row>
    <row r="14654">
      <c r="A14654" s="6"/>
      <c r="B14654" s="6"/>
      <c r="H14654" s="13"/>
    </row>
    <row r="14655">
      <c r="A14655" s="6"/>
      <c r="B14655" s="6"/>
      <c r="H14655" s="13"/>
    </row>
    <row r="14656">
      <c r="A14656" s="6"/>
      <c r="B14656" s="6"/>
      <c r="H14656" s="13"/>
    </row>
    <row r="14657">
      <c r="A14657" s="6"/>
      <c r="B14657" s="6"/>
      <c r="H14657" s="13"/>
    </row>
    <row r="14658">
      <c r="A14658" s="6"/>
      <c r="B14658" s="6"/>
      <c r="H14658" s="13"/>
    </row>
    <row r="14659">
      <c r="A14659" s="6"/>
      <c r="B14659" s="6"/>
      <c r="H14659" s="13"/>
    </row>
    <row r="14660">
      <c r="A14660" s="6"/>
      <c r="B14660" s="6"/>
      <c r="H14660" s="13"/>
    </row>
    <row r="14661">
      <c r="A14661" s="6"/>
      <c r="B14661" s="6"/>
      <c r="H14661" s="13"/>
    </row>
    <row r="14662">
      <c r="A14662" s="6"/>
      <c r="B14662" s="6"/>
      <c r="H14662" s="13"/>
    </row>
    <row r="14663">
      <c r="A14663" s="6"/>
      <c r="B14663" s="6"/>
      <c r="H14663" s="13"/>
    </row>
    <row r="14664">
      <c r="A14664" s="6"/>
      <c r="B14664" s="6"/>
      <c r="H14664" s="13"/>
    </row>
    <row r="14665">
      <c r="A14665" s="6"/>
      <c r="B14665" s="6"/>
      <c r="H14665" s="13"/>
    </row>
    <row r="14666">
      <c r="A14666" s="6"/>
      <c r="B14666" s="6"/>
      <c r="H14666" s="13"/>
    </row>
    <row r="14667">
      <c r="A14667" s="6"/>
      <c r="B14667" s="6"/>
      <c r="H14667" s="13"/>
    </row>
    <row r="14668">
      <c r="A14668" s="6"/>
      <c r="B14668" s="6"/>
      <c r="H14668" s="13"/>
    </row>
    <row r="14669">
      <c r="A14669" s="6"/>
      <c r="B14669" s="6"/>
      <c r="H14669" s="13"/>
    </row>
    <row r="14670">
      <c r="A14670" s="6"/>
      <c r="B14670" s="6"/>
      <c r="H14670" s="13"/>
    </row>
    <row r="14671">
      <c r="A14671" s="6"/>
      <c r="B14671" s="6"/>
      <c r="H14671" s="13"/>
    </row>
    <row r="14672">
      <c r="A14672" s="6"/>
      <c r="B14672" s="6"/>
      <c r="H14672" s="13"/>
    </row>
    <row r="14673">
      <c r="A14673" s="6"/>
      <c r="B14673" s="6"/>
      <c r="H14673" s="13"/>
    </row>
    <row r="14674">
      <c r="A14674" s="6"/>
      <c r="B14674" s="6"/>
      <c r="H14674" s="13"/>
    </row>
    <row r="14675">
      <c r="A14675" s="6"/>
      <c r="B14675" s="6"/>
      <c r="H14675" s="13"/>
    </row>
    <row r="14676">
      <c r="A14676" s="6"/>
      <c r="B14676" s="6"/>
      <c r="H14676" s="13"/>
    </row>
    <row r="14677">
      <c r="A14677" s="6"/>
      <c r="B14677" s="6"/>
      <c r="H14677" s="13"/>
    </row>
    <row r="14678">
      <c r="A14678" s="6"/>
      <c r="B14678" s="6"/>
      <c r="H14678" s="13"/>
    </row>
    <row r="14679">
      <c r="A14679" s="6"/>
      <c r="B14679" s="6"/>
      <c r="H14679" s="13"/>
    </row>
    <row r="14680">
      <c r="A14680" s="6"/>
      <c r="B14680" s="6"/>
      <c r="H14680" s="13"/>
    </row>
    <row r="14681">
      <c r="A14681" s="6"/>
      <c r="B14681" s="6"/>
      <c r="H14681" s="13"/>
    </row>
    <row r="14682">
      <c r="A14682" s="6"/>
      <c r="B14682" s="6"/>
      <c r="H14682" s="13"/>
    </row>
    <row r="14683">
      <c r="A14683" s="6"/>
      <c r="B14683" s="6"/>
      <c r="H14683" s="13"/>
    </row>
    <row r="14684">
      <c r="A14684" s="6"/>
      <c r="B14684" s="6"/>
      <c r="H14684" s="13"/>
    </row>
    <row r="14685">
      <c r="A14685" s="6"/>
      <c r="B14685" s="6"/>
      <c r="H14685" s="13"/>
    </row>
    <row r="14686">
      <c r="A14686" s="6"/>
      <c r="B14686" s="6"/>
      <c r="H14686" s="13"/>
    </row>
    <row r="14687">
      <c r="A14687" s="6"/>
      <c r="B14687" s="6"/>
      <c r="H14687" s="13"/>
    </row>
    <row r="14688">
      <c r="A14688" s="6"/>
      <c r="B14688" s="6"/>
      <c r="H14688" s="13"/>
    </row>
    <row r="14689">
      <c r="A14689" s="6"/>
      <c r="B14689" s="6"/>
      <c r="H14689" s="13"/>
    </row>
    <row r="14690">
      <c r="A14690" s="6"/>
      <c r="B14690" s="6"/>
      <c r="H14690" s="13"/>
    </row>
    <row r="14691">
      <c r="A14691" s="6"/>
      <c r="B14691" s="6"/>
      <c r="H14691" s="13"/>
    </row>
    <row r="14692">
      <c r="A14692" s="6"/>
      <c r="B14692" s="6"/>
      <c r="H14692" s="13"/>
    </row>
    <row r="14693">
      <c r="A14693" s="6"/>
      <c r="B14693" s="6"/>
      <c r="H14693" s="13"/>
    </row>
    <row r="14694">
      <c r="A14694" s="6"/>
      <c r="B14694" s="6"/>
      <c r="H14694" s="13"/>
    </row>
    <row r="14695">
      <c r="A14695" s="6"/>
      <c r="B14695" s="6"/>
      <c r="H14695" s="13"/>
    </row>
    <row r="14696">
      <c r="A14696" s="6"/>
      <c r="B14696" s="6"/>
      <c r="H14696" s="13"/>
    </row>
    <row r="14697">
      <c r="A14697" s="6"/>
      <c r="B14697" s="6"/>
      <c r="H14697" s="13"/>
    </row>
    <row r="14698">
      <c r="A14698" s="6"/>
      <c r="B14698" s="6"/>
      <c r="H14698" s="13"/>
    </row>
    <row r="14699">
      <c r="A14699" s="6"/>
      <c r="B14699" s="6"/>
      <c r="H14699" s="13"/>
    </row>
    <row r="14700">
      <c r="A14700" s="6"/>
      <c r="B14700" s="6"/>
      <c r="H14700" s="13"/>
    </row>
    <row r="14701">
      <c r="A14701" s="6"/>
      <c r="B14701" s="6"/>
      <c r="H14701" s="13"/>
    </row>
    <row r="14702">
      <c r="A14702" s="6"/>
      <c r="B14702" s="6"/>
      <c r="H14702" s="13"/>
    </row>
    <row r="14703">
      <c r="A14703" s="6"/>
      <c r="B14703" s="6"/>
      <c r="H14703" s="13"/>
    </row>
    <row r="14704">
      <c r="A14704" s="6"/>
      <c r="B14704" s="6"/>
      <c r="H14704" s="13"/>
    </row>
    <row r="14705">
      <c r="A14705" s="6"/>
      <c r="B14705" s="6"/>
      <c r="H14705" s="13"/>
    </row>
    <row r="14706">
      <c r="A14706" s="6"/>
      <c r="B14706" s="6"/>
      <c r="H14706" s="13"/>
    </row>
    <row r="14707">
      <c r="A14707" s="6"/>
      <c r="B14707" s="6"/>
      <c r="H14707" s="13"/>
    </row>
    <row r="14708">
      <c r="A14708" s="6"/>
      <c r="B14708" s="6"/>
      <c r="H14708" s="13"/>
    </row>
    <row r="14709">
      <c r="A14709" s="6"/>
      <c r="B14709" s="6"/>
      <c r="H14709" s="13"/>
    </row>
    <row r="14710">
      <c r="A14710" s="6"/>
      <c r="B14710" s="6"/>
      <c r="H14710" s="13"/>
    </row>
    <row r="14711">
      <c r="A14711" s="6"/>
      <c r="B14711" s="6"/>
      <c r="H14711" s="13"/>
    </row>
    <row r="14712">
      <c r="A14712" s="6"/>
      <c r="B14712" s="6"/>
      <c r="H14712" s="13"/>
    </row>
    <row r="14713">
      <c r="A14713" s="6"/>
      <c r="B14713" s="6"/>
      <c r="H14713" s="13"/>
    </row>
    <row r="14714">
      <c r="A14714" s="6"/>
      <c r="B14714" s="6"/>
      <c r="H14714" s="13"/>
    </row>
    <row r="14715">
      <c r="A14715" s="6"/>
      <c r="B14715" s="6"/>
      <c r="H14715" s="13"/>
    </row>
    <row r="14716">
      <c r="A14716" s="6"/>
      <c r="B14716" s="6"/>
      <c r="H14716" s="13"/>
    </row>
    <row r="14717">
      <c r="A14717" s="6"/>
      <c r="B14717" s="6"/>
      <c r="H14717" s="13"/>
    </row>
    <row r="14718">
      <c r="A14718" s="6"/>
      <c r="B14718" s="6"/>
      <c r="H14718" s="13"/>
    </row>
    <row r="14719">
      <c r="A14719" s="6"/>
      <c r="B14719" s="6"/>
      <c r="H14719" s="13"/>
    </row>
    <row r="14720">
      <c r="A14720" s="6"/>
      <c r="B14720" s="6"/>
      <c r="H14720" s="13"/>
    </row>
    <row r="14721">
      <c r="A14721" s="6"/>
      <c r="B14721" s="6"/>
      <c r="H14721" s="13"/>
    </row>
    <row r="14722">
      <c r="A14722" s="6"/>
      <c r="B14722" s="6"/>
      <c r="H14722" s="13"/>
    </row>
    <row r="14723">
      <c r="A14723" s="6"/>
      <c r="B14723" s="6"/>
      <c r="H14723" s="13"/>
    </row>
    <row r="14724">
      <c r="A14724" s="6"/>
      <c r="B14724" s="6"/>
      <c r="H14724" s="13"/>
    </row>
    <row r="14725">
      <c r="A14725" s="6"/>
      <c r="B14725" s="6"/>
      <c r="H14725" s="13"/>
    </row>
    <row r="14726">
      <c r="A14726" s="6"/>
      <c r="B14726" s="6"/>
      <c r="H14726" s="13"/>
    </row>
    <row r="14727">
      <c r="A14727" s="6"/>
      <c r="B14727" s="6"/>
      <c r="H14727" s="13"/>
    </row>
    <row r="14728">
      <c r="A14728" s="6"/>
      <c r="B14728" s="6"/>
      <c r="H14728" s="13"/>
    </row>
    <row r="14729">
      <c r="A14729" s="6"/>
      <c r="B14729" s="6"/>
      <c r="H14729" s="13"/>
    </row>
    <row r="14730">
      <c r="A14730" s="6"/>
      <c r="B14730" s="6"/>
      <c r="H14730" s="13"/>
    </row>
    <row r="14731">
      <c r="A14731" s="6"/>
      <c r="B14731" s="6"/>
      <c r="H14731" s="13"/>
    </row>
    <row r="14732">
      <c r="A14732" s="6"/>
      <c r="B14732" s="6"/>
      <c r="H14732" s="13"/>
    </row>
    <row r="14733">
      <c r="A14733" s="6"/>
      <c r="B14733" s="6"/>
      <c r="H14733" s="13"/>
    </row>
    <row r="14734">
      <c r="A14734" s="6"/>
      <c r="B14734" s="6"/>
      <c r="H14734" s="13"/>
    </row>
    <row r="14735">
      <c r="A14735" s="6"/>
      <c r="B14735" s="6"/>
      <c r="H14735" s="13"/>
    </row>
    <row r="14736">
      <c r="A14736" s="6"/>
      <c r="B14736" s="6"/>
      <c r="H14736" s="13"/>
    </row>
    <row r="14737">
      <c r="A14737" s="6"/>
      <c r="B14737" s="6"/>
      <c r="H14737" s="13"/>
    </row>
    <row r="14738">
      <c r="A14738" s="6"/>
      <c r="B14738" s="6"/>
      <c r="H14738" s="13"/>
    </row>
    <row r="14739">
      <c r="A14739" s="6"/>
      <c r="B14739" s="6"/>
      <c r="H14739" s="13"/>
    </row>
    <row r="14740">
      <c r="A14740" s="6"/>
      <c r="B14740" s="6"/>
      <c r="H14740" s="13"/>
    </row>
    <row r="14741">
      <c r="A14741" s="6"/>
      <c r="B14741" s="6"/>
      <c r="H14741" s="13"/>
    </row>
    <row r="14742">
      <c r="A14742" s="6"/>
      <c r="B14742" s="6"/>
      <c r="H14742" s="13"/>
    </row>
    <row r="14743">
      <c r="A14743" s="6"/>
      <c r="B14743" s="6"/>
      <c r="H14743" s="13"/>
    </row>
    <row r="14744">
      <c r="A14744" s="6"/>
      <c r="B14744" s="6"/>
      <c r="H14744" s="13"/>
    </row>
    <row r="14745">
      <c r="A14745" s="6"/>
      <c r="B14745" s="6"/>
      <c r="H14745" s="13"/>
    </row>
    <row r="14746">
      <c r="A14746" s="6"/>
      <c r="B14746" s="6"/>
      <c r="H14746" s="13"/>
    </row>
    <row r="14747">
      <c r="A14747" s="6"/>
      <c r="B14747" s="6"/>
      <c r="H14747" s="13"/>
    </row>
    <row r="14748">
      <c r="A14748" s="6"/>
      <c r="B14748" s="6"/>
      <c r="H14748" s="13"/>
    </row>
    <row r="14749">
      <c r="A14749" s="6"/>
      <c r="B14749" s="6"/>
      <c r="H14749" s="13"/>
    </row>
    <row r="14750">
      <c r="A14750" s="6"/>
      <c r="B14750" s="6"/>
      <c r="H14750" s="13"/>
    </row>
    <row r="14751">
      <c r="A14751" s="6"/>
      <c r="B14751" s="6"/>
      <c r="H14751" s="13"/>
    </row>
    <row r="14752">
      <c r="A14752" s="6"/>
      <c r="B14752" s="6"/>
      <c r="H14752" s="13"/>
    </row>
    <row r="14753">
      <c r="A14753" s="6"/>
      <c r="B14753" s="6"/>
      <c r="H14753" s="13"/>
    </row>
    <row r="14754">
      <c r="A14754" s="6"/>
      <c r="B14754" s="6"/>
      <c r="H14754" s="13"/>
    </row>
    <row r="14755">
      <c r="A14755" s="6"/>
      <c r="B14755" s="6"/>
      <c r="H14755" s="13"/>
    </row>
    <row r="14756">
      <c r="A14756" s="6"/>
      <c r="B14756" s="6"/>
      <c r="H14756" s="13"/>
    </row>
    <row r="14757">
      <c r="A14757" s="6"/>
      <c r="B14757" s="6"/>
      <c r="H14757" s="13"/>
    </row>
    <row r="14758">
      <c r="A14758" s="6"/>
      <c r="B14758" s="6"/>
      <c r="H14758" s="13"/>
    </row>
    <row r="14759">
      <c r="A14759" s="6"/>
      <c r="B14759" s="6"/>
      <c r="H14759" s="13"/>
    </row>
    <row r="14760">
      <c r="A14760" s="6"/>
      <c r="B14760" s="6"/>
      <c r="H14760" s="13"/>
    </row>
    <row r="14761">
      <c r="A14761" s="6"/>
      <c r="B14761" s="6"/>
      <c r="H14761" s="13"/>
    </row>
    <row r="14762">
      <c r="A14762" s="6"/>
      <c r="B14762" s="6"/>
      <c r="H14762" s="13"/>
    </row>
    <row r="14763">
      <c r="A14763" s="6"/>
      <c r="B14763" s="6"/>
      <c r="H14763" s="13"/>
    </row>
    <row r="14764">
      <c r="A14764" s="6"/>
      <c r="B14764" s="6"/>
      <c r="H14764" s="13"/>
    </row>
    <row r="14765">
      <c r="A14765" s="6"/>
      <c r="B14765" s="6"/>
      <c r="H14765" s="13"/>
    </row>
    <row r="14766">
      <c r="A14766" s="6"/>
      <c r="B14766" s="6"/>
      <c r="H14766" s="13"/>
    </row>
    <row r="14767">
      <c r="A14767" s="6"/>
      <c r="B14767" s="6"/>
      <c r="H14767" s="13"/>
    </row>
    <row r="14768">
      <c r="A14768" s="6"/>
      <c r="B14768" s="6"/>
      <c r="H14768" s="13"/>
    </row>
    <row r="14769">
      <c r="A14769" s="6"/>
      <c r="B14769" s="6"/>
      <c r="H14769" s="13"/>
    </row>
    <row r="14770">
      <c r="A14770" s="6"/>
      <c r="B14770" s="6"/>
      <c r="H14770" s="13"/>
    </row>
    <row r="14771">
      <c r="A14771" s="6"/>
      <c r="B14771" s="6"/>
      <c r="H14771" s="13"/>
    </row>
    <row r="14772">
      <c r="A14772" s="6"/>
      <c r="B14772" s="6"/>
      <c r="H14772" s="13"/>
    </row>
    <row r="14773">
      <c r="A14773" s="6"/>
      <c r="B14773" s="6"/>
      <c r="H14773" s="13"/>
    </row>
    <row r="14774">
      <c r="A14774" s="6"/>
      <c r="B14774" s="6"/>
      <c r="H14774" s="13"/>
    </row>
    <row r="14775">
      <c r="A14775" s="6"/>
      <c r="B14775" s="6"/>
      <c r="H14775" s="13"/>
    </row>
    <row r="14776">
      <c r="A14776" s="6"/>
      <c r="B14776" s="6"/>
      <c r="H14776" s="13"/>
    </row>
    <row r="14777">
      <c r="A14777" s="6"/>
      <c r="B14777" s="6"/>
      <c r="H14777" s="13"/>
    </row>
    <row r="14778">
      <c r="A14778" s="6"/>
      <c r="B14778" s="6"/>
      <c r="H14778" s="13"/>
    </row>
    <row r="14779">
      <c r="A14779" s="6"/>
      <c r="B14779" s="6"/>
      <c r="H14779" s="13"/>
    </row>
    <row r="14780">
      <c r="A14780" s="6"/>
      <c r="B14780" s="6"/>
      <c r="H14780" s="13"/>
    </row>
    <row r="14781">
      <c r="A14781" s="6"/>
      <c r="B14781" s="6"/>
      <c r="H14781" s="13"/>
    </row>
    <row r="14782">
      <c r="A14782" s="6"/>
      <c r="B14782" s="6"/>
      <c r="H14782" s="13"/>
    </row>
    <row r="14783">
      <c r="A14783" s="6"/>
      <c r="B14783" s="6"/>
      <c r="H14783" s="13"/>
    </row>
    <row r="14784">
      <c r="A14784" s="6"/>
      <c r="B14784" s="6"/>
      <c r="H14784" s="13"/>
    </row>
    <row r="14785">
      <c r="A14785" s="6"/>
      <c r="B14785" s="6"/>
      <c r="H14785" s="13"/>
    </row>
    <row r="14786">
      <c r="A14786" s="6"/>
      <c r="B14786" s="6"/>
      <c r="H14786" s="13"/>
    </row>
    <row r="14787">
      <c r="A14787" s="6"/>
      <c r="B14787" s="6"/>
      <c r="H14787" s="13"/>
    </row>
    <row r="14788">
      <c r="A14788" s="6"/>
      <c r="B14788" s="6"/>
      <c r="H14788" s="13"/>
    </row>
    <row r="14789">
      <c r="A14789" s="6"/>
      <c r="B14789" s="6"/>
      <c r="H14789" s="13"/>
    </row>
    <row r="14790">
      <c r="A14790" s="6"/>
      <c r="B14790" s="6"/>
      <c r="H14790" s="13"/>
    </row>
    <row r="14791">
      <c r="A14791" s="6"/>
      <c r="B14791" s="6"/>
      <c r="H14791" s="13"/>
    </row>
    <row r="14792">
      <c r="A14792" s="6"/>
      <c r="B14792" s="6"/>
      <c r="H14792" s="13"/>
    </row>
    <row r="14793">
      <c r="A14793" s="6"/>
      <c r="B14793" s="6"/>
      <c r="H14793" s="13"/>
    </row>
    <row r="14794">
      <c r="A14794" s="6"/>
      <c r="B14794" s="6"/>
      <c r="H14794" s="13"/>
    </row>
    <row r="14795">
      <c r="A14795" s="6"/>
      <c r="B14795" s="6"/>
      <c r="H14795" s="13"/>
    </row>
    <row r="14796">
      <c r="A14796" s="6"/>
      <c r="B14796" s="6"/>
      <c r="H14796" s="13"/>
    </row>
    <row r="14797">
      <c r="A14797" s="6"/>
      <c r="B14797" s="6"/>
      <c r="H14797" s="13"/>
    </row>
    <row r="14798">
      <c r="A14798" s="6"/>
      <c r="B14798" s="6"/>
      <c r="H14798" s="13"/>
    </row>
    <row r="14799">
      <c r="A14799" s="6"/>
      <c r="B14799" s="6"/>
      <c r="H14799" s="13"/>
    </row>
    <row r="14800">
      <c r="A14800" s="6"/>
      <c r="B14800" s="6"/>
      <c r="H14800" s="13"/>
    </row>
    <row r="14801">
      <c r="A14801" s="6"/>
      <c r="B14801" s="6"/>
      <c r="H14801" s="13"/>
    </row>
    <row r="14802">
      <c r="A14802" s="6"/>
      <c r="B14802" s="6"/>
      <c r="H14802" s="13"/>
    </row>
    <row r="14803">
      <c r="A14803" s="6"/>
      <c r="B14803" s="6"/>
      <c r="H14803" s="13"/>
    </row>
    <row r="14804">
      <c r="A14804" s="6"/>
      <c r="B14804" s="6"/>
      <c r="H14804" s="13"/>
    </row>
    <row r="14805">
      <c r="A14805" s="6"/>
      <c r="B14805" s="6"/>
      <c r="H14805" s="13"/>
    </row>
    <row r="14806">
      <c r="A14806" s="6"/>
      <c r="B14806" s="6"/>
      <c r="H14806" s="13"/>
    </row>
    <row r="14807">
      <c r="A14807" s="6"/>
      <c r="B14807" s="6"/>
      <c r="H14807" s="13"/>
    </row>
    <row r="14808">
      <c r="A14808" s="6"/>
      <c r="B14808" s="6"/>
      <c r="H14808" s="13"/>
    </row>
    <row r="14809">
      <c r="A14809" s="6"/>
      <c r="B14809" s="6"/>
      <c r="H14809" s="13"/>
    </row>
    <row r="14810">
      <c r="A14810" s="6"/>
      <c r="B14810" s="6"/>
      <c r="H14810" s="13"/>
    </row>
    <row r="14811">
      <c r="A14811" s="6"/>
      <c r="B14811" s="6"/>
      <c r="H14811" s="13"/>
    </row>
    <row r="14812">
      <c r="A14812" s="6"/>
      <c r="B14812" s="6"/>
      <c r="H14812" s="13"/>
    </row>
    <row r="14813">
      <c r="A14813" s="6"/>
      <c r="B14813" s="6"/>
      <c r="H14813" s="13"/>
    </row>
    <row r="14814">
      <c r="A14814" s="6"/>
      <c r="B14814" s="6"/>
      <c r="H14814" s="13"/>
    </row>
    <row r="14815">
      <c r="A14815" s="6"/>
      <c r="B14815" s="6"/>
      <c r="H14815" s="13"/>
    </row>
    <row r="14816">
      <c r="A14816" s="6"/>
      <c r="B14816" s="6"/>
      <c r="H14816" s="13"/>
    </row>
    <row r="14817">
      <c r="A14817" s="6"/>
      <c r="B14817" s="6"/>
      <c r="H14817" s="13"/>
    </row>
    <row r="14818">
      <c r="A14818" s="6"/>
      <c r="B14818" s="6"/>
      <c r="H14818" s="13"/>
    </row>
    <row r="14819">
      <c r="A14819" s="6"/>
      <c r="B14819" s="6"/>
      <c r="H14819" s="13"/>
    </row>
    <row r="14820">
      <c r="A14820" s="6"/>
      <c r="B14820" s="6"/>
      <c r="H14820" s="13"/>
    </row>
    <row r="14821">
      <c r="A14821" s="6"/>
      <c r="B14821" s="6"/>
      <c r="H14821" s="13"/>
    </row>
    <row r="14822">
      <c r="A14822" s="6"/>
      <c r="B14822" s="6"/>
      <c r="H14822" s="13"/>
    </row>
    <row r="14823">
      <c r="A14823" s="6"/>
      <c r="B14823" s="6"/>
      <c r="H14823" s="13"/>
    </row>
    <row r="14824">
      <c r="A14824" s="6"/>
      <c r="B14824" s="6"/>
      <c r="H14824" s="13"/>
    </row>
    <row r="14825">
      <c r="A14825" s="6"/>
      <c r="B14825" s="6"/>
      <c r="H14825" s="13"/>
    </row>
    <row r="14826">
      <c r="A14826" s="6"/>
      <c r="B14826" s="6"/>
      <c r="H14826" s="13"/>
    </row>
    <row r="14827">
      <c r="A14827" s="6"/>
      <c r="B14827" s="6"/>
      <c r="H14827" s="13"/>
    </row>
    <row r="14828">
      <c r="A14828" s="6"/>
      <c r="B14828" s="6"/>
      <c r="H14828" s="13"/>
    </row>
    <row r="14829">
      <c r="A14829" s="6"/>
      <c r="B14829" s="6"/>
      <c r="H14829" s="13"/>
    </row>
    <row r="14830">
      <c r="A14830" s="6"/>
      <c r="B14830" s="6"/>
      <c r="H14830" s="13"/>
    </row>
    <row r="14831">
      <c r="A14831" s="6"/>
      <c r="B14831" s="6"/>
      <c r="H14831" s="13"/>
    </row>
    <row r="14832">
      <c r="A14832" s="6"/>
      <c r="B14832" s="6"/>
      <c r="H14832" s="13"/>
    </row>
    <row r="14833">
      <c r="A14833" s="6"/>
      <c r="B14833" s="6"/>
      <c r="H14833" s="13"/>
    </row>
    <row r="14834">
      <c r="A14834" s="6"/>
      <c r="B14834" s="6"/>
      <c r="H14834" s="13"/>
    </row>
    <row r="14835">
      <c r="A14835" s="6"/>
      <c r="B14835" s="6"/>
      <c r="H14835" s="13"/>
    </row>
    <row r="14836">
      <c r="A14836" s="6"/>
      <c r="B14836" s="6"/>
      <c r="H14836" s="13"/>
    </row>
    <row r="14837">
      <c r="A14837" s="6"/>
      <c r="B14837" s="6"/>
      <c r="H14837" s="13"/>
    </row>
    <row r="14838">
      <c r="A14838" s="6"/>
      <c r="B14838" s="6"/>
      <c r="H14838" s="13"/>
    </row>
    <row r="14839">
      <c r="A14839" s="6"/>
      <c r="B14839" s="6"/>
      <c r="H14839" s="13"/>
    </row>
    <row r="14840">
      <c r="A14840" s="6"/>
      <c r="B14840" s="6"/>
      <c r="H14840" s="13"/>
    </row>
    <row r="14841">
      <c r="A14841" s="6"/>
      <c r="B14841" s="6"/>
      <c r="H14841" s="13"/>
    </row>
    <row r="14842">
      <c r="A14842" s="6"/>
      <c r="B14842" s="6"/>
      <c r="H14842" s="13"/>
    </row>
    <row r="14843">
      <c r="A14843" s="6"/>
      <c r="B14843" s="6"/>
      <c r="H14843" s="13"/>
    </row>
    <row r="14844">
      <c r="A14844" s="6"/>
      <c r="B14844" s="6"/>
      <c r="H14844" s="13"/>
    </row>
    <row r="14845">
      <c r="A14845" s="6"/>
      <c r="B14845" s="6"/>
      <c r="H14845" s="13"/>
    </row>
    <row r="14846">
      <c r="A14846" s="6"/>
      <c r="B14846" s="6"/>
      <c r="H14846" s="13"/>
    </row>
    <row r="14847">
      <c r="A14847" s="6"/>
      <c r="B14847" s="6"/>
      <c r="H14847" s="13"/>
    </row>
    <row r="14848">
      <c r="A14848" s="6"/>
      <c r="B14848" s="6"/>
      <c r="H14848" s="13"/>
    </row>
    <row r="14849">
      <c r="A14849" s="6"/>
      <c r="B14849" s="6"/>
      <c r="H14849" s="13"/>
    </row>
    <row r="14850">
      <c r="A14850" s="6"/>
      <c r="B14850" s="6"/>
      <c r="H14850" s="13"/>
    </row>
    <row r="14851">
      <c r="A14851" s="6"/>
      <c r="B14851" s="6"/>
      <c r="H14851" s="13"/>
    </row>
    <row r="14852">
      <c r="A14852" s="6"/>
      <c r="B14852" s="6"/>
      <c r="H14852" s="13"/>
    </row>
    <row r="14853">
      <c r="A14853" s="6"/>
      <c r="B14853" s="6"/>
      <c r="H14853" s="13"/>
    </row>
    <row r="14854">
      <c r="A14854" s="6"/>
      <c r="B14854" s="6"/>
      <c r="H14854" s="13"/>
    </row>
    <row r="14855">
      <c r="A14855" s="6"/>
      <c r="B14855" s="6"/>
      <c r="H14855" s="13"/>
    </row>
    <row r="14856">
      <c r="A14856" s="6"/>
      <c r="B14856" s="6"/>
      <c r="H14856" s="13"/>
    </row>
    <row r="14857">
      <c r="A14857" s="6"/>
      <c r="B14857" s="6"/>
      <c r="H14857" s="13"/>
    </row>
    <row r="14858">
      <c r="A14858" s="6"/>
      <c r="B14858" s="6"/>
      <c r="H14858" s="13"/>
    </row>
    <row r="14859">
      <c r="A14859" s="6"/>
      <c r="B14859" s="6"/>
      <c r="H14859" s="13"/>
    </row>
    <row r="14860">
      <c r="A14860" s="6"/>
      <c r="B14860" s="6"/>
      <c r="H14860" s="13"/>
    </row>
    <row r="14861">
      <c r="A14861" s="6"/>
      <c r="B14861" s="6"/>
      <c r="H14861" s="13"/>
    </row>
    <row r="14862">
      <c r="A14862" s="6"/>
      <c r="B14862" s="6"/>
      <c r="H14862" s="13"/>
    </row>
    <row r="14863">
      <c r="A14863" s="6"/>
      <c r="B14863" s="6"/>
      <c r="H14863" s="13"/>
    </row>
    <row r="14864">
      <c r="A14864" s="6"/>
      <c r="B14864" s="6"/>
      <c r="H14864" s="13"/>
    </row>
    <row r="14865">
      <c r="A14865" s="6"/>
      <c r="B14865" s="6"/>
      <c r="H14865" s="13"/>
    </row>
    <row r="14866">
      <c r="A14866" s="6"/>
      <c r="B14866" s="6"/>
      <c r="H14866" s="13"/>
    </row>
    <row r="14867">
      <c r="A14867" s="6"/>
      <c r="B14867" s="6"/>
      <c r="H14867" s="13"/>
    </row>
    <row r="14868">
      <c r="A14868" s="6"/>
      <c r="B14868" s="6"/>
      <c r="H14868" s="13"/>
    </row>
    <row r="14869">
      <c r="A14869" s="6"/>
      <c r="B14869" s="6"/>
      <c r="H14869" s="13"/>
    </row>
    <row r="14870">
      <c r="A14870" s="6"/>
      <c r="B14870" s="6"/>
      <c r="H14870" s="13"/>
    </row>
    <row r="14871">
      <c r="A14871" s="6"/>
      <c r="B14871" s="6"/>
      <c r="H14871" s="13"/>
    </row>
    <row r="14872">
      <c r="A14872" s="6"/>
      <c r="B14872" s="6"/>
      <c r="H14872" s="13"/>
    </row>
    <row r="14873">
      <c r="A14873" s="6"/>
      <c r="B14873" s="6"/>
      <c r="H14873" s="13"/>
    </row>
    <row r="14874">
      <c r="A14874" s="6"/>
      <c r="B14874" s="6"/>
      <c r="H14874" s="13"/>
    </row>
    <row r="14875">
      <c r="A14875" s="6"/>
      <c r="B14875" s="6"/>
      <c r="H14875" s="13"/>
    </row>
    <row r="14876">
      <c r="A14876" s="6"/>
      <c r="B14876" s="6"/>
      <c r="H14876" s="13"/>
    </row>
    <row r="14877">
      <c r="A14877" s="6"/>
      <c r="B14877" s="6"/>
      <c r="H14877" s="13"/>
    </row>
    <row r="14878">
      <c r="A14878" s="6"/>
      <c r="B14878" s="6"/>
      <c r="H14878" s="13"/>
    </row>
    <row r="14879">
      <c r="A14879" s="6"/>
      <c r="B14879" s="6"/>
      <c r="H14879" s="13"/>
    </row>
    <row r="14880">
      <c r="A14880" s="6"/>
      <c r="B14880" s="6"/>
      <c r="H14880" s="13"/>
    </row>
    <row r="14881">
      <c r="A14881" s="6"/>
      <c r="B14881" s="6"/>
      <c r="H14881" s="13"/>
    </row>
    <row r="14882">
      <c r="A14882" s="6"/>
      <c r="B14882" s="6"/>
      <c r="H14882" s="13"/>
    </row>
    <row r="14883">
      <c r="A14883" s="6"/>
      <c r="B14883" s="6"/>
      <c r="H14883" s="13"/>
    </row>
    <row r="14884">
      <c r="A14884" s="6"/>
      <c r="B14884" s="6"/>
      <c r="H14884" s="13"/>
    </row>
    <row r="14885">
      <c r="A14885" s="6"/>
      <c r="B14885" s="6"/>
      <c r="H14885" s="13"/>
    </row>
    <row r="14886">
      <c r="A14886" s="6"/>
      <c r="B14886" s="6"/>
      <c r="H14886" s="13"/>
    </row>
    <row r="14887">
      <c r="A14887" s="6"/>
      <c r="B14887" s="6"/>
      <c r="H14887" s="13"/>
    </row>
    <row r="14888">
      <c r="A14888" s="6"/>
      <c r="B14888" s="6"/>
      <c r="H14888" s="13"/>
    </row>
    <row r="14889">
      <c r="A14889" s="6"/>
      <c r="B14889" s="6"/>
      <c r="H14889" s="13"/>
    </row>
    <row r="14890">
      <c r="A14890" s="6"/>
      <c r="B14890" s="6"/>
      <c r="H14890" s="13"/>
    </row>
    <row r="14891">
      <c r="A14891" s="6"/>
      <c r="B14891" s="6"/>
      <c r="H14891" s="13"/>
    </row>
    <row r="14892">
      <c r="A14892" s="6"/>
      <c r="B14892" s="6"/>
      <c r="H14892" s="13"/>
    </row>
    <row r="14893">
      <c r="A14893" s="6"/>
      <c r="B14893" s="6"/>
      <c r="H14893" s="13"/>
    </row>
    <row r="14894">
      <c r="A14894" s="6"/>
      <c r="B14894" s="6"/>
      <c r="H14894" s="13"/>
    </row>
    <row r="14895">
      <c r="A14895" s="6"/>
      <c r="B14895" s="6"/>
      <c r="H14895" s="13"/>
    </row>
    <row r="14896">
      <c r="A14896" s="6"/>
      <c r="B14896" s="6"/>
      <c r="H14896" s="13"/>
    </row>
    <row r="14897">
      <c r="A14897" s="6"/>
      <c r="B14897" s="6"/>
      <c r="H14897" s="13"/>
    </row>
    <row r="14898">
      <c r="A14898" s="6"/>
      <c r="B14898" s="6"/>
      <c r="H14898" s="13"/>
    </row>
    <row r="14899">
      <c r="A14899" s="6"/>
      <c r="B14899" s="6"/>
      <c r="H14899" s="13"/>
    </row>
    <row r="14900">
      <c r="A14900" s="6"/>
      <c r="B14900" s="6"/>
      <c r="H14900" s="13"/>
    </row>
    <row r="14901">
      <c r="A14901" s="6"/>
      <c r="B14901" s="6"/>
      <c r="H14901" s="13"/>
    </row>
    <row r="14902">
      <c r="A14902" s="6"/>
      <c r="B14902" s="6"/>
      <c r="H14902" s="13"/>
    </row>
    <row r="14903">
      <c r="A14903" s="6"/>
      <c r="B14903" s="6"/>
      <c r="H14903" s="13"/>
    </row>
    <row r="14904">
      <c r="A14904" s="6"/>
      <c r="B14904" s="6"/>
      <c r="H14904" s="13"/>
    </row>
    <row r="14905">
      <c r="A14905" s="6"/>
      <c r="B14905" s="6"/>
      <c r="H14905" s="13"/>
    </row>
    <row r="14906">
      <c r="A14906" s="6"/>
      <c r="B14906" s="6"/>
      <c r="H14906" s="13"/>
    </row>
    <row r="14907">
      <c r="A14907" s="6"/>
      <c r="B14907" s="6"/>
      <c r="H14907" s="13"/>
    </row>
    <row r="14908">
      <c r="A14908" s="6"/>
      <c r="B14908" s="6"/>
      <c r="H14908" s="13"/>
    </row>
    <row r="14909">
      <c r="A14909" s="6"/>
      <c r="B14909" s="6"/>
      <c r="H14909" s="13"/>
    </row>
    <row r="14910">
      <c r="A14910" s="6"/>
      <c r="B14910" s="6"/>
      <c r="H14910" s="13"/>
    </row>
    <row r="14911">
      <c r="A14911" s="6"/>
      <c r="B14911" s="6"/>
      <c r="H14911" s="13"/>
    </row>
    <row r="14912">
      <c r="A14912" s="6"/>
      <c r="B14912" s="6"/>
      <c r="H14912" s="13"/>
    </row>
    <row r="14913">
      <c r="A14913" s="6"/>
      <c r="B14913" s="6"/>
      <c r="H14913" s="13"/>
    </row>
    <row r="14914">
      <c r="A14914" s="6"/>
      <c r="B14914" s="6"/>
      <c r="H14914" s="13"/>
    </row>
    <row r="14915">
      <c r="A14915" s="6"/>
      <c r="B14915" s="6"/>
      <c r="H14915" s="13"/>
    </row>
    <row r="14916">
      <c r="A14916" s="6"/>
      <c r="B14916" s="6"/>
      <c r="H14916" s="13"/>
    </row>
    <row r="14917">
      <c r="A14917" s="6"/>
      <c r="B14917" s="6"/>
      <c r="H14917" s="13"/>
    </row>
    <row r="14918">
      <c r="A14918" s="6"/>
      <c r="B14918" s="6"/>
      <c r="H14918" s="13"/>
    </row>
    <row r="14919">
      <c r="A14919" s="6"/>
      <c r="B14919" s="6"/>
      <c r="H14919" s="13"/>
    </row>
    <row r="14920">
      <c r="A14920" s="6"/>
      <c r="B14920" s="6"/>
      <c r="H14920" s="13"/>
    </row>
    <row r="14921">
      <c r="A14921" s="6"/>
      <c r="B14921" s="6"/>
      <c r="H14921" s="13"/>
    </row>
    <row r="14922">
      <c r="A14922" s="6"/>
      <c r="B14922" s="6"/>
      <c r="H14922" s="13"/>
    </row>
    <row r="14923">
      <c r="A14923" s="6"/>
      <c r="B14923" s="6"/>
      <c r="H14923" s="13"/>
    </row>
    <row r="14924">
      <c r="A14924" s="6"/>
      <c r="B14924" s="6"/>
      <c r="H14924" s="13"/>
    </row>
    <row r="14925">
      <c r="A14925" s="6"/>
      <c r="B14925" s="6"/>
      <c r="H14925" s="13"/>
    </row>
    <row r="14926">
      <c r="A14926" s="6"/>
      <c r="B14926" s="6"/>
      <c r="H14926" s="13"/>
    </row>
    <row r="14927">
      <c r="A14927" s="6"/>
      <c r="B14927" s="6"/>
      <c r="H14927" s="13"/>
    </row>
    <row r="14928">
      <c r="A14928" s="6"/>
      <c r="B14928" s="6"/>
      <c r="H14928" s="13"/>
    </row>
    <row r="14929">
      <c r="A14929" s="6"/>
      <c r="B14929" s="6"/>
      <c r="H14929" s="13"/>
    </row>
    <row r="14930">
      <c r="A14930" s="6"/>
      <c r="B14930" s="6"/>
      <c r="H14930" s="13"/>
    </row>
    <row r="14931">
      <c r="A14931" s="6"/>
      <c r="B14931" s="6"/>
      <c r="H14931" s="13"/>
    </row>
    <row r="14932">
      <c r="A14932" s="6"/>
      <c r="B14932" s="6"/>
      <c r="H14932" s="13"/>
    </row>
    <row r="14933">
      <c r="A14933" s="6"/>
      <c r="B14933" s="6"/>
      <c r="H14933" s="13"/>
    </row>
    <row r="14934">
      <c r="A14934" s="6"/>
      <c r="B14934" s="6"/>
      <c r="H14934" s="13"/>
    </row>
    <row r="14935">
      <c r="A14935" s="6"/>
      <c r="B14935" s="6"/>
      <c r="H14935" s="13"/>
    </row>
    <row r="14936">
      <c r="A14936" s="6"/>
      <c r="B14936" s="6"/>
      <c r="H14936" s="13"/>
    </row>
    <row r="14937">
      <c r="A14937" s="6"/>
      <c r="B14937" s="6"/>
      <c r="H14937" s="13"/>
    </row>
    <row r="14938">
      <c r="A14938" s="6"/>
      <c r="B14938" s="6"/>
      <c r="H14938" s="13"/>
    </row>
    <row r="14939">
      <c r="A14939" s="6"/>
      <c r="B14939" s="6"/>
      <c r="H14939" s="13"/>
    </row>
    <row r="14940">
      <c r="A14940" s="6"/>
      <c r="B14940" s="6"/>
      <c r="H14940" s="13"/>
    </row>
    <row r="14941">
      <c r="A14941" s="6"/>
      <c r="B14941" s="6"/>
      <c r="H14941" s="13"/>
    </row>
    <row r="14942">
      <c r="A14942" s="6"/>
      <c r="B14942" s="6"/>
      <c r="H14942" s="13"/>
    </row>
    <row r="14943">
      <c r="A14943" s="6"/>
      <c r="B14943" s="6"/>
      <c r="H14943" s="13"/>
    </row>
    <row r="14944">
      <c r="A14944" s="6"/>
      <c r="B14944" s="6"/>
      <c r="H14944" s="13"/>
    </row>
    <row r="14945">
      <c r="A14945" s="6"/>
      <c r="B14945" s="6"/>
      <c r="H14945" s="13"/>
    </row>
    <row r="14946">
      <c r="A14946" s="6"/>
      <c r="B14946" s="6"/>
      <c r="H14946" s="13"/>
    </row>
    <row r="14947">
      <c r="A14947" s="6"/>
      <c r="B14947" s="6"/>
      <c r="H14947" s="13"/>
    </row>
    <row r="14948">
      <c r="A14948" s="6"/>
      <c r="B14948" s="6"/>
      <c r="H14948" s="13"/>
    </row>
    <row r="14949">
      <c r="A14949" s="6"/>
      <c r="B14949" s="6"/>
      <c r="H14949" s="13"/>
    </row>
    <row r="14950">
      <c r="A14950" s="6"/>
      <c r="B14950" s="6"/>
      <c r="H14950" s="13"/>
    </row>
    <row r="14951">
      <c r="A14951" s="6"/>
      <c r="B14951" s="6"/>
      <c r="H14951" s="13"/>
    </row>
    <row r="14952">
      <c r="A14952" s="6"/>
      <c r="B14952" s="6"/>
      <c r="H14952" s="13"/>
    </row>
    <row r="14953">
      <c r="A14953" s="6"/>
      <c r="B14953" s="6"/>
      <c r="H14953" s="13"/>
    </row>
    <row r="14954">
      <c r="A14954" s="6"/>
      <c r="B14954" s="6"/>
      <c r="H14954" s="13"/>
    </row>
    <row r="14955">
      <c r="A14955" s="6"/>
      <c r="B14955" s="6"/>
      <c r="H14955" s="13"/>
    </row>
    <row r="14956">
      <c r="A14956" s="6"/>
      <c r="B14956" s="6"/>
      <c r="H14956" s="13"/>
    </row>
    <row r="14957">
      <c r="A14957" s="6"/>
      <c r="B14957" s="6"/>
      <c r="H14957" s="13"/>
    </row>
    <row r="14958">
      <c r="A14958" s="6"/>
      <c r="B14958" s="6"/>
      <c r="H14958" s="13"/>
    </row>
    <row r="14959">
      <c r="A14959" s="6"/>
      <c r="B14959" s="6"/>
      <c r="H14959" s="13"/>
    </row>
    <row r="14960">
      <c r="A14960" s="6"/>
      <c r="B14960" s="6"/>
      <c r="H14960" s="13"/>
    </row>
    <row r="14961">
      <c r="A14961" s="6"/>
      <c r="B14961" s="6"/>
      <c r="H14961" s="13"/>
    </row>
    <row r="14962">
      <c r="A14962" s="6"/>
      <c r="B14962" s="6"/>
      <c r="H14962" s="13"/>
    </row>
    <row r="14963">
      <c r="A14963" s="6"/>
      <c r="B14963" s="6"/>
      <c r="H14963" s="13"/>
    </row>
    <row r="14964">
      <c r="A14964" s="6"/>
      <c r="B14964" s="6"/>
      <c r="H14964" s="13"/>
    </row>
    <row r="14965">
      <c r="A14965" s="6"/>
      <c r="B14965" s="6"/>
      <c r="H14965" s="13"/>
    </row>
    <row r="14966">
      <c r="A14966" s="6"/>
      <c r="B14966" s="6"/>
      <c r="H14966" s="13"/>
    </row>
    <row r="14967">
      <c r="A14967" s="6"/>
      <c r="B14967" s="6"/>
      <c r="H14967" s="13"/>
    </row>
    <row r="14968">
      <c r="A14968" s="6"/>
      <c r="B14968" s="6"/>
      <c r="H14968" s="13"/>
    </row>
    <row r="14969">
      <c r="A14969" s="6"/>
      <c r="B14969" s="6"/>
      <c r="H14969" s="13"/>
    </row>
    <row r="14970">
      <c r="A14970" s="6"/>
      <c r="B14970" s="6"/>
      <c r="H14970" s="13"/>
    </row>
    <row r="14971">
      <c r="A14971" s="6"/>
      <c r="B14971" s="6"/>
      <c r="H14971" s="13"/>
    </row>
    <row r="14972">
      <c r="A14972" s="6"/>
      <c r="B14972" s="6"/>
      <c r="H14972" s="13"/>
    </row>
    <row r="14973">
      <c r="A14973" s="6"/>
      <c r="B14973" s="6"/>
      <c r="H14973" s="13"/>
    </row>
    <row r="14974">
      <c r="A14974" s="6"/>
      <c r="B14974" s="6"/>
      <c r="H14974" s="13"/>
    </row>
    <row r="14975">
      <c r="A14975" s="6"/>
      <c r="B14975" s="6"/>
      <c r="H14975" s="13"/>
    </row>
    <row r="14976">
      <c r="A14976" s="6"/>
      <c r="B14976" s="6"/>
      <c r="H14976" s="13"/>
    </row>
    <row r="14977">
      <c r="A14977" s="6"/>
      <c r="B14977" s="6"/>
      <c r="H14977" s="13"/>
    </row>
    <row r="14978">
      <c r="A14978" s="6"/>
      <c r="B14978" s="6"/>
      <c r="H14978" s="13"/>
    </row>
    <row r="14979">
      <c r="A14979" s="6"/>
      <c r="B14979" s="6"/>
      <c r="H14979" s="13"/>
    </row>
    <row r="14980">
      <c r="A14980" s="6"/>
      <c r="B14980" s="6"/>
      <c r="H14980" s="13"/>
    </row>
    <row r="14981">
      <c r="A14981" s="6"/>
      <c r="B14981" s="6"/>
      <c r="H14981" s="13"/>
    </row>
    <row r="14982">
      <c r="A14982" s="6"/>
      <c r="B14982" s="6"/>
      <c r="H14982" s="13"/>
    </row>
    <row r="14983">
      <c r="A14983" s="6"/>
      <c r="B14983" s="6"/>
      <c r="H14983" s="13"/>
    </row>
    <row r="14984">
      <c r="A14984" s="6"/>
      <c r="B14984" s="6"/>
      <c r="H14984" s="13"/>
    </row>
    <row r="14985">
      <c r="A14985" s="6"/>
      <c r="B14985" s="6"/>
      <c r="H14985" s="13"/>
    </row>
    <row r="14986">
      <c r="A14986" s="6"/>
      <c r="B14986" s="6"/>
      <c r="H14986" s="13"/>
    </row>
    <row r="14987">
      <c r="A14987" s="6"/>
      <c r="B14987" s="6"/>
      <c r="H14987" s="13"/>
    </row>
    <row r="14988">
      <c r="A14988" s="6"/>
      <c r="B14988" s="6"/>
      <c r="H14988" s="13"/>
    </row>
    <row r="14989">
      <c r="A14989" s="6"/>
      <c r="B14989" s="6"/>
      <c r="H14989" s="13"/>
    </row>
    <row r="14990">
      <c r="A14990" s="6"/>
      <c r="B14990" s="6"/>
      <c r="H14990" s="13"/>
    </row>
    <row r="14991">
      <c r="A14991" s="6"/>
      <c r="B14991" s="6"/>
      <c r="H14991" s="13"/>
    </row>
    <row r="14992">
      <c r="A14992" s="6"/>
      <c r="B14992" s="6"/>
      <c r="H14992" s="13"/>
    </row>
    <row r="14993">
      <c r="A14993" s="6"/>
      <c r="B14993" s="6"/>
      <c r="H14993" s="13"/>
    </row>
    <row r="14994">
      <c r="A14994" s="6"/>
      <c r="B14994" s="6"/>
      <c r="H14994" s="13"/>
    </row>
    <row r="14995">
      <c r="A14995" s="6"/>
      <c r="B14995" s="6"/>
      <c r="H14995" s="13"/>
    </row>
    <row r="14996">
      <c r="A14996" s="6"/>
      <c r="B14996" s="6"/>
      <c r="H14996" s="13"/>
    </row>
    <row r="14997">
      <c r="A14997" s="6"/>
      <c r="B14997" s="6"/>
      <c r="H14997" s="13"/>
    </row>
    <row r="14998">
      <c r="A14998" s="6"/>
      <c r="B14998" s="6"/>
      <c r="H14998" s="13"/>
    </row>
    <row r="14999">
      <c r="A14999" s="6"/>
      <c r="B14999" s="6"/>
      <c r="H14999" s="13"/>
    </row>
    <row r="15000">
      <c r="A15000" s="6"/>
      <c r="B15000" s="6"/>
      <c r="H15000" s="13"/>
    </row>
    <row r="15001">
      <c r="A15001" s="6"/>
      <c r="B15001" s="6"/>
      <c r="H15001" s="13"/>
    </row>
    <row r="15002">
      <c r="A15002" s="6"/>
      <c r="B15002" s="6"/>
      <c r="H15002" s="13"/>
    </row>
    <row r="15003">
      <c r="A15003" s="6"/>
      <c r="B15003" s="6"/>
      <c r="H15003" s="13"/>
    </row>
    <row r="15004">
      <c r="A15004" s="6"/>
      <c r="B15004" s="6"/>
      <c r="H15004" s="13"/>
    </row>
    <row r="15005">
      <c r="A15005" s="6"/>
      <c r="B15005" s="6"/>
      <c r="H15005" s="13"/>
    </row>
    <row r="15006">
      <c r="A15006" s="6"/>
      <c r="B15006" s="6"/>
      <c r="H15006" s="13"/>
    </row>
    <row r="15007">
      <c r="A15007" s="6"/>
      <c r="B15007" s="6"/>
      <c r="H15007" s="13"/>
    </row>
    <row r="15008">
      <c r="A15008" s="6"/>
      <c r="B15008" s="6"/>
      <c r="H15008" s="13"/>
    </row>
    <row r="15009">
      <c r="A15009" s="6"/>
      <c r="B15009" s="6"/>
      <c r="H15009" s="13"/>
    </row>
    <row r="15010">
      <c r="A15010" s="6"/>
      <c r="B15010" s="6"/>
      <c r="H15010" s="13"/>
    </row>
    <row r="15011">
      <c r="A15011" s="6"/>
      <c r="B15011" s="6"/>
      <c r="H15011" s="13"/>
    </row>
    <row r="15012">
      <c r="A15012" s="6"/>
      <c r="B15012" s="6"/>
      <c r="H15012" s="13"/>
    </row>
    <row r="15013">
      <c r="A15013" s="6"/>
      <c r="B15013" s="6"/>
      <c r="H15013" s="13"/>
    </row>
    <row r="15014">
      <c r="A15014" s="6"/>
      <c r="B15014" s="6"/>
      <c r="H15014" s="13"/>
    </row>
    <row r="15015">
      <c r="A15015" s="6"/>
      <c r="B15015" s="6"/>
      <c r="H15015" s="13"/>
    </row>
    <row r="15016">
      <c r="A15016" s="6"/>
      <c r="B15016" s="6"/>
      <c r="H15016" s="13"/>
    </row>
    <row r="15017">
      <c r="A15017" s="6"/>
      <c r="B15017" s="6"/>
      <c r="H15017" s="13"/>
    </row>
    <row r="15018">
      <c r="A15018" s="6"/>
      <c r="B15018" s="6"/>
      <c r="H15018" s="13"/>
    </row>
    <row r="15019">
      <c r="A15019" s="6"/>
      <c r="B15019" s="6"/>
      <c r="H15019" s="13"/>
    </row>
    <row r="15020">
      <c r="A15020" s="6"/>
      <c r="B15020" s="6"/>
      <c r="H15020" s="13"/>
    </row>
    <row r="15021">
      <c r="A15021" s="6"/>
      <c r="B15021" s="6"/>
      <c r="H15021" s="13"/>
    </row>
    <row r="15022">
      <c r="A15022" s="6"/>
      <c r="B15022" s="6"/>
      <c r="H15022" s="13"/>
    </row>
    <row r="15023">
      <c r="A15023" s="6"/>
      <c r="B15023" s="6"/>
      <c r="H15023" s="13"/>
    </row>
    <row r="15024">
      <c r="A15024" s="6"/>
      <c r="B15024" s="6"/>
      <c r="H15024" s="13"/>
    </row>
    <row r="15025">
      <c r="A15025" s="6"/>
      <c r="B15025" s="6"/>
      <c r="H15025" s="13"/>
    </row>
    <row r="15026">
      <c r="A15026" s="6"/>
      <c r="B15026" s="6"/>
      <c r="H15026" s="13"/>
    </row>
    <row r="15027">
      <c r="A15027" s="6"/>
      <c r="B15027" s="6"/>
      <c r="H15027" s="13"/>
    </row>
    <row r="15028">
      <c r="A15028" s="6"/>
      <c r="B15028" s="6"/>
      <c r="H15028" s="13"/>
    </row>
    <row r="15029">
      <c r="A15029" s="6"/>
      <c r="B15029" s="6"/>
      <c r="H15029" s="13"/>
    </row>
    <row r="15030">
      <c r="A15030" s="6"/>
      <c r="B15030" s="6"/>
      <c r="H15030" s="13"/>
    </row>
    <row r="15031">
      <c r="A15031" s="6"/>
      <c r="B15031" s="6"/>
      <c r="H15031" s="13"/>
    </row>
    <row r="15032">
      <c r="A15032" s="6"/>
      <c r="B15032" s="6"/>
      <c r="H15032" s="13"/>
    </row>
    <row r="15033">
      <c r="A15033" s="6"/>
      <c r="B15033" s="6"/>
      <c r="H15033" s="13"/>
    </row>
    <row r="15034">
      <c r="A15034" s="6"/>
      <c r="B15034" s="6"/>
      <c r="H15034" s="13"/>
    </row>
    <row r="15035">
      <c r="A15035" s="6"/>
      <c r="B15035" s="6"/>
      <c r="H15035" s="13"/>
    </row>
    <row r="15036">
      <c r="A15036" s="6"/>
      <c r="B15036" s="6"/>
      <c r="H15036" s="13"/>
    </row>
    <row r="15037">
      <c r="A15037" s="6"/>
      <c r="B15037" s="6"/>
      <c r="H15037" s="13"/>
    </row>
    <row r="15038">
      <c r="A15038" s="6"/>
      <c r="B15038" s="6"/>
      <c r="H15038" s="13"/>
    </row>
    <row r="15039">
      <c r="A15039" s="6"/>
      <c r="B15039" s="6"/>
      <c r="H15039" s="13"/>
    </row>
    <row r="15040">
      <c r="A15040" s="6"/>
      <c r="B15040" s="6"/>
      <c r="H15040" s="13"/>
    </row>
    <row r="15041">
      <c r="A15041" s="6"/>
      <c r="B15041" s="6"/>
      <c r="H15041" s="13"/>
    </row>
    <row r="15042">
      <c r="A15042" s="6"/>
      <c r="B15042" s="6"/>
      <c r="H15042" s="13"/>
    </row>
    <row r="15043">
      <c r="A15043" s="6"/>
      <c r="B15043" s="6"/>
      <c r="H15043" s="13"/>
    </row>
    <row r="15044">
      <c r="A15044" s="6"/>
      <c r="B15044" s="6"/>
      <c r="H15044" s="13"/>
    </row>
    <row r="15045">
      <c r="A15045" s="6"/>
      <c r="B15045" s="6"/>
      <c r="H15045" s="13"/>
    </row>
    <row r="15046">
      <c r="A15046" s="6"/>
      <c r="B15046" s="6"/>
      <c r="H15046" s="13"/>
    </row>
    <row r="15047">
      <c r="A15047" s="6"/>
      <c r="B15047" s="6"/>
      <c r="H15047" s="13"/>
    </row>
    <row r="15048">
      <c r="A15048" s="6"/>
      <c r="B15048" s="6"/>
      <c r="H15048" s="13"/>
    </row>
    <row r="15049">
      <c r="A15049" s="6"/>
      <c r="B15049" s="6"/>
      <c r="H15049" s="13"/>
    </row>
    <row r="15050">
      <c r="A15050" s="6"/>
      <c r="B15050" s="6"/>
      <c r="H15050" s="13"/>
    </row>
    <row r="15051">
      <c r="A15051" s="6"/>
      <c r="B15051" s="6"/>
      <c r="H15051" s="13"/>
    </row>
    <row r="15052">
      <c r="A15052" s="6"/>
      <c r="B15052" s="6"/>
      <c r="H15052" s="13"/>
    </row>
    <row r="15053">
      <c r="A15053" s="6"/>
      <c r="B15053" s="6"/>
      <c r="H15053" s="13"/>
    </row>
    <row r="15054">
      <c r="A15054" s="6"/>
      <c r="B15054" s="6"/>
      <c r="H15054" s="13"/>
    </row>
    <row r="15055">
      <c r="A15055" s="6"/>
      <c r="B15055" s="6"/>
      <c r="H15055" s="13"/>
    </row>
    <row r="15056">
      <c r="A15056" s="6"/>
      <c r="B15056" s="6"/>
      <c r="H15056" s="13"/>
    </row>
    <row r="15057">
      <c r="A15057" s="6"/>
      <c r="B15057" s="6"/>
      <c r="H15057" s="13"/>
    </row>
    <row r="15058">
      <c r="A15058" s="6"/>
      <c r="B15058" s="6"/>
      <c r="H15058" s="13"/>
    </row>
    <row r="15059">
      <c r="A15059" s="6"/>
      <c r="B15059" s="6"/>
      <c r="H15059" s="13"/>
    </row>
    <row r="15060">
      <c r="A15060" s="6"/>
      <c r="B15060" s="6"/>
      <c r="H15060" s="13"/>
    </row>
    <row r="15061">
      <c r="A15061" s="6"/>
      <c r="B15061" s="6"/>
      <c r="H15061" s="13"/>
    </row>
    <row r="15062">
      <c r="A15062" s="6"/>
      <c r="B15062" s="6"/>
      <c r="H15062" s="13"/>
    </row>
    <row r="15063">
      <c r="A15063" s="6"/>
      <c r="B15063" s="6"/>
      <c r="H15063" s="13"/>
    </row>
    <row r="15064">
      <c r="A15064" s="6"/>
      <c r="B15064" s="6"/>
      <c r="H15064" s="13"/>
    </row>
    <row r="15065">
      <c r="A15065" s="6"/>
      <c r="B15065" s="6"/>
      <c r="H15065" s="13"/>
    </row>
    <row r="15066">
      <c r="A15066" s="6"/>
      <c r="B15066" s="6"/>
      <c r="H15066" s="13"/>
    </row>
    <row r="15067">
      <c r="A15067" s="6"/>
      <c r="B15067" s="6"/>
      <c r="H15067" s="13"/>
    </row>
    <row r="15068">
      <c r="A15068" s="6"/>
      <c r="B15068" s="6"/>
      <c r="H15068" s="13"/>
    </row>
    <row r="15069">
      <c r="A15069" s="6"/>
      <c r="B15069" s="6"/>
      <c r="H15069" s="13"/>
    </row>
    <row r="15070">
      <c r="A15070" s="6"/>
      <c r="B15070" s="6"/>
      <c r="H15070" s="13"/>
    </row>
    <row r="15071">
      <c r="A15071" s="6"/>
      <c r="B15071" s="6"/>
      <c r="H15071" s="13"/>
    </row>
    <row r="15072">
      <c r="A15072" s="6"/>
      <c r="B15072" s="6"/>
      <c r="H15072" s="13"/>
    </row>
    <row r="15073">
      <c r="A15073" s="6"/>
      <c r="B15073" s="6"/>
      <c r="H15073" s="13"/>
    </row>
    <row r="15074">
      <c r="A15074" s="6"/>
      <c r="B15074" s="6"/>
      <c r="H15074" s="13"/>
    </row>
    <row r="15075">
      <c r="A15075" s="6"/>
      <c r="B15075" s="6"/>
      <c r="H15075" s="13"/>
    </row>
    <row r="15076">
      <c r="A15076" s="6"/>
      <c r="B15076" s="6"/>
      <c r="H15076" s="13"/>
    </row>
    <row r="15077">
      <c r="A15077" s="6"/>
      <c r="B15077" s="6"/>
      <c r="H15077" s="13"/>
    </row>
    <row r="15078">
      <c r="A15078" s="6"/>
      <c r="B15078" s="6"/>
      <c r="H15078" s="13"/>
    </row>
    <row r="15079">
      <c r="A15079" s="6"/>
      <c r="B15079" s="6"/>
      <c r="H15079" s="13"/>
    </row>
    <row r="15080">
      <c r="A15080" s="6"/>
      <c r="B15080" s="6"/>
      <c r="H15080" s="13"/>
    </row>
    <row r="15081">
      <c r="A15081" s="6"/>
      <c r="B15081" s="6"/>
      <c r="H15081" s="13"/>
    </row>
    <row r="15082">
      <c r="A15082" s="6"/>
      <c r="B15082" s="6"/>
      <c r="H15082" s="13"/>
    </row>
    <row r="15083">
      <c r="A15083" s="6"/>
      <c r="B15083" s="6"/>
      <c r="H15083" s="13"/>
    </row>
    <row r="15084">
      <c r="A15084" s="6"/>
      <c r="B15084" s="6"/>
      <c r="H15084" s="13"/>
    </row>
    <row r="15085">
      <c r="A15085" s="6"/>
      <c r="B15085" s="6"/>
      <c r="H15085" s="13"/>
    </row>
    <row r="15086">
      <c r="A15086" s="6"/>
      <c r="B15086" s="6"/>
      <c r="H15086" s="13"/>
    </row>
    <row r="15087">
      <c r="A15087" s="6"/>
      <c r="B15087" s="6"/>
      <c r="H15087" s="13"/>
    </row>
    <row r="15088">
      <c r="A15088" s="6"/>
      <c r="B15088" s="6"/>
      <c r="H15088" s="13"/>
    </row>
    <row r="15089">
      <c r="A15089" s="6"/>
      <c r="B15089" s="6"/>
      <c r="H15089" s="13"/>
    </row>
    <row r="15090">
      <c r="A15090" s="6"/>
      <c r="B15090" s="6"/>
      <c r="H15090" s="13"/>
    </row>
    <row r="15091">
      <c r="A15091" s="6"/>
      <c r="B15091" s="6"/>
      <c r="H15091" s="13"/>
    </row>
    <row r="15092">
      <c r="A15092" s="6"/>
      <c r="B15092" s="6"/>
      <c r="H15092" s="13"/>
    </row>
    <row r="15093">
      <c r="A15093" s="6"/>
      <c r="B15093" s="6"/>
      <c r="H15093" s="13"/>
    </row>
    <row r="15094">
      <c r="A15094" s="6"/>
      <c r="B15094" s="6"/>
      <c r="H15094" s="13"/>
    </row>
    <row r="15095">
      <c r="A15095" s="6"/>
      <c r="B15095" s="6"/>
      <c r="H15095" s="13"/>
    </row>
    <row r="15096">
      <c r="A15096" s="6"/>
      <c r="B15096" s="6"/>
      <c r="H15096" s="13"/>
    </row>
    <row r="15097">
      <c r="A15097" s="6"/>
      <c r="B15097" s="6"/>
      <c r="H15097" s="13"/>
    </row>
    <row r="15098">
      <c r="A15098" s="6"/>
      <c r="B15098" s="6"/>
      <c r="H15098" s="13"/>
    </row>
    <row r="15099">
      <c r="A15099" s="6"/>
      <c r="B15099" s="6"/>
      <c r="H15099" s="13"/>
    </row>
    <row r="15100">
      <c r="A15100" s="6"/>
      <c r="B15100" s="6"/>
      <c r="H15100" s="13"/>
    </row>
    <row r="15101">
      <c r="A15101" s="6"/>
      <c r="B15101" s="6"/>
      <c r="H15101" s="13"/>
    </row>
    <row r="15102">
      <c r="A15102" s="6"/>
      <c r="B15102" s="6"/>
      <c r="H15102" s="13"/>
    </row>
    <row r="15103">
      <c r="A15103" s="6"/>
      <c r="B15103" s="6"/>
      <c r="H15103" s="13"/>
    </row>
    <row r="15104">
      <c r="A15104" s="6"/>
      <c r="B15104" s="6"/>
      <c r="H15104" s="13"/>
    </row>
    <row r="15105">
      <c r="A15105" s="6"/>
      <c r="B15105" s="6"/>
      <c r="H15105" s="13"/>
    </row>
    <row r="15106">
      <c r="A15106" s="6"/>
      <c r="B15106" s="6"/>
      <c r="H15106" s="13"/>
    </row>
    <row r="15107">
      <c r="A15107" s="6"/>
      <c r="B15107" s="6"/>
      <c r="H15107" s="13"/>
    </row>
    <row r="15108">
      <c r="A15108" s="6"/>
      <c r="B15108" s="6"/>
      <c r="H15108" s="13"/>
    </row>
    <row r="15109">
      <c r="A15109" s="6"/>
      <c r="B15109" s="6"/>
      <c r="H15109" s="13"/>
    </row>
    <row r="15110">
      <c r="A15110" s="6"/>
      <c r="B15110" s="6"/>
      <c r="H15110" s="13"/>
    </row>
    <row r="15111">
      <c r="A15111" s="6"/>
      <c r="B15111" s="6"/>
      <c r="H15111" s="13"/>
    </row>
    <row r="15112">
      <c r="A15112" s="6"/>
      <c r="B15112" s="6"/>
      <c r="H15112" s="13"/>
    </row>
    <row r="15113">
      <c r="A15113" s="6"/>
      <c r="B15113" s="6"/>
      <c r="H15113" s="13"/>
    </row>
    <row r="15114">
      <c r="A15114" s="6"/>
      <c r="B15114" s="6"/>
      <c r="H15114" s="13"/>
    </row>
    <row r="15115">
      <c r="A15115" s="6"/>
      <c r="B15115" s="6"/>
      <c r="H15115" s="13"/>
    </row>
    <row r="15116">
      <c r="A15116" s="6"/>
      <c r="B15116" s="6"/>
      <c r="H15116" s="13"/>
    </row>
    <row r="15117">
      <c r="A15117" s="6"/>
      <c r="B15117" s="6"/>
      <c r="H15117" s="13"/>
    </row>
    <row r="15118">
      <c r="A15118" s="6"/>
      <c r="B15118" s="6"/>
      <c r="H15118" s="13"/>
    </row>
    <row r="15119">
      <c r="A15119" s="6"/>
      <c r="B15119" s="6"/>
      <c r="H15119" s="13"/>
    </row>
    <row r="15120">
      <c r="A15120" s="6"/>
      <c r="B15120" s="6"/>
      <c r="H15120" s="13"/>
    </row>
    <row r="15121">
      <c r="A15121" s="6"/>
      <c r="B15121" s="6"/>
      <c r="H15121" s="13"/>
    </row>
    <row r="15122">
      <c r="A15122" s="6"/>
      <c r="B15122" s="6"/>
      <c r="H15122" s="13"/>
    </row>
    <row r="15123">
      <c r="A15123" s="6"/>
      <c r="B15123" s="6"/>
      <c r="H15123" s="13"/>
    </row>
    <row r="15124">
      <c r="A15124" s="6"/>
      <c r="B15124" s="6"/>
      <c r="H15124" s="13"/>
    </row>
    <row r="15125">
      <c r="A15125" s="6"/>
      <c r="B15125" s="6"/>
      <c r="H15125" s="13"/>
    </row>
    <row r="15126">
      <c r="A15126" s="6"/>
      <c r="B15126" s="6"/>
      <c r="H15126" s="13"/>
    </row>
    <row r="15127">
      <c r="A15127" s="6"/>
      <c r="B15127" s="6"/>
      <c r="H15127" s="13"/>
    </row>
    <row r="15128">
      <c r="A15128" s="6"/>
      <c r="B15128" s="6"/>
      <c r="H15128" s="13"/>
    </row>
    <row r="15129">
      <c r="A15129" s="6"/>
      <c r="B15129" s="6"/>
      <c r="H15129" s="13"/>
    </row>
    <row r="15130">
      <c r="A15130" s="6"/>
      <c r="B15130" s="6"/>
      <c r="H15130" s="13"/>
    </row>
    <row r="15131">
      <c r="A15131" s="6"/>
      <c r="B15131" s="6"/>
      <c r="H15131" s="13"/>
    </row>
    <row r="15132">
      <c r="A15132" s="6"/>
      <c r="B15132" s="6"/>
      <c r="H15132" s="13"/>
    </row>
    <row r="15133">
      <c r="A15133" s="6"/>
      <c r="B15133" s="6"/>
      <c r="H15133" s="13"/>
    </row>
    <row r="15134">
      <c r="A15134" s="6"/>
      <c r="B15134" s="6"/>
      <c r="H15134" s="13"/>
    </row>
    <row r="15135">
      <c r="A15135" s="6"/>
      <c r="B15135" s="6"/>
      <c r="H15135" s="13"/>
    </row>
    <row r="15136">
      <c r="A15136" s="6"/>
      <c r="B15136" s="6"/>
      <c r="H15136" s="13"/>
    </row>
    <row r="15137">
      <c r="A15137" s="6"/>
      <c r="B15137" s="6"/>
      <c r="H15137" s="13"/>
    </row>
    <row r="15138">
      <c r="A15138" s="6"/>
      <c r="B15138" s="6"/>
      <c r="H15138" s="13"/>
    </row>
    <row r="15139">
      <c r="A15139" s="6"/>
      <c r="B15139" s="6"/>
      <c r="H15139" s="13"/>
    </row>
    <row r="15140">
      <c r="A15140" s="6"/>
      <c r="B15140" s="6"/>
      <c r="H15140" s="13"/>
    </row>
    <row r="15141">
      <c r="A15141" s="6"/>
      <c r="B15141" s="6"/>
      <c r="H15141" s="13"/>
    </row>
    <row r="15142">
      <c r="A15142" s="6"/>
      <c r="B15142" s="6"/>
      <c r="H15142" s="13"/>
    </row>
    <row r="15143">
      <c r="A15143" s="6"/>
      <c r="B15143" s="6"/>
      <c r="H15143" s="13"/>
    </row>
    <row r="15144">
      <c r="A15144" s="6"/>
      <c r="B15144" s="6"/>
      <c r="H15144" s="13"/>
    </row>
    <row r="15145">
      <c r="A15145" s="6"/>
      <c r="B15145" s="6"/>
      <c r="H15145" s="13"/>
    </row>
    <row r="15146">
      <c r="A15146" s="6"/>
      <c r="B15146" s="6"/>
      <c r="H15146" s="13"/>
    </row>
    <row r="15147">
      <c r="A15147" s="6"/>
      <c r="B15147" s="6"/>
      <c r="H15147" s="13"/>
    </row>
    <row r="15148">
      <c r="A15148" s="6"/>
      <c r="B15148" s="6"/>
      <c r="H15148" s="13"/>
    </row>
    <row r="15149">
      <c r="A15149" s="6"/>
      <c r="B15149" s="6"/>
      <c r="H15149" s="13"/>
    </row>
    <row r="15150">
      <c r="A15150" s="6"/>
      <c r="B15150" s="6"/>
      <c r="H15150" s="13"/>
    </row>
    <row r="15151">
      <c r="A15151" s="6"/>
      <c r="B15151" s="6"/>
      <c r="H15151" s="13"/>
    </row>
    <row r="15152">
      <c r="A15152" s="6"/>
      <c r="B15152" s="6"/>
      <c r="H15152" s="13"/>
    </row>
    <row r="15153">
      <c r="A15153" s="6"/>
      <c r="B15153" s="6"/>
      <c r="H15153" s="13"/>
    </row>
    <row r="15154">
      <c r="A15154" s="6"/>
      <c r="B15154" s="6"/>
      <c r="H15154" s="13"/>
    </row>
    <row r="15155">
      <c r="A15155" s="6"/>
      <c r="B15155" s="6"/>
      <c r="H15155" s="13"/>
    </row>
    <row r="15156">
      <c r="A15156" s="6"/>
      <c r="B15156" s="6"/>
      <c r="H15156" s="13"/>
    </row>
    <row r="15157">
      <c r="A15157" s="6"/>
      <c r="B15157" s="6"/>
      <c r="H15157" s="13"/>
    </row>
    <row r="15158">
      <c r="A15158" s="6"/>
      <c r="B15158" s="6"/>
      <c r="H15158" s="13"/>
    </row>
    <row r="15159">
      <c r="A15159" s="6"/>
      <c r="B15159" s="6"/>
      <c r="H15159" s="13"/>
    </row>
    <row r="15160">
      <c r="A15160" s="6"/>
      <c r="B15160" s="6"/>
      <c r="H15160" s="13"/>
    </row>
    <row r="15161">
      <c r="A15161" s="6"/>
      <c r="B15161" s="6"/>
      <c r="H15161" s="13"/>
    </row>
    <row r="15162">
      <c r="A15162" s="6"/>
      <c r="B15162" s="6"/>
      <c r="H15162" s="13"/>
    </row>
    <row r="15163">
      <c r="A15163" s="6"/>
      <c r="B15163" s="6"/>
      <c r="H15163" s="13"/>
    </row>
    <row r="15164">
      <c r="A15164" s="6"/>
      <c r="B15164" s="6"/>
      <c r="H15164" s="13"/>
    </row>
    <row r="15165">
      <c r="A15165" s="6"/>
      <c r="B15165" s="6"/>
      <c r="H15165" s="13"/>
    </row>
    <row r="15166">
      <c r="A15166" s="6"/>
      <c r="B15166" s="6"/>
      <c r="H15166" s="13"/>
    </row>
    <row r="15167">
      <c r="A15167" s="6"/>
      <c r="B15167" s="6"/>
      <c r="H15167" s="13"/>
    </row>
    <row r="15168">
      <c r="A15168" s="6"/>
      <c r="B15168" s="6"/>
      <c r="H15168" s="13"/>
    </row>
    <row r="15169">
      <c r="A15169" s="6"/>
      <c r="B15169" s="6"/>
      <c r="H15169" s="13"/>
    </row>
    <row r="15170">
      <c r="A15170" s="6"/>
      <c r="B15170" s="6"/>
      <c r="H15170" s="13"/>
    </row>
    <row r="15171">
      <c r="A15171" s="6"/>
      <c r="B15171" s="6"/>
      <c r="H15171" s="13"/>
    </row>
    <row r="15172">
      <c r="A15172" s="6"/>
      <c r="B15172" s="6"/>
      <c r="H15172" s="13"/>
    </row>
    <row r="15173">
      <c r="A15173" s="6"/>
      <c r="B15173" s="6"/>
      <c r="H15173" s="13"/>
    </row>
    <row r="15174">
      <c r="A15174" s="6"/>
      <c r="B15174" s="6"/>
      <c r="H15174" s="13"/>
    </row>
    <row r="15175">
      <c r="A15175" s="6"/>
      <c r="B15175" s="6"/>
      <c r="H15175" s="13"/>
    </row>
    <row r="15176">
      <c r="A15176" s="6"/>
      <c r="B15176" s="6"/>
      <c r="H15176" s="13"/>
    </row>
    <row r="15177">
      <c r="A15177" s="6"/>
      <c r="B15177" s="6"/>
      <c r="H15177" s="13"/>
    </row>
    <row r="15178">
      <c r="A15178" s="6"/>
      <c r="B15178" s="6"/>
      <c r="H15178" s="13"/>
    </row>
    <row r="15179">
      <c r="A15179" s="6"/>
      <c r="B15179" s="6"/>
      <c r="H15179" s="13"/>
    </row>
    <row r="15180">
      <c r="A15180" s="6"/>
      <c r="B15180" s="6"/>
      <c r="H15180" s="13"/>
    </row>
    <row r="15181">
      <c r="A15181" s="6"/>
      <c r="B15181" s="6"/>
      <c r="H15181" s="13"/>
    </row>
    <row r="15182">
      <c r="A15182" s="6"/>
      <c r="B15182" s="6"/>
      <c r="H15182" s="13"/>
    </row>
    <row r="15183">
      <c r="A15183" s="6"/>
      <c r="B15183" s="6"/>
      <c r="H15183" s="13"/>
    </row>
    <row r="15184">
      <c r="A15184" s="6"/>
      <c r="B15184" s="6"/>
      <c r="H15184" s="13"/>
    </row>
    <row r="15185">
      <c r="A15185" s="6"/>
      <c r="B15185" s="6"/>
      <c r="H15185" s="13"/>
    </row>
    <row r="15186">
      <c r="A15186" s="6"/>
      <c r="B15186" s="6"/>
      <c r="H15186" s="13"/>
    </row>
    <row r="15187">
      <c r="A15187" s="6"/>
      <c r="B15187" s="6"/>
      <c r="H15187" s="13"/>
    </row>
    <row r="15188">
      <c r="A15188" s="6"/>
      <c r="B15188" s="6"/>
      <c r="H15188" s="13"/>
    </row>
    <row r="15189">
      <c r="A15189" s="6"/>
      <c r="B15189" s="6"/>
      <c r="H15189" s="13"/>
    </row>
    <row r="15190">
      <c r="A15190" s="6"/>
      <c r="B15190" s="6"/>
      <c r="H15190" s="13"/>
    </row>
    <row r="15191">
      <c r="A15191" s="6"/>
      <c r="B15191" s="6"/>
      <c r="H15191" s="13"/>
    </row>
    <row r="15192">
      <c r="A15192" s="6"/>
      <c r="B15192" s="6"/>
      <c r="H15192" s="13"/>
    </row>
    <row r="15193">
      <c r="A15193" s="6"/>
      <c r="B15193" s="6"/>
      <c r="H15193" s="13"/>
    </row>
    <row r="15194">
      <c r="A15194" s="6"/>
      <c r="B15194" s="6"/>
      <c r="H15194" s="13"/>
    </row>
    <row r="15195">
      <c r="A15195" s="6"/>
      <c r="B15195" s="6"/>
      <c r="H15195" s="13"/>
    </row>
    <row r="15196">
      <c r="A15196" s="6"/>
      <c r="B15196" s="6"/>
      <c r="H15196" s="13"/>
    </row>
    <row r="15197">
      <c r="A15197" s="6"/>
      <c r="B15197" s="6"/>
      <c r="H15197" s="13"/>
    </row>
    <row r="15198">
      <c r="A15198" s="6"/>
      <c r="B15198" s="6"/>
      <c r="H15198" s="13"/>
    </row>
    <row r="15199">
      <c r="A15199" s="6"/>
      <c r="B15199" s="6"/>
      <c r="H15199" s="13"/>
    </row>
    <row r="15200">
      <c r="A15200" s="6"/>
      <c r="B15200" s="6"/>
      <c r="H15200" s="13"/>
    </row>
    <row r="15201">
      <c r="A15201" s="6"/>
      <c r="B15201" s="6"/>
      <c r="H15201" s="13"/>
    </row>
    <row r="15202">
      <c r="A15202" s="6"/>
      <c r="B15202" s="6"/>
      <c r="H15202" s="13"/>
    </row>
    <row r="15203">
      <c r="A15203" s="6"/>
      <c r="B15203" s="6"/>
      <c r="H15203" s="13"/>
    </row>
    <row r="15204">
      <c r="A15204" s="6"/>
      <c r="B15204" s="6"/>
      <c r="H15204" s="13"/>
    </row>
    <row r="15205">
      <c r="A15205" s="6"/>
      <c r="B15205" s="6"/>
      <c r="H15205" s="13"/>
    </row>
    <row r="15206">
      <c r="A15206" s="6"/>
      <c r="B15206" s="6"/>
      <c r="H15206" s="13"/>
    </row>
    <row r="15207">
      <c r="A15207" s="6"/>
      <c r="B15207" s="6"/>
      <c r="H15207" s="13"/>
    </row>
    <row r="15208">
      <c r="A15208" s="6"/>
      <c r="B15208" s="6"/>
      <c r="H15208" s="13"/>
    </row>
    <row r="15209">
      <c r="A15209" s="6"/>
      <c r="B15209" s="6"/>
      <c r="H15209" s="13"/>
    </row>
    <row r="15210">
      <c r="A15210" s="6"/>
      <c r="B15210" s="6"/>
      <c r="H15210" s="13"/>
    </row>
    <row r="15211">
      <c r="A15211" s="6"/>
      <c r="B15211" s="6"/>
      <c r="H15211" s="13"/>
    </row>
    <row r="15212">
      <c r="A15212" s="6"/>
      <c r="B15212" s="6"/>
      <c r="H15212" s="13"/>
    </row>
    <row r="15213">
      <c r="A15213" s="6"/>
      <c r="B15213" s="6"/>
      <c r="H15213" s="13"/>
    </row>
    <row r="15214">
      <c r="A15214" s="6"/>
      <c r="B15214" s="6"/>
      <c r="H15214" s="13"/>
    </row>
    <row r="15215">
      <c r="A15215" s="6"/>
      <c r="B15215" s="6"/>
      <c r="H15215" s="13"/>
    </row>
    <row r="15216">
      <c r="A15216" s="6"/>
      <c r="B15216" s="6"/>
      <c r="H15216" s="13"/>
    </row>
    <row r="15217">
      <c r="A15217" s="6"/>
      <c r="B15217" s="6"/>
      <c r="H15217" s="13"/>
    </row>
    <row r="15218">
      <c r="A15218" s="6"/>
      <c r="B15218" s="6"/>
      <c r="H15218" s="13"/>
    </row>
    <row r="15219">
      <c r="A15219" s="6"/>
      <c r="B15219" s="6"/>
      <c r="H15219" s="13"/>
    </row>
    <row r="15220">
      <c r="A15220" s="6"/>
      <c r="B15220" s="6"/>
      <c r="H15220" s="13"/>
    </row>
    <row r="15221">
      <c r="A15221" s="6"/>
      <c r="B15221" s="6"/>
      <c r="H15221" s="13"/>
    </row>
    <row r="15222">
      <c r="A15222" s="6"/>
      <c r="B15222" s="6"/>
      <c r="H15222" s="13"/>
    </row>
    <row r="15223">
      <c r="A15223" s="6"/>
      <c r="B15223" s="6"/>
      <c r="H15223" s="13"/>
    </row>
    <row r="15224">
      <c r="A15224" s="6"/>
      <c r="B15224" s="6"/>
      <c r="H15224" s="13"/>
    </row>
    <row r="15225">
      <c r="A15225" s="6"/>
      <c r="B15225" s="6"/>
      <c r="H15225" s="13"/>
    </row>
    <row r="15226">
      <c r="A15226" s="6"/>
      <c r="B15226" s="6"/>
      <c r="H15226" s="13"/>
    </row>
    <row r="15227">
      <c r="A15227" s="6"/>
      <c r="B15227" s="6"/>
      <c r="H15227" s="13"/>
    </row>
    <row r="15228">
      <c r="A15228" s="6"/>
      <c r="B15228" s="6"/>
      <c r="H15228" s="13"/>
    </row>
    <row r="15229">
      <c r="A15229" s="6"/>
      <c r="B15229" s="6"/>
      <c r="H15229" s="13"/>
    </row>
    <row r="15230">
      <c r="A15230" s="6"/>
      <c r="B15230" s="6"/>
      <c r="H15230" s="13"/>
    </row>
    <row r="15231">
      <c r="A15231" s="6"/>
      <c r="B15231" s="6"/>
      <c r="H15231" s="13"/>
    </row>
    <row r="15232">
      <c r="A15232" s="6"/>
      <c r="B15232" s="6"/>
      <c r="H15232" s="13"/>
    </row>
    <row r="15233">
      <c r="A15233" s="6"/>
      <c r="B15233" s="6"/>
      <c r="H15233" s="13"/>
    </row>
    <row r="15234">
      <c r="A15234" s="6"/>
      <c r="B15234" s="6"/>
      <c r="H15234" s="13"/>
    </row>
    <row r="15235">
      <c r="A15235" s="6"/>
      <c r="B15235" s="6"/>
      <c r="H15235" s="13"/>
    </row>
    <row r="15236">
      <c r="A15236" s="6"/>
      <c r="B15236" s="6"/>
      <c r="H15236" s="13"/>
    </row>
    <row r="15237">
      <c r="A15237" s="6"/>
      <c r="B15237" s="6"/>
      <c r="H15237" s="13"/>
    </row>
    <row r="15238">
      <c r="A15238" s="6"/>
      <c r="B15238" s="6"/>
      <c r="H15238" s="13"/>
    </row>
    <row r="15239">
      <c r="A15239" s="6"/>
      <c r="B15239" s="6"/>
      <c r="H15239" s="13"/>
    </row>
    <row r="15240">
      <c r="A15240" s="6"/>
      <c r="B15240" s="6"/>
      <c r="H15240" s="13"/>
    </row>
    <row r="15241">
      <c r="A15241" s="6"/>
      <c r="B15241" s="6"/>
      <c r="H15241" s="13"/>
    </row>
    <row r="15242">
      <c r="A15242" s="6"/>
      <c r="B15242" s="6"/>
      <c r="H15242" s="13"/>
    </row>
    <row r="15243">
      <c r="A15243" s="6"/>
      <c r="B15243" s="6"/>
      <c r="H15243" s="13"/>
    </row>
    <row r="15244">
      <c r="A15244" s="6"/>
      <c r="B15244" s="6"/>
      <c r="H15244" s="13"/>
    </row>
    <row r="15245">
      <c r="A15245" s="6"/>
      <c r="B15245" s="6"/>
      <c r="H15245" s="13"/>
    </row>
    <row r="15246">
      <c r="A15246" s="6"/>
      <c r="B15246" s="6"/>
      <c r="H15246" s="13"/>
    </row>
    <row r="15247">
      <c r="A15247" s="6"/>
      <c r="B15247" s="6"/>
      <c r="H15247" s="13"/>
    </row>
    <row r="15248">
      <c r="A15248" s="6"/>
      <c r="B15248" s="6"/>
      <c r="H15248" s="13"/>
    </row>
    <row r="15249">
      <c r="A15249" s="6"/>
      <c r="B15249" s="6"/>
      <c r="H15249" s="13"/>
    </row>
    <row r="15250">
      <c r="A15250" s="6"/>
      <c r="B15250" s="6"/>
      <c r="H15250" s="13"/>
    </row>
    <row r="15251">
      <c r="A15251" s="6"/>
      <c r="B15251" s="6"/>
      <c r="H15251" s="13"/>
    </row>
    <row r="15252">
      <c r="A15252" s="6"/>
      <c r="B15252" s="6"/>
      <c r="H15252" s="13"/>
    </row>
    <row r="15253">
      <c r="A15253" s="6"/>
      <c r="B15253" s="6"/>
      <c r="H15253" s="13"/>
    </row>
    <row r="15254">
      <c r="A15254" s="6"/>
      <c r="B15254" s="6"/>
      <c r="H15254" s="13"/>
    </row>
    <row r="15255">
      <c r="A15255" s="6"/>
      <c r="B15255" s="6"/>
      <c r="H15255" s="13"/>
    </row>
    <row r="15256">
      <c r="A15256" s="6"/>
      <c r="B15256" s="6"/>
      <c r="H15256" s="13"/>
    </row>
    <row r="15257">
      <c r="A15257" s="6"/>
      <c r="B15257" s="6"/>
      <c r="H15257" s="13"/>
    </row>
    <row r="15258">
      <c r="A15258" s="6"/>
      <c r="B15258" s="6"/>
      <c r="H15258" s="13"/>
    </row>
    <row r="15259">
      <c r="A15259" s="6"/>
      <c r="B15259" s="6"/>
      <c r="H15259" s="13"/>
    </row>
    <row r="15260">
      <c r="A15260" s="6"/>
      <c r="B15260" s="6"/>
      <c r="H15260" s="13"/>
    </row>
    <row r="15261">
      <c r="A15261" s="6"/>
      <c r="B15261" s="6"/>
      <c r="H15261" s="13"/>
    </row>
    <row r="15262">
      <c r="A15262" s="6"/>
      <c r="B15262" s="6"/>
      <c r="H15262" s="13"/>
    </row>
    <row r="15263">
      <c r="A15263" s="6"/>
      <c r="B15263" s="6"/>
      <c r="H15263" s="13"/>
    </row>
    <row r="15264">
      <c r="A15264" s="6"/>
      <c r="B15264" s="6"/>
      <c r="H15264" s="13"/>
    </row>
    <row r="15265">
      <c r="A15265" s="6"/>
      <c r="B15265" s="6"/>
      <c r="H15265" s="13"/>
    </row>
    <row r="15266">
      <c r="A15266" s="6"/>
      <c r="B15266" s="6"/>
      <c r="H15266" s="13"/>
    </row>
    <row r="15267">
      <c r="A15267" s="6"/>
      <c r="B15267" s="6"/>
      <c r="H15267" s="13"/>
    </row>
    <row r="15268">
      <c r="A15268" s="6"/>
      <c r="B15268" s="6"/>
      <c r="H15268" s="13"/>
    </row>
    <row r="15269">
      <c r="A15269" s="6"/>
      <c r="B15269" s="6"/>
      <c r="H15269" s="13"/>
    </row>
    <row r="15270">
      <c r="A15270" s="6"/>
      <c r="B15270" s="6"/>
      <c r="H15270" s="13"/>
    </row>
    <row r="15271">
      <c r="A15271" s="6"/>
      <c r="B15271" s="6"/>
      <c r="H15271" s="13"/>
    </row>
    <row r="15272">
      <c r="A15272" s="6"/>
      <c r="B15272" s="6"/>
      <c r="H15272" s="13"/>
    </row>
    <row r="15273">
      <c r="A15273" s="6"/>
      <c r="B15273" s="6"/>
      <c r="H15273" s="13"/>
    </row>
    <row r="15274">
      <c r="A15274" s="6"/>
      <c r="B15274" s="6"/>
      <c r="H15274" s="13"/>
    </row>
    <row r="15275">
      <c r="A15275" s="6"/>
      <c r="B15275" s="6"/>
      <c r="H15275" s="13"/>
    </row>
    <row r="15276">
      <c r="A15276" s="6"/>
      <c r="B15276" s="6"/>
      <c r="H15276" s="13"/>
    </row>
    <row r="15277">
      <c r="A15277" s="6"/>
      <c r="B15277" s="6"/>
      <c r="H15277" s="13"/>
    </row>
    <row r="15278">
      <c r="A15278" s="6"/>
      <c r="B15278" s="6"/>
      <c r="H15278" s="13"/>
    </row>
    <row r="15279">
      <c r="A15279" s="6"/>
      <c r="B15279" s="6"/>
      <c r="H15279" s="13"/>
    </row>
    <row r="15280">
      <c r="A15280" s="6"/>
      <c r="B15280" s="6"/>
      <c r="H15280" s="13"/>
    </row>
    <row r="15281">
      <c r="A15281" s="6"/>
      <c r="B15281" s="6"/>
      <c r="H15281" s="13"/>
    </row>
    <row r="15282">
      <c r="A15282" s="6"/>
      <c r="B15282" s="6"/>
      <c r="H15282" s="13"/>
    </row>
    <row r="15283">
      <c r="A15283" s="6"/>
      <c r="B15283" s="6"/>
      <c r="H15283" s="13"/>
    </row>
    <row r="15284">
      <c r="A15284" s="6"/>
      <c r="B15284" s="6"/>
      <c r="H15284" s="13"/>
    </row>
    <row r="15285">
      <c r="A15285" s="6"/>
      <c r="B15285" s="6"/>
      <c r="H15285" s="13"/>
    </row>
    <row r="15286">
      <c r="A15286" s="6"/>
      <c r="B15286" s="6"/>
      <c r="H15286" s="13"/>
    </row>
    <row r="15287">
      <c r="A15287" s="6"/>
      <c r="B15287" s="6"/>
      <c r="H15287" s="13"/>
    </row>
    <row r="15288">
      <c r="A15288" s="6"/>
      <c r="B15288" s="6"/>
      <c r="H15288" s="13"/>
    </row>
    <row r="15289">
      <c r="A15289" s="6"/>
      <c r="B15289" s="6"/>
      <c r="H15289" s="13"/>
    </row>
    <row r="15290">
      <c r="A15290" s="6"/>
      <c r="B15290" s="6"/>
      <c r="H15290" s="13"/>
    </row>
    <row r="15291">
      <c r="A15291" s="6"/>
      <c r="B15291" s="6"/>
      <c r="H15291" s="13"/>
    </row>
    <row r="15292">
      <c r="A15292" s="6"/>
      <c r="B15292" s="6"/>
      <c r="H15292" s="13"/>
    </row>
    <row r="15293">
      <c r="A15293" s="6"/>
      <c r="B15293" s="6"/>
      <c r="H15293" s="13"/>
    </row>
    <row r="15294">
      <c r="A15294" s="6"/>
      <c r="B15294" s="6"/>
      <c r="H15294" s="13"/>
    </row>
    <row r="15295">
      <c r="A15295" s="6"/>
      <c r="B15295" s="6"/>
      <c r="H15295" s="13"/>
    </row>
    <row r="15296">
      <c r="A15296" s="6"/>
      <c r="B15296" s="6"/>
      <c r="H15296" s="13"/>
    </row>
    <row r="15297">
      <c r="A15297" s="6"/>
      <c r="B15297" s="6"/>
      <c r="H15297" s="13"/>
    </row>
    <row r="15298">
      <c r="A15298" s="6"/>
      <c r="B15298" s="6"/>
      <c r="H15298" s="13"/>
    </row>
    <row r="15299">
      <c r="A15299" s="6"/>
      <c r="B15299" s="6"/>
      <c r="H15299" s="13"/>
    </row>
    <row r="15300">
      <c r="A15300" s="6"/>
      <c r="B15300" s="6"/>
      <c r="H15300" s="13"/>
    </row>
    <row r="15301">
      <c r="A15301" s="6"/>
      <c r="B15301" s="6"/>
      <c r="H15301" s="13"/>
    </row>
    <row r="15302">
      <c r="A15302" s="6"/>
      <c r="B15302" s="6"/>
      <c r="H15302" s="13"/>
    </row>
    <row r="15303">
      <c r="A15303" s="6"/>
      <c r="B15303" s="6"/>
      <c r="H15303" s="13"/>
    </row>
    <row r="15304">
      <c r="A15304" s="6"/>
      <c r="B15304" s="6"/>
      <c r="H15304" s="13"/>
    </row>
    <row r="15305">
      <c r="A15305" s="6"/>
      <c r="B15305" s="6"/>
      <c r="H15305" s="13"/>
    </row>
    <row r="15306">
      <c r="A15306" s="6"/>
      <c r="B15306" s="6"/>
      <c r="H15306" s="13"/>
    </row>
    <row r="15307">
      <c r="A15307" s="6"/>
      <c r="B15307" s="6"/>
      <c r="H15307" s="13"/>
    </row>
    <row r="15308">
      <c r="A15308" s="6"/>
      <c r="B15308" s="6"/>
      <c r="H15308" s="13"/>
    </row>
    <row r="15309">
      <c r="A15309" s="6"/>
      <c r="B15309" s="6"/>
      <c r="H15309" s="13"/>
    </row>
    <row r="15310">
      <c r="A15310" s="6"/>
      <c r="B15310" s="6"/>
      <c r="H15310" s="13"/>
    </row>
    <row r="15311">
      <c r="A15311" s="6"/>
      <c r="B15311" s="6"/>
      <c r="H15311" s="13"/>
    </row>
    <row r="15312">
      <c r="A15312" s="6"/>
      <c r="B15312" s="6"/>
      <c r="H15312" s="13"/>
    </row>
    <row r="15313">
      <c r="A15313" s="6"/>
      <c r="B15313" s="6"/>
      <c r="H15313" s="13"/>
    </row>
    <row r="15314">
      <c r="A15314" s="6"/>
      <c r="B15314" s="6"/>
      <c r="H15314" s="13"/>
    </row>
    <row r="15315">
      <c r="A15315" s="6"/>
      <c r="B15315" s="6"/>
      <c r="H15315" s="13"/>
    </row>
    <row r="15316">
      <c r="A15316" s="6"/>
      <c r="B15316" s="6"/>
      <c r="H15316" s="13"/>
    </row>
    <row r="15317">
      <c r="A15317" s="6"/>
      <c r="B15317" s="6"/>
      <c r="H15317" s="13"/>
    </row>
    <row r="15318">
      <c r="A15318" s="6"/>
      <c r="B15318" s="6"/>
      <c r="H15318" s="13"/>
    </row>
    <row r="15319">
      <c r="A15319" s="6"/>
      <c r="B15319" s="6"/>
      <c r="H15319" s="13"/>
    </row>
    <row r="15320">
      <c r="A15320" s="6"/>
      <c r="B15320" s="6"/>
      <c r="H15320" s="13"/>
    </row>
    <row r="15321">
      <c r="A15321" s="6"/>
      <c r="B15321" s="6"/>
      <c r="H15321" s="13"/>
    </row>
    <row r="15322">
      <c r="A15322" s="6"/>
      <c r="B15322" s="6"/>
      <c r="H15322" s="13"/>
    </row>
    <row r="15323">
      <c r="A15323" s="6"/>
      <c r="B15323" s="6"/>
      <c r="H15323" s="13"/>
    </row>
    <row r="15324">
      <c r="A15324" s="6"/>
      <c r="B15324" s="6"/>
      <c r="H15324" s="13"/>
    </row>
    <row r="15325">
      <c r="A15325" s="6"/>
      <c r="B15325" s="6"/>
      <c r="H15325" s="13"/>
    </row>
    <row r="15326">
      <c r="A15326" s="6"/>
      <c r="B15326" s="6"/>
      <c r="H15326" s="13"/>
    </row>
    <row r="15327">
      <c r="A15327" s="6"/>
      <c r="B15327" s="6"/>
      <c r="H15327" s="13"/>
    </row>
    <row r="15328">
      <c r="A15328" s="6"/>
      <c r="B15328" s="6"/>
      <c r="H15328" s="13"/>
    </row>
    <row r="15329">
      <c r="A15329" s="6"/>
      <c r="B15329" s="6"/>
      <c r="H15329" s="13"/>
    </row>
    <row r="15330">
      <c r="A15330" s="6"/>
      <c r="B15330" s="6"/>
      <c r="H15330" s="13"/>
    </row>
    <row r="15331">
      <c r="A15331" s="6"/>
      <c r="B15331" s="6"/>
      <c r="H15331" s="13"/>
    </row>
    <row r="15332">
      <c r="A15332" s="6"/>
      <c r="B15332" s="6"/>
      <c r="H15332" s="13"/>
    </row>
    <row r="15333">
      <c r="A15333" s="6"/>
      <c r="B15333" s="6"/>
      <c r="H15333" s="13"/>
    </row>
    <row r="15334">
      <c r="A15334" s="6"/>
      <c r="B15334" s="6"/>
      <c r="H15334" s="13"/>
    </row>
    <row r="15335">
      <c r="A15335" s="6"/>
      <c r="B15335" s="6"/>
      <c r="H15335" s="13"/>
    </row>
    <row r="15336">
      <c r="A15336" s="6"/>
      <c r="B15336" s="6"/>
      <c r="H15336" s="13"/>
    </row>
    <row r="15337">
      <c r="A15337" s="6"/>
      <c r="B15337" s="6"/>
      <c r="H15337" s="13"/>
    </row>
    <row r="15338">
      <c r="A15338" s="6"/>
      <c r="B15338" s="6"/>
      <c r="H15338" s="13"/>
    </row>
    <row r="15339">
      <c r="A15339" s="6"/>
      <c r="B15339" s="6"/>
      <c r="H15339" s="13"/>
    </row>
    <row r="15340">
      <c r="A15340" s="6"/>
      <c r="B15340" s="6"/>
      <c r="H15340" s="13"/>
    </row>
    <row r="15341">
      <c r="A15341" s="6"/>
      <c r="B15341" s="6"/>
      <c r="H15341" s="13"/>
    </row>
    <row r="15342">
      <c r="A15342" s="6"/>
      <c r="B15342" s="6"/>
      <c r="H15342" s="13"/>
    </row>
    <row r="15343">
      <c r="A15343" s="6"/>
      <c r="B15343" s="6"/>
      <c r="H15343" s="13"/>
    </row>
    <row r="15344">
      <c r="A15344" s="6"/>
      <c r="B15344" s="6"/>
      <c r="H15344" s="13"/>
    </row>
    <row r="15345">
      <c r="A15345" s="6"/>
      <c r="B15345" s="6"/>
      <c r="H15345" s="13"/>
    </row>
    <row r="15346">
      <c r="A15346" s="6"/>
      <c r="B15346" s="6"/>
      <c r="H15346" s="13"/>
    </row>
    <row r="15347">
      <c r="A15347" s="6"/>
      <c r="B15347" s="6"/>
      <c r="H15347" s="13"/>
    </row>
    <row r="15348">
      <c r="A15348" s="6"/>
      <c r="B15348" s="6"/>
      <c r="H15348" s="13"/>
    </row>
    <row r="15349">
      <c r="A15349" s="6"/>
      <c r="B15349" s="6"/>
      <c r="H15349" s="13"/>
    </row>
    <row r="15350">
      <c r="A15350" s="6"/>
      <c r="B15350" s="6"/>
      <c r="H15350" s="13"/>
    </row>
    <row r="15351">
      <c r="A15351" s="6"/>
      <c r="B15351" s="6"/>
      <c r="H15351" s="13"/>
    </row>
    <row r="15352">
      <c r="A15352" s="6"/>
      <c r="B15352" s="6"/>
      <c r="H15352" s="13"/>
    </row>
    <row r="15353">
      <c r="A15353" s="6"/>
      <c r="B15353" s="6"/>
      <c r="H15353" s="13"/>
    </row>
    <row r="15354">
      <c r="A15354" s="6"/>
      <c r="B15354" s="6"/>
      <c r="H15354" s="13"/>
    </row>
    <row r="15355">
      <c r="A15355" s="6"/>
      <c r="B15355" s="6"/>
      <c r="H15355" s="13"/>
    </row>
    <row r="15356">
      <c r="A15356" s="6"/>
      <c r="B15356" s="6"/>
      <c r="H15356" s="13"/>
    </row>
    <row r="15357">
      <c r="A15357" s="6"/>
      <c r="B15357" s="6"/>
      <c r="H15357" s="13"/>
    </row>
    <row r="15358">
      <c r="A15358" s="6"/>
      <c r="B15358" s="6"/>
      <c r="H15358" s="13"/>
    </row>
    <row r="15359">
      <c r="A15359" s="6"/>
      <c r="B15359" s="6"/>
      <c r="H15359" s="13"/>
    </row>
    <row r="15360">
      <c r="A15360" s="6"/>
      <c r="B15360" s="6"/>
      <c r="H15360" s="13"/>
    </row>
    <row r="15361">
      <c r="A15361" s="6"/>
      <c r="B15361" s="6"/>
      <c r="H15361" s="13"/>
    </row>
    <row r="15362">
      <c r="A15362" s="6"/>
      <c r="B15362" s="6"/>
      <c r="H15362" s="13"/>
    </row>
    <row r="15363">
      <c r="A15363" s="6"/>
      <c r="B15363" s="6"/>
      <c r="H15363" s="13"/>
    </row>
    <row r="15364">
      <c r="A15364" s="6"/>
      <c r="B15364" s="6"/>
      <c r="H15364" s="13"/>
    </row>
    <row r="15365">
      <c r="A15365" s="6"/>
      <c r="B15365" s="6"/>
      <c r="H15365" s="13"/>
    </row>
    <row r="15366">
      <c r="A15366" s="6"/>
      <c r="B15366" s="6"/>
      <c r="H15366" s="13"/>
    </row>
    <row r="15367">
      <c r="A15367" s="6"/>
      <c r="B15367" s="6"/>
      <c r="H15367" s="13"/>
    </row>
    <row r="15368">
      <c r="A15368" s="6"/>
      <c r="B15368" s="6"/>
      <c r="H15368" s="13"/>
    </row>
    <row r="15369">
      <c r="A15369" s="6"/>
      <c r="B15369" s="6"/>
      <c r="H15369" s="13"/>
    </row>
    <row r="15370">
      <c r="A15370" s="6"/>
      <c r="B15370" s="6"/>
      <c r="H15370" s="13"/>
    </row>
    <row r="15371">
      <c r="A15371" s="6"/>
      <c r="B15371" s="6"/>
      <c r="H15371" s="13"/>
    </row>
    <row r="15372">
      <c r="A15372" s="6"/>
      <c r="B15372" s="6"/>
      <c r="H15372" s="13"/>
    </row>
    <row r="15373">
      <c r="A15373" s="6"/>
      <c r="B15373" s="6"/>
      <c r="H15373" s="13"/>
    </row>
    <row r="15374">
      <c r="A15374" s="6"/>
      <c r="B15374" s="6"/>
      <c r="H15374" s="13"/>
    </row>
    <row r="15375">
      <c r="A15375" s="6"/>
      <c r="B15375" s="6"/>
      <c r="H15375" s="13"/>
    </row>
    <row r="15376">
      <c r="A15376" s="6"/>
      <c r="B15376" s="6"/>
      <c r="H15376" s="13"/>
    </row>
    <row r="15377">
      <c r="A15377" s="6"/>
      <c r="B15377" s="6"/>
      <c r="H15377" s="13"/>
    </row>
    <row r="15378">
      <c r="A15378" s="6"/>
      <c r="B15378" s="6"/>
      <c r="H15378" s="13"/>
    </row>
    <row r="15379">
      <c r="A15379" s="6"/>
      <c r="B15379" s="6"/>
      <c r="H15379" s="13"/>
    </row>
    <row r="15380">
      <c r="A15380" s="6"/>
      <c r="B15380" s="6"/>
      <c r="H15380" s="13"/>
    </row>
    <row r="15381">
      <c r="A15381" s="6"/>
      <c r="B15381" s="6"/>
      <c r="H15381" s="13"/>
    </row>
    <row r="15382">
      <c r="A15382" s="6"/>
      <c r="B15382" s="6"/>
      <c r="H15382" s="13"/>
    </row>
    <row r="15383">
      <c r="A15383" s="6"/>
      <c r="B15383" s="6"/>
      <c r="H15383" s="13"/>
    </row>
    <row r="15384">
      <c r="A15384" s="6"/>
      <c r="B15384" s="6"/>
      <c r="H15384" s="13"/>
    </row>
    <row r="15385">
      <c r="A15385" s="6"/>
      <c r="B15385" s="6"/>
      <c r="H15385" s="13"/>
    </row>
    <row r="15386">
      <c r="A15386" s="6"/>
      <c r="B15386" s="6"/>
      <c r="H15386" s="13"/>
    </row>
    <row r="15387">
      <c r="A15387" s="6"/>
      <c r="B15387" s="6"/>
      <c r="H15387" s="13"/>
    </row>
    <row r="15388">
      <c r="A15388" s="6"/>
      <c r="B15388" s="6"/>
      <c r="H15388" s="13"/>
    </row>
    <row r="15389">
      <c r="A15389" s="6"/>
      <c r="B15389" s="6"/>
      <c r="H15389" s="13"/>
    </row>
    <row r="15390">
      <c r="A15390" s="6"/>
      <c r="B15390" s="6"/>
      <c r="H15390" s="13"/>
    </row>
    <row r="15391">
      <c r="A15391" s="6"/>
      <c r="B15391" s="6"/>
      <c r="H15391" s="13"/>
    </row>
    <row r="15392">
      <c r="A15392" s="6"/>
      <c r="B15392" s="6"/>
      <c r="H15392" s="13"/>
    </row>
    <row r="15393">
      <c r="A15393" s="6"/>
      <c r="B15393" s="6"/>
      <c r="H15393" s="13"/>
    </row>
    <row r="15394">
      <c r="A15394" s="6"/>
      <c r="B15394" s="6"/>
      <c r="H15394" s="13"/>
    </row>
    <row r="15395">
      <c r="A15395" s="6"/>
      <c r="B15395" s="6"/>
      <c r="H15395" s="13"/>
    </row>
    <row r="15396">
      <c r="A15396" s="6"/>
      <c r="B15396" s="6"/>
      <c r="H15396" s="13"/>
    </row>
    <row r="15397">
      <c r="A15397" s="6"/>
      <c r="B15397" s="6"/>
      <c r="H15397" s="13"/>
    </row>
    <row r="15398">
      <c r="A15398" s="6"/>
      <c r="B15398" s="6"/>
      <c r="H15398" s="13"/>
    </row>
    <row r="15399">
      <c r="A15399" s="6"/>
      <c r="B15399" s="6"/>
      <c r="H15399" s="13"/>
    </row>
    <row r="15400">
      <c r="A15400" s="6"/>
      <c r="B15400" s="6"/>
      <c r="H15400" s="13"/>
    </row>
    <row r="15401">
      <c r="A15401" s="6"/>
      <c r="B15401" s="6"/>
      <c r="H15401" s="13"/>
    </row>
    <row r="15402">
      <c r="A15402" s="6"/>
      <c r="B15402" s="6"/>
      <c r="H15402" s="13"/>
    </row>
    <row r="15403">
      <c r="A15403" s="6"/>
      <c r="B15403" s="6"/>
      <c r="H15403" s="13"/>
    </row>
    <row r="15404">
      <c r="A15404" s="6"/>
      <c r="B15404" s="6"/>
      <c r="H15404" s="13"/>
    </row>
    <row r="15405">
      <c r="A15405" s="6"/>
      <c r="B15405" s="6"/>
      <c r="H15405" s="13"/>
    </row>
    <row r="15406">
      <c r="A15406" s="6"/>
      <c r="B15406" s="6"/>
      <c r="H15406" s="13"/>
    </row>
    <row r="15407">
      <c r="A15407" s="6"/>
      <c r="B15407" s="6"/>
      <c r="H15407" s="13"/>
    </row>
    <row r="15408">
      <c r="A15408" s="6"/>
      <c r="B15408" s="6"/>
      <c r="H15408" s="13"/>
    </row>
    <row r="15409">
      <c r="A15409" s="6"/>
      <c r="B15409" s="6"/>
      <c r="H15409" s="13"/>
    </row>
    <row r="15410">
      <c r="A15410" s="6"/>
      <c r="B15410" s="6"/>
      <c r="H15410" s="13"/>
    </row>
    <row r="15411">
      <c r="A15411" s="6"/>
      <c r="B15411" s="6"/>
      <c r="H15411" s="13"/>
    </row>
    <row r="15412">
      <c r="A15412" s="6"/>
      <c r="B15412" s="6"/>
      <c r="H15412" s="13"/>
    </row>
    <row r="15413">
      <c r="A15413" s="6"/>
      <c r="B15413" s="6"/>
      <c r="H15413" s="13"/>
    </row>
    <row r="15414">
      <c r="A15414" s="6"/>
      <c r="B15414" s="6"/>
      <c r="H15414" s="13"/>
    </row>
    <row r="15415">
      <c r="A15415" s="6"/>
      <c r="B15415" s="6"/>
      <c r="H15415" s="13"/>
    </row>
    <row r="15416">
      <c r="A15416" s="6"/>
      <c r="B15416" s="6"/>
      <c r="H15416" s="13"/>
    </row>
    <row r="15417">
      <c r="A15417" s="6"/>
      <c r="B15417" s="6"/>
      <c r="H15417" s="13"/>
    </row>
    <row r="15418">
      <c r="A15418" s="6"/>
      <c r="B15418" s="6"/>
      <c r="H15418" s="13"/>
    </row>
    <row r="15419">
      <c r="A15419" s="6"/>
      <c r="B15419" s="6"/>
      <c r="H15419" s="13"/>
    </row>
    <row r="15420">
      <c r="A15420" s="6"/>
      <c r="B15420" s="6"/>
      <c r="H15420" s="13"/>
    </row>
    <row r="15421">
      <c r="A15421" s="6"/>
      <c r="B15421" s="6"/>
      <c r="H15421" s="13"/>
    </row>
    <row r="15422">
      <c r="A15422" s="6"/>
      <c r="B15422" s="6"/>
      <c r="H15422" s="13"/>
    </row>
    <row r="15423">
      <c r="A15423" s="6"/>
      <c r="B15423" s="6"/>
      <c r="H15423" s="13"/>
    </row>
    <row r="15424">
      <c r="A15424" s="6"/>
      <c r="B15424" s="6"/>
      <c r="H15424" s="13"/>
    </row>
    <row r="15425">
      <c r="A15425" s="6"/>
      <c r="B15425" s="6"/>
      <c r="H15425" s="13"/>
    </row>
    <row r="15426">
      <c r="A15426" s="6"/>
      <c r="B15426" s="6"/>
      <c r="H15426" s="13"/>
    </row>
    <row r="15427">
      <c r="A15427" s="6"/>
      <c r="B15427" s="6"/>
      <c r="H15427" s="13"/>
    </row>
    <row r="15428">
      <c r="A15428" s="6"/>
      <c r="B15428" s="6"/>
      <c r="H15428" s="13"/>
    </row>
    <row r="15429">
      <c r="A15429" s="6"/>
      <c r="B15429" s="6"/>
      <c r="H15429" s="13"/>
    </row>
    <row r="15430">
      <c r="A15430" s="6"/>
      <c r="B15430" s="6"/>
      <c r="H15430" s="13"/>
    </row>
    <row r="15431">
      <c r="A15431" s="6"/>
      <c r="B15431" s="6"/>
      <c r="H15431" s="13"/>
    </row>
    <row r="15432">
      <c r="A15432" s="6"/>
      <c r="B15432" s="6"/>
      <c r="H15432" s="13"/>
    </row>
    <row r="15433">
      <c r="A15433" s="6"/>
      <c r="B15433" s="6"/>
      <c r="H15433" s="13"/>
    </row>
    <row r="15434">
      <c r="A15434" s="6"/>
      <c r="B15434" s="6"/>
      <c r="H15434" s="13"/>
    </row>
    <row r="15435">
      <c r="A15435" s="6"/>
      <c r="B15435" s="6"/>
      <c r="H15435" s="13"/>
    </row>
    <row r="15436">
      <c r="A15436" s="6"/>
      <c r="B15436" s="6"/>
      <c r="H15436" s="13"/>
    </row>
    <row r="15437">
      <c r="A15437" s="6"/>
      <c r="B15437" s="6"/>
      <c r="H15437" s="13"/>
    </row>
    <row r="15438">
      <c r="A15438" s="6"/>
      <c r="B15438" s="6"/>
      <c r="H15438" s="13"/>
    </row>
    <row r="15439">
      <c r="A15439" s="6"/>
      <c r="B15439" s="6"/>
      <c r="H15439" s="13"/>
    </row>
    <row r="15440">
      <c r="A15440" s="6"/>
      <c r="B15440" s="6"/>
      <c r="H15440" s="13"/>
    </row>
    <row r="15441">
      <c r="A15441" s="6"/>
      <c r="B15441" s="6"/>
      <c r="H15441" s="13"/>
    </row>
    <row r="15442">
      <c r="A15442" s="6"/>
      <c r="B15442" s="6"/>
      <c r="H15442" s="13"/>
    </row>
    <row r="15443">
      <c r="A15443" s="6"/>
      <c r="B15443" s="6"/>
      <c r="H15443" s="13"/>
    </row>
    <row r="15444">
      <c r="A15444" s="6"/>
      <c r="B15444" s="6"/>
      <c r="H15444" s="13"/>
    </row>
    <row r="15445">
      <c r="A15445" s="6"/>
      <c r="B15445" s="6"/>
      <c r="H15445" s="13"/>
    </row>
    <row r="15446">
      <c r="A15446" s="6"/>
      <c r="B15446" s="6"/>
      <c r="H15446" s="13"/>
    </row>
    <row r="15447">
      <c r="A15447" s="6"/>
      <c r="B15447" s="6"/>
      <c r="H15447" s="13"/>
    </row>
    <row r="15448">
      <c r="A15448" s="6"/>
      <c r="B15448" s="6"/>
      <c r="H15448" s="13"/>
    </row>
    <row r="15449">
      <c r="A15449" s="6"/>
      <c r="B15449" s="6"/>
      <c r="H15449" s="13"/>
    </row>
    <row r="15450">
      <c r="A15450" s="6"/>
      <c r="B15450" s="6"/>
      <c r="H15450" s="13"/>
    </row>
    <row r="15451">
      <c r="A15451" s="6"/>
      <c r="B15451" s="6"/>
      <c r="H15451" s="13"/>
    </row>
    <row r="15452">
      <c r="A15452" s="6"/>
      <c r="B15452" s="6"/>
      <c r="H15452" s="13"/>
    </row>
    <row r="15453">
      <c r="A15453" s="6"/>
      <c r="B15453" s="6"/>
      <c r="H15453" s="13"/>
    </row>
    <row r="15454">
      <c r="A15454" s="6"/>
      <c r="B15454" s="6"/>
      <c r="H15454" s="13"/>
    </row>
    <row r="15455">
      <c r="A15455" s="6"/>
      <c r="B15455" s="6"/>
      <c r="H15455" s="13"/>
    </row>
    <row r="15456">
      <c r="A15456" s="6"/>
      <c r="B15456" s="6"/>
      <c r="H15456" s="13"/>
    </row>
    <row r="15457">
      <c r="A15457" s="6"/>
      <c r="B15457" s="6"/>
      <c r="H15457" s="13"/>
    </row>
    <row r="15458">
      <c r="A15458" s="6"/>
      <c r="B15458" s="6"/>
      <c r="H15458" s="13"/>
    </row>
    <row r="15459">
      <c r="A15459" s="6"/>
      <c r="B15459" s="6"/>
      <c r="H15459" s="13"/>
    </row>
    <row r="15460">
      <c r="A15460" s="6"/>
      <c r="B15460" s="6"/>
      <c r="H15460" s="13"/>
    </row>
    <row r="15461">
      <c r="A15461" s="6"/>
      <c r="B15461" s="6"/>
      <c r="H15461" s="13"/>
    </row>
    <row r="15462">
      <c r="A15462" s="6"/>
      <c r="B15462" s="6"/>
      <c r="H15462" s="13"/>
    </row>
    <row r="15463">
      <c r="A15463" s="6"/>
      <c r="B15463" s="6"/>
      <c r="H15463" s="13"/>
    </row>
    <row r="15464">
      <c r="A15464" s="6"/>
      <c r="B15464" s="6"/>
      <c r="H15464" s="13"/>
    </row>
    <row r="15465">
      <c r="A15465" s="6"/>
      <c r="B15465" s="6"/>
      <c r="H15465" s="13"/>
    </row>
    <row r="15466">
      <c r="A15466" s="6"/>
      <c r="B15466" s="6"/>
      <c r="H15466" s="13"/>
    </row>
    <row r="15467">
      <c r="A15467" s="6"/>
      <c r="B15467" s="6"/>
      <c r="H15467" s="13"/>
    </row>
    <row r="15468">
      <c r="A15468" s="6"/>
      <c r="B15468" s="6"/>
      <c r="H15468" s="13"/>
    </row>
    <row r="15469">
      <c r="A15469" s="6"/>
      <c r="B15469" s="6"/>
      <c r="H15469" s="13"/>
    </row>
    <row r="15470">
      <c r="A15470" s="6"/>
      <c r="B15470" s="6"/>
      <c r="H15470" s="13"/>
    </row>
    <row r="15471">
      <c r="A15471" s="6"/>
      <c r="B15471" s="6"/>
      <c r="H15471" s="13"/>
    </row>
    <row r="15472">
      <c r="A15472" s="6"/>
      <c r="B15472" s="6"/>
      <c r="H15472" s="13"/>
    </row>
    <row r="15473">
      <c r="A15473" s="6"/>
      <c r="B15473" s="6"/>
      <c r="H15473" s="13"/>
    </row>
    <row r="15474">
      <c r="A15474" s="6"/>
      <c r="B15474" s="6"/>
      <c r="H15474" s="13"/>
    </row>
    <row r="15475">
      <c r="A15475" s="6"/>
      <c r="B15475" s="6"/>
      <c r="H15475" s="13"/>
    </row>
    <row r="15476">
      <c r="A15476" s="6"/>
      <c r="B15476" s="6"/>
      <c r="H15476" s="13"/>
    </row>
    <row r="15477">
      <c r="A15477" s="6"/>
      <c r="B15477" s="6"/>
      <c r="H15477" s="13"/>
    </row>
    <row r="15478">
      <c r="A15478" s="6"/>
      <c r="B15478" s="6"/>
      <c r="H15478" s="13"/>
    </row>
    <row r="15479">
      <c r="A15479" s="6"/>
      <c r="B15479" s="6"/>
      <c r="H15479" s="13"/>
    </row>
    <row r="15480">
      <c r="A15480" s="6"/>
      <c r="B15480" s="6"/>
      <c r="H15480" s="13"/>
    </row>
    <row r="15481">
      <c r="A15481" s="6"/>
      <c r="B15481" s="6"/>
      <c r="H15481" s="13"/>
    </row>
    <row r="15482">
      <c r="A15482" s="6"/>
      <c r="B15482" s="6"/>
      <c r="H15482" s="13"/>
    </row>
    <row r="15483">
      <c r="A15483" s="6"/>
      <c r="B15483" s="6"/>
      <c r="H15483" s="13"/>
    </row>
    <row r="15484">
      <c r="A15484" s="6"/>
      <c r="B15484" s="6"/>
      <c r="H15484" s="13"/>
    </row>
    <row r="15485">
      <c r="A15485" s="6"/>
      <c r="B15485" s="6"/>
      <c r="H15485" s="13"/>
    </row>
    <row r="15486">
      <c r="A15486" s="6"/>
      <c r="B15486" s="6"/>
      <c r="H15486" s="13"/>
    </row>
    <row r="15487">
      <c r="A15487" s="6"/>
      <c r="B15487" s="6"/>
      <c r="H15487" s="13"/>
    </row>
    <row r="15488">
      <c r="A15488" s="6"/>
      <c r="B15488" s="6"/>
      <c r="H15488" s="13"/>
    </row>
    <row r="15489">
      <c r="A15489" s="6"/>
      <c r="B15489" s="6"/>
      <c r="H15489" s="13"/>
    </row>
    <row r="15490">
      <c r="A15490" s="6"/>
      <c r="B15490" s="6"/>
      <c r="H15490" s="13"/>
    </row>
    <row r="15491">
      <c r="A15491" s="6"/>
      <c r="B15491" s="6"/>
      <c r="H15491" s="13"/>
    </row>
    <row r="15492">
      <c r="A15492" s="6"/>
      <c r="B15492" s="6"/>
      <c r="H15492" s="13"/>
    </row>
    <row r="15493">
      <c r="A15493" s="6"/>
      <c r="B15493" s="6"/>
      <c r="H15493" s="13"/>
    </row>
    <row r="15494">
      <c r="A15494" s="6"/>
      <c r="B15494" s="6"/>
      <c r="H15494" s="13"/>
    </row>
    <row r="15495">
      <c r="A15495" s="6"/>
      <c r="B15495" s="6"/>
      <c r="H15495" s="13"/>
    </row>
    <row r="15496">
      <c r="A15496" s="6"/>
      <c r="B15496" s="6"/>
      <c r="H15496" s="13"/>
    </row>
    <row r="15497">
      <c r="A15497" s="6"/>
      <c r="B15497" s="6"/>
      <c r="H15497" s="13"/>
    </row>
    <row r="15498">
      <c r="A15498" s="6"/>
      <c r="B15498" s="6"/>
      <c r="H15498" s="13"/>
    </row>
    <row r="15499">
      <c r="A15499" s="6"/>
      <c r="B15499" s="6"/>
      <c r="H15499" s="13"/>
    </row>
    <row r="15500">
      <c r="A15500" s="6"/>
      <c r="B15500" s="6"/>
      <c r="H15500" s="13"/>
    </row>
    <row r="15501">
      <c r="A15501" s="6"/>
      <c r="B15501" s="6"/>
      <c r="H15501" s="13"/>
    </row>
    <row r="15502">
      <c r="A15502" s="6"/>
      <c r="B15502" s="6"/>
      <c r="H15502" s="13"/>
    </row>
    <row r="15503">
      <c r="A15503" s="6"/>
      <c r="B15503" s="6"/>
      <c r="H15503" s="13"/>
    </row>
    <row r="15504">
      <c r="A15504" s="6"/>
      <c r="B15504" s="6"/>
      <c r="H15504" s="13"/>
    </row>
    <row r="15505">
      <c r="A15505" s="6"/>
      <c r="B15505" s="6"/>
      <c r="H15505" s="13"/>
    </row>
    <row r="15506">
      <c r="A15506" s="6"/>
      <c r="B15506" s="6"/>
      <c r="H15506" s="13"/>
    </row>
    <row r="15507">
      <c r="A15507" s="6"/>
      <c r="B15507" s="6"/>
      <c r="H15507" s="13"/>
    </row>
    <row r="15508">
      <c r="A15508" s="6"/>
      <c r="B15508" s="6"/>
      <c r="H15508" s="13"/>
    </row>
    <row r="15509">
      <c r="A15509" s="6"/>
      <c r="B15509" s="6"/>
      <c r="H15509" s="13"/>
    </row>
    <row r="15510">
      <c r="A15510" s="6"/>
      <c r="B15510" s="6"/>
      <c r="H15510" s="13"/>
    </row>
    <row r="15511">
      <c r="A15511" s="6"/>
      <c r="B15511" s="6"/>
      <c r="H15511" s="13"/>
    </row>
    <row r="15512">
      <c r="A15512" s="6"/>
      <c r="B15512" s="6"/>
      <c r="H15512" s="13"/>
    </row>
    <row r="15513">
      <c r="A15513" s="6"/>
      <c r="B15513" s="6"/>
      <c r="H15513" s="13"/>
    </row>
    <row r="15514">
      <c r="A15514" s="6"/>
      <c r="B15514" s="6"/>
      <c r="H15514" s="13"/>
    </row>
    <row r="15515">
      <c r="A15515" s="6"/>
      <c r="B15515" s="6"/>
      <c r="H15515" s="13"/>
    </row>
    <row r="15516">
      <c r="A15516" s="6"/>
      <c r="B15516" s="6"/>
      <c r="H15516" s="13"/>
    </row>
    <row r="15517">
      <c r="A15517" s="6"/>
      <c r="B15517" s="6"/>
      <c r="H15517" s="13"/>
    </row>
    <row r="15518">
      <c r="A15518" s="6"/>
      <c r="B15518" s="6"/>
      <c r="H15518" s="13"/>
    </row>
    <row r="15519">
      <c r="A15519" s="6"/>
      <c r="B15519" s="6"/>
      <c r="H15519" s="13"/>
    </row>
    <row r="15520">
      <c r="A15520" s="6"/>
      <c r="B15520" s="6"/>
      <c r="H15520" s="13"/>
    </row>
    <row r="15521">
      <c r="A15521" s="6"/>
      <c r="B15521" s="6"/>
      <c r="H15521" s="13"/>
    </row>
    <row r="15522">
      <c r="A15522" s="6"/>
      <c r="B15522" s="6"/>
      <c r="H15522" s="13"/>
    </row>
    <row r="15523">
      <c r="A15523" s="6"/>
      <c r="B15523" s="6"/>
      <c r="H15523" s="13"/>
    </row>
    <row r="15524">
      <c r="A15524" s="6"/>
      <c r="B15524" s="6"/>
      <c r="H15524" s="13"/>
    </row>
    <row r="15525">
      <c r="A15525" s="6"/>
      <c r="B15525" s="6"/>
      <c r="H15525" s="13"/>
    </row>
    <row r="15526">
      <c r="A15526" s="6"/>
      <c r="B15526" s="6"/>
      <c r="H15526" s="13"/>
    </row>
    <row r="15527">
      <c r="A15527" s="6"/>
      <c r="B15527" s="6"/>
      <c r="H15527" s="13"/>
    </row>
    <row r="15528">
      <c r="A15528" s="6"/>
      <c r="B15528" s="6"/>
      <c r="H15528" s="13"/>
    </row>
    <row r="15529">
      <c r="A15529" s="6"/>
      <c r="B15529" s="6"/>
      <c r="H15529" s="13"/>
    </row>
    <row r="15530">
      <c r="A15530" s="6"/>
      <c r="B15530" s="6"/>
      <c r="H15530" s="13"/>
    </row>
    <row r="15531">
      <c r="A15531" s="6"/>
      <c r="B15531" s="6"/>
      <c r="H15531" s="13"/>
    </row>
    <row r="15532">
      <c r="A15532" s="6"/>
      <c r="B15532" s="6"/>
      <c r="H15532" s="13"/>
    </row>
    <row r="15533">
      <c r="A15533" s="6"/>
      <c r="B15533" s="6"/>
      <c r="H15533" s="13"/>
    </row>
    <row r="15534">
      <c r="A15534" s="6"/>
      <c r="B15534" s="6"/>
      <c r="H15534" s="13"/>
    </row>
    <row r="15535">
      <c r="A15535" s="6"/>
      <c r="B15535" s="6"/>
      <c r="H15535" s="13"/>
    </row>
    <row r="15536">
      <c r="A15536" s="6"/>
      <c r="B15536" s="6"/>
      <c r="H15536" s="13"/>
    </row>
    <row r="15537">
      <c r="A15537" s="6"/>
      <c r="B15537" s="6"/>
      <c r="H15537" s="13"/>
    </row>
    <row r="15538">
      <c r="A15538" s="6"/>
      <c r="B15538" s="6"/>
      <c r="H15538" s="13"/>
    </row>
    <row r="15539">
      <c r="A15539" s="6"/>
      <c r="B15539" s="6"/>
      <c r="H15539" s="13"/>
    </row>
    <row r="15540">
      <c r="A15540" s="6"/>
      <c r="B15540" s="6"/>
      <c r="H15540" s="13"/>
    </row>
    <row r="15541">
      <c r="A15541" s="6"/>
      <c r="B15541" s="6"/>
      <c r="H15541" s="13"/>
    </row>
    <row r="15542">
      <c r="A15542" s="6"/>
      <c r="B15542" s="6"/>
      <c r="H15542" s="13"/>
    </row>
    <row r="15543">
      <c r="A15543" s="6"/>
      <c r="B15543" s="6"/>
      <c r="H15543" s="13"/>
    </row>
    <row r="15544">
      <c r="A15544" s="6"/>
      <c r="B15544" s="6"/>
      <c r="H15544" s="13"/>
    </row>
    <row r="15545">
      <c r="A15545" s="6"/>
      <c r="B15545" s="6"/>
      <c r="H15545" s="13"/>
    </row>
    <row r="15546">
      <c r="A15546" s="6"/>
      <c r="B15546" s="6"/>
      <c r="H15546" s="13"/>
    </row>
    <row r="15547">
      <c r="A15547" s="6"/>
      <c r="B15547" s="6"/>
      <c r="H15547" s="13"/>
    </row>
    <row r="15548">
      <c r="A15548" s="6"/>
      <c r="B15548" s="6"/>
      <c r="H15548" s="13"/>
    </row>
    <row r="15549">
      <c r="A15549" s="6"/>
      <c r="B15549" s="6"/>
      <c r="H15549" s="13"/>
    </row>
    <row r="15550">
      <c r="A15550" s="6"/>
      <c r="B15550" s="6"/>
      <c r="H15550" s="13"/>
    </row>
    <row r="15551">
      <c r="A15551" s="6"/>
      <c r="B15551" s="6"/>
      <c r="H15551" s="13"/>
    </row>
    <row r="15552">
      <c r="A15552" s="6"/>
      <c r="B15552" s="6"/>
      <c r="H15552" s="13"/>
    </row>
    <row r="15553">
      <c r="A15553" s="6"/>
      <c r="B15553" s="6"/>
      <c r="H15553" s="13"/>
    </row>
    <row r="15554">
      <c r="A15554" s="6"/>
      <c r="B15554" s="6"/>
      <c r="H15554" s="13"/>
    </row>
    <row r="15555">
      <c r="A15555" s="6"/>
      <c r="B15555" s="6"/>
      <c r="H15555" s="13"/>
    </row>
    <row r="15556">
      <c r="A15556" s="6"/>
      <c r="B15556" s="6"/>
      <c r="H15556" s="13"/>
    </row>
    <row r="15557">
      <c r="A15557" s="6"/>
      <c r="B15557" s="6"/>
      <c r="H15557" s="13"/>
    </row>
    <row r="15558">
      <c r="A15558" s="6"/>
      <c r="B15558" s="6"/>
      <c r="H15558" s="13"/>
    </row>
    <row r="15559">
      <c r="A15559" s="6"/>
      <c r="B15559" s="6"/>
      <c r="H15559" s="13"/>
    </row>
    <row r="15560">
      <c r="A15560" s="6"/>
      <c r="B15560" s="6"/>
      <c r="H15560" s="13"/>
    </row>
    <row r="15561">
      <c r="A15561" s="6"/>
      <c r="B15561" s="6"/>
      <c r="H15561" s="13"/>
    </row>
    <row r="15562">
      <c r="A15562" s="6"/>
      <c r="B15562" s="6"/>
      <c r="H15562" s="13"/>
    </row>
    <row r="15563">
      <c r="A15563" s="6"/>
      <c r="B15563" s="6"/>
      <c r="H15563" s="13"/>
    </row>
    <row r="15564">
      <c r="A15564" s="6"/>
      <c r="B15564" s="6"/>
      <c r="H15564" s="13"/>
    </row>
    <row r="15565">
      <c r="A15565" s="6"/>
      <c r="B15565" s="6"/>
      <c r="H15565" s="13"/>
    </row>
    <row r="15566">
      <c r="A15566" s="6"/>
      <c r="B15566" s="6"/>
      <c r="H15566" s="13"/>
    </row>
    <row r="15567">
      <c r="A15567" s="6"/>
      <c r="B15567" s="6"/>
      <c r="H15567" s="13"/>
    </row>
    <row r="15568">
      <c r="A15568" s="6"/>
      <c r="B15568" s="6"/>
      <c r="H15568" s="13"/>
    </row>
    <row r="15569">
      <c r="A15569" s="6"/>
      <c r="B15569" s="6"/>
      <c r="H15569" s="13"/>
    </row>
    <row r="15570">
      <c r="A15570" s="6"/>
      <c r="B15570" s="6"/>
      <c r="H15570" s="13"/>
    </row>
    <row r="15571">
      <c r="A15571" s="6"/>
      <c r="B15571" s="6"/>
      <c r="H15571" s="13"/>
    </row>
    <row r="15572">
      <c r="A15572" s="6"/>
      <c r="B15572" s="6"/>
      <c r="H15572" s="13"/>
    </row>
    <row r="15573">
      <c r="A15573" s="6"/>
      <c r="B15573" s="6"/>
      <c r="H15573" s="13"/>
    </row>
    <row r="15574">
      <c r="A15574" s="6"/>
      <c r="B15574" s="6"/>
      <c r="H15574" s="13"/>
    </row>
    <row r="15575">
      <c r="A15575" s="6"/>
      <c r="B15575" s="6"/>
      <c r="H15575" s="13"/>
    </row>
    <row r="15576">
      <c r="A15576" s="6"/>
      <c r="B15576" s="6"/>
      <c r="H15576" s="13"/>
    </row>
    <row r="15577">
      <c r="A15577" s="6"/>
      <c r="B15577" s="6"/>
      <c r="H15577" s="13"/>
    </row>
    <row r="15578">
      <c r="A15578" s="6"/>
      <c r="B15578" s="6"/>
      <c r="H15578" s="13"/>
    </row>
    <row r="15579">
      <c r="A15579" s="6"/>
      <c r="B15579" s="6"/>
      <c r="H15579" s="13"/>
    </row>
    <row r="15580">
      <c r="A15580" s="6"/>
      <c r="B15580" s="6"/>
      <c r="H15580" s="13"/>
    </row>
    <row r="15581">
      <c r="A15581" s="6"/>
      <c r="B15581" s="6"/>
      <c r="H15581" s="13"/>
    </row>
    <row r="15582">
      <c r="A15582" s="6"/>
      <c r="B15582" s="6"/>
      <c r="H15582" s="13"/>
    </row>
    <row r="15583">
      <c r="A15583" s="6"/>
      <c r="B15583" s="6"/>
      <c r="H15583" s="13"/>
    </row>
    <row r="15584">
      <c r="A15584" s="6"/>
      <c r="B15584" s="6"/>
      <c r="H15584" s="13"/>
    </row>
    <row r="15585">
      <c r="A15585" s="6"/>
      <c r="B15585" s="6"/>
      <c r="H15585" s="13"/>
    </row>
    <row r="15586">
      <c r="A15586" s="6"/>
      <c r="B15586" s="6"/>
      <c r="H15586" s="13"/>
    </row>
    <row r="15587">
      <c r="A15587" s="6"/>
      <c r="B15587" s="6"/>
      <c r="H15587" s="13"/>
    </row>
    <row r="15588">
      <c r="A15588" s="6"/>
      <c r="B15588" s="6"/>
      <c r="H15588" s="13"/>
    </row>
    <row r="15589">
      <c r="A15589" s="6"/>
      <c r="B15589" s="6"/>
      <c r="H15589" s="13"/>
    </row>
    <row r="15590">
      <c r="A15590" s="6"/>
      <c r="B15590" s="6"/>
      <c r="H15590" s="13"/>
    </row>
    <row r="15591">
      <c r="A15591" s="6"/>
      <c r="B15591" s="6"/>
      <c r="H15591" s="13"/>
    </row>
    <row r="15592">
      <c r="A15592" s="6"/>
      <c r="B15592" s="6"/>
      <c r="H15592" s="13"/>
    </row>
    <row r="15593">
      <c r="A15593" s="6"/>
      <c r="B15593" s="6"/>
      <c r="H15593" s="13"/>
    </row>
    <row r="15594">
      <c r="A15594" s="6"/>
      <c r="B15594" s="6"/>
      <c r="H15594" s="13"/>
    </row>
    <row r="15595">
      <c r="A15595" s="6"/>
      <c r="B15595" s="6"/>
      <c r="H15595" s="13"/>
    </row>
    <row r="15596">
      <c r="A15596" s="6"/>
      <c r="B15596" s="6"/>
      <c r="H15596" s="13"/>
    </row>
    <row r="15597">
      <c r="A15597" s="6"/>
      <c r="B15597" s="6"/>
      <c r="H15597" s="13"/>
    </row>
    <row r="15598">
      <c r="A15598" s="6"/>
      <c r="B15598" s="6"/>
      <c r="H15598" s="13"/>
    </row>
    <row r="15599">
      <c r="A15599" s="6"/>
      <c r="B15599" s="6"/>
      <c r="H15599" s="13"/>
    </row>
    <row r="15600">
      <c r="A15600" s="6"/>
      <c r="B15600" s="6"/>
      <c r="H15600" s="13"/>
    </row>
    <row r="15601">
      <c r="A15601" s="6"/>
      <c r="B15601" s="6"/>
      <c r="H15601" s="13"/>
    </row>
    <row r="15602">
      <c r="A15602" s="6"/>
      <c r="B15602" s="6"/>
      <c r="H15602" s="13"/>
    </row>
    <row r="15603">
      <c r="A15603" s="6"/>
      <c r="B15603" s="6"/>
      <c r="H15603" s="13"/>
    </row>
    <row r="15604">
      <c r="A15604" s="6"/>
      <c r="B15604" s="6"/>
      <c r="H15604" s="13"/>
    </row>
    <row r="15605">
      <c r="A15605" s="6"/>
      <c r="B15605" s="6"/>
      <c r="H15605" s="13"/>
    </row>
    <row r="15606">
      <c r="A15606" s="6"/>
      <c r="B15606" s="6"/>
      <c r="H15606" s="13"/>
    </row>
    <row r="15607">
      <c r="A15607" s="6"/>
      <c r="B15607" s="6"/>
      <c r="H15607" s="13"/>
    </row>
    <row r="15608">
      <c r="A15608" s="6"/>
      <c r="B15608" s="6"/>
      <c r="H15608" s="13"/>
    </row>
    <row r="15609">
      <c r="A15609" s="6"/>
      <c r="B15609" s="6"/>
      <c r="H15609" s="13"/>
    </row>
    <row r="15610">
      <c r="A15610" s="6"/>
      <c r="B15610" s="6"/>
      <c r="H15610" s="13"/>
    </row>
    <row r="15611">
      <c r="A15611" s="6"/>
      <c r="B15611" s="6"/>
      <c r="H15611" s="13"/>
    </row>
    <row r="15612">
      <c r="A15612" s="6"/>
      <c r="B15612" s="6"/>
      <c r="H15612" s="13"/>
    </row>
    <row r="15613">
      <c r="A15613" s="6"/>
      <c r="B15613" s="6"/>
      <c r="H15613" s="13"/>
    </row>
    <row r="15614">
      <c r="A15614" s="6"/>
      <c r="B15614" s="6"/>
      <c r="H15614" s="13"/>
    </row>
    <row r="15615">
      <c r="A15615" s="6"/>
      <c r="B15615" s="6"/>
      <c r="H15615" s="13"/>
    </row>
    <row r="15616">
      <c r="A15616" s="6"/>
      <c r="B15616" s="6"/>
      <c r="H15616" s="13"/>
    </row>
    <row r="15617">
      <c r="A15617" s="6"/>
      <c r="B15617" s="6"/>
      <c r="H15617" s="13"/>
    </row>
    <row r="15618">
      <c r="A15618" s="6"/>
      <c r="B15618" s="6"/>
      <c r="H15618" s="13"/>
    </row>
    <row r="15619">
      <c r="A15619" s="6"/>
      <c r="B15619" s="6"/>
      <c r="H15619" s="13"/>
    </row>
    <row r="15620">
      <c r="A15620" s="6"/>
      <c r="B15620" s="6"/>
      <c r="H15620" s="13"/>
    </row>
    <row r="15621">
      <c r="A15621" s="6"/>
      <c r="B15621" s="6"/>
      <c r="H15621" s="13"/>
    </row>
    <row r="15622">
      <c r="A15622" s="6"/>
      <c r="B15622" s="6"/>
      <c r="H15622" s="13"/>
    </row>
    <row r="15623">
      <c r="A15623" s="6"/>
      <c r="B15623" s="6"/>
      <c r="H15623" s="13"/>
    </row>
    <row r="15624">
      <c r="A15624" s="6"/>
      <c r="B15624" s="6"/>
      <c r="H15624" s="13"/>
    </row>
    <row r="15625">
      <c r="A15625" s="6"/>
      <c r="B15625" s="6"/>
      <c r="H15625" s="13"/>
    </row>
    <row r="15626">
      <c r="A15626" s="6"/>
      <c r="B15626" s="6"/>
      <c r="H15626" s="13"/>
    </row>
    <row r="15627">
      <c r="A15627" s="6"/>
      <c r="B15627" s="6"/>
      <c r="H15627" s="13"/>
    </row>
    <row r="15628">
      <c r="A15628" s="6"/>
      <c r="B15628" s="6"/>
      <c r="H15628" s="13"/>
    </row>
    <row r="15629">
      <c r="A15629" s="6"/>
      <c r="B15629" s="6"/>
      <c r="H15629" s="13"/>
    </row>
    <row r="15630">
      <c r="A15630" s="6"/>
      <c r="B15630" s="6"/>
      <c r="H15630" s="13"/>
    </row>
    <row r="15631">
      <c r="A15631" s="6"/>
      <c r="B15631" s="6"/>
      <c r="H15631" s="13"/>
    </row>
    <row r="15632">
      <c r="A15632" s="6"/>
      <c r="B15632" s="6"/>
      <c r="H15632" s="13"/>
    </row>
    <row r="15633">
      <c r="A15633" s="6"/>
      <c r="B15633" s="6"/>
      <c r="H15633" s="13"/>
    </row>
    <row r="15634">
      <c r="A15634" s="6"/>
      <c r="B15634" s="6"/>
      <c r="H15634" s="13"/>
    </row>
    <row r="15635">
      <c r="A15635" s="6"/>
      <c r="B15635" s="6"/>
      <c r="H15635" s="13"/>
    </row>
    <row r="15636">
      <c r="A15636" s="6"/>
      <c r="B15636" s="6"/>
      <c r="H15636" s="13"/>
    </row>
    <row r="15637">
      <c r="A15637" s="6"/>
      <c r="B15637" s="6"/>
      <c r="H15637" s="13"/>
    </row>
    <row r="15638">
      <c r="A15638" s="6"/>
      <c r="B15638" s="6"/>
      <c r="H15638" s="13"/>
    </row>
    <row r="15639">
      <c r="A15639" s="6"/>
      <c r="B15639" s="6"/>
      <c r="H15639" s="13"/>
    </row>
    <row r="15640">
      <c r="A15640" s="6"/>
      <c r="B15640" s="6"/>
      <c r="H15640" s="13"/>
    </row>
    <row r="15641">
      <c r="A15641" s="6"/>
      <c r="B15641" s="6"/>
      <c r="H15641" s="13"/>
    </row>
    <row r="15642">
      <c r="A15642" s="6"/>
      <c r="B15642" s="6"/>
      <c r="H15642" s="13"/>
    </row>
    <row r="15643">
      <c r="A15643" s="6"/>
      <c r="B15643" s="6"/>
      <c r="H15643" s="13"/>
    </row>
    <row r="15644">
      <c r="A15644" s="6"/>
      <c r="B15644" s="6"/>
      <c r="H15644" s="13"/>
    </row>
    <row r="15645">
      <c r="A15645" s="6"/>
      <c r="B15645" s="6"/>
      <c r="H15645" s="13"/>
    </row>
    <row r="15646">
      <c r="A15646" s="6"/>
      <c r="B15646" s="6"/>
      <c r="H15646" s="13"/>
    </row>
    <row r="15647">
      <c r="A15647" s="6"/>
      <c r="B15647" s="6"/>
      <c r="H15647" s="13"/>
    </row>
    <row r="15648">
      <c r="A15648" s="6"/>
      <c r="B15648" s="6"/>
      <c r="H15648" s="13"/>
    </row>
    <row r="15649">
      <c r="A15649" s="6"/>
      <c r="B15649" s="6"/>
      <c r="H15649" s="13"/>
    </row>
    <row r="15650">
      <c r="A15650" s="6"/>
      <c r="B15650" s="6"/>
      <c r="H15650" s="13"/>
    </row>
    <row r="15651">
      <c r="A15651" s="6"/>
      <c r="B15651" s="6"/>
      <c r="H15651" s="13"/>
    </row>
    <row r="15652">
      <c r="A15652" s="6"/>
      <c r="B15652" s="6"/>
      <c r="H15652" s="13"/>
    </row>
    <row r="15653">
      <c r="A15653" s="6"/>
      <c r="B15653" s="6"/>
      <c r="H15653" s="13"/>
    </row>
    <row r="15654">
      <c r="A15654" s="6"/>
      <c r="B15654" s="6"/>
      <c r="H15654" s="13"/>
    </row>
    <row r="15655">
      <c r="A15655" s="6"/>
      <c r="B15655" s="6"/>
      <c r="H15655" s="13"/>
    </row>
    <row r="15656">
      <c r="A15656" s="6"/>
      <c r="B15656" s="6"/>
      <c r="H15656" s="13"/>
    </row>
    <row r="15657">
      <c r="A15657" s="6"/>
      <c r="B15657" s="6"/>
      <c r="H15657" s="13"/>
    </row>
    <row r="15658">
      <c r="A15658" s="6"/>
      <c r="B15658" s="6"/>
      <c r="H15658" s="13"/>
    </row>
    <row r="15659">
      <c r="A15659" s="6"/>
      <c r="B15659" s="6"/>
      <c r="H15659" s="13"/>
    </row>
    <row r="15660">
      <c r="A15660" s="6"/>
      <c r="B15660" s="6"/>
      <c r="H15660" s="13"/>
    </row>
    <row r="15661">
      <c r="A15661" s="6"/>
      <c r="B15661" s="6"/>
      <c r="H15661" s="13"/>
    </row>
    <row r="15662">
      <c r="A15662" s="6"/>
      <c r="B15662" s="6"/>
      <c r="H15662" s="13"/>
    </row>
    <row r="15663">
      <c r="A15663" s="6"/>
      <c r="B15663" s="6"/>
      <c r="H15663" s="13"/>
    </row>
    <row r="15664">
      <c r="A15664" s="6"/>
      <c r="B15664" s="6"/>
      <c r="H15664" s="13"/>
    </row>
    <row r="15665">
      <c r="A15665" s="6"/>
      <c r="B15665" s="6"/>
      <c r="H15665" s="13"/>
    </row>
    <row r="15666">
      <c r="A15666" s="6"/>
      <c r="B15666" s="6"/>
      <c r="H15666" s="13"/>
    </row>
    <row r="15667">
      <c r="A15667" s="6"/>
      <c r="B15667" s="6"/>
      <c r="H15667" s="13"/>
    </row>
    <row r="15668">
      <c r="A15668" s="6"/>
      <c r="B15668" s="6"/>
      <c r="H15668" s="13"/>
    </row>
    <row r="15669">
      <c r="A15669" s="6"/>
      <c r="B15669" s="6"/>
      <c r="H15669" s="13"/>
    </row>
    <row r="15670">
      <c r="A15670" s="6"/>
      <c r="B15670" s="6"/>
      <c r="H15670" s="13"/>
    </row>
    <row r="15671">
      <c r="A15671" s="6"/>
      <c r="B15671" s="6"/>
      <c r="H15671" s="13"/>
    </row>
    <row r="15672">
      <c r="A15672" s="6"/>
      <c r="B15672" s="6"/>
      <c r="H15672" s="13"/>
    </row>
    <row r="15673">
      <c r="A15673" s="6"/>
      <c r="B15673" s="6"/>
      <c r="H15673" s="13"/>
    </row>
    <row r="15674">
      <c r="A15674" s="6"/>
      <c r="B15674" s="6"/>
      <c r="H15674" s="13"/>
    </row>
    <row r="15675">
      <c r="A15675" s="6"/>
      <c r="B15675" s="6"/>
      <c r="H15675" s="13"/>
    </row>
    <row r="15676">
      <c r="A15676" s="6"/>
      <c r="B15676" s="6"/>
      <c r="H15676" s="13"/>
    </row>
    <row r="15677">
      <c r="A15677" s="6"/>
      <c r="B15677" s="6"/>
      <c r="H15677" s="13"/>
    </row>
    <row r="15678">
      <c r="A15678" s="6"/>
      <c r="B15678" s="6"/>
      <c r="H15678" s="13"/>
    </row>
    <row r="15679">
      <c r="A15679" s="6"/>
      <c r="B15679" s="6"/>
      <c r="H15679" s="13"/>
    </row>
    <row r="15680">
      <c r="A15680" s="6"/>
      <c r="B15680" s="6"/>
      <c r="H15680" s="13"/>
    </row>
    <row r="15681">
      <c r="A15681" s="6"/>
      <c r="B15681" s="6"/>
      <c r="H15681" s="13"/>
    </row>
    <row r="15682">
      <c r="A15682" s="6"/>
      <c r="B15682" s="6"/>
      <c r="H15682" s="13"/>
    </row>
    <row r="15683">
      <c r="A15683" s="6"/>
      <c r="B15683" s="6"/>
      <c r="H15683" s="13"/>
    </row>
    <row r="15684">
      <c r="A15684" s="6"/>
      <c r="B15684" s="6"/>
      <c r="H15684" s="13"/>
    </row>
    <row r="15685">
      <c r="A15685" s="6"/>
      <c r="B15685" s="6"/>
      <c r="H15685" s="13"/>
    </row>
    <row r="15686">
      <c r="A15686" s="6"/>
      <c r="B15686" s="6"/>
      <c r="H15686" s="13"/>
    </row>
    <row r="15687">
      <c r="A15687" s="6"/>
      <c r="B15687" s="6"/>
      <c r="H15687" s="13"/>
    </row>
    <row r="15688">
      <c r="A15688" s="6"/>
      <c r="B15688" s="6"/>
      <c r="H15688" s="13"/>
    </row>
    <row r="15689">
      <c r="A15689" s="6"/>
      <c r="B15689" s="6"/>
      <c r="H15689" s="13"/>
    </row>
    <row r="15690">
      <c r="A15690" s="6"/>
      <c r="B15690" s="6"/>
      <c r="H15690" s="13"/>
    </row>
    <row r="15691">
      <c r="A15691" s="6"/>
      <c r="B15691" s="6"/>
      <c r="H15691" s="13"/>
    </row>
    <row r="15692">
      <c r="A15692" s="6"/>
      <c r="B15692" s="6"/>
      <c r="H15692" s="13"/>
    </row>
    <row r="15693">
      <c r="A15693" s="6"/>
      <c r="B15693" s="6"/>
      <c r="H15693" s="13"/>
    </row>
    <row r="15694">
      <c r="A15694" s="6"/>
      <c r="B15694" s="6"/>
      <c r="H15694" s="13"/>
    </row>
    <row r="15695">
      <c r="A15695" s="6"/>
      <c r="B15695" s="6"/>
      <c r="H15695" s="13"/>
    </row>
    <row r="15696">
      <c r="A15696" s="6"/>
      <c r="B15696" s="6"/>
      <c r="H15696" s="13"/>
    </row>
    <row r="15697">
      <c r="A15697" s="6"/>
      <c r="B15697" s="6"/>
      <c r="H15697" s="13"/>
    </row>
    <row r="15698">
      <c r="A15698" s="6"/>
      <c r="B15698" s="6"/>
      <c r="H15698" s="13"/>
    </row>
    <row r="15699">
      <c r="A15699" s="6"/>
      <c r="B15699" s="6"/>
      <c r="H15699" s="13"/>
    </row>
    <row r="15700">
      <c r="A15700" s="6"/>
      <c r="B15700" s="6"/>
      <c r="H15700" s="13"/>
    </row>
    <row r="15701">
      <c r="A15701" s="6"/>
      <c r="B15701" s="6"/>
      <c r="H15701" s="13"/>
    </row>
    <row r="15702">
      <c r="A15702" s="6"/>
      <c r="B15702" s="6"/>
      <c r="H15702" s="13"/>
    </row>
    <row r="15703">
      <c r="A15703" s="6"/>
      <c r="B15703" s="6"/>
      <c r="H15703" s="13"/>
    </row>
    <row r="15704">
      <c r="A15704" s="6"/>
      <c r="B15704" s="6"/>
      <c r="H15704" s="13"/>
    </row>
    <row r="15705">
      <c r="A15705" s="6"/>
      <c r="B15705" s="6"/>
      <c r="H15705" s="13"/>
    </row>
    <row r="15706">
      <c r="A15706" s="6"/>
      <c r="B15706" s="6"/>
      <c r="H15706" s="13"/>
    </row>
    <row r="15707">
      <c r="A15707" s="6"/>
      <c r="B15707" s="6"/>
      <c r="H15707" s="13"/>
    </row>
    <row r="15708">
      <c r="A15708" s="6"/>
      <c r="B15708" s="6"/>
      <c r="H15708" s="13"/>
    </row>
    <row r="15709">
      <c r="A15709" s="6"/>
      <c r="B15709" s="6"/>
      <c r="H15709" s="13"/>
    </row>
    <row r="15710">
      <c r="A15710" s="6"/>
      <c r="B15710" s="6"/>
      <c r="H15710" s="13"/>
    </row>
    <row r="15711">
      <c r="A15711" s="6"/>
      <c r="B15711" s="6"/>
      <c r="H15711" s="13"/>
    </row>
    <row r="15712">
      <c r="A15712" s="6"/>
      <c r="B15712" s="6"/>
      <c r="H15712" s="13"/>
    </row>
    <row r="15713">
      <c r="A15713" s="6"/>
      <c r="B15713" s="6"/>
      <c r="H15713" s="13"/>
    </row>
    <row r="15714">
      <c r="A15714" s="6"/>
      <c r="B15714" s="6"/>
      <c r="H15714" s="13"/>
    </row>
    <row r="15715">
      <c r="A15715" s="6"/>
      <c r="B15715" s="6"/>
      <c r="H15715" s="13"/>
    </row>
    <row r="15716">
      <c r="A15716" s="6"/>
      <c r="B15716" s="6"/>
      <c r="H15716" s="13"/>
    </row>
    <row r="15717">
      <c r="A15717" s="6"/>
      <c r="B15717" s="6"/>
      <c r="H15717" s="13"/>
    </row>
    <row r="15718">
      <c r="A15718" s="6"/>
      <c r="B15718" s="6"/>
      <c r="H15718" s="13"/>
    </row>
    <row r="15719">
      <c r="A15719" s="6"/>
      <c r="B15719" s="6"/>
      <c r="H15719" s="13"/>
    </row>
    <row r="15720">
      <c r="A15720" s="6"/>
      <c r="B15720" s="6"/>
      <c r="H15720" s="13"/>
    </row>
    <row r="15721">
      <c r="A15721" s="6"/>
      <c r="B15721" s="6"/>
      <c r="H15721" s="13"/>
    </row>
    <row r="15722">
      <c r="A15722" s="6"/>
      <c r="B15722" s="6"/>
      <c r="H15722" s="13"/>
    </row>
    <row r="15723">
      <c r="A15723" s="6"/>
      <c r="B15723" s="6"/>
      <c r="H15723" s="13"/>
    </row>
    <row r="15724">
      <c r="A15724" s="6"/>
      <c r="B15724" s="6"/>
      <c r="H15724" s="13"/>
    </row>
    <row r="15725">
      <c r="A15725" s="6"/>
      <c r="B15725" s="6"/>
      <c r="H15725" s="13"/>
    </row>
    <row r="15726">
      <c r="A15726" s="6"/>
      <c r="B15726" s="6"/>
      <c r="H15726" s="13"/>
    </row>
    <row r="15727">
      <c r="A15727" s="6"/>
      <c r="B15727" s="6"/>
      <c r="H15727" s="13"/>
    </row>
    <row r="15728">
      <c r="A15728" s="6"/>
      <c r="B15728" s="6"/>
      <c r="H15728" s="13"/>
    </row>
    <row r="15729">
      <c r="A15729" s="6"/>
      <c r="B15729" s="6"/>
      <c r="H15729" s="13"/>
    </row>
    <row r="15730">
      <c r="A15730" s="6"/>
      <c r="B15730" s="6"/>
      <c r="H15730" s="13"/>
    </row>
    <row r="15731">
      <c r="A15731" s="6"/>
      <c r="B15731" s="6"/>
      <c r="H15731" s="13"/>
    </row>
    <row r="15732">
      <c r="A15732" s="6"/>
      <c r="B15732" s="6"/>
      <c r="H15732" s="13"/>
    </row>
    <row r="15733">
      <c r="A15733" s="6"/>
      <c r="B15733" s="6"/>
      <c r="H15733" s="13"/>
    </row>
    <row r="15734">
      <c r="A15734" s="6"/>
      <c r="B15734" s="6"/>
      <c r="H15734" s="13"/>
    </row>
    <row r="15735">
      <c r="A15735" s="6"/>
      <c r="B15735" s="6"/>
      <c r="H15735" s="13"/>
    </row>
    <row r="15736">
      <c r="A15736" s="6"/>
      <c r="B15736" s="6"/>
      <c r="H15736" s="13"/>
    </row>
    <row r="15737">
      <c r="A15737" s="6"/>
      <c r="B15737" s="6"/>
      <c r="H15737" s="13"/>
    </row>
    <row r="15738">
      <c r="A15738" s="6"/>
      <c r="B15738" s="6"/>
      <c r="H15738" s="13"/>
    </row>
    <row r="15739">
      <c r="A15739" s="6"/>
      <c r="B15739" s="6"/>
      <c r="H15739" s="13"/>
    </row>
    <row r="15740">
      <c r="A15740" s="6"/>
      <c r="B15740" s="6"/>
      <c r="H15740" s="13"/>
    </row>
    <row r="15741">
      <c r="A15741" s="6"/>
      <c r="B15741" s="6"/>
      <c r="H15741" s="13"/>
    </row>
    <row r="15742">
      <c r="A15742" s="6"/>
      <c r="B15742" s="6"/>
      <c r="H15742" s="13"/>
    </row>
    <row r="15743">
      <c r="A15743" s="6"/>
      <c r="B15743" s="6"/>
      <c r="H15743" s="13"/>
    </row>
    <row r="15744">
      <c r="A15744" s="6"/>
      <c r="B15744" s="6"/>
      <c r="H15744" s="13"/>
    </row>
    <row r="15745">
      <c r="A15745" s="6"/>
      <c r="B15745" s="6"/>
      <c r="H15745" s="13"/>
    </row>
    <row r="15746">
      <c r="A15746" s="6"/>
      <c r="B15746" s="6"/>
      <c r="H15746" s="13"/>
    </row>
    <row r="15747">
      <c r="A15747" s="6"/>
      <c r="B15747" s="6"/>
      <c r="H15747" s="13"/>
    </row>
    <row r="15748">
      <c r="A15748" s="6"/>
      <c r="B15748" s="6"/>
      <c r="H15748" s="13"/>
    </row>
    <row r="15749">
      <c r="A15749" s="6"/>
      <c r="B15749" s="6"/>
      <c r="H15749" s="13"/>
    </row>
    <row r="15750">
      <c r="A15750" s="6"/>
      <c r="B15750" s="6"/>
      <c r="H15750" s="13"/>
    </row>
    <row r="15751">
      <c r="A15751" s="6"/>
      <c r="B15751" s="6"/>
      <c r="H15751" s="13"/>
    </row>
    <row r="15752">
      <c r="A15752" s="6"/>
      <c r="B15752" s="6"/>
      <c r="H15752" s="13"/>
    </row>
    <row r="15753">
      <c r="A15753" s="6"/>
      <c r="B15753" s="6"/>
      <c r="H15753" s="13"/>
    </row>
    <row r="15754">
      <c r="A15754" s="6"/>
      <c r="B15754" s="6"/>
      <c r="H15754" s="13"/>
    </row>
    <row r="15755">
      <c r="A15755" s="6"/>
      <c r="B15755" s="6"/>
      <c r="H15755" s="13"/>
    </row>
    <row r="15756">
      <c r="A15756" s="6"/>
      <c r="B15756" s="6"/>
      <c r="H15756" s="13"/>
    </row>
    <row r="15757">
      <c r="A15757" s="6"/>
      <c r="B15757" s="6"/>
      <c r="H15757" s="13"/>
    </row>
    <row r="15758">
      <c r="A15758" s="6"/>
      <c r="B15758" s="6"/>
      <c r="H15758" s="13"/>
    </row>
    <row r="15759">
      <c r="A15759" s="6"/>
      <c r="B15759" s="6"/>
      <c r="H15759" s="13"/>
    </row>
    <row r="15760">
      <c r="A15760" s="6"/>
      <c r="B15760" s="6"/>
      <c r="H15760" s="13"/>
    </row>
    <row r="15761">
      <c r="A15761" s="6"/>
      <c r="B15761" s="6"/>
      <c r="H15761" s="13"/>
    </row>
    <row r="15762">
      <c r="A15762" s="6"/>
      <c r="B15762" s="6"/>
      <c r="H15762" s="13"/>
    </row>
    <row r="15763">
      <c r="A15763" s="6"/>
      <c r="B15763" s="6"/>
      <c r="H15763" s="13"/>
    </row>
    <row r="15764">
      <c r="A15764" s="6"/>
      <c r="B15764" s="6"/>
      <c r="H15764" s="13"/>
    </row>
    <row r="15765">
      <c r="A15765" s="6"/>
      <c r="B15765" s="6"/>
      <c r="H15765" s="13"/>
    </row>
    <row r="15766">
      <c r="A15766" s="6"/>
      <c r="B15766" s="6"/>
      <c r="H15766" s="13"/>
    </row>
    <row r="15767">
      <c r="A15767" s="6"/>
      <c r="B15767" s="6"/>
      <c r="H15767" s="13"/>
    </row>
    <row r="15768">
      <c r="A15768" s="6"/>
      <c r="B15768" s="6"/>
      <c r="H15768" s="13"/>
    </row>
    <row r="15769">
      <c r="A15769" s="6"/>
      <c r="B15769" s="6"/>
      <c r="H15769" s="13"/>
    </row>
    <row r="15770">
      <c r="A15770" s="6"/>
      <c r="B15770" s="6"/>
      <c r="H15770" s="13"/>
    </row>
    <row r="15771">
      <c r="A15771" s="6"/>
      <c r="B15771" s="6"/>
      <c r="H15771" s="13"/>
    </row>
    <row r="15772">
      <c r="A15772" s="6"/>
      <c r="B15772" s="6"/>
      <c r="H15772" s="13"/>
    </row>
    <row r="15773">
      <c r="A15773" s="6"/>
      <c r="B15773" s="6"/>
      <c r="H15773" s="13"/>
    </row>
    <row r="15774">
      <c r="A15774" s="6"/>
      <c r="B15774" s="6"/>
      <c r="H15774" s="13"/>
    </row>
    <row r="15775">
      <c r="A15775" s="6"/>
      <c r="B15775" s="6"/>
      <c r="H15775" s="13"/>
    </row>
    <row r="15776">
      <c r="A15776" s="6"/>
      <c r="B15776" s="6"/>
      <c r="H15776" s="13"/>
    </row>
    <row r="15777">
      <c r="A15777" s="6"/>
      <c r="B15777" s="6"/>
      <c r="H15777" s="13"/>
    </row>
    <row r="15778">
      <c r="A15778" s="6"/>
      <c r="B15778" s="6"/>
      <c r="H15778" s="13"/>
    </row>
    <row r="15779">
      <c r="A15779" s="6"/>
      <c r="B15779" s="6"/>
      <c r="H15779" s="13"/>
    </row>
    <row r="15780">
      <c r="A15780" s="6"/>
      <c r="B15780" s="6"/>
      <c r="H15780" s="13"/>
    </row>
    <row r="15781">
      <c r="A15781" s="6"/>
      <c r="B15781" s="6"/>
      <c r="H15781" s="13"/>
    </row>
    <row r="15782">
      <c r="A15782" s="6"/>
      <c r="B15782" s="6"/>
      <c r="H15782" s="13"/>
    </row>
    <row r="15783">
      <c r="A15783" s="6"/>
      <c r="B15783" s="6"/>
      <c r="H15783" s="13"/>
    </row>
    <row r="15784">
      <c r="A15784" s="6"/>
      <c r="B15784" s="6"/>
      <c r="H15784" s="13"/>
    </row>
    <row r="15785">
      <c r="A15785" s="6"/>
      <c r="B15785" s="6"/>
      <c r="H15785" s="13"/>
    </row>
    <row r="15786">
      <c r="A15786" s="6"/>
      <c r="B15786" s="6"/>
      <c r="H15786" s="13"/>
    </row>
    <row r="15787">
      <c r="A15787" s="6"/>
      <c r="B15787" s="6"/>
      <c r="H15787" s="13"/>
    </row>
    <row r="15788">
      <c r="A15788" s="6"/>
      <c r="B15788" s="6"/>
      <c r="H15788" s="13"/>
    </row>
    <row r="15789">
      <c r="A15789" s="6"/>
      <c r="B15789" s="6"/>
      <c r="H15789" s="13"/>
    </row>
    <row r="15790">
      <c r="A15790" s="6"/>
      <c r="B15790" s="6"/>
      <c r="H15790" s="13"/>
    </row>
    <row r="15791">
      <c r="A15791" s="6"/>
      <c r="B15791" s="6"/>
      <c r="H15791" s="13"/>
    </row>
    <row r="15792">
      <c r="A15792" s="6"/>
      <c r="B15792" s="6"/>
      <c r="H15792" s="13"/>
    </row>
    <row r="15793">
      <c r="A15793" s="6"/>
      <c r="B15793" s="6"/>
      <c r="H15793" s="13"/>
    </row>
    <row r="15794">
      <c r="A15794" s="6"/>
      <c r="B15794" s="6"/>
      <c r="H15794" s="13"/>
    </row>
    <row r="15795">
      <c r="A15795" s="6"/>
      <c r="B15795" s="6"/>
      <c r="H15795" s="13"/>
    </row>
    <row r="15796">
      <c r="A15796" s="6"/>
      <c r="B15796" s="6"/>
      <c r="H15796" s="13"/>
    </row>
    <row r="15797">
      <c r="A15797" s="6"/>
      <c r="B15797" s="6"/>
      <c r="H15797" s="13"/>
    </row>
    <row r="15798">
      <c r="A15798" s="6"/>
      <c r="B15798" s="6"/>
      <c r="H15798" s="13"/>
    </row>
    <row r="15799">
      <c r="A15799" s="6"/>
      <c r="B15799" s="6"/>
      <c r="H15799" s="13"/>
    </row>
    <row r="15800">
      <c r="A15800" s="6"/>
      <c r="B15800" s="6"/>
      <c r="H15800" s="13"/>
    </row>
    <row r="15801">
      <c r="A15801" s="6"/>
      <c r="B15801" s="6"/>
      <c r="H15801" s="13"/>
    </row>
    <row r="15802">
      <c r="A15802" s="6"/>
      <c r="B15802" s="6"/>
      <c r="H15802" s="13"/>
    </row>
    <row r="15803">
      <c r="A15803" s="6"/>
      <c r="B15803" s="6"/>
      <c r="H15803" s="13"/>
    </row>
    <row r="15804">
      <c r="A15804" s="6"/>
      <c r="B15804" s="6"/>
      <c r="H15804" s="13"/>
    </row>
    <row r="15805">
      <c r="A15805" s="6"/>
      <c r="B15805" s="6"/>
      <c r="H15805" s="13"/>
    </row>
    <row r="15806">
      <c r="A15806" s="6"/>
      <c r="B15806" s="6"/>
      <c r="H15806" s="13"/>
    </row>
    <row r="15807">
      <c r="A15807" s="6"/>
      <c r="B15807" s="6"/>
      <c r="H15807" s="13"/>
    </row>
    <row r="15808">
      <c r="A15808" s="6"/>
      <c r="B15808" s="6"/>
      <c r="H15808" s="13"/>
    </row>
    <row r="15809">
      <c r="A15809" s="6"/>
      <c r="B15809" s="6"/>
      <c r="H15809" s="13"/>
    </row>
    <row r="15810">
      <c r="A15810" s="6"/>
      <c r="B15810" s="6"/>
      <c r="H15810" s="13"/>
    </row>
    <row r="15811">
      <c r="A15811" s="6"/>
      <c r="B15811" s="6"/>
      <c r="H15811" s="13"/>
    </row>
    <row r="15812">
      <c r="A15812" s="6"/>
      <c r="B15812" s="6"/>
      <c r="H15812" s="13"/>
    </row>
    <row r="15813">
      <c r="A15813" s="6"/>
      <c r="B15813" s="6"/>
      <c r="H15813" s="13"/>
    </row>
    <row r="15814">
      <c r="A15814" s="6"/>
      <c r="B15814" s="6"/>
      <c r="H15814" s="13"/>
    </row>
    <row r="15815">
      <c r="A15815" s="6"/>
      <c r="B15815" s="6"/>
      <c r="H15815" s="13"/>
    </row>
    <row r="15816">
      <c r="A15816" s="6"/>
      <c r="B15816" s="6"/>
      <c r="H15816" s="13"/>
    </row>
    <row r="15817">
      <c r="A15817" s="6"/>
      <c r="B15817" s="6"/>
      <c r="H15817" s="13"/>
    </row>
    <row r="15818">
      <c r="A15818" s="6"/>
      <c r="B15818" s="6"/>
      <c r="H15818" s="13"/>
    </row>
    <row r="15819">
      <c r="A15819" s="6"/>
      <c r="B15819" s="6"/>
      <c r="H15819" s="13"/>
    </row>
    <row r="15820">
      <c r="A15820" s="6"/>
      <c r="B15820" s="6"/>
      <c r="H15820" s="13"/>
    </row>
    <row r="15821">
      <c r="A15821" s="6"/>
      <c r="B15821" s="6"/>
      <c r="H15821" s="13"/>
    </row>
    <row r="15822">
      <c r="A15822" s="6"/>
      <c r="B15822" s="6"/>
      <c r="H15822" s="13"/>
    </row>
    <row r="15823">
      <c r="A15823" s="6"/>
      <c r="B15823" s="6"/>
      <c r="H15823" s="13"/>
    </row>
    <row r="15824">
      <c r="A15824" s="6"/>
      <c r="B15824" s="6"/>
      <c r="H15824" s="13"/>
    </row>
    <row r="15825">
      <c r="A15825" s="6"/>
      <c r="B15825" s="6"/>
      <c r="H15825" s="13"/>
    </row>
    <row r="15826">
      <c r="A15826" s="6"/>
      <c r="B15826" s="6"/>
      <c r="H15826" s="13"/>
    </row>
    <row r="15827">
      <c r="A15827" s="6"/>
      <c r="B15827" s="6"/>
      <c r="H15827" s="13"/>
    </row>
    <row r="15828">
      <c r="A15828" s="6"/>
      <c r="B15828" s="6"/>
      <c r="H15828" s="13"/>
    </row>
    <row r="15829">
      <c r="A15829" s="6"/>
      <c r="B15829" s="6"/>
      <c r="H15829" s="13"/>
    </row>
    <row r="15830">
      <c r="A15830" s="6"/>
      <c r="B15830" s="6"/>
      <c r="H15830" s="13"/>
    </row>
    <row r="15831">
      <c r="A15831" s="6"/>
      <c r="B15831" s="6"/>
      <c r="H15831" s="13"/>
    </row>
    <row r="15832">
      <c r="A15832" s="6"/>
      <c r="B15832" s="6"/>
      <c r="H15832" s="13"/>
    </row>
    <row r="15833">
      <c r="A15833" s="6"/>
      <c r="B15833" s="6"/>
      <c r="H15833" s="13"/>
    </row>
    <row r="15834">
      <c r="A15834" s="6"/>
      <c r="B15834" s="6"/>
      <c r="H15834" s="13"/>
    </row>
    <row r="15835">
      <c r="A15835" s="6"/>
      <c r="B15835" s="6"/>
      <c r="H15835" s="13"/>
    </row>
    <row r="15836">
      <c r="A15836" s="6"/>
      <c r="B15836" s="6"/>
      <c r="H15836" s="13"/>
    </row>
    <row r="15837">
      <c r="A15837" s="6"/>
      <c r="B15837" s="6"/>
      <c r="H15837" s="13"/>
    </row>
    <row r="15838">
      <c r="A15838" s="6"/>
      <c r="B15838" s="6"/>
      <c r="H15838" s="13"/>
    </row>
    <row r="15839">
      <c r="A15839" s="6"/>
      <c r="B15839" s="6"/>
      <c r="H15839" s="13"/>
    </row>
    <row r="15840">
      <c r="A15840" s="6"/>
      <c r="B15840" s="6"/>
      <c r="H15840" s="13"/>
    </row>
    <row r="15841">
      <c r="A15841" s="6"/>
      <c r="B15841" s="6"/>
      <c r="H15841" s="13"/>
    </row>
    <row r="15842">
      <c r="A15842" s="6"/>
      <c r="B15842" s="6"/>
      <c r="H15842" s="13"/>
    </row>
    <row r="15843">
      <c r="A15843" s="6"/>
      <c r="B15843" s="6"/>
      <c r="H15843" s="13"/>
    </row>
    <row r="15844">
      <c r="A15844" s="6"/>
      <c r="B15844" s="6"/>
      <c r="H15844" s="13"/>
    </row>
    <row r="15845">
      <c r="A15845" s="6"/>
      <c r="B15845" s="6"/>
      <c r="H15845" s="13"/>
    </row>
    <row r="15846">
      <c r="A15846" s="6"/>
      <c r="B15846" s="6"/>
      <c r="H15846" s="13"/>
    </row>
    <row r="15847">
      <c r="A15847" s="6"/>
      <c r="B15847" s="6"/>
      <c r="H15847" s="13"/>
    </row>
    <row r="15848">
      <c r="A15848" s="6"/>
      <c r="B15848" s="6"/>
      <c r="H15848" s="13"/>
    </row>
    <row r="15849">
      <c r="A15849" s="6"/>
      <c r="B15849" s="6"/>
      <c r="H15849" s="13"/>
    </row>
    <row r="15850">
      <c r="A15850" s="6"/>
      <c r="B15850" s="6"/>
      <c r="H15850" s="13"/>
    </row>
    <row r="15851">
      <c r="A15851" s="6"/>
      <c r="B15851" s="6"/>
      <c r="H15851" s="13"/>
    </row>
    <row r="15852">
      <c r="A15852" s="6"/>
      <c r="B15852" s="6"/>
      <c r="H15852" s="13"/>
    </row>
    <row r="15853">
      <c r="A15853" s="6"/>
      <c r="B15853" s="6"/>
      <c r="H15853" s="13"/>
    </row>
    <row r="15854">
      <c r="A15854" s="6"/>
      <c r="B15854" s="6"/>
      <c r="H15854" s="13"/>
    </row>
    <row r="15855">
      <c r="A15855" s="6"/>
      <c r="B15855" s="6"/>
      <c r="H15855" s="13"/>
    </row>
    <row r="15856">
      <c r="A15856" s="6"/>
      <c r="B15856" s="6"/>
      <c r="H15856" s="13"/>
    </row>
    <row r="15857">
      <c r="A15857" s="6"/>
      <c r="B15857" s="6"/>
      <c r="H15857" s="13"/>
    </row>
    <row r="15858">
      <c r="A15858" s="6"/>
      <c r="B15858" s="6"/>
      <c r="H15858" s="13"/>
    </row>
    <row r="15859">
      <c r="A15859" s="6"/>
      <c r="B15859" s="6"/>
      <c r="H15859" s="13"/>
    </row>
    <row r="15860">
      <c r="A15860" s="6"/>
      <c r="B15860" s="6"/>
      <c r="H15860" s="13"/>
    </row>
    <row r="15861">
      <c r="A15861" s="6"/>
      <c r="B15861" s="6"/>
      <c r="H15861" s="13"/>
    </row>
    <row r="15862">
      <c r="A15862" s="6"/>
      <c r="B15862" s="6"/>
      <c r="H15862" s="13"/>
    </row>
    <row r="15863">
      <c r="A15863" s="6"/>
      <c r="B15863" s="6"/>
      <c r="H15863" s="13"/>
    </row>
    <row r="15864">
      <c r="A15864" s="6"/>
      <c r="B15864" s="6"/>
      <c r="H15864" s="13"/>
    </row>
    <row r="15865">
      <c r="A15865" s="6"/>
      <c r="B15865" s="6"/>
      <c r="H15865" s="13"/>
    </row>
    <row r="15866">
      <c r="A15866" s="6"/>
      <c r="B15866" s="6"/>
      <c r="H15866" s="13"/>
    </row>
    <row r="15867">
      <c r="A15867" s="6"/>
      <c r="B15867" s="6"/>
      <c r="H15867" s="13"/>
    </row>
    <row r="15868">
      <c r="A15868" s="6"/>
      <c r="B15868" s="6"/>
      <c r="H15868" s="13"/>
    </row>
    <row r="15869">
      <c r="A15869" s="6"/>
      <c r="B15869" s="6"/>
      <c r="H15869" s="13"/>
    </row>
    <row r="15870">
      <c r="A15870" s="6"/>
      <c r="B15870" s="6"/>
      <c r="H15870" s="13"/>
    </row>
    <row r="15871">
      <c r="A15871" s="6"/>
      <c r="B15871" s="6"/>
      <c r="H15871" s="13"/>
    </row>
    <row r="15872">
      <c r="A15872" s="6"/>
      <c r="B15872" s="6"/>
      <c r="H15872" s="13"/>
    </row>
    <row r="15873">
      <c r="A15873" s="6"/>
      <c r="B15873" s="6"/>
      <c r="H15873" s="13"/>
    </row>
    <row r="15874">
      <c r="A15874" s="6"/>
      <c r="B15874" s="6"/>
      <c r="H15874" s="13"/>
    </row>
    <row r="15875">
      <c r="A15875" s="6"/>
      <c r="B15875" s="6"/>
      <c r="H15875" s="13"/>
    </row>
    <row r="15876">
      <c r="A15876" s="6"/>
      <c r="B15876" s="6"/>
      <c r="H15876" s="13"/>
    </row>
    <row r="15877">
      <c r="A15877" s="6"/>
      <c r="B15877" s="6"/>
      <c r="H15877" s="13"/>
    </row>
    <row r="15878">
      <c r="A15878" s="6"/>
      <c r="B15878" s="6"/>
      <c r="H15878" s="13"/>
    </row>
    <row r="15879">
      <c r="A15879" s="6"/>
      <c r="B15879" s="6"/>
      <c r="H15879" s="13"/>
    </row>
    <row r="15880">
      <c r="A15880" s="6"/>
      <c r="B15880" s="6"/>
      <c r="H15880" s="13"/>
    </row>
    <row r="15881">
      <c r="A15881" s="6"/>
      <c r="B15881" s="6"/>
      <c r="H15881" s="13"/>
    </row>
    <row r="15882">
      <c r="A15882" s="6"/>
      <c r="B15882" s="6"/>
      <c r="H15882" s="13"/>
    </row>
    <row r="15883">
      <c r="A15883" s="6"/>
      <c r="B15883" s="6"/>
      <c r="H15883" s="13"/>
    </row>
    <row r="15884">
      <c r="A15884" s="6"/>
      <c r="B15884" s="6"/>
      <c r="H15884" s="13"/>
    </row>
    <row r="15885">
      <c r="A15885" s="6"/>
      <c r="B15885" s="6"/>
      <c r="H15885" s="13"/>
    </row>
    <row r="15886">
      <c r="A15886" s="6"/>
      <c r="B15886" s="6"/>
      <c r="H15886" s="13"/>
    </row>
    <row r="15887">
      <c r="A15887" s="6"/>
      <c r="B15887" s="6"/>
      <c r="H15887" s="13"/>
    </row>
    <row r="15888">
      <c r="A15888" s="6"/>
      <c r="B15888" s="6"/>
      <c r="H15888" s="13"/>
    </row>
    <row r="15889">
      <c r="A15889" s="6"/>
      <c r="B15889" s="6"/>
      <c r="H15889" s="13"/>
    </row>
    <row r="15890">
      <c r="A15890" s="6"/>
      <c r="B15890" s="6"/>
      <c r="H15890" s="13"/>
    </row>
    <row r="15891">
      <c r="A15891" s="6"/>
      <c r="B15891" s="6"/>
      <c r="H15891" s="13"/>
    </row>
    <row r="15892">
      <c r="A15892" s="6"/>
      <c r="B15892" s="6"/>
      <c r="H15892" s="13"/>
    </row>
    <row r="15893">
      <c r="A15893" s="6"/>
      <c r="B15893" s="6"/>
      <c r="H15893" s="13"/>
    </row>
    <row r="15894">
      <c r="A15894" s="6"/>
      <c r="B15894" s="6"/>
      <c r="H15894" s="13"/>
    </row>
    <row r="15895">
      <c r="A15895" s="6"/>
      <c r="B15895" s="6"/>
      <c r="H15895" s="13"/>
    </row>
    <row r="15896">
      <c r="A15896" s="6"/>
      <c r="B15896" s="6"/>
      <c r="H15896" s="13"/>
    </row>
    <row r="15897">
      <c r="A15897" s="6"/>
      <c r="B15897" s="6"/>
      <c r="H15897" s="13"/>
    </row>
    <row r="15898">
      <c r="A15898" s="6"/>
      <c r="B15898" s="6"/>
      <c r="H15898" s="13"/>
    </row>
    <row r="15899">
      <c r="A15899" s="6"/>
      <c r="B15899" s="6"/>
      <c r="H15899" s="13"/>
    </row>
    <row r="15900">
      <c r="A15900" s="6"/>
      <c r="B15900" s="6"/>
      <c r="H15900" s="13"/>
    </row>
    <row r="15901">
      <c r="A15901" s="6"/>
      <c r="B15901" s="6"/>
      <c r="H15901" s="13"/>
    </row>
    <row r="15902">
      <c r="A15902" s="6"/>
      <c r="B15902" s="6"/>
      <c r="H15902" s="13"/>
    </row>
    <row r="15903">
      <c r="A15903" s="6"/>
      <c r="B15903" s="6"/>
      <c r="H15903" s="13"/>
    </row>
    <row r="15904">
      <c r="A15904" s="6"/>
      <c r="B15904" s="6"/>
      <c r="H15904" s="13"/>
    </row>
    <row r="15905">
      <c r="A15905" s="6"/>
      <c r="B15905" s="6"/>
      <c r="H15905" s="13"/>
    </row>
    <row r="15906">
      <c r="A15906" s="6"/>
      <c r="B15906" s="6"/>
      <c r="H15906" s="13"/>
    </row>
    <row r="15907">
      <c r="A15907" s="6"/>
      <c r="B15907" s="6"/>
      <c r="H15907" s="13"/>
    </row>
    <row r="15908">
      <c r="A15908" s="6"/>
      <c r="B15908" s="6"/>
      <c r="H15908" s="13"/>
    </row>
    <row r="15909">
      <c r="A15909" s="6"/>
      <c r="B15909" s="6"/>
      <c r="H15909" s="13"/>
    </row>
    <row r="15910">
      <c r="A15910" s="6"/>
      <c r="B15910" s="6"/>
      <c r="H15910" s="13"/>
    </row>
    <row r="15911">
      <c r="A15911" s="6"/>
      <c r="B15911" s="6"/>
      <c r="H15911" s="13"/>
    </row>
    <row r="15912">
      <c r="A15912" s="6"/>
      <c r="B15912" s="6"/>
      <c r="H15912" s="13"/>
    </row>
    <row r="15913">
      <c r="A15913" s="6"/>
      <c r="B15913" s="6"/>
      <c r="H15913" s="13"/>
    </row>
    <row r="15914">
      <c r="A15914" s="6"/>
      <c r="B15914" s="6"/>
      <c r="H15914" s="13"/>
    </row>
    <row r="15915">
      <c r="A15915" s="6"/>
      <c r="B15915" s="6"/>
      <c r="H15915" s="13"/>
    </row>
    <row r="15916">
      <c r="A15916" s="6"/>
      <c r="B15916" s="6"/>
      <c r="H15916" s="13"/>
    </row>
    <row r="15917">
      <c r="A15917" s="6"/>
      <c r="B15917" s="6"/>
      <c r="H15917" s="13"/>
    </row>
    <row r="15918">
      <c r="A15918" s="6"/>
      <c r="B15918" s="6"/>
      <c r="H15918" s="13"/>
    </row>
    <row r="15919">
      <c r="A15919" s="6"/>
      <c r="B15919" s="6"/>
      <c r="H15919" s="13"/>
    </row>
    <row r="15920">
      <c r="A15920" s="6"/>
      <c r="B15920" s="6"/>
      <c r="H15920" s="13"/>
    </row>
    <row r="15921">
      <c r="A15921" s="6"/>
      <c r="B15921" s="6"/>
      <c r="H15921" s="13"/>
    </row>
    <row r="15922">
      <c r="A15922" s="6"/>
      <c r="B15922" s="6"/>
      <c r="H15922" s="13"/>
    </row>
    <row r="15923">
      <c r="A15923" s="6"/>
      <c r="B15923" s="6"/>
      <c r="H15923" s="13"/>
    </row>
    <row r="15924">
      <c r="A15924" s="6"/>
      <c r="B15924" s="6"/>
      <c r="H15924" s="13"/>
    </row>
    <row r="15925">
      <c r="A15925" s="6"/>
      <c r="B15925" s="6"/>
      <c r="H15925" s="13"/>
    </row>
    <row r="15926">
      <c r="A15926" s="6"/>
      <c r="B15926" s="6"/>
      <c r="H15926" s="13"/>
    </row>
    <row r="15927">
      <c r="A15927" s="6"/>
      <c r="B15927" s="6"/>
      <c r="H15927" s="13"/>
    </row>
    <row r="15928">
      <c r="A15928" s="6"/>
      <c r="B15928" s="6"/>
      <c r="H15928" s="13"/>
    </row>
    <row r="15929">
      <c r="A15929" s="6"/>
      <c r="B15929" s="6"/>
      <c r="H15929" s="13"/>
    </row>
    <row r="15930">
      <c r="A15930" s="6"/>
      <c r="B15930" s="6"/>
      <c r="H15930" s="13"/>
    </row>
    <row r="15931">
      <c r="A15931" s="6"/>
      <c r="B15931" s="6"/>
      <c r="H15931" s="13"/>
    </row>
    <row r="15932">
      <c r="A15932" s="6"/>
      <c r="B15932" s="6"/>
      <c r="H15932" s="13"/>
    </row>
    <row r="15933">
      <c r="A15933" s="6"/>
      <c r="B15933" s="6"/>
      <c r="H15933" s="13"/>
    </row>
    <row r="15934">
      <c r="A15934" s="6"/>
      <c r="B15934" s="6"/>
      <c r="H15934" s="13"/>
    </row>
    <row r="15935">
      <c r="A15935" s="6"/>
      <c r="B15935" s="6"/>
      <c r="H15935" s="13"/>
    </row>
    <row r="15936">
      <c r="A15936" s="6"/>
      <c r="B15936" s="6"/>
      <c r="H15936" s="13"/>
    </row>
    <row r="15937">
      <c r="A15937" s="6"/>
      <c r="B15937" s="6"/>
      <c r="H15937" s="13"/>
    </row>
    <row r="15938">
      <c r="A15938" s="6"/>
      <c r="B15938" s="6"/>
      <c r="H15938" s="13"/>
    </row>
    <row r="15939">
      <c r="A15939" s="6"/>
      <c r="B15939" s="6"/>
      <c r="H15939" s="13"/>
    </row>
    <row r="15940">
      <c r="A15940" s="6"/>
      <c r="B15940" s="6"/>
      <c r="H15940" s="13"/>
    </row>
    <row r="15941">
      <c r="A15941" s="6"/>
      <c r="B15941" s="6"/>
      <c r="H15941" s="13"/>
    </row>
    <row r="15942">
      <c r="A15942" s="6"/>
      <c r="B15942" s="6"/>
      <c r="H15942" s="13"/>
    </row>
    <row r="15943">
      <c r="A15943" s="6"/>
      <c r="B15943" s="6"/>
      <c r="H15943" s="13"/>
    </row>
    <row r="15944">
      <c r="A15944" s="6"/>
      <c r="B15944" s="6"/>
      <c r="H15944" s="13"/>
    </row>
    <row r="15945">
      <c r="A15945" s="6"/>
      <c r="B15945" s="6"/>
      <c r="H15945" s="13"/>
    </row>
    <row r="15946">
      <c r="A15946" s="6"/>
      <c r="B15946" s="6"/>
      <c r="H15946" s="13"/>
    </row>
    <row r="15947">
      <c r="A15947" s="6"/>
      <c r="B15947" s="6"/>
      <c r="H15947" s="13"/>
    </row>
    <row r="15948">
      <c r="A15948" s="6"/>
      <c r="B15948" s="6"/>
      <c r="H15948" s="13"/>
    </row>
    <row r="15949">
      <c r="A15949" s="6"/>
      <c r="B15949" s="6"/>
      <c r="H15949" s="13"/>
    </row>
    <row r="15950">
      <c r="A15950" s="6"/>
      <c r="B15950" s="6"/>
      <c r="H15950" s="13"/>
    </row>
    <row r="15951">
      <c r="A15951" s="6"/>
      <c r="B15951" s="6"/>
      <c r="H15951" s="13"/>
    </row>
    <row r="15952">
      <c r="A15952" s="6"/>
      <c r="B15952" s="6"/>
      <c r="H15952" s="13"/>
    </row>
    <row r="15953">
      <c r="A15953" s="6"/>
      <c r="B15953" s="6"/>
      <c r="H15953" s="13"/>
    </row>
    <row r="15954">
      <c r="A15954" s="6"/>
      <c r="B15954" s="6"/>
      <c r="H15954" s="13"/>
    </row>
    <row r="15955">
      <c r="A15955" s="6"/>
      <c r="B15955" s="6"/>
      <c r="H15955" s="13"/>
    </row>
    <row r="15956">
      <c r="A15956" s="6"/>
      <c r="B15956" s="6"/>
      <c r="H15956" s="13"/>
    </row>
    <row r="15957">
      <c r="A15957" s="6"/>
      <c r="B15957" s="6"/>
      <c r="H15957" s="13"/>
    </row>
    <row r="15958">
      <c r="A15958" s="6"/>
      <c r="B15958" s="6"/>
      <c r="H15958" s="13"/>
    </row>
    <row r="15959">
      <c r="A15959" s="6"/>
      <c r="B15959" s="6"/>
      <c r="H15959" s="13"/>
    </row>
    <row r="15960">
      <c r="A15960" s="6"/>
      <c r="B15960" s="6"/>
      <c r="H15960" s="13"/>
    </row>
    <row r="15961">
      <c r="A15961" s="6"/>
      <c r="B15961" s="6"/>
      <c r="H15961" s="13"/>
    </row>
    <row r="15962">
      <c r="A15962" s="6"/>
      <c r="B15962" s="6"/>
      <c r="H15962" s="13"/>
    </row>
    <row r="15963">
      <c r="A15963" s="6"/>
      <c r="B15963" s="6"/>
      <c r="H15963" s="13"/>
    </row>
    <row r="15964">
      <c r="A15964" s="6"/>
      <c r="B15964" s="6"/>
      <c r="H15964" s="13"/>
    </row>
    <row r="15965">
      <c r="A15965" s="6"/>
      <c r="B15965" s="6"/>
      <c r="H15965" s="13"/>
    </row>
    <row r="15966">
      <c r="A15966" s="6"/>
      <c r="B15966" s="6"/>
      <c r="H15966" s="13"/>
    </row>
    <row r="15967">
      <c r="A15967" s="6"/>
      <c r="B15967" s="6"/>
      <c r="H15967" s="13"/>
    </row>
    <row r="15968">
      <c r="A15968" s="6"/>
      <c r="B15968" s="6"/>
      <c r="H15968" s="13"/>
    </row>
    <row r="15969">
      <c r="A15969" s="6"/>
      <c r="B15969" s="6"/>
      <c r="H15969" s="13"/>
    </row>
    <row r="15970">
      <c r="A15970" s="6"/>
      <c r="B15970" s="6"/>
      <c r="H15970" s="13"/>
    </row>
    <row r="15971">
      <c r="A15971" s="6"/>
      <c r="B15971" s="6"/>
      <c r="H15971" s="13"/>
    </row>
    <row r="15972">
      <c r="A15972" s="6"/>
      <c r="B15972" s="6"/>
      <c r="H15972" s="13"/>
    </row>
    <row r="15973">
      <c r="A15973" s="6"/>
      <c r="B15973" s="6"/>
      <c r="H15973" s="13"/>
    </row>
    <row r="15974">
      <c r="A15974" s="6"/>
      <c r="B15974" s="6"/>
      <c r="H15974" s="13"/>
    </row>
    <row r="15975">
      <c r="A15975" s="6"/>
      <c r="B15975" s="6"/>
      <c r="H15975" s="13"/>
    </row>
    <row r="15976">
      <c r="A15976" s="6"/>
      <c r="B15976" s="6"/>
      <c r="H15976" s="13"/>
    </row>
    <row r="15977">
      <c r="A15977" s="6"/>
      <c r="B15977" s="6"/>
      <c r="H15977" s="13"/>
    </row>
    <row r="15978">
      <c r="A15978" s="6"/>
      <c r="B15978" s="6"/>
      <c r="H15978" s="13"/>
    </row>
    <row r="15979">
      <c r="A15979" s="6"/>
      <c r="B15979" s="6"/>
      <c r="H15979" s="13"/>
    </row>
    <row r="15980">
      <c r="A15980" s="6"/>
      <c r="B15980" s="6"/>
      <c r="H15980" s="13"/>
    </row>
    <row r="15981">
      <c r="A15981" s="6"/>
      <c r="B15981" s="6"/>
      <c r="H15981" s="13"/>
    </row>
    <row r="15982">
      <c r="A15982" s="6"/>
      <c r="B15982" s="6"/>
      <c r="H15982" s="13"/>
    </row>
    <row r="15983">
      <c r="A15983" s="6"/>
      <c r="B15983" s="6"/>
      <c r="H15983" s="13"/>
    </row>
    <row r="15984">
      <c r="A15984" s="6"/>
      <c r="B15984" s="6"/>
      <c r="H15984" s="13"/>
    </row>
    <row r="15985">
      <c r="A15985" s="6"/>
      <c r="B15985" s="6"/>
      <c r="H15985" s="13"/>
    </row>
    <row r="15986">
      <c r="A15986" s="6"/>
      <c r="B15986" s="6"/>
      <c r="H15986" s="13"/>
    </row>
    <row r="15987">
      <c r="A15987" s="6"/>
      <c r="B15987" s="6"/>
      <c r="H15987" s="13"/>
    </row>
    <row r="15988">
      <c r="A15988" s="6"/>
      <c r="B15988" s="6"/>
      <c r="H15988" s="13"/>
    </row>
    <row r="15989">
      <c r="A15989" s="6"/>
      <c r="B15989" s="6"/>
      <c r="H15989" s="13"/>
    </row>
    <row r="15990">
      <c r="A15990" s="6"/>
      <c r="B15990" s="6"/>
      <c r="H15990" s="13"/>
    </row>
    <row r="15991">
      <c r="A15991" s="6"/>
      <c r="B15991" s="6"/>
      <c r="H15991" s="13"/>
    </row>
    <row r="15992">
      <c r="A15992" s="6"/>
      <c r="B15992" s="6"/>
      <c r="H15992" s="13"/>
    </row>
    <row r="15993">
      <c r="A15993" s="6"/>
      <c r="B15993" s="6"/>
      <c r="H15993" s="13"/>
    </row>
    <row r="15994">
      <c r="A15994" s="6"/>
      <c r="B15994" s="6"/>
      <c r="H15994" s="13"/>
    </row>
    <row r="15995">
      <c r="A15995" s="6"/>
      <c r="B15995" s="6"/>
      <c r="H15995" s="13"/>
    </row>
    <row r="15996">
      <c r="A15996" s="6"/>
      <c r="B15996" s="6"/>
      <c r="H15996" s="13"/>
    </row>
    <row r="15997">
      <c r="A15997" s="6"/>
      <c r="B15997" s="6"/>
      <c r="H15997" s="13"/>
    </row>
    <row r="15998">
      <c r="A15998" s="6"/>
      <c r="B15998" s="6"/>
      <c r="H15998" s="13"/>
    </row>
    <row r="15999">
      <c r="A15999" s="6"/>
      <c r="B15999" s="6"/>
      <c r="H15999" s="13"/>
    </row>
    <row r="16000">
      <c r="A16000" s="6"/>
      <c r="B16000" s="6"/>
      <c r="H16000" s="13"/>
    </row>
    <row r="16001">
      <c r="A16001" s="6"/>
      <c r="B16001" s="6"/>
      <c r="H16001" s="13"/>
    </row>
    <row r="16002">
      <c r="A16002" s="6"/>
      <c r="B16002" s="6"/>
      <c r="H16002" s="13"/>
    </row>
    <row r="16003">
      <c r="A16003" s="6"/>
      <c r="B16003" s="6"/>
      <c r="H16003" s="13"/>
    </row>
    <row r="16004">
      <c r="A16004" s="6"/>
      <c r="B16004" s="6"/>
      <c r="H16004" s="13"/>
    </row>
    <row r="16005">
      <c r="A16005" s="6"/>
      <c r="B16005" s="6"/>
      <c r="H16005" s="13"/>
    </row>
    <row r="16006">
      <c r="A16006" s="6"/>
      <c r="B16006" s="6"/>
      <c r="H16006" s="13"/>
    </row>
    <row r="16007">
      <c r="A16007" s="6"/>
      <c r="B16007" s="6"/>
      <c r="H16007" s="13"/>
    </row>
    <row r="16008">
      <c r="A16008" s="6"/>
      <c r="B16008" s="6"/>
      <c r="H16008" s="13"/>
    </row>
    <row r="16009">
      <c r="A16009" s="6"/>
      <c r="B16009" s="6"/>
      <c r="H16009" s="13"/>
    </row>
    <row r="16010">
      <c r="A16010" s="6"/>
      <c r="B16010" s="6"/>
      <c r="H16010" s="13"/>
    </row>
    <row r="16011">
      <c r="A16011" s="6"/>
      <c r="B16011" s="6"/>
      <c r="H16011" s="13"/>
    </row>
    <row r="16012">
      <c r="A16012" s="6"/>
      <c r="B16012" s="6"/>
      <c r="H16012" s="13"/>
    </row>
    <row r="16013">
      <c r="A16013" s="6"/>
      <c r="B16013" s="6"/>
      <c r="H16013" s="13"/>
    </row>
    <row r="16014">
      <c r="A16014" s="6"/>
      <c r="B16014" s="6"/>
      <c r="H16014" s="13"/>
    </row>
    <row r="16015">
      <c r="A16015" s="6"/>
      <c r="B16015" s="6"/>
      <c r="H16015" s="13"/>
    </row>
    <row r="16016">
      <c r="A16016" s="6"/>
      <c r="B16016" s="6"/>
      <c r="H16016" s="13"/>
    </row>
    <row r="16017">
      <c r="A16017" s="6"/>
      <c r="B16017" s="6"/>
      <c r="H16017" s="13"/>
    </row>
    <row r="16018">
      <c r="A16018" s="6"/>
      <c r="B16018" s="6"/>
      <c r="H16018" s="13"/>
    </row>
    <row r="16019">
      <c r="A16019" s="6"/>
      <c r="B16019" s="6"/>
      <c r="H16019" s="13"/>
    </row>
    <row r="16020">
      <c r="A16020" s="6"/>
      <c r="B16020" s="6"/>
      <c r="H16020" s="13"/>
    </row>
    <row r="16021">
      <c r="A16021" s="6"/>
      <c r="B16021" s="6"/>
      <c r="H16021" s="13"/>
    </row>
    <row r="16022">
      <c r="A16022" s="6"/>
      <c r="B16022" s="6"/>
      <c r="H16022" s="13"/>
    </row>
    <row r="16023">
      <c r="A16023" s="6"/>
      <c r="B16023" s="6"/>
      <c r="H16023" s="13"/>
    </row>
    <row r="16024">
      <c r="A16024" s="6"/>
      <c r="B16024" s="6"/>
      <c r="H16024" s="13"/>
    </row>
    <row r="16025">
      <c r="A16025" s="6"/>
      <c r="B16025" s="6"/>
      <c r="H16025" s="13"/>
    </row>
    <row r="16026">
      <c r="A16026" s="6"/>
      <c r="B16026" s="6"/>
      <c r="H16026" s="13"/>
    </row>
    <row r="16027">
      <c r="A16027" s="6"/>
      <c r="B16027" s="6"/>
      <c r="H16027" s="13"/>
    </row>
    <row r="16028">
      <c r="A16028" s="6"/>
      <c r="B16028" s="6"/>
      <c r="H16028" s="13"/>
    </row>
    <row r="16029">
      <c r="A16029" s="6"/>
      <c r="B16029" s="6"/>
      <c r="H16029" s="13"/>
    </row>
    <row r="16030">
      <c r="A16030" s="6"/>
      <c r="B16030" s="6"/>
      <c r="H16030" s="13"/>
    </row>
    <row r="16031">
      <c r="A16031" s="6"/>
      <c r="B16031" s="6"/>
      <c r="H16031" s="13"/>
    </row>
    <row r="16032">
      <c r="A16032" s="6"/>
      <c r="B16032" s="6"/>
      <c r="H16032" s="13"/>
    </row>
    <row r="16033">
      <c r="A16033" s="6"/>
      <c r="B16033" s="6"/>
      <c r="H16033" s="13"/>
    </row>
    <row r="16034">
      <c r="A16034" s="6"/>
      <c r="B16034" s="6"/>
      <c r="H16034" s="13"/>
    </row>
    <row r="16035">
      <c r="A16035" s="6"/>
      <c r="B16035" s="6"/>
      <c r="H16035" s="13"/>
    </row>
    <row r="16036">
      <c r="A16036" s="6"/>
      <c r="B16036" s="6"/>
      <c r="H16036" s="13"/>
    </row>
    <row r="16037">
      <c r="A16037" s="6"/>
      <c r="B16037" s="6"/>
      <c r="H16037" s="13"/>
    </row>
    <row r="16038">
      <c r="A16038" s="6"/>
      <c r="B16038" s="6"/>
      <c r="H16038" s="13"/>
    </row>
    <row r="16039">
      <c r="A16039" s="6"/>
      <c r="B16039" s="6"/>
      <c r="H16039" s="13"/>
    </row>
    <row r="16040">
      <c r="A16040" s="6"/>
      <c r="B16040" s="6"/>
      <c r="H16040" s="13"/>
    </row>
    <row r="16041">
      <c r="A16041" s="6"/>
      <c r="B16041" s="6"/>
      <c r="H16041" s="13"/>
    </row>
    <row r="16042">
      <c r="A16042" s="6"/>
      <c r="B16042" s="6"/>
      <c r="H16042" s="13"/>
    </row>
    <row r="16043">
      <c r="A16043" s="6"/>
      <c r="B16043" s="6"/>
      <c r="H16043" s="13"/>
    </row>
    <row r="16044">
      <c r="A16044" s="6"/>
      <c r="B16044" s="6"/>
      <c r="H16044" s="13"/>
    </row>
    <row r="16045">
      <c r="A16045" s="6"/>
      <c r="B16045" s="6"/>
      <c r="H16045" s="13"/>
    </row>
    <row r="16046">
      <c r="A16046" s="6"/>
      <c r="B16046" s="6"/>
      <c r="H16046" s="13"/>
    </row>
    <row r="16047">
      <c r="A16047" s="6"/>
      <c r="B16047" s="6"/>
      <c r="H16047" s="13"/>
    </row>
    <row r="16048">
      <c r="A16048" s="6"/>
      <c r="B16048" s="6"/>
      <c r="H16048" s="13"/>
    </row>
    <row r="16049">
      <c r="A16049" s="6"/>
      <c r="B16049" s="6"/>
      <c r="H16049" s="13"/>
    </row>
    <row r="16050">
      <c r="A16050" s="6"/>
      <c r="B16050" s="6"/>
      <c r="H16050" s="13"/>
    </row>
    <row r="16051">
      <c r="A16051" s="6"/>
      <c r="B16051" s="6"/>
      <c r="H16051" s="13"/>
    </row>
    <row r="16052">
      <c r="A16052" s="6"/>
      <c r="B16052" s="6"/>
      <c r="H16052" s="13"/>
    </row>
    <row r="16053">
      <c r="A16053" s="6"/>
      <c r="B16053" s="6"/>
      <c r="H16053" s="13"/>
    </row>
    <row r="16054">
      <c r="A16054" s="6"/>
      <c r="B16054" s="6"/>
      <c r="H16054" s="13"/>
    </row>
    <row r="16055">
      <c r="A16055" s="6"/>
      <c r="B16055" s="6"/>
      <c r="H16055" s="13"/>
    </row>
    <row r="16056">
      <c r="A16056" s="6"/>
      <c r="B16056" s="6"/>
      <c r="H16056" s="13"/>
    </row>
    <row r="16057">
      <c r="A16057" s="6"/>
      <c r="B16057" s="6"/>
      <c r="H16057" s="13"/>
    </row>
    <row r="16058">
      <c r="A16058" s="6"/>
      <c r="B16058" s="6"/>
      <c r="H16058" s="13"/>
    </row>
    <row r="16059">
      <c r="A16059" s="6"/>
      <c r="B16059" s="6"/>
      <c r="H16059" s="13"/>
    </row>
    <row r="16060">
      <c r="A16060" s="6"/>
      <c r="B16060" s="6"/>
      <c r="H16060" s="13"/>
    </row>
    <row r="16061">
      <c r="A16061" s="6"/>
      <c r="B16061" s="6"/>
      <c r="H16061" s="13"/>
    </row>
    <row r="16062">
      <c r="A16062" s="6"/>
      <c r="B16062" s="6"/>
      <c r="H16062" s="13"/>
    </row>
    <row r="16063">
      <c r="A16063" s="6"/>
      <c r="B16063" s="6"/>
      <c r="H16063" s="13"/>
    </row>
    <row r="16064">
      <c r="A16064" s="6"/>
      <c r="B16064" s="6"/>
      <c r="H16064" s="13"/>
    </row>
    <row r="16065">
      <c r="A16065" s="6"/>
      <c r="B16065" s="6"/>
      <c r="H16065" s="13"/>
    </row>
    <row r="16066">
      <c r="A16066" s="6"/>
      <c r="B16066" s="6"/>
      <c r="H16066" s="13"/>
    </row>
    <row r="16067">
      <c r="A16067" s="6"/>
      <c r="B16067" s="6"/>
      <c r="H16067" s="13"/>
    </row>
    <row r="16068">
      <c r="A16068" s="6"/>
      <c r="B16068" s="6"/>
      <c r="H16068" s="13"/>
    </row>
    <row r="16069">
      <c r="A16069" s="6"/>
      <c r="B16069" s="6"/>
      <c r="H16069" s="13"/>
    </row>
    <row r="16070">
      <c r="A16070" s="6"/>
      <c r="B16070" s="6"/>
      <c r="H16070" s="13"/>
    </row>
    <row r="16071">
      <c r="A16071" s="6"/>
      <c r="B16071" s="6"/>
      <c r="H16071" s="13"/>
    </row>
    <row r="16072">
      <c r="A16072" s="6"/>
      <c r="B16072" s="6"/>
      <c r="H16072" s="13"/>
    </row>
    <row r="16073">
      <c r="A16073" s="6"/>
      <c r="B16073" s="6"/>
      <c r="H16073" s="13"/>
    </row>
    <row r="16074">
      <c r="A16074" s="6"/>
      <c r="B16074" s="6"/>
      <c r="H16074" s="13"/>
    </row>
    <row r="16075">
      <c r="A16075" s="6"/>
      <c r="B16075" s="6"/>
      <c r="H16075" s="13"/>
    </row>
    <row r="16076">
      <c r="A16076" s="6"/>
      <c r="B16076" s="6"/>
      <c r="H16076" s="13"/>
    </row>
    <row r="16077">
      <c r="A16077" s="6"/>
      <c r="B16077" s="6"/>
      <c r="H16077" s="13"/>
    </row>
    <row r="16078">
      <c r="A16078" s="6"/>
      <c r="B16078" s="6"/>
      <c r="H16078" s="13"/>
    </row>
    <row r="16079">
      <c r="A16079" s="6"/>
      <c r="B16079" s="6"/>
      <c r="H16079" s="13"/>
    </row>
    <row r="16080">
      <c r="A16080" s="6"/>
      <c r="B16080" s="6"/>
      <c r="H16080" s="13"/>
    </row>
    <row r="16081">
      <c r="A16081" s="6"/>
      <c r="B16081" s="6"/>
      <c r="H16081" s="13"/>
    </row>
    <row r="16082">
      <c r="A16082" s="6"/>
      <c r="B16082" s="6"/>
      <c r="H16082" s="13"/>
    </row>
    <row r="16083">
      <c r="A16083" s="6"/>
      <c r="B16083" s="6"/>
      <c r="H16083" s="13"/>
    </row>
    <row r="16084">
      <c r="A16084" s="6"/>
      <c r="B16084" s="6"/>
      <c r="H16084" s="13"/>
    </row>
    <row r="16085">
      <c r="A16085" s="6"/>
      <c r="B16085" s="6"/>
      <c r="H16085" s="13"/>
    </row>
    <row r="16086">
      <c r="A16086" s="6"/>
      <c r="B16086" s="6"/>
      <c r="H16086" s="13"/>
    </row>
    <row r="16087">
      <c r="A16087" s="6"/>
      <c r="B16087" s="6"/>
      <c r="H16087" s="13"/>
    </row>
    <row r="16088">
      <c r="A16088" s="6"/>
      <c r="B16088" s="6"/>
      <c r="H16088" s="13"/>
    </row>
    <row r="16089">
      <c r="A16089" s="6"/>
      <c r="B16089" s="6"/>
      <c r="H16089" s="13"/>
    </row>
    <row r="16090">
      <c r="A16090" s="6"/>
      <c r="B16090" s="6"/>
      <c r="H16090" s="13"/>
    </row>
    <row r="16091">
      <c r="A16091" s="6"/>
      <c r="B16091" s="6"/>
      <c r="H16091" s="13"/>
    </row>
    <row r="16092">
      <c r="A16092" s="6"/>
      <c r="B16092" s="6"/>
      <c r="H16092" s="13"/>
    </row>
    <row r="16093">
      <c r="A16093" s="6"/>
      <c r="B16093" s="6"/>
      <c r="H16093" s="13"/>
    </row>
    <row r="16094">
      <c r="A16094" s="6"/>
      <c r="B16094" s="6"/>
      <c r="H16094" s="13"/>
    </row>
    <row r="16095">
      <c r="A16095" s="6"/>
      <c r="B16095" s="6"/>
      <c r="H16095" s="13"/>
    </row>
    <row r="16096">
      <c r="A16096" s="6"/>
      <c r="B16096" s="6"/>
      <c r="H16096" s="13"/>
    </row>
    <row r="16097">
      <c r="A16097" s="6"/>
      <c r="B16097" s="6"/>
      <c r="H16097" s="13"/>
    </row>
    <row r="16098">
      <c r="A16098" s="6"/>
      <c r="B16098" s="6"/>
      <c r="H16098" s="13"/>
    </row>
    <row r="16099">
      <c r="A16099" s="6"/>
      <c r="B16099" s="6"/>
      <c r="H16099" s="13"/>
    </row>
    <row r="16100">
      <c r="A16100" s="6"/>
      <c r="B16100" s="6"/>
      <c r="H16100" s="13"/>
    </row>
    <row r="16101">
      <c r="A16101" s="6"/>
      <c r="B16101" s="6"/>
      <c r="H16101" s="13"/>
    </row>
    <row r="16102">
      <c r="A16102" s="6"/>
      <c r="B16102" s="6"/>
      <c r="H16102" s="13"/>
    </row>
    <row r="16103">
      <c r="A16103" s="6"/>
      <c r="B16103" s="6"/>
      <c r="H16103" s="13"/>
    </row>
    <row r="16104">
      <c r="A16104" s="6"/>
      <c r="B16104" s="6"/>
      <c r="H16104" s="13"/>
    </row>
    <row r="16105">
      <c r="A16105" s="6"/>
      <c r="B16105" s="6"/>
      <c r="H16105" s="13"/>
    </row>
    <row r="16106">
      <c r="A16106" s="6"/>
      <c r="B16106" s="6"/>
      <c r="H16106" s="13"/>
    </row>
    <row r="16107">
      <c r="A16107" s="6"/>
      <c r="B16107" s="6"/>
      <c r="H16107" s="13"/>
    </row>
    <row r="16108">
      <c r="A16108" s="6"/>
      <c r="B16108" s="6"/>
      <c r="H16108" s="13"/>
    </row>
    <row r="16109">
      <c r="A16109" s="6"/>
      <c r="B16109" s="6"/>
      <c r="H16109" s="13"/>
    </row>
    <row r="16110">
      <c r="A16110" s="6"/>
      <c r="B16110" s="6"/>
      <c r="H16110" s="13"/>
    </row>
    <row r="16111">
      <c r="A16111" s="6"/>
      <c r="B16111" s="6"/>
      <c r="H16111" s="13"/>
    </row>
    <row r="16112">
      <c r="A16112" s="6"/>
      <c r="B16112" s="6"/>
      <c r="H16112" s="13"/>
    </row>
    <row r="16113">
      <c r="A16113" s="6"/>
      <c r="B16113" s="6"/>
      <c r="H16113" s="13"/>
    </row>
    <row r="16114">
      <c r="A16114" s="6"/>
      <c r="B16114" s="6"/>
      <c r="H16114" s="13"/>
    </row>
    <row r="16115">
      <c r="A16115" s="6"/>
      <c r="B16115" s="6"/>
      <c r="H16115" s="13"/>
    </row>
    <row r="16116">
      <c r="A16116" s="6"/>
      <c r="B16116" s="6"/>
      <c r="H16116" s="13"/>
    </row>
    <row r="16117">
      <c r="A16117" s="6"/>
      <c r="B16117" s="6"/>
      <c r="H16117" s="13"/>
    </row>
    <row r="16118">
      <c r="A16118" s="6"/>
      <c r="B16118" s="6"/>
      <c r="H16118" s="13"/>
    </row>
    <row r="16119">
      <c r="A16119" s="6"/>
      <c r="B16119" s="6"/>
      <c r="H16119" s="13"/>
    </row>
    <row r="16120">
      <c r="A16120" s="6"/>
      <c r="B16120" s="6"/>
      <c r="H16120" s="13"/>
    </row>
    <row r="16121">
      <c r="A16121" s="6"/>
      <c r="B16121" s="6"/>
      <c r="H16121" s="13"/>
    </row>
    <row r="16122">
      <c r="A16122" s="6"/>
      <c r="B16122" s="6"/>
      <c r="H16122" s="13"/>
    </row>
    <row r="16123">
      <c r="A16123" s="6"/>
      <c r="B16123" s="6"/>
      <c r="H16123" s="13"/>
    </row>
    <row r="16124">
      <c r="A16124" s="6"/>
      <c r="B16124" s="6"/>
      <c r="H16124" s="13"/>
    </row>
    <row r="16125">
      <c r="A16125" s="6"/>
      <c r="B16125" s="6"/>
      <c r="H16125" s="13"/>
    </row>
    <row r="16126">
      <c r="A16126" s="6"/>
      <c r="B16126" s="6"/>
      <c r="H16126" s="13"/>
    </row>
    <row r="16127">
      <c r="A16127" s="6"/>
      <c r="B16127" s="6"/>
      <c r="H16127" s="13"/>
    </row>
    <row r="16128">
      <c r="A16128" s="6"/>
      <c r="B16128" s="6"/>
      <c r="H16128" s="13"/>
    </row>
    <row r="16129">
      <c r="A16129" s="6"/>
      <c r="B16129" s="6"/>
      <c r="H16129" s="13"/>
    </row>
    <row r="16130">
      <c r="A16130" s="6"/>
      <c r="B16130" s="6"/>
      <c r="H16130" s="13"/>
    </row>
    <row r="16131">
      <c r="A16131" s="6"/>
      <c r="B16131" s="6"/>
      <c r="H16131" s="13"/>
    </row>
    <row r="16132">
      <c r="A16132" s="6"/>
      <c r="B16132" s="6"/>
      <c r="H16132" s="13"/>
    </row>
    <row r="16133">
      <c r="A16133" s="6"/>
      <c r="B16133" s="6"/>
      <c r="H16133" s="13"/>
    </row>
    <row r="16134">
      <c r="A16134" s="6"/>
      <c r="B16134" s="6"/>
      <c r="H16134" s="13"/>
    </row>
    <row r="16135">
      <c r="A16135" s="6"/>
      <c r="B16135" s="6"/>
      <c r="H16135" s="13"/>
    </row>
    <row r="16136">
      <c r="A16136" s="6"/>
      <c r="B16136" s="6"/>
      <c r="H16136" s="13"/>
    </row>
    <row r="16137">
      <c r="A16137" s="6"/>
      <c r="B16137" s="6"/>
      <c r="H16137" s="13"/>
    </row>
    <row r="16138">
      <c r="A16138" s="6"/>
      <c r="B16138" s="6"/>
      <c r="H16138" s="13"/>
    </row>
    <row r="16139">
      <c r="A16139" s="6"/>
      <c r="B16139" s="6"/>
      <c r="H16139" s="13"/>
    </row>
    <row r="16140">
      <c r="A16140" s="6"/>
      <c r="B16140" s="6"/>
      <c r="H16140" s="13"/>
    </row>
    <row r="16141">
      <c r="A16141" s="6"/>
      <c r="B16141" s="6"/>
      <c r="H16141" s="13"/>
    </row>
    <row r="16142">
      <c r="A16142" s="6"/>
      <c r="B16142" s="6"/>
      <c r="H16142" s="13"/>
    </row>
    <row r="16143">
      <c r="A16143" s="6"/>
      <c r="B16143" s="6"/>
      <c r="H16143" s="13"/>
    </row>
    <row r="16144">
      <c r="A16144" s="6"/>
      <c r="B16144" s="6"/>
      <c r="H16144" s="13"/>
    </row>
    <row r="16145">
      <c r="A16145" s="6"/>
      <c r="B16145" s="6"/>
      <c r="H16145" s="13"/>
    </row>
    <row r="16146">
      <c r="A16146" s="6"/>
      <c r="B16146" s="6"/>
      <c r="H16146" s="13"/>
    </row>
    <row r="16147">
      <c r="A16147" s="6"/>
      <c r="B16147" s="6"/>
      <c r="H16147" s="13"/>
    </row>
    <row r="16148">
      <c r="A16148" s="6"/>
      <c r="B16148" s="6"/>
      <c r="H16148" s="13"/>
    </row>
    <row r="16149">
      <c r="A16149" s="6"/>
      <c r="B16149" s="6"/>
      <c r="H16149" s="13"/>
    </row>
    <row r="16150">
      <c r="A16150" s="6"/>
      <c r="B16150" s="6"/>
      <c r="H16150" s="13"/>
    </row>
    <row r="16151">
      <c r="A16151" s="6"/>
      <c r="B16151" s="6"/>
      <c r="H16151" s="13"/>
    </row>
    <row r="16152">
      <c r="A16152" s="6"/>
      <c r="B16152" s="6"/>
      <c r="H16152" s="13"/>
    </row>
    <row r="16153">
      <c r="A16153" s="6"/>
      <c r="B16153" s="6"/>
      <c r="H16153" s="13"/>
    </row>
    <row r="16154">
      <c r="A16154" s="6"/>
      <c r="B16154" s="6"/>
      <c r="H16154" s="13"/>
    </row>
    <row r="16155">
      <c r="A16155" s="6"/>
      <c r="B16155" s="6"/>
      <c r="H16155" s="13"/>
    </row>
    <row r="16156">
      <c r="A16156" s="6"/>
      <c r="B16156" s="6"/>
      <c r="H16156" s="13"/>
    </row>
    <row r="16157">
      <c r="A16157" s="6"/>
      <c r="B16157" s="6"/>
      <c r="H16157" s="13"/>
    </row>
    <row r="16158">
      <c r="A16158" s="6"/>
      <c r="B16158" s="6"/>
      <c r="H16158" s="13"/>
    </row>
    <row r="16159">
      <c r="A16159" s="6"/>
      <c r="B16159" s="6"/>
      <c r="H16159" s="13"/>
    </row>
    <row r="16160">
      <c r="A16160" s="6"/>
      <c r="B16160" s="6"/>
      <c r="H16160" s="13"/>
    </row>
    <row r="16161">
      <c r="A16161" s="6"/>
      <c r="B16161" s="6"/>
      <c r="H16161" s="13"/>
    </row>
    <row r="16162">
      <c r="A16162" s="6"/>
      <c r="B16162" s="6"/>
      <c r="H16162" s="13"/>
    </row>
    <row r="16163">
      <c r="A16163" s="6"/>
      <c r="B16163" s="6"/>
      <c r="H16163" s="13"/>
    </row>
    <row r="16164">
      <c r="A16164" s="6"/>
      <c r="B16164" s="6"/>
      <c r="H16164" s="13"/>
    </row>
    <row r="16165">
      <c r="A16165" s="6"/>
      <c r="B16165" s="6"/>
      <c r="H16165" s="13"/>
    </row>
    <row r="16166">
      <c r="A16166" s="6"/>
      <c r="B16166" s="6"/>
      <c r="H16166" s="13"/>
    </row>
    <row r="16167">
      <c r="A16167" s="6"/>
      <c r="B16167" s="6"/>
      <c r="H16167" s="13"/>
    </row>
    <row r="16168">
      <c r="A16168" s="6"/>
      <c r="B16168" s="6"/>
      <c r="H16168" s="13"/>
    </row>
    <row r="16169">
      <c r="A16169" s="6"/>
      <c r="B16169" s="6"/>
      <c r="H16169" s="13"/>
    </row>
    <row r="16170">
      <c r="A16170" s="6"/>
      <c r="B16170" s="6"/>
      <c r="H16170" s="13"/>
    </row>
    <row r="16171">
      <c r="A16171" s="6"/>
      <c r="B16171" s="6"/>
      <c r="H16171" s="13"/>
    </row>
    <row r="16172">
      <c r="A16172" s="6"/>
      <c r="B16172" s="6"/>
      <c r="H16172" s="13"/>
    </row>
    <row r="16173">
      <c r="A16173" s="6"/>
      <c r="B16173" s="6"/>
      <c r="H16173" s="13"/>
    </row>
    <row r="16174">
      <c r="A16174" s="6"/>
      <c r="B16174" s="6"/>
      <c r="H16174" s="13"/>
    </row>
    <row r="16175">
      <c r="A16175" s="6"/>
      <c r="B16175" s="6"/>
      <c r="H16175" s="13"/>
    </row>
    <row r="16176">
      <c r="A16176" s="6"/>
      <c r="B16176" s="6"/>
      <c r="H16176" s="13"/>
    </row>
    <row r="16177">
      <c r="A16177" s="6"/>
      <c r="B16177" s="6"/>
      <c r="H16177" s="13"/>
    </row>
    <row r="16178">
      <c r="A16178" s="6"/>
      <c r="B16178" s="6"/>
      <c r="H16178" s="13"/>
    </row>
    <row r="16179">
      <c r="A16179" s="6"/>
      <c r="B16179" s="6"/>
      <c r="H16179" s="13"/>
    </row>
    <row r="16180">
      <c r="A16180" s="6"/>
      <c r="B16180" s="6"/>
      <c r="H16180" s="13"/>
    </row>
    <row r="16181">
      <c r="A16181" s="6"/>
      <c r="B16181" s="6"/>
      <c r="H16181" s="13"/>
    </row>
    <row r="16182">
      <c r="A16182" s="6"/>
      <c r="B16182" s="6"/>
      <c r="H16182" s="13"/>
    </row>
    <row r="16183">
      <c r="A16183" s="6"/>
      <c r="B16183" s="6"/>
      <c r="H16183" s="13"/>
    </row>
    <row r="16184">
      <c r="A16184" s="6"/>
      <c r="B16184" s="6"/>
      <c r="H16184" s="13"/>
    </row>
    <row r="16185">
      <c r="A16185" s="6"/>
      <c r="B16185" s="6"/>
      <c r="H16185" s="13"/>
    </row>
    <row r="16186">
      <c r="A16186" s="6"/>
      <c r="B16186" s="6"/>
      <c r="H16186" s="13"/>
    </row>
    <row r="16187">
      <c r="A16187" s="6"/>
      <c r="B16187" s="6"/>
      <c r="H16187" s="13"/>
    </row>
    <row r="16188">
      <c r="A16188" s="6"/>
      <c r="B16188" s="6"/>
      <c r="H16188" s="13"/>
    </row>
    <row r="16189">
      <c r="A16189" s="6"/>
      <c r="B16189" s="6"/>
      <c r="H16189" s="13"/>
    </row>
    <row r="16190">
      <c r="A16190" s="6"/>
      <c r="B16190" s="6"/>
      <c r="H16190" s="13"/>
    </row>
    <row r="16191">
      <c r="A16191" s="6"/>
      <c r="B16191" s="6"/>
      <c r="H16191" s="13"/>
    </row>
    <row r="16192">
      <c r="A16192" s="6"/>
      <c r="B16192" s="6"/>
      <c r="H16192" s="13"/>
    </row>
    <row r="16193">
      <c r="A16193" s="6"/>
      <c r="B16193" s="6"/>
      <c r="H16193" s="13"/>
    </row>
    <row r="16194">
      <c r="A16194" s="6"/>
      <c r="B16194" s="6"/>
      <c r="H16194" s="13"/>
    </row>
    <row r="16195">
      <c r="A16195" s="6"/>
      <c r="B16195" s="6"/>
      <c r="H16195" s="13"/>
    </row>
    <row r="16196">
      <c r="A16196" s="6"/>
      <c r="B16196" s="6"/>
      <c r="H16196" s="13"/>
    </row>
    <row r="16197">
      <c r="A16197" s="6"/>
      <c r="B16197" s="6"/>
      <c r="H16197" s="13"/>
    </row>
    <row r="16198">
      <c r="A16198" s="6"/>
      <c r="B16198" s="6"/>
      <c r="H16198" s="13"/>
    </row>
    <row r="16199">
      <c r="A16199" s="6"/>
      <c r="B16199" s="6"/>
      <c r="H16199" s="13"/>
    </row>
    <row r="16200">
      <c r="A16200" s="6"/>
      <c r="B16200" s="6"/>
      <c r="H16200" s="13"/>
    </row>
    <row r="16201">
      <c r="A16201" s="6"/>
      <c r="B16201" s="6"/>
      <c r="H16201" s="13"/>
    </row>
    <row r="16202">
      <c r="A16202" s="6"/>
      <c r="B16202" s="6"/>
      <c r="H16202" s="13"/>
    </row>
    <row r="16203">
      <c r="A16203" s="6"/>
      <c r="B16203" s="6"/>
      <c r="H16203" s="13"/>
    </row>
    <row r="16204">
      <c r="A16204" s="6"/>
      <c r="B16204" s="6"/>
      <c r="H16204" s="13"/>
    </row>
    <row r="16205">
      <c r="A16205" s="6"/>
      <c r="B16205" s="6"/>
      <c r="H16205" s="13"/>
    </row>
    <row r="16206">
      <c r="A16206" s="6"/>
      <c r="B16206" s="6"/>
      <c r="H16206" s="13"/>
    </row>
    <row r="16207">
      <c r="A16207" s="6"/>
      <c r="B16207" s="6"/>
      <c r="H16207" s="13"/>
    </row>
    <row r="16208">
      <c r="A16208" s="6"/>
      <c r="B16208" s="6"/>
      <c r="H16208" s="13"/>
    </row>
    <row r="16209">
      <c r="A16209" s="6"/>
      <c r="B16209" s="6"/>
      <c r="H16209" s="13"/>
    </row>
    <row r="16210">
      <c r="A16210" s="6"/>
      <c r="B16210" s="6"/>
      <c r="H16210" s="13"/>
    </row>
    <row r="16211">
      <c r="A16211" s="6"/>
      <c r="B16211" s="6"/>
      <c r="H16211" s="13"/>
    </row>
    <row r="16212">
      <c r="A16212" s="6"/>
      <c r="B16212" s="6"/>
      <c r="H16212" s="13"/>
    </row>
    <row r="16213">
      <c r="A16213" s="6"/>
      <c r="B16213" s="6"/>
      <c r="H16213" s="13"/>
    </row>
    <row r="16214">
      <c r="A16214" s="6"/>
      <c r="B16214" s="6"/>
      <c r="H16214" s="13"/>
    </row>
    <row r="16215">
      <c r="A16215" s="6"/>
      <c r="B16215" s="6"/>
      <c r="H16215" s="13"/>
    </row>
    <row r="16216">
      <c r="A16216" s="6"/>
      <c r="B16216" s="6"/>
      <c r="H16216" s="13"/>
    </row>
    <row r="16217">
      <c r="A16217" s="6"/>
      <c r="B16217" s="6"/>
      <c r="H16217" s="13"/>
    </row>
    <row r="16218">
      <c r="A16218" s="6"/>
      <c r="B16218" s="6"/>
      <c r="H16218" s="13"/>
    </row>
    <row r="16219">
      <c r="A16219" s="6"/>
      <c r="B16219" s="6"/>
      <c r="H16219" s="13"/>
    </row>
    <row r="16220">
      <c r="A16220" s="6"/>
      <c r="B16220" s="6"/>
      <c r="H16220" s="13"/>
    </row>
    <row r="16221">
      <c r="A16221" s="6"/>
      <c r="B16221" s="6"/>
      <c r="H16221" s="13"/>
    </row>
    <row r="16222">
      <c r="A16222" s="6"/>
      <c r="B16222" s="6"/>
      <c r="H16222" s="13"/>
    </row>
    <row r="16223">
      <c r="A16223" s="6"/>
      <c r="B16223" s="6"/>
      <c r="H16223" s="13"/>
    </row>
    <row r="16224">
      <c r="A16224" s="6"/>
      <c r="B16224" s="6"/>
      <c r="H16224" s="13"/>
    </row>
    <row r="16225">
      <c r="A16225" s="6"/>
      <c r="B16225" s="6"/>
      <c r="H16225" s="13"/>
    </row>
    <row r="16226">
      <c r="A16226" s="6"/>
      <c r="B16226" s="6"/>
      <c r="H16226" s="13"/>
    </row>
    <row r="16227">
      <c r="A16227" s="6"/>
      <c r="B16227" s="6"/>
      <c r="H16227" s="13"/>
    </row>
    <row r="16228">
      <c r="A16228" s="6"/>
      <c r="B16228" s="6"/>
      <c r="H16228" s="13"/>
    </row>
    <row r="16229">
      <c r="A16229" s="6"/>
      <c r="B16229" s="6"/>
      <c r="H16229" s="13"/>
    </row>
    <row r="16230">
      <c r="A16230" s="6"/>
      <c r="B16230" s="6"/>
      <c r="H16230" s="13"/>
    </row>
    <row r="16231">
      <c r="A16231" s="6"/>
      <c r="B16231" s="6"/>
      <c r="H16231" s="13"/>
    </row>
    <row r="16232">
      <c r="A16232" s="6"/>
      <c r="B16232" s="6"/>
      <c r="H16232" s="13"/>
    </row>
    <row r="16233">
      <c r="A16233" s="6"/>
      <c r="B16233" s="6"/>
      <c r="H16233" s="13"/>
    </row>
    <row r="16234">
      <c r="A16234" s="6"/>
      <c r="B16234" s="6"/>
      <c r="H16234" s="13"/>
    </row>
    <row r="16235">
      <c r="A16235" s="6"/>
      <c r="B16235" s="6"/>
      <c r="H16235" s="13"/>
    </row>
    <row r="16236">
      <c r="A16236" s="6"/>
      <c r="B16236" s="6"/>
      <c r="H16236" s="13"/>
    </row>
    <row r="16237">
      <c r="A16237" s="6"/>
      <c r="B16237" s="6"/>
      <c r="H16237" s="13"/>
    </row>
    <row r="16238">
      <c r="A16238" s="6"/>
      <c r="B16238" s="6"/>
      <c r="H16238" s="13"/>
    </row>
    <row r="16239">
      <c r="A16239" s="6"/>
      <c r="B16239" s="6"/>
      <c r="H16239" s="13"/>
    </row>
    <row r="16240">
      <c r="A16240" s="6"/>
      <c r="B16240" s="6"/>
      <c r="H16240" s="13"/>
    </row>
    <row r="16241">
      <c r="A16241" s="6"/>
      <c r="B16241" s="6"/>
      <c r="H16241" s="13"/>
    </row>
    <row r="16242">
      <c r="A16242" s="6"/>
      <c r="B16242" s="6"/>
      <c r="H16242" s="13"/>
    </row>
    <row r="16243">
      <c r="A16243" s="6"/>
      <c r="B16243" s="6"/>
      <c r="H16243" s="13"/>
    </row>
    <row r="16244">
      <c r="A16244" s="6"/>
      <c r="B16244" s="6"/>
      <c r="H16244" s="13"/>
    </row>
    <row r="16245">
      <c r="A16245" s="6"/>
      <c r="B16245" s="6"/>
      <c r="H16245" s="13"/>
    </row>
    <row r="16246">
      <c r="A16246" s="6"/>
      <c r="B16246" s="6"/>
      <c r="H16246" s="13"/>
    </row>
    <row r="16247">
      <c r="A16247" s="6"/>
      <c r="B16247" s="6"/>
      <c r="H16247" s="13"/>
    </row>
    <row r="16248">
      <c r="A16248" s="6"/>
      <c r="B16248" s="6"/>
      <c r="H16248" s="13"/>
    </row>
    <row r="16249">
      <c r="A16249" s="6"/>
      <c r="B16249" s="6"/>
      <c r="H16249" s="13"/>
    </row>
    <row r="16250">
      <c r="A16250" s="6"/>
      <c r="B16250" s="6"/>
      <c r="H16250" s="13"/>
    </row>
    <row r="16251">
      <c r="A16251" s="6"/>
      <c r="B16251" s="6"/>
      <c r="H16251" s="13"/>
    </row>
    <row r="16252">
      <c r="A16252" s="6"/>
      <c r="B16252" s="6"/>
      <c r="H16252" s="13"/>
    </row>
    <row r="16253">
      <c r="A16253" s="6"/>
      <c r="B16253" s="6"/>
      <c r="H16253" s="13"/>
    </row>
    <row r="16254">
      <c r="A16254" s="6"/>
      <c r="B16254" s="6"/>
      <c r="H16254" s="13"/>
    </row>
    <row r="16255">
      <c r="A16255" s="6"/>
      <c r="B16255" s="6"/>
      <c r="H16255" s="13"/>
    </row>
    <row r="16256">
      <c r="A16256" s="6"/>
      <c r="B16256" s="6"/>
      <c r="H16256" s="13"/>
    </row>
    <row r="16257">
      <c r="A16257" s="6"/>
      <c r="B16257" s="6"/>
      <c r="H16257" s="13"/>
    </row>
    <row r="16258">
      <c r="A16258" s="6"/>
      <c r="B16258" s="6"/>
      <c r="H16258" s="13"/>
    </row>
    <row r="16259">
      <c r="A16259" s="6"/>
      <c r="B16259" s="6"/>
      <c r="H16259" s="13"/>
    </row>
    <row r="16260">
      <c r="A16260" s="6"/>
      <c r="B16260" s="6"/>
      <c r="H16260" s="13"/>
    </row>
    <row r="16261">
      <c r="A16261" s="6"/>
      <c r="B16261" s="6"/>
      <c r="H16261" s="13"/>
    </row>
    <row r="16262">
      <c r="A16262" s="6"/>
      <c r="B16262" s="6"/>
      <c r="H16262" s="13"/>
    </row>
    <row r="16263">
      <c r="A16263" s="6"/>
      <c r="B16263" s="6"/>
      <c r="H16263" s="13"/>
    </row>
    <row r="16264">
      <c r="A16264" s="6"/>
      <c r="B16264" s="6"/>
      <c r="H16264" s="13"/>
    </row>
    <row r="16265">
      <c r="A16265" s="6"/>
      <c r="B16265" s="6"/>
      <c r="H16265" s="13"/>
    </row>
    <row r="16266">
      <c r="A16266" s="6"/>
      <c r="B16266" s="6"/>
      <c r="H16266" s="13"/>
    </row>
    <row r="16267">
      <c r="A16267" s="6"/>
      <c r="B16267" s="6"/>
      <c r="H16267" s="13"/>
    </row>
    <row r="16268">
      <c r="A16268" s="6"/>
      <c r="B16268" s="6"/>
      <c r="H16268" s="13"/>
    </row>
    <row r="16269">
      <c r="A16269" s="6"/>
      <c r="B16269" s="6"/>
      <c r="H16269" s="13"/>
    </row>
    <row r="16270">
      <c r="A16270" s="6"/>
      <c r="B16270" s="6"/>
      <c r="H16270" s="13"/>
    </row>
    <row r="16271">
      <c r="A16271" s="6"/>
      <c r="B16271" s="6"/>
      <c r="H16271" s="13"/>
    </row>
    <row r="16272">
      <c r="A16272" s="6"/>
      <c r="B16272" s="6"/>
      <c r="H16272" s="13"/>
    </row>
    <row r="16273">
      <c r="A16273" s="6"/>
      <c r="B16273" s="6"/>
      <c r="H16273" s="13"/>
    </row>
    <row r="16274">
      <c r="A16274" s="6"/>
      <c r="B16274" s="6"/>
      <c r="H16274" s="13"/>
    </row>
    <row r="16275">
      <c r="A16275" s="6"/>
      <c r="B16275" s="6"/>
      <c r="H16275" s="13"/>
    </row>
    <row r="16276">
      <c r="A16276" s="6"/>
      <c r="B16276" s="6"/>
      <c r="H16276" s="13"/>
    </row>
    <row r="16277">
      <c r="A16277" s="6"/>
      <c r="B16277" s="6"/>
      <c r="H16277" s="13"/>
    </row>
    <row r="16278">
      <c r="A16278" s="6"/>
      <c r="B16278" s="6"/>
      <c r="H16278" s="13"/>
    </row>
    <row r="16279">
      <c r="A16279" s="6"/>
      <c r="B16279" s="6"/>
      <c r="H16279" s="13"/>
    </row>
    <row r="16280">
      <c r="A16280" s="6"/>
      <c r="B16280" s="6"/>
      <c r="H16280" s="13"/>
    </row>
    <row r="16281">
      <c r="A16281" s="6"/>
      <c r="B16281" s="6"/>
      <c r="H16281" s="13"/>
    </row>
    <row r="16282">
      <c r="A16282" s="6"/>
      <c r="B16282" s="6"/>
      <c r="H16282" s="13"/>
    </row>
    <row r="16283">
      <c r="A16283" s="6"/>
      <c r="B16283" s="6"/>
      <c r="H16283" s="13"/>
    </row>
    <row r="16284">
      <c r="A16284" s="6"/>
      <c r="B16284" s="6"/>
      <c r="H16284" s="13"/>
    </row>
    <row r="16285">
      <c r="A16285" s="6"/>
      <c r="B16285" s="6"/>
      <c r="H16285" s="13"/>
    </row>
    <row r="16286">
      <c r="A16286" s="6"/>
      <c r="B16286" s="6"/>
      <c r="H16286" s="13"/>
    </row>
    <row r="16287">
      <c r="A16287" s="6"/>
      <c r="B16287" s="6"/>
      <c r="H16287" s="13"/>
    </row>
    <row r="16288">
      <c r="A16288" s="6"/>
      <c r="B16288" s="6"/>
      <c r="H16288" s="13"/>
    </row>
    <row r="16289">
      <c r="A16289" s="6"/>
      <c r="B16289" s="6"/>
      <c r="H16289" s="13"/>
    </row>
    <row r="16290">
      <c r="A16290" s="6"/>
      <c r="B16290" s="6"/>
      <c r="H16290" s="13"/>
    </row>
    <row r="16291">
      <c r="A16291" s="6"/>
      <c r="B16291" s="6"/>
      <c r="H16291" s="13"/>
    </row>
    <row r="16292">
      <c r="A16292" s="6"/>
      <c r="B16292" s="6"/>
      <c r="H16292" s="13"/>
    </row>
    <row r="16293">
      <c r="A16293" s="6"/>
      <c r="B16293" s="6"/>
      <c r="H16293" s="13"/>
    </row>
    <row r="16294">
      <c r="A16294" s="6"/>
      <c r="B16294" s="6"/>
      <c r="H16294" s="13"/>
    </row>
    <row r="16295">
      <c r="A16295" s="6"/>
      <c r="B16295" s="6"/>
      <c r="H16295" s="13"/>
    </row>
    <row r="16296">
      <c r="A16296" s="6"/>
      <c r="B16296" s="6"/>
      <c r="H16296" s="13"/>
    </row>
    <row r="16297">
      <c r="A16297" s="6"/>
      <c r="B16297" s="6"/>
      <c r="H16297" s="13"/>
    </row>
    <row r="16298">
      <c r="A16298" s="6"/>
      <c r="B16298" s="6"/>
      <c r="H16298" s="13"/>
    </row>
    <row r="16299">
      <c r="A16299" s="6"/>
      <c r="B16299" s="6"/>
      <c r="H16299" s="13"/>
    </row>
    <row r="16300">
      <c r="A16300" s="6"/>
      <c r="B16300" s="6"/>
      <c r="H16300" s="13"/>
    </row>
    <row r="16301">
      <c r="A16301" s="6"/>
      <c r="B16301" s="6"/>
      <c r="H16301" s="13"/>
    </row>
    <row r="16302">
      <c r="A16302" s="6"/>
      <c r="B16302" s="6"/>
      <c r="H16302" s="13"/>
    </row>
    <row r="16303">
      <c r="A16303" s="6"/>
      <c r="B16303" s="6"/>
      <c r="H16303" s="13"/>
    </row>
    <row r="16304">
      <c r="A16304" s="6"/>
      <c r="B16304" s="6"/>
      <c r="H16304" s="13"/>
    </row>
    <row r="16305">
      <c r="A16305" s="6"/>
      <c r="B16305" s="6"/>
      <c r="H16305" s="13"/>
    </row>
    <row r="16306">
      <c r="A16306" s="6"/>
      <c r="B16306" s="6"/>
      <c r="H16306" s="13"/>
    </row>
    <row r="16307">
      <c r="A16307" s="6"/>
      <c r="B16307" s="6"/>
      <c r="H16307" s="13"/>
    </row>
    <row r="16308">
      <c r="A16308" s="6"/>
      <c r="B16308" s="6"/>
      <c r="H16308" s="13"/>
    </row>
    <row r="16309">
      <c r="A16309" s="6"/>
      <c r="B16309" s="6"/>
      <c r="H16309" s="13"/>
    </row>
    <row r="16310">
      <c r="A16310" s="6"/>
      <c r="B16310" s="6"/>
      <c r="H16310" s="13"/>
    </row>
    <row r="16311">
      <c r="A16311" s="6"/>
      <c r="B16311" s="6"/>
      <c r="H16311" s="13"/>
    </row>
    <row r="16312">
      <c r="A16312" s="6"/>
      <c r="B16312" s="6"/>
      <c r="H16312" s="13"/>
    </row>
    <row r="16313">
      <c r="A16313" s="6"/>
      <c r="B16313" s="6"/>
      <c r="H16313" s="13"/>
    </row>
    <row r="16314">
      <c r="A16314" s="6"/>
      <c r="B16314" s="6"/>
      <c r="H16314" s="13"/>
    </row>
    <row r="16315">
      <c r="A16315" s="6"/>
      <c r="B16315" s="6"/>
      <c r="H16315" s="13"/>
    </row>
    <row r="16316">
      <c r="A16316" s="6"/>
      <c r="B16316" s="6"/>
      <c r="H16316" s="13"/>
    </row>
    <row r="16317">
      <c r="A16317" s="6"/>
      <c r="B16317" s="6"/>
      <c r="H16317" s="13"/>
    </row>
    <row r="16318">
      <c r="A16318" s="6"/>
      <c r="B16318" s="6"/>
      <c r="H16318" s="13"/>
    </row>
    <row r="16319">
      <c r="A16319" s="6"/>
      <c r="B16319" s="6"/>
      <c r="H16319" s="13"/>
    </row>
    <row r="16320">
      <c r="A16320" s="6"/>
      <c r="B16320" s="6"/>
      <c r="H16320" s="13"/>
    </row>
    <row r="16321">
      <c r="A16321" s="6"/>
      <c r="B16321" s="6"/>
      <c r="H16321" s="13"/>
    </row>
    <row r="16322">
      <c r="A16322" s="6"/>
      <c r="B16322" s="6"/>
      <c r="H16322" s="13"/>
    </row>
    <row r="16323">
      <c r="A16323" s="6"/>
      <c r="B16323" s="6"/>
      <c r="H16323" s="13"/>
    </row>
    <row r="16324">
      <c r="A16324" s="6"/>
      <c r="B16324" s="6"/>
      <c r="H16324" s="13"/>
    </row>
    <row r="16325">
      <c r="A16325" s="6"/>
      <c r="B16325" s="6"/>
      <c r="H16325" s="13"/>
    </row>
    <row r="16326">
      <c r="A16326" s="6"/>
      <c r="B16326" s="6"/>
      <c r="H16326" s="13"/>
    </row>
    <row r="16327">
      <c r="A16327" s="6"/>
      <c r="B16327" s="6"/>
      <c r="H16327" s="13"/>
    </row>
    <row r="16328">
      <c r="A16328" s="6"/>
      <c r="B16328" s="6"/>
      <c r="H16328" s="13"/>
    </row>
    <row r="16329">
      <c r="A16329" s="6"/>
      <c r="B16329" s="6"/>
      <c r="H16329" s="13"/>
    </row>
    <row r="16330">
      <c r="A16330" s="6"/>
      <c r="B16330" s="6"/>
      <c r="H16330" s="13"/>
    </row>
    <row r="16331">
      <c r="A16331" s="6"/>
      <c r="B16331" s="6"/>
      <c r="H16331" s="13"/>
    </row>
    <row r="16332">
      <c r="A16332" s="6"/>
      <c r="B16332" s="6"/>
      <c r="H16332" s="13"/>
    </row>
    <row r="16333">
      <c r="A16333" s="6"/>
      <c r="B16333" s="6"/>
      <c r="H16333" s="13"/>
    </row>
    <row r="16334">
      <c r="A16334" s="6"/>
      <c r="B16334" s="6"/>
      <c r="H16334" s="13"/>
    </row>
    <row r="16335">
      <c r="A16335" s="6"/>
      <c r="B16335" s="6"/>
      <c r="H16335" s="13"/>
    </row>
    <row r="16336">
      <c r="A16336" s="6"/>
      <c r="B16336" s="6"/>
      <c r="H16336" s="13"/>
    </row>
    <row r="16337">
      <c r="A16337" s="6"/>
      <c r="B16337" s="6"/>
      <c r="H16337" s="13"/>
    </row>
    <row r="16338">
      <c r="A16338" s="6"/>
      <c r="B16338" s="6"/>
      <c r="H16338" s="13"/>
    </row>
    <row r="16339">
      <c r="A16339" s="6"/>
      <c r="B16339" s="6"/>
      <c r="H16339" s="13"/>
    </row>
    <row r="16340">
      <c r="A16340" s="6"/>
      <c r="B16340" s="6"/>
      <c r="H16340" s="13"/>
    </row>
    <row r="16341">
      <c r="A16341" s="6"/>
      <c r="B16341" s="6"/>
      <c r="H16341" s="13"/>
    </row>
    <row r="16342">
      <c r="A16342" s="6"/>
      <c r="B16342" s="6"/>
      <c r="H16342" s="13"/>
    </row>
    <row r="16343">
      <c r="A16343" s="6"/>
      <c r="B16343" s="6"/>
      <c r="H16343" s="13"/>
    </row>
    <row r="16344">
      <c r="A16344" s="6"/>
      <c r="B16344" s="6"/>
      <c r="H16344" s="13"/>
    </row>
    <row r="16345">
      <c r="A16345" s="6"/>
      <c r="B16345" s="6"/>
      <c r="H16345" s="13"/>
    </row>
    <row r="16346">
      <c r="A16346" s="6"/>
      <c r="B16346" s="6"/>
      <c r="H16346" s="13"/>
    </row>
    <row r="16347">
      <c r="A16347" s="6"/>
      <c r="B16347" s="6"/>
      <c r="H16347" s="13"/>
    </row>
    <row r="16348">
      <c r="A16348" s="6"/>
      <c r="B16348" s="6"/>
      <c r="H16348" s="13"/>
    </row>
    <row r="16349">
      <c r="A16349" s="6"/>
      <c r="B16349" s="6"/>
      <c r="H16349" s="13"/>
    </row>
    <row r="16350">
      <c r="A16350" s="6"/>
      <c r="B16350" s="6"/>
      <c r="H16350" s="13"/>
    </row>
    <row r="16351">
      <c r="A16351" s="6"/>
      <c r="B16351" s="6"/>
      <c r="H16351" s="13"/>
    </row>
    <row r="16352">
      <c r="A16352" s="6"/>
      <c r="B16352" s="6"/>
      <c r="H16352" s="13"/>
    </row>
    <row r="16353">
      <c r="A16353" s="6"/>
      <c r="B16353" s="6"/>
      <c r="H16353" s="13"/>
    </row>
    <row r="16354">
      <c r="A16354" s="6"/>
      <c r="B16354" s="6"/>
      <c r="H16354" s="13"/>
    </row>
    <row r="16355">
      <c r="A16355" s="6"/>
      <c r="B16355" s="6"/>
      <c r="H16355" s="13"/>
    </row>
    <row r="16356">
      <c r="A16356" s="6"/>
      <c r="B16356" s="6"/>
      <c r="H16356" s="13"/>
    </row>
    <row r="16357">
      <c r="A16357" s="6"/>
      <c r="B16357" s="6"/>
      <c r="H16357" s="13"/>
    </row>
    <row r="16358">
      <c r="A16358" s="6"/>
      <c r="B16358" s="6"/>
      <c r="H16358" s="13"/>
    </row>
    <row r="16359">
      <c r="A16359" s="6"/>
      <c r="B16359" s="6"/>
      <c r="H16359" s="13"/>
    </row>
    <row r="16360">
      <c r="A16360" s="6"/>
      <c r="B16360" s="6"/>
      <c r="H16360" s="13"/>
    </row>
    <row r="16361">
      <c r="A16361" s="6"/>
      <c r="B16361" s="6"/>
      <c r="H16361" s="13"/>
    </row>
    <row r="16362">
      <c r="A16362" s="6"/>
      <c r="B16362" s="6"/>
      <c r="H16362" s="13"/>
    </row>
    <row r="16363">
      <c r="A16363" s="6"/>
      <c r="B16363" s="6"/>
      <c r="H16363" s="13"/>
    </row>
    <row r="16364">
      <c r="A16364" s="6"/>
      <c r="B16364" s="6"/>
      <c r="H16364" s="13"/>
    </row>
    <row r="16365">
      <c r="A16365" s="6"/>
      <c r="B16365" s="6"/>
      <c r="H16365" s="13"/>
    </row>
    <row r="16366">
      <c r="A16366" s="6"/>
      <c r="B16366" s="6"/>
      <c r="H16366" s="13"/>
    </row>
    <row r="16367">
      <c r="A16367" s="6"/>
      <c r="B16367" s="6"/>
      <c r="H16367" s="13"/>
    </row>
    <row r="16368">
      <c r="A16368" s="6"/>
      <c r="B16368" s="6"/>
      <c r="H16368" s="13"/>
    </row>
    <row r="16369">
      <c r="A16369" s="6"/>
      <c r="B16369" s="6"/>
      <c r="H16369" s="13"/>
    </row>
    <row r="16370">
      <c r="A16370" s="6"/>
      <c r="B16370" s="6"/>
      <c r="H16370" s="13"/>
    </row>
    <row r="16371">
      <c r="A16371" s="6"/>
      <c r="B16371" s="6"/>
      <c r="H16371" s="13"/>
    </row>
    <row r="16372">
      <c r="A16372" s="6"/>
      <c r="B16372" s="6"/>
      <c r="H16372" s="13"/>
    </row>
    <row r="16373">
      <c r="A16373" s="6"/>
      <c r="B16373" s="6"/>
      <c r="H16373" s="13"/>
    </row>
    <row r="16374">
      <c r="A16374" s="6"/>
      <c r="B16374" s="6"/>
      <c r="H16374" s="13"/>
    </row>
    <row r="16375">
      <c r="A16375" s="6"/>
      <c r="B16375" s="6"/>
      <c r="H16375" s="13"/>
    </row>
    <row r="16376">
      <c r="A16376" s="6"/>
      <c r="B16376" s="6"/>
      <c r="H16376" s="13"/>
    </row>
    <row r="16377">
      <c r="A16377" s="6"/>
      <c r="B16377" s="6"/>
      <c r="H16377" s="13"/>
    </row>
    <row r="16378">
      <c r="A16378" s="6"/>
      <c r="B16378" s="6"/>
      <c r="H16378" s="13"/>
    </row>
    <row r="16379">
      <c r="A16379" s="6"/>
      <c r="B16379" s="6"/>
      <c r="H16379" s="13"/>
    </row>
    <row r="16380">
      <c r="A16380" s="6"/>
      <c r="B16380" s="6"/>
      <c r="H16380" s="13"/>
    </row>
    <row r="16381">
      <c r="A16381" s="6"/>
      <c r="B16381" s="6"/>
      <c r="H16381" s="13"/>
    </row>
    <row r="16382">
      <c r="A16382" s="6"/>
      <c r="B16382" s="6"/>
      <c r="H16382" s="13"/>
    </row>
    <row r="16383">
      <c r="A16383" s="6"/>
      <c r="B16383" s="6"/>
      <c r="H16383" s="13"/>
    </row>
    <row r="16384">
      <c r="A16384" s="6"/>
      <c r="B16384" s="6"/>
      <c r="H16384" s="13"/>
    </row>
    <row r="16385">
      <c r="A16385" s="6"/>
      <c r="B16385" s="6"/>
      <c r="H16385" s="13"/>
    </row>
    <row r="16386">
      <c r="A16386" s="6"/>
      <c r="B16386" s="6"/>
      <c r="H16386" s="13"/>
    </row>
    <row r="16387">
      <c r="A16387" s="6"/>
      <c r="B16387" s="6"/>
      <c r="H16387" s="13"/>
    </row>
    <row r="16388">
      <c r="A16388" s="6"/>
      <c r="B16388" s="6"/>
      <c r="H16388" s="13"/>
    </row>
    <row r="16389">
      <c r="A16389" s="6"/>
      <c r="B16389" s="6"/>
      <c r="H16389" s="13"/>
    </row>
    <row r="16390">
      <c r="A16390" s="6"/>
      <c r="B16390" s="6"/>
      <c r="H16390" s="13"/>
    </row>
    <row r="16391">
      <c r="A16391" s="6"/>
      <c r="B16391" s="6"/>
      <c r="H16391" s="13"/>
    </row>
    <row r="16392">
      <c r="A16392" s="6"/>
      <c r="B16392" s="6"/>
      <c r="H16392" s="13"/>
    </row>
    <row r="16393">
      <c r="A16393" s="6"/>
      <c r="B16393" s="6"/>
      <c r="H16393" s="13"/>
    </row>
    <row r="16394">
      <c r="A16394" s="6"/>
      <c r="B16394" s="6"/>
      <c r="H16394" s="13"/>
    </row>
    <row r="16395">
      <c r="A16395" s="6"/>
      <c r="B16395" s="6"/>
      <c r="H16395" s="13"/>
    </row>
    <row r="16396">
      <c r="A16396" s="6"/>
      <c r="B16396" s="6"/>
      <c r="H16396" s="13"/>
    </row>
    <row r="16397">
      <c r="A16397" s="6"/>
      <c r="B16397" s="6"/>
      <c r="H16397" s="13"/>
    </row>
    <row r="16398">
      <c r="A16398" s="6"/>
      <c r="B16398" s="6"/>
      <c r="H16398" s="13"/>
    </row>
    <row r="16399">
      <c r="A16399" s="6"/>
      <c r="B16399" s="6"/>
      <c r="H16399" s="13"/>
    </row>
    <row r="16400">
      <c r="A16400" s="6"/>
      <c r="B16400" s="6"/>
      <c r="H16400" s="13"/>
    </row>
    <row r="16401">
      <c r="A16401" s="6"/>
      <c r="B16401" s="6"/>
      <c r="H16401" s="13"/>
    </row>
    <row r="16402">
      <c r="A16402" s="6"/>
      <c r="B16402" s="6"/>
      <c r="H16402" s="13"/>
    </row>
    <row r="16403">
      <c r="A16403" s="6"/>
      <c r="B16403" s="6"/>
      <c r="H16403" s="13"/>
    </row>
    <row r="16404">
      <c r="A16404" s="6"/>
      <c r="B16404" s="6"/>
      <c r="H16404" s="13"/>
    </row>
    <row r="16405">
      <c r="A16405" s="6"/>
      <c r="B16405" s="6"/>
      <c r="H16405" s="13"/>
    </row>
    <row r="16406">
      <c r="A16406" s="6"/>
      <c r="B16406" s="6"/>
      <c r="H16406" s="13"/>
    </row>
    <row r="16407">
      <c r="A16407" s="6"/>
      <c r="B16407" s="6"/>
      <c r="H16407" s="13"/>
    </row>
    <row r="16408">
      <c r="A16408" s="6"/>
      <c r="B16408" s="6"/>
      <c r="H16408" s="13"/>
    </row>
    <row r="16409">
      <c r="A16409" s="6"/>
      <c r="B16409" s="6"/>
      <c r="H16409" s="13"/>
    </row>
    <row r="16410">
      <c r="A16410" s="6"/>
      <c r="B16410" s="6"/>
      <c r="H16410" s="13"/>
    </row>
    <row r="16411">
      <c r="A16411" s="6"/>
      <c r="B16411" s="6"/>
      <c r="H16411" s="13"/>
    </row>
    <row r="16412">
      <c r="A16412" s="6"/>
      <c r="B16412" s="6"/>
      <c r="H16412" s="13"/>
    </row>
    <row r="16413">
      <c r="A16413" s="6"/>
      <c r="B16413" s="6"/>
      <c r="H16413" s="13"/>
    </row>
    <row r="16414">
      <c r="A16414" s="6"/>
      <c r="B16414" s="6"/>
      <c r="H16414" s="13"/>
    </row>
    <row r="16415">
      <c r="A16415" s="6"/>
      <c r="B16415" s="6"/>
      <c r="H16415" s="13"/>
    </row>
    <row r="16416">
      <c r="A16416" s="6"/>
      <c r="B16416" s="6"/>
      <c r="H16416" s="13"/>
    </row>
    <row r="16417">
      <c r="A16417" s="6"/>
      <c r="B16417" s="6"/>
      <c r="H16417" s="13"/>
    </row>
    <row r="16418">
      <c r="A16418" s="6"/>
      <c r="B16418" s="6"/>
      <c r="H16418" s="13"/>
    </row>
    <row r="16419">
      <c r="A16419" s="6"/>
      <c r="B16419" s="6"/>
      <c r="H16419" s="13"/>
    </row>
    <row r="16420">
      <c r="A16420" s="6"/>
      <c r="B16420" s="6"/>
      <c r="H16420" s="13"/>
    </row>
    <row r="16421">
      <c r="A16421" s="6"/>
      <c r="B16421" s="6"/>
      <c r="H16421" s="13"/>
    </row>
    <row r="16422">
      <c r="A16422" s="6"/>
      <c r="B16422" s="6"/>
      <c r="H16422" s="13"/>
    </row>
    <row r="16423">
      <c r="A16423" s="6"/>
      <c r="B16423" s="6"/>
      <c r="H16423" s="13"/>
    </row>
    <row r="16424">
      <c r="A16424" s="6"/>
      <c r="B16424" s="6"/>
      <c r="H16424" s="13"/>
    </row>
    <row r="16425">
      <c r="A16425" s="6"/>
      <c r="B16425" s="6"/>
      <c r="H16425" s="13"/>
    </row>
    <row r="16426">
      <c r="A16426" s="6"/>
      <c r="B16426" s="6"/>
      <c r="H16426" s="13"/>
    </row>
    <row r="16427">
      <c r="A16427" s="6"/>
      <c r="B16427" s="6"/>
      <c r="H16427" s="13"/>
    </row>
    <row r="16428">
      <c r="A16428" s="6"/>
      <c r="B16428" s="6"/>
      <c r="H16428" s="13"/>
    </row>
    <row r="16429">
      <c r="A16429" s="6"/>
      <c r="B16429" s="6"/>
      <c r="H16429" s="13"/>
    </row>
    <row r="16430">
      <c r="A16430" s="6"/>
      <c r="B16430" s="6"/>
      <c r="H16430" s="13"/>
    </row>
    <row r="16431">
      <c r="A16431" s="6"/>
      <c r="B16431" s="6"/>
      <c r="H16431" s="13"/>
    </row>
    <row r="16432">
      <c r="A16432" s="6"/>
      <c r="B16432" s="6"/>
      <c r="H16432" s="13"/>
    </row>
    <row r="16433">
      <c r="A16433" s="6"/>
      <c r="B16433" s="6"/>
      <c r="H16433" s="13"/>
    </row>
    <row r="16434">
      <c r="A16434" s="6"/>
      <c r="B16434" s="6"/>
      <c r="H16434" s="13"/>
    </row>
    <row r="16435">
      <c r="A16435" s="6"/>
      <c r="B16435" s="6"/>
      <c r="H16435" s="13"/>
    </row>
    <row r="16436">
      <c r="A16436" s="6"/>
      <c r="B16436" s="6"/>
      <c r="H16436" s="13"/>
    </row>
    <row r="16437">
      <c r="A16437" s="6"/>
      <c r="B16437" s="6"/>
      <c r="H16437" s="13"/>
    </row>
    <row r="16438">
      <c r="A16438" s="6"/>
      <c r="B16438" s="6"/>
      <c r="H16438" s="13"/>
    </row>
    <row r="16439">
      <c r="A16439" s="6"/>
      <c r="B16439" s="6"/>
      <c r="H16439" s="13"/>
    </row>
    <row r="16440">
      <c r="A16440" s="6"/>
      <c r="B16440" s="6"/>
      <c r="H16440" s="13"/>
    </row>
    <row r="16441">
      <c r="A16441" s="6"/>
      <c r="B16441" s="6"/>
      <c r="H16441" s="13"/>
    </row>
    <row r="16442">
      <c r="A16442" s="6"/>
      <c r="B16442" s="6"/>
      <c r="H16442" s="13"/>
    </row>
    <row r="16443">
      <c r="A16443" s="6"/>
      <c r="B16443" s="6"/>
      <c r="H16443" s="13"/>
    </row>
    <row r="16444">
      <c r="A16444" s="6"/>
      <c r="B16444" s="6"/>
      <c r="H16444" s="13"/>
    </row>
    <row r="16445">
      <c r="A16445" s="6"/>
      <c r="B16445" s="6"/>
      <c r="H16445" s="13"/>
    </row>
    <row r="16446">
      <c r="A16446" s="6"/>
      <c r="B16446" s="6"/>
      <c r="H16446" s="13"/>
    </row>
    <row r="16447">
      <c r="A16447" s="6"/>
      <c r="B16447" s="6"/>
      <c r="H16447" s="13"/>
    </row>
    <row r="16448">
      <c r="A16448" s="6"/>
      <c r="B16448" s="6"/>
      <c r="H16448" s="13"/>
    </row>
    <row r="16449">
      <c r="A16449" s="6"/>
      <c r="B16449" s="6"/>
      <c r="H16449" s="13"/>
    </row>
    <row r="16450">
      <c r="A16450" s="6"/>
      <c r="B16450" s="6"/>
      <c r="H16450" s="13"/>
    </row>
    <row r="16451">
      <c r="A16451" s="6"/>
      <c r="B16451" s="6"/>
      <c r="H16451" s="13"/>
    </row>
    <row r="16452">
      <c r="A16452" s="6"/>
      <c r="B16452" s="6"/>
      <c r="H16452" s="13"/>
    </row>
    <row r="16453">
      <c r="A16453" s="6"/>
      <c r="B16453" s="6"/>
      <c r="H16453" s="13"/>
    </row>
    <row r="16454">
      <c r="A16454" s="6"/>
      <c r="B16454" s="6"/>
      <c r="H16454" s="13"/>
    </row>
    <row r="16455">
      <c r="A16455" s="6"/>
      <c r="B16455" s="6"/>
      <c r="H16455" s="13"/>
    </row>
    <row r="16456">
      <c r="A16456" s="6"/>
      <c r="B16456" s="6"/>
      <c r="H16456" s="13"/>
    </row>
    <row r="16457">
      <c r="A16457" s="6"/>
      <c r="B16457" s="6"/>
      <c r="H16457" s="13"/>
    </row>
    <row r="16458">
      <c r="A16458" s="6"/>
      <c r="B16458" s="6"/>
      <c r="H16458" s="13"/>
    </row>
    <row r="16459">
      <c r="A16459" s="6"/>
      <c r="B16459" s="6"/>
      <c r="H16459" s="13"/>
    </row>
    <row r="16460">
      <c r="A16460" s="6"/>
      <c r="B16460" s="6"/>
      <c r="H16460" s="13"/>
    </row>
    <row r="16461">
      <c r="A16461" s="6"/>
      <c r="B16461" s="6"/>
      <c r="H16461" s="13"/>
    </row>
    <row r="16462">
      <c r="A16462" s="6"/>
      <c r="B16462" s="6"/>
      <c r="H16462" s="13"/>
    </row>
    <row r="16463">
      <c r="A16463" s="6"/>
      <c r="B16463" s="6"/>
      <c r="H16463" s="13"/>
    </row>
    <row r="16464">
      <c r="A16464" s="6"/>
      <c r="B16464" s="6"/>
      <c r="H16464" s="13"/>
    </row>
    <row r="16465">
      <c r="A16465" s="6"/>
      <c r="B16465" s="6"/>
      <c r="H16465" s="13"/>
    </row>
    <row r="16466">
      <c r="A16466" s="6"/>
      <c r="B16466" s="6"/>
      <c r="H16466" s="13"/>
    </row>
    <row r="16467">
      <c r="A16467" s="6"/>
      <c r="B16467" s="6"/>
      <c r="H16467" s="13"/>
    </row>
    <row r="16468">
      <c r="A16468" s="6"/>
      <c r="B16468" s="6"/>
      <c r="H16468" s="13"/>
    </row>
    <row r="16469">
      <c r="A16469" s="6"/>
      <c r="B16469" s="6"/>
      <c r="H16469" s="13"/>
    </row>
    <row r="16470">
      <c r="A16470" s="6"/>
      <c r="B16470" s="6"/>
      <c r="H16470" s="13"/>
    </row>
    <row r="16471">
      <c r="A16471" s="6"/>
      <c r="B16471" s="6"/>
      <c r="H16471" s="13"/>
    </row>
    <row r="16472">
      <c r="A16472" s="6"/>
      <c r="B16472" s="6"/>
      <c r="H16472" s="13"/>
    </row>
    <row r="16473">
      <c r="A16473" s="6"/>
      <c r="B16473" s="6"/>
      <c r="H16473" s="13"/>
    </row>
    <row r="16474">
      <c r="A16474" s="6"/>
      <c r="B16474" s="6"/>
      <c r="H16474" s="13"/>
    </row>
    <row r="16475">
      <c r="A16475" s="6"/>
      <c r="B16475" s="6"/>
      <c r="H16475" s="13"/>
    </row>
    <row r="16476">
      <c r="A16476" s="6"/>
      <c r="B16476" s="6"/>
      <c r="H16476" s="13"/>
    </row>
    <row r="16477">
      <c r="A16477" s="6"/>
      <c r="B16477" s="6"/>
      <c r="H16477" s="13"/>
    </row>
    <row r="16478">
      <c r="A16478" s="6"/>
      <c r="B16478" s="6"/>
      <c r="H16478" s="13"/>
    </row>
    <row r="16479">
      <c r="A16479" s="6"/>
      <c r="B16479" s="6"/>
      <c r="H16479" s="13"/>
    </row>
    <row r="16480">
      <c r="A16480" s="6"/>
      <c r="B16480" s="6"/>
      <c r="H16480" s="13"/>
    </row>
    <row r="16481">
      <c r="A16481" s="6"/>
      <c r="B16481" s="6"/>
      <c r="H16481" s="13"/>
    </row>
    <row r="16482">
      <c r="A16482" s="6"/>
      <c r="B16482" s="6"/>
      <c r="H16482" s="13"/>
    </row>
    <row r="16483">
      <c r="A16483" s="6"/>
      <c r="B16483" s="6"/>
      <c r="H16483" s="13"/>
    </row>
    <row r="16484">
      <c r="A16484" s="6"/>
      <c r="B16484" s="6"/>
      <c r="H16484" s="13"/>
    </row>
    <row r="16485">
      <c r="A16485" s="6"/>
      <c r="B16485" s="6"/>
      <c r="H16485" s="13"/>
    </row>
    <row r="16486">
      <c r="A16486" s="6"/>
      <c r="B16486" s="6"/>
      <c r="H16486" s="13"/>
    </row>
    <row r="16487">
      <c r="A16487" s="6"/>
      <c r="B16487" s="6"/>
      <c r="H16487" s="13"/>
    </row>
    <row r="16488">
      <c r="A16488" s="6"/>
      <c r="B16488" s="6"/>
      <c r="H16488" s="13"/>
    </row>
    <row r="16489">
      <c r="A16489" s="6"/>
      <c r="B16489" s="6"/>
      <c r="H16489" s="13"/>
    </row>
    <row r="16490">
      <c r="A16490" s="6"/>
      <c r="B16490" s="6"/>
      <c r="H16490" s="13"/>
    </row>
    <row r="16491">
      <c r="A16491" s="6"/>
      <c r="B16491" s="6"/>
      <c r="H16491" s="13"/>
    </row>
    <row r="16492">
      <c r="A16492" s="6"/>
      <c r="B16492" s="6"/>
      <c r="H16492" s="13"/>
    </row>
    <row r="16493">
      <c r="A16493" s="6"/>
      <c r="B16493" s="6"/>
      <c r="H16493" s="13"/>
    </row>
    <row r="16494">
      <c r="A16494" s="6"/>
      <c r="B16494" s="6"/>
      <c r="H16494" s="13"/>
    </row>
    <row r="16495">
      <c r="A16495" s="6"/>
      <c r="B16495" s="6"/>
      <c r="H16495" s="13"/>
    </row>
    <row r="16496">
      <c r="A16496" s="6"/>
      <c r="B16496" s="6"/>
      <c r="H16496" s="13"/>
    </row>
    <row r="16497">
      <c r="A16497" s="6"/>
      <c r="B16497" s="6"/>
      <c r="H16497" s="13"/>
    </row>
    <row r="16498">
      <c r="A16498" s="6"/>
      <c r="B16498" s="6"/>
      <c r="H16498" s="13"/>
    </row>
    <row r="16499">
      <c r="A16499" s="6"/>
      <c r="B16499" s="6"/>
      <c r="H16499" s="13"/>
    </row>
    <row r="16500">
      <c r="A16500" s="6"/>
      <c r="B16500" s="6"/>
      <c r="H16500" s="13"/>
    </row>
    <row r="16501">
      <c r="A16501" s="6"/>
      <c r="B16501" s="6"/>
      <c r="H16501" s="13"/>
    </row>
    <row r="16502">
      <c r="A16502" s="6"/>
      <c r="B16502" s="6"/>
      <c r="H16502" s="13"/>
    </row>
    <row r="16503">
      <c r="A16503" s="6"/>
      <c r="B16503" s="6"/>
      <c r="H16503" s="13"/>
    </row>
    <row r="16504">
      <c r="A16504" s="6"/>
      <c r="B16504" s="6"/>
      <c r="H16504" s="13"/>
    </row>
    <row r="16505">
      <c r="A16505" s="6"/>
      <c r="B16505" s="6"/>
      <c r="H16505" s="13"/>
    </row>
    <row r="16506">
      <c r="A16506" s="6"/>
      <c r="B16506" s="6"/>
      <c r="H16506" s="13"/>
    </row>
    <row r="16507">
      <c r="A16507" s="6"/>
      <c r="B16507" s="6"/>
      <c r="H16507" s="13"/>
    </row>
    <row r="16508">
      <c r="A16508" s="6"/>
      <c r="B16508" s="6"/>
      <c r="H16508" s="13"/>
    </row>
    <row r="16509">
      <c r="A16509" s="6"/>
      <c r="B16509" s="6"/>
      <c r="H16509" s="13"/>
    </row>
    <row r="16510">
      <c r="A16510" s="6"/>
      <c r="B16510" s="6"/>
      <c r="H16510" s="13"/>
    </row>
    <row r="16511">
      <c r="A16511" s="6"/>
      <c r="B16511" s="6"/>
      <c r="H16511" s="13"/>
    </row>
    <row r="16512">
      <c r="A16512" s="6"/>
      <c r="B16512" s="6"/>
      <c r="H16512" s="13"/>
    </row>
    <row r="16513">
      <c r="A16513" s="6"/>
      <c r="B16513" s="6"/>
      <c r="H16513" s="13"/>
    </row>
    <row r="16514">
      <c r="A16514" s="6"/>
      <c r="B16514" s="6"/>
      <c r="H16514" s="13"/>
    </row>
    <row r="16515">
      <c r="A16515" s="6"/>
      <c r="B16515" s="6"/>
      <c r="H16515" s="13"/>
    </row>
    <row r="16516">
      <c r="A16516" s="6"/>
      <c r="B16516" s="6"/>
      <c r="H16516" s="13"/>
    </row>
    <row r="16517">
      <c r="A16517" s="6"/>
      <c r="B16517" s="6"/>
      <c r="H16517" s="13"/>
    </row>
    <row r="16518">
      <c r="A16518" s="6"/>
      <c r="B16518" s="6"/>
      <c r="H16518" s="13"/>
    </row>
    <row r="16519">
      <c r="A16519" s="6"/>
      <c r="B16519" s="6"/>
      <c r="H16519" s="13"/>
    </row>
    <row r="16520">
      <c r="A16520" s="6"/>
      <c r="B16520" s="6"/>
      <c r="H16520" s="13"/>
    </row>
    <row r="16521">
      <c r="A16521" s="6"/>
      <c r="B16521" s="6"/>
      <c r="H16521" s="13"/>
    </row>
    <row r="16522">
      <c r="A16522" s="6"/>
      <c r="B16522" s="6"/>
      <c r="H16522" s="13"/>
    </row>
    <row r="16523">
      <c r="A16523" s="6"/>
      <c r="B16523" s="6"/>
      <c r="H16523" s="13"/>
    </row>
    <row r="16524">
      <c r="A16524" s="6"/>
      <c r="B16524" s="6"/>
      <c r="H16524" s="13"/>
    </row>
    <row r="16525">
      <c r="A16525" s="6"/>
      <c r="B16525" s="6"/>
      <c r="H16525" s="13"/>
    </row>
    <row r="16526">
      <c r="A16526" s="6"/>
      <c r="B16526" s="6"/>
      <c r="H16526" s="13"/>
    </row>
    <row r="16527">
      <c r="A16527" s="6"/>
      <c r="B16527" s="6"/>
      <c r="H16527" s="13"/>
    </row>
    <row r="16528">
      <c r="A16528" s="6"/>
      <c r="B16528" s="6"/>
      <c r="H16528" s="13"/>
    </row>
    <row r="16529">
      <c r="A16529" s="6"/>
      <c r="B16529" s="6"/>
      <c r="H16529" s="13"/>
    </row>
    <row r="16530">
      <c r="A16530" s="6"/>
      <c r="B16530" s="6"/>
      <c r="H16530" s="13"/>
    </row>
    <row r="16531">
      <c r="A16531" s="6"/>
      <c r="B16531" s="6"/>
      <c r="H16531" s="13"/>
    </row>
    <row r="16532">
      <c r="A16532" s="6"/>
      <c r="B16532" s="6"/>
      <c r="H16532" s="13"/>
    </row>
    <row r="16533">
      <c r="A16533" s="6"/>
      <c r="B16533" s="6"/>
      <c r="H16533" s="13"/>
    </row>
    <row r="16534">
      <c r="A16534" s="6"/>
      <c r="B16534" s="6"/>
      <c r="H16534" s="13"/>
    </row>
    <row r="16535">
      <c r="A16535" s="6"/>
      <c r="B16535" s="6"/>
      <c r="H16535" s="13"/>
    </row>
    <row r="16536">
      <c r="A16536" s="6"/>
      <c r="B16536" s="6"/>
      <c r="H16536" s="13"/>
    </row>
    <row r="16537">
      <c r="A16537" s="6"/>
      <c r="B16537" s="6"/>
      <c r="H16537" s="13"/>
    </row>
    <row r="16538">
      <c r="A16538" s="6"/>
      <c r="B16538" s="6"/>
      <c r="H16538" s="13"/>
    </row>
    <row r="16539">
      <c r="A16539" s="6"/>
      <c r="B16539" s="6"/>
      <c r="H16539" s="13"/>
    </row>
    <row r="16540">
      <c r="A16540" s="6"/>
      <c r="B16540" s="6"/>
      <c r="H16540" s="13"/>
    </row>
    <row r="16541">
      <c r="A16541" s="6"/>
      <c r="B16541" s="6"/>
      <c r="H16541" s="13"/>
    </row>
    <row r="16542">
      <c r="A16542" s="6"/>
      <c r="B16542" s="6"/>
      <c r="H16542" s="13"/>
    </row>
    <row r="16543">
      <c r="A16543" s="6"/>
      <c r="B16543" s="6"/>
      <c r="H16543" s="13"/>
    </row>
    <row r="16544">
      <c r="A16544" s="6"/>
      <c r="B16544" s="6"/>
      <c r="H16544" s="13"/>
    </row>
    <row r="16545">
      <c r="A16545" s="6"/>
      <c r="B16545" s="6"/>
      <c r="H16545" s="13"/>
    </row>
    <row r="16546">
      <c r="A16546" s="6"/>
      <c r="B16546" s="6"/>
      <c r="H16546" s="13"/>
    </row>
    <row r="16547">
      <c r="A16547" s="6"/>
      <c r="B16547" s="6"/>
      <c r="H16547" s="13"/>
    </row>
    <row r="16548">
      <c r="A16548" s="6"/>
      <c r="B16548" s="6"/>
      <c r="H16548" s="13"/>
    </row>
    <row r="16549">
      <c r="A16549" s="6"/>
      <c r="B16549" s="6"/>
      <c r="H16549" s="13"/>
    </row>
    <row r="16550">
      <c r="A16550" s="6"/>
      <c r="B16550" s="6"/>
      <c r="H16550" s="13"/>
    </row>
    <row r="16551">
      <c r="A16551" s="6"/>
      <c r="B16551" s="6"/>
      <c r="H16551" s="13"/>
    </row>
    <row r="16552">
      <c r="A16552" s="6"/>
      <c r="B16552" s="6"/>
      <c r="H16552" s="13"/>
    </row>
    <row r="16553">
      <c r="A16553" s="6"/>
      <c r="B16553" s="6"/>
      <c r="H16553" s="13"/>
    </row>
    <row r="16554">
      <c r="A16554" s="6"/>
      <c r="B16554" s="6"/>
      <c r="H16554" s="13"/>
    </row>
    <row r="16555">
      <c r="A16555" s="6"/>
      <c r="B16555" s="6"/>
      <c r="H16555" s="13"/>
    </row>
    <row r="16556">
      <c r="A16556" s="6"/>
      <c r="B16556" s="6"/>
      <c r="H16556" s="13"/>
    </row>
    <row r="16557">
      <c r="A16557" s="6"/>
      <c r="B16557" s="6"/>
      <c r="H16557" s="13"/>
    </row>
    <row r="16558">
      <c r="A16558" s="6"/>
      <c r="B16558" s="6"/>
      <c r="H16558" s="13"/>
    </row>
    <row r="16559">
      <c r="A16559" s="6"/>
      <c r="B16559" s="6"/>
      <c r="H16559" s="13"/>
    </row>
    <row r="16560">
      <c r="A16560" s="6"/>
      <c r="B16560" s="6"/>
      <c r="H16560" s="13"/>
    </row>
    <row r="16561">
      <c r="A16561" s="6"/>
      <c r="B16561" s="6"/>
      <c r="H16561" s="13"/>
    </row>
    <row r="16562">
      <c r="A16562" s="6"/>
      <c r="B16562" s="6"/>
      <c r="H16562" s="13"/>
    </row>
    <row r="16563">
      <c r="A16563" s="6"/>
      <c r="B16563" s="6"/>
      <c r="H16563" s="13"/>
    </row>
    <row r="16564">
      <c r="A16564" s="6"/>
      <c r="B16564" s="6"/>
      <c r="H16564" s="13"/>
    </row>
    <row r="16565">
      <c r="A16565" s="6"/>
      <c r="B16565" s="6"/>
      <c r="H16565" s="13"/>
    </row>
    <row r="16566">
      <c r="A16566" s="6"/>
      <c r="B16566" s="6"/>
      <c r="H16566" s="13"/>
    </row>
    <row r="16567">
      <c r="A16567" s="6"/>
      <c r="B16567" s="6"/>
      <c r="H16567" s="13"/>
    </row>
    <row r="16568">
      <c r="A16568" s="6"/>
      <c r="B16568" s="6"/>
      <c r="H16568" s="13"/>
    </row>
    <row r="16569">
      <c r="A16569" s="6"/>
      <c r="B16569" s="6"/>
      <c r="H16569" s="13"/>
    </row>
    <row r="16570">
      <c r="A16570" s="6"/>
      <c r="B16570" s="6"/>
      <c r="H16570" s="13"/>
    </row>
    <row r="16571">
      <c r="A16571" s="6"/>
      <c r="B16571" s="6"/>
      <c r="H16571" s="13"/>
    </row>
    <row r="16572">
      <c r="A16572" s="6"/>
      <c r="B16572" s="6"/>
      <c r="H16572" s="13"/>
    </row>
    <row r="16573">
      <c r="A16573" s="6"/>
      <c r="B16573" s="6"/>
      <c r="H16573" s="13"/>
    </row>
    <row r="16574">
      <c r="A16574" s="6"/>
      <c r="B16574" s="6"/>
      <c r="H16574" s="13"/>
    </row>
    <row r="16575">
      <c r="A16575" s="6"/>
      <c r="B16575" s="6"/>
      <c r="H16575" s="13"/>
    </row>
    <row r="16576">
      <c r="A16576" s="6"/>
      <c r="B16576" s="6"/>
      <c r="H16576" s="13"/>
    </row>
    <row r="16577">
      <c r="A16577" s="6"/>
      <c r="B16577" s="6"/>
      <c r="H16577" s="13"/>
    </row>
    <row r="16578">
      <c r="A16578" s="6"/>
      <c r="B16578" s="6"/>
      <c r="H16578" s="13"/>
    </row>
    <row r="16579">
      <c r="A16579" s="6"/>
      <c r="B16579" s="6"/>
      <c r="H16579" s="13"/>
    </row>
    <row r="16580">
      <c r="A16580" s="6"/>
      <c r="B16580" s="6"/>
      <c r="H16580" s="13"/>
    </row>
    <row r="16581">
      <c r="A16581" s="6"/>
      <c r="B16581" s="6"/>
      <c r="H16581" s="13"/>
    </row>
    <row r="16582">
      <c r="A16582" s="6"/>
      <c r="B16582" s="6"/>
      <c r="H16582" s="13"/>
    </row>
    <row r="16583">
      <c r="A16583" s="6"/>
      <c r="B16583" s="6"/>
      <c r="H16583" s="13"/>
    </row>
    <row r="16584">
      <c r="A16584" s="6"/>
      <c r="B16584" s="6"/>
      <c r="H16584" s="13"/>
    </row>
    <row r="16585">
      <c r="A16585" s="6"/>
      <c r="B16585" s="6"/>
      <c r="H16585" s="13"/>
    </row>
    <row r="16586">
      <c r="A16586" s="6"/>
      <c r="B16586" s="6"/>
      <c r="H16586" s="13"/>
    </row>
    <row r="16587">
      <c r="A16587" s="6"/>
      <c r="B16587" s="6"/>
      <c r="H16587" s="13"/>
    </row>
    <row r="16588">
      <c r="A16588" s="6"/>
      <c r="B16588" s="6"/>
      <c r="H16588" s="13"/>
    </row>
    <row r="16589">
      <c r="A16589" s="6"/>
      <c r="B16589" s="6"/>
      <c r="H16589" s="13"/>
    </row>
    <row r="16590">
      <c r="A16590" s="6"/>
      <c r="B16590" s="6"/>
      <c r="H16590" s="13"/>
    </row>
    <row r="16591">
      <c r="A16591" s="6"/>
      <c r="B16591" s="6"/>
      <c r="H16591" s="13"/>
    </row>
    <row r="16592">
      <c r="A16592" s="6"/>
      <c r="B16592" s="6"/>
      <c r="H16592" s="13"/>
    </row>
    <row r="16593">
      <c r="A16593" s="6"/>
      <c r="B16593" s="6"/>
      <c r="H16593" s="13"/>
    </row>
    <row r="16594">
      <c r="A16594" s="6"/>
      <c r="B16594" s="6"/>
      <c r="H16594" s="13"/>
    </row>
    <row r="16595">
      <c r="A16595" s="6"/>
      <c r="B16595" s="6"/>
      <c r="H16595" s="13"/>
    </row>
    <row r="16596">
      <c r="A16596" s="6"/>
      <c r="B16596" s="6"/>
      <c r="H16596" s="13"/>
    </row>
    <row r="16597">
      <c r="A16597" s="6"/>
      <c r="B16597" s="6"/>
      <c r="H16597" s="13"/>
    </row>
    <row r="16598">
      <c r="A16598" s="6"/>
      <c r="B16598" s="6"/>
      <c r="H16598" s="13"/>
    </row>
    <row r="16599">
      <c r="A16599" s="6"/>
      <c r="B16599" s="6"/>
      <c r="H16599" s="13"/>
    </row>
    <row r="16600">
      <c r="A16600" s="6"/>
      <c r="B16600" s="6"/>
      <c r="H16600" s="13"/>
    </row>
    <row r="16601">
      <c r="A16601" s="6"/>
      <c r="B16601" s="6"/>
      <c r="H16601" s="13"/>
    </row>
    <row r="16602">
      <c r="A16602" s="6"/>
      <c r="B16602" s="6"/>
      <c r="H16602" s="13"/>
    </row>
    <row r="16603">
      <c r="A16603" s="6"/>
      <c r="B16603" s="6"/>
      <c r="H16603" s="13"/>
    </row>
    <row r="16604">
      <c r="A16604" s="6"/>
      <c r="B16604" s="6"/>
      <c r="H16604" s="13"/>
    </row>
    <row r="16605">
      <c r="A16605" s="6"/>
      <c r="B16605" s="6"/>
      <c r="H16605" s="13"/>
    </row>
    <row r="16606">
      <c r="A16606" s="6"/>
      <c r="B16606" s="6"/>
      <c r="H16606" s="13"/>
    </row>
    <row r="16607">
      <c r="A16607" s="6"/>
      <c r="B16607" s="6"/>
      <c r="H16607" s="13"/>
    </row>
    <row r="16608">
      <c r="A16608" s="6"/>
      <c r="B16608" s="6"/>
      <c r="H16608" s="13"/>
    </row>
    <row r="16609">
      <c r="A16609" s="6"/>
      <c r="B16609" s="6"/>
      <c r="H16609" s="13"/>
    </row>
    <row r="16610">
      <c r="A16610" s="6"/>
      <c r="B16610" s="6"/>
      <c r="H16610" s="13"/>
    </row>
    <row r="16611">
      <c r="A16611" s="6"/>
      <c r="B16611" s="6"/>
      <c r="H16611" s="13"/>
    </row>
    <row r="16612">
      <c r="A16612" s="6"/>
      <c r="B16612" s="6"/>
      <c r="H16612" s="13"/>
    </row>
    <row r="16613">
      <c r="A16613" s="6"/>
      <c r="B16613" s="6"/>
      <c r="H16613" s="13"/>
    </row>
    <row r="16614">
      <c r="A16614" s="6"/>
      <c r="B16614" s="6"/>
      <c r="H16614" s="13"/>
    </row>
    <row r="16615">
      <c r="A16615" s="6"/>
      <c r="B16615" s="6"/>
      <c r="H16615" s="13"/>
    </row>
    <row r="16616">
      <c r="A16616" s="6"/>
      <c r="B16616" s="6"/>
      <c r="H16616" s="13"/>
    </row>
    <row r="16617">
      <c r="A16617" s="6"/>
      <c r="B16617" s="6"/>
      <c r="H16617" s="13"/>
    </row>
    <row r="16618">
      <c r="A16618" s="6"/>
      <c r="B16618" s="6"/>
      <c r="H16618" s="13"/>
    </row>
    <row r="16619">
      <c r="A16619" s="6"/>
      <c r="B16619" s="6"/>
      <c r="H16619" s="13"/>
    </row>
    <row r="16620">
      <c r="A16620" s="6"/>
      <c r="B16620" s="6"/>
      <c r="H16620" s="13"/>
    </row>
    <row r="16621">
      <c r="A16621" s="6"/>
      <c r="B16621" s="6"/>
      <c r="H16621" s="13"/>
    </row>
    <row r="16622">
      <c r="A16622" s="6"/>
      <c r="B16622" s="6"/>
      <c r="H16622" s="13"/>
    </row>
    <row r="16623">
      <c r="A16623" s="6"/>
      <c r="B16623" s="6"/>
      <c r="H16623" s="13"/>
    </row>
    <row r="16624">
      <c r="A16624" s="6"/>
      <c r="B16624" s="6"/>
      <c r="H16624" s="13"/>
    </row>
    <row r="16625">
      <c r="A16625" s="6"/>
      <c r="B16625" s="6"/>
      <c r="H16625" s="13"/>
    </row>
    <row r="16626">
      <c r="A16626" s="6"/>
      <c r="B16626" s="6"/>
      <c r="H16626" s="13"/>
    </row>
    <row r="16627">
      <c r="A16627" s="6"/>
      <c r="B16627" s="6"/>
      <c r="H16627" s="13"/>
    </row>
    <row r="16628">
      <c r="A16628" s="6"/>
      <c r="B16628" s="6"/>
      <c r="H16628" s="13"/>
    </row>
    <row r="16629">
      <c r="A16629" s="6"/>
      <c r="B16629" s="6"/>
      <c r="H16629" s="13"/>
    </row>
    <row r="16630">
      <c r="A16630" s="6"/>
      <c r="B16630" s="6"/>
      <c r="H16630" s="13"/>
    </row>
    <row r="16631">
      <c r="A16631" s="6"/>
      <c r="B16631" s="6"/>
      <c r="H16631" s="13"/>
    </row>
    <row r="16632">
      <c r="A16632" s="6"/>
      <c r="B16632" s="6"/>
      <c r="H16632" s="13"/>
    </row>
    <row r="16633">
      <c r="A16633" s="6"/>
      <c r="B16633" s="6"/>
      <c r="H16633" s="13"/>
    </row>
    <row r="16634">
      <c r="A16634" s="6"/>
      <c r="B16634" s="6"/>
      <c r="H16634" s="13"/>
    </row>
    <row r="16635">
      <c r="A16635" s="6"/>
      <c r="B16635" s="6"/>
      <c r="H16635" s="13"/>
    </row>
    <row r="16636">
      <c r="A16636" s="6"/>
      <c r="B16636" s="6"/>
      <c r="H16636" s="13"/>
    </row>
    <row r="16637">
      <c r="A16637" s="6"/>
      <c r="B16637" s="6"/>
      <c r="H16637" s="13"/>
    </row>
    <row r="16638">
      <c r="A16638" s="6"/>
      <c r="B16638" s="6"/>
      <c r="H16638" s="13"/>
    </row>
    <row r="16639">
      <c r="A16639" s="6"/>
      <c r="B16639" s="6"/>
      <c r="H16639" s="13"/>
    </row>
    <row r="16640">
      <c r="A16640" s="6"/>
      <c r="B16640" s="6"/>
      <c r="H16640" s="13"/>
    </row>
    <row r="16641">
      <c r="A16641" s="6"/>
      <c r="B16641" s="6"/>
      <c r="H16641" s="13"/>
    </row>
    <row r="16642">
      <c r="A16642" s="6"/>
      <c r="B16642" s="6"/>
      <c r="H16642" s="13"/>
    </row>
    <row r="16643">
      <c r="A16643" s="6"/>
      <c r="B16643" s="6"/>
      <c r="H16643" s="13"/>
    </row>
    <row r="16644">
      <c r="A16644" s="6"/>
      <c r="B16644" s="6"/>
      <c r="H16644" s="13"/>
    </row>
    <row r="16645">
      <c r="A16645" s="6"/>
      <c r="B16645" s="6"/>
      <c r="H16645" s="13"/>
    </row>
    <row r="16646">
      <c r="A16646" s="6"/>
      <c r="B16646" s="6"/>
      <c r="H16646" s="13"/>
    </row>
    <row r="16647">
      <c r="A16647" s="6"/>
      <c r="B16647" s="6"/>
      <c r="H16647" s="13"/>
    </row>
    <row r="16648">
      <c r="A16648" s="6"/>
      <c r="B16648" s="6"/>
      <c r="H16648" s="13"/>
    </row>
    <row r="16649">
      <c r="A16649" s="6"/>
      <c r="B16649" s="6"/>
      <c r="H16649" s="13"/>
    </row>
    <row r="16650">
      <c r="A16650" s="6"/>
      <c r="B16650" s="6"/>
      <c r="H16650" s="13"/>
    </row>
    <row r="16651">
      <c r="A16651" s="6"/>
      <c r="B16651" s="6"/>
      <c r="H16651" s="13"/>
    </row>
    <row r="16652">
      <c r="A16652" s="6"/>
      <c r="B16652" s="6"/>
      <c r="H16652" s="13"/>
    </row>
    <row r="16653">
      <c r="A16653" s="6"/>
      <c r="B16653" s="6"/>
      <c r="H16653" s="13"/>
    </row>
    <row r="16654">
      <c r="A16654" s="6"/>
      <c r="B16654" s="6"/>
      <c r="H16654" s="13"/>
    </row>
    <row r="16655">
      <c r="A16655" s="6"/>
      <c r="B16655" s="6"/>
      <c r="H16655" s="13"/>
    </row>
    <row r="16656">
      <c r="A16656" s="6"/>
      <c r="B16656" s="6"/>
      <c r="H16656" s="13"/>
    </row>
    <row r="16657">
      <c r="A16657" s="6"/>
      <c r="B16657" s="6"/>
      <c r="H16657" s="13"/>
    </row>
    <row r="16658">
      <c r="A16658" s="6"/>
      <c r="B16658" s="6"/>
      <c r="H16658" s="13"/>
    </row>
    <row r="16659">
      <c r="A16659" s="6"/>
      <c r="B16659" s="6"/>
      <c r="H16659" s="13"/>
    </row>
    <row r="16660">
      <c r="A16660" s="6"/>
      <c r="B16660" s="6"/>
      <c r="H16660" s="13"/>
    </row>
    <row r="16661">
      <c r="A16661" s="6"/>
      <c r="B16661" s="6"/>
      <c r="H16661" s="13"/>
    </row>
    <row r="16662">
      <c r="A16662" s="6"/>
      <c r="B16662" s="6"/>
      <c r="H16662" s="13"/>
    </row>
    <row r="16663">
      <c r="A16663" s="6"/>
      <c r="B16663" s="6"/>
      <c r="H16663" s="13"/>
    </row>
    <row r="16664">
      <c r="A16664" s="6"/>
      <c r="B16664" s="6"/>
      <c r="H16664" s="13"/>
    </row>
    <row r="16665">
      <c r="A16665" s="6"/>
      <c r="B16665" s="6"/>
      <c r="H16665" s="13"/>
    </row>
    <row r="16666">
      <c r="A16666" s="6"/>
      <c r="B16666" s="6"/>
      <c r="H16666" s="13"/>
    </row>
    <row r="16667">
      <c r="A16667" s="6"/>
      <c r="B16667" s="6"/>
      <c r="H16667" s="13"/>
    </row>
    <row r="16668">
      <c r="A16668" s="6"/>
      <c r="B16668" s="6"/>
      <c r="H16668" s="13"/>
    </row>
    <row r="16669">
      <c r="A16669" s="6"/>
      <c r="B16669" s="6"/>
      <c r="H16669" s="13"/>
    </row>
    <row r="16670">
      <c r="A16670" s="6"/>
      <c r="B16670" s="6"/>
      <c r="H16670" s="13"/>
    </row>
    <row r="16671">
      <c r="A16671" s="6"/>
      <c r="B16671" s="6"/>
      <c r="H16671" s="13"/>
    </row>
    <row r="16672">
      <c r="A16672" s="6"/>
      <c r="B16672" s="6"/>
      <c r="H16672" s="13"/>
    </row>
    <row r="16673">
      <c r="A16673" s="6"/>
      <c r="B16673" s="6"/>
      <c r="H16673" s="13"/>
    </row>
    <row r="16674">
      <c r="A16674" s="6"/>
      <c r="B16674" s="6"/>
      <c r="H16674" s="13"/>
    </row>
    <row r="16675">
      <c r="A16675" s="6"/>
      <c r="B16675" s="6"/>
      <c r="H16675" s="13"/>
    </row>
    <row r="16676">
      <c r="A16676" s="6"/>
      <c r="B16676" s="6"/>
      <c r="H16676" s="13"/>
    </row>
    <row r="16677">
      <c r="A16677" s="6"/>
      <c r="B16677" s="6"/>
      <c r="H16677" s="13"/>
    </row>
    <row r="16678">
      <c r="A16678" s="6"/>
      <c r="B16678" s="6"/>
      <c r="H16678" s="13"/>
    </row>
    <row r="16679">
      <c r="A16679" s="6"/>
      <c r="B16679" s="6"/>
      <c r="H16679" s="13"/>
    </row>
    <row r="16680">
      <c r="A16680" s="6"/>
      <c r="B16680" s="6"/>
      <c r="H16680" s="13"/>
    </row>
    <row r="16681">
      <c r="A16681" s="6"/>
      <c r="B16681" s="6"/>
      <c r="H16681" s="13"/>
    </row>
    <row r="16682">
      <c r="A16682" s="6"/>
      <c r="B16682" s="6"/>
      <c r="H16682" s="13"/>
    </row>
    <row r="16683">
      <c r="A16683" s="6"/>
      <c r="B16683" s="6"/>
      <c r="H16683" s="13"/>
    </row>
    <row r="16684">
      <c r="A16684" s="6"/>
      <c r="B16684" s="6"/>
      <c r="H16684" s="13"/>
    </row>
    <row r="16685">
      <c r="A16685" s="6"/>
      <c r="B16685" s="6"/>
      <c r="H16685" s="13"/>
    </row>
    <row r="16686">
      <c r="A16686" s="6"/>
      <c r="B16686" s="6"/>
      <c r="H16686" s="13"/>
    </row>
    <row r="16687">
      <c r="A16687" s="6"/>
      <c r="B16687" s="6"/>
      <c r="H16687" s="13"/>
    </row>
    <row r="16688">
      <c r="A16688" s="6"/>
      <c r="B16688" s="6"/>
      <c r="H16688" s="13"/>
    </row>
    <row r="16689">
      <c r="A16689" s="6"/>
      <c r="B16689" s="6"/>
      <c r="H16689" s="13"/>
    </row>
    <row r="16690">
      <c r="A16690" s="6"/>
      <c r="B16690" s="6"/>
      <c r="H16690" s="13"/>
    </row>
    <row r="16691">
      <c r="A16691" s="6"/>
      <c r="B16691" s="6"/>
      <c r="H16691" s="13"/>
    </row>
    <row r="16692">
      <c r="A16692" s="6"/>
      <c r="B16692" s="6"/>
      <c r="H16692" s="13"/>
    </row>
    <row r="16693">
      <c r="A16693" s="6"/>
      <c r="B16693" s="6"/>
      <c r="H16693" s="13"/>
    </row>
    <row r="16694">
      <c r="A16694" s="6"/>
      <c r="B16694" s="6"/>
      <c r="H16694" s="13"/>
    </row>
    <row r="16695">
      <c r="A16695" s="6"/>
      <c r="B16695" s="6"/>
      <c r="H16695" s="13"/>
    </row>
    <row r="16696">
      <c r="A16696" s="6"/>
      <c r="B16696" s="6"/>
      <c r="H16696" s="13"/>
    </row>
    <row r="16697">
      <c r="A16697" s="6"/>
      <c r="B16697" s="6"/>
      <c r="H16697" s="13"/>
    </row>
    <row r="16698">
      <c r="A16698" s="6"/>
      <c r="B16698" s="6"/>
      <c r="H16698" s="13"/>
    </row>
    <row r="16699">
      <c r="A16699" s="6"/>
      <c r="B16699" s="6"/>
      <c r="H16699" s="13"/>
    </row>
    <row r="16700">
      <c r="A16700" s="6"/>
      <c r="B16700" s="6"/>
      <c r="H16700" s="13"/>
    </row>
    <row r="16701">
      <c r="A16701" s="6"/>
      <c r="B16701" s="6"/>
      <c r="H16701" s="13"/>
    </row>
    <row r="16702">
      <c r="A16702" s="6"/>
      <c r="B16702" s="6"/>
      <c r="H16702" s="13"/>
    </row>
    <row r="16703">
      <c r="A16703" s="6"/>
      <c r="B16703" s="6"/>
      <c r="H16703" s="13"/>
    </row>
    <row r="16704">
      <c r="A16704" s="6"/>
      <c r="B16704" s="6"/>
      <c r="H16704" s="13"/>
    </row>
    <row r="16705">
      <c r="A16705" s="6"/>
      <c r="B16705" s="6"/>
      <c r="H16705" s="13"/>
    </row>
    <row r="16706">
      <c r="A16706" s="6"/>
      <c r="B16706" s="6"/>
      <c r="H16706" s="13"/>
    </row>
    <row r="16707">
      <c r="A16707" s="6"/>
      <c r="B16707" s="6"/>
      <c r="H16707" s="13"/>
    </row>
    <row r="16708">
      <c r="A16708" s="6"/>
      <c r="B16708" s="6"/>
      <c r="H16708" s="13"/>
    </row>
    <row r="16709">
      <c r="A16709" s="6"/>
      <c r="B16709" s="6"/>
      <c r="H16709" s="13"/>
    </row>
    <row r="16710">
      <c r="A16710" s="6"/>
      <c r="B16710" s="6"/>
      <c r="H16710" s="13"/>
    </row>
    <row r="16711">
      <c r="A16711" s="6"/>
      <c r="B16711" s="6"/>
      <c r="H16711" s="13"/>
    </row>
    <row r="16712">
      <c r="A16712" s="6"/>
      <c r="B16712" s="6"/>
      <c r="H16712" s="13"/>
    </row>
    <row r="16713">
      <c r="A16713" s="6"/>
      <c r="B16713" s="6"/>
      <c r="H16713" s="13"/>
    </row>
    <row r="16714">
      <c r="A16714" s="6"/>
      <c r="B16714" s="6"/>
      <c r="H16714" s="13"/>
    </row>
    <row r="16715">
      <c r="A16715" s="6"/>
      <c r="B16715" s="6"/>
      <c r="H16715" s="13"/>
    </row>
    <row r="16716">
      <c r="A16716" s="6"/>
      <c r="B16716" s="6"/>
      <c r="H16716" s="13"/>
    </row>
    <row r="16717">
      <c r="A16717" s="6"/>
      <c r="B16717" s="6"/>
      <c r="H16717" s="13"/>
    </row>
    <row r="16718">
      <c r="A16718" s="6"/>
      <c r="B16718" s="6"/>
      <c r="H16718" s="13"/>
    </row>
    <row r="16719">
      <c r="A16719" s="6"/>
      <c r="B16719" s="6"/>
      <c r="H16719" s="13"/>
    </row>
    <row r="16720">
      <c r="A16720" s="6"/>
      <c r="B16720" s="6"/>
      <c r="H16720" s="13"/>
    </row>
    <row r="16721">
      <c r="A16721" s="6"/>
      <c r="B16721" s="6"/>
      <c r="H16721" s="13"/>
    </row>
    <row r="16722">
      <c r="A16722" s="6"/>
      <c r="B16722" s="6"/>
      <c r="H16722" s="13"/>
    </row>
    <row r="16723">
      <c r="A16723" s="6"/>
      <c r="B16723" s="6"/>
      <c r="H16723" s="13"/>
    </row>
    <row r="16724">
      <c r="A16724" s="6"/>
      <c r="B16724" s="6"/>
      <c r="H16724" s="13"/>
    </row>
    <row r="16725">
      <c r="A16725" s="6"/>
      <c r="B16725" s="6"/>
      <c r="H16725" s="13"/>
    </row>
    <row r="16726">
      <c r="A16726" s="6"/>
      <c r="B16726" s="6"/>
      <c r="H16726" s="13"/>
    </row>
    <row r="16727">
      <c r="A16727" s="6"/>
      <c r="B16727" s="6"/>
      <c r="H16727" s="13"/>
    </row>
    <row r="16728">
      <c r="A16728" s="6"/>
      <c r="B16728" s="6"/>
      <c r="H16728" s="13"/>
    </row>
    <row r="16729">
      <c r="A16729" s="6"/>
      <c r="B16729" s="6"/>
      <c r="H16729" s="13"/>
    </row>
    <row r="16730">
      <c r="A16730" s="6"/>
      <c r="B16730" s="6"/>
      <c r="H16730" s="13"/>
    </row>
    <row r="16731">
      <c r="A16731" s="6"/>
      <c r="B16731" s="6"/>
      <c r="H16731" s="13"/>
    </row>
    <row r="16732">
      <c r="A16732" s="6"/>
      <c r="B16732" s="6"/>
      <c r="H16732" s="13"/>
    </row>
    <row r="16733">
      <c r="A16733" s="6"/>
      <c r="B16733" s="6"/>
      <c r="H16733" s="13"/>
    </row>
    <row r="16734">
      <c r="A16734" s="6"/>
      <c r="B16734" s="6"/>
      <c r="H16734" s="13"/>
    </row>
    <row r="16735">
      <c r="A16735" s="6"/>
      <c r="B16735" s="6"/>
      <c r="H16735" s="13"/>
    </row>
    <row r="16736">
      <c r="A16736" s="6"/>
      <c r="B16736" s="6"/>
      <c r="H16736" s="13"/>
    </row>
    <row r="16737">
      <c r="A16737" s="6"/>
      <c r="B16737" s="6"/>
      <c r="H16737" s="13"/>
    </row>
    <row r="16738">
      <c r="A16738" s="6"/>
      <c r="B16738" s="6"/>
      <c r="H16738" s="13"/>
    </row>
    <row r="16739">
      <c r="A16739" s="6"/>
      <c r="B16739" s="6"/>
      <c r="H16739" s="13"/>
    </row>
    <row r="16740">
      <c r="A16740" s="6"/>
      <c r="B16740" s="6"/>
      <c r="H16740" s="13"/>
    </row>
    <row r="16741">
      <c r="A16741" s="6"/>
      <c r="B16741" s="6"/>
      <c r="H16741" s="13"/>
    </row>
    <row r="16742">
      <c r="A16742" s="6"/>
      <c r="B16742" s="6"/>
      <c r="H16742" s="13"/>
    </row>
    <row r="16743">
      <c r="A16743" s="6"/>
      <c r="B16743" s="6"/>
      <c r="H16743" s="13"/>
    </row>
    <row r="16744">
      <c r="A16744" s="6"/>
      <c r="B16744" s="6"/>
      <c r="H16744" s="13"/>
    </row>
    <row r="16745">
      <c r="A16745" s="6"/>
      <c r="B16745" s="6"/>
      <c r="H16745" s="13"/>
    </row>
    <row r="16746">
      <c r="A16746" s="6"/>
      <c r="B16746" s="6"/>
      <c r="H16746" s="13"/>
    </row>
    <row r="16747">
      <c r="A16747" s="6"/>
      <c r="B16747" s="6"/>
      <c r="H16747" s="13"/>
    </row>
    <row r="16748">
      <c r="A16748" s="6"/>
      <c r="B16748" s="6"/>
      <c r="H16748" s="13"/>
    </row>
    <row r="16749">
      <c r="A16749" s="6"/>
      <c r="B16749" s="6"/>
      <c r="H16749" s="13"/>
    </row>
    <row r="16750">
      <c r="A16750" s="6"/>
      <c r="B16750" s="6"/>
      <c r="H16750" s="13"/>
    </row>
    <row r="16751">
      <c r="A16751" s="6"/>
      <c r="B16751" s="6"/>
      <c r="H16751" s="13"/>
    </row>
    <row r="16752">
      <c r="A16752" s="6"/>
      <c r="B16752" s="6"/>
      <c r="H16752" s="13"/>
    </row>
    <row r="16753">
      <c r="A16753" s="6"/>
      <c r="B16753" s="6"/>
      <c r="H16753" s="13"/>
    </row>
    <row r="16754">
      <c r="A16754" s="6"/>
      <c r="B16754" s="6"/>
      <c r="H16754" s="13"/>
    </row>
    <row r="16755">
      <c r="A16755" s="6"/>
      <c r="B16755" s="6"/>
      <c r="H16755" s="13"/>
    </row>
    <row r="16756">
      <c r="A16756" s="6"/>
      <c r="B16756" s="6"/>
      <c r="H16756" s="13"/>
    </row>
    <row r="16757">
      <c r="A16757" s="6"/>
      <c r="B16757" s="6"/>
      <c r="H16757" s="13"/>
    </row>
    <row r="16758">
      <c r="A16758" s="6"/>
      <c r="B16758" s="6"/>
      <c r="H16758" s="13"/>
    </row>
    <row r="16759">
      <c r="A16759" s="6"/>
      <c r="B16759" s="6"/>
      <c r="H16759" s="13"/>
    </row>
    <row r="16760">
      <c r="A16760" s="6"/>
      <c r="B16760" s="6"/>
      <c r="H16760" s="13"/>
    </row>
    <row r="16761">
      <c r="A16761" s="6"/>
      <c r="B16761" s="6"/>
      <c r="H16761" s="13"/>
    </row>
    <row r="16762">
      <c r="A16762" s="6"/>
      <c r="B16762" s="6"/>
      <c r="H16762" s="13"/>
    </row>
    <row r="16763">
      <c r="A16763" s="6"/>
      <c r="B16763" s="6"/>
      <c r="H16763" s="13"/>
    </row>
    <row r="16764">
      <c r="A16764" s="6"/>
      <c r="B16764" s="6"/>
      <c r="H16764" s="13"/>
    </row>
    <row r="16765">
      <c r="A16765" s="6"/>
      <c r="B16765" s="6"/>
      <c r="H16765" s="13"/>
    </row>
    <row r="16766">
      <c r="A16766" s="6"/>
      <c r="B16766" s="6"/>
      <c r="H16766" s="13"/>
    </row>
    <row r="16767">
      <c r="A16767" s="6"/>
      <c r="B16767" s="6"/>
      <c r="H16767" s="13"/>
    </row>
    <row r="16768">
      <c r="A16768" s="6"/>
      <c r="B16768" s="6"/>
      <c r="H16768" s="13"/>
    </row>
    <row r="16769">
      <c r="A16769" s="6"/>
      <c r="B16769" s="6"/>
      <c r="H16769" s="13"/>
    </row>
    <row r="16770">
      <c r="A16770" s="6"/>
      <c r="B16770" s="6"/>
      <c r="H16770" s="13"/>
    </row>
    <row r="16771">
      <c r="A16771" s="6"/>
      <c r="B16771" s="6"/>
      <c r="H16771" s="13"/>
    </row>
    <row r="16772">
      <c r="A16772" s="6"/>
      <c r="B16772" s="6"/>
      <c r="H16772" s="13"/>
    </row>
    <row r="16773">
      <c r="A16773" s="6"/>
      <c r="B16773" s="6"/>
      <c r="H16773" s="13"/>
    </row>
    <row r="16774">
      <c r="A16774" s="6"/>
      <c r="B16774" s="6"/>
      <c r="H16774" s="13"/>
    </row>
    <row r="16775">
      <c r="A16775" s="6"/>
      <c r="B16775" s="6"/>
      <c r="H16775" s="13"/>
    </row>
    <row r="16776">
      <c r="A16776" s="6"/>
      <c r="B16776" s="6"/>
      <c r="H16776" s="13"/>
    </row>
    <row r="16777">
      <c r="A16777" s="6"/>
      <c r="B16777" s="6"/>
      <c r="H16777" s="13"/>
    </row>
    <row r="16778">
      <c r="A16778" s="6"/>
      <c r="B16778" s="6"/>
      <c r="H16778" s="13"/>
    </row>
    <row r="16779">
      <c r="A16779" s="6"/>
      <c r="B16779" s="6"/>
      <c r="H16779" s="13"/>
    </row>
    <row r="16780">
      <c r="A16780" s="6"/>
      <c r="B16780" s="6"/>
      <c r="H16780" s="13"/>
    </row>
    <row r="16781">
      <c r="A16781" s="6"/>
      <c r="B16781" s="6"/>
      <c r="H16781" s="13"/>
    </row>
    <row r="16782">
      <c r="A16782" s="6"/>
      <c r="B16782" s="6"/>
      <c r="H16782" s="13"/>
    </row>
    <row r="16783">
      <c r="A16783" s="6"/>
      <c r="B16783" s="6"/>
      <c r="H16783" s="13"/>
    </row>
    <row r="16784">
      <c r="A16784" s="6"/>
      <c r="B16784" s="6"/>
      <c r="H16784" s="13"/>
    </row>
    <row r="16785">
      <c r="A16785" s="6"/>
      <c r="B16785" s="6"/>
      <c r="H16785" s="13"/>
    </row>
    <row r="16786">
      <c r="A16786" s="6"/>
      <c r="B16786" s="6"/>
      <c r="H16786" s="13"/>
    </row>
    <row r="16787">
      <c r="A16787" s="6"/>
      <c r="B16787" s="6"/>
      <c r="H16787" s="13"/>
    </row>
    <row r="16788">
      <c r="A16788" s="6"/>
      <c r="B16788" s="6"/>
      <c r="H16788" s="13"/>
    </row>
    <row r="16789">
      <c r="A16789" s="6"/>
      <c r="B16789" s="6"/>
      <c r="H16789" s="13"/>
    </row>
    <row r="16790">
      <c r="A16790" s="6"/>
      <c r="B16790" s="6"/>
      <c r="H16790" s="13"/>
    </row>
    <row r="16791">
      <c r="A16791" s="6"/>
      <c r="B16791" s="6"/>
      <c r="H16791" s="13"/>
    </row>
    <row r="16792">
      <c r="A16792" s="6"/>
      <c r="B16792" s="6"/>
      <c r="H16792" s="13"/>
    </row>
    <row r="16793">
      <c r="A16793" s="6"/>
      <c r="B16793" s="6"/>
      <c r="H16793" s="13"/>
    </row>
    <row r="16794">
      <c r="A16794" s="6"/>
      <c r="B16794" s="6"/>
      <c r="H16794" s="13"/>
    </row>
    <row r="16795">
      <c r="A16795" s="6"/>
      <c r="B16795" s="6"/>
      <c r="H16795" s="13"/>
    </row>
    <row r="16796">
      <c r="A16796" s="6"/>
      <c r="B16796" s="6"/>
      <c r="H16796" s="13"/>
    </row>
    <row r="16797">
      <c r="A16797" s="6"/>
      <c r="B16797" s="6"/>
      <c r="H16797" s="13"/>
    </row>
    <row r="16798">
      <c r="A16798" s="6"/>
      <c r="B16798" s="6"/>
      <c r="H16798" s="13"/>
    </row>
    <row r="16799">
      <c r="A16799" s="6"/>
      <c r="B16799" s="6"/>
      <c r="H16799" s="13"/>
    </row>
    <row r="16800">
      <c r="A16800" s="6"/>
      <c r="B16800" s="6"/>
      <c r="H16800" s="13"/>
    </row>
    <row r="16801">
      <c r="A16801" s="6"/>
      <c r="B16801" s="6"/>
      <c r="H16801" s="13"/>
    </row>
    <row r="16802">
      <c r="A16802" s="6"/>
      <c r="B16802" s="6"/>
      <c r="H16802" s="13"/>
    </row>
    <row r="16803">
      <c r="A16803" s="6"/>
      <c r="B16803" s="6"/>
      <c r="H16803" s="13"/>
    </row>
    <row r="16804">
      <c r="A16804" s="6"/>
      <c r="B16804" s="6"/>
      <c r="H16804" s="13"/>
    </row>
    <row r="16805">
      <c r="A16805" s="6"/>
      <c r="B16805" s="6"/>
      <c r="H16805" s="13"/>
    </row>
    <row r="16806">
      <c r="A16806" s="6"/>
      <c r="B16806" s="6"/>
      <c r="H16806" s="13"/>
    </row>
    <row r="16807">
      <c r="A16807" s="6"/>
      <c r="B16807" s="6"/>
      <c r="H16807" s="13"/>
    </row>
    <row r="16808">
      <c r="A16808" s="6"/>
      <c r="B16808" s="6"/>
      <c r="H16808" s="13"/>
    </row>
    <row r="16809">
      <c r="A16809" s="6"/>
      <c r="B16809" s="6"/>
      <c r="H16809" s="13"/>
    </row>
    <row r="16810">
      <c r="A16810" s="6"/>
      <c r="B16810" s="6"/>
      <c r="H16810" s="13"/>
    </row>
    <row r="16811">
      <c r="A16811" s="6"/>
      <c r="B16811" s="6"/>
      <c r="H16811" s="13"/>
    </row>
    <row r="16812">
      <c r="A16812" s="6"/>
      <c r="B16812" s="6"/>
      <c r="H16812" s="13"/>
    </row>
    <row r="16813">
      <c r="A16813" s="6"/>
      <c r="B16813" s="6"/>
      <c r="H16813" s="13"/>
    </row>
    <row r="16814">
      <c r="A16814" s="6"/>
      <c r="B16814" s="6"/>
      <c r="H16814" s="13"/>
    </row>
    <row r="16815">
      <c r="A16815" s="6"/>
      <c r="B16815" s="6"/>
      <c r="H16815" s="13"/>
    </row>
    <row r="16816">
      <c r="A16816" s="6"/>
      <c r="B16816" s="6"/>
      <c r="H16816" s="13"/>
    </row>
    <row r="16817">
      <c r="A16817" s="6"/>
      <c r="B16817" s="6"/>
      <c r="H16817" s="13"/>
    </row>
    <row r="16818">
      <c r="A16818" s="6"/>
      <c r="B16818" s="6"/>
      <c r="H16818" s="13"/>
    </row>
    <row r="16819">
      <c r="A16819" s="6"/>
      <c r="B16819" s="6"/>
      <c r="H16819" s="13"/>
    </row>
    <row r="16820">
      <c r="A16820" s="6"/>
      <c r="B16820" s="6"/>
      <c r="H16820" s="13"/>
    </row>
    <row r="16821">
      <c r="A16821" s="6"/>
      <c r="B16821" s="6"/>
      <c r="H16821" s="13"/>
    </row>
    <row r="16822">
      <c r="A16822" s="6"/>
      <c r="B16822" s="6"/>
      <c r="H16822" s="13"/>
    </row>
    <row r="16823">
      <c r="A16823" s="6"/>
      <c r="B16823" s="6"/>
      <c r="H16823" s="13"/>
    </row>
    <row r="16824">
      <c r="A16824" s="6"/>
      <c r="B16824" s="6"/>
      <c r="H16824" s="13"/>
    </row>
    <row r="16825">
      <c r="A16825" s="6"/>
      <c r="B16825" s="6"/>
      <c r="H16825" s="13"/>
    </row>
    <row r="16826">
      <c r="A16826" s="6"/>
      <c r="B16826" s="6"/>
      <c r="H16826" s="13"/>
    </row>
    <row r="16827">
      <c r="A16827" s="6"/>
      <c r="B16827" s="6"/>
      <c r="H16827" s="13"/>
    </row>
    <row r="16828">
      <c r="A16828" s="6"/>
      <c r="B16828" s="6"/>
      <c r="H16828" s="13"/>
    </row>
    <row r="16829">
      <c r="A16829" s="6"/>
      <c r="B16829" s="6"/>
      <c r="H16829" s="13"/>
    </row>
    <row r="16830">
      <c r="A16830" s="6"/>
      <c r="B16830" s="6"/>
      <c r="H16830" s="13"/>
    </row>
    <row r="16831">
      <c r="A16831" s="6"/>
      <c r="B16831" s="6"/>
      <c r="H16831" s="13"/>
    </row>
    <row r="16832">
      <c r="A16832" s="6"/>
      <c r="B16832" s="6"/>
      <c r="H16832" s="13"/>
    </row>
    <row r="16833">
      <c r="A16833" s="6"/>
      <c r="B16833" s="6"/>
      <c r="H16833" s="13"/>
    </row>
    <row r="16834">
      <c r="A16834" s="6"/>
      <c r="B16834" s="6"/>
      <c r="H16834" s="13"/>
    </row>
    <row r="16835">
      <c r="A16835" s="6"/>
      <c r="B16835" s="6"/>
      <c r="H16835" s="13"/>
    </row>
    <row r="16836">
      <c r="A16836" s="6"/>
      <c r="B16836" s="6"/>
      <c r="H16836" s="13"/>
    </row>
    <row r="16837">
      <c r="A16837" s="6"/>
      <c r="B16837" s="6"/>
      <c r="H16837" s="13"/>
    </row>
    <row r="16838">
      <c r="A16838" s="6"/>
      <c r="B16838" s="6"/>
      <c r="H16838" s="13"/>
    </row>
    <row r="16839">
      <c r="A16839" s="6"/>
      <c r="B16839" s="6"/>
      <c r="H16839" s="13"/>
    </row>
    <row r="16840">
      <c r="A16840" s="6"/>
      <c r="B16840" s="6"/>
      <c r="H16840" s="13"/>
    </row>
    <row r="16841">
      <c r="A16841" s="6"/>
      <c r="B16841" s="6"/>
      <c r="H16841" s="13"/>
    </row>
    <row r="16842">
      <c r="A16842" s="6"/>
      <c r="B16842" s="6"/>
      <c r="H16842" s="13"/>
    </row>
    <row r="16843">
      <c r="A16843" s="6"/>
      <c r="B16843" s="6"/>
      <c r="H16843" s="13"/>
    </row>
    <row r="16844">
      <c r="A16844" s="6"/>
      <c r="B16844" s="6"/>
      <c r="H16844" s="13"/>
    </row>
    <row r="16845">
      <c r="A16845" s="6"/>
      <c r="B16845" s="6"/>
      <c r="H16845" s="13"/>
    </row>
    <row r="16846">
      <c r="A16846" s="6"/>
      <c r="B16846" s="6"/>
      <c r="H16846" s="13"/>
    </row>
    <row r="16847">
      <c r="A16847" s="6"/>
      <c r="B16847" s="6"/>
      <c r="H16847" s="13"/>
    </row>
    <row r="16848">
      <c r="A16848" s="6"/>
      <c r="B16848" s="6"/>
      <c r="H16848" s="13"/>
    </row>
    <row r="16849">
      <c r="A16849" s="6"/>
      <c r="B16849" s="6"/>
      <c r="H16849" s="13"/>
    </row>
    <row r="16850">
      <c r="A16850" s="6"/>
      <c r="B16850" s="6"/>
      <c r="H16850" s="13"/>
    </row>
    <row r="16851">
      <c r="A16851" s="6"/>
      <c r="B16851" s="6"/>
      <c r="H16851" s="13"/>
    </row>
    <row r="16852">
      <c r="A16852" s="6"/>
      <c r="B16852" s="6"/>
      <c r="H16852" s="13"/>
    </row>
    <row r="16853">
      <c r="A16853" s="6"/>
      <c r="B16853" s="6"/>
      <c r="H16853" s="13"/>
    </row>
    <row r="16854">
      <c r="A16854" s="6"/>
      <c r="B16854" s="6"/>
      <c r="H16854" s="13"/>
    </row>
    <row r="16855">
      <c r="A16855" s="6"/>
      <c r="B16855" s="6"/>
      <c r="H16855" s="13"/>
    </row>
    <row r="16856">
      <c r="A16856" s="6"/>
      <c r="B16856" s="6"/>
      <c r="H16856" s="13"/>
    </row>
    <row r="16857">
      <c r="A16857" s="6"/>
      <c r="B16857" s="6"/>
      <c r="H16857" s="13"/>
    </row>
    <row r="16858">
      <c r="A16858" s="6"/>
      <c r="B16858" s="6"/>
      <c r="H16858" s="13"/>
    </row>
    <row r="16859">
      <c r="A16859" s="6"/>
      <c r="B16859" s="6"/>
      <c r="H16859" s="13"/>
    </row>
    <row r="16860">
      <c r="A16860" s="6"/>
      <c r="B16860" s="6"/>
      <c r="H16860" s="13"/>
    </row>
    <row r="16861">
      <c r="A16861" s="6"/>
      <c r="B16861" s="6"/>
      <c r="H16861" s="13"/>
    </row>
    <row r="16862">
      <c r="A16862" s="6"/>
      <c r="B16862" s="6"/>
      <c r="H16862" s="13"/>
    </row>
    <row r="16863">
      <c r="A16863" s="6"/>
      <c r="B16863" s="6"/>
      <c r="H16863" s="13"/>
    </row>
    <row r="16864">
      <c r="A16864" s="6"/>
      <c r="B16864" s="6"/>
      <c r="H16864" s="13"/>
    </row>
    <row r="16865">
      <c r="A16865" s="6"/>
      <c r="B16865" s="6"/>
      <c r="H16865" s="13"/>
    </row>
    <row r="16866">
      <c r="A16866" s="6"/>
      <c r="B16866" s="6"/>
      <c r="H16866" s="13"/>
    </row>
    <row r="16867">
      <c r="A16867" s="6"/>
      <c r="B16867" s="6"/>
      <c r="H16867" s="13"/>
    </row>
    <row r="16868">
      <c r="A16868" s="6"/>
      <c r="B16868" s="6"/>
      <c r="H16868" s="13"/>
    </row>
    <row r="16869">
      <c r="A16869" s="6"/>
      <c r="B16869" s="6"/>
      <c r="H16869" s="13"/>
    </row>
    <row r="16870">
      <c r="A16870" s="6"/>
      <c r="B16870" s="6"/>
      <c r="H16870" s="13"/>
    </row>
    <row r="16871">
      <c r="A16871" s="6"/>
      <c r="B16871" s="6"/>
      <c r="H16871" s="13"/>
    </row>
    <row r="16872">
      <c r="A16872" s="6"/>
      <c r="B16872" s="6"/>
      <c r="H16872" s="13"/>
    </row>
    <row r="16873">
      <c r="A16873" s="6"/>
      <c r="B16873" s="6"/>
      <c r="H16873" s="13"/>
    </row>
    <row r="16874">
      <c r="A16874" s="6"/>
      <c r="B16874" s="6"/>
      <c r="H16874" s="13"/>
    </row>
    <row r="16875">
      <c r="A16875" s="6"/>
      <c r="B16875" s="6"/>
      <c r="H16875" s="13"/>
    </row>
    <row r="16876">
      <c r="A16876" s="6"/>
      <c r="B16876" s="6"/>
      <c r="H16876" s="13"/>
    </row>
    <row r="16877">
      <c r="A16877" s="6"/>
      <c r="B16877" s="6"/>
      <c r="H16877" s="13"/>
    </row>
    <row r="16878">
      <c r="A16878" s="6"/>
      <c r="B16878" s="6"/>
      <c r="H16878" s="13"/>
    </row>
    <row r="16879">
      <c r="A16879" s="6"/>
      <c r="B16879" s="6"/>
      <c r="H16879" s="13"/>
    </row>
    <row r="16880">
      <c r="A16880" s="6"/>
      <c r="B16880" s="6"/>
      <c r="H16880" s="13"/>
    </row>
    <row r="16881">
      <c r="A16881" s="6"/>
      <c r="B16881" s="6"/>
      <c r="H16881" s="13"/>
    </row>
    <row r="16882">
      <c r="A16882" s="6"/>
      <c r="B16882" s="6"/>
      <c r="H16882" s="13"/>
    </row>
    <row r="16883">
      <c r="A16883" s="6"/>
      <c r="B16883" s="6"/>
      <c r="H16883" s="13"/>
    </row>
    <row r="16884">
      <c r="A16884" s="6"/>
      <c r="B16884" s="6"/>
      <c r="H16884" s="13"/>
    </row>
    <row r="16885">
      <c r="A16885" s="6"/>
      <c r="B16885" s="6"/>
      <c r="H16885" s="13"/>
    </row>
    <row r="16886">
      <c r="A16886" s="6"/>
      <c r="B16886" s="6"/>
      <c r="H16886" s="13"/>
    </row>
    <row r="16887">
      <c r="A16887" s="6"/>
      <c r="B16887" s="6"/>
      <c r="H16887" s="13"/>
    </row>
    <row r="16888">
      <c r="A16888" s="6"/>
      <c r="B16888" s="6"/>
      <c r="H16888" s="13"/>
    </row>
    <row r="16889">
      <c r="A16889" s="6"/>
      <c r="B16889" s="6"/>
      <c r="H16889" s="13"/>
    </row>
    <row r="16890">
      <c r="A16890" s="6"/>
      <c r="B16890" s="6"/>
      <c r="H16890" s="13"/>
    </row>
    <row r="16891">
      <c r="A16891" s="6"/>
      <c r="B16891" s="6"/>
      <c r="H16891" s="13"/>
    </row>
    <row r="16892">
      <c r="A16892" s="6"/>
      <c r="B16892" s="6"/>
      <c r="H16892" s="13"/>
    </row>
    <row r="16893">
      <c r="A16893" s="6"/>
      <c r="B16893" s="6"/>
      <c r="H16893" s="13"/>
    </row>
    <row r="16894">
      <c r="A16894" s="6"/>
      <c r="B16894" s="6"/>
      <c r="H16894" s="13"/>
    </row>
    <row r="16895">
      <c r="A16895" s="6"/>
      <c r="B16895" s="6"/>
      <c r="H16895" s="13"/>
    </row>
    <row r="16896">
      <c r="A16896" s="6"/>
      <c r="B16896" s="6"/>
      <c r="H16896" s="13"/>
    </row>
    <row r="16897">
      <c r="A16897" s="6"/>
      <c r="B16897" s="6"/>
      <c r="H16897" s="13"/>
    </row>
    <row r="16898">
      <c r="A16898" s="6"/>
      <c r="B16898" s="6"/>
      <c r="H16898" s="13"/>
    </row>
    <row r="16899">
      <c r="A16899" s="6"/>
      <c r="B16899" s="6"/>
      <c r="H16899" s="13"/>
    </row>
    <row r="16900">
      <c r="A16900" s="6"/>
      <c r="B16900" s="6"/>
      <c r="H16900" s="13"/>
    </row>
    <row r="16901">
      <c r="A16901" s="6"/>
      <c r="B16901" s="6"/>
      <c r="H16901" s="13"/>
    </row>
    <row r="16902">
      <c r="A16902" s="6"/>
      <c r="B16902" s="6"/>
      <c r="H16902" s="13"/>
    </row>
    <row r="16903">
      <c r="A16903" s="6"/>
      <c r="B16903" s="6"/>
      <c r="H16903" s="13"/>
    </row>
    <row r="16904">
      <c r="A16904" s="6"/>
      <c r="B16904" s="6"/>
      <c r="H16904" s="13"/>
    </row>
    <row r="16905">
      <c r="A16905" s="6"/>
      <c r="B16905" s="6"/>
      <c r="H16905" s="13"/>
    </row>
    <row r="16906">
      <c r="A16906" s="6"/>
      <c r="B16906" s="6"/>
      <c r="H16906" s="13"/>
    </row>
    <row r="16907">
      <c r="A16907" s="6"/>
      <c r="B16907" s="6"/>
      <c r="H16907" s="13"/>
    </row>
    <row r="16908">
      <c r="A16908" s="6"/>
      <c r="B16908" s="6"/>
      <c r="H16908" s="13"/>
    </row>
    <row r="16909">
      <c r="A16909" s="6"/>
      <c r="B16909" s="6"/>
      <c r="H16909" s="13"/>
    </row>
    <row r="16910">
      <c r="A16910" s="6"/>
      <c r="B16910" s="6"/>
      <c r="H16910" s="13"/>
    </row>
    <row r="16911">
      <c r="A16911" s="6"/>
      <c r="B16911" s="6"/>
      <c r="H16911" s="13"/>
    </row>
    <row r="16912">
      <c r="A16912" s="6"/>
      <c r="B16912" s="6"/>
      <c r="H16912" s="13"/>
    </row>
    <row r="16913">
      <c r="A16913" s="6"/>
      <c r="B16913" s="6"/>
      <c r="H16913" s="13"/>
    </row>
    <row r="16914">
      <c r="A16914" s="6"/>
      <c r="B16914" s="6"/>
      <c r="H16914" s="13"/>
    </row>
    <row r="16915">
      <c r="A16915" s="6"/>
      <c r="B16915" s="6"/>
      <c r="H16915" s="13"/>
    </row>
    <row r="16916">
      <c r="A16916" s="6"/>
      <c r="B16916" s="6"/>
      <c r="H16916" s="13"/>
    </row>
    <row r="16917">
      <c r="A16917" s="6"/>
      <c r="B16917" s="6"/>
      <c r="H16917" s="13"/>
    </row>
    <row r="16918">
      <c r="A16918" s="6"/>
      <c r="B16918" s="6"/>
      <c r="H16918" s="13"/>
    </row>
    <row r="16919">
      <c r="A16919" s="6"/>
      <c r="B16919" s="6"/>
      <c r="H16919" s="13"/>
    </row>
    <row r="16920">
      <c r="A16920" s="6"/>
      <c r="B16920" s="6"/>
      <c r="H16920" s="13"/>
    </row>
    <row r="16921">
      <c r="A16921" s="6"/>
      <c r="B16921" s="6"/>
      <c r="H16921" s="13"/>
    </row>
    <row r="16922">
      <c r="A16922" s="6"/>
      <c r="B16922" s="6"/>
      <c r="H16922" s="13"/>
    </row>
    <row r="16923">
      <c r="A16923" s="6"/>
      <c r="B16923" s="6"/>
      <c r="H16923" s="13"/>
    </row>
    <row r="16924">
      <c r="A16924" s="6"/>
      <c r="B16924" s="6"/>
      <c r="H16924" s="13"/>
    </row>
    <row r="16925">
      <c r="A16925" s="6"/>
      <c r="B16925" s="6"/>
      <c r="H16925" s="13"/>
    </row>
    <row r="16926">
      <c r="A16926" s="6"/>
      <c r="B16926" s="6"/>
      <c r="H16926" s="13"/>
    </row>
    <row r="16927">
      <c r="A16927" s="6"/>
      <c r="B16927" s="6"/>
      <c r="H16927" s="13"/>
    </row>
    <row r="16928">
      <c r="A16928" s="6"/>
      <c r="B16928" s="6"/>
      <c r="H16928" s="13"/>
    </row>
    <row r="16929">
      <c r="A16929" s="6"/>
      <c r="B16929" s="6"/>
      <c r="H16929" s="13"/>
    </row>
    <row r="16930">
      <c r="A16930" s="6"/>
      <c r="B16930" s="6"/>
      <c r="H16930" s="13"/>
    </row>
    <row r="16931">
      <c r="A16931" s="6"/>
      <c r="B16931" s="6"/>
      <c r="H16931" s="13"/>
    </row>
    <row r="16932">
      <c r="A16932" s="6"/>
      <c r="B16932" s="6"/>
      <c r="H16932" s="13"/>
    </row>
    <row r="16933">
      <c r="A16933" s="6"/>
      <c r="B16933" s="6"/>
      <c r="H16933" s="13"/>
    </row>
    <row r="16934">
      <c r="A16934" s="6"/>
      <c r="B16934" s="6"/>
      <c r="H16934" s="13"/>
    </row>
    <row r="16935">
      <c r="A16935" s="6"/>
      <c r="B16935" s="6"/>
      <c r="H16935" s="13"/>
    </row>
    <row r="16936">
      <c r="A16936" s="6"/>
      <c r="B16936" s="6"/>
      <c r="H16936" s="13"/>
    </row>
    <row r="16937">
      <c r="A16937" s="6"/>
      <c r="B16937" s="6"/>
      <c r="H16937" s="13"/>
    </row>
    <row r="16938">
      <c r="A16938" s="6"/>
      <c r="B16938" s="6"/>
      <c r="H16938" s="13"/>
    </row>
    <row r="16939">
      <c r="A16939" s="6"/>
      <c r="B16939" s="6"/>
      <c r="H16939" s="13"/>
    </row>
    <row r="16940">
      <c r="A16940" s="6"/>
      <c r="B16940" s="6"/>
      <c r="H16940" s="13"/>
    </row>
    <row r="16941">
      <c r="A16941" s="6"/>
      <c r="B16941" s="6"/>
      <c r="H16941" s="13"/>
    </row>
    <row r="16942">
      <c r="A16942" s="6"/>
      <c r="B16942" s="6"/>
      <c r="H16942" s="13"/>
    </row>
    <row r="16943">
      <c r="A16943" s="6"/>
      <c r="B16943" s="6"/>
      <c r="H16943" s="13"/>
    </row>
    <row r="16944">
      <c r="A16944" s="6"/>
      <c r="B16944" s="6"/>
      <c r="H16944" s="13"/>
    </row>
    <row r="16945">
      <c r="A16945" s="6"/>
      <c r="B16945" s="6"/>
      <c r="H16945" s="13"/>
    </row>
    <row r="16946">
      <c r="A16946" s="6"/>
      <c r="B16946" s="6"/>
      <c r="H16946" s="13"/>
    </row>
    <row r="16947">
      <c r="A16947" s="6"/>
      <c r="B16947" s="6"/>
      <c r="H16947" s="13"/>
    </row>
    <row r="16948">
      <c r="A16948" s="6"/>
      <c r="B16948" s="6"/>
      <c r="H16948" s="13"/>
    </row>
    <row r="16949">
      <c r="A16949" s="6"/>
      <c r="B16949" s="6"/>
      <c r="H16949" s="13"/>
    </row>
    <row r="16950">
      <c r="A16950" s="6"/>
      <c r="B16950" s="6"/>
      <c r="H16950" s="13"/>
    </row>
    <row r="16951">
      <c r="A16951" s="6"/>
      <c r="B16951" s="6"/>
      <c r="H16951" s="13"/>
    </row>
    <row r="16952">
      <c r="A16952" s="6"/>
      <c r="B16952" s="6"/>
      <c r="H16952" s="13"/>
    </row>
    <row r="16953">
      <c r="A16953" s="6"/>
      <c r="B16953" s="6"/>
      <c r="H16953" s="13"/>
    </row>
    <row r="16954">
      <c r="A16954" s="6"/>
      <c r="B16954" s="6"/>
      <c r="H16954" s="13"/>
    </row>
    <row r="16955">
      <c r="A16955" s="6"/>
      <c r="B16955" s="6"/>
      <c r="H16955" s="13"/>
    </row>
    <row r="16956">
      <c r="A16956" s="6"/>
      <c r="B16956" s="6"/>
      <c r="H16956" s="13"/>
    </row>
    <row r="16957">
      <c r="A16957" s="6"/>
      <c r="B16957" s="6"/>
      <c r="H16957" s="13"/>
    </row>
    <row r="16958">
      <c r="A16958" s="6"/>
      <c r="B16958" s="6"/>
      <c r="H16958" s="13"/>
    </row>
    <row r="16959">
      <c r="A16959" s="6"/>
      <c r="B16959" s="6"/>
      <c r="H16959" s="13"/>
    </row>
    <row r="16960">
      <c r="A16960" s="6"/>
      <c r="B16960" s="6"/>
      <c r="H16960" s="13"/>
    </row>
    <row r="16961">
      <c r="A16961" s="6"/>
      <c r="B16961" s="6"/>
      <c r="H16961" s="13"/>
    </row>
    <row r="16962">
      <c r="A16962" s="6"/>
      <c r="B16962" s="6"/>
      <c r="H16962" s="13"/>
    </row>
    <row r="16963">
      <c r="A16963" s="6"/>
      <c r="B16963" s="6"/>
      <c r="H16963" s="13"/>
    </row>
    <row r="16964">
      <c r="A16964" s="6"/>
      <c r="B16964" s="6"/>
      <c r="H16964" s="13"/>
    </row>
    <row r="16965">
      <c r="A16965" s="6"/>
      <c r="B16965" s="6"/>
      <c r="H16965" s="13"/>
    </row>
    <row r="16966">
      <c r="A16966" s="6"/>
      <c r="B16966" s="6"/>
      <c r="H16966" s="13"/>
    </row>
    <row r="16967">
      <c r="A16967" s="6"/>
      <c r="B16967" s="6"/>
      <c r="H16967" s="13"/>
    </row>
    <row r="16968">
      <c r="A16968" s="6"/>
      <c r="B16968" s="6"/>
      <c r="H16968" s="13"/>
    </row>
    <row r="16969">
      <c r="A16969" s="6"/>
      <c r="B16969" s="6"/>
      <c r="H16969" s="13"/>
    </row>
    <row r="16970">
      <c r="A16970" s="6"/>
      <c r="B16970" s="6"/>
      <c r="H16970" s="13"/>
    </row>
    <row r="16971">
      <c r="A16971" s="6"/>
      <c r="B16971" s="6"/>
      <c r="H16971" s="13"/>
    </row>
    <row r="16972">
      <c r="A16972" s="6"/>
      <c r="B16972" s="6"/>
      <c r="H16972" s="13"/>
    </row>
    <row r="16973">
      <c r="A16973" s="6"/>
      <c r="B16973" s="6"/>
      <c r="H16973" s="13"/>
    </row>
    <row r="16974">
      <c r="A16974" s="6"/>
      <c r="B16974" s="6"/>
      <c r="H16974" s="13"/>
    </row>
    <row r="16975">
      <c r="A16975" s="6"/>
      <c r="B16975" s="6"/>
      <c r="H16975" s="13"/>
    </row>
    <row r="16976">
      <c r="A16976" s="6"/>
      <c r="B16976" s="6"/>
      <c r="H16976" s="13"/>
    </row>
    <row r="16977">
      <c r="A16977" s="6"/>
      <c r="B16977" s="6"/>
      <c r="H16977" s="13"/>
    </row>
    <row r="16978">
      <c r="A16978" s="6"/>
      <c r="B16978" s="6"/>
      <c r="H16978" s="13"/>
    </row>
    <row r="16979">
      <c r="A16979" s="6"/>
      <c r="B16979" s="6"/>
      <c r="H16979" s="13"/>
    </row>
    <row r="16980">
      <c r="A16980" s="6"/>
      <c r="B16980" s="6"/>
      <c r="H16980" s="13"/>
    </row>
    <row r="16981">
      <c r="A16981" s="6"/>
      <c r="B16981" s="6"/>
      <c r="H16981" s="13"/>
    </row>
    <row r="16982">
      <c r="A16982" s="6"/>
      <c r="B16982" s="6"/>
      <c r="H16982" s="13"/>
    </row>
    <row r="16983">
      <c r="A16983" s="6"/>
      <c r="B16983" s="6"/>
      <c r="H16983" s="13"/>
    </row>
    <row r="16984">
      <c r="A16984" s="6"/>
      <c r="B16984" s="6"/>
      <c r="H16984" s="13"/>
    </row>
    <row r="16985">
      <c r="A16985" s="6"/>
      <c r="B16985" s="6"/>
      <c r="H16985" s="13"/>
    </row>
    <row r="16986">
      <c r="A16986" s="6"/>
      <c r="B16986" s="6"/>
      <c r="H16986" s="13"/>
    </row>
    <row r="16987">
      <c r="A16987" s="6"/>
      <c r="B16987" s="6"/>
      <c r="H16987" s="13"/>
    </row>
    <row r="16988">
      <c r="A16988" s="6"/>
      <c r="B16988" s="6"/>
      <c r="H16988" s="13"/>
    </row>
    <row r="16989">
      <c r="A16989" s="6"/>
      <c r="B16989" s="6"/>
      <c r="H16989" s="13"/>
    </row>
    <row r="16990">
      <c r="A16990" s="6"/>
      <c r="B16990" s="6"/>
      <c r="H16990" s="13"/>
    </row>
    <row r="16991">
      <c r="A16991" s="6"/>
      <c r="B16991" s="6"/>
      <c r="H16991" s="13"/>
    </row>
    <row r="16992">
      <c r="A16992" s="6"/>
      <c r="B16992" s="6"/>
      <c r="H16992" s="13"/>
    </row>
    <row r="16993">
      <c r="A16993" s="6"/>
      <c r="B16993" s="6"/>
      <c r="H16993" s="13"/>
    </row>
    <row r="16994">
      <c r="A16994" s="6"/>
      <c r="B16994" s="6"/>
      <c r="H16994" s="13"/>
    </row>
    <row r="16995">
      <c r="A16995" s="6"/>
      <c r="B16995" s="6"/>
      <c r="H16995" s="13"/>
    </row>
    <row r="16996">
      <c r="A16996" s="6"/>
      <c r="B16996" s="6"/>
      <c r="H16996" s="13"/>
    </row>
    <row r="16997">
      <c r="A16997" s="6"/>
      <c r="B16997" s="6"/>
      <c r="H16997" s="13"/>
    </row>
    <row r="16998">
      <c r="A16998" s="6"/>
      <c r="B16998" s="6"/>
      <c r="H16998" s="13"/>
    </row>
    <row r="16999">
      <c r="A16999" s="6"/>
      <c r="B16999" s="6"/>
      <c r="H16999" s="13"/>
    </row>
    <row r="17000">
      <c r="A17000" s="6"/>
      <c r="B17000" s="6"/>
      <c r="H17000" s="13"/>
    </row>
    <row r="17001">
      <c r="A17001" s="6"/>
      <c r="B17001" s="6"/>
      <c r="H17001" s="13"/>
    </row>
    <row r="17002">
      <c r="A17002" s="6"/>
      <c r="B17002" s="6"/>
      <c r="H17002" s="13"/>
    </row>
    <row r="17003">
      <c r="A17003" s="6"/>
      <c r="B17003" s="6"/>
      <c r="H17003" s="13"/>
    </row>
    <row r="17004">
      <c r="A17004" s="6"/>
      <c r="B17004" s="6"/>
      <c r="H17004" s="13"/>
    </row>
    <row r="17005">
      <c r="A17005" s="6"/>
      <c r="B17005" s="6"/>
      <c r="H17005" s="13"/>
    </row>
    <row r="17006">
      <c r="A17006" s="6"/>
      <c r="B17006" s="6"/>
      <c r="H17006" s="13"/>
    </row>
    <row r="17007">
      <c r="A17007" s="6"/>
      <c r="B17007" s="6"/>
      <c r="H17007" s="13"/>
    </row>
    <row r="17008">
      <c r="A17008" s="6"/>
      <c r="B17008" s="6"/>
      <c r="H17008" s="13"/>
    </row>
    <row r="17009">
      <c r="A17009" s="6"/>
      <c r="B17009" s="6"/>
      <c r="H17009" s="13"/>
    </row>
    <row r="17010">
      <c r="A17010" s="6"/>
      <c r="B17010" s="6"/>
      <c r="H17010" s="13"/>
    </row>
    <row r="17011">
      <c r="A17011" s="6"/>
      <c r="B17011" s="6"/>
      <c r="H17011" s="13"/>
    </row>
    <row r="17012">
      <c r="A17012" s="6"/>
      <c r="B17012" s="6"/>
      <c r="H17012" s="13"/>
    </row>
    <row r="17013">
      <c r="A17013" s="6"/>
      <c r="B17013" s="6"/>
      <c r="H17013" s="13"/>
    </row>
    <row r="17014">
      <c r="A17014" s="6"/>
      <c r="B17014" s="6"/>
      <c r="H17014" s="13"/>
    </row>
    <row r="17015">
      <c r="A17015" s="6"/>
      <c r="B17015" s="6"/>
      <c r="H17015" s="13"/>
    </row>
    <row r="17016">
      <c r="A17016" s="6"/>
      <c r="B17016" s="6"/>
      <c r="H17016" s="13"/>
    </row>
    <row r="17017">
      <c r="A17017" s="6"/>
      <c r="B17017" s="6"/>
      <c r="H17017" s="13"/>
    </row>
    <row r="17018">
      <c r="A17018" s="6"/>
      <c r="B17018" s="6"/>
      <c r="H17018" s="13"/>
    </row>
    <row r="17019">
      <c r="A17019" s="6"/>
      <c r="B17019" s="6"/>
      <c r="H17019" s="13"/>
    </row>
    <row r="17020">
      <c r="A17020" s="6"/>
      <c r="B17020" s="6"/>
      <c r="H17020" s="13"/>
    </row>
    <row r="17021">
      <c r="A17021" s="6"/>
      <c r="B17021" s="6"/>
      <c r="H17021" s="13"/>
    </row>
    <row r="17022">
      <c r="A17022" s="6"/>
      <c r="B17022" s="6"/>
      <c r="H17022" s="13"/>
    </row>
    <row r="17023">
      <c r="A17023" s="6"/>
      <c r="B17023" s="6"/>
      <c r="H17023" s="13"/>
    </row>
    <row r="17024">
      <c r="A17024" s="6"/>
      <c r="B17024" s="6"/>
      <c r="H17024" s="13"/>
    </row>
    <row r="17025">
      <c r="A17025" s="6"/>
      <c r="B17025" s="6"/>
      <c r="H17025" s="13"/>
    </row>
    <row r="17026">
      <c r="A17026" s="6"/>
      <c r="B17026" s="6"/>
      <c r="H17026" s="13"/>
    </row>
    <row r="17027">
      <c r="A17027" s="6"/>
      <c r="B17027" s="6"/>
      <c r="H17027" s="13"/>
    </row>
    <row r="17028">
      <c r="A17028" s="6"/>
      <c r="B17028" s="6"/>
      <c r="H17028" s="13"/>
    </row>
    <row r="17029">
      <c r="A17029" s="6"/>
      <c r="B17029" s="6"/>
      <c r="H17029" s="13"/>
    </row>
    <row r="17030">
      <c r="A17030" s="6"/>
      <c r="B17030" s="6"/>
      <c r="H17030" s="13"/>
    </row>
    <row r="17031">
      <c r="A17031" s="6"/>
      <c r="B17031" s="6"/>
      <c r="H17031" s="13"/>
    </row>
    <row r="17032">
      <c r="A17032" s="6"/>
      <c r="B17032" s="6"/>
      <c r="H17032" s="13"/>
    </row>
    <row r="17033">
      <c r="A17033" s="6"/>
      <c r="B17033" s="6"/>
      <c r="H17033" s="13"/>
    </row>
    <row r="17034">
      <c r="A17034" s="6"/>
      <c r="B17034" s="6"/>
      <c r="H17034" s="13"/>
    </row>
    <row r="17035">
      <c r="A17035" s="6"/>
      <c r="B17035" s="6"/>
      <c r="H17035" s="13"/>
    </row>
    <row r="17036">
      <c r="A17036" s="6"/>
      <c r="B17036" s="6"/>
      <c r="H17036" s="13"/>
    </row>
    <row r="17037">
      <c r="A17037" s="6"/>
      <c r="B17037" s="6"/>
      <c r="H17037" s="13"/>
    </row>
    <row r="17038">
      <c r="A17038" s="6"/>
      <c r="B17038" s="6"/>
      <c r="H17038" s="13"/>
    </row>
    <row r="17039">
      <c r="A17039" s="6"/>
      <c r="B17039" s="6"/>
      <c r="H17039" s="13"/>
    </row>
    <row r="17040">
      <c r="A17040" s="6"/>
      <c r="B17040" s="6"/>
      <c r="H17040" s="13"/>
    </row>
    <row r="17041">
      <c r="A17041" s="6"/>
      <c r="B17041" s="6"/>
      <c r="H17041" s="13"/>
    </row>
    <row r="17042">
      <c r="A17042" s="6"/>
      <c r="B17042" s="6"/>
      <c r="H17042" s="13"/>
    </row>
    <row r="17043">
      <c r="A17043" s="6"/>
      <c r="B17043" s="6"/>
      <c r="H17043" s="13"/>
    </row>
    <row r="17044">
      <c r="A17044" s="6"/>
      <c r="B17044" s="6"/>
      <c r="H17044" s="13"/>
    </row>
    <row r="17045">
      <c r="A17045" s="6"/>
      <c r="B17045" s="6"/>
      <c r="H17045" s="13"/>
    </row>
    <row r="17046">
      <c r="A17046" s="6"/>
      <c r="B17046" s="6"/>
      <c r="H17046" s="13"/>
    </row>
    <row r="17047">
      <c r="A17047" s="6"/>
      <c r="B17047" s="6"/>
      <c r="H17047" s="13"/>
    </row>
    <row r="17048">
      <c r="A17048" s="6"/>
      <c r="B17048" s="6"/>
      <c r="H17048" s="13"/>
    </row>
    <row r="17049">
      <c r="A17049" s="6"/>
      <c r="B17049" s="6"/>
      <c r="H17049" s="13"/>
    </row>
    <row r="17050">
      <c r="A17050" s="6"/>
      <c r="B17050" s="6"/>
      <c r="H17050" s="13"/>
    </row>
    <row r="17051">
      <c r="A17051" s="6"/>
      <c r="B17051" s="6"/>
      <c r="H17051" s="13"/>
    </row>
    <row r="17052">
      <c r="A17052" s="6"/>
      <c r="B17052" s="6"/>
      <c r="H17052" s="13"/>
    </row>
    <row r="17053">
      <c r="A17053" s="6"/>
      <c r="B17053" s="6"/>
      <c r="H17053" s="13"/>
    </row>
    <row r="17054">
      <c r="A17054" s="6"/>
      <c r="B17054" s="6"/>
      <c r="H17054" s="13"/>
    </row>
    <row r="17055">
      <c r="A17055" s="6"/>
      <c r="B17055" s="6"/>
      <c r="H17055" s="13"/>
    </row>
    <row r="17056">
      <c r="A17056" s="6"/>
      <c r="B17056" s="6"/>
      <c r="H17056" s="13"/>
    </row>
    <row r="17057">
      <c r="A17057" s="6"/>
      <c r="B17057" s="6"/>
      <c r="H17057" s="13"/>
    </row>
    <row r="17058">
      <c r="A17058" s="6"/>
      <c r="B17058" s="6"/>
      <c r="H17058" s="13"/>
    </row>
    <row r="17059">
      <c r="A17059" s="6"/>
      <c r="B17059" s="6"/>
      <c r="H17059" s="13"/>
    </row>
    <row r="17060">
      <c r="A17060" s="6"/>
      <c r="B17060" s="6"/>
      <c r="H17060" s="13"/>
    </row>
    <row r="17061">
      <c r="A17061" s="6"/>
      <c r="B17061" s="6"/>
      <c r="H17061" s="13"/>
    </row>
    <row r="17062">
      <c r="A17062" s="6"/>
      <c r="B17062" s="6"/>
      <c r="H17062" s="13"/>
    </row>
    <row r="17063">
      <c r="A17063" s="6"/>
      <c r="B17063" s="6"/>
      <c r="H17063" s="13"/>
    </row>
    <row r="17064">
      <c r="A17064" s="6"/>
      <c r="B17064" s="6"/>
      <c r="H17064" s="13"/>
    </row>
    <row r="17065">
      <c r="A17065" s="6"/>
      <c r="B17065" s="6"/>
      <c r="H17065" s="13"/>
    </row>
    <row r="17066">
      <c r="A17066" s="6"/>
      <c r="B17066" s="6"/>
      <c r="H17066" s="13"/>
    </row>
    <row r="17067">
      <c r="A17067" s="6"/>
      <c r="B17067" s="6"/>
      <c r="H17067" s="13"/>
    </row>
    <row r="17068">
      <c r="A17068" s="6"/>
      <c r="B17068" s="6"/>
      <c r="H17068" s="13"/>
    </row>
    <row r="17069">
      <c r="A17069" s="6"/>
      <c r="B17069" s="6"/>
      <c r="H17069" s="13"/>
    </row>
    <row r="17070">
      <c r="A17070" s="6"/>
      <c r="B17070" s="6"/>
      <c r="H17070" s="13"/>
    </row>
    <row r="17071">
      <c r="A17071" s="6"/>
      <c r="B17071" s="6"/>
      <c r="H17071" s="13"/>
    </row>
    <row r="17072">
      <c r="A17072" s="6"/>
      <c r="B17072" s="6"/>
      <c r="H17072" s="13"/>
    </row>
    <row r="17073">
      <c r="A17073" s="6"/>
      <c r="B17073" s="6"/>
      <c r="H17073" s="13"/>
    </row>
    <row r="17074">
      <c r="A17074" s="6"/>
      <c r="B17074" s="6"/>
      <c r="H17074" s="13"/>
    </row>
    <row r="17075">
      <c r="A17075" s="6"/>
      <c r="B17075" s="6"/>
      <c r="H17075" s="13"/>
    </row>
    <row r="17076">
      <c r="A17076" s="6"/>
      <c r="B17076" s="6"/>
      <c r="H17076" s="13"/>
    </row>
    <row r="17077">
      <c r="A17077" s="6"/>
      <c r="B17077" s="6"/>
      <c r="H17077" s="13"/>
    </row>
    <row r="17078">
      <c r="A17078" s="6"/>
      <c r="B17078" s="6"/>
      <c r="H17078" s="13"/>
    </row>
    <row r="17079">
      <c r="A17079" s="6"/>
      <c r="B17079" s="6"/>
      <c r="H17079" s="13"/>
    </row>
    <row r="17080">
      <c r="A17080" s="6"/>
      <c r="B17080" s="6"/>
      <c r="H17080" s="13"/>
    </row>
    <row r="17081">
      <c r="A17081" s="6"/>
      <c r="B17081" s="6"/>
      <c r="H17081" s="13"/>
    </row>
    <row r="17082">
      <c r="A17082" s="6"/>
      <c r="B17082" s="6"/>
      <c r="H17082" s="13"/>
    </row>
    <row r="17083">
      <c r="A17083" s="6"/>
      <c r="B17083" s="6"/>
      <c r="H17083" s="13"/>
    </row>
    <row r="17084">
      <c r="A17084" s="6"/>
      <c r="B17084" s="6"/>
      <c r="H17084" s="13"/>
    </row>
    <row r="17085">
      <c r="A17085" s="6"/>
      <c r="B17085" s="6"/>
      <c r="H17085" s="13"/>
    </row>
    <row r="17086">
      <c r="A17086" s="6"/>
      <c r="B17086" s="6"/>
      <c r="H17086" s="13"/>
    </row>
    <row r="17087">
      <c r="A17087" s="6"/>
      <c r="B17087" s="6"/>
      <c r="H17087" s="13"/>
    </row>
    <row r="17088">
      <c r="A17088" s="6"/>
      <c r="B17088" s="6"/>
      <c r="H17088" s="13"/>
    </row>
    <row r="17089">
      <c r="A17089" s="6"/>
      <c r="B17089" s="6"/>
      <c r="H17089" s="13"/>
    </row>
    <row r="17090">
      <c r="A17090" s="6"/>
      <c r="B17090" s="6"/>
      <c r="H17090" s="13"/>
    </row>
    <row r="17091">
      <c r="A17091" s="6"/>
      <c r="B17091" s="6"/>
      <c r="H17091" s="13"/>
    </row>
    <row r="17092">
      <c r="A17092" s="6"/>
      <c r="B17092" s="6"/>
      <c r="H17092" s="13"/>
    </row>
    <row r="17093">
      <c r="A17093" s="6"/>
      <c r="B17093" s="6"/>
      <c r="H17093" s="13"/>
    </row>
    <row r="17094">
      <c r="A17094" s="6"/>
      <c r="B17094" s="6"/>
      <c r="H17094" s="13"/>
    </row>
    <row r="17095">
      <c r="A17095" s="6"/>
      <c r="B17095" s="6"/>
      <c r="H17095" s="13"/>
    </row>
    <row r="17096">
      <c r="A17096" s="6"/>
      <c r="B17096" s="6"/>
      <c r="H17096" s="13"/>
    </row>
    <row r="17097">
      <c r="A17097" s="6"/>
      <c r="B17097" s="6"/>
      <c r="H17097" s="13"/>
    </row>
    <row r="17098">
      <c r="A17098" s="6"/>
      <c r="B17098" s="6"/>
      <c r="H17098" s="13"/>
    </row>
    <row r="17099">
      <c r="A17099" s="6"/>
      <c r="B17099" s="6"/>
      <c r="H17099" s="13"/>
    </row>
    <row r="17100">
      <c r="A17100" s="6"/>
      <c r="B17100" s="6"/>
      <c r="H17100" s="13"/>
    </row>
    <row r="17101">
      <c r="A17101" s="6"/>
      <c r="B17101" s="6"/>
      <c r="H17101" s="13"/>
    </row>
    <row r="17102">
      <c r="A17102" s="6"/>
      <c r="B17102" s="6"/>
      <c r="H17102" s="13"/>
    </row>
    <row r="17103">
      <c r="A17103" s="6"/>
      <c r="B17103" s="6"/>
      <c r="H17103" s="13"/>
    </row>
    <row r="17104">
      <c r="A17104" s="6"/>
      <c r="B17104" s="6"/>
      <c r="H17104" s="13"/>
    </row>
    <row r="17105">
      <c r="A17105" s="6"/>
      <c r="B17105" s="6"/>
      <c r="H17105" s="13"/>
    </row>
    <row r="17106">
      <c r="A17106" s="6"/>
      <c r="B17106" s="6"/>
      <c r="H17106" s="13"/>
    </row>
    <row r="17107">
      <c r="A17107" s="6"/>
      <c r="B17107" s="6"/>
      <c r="H17107" s="13"/>
    </row>
    <row r="17108">
      <c r="A17108" s="6"/>
      <c r="B17108" s="6"/>
      <c r="H17108" s="13"/>
    </row>
    <row r="17109">
      <c r="A17109" s="6"/>
      <c r="B17109" s="6"/>
      <c r="H17109" s="13"/>
    </row>
    <row r="17110">
      <c r="A17110" s="6"/>
      <c r="B17110" s="6"/>
      <c r="H17110" s="13"/>
    </row>
    <row r="17111">
      <c r="A17111" s="6"/>
      <c r="B17111" s="6"/>
      <c r="H17111" s="13"/>
    </row>
    <row r="17112">
      <c r="A17112" s="6"/>
      <c r="B17112" s="6"/>
      <c r="H17112" s="13"/>
    </row>
    <row r="17113">
      <c r="A17113" s="6"/>
      <c r="B17113" s="6"/>
      <c r="H17113" s="13"/>
    </row>
    <row r="17114">
      <c r="A17114" s="6"/>
      <c r="B17114" s="6"/>
      <c r="H17114" s="13"/>
    </row>
    <row r="17115">
      <c r="A17115" s="6"/>
      <c r="B17115" s="6"/>
      <c r="H17115" s="13"/>
    </row>
    <row r="17116">
      <c r="A17116" s="6"/>
      <c r="B17116" s="6"/>
      <c r="H17116" s="13"/>
    </row>
    <row r="17117">
      <c r="A17117" s="6"/>
      <c r="B17117" s="6"/>
      <c r="H17117" s="13"/>
    </row>
    <row r="17118">
      <c r="A17118" s="6"/>
      <c r="B17118" s="6"/>
      <c r="H17118" s="13"/>
    </row>
    <row r="17119">
      <c r="A17119" s="6"/>
      <c r="B17119" s="6"/>
      <c r="H17119" s="13"/>
    </row>
    <row r="17120">
      <c r="A17120" s="6"/>
      <c r="B17120" s="6"/>
      <c r="H17120" s="13"/>
    </row>
    <row r="17121">
      <c r="A17121" s="6"/>
      <c r="B17121" s="6"/>
      <c r="H17121" s="13"/>
    </row>
    <row r="17122">
      <c r="A17122" s="6"/>
      <c r="B17122" s="6"/>
      <c r="H17122" s="13"/>
    </row>
    <row r="17123">
      <c r="A17123" s="6"/>
      <c r="B17123" s="6"/>
      <c r="H17123" s="13"/>
    </row>
    <row r="17124">
      <c r="A17124" s="6"/>
      <c r="B17124" s="6"/>
      <c r="H17124" s="13"/>
    </row>
    <row r="17125">
      <c r="A17125" s="6"/>
      <c r="B17125" s="6"/>
      <c r="H17125" s="13"/>
    </row>
    <row r="17126">
      <c r="A17126" s="6"/>
      <c r="B17126" s="6"/>
      <c r="H17126" s="13"/>
    </row>
    <row r="17127">
      <c r="A17127" s="6"/>
      <c r="B17127" s="6"/>
      <c r="H17127" s="13"/>
    </row>
    <row r="17128">
      <c r="A17128" s="6"/>
      <c r="B17128" s="6"/>
      <c r="H17128" s="13"/>
    </row>
    <row r="17129">
      <c r="A17129" s="6"/>
      <c r="B17129" s="6"/>
      <c r="H17129" s="13"/>
    </row>
    <row r="17130">
      <c r="A17130" s="6"/>
      <c r="B17130" s="6"/>
      <c r="H17130" s="13"/>
    </row>
    <row r="17131">
      <c r="A17131" s="6"/>
      <c r="B17131" s="6"/>
      <c r="H17131" s="13"/>
    </row>
    <row r="17132">
      <c r="A17132" s="6"/>
      <c r="B17132" s="6"/>
      <c r="H17132" s="13"/>
    </row>
    <row r="17133">
      <c r="A17133" s="6"/>
      <c r="B17133" s="6"/>
      <c r="H17133" s="13"/>
    </row>
    <row r="17134">
      <c r="A17134" s="6"/>
      <c r="B17134" s="6"/>
      <c r="H17134" s="13"/>
    </row>
    <row r="17135">
      <c r="A17135" s="6"/>
      <c r="B17135" s="6"/>
      <c r="H17135" s="13"/>
    </row>
    <row r="17136">
      <c r="A17136" s="6"/>
      <c r="B17136" s="6"/>
      <c r="H17136" s="13"/>
    </row>
    <row r="17137">
      <c r="A17137" s="6"/>
      <c r="B17137" s="6"/>
      <c r="H17137" s="13"/>
    </row>
    <row r="17138">
      <c r="A17138" s="6"/>
      <c r="B17138" s="6"/>
      <c r="H17138" s="13"/>
    </row>
    <row r="17139">
      <c r="A17139" s="6"/>
      <c r="B17139" s="6"/>
      <c r="H17139" s="13"/>
    </row>
    <row r="17140">
      <c r="A17140" s="6"/>
      <c r="B17140" s="6"/>
      <c r="H17140" s="13"/>
    </row>
    <row r="17141">
      <c r="A17141" s="6"/>
      <c r="B17141" s="6"/>
      <c r="H17141" s="13"/>
    </row>
    <row r="17142">
      <c r="A17142" s="6"/>
      <c r="B17142" s="6"/>
      <c r="H17142" s="13"/>
    </row>
    <row r="17143">
      <c r="A17143" s="6"/>
      <c r="B17143" s="6"/>
      <c r="H17143" s="13"/>
    </row>
    <row r="17144">
      <c r="A17144" s="6"/>
      <c r="B17144" s="6"/>
      <c r="H17144" s="13"/>
    </row>
    <row r="17145">
      <c r="A17145" s="6"/>
      <c r="B17145" s="6"/>
      <c r="H17145" s="13"/>
    </row>
    <row r="17146">
      <c r="A17146" s="6"/>
      <c r="B17146" s="6"/>
      <c r="H17146" s="13"/>
    </row>
    <row r="17147">
      <c r="A17147" s="6"/>
      <c r="B17147" s="6"/>
      <c r="H17147" s="13"/>
    </row>
    <row r="17148">
      <c r="A17148" s="6"/>
      <c r="B17148" s="6"/>
      <c r="H17148" s="13"/>
    </row>
    <row r="17149">
      <c r="A17149" s="6"/>
      <c r="B17149" s="6"/>
      <c r="H17149" s="13"/>
    </row>
    <row r="17150">
      <c r="A17150" s="6"/>
      <c r="B17150" s="6"/>
      <c r="H17150" s="13"/>
    </row>
    <row r="17151">
      <c r="A17151" s="6"/>
      <c r="B17151" s="6"/>
      <c r="H17151" s="13"/>
    </row>
    <row r="17152">
      <c r="A17152" s="6"/>
      <c r="B17152" s="6"/>
      <c r="H17152" s="13"/>
    </row>
    <row r="17153">
      <c r="A17153" s="6"/>
      <c r="B17153" s="6"/>
      <c r="H17153" s="13"/>
    </row>
    <row r="17154">
      <c r="A17154" s="6"/>
      <c r="B17154" s="6"/>
      <c r="H17154" s="13"/>
    </row>
    <row r="17155">
      <c r="A17155" s="6"/>
      <c r="B17155" s="6"/>
      <c r="H17155" s="13"/>
    </row>
    <row r="17156">
      <c r="A17156" s="6"/>
      <c r="B17156" s="6"/>
      <c r="H17156" s="13"/>
    </row>
    <row r="17157">
      <c r="A17157" s="6"/>
      <c r="B17157" s="6"/>
      <c r="H17157" s="13"/>
    </row>
    <row r="17158">
      <c r="A17158" s="6"/>
      <c r="B17158" s="6"/>
      <c r="H17158" s="13"/>
    </row>
    <row r="17159">
      <c r="A17159" s="6"/>
      <c r="B17159" s="6"/>
      <c r="H17159" s="13"/>
    </row>
    <row r="17160">
      <c r="A17160" s="6"/>
      <c r="B17160" s="6"/>
      <c r="H17160" s="13"/>
    </row>
    <row r="17161">
      <c r="A17161" s="6"/>
      <c r="B17161" s="6"/>
      <c r="H17161" s="13"/>
    </row>
    <row r="17162">
      <c r="A17162" s="6"/>
      <c r="B17162" s="6"/>
      <c r="H17162" s="13"/>
    </row>
    <row r="17163">
      <c r="A17163" s="6"/>
      <c r="B17163" s="6"/>
      <c r="H17163" s="13"/>
    </row>
    <row r="17164">
      <c r="A17164" s="6"/>
      <c r="B17164" s="6"/>
      <c r="H17164" s="13"/>
    </row>
    <row r="17165">
      <c r="A17165" s="6"/>
      <c r="B17165" s="6"/>
      <c r="H17165" s="13"/>
    </row>
    <row r="17166">
      <c r="A17166" s="6"/>
      <c r="B17166" s="6"/>
      <c r="H17166" s="13"/>
    </row>
    <row r="17167">
      <c r="A17167" s="6"/>
      <c r="B17167" s="6"/>
      <c r="H17167" s="13"/>
    </row>
    <row r="17168">
      <c r="A17168" s="6"/>
      <c r="B17168" s="6"/>
      <c r="H17168" s="13"/>
    </row>
    <row r="17169">
      <c r="A17169" s="6"/>
      <c r="B17169" s="6"/>
      <c r="H17169" s="13"/>
    </row>
    <row r="17170">
      <c r="A17170" s="6"/>
      <c r="B17170" s="6"/>
      <c r="H17170" s="13"/>
    </row>
    <row r="17171">
      <c r="A17171" s="6"/>
      <c r="B17171" s="6"/>
      <c r="H17171" s="13"/>
    </row>
    <row r="17172">
      <c r="A17172" s="6"/>
      <c r="B17172" s="6"/>
      <c r="H17172" s="13"/>
    </row>
    <row r="17173">
      <c r="A17173" s="6"/>
      <c r="B17173" s="6"/>
      <c r="H17173" s="13"/>
    </row>
    <row r="17174">
      <c r="A17174" s="6"/>
      <c r="B17174" s="6"/>
      <c r="H17174" s="13"/>
    </row>
    <row r="17175">
      <c r="A17175" s="6"/>
      <c r="B17175" s="6"/>
      <c r="H17175" s="13"/>
    </row>
    <row r="17176">
      <c r="A17176" s="6"/>
      <c r="B17176" s="6"/>
      <c r="H17176" s="13"/>
    </row>
    <row r="17177">
      <c r="A17177" s="6"/>
      <c r="B17177" s="6"/>
      <c r="H17177" s="13"/>
    </row>
    <row r="17178">
      <c r="A17178" s="6"/>
      <c r="B17178" s="6"/>
      <c r="H17178" s="13"/>
    </row>
    <row r="17179">
      <c r="A17179" s="6"/>
      <c r="B17179" s="6"/>
      <c r="H17179" s="13"/>
    </row>
    <row r="17180">
      <c r="A17180" s="6"/>
      <c r="B17180" s="6"/>
      <c r="H17180" s="13"/>
    </row>
    <row r="17181">
      <c r="A17181" s="6"/>
      <c r="B17181" s="6"/>
      <c r="H17181" s="13"/>
    </row>
    <row r="17182">
      <c r="A17182" s="6"/>
      <c r="B17182" s="6"/>
      <c r="H17182" s="13"/>
    </row>
    <row r="17183">
      <c r="A17183" s="6"/>
      <c r="B17183" s="6"/>
      <c r="H17183" s="13"/>
    </row>
    <row r="17184">
      <c r="A17184" s="6"/>
      <c r="B17184" s="6"/>
      <c r="H17184" s="13"/>
    </row>
    <row r="17185">
      <c r="A17185" s="6"/>
      <c r="B17185" s="6"/>
      <c r="H17185" s="13"/>
    </row>
    <row r="17186">
      <c r="A17186" s="6"/>
      <c r="B17186" s="6"/>
      <c r="H17186" s="13"/>
    </row>
    <row r="17187">
      <c r="A17187" s="6"/>
      <c r="B17187" s="6"/>
      <c r="H17187" s="13"/>
    </row>
    <row r="17188">
      <c r="A17188" s="6"/>
      <c r="B17188" s="6"/>
      <c r="H17188" s="13"/>
    </row>
    <row r="17189">
      <c r="A17189" s="6"/>
      <c r="B17189" s="6"/>
      <c r="H17189" s="13"/>
    </row>
    <row r="17190">
      <c r="A17190" s="6"/>
      <c r="B17190" s="6"/>
      <c r="H17190" s="13"/>
    </row>
    <row r="17191">
      <c r="A17191" s="6"/>
      <c r="B17191" s="6"/>
      <c r="H17191" s="13"/>
    </row>
    <row r="17192">
      <c r="A17192" s="6"/>
      <c r="B17192" s="6"/>
      <c r="H17192" s="13"/>
    </row>
    <row r="17193">
      <c r="A17193" s="6"/>
      <c r="B17193" s="6"/>
      <c r="H17193" s="13"/>
    </row>
    <row r="17194">
      <c r="A17194" s="6"/>
      <c r="B17194" s="6"/>
      <c r="H17194" s="13"/>
    </row>
    <row r="17195">
      <c r="A17195" s="6"/>
      <c r="B17195" s="6"/>
      <c r="H17195" s="13"/>
    </row>
    <row r="17196">
      <c r="A17196" s="6"/>
      <c r="B17196" s="6"/>
      <c r="H17196" s="13"/>
    </row>
    <row r="17197">
      <c r="A17197" s="6"/>
      <c r="B17197" s="6"/>
      <c r="H17197" s="13"/>
    </row>
    <row r="17198">
      <c r="A17198" s="6"/>
      <c r="B17198" s="6"/>
      <c r="H17198" s="13"/>
    </row>
    <row r="17199">
      <c r="A17199" s="6"/>
      <c r="B17199" s="6"/>
      <c r="H17199" s="13"/>
    </row>
    <row r="17200">
      <c r="A17200" s="6"/>
      <c r="B17200" s="6"/>
      <c r="H17200" s="13"/>
    </row>
    <row r="17201">
      <c r="A17201" s="6"/>
      <c r="B17201" s="6"/>
      <c r="H17201" s="13"/>
    </row>
    <row r="17202">
      <c r="A17202" s="6"/>
      <c r="B17202" s="6"/>
      <c r="H17202" s="13"/>
    </row>
    <row r="17203">
      <c r="A17203" s="6"/>
      <c r="B17203" s="6"/>
      <c r="H17203" s="13"/>
    </row>
    <row r="17204">
      <c r="A17204" s="6"/>
      <c r="B17204" s="6"/>
      <c r="H17204" s="13"/>
    </row>
    <row r="17205">
      <c r="A17205" s="6"/>
      <c r="B17205" s="6"/>
      <c r="H17205" s="13"/>
    </row>
    <row r="17206">
      <c r="A17206" s="6"/>
      <c r="B17206" s="6"/>
      <c r="H17206" s="13"/>
    </row>
    <row r="17207">
      <c r="A17207" s="6"/>
      <c r="B17207" s="6"/>
      <c r="H17207" s="13"/>
    </row>
    <row r="17208">
      <c r="A17208" s="6"/>
      <c r="B17208" s="6"/>
      <c r="H17208" s="13"/>
    </row>
    <row r="17209">
      <c r="A17209" s="6"/>
      <c r="B17209" s="6"/>
      <c r="H17209" s="13"/>
    </row>
    <row r="17210">
      <c r="A17210" s="6"/>
      <c r="B17210" s="6"/>
      <c r="H17210" s="13"/>
    </row>
    <row r="17211">
      <c r="A17211" s="6"/>
      <c r="B17211" s="6"/>
      <c r="H17211" s="13"/>
    </row>
    <row r="17212">
      <c r="A17212" s="6"/>
      <c r="B17212" s="6"/>
      <c r="H17212" s="13"/>
    </row>
    <row r="17213">
      <c r="A17213" s="6"/>
      <c r="B17213" s="6"/>
      <c r="H17213" s="13"/>
    </row>
    <row r="17214">
      <c r="A17214" s="6"/>
      <c r="B17214" s="6"/>
      <c r="H17214" s="13"/>
    </row>
    <row r="17215">
      <c r="A17215" s="6"/>
      <c r="B17215" s="6"/>
      <c r="H17215" s="13"/>
    </row>
    <row r="17216">
      <c r="A17216" s="6"/>
      <c r="B17216" s="6"/>
      <c r="H17216" s="13"/>
    </row>
    <row r="17217">
      <c r="A17217" s="6"/>
      <c r="B17217" s="6"/>
      <c r="H17217" s="13"/>
    </row>
    <row r="17218">
      <c r="A17218" s="6"/>
      <c r="B17218" s="6"/>
      <c r="H17218" s="13"/>
    </row>
    <row r="17219">
      <c r="A17219" s="6"/>
      <c r="B17219" s="6"/>
      <c r="H17219" s="13"/>
    </row>
    <row r="17220">
      <c r="A17220" s="6"/>
      <c r="B17220" s="6"/>
      <c r="H17220" s="13"/>
    </row>
    <row r="17221">
      <c r="A17221" s="6"/>
      <c r="B17221" s="6"/>
      <c r="H17221" s="13"/>
    </row>
    <row r="17222">
      <c r="A17222" s="6"/>
      <c r="B17222" s="6"/>
      <c r="H17222" s="13"/>
    </row>
    <row r="17223">
      <c r="A17223" s="6"/>
      <c r="B17223" s="6"/>
      <c r="H17223" s="13"/>
    </row>
    <row r="17224">
      <c r="A17224" s="6"/>
      <c r="B17224" s="6"/>
      <c r="H17224" s="13"/>
    </row>
    <row r="17225">
      <c r="A17225" s="6"/>
      <c r="B17225" s="6"/>
      <c r="H17225" s="13"/>
    </row>
    <row r="17226">
      <c r="A17226" s="6"/>
      <c r="B17226" s="6"/>
      <c r="H17226" s="13"/>
    </row>
    <row r="17227">
      <c r="A17227" s="6"/>
      <c r="B17227" s="6"/>
      <c r="H17227" s="13"/>
    </row>
    <row r="17228">
      <c r="A17228" s="6"/>
      <c r="B17228" s="6"/>
      <c r="H17228" s="13"/>
    </row>
    <row r="17229">
      <c r="A17229" s="6"/>
      <c r="B17229" s="6"/>
      <c r="H17229" s="13"/>
    </row>
    <row r="17230">
      <c r="A17230" s="6"/>
      <c r="B17230" s="6"/>
      <c r="H17230" s="13"/>
    </row>
    <row r="17231">
      <c r="A17231" s="6"/>
      <c r="B17231" s="6"/>
      <c r="H17231" s="13"/>
    </row>
    <row r="17232">
      <c r="A17232" s="6"/>
      <c r="B17232" s="6"/>
      <c r="H17232" s="13"/>
    </row>
    <row r="17233">
      <c r="A17233" s="6"/>
      <c r="B17233" s="6"/>
      <c r="H17233" s="13"/>
    </row>
    <row r="17234">
      <c r="A17234" s="6"/>
      <c r="B17234" s="6"/>
      <c r="H17234" s="13"/>
    </row>
    <row r="17235">
      <c r="A17235" s="6"/>
      <c r="B17235" s="6"/>
      <c r="H17235" s="13"/>
    </row>
    <row r="17236">
      <c r="A17236" s="6"/>
      <c r="B17236" s="6"/>
      <c r="H17236" s="13"/>
    </row>
    <row r="17237">
      <c r="A17237" s="6"/>
      <c r="B17237" s="6"/>
      <c r="H17237" s="13"/>
    </row>
    <row r="17238">
      <c r="A17238" s="6"/>
      <c r="B17238" s="6"/>
      <c r="H17238" s="13"/>
    </row>
    <row r="17239">
      <c r="A17239" s="6"/>
      <c r="B17239" s="6"/>
      <c r="H17239" s="13"/>
    </row>
    <row r="17240">
      <c r="A17240" s="6"/>
      <c r="B17240" s="6"/>
      <c r="H17240" s="13"/>
    </row>
    <row r="17241">
      <c r="A17241" s="6"/>
      <c r="B17241" s="6"/>
      <c r="H17241" s="13"/>
    </row>
    <row r="17242">
      <c r="A17242" s="6"/>
      <c r="B17242" s="6"/>
      <c r="H17242" s="13"/>
    </row>
    <row r="17243">
      <c r="A17243" s="6"/>
      <c r="B17243" s="6"/>
      <c r="H17243" s="13"/>
    </row>
    <row r="17244">
      <c r="A17244" s="6"/>
      <c r="B17244" s="6"/>
      <c r="H17244" s="13"/>
    </row>
    <row r="17245">
      <c r="A17245" s="6"/>
      <c r="B17245" s="6"/>
      <c r="H17245" s="13"/>
    </row>
    <row r="17246">
      <c r="A17246" s="6"/>
      <c r="B17246" s="6"/>
      <c r="H17246" s="13"/>
    </row>
    <row r="17247">
      <c r="A17247" s="6"/>
      <c r="B17247" s="6"/>
      <c r="H17247" s="13"/>
    </row>
    <row r="17248">
      <c r="A17248" s="6"/>
      <c r="B17248" s="6"/>
      <c r="H17248" s="13"/>
    </row>
    <row r="17249">
      <c r="A17249" s="6"/>
      <c r="B17249" s="6"/>
      <c r="H17249" s="13"/>
    </row>
    <row r="17250">
      <c r="A17250" s="6"/>
      <c r="B17250" s="6"/>
      <c r="H17250" s="13"/>
    </row>
    <row r="17251">
      <c r="A17251" s="6"/>
      <c r="B17251" s="6"/>
      <c r="H17251" s="13"/>
    </row>
    <row r="17252">
      <c r="A17252" s="6"/>
      <c r="B17252" s="6"/>
      <c r="H17252" s="13"/>
    </row>
    <row r="17253">
      <c r="A17253" s="6"/>
      <c r="B17253" s="6"/>
      <c r="H17253" s="13"/>
    </row>
    <row r="17254">
      <c r="A17254" s="6"/>
      <c r="B17254" s="6"/>
      <c r="H17254" s="13"/>
    </row>
    <row r="17255">
      <c r="A17255" s="6"/>
      <c r="B17255" s="6"/>
      <c r="H17255" s="13"/>
    </row>
    <row r="17256">
      <c r="A17256" s="6"/>
      <c r="B17256" s="6"/>
      <c r="H17256" s="13"/>
    </row>
    <row r="17257">
      <c r="A17257" s="6"/>
      <c r="B17257" s="6"/>
      <c r="H17257" s="13"/>
    </row>
    <row r="17258">
      <c r="A17258" s="6"/>
      <c r="B17258" s="6"/>
      <c r="H17258" s="13"/>
    </row>
    <row r="17259">
      <c r="A17259" s="6"/>
      <c r="B17259" s="6"/>
      <c r="H17259" s="13"/>
    </row>
    <row r="17260">
      <c r="A17260" s="6"/>
      <c r="B17260" s="6"/>
      <c r="H17260" s="13"/>
    </row>
    <row r="17261">
      <c r="A17261" s="6"/>
      <c r="B17261" s="6"/>
      <c r="H17261" s="13"/>
    </row>
    <row r="17262">
      <c r="A17262" s="6"/>
      <c r="B17262" s="6"/>
      <c r="H17262" s="13"/>
    </row>
    <row r="17263">
      <c r="A17263" s="6"/>
      <c r="B17263" s="6"/>
      <c r="H17263" s="13"/>
    </row>
    <row r="17264">
      <c r="A17264" s="6"/>
      <c r="B17264" s="6"/>
      <c r="H17264" s="13"/>
    </row>
    <row r="17265">
      <c r="A17265" s="6"/>
      <c r="B17265" s="6"/>
      <c r="H17265" s="13"/>
    </row>
    <row r="17266">
      <c r="A17266" s="6"/>
      <c r="B17266" s="6"/>
      <c r="H17266" s="13"/>
    </row>
    <row r="17267">
      <c r="A17267" s="6"/>
      <c r="B17267" s="6"/>
      <c r="H17267" s="13"/>
    </row>
    <row r="17268">
      <c r="A17268" s="6"/>
      <c r="B17268" s="6"/>
      <c r="H17268" s="13"/>
    </row>
    <row r="17269">
      <c r="A17269" s="6"/>
      <c r="B17269" s="6"/>
      <c r="H17269" s="13"/>
    </row>
    <row r="17270">
      <c r="A17270" s="6"/>
      <c r="B17270" s="6"/>
      <c r="H17270" s="13"/>
    </row>
    <row r="17271">
      <c r="A17271" s="6"/>
      <c r="B17271" s="6"/>
      <c r="H17271" s="13"/>
    </row>
    <row r="17272">
      <c r="A17272" s="6"/>
      <c r="B17272" s="6"/>
      <c r="H17272" s="13"/>
    </row>
    <row r="17273">
      <c r="A17273" s="6"/>
      <c r="B17273" s="6"/>
      <c r="H17273" s="13"/>
    </row>
    <row r="17274">
      <c r="A17274" s="6"/>
      <c r="B17274" s="6"/>
      <c r="H17274" s="13"/>
    </row>
    <row r="17275">
      <c r="A17275" s="6"/>
      <c r="B17275" s="6"/>
      <c r="H17275" s="13"/>
    </row>
    <row r="17276">
      <c r="A17276" s="6"/>
      <c r="B17276" s="6"/>
      <c r="H17276" s="13"/>
    </row>
    <row r="17277">
      <c r="A17277" s="6"/>
      <c r="B17277" s="6"/>
      <c r="H17277" s="13"/>
    </row>
    <row r="17278">
      <c r="A17278" s="6"/>
      <c r="B17278" s="6"/>
      <c r="H17278" s="13"/>
    </row>
    <row r="17279">
      <c r="A17279" s="6"/>
      <c r="B17279" s="6"/>
      <c r="H17279" s="13"/>
    </row>
    <row r="17280">
      <c r="A17280" s="6"/>
      <c r="B17280" s="6"/>
      <c r="H17280" s="13"/>
    </row>
    <row r="17281">
      <c r="A17281" s="6"/>
      <c r="B17281" s="6"/>
      <c r="H17281" s="13"/>
    </row>
    <row r="17282">
      <c r="A17282" s="6"/>
      <c r="B17282" s="6"/>
      <c r="H17282" s="13"/>
    </row>
    <row r="17283">
      <c r="A17283" s="6"/>
      <c r="B17283" s="6"/>
      <c r="H17283" s="13"/>
    </row>
    <row r="17284">
      <c r="A17284" s="6"/>
      <c r="B17284" s="6"/>
      <c r="H17284" s="13"/>
    </row>
    <row r="17285">
      <c r="A17285" s="6"/>
      <c r="B17285" s="6"/>
      <c r="H17285" s="13"/>
    </row>
    <row r="17286">
      <c r="A17286" s="6"/>
      <c r="B17286" s="6"/>
      <c r="H17286" s="13"/>
    </row>
    <row r="17287">
      <c r="A17287" s="6"/>
      <c r="B17287" s="6"/>
      <c r="H17287" s="13"/>
    </row>
    <row r="17288">
      <c r="A17288" s="6"/>
      <c r="B17288" s="6"/>
      <c r="H17288" s="13"/>
    </row>
    <row r="17289">
      <c r="A17289" s="6"/>
      <c r="B17289" s="6"/>
      <c r="H17289" s="13"/>
    </row>
    <row r="17290">
      <c r="A17290" s="6"/>
      <c r="B17290" s="6"/>
      <c r="H17290" s="13"/>
    </row>
    <row r="17291">
      <c r="A17291" s="6"/>
      <c r="B17291" s="6"/>
      <c r="H17291" s="13"/>
    </row>
    <row r="17292">
      <c r="A17292" s="6"/>
      <c r="B17292" s="6"/>
      <c r="H17292" s="13"/>
    </row>
    <row r="17293">
      <c r="A17293" s="6"/>
      <c r="B17293" s="6"/>
      <c r="H17293" s="13"/>
    </row>
    <row r="17294">
      <c r="A17294" s="6"/>
      <c r="B17294" s="6"/>
      <c r="H17294" s="13"/>
    </row>
    <row r="17295">
      <c r="A17295" s="6"/>
      <c r="B17295" s="6"/>
      <c r="H17295" s="13"/>
    </row>
    <row r="17296">
      <c r="A17296" s="6"/>
      <c r="B17296" s="6"/>
      <c r="H17296" s="13"/>
    </row>
    <row r="17297">
      <c r="A17297" s="6"/>
      <c r="B17297" s="6"/>
      <c r="H17297" s="13"/>
    </row>
    <row r="17298">
      <c r="A17298" s="6"/>
      <c r="B17298" s="6"/>
      <c r="H17298" s="13"/>
    </row>
    <row r="17299">
      <c r="A17299" s="6"/>
      <c r="B17299" s="6"/>
      <c r="H17299" s="13"/>
    </row>
    <row r="17300">
      <c r="A17300" s="6"/>
      <c r="B17300" s="6"/>
      <c r="H17300" s="13"/>
    </row>
    <row r="17301">
      <c r="A17301" s="6"/>
      <c r="B17301" s="6"/>
      <c r="H17301" s="13"/>
    </row>
    <row r="17302">
      <c r="A17302" s="6"/>
      <c r="B17302" s="6"/>
      <c r="H17302" s="13"/>
    </row>
    <row r="17303">
      <c r="A17303" s="6"/>
      <c r="B17303" s="6"/>
      <c r="H17303" s="13"/>
    </row>
    <row r="17304">
      <c r="A17304" s="6"/>
      <c r="B17304" s="6"/>
      <c r="H17304" s="13"/>
    </row>
    <row r="17305">
      <c r="A17305" s="6"/>
      <c r="B17305" s="6"/>
      <c r="H17305" s="13"/>
    </row>
    <row r="17306">
      <c r="A17306" s="6"/>
      <c r="B17306" s="6"/>
      <c r="H17306" s="13"/>
    </row>
    <row r="17307">
      <c r="A17307" s="6"/>
      <c r="B17307" s="6"/>
      <c r="H17307" s="13"/>
    </row>
    <row r="17308">
      <c r="A17308" s="6"/>
      <c r="B17308" s="6"/>
      <c r="H17308" s="13"/>
    </row>
    <row r="17309">
      <c r="A17309" s="6"/>
      <c r="B17309" s="6"/>
      <c r="H17309" s="13"/>
    </row>
    <row r="17310">
      <c r="A17310" s="6"/>
      <c r="B17310" s="6"/>
      <c r="H17310" s="13"/>
    </row>
    <row r="17311">
      <c r="A17311" s="6"/>
      <c r="B17311" s="6"/>
      <c r="H17311" s="13"/>
    </row>
    <row r="17312">
      <c r="A17312" s="6"/>
      <c r="B17312" s="6"/>
      <c r="H17312" s="13"/>
    </row>
    <row r="17313">
      <c r="A17313" s="6"/>
      <c r="B17313" s="6"/>
      <c r="H17313" s="13"/>
    </row>
    <row r="17314">
      <c r="A17314" s="6"/>
      <c r="B17314" s="6"/>
      <c r="H17314" s="13"/>
    </row>
    <row r="17315">
      <c r="A17315" s="6"/>
      <c r="B17315" s="6"/>
      <c r="H17315" s="13"/>
    </row>
    <row r="17316">
      <c r="A17316" s="6"/>
      <c r="B17316" s="6"/>
      <c r="H17316" s="13"/>
    </row>
    <row r="17317">
      <c r="A17317" s="6"/>
      <c r="B17317" s="6"/>
      <c r="H17317" s="13"/>
    </row>
    <row r="17318">
      <c r="A17318" s="6"/>
      <c r="B17318" s="6"/>
      <c r="H17318" s="13"/>
    </row>
    <row r="17319">
      <c r="A17319" s="6"/>
      <c r="B17319" s="6"/>
      <c r="H17319" s="13"/>
    </row>
    <row r="17320">
      <c r="A17320" s="6"/>
      <c r="B17320" s="6"/>
      <c r="H17320" s="13"/>
    </row>
    <row r="17321">
      <c r="A17321" s="6"/>
      <c r="B17321" s="6"/>
      <c r="H17321" s="13"/>
    </row>
    <row r="17322">
      <c r="A17322" s="6"/>
      <c r="B17322" s="6"/>
      <c r="H17322" s="13"/>
    </row>
    <row r="17323">
      <c r="A17323" s="6"/>
      <c r="B17323" s="6"/>
      <c r="H17323" s="13"/>
    </row>
    <row r="17324">
      <c r="A17324" s="6"/>
      <c r="B17324" s="6"/>
      <c r="H17324" s="13"/>
    </row>
    <row r="17325">
      <c r="A17325" s="6"/>
      <c r="B17325" s="6"/>
      <c r="H17325" s="13"/>
    </row>
    <row r="17326">
      <c r="A17326" s="6"/>
      <c r="B17326" s="6"/>
      <c r="H17326" s="13"/>
    </row>
    <row r="17327">
      <c r="A17327" s="6"/>
      <c r="B17327" s="6"/>
      <c r="H17327" s="13"/>
    </row>
    <row r="17328">
      <c r="A17328" s="6"/>
      <c r="B17328" s="6"/>
      <c r="H17328" s="13"/>
    </row>
    <row r="17329">
      <c r="A17329" s="6"/>
      <c r="B17329" s="6"/>
      <c r="H17329" s="13"/>
    </row>
    <row r="17330">
      <c r="A17330" s="6"/>
      <c r="B17330" s="6"/>
      <c r="H17330" s="13"/>
    </row>
    <row r="17331">
      <c r="A17331" s="6"/>
      <c r="B17331" s="6"/>
      <c r="H17331" s="13"/>
    </row>
    <row r="17332">
      <c r="A17332" s="6"/>
      <c r="B17332" s="6"/>
      <c r="H17332" s="13"/>
    </row>
    <row r="17333">
      <c r="A17333" s="6"/>
      <c r="B17333" s="6"/>
      <c r="H17333" s="13"/>
    </row>
    <row r="17334">
      <c r="A17334" s="6"/>
      <c r="B17334" s="6"/>
      <c r="H17334" s="13"/>
    </row>
    <row r="17335">
      <c r="A17335" s="6"/>
      <c r="B17335" s="6"/>
      <c r="H17335" s="13"/>
    </row>
    <row r="17336">
      <c r="A17336" s="6"/>
      <c r="B17336" s="6"/>
      <c r="H17336" s="13"/>
    </row>
    <row r="17337">
      <c r="A17337" s="6"/>
      <c r="B17337" s="6"/>
      <c r="H17337" s="13"/>
    </row>
    <row r="17338">
      <c r="A17338" s="6"/>
      <c r="B17338" s="6"/>
      <c r="H17338" s="13"/>
    </row>
    <row r="17339">
      <c r="A17339" s="6"/>
      <c r="B17339" s="6"/>
      <c r="H17339" s="13"/>
    </row>
    <row r="17340">
      <c r="A17340" s="6"/>
      <c r="B17340" s="6"/>
      <c r="H17340" s="13"/>
    </row>
    <row r="17341">
      <c r="A17341" s="6"/>
      <c r="B17341" s="6"/>
      <c r="H17341" s="13"/>
    </row>
    <row r="17342">
      <c r="A17342" s="6"/>
      <c r="B17342" s="6"/>
      <c r="H17342" s="13"/>
    </row>
    <row r="17343">
      <c r="A17343" s="6"/>
      <c r="B17343" s="6"/>
      <c r="H17343" s="13"/>
    </row>
    <row r="17344">
      <c r="A17344" s="6"/>
      <c r="B17344" s="6"/>
      <c r="H17344" s="13"/>
    </row>
    <row r="17345">
      <c r="A17345" s="6"/>
      <c r="B17345" s="6"/>
      <c r="H17345" s="13"/>
    </row>
    <row r="17346">
      <c r="A17346" s="6"/>
      <c r="B17346" s="6"/>
      <c r="H17346" s="13"/>
    </row>
    <row r="17347">
      <c r="A17347" s="6"/>
      <c r="B17347" s="6"/>
      <c r="H17347" s="13"/>
    </row>
    <row r="17348">
      <c r="A17348" s="6"/>
      <c r="B17348" s="6"/>
      <c r="H17348" s="13"/>
    </row>
    <row r="17349">
      <c r="A17349" s="6"/>
      <c r="B17349" s="6"/>
      <c r="H17349" s="13"/>
    </row>
    <row r="17350">
      <c r="A17350" s="6"/>
      <c r="B17350" s="6"/>
      <c r="H17350" s="13"/>
    </row>
    <row r="17351">
      <c r="A17351" s="6"/>
      <c r="B17351" s="6"/>
      <c r="H17351" s="13"/>
    </row>
    <row r="17352">
      <c r="A17352" s="6"/>
      <c r="B17352" s="6"/>
      <c r="H17352" s="13"/>
    </row>
    <row r="17353">
      <c r="A17353" s="6"/>
      <c r="B17353" s="6"/>
      <c r="H17353" s="13"/>
    </row>
    <row r="17354">
      <c r="A17354" s="6"/>
      <c r="B17354" s="6"/>
      <c r="H17354" s="13"/>
    </row>
    <row r="17355">
      <c r="A17355" s="6"/>
      <c r="B17355" s="6"/>
      <c r="H17355" s="13"/>
    </row>
    <row r="17356">
      <c r="A17356" s="6"/>
      <c r="B17356" s="6"/>
      <c r="H17356" s="13"/>
    </row>
    <row r="17357">
      <c r="A17357" s="6"/>
      <c r="B17357" s="6"/>
      <c r="H17357" s="13"/>
    </row>
    <row r="17358">
      <c r="A17358" s="6"/>
      <c r="B17358" s="6"/>
      <c r="H17358" s="13"/>
    </row>
    <row r="17359">
      <c r="A17359" s="6"/>
      <c r="B17359" s="6"/>
      <c r="H17359" s="13"/>
    </row>
    <row r="17360">
      <c r="A17360" s="6"/>
      <c r="B17360" s="6"/>
      <c r="H17360" s="13"/>
    </row>
    <row r="17361">
      <c r="A17361" s="6"/>
      <c r="B17361" s="6"/>
      <c r="H17361" s="13"/>
    </row>
    <row r="17362">
      <c r="A17362" s="6"/>
      <c r="B17362" s="6"/>
      <c r="H17362" s="13"/>
    </row>
    <row r="17363">
      <c r="A17363" s="6"/>
      <c r="B17363" s="6"/>
      <c r="H17363" s="13"/>
    </row>
    <row r="17364">
      <c r="A17364" s="6"/>
      <c r="B17364" s="6"/>
      <c r="H17364" s="13"/>
    </row>
    <row r="17365">
      <c r="A17365" s="6"/>
      <c r="B17365" s="6"/>
      <c r="H17365" s="13"/>
    </row>
    <row r="17366">
      <c r="A17366" s="6"/>
      <c r="B17366" s="6"/>
      <c r="H17366" s="13"/>
    </row>
    <row r="17367">
      <c r="A17367" s="6"/>
      <c r="B17367" s="6"/>
      <c r="H17367" s="13"/>
    </row>
    <row r="17368">
      <c r="A17368" s="6"/>
      <c r="B17368" s="6"/>
      <c r="H17368" s="13"/>
    </row>
    <row r="17369">
      <c r="A17369" s="6"/>
      <c r="B17369" s="6"/>
      <c r="H17369" s="13"/>
    </row>
    <row r="17370">
      <c r="A17370" s="6"/>
      <c r="B17370" s="6"/>
      <c r="H17370" s="13"/>
    </row>
    <row r="17371">
      <c r="A17371" s="6"/>
      <c r="B17371" s="6"/>
      <c r="H17371" s="13"/>
    </row>
    <row r="17372">
      <c r="A17372" s="6"/>
      <c r="B17372" s="6"/>
      <c r="H17372" s="13"/>
    </row>
    <row r="17373">
      <c r="A17373" s="6"/>
      <c r="B17373" s="6"/>
      <c r="H17373" s="13"/>
    </row>
    <row r="17374">
      <c r="A17374" s="6"/>
      <c r="B17374" s="6"/>
      <c r="H17374" s="13"/>
    </row>
    <row r="17375">
      <c r="A17375" s="6"/>
      <c r="B17375" s="6"/>
      <c r="H17375" s="13"/>
    </row>
    <row r="17376">
      <c r="A17376" s="6"/>
      <c r="B17376" s="6"/>
      <c r="H17376" s="13"/>
    </row>
    <row r="17377">
      <c r="A17377" s="6"/>
      <c r="B17377" s="6"/>
      <c r="H17377" s="13"/>
    </row>
    <row r="17378">
      <c r="A17378" s="6"/>
      <c r="B17378" s="6"/>
      <c r="H17378" s="13"/>
    </row>
    <row r="17379">
      <c r="A17379" s="6"/>
      <c r="B17379" s="6"/>
      <c r="H17379" s="13"/>
    </row>
    <row r="17380">
      <c r="A17380" s="6"/>
      <c r="B17380" s="6"/>
      <c r="H17380" s="13"/>
    </row>
    <row r="17381">
      <c r="A17381" s="6"/>
      <c r="B17381" s="6"/>
      <c r="H17381" s="13"/>
    </row>
    <row r="17382">
      <c r="A17382" s="6"/>
      <c r="B17382" s="6"/>
      <c r="H17382" s="13"/>
    </row>
    <row r="17383">
      <c r="A17383" s="6"/>
      <c r="B17383" s="6"/>
      <c r="H17383" s="13"/>
    </row>
    <row r="17384">
      <c r="A17384" s="6"/>
      <c r="B17384" s="6"/>
      <c r="H17384" s="13"/>
    </row>
    <row r="17385">
      <c r="A17385" s="6"/>
      <c r="B17385" s="6"/>
      <c r="H17385" s="13"/>
    </row>
    <row r="17386">
      <c r="A17386" s="6"/>
      <c r="B17386" s="6"/>
      <c r="H17386" s="13"/>
    </row>
    <row r="17387">
      <c r="A17387" s="6"/>
      <c r="B17387" s="6"/>
      <c r="H17387" s="13"/>
    </row>
    <row r="17388">
      <c r="A17388" s="6"/>
      <c r="B17388" s="6"/>
      <c r="H17388" s="13"/>
    </row>
    <row r="17389">
      <c r="A17389" s="6"/>
      <c r="B17389" s="6"/>
      <c r="H17389" s="13"/>
    </row>
    <row r="17390">
      <c r="A17390" s="6"/>
      <c r="B17390" s="6"/>
      <c r="H17390" s="13"/>
    </row>
    <row r="17391">
      <c r="A17391" s="6"/>
      <c r="B17391" s="6"/>
      <c r="H17391" s="13"/>
    </row>
    <row r="17392">
      <c r="A17392" s="6"/>
      <c r="B17392" s="6"/>
      <c r="H17392" s="13"/>
    </row>
    <row r="17393">
      <c r="A17393" s="6"/>
      <c r="B17393" s="6"/>
      <c r="H17393" s="13"/>
    </row>
    <row r="17394">
      <c r="A17394" s="6"/>
      <c r="B17394" s="6"/>
      <c r="H17394" s="13"/>
    </row>
    <row r="17395">
      <c r="A17395" s="6"/>
      <c r="B17395" s="6"/>
      <c r="H17395" s="13"/>
    </row>
    <row r="17396">
      <c r="A17396" s="6"/>
      <c r="B17396" s="6"/>
      <c r="H17396" s="13"/>
    </row>
    <row r="17397">
      <c r="A17397" s="6"/>
      <c r="B17397" s="6"/>
      <c r="H17397" s="13"/>
    </row>
    <row r="17398">
      <c r="A17398" s="6"/>
      <c r="B17398" s="6"/>
      <c r="H17398" s="13"/>
    </row>
    <row r="17399">
      <c r="A17399" s="6"/>
      <c r="B17399" s="6"/>
      <c r="H17399" s="13"/>
    </row>
    <row r="17400">
      <c r="A17400" s="6"/>
      <c r="B17400" s="6"/>
      <c r="H17400" s="13"/>
    </row>
    <row r="17401">
      <c r="A17401" s="6"/>
      <c r="B17401" s="6"/>
      <c r="H17401" s="13"/>
    </row>
    <row r="17402">
      <c r="A17402" s="6"/>
      <c r="B17402" s="6"/>
      <c r="H17402" s="13"/>
    </row>
    <row r="17403">
      <c r="A17403" s="6"/>
      <c r="B17403" s="6"/>
      <c r="H17403" s="13"/>
    </row>
    <row r="17404">
      <c r="A17404" s="6"/>
      <c r="B17404" s="6"/>
      <c r="H17404" s="13"/>
    </row>
    <row r="17405">
      <c r="A17405" s="6"/>
      <c r="B17405" s="6"/>
      <c r="H17405" s="13"/>
    </row>
    <row r="17406">
      <c r="A17406" s="6"/>
      <c r="B17406" s="6"/>
      <c r="H17406" s="13"/>
    </row>
    <row r="17407">
      <c r="A17407" s="6"/>
      <c r="B17407" s="6"/>
      <c r="H17407" s="13"/>
    </row>
    <row r="17408">
      <c r="A17408" s="6"/>
      <c r="B17408" s="6"/>
      <c r="H17408" s="13"/>
    </row>
    <row r="17409">
      <c r="A17409" s="6"/>
      <c r="B17409" s="6"/>
      <c r="H17409" s="13"/>
    </row>
    <row r="17410">
      <c r="A17410" s="6"/>
      <c r="B17410" s="6"/>
      <c r="H17410" s="13"/>
    </row>
    <row r="17411">
      <c r="A17411" s="6"/>
      <c r="B17411" s="6"/>
      <c r="H17411" s="13"/>
    </row>
    <row r="17412">
      <c r="A17412" s="6"/>
      <c r="B17412" s="6"/>
      <c r="H17412" s="13"/>
    </row>
    <row r="17413">
      <c r="A17413" s="6"/>
      <c r="B17413" s="6"/>
      <c r="H17413" s="13"/>
    </row>
    <row r="17414">
      <c r="A17414" s="6"/>
      <c r="B17414" s="6"/>
      <c r="H17414" s="13"/>
    </row>
    <row r="17415">
      <c r="A17415" s="6"/>
      <c r="B17415" s="6"/>
      <c r="H17415" s="13"/>
    </row>
    <row r="17416">
      <c r="A17416" s="6"/>
      <c r="B17416" s="6"/>
      <c r="H17416" s="13"/>
    </row>
    <row r="17417">
      <c r="A17417" s="6"/>
      <c r="B17417" s="6"/>
      <c r="H17417" s="13"/>
    </row>
    <row r="17418">
      <c r="A17418" s="6"/>
      <c r="B17418" s="6"/>
      <c r="H17418" s="13"/>
    </row>
    <row r="17419">
      <c r="A17419" s="6"/>
      <c r="B17419" s="6"/>
      <c r="H17419" s="13"/>
    </row>
    <row r="17420">
      <c r="A17420" s="6"/>
      <c r="B17420" s="6"/>
      <c r="H17420" s="13"/>
    </row>
    <row r="17421">
      <c r="A17421" s="6"/>
      <c r="B17421" s="6"/>
      <c r="H17421" s="13"/>
    </row>
    <row r="17422">
      <c r="A17422" s="6"/>
      <c r="B17422" s="6"/>
      <c r="H17422" s="13"/>
    </row>
    <row r="17423">
      <c r="A17423" s="6"/>
      <c r="B17423" s="6"/>
      <c r="H17423" s="13"/>
    </row>
    <row r="17424">
      <c r="A17424" s="6"/>
      <c r="B17424" s="6"/>
      <c r="H17424" s="13"/>
    </row>
    <row r="17425">
      <c r="A17425" s="6"/>
      <c r="B17425" s="6"/>
      <c r="H17425" s="13"/>
    </row>
    <row r="17426">
      <c r="A17426" s="6"/>
      <c r="B17426" s="6"/>
      <c r="H17426" s="13"/>
    </row>
    <row r="17427">
      <c r="A17427" s="6"/>
      <c r="B17427" s="6"/>
      <c r="H17427" s="13"/>
    </row>
    <row r="17428">
      <c r="A17428" s="6"/>
      <c r="B17428" s="6"/>
      <c r="H17428" s="13"/>
    </row>
    <row r="17429">
      <c r="A17429" s="6"/>
      <c r="B17429" s="6"/>
      <c r="H17429" s="13"/>
    </row>
    <row r="17430">
      <c r="A17430" s="6"/>
      <c r="B17430" s="6"/>
      <c r="H17430" s="13"/>
    </row>
    <row r="17431">
      <c r="A17431" s="6"/>
      <c r="B17431" s="6"/>
      <c r="H17431" s="13"/>
    </row>
    <row r="17432">
      <c r="A17432" s="6"/>
      <c r="B17432" s="6"/>
      <c r="H17432" s="13"/>
    </row>
    <row r="17433">
      <c r="A17433" s="6"/>
      <c r="B17433" s="6"/>
      <c r="H17433" s="13"/>
    </row>
    <row r="17434">
      <c r="A17434" s="6"/>
      <c r="B17434" s="6"/>
      <c r="H17434" s="13"/>
    </row>
    <row r="17435">
      <c r="A17435" s="6"/>
      <c r="B17435" s="6"/>
      <c r="H17435" s="13"/>
    </row>
    <row r="17436">
      <c r="A17436" s="6"/>
      <c r="B17436" s="6"/>
      <c r="H17436" s="13"/>
    </row>
    <row r="17437">
      <c r="A17437" s="6"/>
      <c r="B17437" s="6"/>
      <c r="H17437" s="13"/>
    </row>
    <row r="17438">
      <c r="A17438" s="6"/>
      <c r="B17438" s="6"/>
      <c r="H17438" s="13"/>
    </row>
    <row r="17439">
      <c r="A17439" s="6"/>
      <c r="B17439" s="6"/>
      <c r="H17439" s="13"/>
    </row>
    <row r="17440">
      <c r="A17440" s="6"/>
      <c r="B17440" s="6"/>
      <c r="H17440" s="13"/>
    </row>
    <row r="17441">
      <c r="A17441" s="6"/>
      <c r="B17441" s="6"/>
      <c r="H17441" s="13"/>
    </row>
    <row r="17442">
      <c r="A17442" s="6"/>
      <c r="B17442" s="6"/>
      <c r="H17442" s="13"/>
    </row>
    <row r="17443">
      <c r="A17443" s="6"/>
      <c r="B17443" s="6"/>
      <c r="H17443" s="13"/>
    </row>
    <row r="17444">
      <c r="A17444" s="6"/>
      <c r="B17444" s="6"/>
      <c r="H17444" s="13"/>
    </row>
    <row r="17445">
      <c r="A17445" s="6"/>
      <c r="B17445" s="6"/>
      <c r="H17445" s="13"/>
    </row>
    <row r="17446">
      <c r="A17446" s="6"/>
      <c r="B17446" s="6"/>
      <c r="H17446" s="13"/>
    </row>
    <row r="17447">
      <c r="A17447" s="6"/>
      <c r="B17447" s="6"/>
      <c r="H17447" s="13"/>
    </row>
    <row r="17448">
      <c r="A17448" s="6"/>
      <c r="B17448" s="6"/>
      <c r="H17448" s="13"/>
    </row>
    <row r="17449">
      <c r="A17449" s="6"/>
      <c r="B17449" s="6"/>
      <c r="H17449" s="13"/>
    </row>
    <row r="17450">
      <c r="A17450" s="6"/>
      <c r="B17450" s="6"/>
      <c r="H17450" s="13"/>
    </row>
    <row r="17451">
      <c r="A17451" s="6"/>
      <c r="B17451" s="6"/>
      <c r="H17451" s="13"/>
    </row>
    <row r="17452">
      <c r="A17452" s="6"/>
      <c r="B17452" s="6"/>
      <c r="H17452" s="13"/>
    </row>
    <row r="17453">
      <c r="A17453" s="6"/>
      <c r="B17453" s="6"/>
      <c r="H17453" s="13"/>
    </row>
    <row r="17454">
      <c r="A17454" s="6"/>
      <c r="B17454" s="6"/>
      <c r="H17454" s="13"/>
    </row>
    <row r="17455">
      <c r="A17455" s="6"/>
      <c r="B17455" s="6"/>
      <c r="H17455" s="13"/>
    </row>
    <row r="17456">
      <c r="A17456" s="6"/>
      <c r="B17456" s="6"/>
      <c r="H17456" s="13"/>
    </row>
    <row r="17457">
      <c r="A17457" s="6"/>
      <c r="B17457" s="6"/>
      <c r="H17457" s="13"/>
    </row>
    <row r="17458">
      <c r="A17458" s="6"/>
      <c r="B17458" s="6"/>
      <c r="H17458" s="13"/>
    </row>
    <row r="17459">
      <c r="A17459" s="6"/>
      <c r="B17459" s="6"/>
      <c r="H17459" s="13"/>
    </row>
    <row r="17460">
      <c r="A17460" s="6"/>
      <c r="B17460" s="6"/>
      <c r="H17460" s="13"/>
    </row>
    <row r="17461">
      <c r="A17461" s="6"/>
      <c r="B17461" s="6"/>
      <c r="H17461" s="13"/>
    </row>
    <row r="17462">
      <c r="A17462" s="6"/>
      <c r="B17462" s="6"/>
      <c r="H17462" s="13"/>
    </row>
    <row r="17463">
      <c r="A17463" s="6"/>
      <c r="B17463" s="6"/>
      <c r="H17463" s="13"/>
    </row>
    <row r="17464">
      <c r="A17464" s="6"/>
      <c r="B17464" s="6"/>
      <c r="H17464" s="13"/>
    </row>
    <row r="17465">
      <c r="A17465" s="6"/>
      <c r="B17465" s="6"/>
      <c r="H17465" s="13"/>
    </row>
    <row r="17466">
      <c r="A17466" s="6"/>
      <c r="B17466" s="6"/>
      <c r="H17466" s="13"/>
    </row>
    <row r="17467">
      <c r="A17467" s="6"/>
      <c r="B17467" s="6"/>
      <c r="H17467" s="13"/>
    </row>
    <row r="17468">
      <c r="A17468" s="6"/>
      <c r="B17468" s="6"/>
      <c r="H17468" s="13"/>
    </row>
    <row r="17469">
      <c r="A17469" s="6"/>
      <c r="B17469" s="6"/>
      <c r="H17469" s="13"/>
    </row>
    <row r="17470">
      <c r="A17470" s="6"/>
      <c r="B17470" s="6"/>
      <c r="H17470" s="13"/>
    </row>
    <row r="17471">
      <c r="A17471" s="6"/>
      <c r="B17471" s="6"/>
      <c r="H17471" s="13"/>
    </row>
    <row r="17472">
      <c r="A17472" s="6"/>
      <c r="B17472" s="6"/>
      <c r="H17472" s="13"/>
    </row>
    <row r="17473">
      <c r="A17473" s="6"/>
      <c r="B17473" s="6"/>
      <c r="H17473" s="13"/>
    </row>
    <row r="17474">
      <c r="A17474" s="6"/>
      <c r="B17474" s="6"/>
      <c r="H17474" s="13"/>
    </row>
    <row r="17475">
      <c r="A17475" s="6"/>
      <c r="B17475" s="6"/>
      <c r="H17475" s="13"/>
    </row>
    <row r="17476">
      <c r="A17476" s="6"/>
      <c r="B17476" s="6"/>
      <c r="H17476" s="13"/>
    </row>
    <row r="17477">
      <c r="A17477" s="6"/>
      <c r="B17477" s="6"/>
      <c r="H17477" s="13"/>
    </row>
    <row r="17478">
      <c r="A17478" s="6"/>
      <c r="B17478" s="6"/>
      <c r="H17478" s="13"/>
    </row>
    <row r="17479">
      <c r="A17479" s="6"/>
      <c r="B17479" s="6"/>
      <c r="H17479" s="13"/>
    </row>
    <row r="17480">
      <c r="A17480" s="6"/>
      <c r="B17480" s="6"/>
      <c r="H17480" s="13"/>
    </row>
    <row r="17481">
      <c r="A17481" s="6"/>
      <c r="B17481" s="6"/>
      <c r="H17481" s="13"/>
    </row>
    <row r="17482">
      <c r="A17482" s="6"/>
      <c r="B17482" s="6"/>
      <c r="H17482" s="13"/>
    </row>
    <row r="17483">
      <c r="A17483" s="6"/>
      <c r="B17483" s="6"/>
      <c r="H17483" s="13"/>
    </row>
    <row r="17484">
      <c r="A17484" s="6"/>
      <c r="B17484" s="6"/>
      <c r="H17484" s="13"/>
    </row>
    <row r="17485">
      <c r="A17485" s="6"/>
      <c r="B17485" s="6"/>
      <c r="H17485" s="13"/>
    </row>
    <row r="17486">
      <c r="A17486" s="6"/>
      <c r="B17486" s="6"/>
      <c r="H17486" s="13"/>
    </row>
    <row r="17487">
      <c r="A17487" s="6"/>
      <c r="B17487" s="6"/>
      <c r="H17487" s="13"/>
    </row>
    <row r="17488">
      <c r="A17488" s="6"/>
      <c r="B17488" s="6"/>
      <c r="H17488" s="13"/>
    </row>
    <row r="17489">
      <c r="A17489" s="6"/>
      <c r="B17489" s="6"/>
      <c r="H17489" s="13"/>
    </row>
    <row r="17490">
      <c r="A17490" s="6"/>
      <c r="B17490" s="6"/>
      <c r="H17490" s="13"/>
    </row>
    <row r="17491">
      <c r="A17491" s="6"/>
      <c r="B17491" s="6"/>
      <c r="H17491" s="13"/>
    </row>
    <row r="17492">
      <c r="A17492" s="6"/>
      <c r="B17492" s="6"/>
      <c r="H17492" s="13"/>
    </row>
    <row r="17493">
      <c r="A17493" s="6"/>
      <c r="B17493" s="6"/>
      <c r="H17493" s="13"/>
    </row>
    <row r="17494">
      <c r="A17494" s="6"/>
      <c r="B17494" s="6"/>
      <c r="H17494" s="13"/>
    </row>
    <row r="17495">
      <c r="A17495" s="6"/>
      <c r="B17495" s="6"/>
      <c r="H17495" s="13"/>
    </row>
    <row r="17496">
      <c r="A17496" s="6"/>
      <c r="B17496" s="6"/>
      <c r="H17496" s="13"/>
    </row>
    <row r="17497">
      <c r="A17497" s="6"/>
      <c r="B17497" s="6"/>
      <c r="H17497" s="13"/>
    </row>
    <row r="17498">
      <c r="A17498" s="6"/>
      <c r="B17498" s="6"/>
      <c r="H17498" s="13"/>
    </row>
    <row r="17499">
      <c r="A17499" s="6"/>
      <c r="B17499" s="6"/>
      <c r="H17499" s="13"/>
    </row>
    <row r="17500">
      <c r="A17500" s="6"/>
      <c r="B17500" s="6"/>
      <c r="H17500" s="13"/>
    </row>
    <row r="17501">
      <c r="A17501" s="6"/>
      <c r="B17501" s="6"/>
      <c r="H17501" s="13"/>
    </row>
    <row r="17502">
      <c r="A17502" s="6"/>
      <c r="B17502" s="6"/>
      <c r="H17502" s="13"/>
    </row>
    <row r="17503">
      <c r="A17503" s="6"/>
      <c r="B17503" s="6"/>
      <c r="H17503" s="13"/>
    </row>
    <row r="17504">
      <c r="A17504" s="6"/>
      <c r="B17504" s="6"/>
      <c r="H17504" s="13"/>
    </row>
    <row r="17505">
      <c r="A17505" s="6"/>
      <c r="B17505" s="6"/>
      <c r="H17505" s="13"/>
    </row>
    <row r="17506">
      <c r="A17506" s="6"/>
      <c r="B17506" s="6"/>
      <c r="H17506" s="13"/>
    </row>
    <row r="17507">
      <c r="A17507" s="6"/>
      <c r="B17507" s="6"/>
      <c r="H17507" s="13"/>
    </row>
    <row r="17508">
      <c r="A17508" s="6"/>
      <c r="B17508" s="6"/>
      <c r="H17508" s="13"/>
    </row>
    <row r="17509">
      <c r="A17509" s="6"/>
      <c r="B17509" s="6"/>
      <c r="H17509" s="13"/>
    </row>
    <row r="17510">
      <c r="A17510" s="6"/>
      <c r="B17510" s="6"/>
      <c r="H17510" s="13"/>
    </row>
    <row r="17511">
      <c r="A17511" s="6"/>
      <c r="B17511" s="6"/>
      <c r="H17511" s="13"/>
    </row>
    <row r="17512">
      <c r="A17512" s="6"/>
      <c r="B17512" s="6"/>
      <c r="H17512" s="13"/>
    </row>
    <row r="17513">
      <c r="A17513" s="6"/>
      <c r="B17513" s="6"/>
      <c r="H17513" s="13"/>
    </row>
    <row r="17514">
      <c r="A17514" s="6"/>
      <c r="B17514" s="6"/>
      <c r="H17514" s="13"/>
    </row>
    <row r="17515">
      <c r="A17515" s="6"/>
      <c r="B17515" s="6"/>
      <c r="H17515" s="13"/>
    </row>
    <row r="17516">
      <c r="A17516" s="6"/>
      <c r="B17516" s="6"/>
      <c r="H17516" s="13"/>
    </row>
    <row r="17517">
      <c r="A17517" s="6"/>
      <c r="B17517" s="6"/>
      <c r="H17517" s="13"/>
    </row>
    <row r="17518">
      <c r="A17518" s="6"/>
      <c r="B17518" s="6"/>
      <c r="H17518" s="13"/>
    </row>
    <row r="17519">
      <c r="A17519" s="6"/>
      <c r="B17519" s="6"/>
      <c r="H17519" s="13"/>
    </row>
    <row r="17520">
      <c r="A17520" s="6"/>
      <c r="B17520" s="6"/>
      <c r="H17520" s="13"/>
    </row>
    <row r="17521">
      <c r="A17521" s="6"/>
      <c r="B17521" s="6"/>
      <c r="H17521" s="13"/>
    </row>
    <row r="17522">
      <c r="A17522" s="6"/>
      <c r="B17522" s="6"/>
      <c r="H17522" s="13"/>
    </row>
    <row r="17523">
      <c r="A17523" s="6"/>
      <c r="B17523" s="6"/>
      <c r="H17523" s="13"/>
    </row>
    <row r="17524">
      <c r="A17524" s="6"/>
      <c r="B17524" s="6"/>
      <c r="H17524" s="13"/>
    </row>
    <row r="17525">
      <c r="A17525" s="6"/>
      <c r="B17525" s="6"/>
      <c r="H17525" s="13"/>
    </row>
    <row r="17526">
      <c r="A17526" s="6"/>
      <c r="B17526" s="6"/>
      <c r="H17526" s="13"/>
    </row>
    <row r="17527">
      <c r="A17527" s="6"/>
      <c r="B17527" s="6"/>
      <c r="H17527" s="13"/>
    </row>
    <row r="17528">
      <c r="A17528" s="6"/>
      <c r="B17528" s="6"/>
      <c r="H17528" s="13"/>
    </row>
    <row r="17529">
      <c r="A17529" s="6"/>
      <c r="B17529" s="6"/>
      <c r="H17529" s="13"/>
    </row>
    <row r="17530">
      <c r="A17530" s="6"/>
      <c r="B17530" s="6"/>
      <c r="H17530" s="13"/>
    </row>
    <row r="17531">
      <c r="A17531" s="6"/>
      <c r="B17531" s="6"/>
      <c r="H17531" s="13"/>
    </row>
    <row r="17532">
      <c r="A17532" s="6"/>
      <c r="B17532" s="6"/>
      <c r="H17532" s="13"/>
    </row>
    <row r="17533">
      <c r="A17533" s="6"/>
      <c r="B17533" s="6"/>
      <c r="H17533" s="13"/>
    </row>
    <row r="17534">
      <c r="A17534" s="6"/>
      <c r="B17534" s="6"/>
      <c r="H17534" s="13"/>
    </row>
    <row r="17535">
      <c r="A17535" s="6"/>
      <c r="B17535" s="6"/>
      <c r="H17535" s="13"/>
    </row>
    <row r="17536">
      <c r="A17536" s="6"/>
      <c r="B17536" s="6"/>
      <c r="H17536" s="13"/>
    </row>
    <row r="17537">
      <c r="A17537" s="6"/>
      <c r="B17537" s="6"/>
      <c r="H17537" s="13"/>
    </row>
    <row r="17538">
      <c r="A17538" s="6"/>
      <c r="B17538" s="6"/>
      <c r="H17538" s="13"/>
    </row>
    <row r="17539">
      <c r="A17539" s="6"/>
      <c r="B17539" s="6"/>
      <c r="H17539" s="13"/>
    </row>
    <row r="17540">
      <c r="A17540" s="6"/>
      <c r="B17540" s="6"/>
      <c r="H17540" s="13"/>
    </row>
    <row r="17541">
      <c r="A17541" s="6"/>
      <c r="B17541" s="6"/>
      <c r="H17541" s="13"/>
    </row>
    <row r="17542">
      <c r="A17542" s="6"/>
      <c r="B17542" s="6"/>
      <c r="H17542" s="13"/>
    </row>
    <row r="17543">
      <c r="A17543" s="6"/>
      <c r="B17543" s="6"/>
      <c r="H17543" s="13"/>
    </row>
    <row r="17544">
      <c r="A17544" s="6"/>
      <c r="B17544" s="6"/>
      <c r="H17544" s="13"/>
    </row>
    <row r="17545">
      <c r="A17545" s="6"/>
      <c r="B17545" s="6"/>
      <c r="H17545" s="13"/>
    </row>
    <row r="17546">
      <c r="A17546" s="6"/>
      <c r="B17546" s="6"/>
      <c r="H17546" s="13"/>
    </row>
    <row r="17547">
      <c r="A17547" s="6"/>
      <c r="B17547" s="6"/>
      <c r="H17547" s="13"/>
    </row>
    <row r="17548">
      <c r="A17548" s="6"/>
      <c r="B17548" s="6"/>
      <c r="H17548" s="13"/>
    </row>
    <row r="17549">
      <c r="A17549" s="6"/>
      <c r="B17549" s="6"/>
      <c r="H17549" s="13"/>
    </row>
    <row r="17550">
      <c r="A17550" s="6"/>
      <c r="B17550" s="6"/>
      <c r="H17550" s="13"/>
    </row>
    <row r="17551">
      <c r="A17551" s="6"/>
      <c r="B17551" s="6"/>
      <c r="H17551" s="13"/>
    </row>
    <row r="17552">
      <c r="A17552" s="6"/>
      <c r="B17552" s="6"/>
      <c r="H17552" s="13"/>
    </row>
    <row r="17553">
      <c r="A17553" s="6"/>
      <c r="B17553" s="6"/>
      <c r="H17553" s="13"/>
    </row>
    <row r="17554">
      <c r="A17554" s="6"/>
      <c r="B17554" s="6"/>
      <c r="H17554" s="13"/>
    </row>
    <row r="17555">
      <c r="A17555" s="6"/>
      <c r="B17555" s="6"/>
      <c r="H17555" s="13"/>
    </row>
    <row r="17556">
      <c r="A17556" s="6"/>
      <c r="B17556" s="6"/>
      <c r="H17556" s="13"/>
    </row>
    <row r="17557">
      <c r="A17557" s="6"/>
      <c r="B17557" s="6"/>
      <c r="H17557" s="13"/>
    </row>
    <row r="17558">
      <c r="A17558" s="6"/>
      <c r="B17558" s="6"/>
      <c r="H17558" s="13"/>
    </row>
    <row r="17559">
      <c r="A17559" s="6"/>
      <c r="B17559" s="6"/>
      <c r="H17559" s="13"/>
    </row>
    <row r="17560">
      <c r="A17560" s="6"/>
      <c r="B17560" s="6"/>
      <c r="H17560" s="13"/>
    </row>
    <row r="17561">
      <c r="A17561" s="6"/>
      <c r="B17561" s="6"/>
      <c r="H17561" s="13"/>
    </row>
    <row r="17562">
      <c r="A17562" s="6"/>
      <c r="B17562" s="6"/>
      <c r="H17562" s="13"/>
    </row>
    <row r="17563">
      <c r="A17563" s="6"/>
      <c r="B17563" s="6"/>
      <c r="H17563" s="13"/>
    </row>
    <row r="17564">
      <c r="A17564" s="6"/>
      <c r="B17564" s="6"/>
      <c r="H17564" s="13"/>
    </row>
    <row r="17565">
      <c r="A17565" s="6"/>
      <c r="B17565" s="6"/>
      <c r="H17565" s="13"/>
    </row>
    <row r="17566">
      <c r="A17566" s="6"/>
      <c r="B17566" s="6"/>
      <c r="H17566" s="13"/>
    </row>
    <row r="17567">
      <c r="A17567" s="6"/>
      <c r="B17567" s="6"/>
      <c r="H17567" s="13"/>
    </row>
    <row r="17568">
      <c r="A17568" s="6"/>
      <c r="B17568" s="6"/>
      <c r="H17568" s="13"/>
    </row>
    <row r="17569">
      <c r="A17569" s="6"/>
      <c r="B17569" s="6"/>
      <c r="H17569" s="13"/>
    </row>
    <row r="17570">
      <c r="A17570" s="6"/>
      <c r="B17570" s="6"/>
      <c r="H17570" s="13"/>
    </row>
    <row r="17571">
      <c r="A17571" s="6"/>
      <c r="B17571" s="6"/>
      <c r="H17571" s="13"/>
    </row>
    <row r="17572">
      <c r="A17572" s="6"/>
      <c r="B17572" s="6"/>
      <c r="H17572" s="13"/>
    </row>
    <row r="17573">
      <c r="A17573" s="6"/>
      <c r="B17573" s="6"/>
      <c r="H17573" s="13"/>
    </row>
    <row r="17574">
      <c r="A17574" s="6"/>
      <c r="B17574" s="6"/>
      <c r="H17574" s="13"/>
    </row>
    <row r="17575">
      <c r="A17575" s="6"/>
      <c r="B17575" s="6"/>
      <c r="H17575" s="13"/>
    </row>
    <row r="17576">
      <c r="A17576" s="6"/>
      <c r="B17576" s="6"/>
      <c r="H17576" s="13"/>
    </row>
    <row r="17577">
      <c r="A17577" s="6"/>
      <c r="B17577" s="6"/>
      <c r="H17577" s="13"/>
    </row>
    <row r="17578">
      <c r="A17578" s="6"/>
      <c r="B17578" s="6"/>
      <c r="H17578" s="13"/>
    </row>
    <row r="17579">
      <c r="A17579" s="6"/>
      <c r="B17579" s="6"/>
      <c r="H17579" s="13"/>
    </row>
    <row r="17580">
      <c r="A17580" s="6"/>
      <c r="B17580" s="6"/>
      <c r="H17580" s="13"/>
    </row>
    <row r="17581">
      <c r="A17581" s="6"/>
      <c r="B17581" s="6"/>
      <c r="H17581" s="13"/>
    </row>
    <row r="17582">
      <c r="A17582" s="6"/>
      <c r="B17582" s="6"/>
      <c r="H17582" s="13"/>
    </row>
    <row r="17583">
      <c r="A17583" s="6"/>
      <c r="B17583" s="6"/>
      <c r="H17583" s="13"/>
    </row>
    <row r="17584">
      <c r="A17584" s="6"/>
      <c r="B17584" s="6"/>
      <c r="H17584" s="13"/>
    </row>
    <row r="17585">
      <c r="A17585" s="6"/>
      <c r="B17585" s="6"/>
      <c r="H17585" s="13"/>
    </row>
    <row r="17586">
      <c r="A17586" s="6"/>
      <c r="B17586" s="6"/>
      <c r="H17586" s="13"/>
    </row>
    <row r="17587">
      <c r="A17587" s="6"/>
      <c r="B17587" s="6"/>
      <c r="H17587" s="13"/>
    </row>
    <row r="17588">
      <c r="A17588" s="6"/>
      <c r="B17588" s="6"/>
      <c r="H17588" s="13"/>
    </row>
    <row r="17589">
      <c r="A17589" s="6"/>
      <c r="B17589" s="6"/>
      <c r="H17589" s="13"/>
    </row>
    <row r="17590">
      <c r="A17590" s="6"/>
      <c r="B17590" s="6"/>
      <c r="H17590" s="13"/>
    </row>
    <row r="17591">
      <c r="A17591" s="6"/>
      <c r="B17591" s="6"/>
      <c r="H17591" s="13"/>
    </row>
    <row r="17592">
      <c r="A17592" s="6"/>
      <c r="B17592" s="6"/>
      <c r="H17592" s="13"/>
    </row>
    <row r="17593">
      <c r="A17593" s="6"/>
      <c r="B17593" s="6"/>
      <c r="H17593" s="13"/>
    </row>
    <row r="17594">
      <c r="A17594" s="6"/>
      <c r="B17594" s="6"/>
      <c r="H17594" s="13"/>
    </row>
    <row r="17595">
      <c r="A17595" s="6"/>
      <c r="B17595" s="6"/>
      <c r="H17595" s="13"/>
    </row>
    <row r="17596">
      <c r="A17596" s="6"/>
      <c r="B17596" s="6"/>
      <c r="H17596" s="13"/>
    </row>
    <row r="17597">
      <c r="A17597" s="6"/>
      <c r="B17597" s="6"/>
      <c r="H17597" s="13"/>
    </row>
    <row r="17598">
      <c r="A17598" s="6"/>
      <c r="B17598" s="6"/>
      <c r="H17598" s="13"/>
    </row>
    <row r="17599">
      <c r="A17599" s="6"/>
      <c r="B17599" s="6"/>
      <c r="H17599" s="13"/>
    </row>
    <row r="17600">
      <c r="A17600" s="6"/>
      <c r="B17600" s="6"/>
      <c r="H17600" s="13"/>
    </row>
    <row r="17601">
      <c r="A17601" s="6"/>
      <c r="B17601" s="6"/>
      <c r="H17601" s="13"/>
    </row>
    <row r="17602">
      <c r="A17602" s="6"/>
      <c r="B17602" s="6"/>
      <c r="H17602" s="13"/>
    </row>
    <row r="17603">
      <c r="A17603" s="6"/>
      <c r="B17603" s="6"/>
      <c r="H17603" s="13"/>
    </row>
    <row r="17604">
      <c r="A17604" s="6"/>
      <c r="B17604" s="6"/>
      <c r="H17604" s="13"/>
    </row>
    <row r="17605">
      <c r="A17605" s="6"/>
      <c r="B17605" s="6"/>
      <c r="H17605" s="13"/>
    </row>
    <row r="17606">
      <c r="A17606" s="6"/>
      <c r="B17606" s="6"/>
      <c r="H17606" s="13"/>
    </row>
    <row r="17607">
      <c r="A17607" s="6"/>
      <c r="B17607" s="6"/>
      <c r="H17607" s="13"/>
    </row>
    <row r="17608">
      <c r="A17608" s="6"/>
      <c r="B17608" s="6"/>
      <c r="H17608" s="13"/>
    </row>
    <row r="17609">
      <c r="A17609" s="6"/>
      <c r="B17609" s="6"/>
      <c r="H17609" s="13"/>
    </row>
    <row r="17610">
      <c r="A17610" s="6"/>
      <c r="B17610" s="6"/>
      <c r="H17610" s="13"/>
    </row>
    <row r="17611">
      <c r="A17611" s="6"/>
      <c r="B17611" s="6"/>
      <c r="H17611" s="13"/>
    </row>
    <row r="17612">
      <c r="A17612" s="6"/>
      <c r="B17612" s="6"/>
      <c r="H17612" s="13"/>
    </row>
    <row r="17613">
      <c r="A17613" s="6"/>
      <c r="B17613" s="6"/>
      <c r="H17613" s="13"/>
    </row>
    <row r="17614">
      <c r="A17614" s="6"/>
      <c r="B17614" s="6"/>
      <c r="H17614" s="13"/>
    </row>
    <row r="17615">
      <c r="A17615" s="6"/>
      <c r="B17615" s="6"/>
      <c r="H17615" s="13"/>
    </row>
    <row r="17616">
      <c r="A17616" s="6"/>
      <c r="B17616" s="6"/>
      <c r="H17616" s="13"/>
    </row>
    <row r="17617">
      <c r="A17617" s="6"/>
      <c r="B17617" s="6"/>
      <c r="H17617" s="13"/>
    </row>
    <row r="17618">
      <c r="A17618" s="6"/>
      <c r="B17618" s="6"/>
      <c r="H17618" s="13"/>
    </row>
    <row r="17619">
      <c r="A17619" s="6"/>
      <c r="B17619" s="6"/>
      <c r="H17619" s="13"/>
    </row>
    <row r="17620">
      <c r="A17620" s="6"/>
      <c r="B17620" s="6"/>
      <c r="H17620" s="13"/>
    </row>
    <row r="17621">
      <c r="A17621" s="6"/>
      <c r="B17621" s="6"/>
      <c r="H17621" s="13"/>
    </row>
    <row r="17622">
      <c r="A17622" s="6"/>
      <c r="B17622" s="6"/>
      <c r="H17622" s="13"/>
    </row>
    <row r="17623">
      <c r="A17623" s="6"/>
      <c r="B17623" s="6"/>
      <c r="H17623" s="13"/>
    </row>
    <row r="17624">
      <c r="A17624" s="6"/>
      <c r="B17624" s="6"/>
      <c r="H17624" s="13"/>
    </row>
    <row r="17625">
      <c r="A17625" s="6"/>
      <c r="B17625" s="6"/>
      <c r="H17625" s="13"/>
    </row>
    <row r="17626">
      <c r="A17626" s="6"/>
      <c r="B17626" s="6"/>
      <c r="H17626" s="13"/>
    </row>
    <row r="17627">
      <c r="A17627" s="6"/>
      <c r="B17627" s="6"/>
      <c r="H17627" s="13"/>
    </row>
    <row r="17628">
      <c r="A17628" s="6"/>
      <c r="B17628" s="6"/>
      <c r="H17628" s="13"/>
    </row>
    <row r="17629">
      <c r="A17629" s="6"/>
      <c r="B17629" s="6"/>
      <c r="H17629" s="13"/>
    </row>
    <row r="17630">
      <c r="A17630" s="6"/>
      <c r="B17630" s="6"/>
      <c r="H17630" s="13"/>
    </row>
    <row r="17631">
      <c r="A17631" s="6"/>
      <c r="B17631" s="6"/>
      <c r="H17631" s="13"/>
    </row>
    <row r="17632">
      <c r="A17632" s="6"/>
      <c r="B17632" s="6"/>
      <c r="H17632" s="13"/>
    </row>
    <row r="17633">
      <c r="A17633" s="6"/>
      <c r="B17633" s="6"/>
      <c r="H17633" s="13"/>
    </row>
    <row r="17634">
      <c r="A17634" s="6"/>
      <c r="B17634" s="6"/>
      <c r="H17634" s="13"/>
    </row>
    <row r="17635">
      <c r="A17635" s="6"/>
      <c r="B17635" s="6"/>
      <c r="H17635" s="13"/>
    </row>
    <row r="17636">
      <c r="A17636" s="6"/>
      <c r="B17636" s="6"/>
      <c r="H17636" s="13"/>
    </row>
    <row r="17637">
      <c r="A17637" s="6"/>
      <c r="B17637" s="6"/>
      <c r="H17637" s="13"/>
    </row>
    <row r="17638">
      <c r="A17638" s="6"/>
      <c r="B17638" s="6"/>
      <c r="H17638" s="13"/>
    </row>
    <row r="17639">
      <c r="A17639" s="6"/>
      <c r="B17639" s="6"/>
      <c r="H17639" s="13"/>
    </row>
    <row r="17640">
      <c r="A17640" s="6"/>
      <c r="B17640" s="6"/>
      <c r="H17640" s="13"/>
    </row>
    <row r="17641">
      <c r="A17641" s="6"/>
      <c r="B17641" s="6"/>
      <c r="H17641" s="13"/>
    </row>
    <row r="17642">
      <c r="A17642" s="6"/>
      <c r="B17642" s="6"/>
      <c r="H17642" s="13"/>
    </row>
    <row r="17643">
      <c r="A17643" s="6"/>
      <c r="B17643" s="6"/>
      <c r="H17643" s="13"/>
    </row>
    <row r="17644">
      <c r="A17644" s="6"/>
      <c r="B17644" s="6"/>
      <c r="H17644" s="13"/>
    </row>
    <row r="17645">
      <c r="A17645" s="6"/>
      <c r="B17645" s="6"/>
      <c r="H17645" s="13"/>
    </row>
    <row r="17646">
      <c r="A17646" s="6"/>
      <c r="B17646" s="6"/>
      <c r="H17646" s="13"/>
    </row>
    <row r="17647">
      <c r="A17647" s="6"/>
      <c r="B17647" s="6"/>
      <c r="H17647" s="13"/>
    </row>
    <row r="17648">
      <c r="A17648" s="6"/>
      <c r="B17648" s="6"/>
      <c r="H17648" s="13"/>
    </row>
    <row r="17649">
      <c r="A17649" s="6"/>
      <c r="B17649" s="6"/>
      <c r="H17649" s="13"/>
    </row>
    <row r="17650">
      <c r="A17650" s="6"/>
      <c r="B17650" s="6"/>
      <c r="H17650" s="13"/>
    </row>
    <row r="17651">
      <c r="A17651" s="6"/>
      <c r="B17651" s="6"/>
      <c r="H17651" s="13"/>
    </row>
    <row r="17652">
      <c r="A17652" s="6"/>
      <c r="B17652" s="6"/>
      <c r="H17652" s="13"/>
    </row>
    <row r="17653">
      <c r="A17653" s="6"/>
      <c r="B17653" s="6"/>
      <c r="H17653" s="13"/>
    </row>
    <row r="17654">
      <c r="A17654" s="6"/>
      <c r="B17654" s="6"/>
      <c r="H17654" s="13"/>
    </row>
    <row r="17655">
      <c r="A17655" s="6"/>
      <c r="B17655" s="6"/>
      <c r="H17655" s="13"/>
    </row>
    <row r="17656">
      <c r="A17656" s="6"/>
      <c r="B17656" s="6"/>
      <c r="H17656" s="13"/>
    </row>
    <row r="17657">
      <c r="A17657" s="6"/>
      <c r="B17657" s="6"/>
      <c r="H17657" s="13"/>
    </row>
    <row r="17658">
      <c r="A17658" s="6"/>
      <c r="B17658" s="6"/>
      <c r="H17658" s="13"/>
    </row>
    <row r="17659">
      <c r="A17659" s="6"/>
      <c r="B17659" s="6"/>
      <c r="H17659" s="13"/>
    </row>
    <row r="17660">
      <c r="A17660" s="6"/>
      <c r="B17660" s="6"/>
      <c r="H17660" s="13"/>
    </row>
    <row r="17661">
      <c r="A17661" s="6"/>
      <c r="B17661" s="6"/>
      <c r="H17661" s="13"/>
    </row>
    <row r="17662">
      <c r="A17662" s="6"/>
      <c r="B17662" s="6"/>
      <c r="H17662" s="13"/>
    </row>
    <row r="17663">
      <c r="A17663" s="6"/>
      <c r="B17663" s="6"/>
      <c r="H17663" s="13"/>
    </row>
    <row r="17664">
      <c r="A17664" s="6"/>
      <c r="B17664" s="6"/>
      <c r="H17664" s="13"/>
    </row>
    <row r="17665">
      <c r="A17665" s="6"/>
      <c r="B17665" s="6"/>
      <c r="H17665" s="13"/>
    </row>
    <row r="17666">
      <c r="A17666" s="6"/>
      <c r="B17666" s="6"/>
      <c r="H17666" s="13"/>
    </row>
    <row r="17667">
      <c r="A17667" s="6"/>
      <c r="B17667" s="6"/>
      <c r="H17667" s="13"/>
    </row>
    <row r="17668">
      <c r="A17668" s="6"/>
      <c r="B17668" s="6"/>
      <c r="H17668" s="13"/>
    </row>
    <row r="17669">
      <c r="A17669" s="6"/>
      <c r="B17669" s="6"/>
      <c r="H17669" s="13"/>
    </row>
    <row r="17670">
      <c r="A17670" s="6"/>
      <c r="B17670" s="6"/>
      <c r="H17670" s="13"/>
    </row>
    <row r="17671">
      <c r="A17671" s="6"/>
      <c r="B17671" s="6"/>
      <c r="H17671" s="13"/>
    </row>
    <row r="17672">
      <c r="A17672" s="6"/>
      <c r="B17672" s="6"/>
      <c r="H17672" s="13"/>
    </row>
    <row r="17673">
      <c r="A17673" s="6"/>
      <c r="B17673" s="6"/>
      <c r="H17673" s="13"/>
    </row>
    <row r="17674">
      <c r="A17674" s="6"/>
      <c r="B17674" s="6"/>
      <c r="H17674" s="13"/>
    </row>
    <row r="17675">
      <c r="A17675" s="6"/>
      <c r="B17675" s="6"/>
      <c r="H17675" s="13"/>
    </row>
    <row r="17676">
      <c r="A17676" s="6"/>
      <c r="B17676" s="6"/>
      <c r="H17676" s="13"/>
    </row>
    <row r="17677">
      <c r="A17677" s="6"/>
      <c r="B17677" s="6"/>
      <c r="H17677" s="13"/>
    </row>
    <row r="17678">
      <c r="A17678" s="6"/>
      <c r="B17678" s="6"/>
      <c r="H17678" s="13"/>
    </row>
    <row r="17679">
      <c r="A17679" s="6"/>
      <c r="B17679" s="6"/>
      <c r="H17679" s="13"/>
    </row>
    <row r="17680">
      <c r="A17680" s="6"/>
      <c r="B17680" s="6"/>
      <c r="H17680" s="13"/>
    </row>
    <row r="17681">
      <c r="A17681" s="6"/>
      <c r="B17681" s="6"/>
      <c r="H17681" s="13"/>
    </row>
    <row r="17682">
      <c r="A17682" s="6"/>
      <c r="B17682" s="6"/>
      <c r="H17682" s="13"/>
    </row>
    <row r="17683">
      <c r="A17683" s="6"/>
      <c r="B17683" s="6"/>
      <c r="H17683" s="13"/>
    </row>
    <row r="17684">
      <c r="A17684" s="6"/>
      <c r="B17684" s="6"/>
      <c r="H17684" s="13"/>
    </row>
    <row r="17685">
      <c r="A17685" s="6"/>
      <c r="B17685" s="6"/>
      <c r="H17685" s="13"/>
    </row>
    <row r="17686">
      <c r="A17686" s="6"/>
      <c r="B17686" s="6"/>
      <c r="H17686" s="13"/>
    </row>
    <row r="17687">
      <c r="A17687" s="6"/>
      <c r="B17687" s="6"/>
      <c r="H17687" s="13"/>
    </row>
    <row r="17688">
      <c r="A17688" s="6"/>
      <c r="B17688" s="6"/>
      <c r="H17688" s="13"/>
    </row>
    <row r="17689">
      <c r="A17689" s="6"/>
      <c r="B17689" s="6"/>
      <c r="H17689" s="13"/>
    </row>
    <row r="17690">
      <c r="A17690" s="6"/>
      <c r="B17690" s="6"/>
      <c r="H17690" s="13"/>
    </row>
    <row r="17691">
      <c r="A17691" s="6"/>
      <c r="B17691" s="6"/>
      <c r="H17691" s="13"/>
    </row>
    <row r="17692">
      <c r="A17692" s="6"/>
      <c r="B17692" s="6"/>
      <c r="H17692" s="13"/>
    </row>
    <row r="17693">
      <c r="A17693" s="6"/>
      <c r="B17693" s="6"/>
      <c r="H17693" s="13"/>
    </row>
    <row r="17694">
      <c r="A17694" s="6"/>
      <c r="B17694" s="6"/>
      <c r="H17694" s="13"/>
    </row>
    <row r="17695">
      <c r="A17695" s="6"/>
      <c r="B17695" s="6"/>
      <c r="H17695" s="13"/>
    </row>
    <row r="17696">
      <c r="A17696" s="6"/>
      <c r="B17696" s="6"/>
      <c r="H17696" s="13"/>
    </row>
    <row r="17697">
      <c r="A17697" s="6"/>
      <c r="B17697" s="6"/>
      <c r="H17697" s="13"/>
    </row>
    <row r="17698">
      <c r="A17698" s="6"/>
      <c r="B17698" s="6"/>
      <c r="H17698" s="13"/>
    </row>
    <row r="17699">
      <c r="A17699" s="6"/>
      <c r="B17699" s="6"/>
      <c r="H17699" s="13"/>
    </row>
    <row r="17700">
      <c r="A17700" s="6"/>
      <c r="B17700" s="6"/>
      <c r="H17700" s="13"/>
    </row>
    <row r="17701">
      <c r="A17701" s="6"/>
      <c r="B17701" s="6"/>
      <c r="H17701" s="13"/>
    </row>
    <row r="17702">
      <c r="A17702" s="6"/>
      <c r="B17702" s="6"/>
      <c r="H17702" s="13"/>
    </row>
    <row r="17703">
      <c r="A17703" s="6"/>
      <c r="B17703" s="6"/>
      <c r="H17703" s="13"/>
    </row>
    <row r="17704">
      <c r="A17704" s="6"/>
      <c r="B17704" s="6"/>
      <c r="H17704" s="13"/>
    </row>
    <row r="17705">
      <c r="A17705" s="6"/>
      <c r="B17705" s="6"/>
      <c r="H17705" s="13"/>
    </row>
    <row r="17706">
      <c r="A17706" s="6"/>
      <c r="B17706" s="6"/>
      <c r="H17706" s="13"/>
    </row>
    <row r="17707">
      <c r="A17707" s="6"/>
      <c r="B17707" s="6"/>
      <c r="H17707" s="13"/>
    </row>
    <row r="17708">
      <c r="A17708" s="6"/>
      <c r="B17708" s="6"/>
      <c r="H17708" s="13"/>
    </row>
    <row r="17709">
      <c r="A17709" s="6"/>
      <c r="B17709" s="6"/>
      <c r="H17709" s="13"/>
    </row>
    <row r="17710">
      <c r="A17710" s="6"/>
      <c r="B17710" s="6"/>
      <c r="H17710" s="13"/>
    </row>
    <row r="17711">
      <c r="A17711" s="6"/>
      <c r="B17711" s="6"/>
      <c r="H17711" s="13"/>
    </row>
    <row r="17712">
      <c r="A17712" s="6"/>
      <c r="B17712" s="6"/>
      <c r="H17712" s="13"/>
    </row>
    <row r="17713">
      <c r="A17713" s="6"/>
      <c r="B17713" s="6"/>
      <c r="H17713" s="13"/>
    </row>
    <row r="17714">
      <c r="A17714" s="6"/>
      <c r="B17714" s="6"/>
      <c r="H17714" s="13"/>
    </row>
    <row r="17715">
      <c r="A17715" s="6"/>
      <c r="B17715" s="6"/>
      <c r="H17715" s="13"/>
    </row>
    <row r="17716">
      <c r="A17716" s="6"/>
      <c r="B17716" s="6"/>
      <c r="H17716" s="13"/>
    </row>
    <row r="17717">
      <c r="A17717" s="6"/>
      <c r="B17717" s="6"/>
      <c r="H17717" s="13"/>
    </row>
    <row r="17718">
      <c r="A17718" s="6"/>
      <c r="B17718" s="6"/>
      <c r="H17718" s="13"/>
    </row>
    <row r="17719">
      <c r="A17719" s="6"/>
      <c r="B17719" s="6"/>
      <c r="H17719" s="13"/>
    </row>
    <row r="17720">
      <c r="A17720" s="6"/>
      <c r="B17720" s="6"/>
      <c r="H17720" s="13"/>
    </row>
    <row r="17721">
      <c r="A17721" s="6"/>
      <c r="B17721" s="6"/>
      <c r="H17721" s="13"/>
    </row>
    <row r="17722">
      <c r="A17722" s="6"/>
      <c r="B17722" s="6"/>
      <c r="H17722" s="13"/>
    </row>
    <row r="17723">
      <c r="A17723" s="6"/>
      <c r="B17723" s="6"/>
      <c r="H17723" s="13"/>
    </row>
    <row r="17724">
      <c r="A17724" s="6"/>
      <c r="B17724" s="6"/>
      <c r="H17724" s="13"/>
    </row>
    <row r="17725">
      <c r="A17725" s="6"/>
      <c r="B17725" s="6"/>
      <c r="H17725" s="13"/>
    </row>
    <row r="17726">
      <c r="A17726" s="6"/>
      <c r="B17726" s="6"/>
      <c r="H17726" s="13"/>
    </row>
    <row r="17727">
      <c r="A17727" s="6"/>
      <c r="B17727" s="6"/>
      <c r="H17727" s="13"/>
    </row>
    <row r="17728">
      <c r="A17728" s="6"/>
      <c r="B17728" s="6"/>
      <c r="H17728" s="13"/>
    </row>
    <row r="17729">
      <c r="A17729" s="6"/>
      <c r="B17729" s="6"/>
      <c r="H17729" s="13"/>
    </row>
    <row r="17730">
      <c r="A17730" s="6"/>
      <c r="B17730" s="6"/>
      <c r="H17730" s="13"/>
    </row>
    <row r="17731">
      <c r="A17731" s="6"/>
      <c r="B17731" s="6"/>
      <c r="H17731" s="13"/>
    </row>
    <row r="17732">
      <c r="A17732" s="6"/>
      <c r="B17732" s="6"/>
      <c r="H17732" s="13"/>
    </row>
    <row r="17733">
      <c r="A17733" s="6"/>
      <c r="B17733" s="6"/>
      <c r="H17733" s="13"/>
    </row>
    <row r="17734">
      <c r="A17734" s="6"/>
      <c r="B17734" s="6"/>
      <c r="H17734" s="13"/>
    </row>
    <row r="17735">
      <c r="A17735" s="6"/>
      <c r="B17735" s="6"/>
      <c r="H17735" s="13"/>
    </row>
    <row r="17736">
      <c r="A17736" s="6"/>
      <c r="B17736" s="6"/>
      <c r="H17736" s="13"/>
    </row>
    <row r="17737">
      <c r="A17737" s="6"/>
      <c r="B17737" s="6"/>
      <c r="H17737" s="13"/>
    </row>
    <row r="17738">
      <c r="A17738" s="6"/>
      <c r="B17738" s="6"/>
      <c r="H17738" s="13"/>
    </row>
    <row r="17739">
      <c r="A17739" s="6"/>
      <c r="B17739" s="6"/>
      <c r="H17739" s="13"/>
    </row>
    <row r="17740">
      <c r="A17740" s="6"/>
      <c r="B17740" s="6"/>
      <c r="H17740" s="13"/>
    </row>
    <row r="17741">
      <c r="A17741" s="6"/>
      <c r="B17741" s="6"/>
      <c r="H17741" s="13"/>
    </row>
    <row r="17742">
      <c r="A17742" s="6"/>
      <c r="B17742" s="6"/>
      <c r="H17742" s="13"/>
    </row>
    <row r="17743">
      <c r="A17743" s="6"/>
      <c r="B17743" s="6"/>
      <c r="H17743" s="13"/>
    </row>
    <row r="17744">
      <c r="A17744" s="6"/>
      <c r="B17744" s="6"/>
      <c r="H17744" s="13"/>
    </row>
    <row r="17745">
      <c r="A17745" s="6"/>
      <c r="B17745" s="6"/>
      <c r="H17745" s="13"/>
    </row>
    <row r="17746">
      <c r="A17746" s="6"/>
      <c r="B17746" s="6"/>
      <c r="H17746" s="13"/>
    </row>
    <row r="17747">
      <c r="A17747" s="6"/>
      <c r="B17747" s="6"/>
      <c r="H17747" s="13"/>
    </row>
    <row r="17748">
      <c r="A17748" s="6"/>
      <c r="B17748" s="6"/>
      <c r="H17748" s="13"/>
    </row>
    <row r="17749">
      <c r="A17749" s="6"/>
      <c r="B17749" s="6"/>
      <c r="H17749" s="13"/>
    </row>
    <row r="17750">
      <c r="A17750" s="6"/>
      <c r="B17750" s="6"/>
      <c r="H17750" s="13"/>
    </row>
    <row r="17751">
      <c r="A17751" s="6"/>
      <c r="B17751" s="6"/>
      <c r="H17751" s="13"/>
    </row>
    <row r="17752">
      <c r="A17752" s="6"/>
      <c r="B17752" s="6"/>
      <c r="H17752" s="13"/>
    </row>
    <row r="17753">
      <c r="A17753" s="6"/>
      <c r="B17753" s="6"/>
      <c r="H17753" s="13"/>
    </row>
    <row r="17754">
      <c r="A17754" s="6"/>
      <c r="B17754" s="6"/>
      <c r="H17754" s="13"/>
    </row>
    <row r="17755">
      <c r="A17755" s="6"/>
      <c r="B17755" s="6"/>
      <c r="H17755" s="13"/>
    </row>
    <row r="17756">
      <c r="A17756" s="6"/>
      <c r="B17756" s="6"/>
      <c r="H17756" s="13"/>
    </row>
    <row r="17757">
      <c r="A17757" s="6"/>
      <c r="B17757" s="6"/>
      <c r="H17757" s="13"/>
    </row>
    <row r="17758">
      <c r="A17758" s="6"/>
      <c r="B17758" s="6"/>
      <c r="H17758" s="13"/>
    </row>
    <row r="17759">
      <c r="A17759" s="6"/>
      <c r="B17759" s="6"/>
      <c r="H17759" s="13"/>
    </row>
    <row r="17760">
      <c r="A17760" s="6"/>
      <c r="B17760" s="6"/>
      <c r="H17760" s="13"/>
    </row>
    <row r="17761">
      <c r="A17761" s="6"/>
      <c r="B17761" s="6"/>
      <c r="H17761" s="13"/>
    </row>
    <row r="17762">
      <c r="A17762" s="6"/>
      <c r="B17762" s="6"/>
      <c r="H17762" s="13"/>
    </row>
    <row r="17763">
      <c r="A17763" s="6"/>
      <c r="B17763" s="6"/>
      <c r="H17763" s="13"/>
    </row>
    <row r="17764">
      <c r="A17764" s="6"/>
      <c r="B17764" s="6"/>
      <c r="H17764" s="13"/>
    </row>
    <row r="17765">
      <c r="A17765" s="6"/>
      <c r="B17765" s="6"/>
      <c r="H17765" s="13"/>
    </row>
    <row r="17766">
      <c r="A17766" s="6"/>
      <c r="B17766" s="6"/>
      <c r="H17766" s="13"/>
    </row>
    <row r="17767">
      <c r="A17767" s="6"/>
      <c r="B17767" s="6"/>
      <c r="H17767" s="13"/>
    </row>
    <row r="17768">
      <c r="A17768" s="6"/>
      <c r="B17768" s="6"/>
      <c r="H17768" s="13"/>
    </row>
    <row r="17769">
      <c r="A17769" s="6"/>
      <c r="B17769" s="6"/>
      <c r="H17769" s="13"/>
    </row>
    <row r="17770">
      <c r="A17770" s="6"/>
      <c r="B17770" s="6"/>
      <c r="H17770" s="13"/>
    </row>
    <row r="17771">
      <c r="A17771" s="6"/>
      <c r="B17771" s="6"/>
      <c r="H17771" s="13"/>
    </row>
    <row r="17772">
      <c r="A17772" s="6"/>
      <c r="B17772" s="6"/>
      <c r="H17772" s="13"/>
    </row>
    <row r="17773">
      <c r="A17773" s="6"/>
      <c r="B17773" s="6"/>
      <c r="H17773" s="13"/>
    </row>
    <row r="17774">
      <c r="A17774" s="6"/>
      <c r="B17774" s="6"/>
      <c r="H17774" s="13"/>
    </row>
    <row r="17775">
      <c r="A17775" s="6"/>
      <c r="B17775" s="6"/>
      <c r="H17775" s="13"/>
    </row>
    <row r="17776">
      <c r="A17776" s="6"/>
      <c r="B17776" s="6"/>
      <c r="H17776" s="13"/>
    </row>
    <row r="17777">
      <c r="A17777" s="6"/>
      <c r="B17777" s="6"/>
      <c r="H17777" s="13"/>
    </row>
    <row r="17778">
      <c r="A17778" s="6"/>
      <c r="B17778" s="6"/>
      <c r="H17778" s="13"/>
    </row>
    <row r="17779">
      <c r="A17779" s="6"/>
      <c r="B17779" s="6"/>
      <c r="H17779" s="13"/>
    </row>
    <row r="17780">
      <c r="A17780" s="6"/>
      <c r="B17780" s="6"/>
      <c r="H17780" s="13"/>
    </row>
    <row r="17781">
      <c r="A17781" s="6"/>
      <c r="B17781" s="6"/>
      <c r="H17781" s="13"/>
    </row>
    <row r="17782">
      <c r="A17782" s="6"/>
      <c r="B17782" s="6"/>
      <c r="H17782" s="13"/>
    </row>
    <row r="17783">
      <c r="A17783" s="6"/>
      <c r="B17783" s="6"/>
      <c r="H17783" s="13"/>
    </row>
    <row r="17784">
      <c r="A17784" s="6"/>
      <c r="B17784" s="6"/>
      <c r="H17784" s="13"/>
    </row>
    <row r="17785">
      <c r="A17785" s="6"/>
      <c r="B17785" s="6"/>
      <c r="H17785" s="13"/>
    </row>
    <row r="17786">
      <c r="A17786" s="6"/>
      <c r="B17786" s="6"/>
      <c r="H17786" s="13"/>
    </row>
    <row r="17787">
      <c r="A17787" s="6"/>
      <c r="B17787" s="6"/>
      <c r="H17787" s="13"/>
    </row>
    <row r="17788">
      <c r="A17788" s="6"/>
      <c r="B17788" s="6"/>
      <c r="H17788" s="13"/>
    </row>
    <row r="17789">
      <c r="A17789" s="6"/>
      <c r="B17789" s="6"/>
      <c r="H17789" s="13"/>
    </row>
    <row r="17790">
      <c r="A17790" s="6"/>
      <c r="B17790" s="6"/>
      <c r="H17790" s="13"/>
    </row>
    <row r="17791">
      <c r="A17791" s="6"/>
      <c r="B17791" s="6"/>
      <c r="H17791" s="13"/>
    </row>
    <row r="17792">
      <c r="A17792" s="6"/>
      <c r="B17792" s="6"/>
      <c r="H17792" s="13"/>
    </row>
    <row r="17793">
      <c r="A17793" s="6"/>
      <c r="B17793" s="6"/>
      <c r="H17793" s="13"/>
    </row>
    <row r="17794">
      <c r="A17794" s="6"/>
      <c r="B17794" s="6"/>
      <c r="H17794" s="13"/>
    </row>
    <row r="17795">
      <c r="A17795" s="6"/>
      <c r="B17795" s="6"/>
      <c r="H17795" s="13"/>
    </row>
    <row r="17796">
      <c r="A17796" s="6"/>
      <c r="B17796" s="6"/>
      <c r="H17796" s="13"/>
    </row>
    <row r="17797">
      <c r="A17797" s="6"/>
      <c r="B17797" s="6"/>
      <c r="H17797" s="13"/>
    </row>
    <row r="17798">
      <c r="A17798" s="6"/>
      <c r="B17798" s="6"/>
      <c r="H17798" s="13"/>
    </row>
    <row r="17799">
      <c r="A17799" s="6"/>
      <c r="B17799" s="6"/>
      <c r="H17799" s="13"/>
    </row>
    <row r="17800">
      <c r="A17800" s="6"/>
      <c r="B17800" s="6"/>
      <c r="H17800" s="13"/>
    </row>
    <row r="17801">
      <c r="A17801" s="6"/>
      <c r="B17801" s="6"/>
      <c r="H17801" s="13"/>
    </row>
    <row r="17802">
      <c r="A17802" s="6"/>
      <c r="B17802" s="6"/>
      <c r="H17802" s="13"/>
    </row>
    <row r="17803">
      <c r="A17803" s="6"/>
      <c r="B17803" s="6"/>
      <c r="H17803" s="13"/>
    </row>
    <row r="17804">
      <c r="A17804" s="6"/>
      <c r="B17804" s="6"/>
      <c r="H17804" s="13"/>
    </row>
    <row r="17805">
      <c r="A17805" s="6"/>
      <c r="B17805" s="6"/>
      <c r="H17805" s="13"/>
    </row>
    <row r="17806">
      <c r="A17806" s="6"/>
      <c r="B17806" s="6"/>
      <c r="H17806" s="13"/>
    </row>
    <row r="17807">
      <c r="A17807" s="6"/>
      <c r="B17807" s="6"/>
      <c r="H17807" s="13"/>
    </row>
    <row r="17808">
      <c r="A17808" s="6"/>
      <c r="B17808" s="6"/>
      <c r="H17808" s="13"/>
    </row>
    <row r="17809">
      <c r="A17809" s="6"/>
      <c r="B17809" s="6"/>
      <c r="H17809" s="13"/>
    </row>
    <row r="17810">
      <c r="A17810" s="6"/>
      <c r="B17810" s="6"/>
      <c r="H17810" s="13"/>
    </row>
    <row r="17811">
      <c r="A17811" s="6"/>
      <c r="B17811" s="6"/>
      <c r="H17811" s="13"/>
    </row>
    <row r="17812">
      <c r="A17812" s="6"/>
      <c r="B17812" s="6"/>
      <c r="H17812" s="13"/>
    </row>
    <row r="17813">
      <c r="A17813" s="6"/>
      <c r="B17813" s="6"/>
      <c r="H17813" s="13"/>
    </row>
    <row r="17814">
      <c r="A17814" s="6"/>
      <c r="B17814" s="6"/>
      <c r="H17814" s="13"/>
    </row>
    <row r="17815">
      <c r="A17815" s="6"/>
      <c r="B17815" s="6"/>
      <c r="H17815" s="13"/>
    </row>
    <row r="17816">
      <c r="A17816" s="6"/>
      <c r="B17816" s="6"/>
      <c r="H17816" s="13"/>
    </row>
    <row r="17817">
      <c r="A17817" s="6"/>
      <c r="B17817" s="6"/>
      <c r="H17817" s="13"/>
    </row>
    <row r="17818">
      <c r="A17818" s="6"/>
      <c r="B17818" s="6"/>
      <c r="H17818" s="13"/>
    </row>
    <row r="17819">
      <c r="A17819" s="6"/>
      <c r="B17819" s="6"/>
      <c r="H17819" s="13"/>
    </row>
    <row r="17820">
      <c r="A17820" s="6"/>
      <c r="B17820" s="6"/>
      <c r="H17820" s="13"/>
    </row>
    <row r="17821">
      <c r="A17821" s="6"/>
      <c r="B17821" s="6"/>
      <c r="H17821" s="13"/>
    </row>
    <row r="17822">
      <c r="A17822" s="6"/>
      <c r="B17822" s="6"/>
      <c r="H17822" s="13"/>
    </row>
    <row r="17823">
      <c r="A17823" s="6"/>
      <c r="B17823" s="6"/>
      <c r="H17823" s="13"/>
    </row>
    <row r="17824">
      <c r="A17824" s="6"/>
      <c r="B17824" s="6"/>
      <c r="H17824" s="13"/>
    </row>
    <row r="17825">
      <c r="A17825" s="6"/>
      <c r="B17825" s="6"/>
      <c r="H17825" s="13"/>
    </row>
    <row r="17826">
      <c r="A17826" s="6"/>
      <c r="B17826" s="6"/>
      <c r="H17826" s="13"/>
    </row>
    <row r="17827">
      <c r="A17827" s="6"/>
      <c r="B17827" s="6"/>
      <c r="H17827" s="13"/>
    </row>
    <row r="17828">
      <c r="A17828" s="6"/>
      <c r="B17828" s="6"/>
      <c r="H17828" s="13"/>
    </row>
    <row r="17829">
      <c r="A17829" s="6"/>
      <c r="B17829" s="6"/>
      <c r="H17829" s="13"/>
    </row>
    <row r="17830">
      <c r="A17830" s="6"/>
      <c r="B17830" s="6"/>
      <c r="H17830" s="13"/>
    </row>
    <row r="17831">
      <c r="A17831" s="6"/>
      <c r="B17831" s="6"/>
      <c r="H17831" s="13"/>
    </row>
    <row r="17832">
      <c r="A17832" s="6"/>
      <c r="B17832" s="6"/>
      <c r="H17832" s="13"/>
    </row>
    <row r="17833">
      <c r="A17833" s="6"/>
      <c r="B17833" s="6"/>
      <c r="H17833" s="13"/>
    </row>
    <row r="17834">
      <c r="A17834" s="6"/>
      <c r="B17834" s="6"/>
      <c r="H17834" s="13"/>
    </row>
    <row r="17835">
      <c r="A17835" s="6"/>
      <c r="B17835" s="6"/>
      <c r="H17835" s="13"/>
    </row>
    <row r="17836">
      <c r="A17836" s="6"/>
      <c r="B17836" s="6"/>
      <c r="H17836" s="13"/>
    </row>
    <row r="17837">
      <c r="A17837" s="6"/>
      <c r="B17837" s="6"/>
      <c r="H17837" s="13"/>
    </row>
    <row r="17838">
      <c r="A17838" s="6"/>
      <c r="B17838" s="6"/>
      <c r="H17838" s="13"/>
    </row>
    <row r="17839">
      <c r="A17839" s="6"/>
      <c r="B17839" s="6"/>
      <c r="H17839" s="13"/>
    </row>
    <row r="17840">
      <c r="A17840" s="6"/>
      <c r="B17840" s="6"/>
      <c r="H17840" s="13"/>
    </row>
    <row r="17841">
      <c r="A17841" s="6"/>
      <c r="B17841" s="6"/>
      <c r="H17841" s="13"/>
    </row>
    <row r="17842">
      <c r="A17842" s="6"/>
      <c r="B17842" s="6"/>
      <c r="H17842" s="13"/>
    </row>
    <row r="17843">
      <c r="A17843" s="6"/>
      <c r="B17843" s="6"/>
      <c r="H17843" s="13"/>
    </row>
    <row r="17844">
      <c r="A17844" s="6"/>
      <c r="B17844" s="6"/>
      <c r="H17844" s="13"/>
    </row>
    <row r="17845">
      <c r="A17845" s="6"/>
      <c r="B17845" s="6"/>
      <c r="H17845" s="13"/>
    </row>
    <row r="17846">
      <c r="A17846" s="6"/>
      <c r="B17846" s="6"/>
      <c r="H17846" s="13"/>
    </row>
    <row r="17847">
      <c r="A17847" s="6"/>
      <c r="B17847" s="6"/>
      <c r="H17847" s="13"/>
    </row>
    <row r="17848">
      <c r="A17848" s="6"/>
      <c r="B17848" s="6"/>
      <c r="H17848" s="13"/>
    </row>
    <row r="17849">
      <c r="A17849" s="6"/>
      <c r="B17849" s="6"/>
      <c r="H17849" s="13"/>
    </row>
    <row r="17850">
      <c r="A17850" s="6"/>
      <c r="B17850" s="6"/>
      <c r="H17850" s="13"/>
    </row>
    <row r="17851">
      <c r="A17851" s="6"/>
      <c r="B17851" s="6"/>
      <c r="H17851" s="13"/>
    </row>
    <row r="17852">
      <c r="A17852" s="6"/>
      <c r="B17852" s="6"/>
      <c r="H17852" s="13"/>
    </row>
    <row r="17853">
      <c r="A17853" s="6"/>
      <c r="B17853" s="6"/>
      <c r="H17853" s="13"/>
    </row>
    <row r="17854">
      <c r="A17854" s="6"/>
      <c r="B17854" s="6"/>
      <c r="H17854" s="13"/>
    </row>
    <row r="17855">
      <c r="A17855" s="6"/>
      <c r="B17855" s="6"/>
      <c r="H17855" s="13"/>
    </row>
    <row r="17856">
      <c r="A17856" s="6"/>
      <c r="B17856" s="6"/>
      <c r="H17856" s="13"/>
    </row>
    <row r="17857">
      <c r="A17857" s="6"/>
      <c r="B17857" s="6"/>
      <c r="H17857" s="13"/>
    </row>
    <row r="17858">
      <c r="A17858" s="6"/>
      <c r="B17858" s="6"/>
      <c r="H17858" s="13"/>
    </row>
    <row r="17859">
      <c r="A17859" s="6"/>
      <c r="B17859" s="6"/>
      <c r="H17859" s="13"/>
    </row>
    <row r="17860">
      <c r="A17860" s="6"/>
      <c r="B17860" s="6"/>
      <c r="H17860" s="13"/>
    </row>
    <row r="17861">
      <c r="A17861" s="6"/>
      <c r="B17861" s="6"/>
      <c r="H17861" s="13"/>
    </row>
    <row r="17862">
      <c r="A17862" s="6"/>
      <c r="B17862" s="6"/>
      <c r="H17862" s="13"/>
    </row>
    <row r="17863">
      <c r="A17863" s="6"/>
      <c r="B17863" s="6"/>
      <c r="H17863" s="13"/>
    </row>
    <row r="17864">
      <c r="A17864" s="6"/>
      <c r="B17864" s="6"/>
      <c r="H17864" s="13"/>
    </row>
    <row r="17865">
      <c r="A17865" s="6"/>
      <c r="B17865" s="6"/>
      <c r="H17865" s="13"/>
    </row>
    <row r="17866">
      <c r="A17866" s="6"/>
      <c r="B17866" s="6"/>
      <c r="H17866" s="13"/>
    </row>
    <row r="17867">
      <c r="A17867" s="6"/>
      <c r="B17867" s="6"/>
      <c r="H17867" s="13"/>
    </row>
    <row r="17868">
      <c r="A17868" s="6"/>
      <c r="B17868" s="6"/>
      <c r="H17868" s="13"/>
    </row>
    <row r="17869">
      <c r="A17869" s="6"/>
      <c r="B17869" s="6"/>
      <c r="H17869" s="13"/>
    </row>
    <row r="17870">
      <c r="A17870" s="6"/>
      <c r="B17870" s="6"/>
      <c r="H17870" s="13"/>
    </row>
    <row r="17871">
      <c r="A17871" s="6"/>
      <c r="B17871" s="6"/>
      <c r="H17871" s="13"/>
    </row>
    <row r="17872">
      <c r="A17872" s="6"/>
      <c r="B17872" s="6"/>
      <c r="H17872" s="13"/>
    </row>
    <row r="17873">
      <c r="A17873" s="6"/>
      <c r="B17873" s="6"/>
      <c r="H17873" s="13"/>
    </row>
    <row r="17874">
      <c r="A17874" s="6"/>
      <c r="B17874" s="6"/>
      <c r="H17874" s="13"/>
    </row>
    <row r="17875">
      <c r="A17875" s="6"/>
      <c r="B17875" s="6"/>
      <c r="H17875" s="13"/>
    </row>
    <row r="17876">
      <c r="A17876" s="6"/>
      <c r="B17876" s="6"/>
      <c r="H17876" s="13"/>
    </row>
    <row r="17877">
      <c r="A17877" s="6"/>
      <c r="B17877" s="6"/>
      <c r="H17877" s="13"/>
    </row>
    <row r="17878">
      <c r="A17878" s="6"/>
      <c r="B17878" s="6"/>
      <c r="H17878" s="13"/>
    </row>
    <row r="17879">
      <c r="A17879" s="6"/>
      <c r="B17879" s="6"/>
      <c r="H17879" s="13"/>
    </row>
    <row r="17880">
      <c r="A17880" s="6"/>
      <c r="B17880" s="6"/>
      <c r="H17880" s="13"/>
    </row>
    <row r="17881">
      <c r="A17881" s="6"/>
      <c r="B17881" s="6"/>
      <c r="H17881" s="13"/>
    </row>
    <row r="17882">
      <c r="A17882" s="6"/>
      <c r="B17882" s="6"/>
      <c r="H17882" s="13"/>
    </row>
    <row r="17883">
      <c r="A17883" s="6"/>
      <c r="B17883" s="6"/>
      <c r="H17883" s="13"/>
    </row>
    <row r="17884">
      <c r="A17884" s="6"/>
      <c r="B17884" s="6"/>
      <c r="H17884" s="13"/>
    </row>
    <row r="17885">
      <c r="A17885" s="6"/>
      <c r="B17885" s="6"/>
      <c r="H17885" s="13"/>
    </row>
    <row r="17886">
      <c r="A17886" s="6"/>
      <c r="B17886" s="6"/>
      <c r="H17886" s="13"/>
    </row>
    <row r="17887">
      <c r="A17887" s="6"/>
      <c r="B17887" s="6"/>
      <c r="H17887" s="13"/>
    </row>
    <row r="17888">
      <c r="A17888" s="6"/>
      <c r="B17888" s="6"/>
      <c r="H17888" s="13"/>
    </row>
    <row r="17889">
      <c r="A17889" s="6"/>
      <c r="B17889" s="6"/>
      <c r="H17889" s="13"/>
    </row>
    <row r="17890">
      <c r="A17890" s="6"/>
      <c r="B17890" s="6"/>
      <c r="H17890" s="13"/>
    </row>
    <row r="17891">
      <c r="A17891" s="6"/>
      <c r="B17891" s="6"/>
      <c r="H17891" s="13"/>
    </row>
    <row r="17892">
      <c r="A17892" s="6"/>
      <c r="B17892" s="6"/>
      <c r="H17892" s="13"/>
    </row>
    <row r="17893">
      <c r="A17893" s="6"/>
      <c r="B17893" s="6"/>
      <c r="H17893" s="13"/>
    </row>
    <row r="17894">
      <c r="A17894" s="6"/>
      <c r="B17894" s="6"/>
      <c r="H17894" s="13"/>
    </row>
    <row r="17895">
      <c r="A17895" s="6"/>
      <c r="B17895" s="6"/>
      <c r="H17895" s="13"/>
    </row>
    <row r="17896">
      <c r="A17896" s="6"/>
      <c r="B17896" s="6"/>
      <c r="H17896" s="13"/>
    </row>
    <row r="17897">
      <c r="A17897" s="6"/>
      <c r="B17897" s="6"/>
      <c r="H17897" s="13"/>
    </row>
    <row r="17898">
      <c r="A17898" s="6"/>
      <c r="B17898" s="6"/>
      <c r="H17898" s="13"/>
    </row>
    <row r="17899">
      <c r="A17899" s="6"/>
      <c r="B17899" s="6"/>
      <c r="H17899" s="13"/>
    </row>
    <row r="17900">
      <c r="A17900" s="6"/>
      <c r="B17900" s="6"/>
      <c r="H17900" s="13"/>
    </row>
    <row r="17901">
      <c r="A17901" s="6"/>
      <c r="B17901" s="6"/>
      <c r="H17901" s="13"/>
    </row>
    <row r="17902">
      <c r="A17902" s="6"/>
      <c r="B17902" s="6"/>
      <c r="H17902" s="13"/>
    </row>
    <row r="17903">
      <c r="A17903" s="6"/>
      <c r="B17903" s="6"/>
      <c r="H17903" s="13"/>
    </row>
    <row r="17904">
      <c r="A17904" s="6"/>
      <c r="B17904" s="6"/>
      <c r="H17904" s="13"/>
    </row>
    <row r="17905">
      <c r="A17905" s="6"/>
      <c r="B17905" s="6"/>
      <c r="H17905" s="13"/>
    </row>
    <row r="17906">
      <c r="A17906" s="6"/>
      <c r="B17906" s="6"/>
      <c r="H17906" s="13"/>
    </row>
    <row r="17907">
      <c r="A17907" s="6"/>
      <c r="B17907" s="6"/>
      <c r="H17907" s="13"/>
    </row>
    <row r="17908">
      <c r="A17908" s="6"/>
      <c r="B17908" s="6"/>
      <c r="H17908" s="13"/>
    </row>
    <row r="17909">
      <c r="A17909" s="6"/>
      <c r="B17909" s="6"/>
      <c r="H17909" s="13"/>
    </row>
    <row r="17910">
      <c r="A17910" s="6"/>
      <c r="B17910" s="6"/>
      <c r="H17910" s="13"/>
    </row>
    <row r="17911">
      <c r="A17911" s="6"/>
      <c r="B17911" s="6"/>
      <c r="H17911" s="13"/>
    </row>
    <row r="17912">
      <c r="A17912" s="6"/>
      <c r="B17912" s="6"/>
      <c r="H17912" s="13"/>
    </row>
    <row r="17913">
      <c r="A17913" s="6"/>
      <c r="B17913" s="6"/>
      <c r="H17913" s="13"/>
    </row>
    <row r="17914">
      <c r="A17914" s="6"/>
      <c r="B17914" s="6"/>
      <c r="H17914" s="13"/>
    </row>
    <row r="17915">
      <c r="A17915" s="6"/>
      <c r="B17915" s="6"/>
      <c r="H17915" s="13"/>
    </row>
    <row r="17916">
      <c r="A17916" s="6"/>
      <c r="B17916" s="6"/>
      <c r="H17916" s="13"/>
    </row>
    <row r="17917">
      <c r="A17917" s="6"/>
      <c r="B17917" s="6"/>
      <c r="H17917" s="13"/>
    </row>
    <row r="17918">
      <c r="A17918" s="6"/>
      <c r="B17918" s="6"/>
      <c r="H17918" s="13"/>
    </row>
    <row r="17919">
      <c r="A17919" s="6"/>
      <c r="B17919" s="6"/>
      <c r="H17919" s="13"/>
    </row>
    <row r="17920">
      <c r="A17920" s="6"/>
      <c r="B17920" s="6"/>
      <c r="H17920" s="13"/>
    </row>
    <row r="17921">
      <c r="A17921" s="6"/>
      <c r="B17921" s="6"/>
      <c r="H17921" s="13"/>
    </row>
    <row r="17922">
      <c r="A17922" s="6"/>
      <c r="B17922" s="6"/>
      <c r="H17922" s="13"/>
    </row>
    <row r="17923">
      <c r="A17923" s="6"/>
      <c r="B17923" s="6"/>
      <c r="H17923" s="13"/>
    </row>
    <row r="17924">
      <c r="A17924" s="6"/>
      <c r="B17924" s="6"/>
      <c r="H17924" s="13"/>
    </row>
    <row r="17925">
      <c r="A17925" s="6"/>
      <c r="B17925" s="6"/>
      <c r="H17925" s="13"/>
    </row>
    <row r="17926">
      <c r="A17926" s="6"/>
      <c r="B17926" s="6"/>
      <c r="H17926" s="13"/>
    </row>
    <row r="17927">
      <c r="A17927" s="6"/>
      <c r="B17927" s="6"/>
      <c r="H17927" s="13"/>
    </row>
    <row r="17928">
      <c r="A17928" s="6"/>
      <c r="B17928" s="6"/>
      <c r="H17928" s="13"/>
    </row>
    <row r="17929">
      <c r="A17929" s="6"/>
      <c r="B17929" s="6"/>
      <c r="H17929" s="13"/>
    </row>
    <row r="17930">
      <c r="A17930" s="6"/>
      <c r="B17930" s="6"/>
      <c r="H17930" s="13"/>
    </row>
    <row r="17931">
      <c r="A17931" s="6"/>
      <c r="B17931" s="6"/>
      <c r="H17931" s="13"/>
    </row>
    <row r="17932">
      <c r="A17932" s="6"/>
      <c r="B17932" s="6"/>
      <c r="H17932" s="13"/>
    </row>
    <row r="17933">
      <c r="A17933" s="6"/>
      <c r="B17933" s="6"/>
      <c r="H17933" s="13"/>
    </row>
    <row r="17934">
      <c r="A17934" s="6"/>
      <c r="B17934" s="6"/>
      <c r="H17934" s="13"/>
    </row>
    <row r="17935">
      <c r="A17935" s="6"/>
      <c r="B17935" s="6"/>
      <c r="H17935" s="13"/>
    </row>
    <row r="17936">
      <c r="A17936" s="6"/>
      <c r="B17936" s="6"/>
      <c r="H17936" s="13"/>
    </row>
    <row r="17937">
      <c r="A17937" s="6"/>
      <c r="B17937" s="6"/>
      <c r="H17937" s="13"/>
    </row>
    <row r="17938">
      <c r="A17938" s="6"/>
      <c r="B17938" s="6"/>
      <c r="H17938" s="13"/>
    </row>
    <row r="17939">
      <c r="A17939" s="6"/>
      <c r="B17939" s="6"/>
      <c r="H17939" s="13"/>
    </row>
    <row r="17940">
      <c r="A17940" s="6"/>
      <c r="B17940" s="6"/>
      <c r="H17940" s="13"/>
    </row>
    <row r="17941">
      <c r="A17941" s="6"/>
      <c r="B17941" s="6"/>
      <c r="H17941" s="13"/>
    </row>
    <row r="17942">
      <c r="A17942" s="6"/>
      <c r="B17942" s="6"/>
      <c r="H17942" s="13"/>
    </row>
    <row r="17943">
      <c r="A17943" s="6"/>
      <c r="B17943" s="6"/>
      <c r="H17943" s="13"/>
    </row>
    <row r="17944">
      <c r="A17944" s="6"/>
      <c r="B17944" s="6"/>
      <c r="H17944" s="13"/>
    </row>
    <row r="17945">
      <c r="A17945" s="6"/>
      <c r="B17945" s="6"/>
      <c r="H17945" s="13"/>
    </row>
    <row r="17946">
      <c r="A17946" s="6"/>
      <c r="B17946" s="6"/>
      <c r="H17946" s="13"/>
    </row>
    <row r="17947">
      <c r="A17947" s="6"/>
      <c r="B17947" s="6"/>
      <c r="H17947" s="13"/>
    </row>
    <row r="17948">
      <c r="A17948" s="6"/>
      <c r="B17948" s="6"/>
      <c r="H17948" s="13"/>
    </row>
    <row r="17949">
      <c r="A17949" s="6"/>
      <c r="B17949" s="6"/>
      <c r="H17949" s="13"/>
    </row>
    <row r="17950">
      <c r="A17950" s="6"/>
      <c r="B17950" s="6"/>
      <c r="H17950" s="13"/>
    </row>
    <row r="17951">
      <c r="A17951" s="6"/>
      <c r="B17951" s="6"/>
      <c r="H17951" s="13"/>
    </row>
    <row r="17952">
      <c r="A17952" s="6"/>
      <c r="B17952" s="6"/>
      <c r="H17952" s="13"/>
    </row>
    <row r="17953">
      <c r="A17953" s="6"/>
      <c r="B17953" s="6"/>
      <c r="H17953" s="13"/>
    </row>
    <row r="17954">
      <c r="A17954" s="6"/>
      <c r="B17954" s="6"/>
      <c r="H17954" s="13"/>
    </row>
    <row r="17955">
      <c r="A17955" s="6"/>
      <c r="B17955" s="6"/>
      <c r="H17955" s="13"/>
    </row>
    <row r="17956">
      <c r="A17956" s="6"/>
      <c r="B17956" s="6"/>
      <c r="H17956" s="13"/>
    </row>
    <row r="17957">
      <c r="A17957" s="6"/>
      <c r="B17957" s="6"/>
      <c r="H17957" s="13"/>
    </row>
    <row r="17958">
      <c r="A17958" s="6"/>
      <c r="B17958" s="6"/>
      <c r="H17958" s="13"/>
    </row>
    <row r="17959">
      <c r="A17959" s="6"/>
      <c r="B17959" s="6"/>
      <c r="H17959" s="13"/>
    </row>
    <row r="17960">
      <c r="A17960" s="6"/>
      <c r="B17960" s="6"/>
      <c r="H17960" s="13"/>
    </row>
    <row r="17961">
      <c r="A17961" s="6"/>
      <c r="B17961" s="6"/>
      <c r="H17961" s="13"/>
    </row>
    <row r="17962">
      <c r="A17962" s="6"/>
      <c r="B17962" s="6"/>
      <c r="H17962" s="13"/>
    </row>
    <row r="17963">
      <c r="A17963" s="6"/>
      <c r="B17963" s="6"/>
      <c r="H17963" s="13"/>
    </row>
    <row r="17964">
      <c r="A17964" s="6"/>
      <c r="B17964" s="6"/>
      <c r="H17964" s="13"/>
    </row>
    <row r="17965">
      <c r="A17965" s="6"/>
      <c r="B17965" s="6"/>
      <c r="H17965" s="13"/>
    </row>
    <row r="17966">
      <c r="A17966" s="6"/>
      <c r="B17966" s="6"/>
      <c r="H17966" s="13"/>
    </row>
    <row r="17967">
      <c r="A17967" s="6"/>
      <c r="B17967" s="6"/>
      <c r="H17967" s="13"/>
    </row>
    <row r="17968">
      <c r="A17968" s="6"/>
      <c r="B17968" s="6"/>
      <c r="H17968" s="13"/>
    </row>
    <row r="17969">
      <c r="A17969" s="6"/>
      <c r="B17969" s="6"/>
      <c r="H17969" s="13"/>
    </row>
    <row r="17970">
      <c r="A17970" s="6"/>
      <c r="B17970" s="6"/>
      <c r="H17970" s="13"/>
    </row>
    <row r="17971">
      <c r="A17971" s="6"/>
      <c r="B17971" s="6"/>
      <c r="H17971" s="13"/>
    </row>
    <row r="17972">
      <c r="A17972" s="6"/>
      <c r="B17972" s="6"/>
      <c r="H17972" s="13"/>
    </row>
    <row r="17973">
      <c r="A17973" s="6"/>
      <c r="B17973" s="6"/>
      <c r="H17973" s="13"/>
    </row>
    <row r="17974">
      <c r="A17974" s="6"/>
      <c r="B17974" s="6"/>
      <c r="H17974" s="13"/>
    </row>
    <row r="17975">
      <c r="A17975" s="6"/>
      <c r="B17975" s="6"/>
      <c r="H17975" s="13"/>
    </row>
    <row r="17976">
      <c r="A17976" s="6"/>
      <c r="B17976" s="6"/>
      <c r="H17976" s="13"/>
    </row>
    <row r="17977">
      <c r="A17977" s="6"/>
      <c r="B17977" s="6"/>
      <c r="H17977" s="13"/>
    </row>
    <row r="17978">
      <c r="A17978" s="6"/>
      <c r="B17978" s="6"/>
      <c r="H17978" s="13"/>
    </row>
    <row r="17979">
      <c r="A17979" s="6"/>
      <c r="B17979" s="6"/>
      <c r="H17979" s="13"/>
    </row>
    <row r="17980">
      <c r="A17980" s="6"/>
      <c r="B17980" s="6"/>
      <c r="H17980" s="13"/>
    </row>
    <row r="17981">
      <c r="A17981" s="6"/>
      <c r="B17981" s="6"/>
      <c r="H17981" s="13"/>
    </row>
    <row r="17982">
      <c r="A17982" s="6"/>
      <c r="B17982" s="6"/>
      <c r="H17982" s="13"/>
    </row>
    <row r="17983">
      <c r="A17983" s="6"/>
      <c r="B17983" s="6"/>
      <c r="H17983" s="13"/>
    </row>
    <row r="17984">
      <c r="A17984" s="6"/>
      <c r="B17984" s="6"/>
      <c r="H17984" s="13"/>
    </row>
    <row r="17985">
      <c r="A17985" s="6"/>
      <c r="B17985" s="6"/>
      <c r="H17985" s="13"/>
    </row>
    <row r="17986">
      <c r="A17986" s="6"/>
      <c r="B17986" s="6"/>
      <c r="H17986" s="13"/>
    </row>
    <row r="17987">
      <c r="A17987" s="6"/>
      <c r="B17987" s="6"/>
      <c r="H17987" s="13"/>
    </row>
    <row r="17988">
      <c r="A17988" s="6"/>
      <c r="B17988" s="6"/>
      <c r="H17988" s="13"/>
    </row>
    <row r="17989">
      <c r="A17989" s="6"/>
      <c r="B17989" s="6"/>
      <c r="H17989" s="13"/>
    </row>
    <row r="17990">
      <c r="A17990" s="6"/>
      <c r="B17990" s="6"/>
      <c r="H17990" s="13"/>
    </row>
    <row r="17991">
      <c r="A17991" s="6"/>
      <c r="B17991" s="6"/>
      <c r="H17991" s="13"/>
    </row>
    <row r="17992">
      <c r="A17992" s="6"/>
      <c r="B17992" s="6"/>
      <c r="H17992" s="13"/>
    </row>
    <row r="17993">
      <c r="A17993" s="6"/>
      <c r="B17993" s="6"/>
      <c r="H17993" s="13"/>
    </row>
    <row r="17994">
      <c r="A17994" s="6"/>
      <c r="B17994" s="6"/>
      <c r="H17994" s="13"/>
    </row>
    <row r="17995">
      <c r="A17995" s="6"/>
      <c r="B17995" s="6"/>
      <c r="H17995" s="13"/>
    </row>
    <row r="17996">
      <c r="A17996" s="6"/>
      <c r="B17996" s="6"/>
      <c r="H17996" s="13"/>
    </row>
    <row r="17997">
      <c r="A17997" s="6"/>
      <c r="B17997" s="6"/>
      <c r="H17997" s="13"/>
    </row>
    <row r="17998">
      <c r="A17998" s="6"/>
      <c r="B17998" s="6"/>
      <c r="H17998" s="13"/>
    </row>
    <row r="17999">
      <c r="A17999" s="6"/>
      <c r="B17999" s="6"/>
      <c r="H17999" s="13"/>
    </row>
    <row r="18000">
      <c r="A18000" s="6"/>
      <c r="B18000" s="6"/>
      <c r="H18000" s="13"/>
    </row>
    <row r="18001">
      <c r="A18001" s="6"/>
      <c r="B18001" s="6"/>
      <c r="H18001" s="13"/>
    </row>
    <row r="18002">
      <c r="A18002" s="6"/>
      <c r="B18002" s="6"/>
      <c r="H18002" s="13"/>
    </row>
    <row r="18003">
      <c r="A18003" s="6"/>
      <c r="B18003" s="6"/>
      <c r="H18003" s="13"/>
    </row>
    <row r="18004">
      <c r="A18004" s="6"/>
      <c r="B18004" s="6"/>
      <c r="H18004" s="13"/>
    </row>
    <row r="18005">
      <c r="A18005" s="6"/>
      <c r="B18005" s="6"/>
      <c r="H18005" s="13"/>
    </row>
    <row r="18006">
      <c r="A18006" s="6"/>
      <c r="B18006" s="6"/>
      <c r="H18006" s="13"/>
    </row>
    <row r="18007">
      <c r="A18007" s="6"/>
      <c r="B18007" s="6"/>
      <c r="H18007" s="13"/>
    </row>
    <row r="18008">
      <c r="A18008" s="6"/>
      <c r="B18008" s="6"/>
      <c r="H18008" s="13"/>
    </row>
    <row r="18009">
      <c r="A18009" s="6"/>
      <c r="B18009" s="6"/>
      <c r="H18009" s="13"/>
    </row>
    <row r="18010">
      <c r="A18010" s="6"/>
      <c r="B18010" s="6"/>
      <c r="H18010" s="13"/>
    </row>
    <row r="18011">
      <c r="A18011" s="6"/>
      <c r="B18011" s="6"/>
      <c r="H18011" s="13"/>
    </row>
    <row r="18012">
      <c r="A18012" s="6"/>
      <c r="B18012" s="6"/>
      <c r="H18012" s="13"/>
    </row>
    <row r="18013">
      <c r="A18013" s="6"/>
      <c r="B18013" s="6"/>
      <c r="H18013" s="13"/>
    </row>
    <row r="18014">
      <c r="A18014" s="6"/>
      <c r="B18014" s="6"/>
      <c r="H18014" s="13"/>
    </row>
    <row r="18015">
      <c r="A18015" s="6"/>
      <c r="B18015" s="6"/>
      <c r="H18015" s="13"/>
    </row>
    <row r="18016">
      <c r="A18016" s="6"/>
      <c r="B18016" s="6"/>
      <c r="H18016" s="13"/>
    </row>
    <row r="18017">
      <c r="A18017" s="6"/>
      <c r="B18017" s="6"/>
      <c r="H18017" s="13"/>
    </row>
    <row r="18018">
      <c r="A18018" s="6"/>
      <c r="B18018" s="6"/>
      <c r="H18018" s="13"/>
    </row>
    <row r="18019">
      <c r="A18019" s="6"/>
      <c r="B18019" s="6"/>
      <c r="H18019" s="13"/>
    </row>
    <row r="18020">
      <c r="A18020" s="6"/>
      <c r="B18020" s="6"/>
      <c r="H18020" s="13"/>
    </row>
    <row r="18021">
      <c r="A18021" s="6"/>
      <c r="B18021" s="6"/>
      <c r="H18021" s="13"/>
    </row>
    <row r="18022">
      <c r="A18022" s="6"/>
      <c r="B18022" s="6"/>
      <c r="H18022" s="13"/>
    </row>
    <row r="18023">
      <c r="A18023" s="6"/>
      <c r="B18023" s="6"/>
      <c r="H18023" s="13"/>
    </row>
    <row r="18024">
      <c r="A18024" s="6"/>
      <c r="B18024" s="6"/>
      <c r="H18024" s="13"/>
    </row>
    <row r="18025">
      <c r="A18025" s="6"/>
      <c r="B18025" s="6"/>
      <c r="H18025" s="13"/>
    </row>
    <row r="18026">
      <c r="A18026" s="6"/>
      <c r="B18026" s="6"/>
      <c r="H18026" s="13"/>
    </row>
    <row r="18027">
      <c r="A18027" s="6"/>
      <c r="B18027" s="6"/>
      <c r="H18027" s="13"/>
    </row>
    <row r="18028">
      <c r="A18028" s="6"/>
      <c r="B18028" s="6"/>
      <c r="H18028" s="13"/>
    </row>
    <row r="18029">
      <c r="A18029" s="6"/>
      <c r="B18029" s="6"/>
      <c r="H18029" s="13"/>
    </row>
    <row r="18030">
      <c r="A18030" s="6"/>
      <c r="B18030" s="6"/>
      <c r="H18030" s="13"/>
    </row>
    <row r="18031">
      <c r="A18031" s="6"/>
      <c r="B18031" s="6"/>
      <c r="H18031" s="13"/>
    </row>
    <row r="18032">
      <c r="A18032" s="6"/>
      <c r="B18032" s="6"/>
      <c r="H18032" s="13"/>
    </row>
    <row r="18033">
      <c r="A18033" s="6"/>
      <c r="B18033" s="6"/>
      <c r="H18033" s="13"/>
    </row>
    <row r="18034">
      <c r="A18034" s="6"/>
      <c r="B18034" s="6"/>
      <c r="H18034" s="13"/>
    </row>
    <row r="18035">
      <c r="A18035" s="6"/>
      <c r="B18035" s="6"/>
      <c r="H18035" s="13"/>
    </row>
    <row r="18036">
      <c r="A18036" s="6"/>
      <c r="B18036" s="6"/>
      <c r="H18036" s="13"/>
    </row>
    <row r="18037">
      <c r="A18037" s="6"/>
      <c r="B18037" s="6"/>
      <c r="H18037" s="13"/>
    </row>
    <row r="18038">
      <c r="A18038" s="6"/>
      <c r="B18038" s="6"/>
      <c r="H18038" s="13"/>
    </row>
    <row r="18039">
      <c r="A18039" s="6"/>
      <c r="B18039" s="6"/>
      <c r="H18039" s="13"/>
    </row>
    <row r="18040">
      <c r="A18040" s="6"/>
      <c r="B18040" s="6"/>
      <c r="H18040" s="13"/>
    </row>
    <row r="18041">
      <c r="A18041" s="6"/>
      <c r="B18041" s="6"/>
      <c r="H18041" s="13"/>
    </row>
    <row r="18042">
      <c r="A18042" s="6"/>
      <c r="B18042" s="6"/>
      <c r="H18042" s="13"/>
    </row>
    <row r="18043">
      <c r="A18043" s="6"/>
      <c r="B18043" s="6"/>
      <c r="H18043" s="13"/>
    </row>
    <row r="18044">
      <c r="A18044" s="6"/>
      <c r="B18044" s="6"/>
      <c r="H18044" s="13"/>
    </row>
    <row r="18045">
      <c r="A18045" s="6"/>
      <c r="B18045" s="6"/>
      <c r="H18045" s="13"/>
    </row>
    <row r="18046">
      <c r="A18046" s="6"/>
      <c r="B18046" s="6"/>
      <c r="H18046" s="13"/>
    </row>
    <row r="18047">
      <c r="A18047" s="6"/>
      <c r="B18047" s="6"/>
      <c r="H18047" s="13"/>
    </row>
    <row r="18048">
      <c r="A18048" s="6"/>
      <c r="B18048" s="6"/>
      <c r="H18048" s="13"/>
    </row>
    <row r="18049">
      <c r="A18049" s="6"/>
      <c r="B18049" s="6"/>
      <c r="H18049" s="13"/>
    </row>
    <row r="18050">
      <c r="A18050" s="6"/>
      <c r="B18050" s="6"/>
      <c r="H18050" s="13"/>
    </row>
    <row r="18051">
      <c r="A18051" s="6"/>
      <c r="B18051" s="6"/>
      <c r="H18051" s="13"/>
    </row>
    <row r="18052">
      <c r="A18052" s="6"/>
      <c r="B18052" s="6"/>
      <c r="H18052" s="13"/>
    </row>
    <row r="18053">
      <c r="A18053" s="6"/>
      <c r="B18053" s="6"/>
      <c r="H18053" s="13"/>
    </row>
    <row r="18054">
      <c r="A18054" s="6"/>
      <c r="B18054" s="6"/>
      <c r="H18054" s="13"/>
    </row>
    <row r="18055">
      <c r="A18055" s="6"/>
      <c r="B18055" s="6"/>
      <c r="H18055" s="13"/>
    </row>
    <row r="18056">
      <c r="A18056" s="6"/>
      <c r="B18056" s="6"/>
      <c r="H18056" s="13"/>
    </row>
    <row r="18057">
      <c r="A18057" s="6"/>
      <c r="B18057" s="6"/>
      <c r="H18057" s="13"/>
    </row>
    <row r="18058">
      <c r="A18058" s="6"/>
      <c r="B18058" s="6"/>
      <c r="H18058" s="13"/>
    </row>
    <row r="18059">
      <c r="A18059" s="6"/>
      <c r="B18059" s="6"/>
      <c r="H18059" s="13"/>
    </row>
    <row r="18060">
      <c r="A18060" s="6"/>
      <c r="B18060" s="6"/>
      <c r="H18060" s="13"/>
    </row>
    <row r="18061">
      <c r="A18061" s="6"/>
      <c r="B18061" s="6"/>
      <c r="H18061" s="13"/>
    </row>
    <row r="18062">
      <c r="A18062" s="6"/>
      <c r="B18062" s="6"/>
      <c r="H18062" s="13"/>
    </row>
    <row r="18063">
      <c r="A18063" s="6"/>
      <c r="B18063" s="6"/>
      <c r="H18063" s="13"/>
    </row>
    <row r="18064">
      <c r="A18064" s="6"/>
      <c r="B18064" s="6"/>
      <c r="H18064" s="13"/>
    </row>
    <row r="18065">
      <c r="A18065" s="6"/>
      <c r="B18065" s="6"/>
      <c r="H18065" s="13"/>
    </row>
    <row r="18066">
      <c r="A18066" s="6"/>
      <c r="B18066" s="6"/>
      <c r="H18066" s="13"/>
    </row>
    <row r="18067">
      <c r="A18067" s="6"/>
      <c r="B18067" s="6"/>
      <c r="H18067" s="13"/>
    </row>
    <row r="18068">
      <c r="A18068" s="6"/>
      <c r="B18068" s="6"/>
      <c r="H18068" s="13"/>
    </row>
    <row r="18069">
      <c r="A18069" s="6"/>
      <c r="B18069" s="6"/>
      <c r="H18069" s="13"/>
    </row>
    <row r="18070">
      <c r="A18070" s="6"/>
      <c r="B18070" s="6"/>
      <c r="H18070" s="13"/>
    </row>
    <row r="18071">
      <c r="A18071" s="6"/>
      <c r="B18071" s="6"/>
      <c r="H18071" s="13"/>
    </row>
    <row r="18072">
      <c r="A18072" s="6"/>
      <c r="B18072" s="6"/>
      <c r="H18072" s="13"/>
    </row>
    <row r="18073">
      <c r="A18073" s="6"/>
      <c r="B18073" s="6"/>
      <c r="H18073" s="13"/>
    </row>
    <row r="18074">
      <c r="A18074" s="6"/>
      <c r="B18074" s="6"/>
      <c r="H18074" s="13"/>
    </row>
    <row r="18075">
      <c r="A18075" s="6"/>
      <c r="B18075" s="6"/>
      <c r="H18075" s="13"/>
    </row>
    <row r="18076">
      <c r="A18076" s="6"/>
      <c r="B18076" s="6"/>
      <c r="H18076" s="13"/>
    </row>
    <row r="18077">
      <c r="A18077" s="6"/>
      <c r="B18077" s="6"/>
      <c r="H18077" s="13"/>
    </row>
    <row r="18078">
      <c r="A18078" s="6"/>
      <c r="B18078" s="6"/>
      <c r="H18078" s="13"/>
    </row>
    <row r="18079">
      <c r="A18079" s="6"/>
      <c r="B18079" s="6"/>
      <c r="H18079" s="13"/>
    </row>
    <row r="18080">
      <c r="A18080" s="6"/>
      <c r="B18080" s="6"/>
      <c r="H18080" s="13"/>
    </row>
    <row r="18081">
      <c r="A18081" s="6"/>
      <c r="B18081" s="6"/>
      <c r="H18081" s="13"/>
    </row>
    <row r="18082">
      <c r="A18082" s="6"/>
      <c r="B18082" s="6"/>
      <c r="H18082" s="13"/>
    </row>
    <row r="18083">
      <c r="A18083" s="6"/>
      <c r="B18083" s="6"/>
      <c r="H18083" s="13"/>
    </row>
    <row r="18084">
      <c r="A18084" s="6"/>
      <c r="B18084" s="6"/>
      <c r="H18084" s="13"/>
    </row>
    <row r="18085">
      <c r="A18085" s="6"/>
      <c r="B18085" s="6"/>
      <c r="H18085" s="13"/>
    </row>
    <row r="18086">
      <c r="A18086" s="6"/>
      <c r="B18086" s="6"/>
      <c r="H18086" s="13"/>
    </row>
    <row r="18087">
      <c r="A18087" s="6"/>
      <c r="B18087" s="6"/>
      <c r="H18087" s="13"/>
    </row>
    <row r="18088">
      <c r="A18088" s="6"/>
      <c r="B18088" s="6"/>
      <c r="H18088" s="13"/>
    </row>
    <row r="18089">
      <c r="A18089" s="6"/>
      <c r="B18089" s="6"/>
      <c r="H18089" s="13"/>
    </row>
    <row r="18090">
      <c r="A18090" s="6"/>
      <c r="B18090" s="6"/>
      <c r="H18090" s="13"/>
    </row>
    <row r="18091">
      <c r="A18091" s="6"/>
      <c r="B18091" s="6"/>
      <c r="H18091" s="13"/>
    </row>
    <row r="18092">
      <c r="A18092" s="6"/>
      <c r="B18092" s="6"/>
      <c r="H18092" s="13"/>
    </row>
    <row r="18093">
      <c r="A18093" s="6"/>
      <c r="B18093" s="6"/>
      <c r="H18093" s="13"/>
    </row>
    <row r="18094">
      <c r="A18094" s="6"/>
      <c r="B18094" s="6"/>
      <c r="H18094" s="13"/>
    </row>
    <row r="18095">
      <c r="A18095" s="6"/>
      <c r="B18095" s="6"/>
      <c r="H18095" s="13"/>
    </row>
    <row r="18096">
      <c r="A18096" s="6"/>
      <c r="B18096" s="6"/>
      <c r="H18096" s="13"/>
    </row>
    <row r="18097">
      <c r="A18097" s="6"/>
      <c r="B18097" s="6"/>
      <c r="H18097" s="13"/>
    </row>
    <row r="18098">
      <c r="A18098" s="6"/>
      <c r="B18098" s="6"/>
      <c r="H18098" s="13"/>
    </row>
    <row r="18099">
      <c r="A18099" s="6"/>
      <c r="B18099" s="6"/>
      <c r="H18099" s="13"/>
    </row>
    <row r="18100">
      <c r="A18100" s="6"/>
      <c r="B18100" s="6"/>
      <c r="H18100" s="13"/>
    </row>
    <row r="18101">
      <c r="A18101" s="6"/>
      <c r="B18101" s="6"/>
      <c r="H18101" s="13"/>
    </row>
    <row r="18102">
      <c r="A18102" s="6"/>
      <c r="B18102" s="6"/>
      <c r="H18102" s="13"/>
    </row>
    <row r="18103">
      <c r="A18103" s="6"/>
      <c r="B18103" s="6"/>
      <c r="H18103" s="13"/>
    </row>
    <row r="18104">
      <c r="A18104" s="6"/>
      <c r="B18104" s="6"/>
      <c r="H18104" s="13"/>
    </row>
    <row r="18105">
      <c r="A18105" s="6"/>
      <c r="B18105" s="6"/>
      <c r="H18105" s="13"/>
    </row>
    <row r="18106">
      <c r="A18106" s="6"/>
      <c r="B18106" s="6"/>
      <c r="H18106" s="13"/>
    </row>
    <row r="18107">
      <c r="A18107" s="6"/>
      <c r="B18107" s="6"/>
      <c r="H18107" s="13"/>
    </row>
    <row r="18108">
      <c r="A18108" s="6"/>
      <c r="B18108" s="6"/>
      <c r="H18108" s="13"/>
    </row>
    <row r="18109">
      <c r="A18109" s="6"/>
      <c r="B18109" s="6"/>
      <c r="H18109" s="13"/>
    </row>
    <row r="18110">
      <c r="A18110" s="6"/>
      <c r="B18110" s="6"/>
      <c r="H18110" s="13"/>
    </row>
    <row r="18111">
      <c r="A18111" s="6"/>
      <c r="B18111" s="6"/>
      <c r="H18111" s="13"/>
    </row>
    <row r="18112">
      <c r="A18112" s="6"/>
      <c r="B18112" s="6"/>
      <c r="H18112" s="13"/>
    </row>
    <row r="18113">
      <c r="A18113" s="6"/>
      <c r="B18113" s="6"/>
      <c r="H18113" s="13"/>
    </row>
    <row r="18114">
      <c r="A18114" s="6"/>
      <c r="B18114" s="6"/>
      <c r="H18114" s="13"/>
    </row>
    <row r="18115">
      <c r="A18115" s="6"/>
      <c r="B18115" s="6"/>
      <c r="H18115" s="13"/>
    </row>
    <row r="18116">
      <c r="A18116" s="6"/>
      <c r="B18116" s="6"/>
      <c r="H18116" s="13"/>
    </row>
    <row r="18117">
      <c r="A18117" s="6"/>
      <c r="B18117" s="6"/>
      <c r="H18117" s="13"/>
    </row>
    <row r="18118">
      <c r="A18118" s="6"/>
      <c r="B18118" s="6"/>
      <c r="H18118" s="13"/>
    </row>
    <row r="18119">
      <c r="A18119" s="6"/>
      <c r="B18119" s="6"/>
      <c r="H18119" s="13"/>
    </row>
    <row r="18120">
      <c r="A18120" s="6"/>
      <c r="B18120" s="6"/>
      <c r="H18120" s="13"/>
    </row>
    <row r="18121">
      <c r="A18121" s="6"/>
      <c r="B18121" s="6"/>
      <c r="H18121" s="13"/>
    </row>
    <row r="18122">
      <c r="A18122" s="6"/>
      <c r="B18122" s="6"/>
      <c r="H18122" s="13"/>
    </row>
    <row r="18123">
      <c r="A18123" s="6"/>
      <c r="B18123" s="6"/>
      <c r="H18123" s="13"/>
    </row>
    <row r="18124">
      <c r="A18124" s="6"/>
      <c r="B18124" s="6"/>
      <c r="H18124" s="13"/>
    </row>
    <row r="18125">
      <c r="A18125" s="6"/>
      <c r="B18125" s="6"/>
      <c r="H18125" s="13"/>
    </row>
    <row r="18126">
      <c r="A18126" s="6"/>
      <c r="B18126" s="6"/>
      <c r="H18126" s="13"/>
    </row>
    <row r="18127">
      <c r="A18127" s="6"/>
      <c r="B18127" s="6"/>
      <c r="H18127" s="13"/>
    </row>
    <row r="18128">
      <c r="A18128" s="6"/>
      <c r="B18128" s="6"/>
      <c r="H18128" s="13"/>
    </row>
    <row r="18129">
      <c r="A18129" s="6"/>
      <c r="B18129" s="6"/>
      <c r="H18129" s="13"/>
    </row>
    <row r="18130">
      <c r="A18130" s="6"/>
      <c r="B18130" s="6"/>
      <c r="H18130" s="13"/>
    </row>
    <row r="18131">
      <c r="A18131" s="6"/>
      <c r="B18131" s="6"/>
      <c r="H18131" s="13"/>
    </row>
    <row r="18132">
      <c r="A18132" s="6"/>
      <c r="B18132" s="6"/>
      <c r="H18132" s="13"/>
    </row>
    <row r="18133">
      <c r="A18133" s="6"/>
      <c r="B18133" s="6"/>
      <c r="H18133" s="13"/>
    </row>
    <row r="18134">
      <c r="A18134" s="6"/>
      <c r="B18134" s="6"/>
      <c r="H18134" s="13"/>
    </row>
    <row r="18135">
      <c r="A18135" s="6"/>
      <c r="B18135" s="6"/>
      <c r="H18135" s="13"/>
    </row>
    <row r="18136">
      <c r="A18136" s="6"/>
      <c r="B18136" s="6"/>
      <c r="H18136" s="13"/>
    </row>
    <row r="18137">
      <c r="A18137" s="6"/>
      <c r="B18137" s="6"/>
      <c r="H18137" s="13"/>
    </row>
    <row r="18138">
      <c r="A18138" s="6"/>
      <c r="B18138" s="6"/>
      <c r="H18138" s="13"/>
    </row>
    <row r="18139">
      <c r="A18139" s="6"/>
      <c r="B18139" s="6"/>
      <c r="H18139" s="13"/>
    </row>
    <row r="18140">
      <c r="A18140" s="6"/>
      <c r="B18140" s="6"/>
      <c r="H18140" s="13"/>
    </row>
    <row r="18141">
      <c r="A18141" s="6"/>
      <c r="B18141" s="6"/>
      <c r="H18141" s="13"/>
    </row>
    <row r="18142">
      <c r="A18142" s="6"/>
      <c r="B18142" s="6"/>
      <c r="H18142" s="13"/>
    </row>
    <row r="18143">
      <c r="A18143" s="6"/>
      <c r="B18143" s="6"/>
      <c r="H18143" s="13"/>
    </row>
    <row r="18144">
      <c r="A18144" s="6"/>
      <c r="B18144" s="6"/>
      <c r="H18144" s="13"/>
    </row>
    <row r="18145">
      <c r="A18145" s="6"/>
      <c r="B18145" s="6"/>
      <c r="H18145" s="13"/>
    </row>
    <row r="18146">
      <c r="A18146" s="6"/>
      <c r="B18146" s="6"/>
      <c r="H18146" s="13"/>
    </row>
    <row r="18147">
      <c r="A18147" s="6"/>
      <c r="B18147" s="6"/>
      <c r="H18147" s="13"/>
    </row>
    <row r="18148">
      <c r="A18148" s="6"/>
      <c r="B18148" s="6"/>
      <c r="H18148" s="13"/>
    </row>
    <row r="18149">
      <c r="A18149" s="6"/>
      <c r="B18149" s="6"/>
      <c r="H18149" s="13"/>
    </row>
    <row r="18150">
      <c r="A18150" s="6"/>
      <c r="B18150" s="6"/>
      <c r="H18150" s="13"/>
    </row>
    <row r="18151">
      <c r="A18151" s="6"/>
      <c r="B18151" s="6"/>
      <c r="H18151" s="13"/>
    </row>
    <row r="18152">
      <c r="A18152" s="6"/>
      <c r="B18152" s="6"/>
      <c r="H18152" s="13"/>
    </row>
    <row r="18153">
      <c r="A18153" s="6"/>
      <c r="B18153" s="6"/>
      <c r="H18153" s="13"/>
    </row>
    <row r="18154">
      <c r="A18154" s="6"/>
      <c r="B18154" s="6"/>
      <c r="H18154" s="13"/>
    </row>
    <row r="18155">
      <c r="A18155" s="6"/>
      <c r="B18155" s="6"/>
      <c r="H18155" s="13"/>
    </row>
    <row r="18156">
      <c r="A18156" s="6"/>
      <c r="B18156" s="6"/>
      <c r="H18156" s="13"/>
    </row>
    <row r="18157">
      <c r="A18157" s="6"/>
      <c r="B18157" s="6"/>
      <c r="H18157" s="13"/>
    </row>
    <row r="18158">
      <c r="A18158" s="6"/>
      <c r="B18158" s="6"/>
      <c r="H18158" s="13"/>
    </row>
    <row r="18159">
      <c r="A18159" s="6"/>
      <c r="B18159" s="6"/>
      <c r="H18159" s="13"/>
    </row>
    <row r="18160">
      <c r="A18160" s="6"/>
      <c r="B18160" s="6"/>
      <c r="H18160" s="13"/>
    </row>
    <row r="18161">
      <c r="A18161" s="6"/>
      <c r="B18161" s="6"/>
      <c r="H18161" s="13"/>
    </row>
    <row r="18162">
      <c r="A18162" s="6"/>
      <c r="B18162" s="6"/>
      <c r="H18162" s="13"/>
    </row>
    <row r="18163">
      <c r="A18163" s="6"/>
      <c r="B18163" s="6"/>
      <c r="H18163" s="13"/>
    </row>
    <row r="18164">
      <c r="A18164" s="6"/>
      <c r="B18164" s="6"/>
      <c r="H18164" s="13"/>
    </row>
    <row r="18165">
      <c r="A18165" s="6"/>
      <c r="B18165" s="6"/>
      <c r="H18165" s="13"/>
    </row>
    <row r="18166">
      <c r="A18166" s="6"/>
      <c r="B18166" s="6"/>
      <c r="H18166" s="13"/>
    </row>
    <row r="18167">
      <c r="A18167" s="6"/>
      <c r="B18167" s="6"/>
      <c r="H18167" s="13"/>
    </row>
    <row r="18168">
      <c r="A18168" s="6"/>
      <c r="B18168" s="6"/>
      <c r="H18168" s="13"/>
    </row>
    <row r="18169">
      <c r="A18169" s="6"/>
      <c r="B18169" s="6"/>
      <c r="H18169" s="13"/>
    </row>
    <row r="18170">
      <c r="A18170" s="6"/>
      <c r="B18170" s="6"/>
      <c r="H18170" s="13"/>
    </row>
    <row r="18171">
      <c r="A18171" s="6"/>
      <c r="B18171" s="6"/>
      <c r="H18171" s="13"/>
    </row>
    <row r="18172">
      <c r="A18172" s="6"/>
      <c r="B18172" s="6"/>
      <c r="H18172" s="13"/>
    </row>
    <row r="18173">
      <c r="A18173" s="6"/>
      <c r="B18173" s="6"/>
      <c r="H18173" s="13"/>
    </row>
    <row r="18174">
      <c r="A18174" s="6"/>
      <c r="B18174" s="6"/>
      <c r="H18174" s="13"/>
    </row>
    <row r="18175">
      <c r="A18175" s="6"/>
      <c r="B18175" s="6"/>
      <c r="H18175" s="13"/>
    </row>
    <row r="18176">
      <c r="A18176" s="6"/>
      <c r="B18176" s="6"/>
      <c r="H18176" s="13"/>
    </row>
    <row r="18177">
      <c r="A18177" s="6"/>
      <c r="B18177" s="6"/>
      <c r="H18177" s="13"/>
    </row>
    <row r="18178">
      <c r="A18178" s="6"/>
      <c r="B18178" s="6"/>
      <c r="H18178" s="13"/>
    </row>
    <row r="18179">
      <c r="A18179" s="6"/>
      <c r="B18179" s="6"/>
      <c r="H18179" s="13"/>
    </row>
    <row r="18180">
      <c r="A18180" s="6"/>
      <c r="B18180" s="6"/>
      <c r="H18180" s="13"/>
    </row>
    <row r="18181">
      <c r="A18181" s="6"/>
      <c r="B18181" s="6"/>
      <c r="H18181" s="13"/>
    </row>
    <row r="18182">
      <c r="A18182" s="6"/>
      <c r="B18182" s="6"/>
      <c r="H18182" s="13"/>
    </row>
    <row r="18183">
      <c r="A18183" s="6"/>
      <c r="B18183" s="6"/>
      <c r="H18183" s="13"/>
    </row>
    <row r="18184">
      <c r="A18184" s="6"/>
      <c r="B18184" s="6"/>
      <c r="H18184" s="13"/>
    </row>
    <row r="18185">
      <c r="A18185" s="6"/>
      <c r="B18185" s="6"/>
      <c r="H18185" s="13"/>
    </row>
    <row r="18186">
      <c r="A18186" s="6"/>
      <c r="B18186" s="6"/>
      <c r="H18186" s="13"/>
    </row>
    <row r="18187">
      <c r="A18187" s="6"/>
      <c r="B18187" s="6"/>
      <c r="H18187" s="13"/>
    </row>
    <row r="18188">
      <c r="A18188" s="6"/>
      <c r="B18188" s="6"/>
      <c r="H18188" s="13"/>
    </row>
    <row r="18189">
      <c r="A18189" s="6"/>
      <c r="B18189" s="6"/>
      <c r="H18189" s="13"/>
    </row>
    <row r="18190">
      <c r="A18190" s="6"/>
      <c r="B18190" s="6"/>
      <c r="H18190" s="13"/>
    </row>
    <row r="18191">
      <c r="A18191" s="6"/>
      <c r="B18191" s="6"/>
      <c r="H18191" s="13"/>
    </row>
    <row r="18192">
      <c r="A18192" s="6"/>
      <c r="B18192" s="6"/>
      <c r="H18192" s="13"/>
    </row>
    <row r="18193">
      <c r="A18193" s="6"/>
      <c r="B18193" s="6"/>
      <c r="H18193" s="13"/>
    </row>
    <row r="18194">
      <c r="A18194" s="6"/>
      <c r="B18194" s="6"/>
      <c r="H18194" s="13"/>
    </row>
    <row r="18195">
      <c r="A18195" s="6"/>
      <c r="B18195" s="6"/>
      <c r="H18195" s="13"/>
    </row>
    <row r="18196">
      <c r="A18196" s="6"/>
      <c r="B18196" s="6"/>
      <c r="H18196" s="13"/>
    </row>
    <row r="18197">
      <c r="A18197" s="6"/>
      <c r="B18197" s="6"/>
      <c r="H18197" s="13"/>
    </row>
    <row r="18198">
      <c r="A18198" s="6"/>
      <c r="B18198" s="6"/>
      <c r="H18198" s="13"/>
    </row>
    <row r="18199">
      <c r="A18199" s="6"/>
      <c r="B18199" s="6"/>
      <c r="H18199" s="13"/>
    </row>
    <row r="18200">
      <c r="A18200" s="6"/>
      <c r="B18200" s="6"/>
      <c r="H18200" s="13"/>
    </row>
    <row r="18201">
      <c r="A18201" s="6"/>
      <c r="B18201" s="6"/>
      <c r="H18201" s="13"/>
    </row>
    <row r="18202">
      <c r="A18202" s="6"/>
      <c r="B18202" s="6"/>
      <c r="H18202" s="13"/>
    </row>
    <row r="18203">
      <c r="A18203" s="6"/>
      <c r="B18203" s="6"/>
      <c r="H18203" s="13"/>
    </row>
    <row r="18204">
      <c r="A18204" s="6"/>
      <c r="B18204" s="6"/>
      <c r="H18204" s="13"/>
    </row>
    <row r="18205">
      <c r="A18205" s="6"/>
      <c r="B18205" s="6"/>
      <c r="H18205" s="13"/>
    </row>
    <row r="18206">
      <c r="A18206" s="6"/>
      <c r="B18206" s="6"/>
      <c r="H18206" s="13"/>
    </row>
    <row r="18207">
      <c r="A18207" s="6"/>
      <c r="B18207" s="6"/>
      <c r="H18207" s="13"/>
    </row>
    <row r="18208">
      <c r="A18208" s="6"/>
      <c r="B18208" s="6"/>
      <c r="H18208" s="13"/>
    </row>
    <row r="18209">
      <c r="A18209" s="6"/>
      <c r="B18209" s="6"/>
      <c r="H18209" s="13"/>
    </row>
    <row r="18210">
      <c r="A18210" s="6"/>
      <c r="B18210" s="6"/>
      <c r="H18210" s="13"/>
    </row>
    <row r="18211">
      <c r="A18211" s="6"/>
      <c r="B18211" s="6"/>
      <c r="H18211" s="13"/>
    </row>
    <row r="18212">
      <c r="A18212" s="6"/>
      <c r="B18212" s="6"/>
      <c r="H18212" s="13"/>
    </row>
    <row r="18213">
      <c r="A18213" s="6"/>
      <c r="B18213" s="6"/>
      <c r="H18213" s="13"/>
    </row>
    <row r="18214">
      <c r="A18214" s="6"/>
      <c r="B18214" s="6"/>
      <c r="H18214" s="13"/>
    </row>
    <row r="18215">
      <c r="A18215" s="6"/>
      <c r="B18215" s="6"/>
      <c r="H18215" s="13"/>
    </row>
    <row r="18216">
      <c r="A18216" s="6"/>
      <c r="B18216" s="6"/>
      <c r="H18216" s="13"/>
    </row>
    <row r="18217">
      <c r="A18217" s="6"/>
      <c r="B18217" s="6"/>
      <c r="H18217" s="13"/>
    </row>
    <row r="18218">
      <c r="A18218" s="6"/>
      <c r="B18218" s="6"/>
      <c r="H18218" s="13"/>
    </row>
    <row r="18219">
      <c r="A18219" s="6"/>
      <c r="B18219" s="6"/>
      <c r="H18219" s="13"/>
    </row>
    <row r="18220">
      <c r="A18220" s="6"/>
      <c r="B18220" s="6"/>
      <c r="H18220" s="13"/>
    </row>
    <row r="18221">
      <c r="A18221" s="6"/>
      <c r="B18221" s="6"/>
      <c r="H18221" s="13"/>
    </row>
    <row r="18222">
      <c r="A18222" s="6"/>
      <c r="B18222" s="6"/>
      <c r="H18222" s="13"/>
    </row>
    <row r="18223">
      <c r="A18223" s="6"/>
      <c r="B18223" s="6"/>
      <c r="H18223" s="13"/>
    </row>
    <row r="18224">
      <c r="A18224" s="6"/>
      <c r="B18224" s="6"/>
      <c r="H18224" s="13"/>
    </row>
    <row r="18225">
      <c r="A18225" s="6"/>
      <c r="B18225" s="6"/>
      <c r="H18225" s="13"/>
    </row>
    <row r="18226">
      <c r="A18226" s="6"/>
      <c r="B18226" s="6"/>
      <c r="H18226" s="13"/>
    </row>
    <row r="18227">
      <c r="A18227" s="6"/>
      <c r="B18227" s="6"/>
      <c r="H18227" s="13"/>
    </row>
    <row r="18228">
      <c r="A18228" s="6"/>
      <c r="B18228" s="6"/>
      <c r="H18228" s="13"/>
    </row>
    <row r="18229">
      <c r="A18229" s="6"/>
      <c r="B18229" s="6"/>
      <c r="H18229" s="13"/>
    </row>
    <row r="18230">
      <c r="A18230" s="6"/>
      <c r="B18230" s="6"/>
      <c r="H18230" s="13"/>
    </row>
    <row r="18231">
      <c r="A18231" s="6"/>
      <c r="B18231" s="6"/>
      <c r="H18231" s="13"/>
    </row>
    <row r="18232">
      <c r="A18232" s="6"/>
      <c r="B18232" s="6"/>
      <c r="H18232" s="13"/>
    </row>
    <row r="18233">
      <c r="A18233" s="6"/>
      <c r="B18233" s="6"/>
      <c r="H18233" s="13"/>
    </row>
    <row r="18234">
      <c r="A18234" s="6"/>
      <c r="B18234" s="6"/>
      <c r="H18234" s="13"/>
    </row>
    <row r="18235">
      <c r="A18235" s="6"/>
      <c r="B18235" s="6"/>
      <c r="H18235" s="13"/>
    </row>
    <row r="18236">
      <c r="A18236" s="6"/>
      <c r="B18236" s="6"/>
      <c r="H18236" s="13"/>
    </row>
    <row r="18237">
      <c r="A18237" s="6"/>
      <c r="B18237" s="6"/>
      <c r="H18237" s="13"/>
    </row>
    <row r="18238">
      <c r="A18238" s="6"/>
      <c r="B18238" s="6"/>
      <c r="H18238" s="13"/>
    </row>
    <row r="18239">
      <c r="A18239" s="6"/>
      <c r="B18239" s="6"/>
      <c r="H18239" s="13"/>
    </row>
    <row r="18240">
      <c r="A18240" s="6"/>
      <c r="B18240" s="6"/>
      <c r="H18240" s="13"/>
    </row>
    <row r="18241">
      <c r="A18241" s="6"/>
      <c r="B18241" s="6"/>
      <c r="H18241" s="13"/>
    </row>
    <row r="18242">
      <c r="A18242" s="6"/>
      <c r="B18242" s="6"/>
      <c r="H18242" s="13"/>
    </row>
    <row r="18243">
      <c r="A18243" s="6"/>
      <c r="B18243" s="6"/>
      <c r="H18243" s="13"/>
    </row>
    <row r="18244">
      <c r="A18244" s="6"/>
      <c r="B18244" s="6"/>
      <c r="H18244" s="13"/>
    </row>
    <row r="18245">
      <c r="A18245" s="6"/>
      <c r="B18245" s="6"/>
      <c r="H18245" s="13"/>
    </row>
    <row r="18246">
      <c r="A18246" s="6"/>
      <c r="B18246" s="6"/>
      <c r="H18246" s="13"/>
    </row>
    <row r="18247">
      <c r="A18247" s="6"/>
      <c r="B18247" s="6"/>
      <c r="H18247" s="13"/>
    </row>
    <row r="18248">
      <c r="A18248" s="6"/>
      <c r="B18248" s="6"/>
      <c r="H18248" s="13"/>
    </row>
    <row r="18249">
      <c r="A18249" s="6"/>
      <c r="B18249" s="6"/>
      <c r="H18249" s="13"/>
    </row>
    <row r="18250">
      <c r="A18250" s="6"/>
      <c r="B18250" s="6"/>
      <c r="H18250" s="13"/>
    </row>
    <row r="18251">
      <c r="A18251" s="6"/>
      <c r="B18251" s="6"/>
      <c r="H18251" s="13"/>
    </row>
    <row r="18252">
      <c r="A18252" s="6"/>
      <c r="B18252" s="6"/>
      <c r="H18252" s="13"/>
    </row>
    <row r="18253">
      <c r="A18253" s="6"/>
      <c r="B18253" s="6"/>
      <c r="H18253" s="13"/>
    </row>
    <row r="18254">
      <c r="A18254" s="6"/>
      <c r="B18254" s="6"/>
      <c r="H18254" s="13"/>
    </row>
    <row r="18255">
      <c r="A18255" s="6"/>
      <c r="B18255" s="6"/>
      <c r="H18255" s="13"/>
    </row>
    <row r="18256">
      <c r="A18256" s="6"/>
      <c r="B18256" s="6"/>
      <c r="H18256" s="13"/>
    </row>
    <row r="18257">
      <c r="A18257" s="6"/>
      <c r="B18257" s="6"/>
      <c r="H18257" s="13"/>
    </row>
    <row r="18258">
      <c r="A18258" s="6"/>
      <c r="B18258" s="6"/>
      <c r="H18258" s="13"/>
    </row>
    <row r="18259">
      <c r="A18259" s="6"/>
      <c r="B18259" s="6"/>
      <c r="H18259" s="13"/>
    </row>
    <row r="18260">
      <c r="A18260" s="6"/>
      <c r="B18260" s="6"/>
      <c r="H18260" s="13"/>
    </row>
    <row r="18261">
      <c r="A18261" s="6"/>
      <c r="B18261" s="6"/>
      <c r="H18261" s="13"/>
    </row>
    <row r="18262">
      <c r="A18262" s="6"/>
      <c r="B18262" s="6"/>
      <c r="H18262" s="13"/>
    </row>
    <row r="18263">
      <c r="A18263" s="6"/>
      <c r="B18263" s="6"/>
      <c r="H18263" s="13"/>
    </row>
    <row r="18264">
      <c r="A18264" s="6"/>
      <c r="B18264" s="6"/>
      <c r="H18264" s="13"/>
    </row>
    <row r="18265">
      <c r="A18265" s="6"/>
      <c r="B18265" s="6"/>
      <c r="H18265" s="13"/>
    </row>
    <row r="18266">
      <c r="A18266" s="6"/>
      <c r="B18266" s="6"/>
      <c r="H18266" s="13"/>
    </row>
    <row r="18267">
      <c r="A18267" s="6"/>
      <c r="B18267" s="6"/>
      <c r="H18267" s="13"/>
    </row>
    <row r="18268">
      <c r="A18268" s="6"/>
      <c r="B18268" s="6"/>
      <c r="H18268" s="13"/>
    </row>
    <row r="18269">
      <c r="A18269" s="6"/>
      <c r="B18269" s="6"/>
      <c r="H18269" s="13"/>
    </row>
    <row r="18270">
      <c r="A18270" s="6"/>
      <c r="B18270" s="6"/>
      <c r="H18270" s="13"/>
    </row>
    <row r="18271">
      <c r="A18271" s="6"/>
      <c r="B18271" s="6"/>
      <c r="H18271" s="13"/>
    </row>
    <row r="18272">
      <c r="A18272" s="6"/>
      <c r="B18272" s="6"/>
      <c r="H18272" s="13"/>
    </row>
    <row r="18273">
      <c r="A18273" s="6"/>
      <c r="B18273" s="6"/>
      <c r="H18273" s="13"/>
    </row>
    <row r="18274">
      <c r="A18274" s="6"/>
      <c r="B18274" s="6"/>
      <c r="H18274" s="13"/>
    </row>
    <row r="18275">
      <c r="A18275" s="6"/>
      <c r="B18275" s="6"/>
      <c r="H18275" s="13"/>
    </row>
    <row r="18276">
      <c r="A18276" s="6"/>
      <c r="B18276" s="6"/>
      <c r="H18276" s="13"/>
    </row>
    <row r="18277">
      <c r="A18277" s="6"/>
      <c r="B18277" s="6"/>
      <c r="H18277" s="13"/>
    </row>
    <row r="18278">
      <c r="A18278" s="6"/>
      <c r="B18278" s="6"/>
      <c r="H18278" s="13"/>
    </row>
    <row r="18279">
      <c r="A18279" s="6"/>
      <c r="B18279" s="6"/>
      <c r="H18279" s="13"/>
    </row>
    <row r="18280">
      <c r="A18280" s="6"/>
      <c r="B18280" s="6"/>
      <c r="H18280" s="13"/>
    </row>
    <row r="18281">
      <c r="A18281" s="6"/>
      <c r="B18281" s="6"/>
      <c r="H18281" s="13"/>
    </row>
    <row r="18282">
      <c r="A18282" s="6"/>
      <c r="B18282" s="6"/>
      <c r="H18282" s="13"/>
    </row>
    <row r="18283">
      <c r="A18283" s="6"/>
      <c r="B18283" s="6"/>
      <c r="H18283" s="13"/>
    </row>
    <row r="18284">
      <c r="A18284" s="6"/>
      <c r="B18284" s="6"/>
      <c r="H18284" s="13"/>
    </row>
    <row r="18285">
      <c r="A18285" s="6"/>
      <c r="B18285" s="6"/>
      <c r="H18285" s="13"/>
    </row>
    <row r="18286">
      <c r="A18286" s="6"/>
      <c r="B18286" s="6"/>
      <c r="H18286" s="13"/>
    </row>
    <row r="18287">
      <c r="A18287" s="6"/>
      <c r="B18287" s="6"/>
      <c r="H18287" s="13"/>
    </row>
    <row r="18288">
      <c r="A18288" s="6"/>
      <c r="B18288" s="6"/>
      <c r="H18288" s="13"/>
    </row>
    <row r="18289">
      <c r="A18289" s="6"/>
      <c r="B18289" s="6"/>
      <c r="H18289" s="13"/>
    </row>
    <row r="18290">
      <c r="A18290" s="6"/>
      <c r="B18290" s="6"/>
      <c r="H18290" s="13"/>
    </row>
    <row r="18291">
      <c r="A18291" s="6"/>
      <c r="B18291" s="6"/>
      <c r="H18291" s="13"/>
    </row>
    <row r="18292">
      <c r="A18292" s="6"/>
      <c r="B18292" s="6"/>
      <c r="H18292" s="13"/>
    </row>
    <row r="18293">
      <c r="A18293" s="6"/>
      <c r="B18293" s="6"/>
      <c r="H18293" s="13"/>
    </row>
    <row r="18294">
      <c r="A18294" s="6"/>
      <c r="B18294" s="6"/>
      <c r="H18294" s="13"/>
    </row>
    <row r="18295">
      <c r="A18295" s="6"/>
      <c r="B18295" s="6"/>
      <c r="H18295" s="13"/>
    </row>
    <row r="18296">
      <c r="A18296" s="6"/>
      <c r="B18296" s="6"/>
      <c r="H18296" s="13"/>
    </row>
    <row r="18297">
      <c r="A18297" s="6"/>
      <c r="B18297" s="6"/>
      <c r="H18297" s="13"/>
    </row>
    <row r="18298">
      <c r="A18298" s="6"/>
      <c r="B18298" s="6"/>
      <c r="H18298" s="13"/>
    </row>
    <row r="18299">
      <c r="A18299" s="6"/>
      <c r="B18299" s="6"/>
      <c r="H18299" s="13"/>
    </row>
    <row r="18300">
      <c r="A18300" s="6"/>
      <c r="B18300" s="6"/>
      <c r="H18300" s="13"/>
    </row>
    <row r="18301">
      <c r="A18301" s="6"/>
      <c r="B18301" s="6"/>
      <c r="H18301" s="13"/>
    </row>
    <row r="18302">
      <c r="A18302" s="6"/>
      <c r="B18302" s="6"/>
      <c r="H18302" s="13"/>
    </row>
    <row r="18303">
      <c r="A18303" s="6"/>
      <c r="B18303" s="6"/>
      <c r="H18303" s="13"/>
    </row>
    <row r="18304">
      <c r="A18304" s="6"/>
      <c r="B18304" s="6"/>
      <c r="H18304" s="13"/>
    </row>
    <row r="18305">
      <c r="A18305" s="6"/>
      <c r="B18305" s="6"/>
      <c r="H18305" s="13"/>
    </row>
    <row r="18306">
      <c r="A18306" s="6"/>
      <c r="B18306" s="6"/>
      <c r="H18306" s="13"/>
    </row>
    <row r="18307">
      <c r="A18307" s="6"/>
      <c r="B18307" s="6"/>
      <c r="H18307" s="13"/>
    </row>
    <row r="18308">
      <c r="A18308" s="6"/>
      <c r="B18308" s="6"/>
      <c r="H18308" s="13"/>
    </row>
    <row r="18309">
      <c r="A18309" s="6"/>
      <c r="B18309" s="6"/>
      <c r="H18309" s="13"/>
    </row>
    <row r="18310">
      <c r="A18310" s="6"/>
      <c r="B18310" s="6"/>
      <c r="H18310" s="13"/>
    </row>
    <row r="18311">
      <c r="A18311" s="6"/>
      <c r="B18311" s="6"/>
      <c r="H18311" s="13"/>
    </row>
    <row r="18312">
      <c r="A18312" s="6"/>
      <c r="B18312" s="6"/>
      <c r="H18312" s="13"/>
    </row>
    <row r="18313">
      <c r="A18313" s="6"/>
      <c r="B18313" s="6"/>
      <c r="H18313" s="13"/>
    </row>
    <row r="18314">
      <c r="A18314" s="6"/>
      <c r="B18314" s="6"/>
      <c r="H18314" s="13"/>
    </row>
    <row r="18315">
      <c r="A18315" s="6"/>
      <c r="B18315" s="6"/>
      <c r="H18315" s="13"/>
    </row>
    <row r="18316">
      <c r="A18316" s="6"/>
      <c r="B18316" s="6"/>
      <c r="H18316" s="13"/>
    </row>
    <row r="18317">
      <c r="A18317" s="6"/>
      <c r="B18317" s="6"/>
      <c r="H18317" s="13"/>
    </row>
    <row r="18318">
      <c r="A18318" s="6"/>
      <c r="B18318" s="6"/>
      <c r="H18318" s="13"/>
    </row>
    <row r="18319">
      <c r="A18319" s="6"/>
      <c r="B18319" s="6"/>
      <c r="H18319" s="13"/>
    </row>
    <row r="18320">
      <c r="A18320" s="6"/>
      <c r="B18320" s="6"/>
      <c r="H18320" s="13"/>
    </row>
    <row r="18321">
      <c r="A18321" s="6"/>
      <c r="B18321" s="6"/>
      <c r="H18321" s="13"/>
    </row>
    <row r="18322">
      <c r="A18322" s="6"/>
      <c r="B18322" s="6"/>
      <c r="H18322" s="13"/>
    </row>
    <row r="18323">
      <c r="A18323" s="6"/>
      <c r="B18323" s="6"/>
      <c r="H18323" s="13"/>
    </row>
    <row r="18324">
      <c r="A18324" s="6"/>
      <c r="B18324" s="6"/>
      <c r="H18324" s="13"/>
    </row>
    <row r="18325">
      <c r="A18325" s="6"/>
      <c r="B18325" s="6"/>
      <c r="H18325" s="13"/>
    </row>
    <row r="18326">
      <c r="A18326" s="6"/>
      <c r="B18326" s="6"/>
      <c r="H18326" s="13"/>
    </row>
    <row r="18327">
      <c r="A18327" s="6"/>
      <c r="B18327" s="6"/>
      <c r="H18327" s="13"/>
    </row>
    <row r="18328">
      <c r="A18328" s="6"/>
      <c r="B18328" s="6"/>
      <c r="H18328" s="13"/>
    </row>
    <row r="18329">
      <c r="A18329" s="6"/>
      <c r="B18329" s="6"/>
      <c r="H18329" s="13"/>
    </row>
    <row r="18330">
      <c r="A18330" s="6"/>
      <c r="B18330" s="6"/>
      <c r="H18330" s="13"/>
    </row>
    <row r="18331">
      <c r="A18331" s="6"/>
      <c r="B18331" s="6"/>
      <c r="H18331" s="13"/>
    </row>
    <row r="18332">
      <c r="A18332" s="6"/>
      <c r="B18332" s="6"/>
      <c r="H18332" s="13"/>
    </row>
    <row r="18333">
      <c r="A18333" s="6"/>
      <c r="B18333" s="6"/>
      <c r="H18333" s="13"/>
    </row>
    <row r="18334">
      <c r="A18334" s="6"/>
      <c r="B18334" s="6"/>
      <c r="H18334" s="13"/>
    </row>
    <row r="18335">
      <c r="A18335" s="6"/>
      <c r="B18335" s="6"/>
      <c r="H18335" s="13"/>
    </row>
    <row r="18336">
      <c r="A18336" s="6"/>
      <c r="B18336" s="6"/>
      <c r="H18336" s="13"/>
    </row>
    <row r="18337">
      <c r="A18337" s="6"/>
      <c r="B18337" s="6"/>
      <c r="H18337" s="13"/>
    </row>
    <row r="18338">
      <c r="A18338" s="6"/>
      <c r="B18338" s="6"/>
      <c r="H18338" s="13"/>
    </row>
    <row r="18339">
      <c r="A18339" s="6"/>
      <c r="B18339" s="6"/>
      <c r="H18339" s="13"/>
    </row>
    <row r="18340">
      <c r="A18340" s="6"/>
      <c r="B18340" s="6"/>
      <c r="H18340" s="13"/>
    </row>
    <row r="18341">
      <c r="A18341" s="6"/>
      <c r="B18341" s="6"/>
      <c r="H18341" s="13"/>
    </row>
    <row r="18342">
      <c r="A18342" s="6"/>
      <c r="B18342" s="6"/>
      <c r="H18342" s="13"/>
    </row>
    <row r="18343">
      <c r="A18343" s="6"/>
      <c r="B18343" s="6"/>
      <c r="H18343" s="13"/>
    </row>
    <row r="18344">
      <c r="A18344" s="6"/>
      <c r="B18344" s="6"/>
      <c r="H18344" s="13"/>
    </row>
    <row r="18345">
      <c r="A18345" s="6"/>
      <c r="B18345" s="6"/>
      <c r="H18345" s="13"/>
    </row>
    <row r="18346">
      <c r="A18346" s="6"/>
      <c r="B18346" s="6"/>
      <c r="H18346" s="13"/>
    </row>
    <row r="18347">
      <c r="A18347" s="6"/>
      <c r="B18347" s="6"/>
      <c r="H18347" s="13"/>
    </row>
    <row r="18348">
      <c r="A18348" s="6"/>
      <c r="B18348" s="6"/>
      <c r="H18348" s="13"/>
    </row>
    <row r="18349">
      <c r="A18349" s="6"/>
      <c r="B18349" s="6"/>
      <c r="H18349" s="13"/>
    </row>
    <row r="18350">
      <c r="A18350" s="6"/>
      <c r="B18350" s="6"/>
      <c r="H18350" s="13"/>
    </row>
    <row r="18351">
      <c r="A18351" s="6"/>
      <c r="B18351" s="6"/>
      <c r="H18351" s="13"/>
    </row>
    <row r="18352">
      <c r="A18352" s="6"/>
      <c r="B18352" s="6"/>
      <c r="H18352" s="13"/>
    </row>
    <row r="18353">
      <c r="A18353" s="6"/>
      <c r="B18353" s="6"/>
      <c r="H18353" s="13"/>
    </row>
    <row r="18354">
      <c r="A18354" s="6"/>
      <c r="B18354" s="6"/>
      <c r="H18354" s="13"/>
    </row>
    <row r="18355">
      <c r="A18355" s="6"/>
      <c r="B18355" s="6"/>
      <c r="H18355" s="13"/>
    </row>
    <row r="18356">
      <c r="A18356" s="6"/>
      <c r="B18356" s="6"/>
      <c r="H18356" s="13"/>
    </row>
    <row r="18357">
      <c r="A18357" s="6"/>
      <c r="B18357" s="6"/>
      <c r="H18357" s="13"/>
    </row>
    <row r="18358">
      <c r="A18358" s="6"/>
      <c r="B18358" s="6"/>
      <c r="H18358" s="13"/>
    </row>
    <row r="18359">
      <c r="A18359" s="6"/>
      <c r="B18359" s="6"/>
      <c r="H18359" s="13"/>
    </row>
    <row r="18360">
      <c r="A18360" s="6"/>
      <c r="B18360" s="6"/>
      <c r="H18360" s="13"/>
    </row>
    <row r="18361">
      <c r="A18361" s="6"/>
      <c r="B18361" s="6"/>
      <c r="H18361" s="13"/>
    </row>
    <row r="18362">
      <c r="A18362" s="6"/>
      <c r="B18362" s="6"/>
      <c r="H18362" s="13"/>
    </row>
    <row r="18363">
      <c r="A18363" s="6"/>
      <c r="B18363" s="6"/>
      <c r="H18363" s="13"/>
    </row>
    <row r="18364">
      <c r="A18364" s="6"/>
      <c r="B18364" s="6"/>
      <c r="H18364" s="13"/>
    </row>
    <row r="18365">
      <c r="A18365" s="6"/>
      <c r="B18365" s="6"/>
      <c r="H18365" s="13"/>
    </row>
    <row r="18366">
      <c r="A18366" s="6"/>
      <c r="B18366" s="6"/>
      <c r="H18366" s="13"/>
    </row>
    <row r="18367">
      <c r="A18367" s="6"/>
      <c r="B18367" s="6"/>
      <c r="H18367" s="13"/>
    </row>
    <row r="18368">
      <c r="A18368" s="6"/>
      <c r="B18368" s="6"/>
      <c r="H18368" s="13"/>
    </row>
    <row r="18369">
      <c r="A18369" s="6"/>
      <c r="B18369" s="6"/>
      <c r="H18369" s="13"/>
    </row>
    <row r="18370">
      <c r="A18370" s="6"/>
      <c r="B18370" s="6"/>
      <c r="H18370" s="13"/>
    </row>
    <row r="18371">
      <c r="A18371" s="6"/>
      <c r="B18371" s="6"/>
      <c r="H18371" s="13"/>
    </row>
    <row r="18372">
      <c r="A18372" s="6"/>
      <c r="B18372" s="6"/>
      <c r="H18372" s="13"/>
    </row>
    <row r="18373">
      <c r="A18373" s="6"/>
      <c r="B18373" s="6"/>
      <c r="H18373" s="13"/>
    </row>
    <row r="18374">
      <c r="A18374" s="6"/>
      <c r="B18374" s="6"/>
      <c r="H18374" s="13"/>
    </row>
    <row r="18375">
      <c r="A18375" s="6"/>
      <c r="B18375" s="6"/>
      <c r="H18375" s="13"/>
    </row>
    <row r="18376">
      <c r="A18376" s="6"/>
      <c r="B18376" s="6"/>
      <c r="H18376" s="13"/>
    </row>
    <row r="18377">
      <c r="A18377" s="6"/>
      <c r="B18377" s="6"/>
      <c r="H18377" s="13"/>
    </row>
    <row r="18378">
      <c r="A18378" s="6"/>
      <c r="B18378" s="6"/>
      <c r="H18378" s="13"/>
    </row>
    <row r="18379">
      <c r="A18379" s="6"/>
      <c r="B18379" s="6"/>
      <c r="H18379" s="13"/>
    </row>
    <row r="18380">
      <c r="A18380" s="6"/>
      <c r="B18380" s="6"/>
      <c r="H18380" s="13"/>
    </row>
    <row r="18381">
      <c r="A18381" s="6"/>
      <c r="B18381" s="6"/>
      <c r="H18381" s="13"/>
    </row>
    <row r="18382">
      <c r="A18382" s="6"/>
      <c r="B18382" s="6"/>
      <c r="H18382" s="13"/>
    </row>
    <row r="18383">
      <c r="A18383" s="6"/>
      <c r="B18383" s="6"/>
      <c r="H18383" s="13"/>
    </row>
    <row r="18384">
      <c r="A18384" s="6"/>
      <c r="B18384" s="6"/>
      <c r="H18384" s="13"/>
    </row>
    <row r="18385">
      <c r="A18385" s="6"/>
      <c r="B18385" s="6"/>
      <c r="H18385" s="13"/>
    </row>
    <row r="18386">
      <c r="A18386" s="6"/>
      <c r="B18386" s="6"/>
      <c r="H18386" s="13"/>
    </row>
    <row r="18387">
      <c r="A18387" s="6"/>
      <c r="B18387" s="6"/>
      <c r="H18387" s="13"/>
    </row>
    <row r="18388">
      <c r="A18388" s="6"/>
      <c r="B18388" s="6"/>
      <c r="H18388" s="13"/>
    </row>
    <row r="18389">
      <c r="A18389" s="6"/>
      <c r="B18389" s="6"/>
      <c r="H18389" s="13"/>
    </row>
    <row r="18390">
      <c r="A18390" s="6"/>
      <c r="B18390" s="6"/>
      <c r="H18390" s="13"/>
    </row>
    <row r="18391">
      <c r="A18391" s="6"/>
      <c r="B18391" s="6"/>
      <c r="H18391" s="13"/>
    </row>
    <row r="18392">
      <c r="A18392" s="6"/>
      <c r="B18392" s="6"/>
      <c r="H18392" s="13"/>
    </row>
    <row r="18393">
      <c r="A18393" s="6"/>
      <c r="B18393" s="6"/>
      <c r="H18393" s="13"/>
    </row>
    <row r="18394">
      <c r="A18394" s="6"/>
      <c r="B18394" s="6"/>
      <c r="H18394" s="13"/>
    </row>
    <row r="18395">
      <c r="A18395" s="6"/>
      <c r="B18395" s="6"/>
      <c r="H18395" s="13"/>
    </row>
    <row r="18396">
      <c r="A18396" s="6"/>
      <c r="B18396" s="6"/>
      <c r="H18396" s="13"/>
    </row>
    <row r="18397">
      <c r="A18397" s="6"/>
      <c r="B18397" s="6"/>
      <c r="H18397" s="13"/>
    </row>
    <row r="18398">
      <c r="A18398" s="6"/>
      <c r="B18398" s="6"/>
      <c r="H18398" s="13"/>
    </row>
    <row r="18399">
      <c r="A18399" s="6"/>
      <c r="B18399" s="6"/>
      <c r="H18399" s="13"/>
    </row>
    <row r="18400">
      <c r="A18400" s="6"/>
      <c r="B18400" s="6"/>
      <c r="H18400" s="13"/>
    </row>
    <row r="18401">
      <c r="A18401" s="6"/>
      <c r="B18401" s="6"/>
      <c r="H18401" s="13"/>
    </row>
    <row r="18402">
      <c r="A18402" s="6"/>
      <c r="B18402" s="6"/>
      <c r="H18402" s="13"/>
    </row>
    <row r="18403">
      <c r="A18403" s="6"/>
      <c r="B18403" s="6"/>
      <c r="H18403" s="13"/>
    </row>
    <row r="18404">
      <c r="A18404" s="6"/>
      <c r="B18404" s="6"/>
      <c r="H18404" s="13"/>
    </row>
    <row r="18405">
      <c r="A18405" s="6"/>
      <c r="B18405" s="6"/>
      <c r="H18405" s="13"/>
    </row>
    <row r="18406">
      <c r="A18406" s="6"/>
      <c r="B18406" s="6"/>
      <c r="H18406" s="13"/>
    </row>
    <row r="18407">
      <c r="A18407" s="6"/>
      <c r="B18407" s="6"/>
      <c r="H18407" s="13"/>
    </row>
    <row r="18408">
      <c r="A18408" s="6"/>
      <c r="B18408" s="6"/>
      <c r="H18408" s="13"/>
    </row>
    <row r="18409">
      <c r="A18409" s="6"/>
      <c r="B18409" s="6"/>
      <c r="H18409" s="13"/>
    </row>
    <row r="18410">
      <c r="A18410" s="6"/>
      <c r="B18410" s="6"/>
      <c r="H18410" s="13"/>
    </row>
    <row r="18411">
      <c r="A18411" s="6"/>
      <c r="B18411" s="6"/>
      <c r="H18411" s="13"/>
    </row>
    <row r="18412">
      <c r="A18412" s="6"/>
      <c r="B18412" s="6"/>
      <c r="H18412" s="13"/>
    </row>
    <row r="18413">
      <c r="A18413" s="6"/>
      <c r="B18413" s="6"/>
      <c r="H18413" s="13"/>
    </row>
    <row r="18414">
      <c r="A18414" s="6"/>
      <c r="B18414" s="6"/>
      <c r="H18414" s="13"/>
    </row>
    <row r="18415">
      <c r="A18415" s="6"/>
      <c r="B18415" s="6"/>
      <c r="H18415" s="13"/>
    </row>
    <row r="18416">
      <c r="A18416" s="6"/>
      <c r="B18416" s="6"/>
      <c r="H18416" s="13"/>
    </row>
    <row r="18417">
      <c r="A18417" s="6"/>
      <c r="B18417" s="6"/>
      <c r="H18417" s="13"/>
    </row>
    <row r="18418">
      <c r="A18418" s="6"/>
      <c r="B18418" s="6"/>
      <c r="H18418" s="13"/>
    </row>
    <row r="18419">
      <c r="A18419" s="6"/>
      <c r="B18419" s="6"/>
      <c r="H18419" s="13"/>
    </row>
    <row r="18420">
      <c r="A18420" s="6"/>
      <c r="B18420" s="6"/>
      <c r="H18420" s="13"/>
    </row>
    <row r="18421">
      <c r="A18421" s="6"/>
      <c r="B18421" s="6"/>
      <c r="H18421" s="13"/>
    </row>
    <row r="18422">
      <c r="A18422" s="6"/>
      <c r="B18422" s="6"/>
      <c r="H18422" s="13"/>
    </row>
    <row r="18423">
      <c r="A18423" s="6"/>
      <c r="B18423" s="6"/>
      <c r="H18423" s="13"/>
    </row>
    <row r="18424">
      <c r="A18424" s="6"/>
      <c r="B18424" s="6"/>
      <c r="H18424" s="13"/>
    </row>
    <row r="18425">
      <c r="A18425" s="6"/>
      <c r="B18425" s="6"/>
      <c r="H18425" s="13"/>
    </row>
    <row r="18426">
      <c r="A18426" s="6"/>
      <c r="B18426" s="6"/>
      <c r="H18426" s="13"/>
    </row>
    <row r="18427">
      <c r="A18427" s="6"/>
      <c r="B18427" s="6"/>
      <c r="H18427" s="13"/>
    </row>
    <row r="18428">
      <c r="A18428" s="6"/>
      <c r="B18428" s="6"/>
      <c r="H18428" s="13"/>
    </row>
    <row r="18429">
      <c r="A18429" s="6"/>
      <c r="B18429" s="6"/>
      <c r="H18429" s="13"/>
    </row>
    <row r="18430">
      <c r="A18430" s="6"/>
      <c r="B18430" s="6"/>
      <c r="H18430" s="13"/>
    </row>
    <row r="18431">
      <c r="A18431" s="6"/>
      <c r="B18431" s="6"/>
      <c r="H18431" s="13"/>
    </row>
    <row r="18432">
      <c r="A18432" s="6"/>
      <c r="B18432" s="6"/>
      <c r="H18432" s="13"/>
    </row>
    <row r="18433">
      <c r="A18433" s="6"/>
      <c r="B18433" s="6"/>
      <c r="H18433" s="13"/>
    </row>
    <row r="18434">
      <c r="A18434" s="6"/>
      <c r="B18434" s="6"/>
      <c r="H18434" s="13"/>
    </row>
    <row r="18435">
      <c r="A18435" s="6"/>
      <c r="B18435" s="6"/>
      <c r="H18435" s="13"/>
    </row>
    <row r="18436">
      <c r="A18436" s="6"/>
      <c r="B18436" s="6"/>
      <c r="H18436" s="13"/>
    </row>
    <row r="18437">
      <c r="A18437" s="6"/>
      <c r="B18437" s="6"/>
      <c r="H18437" s="13"/>
    </row>
    <row r="18438">
      <c r="A18438" s="6"/>
      <c r="B18438" s="6"/>
      <c r="H18438" s="13"/>
    </row>
    <row r="18439">
      <c r="A18439" s="6"/>
      <c r="B18439" s="6"/>
      <c r="H18439" s="13"/>
    </row>
    <row r="18440">
      <c r="A18440" s="6"/>
      <c r="B18440" s="6"/>
      <c r="H18440" s="13"/>
    </row>
    <row r="18441">
      <c r="A18441" s="6"/>
      <c r="B18441" s="6"/>
      <c r="H18441" s="13"/>
    </row>
    <row r="18442">
      <c r="A18442" s="6"/>
      <c r="B18442" s="6"/>
      <c r="H18442" s="13"/>
    </row>
    <row r="18443">
      <c r="A18443" s="6"/>
      <c r="B18443" s="6"/>
      <c r="H18443" s="13"/>
    </row>
    <row r="18444">
      <c r="A18444" s="6"/>
      <c r="B18444" s="6"/>
      <c r="H18444" s="13"/>
    </row>
    <row r="18445">
      <c r="A18445" s="6"/>
      <c r="B18445" s="6"/>
      <c r="H18445" s="13"/>
    </row>
    <row r="18446">
      <c r="A18446" s="6"/>
      <c r="B18446" s="6"/>
      <c r="H18446" s="13"/>
    </row>
    <row r="18447">
      <c r="A18447" s="6"/>
      <c r="B18447" s="6"/>
      <c r="H18447" s="13"/>
    </row>
    <row r="18448">
      <c r="A18448" s="6"/>
      <c r="B18448" s="6"/>
      <c r="H18448" s="13"/>
    </row>
    <row r="18449">
      <c r="A18449" s="6"/>
      <c r="B18449" s="6"/>
      <c r="H18449" s="13"/>
    </row>
    <row r="18450">
      <c r="A18450" s="6"/>
      <c r="B18450" s="6"/>
      <c r="H18450" s="13"/>
    </row>
    <row r="18451">
      <c r="A18451" s="6"/>
      <c r="B18451" s="6"/>
      <c r="H18451" s="13"/>
    </row>
    <row r="18452">
      <c r="A18452" s="6"/>
      <c r="B18452" s="6"/>
      <c r="H18452" s="13"/>
    </row>
    <row r="18453">
      <c r="A18453" s="6"/>
      <c r="B18453" s="6"/>
      <c r="H18453" s="13"/>
    </row>
    <row r="18454">
      <c r="A18454" s="6"/>
      <c r="B18454" s="6"/>
      <c r="H18454" s="13"/>
    </row>
    <row r="18455">
      <c r="A18455" s="6"/>
      <c r="B18455" s="6"/>
      <c r="H18455" s="13"/>
    </row>
    <row r="18456">
      <c r="A18456" s="6"/>
      <c r="B18456" s="6"/>
      <c r="H18456" s="13"/>
    </row>
    <row r="18457">
      <c r="A18457" s="6"/>
      <c r="B18457" s="6"/>
      <c r="H18457" s="13"/>
    </row>
    <row r="18458">
      <c r="A18458" s="6"/>
      <c r="B18458" s="6"/>
      <c r="H18458" s="13"/>
    </row>
    <row r="18459">
      <c r="A18459" s="6"/>
      <c r="B18459" s="6"/>
      <c r="H18459" s="13"/>
    </row>
    <row r="18460">
      <c r="A18460" s="6"/>
      <c r="B18460" s="6"/>
      <c r="H18460" s="13"/>
    </row>
    <row r="18461">
      <c r="A18461" s="6"/>
      <c r="B18461" s="6"/>
      <c r="H18461" s="13"/>
    </row>
    <row r="18462">
      <c r="A18462" s="6"/>
      <c r="B18462" s="6"/>
      <c r="H18462" s="13"/>
    </row>
    <row r="18463">
      <c r="A18463" s="6"/>
      <c r="B18463" s="6"/>
      <c r="H18463" s="13"/>
    </row>
    <row r="18464">
      <c r="A18464" s="6"/>
      <c r="B18464" s="6"/>
      <c r="H18464" s="13"/>
    </row>
    <row r="18465">
      <c r="A18465" s="6"/>
      <c r="B18465" s="6"/>
      <c r="H18465" s="13"/>
    </row>
    <row r="18466">
      <c r="A18466" s="6"/>
      <c r="B18466" s="6"/>
      <c r="H18466" s="13"/>
    </row>
    <row r="18467">
      <c r="A18467" s="6"/>
      <c r="B18467" s="6"/>
      <c r="H18467" s="13"/>
    </row>
    <row r="18468">
      <c r="A18468" s="6"/>
      <c r="B18468" s="6"/>
      <c r="H18468" s="13"/>
    </row>
    <row r="18469">
      <c r="A18469" s="6"/>
      <c r="B18469" s="6"/>
      <c r="H18469" s="13"/>
    </row>
    <row r="18470">
      <c r="A18470" s="6"/>
      <c r="B18470" s="6"/>
      <c r="H18470" s="13"/>
    </row>
    <row r="18471">
      <c r="A18471" s="6"/>
      <c r="B18471" s="6"/>
      <c r="H18471" s="13"/>
    </row>
    <row r="18472">
      <c r="A18472" s="6"/>
      <c r="B18472" s="6"/>
      <c r="H18472" s="13"/>
    </row>
    <row r="18473">
      <c r="A18473" s="6"/>
      <c r="B18473" s="6"/>
      <c r="H18473" s="13"/>
    </row>
    <row r="18474">
      <c r="A18474" s="6"/>
      <c r="B18474" s="6"/>
      <c r="H18474" s="13"/>
    </row>
    <row r="18475">
      <c r="A18475" s="6"/>
      <c r="B18475" s="6"/>
      <c r="H18475" s="13"/>
    </row>
    <row r="18476">
      <c r="A18476" s="6"/>
      <c r="B18476" s="6"/>
      <c r="H18476" s="13"/>
    </row>
    <row r="18477">
      <c r="A18477" s="6"/>
      <c r="B18477" s="6"/>
      <c r="H18477" s="13"/>
    </row>
    <row r="18478">
      <c r="A18478" s="6"/>
      <c r="B18478" s="6"/>
      <c r="H18478" s="13"/>
    </row>
    <row r="18479">
      <c r="A18479" s="6"/>
      <c r="B18479" s="6"/>
      <c r="H18479" s="13"/>
    </row>
    <row r="18480">
      <c r="A18480" s="6"/>
      <c r="B18480" s="6"/>
      <c r="H18480" s="13"/>
    </row>
    <row r="18481">
      <c r="A18481" s="6"/>
      <c r="B18481" s="6"/>
      <c r="H18481" s="13"/>
    </row>
    <row r="18482">
      <c r="A18482" s="6"/>
      <c r="B18482" s="6"/>
      <c r="H18482" s="13"/>
    </row>
    <row r="18483">
      <c r="A18483" s="6"/>
      <c r="B18483" s="6"/>
      <c r="H18483" s="13"/>
    </row>
    <row r="18484">
      <c r="A18484" s="6"/>
      <c r="B18484" s="6"/>
      <c r="H18484" s="13"/>
    </row>
    <row r="18485">
      <c r="A18485" s="6"/>
      <c r="B18485" s="6"/>
      <c r="H18485" s="13"/>
    </row>
    <row r="18486">
      <c r="A18486" s="6"/>
      <c r="B18486" s="6"/>
      <c r="H18486" s="13"/>
    </row>
    <row r="18487">
      <c r="A18487" s="6"/>
      <c r="B18487" s="6"/>
      <c r="H18487" s="13"/>
    </row>
    <row r="18488">
      <c r="A18488" s="6"/>
      <c r="B18488" s="6"/>
      <c r="H18488" s="13"/>
    </row>
    <row r="18489">
      <c r="A18489" s="6"/>
      <c r="B18489" s="6"/>
      <c r="H18489" s="13"/>
    </row>
    <row r="18490">
      <c r="A18490" s="6"/>
      <c r="B18490" s="6"/>
      <c r="H18490" s="13"/>
    </row>
    <row r="18491">
      <c r="A18491" s="6"/>
      <c r="B18491" s="6"/>
      <c r="H18491" s="13"/>
    </row>
    <row r="18492">
      <c r="A18492" s="6"/>
      <c r="B18492" s="6"/>
      <c r="H18492" s="13"/>
    </row>
    <row r="18493">
      <c r="A18493" s="6"/>
      <c r="B18493" s="6"/>
      <c r="H18493" s="13"/>
    </row>
    <row r="18494">
      <c r="A18494" s="6"/>
      <c r="B18494" s="6"/>
      <c r="H18494" s="13"/>
    </row>
    <row r="18495">
      <c r="A18495" s="6"/>
      <c r="B18495" s="6"/>
      <c r="H18495" s="13"/>
    </row>
    <row r="18496">
      <c r="A18496" s="6"/>
      <c r="B18496" s="6"/>
      <c r="H18496" s="13"/>
    </row>
    <row r="18497">
      <c r="A18497" s="6"/>
      <c r="B18497" s="6"/>
      <c r="H18497" s="13"/>
    </row>
    <row r="18498">
      <c r="A18498" s="6"/>
      <c r="B18498" s="6"/>
      <c r="H18498" s="13"/>
    </row>
    <row r="18499">
      <c r="A18499" s="6"/>
      <c r="B18499" s="6"/>
      <c r="H18499" s="13"/>
    </row>
    <row r="18500">
      <c r="A18500" s="6"/>
      <c r="B18500" s="6"/>
      <c r="H18500" s="13"/>
    </row>
    <row r="18501">
      <c r="A18501" s="6"/>
      <c r="B18501" s="6"/>
      <c r="H18501" s="13"/>
    </row>
    <row r="18502">
      <c r="A18502" s="6"/>
      <c r="B18502" s="6"/>
      <c r="H18502" s="13"/>
    </row>
    <row r="18503">
      <c r="A18503" s="6"/>
      <c r="B18503" s="6"/>
      <c r="H18503" s="13"/>
    </row>
    <row r="18504">
      <c r="A18504" s="6"/>
      <c r="B18504" s="6"/>
      <c r="H18504" s="13"/>
    </row>
    <row r="18505">
      <c r="A18505" s="6"/>
      <c r="B18505" s="6"/>
      <c r="H18505" s="13"/>
    </row>
    <row r="18506">
      <c r="A18506" s="6"/>
      <c r="B18506" s="6"/>
      <c r="H18506" s="13"/>
    </row>
    <row r="18507">
      <c r="A18507" s="6"/>
      <c r="B18507" s="6"/>
      <c r="H18507" s="13"/>
    </row>
    <row r="18508">
      <c r="A18508" s="6"/>
      <c r="B18508" s="6"/>
      <c r="H18508" s="13"/>
    </row>
    <row r="18509">
      <c r="A18509" s="6"/>
      <c r="B18509" s="6"/>
      <c r="H18509" s="13"/>
    </row>
    <row r="18510">
      <c r="A18510" s="6"/>
      <c r="B18510" s="6"/>
      <c r="H18510" s="13"/>
    </row>
    <row r="18511">
      <c r="A18511" s="6"/>
      <c r="B18511" s="6"/>
      <c r="H18511" s="13"/>
    </row>
    <row r="18512">
      <c r="A18512" s="6"/>
      <c r="B18512" s="6"/>
      <c r="H18512" s="13"/>
    </row>
    <row r="18513">
      <c r="A18513" s="6"/>
      <c r="B18513" s="6"/>
      <c r="H18513" s="13"/>
    </row>
    <row r="18514">
      <c r="A18514" s="6"/>
      <c r="B18514" s="6"/>
      <c r="H18514" s="13"/>
    </row>
    <row r="18515">
      <c r="A18515" s="6"/>
      <c r="B18515" s="6"/>
      <c r="H18515" s="13"/>
    </row>
    <row r="18516">
      <c r="A18516" s="6"/>
      <c r="B18516" s="6"/>
      <c r="H18516" s="13"/>
    </row>
    <row r="18517">
      <c r="A18517" s="6"/>
      <c r="B18517" s="6"/>
      <c r="H18517" s="13"/>
    </row>
    <row r="18518">
      <c r="A18518" s="6"/>
      <c r="B18518" s="6"/>
      <c r="H18518" s="13"/>
    </row>
    <row r="18519">
      <c r="A18519" s="6"/>
      <c r="B18519" s="6"/>
      <c r="H18519" s="13"/>
    </row>
    <row r="18520">
      <c r="A18520" s="6"/>
      <c r="B18520" s="6"/>
      <c r="H18520" s="13"/>
    </row>
    <row r="18521">
      <c r="A18521" s="6"/>
      <c r="B18521" s="6"/>
      <c r="H18521" s="13"/>
    </row>
    <row r="18522">
      <c r="A18522" s="6"/>
      <c r="B18522" s="6"/>
      <c r="H18522" s="13"/>
    </row>
    <row r="18523">
      <c r="A18523" s="6"/>
      <c r="B18523" s="6"/>
      <c r="H18523" s="13"/>
    </row>
    <row r="18524">
      <c r="A18524" s="6"/>
      <c r="B18524" s="6"/>
      <c r="H18524" s="13"/>
    </row>
    <row r="18525">
      <c r="A18525" s="6"/>
      <c r="B18525" s="6"/>
      <c r="H18525" s="13"/>
    </row>
    <row r="18526">
      <c r="A18526" s="6"/>
      <c r="B18526" s="6"/>
      <c r="H18526" s="13"/>
    </row>
    <row r="18527">
      <c r="A18527" s="6"/>
      <c r="B18527" s="6"/>
      <c r="H18527" s="13"/>
    </row>
    <row r="18528">
      <c r="A18528" s="6"/>
      <c r="B18528" s="6"/>
      <c r="H18528" s="13"/>
    </row>
    <row r="18529">
      <c r="A18529" s="6"/>
      <c r="B18529" s="6"/>
      <c r="H18529" s="13"/>
    </row>
    <row r="18530">
      <c r="A18530" s="6"/>
      <c r="B18530" s="6"/>
      <c r="H18530" s="13"/>
    </row>
    <row r="18531">
      <c r="A18531" s="6"/>
      <c r="B18531" s="6"/>
      <c r="H18531" s="13"/>
    </row>
    <row r="18532">
      <c r="A18532" s="6"/>
      <c r="B18532" s="6"/>
      <c r="H18532" s="13"/>
    </row>
    <row r="18533">
      <c r="A18533" s="6"/>
      <c r="B18533" s="6"/>
      <c r="H18533" s="13"/>
    </row>
    <row r="18534">
      <c r="A18534" s="6"/>
      <c r="B18534" s="6"/>
      <c r="H18534" s="13"/>
    </row>
    <row r="18535">
      <c r="A18535" s="6"/>
      <c r="B18535" s="6"/>
      <c r="H18535" s="13"/>
    </row>
    <row r="18536">
      <c r="A18536" s="6"/>
      <c r="B18536" s="6"/>
      <c r="H18536" s="13"/>
    </row>
    <row r="18537">
      <c r="A18537" s="6"/>
      <c r="B18537" s="6"/>
      <c r="H18537" s="13"/>
    </row>
    <row r="18538">
      <c r="A18538" s="6"/>
      <c r="B18538" s="6"/>
      <c r="H18538" s="13"/>
    </row>
    <row r="18539">
      <c r="A18539" s="6"/>
      <c r="B18539" s="6"/>
      <c r="H18539" s="13"/>
    </row>
    <row r="18540">
      <c r="A18540" s="6"/>
      <c r="B18540" s="6"/>
      <c r="H18540" s="13"/>
    </row>
    <row r="18541">
      <c r="A18541" s="6"/>
      <c r="B18541" s="6"/>
      <c r="H18541" s="13"/>
    </row>
    <row r="18542">
      <c r="A18542" s="6"/>
      <c r="B18542" s="6"/>
      <c r="H18542" s="13"/>
    </row>
    <row r="18543">
      <c r="A18543" s="6"/>
      <c r="B18543" s="6"/>
      <c r="H18543" s="13"/>
    </row>
    <row r="18544">
      <c r="A18544" s="6"/>
      <c r="B18544" s="6"/>
      <c r="H18544" s="13"/>
    </row>
    <row r="18545">
      <c r="A18545" s="6"/>
      <c r="B18545" s="6"/>
      <c r="H18545" s="13"/>
    </row>
    <row r="18546">
      <c r="A18546" s="6"/>
      <c r="B18546" s="6"/>
      <c r="H18546" s="13"/>
    </row>
    <row r="18547">
      <c r="A18547" s="6"/>
      <c r="B18547" s="6"/>
      <c r="H18547" s="13"/>
    </row>
    <row r="18548">
      <c r="A18548" s="6"/>
      <c r="B18548" s="6"/>
      <c r="H18548" s="13"/>
    </row>
    <row r="18549">
      <c r="A18549" s="6"/>
      <c r="B18549" s="6"/>
      <c r="H18549" s="13"/>
    </row>
    <row r="18550">
      <c r="A18550" s="6"/>
      <c r="B18550" s="6"/>
      <c r="H18550" s="13"/>
    </row>
    <row r="18551">
      <c r="A18551" s="6"/>
      <c r="B18551" s="6"/>
      <c r="H18551" s="13"/>
    </row>
    <row r="18552">
      <c r="A18552" s="6"/>
      <c r="B18552" s="6"/>
      <c r="H18552" s="13"/>
    </row>
    <row r="18553">
      <c r="A18553" s="6"/>
      <c r="B18553" s="6"/>
      <c r="H18553" s="13"/>
    </row>
    <row r="18554">
      <c r="A18554" s="6"/>
      <c r="B18554" s="6"/>
      <c r="H18554" s="13"/>
    </row>
    <row r="18555">
      <c r="A18555" s="6"/>
      <c r="B18555" s="6"/>
      <c r="H18555" s="13"/>
    </row>
    <row r="18556">
      <c r="A18556" s="6"/>
      <c r="B18556" s="6"/>
      <c r="H18556" s="13"/>
    </row>
    <row r="18557">
      <c r="A18557" s="6"/>
      <c r="B18557" s="6"/>
      <c r="H18557" s="13"/>
    </row>
    <row r="18558">
      <c r="A18558" s="6"/>
      <c r="B18558" s="6"/>
      <c r="H18558" s="13"/>
    </row>
    <row r="18559">
      <c r="A18559" s="6"/>
      <c r="B18559" s="6"/>
      <c r="H18559" s="13"/>
    </row>
    <row r="18560">
      <c r="A18560" s="6"/>
      <c r="B18560" s="6"/>
      <c r="H18560" s="13"/>
    </row>
    <row r="18561">
      <c r="A18561" s="6"/>
      <c r="B18561" s="6"/>
      <c r="H18561" s="13"/>
    </row>
    <row r="18562">
      <c r="A18562" s="6"/>
      <c r="B18562" s="6"/>
      <c r="H18562" s="13"/>
    </row>
    <row r="18563">
      <c r="A18563" s="6"/>
      <c r="B18563" s="6"/>
      <c r="H18563" s="13"/>
    </row>
    <row r="18564">
      <c r="A18564" s="6"/>
      <c r="B18564" s="6"/>
      <c r="H18564" s="13"/>
    </row>
    <row r="18565">
      <c r="A18565" s="6"/>
      <c r="B18565" s="6"/>
      <c r="H18565" s="13"/>
    </row>
    <row r="18566">
      <c r="A18566" s="6"/>
      <c r="B18566" s="6"/>
      <c r="H18566" s="13"/>
    </row>
    <row r="18567">
      <c r="A18567" s="6"/>
      <c r="B18567" s="6"/>
      <c r="H18567" s="13"/>
    </row>
    <row r="18568">
      <c r="A18568" s="6"/>
      <c r="B18568" s="6"/>
      <c r="H18568" s="13"/>
    </row>
    <row r="18569">
      <c r="A18569" s="6"/>
      <c r="B18569" s="6"/>
      <c r="H18569" s="13"/>
    </row>
    <row r="18570">
      <c r="A18570" s="6"/>
      <c r="B18570" s="6"/>
      <c r="H18570" s="13"/>
    </row>
    <row r="18571">
      <c r="A18571" s="6"/>
      <c r="B18571" s="6"/>
      <c r="H18571" s="13"/>
    </row>
    <row r="18572">
      <c r="A18572" s="6"/>
      <c r="B18572" s="6"/>
      <c r="H18572" s="13"/>
    </row>
    <row r="18573">
      <c r="A18573" s="6"/>
      <c r="B18573" s="6"/>
      <c r="H18573" s="13"/>
    </row>
    <row r="18574">
      <c r="A18574" s="6"/>
      <c r="B18574" s="6"/>
      <c r="H18574" s="13"/>
    </row>
    <row r="18575">
      <c r="A18575" s="6"/>
      <c r="B18575" s="6"/>
      <c r="H18575" s="13"/>
    </row>
    <row r="18576">
      <c r="A18576" s="6"/>
      <c r="B18576" s="6"/>
      <c r="H18576" s="13"/>
    </row>
    <row r="18577">
      <c r="A18577" s="6"/>
      <c r="B18577" s="6"/>
      <c r="H18577" s="13"/>
    </row>
    <row r="18578">
      <c r="A18578" s="6"/>
      <c r="B18578" s="6"/>
      <c r="H18578" s="13"/>
    </row>
    <row r="18579">
      <c r="A18579" s="6"/>
      <c r="B18579" s="6"/>
      <c r="H18579" s="13"/>
    </row>
    <row r="18580">
      <c r="A18580" s="6"/>
      <c r="B18580" s="6"/>
      <c r="H18580" s="13"/>
    </row>
    <row r="18581">
      <c r="A18581" s="6"/>
      <c r="B18581" s="6"/>
      <c r="H18581" s="13"/>
    </row>
    <row r="18582">
      <c r="A18582" s="6"/>
      <c r="B18582" s="6"/>
      <c r="H18582" s="13"/>
    </row>
    <row r="18583">
      <c r="A18583" s="6"/>
      <c r="B18583" s="6"/>
      <c r="H18583" s="13"/>
    </row>
    <row r="18584">
      <c r="A18584" s="6"/>
      <c r="B18584" s="6"/>
      <c r="H18584" s="13"/>
    </row>
    <row r="18585">
      <c r="A18585" s="6"/>
      <c r="B18585" s="6"/>
      <c r="H18585" s="13"/>
    </row>
    <row r="18586">
      <c r="A18586" s="6"/>
      <c r="B18586" s="6"/>
      <c r="H18586" s="13"/>
    </row>
    <row r="18587">
      <c r="A18587" s="6"/>
      <c r="B18587" s="6"/>
      <c r="H18587" s="13"/>
    </row>
    <row r="18588">
      <c r="A18588" s="6"/>
      <c r="B18588" s="6"/>
      <c r="H18588" s="13"/>
    </row>
    <row r="18589">
      <c r="A18589" s="6"/>
      <c r="B18589" s="6"/>
      <c r="H18589" s="13"/>
    </row>
    <row r="18590">
      <c r="A18590" s="6"/>
      <c r="B18590" s="6"/>
      <c r="H18590" s="13"/>
    </row>
    <row r="18591">
      <c r="A18591" s="6"/>
      <c r="B18591" s="6"/>
      <c r="H18591" s="13"/>
    </row>
    <row r="18592">
      <c r="A18592" s="6"/>
      <c r="B18592" s="6"/>
      <c r="H18592" s="13"/>
    </row>
    <row r="18593">
      <c r="A18593" s="6"/>
      <c r="B18593" s="6"/>
      <c r="H18593" s="13"/>
    </row>
    <row r="18594">
      <c r="A18594" s="6"/>
      <c r="B18594" s="6"/>
      <c r="H18594" s="13"/>
    </row>
    <row r="18595">
      <c r="A18595" s="6"/>
      <c r="B18595" s="6"/>
      <c r="H18595" s="13"/>
    </row>
    <row r="18596">
      <c r="A18596" s="6"/>
      <c r="B18596" s="6"/>
      <c r="H18596" s="13"/>
    </row>
    <row r="18597">
      <c r="A18597" s="6"/>
      <c r="B18597" s="6"/>
      <c r="H18597" s="13"/>
    </row>
    <row r="18598">
      <c r="A18598" s="6"/>
      <c r="B18598" s="6"/>
      <c r="H18598" s="13"/>
    </row>
    <row r="18599">
      <c r="A18599" s="6"/>
      <c r="B18599" s="6"/>
      <c r="H18599" s="13"/>
    </row>
    <row r="18600">
      <c r="A18600" s="6"/>
      <c r="B18600" s="6"/>
      <c r="H18600" s="13"/>
    </row>
    <row r="18601">
      <c r="A18601" s="6"/>
      <c r="B18601" s="6"/>
      <c r="H18601" s="13"/>
    </row>
    <row r="18602">
      <c r="A18602" s="6"/>
      <c r="B18602" s="6"/>
      <c r="H18602" s="13"/>
    </row>
    <row r="18603">
      <c r="A18603" s="6"/>
      <c r="B18603" s="6"/>
      <c r="H18603" s="13"/>
    </row>
    <row r="18604">
      <c r="A18604" s="6"/>
      <c r="B18604" s="6"/>
      <c r="H18604" s="13"/>
    </row>
    <row r="18605">
      <c r="A18605" s="6"/>
      <c r="B18605" s="6"/>
      <c r="H18605" s="13"/>
    </row>
    <row r="18606">
      <c r="A18606" s="6"/>
      <c r="B18606" s="6"/>
      <c r="H18606" s="13"/>
    </row>
    <row r="18607">
      <c r="A18607" s="6"/>
      <c r="B18607" s="6"/>
      <c r="H18607" s="13"/>
    </row>
    <row r="18608">
      <c r="A18608" s="6"/>
      <c r="B18608" s="6"/>
      <c r="H18608" s="13"/>
    </row>
    <row r="18609">
      <c r="A18609" s="6"/>
      <c r="B18609" s="6"/>
      <c r="H18609" s="13"/>
    </row>
    <row r="18610">
      <c r="A18610" s="6"/>
      <c r="B18610" s="6"/>
      <c r="H18610" s="13"/>
    </row>
    <row r="18611">
      <c r="A18611" s="6"/>
      <c r="B18611" s="6"/>
      <c r="H18611" s="13"/>
    </row>
    <row r="18612">
      <c r="A18612" s="6"/>
      <c r="B18612" s="6"/>
      <c r="H18612" s="13"/>
    </row>
    <row r="18613">
      <c r="A18613" s="6"/>
      <c r="B18613" s="6"/>
      <c r="H18613" s="13"/>
    </row>
    <row r="18614">
      <c r="A18614" s="6"/>
      <c r="B18614" s="6"/>
      <c r="H18614" s="13"/>
    </row>
    <row r="18615">
      <c r="A18615" s="6"/>
      <c r="B18615" s="6"/>
      <c r="H18615" s="13"/>
    </row>
    <row r="18616">
      <c r="A18616" s="6"/>
      <c r="B18616" s="6"/>
      <c r="H18616" s="13"/>
    </row>
    <row r="18617">
      <c r="A18617" s="6"/>
      <c r="B18617" s="6"/>
      <c r="H18617" s="13"/>
    </row>
    <row r="18618">
      <c r="A18618" s="6"/>
      <c r="B18618" s="6"/>
      <c r="H18618" s="13"/>
    </row>
    <row r="18619">
      <c r="A18619" s="6"/>
      <c r="B18619" s="6"/>
      <c r="H18619" s="13"/>
    </row>
    <row r="18620">
      <c r="A18620" s="6"/>
      <c r="B18620" s="6"/>
      <c r="H18620" s="13"/>
    </row>
    <row r="18621">
      <c r="A18621" s="6"/>
      <c r="B18621" s="6"/>
      <c r="H18621" s="13"/>
    </row>
    <row r="18622">
      <c r="A18622" s="6"/>
      <c r="B18622" s="6"/>
      <c r="H18622" s="13"/>
    </row>
    <row r="18623">
      <c r="A18623" s="6"/>
      <c r="B18623" s="6"/>
      <c r="H18623" s="13"/>
    </row>
    <row r="18624">
      <c r="A18624" s="6"/>
      <c r="B18624" s="6"/>
      <c r="H18624" s="13"/>
    </row>
    <row r="18625">
      <c r="A18625" s="6"/>
      <c r="B18625" s="6"/>
      <c r="H18625" s="13"/>
    </row>
    <row r="18626">
      <c r="A18626" s="6"/>
      <c r="B18626" s="6"/>
      <c r="H18626" s="13"/>
    </row>
    <row r="18627">
      <c r="A18627" s="6"/>
      <c r="B18627" s="6"/>
      <c r="H18627" s="13"/>
    </row>
    <row r="18628">
      <c r="A18628" s="6"/>
      <c r="B18628" s="6"/>
      <c r="H18628" s="13"/>
    </row>
    <row r="18629">
      <c r="A18629" s="6"/>
      <c r="B18629" s="6"/>
      <c r="H18629" s="13"/>
    </row>
    <row r="18630">
      <c r="A18630" s="6"/>
      <c r="B18630" s="6"/>
      <c r="H18630" s="13"/>
    </row>
    <row r="18631">
      <c r="A18631" s="6"/>
      <c r="B18631" s="6"/>
      <c r="H18631" s="13"/>
    </row>
    <row r="18632">
      <c r="A18632" s="6"/>
      <c r="B18632" s="6"/>
      <c r="H18632" s="13"/>
    </row>
    <row r="18633">
      <c r="A18633" s="6"/>
      <c r="B18633" s="6"/>
      <c r="H18633" s="13"/>
    </row>
    <row r="18634">
      <c r="A18634" s="6"/>
      <c r="B18634" s="6"/>
      <c r="H18634" s="13"/>
    </row>
    <row r="18635">
      <c r="A18635" s="6"/>
      <c r="B18635" s="6"/>
      <c r="H18635" s="13"/>
    </row>
    <row r="18636">
      <c r="A18636" s="6"/>
      <c r="B18636" s="6"/>
      <c r="H18636" s="13"/>
    </row>
    <row r="18637">
      <c r="A18637" s="6"/>
      <c r="B18637" s="6"/>
      <c r="H18637" s="13"/>
    </row>
    <row r="18638">
      <c r="A18638" s="6"/>
      <c r="B18638" s="6"/>
      <c r="H18638" s="13"/>
    </row>
    <row r="18639">
      <c r="A18639" s="6"/>
      <c r="B18639" s="6"/>
      <c r="H18639" s="13"/>
    </row>
    <row r="18640">
      <c r="A18640" s="6"/>
      <c r="B18640" s="6"/>
      <c r="H18640" s="13"/>
    </row>
    <row r="18641">
      <c r="A18641" s="6"/>
      <c r="B18641" s="6"/>
      <c r="H18641" s="13"/>
    </row>
    <row r="18642">
      <c r="A18642" s="6"/>
      <c r="B18642" s="6"/>
      <c r="H18642" s="13"/>
    </row>
    <row r="18643">
      <c r="A18643" s="6"/>
      <c r="B18643" s="6"/>
      <c r="H18643" s="13"/>
    </row>
    <row r="18644">
      <c r="A18644" s="6"/>
      <c r="B18644" s="6"/>
      <c r="H18644" s="13"/>
    </row>
    <row r="18645">
      <c r="A18645" s="6"/>
      <c r="B18645" s="6"/>
      <c r="H18645" s="13"/>
    </row>
    <row r="18646">
      <c r="A18646" s="6"/>
      <c r="B18646" s="6"/>
      <c r="H18646" s="13"/>
    </row>
    <row r="18647">
      <c r="A18647" s="6"/>
      <c r="B18647" s="6"/>
      <c r="H18647" s="13"/>
    </row>
    <row r="18648">
      <c r="A18648" s="6"/>
      <c r="B18648" s="6"/>
      <c r="H18648" s="13"/>
    </row>
    <row r="18649">
      <c r="A18649" s="6"/>
      <c r="B18649" s="6"/>
      <c r="H18649" s="13"/>
    </row>
    <row r="18650">
      <c r="A18650" s="6"/>
      <c r="B18650" s="6"/>
      <c r="H18650" s="13"/>
    </row>
    <row r="18651">
      <c r="A18651" s="6"/>
      <c r="B18651" s="6"/>
      <c r="H18651" s="13"/>
    </row>
    <row r="18652">
      <c r="A18652" s="6"/>
      <c r="B18652" s="6"/>
      <c r="H18652" s="13"/>
    </row>
    <row r="18653">
      <c r="A18653" s="6"/>
      <c r="B18653" s="6"/>
      <c r="H18653" s="13"/>
    </row>
    <row r="18654">
      <c r="A18654" s="6"/>
      <c r="B18654" s="6"/>
      <c r="H18654" s="13"/>
    </row>
    <row r="18655">
      <c r="A18655" s="6"/>
      <c r="B18655" s="6"/>
      <c r="H18655" s="13"/>
    </row>
    <row r="18656">
      <c r="A18656" s="6"/>
      <c r="B18656" s="6"/>
      <c r="H18656" s="13"/>
    </row>
    <row r="18657">
      <c r="A18657" s="6"/>
      <c r="B18657" s="6"/>
      <c r="H18657" s="13"/>
    </row>
    <row r="18658">
      <c r="A18658" s="6"/>
      <c r="B18658" s="6"/>
      <c r="H18658" s="13"/>
    </row>
    <row r="18659">
      <c r="A18659" s="6"/>
      <c r="B18659" s="6"/>
      <c r="H18659" s="13"/>
    </row>
    <row r="18660">
      <c r="A18660" s="6"/>
      <c r="B18660" s="6"/>
      <c r="H18660" s="13"/>
    </row>
    <row r="18661">
      <c r="A18661" s="6"/>
      <c r="B18661" s="6"/>
      <c r="H18661" s="13"/>
    </row>
    <row r="18662">
      <c r="A18662" s="6"/>
      <c r="B18662" s="6"/>
      <c r="H18662" s="13"/>
    </row>
    <row r="18663">
      <c r="A18663" s="6"/>
      <c r="B18663" s="6"/>
      <c r="H18663" s="13"/>
    </row>
    <row r="18664">
      <c r="A18664" s="6"/>
      <c r="B18664" s="6"/>
      <c r="H18664" s="13"/>
    </row>
    <row r="18665">
      <c r="A18665" s="6"/>
      <c r="B18665" s="6"/>
      <c r="H18665" s="13"/>
    </row>
    <row r="18666">
      <c r="A18666" s="6"/>
      <c r="B18666" s="6"/>
      <c r="H18666" s="13"/>
    </row>
    <row r="18667">
      <c r="A18667" s="6"/>
      <c r="B18667" s="6"/>
      <c r="H18667" s="13"/>
    </row>
    <row r="18668">
      <c r="A18668" s="6"/>
      <c r="B18668" s="6"/>
      <c r="H18668" s="13"/>
    </row>
    <row r="18669">
      <c r="A18669" s="6"/>
      <c r="B18669" s="6"/>
      <c r="H18669" s="13"/>
    </row>
    <row r="18670">
      <c r="A18670" s="6"/>
      <c r="B18670" s="6"/>
      <c r="H18670" s="13"/>
    </row>
    <row r="18671">
      <c r="A18671" s="6"/>
      <c r="B18671" s="6"/>
      <c r="H18671" s="13"/>
    </row>
    <row r="18672">
      <c r="A18672" s="6"/>
      <c r="B18672" s="6"/>
      <c r="H18672" s="13"/>
    </row>
    <row r="18673">
      <c r="A18673" s="6"/>
      <c r="B18673" s="6"/>
      <c r="H18673" s="13"/>
    </row>
    <row r="18674">
      <c r="A18674" s="6"/>
      <c r="B18674" s="6"/>
      <c r="H18674" s="13"/>
    </row>
    <row r="18675">
      <c r="A18675" s="6"/>
      <c r="B18675" s="6"/>
      <c r="H18675" s="13"/>
    </row>
    <row r="18676">
      <c r="A18676" s="6"/>
      <c r="B18676" s="6"/>
      <c r="H18676" s="13"/>
    </row>
    <row r="18677">
      <c r="A18677" s="6"/>
      <c r="B18677" s="6"/>
      <c r="H18677" s="13"/>
    </row>
    <row r="18678">
      <c r="A18678" s="6"/>
      <c r="B18678" s="6"/>
      <c r="H18678" s="13"/>
    </row>
    <row r="18679">
      <c r="A18679" s="6"/>
      <c r="B18679" s="6"/>
      <c r="H18679" s="13"/>
    </row>
    <row r="18680">
      <c r="A18680" s="6"/>
      <c r="B18680" s="6"/>
      <c r="H18680" s="13"/>
    </row>
    <row r="18681">
      <c r="A18681" s="6"/>
      <c r="B18681" s="6"/>
      <c r="H18681" s="13"/>
    </row>
    <row r="18682">
      <c r="A18682" s="6"/>
      <c r="B18682" s="6"/>
      <c r="H18682" s="13"/>
    </row>
    <row r="18683">
      <c r="A18683" s="6"/>
      <c r="B18683" s="6"/>
      <c r="H18683" s="13"/>
    </row>
    <row r="18684">
      <c r="A18684" s="6"/>
      <c r="B18684" s="6"/>
      <c r="H18684" s="13"/>
    </row>
    <row r="18685">
      <c r="A18685" s="6"/>
      <c r="B18685" s="6"/>
      <c r="H18685" s="13"/>
    </row>
    <row r="18686">
      <c r="A18686" s="6"/>
      <c r="B18686" s="6"/>
      <c r="H18686" s="13"/>
    </row>
    <row r="18687">
      <c r="A18687" s="6"/>
      <c r="B18687" s="6"/>
      <c r="H18687" s="13"/>
    </row>
    <row r="18688">
      <c r="A18688" s="6"/>
      <c r="B18688" s="6"/>
      <c r="H18688" s="13"/>
    </row>
    <row r="18689">
      <c r="A18689" s="6"/>
      <c r="B18689" s="6"/>
      <c r="H18689" s="13"/>
    </row>
    <row r="18690">
      <c r="A18690" s="6"/>
      <c r="B18690" s="6"/>
      <c r="H18690" s="13"/>
    </row>
    <row r="18691">
      <c r="A18691" s="6"/>
      <c r="B18691" s="6"/>
      <c r="H18691" s="13"/>
    </row>
    <row r="18692">
      <c r="A18692" s="6"/>
      <c r="B18692" s="6"/>
      <c r="H18692" s="13"/>
    </row>
    <row r="18693">
      <c r="A18693" s="6"/>
      <c r="B18693" s="6"/>
      <c r="H18693" s="13"/>
    </row>
    <row r="18694">
      <c r="A18694" s="6"/>
      <c r="B18694" s="6"/>
      <c r="H18694" s="13"/>
    </row>
    <row r="18695">
      <c r="A18695" s="6"/>
      <c r="B18695" s="6"/>
      <c r="H18695" s="13"/>
    </row>
    <row r="18696">
      <c r="A18696" s="6"/>
      <c r="B18696" s="6"/>
      <c r="H18696" s="13"/>
    </row>
    <row r="18697">
      <c r="A18697" s="6"/>
      <c r="B18697" s="6"/>
      <c r="H18697" s="13"/>
    </row>
    <row r="18698">
      <c r="A18698" s="6"/>
      <c r="B18698" s="6"/>
      <c r="H18698" s="13"/>
    </row>
    <row r="18699">
      <c r="A18699" s="6"/>
      <c r="B18699" s="6"/>
      <c r="H18699" s="13"/>
    </row>
    <row r="18700">
      <c r="A18700" s="6"/>
      <c r="B18700" s="6"/>
      <c r="H18700" s="13"/>
    </row>
    <row r="18701">
      <c r="A18701" s="6"/>
      <c r="B18701" s="6"/>
      <c r="H18701" s="13"/>
    </row>
    <row r="18702">
      <c r="A18702" s="6"/>
      <c r="B18702" s="6"/>
      <c r="H18702" s="13"/>
    </row>
    <row r="18703">
      <c r="A18703" s="6"/>
      <c r="B18703" s="6"/>
      <c r="H18703" s="13"/>
    </row>
    <row r="18704">
      <c r="A18704" s="6"/>
      <c r="B18704" s="6"/>
      <c r="H18704" s="13"/>
    </row>
    <row r="18705">
      <c r="A18705" s="6"/>
      <c r="B18705" s="6"/>
      <c r="H18705" s="13"/>
    </row>
    <row r="18706">
      <c r="A18706" s="6"/>
      <c r="B18706" s="6"/>
      <c r="H18706" s="13"/>
    </row>
    <row r="18707">
      <c r="A18707" s="6"/>
      <c r="B18707" s="6"/>
      <c r="H18707" s="13"/>
    </row>
    <row r="18708">
      <c r="A18708" s="6"/>
      <c r="B18708" s="6"/>
      <c r="H18708" s="13"/>
    </row>
    <row r="18709">
      <c r="A18709" s="6"/>
      <c r="B18709" s="6"/>
      <c r="H18709" s="13"/>
    </row>
    <row r="18710">
      <c r="A18710" s="6"/>
      <c r="B18710" s="6"/>
      <c r="H18710" s="13"/>
    </row>
    <row r="18711">
      <c r="A18711" s="6"/>
      <c r="B18711" s="6"/>
      <c r="H18711" s="13"/>
    </row>
    <row r="18712">
      <c r="A18712" s="6"/>
      <c r="B18712" s="6"/>
      <c r="H18712" s="13"/>
    </row>
    <row r="18713">
      <c r="A18713" s="6"/>
      <c r="B18713" s="6"/>
      <c r="H18713" s="13"/>
    </row>
    <row r="18714">
      <c r="A18714" s="6"/>
      <c r="B18714" s="6"/>
      <c r="H18714" s="13"/>
    </row>
    <row r="18715">
      <c r="A18715" s="6"/>
      <c r="B18715" s="6"/>
      <c r="H18715" s="13"/>
    </row>
    <row r="18716">
      <c r="A18716" s="6"/>
      <c r="B18716" s="6"/>
      <c r="H18716" s="13"/>
    </row>
    <row r="18717">
      <c r="A18717" s="6"/>
      <c r="B18717" s="6"/>
      <c r="H18717" s="13"/>
    </row>
    <row r="18718">
      <c r="A18718" s="6"/>
      <c r="B18718" s="6"/>
      <c r="H18718" s="13"/>
    </row>
    <row r="18719">
      <c r="A18719" s="6"/>
      <c r="B18719" s="6"/>
      <c r="H18719" s="13"/>
    </row>
    <row r="18720">
      <c r="A18720" s="6"/>
      <c r="B18720" s="6"/>
      <c r="H18720" s="13"/>
    </row>
    <row r="18721">
      <c r="A18721" s="6"/>
      <c r="B18721" s="6"/>
      <c r="H18721" s="13"/>
    </row>
    <row r="18722">
      <c r="A18722" s="6"/>
      <c r="B18722" s="6"/>
      <c r="H18722" s="13"/>
    </row>
    <row r="18723">
      <c r="A18723" s="6"/>
      <c r="B18723" s="6"/>
      <c r="H18723" s="13"/>
    </row>
    <row r="18724">
      <c r="A18724" s="6"/>
      <c r="B18724" s="6"/>
      <c r="H18724" s="13"/>
    </row>
    <row r="18725">
      <c r="A18725" s="6"/>
      <c r="B18725" s="6"/>
      <c r="H18725" s="13"/>
    </row>
    <row r="18726">
      <c r="A18726" s="6"/>
      <c r="B18726" s="6"/>
      <c r="H18726" s="13"/>
    </row>
    <row r="18727">
      <c r="A18727" s="6"/>
      <c r="B18727" s="6"/>
      <c r="H18727" s="13"/>
    </row>
    <row r="18728">
      <c r="A18728" s="6"/>
      <c r="B18728" s="6"/>
      <c r="H18728" s="13"/>
    </row>
    <row r="18729">
      <c r="A18729" s="6"/>
      <c r="B18729" s="6"/>
      <c r="H18729" s="13"/>
    </row>
    <row r="18730">
      <c r="A18730" s="6"/>
      <c r="B18730" s="6"/>
      <c r="H18730" s="13"/>
    </row>
    <row r="18731">
      <c r="A18731" s="6"/>
      <c r="B18731" s="6"/>
      <c r="H18731" s="13"/>
    </row>
    <row r="18732">
      <c r="A18732" s="6"/>
      <c r="B18732" s="6"/>
      <c r="H18732" s="13"/>
    </row>
    <row r="18733">
      <c r="A18733" s="6"/>
      <c r="B18733" s="6"/>
      <c r="H18733" s="13"/>
    </row>
    <row r="18734">
      <c r="A18734" s="6"/>
      <c r="B18734" s="6"/>
      <c r="H18734" s="13"/>
    </row>
    <row r="18735">
      <c r="A18735" s="6"/>
      <c r="B18735" s="6"/>
      <c r="H18735" s="13"/>
    </row>
    <row r="18736">
      <c r="A18736" s="6"/>
      <c r="B18736" s="6"/>
      <c r="H18736" s="13"/>
    </row>
    <row r="18737">
      <c r="A18737" s="6"/>
      <c r="B18737" s="6"/>
      <c r="H18737" s="13"/>
    </row>
    <row r="18738">
      <c r="A18738" s="6"/>
      <c r="B18738" s="6"/>
      <c r="H18738" s="13"/>
    </row>
    <row r="18739">
      <c r="A18739" s="6"/>
      <c r="B18739" s="6"/>
      <c r="H18739" s="13"/>
    </row>
    <row r="18740">
      <c r="A18740" s="6"/>
      <c r="B18740" s="6"/>
      <c r="H18740" s="13"/>
    </row>
    <row r="18741">
      <c r="A18741" s="6"/>
      <c r="B18741" s="6"/>
      <c r="H18741" s="13"/>
    </row>
    <row r="18742">
      <c r="A18742" s="6"/>
      <c r="B18742" s="6"/>
      <c r="H18742" s="13"/>
    </row>
    <row r="18743">
      <c r="A18743" s="6"/>
      <c r="B18743" s="6"/>
      <c r="H18743" s="13"/>
    </row>
    <row r="18744">
      <c r="A18744" s="6"/>
      <c r="B18744" s="6"/>
      <c r="H18744" s="13"/>
    </row>
    <row r="18745">
      <c r="A18745" s="6"/>
      <c r="B18745" s="6"/>
      <c r="H18745" s="13"/>
    </row>
    <row r="18746">
      <c r="A18746" s="6"/>
      <c r="B18746" s="6"/>
      <c r="H18746" s="13"/>
    </row>
    <row r="18747">
      <c r="A18747" s="6"/>
      <c r="B18747" s="6"/>
      <c r="H18747" s="13"/>
    </row>
    <row r="18748">
      <c r="A18748" s="6"/>
      <c r="B18748" s="6"/>
      <c r="H18748" s="13"/>
    </row>
    <row r="18749">
      <c r="A18749" s="6"/>
      <c r="B18749" s="6"/>
      <c r="H18749" s="13"/>
    </row>
    <row r="18750">
      <c r="A18750" s="6"/>
      <c r="B18750" s="6"/>
      <c r="H18750" s="13"/>
    </row>
    <row r="18751">
      <c r="A18751" s="6"/>
      <c r="B18751" s="6"/>
      <c r="H18751" s="13"/>
    </row>
    <row r="18752">
      <c r="A18752" s="6"/>
      <c r="B18752" s="6"/>
      <c r="H18752" s="13"/>
    </row>
    <row r="18753">
      <c r="A18753" s="6"/>
      <c r="B18753" s="6"/>
      <c r="H18753" s="13"/>
    </row>
    <row r="18754">
      <c r="A18754" s="6"/>
      <c r="B18754" s="6"/>
      <c r="H18754" s="13"/>
    </row>
    <row r="18755">
      <c r="A18755" s="6"/>
      <c r="B18755" s="6"/>
      <c r="H18755" s="13"/>
    </row>
    <row r="18756">
      <c r="A18756" s="6"/>
      <c r="B18756" s="6"/>
      <c r="H18756" s="13"/>
    </row>
    <row r="18757">
      <c r="A18757" s="6"/>
      <c r="B18757" s="6"/>
      <c r="H18757" s="13"/>
    </row>
    <row r="18758">
      <c r="A18758" s="6"/>
      <c r="B18758" s="6"/>
      <c r="H18758" s="13"/>
    </row>
    <row r="18759">
      <c r="A18759" s="6"/>
      <c r="B18759" s="6"/>
      <c r="H18759" s="13"/>
    </row>
    <row r="18760">
      <c r="A18760" s="6"/>
      <c r="B18760" s="6"/>
      <c r="H18760" s="13"/>
    </row>
    <row r="18761">
      <c r="A18761" s="6"/>
      <c r="B18761" s="6"/>
      <c r="H18761" s="13"/>
    </row>
    <row r="18762">
      <c r="A18762" s="6"/>
      <c r="B18762" s="6"/>
      <c r="H18762" s="13"/>
    </row>
    <row r="18763">
      <c r="A18763" s="6"/>
      <c r="B18763" s="6"/>
      <c r="H18763" s="13"/>
    </row>
    <row r="18764">
      <c r="A18764" s="6"/>
      <c r="B18764" s="6"/>
      <c r="H18764" s="13"/>
    </row>
    <row r="18765">
      <c r="A18765" s="6"/>
      <c r="B18765" s="6"/>
      <c r="H18765" s="13"/>
    </row>
    <row r="18766">
      <c r="A18766" s="6"/>
      <c r="B18766" s="6"/>
      <c r="H18766" s="13"/>
    </row>
    <row r="18767">
      <c r="A18767" s="6"/>
      <c r="B18767" s="6"/>
      <c r="H18767" s="13"/>
    </row>
    <row r="18768">
      <c r="A18768" s="6"/>
      <c r="B18768" s="6"/>
      <c r="H18768" s="13"/>
    </row>
    <row r="18769">
      <c r="A18769" s="6"/>
      <c r="B18769" s="6"/>
      <c r="H18769" s="13"/>
    </row>
    <row r="18770">
      <c r="A18770" s="6"/>
      <c r="B18770" s="6"/>
      <c r="H18770" s="13"/>
    </row>
    <row r="18771">
      <c r="A18771" s="6"/>
      <c r="B18771" s="6"/>
      <c r="H18771" s="13"/>
    </row>
    <row r="18772">
      <c r="A18772" s="6"/>
      <c r="B18772" s="6"/>
      <c r="H18772" s="13"/>
    </row>
    <row r="18773">
      <c r="A18773" s="6"/>
      <c r="B18773" s="6"/>
      <c r="H18773" s="13"/>
    </row>
    <row r="18774">
      <c r="A18774" s="6"/>
      <c r="B18774" s="6"/>
      <c r="H18774" s="13"/>
    </row>
    <row r="18775">
      <c r="A18775" s="6"/>
      <c r="B18775" s="6"/>
      <c r="H18775" s="13"/>
    </row>
    <row r="18776">
      <c r="A18776" s="6"/>
      <c r="B18776" s="6"/>
      <c r="H18776" s="13"/>
    </row>
    <row r="18777">
      <c r="A18777" s="6"/>
      <c r="B18777" s="6"/>
      <c r="H18777" s="13"/>
    </row>
    <row r="18778">
      <c r="A18778" s="6"/>
      <c r="B18778" s="6"/>
      <c r="H18778" s="13"/>
    </row>
    <row r="18779">
      <c r="A18779" s="6"/>
      <c r="B18779" s="6"/>
      <c r="H18779" s="13"/>
    </row>
    <row r="18780">
      <c r="A18780" s="6"/>
      <c r="B18780" s="6"/>
      <c r="H18780" s="13"/>
    </row>
    <row r="18781">
      <c r="A18781" s="6"/>
      <c r="B18781" s="6"/>
      <c r="H18781" s="13"/>
    </row>
    <row r="18782">
      <c r="A18782" s="6"/>
      <c r="B18782" s="6"/>
      <c r="H18782" s="13"/>
    </row>
    <row r="18783">
      <c r="A18783" s="6"/>
      <c r="B18783" s="6"/>
      <c r="H18783" s="13"/>
    </row>
    <row r="18784">
      <c r="A18784" s="6"/>
      <c r="B18784" s="6"/>
      <c r="H18784" s="13"/>
    </row>
    <row r="18785">
      <c r="A18785" s="6"/>
      <c r="B18785" s="6"/>
      <c r="H18785" s="13"/>
    </row>
    <row r="18786">
      <c r="A18786" s="6"/>
      <c r="B18786" s="6"/>
      <c r="H18786" s="13"/>
    </row>
    <row r="18787">
      <c r="A18787" s="6"/>
      <c r="B18787" s="6"/>
      <c r="H18787" s="13"/>
    </row>
    <row r="18788">
      <c r="A18788" s="6"/>
      <c r="B18788" s="6"/>
      <c r="H18788" s="13"/>
    </row>
    <row r="18789">
      <c r="A18789" s="6"/>
      <c r="B18789" s="6"/>
      <c r="H18789" s="13"/>
    </row>
    <row r="18790">
      <c r="A18790" s="6"/>
      <c r="B18790" s="6"/>
      <c r="H18790" s="13"/>
    </row>
    <row r="18791">
      <c r="A18791" s="6"/>
      <c r="B18791" s="6"/>
      <c r="H18791" s="13"/>
    </row>
    <row r="18792">
      <c r="A18792" s="6"/>
      <c r="B18792" s="6"/>
      <c r="H18792" s="13"/>
    </row>
    <row r="18793">
      <c r="A18793" s="6"/>
      <c r="B18793" s="6"/>
      <c r="H18793" s="13"/>
    </row>
    <row r="18794">
      <c r="A18794" s="6"/>
      <c r="B18794" s="6"/>
      <c r="H18794" s="13"/>
    </row>
    <row r="18795">
      <c r="A18795" s="6"/>
      <c r="B18795" s="6"/>
      <c r="H18795" s="13"/>
    </row>
    <row r="18796">
      <c r="A18796" s="6"/>
      <c r="B18796" s="6"/>
      <c r="H18796" s="13"/>
    </row>
    <row r="18797">
      <c r="A18797" s="6"/>
      <c r="B18797" s="6"/>
      <c r="H18797" s="13"/>
    </row>
    <row r="18798">
      <c r="A18798" s="6"/>
      <c r="B18798" s="6"/>
      <c r="H18798" s="13"/>
    </row>
    <row r="18799">
      <c r="A18799" s="6"/>
      <c r="B18799" s="6"/>
      <c r="H18799" s="13"/>
    </row>
    <row r="18800">
      <c r="A18800" s="6"/>
      <c r="B18800" s="6"/>
      <c r="H18800" s="13"/>
    </row>
    <row r="18801">
      <c r="A18801" s="6"/>
      <c r="B18801" s="6"/>
      <c r="H18801" s="13"/>
    </row>
    <row r="18802">
      <c r="A18802" s="6"/>
      <c r="B18802" s="6"/>
      <c r="H18802" s="13"/>
    </row>
    <row r="18803">
      <c r="A18803" s="6"/>
      <c r="B18803" s="6"/>
      <c r="H18803" s="13"/>
    </row>
    <row r="18804">
      <c r="A18804" s="6"/>
      <c r="B18804" s="6"/>
      <c r="H18804" s="13"/>
    </row>
    <row r="18805">
      <c r="A18805" s="6"/>
      <c r="B18805" s="6"/>
      <c r="H18805" s="13"/>
    </row>
    <row r="18806">
      <c r="A18806" s="6"/>
      <c r="B18806" s="6"/>
      <c r="H18806" s="13"/>
    </row>
    <row r="18807">
      <c r="A18807" s="6"/>
      <c r="B18807" s="6"/>
      <c r="H18807" s="13"/>
    </row>
    <row r="18808">
      <c r="A18808" s="6"/>
      <c r="B18808" s="6"/>
      <c r="H18808" s="13"/>
    </row>
    <row r="18809">
      <c r="A18809" s="6"/>
      <c r="B18809" s="6"/>
      <c r="H18809" s="13"/>
    </row>
    <row r="18810">
      <c r="A18810" s="6"/>
      <c r="B18810" s="6"/>
      <c r="H18810" s="13"/>
    </row>
    <row r="18811">
      <c r="A18811" s="6"/>
      <c r="B18811" s="6"/>
      <c r="H18811" s="13"/>
    </row>
    <row r="18812">
      <c r="A18812" s="6"/>
      <c r="B18812" s="6"/>
      <c r="H18812" s="13"/>
    </row>
    <row r="18813">
      <c r="A18813" s="6"/>
      <c r="B18813" s="6"/>
      <c r="H18813" s="13"/>
    </row>
    <row r="18814">
      <c r="A18814" s="6"/>
      <c r="B18814" s="6"/>
      <c r="H18814" s="13"/>
    </row>
    <row r="18815">
      <c r="A18815" s="6"/>
      <c r="B18815" s="6"/>
      <c r="H18815" s="13"/>
    </row>
    <row r="18816">
      <c r="A18816" s="6"/>
      <c r="B18816" s="6"/>
      <c r="H18816" s="13"/>
    </row>
    <row r="18817">
      <c r="A18817" s="6"/>
      <c r="B18817" s="6"/>
      <c r="H18817" s="13"/>
    </row>
    <row r="18818">
      <c r="A18818" s="6"/>
      <c r="B18818" s="6"/>
      <c r="H18818" s="13"/>
    </row>
    <row r="18819">
      <c r="A18819" s="6"/>
      <c r="B18819" s="6"/>
      <c r="H18819" s="13"/>
    </row>
    <row r="18820">
      <c r="A18820" s="6"/>
      <c r="B18820" s="6"/>
      <c r="H18820" s="13"/>
    </row>
    <row r="18821">
      <c r="A18821" s="6"/>
      <c r="B18821" s="6"/>
      <c r="H18821" s="13"/>
    </row>
    <row r="18822">
      <c r="A18822" s="6"/>
      <c r="B18822" s="6"/>
      <c r="H18822" s="13"/>
    </row>
    <row r="18823">
      <c r="A18823" s="6"/>
      <c r="B18823" s="6"/>
      <c r="H18823" s="13"/>
    </row>
    <row r="18824">
      <c r="A18824" s="6"/>
      <c r="B18824" s="6"/>
      <c r="H18824" s="13"/>
    </row>
    <row r="18825">
      <c r="A18825" s="6"/>
      <c r="B18825" s="6"/>
      <c r="H18825" s="13"/>
    </row>
    <row r="18826">
      <c r="A18826" s="6"/>
      <c r="B18826" s="6"/>
      <c r="H18826" s="13"/>
    </row>
    <row r="18827">
      <c r="A18827" s="6"/>
      <c r="B18827" s="6"/>
      <c r="H18827" s="13"/>
    </row>
    <row r="18828">
      <c r="A18828" s="6"/>
      <c r="B18828" s="6"/>
      <c r="H18828" s="13"/>
    </row>
    <row r="18829">
      <c r="A18829" s="6"/>
      <c r="B18829" s="6"/>
      <c r="H18829" s="13"/>
    </row>
    <row r="18830">
      <c r="A18830" s="6"/>
      <c r="B18830" s="6"/>
      <c r="H18830" s="13"/>
    </row>
    <row r="18831">
      <c r="A18831" s="6"/>
      <c r="B18831" s="6"/>
      <c r="H18831" s="13"/>
    </row>
    <row r="18832">
      <c r="A18832" s="6"/>
      <c r="B18832" s="6"/>
      <c r="H18832" s="13"/>
    </row>
    <row r="18833">
      <c r="A18833" s="6"/>
      <c r="B18833" s="6"/>
      <c r="H18833" s="13"/>
    </row>
    <row r="18834">
      <c r="A18834" s="6"/>
      <c r="B18834" s="6"/>
      <c r="H18834" s="13"/>
    </row>
    <row r="18835">
      <c r="A18835" s="6"/>
      <c r="B18835" s="6"/>
      <c r="H18835" s="13"/>
    </row>
    <row r="18836">
      <c r="A18836" s="6"/>
      <c r="B18836" s="6"/>
      <c r="H18836" s="13"/>
    </row>
    <row r="18837">
      <c r="A18837" s="6"/>
      <c r="B18837" s="6"/>
      <c r="H18837" s="13"/>
    </row>
    <row r="18838">
      <c r="A18838" s="6"/>
      <c r="B18838" s="6"/>
      <c r="H18838" s="13"/>
    </row>
    <row r="18839">
      <c r="A18839" s="6"/>
      <c r="B18839" s="6"/>
      <c r="H18839" s="13"/>
    </row>
    <row r="18840">
      <c r="A18840" s="6"/>
      <c r="B18840" s="6"/>
      <c r="H18840" s="13"/>
    </row>
    <row r="18841">
      <c r="A18841" s="6"/>
      <c r="B18841" s="6"/>
      <c r="H18841" s="13"/>
    </row>
    <row r="18842">
      <c r="A18842" s="6"/>
      <c r="B18842" s="6"/>
      <c r="H18842" s="13"/>
    </row>
    <row r="18843">
      <c r="A18843" s="6"/>
      <c r="B18843" s="6"/>
      <c r="H18843" s="13"/>
    </row>
    <row r="18844">
      <c r="A18844" s="6"/>
      <c r="B18844" s="6"/>
      <c r="H18844" s="13"/>
    </row>
    <row r="18845">
      <c r="A18845" s="6"/>
      <c r="B18845" s="6"/>
      <c r="H18845" s="13"/>
    </row>
    <row r="18846">
      <c r="A18846" s="6"/>
      <c r="B18846" s="6"/>
      <c r="H18846" s="13"/>
    </row>
    <row r="18847">
      <c r="A18847" s="6"/>
      <c r="B18847" s="6"/>
      <c r="H18847" s="13"/>
    </row>
    <row r="18848">
      <c r="A18848" s="6"/>
      <c r="B18848" s="6"/>
      <c r="H18848" s="13"/>
    </row>
    <row r="18849">
      <c r="A18849" s="6"/>
      <c r="B18849" s="6"/>
      <c r="H18849" s="13"/>
    </row>
    <row r="18850">
      <c r="A18850" s="6"/>
      <c r="B18850" s="6"/>
      <c r="H18850" s="13"/>
    </row>
    <row r="18851">
      <c r="A18851" s="6"/>
      <c r="B18851" s="6"/>
      <c r="H18851" s="13"/>
    </row>
    <row r="18852">
      <c r="A18852" s="6"/>
      <c r="B18852" s="6"/>
      <c r="H18852" s="13"/>
    </row>
    <row r="18853">
      <c r="A18853" s="6"/>
      <c r="B18853" s="6"/>
      <c r="H18853" s="13"/>
    </row>
    <row r="18854">
      <c r="A18854" s="6"/>
      <c r="B18854" s="6"/>
      <c r="H18854" s="13"/>
    </row>
    <row r="18855">
      <c r="A18855" s="6"/>
      <c r="B18855" s="6"/>
      <c r="H18855" s="13"/>
    </row>
    <row r="18856">
      <c r="A18856" s="6"/>
      <c r="B18856" s="6"/>
      <c r="H18856" s="13"/>
    </row>
    <row r="18857">
      <c r="A18857" s="6"/>
      <c r="B18857" s="6"/>
      <c r="H18857" s="13"/>
    </row>
    <row r="18858">
      <c r="A18858" s="6"/>
      <c r="B18858" s="6"/>
      <c r="H18858" s="13"/>
    </row>
    <row r="18859">
      <c r="A18859" s="6"/>
      <c r="B18859" s="6"/>
      <c r="H18859" s="13"/>
    </row>
    <row r="18860">
      <c r="A18860" s="6"/>
      <c r="B18860" s="6"/>
      <c r="H18860" s="13"/>
    </row>
    <row r="18861">
      <c r="A18861" s="6"/>
      <c r="B18861" s="6"/>
      <c r="H18861" s="13"/>
    </row>
    <row r="18862">
      <c r="A18862" s="6"/>
      <c r="B18862" s="6"/>
      <c r="H18862" s="13"/>
    </row>
    <row r="18863">
      <c r="A18863" s="6"/>
      <c r="B18863" s="6"/>
      <c r="H18863" s="13"/>
    </row>
    <row r="18864">
      <c r="A18864" s="6"/>
      <c r="B18864" s="6"/>
      <c r="H18864" s="13"/>
    </row>
    <row r="18865">
      <c r="A18865" s="6"/>
      <c r="B18865" s="6"/>
      <c r="H18865" s="13"/>
    </row>
    <row r="18866">
      <c r="A18866" s="6"/>
      <c r="B18866" s="6"/>
      <c r="H18866" s="13"/>
    </row>
    <row r="18867">
      <c r="A18867" s="6"/>
      <c r="B18867" s="6"/>
      <c r="H18867" s="13"/>
    </row>
    <row r="18868">
      <c r="A18868" s="6"/>
      <c r="B18868" s="6"/>
      <c r="H18868" s="13"/>
    </row>
    <row r="18869">
      <c r="A18869" s="6"/>
      <c r="B18869" s="6"/>
      <c r="H18869" s="13"/>
    </row>
    <row r="18870">
      <c r="A18870" s="6"/>
      <c r="B18870" s="6"/>
      <c r="H18870" s="13"/>
    </row>
    <row r="18871">
      <c r="A18871" s="6"/>
      <c r="B18871" s="6"/>
      <c r="H18871" s="13"/>
    </row>
    <row r="18872">
      <c r="A18872" s="6"/>
      <c r="B18872" s="6"/>
      <c r="H18872" s="13"/>
    </row>
    <row r="18873">
      <c r="A18873" s="6"/>
      <c r="B18873" s="6"/>
      <c r="H18873" s="13"/>
    </row>
    <row r="18874">
      <c r="A18874" s="6"/>
      <c r="B18874" s="6"/>
      <c r="H18874" s="13"/>
    </row>
    <row r="18875">
      <c r="A18875" s="6"/>
      <c r="B18875" s="6"/>
      <c r="H18875" s="13"/>
    </row>
    <row r="18876">
      <c r="A18876" s="6"/>
      <c r="B18876" s="6"/>
      <c r="H18876" s="13"/>
    </row>
    <row r="18877">
      <c r="A18877" s="6"/>
      <c r="B18877" s="6"/>
      <c r="H18877" s="13"/>
    </row>
    <row r="18878">
      <c r="A18878" s="6"/>
      <c r="B18878" s="6"/>
      <c r="H18878" s="13"/>
    </row>
    <row r="18879">
      <c r="A18879" s="6"/>
      <c r="B18879" s="6"/>
      <c r="H18879" s="13"/>
    </row>
    <row r="18880">
      <c r="A18880" s="6"/>
      <c r="B18880" s="6"/>
      <c r="H18880" s="13"/>
    </row>
    <row r="18881">
      <c r="A18881" s="6"/>
      <c r="B18881" s="6"/>
      <c r="H18881" s="13"/>
    </row>
    <row r="18882">
      <c r="A18882" s="6"/>
      <c r="B18882" s="6"/>
      <c r="H18882" s="13"/>
    </row>
    <row r="18883">
      <c r="A18883" s="6"/>
      <c r="B18883" s="6"/>
      <c r="H18883" s="13"/>
    </row>
    <row r="18884">
      <c r="A18884" s="6"/>
      <c r="B18884" s="6"/>
      <c r="H18884" s="13"/>
    </row>
    <row r="18885">
      <c r="A18885" s="6"/>
      <c r="B18885" s="6"/>
      <c r="H18885" s="13"/>
    </row>
    <row r="18886">
      <c r="A18886" s="6"/>
      <c r="B18886" s="6"/>
      <c r="H18886" s="13"/>
    </row>
    <row r="18887">
      <c r="A18887" s="6"/>
      <c r="B18887" s="6"/>
      <c r="H18887" s="13"/>
    </row>
    <row r="18888">
      <c r="A18888" s="6"/>
      <c r="B18888" s="6"/>
      <c r="H18888" s="13"/>
    </row>
    <row r="18889">
      <c r="A18889" s="6"/>
      <c r="B18889" s="6"/>
      <c r="H18889" s="13"/>
    </row>
    <row r="18890">
      <c r="A18890" s="6"/>
      <c r="B18890" s="6"/>
      <c r="H18890" s="13"/>
    </row>
    <row r="18891">
      <c r="A18891" s="6"/>
      <c r="B18891" s="6"/>
      <c r="H18891" s="13"/>
    </row>
    <row r="18892">
      <c r="A18892" s="6"/>
      <c r="B18892" s="6"/>
      <c r="H18892" s="13"/>
    </row>
    <row r="18893">
      <c r="A18893" s="6"/>
      <c r="B18893" s="6"/>
      <c r="H18893" s="13"/>
    </row>
    <row r="18894">
      <c r="A18894" s="6"/>
      <c r="B18894" s="6"/>
      <c r="H18894" s="13"/>
    </row>
    <row r="18895">
      <c r="A18895" s="6"/>
      <c r="B18895" s="6"/>
      <c r="H18895" s="13"/>
    </row>
    <row r="18896">
      <c r="A18896" s="6"/>
      <c r="B18896" s="6"/>
      <c r="H18896" s="13"/>
    </row>
    <row r="18897">
      <c r="A18897" s="6"/>
      <c r="B18897" s="6"/>
      <c r="H18897" s="13"/>
    </row>
    <row r="18898">
      <c r="A18898" s="6"/>
      <c r="B18898" s="6"/>
      <c r="H18898" s="13"/>
    </row>
    <row r="18899">
      <c r="A18899" s="6"/>
      <c r="B18899" s="6"/>
      <c r="H18899" s="13"/>
    </row>
    <row r="18900">
      <c r="A18900" s="6"/>
      <c r="B18900" s="6"/>
      <c r="H18900" s="13"/>
    </row>
    <row r="18901">
      <c r="A18901" s="6"/>
      <c r="B18901" s="6"/>
      <c r="H18901" s="13"/>
    </row>
    <row r="18902">
      <c r="A18902" s="6"/>
      <c r="B18902" s="6"/>
      <c r="H18902" s="13"/>
    </row>
    <row r="18903">
      <c r="A18903" s="6"/>
      <c r="B18903" s="6"/>
      <c r="H18903" s="13"/>
    </row>
    <row r="18904">
      <c r="A18904" s="6"/>
      <c r="B18904" s="6"/>
      <c r="H18904" s="13"/>
    </row>
    <row r="18905">
      <c r="A18905" s="6"/>
      <c r="B18905" s="6"/>
      <c r="H18905" s="13"/>
    </row>
    <row r="18906">
      <c r="A18906" s="6"/>
      <c r="B18906" s="6"/>
      <c r="H18906" s="13"/>
    </row>
    <row r="18907">
      <c r="A18907" s="6"/>
      <c r="B18907" s="6"/>
      <c r="H18907" s="13"/>
    </row>
    <row r="18908">
      <c r="A18908" s="6"/>
      <c r="B18908" s="6"/>
      <c r="H18908" s="13"/>
    </row>
    <row r="18909">
      <c r="A18909" s="6"/>
      <c r="B18909" s="6"/>
      <c r="H18909" s="13"/>
    </row>
    <row r="18910">
      <c r="A18910" s="6"/>
      <c r="B18910" s="6"/>
      <c r="H18910" s="13"/>
    </row>
    <row r="18911">
      <c r="A18911" s="6"/>
      <c r="B18911" s="6"/>
      <c r="H18911" s="13"/>
    </row>
    <row r="18912">
      <c r="A18912" s="6"/>
      <c r="B18912" s="6"/>
      <c r="H18912" s="13"/>
    </row>
    <row r="18913">
      <c r="A18913" s="6"/>
      <c r="B18913" s="6"/>
      <c r="H18913" s="13"/>
    </row>
    <row r="18914">
      <c r="A18914" s="6"/>
      <c r="B18914" s="6"/>
      <c r="H18914" s="13"/>
    </row>
    <row r="18915">
      <c r="A18915" s="6"/>
      <c r="B18915" s="6"/>
      <c r="H18915" s="13"/>
    </row>
    <row r="18916">
      <c r="A18916" s="6"/>
      <c r="B18916" s="6"/>
      <c r="H18916" s="13"/>
    </row>
    <row r="18917">
      <c r="A18917" s="6"/>
      <c r="B18917" s="6"/>
      <c r="H18917" s="13"/>
    </row>
    <row r="18918">
      <c r="A18918" s="6"/>
      <c r="B18918" s="6"/>
      <c r="H18918" s="13"/>
    </row>
    <row r="18919">
      <c r="A18919" s="6"/>
      <c r="B18919" s="6"/>
      <c r="H18919" s="13"/>
    </row>
    <row r="18920">
      <c r="A18920" s="6"/>
      <c r="B18920" s="6"/>
      <c r="H18920" s="13"/>
    </row>
    <row r="18921">
      <c r="A18921" s="6"/>
      <c r="B18921" s="6"/>
      <c r="H18921" s="13"/>
    </row>
    <row r="18922">
      <c r="A18922" s="6"/>
      <c r="B18922" s="6"/>
      <c r="H18922" s="13"/>
    </row>
    <row r="18923">
      <c r="A18923" s="6"/>
      <c r="B18923" s="6"/>
      <c r="H18923" s="13"/>
    </row>
    <row r="18924">
      <c r="A18924" s="6"/>
      <c r="B18924" s="6"/>
      <c r="H18924" s="13"/>
    </row>
    <row r="18925">
      <c r="A18925" s="6"/>
      <c r="B18925" s="6"/>
      <c r="H18925" s="13"/>
    </row>
    <row r="18926">
      <c r="A18926" s="6"/>
      <c r="B18926" s="6"/>
      <c r="H18926" s="13"/>
    </row>
    <row r="18927">
      <c r="A18927" s="6"/>
      <c r="B18927" s="6"/>
      <c r="H18927" s="13"/>
    </row>
    <row r="18928">
      <c r="A18928" s="6"/>
      <c r="B18928" s="6"/>
      <c r="H18928" s="13"/>
    </row>
    <row r="18929">
      <c r="A18929" s="6"/>
      <c r="B18929" s="6"/>
      <c r="H18929" s="13"/>
    </row>
    <row r="18930">
      <c r="A18930" s="6"/>
      <c r="B18930" s="6"/>
      <c r="H18930" s="13"/>
    </row>
    <row r="18931">
      <c r="A18931" s="6"/>
      <c r="B18931" s="6"/>
      <c r="H18931" s="13"/>
    </row>
    <row r="18932">
      <c r="A18932" s="6"/>
      <c r="B18932" s="6"/>
      <c r="H18932" s="13"/>
    </row>
    <row r="18933">
      <c r="A18933" s="6"/>
      <c r="B18933" s="6"/>
      <c r="H18933" s="13"/>
    </row>
    <row r="18934">
      <c r="A18934" s="6"/>
      <c r="B18934" s="6"/>
      <c r="H18934" s="13"/>
    </row>
    <row r="18935">
      <c r="A18935" s="6"/>
      <c r="B18935" s="6"/>
      <c r="H18935" s="13"/>
    </row>
    <row r="18936">
      <c r="A18936" s="6"/>
      <c r="B18936" s="6"/>
      <c r="H18936" s="13"/>
    </row>
    <row r="18937">
      <c r="A18937" s="6"/>
      <c r="B18937" s="6"/>
      <c r="H18937" s="13"/>
    </row>
    <row r="18938">
      <c r="A18938" s="6"/>
      <c r="B18938" s="6"/>
      <c r="H18938" s="13"/>
    </row>
    <row r="18939">
      <c r="A18939" s="6"/>
      <c r="B18939" s="6"/>
      <c r="H18939" s="13"/>
    </row>
    <row r="18940">
      <c r="A18940" s="6"/>
      <c r="B18940" s="6"/>
      <c r="H18940" s="13"/>
    </row>
    <row r="18941">
      <c r="A18941" s="6"/>
      <c r="B18941" s="6"/>
      <c r="H18941" s="13"/>
    </row>
    <row r="18942">
      <c r="A18942" s="6"/>
      <c r="B18942" s="6"/>
      <c r="H18942" s="13"/>
    </row>
    <row r="18943">
      <c r="A18943" s="6"/>
      <c r="B18943" s="6"/>
      <c r="H18943" s="13"/>
    </row>
    <row r="18944">
      <c r="A18944" s="6"/>
      <c r="B18944" s="6"/>
      <c r="H18944" s="13"/>
    </row>
    <row r="18945">
      <c r="A18945" s="6"/>
      <c r="B18945" s="6"/>
      <c r="H18945" s="13"/>
    </row>
    <row r="18946">
      <c r="A18946" s="6"/>
      <c r="B18946" s="6"/>
      <c r="H18946" s="13"/>
    </row>
    <row r="18947">
      <c r="A18947" s="6"/>
      <c r="B18947" s="6"/>
      <c r="H18947" s="13"/>
    </row>
    <row r="18948">
      <c r="A18948" s="6"/>
      <c r="B18948" s="6"/>
      <c r="H18948" s="13"/>
    </row>
    <row r="18949">
      <c r="A18949" s="6"/>
      <c r="B18949" s="6"/>
      <c r="H18949" s="13"/>
    </row>
    <row r="18950">
      <c r="A18950" s="6"/>
      <c r="B18950" s="6"/>
      <c r="H18950" s="13"/>
    </row>
    <row r="18951">
      <c r="A18951" s="6"/>
      <c r="B18951" s="6"/>
      <c r="H18951" s="13"/>
    </row>
    <row r="18952">
      <c r="A18952" s="6"/>
      <c r="B18952" s="6"/>
      <c r="H18952" s="13"/>
    </row>
    <row r="18953">
      <c r="A18953" s="6"/>
      <c r="B18953" s="6"/>
      <c r="H18953" s="13"/>
    </row>
    <row r="18954">
      <c r="A18954" s="6"/>
      <c r="B18954" s="6"/>
      <c r="H18954" s="13"/>
    </row>
    <row r="18955">
      <c r="A18955" s="6"/>
      <c r="B18955" s="6"/>
      <c r="H18955" s="13"/>
    </row>
    <row r="18956">
      <c r="A18956" s="6"/>
      <c r="B18956" s="6"/>
      <c r="H18956" s="13"/>
    </row>
    <row r="18957">
      <c r="A18957" s="6"/>
      <c r="B18957" s="6"/>
      <c r="H18957" s="13"/>
    </row>
    <row r="18958">
      <c r="A18958" s="6"/>
      <c r="B18958" s="6"/>
      <c r="H18958" s="13"/>
    </row>
    <row r="18959">
      <c r="A18959" s="6"/>
      <c r="B18959" s="6"/>
      <c r="H18959" s="13"/>
    </row>
    <row r="18960">
      <c r="A18960" s="6"/>
      <c r="B18960" s="6"/>
      <c r="H18960" s="13"/>
    </row>
    <row r="18961">
      <c r="A18961" s="6"/>
      <c r="B18961" s="6"/>
      <c r="H18961" s="13"/>
    </row>
    <row r="18962">
      <c r="A18962" s="6"/>
      <c r="B18962" s="6"/>
      <c r="H18962" s="13"/>
    </row>
    <row r="18963">
      <c r="A18963" s="6"/>
      <c r="B18963" s="6"/>
      <c r="H18963" s="13"/>
    </row>
    <row r="18964">
      <c r="A18964" s="6"/>
      <c r="B18964" s="6"/>
      <c r="H18964" s="13"/>
    </row>
    <row r="18965">
      <c r="A18965" s="6"/>
      <c r="B18965" s="6"/>
      <c r="H18965" s="13"/>
    </row>
    <row r="18966">
      <c r="A18966" s="6"/>
      <c r="B18966" s="6"/>
      <c r="H18966" s="13"/>
    </row>
    <row r="18967">
      <c r="A18967" s="6"/>
      <c r="B18967" s="6"/>
      <c r="H18967" s="13"/>
    </row>
    <row r="18968">
      <c r="A18968" s="6"/>
      <c r="B18968" s="6"/>
      <c r="H18968" s="13"/>
    </row>
    <row r="18969">
      <c r="A18969" s="6"/>
      <c r="B18969" s="6"/>
      <c r="H18969" s="13"/>
    </row>
    <row r="18970">
      <c r="A18970" s="6"/>
      <c r="B18970" s="6"/>
      <c r="H18970" s="13"/>
    </row>
    <row r="18971">
      <c r="A18971" s="6"/>
      <c r="B18971" s="6"/>
      <c r="H18971" s="13"/>
    </row>
    <row r="18972">
      <c r="A18972" s="6"/>
      <c r="B18972" s="6"/>
      <c r="H18972" s="13"/>
    </row>
    <row r="18973">
      <c r="A18973" s="6"/>
      <c r="B18973" s="6"/>
      <c r="H18973" s="13"/>
    </row>
    <row r="18974">
      <c r="A18974" s="6"/>
      <c r="B18974" s="6"/>
      <c r="H18974" s="13"/>
    </row>
    <row r="18975">
      <c r="A18975" s="6"/>
      <c r="B18975" s="6"/>
      <c r="H18975" s="13"/>
    </row>
    <row r="18976">
      <c r="A18976" s="6"/>
      <c r="B18976" s="6"/>
      <c r="H18976" s="13"/>
    </row>
    <row r="18977">
      <c r="A18977" s="6"/>
      <c r="B18977" s="6"/>
      <c r="H18977" s="13"/>
    </row>
    <row r="18978">
      <c r="A18978" s="6"/>
      <c r="B18978" s="6"/>
      <c r="H18978" s="13"/>
    </row>
    <row r="18979">
      <c r="A18979" s="6"/>
      <c r="B18979" s="6"/>
      <c r="H18979" s="13"/>
    </row>
    <row r="18980">
      <c r="A18980" s="6"/>
      <c r="B18980" s="6"/>
      <c r="H18980" s="13"/>
    </row>
    <row r="18981">
      <c r="A18981" s="6"/>
      <c r="B18981" s="6"/>
      <c r="H18981" s="13"/>
    </row>
    <row r="18982">
      <c r="A18982" s="6"/>
      <c r="B18982" s="6"/>
      <c r="H18982" s="13"/>
    </row>
    <row r="18983">
      <c r="A18983" s="6"/>
      <c r="B18983" s="6"/>
      <c r="H18983" s="13"/>
    </row>
    <row r="18984">
      <c r="A18984" s="6"/>
      <c r="B18984" s="6"/>
      <c r="H18984" s="13"/>
    </row>
    <row r="18985">
      <c r="A18985" s="6"/>
      <c r="B18985" s="6"/>
      <c r="H18985" s="13"/>
    </row>
    <row r="18986">
      <c r="A18986" s="6"/>
      <c r="B18986" s="6"/>
      <c r="H18986" s="13"/>
    </row>
    <row r="18987">
      <c r="A18987" s="6"/>
      <c r="B18987" s="6"/>
      <c r="H18987" s="13"/>
    </row>
    <row r="18988">
      <c r="A18988" s="6"/>
      <c r="B18988" s="6"/>
      <c r="H18988" s="13"/>
    </row>
    <row r="18989">
      <c r="A18989" s="6"/>
      <c r="B18989" s="6"/>
      <c r="H18989" s="13"/>
    </row>
    <row r="18990">
      <c r="A18990" s="6"/>
      <c r="B18990" s="6"/>
      <c r="H18990" s="13"/>
    </row>
    <row r="18991">
      <c r="A18991" s="6"/>
      <c r="B18991" s="6"/>
      <c r="H18991" s="13"/>
    </row>
    <row r="18992">
      <c r="A18992" s="6"/>
      <c r="B18992" s="6"/>
      <c r="H18992" s="13"/>
    </row>
    <row r="18993">
      <c r="A18993" s="6"/>
      <c r="B18993" s="6"/>
      <c r="H18993" s="13"/>
    </row>
    <row r="18994">
      <c r="A18994" s="6"/>
      <c r="B18994" s="6"/>
      <c r="H18994" s="13"/>
    </row>
    <row r="18995">
      <c r="A18995" s="6"/>
      <c r="B18995" s="6"/>
      <c r="H18995" s="13"/>
    </row>
    <row r="18996">
      <c r="A18996" s="6"/>
      <c r="B18996" s="6"/>
      <c r="H18996" s="13"/>
    </row>
    <row r="18997">
      <c r="A18997" s="6"/>
      <c r="B18997" s="6"/>
      <c r="H18997" s="13"/>
    </row>
    <row r="18998">
      <c r="A18998" s="6"/>
      <c r="B18998" s="6"/>
      <c r="H18998" s="13"/>
    </row>
    <row r="18999">
      <c r="A18999" s="6"/>
      <c r="B18999" s="6"/>
      <c r="H18999" s="13"/>
    </row>
    <row r="19000">
      <c r="A19000" s="6"/>
      <c r="B19000" s="6"/>
      <c r="H19000" s="13"/>
    </row>
    <row r="19001">
      <c r="A19001" s="6"/>
      <c r="B19001" s="6"/>
      <c r="H19001" s="13"/>
    </row>
    <row r="19002">
      <c r="A19002" s="6"/>
      <c r="B19002" s="6"/>
      <c r="H19002" s="13"/>
    </row>
    <row r="19003">
      <c r="A19003" s="6"/>
      <c r="B19003" s="6"/>
      <c r="H19003" s="13"/>
    </row>
    <row r="19004">
      <c r="A19004" s="6"/>
      <c r="B19004" s="6"/>
      <c r="H19004" s="13"/>
    </row>
    <row r="19005">
      <c r="A19005" s="6"/>
      <c r="B19005" s="6"/>
      <c r="H19005" s="13"/>
    </row>
    <row r="19006">
      <c r="A19006" s="6"/>
      <c r="B19006" s="6"/>
      <c r="H19006" s="13"/>
    </row>
    <row r="19007">
      <c r="A19007" s="6"/>
      <c r="B19007" s="6"/>
      <c r="H19007" s="13"/>
    </row>
    <row r="19008">
      <c r="A19008" s="6"/>
      <c r="B19008" s="6"/>
      <c r="H19008" s="13"/>
    </row>
    <row r="19009">
      <c r="A19009" s="6"/>
      <c r="B19009" s="6"/>
      <c r="H19009" s="13"/>
    </row>
    <row r="19010">
      <c r="A19010" s="6"/>
      <c r="B19010" s="6"/>
      <c r="H19010" s="13"/>
    </row>
    <row r="19011">
      <c r="A19011" s="6"/>
      <c r="B19011" s="6"/>
      <c r="H19011" s="13"/>
    </row>
    <row r="19012">
      <c r="A19012" s="6"/>
      <c r="B19012" s="6"/>
      <c r="H19012" s="13"/>
    </row>
    <row r="19013">
      <c r="A19013" s="6"/>
      <c r="B19013" s="6"/>
      <c r="H19013" s="13"/>
    </row>
    <row r="19014">
      <c r="A19014" s="6"/>
      <c r="B19014" s="6"/>
      <c r="H19014" s="13"/>
    </row>
    <row r="19015">
      <c r="A19015" s="6"/>
      <c r="B19015" s="6"/>
      <c r="H19015" s="13"/>
    </row>
    <row r="19016">
      <c r="A19016" s="6"/>
      <c r="B19016" s="6"/>
      <c r="H19016" s="13"/>
    </row>
    <row r="19017">
      <c r="A19017" s="6"/>
      <c r="B19017" s="6"/>
      <c r="H19017" s="13"/>
    </row>
    <row r="19018">
      <c r="A19018" s="6"/>
      <c r="B19018" s="6"/>
      <c r="H19018" s="13"/>
    </row>
    <row r="19019">
      <c r="A19019" s="6"/>
      <c r="B19019" s="6"/>
      <c r="H19019" s="13"/>
    </row>
    <row r="19020">
      <c r="A19020" s="6"/>
      <c r="B19020" s="6"/>
      <c r="H19020" s="13"/>
    </row>
    <row r="19021">
      <c r="A19021" s="6"/>
      <c r="B19021" s="6"/>
      <c r="H19021" s="13"/>
    </row>
    <row r="19022">
      <c r="A19022" s="6"/>
      <c r="B19022" s="6"/>
      <c r="H19022" s="13"/>
    </row>
    <row r="19023">
      <c r="A19023" s="6"/>
      <c r="B19023" s="6"/>
      <c r="H19023" s="13"/>
    </row>
    <row r="19024">
      <c r="A19024" s="6"/>
      <c r="B19024" s="6"/>
      <c r="H19024" s="13"/>
    </row>
    <row r="19025">
      <c r="A19025" s="6"/>
      <c r="B19025" s="6"/>
      <c r="H19025" s="13"/>
    </row>
    <row r="19026">
      <c r="A19026" s="6"/>
      <c r="B19026" s="6"/>
      <c r="H19026" s="13"/>
    </row>
    <row r="19027">
      <c r="A19027" s="6"/>
      <c r="B19027" s="6"/>
      <c r="H19027" s="13"/>
    </row>
    <row r="19028">
      <c r="A19028" s="6"/>
      <c r="B19028" s="6"/>
      <c r="H19028" s="13"/>
    </row>
    <row r="19029">
      <c r="A19029" s="6"/>
      <c r="B19029" s="6"/>
      <c r="H19029" s="13"/>
    </row>
    <row r="19030">
      <c r="A19030" s="6"/>
      <c r="B19030" s="6"/>
      <c r="H19030" s="13"/>
    </row>
    <row r="19031">
      <c r="A19031" s="6"/>
      <c r="B19031" s="6"/>
      <c r="H19031" s="13"/>
    </row>
    <row r="19032">
      <c r="A19032" s="6"/>
      <c r="B19032" s="6"/>
      <c r="H19032" s="13"/>
    </row>
    <row r="19033">
      <c r="A19033" s="6"/>
      <c r="B19033" s="6"/>
      <c r="H19033" s="13"/>
    </row>
    <row r="19034">
      <c r="A19034" s="6"/>
      <c r="B19034" s="6"/>
      <c r="H19034" s="13"/>
    </row>
    <row r="19035">
      <c r="A19035" s="6"/>
      <c r="B19035" s="6"/>
      <c r="H19035" s="13"/>
    </row>
    <row r="19036">
      <c r="A19036" s="6"/>
      <c r="B19036" s="6"/>
      <c r="H19036" s="13"/>
    </row>
    <row r="19037">
      <c r="A19037" s="6"/>
      <c r="B19037" s="6"/>
      <c r="H19037" s="13"/>
    </row>
    <row r="19038">
      <c r="A19038" s="6"/>
      <c r="B19038" s="6"/>
      <c r="H19038" s="13"/>
    </row>
    <row r="19039">
      <c r="A19039" s="6"/>
      <c r="B19039" s="6"/>
      <c r="H19039" s="13"/>
    </row>
    <row r="19040">
      <c r="A19040" s="6"/>
      <c r="B19040" s="6"/>
      <c r="H19040" s="13"/>
    </row>
    <row r="19041">
      <c r="A19041" s="6"/>
      <c r="B19041" s="6"/>
      <c r="H19041" s="13"/>
    </row>
    <row r="19042">
      <c r="A19042" s="6"/>
      <c r="B19042" s="6"/>
      <c r="H19042" s="13"/>
    </row>
    <row r="19043">
      <c r="A19043" s="6"/>
      <c r="B19043" s="6"/>
      <c r="H19043" s="13"/>
    </row>
    <row r="19044">
      <c r="A19044" s="6"/>
      <c r="B19044" s="6"/>
      <c r="H19044" s="13"/>
    </row>
    <row r="19045">
      <c r="A19045" s="6"/>
      <c r="B19045" s="6"/>
      <c r="H19045" s="13"/>
    </row>
    <row r="19046">
      <c r="A19046" s="6"/>
      <c r="B19046" s="6"/>
      <c r="H19046" s="13"/>
    </row>
    <row r="19047">
      <c r="A19047" s="6"/>
      <c r="B19047" s="6"/>
      <c r="H19047" s="13"/>
    </row>
    <row r="19048">
      <c r="A19048" s="6"/>
      <c r="B19048" s="6"/>
      <c r="H19048" s="13"/>
    </row>
    <row r="19049">
      <c r="A19049" s="6"/>
      <c r="B19049" s="6"/>
      <c r="H19049" s="13"/>
    </row>
    <row r="19050">
      <c r="A19050" s="6"/>
      <c r="B19050" s="6"/>
      <c r="H19050" s="13"/>
    </row>
    <row r="19051">
      <c r="A19051" s="6"/>
      <c r="B19051" s="6"/>
      <c r="H19051" s="13"/>
    </row>
    <row r="19052">
      <c r="A19052" s="6"/>
      <c r="B19052" s="6"/>
      <c r="H19052" s="13"/>
    </row>
    <row r="19053">
      <c r="A19053" s="6"/>
      <c r="B19053" s="6"/>
      <c r="H19053" s="13"/>
    </row>
    <row r="19054">
      <c r="A19054" s="6"/>
      <c r="B19054" s="6"/>
      <c r="H19054" s="13"/>
    </row>
    <row r="19055">
      <c r="A19055" s="6"/>
      <c r="B19055" s="6"/>
      <c r="H19055" s="13"/>
    </row>
    <row r="19056">
      <c r="A19056" s="6"/>
      <c r="B19056" s="6"/>
      <c r="H19056" s="13"/>
    </row>
    <row r="19057">
      <c r="A19057" s="6"/>
      <c r="B19057" s="6"/>
      <c r="H19057" s="13"/>
    </row>
    <row r="19058">
      <c r="A19058" s="6"/>
      <c r="B19058" s="6"/>
      <c r="H19058" s="13"/>
    </row>
    <row r="19059">
      <c r="A19059" s="6"/>
      <c r="B19059" s="6"/>
      <c r="H19059" s="13"/>
    </row>
    <row r="19060">
      <c r="A19060" s="6"/>
      <c r="B19060" s="6"/>
      <c r="H19060" s="13"/>
    </row>
    <row r="19061">
      <c r="A19061" s="6"/>
      <c r="B19061" s="6"/>
      <c r="H19061" s="13"/>
    </row>
    <row r="19062">
      <c r="A19062" s="6"/>
      <c r="B19062" s="6"/>
      <c r="H19062" s="13"/>
    </row>
    <row r="19063">
      <c r="A19063" s="6"/>
      <c r="B19063" s="6"/>
      <c r="H19063" s="13"/>
    </row>
    <row r="19064">
      <c r="A19064" s="6"/>
      <c r="B19064" s="6"/>
      <c r="H19064" s="13"/>
    </row>
    <row r="19065">
      <c r="A19065" s="6"/>
      <c r="B19065" s="6"/>
      <c r="H19065" s="13"/>
    </row>
    <row r="19066">
      <c r="A19066" s="6"/>
      <c r="B19066" s="6"/>
      <c r="H19066" s="13"/>
    </row>
    <row r="19067">
      <c r="A19067" s="6"/>
      <c r="B19067" s="6"/>
      <c r="H19067" s="13"/>
    </row>
    <row r="19068">
      <c r="A19068" s="6"/>
      <c r="B19068" s="6"/>
      <c r="H19068" s="13"/>
    </row>
    <row r="19069">
      <c r="A19069" s="6"/>
      <c r="B19069" s="6"/>
      <c r="H19069" s="13"/>
    </row>
    <row r="19070">
      <c r="A19070" s="6"/>
      <c r="B19070" s="6"/>
      <c r="H19070" s="13"/>
    </row>
    <row r="19071">
      <c r="A19071" s="6"/>
      <c r="B19071" s="6"/>
      <c r="H19071" s="13"/>
    </row>
    <row r="19072">
      <c r="A19072" s="6"/>
      <c r="B19072" s="6"/>
      <c r="H19072" s="13"/>
    </row>
    <row r="19073">
      <c r="A19073" s="6"/>
      <c r="B19073" s="6"/>
      <c r="H19073" s="13"/>
    </row>
    <row r="19074">
      <c r="A19074" s="6"/>
      <c r="B19074" s="6"/>
      <c r="H19074" s="13"/>
    </row>
    <row r="19075">
      <c r="A19075" s="6"/>
      <c r="B19075" s="6"/>
      <c r="H19075" s="13"/>
    </row>
    <row r="19076">
      <c r="A19076" s="6"/>
      <c r="B19076" s="6"/>
      <c r="H19076" s="13"/>
    </row>
    <row r="19077">
      <c r="A19077" s="6"/>
      <c r="B19077" s="6"/>
      <c r="H19077" s="13"/>
    </row>
    <row r="19078">
      <c r="A19078" s="6"/>
      <c r="B19078" s="6"/>
      <c r="H19078" s="13"/>
    </row>
    <row r="19079">
      <c r="A19079" s="6"/>
      <c r="B19079" s="6"/>
      <c r="H19079" s="13"/>
    </row>
    <row r="19080">
      <c r="A19080" s="6"/>
      <c r="B19080" s="6"/>
      <c r="H19080" s="13"/>
    </row>
    <row r="19081">
      <c r="A19081" s="6"/>
      <c r="B19081" s="6"/>
      <c r="H19081" s="13"/>
    </row>
    <row r="19082">
      <c r="A19082" s="6"/>
      <c r="B19082" s="6"/>
      <c r="H19082" s="13"/>
    </row>
    <row r="19083">
      <c r="A19083" s="6"/>
      <c r="B19083" s="6"/>
      <c r="H19083" s="13"/>
    </row>
    <row r="19084">
      <c r="A19084" s="6"/>
      <c r="B19084" s="6"/>
      <c r="H19084" s="13"/>
    </row>
    <row r="19085">
      <c r="A19085" s="6"/>
      <c r="B19085" s="6"/>
      <c r="H19085" s="13"/>
    </row>
    <row r="19086">
      <c r="A19086" s="6"/>
      <c r="B19086" s="6"/>
      <c r="H19086" s="13"/>
    </row>
    <row r="19087">
      <c r="A19087" s="6"/>
      <c r="B19087" s="6"/>
      <c r="H19087" s="13"/>
    </row>
    <row r="19088">
      <c r="A19088" s="6"/>
      <c r="B19088" s="6"/>
      <c r="H19088" s="13"/>
    </row>
    <row r="19089">
      <c r="A19089" s="6"/>
      <c r="B19089" s="6"/>
      <c r="H19089" s="13"/>
    </row>
    <row r="19090">
      <c r="A19090" s="6"/>
      <c r="B19090" s="6"/>
      <c r="H19090" s="13"/>
    </row>
    <row r="19091">
      <c r="A19091" s="6"/>
      <c r="B19091" s="6"/>
      <c r="H19091" s="13"/>
    </row>
    <row r="19092">
      <c r="A19092" s="6"/>
      <c r="B19092" s="6"/>
      <c r="H19092" s="13"/>
    </row>
    <row r="19093">
      <c r="A19093" s="6"/>
      <c r="B19093" s="6"/>
      <c r="H19093" s="13"/>
    </row>
    <row r="19094">
      <c r="A19094" s="6"/>
      <c r="B19094" s="6"/>
      <c r="H19094" s="13"/>
    </row>
    <row r="19095">
      <c r="A19095" s="6"/>
      <c r="B19095" s="6"/>
      <c r="H19095" s="13"/>
    </row>
    <row r="19096">
      <c r="A19096" s="6"/>
      <c r="B19096" s="6"/>
      <c r="H19096" s="13"/>
    </row>
    <row r="19097">
      <c r="A19097" s="6"/>
      <c r="B19097" s="6"/>
      <c r="H19097" s="13"/>
    </row>
    <row r="19098">
      <c r="A19098" s="6"/>
      <c r="B19098" s="6"/>
      <c r="H19098" s="13"/>
    </row>
    <row r="19099">
      <c r="A19099" s="6"/>
      <c r="B19099" s="6"/>
      <c r="H19099" s="13"/>
    </row>
    <row r="19100">
      <c r="A19100" s="6"/>
      <c r="B19100" s="6"/>
      <c r="H19100" s="13"/>
    </row>
    <row r="19101">
      <c r="A19101" s="6"/>
      <c r="B19101" s="6"/>
      <c r="H19101" s="13"/>
    </row>
    <row r="19102">
      <c r="A19102" s="6"/>
      <c r="B19102" s="6"/>
      <c r="H19102" s="13"/>
    </row>
    <row r="19103">
      <c r="A19103" s="6"/>
      <c r="B19103" s="6"/>
      <c r="H19103" s="13"/>
    </row>
    <row r="19104">
      <c r="A19104" s="6"/>
      <c r="B19104" s="6"/>
      <c r="H19104" s="13"/>
    </row>
    <row r="19105">
      <c r="A19105" s="6"/>
      <c r="B19105" s="6"/>
      <c r="H19105" s="13"/>
    </row>
    <row r="19106">
      <c r="A19106" s="6"/>
      <c r="B19106" s="6"/>
      <c r="H19106" s="13"/>
    </row>
    <row r="19107">
      <c r="A19107" s="6"/>
      <c r="B19107" s="6"/>
      <c r="H19107" s="13"/>
    </row>
    <row r="19108">
      <c r="A19108" s="6"/>
      <c r="B19108" s="6"/>
      <c r="H19108" s="13"/>
    </row>
    <row r="19109">
      <c r="A19109" s="6"/>
      <c r="B19109" s="6"/>
      <c r="H19109" s="13"/>
    </row>
    <row r="19110">
      <c r="A19110" s="6"/>
      <c r="B19110" s="6"/>
      <c r="H19110" s="13"/>
    </row>
    <row r="19111">
      <c r="A19111" s="6"/>
      <c r="B19111" s="6"/>
      <c r="H19111" s="13"/>
    </row>
    <row r="19112">
      <c r="A19112" s="6"/>
      <c r="B19112" s="6"/>
      <c r="H19112" s="13"/>
    </row>
    <row r="19113">
      <c r="A19113" s="6"/>
      <c r="B19113" s="6"/>
      <c r="H19113" s="13"/>
    </row>
    <row r="19114">
      <c r="A19114" s="6"/>
      <c r="B19114" s="6"/>
      <c r="H19114" s="13"/>
    </row>
    <row r="19115">
      <c r="A19115" s="6"/>
      <c r="B19115" s="6"/>
      <c r="H19115" s="13"/>
    </row>
    <row r="19116">
      <c r="A19116" s="6"/>
      <c r="B19116" s="6"/>
      <c r="H19116" s="13"/>
    </row>
    <row r="19117">
      <c r="A19117" s="6"/>
      <c r="B19117" s="6"/>
      <c r="H19117" s="13"/>
    </row>
    <row r="19118">
      <c r="A19118" s="6"/>
      <c r="B19118" s="6"/>
      <c r="H19118" s="13"/>
    </row>
    <row r="19119">
      <c r="A19119" s="6"/>
      <c r="B19119" s="6"/>
      <c r="H19119" s="13"/>
    </row>
    <row r="19120">
      <c r="A19120" s="6"/>
      <c r="B19120" s="6"/>
      <c r="H19120" s="13"/>
    </row>
    <row r="19121">
      <c r="A19121" s="6"/>
      <c r="B19121" s="6"/>
      <c r="H19121" s="13"/>
    </row>
    <row r="19122">
      <c r="A19122" s="6"/>
      <c r="B19122" s="6"/>
      <c r="H19122" s="13"/>
    </row>
    <row r="19123">
      <c r="A19123" s="6"/>
      <c r="B19123" s="6"/>
      <c r="H19123" s="13"/>
    </row>
    <row r="19124">
      <c r="A19124" s="6"/>
      <c r="B19124" s="6"/>
      <c r="H19124" s="13"/>
    </row>
    <row r="19125">
      <c r="A19125" s="6"/>
      <c r="B19125" s="6"/>
      <c r="H19125" s="13"/>
    </row>
    <row r="19126">
      <c r="A19126" s="6"/>
      <c r="B19126" s="6"/>
      <c r="H19126" s="13"/>
    </row>
    <row r="19127">
      <c r="A19127" s="6"/>
      <c r="B19127" s="6"/>
      <c r="H19127" s="13"/>
    </row>
    <row r="19128">
      <c r="A19128" s="6"/>
      <c r="B19128" s="6"/>
      <c r="H19128" s="13"/>
    </row>
    <row r="19129">
      <c r="A19129" s="6"/>
      <c r="B19129" s="6"/>
      <c r="H19129" s="13"/>
    </row>
    <row r="19130">
      <c r="A19130" s="6"/>
      <c r="B19130" s="6"/>
      <c r="H19130" s="13"/>
    </row>
    <row r="19131">
      <c r="A19131" s="6"/>
      <c r="B19131" s="6"/>
      <c r="H19131" s="13"/>
    </row>
    <row r="19132">
      <c r="A19132" s="6"/>
      <c r="B19132" s="6"/>
      <c r="H19132" s="13"/>
    </row>
    <row r="19133">
      <c r="A19133" s="6"/>
      <c r="B19133" s="6"/>
      <c r="H19133" s="13"/>
    </row>
    <row r="19134">
      <c r="A19134" s="6"/>
      <c r="B19134" s="6"/>
      <c r="H19134" s="13"/>
    </row>
    <row r="19135">
      <c r="A19135" s="6"/>
      <c r="B19135" s="6"/>
      <c r="H19135" s="13"/>
    </row>
    <row r="19136">
      <c r="A19136" s="6"/>
      <c r="B19136" s="6"/>
      <c r="H19136" s="13"/>
    </row>
    <row r="19137">
      <c r="A19137" s="6"/>
      <c r="B19137" s="6"/>
      <c r="H19137" s="13"/>
    </row>
    <row r="19138">
      <c r="A19138" s="6"/>
      <c r="B19138" s="6"/>
      <c r="H19138" s="13"/>
    </row>
    <row r="19139">
      <c r="A19139" s="6"/>
      <c r="B19139" s="6"/>
      <c r="H19139" s="13"/>
    </row>
    <row r="19140">
      <c r="A19140" s="6"/>
      <c r="B19140" s="6"/>
      <c r="H19140" s="13"/>
    </row>
    <row r="19141">
      <c r="A19141" s="6"/>
      <c r="B19141" s="6"/>
      <c r="H19141" s="13"/>
    </row>
    <row r="19142">
      <c r="A19142" s="6"/>
      <c r="B19142" s="6"/>
      <c r="H19142" s="13"/>
    </row>
    <row r="19143">
      <c r="A19143" s="6"/>
      <c r="B19143" s="6"/>
      <c r="H19143" s="13"/>
    </row>
    <row r="19144">
      <c r="A19144" s="6"/>
      <c r="B19144" s="6"/>
      <c r="H19144" s="13"/>
    </row>
    <row r="19145">
      <c r="A19145" s="6"/>
      <c r="B19145" s="6"/>
      <c r="H19145" s="13"/>
    </row>
    <row r="19146">
      <c r="A19146" s="6"/>
      <c r="B19146" s="6"/>
      <c r="H19146" s="13"/>
    </row>
    <row r="19147">
      <c r="A19147" s="6"/>
      <c r="B19147" s="6"/>
      <c r="H19147" s="13"/>
    </row>
    <row r="19148">
      <c r="A19148" s="6"/>
      <c r="B19148" s="6"/>
      <c r="H19148" s="13"/>
    </row>
    <row r="19149">
      <c r="A19149" s="6"/>
      <c r="B19149" s="6"/>
      <c r="H19149" s="13"/>
    </row>
    <row r="19150">
      <c r="A19150" s="6"/>
      <c r="B19150" s="6"/>
      <c r="H19150" s="13"/>
    </row>
    <row r="19151">
      <c r="A19151" s="6"/>
      <c r="B19151" s="6"/>
      <c r="H19151" s="13"/>
    </row>
    <row r="19152">
      <c r="A19152" s="6"/>
      <c r="B19152" s="6"/>
      <c r="H19152" s="13"/>
    </row>
    <row r="19153">
      <c r="A19153" s="6"/>
      <c r="B19153" s="6"/>
      <c r="H19153" s="13"/>
    </row>
    <row r="19154">
      <c r="A19154" s="6"/>
      <c r="B19154" s="6"/>
      <c r="H19154" s="13"/>
    </row>
    <row r="19155">
      <c r="A19155" s="6"/>
      <c r="B19155" s="6"/>
      <c r="H19155" s="13"/>
    </row>
    <row r="19156">
      <c r="A19156" s="6"/>
      <c r="B19156" s="6"/>
      <c r="H19156" s="13"/>
    </row>
    <row r="19157">
      <c r="A19157" s="6"/>
      <c r="B19157" s="6"/>
      <c r="H19157" s="13"/>
    </row>
    <row r="19158">
      <c r="A19158" s="6"/>
      <c r="B19158" s="6"/>
      <c r="H19158" s="13"/>
    </row>
    <row r="19159">
      <c r="A19159" s="6"/>
      <c r="B19159" s="6"/>
      <c r="H19159" s="13"/>
    </row>
    <row r="19160">
      <c r="A19160" s="6"/>
      <c r="B19160" s="6"/>
      <c r="H19160" s="13"/>
    </row>
    <row r="19161">
      <c r="A19161" s="6"/>
      <c r="B19161" s="6"/>
      <c r="H19161" s="13"/>
    </row>
    <row r="19162">
      <c r="A19162" s="6"/>
      <c r="B19162" s="6"/>
      <c r="H19162" s="13"/>
    </row>
    <row r="19163">
      <c r="A19163" s="6"/>
      <c r="B19163" s="6"/>
      <c r="H19163" s="13"/>
    </row>
    <row r="19164">
      <c r="A19164" s="6"/>
      <c r="B19164" s="6"/>
      <c r="H19164" s="13"/>
    </row>
    <row r="19165">
      <c r="A19165" s="6"/>
      <c r="B19165" s="6"/>
      <c r="H19165" s="13"/>
    </row>
    <row r="19166">
      <c r="A19166" s="6"/>
      <c r="B19166" s="6"/>
      <c r="H19166" s="13"/>
    </row>
    <row r="19167">
      <c r="A19167" s="6"/>
      <c r="B19167" s="6"/>
      <c r="H19167" s="13"/>
    </row>
    <row r="19168">
      <c r="A19168" s="6"/>
      <c r="B19168" s="6"/>
      <c r="H19168" s="13"/>
    </row>
    <row r="19169">
      <c r="A19169" s="6"/>
      <c r="B19169" s="6"/>
      <c r="H19169" s="13"/>
    </row>
    <row r="19170">
      <c r="A19170" s="6"/>
      <c r="B19170" s="6"/>
      <c r="H19170" s="13"/>
    </row>
    <row r="19171">
      <c r="A19171" s="6"/>
      <c r="B19171" s="6"/>
      <c r="H19171" s="13"/>
    </row>
    <row r="19172">
      <c r="A19172" s="6"/>
      <c r="B19172" s="6"/>
      <c r="H19172" s="13"/>
    </row>
    <row r="19173">
      <c r="A19173" s="6"/>
      <c r="B19173" s="6"/>
      <c r="H19173" s="13"/>
    </row>
    <row r="19174">
      <c r="A19174" s="6"/>
      <c r="B19174" s="6"/>
      <c r="H19174" s="13"/>
    </row>
    <row r="19175">
      <c r="A19175" s="6"/>
      <c r="B19175" s="6"/>
      <c r="H19175" s="13"/>
    </row>
    <row r="19176">
      <c r="A19176" s="6"/>
      <c r="B19176" s="6"/>
      <c r="H19176" s="13"/>
    </row>
    <row r="19177">
      <c r="A19177" s="6"/>
      <c r="B19177" s="6"/>
      <c r="H19177" s="13"/>
    </row>
    <row r="19178">
      <c r="A19178" s="6"/>
      <c r="B19178" s="6"/>
      <c r="H19178" s="13"/>
    </row>
    <row r="19179">
      <c r="A19179" s="6"/>
      <c r="B19179" s="6"/>
      <c r="H19179" s="13"/>
    </row>
    <row r="19180">
      <c r="A19180" s="6"/>
      <c r="B19180" s="6"/>
      <c r="H19180" s="13"/>
    </row>
    <row r="19181">
      <c r="A19181" s="6"/>
      <c r="B19181" s="6"/>
      <c r="H19181" s="13"/>
    </row>
    <row r="19182">
      <c r="A19182" s="6"/>
      <c r="B19182" s="6"/>
      <c r="H19182" s="13"/>
    </row>
    <row r="19183">
      <c r="A19183" s="6"/>
      <c r="B19183" s="6"/>
      <c r="H19183" s="13"/>
    </row>
    <row r="19184">
      <c r="A19184" s="6"/>
      <c r="B19184" s="6"/>
      <c r="H19184" s="13"/>
    </row>
    <row r="19185">
      <c r="A19185" s="6"/>
      <c r="B19185" s="6"/>
      <c r="H19185" s="13"/>
    </row>
    <row r="19186">
      <c r="A19186" s="6"/>
      <c r="B19186" s="6"/>
      <c r="H19186" s="13"/>
    </row>
    <row r="19187">
      <c r="A19187" s="6"/>
      <c r="B19187" s="6"/>
      <c r="H19187" s="13"/>
    </row>
    <row r="19188">
      <c r="A19188" s="6"/>
      <c r="B19188" s="6"/>
      <c r="H19188" s="13"/>
    </row>
    <row r="19189">
      <c r="A19189" s="6"/>
      <c r="B19189" s="6"/>
      <c r="H19189" s="13"/>
    </row>
    <row r="19190">
      <c r="A19190" s="6"/>
      <c r="B19190" s="6"/>
      <c r="H19190" s="13"/>
    </row>
    <row r="19191">
      <c r="A19191" s="6"/>
      <c r="B19191" s="6"/>
      <c r="H19191" s="13"/>
    </row>
    <row r="19192">
      <c r="A19192" s="6"/>
      <c r="B19192" s="6"/>
      <c r="H19192" s="13"/>
    </row>
    <row r="19193">
      <c r="A19193" s="6"/>
      <c r="B19193" s="6"/>
      <c r="H19193" s="13"/>
    </row>
    <row r="19194">
      <c r="A19194" s="6"/>
      <c r="B19194" s="6"/>
      <c r="H19194" s="13"/>
    </row>
    <row r="19195">
      <c r="A19195" s="6"/>
      <c r="B19195" s="6"/>
      <c r="H19195" s="13"/>
    </row>
    <row r="19196">
      <c r="A19196" s="6"/>
      <c r="B19196" s="6"/>
      <c r="H19196" s="13"/>
    </row>
    <row r="19197">
      <c r="A19197" s="6"/>
      <c r="B19197" s="6"/>
      <c r="H19197" s="13"/>
    </row>
    <row r="19198">
      <c r="A19198" s="6"/>
      <c r="B19198" s="6"/>
      <c r="H19198" s="13"/>
    </row>
    <row r="19199">
      <c r="A19199" s="6"/>
      <c r="B19199" s="6"/>
      <c r="H19199" s="13"/>
    </row>
    <row r="19200">
      <c r="A19200" s="6"/>
      <c r="B19200" s="6"/>
      <c r="H19200" s="13"/>
    </row>
    <row r="19201">
      <c r="A19201" s="6"/>
      <c r="B19201" s="6"/>
      <c r="H19201" s="13"/>
    </row>
    <row r="19202">
      <c r="A19202" s="6"/>
      <c r="B19202" s="6"/>
      <c r="H19202" s="13"/>
    </row>
    <row r="19203">
      <c r="A19203" s="6"/>
      <c r="B19203" s="6"/>
      <c r="H19203" s="13"/>
    </row>
    <row r="19204">
      <c r="A19204" s="6"/>
      <c r="B19204" s="6"/>
      <c r="H19204" s="13"/>
    </row>
    <row r="19205">
      <c r="A19205" s="6"/>
      <c r="B19205" s="6"/>
      <c r="H19205" s="13"/>
    </row>
    <row r="19206">
      <c r="A19206" s="6"/>
      <c r="B19206" s="6"/>
      <c r="H19206" s="13"/>
    </row>
    <row r="19207">
      <c r="A19207" s="6"/>
      <c r="B19207" s="6"/>
      <c r="H19207" s="13"/>
    </row>
    <row r="19208">
      <c r="A19208" s="6"/>
      <c r="B19208" s="6"/>
      <c r="H19208" s="13"/>
    </row>
    <row r="19209">
      <c r="A19209" s="6"/>
      <c r="B19209" s="6"/>
      <c r="H19209" s="13"/>
    </row>
    <row r="19210">
      <c r="A19210" s="6"/>
      <c r="B19210" s="6"/>
      <c r="H19210" s="13"/>
    </row>
    <row r="19211">
      <c r="A19211" s="6"/>
      <c r="B19211" s="6"/>
      <c r="H19211" s="13"/>
    </row>
    <row r="19212">
      <c r="A19212" s="6"/>
      <c r="B19212" s="6"/>
      <c r="H19212" s="13"/>
    </row>
    <row r="19213">
      <c r="A19213" s="6"/>
      <c r="B19213" s="6"/>
      <c r="H19213" s="13"/>
    </row>
    <row r="19214">
      <c r="A19214" s="6"/>
      <c r="B19214" s="6"/>
      <c r="H19214" s="13"/>
    </row>
    <row r="19215">
      <c r="A19215" s="6"/>
      <c r="B19215" s="6"/>
      <c r="H19215" s="13"/>
    </row>
    <row r="19216">
      <c r="A19216" s="6"/>
      <c r="B19216" s="6"/>
      <c r="H19216" s="13"/>
    </row>
    <row r="19217">
      <c r="A19217" s="6"/>
      <c r="B19217" s="6"/>
      <c r="H19217" s="13"/>
    </row>
    <row r="19218">
      <c r="A19218" s="6"/>
      <c r="B19218" s="6"/>
      <c r="H19218" s="13"/>
    </row>
    <row r="19219">
      <c r="A19219" s="6"/>
      <c r="B19219" s="6"/>
      <c r="H19219" s="13"/>
    </row>
    <row r="19220">
      <c r="A19220" s="6"/>
      <c r="B19220" s="6"/>
      <c r="H19220" s="13"/>
    </row>
    <row r="19221">
      <c r="A19221" s="6"/>
      <c r="B19221" s="6"/>
      <c r="H19221" s="13"/>
    </row>
    <row r="19222">
      <c r="A19222" s="6"/>
      <c r="B19222" s="6"/>
      <c r="H19222" s="13"/>
    </row>
    <row r="19223">
      <c r="A19223" s="6"/>
      <c r="B19223" s="6"/>
      <c r="H19223" s="13"/>
    </row>
    <row r="19224">
      <c r="A19224" s="6"/>
      <c r="B19224" s="6"/>
      <c r="H19224" s="13"/>
    </row>
    <row r="19225">
      <c r="A19225" s="6"/>
      <c r="B19225" s="6"/>
      <c r="H19225" s="13"/>
    </row>
    <row r="19226">
      <c r="A19226" s="6"/>
      <c r="B19226" s="6"/>
      <c r="H19226" s="13"/>
    </row>
    <row r="19227">
      <c r="A19227" s="6"/>
      <c r="B19227" s="6"/>
      <c r="H19227" s="13"/>
    </row>
    <row r="19228">
      <c r="A19228" s="6"/>
      <c r="B19228" s="6"/>
      <c r="H19228" s="13"/>
    </row>
    <row r="19229">
      <c r="A19229" s="6"/>
      <c r="B19229" s="6"/>
      <c r="H19229" s="13"/>
    </row>
    <row r="19230">
      <c r="A19230" s="6"/>
      <c r="B19230" s="6"/>
      <c r="H19230" s="13"/>
    </row>
    <row r="19231">
      <c r="A19231" s="6"/>
      <c r="B19231" s="6"/>
      <c r="H19231" s="13"/>
    </row>
    <row r="19232">
      <c r="A19232" s="6"/>
      <c r="B19232" s="6"/>
      <c r="H19232" s="13"/>
    </row>
    <row r="19233">
      <c r="A19233" s="6"/>
      <c r="B19233" s="6"/>
      <c r="H19233" s="13"/>
    </row>
    <row r="19234">
      <c r="A19234" s="6"/>
      <c r="B19234" s="6"/>
      <c r="H19234" s="13"/>
    </row>
    <row r="19235">
      <c r="A19235" s="6"/>
      <c r="B19235" s="6"/>
      <c r="H19235" s="13"/>
    </row>
    <row r="19236">
      <c r="A19236" s="6"/>
      <c r="B19236" s="6"/>
      <c r="H19236" s="13"/>
    </row>
    <row r="19237">
      <c r="A19237" s="6"/>
      <c r="B19237" s="6"/>
      <c r="H19237" s="13"/>
    </row>
    <row r="19238">
      <c r="A19238" s="6"/>
      <c r="B19238" s="6"/>
      <c r="H19238" s="13"/>
    </row>
    <row r="19239">
      <c r="A19239" s="6"/>
      <c r="B19239" s="6"/>
      <c r="H19239" s="13"/>
    </row>
    <row r="19240">
      <c r="A19240" s="6"/>
      <c r="B19240" s="6"/>
      <c r="H19240" s="13"/>
    </row>
    <row r="19241">
      <c r="A19241" s="6"/>
      <c r="B19241" s="6"/>
      <c r="H19241" s="13"/>
    </row>
    <row r="19242">
      <c r="A19242" s="6"/>
      <c r="B19242" s="6"/>
      <c r="H19242" s="13"/>
    </row>
    <row r="19243">
      <c r="A19243" s="6"/>
      <c r="B19243" s="6"/>
      <c r="H19243" s="13"/>
    </row>
    <row r="19244">
      <c r="A19244" s="6"/>
      <c r="B19244" s="6"/>
      <c r="H19244" s="13"/>
    </row>
    <row r="19245">
      <c r="A19245" s="6"/>
      <c r="B19245" s="6"/>
      <c r="H19245" s="13"/>
    </row>
    <row r="19246">
      <c r="A19246" s="6"/>
      <c r="B19246" s="6"/>
      <c r="H19246" s="13"/>
    </row>
    <row r="19247">
      <c r="A19247" s="6"/>
      <c r="B19247" s="6"/>
      <c r="H19247" s="13"/>
    </row>
    <row r="19248">
      <c r="A19248" s="6"/>
      <c r="B19248" s="6"/>
      <c r="H19248" s="13"/>
    </row>
    <row r="19249">
      <c r="A19249" s="6"/>
      <c r="B19249" s="6"/>
      <c r="H19249" s="13"/>
    </row>
    <row r="19250">
      <c r="A19250" s="6"/>
      <c r="B19250" s="6"/>
      <c r="H19250" s="13"/>
    </row>
    <row r="19251">
      <c r="A19251" s="6"/>
      <c r="B19251" s="6"/>
      <c r="H19251" s="13"/>
    </row>
    <row r="19252">
      <c r="A19252" s="6"/>
      <c r="B19252" s="6"/>
      <c r="H19252" s="13"/>
    </row>
    <row r="19253">
      <c r="A19253" s="6"/>
      <c r="B19253" s="6"/>
      <c r="H19253" s="13"/>
    </row>
    <row r="19254">
      <c r="A19254" s="6"/>
      <c r="B19254" s="6"/>
      <c r="H19254" s="13"/>
    </row>
    <row r="19255">
      <c r="A19255" s="6"/>
      <c r="B19255" s="6"/>
      <c r="H19255" s="13"/>
    </row>
    <row r="19256">
      <c r="A19256" s="6"/>
      <c r="B19256" s="6"/>
      <c r="H19256" s="13"/>
    </row>
    <row r="19257">
      <c r="A19257" s="6"/>
      <c r="B19257" s="6"/>
      <c r="H19257" s="13"/>
    </row>
    <row r="19258">
      <c r="A19258" s="6"/>
      <c r="B19258" s="6"/>
      <c r="H19258" s="13"/>
    </row>
    <row r="19259">
      <c r="A19259" s="6"/>
      <c r="B19259" s="6"/>
      <c r="H19259" s="13"/>
    </row>
    <row r="19260">
      <c r="A19260" s="6"/>
      <c r="B19260" s="6"/>
      <c r="H19260" s="13"/>
    </row>
    <row r="19261">
      <c r="A19261" s="6"/>
      <c r="B19261" s="6"/>
      <c r="H19261" s="13"/>
    </row>
    <row r="19262">
      <c r="A19262" s="6"/>
      <c r="B19262" s="6"/>
      <c r="H19262" s="13"/>
    </row>
    <row r="19263">
      <c r="A19263" s="6"/>
      <c r="B19263" s="6"/>
      <c r="H19263" s="13"/>
    </row>
    <row r="19264">
      <c r="A19264" s="6"/>
      <c r="B19264" s="6"/>
      <c r="H19264" s="13"/>
    </row>
    <row r="19265">
      <c r="A19265" s="6"/>
      <c r="B19265" s="6"/>
      <c r="H19265" s="13"/>
    </row>
    <row r="19266">
      <c r="A19266" s="6"/>
      <c r="B19266" s="6"/>
      <c r="H19266" s="13"/>
    </row>
    <row r="19267">
      <c r="A19267" s="6"/>
      <c r="B19267" s="6"/>
      <c r="H19267" s="13"/>
    </row>
    <row r="19268">
      <c r="A19268" s="6"/>
      <c r="B19268" s="6"/>
      <c r="H19268" s="13"/>
    </row>
    <row r="19269">
      <c r="A19269" s="6"/>
      <c r="B19269" s="6"/>
      <c r="H19269" s="13"/>
    </row>
    <row r="19270">
      <c r="A19270" s="6"/>
      <c r="B19270" s="6"/>
      <c r="H19270" s="13"/>
    </row>
    <row r="19271">
      <c r="A19271" s="6"/>
      <c r="B19271" s="6"/>
      <c r="H19271" s="13"/>
    </row>
    <row r="19272">
      <c r="A19272" s="6"/>
      <c r="B19272" s="6"/>
      <c r="H19272" s="13"/>
    </row>
    <row r="19273">
      <c r="A19273" s="6"/>
      <c r="B19273" s="6"/>
      <c r="H19273" s="13"/>
    </row>
    <row r="19274">
      <c r="A19274" s="6"/>
      <c r="B19274" s="6"/>
      <c r="H19274" s="13"/>
    </row>
    <row r="19275">
      <c r="A19275" s="6"/>
      <c r="B19275" s="6"/>
      <c r="H19275" s="13"/>
    </row>
    <row r="19276">
      <c r="A19276" s="6"/>
      <c r="B19276" s="6"/>
      <c r="H19276" s="13"/>
    </row>
    <row r="19277">
      <c r="A19277" s="6"/>
      <c r="B19277" s="6"/>
      <c r="H19277" s="13"/>
    </row>
    <row r="19278">
      <c r="A19278" s="6"/>
      <c r="B19278" s="6"/>
      <c r="H19278" s="13"/>
    </row>
    <row r="19279">
      <c r="A19279" s="6"/>
      <c r="B19279" s="6"/>
      <c r="H19279" s="13"/>
    </row>
    <row r="19280">
      <c r="A19280" s="6"/>
      <c r="B19280" s="6"/>
      <c r="H19280" s="13"/>
    </row>
    <row r="19281">
      <c r="A19281" s="6"/>
      <c r="B19281" s="6"/>
      <c r="H19281" s="13"/>
    </row>
    <row r="19282">
      <c r="A19282" s="6"/>
      <c r="B19282" s="6"/>
      <c r="H19282" s="13"/>
    </row>
    <row r="19283">
      <c r="A19283" s="6"/>
      <c r="B19283" s="6"/>
      <c r="H19283" s="13"/>
    </row>
    <row r="19284">
      <c r="A19284" s="6"/>
      <c r="B19284" s="6"/>
      <c r="H19284" s="13"/>
    </row>
    <row r="19285">
      <c r="A19285" s="6"/>
      <c r="B19285" s="6"/>
      <c r="H19285" s="13"/>
    </row>
    <row r="19286">
      <c r="A19286" s="6"/>
      <c r="B19286" s="6"/>
      <c r="H19286" s="13"/>
    </row>
    <row r="19287">
      <c r="A19287" s="6"/>
      <c r="B19287" s="6"/>
      <c r="H19287" s="13"/>
    </row>
    <row r="19288">
      <c r="A19288" s="6"/>
      <c r="B19288" s="6"/>
      <c r="H19288" s="13"/>
    </row>
    <row r="19289">
      <c r="A19289" s="6"/>
      <c r="B19289" s="6"/>
      <c r="H19289" s="13"/>
    </row>
    <row r="19290">
      <c r="A19290" s="6"/>
      <c r="B19290" s="6"/>
      <c r="H19290" s="13"/>
    </row>
    <row r="19291">
      <c r="A19291" s="6"/>
      <c r="B19291" s="6"/>
      <c r="H19291" s="13"/>
    </row>
    <row r="19292">
      <c r="A19292" s="6"/>
      <c r="B19292" s="6"/>
      <c r="H19292" s="13"/>
    </row>
    <row r="19293">
      <c r="A19293" s="6"/>
      <c r="B19293" s="6"/>
      <c r="H19293" s="13"/>
    </row>
    <row r="19294">
      <c r="A19294" s="6"/>
      <c r="B19294" s="6"/>
      <c r="H19294" s="13"/>
    </row>
    <row r="19295">
      <c r="A19295" s="6"/>
      <c r="B19295" s="6"/>
      <c r="H19295" s="13"/>
    </row>
    <row r="19296">
      <c r="A19296" s="6"/>
      <c r="B19296" s="6"/>
      <c r="H19296" s="13"/>
    </row>
    <row r="19297">
      <c r="A19297" s="6"/>
      <c r="B19297" s="6"/>
      <c r="H19297" s="13"/>
    </row>
    <row r="19298">
      <c r="A19298" s="6"/>
      <c r="B19298" s="6"/>
      <c r="H19298" s="13"/>
    </row>
    <row r="19299">
      <c r="A19299" s="6"/>
      <c r="B19299" s="6"/>
      <c r="H19299" s="13"/>
    </row>
    <row r="19300">
      <c r="A19300" s="6"/>
      <c r="B19300" s="6"/>
      <c r="H19300" s="13"/>
    </row>
    <row r="19301">
      <c r="A19301" s="6"/>
      <c r="B19301" s="6"/>
      <c r="H19301" s="13"/>
    </row>
    <row r="19302">
      <c r="A19302" s="6"/>
      <c r="B19302" s="6"/>
      <c r="H19302" s="13"/>
    </row>
    <row r="19303">
      <c r="A19303" s="6"/>
      <c r="B19303" s="6"/>
      <c r="H19303" s="13"/>
    </row>
    <row r="19304">
      <c r="A19304" s="6"/>
      <c r="B19304" s="6"/>
      <c r="H19304" s="13"/>
    </row>
    <row r="19305">
      <c r="A19305" s="6"/>
      <c r="B19305" s="6"/>
      <c r="H19305" s="13"/>
    </row>
    <row r="19306">
      <c r="A19306" s="6"/>
      <c r="B19306" s="6"/>
      <c r="H19306" s="13"/>
    </row>
    <row r="19307">
      <c r="A19307" s="6"/>
      <c r="B19307" s="6"/>
      <c r="H19307" s="13"/>
    </row>
    <row r="19308">
      <c r="A19308" s="6"/>
      <c r="B19308" s="6"/>
      <c r="H19308" s="13"/>
    </row>
    <row r="19309">
      <c r="A19309" s="6"/>
      <c r="B19309" s="6"/>
      <c r="H19309" s="13"/>
    </row>
    <row r="19310">
      <c r="A19310" s="6"/>
      <c r="B19310" s="6"/>
      <c r="H19310" s="13"/>
    </row>
    <row r="19311">
      <c r="A19311" s="6"/>
      <c r="B19311" s="6"/>
      <c r="H19311" s="13"/>
    </row>
    <row r="19312">
      <c r="A19312" s="6"/>
      <c r="B19312" s="6"/>
      <c r="H19312" s="13"/>
    </row>
    <row r="19313">
      <c r="A19313" s="6"/>
      <c r="B19313" s="6"/>
      <c r="H19313" s="13"/>
    </row>
    <row r="19314">
      <c r="A19314" s="6"/>
      <c r="B19314" s="6"/>
      <c r="H19314" s="13"/>
    </row>
    <row r="19315">
      <c r="A19315" s="6"/>
      <c r="B19315" s="6"/>
      <c r="H19315" s="13"/>
    </row>
    <row r="19316">
      <c r="A19316" s="6"/>
      <c r="B19316" s="6"/>
      <c r="H19316" s="13"/>
    </row>
    <row r="19317">
      <c r="A19317" s="6"/>
      <c r="B19317" s="6"/>
      <c r="H19317" s="13"/>
    </row>
    <row r="19318">
      <c r="A19318" s="6"/>
      <c r="B19318" s="6"/>
      <c r="H19318" s="13"/>
    </row>
    <row r="19319">
      <c r="A19319" s="6"/>
      <c r="B19319" s="6"/>
      <c r="H19319" s="13"/>
    </row>
    <row r="19320">
      <c r="A19320" s="6"/>
      <c r="B19320" s="6"/>
      <c r="H19320" s="13"/>
    </row>
    <row r="19321">
      <c r="A19321" s="6"/>
      <c r="B19321" s="6"/>
      <c r="H19321" s="13"/>
    </row>
    <row r="19322">
      <c r="A19322" s="6"/>
      <c r="B19322" s="6"/>
      <c r="H19322" s="13"/>
    </row>
    <row r="19323">
      <c r="A19323" s="6"/>
      <c r="B19323" s="6"/>
      <c r="H19323" s="13"/>
    </row>
    <row r="19324">
      <c r="A19324" s="6"/>
      <c r="B19324" s="6"/>
      <c r="H19324" s="13"/>
    </row>
    <row r="19325">
      <c r="A19325" s="6"/>
      <c r="B19325" s="6"/>
      <c r="H19325" s="13"/>
    </row>
    <row r="19326">
      <c r="A19326" s="6"/>
      <c r="B19326" s="6"/>
      <c r="H19326" s="13"/>
    </row>
    <row r="19327">
      <c r="A19327" s="6"/>
      <c r="B19327" s="6"/>
      <c r="H19327" s="13"/>
    </row>
    <row r="19328">
      <c r="A19328" s="6"/>
      <c r="B19328" s="6"/>
      <c r="H19328" s="13"/>
    </row>
    <row r="19329">
      <c r="A19329" s="6"/>
      <c r="B19329" s="6"/>
      <c r="H19329" s="13"/>
    </row>
    <row r="19330">
      <c r="A19330" s="6"/>
      <c r="B19330" s="6"/>
      <c r="H19330" s="13"/>
    </row>
    <row r="19331">
      <c r="A19331" s="6"/>
      <c r="B19331" s="6"/>
      <c r="H19331" s="13"/>
    </row>
    <row r="19332">
      <c r="A19332" s="6"/>
      <c r="B19332" s="6"/>
      <c r="H19332" s="13"/>
    </row>
    <row r="19333">
      <c r="A19333" s="6"/>
      <c r="B19333" s="6"/>
      <c r="H19333" s="13"/>
    </row>
    <row r="19334">
      <c r="A19334" s="6"/>
      <c r="B19334" s="6"/>
      <c r="H19334" s="13"/>
    </row>
    <row r="19335">
      <c r="A19335" s="6"/>
      <c r="B19335" s="6"/>
      <c r="H19335" s="13"/>
    </row>
    <row r="19336">
      <c r="A19336" s="6"/>
      <c r="B19336" s="6"/>
      <c r="H19336" s="13"/>
    </row>
    <row r="19337">
      <c r="A19337" s="6"/>
      <c r="B19337" s="6"/>
      <c r="H19337" s="13"/>
    </row>
    <row r="19338">
      <c r="A19338" s="6"/>
      <c r="B19338" s="6"/>
      <c r="H19338" s="13"/>
    </row>
    <row r="19339">
      <c r="A19339" s="6"/>
      <c r="B19339" s="6"/>
      <c r="H19339" s="13"/>
    </row>
    <row r="19340">
      <c r="A19340" s="6"/>
      <c r="B19340" s="6"/>
      <c r="H19340" s="13"/>
    </row>
    <row r="19341">
      <c r="A19341" s="6"/>
      <c r="B19341" s="6"/>
      <c r="H19341" s="13"/>
    </row>
    <row r="19342">
      <c r="A19342" s="6"/>
      <c r="B19342" s="6"/>
      <c r="H19342" s="13"/>
    </row>
    <row r="19343">
      <c r="A19343" s="6"/>
      <c r="B19343" s="6"/>
      <c r="H19343" s="13"/>
    </row>
    <row r="19344">
      <c r="A19344" s="6"/>
      <c r="B19344" s="6"/>
      <c r="H19344" s="13"/>
    </row>
    <row r="19345">
      <c r="A19345" s="6"/>
      <c r="B19345" s="6"/>
      <c r="H19345" s="13"/>
    </row>
    <row r="19346">
      <c r="A19346" s="6"/>
      <c r="B19346" s="6"/>
      <c r="H19346" s="13"/>
    </row>
    <row r="19347">
      <c r="A19347" s="6"/>
      <c r="B19347" s="6"/>
      <c r="H19347" s="13"/>
    </row>
    <row r="19348">
      <c r="A19348" s="6"/>
      <c r="B19348" s="6"/>
      <c r="H19348" s="13"/>
    </row>
    <row r="19349">
      <c r="A19349" s="6"/>
      <c r="B19349" s="6"/>
      <c r="H19349" s="13"/>
    </row>
    <row r="19350">
      <c r="A19350" s="6"/>
      <c r="B19350" s="6"/>
      <c r="H19350" s="13"/>
    </row>
    <row r="19351">
      <c r="A19351" s="6"/>
      <c r="B19351" s="6"/>
      <c r="H19351" s="13"/>
    </row>
    <row r="19352">
      <c r="A19352" s="6"/>
      <c r="B19352" s="6"/>
      <c r="H19352" s="13"/>
    </row>
    <row r="19353">
      <c r="A19353" s="6"/>
      <c r="B19353" s="6"/>
      <c r="H19353" s="13"/>
    </row>
    <row r="19354">
      <c r="A19354" s="6"/>
      <c r="B19354" s="6"/>
      <c r="H19354" s="13"/>
    </row>
    <row r="19355">
      <c r="A19355" s="6"/>
      <c r="B19355" s="6"/>
      <c r="H19355" s="13"/>
    </row>
    <row r="19356">
      <c r="A19356" s="6"/>
      <c r="B19356" s="6"/>
      <c r="H19356" s="13"/>
    </row>
    <row r="19357">
      <c r="A19357" s="6"/>
      <c r="B19357" s="6"/>
      <c r="H19357" s="13"/>
    </row>
    <row r="19358">
      <c r="A19358" s="6"/>
      <c r="B19358" s="6"/>
      <c r="H19358" s="13"/>
    </row>
    <row r="19359">
      <c r="A19359" s="6"/>
      <c r="B19359" s="6"/>
      <c r="H19359" s="13"/>
    </row>
    <row r="19360">
      <c r="A19360" s="6"/>
      <c r="B19360" s="6"/>
      <c r="H19360" s="13"/>
    </row>
    <row r="19361">
      <c r="A19361" s="6"/>
      <c r="B19361" s="6"/>
      <c r="H19361" s="13"/>
    </row>
    <row r="19362">
      <c r="A19362" s="6"/>
      <c r="B19362" s="6"/>
      <c r="H19362" s="13"/>
    </row>
    <row r="19363">
      <c r="A19363" s="6"/>
      <c r="B19363" s="6"/>
      <c r="H19363" s="13"/>
    </row>
    <row r="19364">
      <c r="A19364" s="6"/>
      <c r="B19364" s="6"/>
      <c r="H19364" s="13"/>
    </row>
    <row r="19365">
      <c r="A19365" s="6"/>
      <c r="B19365" s="6"/>
      <c r="H19365" s="13"/>
    </row>
    <row r="19366">
      <c r="A19366" s="6"/>
      <c r="B19366" s="6"/>
      <c r="H19366" s="13"/>
    </row>
    <row r="19367">
      <c r="A19367" s="6"/>
      <c r="B19367" s="6"/>
      <c r="H19367" s="13"/>
    </row>
    <row r="19368">
      <c r="A19368" s="6"/>
      <c r="B19368" s="6"/>
      <c r="H19368" s="13"/>
    </row>
    <row r="19369">
      <c r="A19369" s="6"/>
      <c r="B19369" s="6"/>
      <c r="H19369" s="13"/>
    </row>
    <row r="19370">
      <c r="A19370" s="6"/>
      <c r="B19370" s="6"/>
      <c r="H19370" s="13"/>
    </row>
    <row r="19371">
      <c r="A19371" s="6"/>
      <c r="B19371" s="6"/>
      <c r="H19371" s="13"/>
    </row>
    <row r="19372">
      <c r="A19372" s="6"/>
      <c r="B19372" s="6"/>
      <c r="H19372" s="13"/>
    </row>
    <row r="19373">
      <c r="A19373" s="6"/>
      <c r="B19373" s="6"/>
      <c r="H19373" s="13"/>
    </row>
    <row r="19374">
      <c r="A19374" s="6"/>
      <c r="B19374" s="6"/>
      <c r="H19374" s="13"/>
    </row>
    <row r="19375">
      <c r="A19375" s="6"/>
      <c r="B19375" s="6"/>
      <c r="H19375" s="13"/>
    </row>
    <row r="19376">
      <c r="A19376" s="6"/>
      <c r="B19376" s="6"/>
      <c r="H19376" s="13"/>
    </row>
    <row r="19377">
      <c r="A19377" s="6"/>
      <c r="B19377" s="6"/>
      <c r="H19377" s="13"/>
    </row>
    <row r="19378">
      <c r="A19378" s="6"/>
      <c r="B19378" s="6"/>
      <c r="H19378" s="13"/>
    </row>
    <row r="19379">
      <c r="A19379" s="6"/>
      <c r="B19379" s="6"/>
      <c r="H19379" s="13"/>
    </row>
    <row r="19380">
      <c r="A19380" s="6"/>
      <c r="B19380" s="6"/>
      <c r="H19380" s="13"/>
    </row>
    <row r="19381">
      <c r="A19381" s="6"/>
      <c r="B19381" s="6"/>
      <c r="H19381" s="13"/>
    </row>
    <row r="19382">
      <c r="A19382" s="6"/>
      <c r="B19382" s="6"/>
      <c r="H19382" s="13"/>
    </row>
    <row r="19383">
      <c r="A19383" s="6"/>
      <c r="B19383" s="6"/>
      <c r="H19383" s="13"/>
    </row>
    <row r="19384">
      <c r="A19384" s="6"/>
      <c r="B19384" s="6"/>
      <c r="H19384" s="13"/>
    </row>
    <row r="19385">
      <c r="A19385" s="6"/>
      <c r="B19385" s="6"/>
      <c r="H19385" s="13"/>
    </row>
    <row r="19386">
      <c r="A19386" s="6"/>
      <c r="B19386" s="6"/>
      <c r="H19386" s="13"/>
    </row>
    <row r="19387">
      <c r="A19387" s="6"/>
      <c r="B19387" s="6"/>
      <c r="H19387" s="13"/>
    </row>
    <row r="19388">
      <c r="A19388" s="6"/>
      <c r="B19388" s="6"/>
      <c r="H19388" s="13"/>
    </row>
    <row r="19389">
      <c r="A19389" s="6"/>
      <c r="B19389" s="6"/>
      <c r="H19389" s="13"/>
    </row>
    <row r="19390">
      <c r="A19390" s="6"/>
      <c r="B19390" s="6"/>
      <c r="H19390" s="13"/>
    </row>
    <row r="19391">
      <c r="A19391" s="6"/>
      <c r="B19391" s="6"/>
      <c r="H19391" s="13"/>
    </row>
    <row r="19392">
      <c r="A19392" s="6"/>
      <c r="B19392" s="6"/>
      <c r="H19392" s="13"/>
    </row>
    <row r="19393">
      <c r="A19393" s="6"/>
      <c r="B19393" s="6"/>
      <c r="H19393" s="13"/>
    </row>
    <row r="19394">
      <c r="A19394" s="6"/>
      <c r="B19394" s="6"/>
      <c r="H19394" s="13"/>
    </row>
    <row r="19395">
      <c r="A19395" s="6"/>
      <c r="B19395" s="6"/>
      <c r="H19395" s="13"/>
    </row>
    <row r="19396">
      <c r="A19396" s="6"/>
      <c r="B19396" s="6"/>
      <c r="H19396" s="13"/>
    </row>
    <row r="19397">
      <c r="A19397" s="6"/>
      <c r="B19397" s="6"/>
      <c r="H19397" s="13"/>
    </row>
    <row r="19398">
      <c r="A19398" s="6"/>
      <c r="B19398" s="6"/>
      <c r="H19398" s="13"/>
    </row>
    <row r="19399">
      <c r="A19399" s="6"/>
      <c r="B19399" s="6"/>
      <c r="H19399" s="13"/>
    </row>
    <row r="19400">
      <c r="A19400" s="6"/>
      <c r="B19400" s="6"/>
      <c r="H19400" s="13"/>
    </row>
    <row r="19401">
      <c r="A19401" s="6"/>
      <c r="B19401" s="6"/>
      <c r="H19401" s="13"/>
    </row>
    <row r="19402">
      <c r="A19402" s="6"/>
      <c r="B19402" s="6"/>
      <c r="H19402" s="13"/>
    </row>
    <row r="19403">
      <c r="A19403" s="6"/>
      <c r="B19403" s="6"/>
      <c r="H19403" s="13"/>
    </row>
    <row r="19404">
      <c r="A19404" s="6"/>
      <c r="B19404" s="6"/>
      <c r="H19404" s="13"/>
    </row>
    <row r="19405">
      <c r="A19405" s="6"/>
      <c r="B19405" s="6"/>
      <c r="H19405" s="13"/>
    </row>
    <row r="19406">
      <c r="A19406" s="6"/>
      <c r="B19406" s="6"/>
      <c r="H19406" s="13"/>
    </row>
    <row r="19407">
      <c r="A19407" s="6"/>
      <c r="B19407" s="6"/>
      <c r="H19407" s="13"/>
    </row>
    <row r="19408">
      <c r="A19408" s="6"/>
      <c r="B19408" s="6"/>
      <c r="H19408" s="13"/>
    </row>
    <row r="19409">
      <c r="A19409" s="6"/>
      <c r="B19409" s="6"/>
      <c r="H19409" s="13"/>
    </row>
    <row r="19410">
      <c r="A19410" s="6"/>
      <c r="B19410" s="6"/>
      <c r="H19410" s="13"/>
    </row>
    <row r="19411">
      <c r="A19411" s="6"/>
      <c r="B19411" s="6"/>
      <c r="H19411" s="13"/>
    </row>
    <row r="19412">
      <c r="A19412" s="6"/>
      <c r="B19412" s="6"/>
      <c r="H19412" s="13"/>
    </row>
    <row r="19413">
      <c r="A19413" s="6"/>
      <c r="B19413" s="6"/>
      <c r="H19413" s="13"/>
    </row>
    <row r="19414">
      <c r="A19414" s="6"/>
      <c r="B19414" s="6"/>
      <c r="H19414" s="13"/>
    </row>
    <row r="19415">
      <c r="A19415" s="6"/>
      <c r="B19415" s="6"/>
      <c r="H19415" s="13"/>
    </row>
    <row r="19416">
      <c r="A19416" s="6"/>
      <c r="B19416" s="6"/>
      <c r="H19416" s="13"/>
    </row>
    <row r="19417">
      <c r="A19417" s="6"/>
      <c r="B19417" s="6"/>
      <c r="H19417" s="13"/>
    </row>
    <row r="19418">
      <c r="A19418" s="6"/>
      <c r="B19418" s="6"/>
      <c r="H19418" s="13"/>
    </row>
    <row r="19419">
      <c r="A19419" s="6"/>
      <c r="B19419" s="6"/>
      <c r="H19419" s="13"/>
    </row>
    <row r="19420">
      <c r="A19420" s="6"/>
      <c r="B19420" s="6"/>
      <c r="H19420" s="13"/>
    </row>
    <row r="19421">
      <c r="A19421" s="6"/>
      <c r="B19421" s="6"/>
      <c r="H19421" s="13"/>
    </row>
    <row r="19422">
      <c r="A19422" s="6"/>
      <c r="B19422" s="6"/>
      <c r="H19422" s="13"/>
    </row>
    <row r="19423">
      <c r="A19423" s="6"/>
      <c r="B19423" s="6"/>
      <c r="H19423" s="13"/>
    </row>
    <row r="19424">
      <c r="A19424" s="6"/>
      <c r="B19424" s="6"/>
      <c r="H19424" s="13"/>
    </row>
    <row r="19425">
      <c r="A19425" s="6"/>
      <c r="B19425" s="6"/>
      <c r="H19425" s="13"/>
    </row>
    <row r="19426">
      <c r="A19426" s="6"/>
      <c r="B19426" s="6"/>
      <c r="H19426" s="13"/>
    </row>
    <row r="19427">
      <c r="A19427" s="6"/>
      <c r="B19427" s="6"/>
      <c r="H19427" s="13"/>
    </row>
    <row r="19428">
      <c r="A19428" s="6"/>
      <c r="B19428" s="6"/>
      <c r="H19428" s="13"/>
    </row>
    <row r="19429">
      <c r="A19429" s="6"/>
      <c r="B19429" s="6"/>
      <c r="H19429" s="13"/>
    </row>
    <row r="19430">
      <c r="A19430" s="6"/>
      <c r="B19430" s="6"/>
      <c r="H19430" s="13"/>
    </row>
    <row r="19431">
      <c r="A19431" s="6"/>
      <c r="B19431" s="6"/>
      <c r="H19431" s="13"/>
    </row>
    <row r="19432">
      <c r="A19432" s="6"/>
      <c r="B19432" s="6"/>
      <c r="H19432" s="13"/>
    </row>
    <row r="19433">
      <c r="A19433" s="6"/>
      <c r="B19433" s="6"/>
      <c r="H19433" s="13"/>
    </row>
    <row r="19434">
      <c r="A19434" s="6"/>
      <c r="B19434" s="6"/>
      <c r="H19434" s="13"/>
    </row>
    <row r="19435">
      <c r="A19435" s="6"/>
      <c r="B19435" s="6"/>
      <c r="H19435" s="13"/>
    </row>
    <row r="19436">
      <c r="A19436" s="6"/>
      <c r="B19436" s="6"/>
      <c r="H19436" s="13"/>
    </row>
    <row r="19437">
      <c r="A19437" s="6"/>
      <c r="B19437" s="6"/>
      <c r="H19437" s="13"/>
    </row>
    <row r="19438">
      <c r="A19438" s="6"/>
      <c r="B19438" s="6"/>
      <c r="H19438" s="13"/>
    </row>
    <row r="19439">
      <c r="A19439" s="6"/>
      <c r="B19439" s="6"/>
      <c r="H19439" s="13"/>
    </row>
    <row r="19440">
      <c r="A19440" s="6"/>
      <c r="B19440" s="6"/>
      <c r="H19440" s="13"/>
    </row>
    <row r="19441">
      <c r="A19441" s="6"/>
      <c r="B19441" s="6"/>
      <c r="H19441" s="13"/>
    </row>
    <row r="19442">
      <c r="A19442" s="6"/>
      <c r="B19442" s="6"/>
      <c r="H19442" s="13"/>
    </row>
    <row r="19443">
      <c r="A19443" s="6"/>
      <c r="B19443" s="6"/>
      <c r="H19443" s="13"/>
    </row>
    <row r="19444">
      <c r="A19444" s="6"/>
      <c r="B19444" s="6"/>
      <c r="H19444" s="13"/>
    </row>
    <row r="19445">
      <c r="A19445" s="6"/>
      <c r="B19445" s="6"/>
      <c r="H19445" s="13"/>
    </row>
    <row r="19446">
      <c r="A19446" s="6"/>
      <c r="B19446" s="6"/>
      <c r="H19446" s="13"/>
    </row>
    <row r="19447">
      <c r="A19447" s="6"/>
      <c r="B19447" s="6"/>
      <c r="H19447" s="13"/>
    </row>
    <row r="19448">
      <c r="A19448" s="6"/>
      <c r="B19448" s="6"/>
      <c r="H19448" s="13"/>
    </row>
    <row r="19449">
      <c r="A19449" s="6"/>
      <c r="B19449" s="6"/>
      <c r="H19449" s="13"/>
    </row>
    <row r="19450">
      <c r="A19450" s="6"/>
      <c r="B19450" s="6"/>
      <c r="H19450" s="13"/>
    </row>
    <row r="19451">
      <c r="A19451" s="6"/>
      <c r="B19451" s="6"/>
      <c r="H19451" s="13"/>
    </row>
    <row r="19452">
      <c r="A19452" s="6"/>
      <c r="B19452" s="6"/>
      <c r="H19452" s="13"/>
    </row>
    <row r="19453">
      <c r="A19453" s="6"/>
      <c r="B19453" s="6"/>
      <c r="H19453" s="13"/>
    </row>
    <row r="19454">
      <c r="A19454" s="6"/>
      <c r="B19454" s="6"/>
      <c r="H19454" s="13"/>
    </row>
    <row r="19455">
      <c r="A19455" s="6"/>
      <c r="B19455" s="6"/>
      <c r="H19455" s="13"/>
    </row>
    <row r="19456">
      <c r="A19456" s="6"/>
      <c r="B19456" s="6"/>
      <c r="H19456" s="13"/>
    </row>
    <row r="19457">
      <c r="A19457" s="6"/>
      <c r="B19457" s="6"/>
      <c r="H19457" s="13"/>
    </row>
    <row r="19458">
      <c r="A19458" s="6"/>
      <c r="B19458" s="6"/>
      <c r="H19458" s="13"/>
    </row>
    <row r="19459">
      <c r="A19459" s="6"/>
      <c r="B19459" s="6"/>
      <c r="H19459" s="13"/>
    </row>
    <row r="19460">
      <c r="A19460" s="6"/>
      <c r="B19460" s="6"/>
      <c r="H19460" s="13"/>
    </row>
    <row r="19461">
      <c r="A19461" s="6"/>
      <c r="B19461" s="6"/>
      <c r="H19461" s="13"/>
    </row>
    <row r="19462">
      <c r="A19462" s="6"/>
      <c r="B19462" s="6"/>
      <c r="H19462" s="13"/>
    </row>
    <row r="19463">
      <c r="A19463" s="6"/>
      <c r="B19463" s="6"/>
      <c r="H19463" s="13"/>
    </row>
    <row r="19464">
      <c r="A19464" s="6"/>
      <c r="B19464" s="6"/>
      <c r="H19464" s="13"/>
    </row>
    <row r="19465">
      <c r="A19465" s="6"/>
      <c r="B19465" s="6"/>
      <c r="H19465" s="13"/>
    </row>
    <row r="19466">
      <c r="A19466" s="6"/>
      <c r="B19466" s="6"/>
      <c r="H19466" s="13"/>
    </row>
    <row r="19467">
      <c r="A19467" s="6"/>
      <c r="B19467" s="6"/>
      <c r="H19467" s="13"/>
    </row>
    <row r="19468">
      <c r="A19468" s="6"/>
      <c r="B19468" s="6"/>
      <c r="H19468" s="13"/>
    </row>
    <row r="19469">
      <c r="A19469" s="6"/>
      <c r="B19469" s="6"/>
      <c r="H19469" s="13"/>
    </row>
    <row r="19470">
      <c r="A19470" s="6"/>
      <c r="B19470" s="6"/>
      <c r="H19470" s="13"/>
    </row>
    <row r="19471">
      <c r="A19471" s="6"/>
      <c r="B19471" s="6"/>
      <c r="H19471" s="13"/>
    </row>
    <row r="19472">
      <c r="A19472" s="6"/>
      <c r="B19472" s="6"/>
      <c r="H19472" s="13"/>
    </row>
    <row r="19473">
      <c r="A19473" s="6"/>
      <c r="B19473" s="6"/>
      <c r="H19473" s="13"/>
    </row>
    <row r="19474">
      <c r="A19474" s="6"/>
      <c r="B19474" s="6"/>
      <c r="H19474" s="13"/>
    </row>
    <row r="19475">
      <c r="A19475" s="6"/>
      <c r="B19475" s="6"/>
      <c r="H19475" s="13"/>
    </row>
    <row r="19476">
      <c r="A19476" s="6"/>
      <c r="B19476" s="6"/>
      <c r="H19476" s="13"/>
    </row>
    <row r="19477">
      <c r="A19477" s="6"/>
      <c r="B19477" s="6"/>
      <c r="H19477" s="13"/>
    </row>
    <row r="19478">
      <c r="A19478" s="6"/>
      <c r="B19478" s="6"/>
      <c r="H19478" s="13"/>
    </row>
    <row r="19479">
      <c r="A19479" s="6"/>
      <c r="B19479" s="6"/>
      <c r="H19479" s="13"/>
    </row>
    <row r="19480">
      <c r="A19480" s="6"/>
      <c r="B19480" s="6"/>
      <c r="H19480" s="13"/>
    </row>
    <row r="19481">
      <c r="A19481" s="6"/>
      <c r="B19481" s="6"/>
      <c r="H19481" s="13"/>
    </row>
    <row r="19482">
      <c r="A19482" s="6"/>
      <c r="B19482" s="6"/>
      <c r="H19482" s="13"/>
    </row>
    <row r="19483">
      <c r="A19483" s="6"/>
      <c r="B19483" s="6"/>
      <c r="H19483" s="13"/>
    </row>
    <row r="19484">
      <c r="A19484" s="6"/>
      <c r="B19484" s="6"/>
      <c r="H19484" s="13"/>
    </row>
    <row r="19485">
      <c r="A19485" s="6"/>
      <c r="B19485" s="6"/>
      <c r="H19485" s="13"/>
    </row>
    <row r="19486">
      <c r="A19486" s="6"/>
      <c r="B19486" s="6"/>
      <c r="H19486" s="13"/>
    </row>
    <row r="19487">
      <c r="A19487" s="6"/>
      <c r="B19487" s="6"/>
      <c r="H19487" s="13"/>
    </row>
    <row r="19488">
      <c r="A19488" s="6"/>
      <c r="B19488" s="6"/>
      <c r="H19488" s="13"/>
    </row>
    <row r="19489">
      <c r="A19489" s="6"/>
      <c r="B19489" s="6"/>
      <c r="H19489" s="13"/>
    </row>
    <row r="19490">
      <c r="A19490" s="6"/>
      <c r="B19490" s="6"/>
      <c r="H19490" s="13"/>
    </row>
    <row r="19491">
      <c r="A19491" s="6"/>
      <c r="B19491" s="6"/>
      <c r="H19491" s="13"/>
    </row>
    <row r="19492">
      <c r="A19492" s="6"/>
      <c r="B19492" s="6"/>
      <c r="H19492" s="13"/>
    </row>
    <row r="19493">
      <c r="A19493" s="6"/>
      <c r="B19493" s="6"/>
      <c r="H19493" s="13"/>
    </row>
    <row r="19494">
      <c r="A19494" s="6"/>
      <c r="B19494" s="6"/>
      <c r="H19494" s="13"/>
    </row>
    <row r="19495">
      <c r="A19495" s="6"/>
      <c r="B19495" s="6"/>
      <c r="H19495" s="13"/>
    </row>
    <row r="19496">
      <c r="A19496" s="6"/>
      <c r="B19496" s="6"/>
      <c r="H19496" s="13"/>
    </row>
    <row r="19497">
      <c r="A19497" s="6"/>
      <c r="B19497" s="6"/>
      <c r="H19497" s="13"/>
    </row>
    <row r="19498">
      <c r="A19498" s="6"/>
      <c r="B19498" s="6"/>
      <c r="H19498" s="13"/>
    </row>
    <row r="19499">
      <c r="A19499" s="6"/>
      <c r="B19499" s="6"/>
      <c r="H19499" s="13"/>
    </row>
    <row r="19500">
      <c r="A19500" s="6"/>
      <c r="B19500" s="6"/>
      <c r="H19500" s="13"/>
    </row>
    <row r="19501">
      <c r="A19501" s="6"/>
      <c r="B19501" s="6"/>
      <c r="H19501" s="13"/>
    </row>
    <row r="19502">
      <c r="A19502" s="6"/>
      <c r="B19502" s="6"/>
      <c r="H19502" s="13"/>
    </row>
    <row r="19503">
      <c r="A19503" s="6"/>
      <c r="B19503" s="6"/>
      <c r="H19503" s="13"/>
    </row>
    <row r="19504">
      <c r="A19504" s="6"/>
      <c r="B19504" s="6"/>
      <c r="H19504" s="13"/>
    </row>
    <row r="19505">
      <c r="A19505" s="6"/>
      <c r="B19505" s="6"/>
      <c r="H19505" s="13"/>
    </row>
    <row r="19506">
      <c r="A19506" s="6"/>
      <c r="B19506" s="6"/>
      <c r="H19506" s="13"/>
    </row>
    <row r="19507">
      <c r="A19507" s="6"/>
      <c r="B19507" s="6"/>
      <c r="H19507" s="13"/>
    </row>
    <row r="19508">
      <c r="A19508" s="6"/>
      <c r="B19508" s="6"/>
      <c r="H19508" s="13"/>
    </row>
    <row r="19509">
      <c r="A19509" s="6"/>
      <c r="B19509" s="6"/>
      <c r="H19509" s="13"/>
    </row>
    <row r="19510">
      <c r="A19510" s="6"/>
      <c r="B19510" s="6"/>
      <c r="H19510" s="13"/>
    </row>
    <row r="19511">
      <c r="A19511" s="6"/>
      <c r="B19511" s="6"/>
      <c r="H19511" s="13"/>
    </row>
    <row r="19512">
      <c r="A19512" s="6"/>
      <c r="B19512" s="6"/>
      <c r="H19512" s="13"/>
    </row>
    <row r="19513">
      <c r="A19513" s="6"/>
      <c r="B19513" s="6"/>
      <c r="H19513" s="13"/>
    </row>
    <row r="19514">
      <c r="A19514" s="6"/>
      <c r="B19514" s="6"/>
      <c r="H19514" s="13"/>
    </row>
    <row r="19515">
      <c r="A19515" s="6"/>
      <c r="B19515" s="6"/>
      <c r="H19515" s="13"/>
    </row>
    <row r="19516">
      <c r="A19516" s="6"/>
      <c r="B19516" s="6"/>
      <c r="H19516" s="13"/>
    </row>
    <row r="19517">
      <c r="A19517" s="6"/>
      <c r="B19517" s="6"/>
      <c r="H19517" s="13"/>
    </row>
    <row r="19518">
      <c r="A19518" s="6"/>
      <c r="B19518" s="6"/>
      <c r="H19518" s="13"/>
    </row>
    <row r="19519">
      <c r="A19519" s="6"/>
      <c r="B19519" s="6"/>
      <c r="H19519" s="13"/>
    </row>
    <row r="19520">
      <c r="A19520" s="6"/>
      <c r="B19520" s="6"/>
      <c r="H19520" s="13"/>
    </row>
    <row r="19521">
      <c r="A19521" s="6"/>
      <c r="B19521" s="6"/>
      <c r="H19521" s="13"/>
    </row>
    <row r="19522">
      <c r="A19522" s="6"/>
      <c r="B19522" s="6"/>
      <c r="H19522" s="13"/>
    </row>
    <row r="19523">
      <c r="A19523" s="6"/>
      <c r="B19523" s="6"/>
      <c r="H19523" s="13"/>
    </row>
    <row r="19524">
      <c r="A19524" s="6"/>
      <c r="B19524" s="6"/>
      <c r="H19524" s="13"/>
    </row>
    <row r="19525">
      <c r="A19525" s="6"/>
      <c r="B19525" s="6"/>
      <c r="H19525" s="13"/>
    </row>
    <row r="19526">
      <c r="A19526" s="6"/>
      <c r="B19526" s="6"/>
      <c r="H19526" s="13"/>
    </row>
    <row r="19527">
      <c r="A19527" s="6"/>
      <c r="B19527" s="6"/>
      <c r="H19527" s="13"/>
    </row>
    <row r="19528">
      <c r="A19528" s="6"/>
      <c r="B19528" s="6"/>
      <c r="H19528" s="13"/>
    </row>
    <row r="19529">
      <c r="A19529" s="6"/>
      <c r="B19529" s="6"/>
      <c r="H19529" s="13"/>
    </row>
    <row r="19530">
      <c r="A19530" s="6"/>
      <c r="B19530" s="6"/>
      <c r="H19530" s="13"/>
    </row>
    <row r="19531">
      <c r="A19531" s="6"/>
      <c r="B19531" s="6"/>
      <c r="H19531" s="13"/>
    </row>
    <row r="19532">
      <c r="A19532" s="6"/>
      <c r="B19532" s="6"/>
      <c r="H19532" s="13"/>
    </row>
    <row r="19533">
      <c r="A19533" s="6"/>
      <c r="B19533" s="6"/>
      <c r="H19533" s="13"/>
    </row>
    <row r="19534">
      <c r="A19534" s="6"/>
      <c r="B19534" s="6"/>
      <c r="H19534" s="13"/>
    </row>
    <row r="19535">
      <c r="A19535" s="6"/>
      <c r="B19535" s="6"/>
      <c r="H19535" s="13"/>
    </row>
    <row r="19536">
      <c r="A19536" s="6"/>
      <c r="B19536" s="6"/>
      <c r="H19536" s="13"/>
    </row>
    <row r="19537">
      <c r="A19537" s="6"/>
      <c r="B19537" s="6"/>
      <c r="H19537" s="13"/>
    </row>
    <row r="19538">
      <c r="A19538" s="6"/>
      <c r="B19538" s="6"/>
      <c r="H19538" s="13"/>
    </row>
    <row r="19539">
      <c r="A19539" s="6"/>
      <c r="B19539" s="6"/>
      <c r="H19539" s="13"/>
    </row>
    <row r="19540">
      <c r="A19540" s="6"/>
      <c r="B19540" s="6"/>
      <c r="H19540" s="13"/>
    </row>
    <row r="19541">
      <c r="A19541" s="6"/>
      <c r="B19541" s="6"/>
      <c r="H19541" s="13"/>
    </row>
    <row r="19542">
      <c r="A19542" s="6"/>
      <c r="B19542" s="6"/>
      <c r="H19542" s="13"/>
    </row>
    <row r="19543">
      <c r="A19543" s="6"/>
      <c r="B19543" s="6"/>
      <c r="H19543" s="13"/>
    </row>
    <row r="19544">
      <c r="A19544" s="6"/>
      <c r="B19544" s="6"/>
      <c r="H19544" s="13"/>
    </row>
    <row r="19545">
      <c r="A19545" s="6"/>
      <c r="B19545" s="6"/>
      <c r="H19545" s="13"/>
    </row>
    <row r="19546">
      <c r="A19546" s="6"/>
      <c r="B19546" s="6"/>
      <c r="H19546" s="13"/>
    </row>
    <row r="19547">
      <c r="A19547" s="6"/>
      <c r="B19547" s="6"/>
      <c r="H19547" s="13"/>
    </row>
    <row r="19548">
      <c r="A19548" s="6"/>
      <c r="B19548" s="6"/>
      <c r="H19548" s="13"/>
    </row>
    <row r="19549">
      <c r="A19549" s="6"/>
      <c r="B19549" s="6"/>
      <c r="H19549" s="13"/>
    </row>
    <row r="19550">
      <c r="A19550" s="6"/>
      <c r="B19550" s="6"/>
      <c r="H19550" s="13"/>
    </row>
    <row r="19551">
      <c r="A19551" s="6"/>
      <c r="B19551" s="6"/>
      <c r="H19551" s="13"/>
    </row>
    <row r="19552">
      <c r="A19552" s="6"/>
      <c r="B19552" s="6"/>
      <c r="H19552" s="13"/>
    </row>
    <row r="19553">
      <c r="A19553" s="6"/>
      <c r="B19553" s="6"/>
      <c r="H19553" s="13"/>
    </row>
    <row r="19554">
      <c r="A19554" s="6"/>
      <c r="B19554" s="6"/>
      <c r="H19554" s="13"/>
    </row>
    <row r="19555">
      <c r="A19555" s="6"/>
      <c r="B19555" s="6"/>
      <c r="H19555" s="13"/>
    </row>
    <row r="19556">
      <c r="A19556" s="6"/>
      <c r="B19556" s="6"/>
      <c r="H19556" s="13"/>
    </row>
    <row r="19557">
      <c r="A19557" s="6"/>
      <c r="B19557" s="6"/>
      <c r="H19557" s="13"/>
    </row>
    <row r="19558">
      <c r="A19558" s="6"/>
      <c r="B19558" s="6"/>
      <c r="H19558" s="13"/>
    </row>
    <row r="19559">
      <c r="A19559" s="6"/>
      <c r="B19559" s="6"/>
      <c r="H19559" s="13"/>
    </row>
    <row r="19560">
      <c r="A19560" s="6"/>
      <c r="B19560" s="6"/>
      <c r="H19560" s="13"/>
    </row>
    <row r="19561">
      <c r="A19561" s="6"/>
      <c r="B19561" s="6"/>
      <c r="H19561" s="13"/>
    </row>
    <row r="19562">
      <c r="A19562" s="6"/>
      <c r="B19562" s="6"/>
      <c r="H19562" s="13"/>
    </row>
    <row r="19563">
      <c r="A19563" s="6"/>
      <c r="B19563" s="6"/>
      <c r="H19563" s="13"/>
    </row>
    <row r="19564">
      <c r="A19564" s="6"/>
      <c r="B19564" s="6"/>
      <c r="H19564" s="13"/>
    </row>
    <row r="19565">
      <c r="A19565" s="6"/>
      <c r="B19565" s="6"/>
      <c r="H19565" s="13"/>
    </row>
    <row r="19566">
      <c r="A19566" s="6"/>
      <c r="B19566" s="6"/>
      <c r="H19566" s="13"/>
    </row>
    <row r="19567">
      <c r="A19567" s="6"/>
      <c r="B19567" s="6"/>
      <c r="H19567" s="13"/>
    </row>
    <row r="19568">
      <c r="A19568" s="6"/>
      <c r="B19568" s="6"/>
      <c r="H19568" s="13"/>
    </row>
    <row r="19569">
      <c r="A19569" s="6"/>
      <c r="B19569" s="6"/>
      <c r="H19569" s="13"/>
    </row>
    <row r="19570">
      <c r="A19570" s="6"/>
      <c r="B19570" s="6"/>
      <c r="H19570" s="13"/>
    </row>
    <row r="19571">
      <c r="A19571" s="6"/>
      <c r="B19571" s="6"/>
      <c r="H19571" s="13"/>
    </row>
    <row r="19572">
      <c r="A19572" s="6"/>
      <c r="B19572" s="6"/>
      <c r="H19572" s="13"/>
    </row>
    <row r="19573">
      <c r="A19573" s="6"/>
      <c r="B19573" s="6"/>
      <c r="H19573" s="13"/>
    </row>
    <row r="19574">
      <c r="A19574" s="6"/>
      <c r="B19574" s="6"/>
      <c r="H19574" s="13"/>
    </row>
    <row r="19575">
      <c r="A19575" s="6"/>
      <c r="B19575" s="6"/>
      <c r="H19575" s="13"/>
    </row>
    <row r="19576">
      <c r="A19576" s="6"/>
      <c r="B19576" s="6"/>
      <c r="H19576" s="13"/>
    </row>
    <row r="19577">
      <c r="A19577" s="6"/>
      <c r="B19577" s="6"/>
      <c r="H19577" s="13"/>
    </row>
    <row r="19578">
      <c r="A19578" s="6"/>
      <c r="B19578" s="6"/>
      <c r="H19578" s="13"/>
    </row>
    <row r="19579">
      <c r="A19579" s="6"/>
      <c r="B19579" s="6"/>
      <c r="H19579" s="13"/>
    </row>
    <row r="19580">
      <c r="A19580" s="6"/>
      <c r="B19580" s="6"/>
      <c r="H19580" s="13"/>
    </row>
    <row r="19581">
      <c r="A19581" s="6"/>
      <c r="B19581" s="6"/>
      <c r="H19581" s="13"/>
    </row>
    <row r="19582">
      <c r="A19582" s="6"/>
      <c r="B19582" s="6"/>
      <c r="H19582" s="13"/>
    </row>
    <row r="19583">
      <c r="A19583" s="6"/>
      <c r="B19583" s="6"/>
      <c r="H19583" s="13"/>
    </row>
    <row r="19584">
      <c r="A19584" s="6"/>
      <c r="B19584" s="6"/>
      <c r="H19584" s="13"/>
    </row>
    <row r="19585">
      <c r="A19585" s="6"/>
      <c r="B19585" s="6"/>
      <c r="H19585" s="13"/>
    </row>
    <row r="19586">
      <c r="A19586" s="6"/>
      <c r="B19586" s="6"/>
      <c r="H19586" s="13"/>
    </row>
    <row r="19587">
      <c r="A19587" s="6"/>
      <c r="B19587" s="6"/>
      <c r="H19587" s="13"/>
    </row>
    <row r="19588">
      <c r="A19588" s="6"/>
      <c r="B19588" s="6"/>
      <c r="H19588" s="13"/>
    </row>
    <row r="19589">
      <c r="A19589" s="6"/>
      <c r="B19589" s="6"/>
      <c r="H19589" s="13"/>
    </row>
    <row r="19590">
      <c r="A19590" s="6"/>
      <c r="B19590" s="6"/>
      <c r="H19590" s="13"/>
    </row>
    <row r="19591">
      <c r="A19591" s="6"/>
      <c r="B19591" s="6"/>
      <c r="H19591" s="13"/>
    </row>
    <row r="19592">
      <c r="A19592" s="6"/>
      <c r="B19592" s="6"/>
      <c r="H19592" s="13"/>
    </row>
    <row r="19593">
      <c r="A19593" s="6"/>
      <c r="B19593" s="6"/>
      <c r="H19593" s="13"/>
    </row>
    <row r="19594">
      <c r="A19594" s="6"/>
      <c r="B19594" s="6"/>
      <c r="H19594" s="13"/>
    </row>
    <row r="19595">
      <c r="A19595" s="6"/>
      <c r="B19595" s="6"/>
      <c r="H19595" s="13"/>
    </row>
    <row r="19596">
      <c r="A19596" s="6"/>
      <c r="B19596" s="6"/>
      <c r="H19596" s="13"/>
    </row>
    <row r="19597">
      <c r="A19597" s="6"/>
      <c r="B19597" s="6"/>
      <c r="H19597" s="13"/>
    </row>
    <row r="19598">
      <c r="A19598" s="6"/>
      <c r="B19598" s="6"/>
      <c r="H19598" s="13"/>
    </row>
    <row r="19599">
      <c r="A19599" s="6"/>
      <c r="B19599" s="6"/>
      <c r="H19599" s="13"/>
    </row>
    <row r="19600">
      <c r="A19600" s="6"/>
      <c r="B19600" s="6"/>
      <c r="H19600" s="13"/>
    </row>
    <row r="19601">
      <c r="A19601" s="6"/>
      <c r="B19601" s="6"/>
      <c r="H19601" s="13"/>
    </row>
    <row r="19602">
      <c r="A19602" s="6"/>
      <c r="B19602" s="6"/>
      <c r="H19602" s="13"/>
    </row>
    <row r="19603">
      <c r="A19603" s="6"/>
      <c r="B19603" s="6"/>
      <c r="H19603" s="13"/>
    </row>
    <row r="19604">
      <c r="A19604" s="6"/>
      <c r="B19604" s="6"/>
      <c r="H19604" s="13"/>
    </row>
    <row r="19605">
      <c r="A19605" s="6"/>
      <c r="B19605" s="6"/>
      <c r="H19605" s="13"/>
    </row>
    <row r="19606">
      <c r="A19606" s="6"/>
      <c r="B19606" s="6"/>
      <c r="H19606" s="13"/>
    </row>
    <row r="19607">
      <c r="A19607" s="6"/>
      <c r="B19607" s="6"/>
      <c r="H19607" s="13"/>
    </row>
    <row r="19608">
      <c r="A19608" s="6"/>
      <c r="B19608" s="6"/>
      <c r="H19608" s="13"/>
    </row>
    <row r="19609">
      <c r="A19609" s="6"/>
      <c r="B19609" s="6"/>
      <c r="H19609" s="13"/>
    </row>
    <row r="19610">
      <c r="A19610" s="6"/>
      <c r="B19610" s="6"/>
      <c r="H19610" s="13"/>
    </row>
    <row r="19611">
      <c r="A19611" s="6"/>
      <c r="B19611" s="6"/>
      <c r="H19611" s="13"/>
    </row>
    <row r="19612">
      <c r="A19612" s="6"/>
      <c r="B19612" s="6"/>
      <c r="H19612" s="13"/>
    </row>
    <row r="19613">
      <c r="A19613" s="6"/>
      <c r="B19613" s="6"/>
      <c r="H19613" s="13"/>
    </row>
    <row r="19614">
      <c r="A19614" s="6"/>
      <c r="B19614" s="6"/>
      <c r="H19614" s="13"/>
    </row>
    <row r="19615">
      <c r="A19615" s="6"/>
      <c r="B19615" s="6"/>
      <c r="H19615" s="13"/>
    </row>
    <row r="19616">
      <c r="A19616" s="6"/>
      <c r="B19616" s="6"/>
      <c r="H19616" s="13"/>
    </row>
    <row r="19617">
      <c r="A19617" s="6"/>
      <c r="B19617" s="6"/>
      <c r="H19617" s="13"/>
    </row>
    <row r="19618">
      <c r="A19618" s="6"/>
      <c r="B19618" s="6"/>
      <c r="H19618" s="13"/>
    </row>
    <row r="19619">
      <c r="A19619" s="6"/>
      <c r="B19619" s="6"/>
      <c r="H19619" s="13"/>
    </row>
    <row r="19620">
      <c r="A19620" s="6"/>
      <c r="B19620" s="6"/>
      <c r="H19620" s="13"/>
    </row>
    <row r="19621">
      <c r="A19621" s="6"/>
      <c r="B19621" s="6"/>
      <c r="H19621" s="13"/>
    </row>
    <row r="19622">
      <c r="A19622" s="6"/>
      <c r="B19622" s="6"/>
      <c r="H19622" s="13"/>
    </row>
    <row r="19623">
      <c r="A19623" s="6"/>
      <c r="B19623" s="6"/>
      <c r="H19623" s="13"/>
    </row>
    <row r="19624">
      <c r="A19624" s="6"/>
      <c r="B19624" s="6"/>
      <c r="H19624" s="13"/>
    </row>
    <row r="19625">
      <c r="A19625" s="6"/>
      <c r="B19625" s="6"/>
      <c r="H19625" s="13"/>
    </row>
    <row r="19626">
      <c r="A19626" s="6"/>
      <c r="B19626" s="6"/>
      <c r="H19626" s="13"/>
    </row>
    <row r="19627">
      <c r="A19627" s="6"/>
      <c r="B19627" s="6"/>
      <c r="H19627" s="13"/>
    </row>
    <row r="19628">
      <c r="A19628" s="6"/>
      <c r="B19628" s="6"/>
      <c r="H19628" s="13"/>
    </row>
    <row r="19629">
      <c r="A19629" s="6"/>
      <c r="B19629" s="6"/>
      <c r="H19629" s="13"/>
    </row>
    <row r="19630">
      <c r="A19630" s="6"/>
      <c r="B19630" s="6"/>
      <c r="H19630" s="13"/>
    </row>
    <row r="19631">
      <c r="A19631" s="6"/>
      <c r="B19631" s="6"/>
      <c r="H19631" s="13"/>
    </row>
    <row r="19632">
      <c r="A19632" s="6"/>
      <c r="B19632" s="6"/>
      <c r="H19632" s="13"/>
    </row>
    <row r="19633">
      <c r="A19633" s="6"/>
      <c r="B19633" s="6"/>
      <c r="H19633" s="13"/>
    </row>
    <row r="19634">
      <c r="A19634" s="6"/>
      <c r="B19634" s="6"/>
      <c r="H19634" s="13"/>
    </row>
    <row r="19635">
      <c r="A19635" s="6"/>
      <c r="B19635" s="6"/>
      <c r="H19635" s="13"/>
    </row>
    <row r="19636">
      <c r="A19636" s="6"/>
      <c r="B19636" s="6"/>
      <c r="H19636" s="13"/>
    </row>
    <row r="19637">
      <c r="A19637" s="6"/>
      <c r="B19637" s="6"/>
      <c r="H19637" s="13"/>
    </row>
    <row r="19638">
      <c r="A19638" s="6"/>
      <c r="B19638" s="6"/>
      <c r="H19638" s="13"/>
    </row>
    <row r="19639">
      <c r="A19639" s="6"/>
      <c r="B19639" s="6"/>
      <c r="H19639" s="13"/>
    </row>
    <row r="19640">
      <c r="A19640" s="6"/>
      <c r="B19640" s="6"/>
      <c r="H19640" s="13"/>
    </row>
    <row r="19641">
      <c r="A19641" s="6"/>
      <c r="B19641" s="6"/>
      <c r="H19641" s="13"/>
    </row>
    <row r="19642">
      <c r="A19642" s="6"/>
      <c r="B19642" s="6"/>
      <c r="H19642" s="13"/>
    </row>
    <row r="19643">
      <c r="A19643" s="6"/>
      <c r="B19643" s="6"/>
      <c r="H19643" s="13"/>
    </row>
    <row r="19644">
      <c r="A19644" s="6"/>
      <c r="B19644" s="6"/>
      <c r="H19644" s="13"/>
    </row>
    <row r="19645">
      <c r="A19645" s="6"/>
      <c r="B19645" s="6"/>
      <c r="H19645" s="13"/>
    </row>
    <row r="19646">
      <c r="A19646" s="6"/>
      <c r="B19646" s="6"/>
      <c r="H19646" s="13"/>
    </row>
    <row r="19647">
      <c r="A19647" s="6"/>
      <c r="B19647" s="6"/>
      <c r="H19647" s="13"/>
    </row>
    <row r="19648">
      <c r="A19648" s="6"/>
      <c r="B19648" s="6"/>
      <c r="H19648" s="13"/>
    </row>
    <row r="19649">
      <c r="A19649" s="6"/>
      <c r="B19649" s="6"/>
      <c r="H19649" s="13"/>
    </row>
    <row r="19650">
      <c r="A19650" s="6"/>
      <c r="B19650" s="6"/>
      <c r="H19650" s="13"/>
    </row>
    <row r="19651">
      <c r="A19651" s="6"/>
      <c r="B19651" s="6"/>
      <c r="H19651" s="13"/>
    </row>
    <row r="19652">
      <c r="A19652" s="6"/>
      <c r="B19652" s="6"/>
      <c r="H19652" s="13"/>
    </row>
    <row r="19653">
      <c r="A19653" s="6"/>
      <c r="B19653" s="6"/>
      <c r="H19653" s="13"/>
    </row>
    <row r="19654">
      <c r="A19654" s="6"/>
      <c r="B19654" s="6"/>
      <c r="H19654" s="13"/>
    </row>
    <row r="19655">
      <c r="A19655" s="6"/>
      <c r="B19655" s="6"/>
      <c r="H19655" s="13"/>
    </row>
    <row r="19656">
      <c r="A19656" s="6"/>
      <c r="B19656" s="6"/>
      <c r="H19656" s="13"/>
    </row>
    <row r="19657">
      <c r="A19657" s="6"/>
      <c r="B19657" s="6"/>
      <c r="H19657" s="13"/>
    </row>
    <row r="19658">
      <c r="A19658" s="6"/>
      <c r="B19658" s="6"/>
      <c r="H19658" s="13"/>
    </row>
    <row r="19659">
      <c r="A19659" s="6"/>
      <c r="B19659" s="6"/>
      <c r="H19659" s="13"/>
    </row>
    <row r="19660">
      <c r="A19660" s="6"/>
      <c r="B19660" s="6"/>
      <c r="H19660" s="13"/>
    </row>
    <row r="19661">
      <c r="A19661" s="6"/>
      <c r="B19661" s="6"/>
      <c r="H19661" s="13"/>
    </row>
    <row r="19662">
      <c r="A19662" s="6"/>
      <c r="B19662" s="6"/>
      <c r="H19662" s="13"/>
    </row>
    <row r="19663">
      <c r="A19663" s="6"/>
      <c r="B19663" s="6"/>
      <c r="H19663" s="13"/>
    </row>
    <row r="19664">
      <c r="A19664" s="6"/>
      <c r="B19664" s="6"/>
      <c r="H19664" s="13"/>
    </row>
    <row r="19665">
      <c r="A19665" s="6"/>
      <c r="B19665" s="6"/>
      <c r="H19665" s="13"/>
    </row>
    <row r="19666">
      <c r="A19666" s="6"/>
      <c r="B19666" s="6"/>
      <c r="H19666" s="13"/>
    </row>
    <row r="19667">
      <c r="A19667" s="6"/>
      <c r="B19667" s="6"/>
      <c r="H19667" s="13"/>
    </row>
    <row r="19668">
      <c r="A19668" s="6"/>
      <c r="B19668" s="6"/>
      <c r="H19668" s="13"/>
    </row>
    <row r="19669">
      <c r="A19669" s="6"/>
      <c r="B19669" s="6"/>
      <c r="H19669" s="13"/>
    </row>
    <row r="19670">
      <c r="A19670" s="6"/>
      <c r="B19670" s="6"/>
      <c r="H19670" s="13"/>
    </row>
    <row r="19671">
      <c r="A19671" s="6"/>
      <c r="B19671" s="6"/>
      <c r="H19671" s="13"/>
    </row>
    <row r="19672">
      <c r="A19672" s="6"/>
      <c r="B19672" s="6"/>
      <c r="H19672" s="13"/>
    </row>
    <row r="19673">
      <c r="A19673" s="6"/>
      <c r="B19673" s="6"/>
      <c r="H19673" s="13"/>
    </row>
    <row r="19674">
      <c r="A19674" s="6"/>
      <c r="B19674" s="6"/>
      <c r="H19674" s="13"/>
    </row>
    <row r="19675">
      <c r="A19675" s="6"/>
      <c r="B19675" s="6"/>
      <c r="H19675" s="13"/>
    </row>
    <row r="19676">
      <c r="A19676" s="6"/>
      <c r="B19676" s="6"/>
      <c r="H19676" s="13"/>
    </row>
    <row r="19677">
      <c r="A19677" s="6"/>
      <c r="B19677" s="6"/>
      <c r="H19677" s="13"/>
    </row>
    <row r="19678">
      <c r="A19678" s="6"/>
      <c r="B19678" s="6"/>
      <c r="H19678" s="13"/>
    </row>
    <row r="19679">
      <c r="A19679" s="6"/>
      <c r="B19679" s="6"/>
      <c r="H19679" s="13"/>
    </row>
    <row r="19680">
      <c r="A19680" s="6"/>
      <c r="B19680" s="6"/>
      <c r="H19680" s="13"/>
    </row>
    <row r="19681">
      <c r="A19681" s="6"/>
      <c r="B19681" s="6"/>
      <c r="H19681" s="13"/>
    </row>
    <row r="19682">
      <c r="A19682" s="6"/>
      <c r="B19682" s="6"/>
      <c r="H19682" s="13"/>
    </row>
    <row r="19683">
      <c r="A19683" s="6"/>
      <c r="B19683" s="6"/>
      <c r="H19683" s="13"/>
    </row>
    <row r="19684">
      <c r="A19684" s="6"/>
      <c r="B19684" s="6"/>
      <c r="H19684" s="13"/>
    </row>
    <row r="19685">
      <c r="A19685" s="6"/>
      <c r="B19685" s="6"/>
      <c r="H19685" s="13"/>
    </row>
    <row r="19686">
      <c r="A19686" s="6"/>
      <c r="B19686" s="6"/>
      <c r="H19686" s="13"/>
    </row>
    <row r="19687">
      <c r="A19687" s="6"/>
      <c r="B19687" s="6"/>
      <c r="H19687" s="13"/>
    </row>
    <row r="19688">
      <c r="A19688" s="6"/>
      <c r="B19688" s="6"/>
      <c r="H19688" s="13"/>
    </row>
    <row r="19689">
      <c r="A19689" s="6"/>
      <c r="B19689" s="6"/>
      <c r="H19689" s="13"/>
    </row>
    <row r="19690">
      <c r="A19690" s="6"/>
      <c r="B19690" s="6"/>
      <c r="H19690" s="13"/>
    </row>
    <row r="19691">
      <c r="A19691" s="6"/>
      <c r="B19691" s="6"/>
      <c r="H19691" s="13"/>
    </row>
    <row r="19692">
      <c r="A19692" s="6"/>
      <c r="B19692" s="6"/>
      <c r="H19692" s="13"/>
    </row>
    <row r="19693">
      <c r="A19693" s="6"/>
      <c r="B19693" s="6"/>
      <c r="H19693" s="13"/>
    </row>
    <row r="19694">
      <c r="A19694" s="6"/>
      <c r="B19694" s="6"/>
      <c r="H19694" s="13"/>
    </row>
    <row r="19695">
      <c r="A19695" s="6"/>
      <c r="B19695" s="6"/>
      <c r="H19695" s="13"/>
    </row>
    <row r="19696">
      <c r="A19696" s="6"/>
      <c r="B19696" s="6"/>
      <c r="H19696" s="13"/>
    </row>
    <row r="19697">
      <c r="A19697" s="6"/>
      <c r="B19697" s="6"/>
      <c r="H19697" s="13"/>
    </row>
    <row r="19698">
      <c r="A19698" s="6"/>
      <c r="B19698" s="6"/>
      <c r="H19698" s="13"/>
    </row>
    <row r="19699">
      <c r="A19699" s="6"/>
      <c r="B19699" s="6"/>
      <c r="H19699" s="13"/>
    </row>
    <row r="19700">
      <c r="A19700" s="6"/>
      <c r="B19700" s="6"/>
      <c r="H19700" s="13"/>
    </row>
    <row r="19701">
      <c r="A19701" s="6"/>
      <c r="B19701" s="6"/>
      <c r="H19701" s="13"/>
    </row>
    <row r="19702">
      <c r="A19702" s="6"/>
      <c r="B19702" s="6"/>
      <c r="H19702" s="13"/>
    </row>
    <row r="19703">
      <c r="A19703" s="6"/>
      <c r="B19703" s="6"/>
      <c r="H19703" s="13"/>
    </row>
    <row r="19704">
      <c r="A19704" s="6"/>
      <c r="B19704" s="6"/>
      <c r="H19704" s="13"/>
    </row>
    <row r="19705">
      <c r="A19705" s="6"/>
      <c r="B19705" s="6"/>
      <c r="H19705" s="13"/>
    </row>
    <row r="19706">
      <c r="A19706" s="6"/>
      <c r="B19706" s="6"/>
      <c r="H19706" s="13"/>
    </row>
    <row r="19707">
      <c r="A19707" s="6"/>
      <c r="B19707" s="6"/>
      <c r="H19707" s="13"/>
    </row>
    <row r="19708">
      <c r="A19708" s="6"/>
      <c r="B19708" s="6"/>
      <c r="H19708" s="13"/>
    </row>
    <row r="19709">
      <c r="A19709" s="6"/>
      <c r="B19709" s="6"/>
      <c r="H19709" s="13"/>
    </row>
    <row r="19710">
      <c r="A19710" s="6"/>
      <c r="B19710" s="6"/>
      <c r="H19710" s="13"/>
    </row>
    <row r="19711">
      <c r="A19711" s="6"/>
      <c r="B19711" s="6"/>
      <c r="H19711" s="13"/>
    </row>
    <row r="19712">
      <c r="A19712" s="6"/>
      <c r="B19712" s="6"/>
      <c r="H19712" s="13"/>
    </row>
    <row r="19713">
      <c r="A19713" s="6"/>
      <c r="B19713" s="6"/>
      <c r="H19713" s="13"/>
    </row>
    <row r="19714">
      <c r="A19714" s="6"/>
      <c r="B19714" s="6"/>
      <c r="H19714" s="13"/>
    </row>
    <row r="19715">
      <c r="A19715" s="6"/>
      <c r="B19715" s="6"/>
      <c r="H19715" s="13"/>
    </row>
    <row r="19716">
      <c r="A19716" s="6"/>
      <c r="B19716" s="6"/>
      <c r="H19716" s="13"/>
    </row>
    <row r="19717">
      <c r="A19717" s="6"/>
      <c r="B19717" s="6"/>
      <c r="H19717" s="13"/>
    </row>
    <row r="19718">
      <c r="A19718" s="6"/>
      <c r="B19718" s="6"/>
      <c r="H19718" s="13"/>
    </row>
    <row r="19719">
      <c r="A19719" s="6"/>
      <c r="B19719" s="6"/>
      <c r="H19719" s="13"/>
    </row>
    <row r="19720">
      <c r="A19720" s="6"/>
      <c r="B19720" s="6"/>
      <c r="H19720" s="13"/>
    </row>
    <row r="19721">
      <c r="A19721" s="6"/>
      <c r="B19721" s="6"/>
      <c r="H19721" s="13"/>
    </row>
    <row r="19722">
      <c r="A19722" s="6"/>
      <c r="B19722" s="6"/>
      <c r="H19722" s="13"/>
    </row>
    <row r="19723">
      <c r="A19723" s="6"/>
      <c r="B19723" s="6"/>
      <c r="H19723" s="13"/>
    </row>
    <row r="19724">
      <c r="A19724" s="6"/>
      <c r="B19724" s="6"/>
      <c r="H19724" s="13"/>
    </row>
    <row r="19725">
      <c r="A19725" s="6"/>
      <c r="B19725" s="6"/>
      <c r="H19725" s="13"/>
    </row>
    <row r="19726">
      <c r="A19726" s="6"/>
      <c r="B19726" s="6"/>
      <c r="H19726" s="13"/>
    </row>
    <row r="19727">
      <c r="A19727" s="6"/>
      <c r="B19727" s="6"/>
      <c r="H19727" s="13"/>
    </row>
    <row r="19728">
      <c r="A19728" s="6"/>
      <c r="B19728" s="6"/>
      <c r="H19728" s="13"/>
    </row>
    <row r="19729">
      <c r="A19729" s="6"/>
      <c r="B19729" s="6"/>
      <c r="H19729" s="13"/>
    </row>
    <row r="19730">
      <c r="A19730" s="6"/>
      <c r="B19730" s="6"/>
      <c r="H19730" s="13"/>
    </row>
    <row r="19731">
      <c r="A19731" s="6"/>
      <c r="B19731" s="6"/>
      <c r="H19731" s="13"/>
    </row>
    <row r="19732">
      <c r="A19732" s="6"/>
      <c r="B19732" s="6"/>
      <c r="H19732" s="13"/>
    </row>
    <row r="19733">
      <c r="A19733" s="6"/>
      <c r="B19733" s="6"/>
      <c r="H19733" s="13"/>
    </row>
    <row r="19734">
      <c r="A19734" s="6"/>
      <c r="B19734" s="6"/>
      <c r="H19734" s="13"/>
    </row>
    <row r="19735">
      <c r="A19735" s="6"/>
      <c r="B19735" s="6"/>
      <c r="H19735" s="13"/>
    </row>
    <row r="19736">
      <c r="A19736" s="6"/>
      <c r="B19736" s="6"/>
      <c r="H19736" s="13"/>
    </row>
    <row r="19737">
      <c r="A19737" s="6"/>
      <c r="B19737" s="6"/>
      <c r="H19737" s="13"/>
    </row>
    <row r="19738">
      <c r="A19738" s="6"/>
      <c r="B19738" s="6"/>
      <c r="H19738" s="13"/>
    </row>
    <row r="19739">
      <c r="A19739" s="6"/>
      <c r="B19739" s="6"/>
      <c r="H19739" s="13"/>
    </row>
    <row r="19740">
      <c r="A19740" s="6"/>
      <c r="B19740" s="6"/>
      <c r="H19740" s="13"/>
    </row>
    <row r="19741">
      <c r="A19741" s="6"/>
      <c r="B19741" s="6"/>
      <c r="H19741" s="13"/>
    </row>
    <row r="19742">
      <c r="A19742" s="6"/>
      <c r="B19742" s="6"/>
      <c r="H19742" s="13"/>
    </row>
    <row r="19743">
      <c r="A19743" s="6"/>
      <c r="B19743" s="6"/>
      <c r="H19743" s="13"/>
    </row>
    <row r="19744">
      <c r="A19744" s="6"/>
      <c r="B19744" s="6"/>
      <c r="H19744" s="13"/>
    </row>
    <row r="19745">
      <c r="A19745" s="6"/>
      <c r="B19745" s="6"/>
      <c r="H19745" s="13"/>
    </row>
    <row r="19746">
      <c r="A19746" s="6"/>
      <c r="B19746" s="6"/>
      <c r="H19746" s="13"/>
    </row>
    <row r="19747">
      <c r="A19747" s="6"/>
      <c r="B19747" s="6"/>
      <c r="H19747" s="13"/>
    </row>
    <row r="19748">
      <c r="A19748" s="6"/>
      <c r="B19748" s="6"/>
      <c r="H19748" s="13"/>
    </row>
    <row r="19749">
      <c r="A19749" s="6"/>
      <c r="B19749" s="6"/>
      <c r="H19749" s="13"/>
    </row>
    <row r="19750">
      <c r="A19750" s="6"/>
      <c r="B19750" s="6"/>
      <c r="H19750" s="13"/>
    </row>
    <row r="19751">
      <c r="A19751" s="6"/>
      <c r="B19751" s="6"/>
      <c r="H19751" s="13"/>
    </row>
    <row r="19752">
      <c r="A19752" s="6"/>
      <c r="B19752" s="6"/>
      <c r="H19752" s="13"/>
    </row>
    <row r="19753">
      <c r="A19753" s="6"/>
      <c r="B19753" s="6"/>
      <c r="H19753" s="13"/>
    </row>
    <row r="19754">
      <c r="A19754" s="6"/>
      <c r="B19754" s="6"/>
      <c r="H19754" s="13"/>
    </row>
    <row r="19755">
      <c r="A19755" s="6"/>
      <c r="B19755" s="6"/>
      <c r="H19755" s="13"/>
    </row>
    <row r="19756">
      <c r="A19756" s="6"/>
      <c r="B19756" s="6"/>
      <c r="H19756" s="13"/>
    </row>
    <row r="19757">
      <c r="A19757" s="6"/>
      <c r="B19757" s="6"/>
      <c r="H19757" s="13"/>
    </row>
    <row r="19758">
      <c r="A19758" s="6"/>
      <c r="B19758" s="6"/>
      <c r="H19758" s="13"/>
    </row>
    <row r="19759">
      <c r="A19759" s="6"/>
      <c r="B19759" s="6"/>
      <c r="H19759" s="13"/>
    </row>
    <row r="19760">
      <c r="A19760" s="6"/>
      <c r="B19760" s="6"/>
      <c r="H19760" s="13"/>
    </row>
    <row r="19761">
      <c r="A19761" s="6"/>
      <c r="B19761" s="6"/>
      <c r="H19761" s="13"/>
    </row>
    <row r="19762">
      <c r="A19762" s="6"/>
      <c r="B19762" s="6"/>
      <c r="H19762" s="13"/>
    </row>
    <row r="19763">
      <c r="A19763" s="6"/>
      <c r="B19763" s="6"/>
      <c r="H19763" s="13"/>
    </row>
    <row r="19764">
      <c r="A19764" s="6"/>
      <c r="B19764" s="6"/>
      <c r="H19764" s="13"/>
    </row>
    <row r="19765">
      <c r="A19765" s="6"/>
      <c r="B19765" s="6"/>
      <c r="H19765" s="13"/>
    </row>
    <row r="19766">
      <c r="A19766" s="6"/>
      <c r="B19766" s="6"/>
      <c r="H19766" s="13"/>
    </row>
    <row r="19767">
      <c r="A19767" s="6"/>
      <c r="B19767" s="6"/>
      <c r="H19767" s="13"/>
    </row>
    <row r="19768">
      <c r="A19768" s="6"/>
      <c r="B19768" s="6"/>
      <c r="H19768" s="13"/>
    </row>
    <row r="19769">
      <c r="A19769" s="6"/>
      <c r="B19769" s="6"/>
      <c r="H19769" s="13"/>
    </row>
    <row r="19770">
      <c r="A19770" s="6"/>
      <c r="B19770" s="6"/>
      <c r="H19770" s="13"/>
    </row>
    <row r="19771">
      <c r="A19771" s="6"/>
      <c r="B19771" s="6"/>
      <c r="H19771" s="13"/>
    </row>
    <row r="19772">
      <c r="A19772" s="6"/>
      <c r="B19772" s="6"/>
      <c r="H19772" s="13"/>
    </row>
    <row r="19773">
      <c r="A19773" s="6"/>
      <c r="B19773" s="6"/>
      <c r="H19773" s="13"/>
    </row>
    <row r="19774">
      <c r="A19774" s="6"/>
      <c r="B19774" s="6"/>
      <c r="H19774" s="13"/>
    </row>
    <row r="19775">
      <c r="A19775" s="6"/>
      <c r="B19775" s="6"/>
      <c r="H19775" s="13"/>
    </row>
    <row r="19776">
      <c r="A19776" s="6"/>
      <c r="B19776" s="6"/>
      <c r="H19776" s="13"/>
    </row>
    <row r="19777">
      <c r="A19777" s="6"/>
      <c r="B19777" s="6"/>
      <c r="H19777" s="13"/>
    </row>
    <row r="19778">
      <c r="A19778" s="6"/>
      <c r="B19778" s="6"/>
      <c r="H19778" s="13"/>
    </row>
    <row r="19779">
      <c r="A19779" s="6"/>
      <c r="B19779" s="6"/>
      <c r="H19779" s="13"/>
    </row>
    <row r="19780">
      <c r="A19780" s="6"/>
      <c r="B19780" s="6"/>
      <c r="H19780" s="13"/>
    </row>
    <row r="19781">
      <c r="A19781" s="6"/>
      <c r="B19781" s="6"/>
      <c r="H19781" s="13"/>
    </row>
    <row r="19782">
      <c r="A19782" s="6"/>
      <c r="B19782" s="6"/>
      <c r="H19782" s="13"/>
    </row>
    <row r="19783">
      <c r="A19783" s="6"/>
      <c r="B19783" s="6"/>
      <c r="H19783" s="13"/>
    </row>
    <row r="19784">
      <c r="A19784" s="6"/>
      <c r="B19784" s="6"/>
      <c r="H19784" s="13"/>
    </row>
    <row r="19785">
      <c r="A19785" s="6"/>
      <c r="B19785" s="6"/>
      <c r="H19785" s="13"/>
    </row>
    <row r="19786">
      <c r="A19786" s="6"/>
      <c r="B19786" s="6"/>
      <c r="H19786" s="13"/>
    </row>
    <row r="19787">
      <c r="A19787" s="6"/>
      <c r="B19787" s="6"/>
      <c r="H19787" s="13"/>
    </row>
    <row r="19788">
      <c r="A19788" s="6"/>
      <c r="B19788" s="6"/>
      <c r="H19788" s="13"/>
    </row>
    <row r="19789">
      <c r="A19789" s="6"/>
      <c r="B19789" s="6"/>
      <c r="H19789" s="13"/>
    </row>
    <row r="19790">
      <c r="A19790" s="6"/>
      <c r="B19790" s="6"/>
      <c r="H19790" s="13"/>
    </row>
    <row r="19791">
      <c r="A19791" s="6"/>
      <c r="B19791" s="6"/>
      <c r="H19791" s="13"/>
    </row>
    <row r="19792">
      <c r="A19792" s="6"/>
      <c r="B19792" s="6"/>
      <c r="H19792" s="13"/>
    </row>
    <row r="19793">
      <c r="A19793" s="6"/>
      <c r="B19793" s="6"/>
      <c r="H19793" s="13"/>
    </row>
    <row r="19794">
      <c r="A19794" s="6"/>
      <c r="B19794" s="6"/>
      <c r="H19794" s="13"/>
    </row>
    <row r="19795">
      <c r="A19795" s="6"/>
      <c r="B19795" s="6"/>
      <c r="H19795" s="13"/>
    </row>
    <row r="19796">
      <c r="A19796" s="6"/>
      <c r="B19796" s="6"/>
      <c r="H19796" s="13"/>
    </row>
    <row r="19797">
      <c r="A19797" s="6"/>
      <c r="B19797" s="6"/>
      <c r="H19797" s="13"/>
    </row>
    <row r="19798">
      <c r="A19798" s="6"/>
      <c r="B19798" s="6"/>
      <c r="H19798" s="13"/>
    </row>
    <row r="19799">
      <c r="A19799" s="6"/>
      <c r="B19799" s="6"/>
      <c r="H19799" s="13"/>
    </row>
    <row r="19800">
      <c r="A19800" s="6"/>
      <c r="B19800" s="6"/>
      <c r="H19800" s="13"/>
    </row>
    <row r="19801">
      <c r="A19801" s="6"/>
      <c r="B19801" s="6"/>
      <c r="H19801" s="13"/>
    </row>
    <row r="19802">
      <c r="A19802" s="6"/>
      <c r="B19802" s="6"/>
      <c r="H19802" s="13"/>
    </row>
    <row r="19803">
      <c r="A19803" s="6"/>
      <c r="B19803" s="6"/>
      <c r="H19803" s="13"/>
    </row>
    <row r="19804">
      <c r="A19804" s="6"/>
      <c r="B19804" s="6"/>
      <c r="H19804" s="13"/>
    </row>
    <row r="19805">
      <c r="A19805" s="6"/>
      <c r="B19805" s="6"/>
      <c r="H19805" s="13"/>
    </row>
    <row r="19806">
      <c r="A19806" s="6"/>
      <c r="B19806" s="6"/>
      <c r="H19806" s="13"/>
    </row>
    <row r="19807">
      <c r="A19807" s="6"/>
      <c r="B19807" s="6"/>
      <c r="H19807" s="13"/>
    </row>
    <row r="19808">
      <c r="A19808" s="6"/>
      <c r="B19808" s="6"/>
      <c r="H19808" s="13"/>
    </row>
    <row r="19809">
      <c r="A19809" s="6"/>
      <c r="B19809" s="6"/>
      <c r="H19809" s="13"/>
    </row>
    <row r="19810">
      <c r="A19810" s="6"/>
      <c r="B19810" s="6"/>
      <c r="H19810" s="13"/>
    </row>
    <row r="19811">
      <c r="A19811" s="6"/>
      <c r="B19811" s="6"/>
      <c r="H19811" s="13"/>
    </row>
    <row r="19812">
      <c r="A19812" s="6"/>
      <c r="B19812" s="6"/>
      <c r="H19812" s="13"/>
    </row>
    <row r="19813">
      <c r="A19813" s="6"/>
      <c r="B19813" s="6"/>
      <c r="H19813" s="13"/>
    </row>
    <row r="19814">
      <c r="A19814" s="6"/>
      <c r="B19814" s="6"/>
      <c r="H19814" s="13"/>
    </row>
    <row r="19815">
      <c r="A19815" s="6"/>
      <c r="B19815" s="6"/>
      <c r="H19815" s="13"/>
    </row>
    <row r="19816">
      <c r="A19816" s="6"/>
      <c r="B19816" s="6"/>
      <c r="H19816" s="13"/>
    </row>
    <row r="19817">
      <c r="A19817" s="6"/>
      <c r="B19817" s="6"/>
      <c r="H19817" s="13"/>
    </row>
    <row r="19818">
      <c r="A19818" s="6"/>
      <c r="B19818" s="6"/>
      <c r="H19818" s="13"/>
    </row>
    <row r="19819">
      <c r="A19819" s="6"/>
      <c r="B19819" s="6"/>
      <c r="H19819" s="13"/>
    </row>
    <row r="19820">
      <c r="A19820" s="6"/>
      <c r="B19820" s="6"/>
      <c r="H19820" s="13"/>
    </row>
    <row r="19821">
      <c r="A19821" s="6"/>
      <c r="B19821" s="6"/>
      <c r="H19821" s="13"/>
    </row>
    <row r="19822">
      <c r="A19822" s="6"/>
      <c r="B19822" s="6"/>
      <c r="H19822" s="13"/>
    </row>
    <row r="19823">
      <c r="A19823" s="6"/>
      <c r="B19823" s="6"/>
      <c r="H19823" s="13"/>
    </row>
    <row r="19824">
      <c r="A19824" s="6"/>
      <c r="B19824" s="6"/>
      <c r="H19824" s="13"/>
    </row>
    <row r="19825">
      <c r="A19825" s="6"/>
      <c r="B19825" s="6"/>
      <c r="H19825" s="13"/>
    </row>
    <row r="19826">
      <c r="A19826" s="6"/>
      <c r="B19826" s="6"/>
      <c r="H19826" s="13"/>
    </row>
    <row r="19827">
      <c r="A19827" s="6"/>
      <c r="B19827" s="6"/>
      <c r="H19827" s="13"/>
    </row>
    <row r="19828">
      <c r="A19828" s="6"/>
      <c r="B19828" s="6"/>
      <c r="H19828" s="13"/>
    </row>
    <row r="19829">
      <c r="A19829" s="6"/>
      <c r="B19829" s="6"/>
      <c r="H19829" s="13"/>
    </row>
    <row r="19830">
      <c r="A19830" s="6"/>
      <c r="B19830" s="6"/>
      <c r="H19830" s="13"/>
    </row>
    <row r="19831">
      <c r="A19831" s="6"/>
      <c r="B19831" s="6"/>
      <c r="H19831" s="13"/>
    </row>
    <row r="19832">
      <c r="A19832" s="6"/>
      <c r="B19832" s="6"/>
      <c r="H19832" s="13"/>
    </row>
    <row r="19833">
      <c r="A19833" s="6"/>
      <c r="B19833" s="6"/>
      <c r="H19833" s="13"/>
    </row>
    <row r="19834">
      <c r="A19834" s="6"/>
      <c r="B19834" s="6"/>
      <c r="H19834" s="13"/>
    </row>
    <row r="19835">
      <c r="A19835" s="6"/>
      <c r="B19835" s="6"/>
      <c r="H19835" s="13"/>
    </row>
    <row r="19836">
      <c r="A19836" s="6"/>
      <c r="B19836" s="6"/>
      <c r="H19836" s="13"/>
    </row>
    <row r="19837">
      <c r="A19837" s="6"/>
      <c r="B19837" s="6"/>
      <c r="H19837" s="13"/>
    </row>
    <row r="19838">
      <c r="A19838" s="6"/>
      <c r="B19838" s="6"/>
      <c r="H19838" s="13"/>
    </row>
    <row r="19839">
      <c r="A19839" s="6"/>
      <c r="B19839" s="6"/>
      <c r="H19839" s="13"/>
    </row>
    <row r="19840">
      <c r="A19840" s="6"/>
      <c r="B19840" s="6"/>
      <c r="H19840" s="13"/>
    </row>
    <row r="19841">
      <c r="A19841" s="6"/>
      <c r="B19841" s="6"/>
      <c r="H19841" s="13"/>
    </row>
    <row r="19842">
      <c r="A19842" s="6"/>
      <c r="B19842" s="6"/>
      <c r="H19842" s="13"/>
    </row>
    <row r="19843">
      <c r="A19843" s="6"/>
      <c r="B19843" s="6"/>
      <c r="H19843" s="13"/>
    </row>
    <row r="19844">
      <c r="A19844" s="6"/>
      <c r="B19844" s="6"/>
      <c r="H19844" s="13"/>
    </row>
    <row r="19845">
      <c r="A19845" s="6"/>
      <c r="B19845" s="6"/>
      <c r="H19845" s="13"/>
    </row>
    <row r="19846">
      <c r="A19846" s="6"/>
      <c r="B19846" s="6"/>
      <c r="H19846" s="13"/>
    </row>
    <row r="19847">
      <c r="A19847" s="6"/>
      <c r="B19847" s="6"/>
      <c r="H19847" s="13"/>
    </row>
    <row r="19848">
      <c r="A19848" s="6"/>
      <c r="B19848" s="6"/>
      <c r="H19848" s="13"/>
    </row>
    <row r="19849">
      <c r="A19849" s="6"/>
      <c r="B19849" s="6"/>
      <c r="H19849" s="13"/>
    </row>
    <row r="19850">
      <c r="A19850" s="6"/>
      <c r="B19850" s="6"/>
      <c r="H19850" s="13"/>
    </row>
    <row r="19851">
      <c r="A19851" s="6"/>
      <c r="B19851" s="6"/>
      <c r="H19851" s="13"/>
    </row>
    <row r="19852">
      <c r="A19852" s="6"/>
      <c r="B19852" s="6"/>
      <c r="H19852" s="13"/>
    </row>
    <row r="19853">
      <c r="A19853" s="6"/>
      <c r="B19853" s="6"/>
      <c r="H19853" s="13"/>
    </row>
    <row r="19854">
      <c r="A19854" s="6"/>
      <c r="B19854" s="6"/>
      <c r="H19854" s="13"/>
    </row>
    <row r="19855">
      <c r="A19855" s="6"/>
      <c r="B19855" s="6"/>
      <c r="H19855" s="13"/>
    </row>
    <row r="19856">
      <c r="A19856" s="6"/>
      <c r="B19856" s="6"/>
      <c r="H19856" s="13"/>
    </row>
    <row r="19857">
      <c r="A19857" s="6"/>
      <c r="B19857" s="6"/>
      <c r="H19857" s="13"/>
    </row>
    <row r="19858">
      <c r="A19858" s="6"/>
      <c r="B19858" s="6"/>
      <c r="H19858" s="13"/>
    </row>
    <row r="19859">
      <c r="A19859" s="6"/>
      <c r="B19859" s="6"/>
      <c r="H19859" s="13"/>
    </row>
    <row r="19860">
      <c r="A19860" s="6"/>
      <c r="B19860" s="6"/>
      <c r="H19860" s="13"/>
    </row>
    <row r="19861">
      <c r="A19861" s="6"/>
      <c r="B19861" s="6"/>
      <c r="H19861" s="13"/>
    </row>
    <row r="19862">
      <c r="A19862" s="6"/>
      <c r="B19862" s="6"/>
      <c r="H19862" s="13"/>
    </row>
    <row r="19863">
      <c r="A19863" s="6"/>
      <c r="B19863" s="6"/>
      <c r="H19863" s="13"/>
    </row>
    <row r="19864">
      <c r="A19864" s="6"/>
      <c r="B19864" s="6"/>
      <c r="H19864" s="13"/>
    </row>
    <row r="19865">
      <c r="A19865" s="6"/>
      <c r="B19865" s="6"/>
      <c r="H19865" s="13"/>
    </row>
    <row r="19866">
      <c r="A19866" s="6"/>
      <c r="B19866" s="6"/>
      <c r="H19866" s="13"/>
    </row>
    <row r="19867">
      <c r="A19867" s="6"/>
      <c r="B19867" s="6"/>
      <c r="H19867" s="13"/>
    </row>
    <row r="19868">
      <c r="A19868" s="6"/>
      <c r="B19868" s="6"/>
      <c r="H19868" s="13"/>
    </row>
    <row r="19869">
      <c r="A19869" s="6"/>
      <c r="B19869" s="6"/>
      <c r="H19869" s="13"/>
    </row>
    <row r="19870">
      <c r="A19870" s="6"/>
      <c r="B19870" s="6"/>
      <c r="H19870" s="13"/>
    </row>
    <row r="19871">
      <c r="A19871" s="6"/>
      <c r="B19871" s="6"/>
      <c r="H19871" s="13"/>
    </row>
    <row r="19872">
      <c r="A19872" s="6"/>
      <c r="B19872" s="6"/>
      <c r="H19872" s="13"/>
    </row>
    <row r="19873">
      <c r="A19873" s="6"/>
      <c r="B19873" s="6"/>
      <c r="H19873" s="13"/>
    </row>
    <row r="19874">
      <c r="A19874" s="6"/>
      <c r="B19874" s="6"/>
      <c r="H19874" s="13"/>
    </row>
    <row r="19875">
      <c r="A19875" s="6"/>
      <c r="B19875" s="6"/>
      <c r="H19875" s="13"/>
    </row>
    <row r="19876">
      <c r="A19876" s="6"/>
      <c r="B19876" s="6"/>
      <c r="H19876" s="13"/>
    </row>
    <row r="19877">
      <c r="A19877" s="6"/>
      <c r="B19877" s="6"/>
      <c r="H19877" s="13"/>
    </row>
    <row r="19878">
      <c r="A19878" s="6"/>
      <c r="B19878" s="6"/>
      <c r="H19878" s="13"/>
    </row>
    <row r="19879">
      <c r="A19879" s="6"/>
      <c r="B19879" s="6"/>
      <c r="H19879" s="13"/>
    </row>
    <row r="19880">
      <c r="A19880" s="6"/>
      <c r="B19880" s="6"/>
      <c r="H19880" s="13"/>
    </row>
    <row r="19881">
      <c r="A19881" s="6"/>
      <c r="B19881" s="6"/>
      <c r="H19881" s="13"/>
    </row>
    <row r="19882">
      <c r="A19882" s="6"/>
      <c r="B19882" s="6"/>
      <c r="H19882" s="13"/>
    </row>
    <row r="19883">
      <c r="A19883" s="6"/>
      <c r="B19883" s="6"/>
      <c r="H19883" s="13"/>
    </row>
    <row r="19884">
      <c r="A19884" s="6"/>
      <c r="B19884" s="6"/>
      <c r="H19884" s="13"/>
    </row>
    <row r="19885">
      <c r="A19885" s="6"/>
      <c r="B19885" s="6"/>
      <c r="H19885" s="13"/>
    </row>
    <row r="19886">
      <c r="A19886" s="6"/>
      <c r="B19886" s="6"/>
      <c r="H19886" s="13"/>
    </row>
    <row r="19887">
      <c r="A19887" s="6"/>
      <c r="B19887" s="6"/>
      <c r="H19887" s="13"/>
    </row>
    <row r="19888">
      <c r="A19888" s="6"/>
      <c r="B19888" s="6"/>
      <c r="H19888" s="13"/>
    </row>
    <row r="19889">
      <c r="A19889" s="6"/>
      <c r="B19889" s="6"/>
      <c r="H19889" s="13"/>
    </row>
    <row r="19890">
      <c r="A19890" s="6"/>
      <c r="B19890" s="6"/>
      <c r="H19890" s="13"/>
    </row>
    <row r="19891">
      <c r="A19891" s="6"/>
      <c r="B19891" s="6"/>
      <c r="H19891" s="13"/>
    </row>
    <row r="19892">
      <c r="A19892" s="6"/>
      <c r="B19892" s="6"/>
      <c r="H19892" s="13"/>
    </row>
    <row r="19893">
      <c r="A19893" s="6"/>
      <c r="B19893" s="6"/>
      <c r="H19893" s="13"/>
    </row>
    <row r="19894">
      <c r="A19894" s="6"/>
      <c r="B19894" s="6"/>
      <c r="H19894" s="13"/>
    </row>
    <row r="19895">
      <c r="A19895" s="6"/>
      <c r="B19895" s="6"/>
      <c r="H19895" s="13"/>
    </row>
    <row r="19896">
      <c r="A19896" s="6"/>
      <c r="B19896" s="6"/>
      <c r="H19896" s="13"/>
    </row>
    <row r="19897">
      <c r="A19897" s="6"/>
      <c r="B19897" s="6"/>
      <c r="H19897" s="13"/>
    </row>
    <row r="19898">
      <c r="A19898" s="6"/>
      <c r="B19898" s="6"/>
      <c r="H19898" s="13"/>
    </row>
    <row r="19899">
      <c r="A19899" s="6"/>
      <c r="B19899" s="6"/>
      <c r="H19899" s="13"/>
    </row>
    <row r="19900">
      <c r="A19900" s="6"/>
      <c r="B19900" s="6"/>
      <c r="H19900" s="13"/>
    </row>
    <row r="19901">
      <c r="A19901" s="6"/>
      <c r="B19901" s="6"/>
      <c r="H19901" s="13"/>
    </row>
    <row r="19902">
      <c r="A19902" s="6"/>
      <c r="B19902" s="6"/>
      <c r="H19902" s="13"/>
    </row>
    <row r="19903">
      <c r="A19903" s="6"/>
      <c r="B19903" s="6"/>
      <c r="H19903" s="13"/>
    </row>
    <row r="19904">
      <c r="A19904" s="6"/>
      <c r="B19904" s="6"/>
      <c r="H19904" s="13"/>
    </row>
    <row r="19905">
      <c r="A19905" s="6"/>
      <c r="B19905" s="6"/>
      <c r="H19905" s="13"/>
    </row>
    <row r="19906">
      <c r="A19906" s="6"/>
      <c r="B19906" s="6"/>
      <c r="H19906" s="13"/>
    </row>
    <row r="19907">
      <c r="A19907" s="6"/>
      <c r="B19907" s="6"/>
      <c r="H19907" s="13"/>
    </row>
    <row r="19908">
      <c r="A19908" s="6"/>
      <c r="B19908" s="6"/>
      <c r="H19908" s="13"/>
    </row>
    <row r="19909">
      <c r="A19909" s="6"/>
      <c r="B19909" s="6"/>
      <c r="H19909" s="13"/>
    </row>
    <row r="19910">
      <c r="A19910" s="6"/>
      <c r="B19910" s="6"/>
      <c r="H19910" s="13"/>
    </row>
    <row r="19911">
      <c r="A19911" s="6"/>
      <c r="B19911" s="6"/>
      <c r="H19911" s="13"/>
    </row>
    <row r="19912">
      <c r="A19912" s="6"/>
      <c r="B19912" s="6"/>
      <c r="H19912" s="13"/>
    </row>
    <row r="19913">
      <c r="A19913" s="6"/>
      <c r="B19913" s="6"/>
      <c r="H19913" s="13"/>
    </row>
    <row r="19914">
      <c r="A19914" s="6"/>
      <c r="B19914" s="6"/>
      <c r="H19914" s="13"/>
    </row>
    <row r="19915">
      <c r="A19915" s="6"/>
      <c r="B19915" s="6"/>
      <c r="H19915" s="13"/>
    </row>
    <row r="19916">
      <c r="A19916" s="6"/>
      <c r="B19916" s="6"/>
      <c r="H19916" s="13"/>
    </row>
    <row r="19917">
      <c r="A19917" s="6"/>
      <c r="B19917" s="6"/>
      <c r="H19917" s="13"/>
    </row>
    <row r="19918">
      <c r="A19918" s="6"/>
      <c r="B19918" s="6"/>
      <c r="H19918" s="13"/>
    </row>
    <row r="19919">
      <c r="A19919" s="6"/>
      <c r="B19919" s="6"/>
      <c r="H19919" s="13"/>
    </row>
    <row r="19920">
      <c r="A19920" s="6"/>
      <c r="B19920" s="6"/>
      <c r="H19920" s="13"/>
    </row>
    <row r="19921">
      <c r="A19921" s="6"/>
      <c r="B19921" s="6"/>
      <c r="H19921" s="13"/>
    </row>
    <row r="19922">
      <c r="A19922" s="6"/>
      <c r="B19922" s="6"/>
      <c r="H19922" s="13"/>
    </row>
    <row r="19923">
      <c r="A19923" s="6"/>
      <c r="B19923" s="6"/>
      <c r="H19923" s="13"/>
    </row>
    <row r="19924">
      <c r="A19924" s="6"/>
      <c r="B19924" s="6"/>
      <c r="H19924" s="13"/>
    </row>
    <row r="19925">
      <c r="A19925" s="6"/>
      <c r="B19925" s="6"/>
      <c r="H19925" s="13"/>
    </row>
    <row r="19926">
      <c r="A19926" s="6"/>
      <c r="B19926" s="6"/>
      <c r="H19926" s="13"/>
    </row>
    <row r="19927">
      <c r="A19927" s="6"/>
      <c r="B19927" s="6"/>
      <c r="H19927" s="13"/>
    </row>
    <row r="19928">
      <c r="A19928" s="6"/>
      <c r="B19928" s="6"/>
      <c r="H19928" s="13"/>
    </row>
    <row r="19929">
      <c r="A19929" s="6"/>
      <c r="B19929" s="6"/>
      <c r="H19929" s="13"/>
    </row>
    <row r="19930">
      <c r="A19930" s="6"/>
      <c r="B19930" s="6"/>
      <c r="H19930" s="13"/>
    </row>
    <row r="19931">
      <c r="A19931" s="6"/>
      <c r="B19931" s="6"/>
      <c r="H19931" s="13"/>
    </row>
    <row r="19932">
      <c r="A19932" s="6"/>
      <c r="B19932" s="6"/>
      <c r="H19932" s="13"/>
    </row>
    <row r="19933">
      <c r="A19933" s="6"/>
      <c r="B19933" s="6"/>
      <c r="H19933" s="13"/>
    </row>
    <row r="19934">
      <c r="A19934" s="6"/>
      <c r="B19934" s="6"/>
      <c r="H19934" s="13"/>
    </row>
    <row r="19935">
      <c r="A19935" s="6"/>
      <c r="B19935" s="6"/>
      <c r="H19935" s="13"/>
    </row>
    <row r="19936">
      <c r="A19936" s="6"/>
      <c r="B19936" s="6"/>
      <c r="H19936" s="13"/>
    </row>
    <row r="19937">
      <c r="A19937" s="6"/>
      <c r="B19937" s="6"/>
      <c r="H19937" s="13"/>
    </row>
    <row r="19938">
      <c r="A19938" s="6"/>
      <c r="B19938" s="6"/>
      <c r="H19938" s="13"/>
    </row>
    <row r="19939">
      <c r="A19939" s="6"/>
      <c r="B19939" s="6"/>
      <c r="H19939" s="13"/>
    </row>
    <row r="19940">
      <c r="A19940" s="6"/>
      <c r="B19940" s="6"/>
      <c r="H19940" s="13"/>
    </row>
    <row r="19941">
      <c r="A19941" s="6"/>
      <c r="B19941" s="6"/>
      <c r="H19941" s="13"/>
    </row>
    <row r="19942">
      <c r="A19942" s="6"/>
      <c r="B19942" s="6"/>
      <c r="H19942" s="13"/>
    </row>
    <row r="19943">
      <c r="A19943" s="6"/>
      <c r="B19943" s="6"/>
      <c r="H19943" s="13"/>
    </row>
    <row r="19944">
      <c r="A19944" s="6"/>
      <c r="B19944" s="6"/>
      <c r="H19944" s="13"/>
    </row>
    <row r="19945">
      <c r="A19945" s="6"/>
      <c r="B19945" s="6"/>
      <c r="H19945" s="13"/>
    </row>
    <row r="19946">
      <c r="A19946" s="6"/>
      <c r="B19946" s="6"/>
      <c r="H19946" s="13"/>
    </row>
    <row r="19947">
      <c r="A19947" s="6"/>
      <c r="B19947" s="6"/>
      <c r="H19947" s="13"/>
    </row>
    <row r="19948">
      <c r="A19948" s="6"/>
      <c r="B19948" s="6"/>
      <c r="H19948" s="13"/>
    </row>
    <row r="19949">
      <c r="A19949" s="6"/>
      <c r="B19949" s="6"/>
      <c r="H19949" s="13"/>
    </row>
    <row r="19950">
      <c r="A19950" s="6"/>
      <c r="B19950" s="6"/>
      <c r="H19950" s="13"/>
    </row>
    <row r="19951">
      <c r="A19951" s="6"/>
      <c r="B19951" s="6"/>
      <c r="H19951" s="13"/>
    </row>
    <row r="19952">
      <c r="A19952" s="6"/>
      <c r="B19952" s="6"/>
      <c r="H19952" s="13"/>
    </row>
    <row r="19953">
      <c r="A19953" s="6"/>
      <c r="B19953" s="6"/>
      <c r="H19953" s="13"/>
    </row>
    <row r="19954">
      <c r="A19954" s="6"/>
      <c r="B19954" s="6"/>
      <c r="H19954" s="13"/>
    </row>
    <row r="19955">
      <c r="A19955" s="6"/>
      <c r="B19955" s="6"/>
      <c r="H19955" s="13"/>
    </row>
    <row r="19956">
      <c r="A19956" s="6"/>
      <c r="B19956" s="6"/>
      <c r="H19956" s="13"/>
    </row>
    <row r="19957">
      <c r="A19957" s="6"/>
      <c r="B19957" s="6"/>
      <c r="H19957" s="13"/>
    </row>
    <row r="19958">
      <c r="A19958" s="6"/>
      <c r="B19958" s="6"/>
      <c r="H19958" s="13"/>
    </row>
    <row r="19959">
      <c r="A19959" s="6"/>
      <c r="B19959" s="6"/>
      <c r="H19959" s="13"/>
    </row>
    <row r="19960">
      <c r="A19960" s="6"/>
      <c r="B19960" s="6"/>
      <c r="H19960" s="13"/>
    </row>
    <row r="19961">
      <c r="A19961" s="6"/>
      <c r="B19961" s="6"/>
      <c r="H19961" s="13"/>
    </row>
    <row r="19962">
      <c r="A19962" s="6"/>
      <c r="B19962" s="6"/>
      <c r="H19962" s="13"/>
    </row>
    <row r="19963">
      <c r="A19963" s="6"/>
      <c r="B19963" s="6"/>
      <c r="H19963" s="13"/>
    </row>
    <row r="19964">
      <c r="A19964" s="6"/>
      <c r="B19964" s="6"/>
      <c r="H19964" s="13"/>
    </row>
    <row r="19965">
      <c r="A19965" s="6"/>
      <c r="B19965" s="6"/>
      <c r="H19965" s="13"/>
    </row>
    <row r="19966">
      <c r="A19966" s="6"/>
      <c r="B19966" s="6"/>
      <c r="H19966" s="13"/>
    </row>
    <row r="19967">
      <c r="A19967" s="6"/>
      <c r="B19967" s="6"/>
      <c r="H19967" s="13"/>
    </row>
    <row r="19968">
      <c r="A19968" s="6"/>
      <c r="B19968" s="6"/>
      <c r="H19968" s="13"/>
    </row>
    <row r="19969">
      <c r="A19969" s="6"/>
      <c r="B19969" s="6"/>
      <c r="H19969" s="13"/>
    </row>
    <row r="19970">
      <c r="A19970" s="6"/>
      <c r="B19970" s="6"/>
      <c r="H19970" s="13"/>
    </row>
    <row r="19971">
      <c r="A19971" s="6"/>
      <c r="B19971" s="6"/>
      <c r="H19971" s="13"/>
    </row>
    <row r="19972">
      <c r="A19972" s="6"/>
      <c r="B19972" s="6"/>
      <c r="H19972" s="13"/>
    </row>
    <row r="19973">
      <c r="A19973" s="6"/>
      <c r="B19973" s="6"/>
      <c r="H19973" s="13"/>
    </row>
    <row r="19974">
      <c r="A19974" s="6"/>
      <c r="B19974" s="6"/>
      <c r="H19974" s="13"/>
    </row>
    <row r="19975">
      <c r="A19975" s="6"/>
      <c r="B19975" s="6"/>
      <c r="H19975" s="13"/>
    </row>
    <row r="19976">
      <c r="A19976" s="6"/>
      <c r="B19976" s="6"/>
      <c r="H19976" s="13"/>
    </row>
    <row r="19977">
      <c r="A19977" s="6"/>
      <c r="B19977" s="6"/>
      <c r="H19977" s="13"/>
    </row>
    <row r="19978">
      <c r="A19978" s="6"/>
      <c r="B19978" s="6"/>
      <c r="H19978" s="13"/>
    </row>
    <row r="19979">
      <c r="A19979" s="6"/>
      <c r="B19979" s="6"/>
      <c r="H19979" s="13"/>
    </row>
    <row r="19980">
      <c r="A19980" s="6"/>
      <c r="B19980" s="6"/>
      <c r="H19980" s="13"/>
    </row>
    <row r="19981">
      <c r="A19981" s="6"/>
      <c r="B19981" s="6"/>
      <c r="H19981" s="13"/>
    </row>
    <row r="19982">
      <c r="A19982" s="6"/>
      <c r="B19982" s="6"/>
      <c r="H19982" s="13"/>
    </row>
    <row r="19983">
      <c r="A19983" s="6"/>
      <c r="B19983" s="6"/>
      <c r="H19983" s="13"/>
    </row>
    <row r="19984">
      <c r="A19984" s="6"/>
      <c r="B19984" s="6"/>
      <c r="H19984" s="13"/>
    </row>
    <row r="19985">
      <c r="A19985" s="6"/>
      <c r="B19985" s="6"/>
      <c r="H19985" s="13"/>
    </row>
    <row r="19986">
      <c r="A19986" s="6"/>
      <c r="B19986" s="6"/>
      <c r="H19986" s="13"/>
    </row>
    <row r="19987">
      <c r="A19987" s="6"/>
      <c r="B19987" s="6"/>
      <c r="H19987" s="13"/>
    </row>
    <row r="19988">
      <c r="A19988" s="6"/>
      <c r="B19988" s="6"/>
      <c r="H19988" s="13"/>
    </row>
    <row r="19989">
      <c r="A19989" s="6"/>
      <c r="B19989" s="6"/>
      <c r="H19989" s="13"/>
    </row>
    <row r="19990">
      <c r="A19990" s="6"/>
      <c r="B19990" s="6"/>
      <c r="H19990" s="13"/>
    </row>
    <row r="19991">
      <c r="A19991" s="6"/>
      <c r="B19991" s="6"/>
      <c r="H19991" s="13"/>
    </row>
    <row r="19992">
      <c r="A19992" s="6"/>
      <c r="B19992" s="6"/>
      <c r="H19992" s="13"/>
    </row>
    <row r="19993">
      <c r="A19993" s="6"/>
      <c r="B19993" s="6"/>
      <c r="H19993" s="13"/>
    </row>
    <row r="19994">
      <c r="A19994" s="6"/>
      <c r="B19994" s="6"/>
      <c r="H19994" s="13"/>
    </row>
    <row r="19995">
      <c r="A19995" s="6"/>
      <c r="B19995" s="6"/>
      <c r="H19995" s="13"/>
    </row>
    <row r="19996">
      <c r="A19996" s="6"/>
      <c r="B19996" s="6"/>
      <c r="H19996" s="13"/>
    </row>
    <row r="19997">
      <c r="A19997" s="6"/>
      <c r="B19997" s="6"/>
      <c r="H19997" s="13"/>
    </row>
    <row r="19998">
      <c r="A19998" s="6"/>
      <c r="B19998" s="6"/>
      <c r="H19998" s="13"/>
    </row>
    <row r="19999">
      <c r="A19999" s="6"/>
      <c r="B19999" s="6"/>
      <c r="H19999" s="13"/>
    </row>
    <row r="20000">
      <c r="A20000" s="6"/>
      <c r="B20000" s="6"/>
      <c r="H20000" s="13"/>
    </row>
    <row r="20001">
      <c r="A20001" s="6"/>
      <c r="B20001" s="6"/>
      <c r="H20001" s="13"/>
    </row>
    <row r="20002">
      <c r="A20002" s="6"/>
      <c r="B20002" s="6"/>
      <c r="H20002" s="13"/>
    </row>
    <row r="20003">
      <c r="A20003" s="6"/>
      <c r="B20003" s="6"/>
      <c r="H20003" s="13"/>
    </row>
    <row r="20004">
      <c r="A20004" s="6"/>
      <c r="B20004" s="6"/>
      <c r="H20004" s="13"/>
    </row>
    <row r="20005">
      <c r="A20005" s="6"/>
      <c r="B20005" s="6"/>
      <c r="H20005" s="13"/>
    </row>
    <row r="20006">
      <c r="A20006" s="6"/>
      <c r="B20006" s="6"/>
      <c r="H20006" s="13"/>
    </row>
    <row r="20007">
      <c r="A20007" s="6"/>
      <c r="B20007" s="6"/>
      <c r="H20007" s="13"/>
    </row>
    <row r="20008">
      <c r="A20008" s="6"/>
      <c r="B20008" s="6"/>
      <c r="H20008" s="13"/>
    </row>
    <row r="20009">
      <c r="A20009" s="6"/>
      <c r="B20009" s="6"/>
      <c r="H20009" s="13"/>
    </row>
    <row r="20010">
      <c r="A20010" s="6"/>
      <c r="B20010" s="6"/>
      <c r="H20010" s="13"/>
    </row>
    <row r="20011">
      <c r="A20011" s="6"/>
      <c r="B20011" s="6"/>
      <c r="H20011" s="13"/>
    </row>
    <row r="20012">
      <c r="A20012" s="6"/>
      <c r="B20012" s="6"/>
      <c r="H20012" s="13"/>
    </row>
    <row r="20013">
      <c r="A20013" s="6"/>
      <c r="B20013" s="6"/>
      <c r="H20013" s="13"/>
    </row>
    <row r="20014">
      <c r="A20014" s="6"/>
      <c r="B20014" s="6"/>
      <c r="H20014" s="13"/>
    </row>
    <row r="20015">
      <c r="A20015" s="6"/>
      <c r="B20015" s="6"/>
      <c r="H20015" s="13"/>
    </row>
    <row r="20016">
      <c r="A20016" s="6"/>
      <c r="B20016" s="6"/>
      <c r="H20016" s="13"/>
    </row>
    <row r="20017">
      <c r="A20017" s="6"/>
      <c r="B20017" s="6"/>
      <c r="H20017" s="13"/>
    </row>
    <row r="20018">
      <c r="A20018" s="6"/>
      <c r="B20018" s="6"/>
      <c r="H20018" s="13"/>
    </row>
    <row r="20019">
      <c r="A20019" s="6"/>
      <c r="B20019" s="6"/>
      <c r="H20019" s="13"/>
    </row>
    <row r="20020">
      <c r="A20020" s="6"/>
      <c r="B20020" s="6"/>
      <c r="H20020" s="13"/>
    </row>
    <row r="20021">
      <c r="A20021" s="6"/>
      <c r="B20021" s="6"/>
      <c r="H20021" s="13"/>
    </row>
    <row r="20022">
      <c r="A20022" s="6"/>
      <c r="B20022" s="6"/>
      <c r="H20022" s="13"/>
    </row>
    <row r="20023">
      <c r="A20023" s="6"/>
      <c r="B20023" s="6"/>
      <c r="H20023" s="13"/>
    </row>
    <row r="20024">
      <c r="A20024" s="6"/>
      <c r="B20024" s="6"/>
      <c r="H20024" s="13"/>
    </row>
    <row r="20025">
      <c r="A20025" s="6"/>
      <c r="B20025" s="6"/>
      <c r="H20025" s="13"/>
    </row>
    <row r="20026">
      <c r="A20026" s="6"/>
      <c r="B20026" s="6"/>
      <c r="H20026" s="13"/>
    </row>
    <row r="20027">
      <c r="A20027" s="6"/>
      <c r="B20027" s="6"/>
      <c r="H20027" s="13"/>
    </row>
    <row r="20028">
      <c r="A20028" s="6"/>
      <c r="B20028" s="6"/>
      <c r="H20028" s="13"/>
    </row>
    <row r="20029">
      <c r="A20029" s="6"/>
      <c r="B20029" s="6"/>
      <c r="H20029" s="13"/>
    </row>
    <row r="20030">
      <c r="A20030" s="6"/>
      <c r="B20030" s="6"/>
      <c r="H20030" s="13"/>
    </row>
    <row r="20031">
      <c r="A20031" s="6"/>
      <c r="B20031" s="6"/>
      <c r="H20031" s="13"/>
    </row>
    <row r="20032">
      <c r="A20032" s="6"/>
      <c r="B20032" s="6"/>
      <c r="H20032" s="13"/>
    </row>
    <row r="20033">
      <c r="A20033" s="6"/>
      <c r="B20033" s="6"/>
      <c r="H20033" s="13"/>
    </row>
    <row r="20034">
      <c r="A20034" s="6"/>
      <c r="B20034" s="6"/>
      <c r="H20034" s="13"/>
    </row>
    <row r="20035">
      <c r="A20035" s="6"/>
      <c r="B20035" s="6"/>
      <c r="H20035" s="13"/>
    </row>
    <row r="20036">
      <c r="A20036" s="6"/>
      <c r="B20036" s="6"/>
      <c r="H20036" s="13"/>
    </row>
    <row r="20037">
      <c r="A20037" s="6"/>
      <c r="B20037" s="6"/>
      <c r="H20037" s="13"/>
    </row>
    <row r="20038">
      <c r="A20038" s="6"/>
      <c r="B20038" s="6"/>
      <c r="H20038" s="13"/>
    </row>
    <row r="20039">
      <c r="A20039" s="6"/>
      <c r="B20039" s="6"/>
      <c r="H20039" s="13"/>
    </row>
    <row r="20040">
      <c r="A20040" s="6"/>
      <c r="B20040" s="6"/>
      <c r="H20040" s="13"/>
    </row>
    <row r="20041">
      <c r="A20041" s="6"/>
      <c r="B20041" s="6"/>
      <c r="H20041" s="13"/>
    </row>
    <row r="20042">
      <c r="A20042" s="6"/>
      <c r="B20042" s="6"/>
      <c r="H20042" s="13"/>
    </row>
    <row r="20043">
      <c r="A20043" s="6"/>
      <c r="B20043" s="6"/>
      <c r="H20043" s="13"/>
    </row>
    <row r="20044">
      <c r="A20044" s="6"/>
      <c r="B20044" s="6"/>
      <c r="H20044" s="13"/>
    </row>
    <row r="20045">
      <c r="A20045" s="6"/>
      <c r="B20045" s="6"/>
      <c r="H20045" s="13"/>
    </row>
    <row r="20046">
      <c r="A20046" s="6"/>
      <c r="B20046" s="6"/>
      <c r="H20046" s="13"/>
    </row>
    <row r="20047">
      <c r="A20047" s="6"/>
      <c r="B20047" s="6"/>
      <c r="H20047" s="13"/>
    </row>
    <row r="20048">
      <c r="A20048" s="6"/>
      <c r="B20048" s="6"/>
      <c r="H20048" s="13"/>
    </row>
    <row r="20049">
      <c r="A20049" s="6"/>
      <c r="B20049" s="6"/>
      <c r="H20049" s="13"/>
    </row>
    <row r="20050">
      <c r="A20050" s="6"/>
      <c r="B20050" s="6"/>
      <c r="H20050" s="13"/>
    </row>
    <row r="20051">
      <c r="A20051" s="6"/>
      <c r="B20051" s="6"/>
      <c r="H20051" s="13"/>
    </row>
    <row r="20052">
      <c r="A20052" s="6"/>
      <c r="B20052" s="6"/>
      <c r="H20052" s="13"/>
    </row>
    <row r="20053">
      <c r="A20053" s="6"/>
      <c r="B20053" s="6"/>
      <c r="H20053" s="13"/>
    </row>
    <row r="20054">
      <c r="A20054" s="6"/>
      <c r="B20054" s="6"/>
      <c r="H20054" s="13"/>
    </row>
    <row r="20055">
      <c r="A20055" s="6"/>
      <c r="B20055" s="6"/>
      <c r="H20055" s="13"/>
    </row>
    <row r="20056">
      <c r="A20056" s="6"/>
      <c r="B20056" s="6"/>
      <c r="H20056" s="13"/>
    </row>
    <row r="20057">
      <c r="A20057" s="6"/>
      <c r="B20057" s="6"/>
      <c r="H20057" s="13"/>
    </row>
    <row r="20058">
      <c r="A20058" s="6"/>
      <c r="B20058" s="6"/>
      <c r="H20058" s="13"/>
    </row>
    <row r="20059">
      <c r="A20059" s="6"/>
      <c r="B20059" s="6"/>
      <c r="H20059" s="13"/>
    </row>
    <row r="20060">
      <c r="A20060" s="6"/>
      <c r="B20060" s="6"/>
      <c r="H20060" s="13"/>
    </row>
    <row r="20061">
      <c r="A20061" s="6"/>
      <c r="B20061" s="6"/>
      <c r="H20061" s="13"/>
    </row>
    <row r="20062">
      <c r="A20062" s="6"/>
      <c r="B20062" s="6"/>
      <c r="H20062" s="13"/>
    </row>
    <row r="20063">
      <c r="A20063" s="6"/>
      <c r="B20063" s="6"/>
      <c r="H20063" s="13"/>
    </row>
    <row r="20064">
      <c r="A20064" s="6"/>
      <c r="B20064" s="6"/>
      <c r="H20064" s="13"/>
    </row>
    <row r="20065">
      <c r="A20065" s="6"/>
      <c r="B20065" s="6"/>
      <c r="H20065" s="13"/>
    </row>
    <row r="20066">
      <c r="A20066" s="6"/>
      <c r="B20066" s="6"/>
      <c r="H20066" s="13"/>
    </row>
    <row r="20067">
      <c r="A20067" s="6"/>
      <c r="B20067" s="6"/>
      <c r="H20067" s="13"/>
    </row>
    <row r="20068">
      <c r="A20068" s="6"/>
      <c r="B20068" s="6"/>
      <c r="H20068" s="13"/>
    </row>
    <row r="20069">
      <c r="A20069" s="6"/>
      <c r="B20069" s="6"/>
      <c r="H20069" s="13"/>
    </row>
    <row r="20070">
      <c r="A20070" s="6"/>
      <c r="B20070" s="6"/>
      <c r="H20070" s="13"/>
    </row>
    <row r="20071">
      <c r="A20071" s="6"/>
      <c r="B20071" s="6"/>
      <c r="H20071" s="13"/>
    </row>
    <row r="20072">
      <c r="A20072" s="6"/>
      <c r="B20072" s="6"/>
      <c r="H20072" s="13"/>
    </row>
    <row r="20073">
      <c r="A20073" s="6"/>
      <c r="B20073" s="6"/>
      <c r="H20073" s="13"/>
    </row>
    <row r="20074">
      <c r="A20074" s="6"/>
      <c r="B20074" s="6"/>
      <c r="H20074" s="13"/>
    </row>
    <row r="20075">
      <c r="A20075" s="6"/>
      <c r="B20075" s="6"/>
      <c r="H20075" s="13"/>
    </row>
    <row r="20076">
      <c r="A20076" s="6"/>
      <c r="B20076" s="6"/>
      <c r="H20076" s="13"/>
    </row>
    <row r="20077">
      <c r="A20077" s="6"/>
      <c r="B20077" s="6"/>
      <c r="H20077" s="13"/>
    </row>
    <row r="20078">
      <c r="A20078" s="6"/>
      <c r="B20078" s="6"/>
      <c r="H20078" s="13"/>
    </row>
    <row r="20079">
      <c r="A20079" s="6"/>
      <c r="B20079" s="6"/>
      <c r="H20079" s="13"/>
    </row>
    <row r="20080">
      <c r="A20080" s="6"/>
      <c r="B20080" s="6"/>
      <c r="H20080" s="13"/>
    </row>
    <row r="20081">
      <c r="A20081" s="6"/>
      <c r="B20081" s="6"/>
      <c r="H20081" s="13"/>
    </row>
    <row r="20082">
      <c r="A20082" s="6"/>
      <c r="B20082" s="6"/>
      <c r="H20082" s="13"/>
    </row>
    <row r="20083">
      <c r="A20083" s="6"/>
      <c r="B20083" s="6"/>
      <c r="H20083" s="13"/>
    </row>
    <row r="20084">
      <c r="A20084" s="6"/>
      <c r="B20084" s="6"/>
      <c r="H20084" s="13"/>
    </row>
    <row r="20085">
      <c r="A20085" s="6"/>
      <c r="B20085" s="6"/>
      <c r="H20085" s="13"/>
    </row>
    <row r="20086">
      <c r="A20086" s="6"/>
      <c r="B20086" s="6"/>
      <c r="H20086" s="13"/>
    </row>
    <row r="20087">
      <c r="A20087" s="6"/>
      <c r="B20087" s="6"/>
      <c r="H20087" s="13"/>
    </row>
    <row r="20088">
      <c r="A20088" s="6"/>
      <c r="B20088" s="6"/>
      <c r="H20088" s="13"/>
    </row>
    <row r="20089">
      <c r="A20089" s="6"/>
      <c r="B20089" s="6"/>
      <c r="H20089" s="13"/>
    </row>
    <row r="20090">
      <c r="A20090" s="6"/>
      <c r="B20090" s="6"/>
      <c r="H20090" s="13"/>
    </row>
    <row r="20091">
      <c r="A20091" s="6"/>
      <c r="B20091" s="6"/>
      <c r="H20091" s="13"/>
    </row>
    <row r="20092">
      <c r="A20092" s="6"/>
      <c r="B20092" s="6"/>
      <c r="H20092" s="13"/>
    </row>
    <row r="20093">
      <c r="A20093" s="6"/>
      <c r="B20093" s="6"/>
      <c r="H20093" s="13"/>
    </row>
    <row r="20094">
      <c r="A20094" s="6"/>
      <c r="B20094" s="6"/>
      <c r="H20094" s="13"/>
    </row>
    <row r="20095">
      <c r="A20095" s="6"/>
      <c r="B20095" s="6"/>
      <c r="H20095" s="13"/>
    </row>
    <row r="20096">
      <c r="A20096" s="6"/>
      <c r="B20096" s="6"/>
      <c r="H20096" s="13"/>
    </row>
    <row r="20097">
      <c r="A20097" s="6"/>
      <c r="B20097" s="6"/>
      <c r="H20097" s="13"/>
    </row>
    <row r="20098">
      <c r="A20098" s="6"/>
      <c r="B20098" s="6"/>
      <c r="H20098" s="13"/>
    </row>
    <row r="20099">
      <c r="A20099" s="6"/>
      <c r="B20099" s="6"/>
      <c r="H20099" s="13"/>
    </row>
    <row r="20100">
      <c r="A20100" s="6"/>
      <c r="B20100" s="6"/>
      <c r="H20100" s="13"/>
    </row>
    <row r="20101">
      <c r="A20101" s="6"/>
      <c r="B20101" s="6"/>
      <c r="H20101" s="13"/>
    </row>
    <row r="20102">
      <c r="A20102" s="6"/>
      <c r="B20102" s="6"/>
      <c r="H20102" s="13"/>
    </row>
    <row r="20103">
      <c r="A20103" s="6"/>
      <c r="B20103" s="6"/>
      <c r="H20103" s="13"/>
    </row>
    <row r="20104">
      <c r="A20104" s="6"/>
      <c r="B20104" s="6"/>
      <c r="H20104" s="13"/>
    </row>
    <row r="20105">
      <c r="A20105" s="6"/>
      <c r="B20105" s="6"/>
      <c r="H20105" s="13"/>
    </row>
    <row r="20106">
      <c r="A20106" s="6"/>
      <c r="B20106" s="6"/>
      <c r="H20106" s="13"/>
    </row>
    <row r="20107">
      <c r="A20107" s="6"/>
      <c r="B20107" s="6"/>
      <c r="H20107" s="13"/>
    </row>
    <row r="20108">
      <c r="A20108" s="6"/>
      <c r="B20108" s="6"/>
      <c r="H20108" s="13"/>
    </row>
    <row r="20109">
      <c r="A20109" s="6"/>
      <c r="B20109" s="6"/>
      <c r="H20109" s="13"/>
    </row>
    <row r="20110">
      <c r="A20110" s="6"/>
      <c r="B20110" s="6"/>
      <c r="H20110" s="13"/>
    </row>
    <row r="20111">
      <c r="A20111" s="6"/>
      <c r="B20111" s="6"/>
      <c r="H20111" s="13"/>
    </row>
    <row r="20112">
      <c r="A20112" s="6"/>
      <c r="B20112" s="6"/>
      <c r="H20112" s="13"/>
    </row>
    <row r="20113">
      <c r="A20113" s="6"/>
      <c r="B20113" s="6"/>
      <c r="H20113" s="13"/>
    </row>
    <row r="20114">
      <c r="A20114" s="6"/>
      <c r="B20114" s="6"/>
      <c r="H20114" s="13"/>
    </row>
    <row r="20115">
      <c r="A20115" s="6"/>
      <c r="B20115" s="6"/>
      <c r="H20115" s="13"/>
    </row>
    <row r="20116">
      <c r="A20116" s="6"/>
      <c r="B20116" s="6"/>
      <c r="H20116" s="13"/>
    </row>
    <row r="20117">
      <c r="A20117" s="6"/>
      <c r="B20117" s="6"/>
      <c r="H20117" s="13"/>
    </row>
    <row r="20118">
      <c r="A20118" s="6"/>
      <c r="B20118" s="6"/>
      <c r="H20118" s="13"/>
    </row>
    <row r="20119">
      <c r="A20119" s="6"/>
      <c r="B20119" s="6"/>
      <c r="H20119" s="13"/>
    </row>
    <row r="20120">
      <c r="A20120" s="6"/>
      <c r="B20120" s="6"/>
      <c r="H20120" s="13"/>
    </row>
    <row r="20121">
      <c r="A20121" s="6"/>
      <c r="B20121" s="6"/>
      <c r="H20121" s="13"/>
    </row>
    <row r="20122">
      <c r="A20122" s="6"/>
      <c r="B20122" s="6"/>
      <c r="H20122" s="13"/>
    </row>
    <row r="20123">
      <c r="A20123" s="6"/>
      <c r="B20123" s="6"/>
      <c r="H20123" s="13"/>
    </row>
    <row r="20124">
      <c r="A20124" s="6"/>
      <c r="B20124" s="6"/>
      <c r="H20124" s="13"/>
    </row>
    <row r="20125">
      <c r="A20125" s="6"/>
      <c r="B20125" s="6"/>
      <c r="H20125" s="13"/>
    </row>
    <row r="20126">
      <c r="A20126" s="6"/>
      <c r="B20126" s="6"/>
      <c r="H20126" s="13"/>
    </row>
    <row r="20127">
      <c r="A20127" s="6"/>
      <c r="B20127" s="6"/>
      <c r="H20127" s="13"/>
    </row>
    <row r="20128">
      <c r="A20128" s="6"/>
      <c r="B20128" s="6"/>
      <c r="H20128" s="13"/>
    </row>
    <row r="20129">
      <c r="A20129" s="6"/>
      <c r="B20129" s="6"/>
      <c r="H20129" s="13"/>
    </row>
    <row r="20130">
      <c r="A20130" s="6"/>
      <c r="B20130" s="6"/>
      <c r="H20130" s="13"/>
    </row>
    <row r="20131">
      <c r="A20131" s="6"/>
      <c r="B20131" s="6"/>
      <c r="H20131" s="13"/>
    </row>
    <row r="20132">
      <c r="A20132" s="6"/>
      <c r="B20132" s="6"/>
      <c r="H20132" s="13"/>
    </row>
    <row r="20133">
      <c r="A20133" s="6"/>
      <c r="B20133" s="6"/>
      <c r="H20133" s="13"/>
    </row>
    <row r="20134">
      <c r="A20134" s="6"/>
      <c r="B20134" s="6"/>
      <c r="H20134" s="13"/>
    </row>
    <row r="20135">
      <c r="A20135" s="6"/>
      <c r="B20135" s="6"/>
      <c r="H20135" s="13"/>
    </row>
    <row r="20136">
      <c r="A20136" s="6"/>
      <c r="B20136" s="6"/>
      <c r="H20136" s="13"/>
    </row>
    <row r="20137">
      <c r="A20137" s="6"/>
      <c r="B20137" s="6"/>
      <c r="H20137" s="13"/>
    </row>
    <row r="20138">
      <c r="A20138" s="6"/>
      <c r="B20138" s="6"/>
      <c r="H20138" s="13"/>
    </row>
    <row r="20139">
      <c r="A20139" s="6"/>
      <c r="B20139" s="6"/>
      <c r="H20139" s="13"/>
    </row>
    <row r="20140">
      <c r="A20140" s="6"/>
      <c r="B20140" s="6"/>
      <c r="H20140" s="13"/>
    </row>
    <row r="20141">
      <c r="A20141" s="6"/>
      <c r="B20141" s="6"/>
      <c r="H20141" s="13"/>
    </row>
    <row r="20142">
      <c r="A20142" s="6"/>
      <c r="B20142" s="6"/>
      <c r="H20142" s="13"/>
    </row>
    <row r="20143">
      <c r="A20143" s="6"/>
      <c r="B20143" s="6"/>
      <c r="H20143" s="13"/>
    </row>
    <row r="20144">
      <c r="A20144" s="6"/>
      <c r="B20144" s="6"/>
      <c r="H20144" s="13"/>
    </row>
    <row r="20145">
      <c r="A20145" s="6"/>
      <c r="B20145" s="6"/>
      <c r="H20145" s="13"/>
    </row>
    <row r="20146">
      <c r="A20146" s="6"/>
      <c r="B20146" s="6"/>
      <c r="H20146" s="13"/>
    </row>
    <row r="20147">
      <c r="A20147" s="6"/>
      <c r="B20147" s="6"/>
      <c r="H20147" s="13"/>
    </row>
    <row r="20148">
      <c r="A20148" s="6"/>
      <c r="B20148" s="6"/>
      <c r="H20148" s="13"/>
    </row>
    <row r="20149">
      <c r="A20149" s="6"/>
      <c r="B20149" s="6"/>
      <c r="H20149" s="13"/>
    </row>
    <row r="20150">
      <c r="A20150" s="6"/>
      <c r="B20150" s="6"/>
      <c r="H20150" s="13"/>
    </row>
    <row r="20151">
      <c r="A20151" s="6"/>
      <c r="B20151" s="6"/>
      <c r="H20151" s="13"/>
    </row>
    <row r="20152">
      <c r="A20152" s="6"/>
      <c r="B20152" s="6"/>
      <c r="H20152" s="13"/>
    </row>
    <row r="20153">
      <c r="A20153" s="6"/>
      <c r="B20153" s="6"/>
      <c r="H20153" s="13"/>
    </row>
    <row r="20154">
      <c r="A20154" s="6"/>
      <c r="B20154" s="6"/>
      <c r="H20154" s="13"/>
    </row>
    <row r="20155">
      <c r="A20155" s="6"/>
      <c r="B20155" s="6"/>
      <c r="H20155" s="13"/>
    </row>
    <row r="20156">
      <c r="A20156" s="6"/>
      <c r="B20156" s="6"/>
      <c r="H20156" s="13"/>
    </row>
    <row r="20157">
      <c r="A20157" s="6"/>
      <c r="B20157" s="6"/>
      <c r="H20157" s="13"/>
    </row>
    <row r="20158">
      <c r="A20158" s="6"/>
      <c r="B20158" s="6"/>
      <c r="H20158" s="13"/>
    </row>
    <row r="20159">
      <c r="A20159" s="6"/>
      <c r="B20159" s="6"/>
      <c r="H20159" s="13"/>
    </row>
    <row r="20160">
      <c r="A20160" s="6"/>
      <c r="B20160" s="6"/>
      <c r="H20160" s="13"/>
    </row>
    <row r="20161">
      <c r="A20161" s="6"/>
      <c r="B20161" s="6"/>
      <c r="H20161" s="13"/>
    </row>
    <row r="20162">
      <c r="A20162" s="6"/>
      <c r="B20162" s="6"/>
      <c r="H20162" s="13"/>
    </row>
    <row r="20163">
      <c r="A20163" s="6"/>
      <c r="B20163" s="6"/>
      <c r="H20163" s="13"/>
    </row>
    <row r="20164">
      <c r="A20164" s="6"/>
      <c r="B20164" s="6"/>
      <c r="H20164" s="13"/>
    </row>
    <row r="20165">
      <c r="A20165" s="6"/>
      <c r="B20165" s="6"/>
      <c r="H20165" s="13"/>
    </row>
    <row r="20166">
      <c r="A20166" s="6"/>
      <c r="B20166" s="6"/>
      <c r="H20166" s="13"/>
    </row>
    <row r="20167">
      <c r="A20167" s="6"/>
      <c r="B20167" s="6"/>
      <c r="H20167" s="13"/>
    </row>
    <row r="20168">
      <c r="A20168" s="6"/>
      <c r="B20168" s="6"/>
      <c r="H20168" s="13"/>
    </row>
    <row r="20169">
      <c r="A20169" s="6"/>
      <c r="B20169" s="6"/>
      <c r="H20169" s="13"/>
    </row>
    <row r="20170">
      <c r="A20170" s="6"/>
      <c r="B20170" s="6"/>
      <c r="H20170" s="13"/>
    </row>
    <row r="20171">
      <c r="A20171" s="6"/>
      <c r="B20171" s="6"/>
      <c r="H20171" s="13"/>
    </row>
    <row r="20172">
      <c r="A20172" s="6"/>
      <c r="B20172" s="6"/>
      <c r="H20172" s="13"/>
    </row>
    <row r="20173">
      <c r="A20173" s="6"/>
      <c r="B20173" s="6"/>
      <c r="H20173" s="13"/>
    </row>
    <row r="20174">
      <c r="A20174" s="6"/>
      <c r="B20174" s="6"/>
      <c r="H20174" s="13"/>
    </row>
    <row r="20175">
      <c r="A20175" s="6"/>
      <c r="B20175" s="6"/>
      <c r="H20175" s="13"/>
    </row>
    <row r="20176">
      <c r="A20176" s="6"/>
      <c r="B20176" s="6"/>
      <c r="H20176" s="13"/>
    </row>
    <row r="20177">
      <c r="A20177" s="6"/>
      <c r="B20177" s="6"/>
      <c r="H20177" s="13"/>
    </row>
    <row r="20178">
      <c r="A20178" s="6"/>
      <c r="B20178" s="6"/>
      <c r="H20178" s="13"/>
    </row>
    <row r="20179">
      <c r="A20179" s="6"/>
      <c r="B20179" s="6"/>
      <c r="H20179" s="13"/>
    </row>
    <row r="20180">
      <c r="A20180" s="6"/>
      <c r="B20180" s="6"/>
      <c r="H20180" s="13"/>
    </row>
    <row r="20181">
      <c r="A20181" s="6"/>
      <c r="B20181" s="6"/>
      <c r="H20181" s="13"/>
    </row>
    <row r="20182">
      <c r="A20182" s="6"/>
      <c r="B20182" s="6"/>
      <c r="H20182" s="13"/>
    </row>
    <row r="20183">
      <c r="A20183" s="6"/>
      <c r="B20183" s="6"/>
      <c r="H20183" s="13"/>
    </row>
    <row r="20184">
      <c r="A20184" s="6"/>
      <c r="B20184" s="6"/>
      <c r="H20184" s="13"/>
    </row>
    <row r="20185">
      <c r="A20185" s="6"/>
      <c r="B20185" s="6"/>
      <c r="H20185" s="13"/>
    </row>
    <row r="20186">
      <c r="A20186" s="6"/>
      <c r="B20186" s="6"/>
      <c r="H20186" s="13"/>
    </row>
    <row r="20187">
      <c r="A20187" s="6"/>
      <c r="B20187" s="6"/>
      <c r="H20187" s="13"/>
    </row>
    <row r="20188">
      <c r="A20188" s="6"/>
      <c r="B20188" s="6"/>
      <c r="H20188" s="13"/>
    </row>
    <row r="20189">
      <c r="A20189" s="6"/>
      <c r="B20189" s="6"/>
      <c r="H20189" s="13"/>
    </row>
    <row r="20190">
      <c r="A20190" s="6"/>
      <c r="B20190" s="6"/>
      <c r="H20190" s="13"/>
    </row>
    <row r="20191">
      <c r="A20191" s="6"/>
      <c r="B20191" s="6"/>
      <c r="H20191" s="13"/>
    </row>
    <row r="20192">
      <c r="A20192" s="6"/>
      <c r="B20192" s="6"/>
      <c r="H20192" s="13"/>
    </row>
    <row r="20193">
      <c r="A20193" s="6"/>
      <c r="B20193" s="6"/>
      <c r="H20193" s="13"/>
    </row>
    <row r="20194">
      <c r="A20194" s="6"/>
      <c r="B20194" s="6"/>
      <c r="H20194" s="13"/>
    </row>
    <row r="20195">
      <c r="A20195" s="6"/>
      <c r="B20195" s="6"/>
      <c r="H20195" s="13"/>
    </row>
    <row r="20196">
      <c r="A20196" s="6"/>
      <c r="B20196" s="6"/>
      <c r="H20196" s="13"/>
    </row>
    <row r="20197">
      <c r="A20197" s="6"/>
      <c r="B20197" s="6"/>
      <c r="H20197" s="13"/>
    </row>
    <row r="20198">
      <c r="A20198" s="6"/>
      <c r="B20198" s="6"/>
      <c r="H20198" s="13"/>
    </row>
    <row r="20199">
      <c r="A20199" s="6"/>
      <c r="B20199" s="6"/>
      <c r="H20199" s="13"/>
    </row>
    <row r="20200">
      <c r="A20200" s="6"/>
      <c r="B20200" s="6"/>
      <c r="H20200" s="13"/>
    </row>
    <row r="20201">
      <c r="A20201" s="6"/>
      <c r="B20201" s="6"/>
      <c r="H20201" s="13"/>
    </row>
    <row r="20202">
      <c r="A20202" s="6"/>
      <c r="B20202" s="6"/>
      <c r="H20202" s="13"/>
    </row>
    <row r="20203">
      <c r="A20203" s="6"/>
      <c r="B20203" s="6"/>
      <c r="H20203" s="13"/>
    </row>
    <row r="20204">
      <c r="A20204" s="6"/>
      <c r="B20204" s="6"/>
      <c r="H20204" s="13"/>
    </row>
    <row r="20205">
      <c r="A20205" s="6"/>
      <c r="B20205" s="6"/>
      <c r="H20205" s="13"/>
    </row>
    <row r="20206">
      <c r="A20206" s="6"/>
      <c r="B20206" s="6"/>
      <c r="H20206" s="13"/>
    </row>
    <row r="20207">
      <c r="A20207" s="6"/>
      <c r="B20207" s="6"/>
      <c r="H20207" s="13"/>
    </row>
    <row r="20208">
      <c r="A20208" s="6"/>
      <c r="B20208" s="6"/>
      <c r="H20208" s="13"/>
    </row>
    <row r="20209">
      <c r="A20209" s="6"/>
      <c r="B20209" s="6"/>
      <c r="H20209" s="13"/>
    </row>
    <row r="20210">
      <c r="A20210" s="6"/>
      <c r="B20210" s="6"/>
      <c r="H20210" s="13"/>
    </row>
    <row r="20211">
      <c r="A20211" s="6"/>
      <c r="B20211" s="6"/>
      <c r="H20211" s="13"/>
    </row>
    <row r="20212">
      <c r="A20212" s="6"/>
      <c r="B20212" s="6"/>
      <c r="H20212" s="13"/>
    </row>
    <row r="20213">
      <c r="A20213" s="6"/>
      <c r="B20213" s="6"/>
      <c r="H20213" s="13"/>
    </row>
    <row r="20214">
      <c r="A20214" s="6"/>
      <c r="B20214" s="6"/>
      <c r="H20214" s="13"/>
    </row>
    <row r="20215">
      <c r="A20215" s="6"/>
      <c r="B20215" s="6"/>
      <c r="H20215" s="13"/>
    </row>
    <row r="20216">
      <c r="A20216" s="6"/>
      <c r="B20216" s="6"/>
      <c r="H20216" s="13"/>
    </row>
    <row r="20217">
      <c r="A20217" s="6"/>
      <c r="B20217" s="6"/>
      <c r="H20217" s="13"/>
    </row>
    <row r="20218">
      <c r="A20218" s="6"/>
      <c r="B20218" s="6"/>
      <c r="H20218" s="13"/>
    </row>
    <row r="20219">
      <c r="A20219" s="6"/>
      <c r="B20219" s="6"/>
      <c r="H20219" s="13"/>
    </row>
    <row r="20220">
      <c r="A20220" s="6"/>
      <c r="B20220" s="6"/>
      <c r="H20220" s="13"/>
    </row>
    <row r="20221">
      <c r="A20221" s="6"/>
      <c r="B20221" s="6"/>
      <c r="H20221" s="13"/>
    </row>
    <row r="20222">
      <c r="A20222" s="6"/>
      <c r="B20222" s="6"/>
      <c r="H20222" s="13"/>
    </row>
    <row r="20223">
      <c r="A20223" s="6"/>
      <c r="B20223" s="6"/>
      <c r="H20223" s="13"/>
    </row>
    <row r="20224">
      <c r="A20224" s="6"/>
      <c r="B20224" s="6"/>
      <c r="H20224" s="13"/>
    </row>
    <row r="20225">
      <c r="A20225" s="6"/>
      <c r="B20225" s="6"/>
      <c r="H20225" s="13"/>
    </row>
    <row r="20226">
      <c r="A20226" s="6"/>
      <c r="B20226" s="6"/>
      <c r="H20226" s="13"/>
    </row>
    <row r="20227">
      <c r="A20227" s="6"/>
      <c r="B20227" s="6"/>
      <c r="H20227" s="13"/>
    </row>
    <row r="20228">
      <c r="A20228" s="6"/>
      <c r="B20228" s="6"/>
      <c r="H20228" s="13"/>
    </row>
    <row r="20229">
      <c r="A20229" s="6"/>
      <c r="B20229" s="6"/>
      <c r="H20229" s="13"/>
    </row>
    <row r="20230">
      <c r="A20230" s="6"/>
      <c r="B20230" s="6"/>
      <c r="H20230" s="13"/>
    </row>
    <row r="20231">
      <c r="A20231" s="6"/>
      <c r="B20231" s="6"/>
      <c r="H20231" s="13"/>
    </row>
    <row r="20232">
      <c r="A20232" s="6"/>
      <c r="B20232" s="6"/>
      <c r="H20232" s="13"/>
    </row>
    <row r="20233">
      <c r="A20233" s="6"/>
      <c r="B20233" s="6"/>
      <c r="H20233" s="13"/>
    </row>
    <row r="20234">
      <c r="A20234" s="6"/>
      <c r="B20234" s="6"/>
      <c r="H20234" s="13"/>
    </row>
    <row r="20235">
      <c r="A20235" s="6"/>
      <c r="B20235" s="6"/>
      <c r="H20235" s="13"/>
    </row>
    <row r="20236">
      <c r="A20236" s="6"/>
      <c r="B20236" s="6"/>
      <c r="H20236" s="13"/>
    </row>
    <row r="20237">
      <c r="A20237" s="6"/>
      <c r="B20237" s="6"/>
      <c r="H20237" s="13"/>
    </row>
    <row r="20238">
      <c r="A20238" s="6"/>
      <c r="B20238" s="6"/>
      <c r="H20238" s="13"/>
    </row>
    <row r="20239">
      <c r="A20239" s="6"/>
      <c r="B20239" s="6"/>
      <c r="H20239" s="13"/>
    </row>
    <row r="20240">
      <c r="A20240" s="6"/>
      <c r="B20240" s="6"/>
      <c r="H20240" s="13"/>
    </row>
    <row r="20241">
      <c r="A20241" s="6"/>
      <c r="B20241" s="6"/>
      <c r="H20241" s="13"/>
    </row>
    <row r="20242">
      <c r="A20242" s="6"/>
      <c r="B20242" s="6"/>
      <c r="H20242" s="13"/>
    </row>
    <row r="20243">
      <c r="A20243" s="6"/>
      <c r="B20243" s="6"/>
      <c r="H20243" s="13"/>
    </row>
    <row r="20244">
      <c r="A20244" s="6"/>
      <c r="B20244" s="6"/>
      <c r="H20244" s="13"/>
    </row>
    <row r="20245">
      <c r="A20245" s="6"/>
      <c r="B20245" s="6"/>
      <c r="H20245" s="13"/>
    </row>
    <row r="20246">
      <c r="A20246" s="6"/>
      <c r="B20246" s="6"/>
      <c r="H20246" s="13"/>
    </row>
    <row r="20247">
      <c r="A20247" s="6"/>
      <c r="B20247" s="6"/>
      <c r="H20247" s="13"/>
    </row>
    <row r="20248">
      <c r="A20248" s="6"/>
      <c r="B20248" s="6"/>
      <c r="H20248" s="13"/>
    </row>
    <row r="20249">
      <c r="A20249" s="6"/>
      <c r="B20249" s="6"/>
      <c r="H20249" s="13"/>
    </row>
    <row r="20250">
      <c r="A20250" s="6"/>
      <c r="B20250" s="6"/>
      <c r="H20250" s="13"/>
    </row>
    <row r="20251">
      <c r="A20251" s="6"/>
      <c r="B20251" s="6"/>
      <c r="H20251" s="13"/>
    </row>
    <row r="20252">
      <c r="A20252" s="6"/>
      <c r="B20252" s="6"/>
      <c r="H20252" s="13"/>
    </row>
    <row r="20253">
      <c r="A20253" s="6"/>
      <c r="B20253" s="6"/>
      <c r="H20253" s="13"/>
    </row>
    <row r="20254">
      <c r="A20254" s="6"/>
      <c r="B20254" s="6"/>
      <c r="H20254" s="13"/>
    </row>
    <row r="20255">
      <c r="A20255" s="6"/>
      <c r="B20255" s="6"/>
      <c r="H20255" s="13"/>
    </row>
    <row r="20256">
      <c r="A20256" s="6"/>
      <c r="B20256" s="6"/>
      <c r="H20256" s="13"/>
    </row>
    <row r="20257">
      <c r="A20257" s="6"/>
      <c r="B20257" s="6"/>
      <c r="H20257" s="13"/>
    </row>
    <row r="20258">
      <c r="A20258" s="6"/>
      <c r="B20258" s="6"/>
      <c r="H20258" s="13"/>
    </row>
    <row r="20259">
      <c r="A20259" s="6"/>
      <c r="B20259" s="6"/>
      <c r="H20259" s="13"/>
    </row>
    <row r="20260">
      <c r="A20260" s="6"/>
      <c r="B20260" s="6"/>
      <c r="H20260" s="13"/>
    </row>
    <row r="20261">
      <c r="A20261" s="6"/>
      <c r="B20261" s="6"/>
      <c r="H20261" s="13"/>
    </row>
    <row r="20262">
      <c r="A20262" s="6"/>
      <c r="B20262" s="6"/>
      <c r="H20262" s="13"/>
    </row>
    <row r="20263">
      <c r="A20263" s="6"/>
      <c r="B20263" s="6"/>
      <c r="H20263" s="13"/>
    </row>
    <row r="20264">
      <c r="A20264" s="6"/>
      <c r="B20264" s="6"/>
      <c r="H20264" s="13"/>
    </row>
    <row r="20265">
      <c r="A20265" s="6"/>
      <c r="B20265" s="6"/>
      <c r="H20265" s="13"/>
    </row>
    <row r="20266">
      <c r="A20266" s="6"/>
      <c r="B20266" s="6"/>
      <c r="H20266" s="13"/>
    </row>
    <row r="20267">
      <c r="A20267" s="6"/>
      <c r="B20267" s="6"/>
      <c r="H20267" s="13"/>
    </row>
    <row r="20268">
      <c r="A20268" s="6"/>
      <c r="B20268" s="6"/>
      <c r="H20268" s="13"/>
    </row>
    <row r="20269">
      <c r="A20269" s="6"/>
      <c r="B20269" s="6"/>
      <c r="H20269" s="13"/>
    </row>
    <row r="20270">
      <c r="A20270" s="6"/>
      <c r="B20270" s="6"/>
      <c r="H20270" s="13"/>
    </row>
    <row r="20271">
      <c r="A20271" s="6"/>
      <c r="B20271" s="6"/>
      <c r="H20271" s="13"/>
    </row>
    <row r="20272">
      <c r="A20272" s="6"/>
      <c r="B20272" s="6"/>
      <c r="H20272" s="13"/>
    </row>
    <row r="20273">
      <c r="A20273" s="6"/>
      <c r="B20273" s="6"/>
      <c r="H20273" s="13"/>
    </row>
    <row r="20274">
      <c r="A20274" s="6"/>
      <c r="B20274" s="6"/>
      <c r="H20274" s="13"/>
    </row>
    <row r="20275">
      <c r="A20275" s="6"/>
      <c r="B20275" s="6"/>
      <c r="H20275" s="13"/>
    </row>
    <row r="20276">
      <c r="A20276" s="6"/>
      <c r="B20276" s="6"/>
      <c r="H20276" s="13"/>
    </row>
    <row r="20277">
      <c r="A20277" s="6"/>
      <c r="B20277" s="6"/>
      <c r="H20277" s="13"/>
    </row>
    <row r="20278">
      <c r="A20278" s="6"/>
      <c r="B20278" s="6"/>
      <c r="H20278" s="13"/>
    </row>
    <row r="20279">
      <c r="A20279" s="6"/>
      <c r="B20279" s="6"/>
      <c r="H20279" s="13"/>
    </row>
    <row r="20280">
      <c r="A20280" s="6"/>
      <c r="B20280" s="6"/>
      <c r="H20280" s="13"/>
    </row>
    <row r="20281">
      <c r="A20281" s="6"/>
      <c r="B20281" s="6"/>
      <c r="H20281" s="13"/>
    </row>
    <row r="20282">
      <c r="A20282" s="6"/>
      <c r="B20282" s="6"/>
      <c r="H20282" s="13"/>
    </row>
    <row r="20283">
      <c r="A20283" s="6"/>
      <c r="B20283" s="6"/>
      <c r="H20283" s="13"/>
    </row>
    <row r="20284">
      <c r="A20284" s="6"/>
      <c r="B20284" s="6"/>
      <c r="H20284" s="13"/>
    </row>
    <row r="20285">
      <c r="A20285" s="6"/>
      <c r="B20285" s="6"/>
      <c r="H20285" s="13"/>
    </row>
    <row r="20286">
      <c r="A20286" s="6"/>
      <c r="B20286" s="6"/>
      <c r="H20286" s="13"/>
    </row>
    <row r="20287">
      <c r="A20287" s="6"/>
      <c r="B20287" s="6"/>
      <c r="H20287" s="13"/>
    </row>
    <row r="20288">
      <c r="A20288" s="6"/>
      <c r="B20288" s="6"/>
      <c r="H20288" s="13"/>
    </row>
    <row r="20289">
      <c r="A20289" s="6"/>
      <c r="B20289" s="6"/>
      <c r="H20289" s="13"/>
    </row>
    <row r="20290">
      <c r="A20290" s="6"/>
      <c r="B20290" s="6"/>
      <c r="H20290" s="13"/>
    </row>
    <row r="20291">
      <c r="A20291" s="6"/>
      <c r="B20291" s="6"/>
      <c r="H20291" s="13"/>
    </row>
    <row r="20292">
      <c r="A20292" s="6"/>
      <c r="B20292" s="6"/>
      <c r="H20292" s="13"/>
    </row>
    <row r="20293">
      <c r="A20293" s="6"/>
      <c r="B20293" s="6"/>
      <c r="H20293" s="13"/>
    </row>
    <row r="20294">
      <c r="A20294" s="6"/>
      <c r="B20294" s="6"/>
      <c r="H20294" s="13"/>
    </row>
    <row r="20295">
      <c r="A20295" s="6"/>
      <c r="B20295" s="6"/>
      <c r="H20295" s="13"/>
    </row>
    <row r="20296">
      <c r="A20296" s="6"/>
      <c r="B20296" s="6"/>
      <c r="H20296" s="13"/>
    </row>
    <row r="20297">
      <c r="A20297" s="6"/>
      <c r="B20297" s="6"/>
      <c r="H20297" s="13"/>
    </row>
    <row r="20298">
      <c r="A20298" s="6"/>
      <c r="B20298" s="6"/>
      <c r="H20298" s="13"/>
    </row>
    <row r="20299">
      <c r="A20299" s="6"/>
      <c r="B20299" s="6"/>
      <c r="H20299" s="13"/>
    </row>
    <row r="20300">
      <c r="A20300" s="6"/>
      <c r="B20300" s="6"/>
      <c r="H20300" s="13"/>
    </row>
    <row r="20301">
      <c r="A20301" s="6"/>
      <c r="B20301" s="6"/>
      <c r="H20301" s="13"/>
    </row>
    <row r="20302">
      <c r="A20302" s="6"/>
      <c r="B20302" s="6"/>
      <c r="H20302" s="13"/>
    </row>
    <row r="20303">
      <c r="A20303" s="6"/>
      <c r="B20303" s="6"/>
      <c r="H20303" s="13"/>
    </row>
    <row r="20304">
      <c r="A20304" s="6"/>
      <c r="B20304" s="6"/>
      <c r="H20304" s="13"/>
    </row>
    <row r="20305">
      <c r="A20305" s="6"/>
      <c r="B20305" s="6"/>
      <c r="H20305" s="13"/>
    </row>
    <row r="20306">
      <c r="A20306" s="6"/>
      <c r="B20306" s="6"/>
      <c r="H20306" s="13"/>
    </row>
    <row r="20307">
      <c r="A20307" s="6"/>
      <c r="B20307" s="6"/>
      <c r="H20307" s="13"/>
    </row>
    <row r="20308">
      <c r="A20308" s="6"/>
      <c r="B20308" s="6"/>
      <c r="H20308" s="13"/>
    </row>
    <row r="20309">
      <c r="A20309" s="6"/>
      <c r="B20309" s="6"/>
      <c r="H20309" s="13"/>
    </row>
    <row r="20310">
      <c r="A20310" s="6"/>
      <c r="B20310" s="6"/>
      <c r="H20310" s="13"/>
    </row>
    <row r="20311">
      <c r="A20311" s="6"/>
      <c r="B20311" s="6"/>
      <c r="H20311" s="13"/>
    </row>
    <row r="20312">
      <c r="A20312" s="6"/>
      <c r="B20312" s="6"/>
      <c r="H20312" s="13"/>
    </row>
    <row r="20313">
      <c r="A20313" s="6"/>
      <c r="B20313" s="6"/>
      <c r="H20313" s="13"/>
    </row>
    <row r="20314">
      <c r="A20314" s="6"/>
      <c r="B20314" s="6"/>
      <c r="H20314" s="13"/>
    </row>
    <row r="20315">
      <c r="A20315" s="6"/>
      <c r="B20315" s="6"/>
      <c r="H20315" s="13"/>
    </row>
    <row r="20316">
      <c r="A20316" s="6"/>
      <c r="B20316" s="6"/>
      <c r="H20316" s="13"/>
    </row>
    <row r="20317">
      <c r="A20317" s="6"/>
      <c r="B20317" s="6"/>
      <c r="H20317" s="13"/>
    </row>
    <row r="20318">
      <c r="A20318" s="6"/>
      <c r="B20318" s="6"/>
      <c r="H20318" s="13"/>
    </row>
    <row r="20319">
      <c r="A20319" s="6"/>
      <c r="B20319" s="6"/>
      <c r="H20319" s="13"/>
    </row>
    <row r="20320">
      <c r="A20320" s="6"/>
      <c r="B20320" s="6"/>
      <c r="H20320" s="13"/>
    </row>
    <row r="20321">
      <c r="A20321" s="6"/>
      <c r="B20321" s="6"/>
      <c r="H20321" s="13"/>
    </row>
    <row r="20322">
      <c r="A20322" s="6"/>
      <c r="B20322" s="6"/>
      <c r="H20322" s="13"/>
    </row>
    <row r="20323">
      <c r="A20323" s="6"/>
      <c r="B20323" s="6"/>
      <c r="H20323" s="13"/>
    </row>
    <row r="20324">
      <c r="A20324" s="6"/>
      <c r="B20324" s="6"/>
      <c r="H20324" s="13"/>
    </row>
    <row r="20325">
      <c r="A20325" s="6"/>
      <c r="B20325" s="6"/>
      <c r="H20325" s="13"/>
    </row>
    <row r="20326">
      <c r="A20326" s="6"/>
      <c r="B20326" s="6"/>
      <c r="H20326" s="13"/>
    </row>
    <row r="20327">
      <c r="A20327" s="6"/>
      <c r="B20327" s="6"/>
      <c r="H20327" s="13"/>
    </row>
    <row r="20328">
      <c r="A20328" s="6"/>
      <c r="B20328" s="6"/>
      <c r="H20328" s="13"/>
    </row>
    <row r="20329">
      <c r="A20329" s="6"/>
      <c r="B20329" s="6"/>
      <c r="H20329" s="13"/>
    </row>
    <row r="20330">
      <c r="A20330" s="6"/>
      <c r="B20330" s="6"/>
      <c r="H20330" s="13"/>
    </row>
    <row r="20331">
      <c r="A20331" s="6"/>
      <c r="B20331" s="6"/>
      <c r="H20331" s="13"/>
    </row>
    <row r="20332">
      <c r="A20332" s="6"/>
      <c r="B20332" s="6"/>
      <c r="H20332" s="13"/>
    </row>
    <row r="20333">
      <c r="A20333" s="6"/>
      <c r="B20333" s="6"/>
      <c r="H20333" s="13"/>
    </row>
    <row r="20334">
      <c r="A20334" s="6"/>
      <c r="B20334" s="6"/>
      <c r="H20334" s="13"/>
    </row>
    <row r="20335">
      <c r="A20335" s="6"/>
      <c r="B20335" s="6"/>
      <c r="H20335" s="13"/>
    </row>
    <row r="20336">
      <c r="A20336" s="6"/>
      <c r="B20336" s="6"/>
      <c r="H20336" s="13"/>
    </row>
    <row r="20337">
      <c r="A20337" s="6"/>
      <c r="B20337" s="6"/>
      <c r="H20337" s="13"/>
    </row>
    <row r="20338">
      <c r="A20338" s="6"/>
      <c r="B20338" s="6"/>
      <c r="H20338" s="13"/>
    </row>
    <row r="20339">
      <c r="A20339" s="6"/>
      <c r="B20339" s="6"/>
      <c r="H20339" s="13"/>
    </row>
    <row r="20340">
      <c r="A20340" s="6"/>
      <c r="B20340" s="6"/>
      <c r="H20340" s="13"/>
    </row>
    <row r="20341">
      <c r="A20341" s="6"/>
      <c r="B20341" s="6"/>
      <c r="H20341" s="13"/>
    </row>
    <row r="20342">
      <c r="A20342" s="6"/>
      <c r="B20342" s="6"/>
      <c r="H20342" s="13"/>
    </row>
    <row r="20343">
      <c r="A20343" s="6"/>
      <c r="B20343" s="6"/>
      <c r="H20343" s="13"/>
    </row>
    <row r="20344">
      <c r="A20344" s="6"/>
      <c r="B20344" s="6"/>
      <c r="H20344" s="13"/>
    </row>
    <row r="20345">
      <c r="A20345" s="6"/>
      <c r="B20345" s="6"/>
      <c r="H20345" s="13"/>
    </row>
    <row r="20346">
      <c r="A20346" s="6"/>
      <c r="B20346" s="6"/>
      <c r="H20346" s="13"/>
    </row>
    <row r="20347">
      <c r="A20347" s="6"/>
      <c r="B20347" s="6"/>
      <c r="H20347" s="13"/>
    </row>
    <row r="20348">
      <c r="A20348" s="6"/>
      <c r="B20348" s="6"/>
      <c r="H20348" s="13"/>
    </row>
    <row r="20349">
      <c r="A20349" s="6"/>
      <c r="B20349" s="6"/>
      <c r="H20349" s="13"/>
    </row>
    <row r="20350">
      <c r="A20350" s="6"/>
      <c r="B20350" s="6"/>
      <c r="H20350" s="13"/>
    </row>
    <row r="20351">
      <c r="A20351" s="6"/>
      <c r="B20351" s="6"/>
      <c r="H20351" s="13"/>
    </row>
    <row r="20352">
      <c r="A20352" s="6"/>
      <c r="B20352" s="6"/>
      <c r="H20352" s="13"/>
    </row>
    <row r="20353">
      <c r="A20353" s="6"/>
      <c r="B20353" s="6"/>
      <c r="H20353" s="13"/>
    </row>
    <row r="20354">
      <c r="A20354" s="6"/>
      <c r="B20354" s="6"/>
      <c r="H20354" s="13"/>
    </row>
    <row r="20355">
      <c r="A20355" s="6"/>
      <c r="B20355" s="6"/>
      <c r="H20355" s="13"/>
    </row>
    <row r="20356">
      <c r="A20356" s="6"/>
      <c r="B20356" s="6"/>
      <c r="H20356" s="13"/>
    </row>
    <row r="20357">
      <c r="A20357" s="6"/>
      <c r="B20357" s="6"/>
      <c r="H20357" s="13"/>
    </row>
    <row r="20358">
      <c r="A20358" s="6"/>
      <c r="B20358" s="6"/>
      <c r="H20358" s="13"/>
    </row>
    <row r="20359">
      <c r="A20359" s="6"/>
      <c r="B20359" s="6"/>
      <c r="H20359" s="13"/>
    </row>
    <row r="20360">
      <c r="A20360" s="6"/>
      <c r="B20360" s="6"/>
      <c r="H20360" s="13"/>
    </row>
    <row r="20361">
      <c r="A20361" s="6"/>
      <c r="B20361" s="6"/>
      <c r="H20361" s="13"/>
    </row>
    <row r="20362">
      <c r="A20362" s="6"/>
      <c r="B20362" s="6"/>
      <c r="H20362" s="13"/>
    </row>
    <row r="20363">
      <c r="A20363" s="6"/>
      <c r="B20363" s="6"/>
      <c r="H20363" s="13"/>
    </row>
    <row r="20364">
      <c r="A20364" s="6"/>
      <c r="B20364" s="6"/>
      <c r="H20364" s="13"/>
    </row>
    <row r="20365">
      <c r="A20365" s="6"/>
      <c r="B20365" s="6"/>
      <c r="H20365" s="13"/>
    </row>
    <row r="20366">
      <c r="A20366" s="6"/>
      <c r="B20366" s="6"/>
      <c r="H20366" s="13"/>
    </row>
    <row r="20367">
      <c r="A20367" s="6"/>
      <c r="B20367" s="6"/>
      <c r="H20367" s="13"/>
    </row>
    <row r="20368">
      <c r="A20368" s="6"/>
      <c r="B20368" s="6"/>
      <c r="H20368" s="13"/>
    </row>
    <row r="20369">
      <c r="A20369" s="6"/>
      <c r="B20369" s="6"/>
      <c r="H20369" s="13"/>
    </row>
    <row r="20370">
      <c r="A20370" s="6"/>
      <c r="B20370" s="6"/>
      <c r="H20370" s="13"/>
    </row>
    <row r="20371">
      <c r="A20371" s="6"/>
      <c r="B20371" s="6"/>
      <c r="H20371" s="13"/>
    </row>
    <row r="20372">
      <c r="A20372" s="6"/>
      <c r="B20372" s="6"/>
      <c r="H20372" s="13"/>
    </row>
    <row r="20373">
      <c r="A20373" s="6"/>
      <c r="B20373" s="6"/>
      <c r="H20373" s="13"/>
    </row>
    <row r="20374">
      <c r="A20374" s="6"/>
      <c r="B20374" s="6"/>
      <c r="H20374" s="13"/>
    </row>
    <row r="20375">
      <c r="A20375" s="6"/>
      <c r="B20375" s="6"/>
      <c r="H20375" s="13"/>
    </row>
    <row r="20376">
      <c r="A20376" s="6"/>
      <c r="B20376" s="6"/>
      <c r="H20376" s="13"/>
    </row>
    <row r="20377">
      <c r="A20377" s="6"/>
      <c r="B20377" s="6"/>
      <c r="H20377" s="13"/>
    </row>
    <row r="20378">
      <c r="A20378" s="6"/>
      <c r="B20378" s="6"/>
      <c r="H20378" s="13"/>
    </row>
    <row r="20379">
      <c r="A20379" s="6"/>
      <c r="B20379" s="6"/>
      <c r="H20379" s="13"/>
    </row>
    <row r="20380">
      <c r="A20380" s="6"/>
      <c r="B20380" s="6"/>
      <c r="H20380" s="13"/>
    </row>
    <row r="20381">
      <c r="A20381" s="6"/>
      <c r="B20381" s="6"/>
      <c r="H20381" s="13"/>
    </row>
    <row r="20382">
      <c r="A20382" s="6"/>
      <c r="B20382" s="6"/>
      <c r="H20382" s="13"/>
    </row>
    <row r="20383">
      <c r="A20383" s="6"/>
      <c r="B20383" s="6"/>
      <c r="H20383" s="13"/>
    </row>
    <row r="20384">
      <c r="A20384" s="6"/>
      <c r="B20384" s="6"/>
      <c r="H20384" s="13"/>
    </row>
    <row r="20385">
      <c r="A20385" s="6"/>
      <c r="B20385" s="6"/>
      <c r="H20385" s="13"/>
    </row>
    <row r="20386">
      <c r="A20386" s="6"/>
      <c r="B20386" s="6"/>
      <c r="H20386" s="13"/>
    </row>
    <row r="20387">
      <c r="A20387" s="6"/>
      <c r="B20387" s="6"/>
      <c r="H20387" s="13"/>
    </row>
    <row r="20388">
      <c r="A20388" s="6"/>
      <c r="B20388" s="6"/>
      <c r="H20388" s="13"/>
    </row>
    <row r="20389">
      <c r="A20389" s="6"/>
      <c r="B20389" s="6"/>
      <c r="H20389" s="13"/>
    </row>
    <row r="20390">
      <c r="A20390" s="6"/>
      <c r="B20390" s="6"/>
      <c r="H20390" s="13"/>
    </row>
    <row r="20391">
      <c r="A20391" s="6"/>
      <c r="B20391" s="6"/>
      <c r="H20391" s="13"/>
    </row>
    <row r="20392">
      <c r="A20392" s="6"/>
      <c r="B20392" s="6"/>
      <c r="H20392" s="13"/>
    </row>
    <row r="20393">
      <c r="A20393" s="6"/>
      <c r="B20393" s="6"/>
      <c r="H20393" s="13"/>
    </row>
    <row r="20394">
      <c r="A20394" s="6"/>
      <c r="B20394" s="6"/>
      <c r="H20394" s="13"/>
    </row>
    <row r="20395">
      <c r="A20395" s="6"/>
      <c r="B20395" s="6"/>
      <c r="H20395" s="13"/>
    </row>
    <row r="20396">
      <c r="A20396" s="6"/>
      <c r="B20396" s="6"/>
      <c r="H20396" s="13"/>
    </row>
    <row r="20397">
      <c r="A20397" s="6"/>
      <c r="B20397" s="6"/>
      <c r="H20397" s="13"/>
    </row>
    <row r="20398">
      <c r="A20398" s="6"/>
      <c r="B20398" s="6"/>
      <c r="H20398" s="13"/>
    </row>
    <row r="20399">
      <c r="A20399" s="6"/>
      <c r="B20399" s="6"/>
      <c r="H20399" s="13"/>
    </row>
    <row r="20400">
      <c r="A20400" s="6"/>
      <c r="B20400" s="6"/>
      <c r="H20400" s="13"/>
    </row>
    <row r="20401">
      <c r="A20401" s="6"/>
      <c r="B20401" s="6"/>
      <c r="H20401" s="13"/>
    </row>
    <row r="20402">
      <c r="A20402" s="6"/>
      <c r="B20402" s="6"/>
      <c r="H20402" s="13"/>
    </row>
    <row r="20403">
      <c r="A20403" s="6"/>
      <c r="B20403" s="6"/>
      <c r="H20403" s="13"/>
    </row>
    <row r="20404">
      <c r="A20404" s="6"/>
      <c r="B20404" s="6"/>
      <c r="H20404" s="13"/>
    </row>
    <row r="20405">
      <c r="A20405" s="6"/>
      <c r="B20405" s="6"/>
      <c r="H20405" s="13"/>
    </row>
    <row r="20406">
      <c r="A20406" s="6"/>
      <c r="B20406" s="6"/>
      <c r="H20406" s="13"/>
    </row>
    <row r="20407">
      <c r="A20407" s="6"/>
      <c r="B20407" s="6"/>
      <c r="H20407" s="13"/>
    </row>
    <row r="20408">
      <c r="A20408" s="6"/>
      <c r="B20408" s="6"/>
      <c r="H20408" s="13"/>
    </row>
    <row r="20409">
      <c r="A20409" s="6"/>
      <c r="B20409" s="6"/>
      <c r="H20409" s="13"/>
    </row>
    <row r="20410">
      <c r="A20410" s="6"/>
      <c r="B20410" s="6"/>
      <c r="H20410" s="13"/>
    </row>
    <row r="20411">
      <c r="A20411" s="6"/>
      <c r="B20411" s="6"/>
      <c r="H20411" s="13"/>
    </row>
    <row r="20412">
      <c r="A20412" s="6"/>
      <c r="B20412" s="6"/>
      <c r="H20412" s="13"/>
    </row>
    <row r="20413">
      <c r="A20413" s="6"/>
      <c r="B20413" s="6"/>
      <c r="H20413" s="13"/>
    </row>
    <row r="20414">
      <c r="A20414" s="6"/>
      <c r="B20414" s="6"/>
      <c r="H20414" s="13"/>
    </row>
    <row r="20415">
      <c r="A20415" s="6"/>
      <c r="B20415" s="6"/>
      <c r="H20415" s="13"/>
    </row>
    <row r="20416">
      <c r="A20416" s="6"/>
      <c r="B20416" s="6"/>
      <c r="H20416" s="13"/>
    </row>
    <row r="20417">
      <c r="A20417" s="6"/>
      <c r="B20417" s="6"/>
      <c r="H20417" s="13"/>
    </row>
    <row r="20418">
      <c r="A20418" s="6"/>
      <c r="B20418" s="6"/>
      <c r="H20418" s="13"/>
    </row>
    <row r="20419">
      <c r="A20419" s="6"/>
      <c r="B20419" s="6"/>
      <c r="H20419" s="13"/>
    </row>
    <row r="20420">
      <c r="A20420" s="6"/>
      <c r="B20420" s="6"/>
      <c r="H20420" s="13"/>
    </row>
    <row r="20421">
      <c r="A20421" s="6"/>
      <c r="B20421" s="6"/>
      <c r="H20421" s="13"/>
    </row>
    <row r="20422">
      <c r="A20422" s="6"/>
      <c r="B20422" s="6"/>
      <c r="H20422" s="13"/>
    </row>
    <row r="20423">
      <c r="A20423" s="6"/>
      <c r="B20423" s="6"/>
      <c r="H20423" s="13"/>
    </row>
    <row r="20424">
      <c r="A20424" s="6"/>
      <c r="B20424" s="6"/>
      <c r="H20424" s="13"/>
    </row>
    <row r="20425">
      <c r="A20425" s="6"/>
      <c r="B20425" s="6"/>
      <c r="H20425" s="13"/>
    </row>
    <row r="20426">
      <c r="A20426" s="6"/>
      <c r="B20426" s="6"/>
      <c r="H20426" s="13"/>
    </row>
    <row r="20427">
      <c r="A20427" s="6"/>
      <c r="B20427" s="6"/>
      <c r="H20427" s="13"/>
    </row>
    <row r="20428">
      <c r="A20428" s="6"/>
      <c r="B20428" s="6"/>
      <c r="H20428" s="13"/>
    </row>
    <row r="20429">
      <c r="A20429" s="6"/>
      <c r="B20429" s="6"/>
      <c r="H20429" s="13"/>
    </row>
    <row r="20430">
      <c r="A20430" s="6"/>
      <c r="B20430" s="6"/>
      <c r="H20430" s="13"/>
    </row>
    <row r="20431">
      <c r="A20431" s="6"/>
      <c r="B20431" s="6"/>
      <c r="H20431" s="13"/>
    </row>
    <row r="20432">
      <c r="A20432" s="6"/>
      <c r="B20432" s="6"/>
      <c r="H20432" s="13"/>
    </row>
    <row r="20433">
      <c r="A20433" s="6"/>
      <c r="B20433" s="6"/>
      <c r="H20433" s="13"/>
    </row>
    <row r="20434">
      <c r="A20434" s="6"/>
      <c r="B20434" s="6"/>
      <c r="H20434" s="13"/>
    </row>
    <row r="20435">
      <c r="A20435" s="6"/>
      <c r="B20435" s="6"/>
      <c r="H20435" s="13"/>
    </row>
    <row r="20436">
      <c r="A20436" s="6"/>
      <c r="B20436" s="6"/>
      <c r="H20436" s="13"/>
    </row>
    <row r="20437">
      <c r="A20437" s="6"/>
      <c r="B20437" s="6"/>
      <c r="H20437" s="13"/>
    </row>
    <row r="20438">
      <c r="A20438" s="6"/>
      <c r="B20438" s="6"/>
      <c r="H20438" s="13"/>
    </row>
    <row r="20439">
      <c r="A20439" s="6"/>
      <c r="B20439" s="6"/>
      <c r="H20439" s="13"/>
    </row>
    <row r="20440">
      <c r="A20440" s="6"/>
      <c r="B20440" s="6"/>
      <c r="H20440" s="13"/>
    </row>
    <row r="20441">
      <c r="A20441" s="6"/>
      <c r="B20441" s="6"/>
      <c r="H20441" s="13"/>
    </row>
    <row r="20442">
      <c r="A20442" s="6"/>
      <c r="B20442" s="6"/>
      <c r="H20442" s="13"/>
    </row>
    <row r="20443">
      <c r="A20443" s="6"/>
      <c r="B20443" s="6"/>
      <c r="H20443" s="13"/>
    </row>
    <row r="20444">
      <c r="A20444" s="6"/>
      <c r="B20444" s="6"/>
      <c r="H20444" s="13"/>
    </row>
    <row r="20445">
      <c r="A20445" s="6"/>
      <c r="B20445" s="6"/>
      <c r="H20445" s="13"/>
    </row>
    <row r="20446">
      <c r="A20446" s="6"/>
      <c r="B20446" s="6"/>
      <c r="H20446" s="13"/>
    </row>
    <row r="20447">
      <c r="A20447" s="6"/>
      <c r="B20447" s="6"/>
      <c r="H20447" s="13"/>
    </row>
    <row r="20448">
      <c r="A20448" s="6"/>
      <c r="B20448" s="6"/>
      <c r="H20448" s="13"/>
    </row>
    <row r="20449">
      <c r="A20449" s="6"/>
      <c r="B20449" s="6"/>
      <c r="H20449" s="13"/>
    </row>
    <row r="20450">
      <c r="A20450" s="6"/>
      <c r="B20450" s="6"/>
      <c r="H20450" s="13"/>
    </row>
    <row r="20451">
      <c r="A20451" s="6"/>
      <c r="B20451" s="6"/>
      <c r="H20451" s="13"/>
    </row>
    <row r="20452">
      <c r="A20452" s="6"/>
      <c r="B20452" s="6"/>
      <c r="H20452" s="13"/>
    </row>
    <row r="20453">
      <c r="A20453" s="6"/>
      <c r="B20453" s="6"/>
      <c r="H20453" s="13"/>
    </row>
    <row r="20454">
      <c r="A20454" s="6"/>
      <c r="B20454" s="6"/>
      <c r="H20454" s="13"/>
    </row>
    <row r="20455">
      <c r="A20455" s="6"/>
      <c r="B20455" s="6"/>
      <c r="H20455" s="13"/>
    </row>
    <row r="20456">
      <c r="A20456" s="6"/>
      <c r="B20456" s="6"/>
      <c r="H20456" s="13"/>
    </row>
    <row r="20457">
      <c r="A20457" s="6"/>
      <c r="B20457" s="6"/>
      <c r="H20457" s="13"/>
    </row>
    <row r="20458">
      <c r="A20458" s="6"/>
      <c r="B20458" s="6"/>
      <c r="H20458" s="13"/>
    </row>
    <row r="20459">
      <c r="A20459" s="6"/>
      <c r="B20459" s="6"/>
      <c r="H20459" s="13"/>
    </row>
    <row r="20460">
      <c r="A20460" s="6"/>
      <c r="B20460" s="6"/>
      <c r="H20460" s="13"/>
    </row>
    <row r="20461">
      <c r="A20461" s="6"/>
      <c r="B20461" s="6"/>
      <c r="H20461" s="13"/>
    </row>
    <row r="20462">
      <c r="A20462" s="6"/>
      <c r="B20462" s="6"/>
      <c r="H20462" s="13"/>
    </row>
    <row r="20463">
      <c r="A20463" s="6"/>
      <c r="B20463" s="6"/>
      <c r="H20463" s="13"/>
    </row>
    <row r="20464">
      <c r="A20464" s="6"/>
      <c r="B20464" s="6"/>
      <c r="H20464" s="13"/>
    </row>
    <row r="20465">
      <c r="A20465" s="6"/>
      <c r="B20465" s="6"/>
      <c r="H20465" s="13"/>
    </row>
    <row r="20466">
      <c r="A20466" s="6"/>
      <c r="B20466" s="6"/>
      <c r="H20466" s="13"/>
    </row>
    <row r="20467">
      <c r="A20467" s="6"/>
      <c r="B20467" s="6"/>
      <c r="H20467" s="13"/>
    </row>
    <row r="20468">
      <c r="A20468" s="6"/>
      <c r="B20468" s="6"/>
      <c r="H20468" s="13"/>
    </row>
    <row r="20469">
      <c r="A20469" s="6"/>
      <c r="B20469" s="6"/>
      <c r="H20469" s="13"/>
    </row>
    <row r="20470">
      <c r="A20470" s="6"/>
      <c r="B20470" s="6"/>
      <c r="H20470" s="13"/>
    </row>
    <row r="20471">
      <c r="A20471" s="6"/>
      <c r="B20471" s="6"/>
      <c r="H20471" s="13"/>
    </row>
    <row r="20472">
      <c r="A20472" s="6"/>
      <c r="B20472" s="6"/>
      <c r="H20472" s="13"/>
    </row>
    <row r="20473">
      <c r="A20473" s="6"/>
      <c r="B20473" s="6"/>
      <c r="H20473" s="13"/>
    </row>
    <row r="20474">
      <c r="A20474" s="6"/>
      <c r="B20474" s="6"/>
      <c r="H20474" s="13"/>
    </row>
    <row r="20475">
      <c r="A20475" s="6"/>
      <c r="B20475" s="6"/>
      <c r="H20475" s="13"/>
    </row>
    <row r="20476">
      <c r="A20476" s="6"/>
      <c r="B20476" s="6"/>
      <c r="H20476" s="13"/>
    </row>
    <row r="20477">
      <c r="A20477" s="6"/>
      <c r="B20477" s="6"/>
      <c r="H20477" s="13"/>
    </row>
    <row r="20478">
      <c r="A20478" s="6"/>
      <c r="B20478" s="6"/>
      <c r="H20478" s="13"/>
    </row>
    <row r="20479">
      <c r="A20479" s="6"/>
      <c r="B20479" s="6"/>
      <c r="H20479" s="13"/>
    </row>
    <row r="20480">
      <c r="A20480" s="6"/>
      <c r="B20480" s="6"/>
      <c r="H20480" s="13"/>
    </row>
    <row r="20481">
      <c r="A20481" s="6"/>
      <c r="B20481" s="6"/>
      <c r="H20481" s="13"/>
    </row>
    <row r="20482">
      <c r="A20482" s="6"/>
      <c r="B20482" s="6"/>
      <c r="H20482" s="13"/>
    </row>
    <row r="20483">
      <c r="A20483" s="6"/>
      <c r="B20483" s="6"/>
      <c r="H20483" s="13"/>
    </row>
    <row r="20484">
      <c r="A20484" s="6"/>
      <c r="B20484" s="6"/>
      <c r="H20484" s="13"/>
    </row>
    <row r="20485">
      <c r="A20485" s="6"/>
      <c r="B20485" s="6"/>
      <c r="H20485" s="13"/>
    </row>
    <row r="20486">
      <c r="A20486" s="6"/>
      <c r="B20486" s="6"/>
      <c r="H20486" s="13"/>
    </row>
    <row r="20487">
      <c r="A20487" s="6"/>
      <c r="B20487" s="6"/>
      <c r="H20487" s="13"/>
    </row>
    <row r="20488">
      <c r="A20488" s="6"/>
      <c r="B20488" s="6"/>
      <c r="H20488" s="13"/>
    </row>
    <row r="20489">
      <c r="A20489" s="6"/>
      <c r="B20489" s="6"/>
      <c r="H20489" s="13"/>
    </row>
    <row r="20490">
      <c r="A20490" s="6"/>
      <c r="B20490" s="6"/>
      <c r="H20490" s="13"/>
    </row>
    <row r="20491">
      <c r="A20491" s="6"/>
      <c r="B20491" s="6"/>
      <c r="H20491" s="13"/>
    </row>
    <row r="20492">
      <c r="A20492" s="6"/>
      <c r="B20492" s="6"/>
      <c r="H20492" s="13"/>
    </row>
    <row r="20493">
      <c r="A20493" s="6"/>
      <c r="B20493" s="6"/>
      <c r="H20493" s="13"/>
    </row>
    <row r="20494">
      <c r="A20494" s="6"/>
      <c r="B20494" s="6"/>
      <c r="H20494" s="13"/>
    </row>
    <row r="20495">
      <c r="A20495" s="6"/>
      <c r="B20495" s="6"/>
      <c r="H20495" s="13"/>
    </row>
    <row r="20496">
      <c r="A20496" s="6"/>
      <c r="B20496" s="6"/>
      <c r="H20496" s="13"/>
    </row>
    <row r="20497">
      <c r="A20497" s="6"/>
      <c r="B20497" s="6"/>
      <c r="H20497" s="13"/>
    </row>
    <row r="20498">
      <c r="A20498" s="6"/>
      <c r="B20498" s="6"/>
      <c r="H20498" s="13"/>
    </row>
    <row r="20499">
      <c r="A20499" s="6"/>
      <c r="B20499" s="6"/>
      <c r="H20499" s="13"/>
    </row>
    <row r="20500">
      <c r="A20500" s="6"/>
      <c r="B20500" s="6"/>
      <c r="H20500" s="13"/>
    </row>
    <row r="20501">
      <c r="A20501" s="6"/>
      <c r="B20501" s="6"/>
      <c r="H20501" s="13"/>
    </row>
    <row r="20502">
      <c r="A20502" s="6"/>
      <c r="B20502" s="6"/>
      <c r="H20502" s="13"/>
    </row>
    <row r="20503">
      <c r="A20503" s="6"/>
      <c r="B20503" s="6"/>
      <c r="H20503" s="13"/>
    </row>
    <row r="20504">
      <c r="A20504" s="6"/>
      <c r="B20504" s="6"/>
      <c r="H20504" s="13"/>
    </row>
    <row r="20505">
      <c r="A20505" s="6"/>
      <c r="B20505" s="6"/>
      <c r="H20505" s="13"/>
    </row>
    <row r="20506">
      <c r="A20506" s="6"/>
      <c r="B20506" s="6"/>
      <c r="H20506" s="13"/>
    </row>
    <row r="20507">
      <c r="A20507" s="6"/>
      <c r="B20507" s="6"/>
      <c r="H20507" s="13"/>
    </row>
    <row r="20508">
      <c r="A20508" s="6"/>
      <c r="B20508" s="6"/>
      <c r="H20508" s="13"/>
    </row>
    <row r="20509">
      <c r="A20509" s="6"/>
      <c r="B20509" s="6"/>
      <c r="H20509" s="13"/>
    </row>
    <row r="20510">
      <c r="A20510" s="6"/>
      <c r="B20510" s="6"/>
      <c r="H20510" s="13"/>
    </row>
    <row r="20511">
      <c r="A20511" s="6"/>
      <c r="B20511" s="6"/>
      <c r="H20511" s="13"/>
    </row>
    <row r="20512">
      <c r="A20512" s="6"/>
      <c r="B20512" s="6"/>
      <c r="H20512" s="13"/>
    </row>
    <row r="20513">
      <c r="A20513" s="6"/>
      <c r="B20513" s="6"/>
      <c r="H20513" s="13"/>
    </row>
    <row r="20514">
      <c r="A20514" s="6"/>
      <c r="B20514" s="6"/>
      <c r="H20514" s="13"/>
    </row>
    <row r="20515">
      <c r="A20515" s="6"/>
      <c r="B20515" s="6"/>
      <c r="H20515" s="13"/>
    </row>
    <row r="20516">
      <c r="A20516" s="6"/>
      <c r="B20516" s="6"/>
      <c r="H20516" s="13"/>
    </row>
    <row r="20517">
      <c r="A20517" s="6"/>
      <c r="B20517" s="6"/>
      <c r="H20517" s="13"/>
    </row>
    <row r="20518">
      <c r="A20518" s="6"/>
      <c r="B20518" s="6"/>
      <c r="H20518" s="13"/>
    </row>
    <row r="20519">
      <c r="A20519" s="6"/>
      <c r="B20519" s="6"/>
      <c r="H20519" s="13"/>
    </row>
    <row r="20520">
      <c r="A20520" s="6"/>
      <c r="B20520" s="6"/>
      <c r="H20520" s="13"/>
    </row>
    <row r="20521">
      <c r="A20521" s="6"/>
      <c r="B20521" s="6"/>
      <c r="H20521" s="13"/>
    </row>
    <row r="20522">
      <c r="A20522" s="6"/>
      <c r="B20522" s="6"/>
      <c r="H20522" s="13"/>
    </row>
    <row r="20523">
      <c r="A20523" s="6"/>
      <c r="B20523" s="6"/>
      <c r="H20523" s="13"/>
    </row>
    <row r="20524">
      <c r="A20524" s="6"/>
      <c r="B20524" s="6"/>
      <c r="H20524" s="13"/>
    </row>
    <row r="20525">
      <c r="A20525" s="6"/>
      <c r="B20525" s="6"/>
      <c r="H20525" s="13"/>
    </row>
    <row r="20526">
      <c r="A20526" s="6"/>
      <c r="B20526" s="6"/>
      <c r="H20526" s="13"/>
    </row>
    <row r="20527">
      <c r="A20527" s="6"/>
      <c r="B20527" s="6"/>
      <c r="H20527" s="13"/>
    </row>
    <row r="20528">
      <c r="A20528" s="6"/>
      <c r="B20528" s="6"/>
      <c r="H20528" s="13"/>
    </row>
    <row r="20529">
      <c r="A20529" s="6"/>
      <c r="B20529" s="6"/>
      <c r="H20529" s="13"/>
    </row>
    <row r="20530">
      <c r="A20530" s="6"/>
      <c r="B20530" s="6"/>
      <c r="H20530" s="13"/>
    </row>
    <row r="20531">
      <c r="A20531" s="6"/>
      <c r="B20531" s="6"/>
      <c r="H20531" s="13"/>
    </row>
    <row r="20532">
      <c r="A20532" s="6"/>
      <c r="B20532" s="6"/>
      <c r="H20532" s="13"/>
    </row>
    <row r="20533">
      <c r="A20533" s="6"/>
      <c r="B20533" s="6"/>
      <c r="H20533" s="13"/>
    </row>
    <row r="20534">
      <c r="A20534" s="6"/>
      <c r="B20534" s="6"/>
      <c r="H20534" s="13"/>
    </row>
    <row r="20535">
      <c r="A20535" s="6"/>
      <c r="B20535" s="6"/>
      <c r="H20535" s="13"/>
    </row>
    <row r="20536">
      <c r="A20536" s="6"/>
      <c r="B20536" s="6"/>
      <c r="H20536" s="13"/>
    </row>
    <row r="20537">
      <c r="A20537" s="6"/>
      <c r="B20537" s="6"/>
      <c r="H20537" s="13"/>
    </row>
    <row r="20538">
      <c r="A20538" s="6"/>
      <c r="B20538" s="6"/>
      <c r="H20538" s="13"/>
    </row>
    <row r="20539">
      <c r="A20539" s="6"/>
      <c r="B20539" s="6"/>
      <c r="H20539" s="13"/>
    </row>
    <row r="20540">
      <c r="A20540" s="6"/>
      <c r="B20540" s="6"/>
      <c r="H20540" s="13"/>
    </row>
    <row r="20541">
      <c r="A20541" s="6"/>
      <c r="B20541" s="6"/>
      <c r="H20541" s="13"/>
    </row>
    <row r="20542">
      <c r="A20542" s="6"/>
      <c r="B20542" s="6"/>
      <c r="H20542" s="13"/>
    </row>
    <row r="20543">
      <c r="A20543" s="6"/>
      <c r="B20543" s="6"/>
      <c r="H20543" s="13"/>
    </row>
    <row r="20544">
      <c r="A20544" s="6"/>
      <c r="B20544" s="6"/>
      <c r="H20544" s="13"/>
    </row>
    <row r="20545">
      <c r="A20545" s="6"/>
      <c r="B20545" s="6"/>
      <c r="H20545" s="13"/>
    </row>
    <row r="20546">
      <c r="A20546" s="6"/>
      <c r="B20546" s="6"/>
      <c r="H20546" s="13"/>
    </row>
    <row r="20547">
      <c r="A20547" s="6"/>
      <c r="B20547" s="6"/>
      <c r="H20547" s="13"/>
    </row>
    <row r="20548">
      <c r="A20548" s="6"/>
      <c r="B20548" s="6"/>
      <c r="H20548" s="13"/>
    </row>
    <row r="20549">
      <c r="A20549" s="6"/>
      <c r="B20549" s="6"/>
      <c r="H20549" s="13"/>
    </row>
    <row r="20550">
      <c r="A20550" s="6"/>
      <c r="B20550" s="6"/>
      <c r="H20550" s="13"/>
    </row>
    <row r="20551">
      <c r="A20551" s="6"/>
      <c r="B20551" s="6"/>
      <c r="H20551" s="13"/>
    </row>
    <row r="20552">
      <c r="A20552" s="6"/>
      <c r="B20552" s="6"/>
      <c r="H20552" s="13"/>
    </row>
    <row r="20553">
      <c r="A20553" s="6"/>
      <c r="B20553" s="6"/>
      <c r="H20553" s="13"/>
    </row>
    <row r="20554">
      <c r="A20554" s="6"/>
      <c r="B20554" s="6"/>
      <c r="H20554" s="13"/>
    </row>
    <row r="20555">
      <c r="A20555" s="6"/>
      <c r="B20555" s="6"/>
      <c r="H20555" s="13"/>
    </row>
    <row r="20556">
      <c r="A20556" s="6"/>
      <c r="B20556" s="6"/>
      <c r="H20556" s="13"/>
    </row>
    <row r="20557">
      <c r="A20557" s="6"/>
      <c r="B20557" s="6"/>
      <c r="H20557" s="13"/>
    </row>
    <row r="20558">
      <c r="A20558" s="6"/>
      <c r="B20558" s="6"/>
      <c r="H20558" s="13"/>
    </row>
    <row r="20559">
      <c r="A20559" s="6"/>
      <c r="B20559" s="6"/>
      <c r="H20559" s="13"/>
    </row>
    <row r="20560">
      <c r="A20560" s="6"/>
      <c r="B20560" s="6"/>
      <c r="H20560" s="13"/>
    </row>
    <row r="20561">
      <c r="A20561" s="6"/>
      <c r="B20561" s="6"/>
      <c r="H20561" s="13"/>
    </row>
    <row r="20562">
      <c r="A20562" s="6"/>
      <c r="B20562" s="6"/>
      <c r="H20562" s="13"/>
    </row>
    <row r="20563">
      <c r="A20563" s="6"/>
      <c r="B20563" s="6"/>
      <c r="H20563" s="13"/>
    </row>
    <row r="20564">
      <c r="A20564" s="6"/>
      <c r="B20564" s="6"/>
      <c r="H20564" s="13"/>
    </row>
    <row r="20565">
      <c r="A20565" s="6"/>
      <c r="B20565" s="6"/>
      <c r="H20565" s="13"/>
    </row>
    <row r="20566">
      <c r="A20566" s="6"/>
      <c r="B20566" s="6"/>
      <c r="H20566" s="13"/>
    </row>
    <row r="20567">
      <c r="A20567" s="6"/>
      <c r="B20567" s="6"/>
      <c r="H20567" s="13"/>
    </row>
    <row r="20568">
      <c r="A20568" s="6"/>
      <c r="B20568" s="6"/>
      <c r="H20568" s="13"/>
    </row>
    <row r="20569">
      <c r="A20569" s="6"/>
      <c r="B20569" s="6"/>
      <c r="H20569" s="13"/>
    </row>
    <row r="20570">
      <c r="A20570" s="6"/>
      <c r="B20570" s="6"/>
      <c r="H20570" s="13"/>
    </row>
    <row r="20571">
      <c r="A20571" s="6"/>
      <c r="B20571" s="6"/>
      <c r="H20571" s="13"/>
    </row>
    <row r="20572">
      <c r="A20572" s="6"/>
      <c r="B20572" s="6"/>
      <c r="H20572" s="13"/>
    </row>
    <row r="20573">
      <c r="A20573" s="6"/>
      <c r="B20573" s="6"/>
      <c r="H20573" s="13"/>
    </row>
    <row r="20574">
      <c r="A20574" s="6"/>
      <c r="B20574" s="6"/>
      <c r="H20574" s="13"/>
    </row>
    <row r="20575">
      <c r="A20575" s="6"/>
      <c r="B20575" s="6"/>
      <c r="H20575" s="13"/>
    </row>
    <row r="20576">
      <c r="A20576" s="6"/>
      <c r="B20576" s="6"/>
      <c r="H20576" s="13"/>
    </row>
    <row r="20577">
      <c r="A20577" s="6"/>
      <c r="B20577" s="6"/>
      <c r="H20577" s="13"/>
    </row>
    <row r="20578">
      <c r="A20578" s="6"/>
      <c r="B20578" s="6"/>
      <c r="H20578" s="13"/>
    </row>
    <row r="20579">
      <c r="A20579" s="6"/>
      <c r="B20579" s="6"/>
      <c r="H20579" s="13"/>
    </row>
    <row r="20580">
      <c r="A20580" s="6"/>
      <c r="B20580" s="6"/>
      <c r="H20580" s="13"/>
    </row>
    <row r="20581">
      <c r="A20581" s="6"/>
      <c r="B20581" s="6"/>
      <c r="H20581" s="13"/>
    </row>
    <row r="20582">
      <c r="A20582" s="6"/>
      <c r="B20582" s="6"/>
      <c r="H20582" s="13"/>
    </row>
    <row r="20583">
      <c r="A20583" s="6"/>
      <c r="B20583" s="6"/>
      <c r="H20583" s="13"/>
    </row>
    <row r="20584">
      <c r="A20584" s="6"/>
      <c r="B20584" s="6"/>
      <c r="H20584" s="13"/>
    </row>
    <row r="20585">
      <c r="A20585" s="6"/>
      <c r="B20585" s="6"/>
      <c r="H20585" s="13"/>
    </row>
    <row r="20586">
      <c r="A20586" s="6"/>
      <c r="B20586" s="6"/>
      <c r="H20586" s="13"/>
    </row>
    <row r="20587">
      <c r="A20587" s="6"/>
      <c r="B20587" s="6"/>
      <c r="H20587" s="13"/>
    </row>
    <row r="20588">
      <c r="A20588" s="6"/>
      <c r="B20588" s="6"/>
      <c r="H20588" s="13"/>
    </row>
    <row r="20589">
      <c r="A20589" s="6"/>
      <c r="B20589" s="6"/>
      <c r="H20589" s="13"/>
    </row>
    <row r="20590">
      <c r="A20590" s="6"/>
      <c r="B20590" s="6"/>
      <c r="H20590" s="13"/>
    </row>
    <row r="20591">
      <c r="A20591" s="6"/>
      <c r="B20591" s="6"/>
      <c r="H20591" s="13"/>
    </row>
    <row r="20592">
      <c r="A20592" s="6"/>
      <c r="B20592" s="6"/>
      <c r="H20592" s="13"/>
    </row>
    <row r="20593">
      <c r="A20593" s="6"/>
      <c r="B20593" s="6"/>
      <c r="H20593" s="13"/>
    </row>
    <row r="20594">
      <c r="A20594" s="6"/>
      <c r="B20594" s="6"/>
      <c r="H20594" s="13"/>
    </row>
    <row r="20595">
      <c r="A20595" s="6"/>
      <c r="B20595" s="6"/>
      <c r="H20595" s="13"/>
    </row>
    <row r="20596">
      <c r="A20596" s="6"/>
      <c r="B20596" s="6"/>
      <c r="H20596" s="13"/>
    </row>
    <row r="20597">
      <c r="A20597" s="6"/>
      <c r="B20597" s="6"/>
      <c r="H20597" s="13"/>
    </row>
    <row r="20598">
      <c r="A20598" s="6"/>
      <c r="B20598" s="6"/>
      <c r="H20598" s="13"/>
    </row>
    <row r="20599">
      <c r="A20599" s="6"/>
      <c r="B20599" s="6"/>
      <c r="H20599" s="13"/>
    </row>
    <row r="20600">
      <c r="A20600" s="6"/>
      <c r="B20600" s="6"/>
      <c r="H20600" s="13"/>
    </row>
    <row r="20601">
      <c r="A20601" s="6"/>
      <c r="B20601" s="6"/>
      <c r="H20601" s="13"/>
    </row>
    <row r="20602">
      <c r="A20602" s="6"/>
      <c r="B20602" s="6"/>
      <c r="H20602" s="13"/>
    </row>
    <row r="20603">
      <c r="A20603" s="6"/>
      <c r="B20603" s="6"/>
      <c r="H20603" s="13"/>
    </row>
    <row r="20604">
      <c r="A20604" s="6"/>
      <c r="B20604" s="6"/>
      <c r="H20604" s="13"/>
    </row>
    <row r="20605">
      <c r="A20605" s="6"/>
      <c r="B20605" s="6"/>
      <c r="H20605" s="13"/>
    </row>
    <row r="20606">
      <c r="A20606" s="6"/>
      <c r="B20606" s="6"/>
      <c r="H20606" s="13"/>
    </row>
    <row r="20607">
      <c r="A20607" s="6"/>
      <c r="B20607" s="6"/>
      <c r="H20607" s="13"/>
    </row>
    <row r="20608">
      <c r="A20608" s="6"/>
      <c r="B20608" s="6"/>
      <c r="H20608" s="13"/>
    </row>
    <row r="20609">
      <c r="A20609" s="6"/>
      <c r="B20609" s="6"/>
      <c r="H20609" s="13"/>
    </row>
    <row r="20610">
      <c r="A20610" s="6"/>
      <c r="B20610" s="6"/>
      <c r="H20610" s="13"/>
    </row>
    <row r="20611">
      <c r="A20611" s="6"/>
      <c r="B20611" s="6"/>
      <c r="H20611" s="13"/>
    </row>
    <row r="20612">
      <c r="A20612" s="6"/>
      <c r="B20612" s="6"/>
      <c r="H20612" s="13"/>
    </row>
    <row r="20613">
      <c r="A20613" s="6"/>
      <c r="B20613" s="6"/>
      <c r="H20613" s="13"/>
    </row>
    <row r="20614">
      <c r="A20614" s="6"/>
      <c r="B20614" s="6"/>
      <c r="H20614" s="13"/>
    </row>
    <row r="20615">
      <c r="A20615" s="6"/>
      <c r="B20615" s="6"/>
      <c r="H20615" s="13"/>
    </row>
    <row r="20616">
      <c r="A20616" s="6"/>
      <c r="B20616" s="6"/>
      <c r="H20616" s="13"/>
    </row>
    <row r="20617">
      <c r="A20617" s="6"/>
      <c r="B20617" s="6"/>
      <c r="H20617" s="13"/>
    </row>
    <row r="20618">
      <c r="A20618" s="6"/>
      <c r="B20618" s="6"/>
      <c r="H20618" s="13"/>
    </row>
    <row r="20619">
      <c r="A20619" s="6"/>
      <c r="B20619" s="6"/>
      <c r="H20619" s="13"/>
    </row>
    <row r="20620">
      <c r="A20620" s="6"/>
      <c r="B20620" s="6"/>
      <c r="H20620" s="13"/>
    </row>
    <row r="20621">
      <c r="A20621" s="6"/>
      <c r="B20621" s="6"/>
      <c r="H20621" s="13"/>
    </row>
    <row r="20622">
      <c r="A20622" s="6"/>
      <c r="B20622" s="6"/>
      <c r="H20622" s="13"/>
    </row>
    <row r="20623">
      <c r="A20623" s="6"/>
      <c r="B20623" s="6"/>
      <c r="H20623" s="13"/>
    </row>
    <row r="20624">
      <c r="A20624" s="6"/>
      <c r="B20624" s="6"/>
      <c r="H20624" s="13"/>
    </row>
    <row r="20625">
      <c r="A20625" s="6"/>
      <c r="B20625" s="6"/>
      <c r="H20625" s="13"/>
    </row>
    <row r="20626">
      <c r="A20626" s="6"/>
      <c r="B20626" s="6"/>
      <c r="H20626" s="13"/>
    </row>
    <row r="20627">
      <c r="A20627" s="6"/>
      <c r="B20627" s="6"/>
      <c r="H20627" s="13"/>
    </row>
    <row r="20628">
      <c r="A20628" s="6"/>
      <c r="B20628" s="6"/>
      <c r="H20628" s="13"/>
    </row>
    <row r="20629">
      <c r="A20629" s="6"/>
      <c r="B20629" s="6"/>
      <c r="H20629" s="13"/>
    </row>
    <row r="20630">
      <c r="A20630" s="6"/>
      <c r="B20630" s="6"/>
      <c r="H20630" s="13"/>
    </row>
    <row r="20631">
      <c r="A20631" s="6"/>
      <c r="B20631" s="6"/>
      <c r="H20631" s="13"/>
    </row>
    <row r="20632">
      <c r="A20632" s="6"/>
      <c r="B20632" s="6"/>
      <c r="H20632" s="13"/>
    </row>
    <row r="20633">
      <c r="A20633" s="6"/>
      <c r="B20633" s="6"/>
      <c r="H20633" s="13"/>
    </row>
    <row r="20634">
      <c r="A20634" s="6"/>
      <c r="B20634" s="6"/>
      <c r="H20634" s="13"/>
    </row>
    <row r="20635">
      <c r="A20635" s="6"/>
      <c r="B20635" s="6"/>
      <c r="H20635" s="13"/>
    </row>
    <row r="20636">
      <c r="A20636" s="6"/>
      <c r="B20636" s="6"/>
      <c r="H20636" s="13"/>
    </row>
    <row r="20637">
      <c r="A20637" s="6"/>
      <c r="B20637" s="6"/>
      <c r="H20637" s="13"/>
    </row>
    <row r="20638">
      <c r="A20638" s="6"/>
      <c r="B20638" s="6"/>
      <c r="H20638" s="13"/>
    </row>
    <row r="20639">
      <c r="A20639" s="6"/>
      <c r="B20639" s="6"/>
      <c r="H20639" s="13"/>
    </row>
    <row r="20640">
      <c r="A20640" s="6"/>
      <c r="B20640" s="6"/>
      <c r="H20640" s="13"/>
    </row>
    <row r="20641">
      <c r="A20641" s="6"/>
      <c r="B20641" s="6"/>
      <c r="H20641" s="13"/>
    </row>
    <row r="20642">
      <c r="A20642" s="6"/>
      <c r="B20642" s="6"/>
      <c r="H20642" s="13"/>
    </row>
    <row r="20643">
      <c r="A20643" s="6"/>
      <c r="B20643" s="6"/>
      <c r="H20643" s="13"/>
    </row>
    <row r="20644">
      <c r="A20644" s="6"/>
      <c r="B20644" s="6"/>
      <c r="H20644" s="13"/>
    </row>
    <row r="20645">
      <c r="A20645" s="6"/>
      <c r="B20645" s="6"/>
      <c r="H20645" s="13"/>
    </row>
    <row r="20646">
      <c r="A20646" s="6"/>
      <c r="B20646" s="6"/>
      <c r="H20646" s="13"/>
    </row>
    <row r="20647">
      <c r="A20647" s="6"/>
      <c r="B20647" s="6"/>
      <c r="H20647" s="13"/>
    </row>
    <row r="20648">
      <c r="A20648" s="6"/>
      <c r="B20648" s="6"/>
      <c r="H20648" s="13"/>
    </row>
    <row r="20649">
      <c r="A20649" s="6"/>
      <c r="B20649" s="6"/>
      <c r="H20649" s="13"/>
    </row>
    <row r="20650">
      <c r="A20650" s="6"/>
      <c r="B20650" s="6"/>
      <c r="H20650" s="13"/>
    </row>
    <row r="20651">
      <c r="A20651" s="6"/>
      <c r="B20651" s="6"/>
      <c r="H20651" s="13"/>
    </row>
    <row r="20652">
      <c r="A20652" s="6"/>
      <c r="B20652" s="6"/>
      <c r="H20652" s="13"/>
    </row>
    <row r="20653">
      <c r="A20653" s="6"/>
      <c r="B20653" s="6"/>
      <c r="H20653" s="13"/>
    </row>
    <row r="20654">
      <c r="A20654" s="6"/>
      <c r="B20654" s="6"/>
      <c r="H20654" s="13"/>
    </row>
    <row r="20655">
      <c r="A20655" s="6"/>
      <c r="B20655" s="6"/>
      <c r="H20655" s="13"/>
    </row>
    <row r="20656">
      <c r="A20656" s="6"/>
      <c r="B20656" s="6"/>
      <c r="H20656" s="13"/>
    </row>
    <row r="20657">
      <c r="A20657" s="6"/>
      <c r="B20657" s="6"/>
      <c r="H20657" s="13"/>
    </row>
    <row r="20658">
      <c r="A20658" s="6"/>
      <c r="B20658" s="6"/>
      <c r="H20658" s="13"/>
    </row>
    <row r="20659">
      <c r="A20659" s="6"/>
      <c r="B20659" s="6"/>
      <c r="H20659" s="13"/>
    </row>
    <row r="20660">
      <c r="A20660" s="6"/>
      <c r="B20660" s="6"/>
      <c r="H20660" s="13"/>
    </row>
    <row r="20661">
      <c r="A20661" s="6"/>
      <c r="B20661" s="6"/>
      <c r="H20661" s="13"/>
    </row>
    <row r="20662">
      <c r="A20662" s="6"/>
      <c r="B20662" s="6"/>
      <c r="H20662" s="13"/>
    </row>
    <row r="20663">
      <c r="A20663" s="6"/>
      <c r="B20663" s="6"/>
      <c r="H20663" s="13"/>
    </row>
    <row r="20664">
      <c r="A20664" s="6"/>
      <c r="B20664" s="6"/>
      <c r="H20664" s="13"/>
    </row>
    <row r="20665">
      <c r="A20665" s="6"/>
      <c r="B20665" s="6"/>
      <c r="H20665" s="13"/>
    </row>
    <row r="20666">
      <c r="A20666" s="6"/>
      <c r="B20666" s="6"/>
      <c r="H20666" s="13"/>
    </row>
    <row r="20667">
      <c r="A20667" s="6"/>
      <c r="B20667" s="6"/>
      <c r="H20667" s="13"/>
    </row>
    <row r="20668">
      <c r="A20668" s="6"/>
      <c r="B20668" s="6"/>
      <c r="H20668" s="13"/>
    </row>
    <row r="20669">
      <c r="A20669" s="6"/>
      <c r="B20669" s="6"/>
      <c r="H20669" s="13"/>
    </row>
    <row r="20670">
      <c r="A20670" s="6"/>
      <c r="B20670" s="6"/>
      <c r="H20670" s="13"/>
    </row>
    <row r="20671">
      <c r="A20671" s="6"/>
      <c r="B20671" s="6"/>
      <c r="H20671" s="13"/>
    </row>
    <row r="20672">
      <c r="A20672" s="6"/>
      <c r="B20672" s="6"/>
      <c r="H20672" s="13"/>
    </row>
    <row r="20673">
      <c r="A20673" s="6"/>
      <c r="B20673" s="6"/>
      <c r="H20673" s="13"/>
    </row>
    <row r="20674">
      <c r="A20674" s="6"/>
      <c r="B20674" s="6"/>
      <c r="H20674" s="13"/>
    </row>
    <row r="20675">
      <c r="A20675" s="6"/>
      <c r="B20675" s="6"/>
      <c r="H20675" s="13"/>
    </row>
    <row r="20676">
      <c r="A20676" s="6"/>
      <c r="B20676" s="6"/>
      <c r="H20676" s="13"/>
    </row>
    <row r="20677">
      <c r="A20677" s="6"/>
      <c r="B20677" s="6"/>
      <c r="H20677" s="13"/>
    </row>
    <row r="20678">
      <c r="A20678" s="6"/>
      <c r="B20678" s="6"/>
      <c r="H20678" s="13"/>
    </row>
    <row r="20679">
      <c r="A20679" s="6"/>
      <c r="B20679" s="6"/>
      <c r="H20679" s="13"/>
    </row>
    <row r="20680">
      <c r="A20680" s="6"/>
      <c r="B20680" s="6"/>
      <c r="H20680" s="13"/>
    </row>
    <row r="20681">
      <c r="A20681" s="6"/>
      <c r="B20681" s="6"/>
      <c r="H20681" s="13"/>
    </row>
    <row r="20682">
      <c r="A20682" s="6"/>
      <c r="B20682" s="6"/>
      <c r="H20682" s="13"/>
    </row>
    <row r="20683">
      <c r="A20683" s="6"/>
      <c r="B20683" s="6"/>
      <c r="H20683" s="13"/>
    </row>
    <row r="20684">
      <c r="A20684" s="6"/>
      <c r="B20684" s="6"/>
      <c r="H20684" s="13"/>
    </row>
    <row r="20685">
      <c r="A20685" s="6"/>
      <c r="B20685" s="6"/>
      <c r="H20685" s="13"/>
    </row>
    <row r="20686">
      <c r="A20686" s="6"/>
      <c r="B20686" s="6"/>
      <c r="H20686" s="13"/>
    </row>
    <row r="20687">
      <c r="A20687" s="6"/>
      <c r="B20687" s="6"/>
      <c r="H20687" s="13"/>
    </row>
    <row r="20688">
      <c r="A20688" s="6"/>
      <c r="B20688" s="6"/>
      <c r="H20688" s="13"/>
    </row>
    <row r="20689">
      <c r="A20689" s="6"/>
      <c r="B20689" s="6"/>
      <c r="H20689" s="13"/>
    </row>
    <row r="20690">
      <c r="A20690" s="6"/>
      <c r="B20690" s="6"/>
      <c r="H20690" s="13"/>
    </row>
    <row r="20691">
      <c r="A20691" s="6"/>
      <c r="B20691" s="6"/>
      <c r="H20691" s="13"/>
    </row>
    <row r="20692">
      <c r="A20692" s="6"/>
      <c r="B20692" s="6"/>
      <c r="H20692" s="13"/>
    </row>
    <row r="20693">
      <c r="A20693" s="6"/>
      <c r="B20693" s="6"/>
      <c r="H20693" s="13"/>
    </row>
    <row r="20694">
      <c r="A20694" s="6"/>
      <c r="B20694" s="6"/>
      <c r="H20694" s="13"/>
    </row>
    <row r="20695">
      <c r="A20695" s="6"/>
      <c r="B20695" s="6"/>
      <c r="H20695" s="13"/>
    </row>
    <row r="20696">
      <c r="A20696" s="6"/>
      <c r="B20696" s="6"/>
      <c r="H20696" s="13"/>
    </row>
    <row r="20697">
      <c r="A20697" s="6"/>
      <c r="B20697" s="6"/>
      <c r="H20697" s="13"/>
    </row>
    <row r="20698">
      <c r="A20698" s="6"/>
      <c r="B20698" s="6"/>
      <c r="H20698" s="13"/>
    </row>
    <row r="20699">
      <c r="A20699" s="6"/>
      <c r="B20699" s="6"/>
      <c r="H20699" s="13"/>
    </row>
    <row r="20700">
      <c r="A20700" s="6"/>
      <c r="B20700" s="6"/>
      <c r="H20700" s="13"/>
    </row>
    <row r="20701">
      <c r="A20701" s="6"/>
      <c r="B20701" s="6"/>
      <c r="H20701" s="13"/>
    </row>
    <row r="20702">
      <c r="A20702" s="6"/>
      <c r="B20702" s="6"/>
      <c r="H20702" s="13"/>
    </row>
    <row r="20703">
      <c r="A20703" s="6"/>
      <c r="B20703" s="6"/>
      <c r="H20703" s="13"/>
    </row>
    <row r="20704">
      <c r="A20704" s="6"/>
      <c r="B20704" s="6"/>
      <c r="H20704" s="13"/>
    </row>
    <row r="20705">
      <c r="A20705" s="6"/>
      <c r="B20705" s="6"/>
      <c r="H20705" s="13"/>
    </row>
    <row r="20706">
      <c r="A20706" s="6"/>
      <c r="B20706" s="6"/>
      <c r="H20706" s="13"/>
    </row>
    <row r="20707">
      <c r="A20707" s="6"/>
      <c r="B20707" s="6"/>
      <c r="H20707" s="13"/>
    </row>
    <row r="20708">
      <c r="A20708" s="6"/>
      <c r="B20708" s="6"/>
      <c r="H20708" s="13"/>
    </row>
    <row r="20709">
      <c r="A20709" s="6"/>
      <c r="B20709" s="6"/>
      <c r="H20709" s="13"/>
    </row>
    <row r="20710">
      <c r="A20710" s="6"/>
      <c r="B20710" s="6"/>
      <c r="H20710" s="13"/>
    </row>
    <row r="20711">
      <c r="A20711" s="6"/>
      <c r="B20711" s="6"/>
      <c r="H20711" s="13"/>
    </row>
    <row r="20712">
      <c r="A20712" s="6"/>
      <c r="B20712" s="6"/>
      <c r="H20712" s="13"/>
    </row>
    <row r="20713">
      <c r="A20713" s="6"/>
      <c r="B20713" s="6"/>
      <c r="H20713" s="13"/>
    </row>
    <row r="20714">
      <c r="A20714" s="6"/>
      <c r="B20714" s="6"/>
      <c r="H20714" s="13"/>
    </row>
    <row r="20715">
      <c r="A20715" s="6"/>
      <c r="B20715" s="6"/>
      <c r="H20715" s="13"/>
    </row>
    <row r="20716">
      <c r="A20716" s="6"/>
      <c r="B20716" s="6"/>
      <c r="H20716" s="13"/>
    </row>
    <row r="20717">
      <c r="A20717" s="6"/>
      <c r="B20717" s="6"/>
      <c r="H20717" s="13"/>
    </row>
    <row r="20718">
      <c r="A20718" s="6"/>
      <c r="B20718" s="6"/>
      <c r="H20718" s="13"/>
    </row>
    <row r="20719">
      <c r="A20719" s="6"/>
      <c r="B20719" s="6"/>
      <c r="H20719" s="13"/>
    </row>
    <row r="20720">
      <c r="A20720" s="6"/>
      <c r="B20720" s="6"/>
      <c r="H20720" s="13"/>
    </row>
    <row r="20721">
      <c r="A20721" s="6"/>
      <c r="B20721" s="6"/>
      <c r="H20721" s="13"/>
    </row>
    <row r="20722">
      <c r="A20722" s="6"/>
      <c r="B20722" s="6"/>
      <c r="H20722" s="13"/>
    </row>
    <row r="20723">
      <c r="A20723" s="6"/>
      <c r="B20723" s="6"/>
      <c r="H20723" s="13"/>
    </row>
    <row r="20724">
      <c r="A20724" s="6"/>
      <c r="B20724" s="6"/>
      <c r="H20724" s="13"/>
    </row>
    <row r="20725">
      <c r="A20725" s="6"/>
      <c r="B20725" s="6"/>
      <c r="H20725" s="13"/>
    </row>
    <row r="20726">
      <c r="A20726" s="6"/>
      <c r="B20726" s="6"/>
      <c r="H20726" s="13"/>
    </row>
    <row r="20727">
      <c r="A20727" s="6"/>
      <c r="B20727" s="6"/>
      <c r="H20727" s="13"/>
    </row>
    <row r="20728">
      <c r="A20728" s="6"/>
      <c r="B20728" s="6"/>
      <c r="H20728" s="13"/>
    </row>
    <row r="20729">
      <c r="A20729" s="6"/>
      <c r="B20729" s="6"/>
      <c r="H20729" s="13"/>
    </row>
    <row r="20730">
      <c r="A20730" s="6"/>
      <c r="B20730" s="6"/>
      <c r="H20730" s="13"/>
    </row>
    <row r="20731">
      <c r="A20731" s="6"/>
      <c r="B20731" s="6"/>
      <c r="H20731" s="13"/>
    </row>
    <row r="20732">
      <c r="A20732" s="6"/>
      <c r="B20732" s="6"/>
      <c r="H20732" s="13"/>
    </row>
    <row r="20733">
      <c r="A20733" s="6"/>
      <c r="B20733" s="6"/>
      <c r="H20733" s="13"/>
    </row>
    <row r="20734">
      <c r="A20734" s="6"/>
      <c r="B20734" s="6"/>
      <c r="H20734" s="13"/>
    </row>
    <row r="20735">
      <c r="A20735" s="6"/>
      <c r="B20735" s="6"/>
      <c r="H20735" s="13"/>
    </row>
    <row r="20736">
      <c r="A20736" s="6"/>
      <c r="B20736" s="6"/>
      <c r="H20736" s="13"/>
    </row>
    <row r="20737">
      <c r="A20737" s="6"/>
      <c r="B20737" s="6"/>
      <c r="H20737" s="13"/>
    </row>
    <row r="20738">
      <c r="A20738" s="6"/>
      <c r="B20738" s="6"/>
      <c r="H20738" s="13"/>
    </row>
    <row r="20739">
      <c r="A20739" s="6"/>
      <c r="B20739" s="6"/>
      <c r="H20739" s="13"/>
    </row>
    <row r="20740">
      <c r="A20740" s="6"/>
      <c r="B20740" s="6"/>
      <c r="H20740" s="13"/>
    </row>
    <row r="20741">
      <c r="A20741" s="6"/>
      <c r="B20741" s="6"/>
      <c r="H20741" s="13"/>
    </row>
    <row r="20742">
      <c r="A20742" s="6"/>
      <c r="B20742" s="6"/>
      <c r="H20742" s="13"/>
    </row>
    <row r="20743">
      <c r="A20743" s="6"/>
      <c r="B20743" s="6"/>
      <c r="H20743" s="13"/>
    </row>
    <row r="20744">
      <c r="A20744" s="6"/>
      <c r="B20744" s="6"/>
      <c r="H20744" s="13"/>
    </row>
    <row r="20745">
      <c r="A20745" s="6"/>
      <c r="B20745" s="6"/>
      <c r="H20745" s="13"/>
    </row>
    <row r="20746">
      <c r="A20746" s="6"/>
      <c r="B20746" s="6"/>
      <c r="H20746" s="13"/>
    </row>
    <row r="20747">
      <c r="A20747" s="6"/>
      <c r="B20747" s="6"/>
      <c r="H20747" s="13"/>
    </row>
    <row r="20748">
      <c r="A20748" s="6"/>
      <c r="B20748" s="6"/>
      <c r="H20748" s="13"/>
    </row>
    <row r="20749">
      <c r="A20749" s="6"/>
      <c r="B20749" s="6"/>
      <c r="H20749" s="13"/>
    </row>
    <row r="20750">
      <c r="A20750" s="6"/>
      <c r="B20750" s="6"/>
      <c r="H20750" s="13"/>
    </row>
    <row r="20751">
      <c r="A20751" s="6"/>
      <c r="B20751" s="6"/>
      <c r="H20751" s="13"/>
    </row>
    <row r="20752">
      <c r="A20752" s="6"/>
      <c r="B20752" s="6"/>
      <c r="H20752" s="13"/>
    </row>
    <row r="20753">
      <c r="A20753" s="6"/>
      <c r="B20753" s="6"/>
      <c r="H20753" s="13"/>
    </row>
    <row r="20754">
      <c r="A20754" s="6"/>
      <c r="B20754" s="6"/>
      <c r="H20754" s="13"/>
    </row>
    <row r="20755">
      <c r="A20755" s="6"/>
      <c r="B20755" s="6"/>
      <c r="H20755" s="13"/>
    </row>
    <row r="20756">
      <c r="A20756" s="6"/>
      <c r="B20756" s="6"/>
      <c r="H20756" s="13"/>
    </row>
    <row r="20757">
      <c r="A20757" s="6"/>
      <c r="B20757" s="6"/>
      <c r="H20757" s="13"/>
    </row>
    <row r="20758">
      <c r="A20758" s="6"/>
      <c r="B20758" s="6"/>
      <c r="H20758" s="13"/>
    </row>
    <row r="20759">
      <c r="A20759" s="6"/>
      <c r="B20759" s="6"/>
      <c r="H20759" s="13"/>
    </row>
    <row r="20760">
      <c r="A20760" s="6"/>
      <c r="B20760" s="6"/>
      <c r="H20760" s="13"/>
    </row>
    <row r="20761">
      <c r="A20761" s="6"/>
      <c r="B20761" s="6"/>
      <c r="H20761" s="13"/>
    </row>
    <row r="20762">
      <c r="A20762" s="6"/>
      <c r="B20762" s="6"/>
      <c r="H20762" s="13"/>
    </row>
    <row r="20763">
      <c r="A20763" s="6"/>
      <c r="B20763" s="6"/>
      <c r="H20763" s="13"/>
    </row>
    <row r="20764">
      <c r="A20764" s="6"/>
      <c r="B20764" s="6"/>
      <c r="H20764" s="13"/>
    </row>
    <row r="20765">
      <c r="A20765" s="6"/>
      <c r="B20765" s="6"/>
      <c r="H20765" s="13"/>
    </row>
    <row r="20766">
      <c r="A20766" s="6"/>
      <c r="B20766" s="6"/>
      <c r="H20766" s="13"/>
    </row>
    <row r="20767">
      <c r="A20767" s="6"/>
      <c r="B20767" s="6"/>
      <c r="H20767" s="13"/>
    </row>
    <row r="20768">
      <c r="A20768" s="6"/>
      <c r="B20768" s="6"/>
      <c r="H20768" s="13"/>
    </row>
    <row r="20769">
      <c r="A20769" s="6"/>
      <c r="B20769" s="6"/>
      <c r="H20769" s="13"/>
    </row>
    <row r="20770">
      <c r="A20770" s="6"/>
      <c r="B20770" s="6"/>
      <c r="H20770" s="13"/>
    </row>
    <row r="20771">
      <c r="A20771" s="6"/>
      <c r="B20771" s="6"/>
      <c r="H20771" s="13"/>
    </row>
    <row r="20772">
      <c r="A20772" s="6"/>
      <c r="B20772" s="6"/>
      <c r="H20772" s="13"/>
    </row>
    <row r="20773">
      <c r="A20773" s="6"/>
      <c r="B20773" s="6"/>
      <c r="H20773" s="13"/>
    </row>
    <row r="20774">
      <c r="A20774" s="6"/>
      <c r="B20774" s="6"/>
      <c r="H20774" s="13"/>
    </row>
    <row r="20775">
      <c r="A20775" s="6"/>
      <c r="B20775" s="6"/>
      <c r="H20775" s="13"/>
    </row>
    <row r="20776">
      <c r="A20776" s="6"/>
      <c r="B20776" s="6"/>
      <c r="H20776" s="13"/>
    </row>
    <row r="20777">
      <c r="A20777" s="6"/>
      <c r="B20777" s="6"/>
      <c r="H20777" s="13"/>
    </row>
    <row r="20778">
      <c r="A20778" s="6"/>
      <c r="B20778" s="6"/>
      <c r="H20778" s="13"/>
    </row>
    <row r="20779">
      <c r="A20779" s="6"/>
      <c r="B20779" s="6"/>
      <c r="H20779" s="13"/>
    </row>
    <row r="20780">
      <c r="A20780" s="6"/>
      <c r="B20780" s="6"/>
      <c r="H20780" s="13"/>
    </row>
    <row r="20781">
      <c r="A20781" s="6"/>
      <c r="B20781" s="6"/>
      <c r="H20781" s="13"/>
    </row>
    <row r="20782">
      <c r="A20782" s="6"/>
      <c r="B20782" s="6"/>
      <c r="H20782" s="13"/>
    </row>
    <row r="20783">
      <c r="A20783" s="6"/>
      <c r="B20783" s="6"/>
      <c r="H20783" s="13"/>
    </row>
    <row r="20784">
      <c r="A20784" s="6"/>
      <c r="B20784" s="6"/>
      <c r="H20784" s="13"/>
    </row>
    <row r="20785">
      <c r="A20785" s="6"/>
      <c r="B20785" s="6"/>
      <c r="H20785" s="13"/>
    </row>
    <row r="20786">
      <c r="A20786" s="6"/>
      <c r="B20786" s="6"/>
      <c r="H20786" s="13"/>
    </row>
    <row r="20787">
      <c r="A20787" s="6"/>
      <c r="B20787" s="6"/>
      <c r="H20787" s="13"/>
    </row>
    <row r="20788">
      <c r="A20788" s="6"/>
      <c r="B20788" s="6"/>
      <c r="H20788" s="13"/>
    </row>
    <row r="20789">
      <c r="A20789" s="6"/>
      <c r="B20789" s="6"/>
      <c r="H20789" s="13"/>
    </row>
    <row r="20790">
      <c r="A20790" s="6"/>
      <c r="B20790" s="6"/>
      <c r="H20790" s="13"/>
    </row>
    <row r="20791">
      <c r="A20791" s="6"/>
      <c r="B20791" s="6"/>
      <c r="H20791" s="13"/>
    </row>
    <row r="20792">
      <c r="A20792" s="6"/>
      <c r="B20792" s="6"/>
      <c r="H20792" s="13"/>
    </row>
    <row r="20793">
      <c r="A20793" s="6"/>
      <c r="B20793" s="6"/>
      <c r="H20793" s="13"/>
    </row>
    <row r="20794">
      <c r="A20794" s="6"/>
      <c r="B20794" s="6"/>
      <c r="H20794" s="13"/>
    </row>
    <row r="20795">
      <c r="A20795" s="6"/>
      <c r="B20795" s="6"/>
      <c r="H20795" s="13"/>
    </row>
    <row r="20796">
      <c r="A20796" s="6"/>
      <c r="B20796" s="6"/>
      <c r="H20796" s="13"/>
    </row>
    <row r="20797">
      <c r="A20797" s="6"/>
      <c r="B20797" s="6"/>
      <c r="H20797" s="13"/>
    </row>
    <row r="20798">
      <c r="A20798" s="6"/>
      <c r="B20798" s="6"/>
      <c r="H20798" s="13"/>
    </row>
    <row r="20799">
      <c r="A20799" s="6"/>
      <c r="B20799" s="6"/>
      <c r="H20799" s="13"/>
    </row>
    <row r="20800">
      <c r="A20800" s="6"/>
      <c r="B20800" s="6"/>
      <c r="H20800" s="13"/>
    </row>
    <row r="20801">
      <c r="A20801" s="6"/>
      <c r="B20801" s="6"/>
      <c r="H20801" s="13"/>
    </row>
    <row r="20802">
      <c r="A20802" s="6"/>
      <c r="B20802" s="6"/>
      <c r="H20802" s="13"/>
    </row>
    <row r="20803">
      <c r="A20803" s="6"/>
      <c r="B20803" s="6"/>
      <c r="H20803" s="13"/>
    </row>
    <row r="20804">
      <c r="A20804" s="6"/>
      <c r="B20804" s="6"/>
      <c r="H20804" s="13"/>
    </row>
    <row r="20805">
      <c r="A20805" s="6"/>
      <c r="B20805" s="6"/>
      <c r="H20805" s="13"/>
    </row>
    <row r="20806">
      <c r="A20806" s="6"/>
      <c r="B20806" s="6"/>
      <c r="H20806" s="13"/>
    </row>
    <row r="20807">
      <c r="A20807" s="6"/>
      <c r="B20807" s="6"/>
      <c r="H20807" s="13"/>
    </row>
    <row r="20808">
      <c r="A20808" s="6"/>
      <c r="B20808" s="6"/>
      <c r="H20808" s="13"/>
    </row>
    <row r="20809">
      <c r="A20809" s="6"/>
      <c r="B20809" s="6"/>
      <c r="H20809" s="13"/>
    </row>
    <row r="20810">
      <c r="A20810" s="6"/>
      <c r="B20810" s="6"/>
      <c r="H20810" s="13"/>
    </row>
    <row r="20811">
      <c r="A20811" s="6"/>
      <c r="B20811" s="6"/>
      <c r="H20811" s="13"/>
    </row>
    <row r="20812">
      <c r="A20812" s="6"/>
      <c r="B20812" s="6"/>
      <c r="H20812" s="13"/>
    </row>
    <row r="20813">
      <c r="A20813" s="6"/>
      <c r="B20813" s="6"/>
      <c r="H20813" s="13"/>
    </row>
    <row r="20814">
      <c r="A20814" s="6"/>
      <c r="B20814" s="6"/>
      <c r="H20814" s="13"/>
    </row>
    <row r="20815">
      <c r="A20815" s="6"/>
      <c r="B20815" s="6"/>
      <c r="H20815" s="13"/>
    </row>
    <row r="20816">
      <c r="A20816" s="6"/>
      <c r="B20816" s="6"/>
      <c r="H20816" s="13"/>
    </row>
    <row r="20817">
      <c r="A20817" s="6"/>
      <c r="B20817" s="6"/>
      <c r="H20817" s="13"/>
    </row>
    <row r="20818">
      <c r="A20818" s="6"/>
      <c r="B20818" s="6"/>
      <c r="H20818" s="13"/>
    </row>
    <row r="20819">
      <c r="A20819" s="6"/>
      <c r="B20819" s="6"/>
      <c r="H20819" s="13"/>
    </row>
    <row r="20820">
      <c r="A20820" s="6"/>
      <c r="B20820" s="6"/>
      <c r="H20820" s="13"/>
    </row>
    <row r="20821">
      <c r="A20821" s="6"/>
      <c r="B20821" s="6"/>
      <c r="H20821" s="13"/>
    </row>
    <row r="20822">
      <c r="A20822" s="6"/>
      <c r="B20822" s="6"/>
      <c r="H20822" s="13"/>
    </row>
    <row r="20823">
      <c r="A20823" s="6"/>
      <c r="B20823" s="6"/>
      <c r="H20823" s="13"/>
    </row>
    <row r="20824">
      <c r="A20824" s="6"/>
      <c r="B20824" s="6"/>
      <c r="H20824" s="13"/>
    </row>
    <row r="20825">
      <c r="A20825" s="6"/>
      <c r="B20825" s="6"/>
      <c r="H20825" s="13"/>
    </row>
    <row r="20826">
      <c r="A20826" s="6"/>
      <c r="B20826" s="6"/>
      <c r="H20826" s="13"/>
    </row>
    <row r="20827">
      <c r="A20827" s="6"/>
      <c r="B20827" s="6"/>
      <c r="H20827" s="13"/>
    </row>
    <row r="20828">
      <c r="A20828" s="6"/>
      <c r="B20828" s="6"/>
      <c r="H20828" s="13"/>
    </row>
    <row r="20829">
      <c r="A20829" s="6"/>
      <c r="B20829" s="6"/>
      <c r="H20829" s="13"/>
    </row>
    <row r="20830">
      <c r="A20830" s="6"/>
      <c r="B20830" s="6"/>
      <c r="H20830" s="13"/>
    </row>
    <row r="20831">
      <c r="A20831" s="6"/>
      <c r="B20831" s="6"/>
      <c r="H20831" s="13"/>
    </row>
    <row r="20832">
      <c r="A20832" s="6"/>
      <c r="B20832" s="6"/>
      <c r="H20832" s="13"/>
    </row>
    <row r="20833">
      <c r="A20833" s="6"/>
      <c r="B20833" s="6"/>
      <c r="H20833" s="13"/>
    </row>
    <row r="20834">
      <c r="A20834" s="6"/>
      <c r="B20834" s="6"/>
      <c r="H20834" s="13"/>
    </row>
    <row r="20835">
      <c r="A20835" s="6"/>
      <c r="B20835" s="6"/>
      <c r="H20835" s="13"/>
    </row>
    <row r="20836">
      <c r="A20836" s="6"/>
      <c r="B20836" s="6"/>
      <c r="H20836" s="13"/>
    </row>
    <row r="20837">
      <c r="A20837" s="6"/>
      <c r="B20837" s="6"/>
      <c r="H20837" s="13"/>
    </row>
    <row r="20838">
      <c r="A20838" s="6"/>
      <c r="B20838" s="6"/>
      <c r="H20838" s="13"/>
    </row>
    <row r="20839">
      <c r="A20839" s="6"/>
      <c r="B20839" s="6"/>
      <c r="H20839" s="13"/>
    </row>
    <row r="20840">
      <c r="A20840" s="6"/>
      <c r="B20840" s="6"/>
      <c r="H20840" s="13"/>
    </row>
    <row r="20841">
      <c r="A20841" s="6"/>
      <c r="B20841" s="6"/>
      <c r="H20841" s="13"/>
    </row>
    <row r="20842">
      <c r="A20842" s="6"/>
      <c r="B20842" s="6"/>
      <c r="H20842" s="13"/>
    </row>
    <row r="20843">
      <c r="A20843" s="6"/>
      <c r="B20843" s="6"/>
      <c r="H20843" s="13"/>
    </row>
    <row r="20844">
      <c r="A20844" s="6"/>
      <c r="B20844" s="6"/>
      <c r="H20844" s="13"/>
    </row>
    <row r="20845">
      <c r="A20845" s="6"/>
      <c r="B20845" s="6"/>
      <c r="H20845" s="13"/>
    </row>
    <row r="20846">
      <c r="A20846" s="6"/>
      <c r="B20846" s="6"/>
      <c r="H20846" s="13"/>
    </row>
    <row r="20847">
      <c r="A20847" s="6"/>
      <c r="B20847" s="6"/>
      <c r="H20847" s="13"/>
    </row>
    <row r="20848">
      <c r="A20848" s="6"/>
      <c r="B20848" s="6"/>
      <c r="H20848" s="13"/>
    </row>
    <row r="20849">
      <c r="A20849" s="6"/>
      <c r="B20849" s="6"/>
      <c r="H20849" s="13"/>
    </row>
    <row r="20850">
      <c r="A20850" s="6"/>
      <c r="B20850" s="6"/>
      <c r="H20850" s="13"/>
    </row>
    <row r="20851">
      <c r="A20851" s="6"/>
      <c r="B20851" s="6"/>
      <c r="H20851" s="13"/>
    </row>
    <row r="20852">
      <c r="A20852" s="6"/>
      <c r="B20852" s="6"/>
      <c r="H20852" s="13"/>
    </row>
    <row r="20853">
      <c r="A20853" s="6"/>
      <c r="B20853" s="6"/>
      <c r="H20853" s="13"/>
    </row>
    <row r="20854">
      <c r="A20854" s="6"/>
      <c r="B20854" s="6"/>
      <c r="H20854" s="13"/>
    </row>
    <row r="20855">
      <c r="A20855" s="6"/>
      <c r="B20855" s="6"/>
      <c r="H20855" s="13"/>
    </row>
    <row r="20856">
      <c r="A20856" s="6"/>
      <c r="B20856" s="6"/>
      <c r="H20856" s="13"/>
    </row>
    <row r="20857">
      <c r="A20857" s="6"/>
      <c r="B20857" s="6"/>
      <c r="H20857" s="13"/>
    </row>
    <row r="20858">
      <c r="A20858" s="6"/>
      <c r="B20858" s="6"/>
      <c r="H20858" s="13"/>
    </row>
    <row r="20859">
      <c r="A20859" s="6"/>
      <c r="B20859" s="6"/>
      <c r="H20859" s="13"/>
    </row>
    <row r="20860">
      <c r="A20860" s="6"/>
      <c r="B20860" s="6"/>
      <c r="H20860" s="13"/>
    </row>
    <row r="20861">
      <c r="A20861" s="6"/>
      <c r="B20861" s="6"/>
      <c r="H20861" s="13"/>
    </row>
    <row r="20862">
      <c r="A20862" s="6"/>
      <c r="B20862" s="6"/>
      <c r="H20862" s="13"/>
    </row>
    <row r="20863">
      <c r="A20863" s="6"/>
      <c r="B20863" s="6"/>
      <c r="H20863" s="13"/>
    </row>
    <row r="20864">
      <c r="A20864" s="6"/>
      <c r="B20864" s="6"/>
      <c r="H20864" s="13"/>
    </row>
    <row r="20865">
      <c r="A20865" s="6"/>
      <c r="B20865" s="6"/>
      <c r="H20865" s="13"/>
    </row>
    <row r="20866">
      <c r="A20866" s="6"/>
      <c r="B20866" s="6"/>
      <c r="H20866" s="13"/>
    </row>
    <row r="20867">
      <c r="A20867" s="6"/>
      <c r="B20867" s="6"/>
      <c r="H20867" s="13"/>
    </row>
    <row r="20868">
      <c r="A20868" s="6"/>
      <c r="B20868" s="6"/>
      <c r="H20868" s="13"/>
    </row>
    <row r="20869">
      <c r="A20869" s="6"/>
      <c r="B20869" s="6"/>
      <c r="H20869" s="13"/>
    </row>
    <row r="20870">
      <c r="A20870" s="6"/>
      <c r="B20870" s="6"/>
      <c r="H20870" s="13"/>
    </row>
    <row r="20871">
      <c r="A20871" s="6"/>
      <c r="B20871" s="6"/>
      <c r="H20871" s="13"/>
    </row>
    <row r="20872">
      <c r="A20872" s="6"/>
      <c r="B20872" s="6"/>
      <c r="H20872" s="13"/>
    </row>
    <row r="20873">
      <c r="A20873" s="6"/>
      <c r="B20873" s="6"/>
      <c r="H20873" s="13"/>
    </row>
    <row r="20874">
      <c r="A20874" s="6"/>
      <c r="B20874" s="6"/>
      <c r="H20874" s="13"/>
    </row>
    <row r="20875">
      <c r="A20875" s="6"/>
      <c r="B20875" s="6"/>
      <c r="H20875" s="13"/>
    </row>
    <row r="20876">
      <c r="A20876" s="6"/>
      <c r="B20876" s="6"/>
      <c r="H20876" s="13"/>
    </row>
    <row r="20877">
      <c r="A20877" s="6"/>
      <c r="B20877" s="6"/>
      <c r="H20877" s="13"/>
    </row>
    <row r="20878">
      <c r="A20878" s="6"/>
      <c r="B20878" s="6"/>
      <c r="H20878" s="13"/>
    </row>
    <row r="20879">
      <c r="A20879" s="6"/>
      <c r="B20879" s="6"/>
      <c r="H20879" s="13"/>
    </row>
    <row r="20880">
      <c r="A20880" s="6"/>
      <c r="B20880" s="6"/>
      <c r="H20880" s="13"/>
    </row>
    <row r="20881">
      <c r="A20881" s="6"/>
      <c r="B20881" s="6"/>
      <c r="H20881" s="13"/>
    </row>
    <row r="20882">
      <c r="A20882" s="6"/>
      <c r="B20882" s="6"/>
      <c r="H20882" s="13"/>
    </row>
    <row r="20883">
      <c r="A20883" s="6"/>
      <c r="B20883" s="6"/>
      <c r="H20883" s="13"/>
    </row>
    <row r="20884">
      <c r="A20884" s="6"/>
      <c r="B20884" s="6"/>
      <c r="H20884" s="13"/>
    </row>
    <row r="20885">
      <c r="A20885" s="6"/>
      <c r="B20885" s="6"/>
      <c r="H20885" s="13"/>
    </row>
    <row r="20886">
      <c r="A20886" s="6"/>
      <c r="B20886" s="6"/>
      <c r="H20886" s="13"/>
    </row>
    <row r="20887">
      <c r="A20887" s="6"/>
      <c r="B20887" s="6"/>
      <c r="H20887" s="13"/>
    </row>
    <row r="20888">
      <c r="A20888" s="6"/>
      <c r="B20888" s="6"/>
      <c r="H20888" s="13"/>
    </row>
    <row r="20889">
      <c r="A20889" s="6"/>
      <c r="B20889" s="6"/>
      <c r="H20889" s="13"/>
    </row>
    <row r="20890">
      <c r="A20890" s="6"/>
      <c r="B20890" s="6"/>
      <c r="H20890" s="13"/>
    </row>
    <row r="20891">
      <c r="A20891" s="6"/>
      <c r="B20891" s="6"/>
      <c r="H20891" s="13"/>
    </row>
    <row r="20892">
      <c r="A20892" s="6"/>
      <c r="B20892" s="6"/>
      <c r="H20892" s="13"/>
    </row>
    <row r="20893">
      <c r="A20893" s="6"/>
      <c r="B20893" s="6"/>
      <c r="H20893" s="13"/>
    </row>
    <row r="20894">
      <c r="A20894" s="6"/>
      <c r="B20894" s="6"/>
      <c r="H20894" s="13"/>
    </row>
    <row r="20895">
      <c r="A20895" s="6"/>
      <c r="B20895" s="6"/>
      <c r="H20895" s="13"/>
    </row>
    <row r="20896">
      <c r="A20896" s="6"/>
      <c r="B20896" s="6"/>
      <c r="H20896" s="13"/>
    </row>
    <row r="20897">
      <c r="A20897" s="6"/>
      <c r="B20897" s="6"/>
      <c r="H20897" s="13"/>
    </row>
    <row r="20898">
      <c r="A20898" s="6"/>
      <c r="B20898" s="6"/>
      <c r="H20898" s="13"/>
    </row>
    <row r="20899">
      <c r="A20899" s="6"/>
      <c r="B20899" s="6"/>
      <c r="H20899" s="13"/>
    </row>
    <row r="20900">
      <c r="A20900" s="6"/>
      <c r="B20900" s="6"/>
      <c r="H20900" s="13"/>
    </row>
    <row r="20901">
      <c r="A20901" s="6"/>
      <c r="B20901" s="6"/>
      <c r="H20901" s="13"/>
    </row>
    <row r="20902">
      <c r="A20902" s="6"/>
      <c r="B20902" s="6"/>
      <c r="H20902" s="13"/>
    </row>
    <row r="20903">
      <c r="A20903" s="6"/>
      <c r="B20903" s="6"/>
      <c r="H20903" s="13"/>
    </row>
    <row r="20904">
      <c r="A20904" s="6"/>
      <c r="B20904" s="6"/>
      <c r="H20904" s="13"/>
    </row>
    <row r="20905">
      <c r="A20905" s="6"/>
      <c r="B20905" s="6"/>
      <c r="H20905" s="13"/>
    </row>
    <row r="20906">
      <c r="A20906" s="6"/>
      <c r="B20906" s="6"/>
      <c r="H20906" s="13"/>
    </row>
    <row r="20907">
      <c r="A20907" s="6"/>
      <c r="B20907" s="6"/>
      <c r="H20907" s="13"/>
    </row>
    <row r="20908">
      <c r="A20908" s="6"/>
      <c r="B20908" s="6"/>
      <c r="H20908" s="13"/>
    </row>
    <row r="20909">
      <c r="A20909" s="6"/>
      <c r="B20909" s="6"/>
      <c r="H20909" s="13"/>
    </row>
    <row r="20910">
      <c r="A20910" s="6"/>
      <c r="B20910" s="6"/>
      <c r="H20910" s="13"/>
    </row>
    <row r="20911">
      <c r="A20911" s="6"/>
      <c r="B20911" s="6"/>
      <c r="H20911" s="13"/>
    </row>
    <row r="20912">
      <c r="A20912" s="6"/>
      <c r="B20912" s="6"/>
      <c r="H20912" s="13"/>
    </row>
    <row r="20913">
      <c r="A20913" s="6"/>
      <c r="B20913" s="6"/>
      <c r="H20913" s="13"/>
    </row>
    <row r="20914">
      <c r="A20914" s="6"/>
      <c r="B20914" s="6"/>
      <c r="H20914" s="13"/>
    </row>
    <row r="20915">
      <c r="A20915" s="6"/>
      <c r="B20915" s="6"/>
      <c r="H20915" s="13"/>
    </row>
    <row r="20916">
      <c r="A20916" s="6"/>
      <c r="B20916" s="6"/>
      <c r="H20916" s="13"/>
    </row>
    <row r="20917">
      <c r="A20917" s="6"/>
      <c r="B20917" s="6"/>
      <c r="H20917" s="13"/>
    </row>
    <row r="20918">
      <c r="A20918" s="6"/>
      <c r="B20918" s="6"/>
      <c r="H20918" s="13"/>
    </row>
    <row r="20919">
      <c r="A20919" s="6"/>
      <c r="B20919" s="6"/>
      <c r="H20919" s="13"/>
    </row>
    <row r="20920">
      <c r="A20920" s="6"/>
      <c r="B20920" s="6"/>
      <c r="H20920" s="13"/>
    </row>
    <row r="20921">
      <c r="A20921" s="6"/>
      <c r="B20921" s="6"/>
      <c r="H20921" s="13"/>
    </row>
    <row r="20922">
      <c r="A20922" s="6"/>
      <c r="B20922" s="6"/>
      <c r="H20922" s="13"/>
    </row>
    <row r="20923">
      <c r="A20923" s="6"/>
      <c r="B20923" s="6"/>
      <c r="H20923" s="13"/>
    </row>
    <row r="20924">
      <c r="A20924" s="6"/>
      <c r="B20924" s="6"/>
      <c r="H20924" s="13"/>
    </row>
    <row r="20925">
      <c r="A20925" s="6"/>
      <c r="B20925" s="6"/>
      <c r="H20925" s="13"/>
    </row>
    <row r="20926">
      <c r="A20926" s="6"/>
      <c r="B20926" s="6"/>
      <c r="H20926" s="13"/>
    </row>
    <row r="20927">
      <c r="A20927" s="6"/>
      <c r="B20927" s="6"/>
      <c r="H20927" s="13"/>
    </row>
    <row r="20928">
      <c r="A20928" s="6"/>
      <c r="B20928" s="6"/>
      <c r="H20928" s="13"/>
    </row>
    <row r="20929">
      <c r="A20929" s="6"/>
      <c r="B20929" s="6"/>
      <c r="H20929" s="13"/>
    </row>
    <row r="20930">
      <c r="A20930" s="6"/>
      <c r="B20930" s="6"/>
      <c r="H20930" s="13"/>
    </row>
    <row r="20931">
      <c r="A20931" s="6"/>
      <c r="B20931" s="6"/>
      <c r="H20931" s="13"/>
    </row>
    <row r="20932">
      <c r="A20932" s="6"/>
      <c r="B20932" s="6"/>
      <c r="H20932" s="13"/>
    </row>
    <row r="20933">
      <c r="A20933" s="6"/>
      <c r="B20933" s="6"/>
      <c r="H20933" s="13"/>
    </row>
    <row r="20934">
      <c r="A20934" s="6"/>
      <c r="B20934" s="6"/>
      <c r="H20934" s="13"/>
    </row>
    <row r="20935">
      <c r="A20935" s="6"/>
      <c r="B20935" s="6"/>
      <c r="H20935" s="13"/>
    </row>
    <row r="20936">
      <c r="A20936" s="6"/>
      <c r="B20936" s="6"/>
      <c r="H20936" s="13"/>
    </row>
    <row r="20937">
      <c r="A20937" s="6"/>
      <c r="B20937" s="6"/>
      <c r="H20937" s="13"/>
    </row>
    <row r="20938">
      <c r="A20938" s="6"/>
      <c r="B20938" s="6"/>
      <c r="H20938" s="13"/>
    </row>
    <row r="20939">
      <c r="A20939" s="6"/>
      <c r="B20939" s="6"/>
      <c r="H20939" s="13"/>
    </row>
    <row r="20940">
      <c r="A20940" s="6"/>
      <c r="B20940" s="6"/>
      <c r="H20940" s="13"/>
    </row>
    <row r="20941">
      <c r="A20941" s="6"/>
      <c r="B20941" s="6"/>
      <c r="H20941" s="13"/>
    </row>
    <row r="20942">
      <c r="A20942" s="6"/>
      <c r="B20942" s="6"/>
      <c r="H20942" s="13"/>
    </row>
    <row r="20943">
      <c r="A20943" s="6"/>
      <c r="B20943" s="6"/>
      <c r="H20943" s="13"/>
    </row>
    <row r="20944">
      <c r="A20944" s="6"/>
      <c r="B20944" s="6"/>
      <c r="H20944" s="13"/>
    </row>
    <row r="20945">
      <c r="A20945" s="6"/>
      <c r="B20945" s="6"/>
      <c r="H20945" s="13"/>
    </row>
    <row r="20946">
      <c r="A20946" s="6"/>
      <c r="B20946" s="6"/>
      <c r="H20946" s="13"/>
    </row>
    <row r="20947">
      <c r="A20947" s="6"/>
      <c r="B20947" s="6"/>
      <c r="H20947" s="13"/>
    </row>
    <row r="20948">
      <c r="A20948" s="6"/>
      <c r="B20948" s="6"/>
      <c r="H20948" s="13"/>
    </row>
    <row r="20949">
      <c r="A20949" s="6"/>
      <c r="B20949" s="6"/>
      <c r="H20949" s="13"/>
    </row>
    <row r="20950">
      <c r="A20950" s="6"/>
      <c r="B20950" s="6"/>
      <c r="H20950" s="13"/>
    </row>
    <row r="20951">
      <c r="A20951" s="6"/>
      <c r="B20951" s="6"/>
      <c r="H20951" s="13"/>
    </row>
    <row r="20952">
      <c r="A20952" s="6"/>
      <c r="B20952" s="6"/>
      <c r="H20952" s="13"/>
    </row>
    <row r="20953">
      <c r="A20953" s="6"/>
      <c r="B20953" s="6"/>
      <c r="H20953" s="13"/>
    </row>
    <row r="20954">
      <c r="A20954" s="6"/>
      <c r="B20954" s="6"/>
      <c r="H20954" s="13"/>
    </row>
    <row r="20955">
      <c r="A20955" s="6"/>
      <c r="B20955" s="6"/>
      <c r="H20955" s="13"/>
    </row>
    <row r="20956">
      <c r="A20956" s="6"/>
      <c r="B20956" s="6"/>
      <c r="H20956" s="13"/>
    </row>
    <row r="20957">
      <c r="A20957" s="6"/>
      <c r="B20957" s="6"/>
      <c r="H20957" s="13"/>
    </row>
    <row r="20958">
      <c r="A20958" s="6"/>
      <c r="B20958" s="6"/>
      <c r="H20958" s="13"/>
    </row>
    <row r="20959">
      <c r="A20959" s="6"/>
      <c r="B20959" s="6"/>
      <c r="H20959" s="13"/>
    </row>
    <row r="20960">
      <c r="A20960" s="6"/>
      <c r="B20960" s="6"/>
      <c r="H20960" s="13"/>
    </row>
    <row r="20961">
      <c r="A20961" s="6"/>
      <c r="B20961" s="6"/>
      <c r="H20961" s="13"/>
    </row>
    <row r="20962">
      <c r="A20962" s="6"/>
      <c r="B20962" s="6"/>
      <c r="H20962" s="13"/>
    </row>
    <row r="20963">
      <c r="A20963" s="6"/>
      <c r="B20963" s="6"/>
      <c r="H20963" s="13"/>
    </row>
    <row r="20964">
      <c r="A20964" s="6"/>
      <c r="B20964" s="6"/>
      <c r="H20964" s="13"/>
    </row>
    <row r="20965">
      <c r="A20965" s="6"/>
      <c r="B20965" s="6"/>
      <c r="H20965" s="13"/>
    </row>
    <row r="20966">
      <c r="A20966" s="6"/>
      <c r="B20966" s="6"/>
      <c r="H20966" s="13"/>
    </row>
    <row r="20967">
      <c r="A20967" s="6"/>
      <c r="B20967" s="6"/>
      <c r="H20967" s="13"/>
    </row>
    <row r="20968">
      <c r="A20968" s="6"/>
      <c r="B20968" s="6"/>
      <c r="H20968" s="13"/>
    </row>
    <row r="20969">
      <c r="A20969" s="6"/>
      <c r="B20969" s="6"/>
      <c r="H20969" s="13"/>
    </row>
    <row r="20970">
      <c r="A20970" s="6"/>
      <c r="B20970" s="6"/>
      <c r="H20970" s="13"/>
    </row>
    <row r="20971">
      <c r="A20971" s="6"/>
      <c r="B20971" s="6"/>
      <c r="H20971" s="13"/>
    </row>
    <row r="20972">
      <c r="A20972" s="6"/>
      <c r="B20972" s="6"/>
      <c r="H20972" s="13"/>
    </row>
    <row r="20973">
      <c r="A20973" s="6"/>
      <c r="B20973" s="6"/>
      <c r="H20973" s="13"/>
    </row>
    <row r="20974">
      <c r="A20974" s="6"/>
      <c r="B20974" s="6"/>
      <c r="H20974" s="13"/>
    </row>
    <row r="20975">
      <c r="A20975" s="6"/>
      <c r="B20975" s="6"/>
      <c r="H20975" s="13"/>
    </row>
    <row r="20976">
      <c r="A20976" s="6"/>
      <c r="B20976" s="6"/>
      <c r="H20976" s="13"/>
    </row>
    <row r="20977">
      <c r="A20977" s="6"/>
      <c r="B20977" s="6"/>
      <c r="H20977" s="13"/>
    </row>
    <row r="20978">
      <c r="A20978" s="6"/>
      <c r="B20978" s="6"/>
      <c r="H20978" s="13"/>
    </row>
    <row r="20979">
      <c r="A20979" s="6"/>
      <c r="B20979" s="6"/>
      <c r="H20979" s="13"/>
    </row>
    <row r="20980">
      <c r="A20980" s="6"/>
      <c r="B20980" s="6"/>
      <c r="H20980" s="13"/>
    </row>
    <row r="20981">
      <c r="A20981" s="6"/>
      <c r="B20981" s="6"/>
      <c r="H20981" s="13"/>
    </row>
    <row r="20982">
      <c r="A20982" s="6"/>
      <c r="B20982" s="6"/>
      <c r="H20982" s="13"/>
    </row>
    <row r="20983">
      <c r="A20983" s="6"/>
      <c r="B20983" s="6"/>
      <c r="H20983" s="13"/>
    </row>
    <row r="20984">
      <c r="A20984" s="6"/>
      <c r="B20984" s="6"/>
      <c r="H20984" s="13"/>
    </row>
    <row r="20985">
      <c r="A20985" s="6"/>
      <c r="B20985" s="6"/>
      <c r="H20985" s="13"/>
    </row>
    <row r="20986">
      <c r="A20986" s="6"/>
      <c r="B20986" s="6"/>
      <c r="H20986" s="13"/>
    </row>
    <row r="20987">
      <c r="A20987" s="6"/>
      <c r="B20987" s="6"/>
      <c r="H20987" s="13"/>
    </row>
    <row r="20988">
      <c r="A20988" s="6"/>
      <c r="B20988" s="6"/>
      <c r="H20988" s="13"/>
    </row>
    <row r="20989">
      <c r="A20989" s="6"/>
      <c r="B20989" s="6"/>
      <c r="H20989" s="13"/>
    </row>
    <row r="20990">
      <c r="A20990" s="6"/>
      <c r="B20990" s="6"/>
      <c r="H20990" s="13"/>
    </row>
    <row r="20991">
      <c r="A20991" s="6"/>
      <c r="B20991" s="6"/>
      <c r="H20991" s="13"/>
    </row>
    <row r="20992">
      <c r="A20992" s="6"/>
      <c r="B20992" s="6"/>
      <c r="H20992" s="13"/>
    </row>
    <row r="20993">
      <c r="A20993" s="6"/>
      <c r="B20993" s="6"/>
      <c r="H20993" s="13"/>
    </row>
    <row r="20994">
      <c r="A20994" s="6"/>
      <c r="B20994" s="6"/>
      <c r="H20994" s="13"/>
    </row>
    <row r="20995">
      <c r="A20995" s="6"/>
      <c r="B20995" s="6"/>
      <c r="H20995" s="13"/>
    </row>
    <row r="20996">
      <c r="A20996" s="6"/>
      <c r="B20996" s="6"/>
      <c r="H20996" s="13"/>
    </row>
    <row r="20997">
      <c r="A20997" s="6"/>
      <c r="B20997" s="6"/>
      <c r="H20997" s="13"/>
    </row>
    <row r="20998">
      <c r="A20998" s="6"/>
      <c r="B20998" s="6"/>
      <c r="H20998" s="13"/>
    </row>
    <row r="20999">
      <c r="A20999" s="6"/>
      <c r="B20999" s="6"/>
      <c r="H20999" s="13"/>
    </row>
    <row r="21000">
      <c r="A21000" s="6"/>
      <c r="B21000" s="6"/>
      <c r="H21000" s="13"/>
    </row>
    <row r="21001">
      <c r="A21001" s="6"/>
      <c r="B21001" s="6"/>
      <c r="H21001" s="13"/>
    </row>
    <row r="21002">
      <c r="A21002" s="6"/>
      <c r="B21002" s="6"/>
      <c r="H21002" s="13"/>
    </row>
    <row r="21003">
      <c r="A21003" s="6"/>
      <c r="B21003" s="6"/>
      <c r="H21003" s="13"/>
    </row>
    <row r="21004">
      <c r="A21004" s="6"/>
      <c r="B21004" s="6"/>
      <c r="H21004" s="13"/>
    </row>
    <row r="21005">
      <c r="A21005" s="6"/>
      <c r="B21005" s="6"/>
      <c r="H21005" s="13"/>
    </row>
    <row r="21006">
      <c r="A21006" s="6"/>
      <c r="B21006" s="6"/>
      <c r="H21006" s="13"/>
    </row>
    <row r="21007">
      <c r="A21007" s="6"/>
      <c r="B21007" s="6"/>
      <c r="H21007" s="13"/>
    </row>
    <row r="21008">
      <c r="A21008" s="6"/>
      <c r="B21008" s="6"/>
      <c r="H21008" s="13"/>
    </row>
    <row r="21009">
      <c r="A21009" s="6"/>
      <c r="B21009" s="6"/>
      <c r="H21009" s="13"/>
    </row>
    <row r="21010">
      <c r="A21010" s="6"/>
      <c r="B21010" s="6"/>
      <c r="H21010" s="13"/>
    </row>
    <row r="21011">
      <c r="A21011" s="6"/>
      <c r="B21011" s="6"/>
      <c r="H21011" s="13"/>
    </row>
    <row r="21012">
      <c r="A21012" s="6"/>
      <c r="B21012" s="6"/>
      <c r="H21012" s="13"/>
    </row>
    <row r="21013">
      <c r="A21013" s="6"/>
      <c r="B21013" s="6"/>
      <c r="H21013" s="13"/>
    </row>
    <row r="21014">
      <c r="A21014" s="6"/>
      <c r="B21014" s="6"/>
      <c r="H21014" s="13"/>
    </row>
    <row r="21015">
      <c r="A21015" s="6"/>
      <c r="B21015" s="6"/>
      <c r="H21015" s="13"/>
    </row>
    <row r="21016">
      <c r="A21016" s="6"/>
      <c r="B21016" s="6"/>
      <c r="H21016" s="13"/>
    </row>
    <row r="21017">
      <c r="A21017" s="6"/>
      <c r="B21017" s="6"/>
      <c r="H21017" s="13"/>
    </row>
    <row r="21018">
      <c r="A21018" s="6"/>
      <c r="B21018" s="6"/>
      <c r="H21018" s="13"/>
    </row>
    <row r="21019">
      <c r="A21019" s="6"/>
      <c r="B21019" s="6"/>
      <c r="H21019" s="13"/>
    </row>
    <row r="21020">
      <c r="A21020" s="6"/>
      <c r="B21020" s="6"/>
      <c r="H21020" s="13"/>
    </row>
    <row r="21021">
      <c r="A21021" s="6"/>
      <c r="B21021" s="6"/>
      <c r="H21021" s="13"/>
    </row>
    <row r="21022">
      <c r="A21022" s="6"/>
      <c r="B21022" s="6"/>
      <c r="H21022" s="13"/>
    </row>
    <row r="21023">
      <c r="A21023" s="6"/>
      <c r="B21023" s="6"/>
      <c r="H21023" s="13"/>
    </row>
    <row r="21024">
      <c r="A21024" s="6"/>
      <c r="B21024" s="6"/>
      <c r="H21024" s="13"/>
    </row>
    <row r="21025">
      <c r="A21025" s="6"/>
      <c r="B21025" s="6"/>
      <c r="H21025" s="13"/>
    </row>
    <row r="21026">
      <c r="A21026" s="6"/>
      <c r="B21026" s="6"/>
      <c r="H21026" s="13"/>
    </row>
    <row r="21027">
      <c r="A21027" s="6"/>
      <c r="B21027" s="6"/>
      <c r="H21027" s="13"/>
    </row>
    <row r="21028">
      <c r="A21028" s="6"/>
      <c r="B21028" s="6"/>
      <c r="H21028" s="13"/>
    </row>
    <row r="21029">
      <c r="A21029" s="6"/>
      <c r="B21029" s="6"/>
      <c r="H21029" s="13"/>
    </row>
    <row r="21030">
      <c r="A21030" s="6"/>
      <c r="B21030" s="6"/>
      <c r="H21030" s="13"/>
    </row>
    <row r="21031">
      <c r="A21031" s="6"/>
      <c r="B21031" s="6"/>
      <c r="H21031" s="13"/>
    </row>
    <row r="21032">
      <c r="A21032" s="6"/>
      <c r="B21032" s="6"/>
      <c r="H21032" s="13"/>
    </row>
    <row r="21033">
      <c r="A21033" s="6"/>
      <c r="B21033" s="6"/>
      <c r="H21033" s="13"/>
    </row>
    <row r="21034">
      <c r="A21034" s="6"/>
      <c r="B21034" s="6"/>
      <c r="H21034" s="13"/>
    </row>
    <row r="21035">
      <c r="A21035" s="6"/>
      <c r="B21035" s="6"/>
      <c r="H21035" s="13"/>
    </row>
    <row r="21036">
      <c r="A21036" s="6"/>
      <c r="B21036" s="6"/>
      <c r="H21036" s="13"/>
    </row>
    <row r="21037">
      <c r="A21037" s="6"/>
      <c r="B21037" s="6"/>
      <c r="H21037" s="13"/>
    </row>
    <row r="21038">
      <c r="A21038" s="6"/>
      <c r="B21038" s="6"/>
      <c r="H21038" s="13"/>
    </row>
    <row r="21039">
      <c r="A21039" s="6"/>
      <c r="B21039" s="6"/>
      <c r="H21039" s="13"/>
    </row>
    <row r="21040">
      <c r="A21040" s="6"/>
      <c r="B21040" s="6"/>
      <c r="H21040" s="13"/>
    </row>
    <row r="21041">
      <c r="A21041" s="6"/>
      <c r="B21041" s="6"/>
      <c r="H21041" s="13"/>
    </row>
    <row r="21042">
      <c r="A21042" s="6"/>
      <c r="B21042" s="6"/>
      <c r="H21042" s="13"/>
    </row>
    <row r="21043">
      <c r="A21043" s="6"/>
      <c r="B21043" s="6"/>
      <c r="H21043" s="13"/>
    </row>
    <row r="21044">
      <c r="A21044" s="6"/>
      <c r="B21044" s="6"/>
      <c r="H21044" s="13"/>
    </row>
    <row r="21045">
      <c r="A21045" s="6"/>
      <c r="B21045" s="6"/>
      <c r="H21045" s="13"/>
    </row>
    <row r="21046">
      <c r="A21046" s="6"/>
      <c r="B21046" s="6"/>
      <c r="H21046" s="13"/>
    </row>
    <row r="21047">
      <c r="A21047" s="6"/>
      <c r="B21047" s="6"/>
      <c r="H21047" s="13"/>
    </row>
    <row r="21048">
      <c r="A21048" s="6"/>
      <c r="B21048" s="6"/>
      <c r="H21048" s="13"/>
    </row>
    <row r="21049">
      <c r="A21049" s="6"/>
      <c r="B21049" s="6"/>
      <c r="H21049" s="13"/>
    </row>
    <row r="21050">
      <c r="A21050" s="6"/>
      <c r="B21050" s="6"/>
      <c r="H21050" s="13"/>
    </row>
    <row r="21051">
      <c r="A21051" s="6"/>
      <c r="B21051" s="6"/>
      <c r="H21051" s="13"/>
    </row>
    <row r="21052">
      <c r="A21052" s="6"/>
      <c r="B21052" s="6"/>
      <c r="H21052" s="13"/>
    </row>
    <row r="21053">
      <c r="A21053" s="6"/>
      <c r="B21053" s="6"/>
      <c r="H21053" s="13"/>
    </row>
    <row r="21054">
      <c r="A21054" s="6"/>
      <c r="B21054" s="6"/>
      <c r="H21054" s="13"/>
    </row>
    <row r="21055">
      <c r="A21055" s="6"/>
      <c r="B21055" s="6"/>
      <c r="H21055" s="13"/>
    </row>
    <row r="21056">
      <c r="A21056" s="6"/>
      <c r="B21056" s="6"/>
      <c r="H21056" s="13"/>
    </row>
    <row r="21057">
      <c r="A21057" s="6"/>
      <c r="B21057" s="6"/>
      <c r="H21057" s="13"/>
    </row>
    <row r="21058">
      <c r="A21058" s="6"/>
      <c r="B21058" s="6"/>
      <c r="H21058" s="13"/>
    </row>
    <row r="21059">
      <c r="A21059" s="6"/>
      <c r="B21059" s="6"/>
      <c r="H21059" s="13"/>
    </row>
    <row r="21060">
      <c r="A21060" s="6"/>
      <c r="B21060" s="6"/>
      <c r="H21060" s="13"/>
    </row>
    <row r="21061">
      <c r="A21061" s="6"/>
      <c r="B21061" s="6"/>
      <c r="H21061" s="13"/>
    </row>
    <row r="21062">
      <c r="A21062" s="6"/>
      <c r="B21062" s="6"/>
      <c r="H21062" s="13"/>
    </row>
    <row r="21063">
      <c r="A21063" s="6"/>
      <c r="B21063" s="6"/>
      <c r="H21063" s="13"/>
    </row>
    <row r="21064">
      <c r="A21064" s="6"/>
      <c r="B21064" s="6"/>
      <c r="H21064" s="13"/>
    </row>
    <row r="21065">
      <c r="A21065" s="6"/>
      <c r="B21065" s="6"/>
      <c r="H21065" s="13"/>
    </row>
    <row r="21066">
      <c r="A21066" s="6"/>
      <c r="B21066" s="6"/>
      <c r="H21066" s="13"/>
    </row>
    <row r="21067">
      <c r="A21067" s="6"/>
      <c r="B21067" s="6"/>
      <c r="H21067" s="13"/>
    </row>
    <row r="21068">
      <c r="A21068" s="6"/>
      <c r="B21068" s="6"/>
      <c r="H21068" s="13"/>
    </row>
    <row r="21069">
      <c r="A21069" s="6"/>
      <c r="B21069" s="6"/>
      <c r="H21069" s="13"/>
    </row>
    <row r="21070">
      <c r="A21070" s="6"/>
      <c r="B21070" s="6"/>
      <c r="H21070" s="13"/>
    </row>
    <row r="21071">
      <c r="A21071" s="6"/>
      <c r="B21071" s="6"/>
      <c r="H21071" s="13"/>
    </row>
    <row r="21072">
      <c r="A21072" s="6"/>
      <c r="B21072" s="6"/>
      <c r="H21072" s="13"/>
    </row>
    <row r="21073">
      <c r="A21073" s="6"/>
      <c r="B21073" s="6"/>
      <c r="H21073" s="13"/>
    </row>
    <row r="21074">
      <c r="A21074" s="6"/>
      <c r="B21074" s="6"/>
      <c r="H21074" s="13"/>
    </row>
    <row r="21075">
      <c r="A21075" s="6"/>
      <c r="B21075" s="6"/>
      <c r="H21075" s="13"/>
    </row>
    <row r="21076">
      <c r="A21076" s="6"/>
      <c r="B21076" s="6"/>
      <c r="H21076" s="13"/>
    </row>
    <row r="21077">
      <c r="A21077" s="6"/>
      <c r="B21077" s="6"/>
      <c r="H21077" s="13"/>
    </row>
    <row r="21078">
      <c r="A21078" s="6"/>
      <c r="B21078" s="6"/>
      <c r="H21078" s="13"/>
    </row>
    <row r="21079">
      <c r="A21079" s="6"/>
      <c r="B21079" s="6"/>
      <c r="H21079" s="13"/>
    </row>
    <row r="21080">
      <c r="A21080" s="6"/>
      <c r="B21080" s="6"/>
      <c r="H21080" s="13"/>
    </row>
    <row r="21081">
      <c r="A21081" s="6"/>
      <c r="B21081" s="6"/>
      <c r="H21081" s="13"/>
    </row>
    <row r="21082">
      <c r="A21082" s="6"/>
      <c r="B21082" s="6"/>
      <c r="H21082" s="13"/>
    </row>
    <row r="21083">
      <c r="A21083" s="6"/>
      <c r="B21083" s="6"/>
      <c r="H21083" s="13"/>
    </row>
    <row r="21084">
      <c r="A21084" s="6"/>
      <c r="B21084" s="6"/>
      <c r="H21084" s="13"/>
    </row>
    <row r="21085">
      <c r="A21085" s="6"/>
      <c r="B21085" s="6"/>
      <c r="H21085" s="13"/>
    </row>
    <row r="21086">
      <c r="A21086" s="6"/>
      <c r="B21086" s="6"/>
      <c r="H21086" s="13"/>
    </row>
    <row r="21087">
      <c r="A21087" s="6"/>
      <c r="B21087" s="6"/>
      <c r="H21087" s="13"/>
    </row>
    <row r="21088">
      <c r="A21088" s="6"/>
      <c r="B21088" s="6"/>
      <c r="H21088" s="13"/>
    </row>
    <row r="21089">
      <c r="A21089" s="6"/>
      <c r="B21089" s="6"/>
      <c r="H21089" s="13"/>
    </row>
    <row r="21090">
      <c r="A21090" s="6"/>
      <c r="B21090" s="6"/>
      <c r="H21090" s="13"/>
    </row>
    <row r="21091">
      <c r="A21091" s="6"/>
      <c r="B21091" s="6"/>
      <c r="H21091" s="13"/>
    </row>
    <row r="21092">
      <c r="A21092" s="6"/>
      <c r="B21092" s="6"/>
      <c r="H21092" s="13"/>
    </row>
    <row r="21093">
      <c r="A21093" s="6"/>
      <c r="B21093" s="6"/>
      <c r="H21093" s="13"/>
    </row>
    <row r="21094">
      <c r="A21094" s="6"/>
      <c r="B21094" s="6"/>
      <c r="H21094" s="13"/>
    </row>
    <row r="21095">
      <c r="A21095" s="6"/>
      <c r="B21095" s="6"/>
      <c r="H21095" s="13"/>
    </row>
    <row r="21096">
      <c r="A21096" s="6"/>
      <c r="B21096" s="6"/>
      <c r="H21096" s="13"/>
    </row>
    <row r="21097">
      <c r="A21097" s="6"/>
      <c r="B21097" s="6"/>
      <c r="H21097" s="13"/>
    </row>
    <row r="21098">
      <c r="A21098" s="6"/>
      <c r="B21098" s="6"/>
      <c r="H21098" s="13"/>
    </row>
    <row r="21099">
      <c r="A21099" s="6"/>
      <c r="B21099" s="6"/>
      <c r="H21099" s="13"/>
    </row>
    <row r="21100">
      <c r="A21100" s="6"/>
      <c r="B21100" s="6"/>
      <c r="H21100" s="13"/>
    </row>
    <row r="21101">
      <c r="A21101" s="6"/>
      <c r="B21101" s="6"/>
      <c r="H21101" s="13"/>
    </row>
    <row r="21102">
      <c r="A21102" s="6"/>
      <c r="B21102" s="6"/>
      <c r="H21102" s="13"/>
    </row>
    <row r="21103">
      <c r="A21103" s="6"/>
      <c r="B21103" s="6"/>
      <c r="H21103" s="13"/>
    </row>
    <row r="21104">
      <c r="A21104" s="6"/>
      <c r="B21104" s="6"/>
      <c r="H21104" s="13"/>
    </row>
    <row r="21105">
      <c r="A21105" s="6"/>
      <c r="B21105" s="6"/>
      <c r="H21105" s="13"/>
    </row>
    <row r="21106">
      <c r="A21106" s="6"/>
      <c r="B21106" s="6"/>
      <c r="H21106" s="13"/>
    </row>
    <row r="21107">
      <c r="A21107" s="6"/>
      <c r="B21107" s="6"/>
      <c r="H21107" s="13"/>
    </row>
    <row r="21108">
      <c r="A21108" s="6"/>
      <c r="B21108" s="6"/>
      <c r="H21108" s="13"/>
    </row>
    <row r="21109">
      <c r="A21109" s="6"/>
      <c r="B21109" s="6"/>
      <c r="H21109" s="13"/>
    </row>
    <row r="21110">
      <c r="A21110" s="6"/>
      <c r="B21110" s="6"/>
      <c r="H21110" s="13"/>
    </row>
    <row r="21111">
      <c r="A21111" s="6"/>
      <c r="B21111" s="6"/>
      <c r="H21111" s="13"/>
    </row>
    <row r="21112">
      <c r="A21112" s="6"/>
      <c r="B21112" s="6"/>
      <c r="H21112" s="13"/>
    </row>
    <row r="21113">
      <c r="A21113" s="6"/>
      <c r="B21113" s="6"/>
      <c r="H21113" s="13"/>
    </row>
    <row r="21114">
      <c r="A21114" s="6"/>
      <c r="B21114" s="6"/>
      <c r="H21114" s="13"/>
    </row>
    <row r="21115">
      <c r="A21115" s="6"/>
      <c r="B21115" s="6"/>
      <c r="H21115" s="13"/>
    </row>
    <row r="21116">
      <c r="A21116" s="6"/>
      <c r="B21116" s="6"/>
      <c r="H21116" s="13"/>
    </row>
    <row r="21117">
      <c r="A21117" s="6"/>
      <c r="B21117" s="6"/>
      <c r="H21117" s="13"/>
    </row>
    <row r="21118">
      <c r="A21118" s="6"/>
      <c r="B21118" s="6"/>
      <c r="H21118" s="13"/>
    </row>
    <row r="21119">
      <c r="A21119" s="6"/>
      <c r="B21119" s="6"/>
      <c r="H21119" s="13"/>
    </row>
    <row r="21120">
      <c r="A21120" s="6"/>
      <c r="B21120" s="6"/>
      <c r="H21120" s="13"/>
    </row>
    <row r="21121">
      <c r="A21121" s="6"/>
      <c r="B21121" s="6"/>
      <c r="H21121" s="13"/>
    </row>
    <row r="21122">
      <c r="A21122" s="6"/>
      <c r="B21122" s="6"/>
      <c r="H21122" s="13"/>
    </row>
    <row r="21123">
      <c r="A21123" s="6"/>
      <c r="B21123" s="6"/>
      <c r="H21123" s="13"/>
    </row>
    <row r="21124">
      <c r="A21124" s="6"/>
      <c r="B21124" s="6"/>
      <c r="H21124" s="13"/>
    </row>
    <row r="21125">
      <c r="A21125" s="6"/>
      <c r="B21125" s="6"/>
      <c r="H21125" s="13"/>
    </row>
    <row r="21126">
      <c r="A21126" s="6"/>
      <c r="B21126" s="6"/>
      <c r="H21126" s="13"/>
    </row>
    <row r="21127">
      <c r="A21127" s="6"/>
      <c r="B21127" s="6"/>
      <c r="H21127" s="13"/>
    </row>
    <row r="21128">
      <c r="A21128" s="6"/>
      <c r="B21128" s="6"/>
      <c r="H21128" s="13"/>
    </row>
    <row r="21129">
      <c r="A21129" s="6"/>
      <c r="B21129" s="6"/>
      <c r="H21129" s="13"/>
    </row>
    <row r="21130">
      <c r="A21130" s="6"/>
      <c r="B21130" s="6"/>
      <c r="H21130" s="13"/>
    </row>
    <row r="21131">
      <c r="A21131" s="6"/>
      <c r="B21131" s="6"/>
      <c r="H21131" s="13"/>
    </row>
    <row r="21132">
      <c r="A21132" s="6"/>
      <c r="B21132" s="6"/>
      <c r="H21132" s="13"/>
    </row>
    <row r="21133">
      <c r="A21133" s="6"/>
      <c r="B21133" s="6"/>
      <c r="H21133" s="13"/>
    </row>
    <row r="21134">
      <c r="A21134" s="6"/>
      <c r="B21134" s="6"/>
      <c r="H21134" s="13"/>
    </row>
    <row r="21135">
      <c r="A21135" s="6"/>
      <c r="B21135" s="6"/>
      <c r="H21135" s="13"/>
    </row>
    <row r="21136">
      <c r="A21136" s="6"/>
      <c r="B21136" s="6"/>
      <c r="H21136" s="13"/>
    </row>
    <row r="21137">
      <c r="A21137" s="6"/>
      <c r="B21137" s="6"/>
      <c r="H21137" s="13"/>
    </row>
    <row r="21138">
      <c r="A21138" s="6"/>
      <c r="B21138" s="6"/>
      <c r="H21138" s="13"/>
    </row>
    <row r="21139">
      <c r="A21139" s="6"/>
      <c r="B21139" s="6"/>
      <c r="H21139" s="13"/>
    </row>
    <row r="21140">
      <c r="A21140" s="6"/>
      <c r="B21140" s="6"/>
      <c r="H21140" s="13"/>
    </row>
    <row r="21141">
      <c r="A21141" s="6"/>
      <c r="B21141" s="6"/>
      <c r="H21141" s="13"/>
    </row>
    <row r="21142">
      <c r="A21142" s="6"/>
      <c r="B21142" s="6"/>
      <c r="H21142" s="13"/>
    </row>
    <row r="21143">
      <c r="A21143" s="6"/>
      <c r="B21143" s="6"/>
      <c r="H21143" s="13"/>
    </row>
    <row r="21144">
      <c r="A21144" s="6"/>
      <c r="B21144" s="6"/>
      <c r="H21144" s="13"/>
    </row>
    <row r="21145">
      <c r="A21145" s="6"/>
      <c r="B21145" s="6"/>
      <c r="H21145" s="13"/>
    </row>
    <row r="21146">
      <c r="A21146" s="6"/>
      <c r="B21146" s="6"/>
      <c r="H21146" s="13"/>
    </row>
    <row r="21147">
      <c r="A21147" s="6"/>
      <c r="B21147" s="6"/>
      <c r="H21147" s="13"/>
    </row>
    <row r="21148">
      <c r="A21148" s="6"/>
      <c r="B21148" s="6"/>
      <c r="H21148" s="13"/>
    </row>
    <row r="21149">
      <c r="A21149" s="6"/>
      <c r="B21149" s="6"/>
      <c r="H21149" s="13"/>
    </row>
    <row r="21150">
      <c r="A21150" s="6"/>
      <c r="B21150" s="6"/>
      <c r="H21150" s="13"/>
    </row>
    <row r="21151">
      <c r="A21151" s="6"/>
      <c r="B21151" s="6"/>
      <c r="H21151" s="13"/>
    </row>
    <row r="21152">
      <c r="A21152" s="6"/>
      <c r="B21152" s="6"/>
      <c r="H21152" s="13"/>
    </row>
    <row r="21153">
      <c r="A21153" s="6"/>
      <c r="B21153" s="6"/>
      <c r="H21153" s="13"/>
    </row>
    <row r="21154">
      <c r="A21154" s="6"/>
      <c r="B21154" s="6"/>
      <c r="H21154" s="13"/>
    </row>
    <row r="21155">
      <c r="A21155" s="6"/>
      <c r="B21155" s="6"/>
      <c r="H21155" s="13"/>
    </row>
    <row r="21156">
      <c r="A21156" s="6"/>
      <c r="B21156" s="6"/>
      <c r="H21156" s="13"/>
    </row>
    <row r="21157">
      <c r="A21157" s="6"/>
      <c r="B21157" s="6"/>
      <c r="H21157" s="13"/>
    </row>
    <row r="21158">
      <c r="A21158" s="6"/>
      <c r="B21158" s="6"/>
      <c r="H21158" s="13"/>
    </row>
    <row r="21159">
      <c r="A21159" s="6"/>
      <c r="B21159" s="6"/>
      <c r="H21159" s="13"/>
    </row>
    <row r="21160">
      <c r="A21160" s="6"/>
      <c r="B21160" s="6"/>
      <c r="H21160" s="13"/>
    </row>
    <row r="21161">
      <c r="A21161" s="6"/>
      <c r="B21161" s="6"/>
      <c r="H21161" s="13"/>
    </row>
    <row r="21162">
      <c r="A21162" s="6"/>
      <c r="B21162" s="6"/>
      <c r="H21162" s="13"/>
    </row>
    <row r="21163">
      <c r="A21163" s="6"/>
      <c r="B21163" s="6"/>
      <c r="H21163" s="13"/>
    </row>
    <row r="21164">
      <c r="A21164" s="6"/>
      <c r="B21164" s="6"/>
      <c r="H21164" s="13"/>
    </row>
    <row r="21165">
      <c r="A21165" s="6"/>
      <c r="B21165" s="6"/>
      <c r="H21165" s="13"/>
    </row>
    <row r="21166">
      <c r="A21166" s="6"/>
      <c r="B21166" s="6"/>
      <c r="H21166" s="13"/>
    </row>
    <row r="21167">
      <c r="A21167" s="6"/>
      <c r="B21167" s="6"/>
      <c r="H21167" s="13"/>
    </row>
    <row r="21168">
      <c r="A21168" s="6"/>
      <c r="B21168" s="6"/>
      <c r="H21168" s="13"/>
    </row>
    <row r="21169">
      <c r="A21169" s="6"/>
      <c r="B21169" s="6"/>
      <c r="H21169" s="13"/>
    </row>
    <row r="21170">
      <c r="A21170" s="6"/>
      <c r="B21170" s="6"/>
      <c r="H21170" s="13"/>
    </row>
    <row r="21171">
      <c r="A21171" s="6"/>
      <c r="B21171" s="6"/>
      <c r="H21171" s="13"/>
    </row>
    <row r="21172">
      <c r="A21172" s="6"/>
      <c r="B21172" s="6"/>
      <c r="H21172" s="13"/>
    </row>
    <row r="21173">
      <c r="A21173" s="6"/>
      <c r="B21173" s="6"/>
      <c r="H21173" s="13"/>
    </row>
    <row r="21174">
      <c r="A21174" s="6"/>
      <c r="B21174" s="6"/>
      <c r="H21174" s="13"/>
    </row>
    <row r="21175">
      <c r="A21175" s="6"/>
      <c r="B21175" s="6"/>
      <c r="H21175" s="13"/>
    </row>
    <row r="21176">
      <c r="A21176" s="6"/>
      <c r="B21176" s="6"/>
      <c r="H21176" s="13"/>
    </row>
    <row r="21177">
      <c r="A21177" s="6"/>
      <c r="B21177" s="6"/>
      <c r="H21177" s="13"/>
    </row>
    <row r="21178">
      <c r="A21178" s="6"/>
      <c r="B21178" s="6"/>
      <c r="H21178" s="13"/>
    </row>
    <row r="21179">
      <c r="A21179" s="6"/>
      <c r="B21179" s="6"/>
      <c r="H21179" s="13"/>
    </row>
    <row r="21180">
      <c r="A21180" s="6"/>
      <c r="B21180" s="6"/>
      <c r="H21180" s="13"/>
    </row>
    <row r="21181">
      <c r="A21181" s="6"/>
      <c r="B21181" s="6"/>
      <c r="H21181" s="13"/>
    </row>
    <row r="21182">
      <c r="A21182" s="6"/>
      <c r="B21182" s="6"/>
      <c r="H21182" s="13"/>
    </row>
    <row r="21183">
      <c r="A21183" s="6"/>
      <c r="B21183" s="6"/>
      <c r="H21183" s="13"/>
    </row>
    <row r="21184">
      <c r="A21184" s="6"/>
      <c r="B21184" s="6"/>
      <c r="H21184" s="13"/>
    </row>
    <row r="21185">
      <c r="A21185" s="6"/>
      <c r="B21185" s="6"/>
      <c r="H21185" s="13"/>
    </row>
    <row r="21186">
      <c r="A21186" s="6"/>
      <c r="B21186" s="6"/>
      <c r="H21186" s="13"/>
    </row>
    <row r="21187">
      <c r="A21187" s="6"/>
      <c r="B21187" s="6"/>
      <c r="H21187" s="13"/>
    </row>
    <row r="21188">
      <c r="A21188" s="6"/>
      <c r="B21188" s="6"/>
      <c r="H21188" s="13"/>
    </row>
    <row r="21189">
      <c r="A21189" s="6"/>
      <c r="B21189" s="6"/>
      <c r="H21189" s="13"/>
    </row>
    <row r="21190">
      <c r="A21190" s="6"/>
      <c r="B21190" s="6"/>
      <c r="H21190" s="13"/>
    </row>
    <row r="21191">
      <c r="A21191" s="6"/>
      <c r="B21191" s="6"/>
      <c r="H21191" s="13"/>
    </row>
    <row r="21192">
      <c r="A21192" s="6"/>
      <c r="B21192" s="6"/>
      <c r="H21192" s="13"/>
    </row>
    <row r="21193">
      <c r="A21193" s="6"/>
      <c r="B21193" s="6"/>
      <c r="H21193" s="13"/>
    </row>
    <row r="21194">
      <c r="A21194" s="6"/>
      <c r="B21194" s="6"/>
      <c r="H21194" s="13"/>
    </row>
    <row r="21195">
      <c r="A21195" s="6"/>
      <c r="B21195" s="6"/>
      <c r="H21195" s="13"/>
    </row>
    <row r="21196">
      <c r="A21196" s="6"/>
      <c r="B21196" s="6"/>
      <c r="H21196" s="13"/>
    </row>
    <row r="21197">
      <c r="A21197" s="6"/>
      <c r="B21197" s="6"/>
      <c r="H21197" s="13"/>
    </row>
    <row r="21198">
      <c r="A21198" s="6"/>
      <c r="B21198" s="6"/>
      <c r="H21198" s="13"/>
    </row>
    <row r="21199">
      <c r="A21199" s="6"/>
      <c r="B21199" s="6"/>
      <c r="H21199" s="13"/>
    </row>
    <row r="21200">
      <c r="A21200" s="6"/>
      <c r="B21200" s="6"/>
      <c r="H21200" s="13"/>
    </row>
    <row r="21201">
      <c r="A21201" s="6"/>
      <c r="B21201" s="6"/>
      <c r="H21201" s="13"/>
    </row>
    <row r="21202">
      <c r="A21202" s="6"/>
      <c r="B21202" s="6"/>
      <c r="H21202" s="13"/>
    </row>
    <row r="21203">
      <c r="A21203" s="6"/>
      <c r="B21203" s="6"/>
      <c r="H21203" s="13"/>
    </row>
    <row r="21204">
      <c r="A21204" s="6"/>
      <c r="B21204" s="6"/>
      <c r="H21204" s="13"/>
    </row>
    <row r="21205">
      <c r="A21205" s="6"/>
      <c r="B21205" s="6"/>
      <c r="H21205" s="13"/>
    </row>
    <row r="21206">
      <c r="A21206" s="6"/>
      <c r="B21206" s="6"/>
      <c r="H21206" s="13"/>
    </row>
    <row r="21207">
      <c r="A21207" s="6"/>
      <c r="B21207" s="6"/>
      <c r="H21207" s="13"/>
    </row>
    <row r="21208">
      <c r="A21208" s="6"/>
      <c r="B21208" s="6"/>
      <c r="H21208" s="13"/>
    </row>
    <row r="21209">
      <c r="A21209" s="6"/>
      <c r="B21209" s="6"/>
      <c r="H21209" s="13"/>
    </row>
    <row r="21210">
      <c r="A21210" s="6"/>
      <c r="B21210" s="6"/>
      <c r="H21210" s="13"/>
    </row>
    <row r="21211">
      <c r="A21211" s="6"/>
      <c r="B21211" s="6"/>
      <c r="H21211" s="13"/>
    </row>
    <row r="21212">
      <c r="A21212" s="6"/>
      <c r="B21212" s="6"/>
      <c r="H21212" s="13"/>
    </row>
    <row r="21213">
      <c r="A21213" s="6"/>
      <c r="B21213" s="6"/>
      <c r="H21213" s="13"/>
    </row>
    <row r="21214">
      <c r="A21214" s="6"/>
      <c r="B21214" s="6"/>
      <c r="H21214" s="13"/>
    </row>
    <row r="21215">
      <c r="A21215" s="6"/>
      <c r="B21215" s="6"/>
      <c r="H21215" s="13"/>
    </row>
    <row r="21216">
      <c r="A21216" s="6"/>
      <c r="B21216" s="6"/>
      <c r="H21216" s="13"/>
    </row>
    <row r="21217">
      <c r="A21217" s="6"/>
      <c r="B21217" s="6"/>
      <c r="H21217" s="13"/>
    </row>
    <row r="21218">
      <c r="A21218" s="6"/>
      <c r="B21218" s="6"/>
      <c r="H21218" s="13"/>
    </row>
    <row r="21219">
      <c r="A21219" s="6"/>
      <c r="B21219" s="6"/>
      <c r="H21219" s="13"/>
    </row>
    <row r="21220">
      <c r="A21220" s="6"/>
      <c r="B21220" s="6"/>
      <c r="H21220" s="13"/>
    </row>
    <row r="21221">
      <c r="A21221" s="6"/>
      <c r="B21221" s="6"/>
      <c r="H21221" s="13"/>
    </row>
    <row r="21222">
      <c r="A21222" s="6"/>
      <c r="B21222" s="6"/>
      <c r="H21222" s="13"/>
    </row>
    <row r="21223">
      <c r="A21223" s="6"/>
      <c r="B21223" s="6"/>
      <c r="H21223" s="13"/>
    </row>
    <row r="21224">
      <c r="A21224" s="6"/>
      <c r="B21224" s="6"/>
      <c r="H21224" s="13"/>
    </row>
    <row r="21225">
      <c r="A21225" s="6"/>
      <c r="B21225" s="6"/>
      <c r="H21225" s="13"/>
    </row>
    <row r="21226">
      <c r="A21226" s="6"/>
      <c r="B21226" s="6"/>
      <c r="H21226" s="13"/>
    </row>
    <row r="21227">
      <c r="A21227" s="6"/>
      <c r="B21227" s="6"/>
      <c r="H21227" s="13"/>
    </row>
    <row r="21228">
      <c r="A21228" s="6"/>
      <c r="B21228" s="6"/>
      <c r="H21228" s="13"/>
    </row>
    <row r="21229">
      <c r="A21229" s="6"/>
      <c r="B21229" s="6"/>
      <c r="H21229" s="13"/>
    </row>
    <row r="21230">
      <c r="A21230" s="6"/>
      <c r="B21230" s="6"/>
      <c r="H21230" s="13"/>
    </row>
    <row r="21231">
      <c r="A21231" s="6"/>
      <c r="B21231" s="6"/>
      <c r="H21231" s="13"/>
    </row>
    <row r="21232">
      <c r="A21232" s="6"/>
      <c r="B21232" s="6"/>
      <c r="H21232" s="13"/>
    </row>
    <row r="21233">
      <c r="A21233" s="6"/>
      <c r="B21233" s="6"/>
      <c r="H21233" s="13"/>
    </row>
    <row r="21234">
      <c r="A21234" s="6"/>
      <c r="B21234" s="6"/>
      <c r="H21234" s="13"/>
    </row>
    <row r="21235">
      <c r="A21235" s="6"/>
      <c r="B21235" s="6"/>
      <c r="H21235" s="13"/>
    </row>
    <row r="21236">
      <c r="A21236" s="6"/>
      <c r="B21236" s="6"/>
      <c r="H21236" s="13"/>
    </row>
    <row r="21237">
      <c r="A21237" s="6"/>
      <c r="B21237" s="6"/>
      <c r="H21237" s="13"/>
    </row>
    <row r="21238">
      <c r="A21238" s="6"/>
      <c r="B21238" s="6"/>
      <c r="H21238" s="13"/>
    </row>
    <row r="21239">
      <c r="A21239" s="6"/>
      <c r="B21239" s="6"/>
      <c r="H21239" s="13"/>
    </row>
    <row r="21240">
      <c r="A21240" s="6"/>
      <c r="B21240" s="6"/>
      <c r="H21240" s="13"/>
    </row>
    <row r="21241">
      <c r="A21241" s="6"/>
      <c r="B21241" s="6"/>
      <c r="H21241" s="13"/>
    </row>
    <row r="21242">
      <c r="A21242" s="6"/>
      <c r="B21242" s="6"/>
      <c r="H21242" s="13"/>
    </row>
    <row r="21243">
      <c r="A21243" s="6"/>
      <c r="B21243" s="6"/>
      <c r="H21243" s="13"/>
    </row>
    <row r="21244">
      <c r="A21244" s="6"/>
      <c r="B21244" s="6"/>
      <c r="H21244" s="13"/>
    </row>
    <row r="21245">
      <c r="A21245" s="6"/>
      <c r="B21245" s="6"/>
      <c r="H21245" s="13"/>
    </row>
    <row r="21246">
      <c r="A21246" s="6"/>
      <c r="B21246" s="6"/>
      <c r="H21246" s="13"/>
    </row>
    <row r="21247">
      <c r="A21247" s="6"/>
      <c r="B21247" s="6"/>
      <c r="H21247" s="13"/>
    </row>
    <row r="21248">
      <c r="A21248" s="6"/>
      <c r="B21248" s="6"/>
      <c r="H21248" s="13"/>
    </row>
    <row r="21249">
      <c r="A21249" s="6"/>
      <c r="B21249" s="6"/>
      <c r="H21249" s="13"/>
    </row>
    <row r="21250">
      <c r="A21250" s="6"/>
      <c r="B21250" s="6"/>
      <c r="H21250" s="13"/>
    </row>
    <row r="21251">
      <c r="A21251" s="6"/>
      <c r="B21251" s="6"/>
      <c r="H21251" s="13"/>
    </row>
    <row r="21252">
      <c r="A21252" s="6"/>
      <c r="B21252" s="6"/>
      <c r="H21252" s="13"/>
    </row>
    <row r="21253">
      <c r="A21253" s="6"/>
      <c r="B21253" s="6"/>
      <c r="H21253" s="13"/>
    </row>
    <row r="21254">
      <c r="A21254" s="6"/>
      <c r="B21254" s="6"/>
      <c r="H21254" s="13"/>
    </row>
    <row r="21255">
      <c r="A21255" s="6"/>
      <c r="B21255" s="6"/>
      <c r="H21255" s="13"/>
    </row>
    <row r="21256">
      <c r="A21256" s="6"/>
      <c r="B21256" s="6"/>
      <c r="H21256" s="13"/>
    </row>
    <row r="21257">
      <c r="A21257" s="6"/>
      <c r="B21257" s="6"/>
      <c r="H21257" s="13"/>
    </row>
    <row r="21258">
      <c r="A21258" s="6"/>
      <c r="B21258" s="6"/>
      <c r="H21258" s="13"/>
    </row>
    <row r="21259">
      <c r="A21259" s="6"/>
      <c r="B21259" s="6"/>
      <c r="H21259" s="13"/>
    </row>
    <row r="21260">
      <c r="A21260" s="6"/>
      <c r="B21260" s="6"/>
      <c r="H21260" s="13"/>
    </row>
    <row r="21261">
      <c r="A21261" s="6"/>
      <c r="B21261" s="6"/>
      <c r="H21261" s="13"/>
    </row>
    <row r="21262">
      <c r="A21262" s="6"/>
      <c r="B21262" s="6"/>
      <c r="H21262" s="13"/>
    </row>
    <row r="21263">
      <c r="A21263" s="6"/>
      <c r="B21263" s="6"/>
      <c r="H21263" s="13"/>
    </row>
    <row r="21264">
      <c r="A21264" s="6"/>
      <c r="B21264" s="6"/>
      <c r="H21264" s="13"/>
    </row>
    <row r="21265">
      <c r="A21265" s="6"/>
      <c r="B21265" s="6"/>
      <c r="H21265" s="13"/>
    </row>
    <row r="21266">
      <c r="A21266" s="6"/>
      <c r="B21266" s="6"/>
      <c r="H21266" s="13"/>
    </row>
    <row r="21267">
      <c r="A21267" s="6"/>
      <c r="B21267" s="6"/>
      <c r="H21267" s="13"/>
    </row>
    <row r="21268">
      <c r="A21268" s="6"/>
      <c r="B21268" s="6"/>
      <c r="H21268" s="13"/>
    </row>
    <row r="21269">
      <c r="A21269" s="6"/>
      <c r="B21269" s="6"/>
      <c r="H21269" s="13"/>
    </row>
    <row r="21270">
      <c r="A21270" s="6"/>
      <c r="B21270" s="6"/>
      <c r="H21270" s="13"/>
    </row>
    <row r="21271">
      <c r="A21271" s="6"/>
      <c r="B21271" s="6"/>
      <c r="H21271" s="13"/>
    </row>
    <row r="21272">
      <c r="A21272" s="6"/>
      <c r="B21272" s="6"/>
      <c r="H21272" s="13"/>
    </row>
    <row r="21273">
      <c r="A21273" s="6"/>
      <c r="B21273" s="6"/>
      <c r="H21273" s="13"/>
    </row>
    <row r="21274">
      <c r="A21274" s="6"/>
      <c r="B21274" s="6"/>
      <c r="H21274" s="13"/>
    </row>
    <row r="21275">
      <c r="A21275" s="6"/>
      <c r="B21275" s="6"/>
      <c r="H21275" s="13"/>
    </row>
    <row r="21276">
      <c r="A21276" s="6"/>
      <c r="B21276" s="6"/>
      <c r="H21276" s="13"/>
    </row>
    <row r="21277">
      <c r="A21277" s="6"/>
      <c r="B21277" s="6"/>
      <c r="H21277" s="13"/>
    </row>
    <row r="21278">
      <c r="A21278" s="6"/>
      <c r="B21278" s="6"/>
      <c r="H21278" s="13"/>
    </row>
    <row r="21279">
      <c r="A21279" s="6"/>
      <c r="B21279" s="6"/>
      <c r="H21279" s="13"/>
    </row>
    <row r="21280">
      <c r="A21280" s="6"/>
      <c r="B21280" s="6"/>
      <c r="H21280" s="13"/>
    </row>
    <row r="21281">
      <c r="A21281" s="6"/>
      <c r="B21281" s="6"/>
      <c r="H21281" s="13"/>
    </row>
    <row r="21282">
      <c r="A21282" s="6"/>
      <c r="B21282" s="6"/>
      <c r="H21282" s="13"/>
    </row>
    <row r="21283">
      <c r="A21283" s="6"/>
      <c r="B21283" s="6"/>
      <c r="H21283" s="13"/>
    </row>
    <row r="21284">
      <c r="A21284" s="6"/>
      <c r="B21284" s="6"/>
      <c r="H21284" s="13"/>
    </row>
    <row r="21285">
      <c r="A21285" s="6"/>
      <c r="B21285" s="6"/>
      <c r="H21285" s="13"/>
    </row>
    <row r="21286">
      <c r="A21286" s="6"/>
      <c r="B21286" s="6"/>
      <c r="H21286" s="13"/>
    </row>
    <row r="21287">
      <c r="A21287" s="6"/>
      <c r="B21287" s="6"/>
      <c r="H21287" s="13"/>
    </row>
    <row r="21288">
      <c r="A21288" s="6"/>
      <c r="B21288" s="6"/>
      <c r="H21288" s="13"/>
    </row>
    <row r="21289">
      <c r="A21289" s="6"/>
      <c r="B21289" s="6"/>
      <c r="H21289" s="13"/>
    </row>
    <row r="21290">
      <c r="A21290" s="6"/>
      <c r="B21290" s="6"/>
      <c r="H21290" s="13"/>
    </row>
    <row r="21291">
      <c r="A21291" s="6"/>
      <c r="B21291" s="6"/>
      <c r="H21291" s="13"/>
    </row>
    <row r="21292">
      <c r="A21292" s="6"/>
      <c r="B21292" s="6"/>
      <c r="H21292" s="13"/>
    </row>
    <row r="21293">
      <c r="A21293" s="6"/>
      <c r="B21293" s="6"/>
      <c r="H21293" s="13"/>
    </row>
    <row r="21294">
      <c r="A21294" s="6"/>
      <c r="B21294" s="6"/>
      <c r="H21294" s="13"/>
    </row>
    <row r="21295">
      <c r="A21295" s="6"/>
      <c r="B21295" s="6"/>
      <c r="H21295" s="13"/>
    </row>
    <row r="21296">
      <c r="A21296" s="6"/>
      <c r="B21296" s="6"/>
      <c r="H21296" s="13"/>
    </row>
    <row r="21297">
      <c r="A21297" s="6"/>
      <c r="B21297" s="6"/>
      <c r="H21297" s="13"/>
    </row>
    <row r="21298">
      <c r="A21298" s="6"/>
      <c r="B21298" s="6"/>
      <c r="H21298" s="13"/>
    </row>
    <row r="21299">
      <c r="A21299" s="6"/>
      <c r="B21299" s="6"/>
      <c r="H21299" s="13"/>
    </row>
    <row r="21300">
      <c r="A21300" s="6"/>
      <c r="B21300" s="6"/>
      <c r="H21300" s="13"/>
    </row>
    <row r="21301">
      <c r="A21301" s="6"/>
      <c r="B21301" s="6"/>
      <c r="H21301" s="13"/>
    </row>
    <row r="21302">
      <c r="A21302" s="6"/>
      <c r="B21302" s="6"/>
      <c r="H21302" s="13"/>
    </row>
    <row r="21303">
      <c r="A21303" s="6"/>
      <c r="B21303" s="6"/>
      <c r="H21303" s="13"/>
    </row>
    <row r="21304">
      <c r="A21304" s="6"/>
      <c r="B21304" s="6"/>
      <c r="H21304" s="13"/>
    </row>
    <row r="21305">
      <c r="A21305" s="6"/>
      <c r="B21305" s="6"/>
      <c r="H21305" s="13"/>
    </row>
    <row r="21306">
      <c r="A21306" s="6"/>
      <c r="B21306" s="6"/>
      <c r="H21306" s="13"/>
    </row>
    <row r="21307">
      <c r="A21307" s="6"/>
      <c r="B21307" s="6"/>
      <c r="H21307" s="13"/>
    </row>
    <row r="21308">
      <c r="A21308" s="6"/>
      <c r="B21308" s="6"/>
      <c r="H21308" s="13"/>
    </row>
    <row r="21309">
      <c r="A21309" s="6"/>
      <c r="B21309" s="6"/>
      <c r="H21309" s="13"/>
    </row>
    <row r="21310">
      <c r="A21310" s="6"/>
      <c r="B21310" s="6"/>
      <c r="H21310" s="13"/>
    </row>
    <row r="21311">
      <c r="A21311" s="6"/>
      <c r="B21311" s="6"/>
      <c r="H21311" s="13"/>
    </row>
    <row r="21312">
      <c r="A21312" s="6"/>
      <c r="B21312" s="6"/>
      <c r="H21312" s="13"/>
    </row>
    <row r="21313">
      <c r="A21313" s="6"/>
      <c r="B21313" s="6"/>
      <c r="H21313" s="13"/>
    </row>
    <row r="21314">
      <c r="A21314" s="6"/>
      <c r="B21314" s="6"/>
      <c r="H21314" s="13"/>
    </row>
    <row r="21315">
      <c r="A21315" s="6"/>
      <c r="B21315" s="6"/>
      <c r="H21315" s="13"/>
    </row>
    <row r="21316">
      <c r="A21316" s="6"/>
      <c r="B21316" s="6"/>
      <c r="H21316" s="13"/>
    </row>
    <row r="21317">
      <c r="A21317" s="6"/>
      <c r="B21317" s="6"/>
      <c r="H21317" s="13"/>
    </row>
    <row r="21318">
      <c r="A21318" s="6"/>
      <c r="B21318" s="6"/>
      <c r="H21318" s="13"/>
    </row>
    <row r="21319">
      <c r="A21319" s="6"/>
      <c r="B21319" s="6"/>
      <c r="H21319" s="13"/>
    </row>
    <row r="21320">
      <c r="A21320" s="6"/>
      <c r="B21320" s="6"/>
      <c r="H21320" s="13"/>
    </row>
    <row r="21321">
      <c r="A21321" s="6"/>
      <c r="B21321" s="6"/>
      <c r="H21321" s="13"/>
    </row>
    <row r="21322">
      <c r="A21322" s="6"/>
      <c r="B21322" s="6"/>
      <c r="H21322" s="13"/>
    </row>
    <row r="21323">
      <c r="A21323" s="6"/>
      <c r="B21323" s="6"/>
      <c r="H21323" s="13"/>
    </row>
    <row r="21324">
      <c r="A21324" s="6"/>
      <c r="B21324" s="6"/>
      <c r="H21324" s="13"/>
    </row>
    <row r="21325">
      <c r="A21325" s="6"/>
      <c r="B21325" s="6"/>
      <c r="H21325" s="13"/>
    </row>
    <row r="21326">
      <c r="A21326" s="6"/>
      <c r="B21326" s="6"/>
      <c r="H21326" s="13"/>
    </row>
    <row r="21327">
      <c r="A21327" s="6"/>
      <c r="B21327" s="6"/>
      <c r="H21327" s="13"/>
    </row>
    <row r="21328">
      <c r="A21328" s="6"/>
      <c r="B21328" s="6"/>
      <c r="H21328" s="13"/>
    </row>
    <row r="21329">
      <c r="A21329" s="6"/>
      <c r="B21329" s="6"/>
      <c r="H21329" s="13"/>
    </row>
    <row r="21330">
      <c r="A21330" s="6"/>
      <c r="B21330" s="6"/>
      <c r="H21330" s="13"/>
    </row>
    <row r="21331">
      <c r="A21331" s="6"/>
      <c r="B21331" s="6"/>
      <c r="H21331" s="13"/>
    </row>
    <row r="21332">
      <c r="A21332" s="6"/>
      <c r="B21332" s="6"/>
      <c r="H21332" s="13"/>
    </row>
    <row r="21333">
      <c r="A21333" s="6"/>
      <c r="B21333" s="6"/>
      <c r="H21333" s="13"/>
    </row>
    <row r="21334">
      <c r="A21334" s="6"/>
      <c r="B21334" s="6"/>
      <c r="H21334" s="13"/>
    </row>
    <row r="21335">
      <c r="A21335" s="6"/>
      <c r="B21335" s="6"/>
      <c r="H21335" s="13"/>
    </row>
    <row r="21336">
      <c r="A21336" s="6"/>
      <c r="B21336" s="6"/>
      <c r="H21336" s="13"/>
    </row>
    <row r="21337">
      <c r="A21337" s="6"/>
      <c r="B21337" s="6"/>
      <c r="H21337" s="13"/>
    </row>
    <row r="21338">
      <c r="A21338" s="6"/>
      <c r="B21338" s="6"/>
      <c r="H21338" s="13"/>
    </row>
    <row r="21339">
      <c r="A21339" s="6"/>
      <c r="B21339" s="6"/>
      <c r="H21339" s="13"/>
    </row>
    <row r="21340">
      <c r="A21340" s="6"/>
      <c r="B21340" s="6"/>
      <c r="H21340" s="13"/>
    </row>
    <row r="21341">
      <c r="A21341" s="6"/>
      <c r="B21341" s="6"/>
      <c r="H21341" s="13"/>
    </row>
    <row r="21342">
      <c r="A21342" s="6"/>
      <c r="B21342" s="6"/>
      <c r="H21342" s="13"/>
    </row>
    <row r="21343">
      <c r="A21343" s="6"/>
      <c r="B21343" s="6"/>
      <c r="H21343" s="13"/>
    </row>
    <row r="21344">
      <c r="A21344" s="6"/>
      <c r="B21344" s="6"/>
      <c r="H21344" s="13"/>
    </row>
    <row r="21345">
      <c r="A21345" s="6"/>
      <c r="B21345" s="6"/>
      <c r="H21345" s="13"/>
    </row>
    <row r="21346">
      <c r="A21346" s="6"/>
      <c r="B21346" s="6"/>
      <c r="H21346" s="13"/>
    </row>
    <row r="21347">
      <c r="A21347" s="6"/>
      <c r="B21347" s="6"/>
      <c r="H21347" s="13"/>
    </row>
    <row r="21348">
      <c r="A21348" s="6"/>
      <c r="B21348" s="6"/>
      <c r="H21348" s="13"/>
    </row>
    <row r="21349">
      <c r="A21349" s="6"/>
      <c r="B21349" s="6"/>
      <c r="H21349" s="13"/>
    </row>
    <row r="21350">
      <c r="A21350" s="6"/>
      <c r="B21350" s="6"/>
      <c r="H21350" s="13"/>
    </row>
    <row r="21351">
      <c r="A21351" s="6"/>
      <c r="B21351" s="6"/>
      <c r="H21351" s="13"/>
    </row>
    <row r="21352">
      <c r="A21352" s="6"/>
      <c r="B21352" s="6"/>
      <c r="H21352" s="13"/>
    </row>
    <row r="21353">
      <c r="A21353" s="6"/>
      <c r="B21353" s="6"/>
      <c r="H21353" s="13"/>
    </row>
    <row r="21354">
      <c r="A21354" s="6"/>
      <c r="B21354" s="6"/>
      <c r="H21354" s="13"/>
    </row>
    <row r="21355">
      <c r="A21355" s="6"/>
      <c r="B21355" s="6"/>
      <c r="H21355" s="13"/>
    </row>
    <row r="21356">
      <c r="A21356" s="6"/>
      <c r="B21356" s="6"/>
      <c r="H21356" s="13"/>
    </row>
    <row r="21357">
      <c r="A21357" s="6"/>
      <c r="B21357" s="6"/>
      <c r="H21357" s="13"/>
    </row>
    <row r="21358">
      <c r="A21358" s="6"/>
      <c r="B21358" s="6"/>
      <c r="H21358" s="13"/>
    </row>
    <row r="21359">
      <c r="A21359" s="6"/>
      <c r="B21359" s="6"/>
      <c r="H21359" s="13"/>
    </row>
    <row r="21360">
      <c r="A21360" s="6"/>
      <c r="B21360" s="6"/>
      <c r="H21360" s="13"/>
    </row>
    <row r="21361">
      <c r="A21361" s="6"/>
      <c r="B21361" s="6"/>
      <c r="H21361" s="13"/>
    </row>
    <row r="21362">
      <c r="A21362" s="6"/>
      <c r="B21362" s="6"/>
      <c r="H21362" s="13"/>
    </row>
    <row r="21363">
      <c r="A21363" s="6"/>
      <c r="B21363" s="6"/>
      <c r="H21363" s="13"/>
    </row>
    <row r="21364">
      <c r="A21364" s="6"/>
      <c r="B21364" s="6"/>
      <c r="H21364" s="13"/>
    </row>
    <row r="21365">
      <c r="A21365" s="6"/>
      <c r="B21365" s="6"/>
      <c r="H21365" s="13"/>
    </row>
    <row r="21366">
      <c r="A21366" s="6"/>
      <c r="B21366" s="6"/>
      <c r="H21366" s="13"/>
    </row>
    <row r="21367">
      <c r="A21367" s="6"/>
      <c r="B21367" s="6"/>
      <c r="H21367" s="13"/>
    </row>
    <row r="21368">
      <c r="A21368" s="6"/>
      <c r="B21368" s="6"/>
      <c r="H21368" s="13"/>
    </row>
    <row r="21369">
      <c r="A21369" s="6"/>
      <c r="B21369" s="6"/>
      <c r="H21369" s="13"/>
    </row>
    <row r="21370">
      <c r="A21370" s="6"/>
      <c r="B21370" s="6"/>
      <c r="H21370" s="13"/>
    </row>
    <row r="21371">
      <c r="A21371" s="6"/>
      <c r="B21371" s="6"/>
      <c r="H21371" s="13"/>
    </row>
    <row r="21372">
      <c r="A21372" s="6"/>
      <c r="B21372" s="6"/>
      <c r="H21372" s="13"/>
    </row>
    <row r="21373">
      <c r="A21373" s="6"/>
      <c r="B21373" s="6"/>
      <c r="H21373" s="13"/>
    </row>
    <row r="21374">
      <c r="A21374" s="6"/>
      <c r="B21374" s="6"/>
      <c r="H21374" s="13"/>
    </row>
    <row r="21375">
      <c r="A21375" s="6"/>
      <c r="B21375" s="6"/>
      <c r="H21375" s="13"/>
    </row>
    <row r="21376">
      <c r="A21376" s="6"/>
      <c r="B21376" s="6"/>
      <c r="H21376" s="13"/>
    </row>
    <row r="21377">
      <c r="A21377" s="6"/>
      <c r="B21377" s="6"/>
      <c r="H21377" s="13"/>
    </row>
    <row r="21378">
      <c r="A21378" s="6"/>
      <c r="B21378" s="6"/>
      <c r="H21378" s="13"/>
    </row>
    <row r="21379">
      <c r="A21379" s="6"/>
      <c r="B21379" s="6"/>
      <c r="H21379" s="13"/>
    </row>
    <row r="21380">
      <c r="A21380" s="6"/>
      <c r="B21380" s="6"/>
      <c r="H21380" s="13"/>
    </row>
    <row r="21381">
      <c r="A21381" s="6"/>
      <c r="B21381" s="6"/>
      <c r="H21381" s="13"/>
    </row>
    <row r="21382">
      <c r="A21382" s="6"/>
      <c r="B21382" s="6"/>
      <c r="H21382" s="13"/>
    </row>
    <row r="21383">
      <c r="A21383" s="6"/>
      <c r="B21383" s="6"/>
      <c r="H21383" s="13"/>
    </row>
    <row r="21384">
      <c r="A21384" s="6"/>
      <c r="B21384" s="6"/>
      <c r="H21384" s="13"/>
    </row>
    <row r="21385">
      <c r="A21385" s="6"/>
      <c r="B21385" s="6"/>
      <c r="H21385" s="13"/>
    </row>
    <row r="21386">
      <c r="A21386" s="6"/>
      <c r="B21386" s="6"/>
      <c r="H21386" s="13"/>
    </row>
    <row r="21387">
      <c r="A21387" s="6"/>
      <c r="B21387" s="6"/>
      <c r="H21387" s="13"/>
    </row>
    <row r="21388">
      <c r="A21388" s="6"/>
      <c r="B21388" s="6"/>
      <c r="H21388" s="13"/>
    </row>
    <row r="21389">
      <c r="A21389" s="6"/>
      <c r="B21389" s="6"/>
      <c r="H21389" s="13"/>
    </row>
    <row r="21390">
      <c r="A21390" s="6"/>
      <c r="B21390" s="6"/>
      <c r="H21390" s="13"/>
    </row>
    <row r="21391">
      <c r="A21391" s="6"/>
      <c r="B21391" s="6"/>
      <c r="H21391" s="13"/>
    </row>
    <row r="21392">
      <c r="A21392" s="6"/>
      <c r="B21392" s="6"/>
      <c r="H21392" s="13"/>
    </row>
    <row r="21393">
      <c r="A21393" s="6"/>
      <c r="B21393" s="6"/>
      <c r="H21393" s="13"/>
    </row>
    <row r="21394">
      <c r="A21394" s="6"/>
      <c r="B21394" s="6"/>
      <c r="H21394" s="13"/>
    </row>
    <row r="21395">
      <c r="A21395" s="6"/>
      <c r="B21395" s="6"/>
      <c r="H21395" s="13"/>
    </row>
    <row r="21396">
      <c r="A21396" s="6"/>
      <c r="B21396" s="6"/>
      <c r="H21396" s="13"/>
    </row>
    <row r="21397">
      <c r="A21397" s="6"/>
      <c r="B21397" s="6"/>
      <c r="H21397" s="13"/>
    </row>
    <row r="21398">
      <c r="A21398" s="6"/>
      <c r="B21398" s="6"/>
      <c r="H21398" s="13"/>
    </row>
    <row r="21399">
      <c r="A21399" s="6"/>
      <c r="B21399" s="6"/>
      <c r="H21399" s="13"/>
    </row>
    <row r="21400">
      <c r="A21400" s="6"/>
      <c r="B21400" s="6"/>
      <c r="H21400" s="13"/>
    </row>
    <row r="21401">
      <c r="A21401" s="6"/>
      <c r="B21401" s="6"/>
      <c r="H21401" s="13"/>
    </row>
    <row r="21402">
      <c r="A21402" s="6"/>
      <c r="B21402" s="6"/>
      <c r="H21402" s="13"/>
    </row>
    <row r="21403">
      <c r="A21403" s="6"/>
      <c r="B21403" s="6"/>
      <c r="H21403" s="13"/>
    </row>
    <row r="21404">
      <c r="A21404" s="6"/>
      <c r="B21404" s="6"/>
      <c r="H21404" s="13"/>
    </row>
    <row r="21405">
      <c r="A21405" s="6"/>
      <c r="B21405" s="6"/>
      <c r="H21405" s="13"/>
    </row>
    <row r="21406">
      <c r="A21406" s="6"/>
      <c r="B21406" s="6"/>
      <c r="H21406" s="13"/>
    </row>
    <row r="21407">
      <c r="A21407" s="6"/>
      <c r="B21407" s="6"/>
      <c r="H21407" s="13"/>
    </row>
    <row r="21408">
      <c r="A21408" s="6"/>
      <c r="B21408" s="6"/>
      <c r="H21408" s="13"/>
    </row>
    <row r="21409">
      <c r="A21409" s="6"/>
      <c r="B21409" s="6"/>
      <c r="H21409" s="13"/>
    </row>
    <row r="21410">
      <c r="A21410" s="6"/>
      <c r="B21410" s="6"/>
      <c r="H21410" s="13"/>
    </row>
    <row r="21411">
      <c r="A21411" s="6"/>
      <c r="B21411" s="6"/>
      <c r="H21411" s="13"/>
    </row>
    <row r="21412">
      <c r="A21412" s="6"/>
      <c r="B21412" s="6"/>
      <c r="H21412" s="13"/>
    </row>
    <row r="21413">
      <c r="A21413" s="6"/>
      <c r="B21413" s="6"/>
      <c r="H21413" s="13"/>
    </row>
    <row r="21414">
      <c r="A21414" s="6"/>
      <c r="B21414" s="6"/>
      <c r="H21414" s="13"/>
    </row>
    <row r="21415">
      <c r="A21415" s="6"/>
      <c r="B21415" s="6"/>
      <c r="H21415" s="13"/>
    </row>
    <row r="21416">
      <c r="A21416" s="6"/>
      <c r="B21416" s="6"/>
      <c r="H21416" s="13"/>
    </row>
    <row r="21417">
      <c r="A21417" s="6"/>
      <c r="B21417" s="6"/>
      <c r="H21417" s="13"/>
    </row>
    <row r="21418">
      <c r="A21418" s="6"/>
      <c r="B21418" s="6"/>
      <c r="H21418" s="13"/>
    </row>
    <row r="21419">
      <c r="A21419" s="6"/>
      <c r="B21419" s="6"/>
      <c r="H21419" s="13"/>
    </row>
    <row r="21420">
      <c r="A21420" s="6"/>
      <c r="B21420" s="6"/>
      <c r="H21420" s="13"/>
    </row>
    <row r="21421">
      <c r="A21421" s="6"/>
      <c r="B21421" s="6"/>
      <c r="H21421" s="13"/>
    </row>
    <row r="21422">
      <c r="A21422" s="6"/>
      <c r="B21422" s="6"/>
      <c r="H21422" s="13"/>
    </row>
    <row r="21423">
      <c r="A21423" s="6"/>
      <c r="B21423" s="6"/>
      <c r="H21423" s="13"/>
    </row>
    <row r="21424">
      <c r="A21424" s="6"/>
      <c r="B21424" s="6"/>
      <c r="H21424" s="13"/>
    </row>
    <row r="21425">
      <c r="A21425" s="6"/>
      <c r="B21425" s="6"/>
      <c r="H21425" s="13"/>
    </row>
    <row r="21426">
      <c r="A21426" s="6"/>
      <c r="B21426" s="6"/>
      <c r="H21426" s="13"/>
    </row>
    <row r="21427">
      <c r="A21427" s="6"/>
      <c r="B21427" s="6"/>
      <c r="H21427" s="13"/>
    </row>
    <row r="21428">
      <c r="A21428" s="6"/>
      <c r="B21428" s="6"/>
      <c r="H21428" s="13"/>
    </row>
    <row r="21429">
      <c r="A21429" s="6"/>
      <c r="B21429" s="6"/>
      <c r="H21429" s="13"/>
    </row>
    <row r="21430">
      <c r="A21430" s="6"/>
      <c r="B21430" s="6"/>
      <c r="H21430" s="13"/>
    </row>
    <row r="21431">
      <c r="A21431" s="6"/>
      <c r="B21431" s="6"/>
      <c r="H21431" s="13"/>
    </row>
    <row r="21432">
      <c r="A21432" s="6"/>
      <c r="B21432" s="6"/>
      <c r="H21432" s="13"/>
    </row>
    <row r="21433">
      <c r="A21433" s="6"/>
      <c r="B21433" s="6"/>
      <c r="H21433" s="13"/>
    </row>
    <row r="21434">
      <c r="A21434" s="6"/>
      <c r="B21434" s="6"/>
      <c r="H21434" s="13"/>
    </row>
    <row r="21435">
      <c r="A21435" s="6"/>
      <c r="B21435" s="6"/>
      <c r="H21435" s="13"/>
    </row>
    <row r="21436">
      <c r="A21436" s="6"/>
      <c r="B21436" s="6"/>
      <c r="H21436" s="13"/>
    </row>
    <row r="21437">
      <c r="A21437" s="6"/>
      <c r="B21437" s="6"/>
      <c r="H21437" s="13"/>
    </row>
    <row r="21438">
      <c r="A21438" s="6"/>
      <c r="B21438" s="6"/>
      <c r="H21438" s="13"/>
    </row>
    <row r="21439">
      <c r="A21439" s="6"/>
      <c r="B21439" s="6"/>
      <c r="H21439" s="13"/>
    </row>
    <row r="21440">
      <c r="A21440" s="6"/>
      <c r="B21440" s="6"/>
      <c r="H21440" s="13"/>
    </row>
    <row r="21441">
      <c r="A21441" s="6"/>
      <c r="B21441" s="6"/>
      <c r="H21441" s="13"/>
    </row>
    <row r="21442">
      <c r="A21442" s="6"/>
      <c r="B21442" s="6"/>
      <c r="H21442" s="13"/>
    </row>
    <row r="21443">
      <c r="A21443" s="6"/>
      <c r="B21443" s="6"/>
      <c r="H21443" s="13"/>
    </row>
    <row r="21444">
      <c r="A21444" s="6"/>
      <c r="B21444" s="6"/>
      <c r="H21444" s="13"/>
    </row>
    <row r="21445">
      <c r="A21445" s="6"/>
      <c r="B21445" s="6"/>
      <c r="H21445" s="13"/>
    </row>
    <row r="21446">
      <c r="A21446" s="6"/>
      <c r="B21446" s="6"/>
      <c r="H21446" s="13"/>
    </row>
    <row r="21447">
      <c r="A21447" s="6"/>
      <c r="B21447" s="6"/>
      <c r="H21447" s="13"/>
    </row>
    <row r="21448">
      <c r="A21448" s="6"/>
      <c r="B21448" s="6"/>
      <c r="H21448" s="13"/>
    </row>
    <row r="21449">
      <c r="A21449" s="6"/>
      <c r="B21449" s="6"/>
      <c r="H21449" s="13"/>
    </row>
    <row r="21450">
      <c r="A21450" s="6"/>
      <c r="B21450" s="6"/>
      <c r="H21450" s="13"/>
    </row>
    <row r="21451">
      <c r="A21451" s="6"/>
      <c r="B21451" s="6"/>
      <c r="H21451" s="13"/>
    </row>
    <row r="21452">
      <c r="A21452" s="6"/>
      <c r="B21452" s="6"/>
      <c r="H21452" s="13"/>
    </row>
    <row r="21453">
      <c r="A21453" s="6"/>
      <c r="B21453" s="6"/>
      <c r="H21453" s="13"/>
    </row>
    <row r="21454">
      <c r="A21454" s="6"/>
      <c r="B21454" s="6"/>
      <c r="H21454" s="13"/>
    </row>
    <row r="21455">
      <c r="A21455" s="6"/>
      <c r="B21455" s="6"/>
      <c r="H21455" s="13"/>
    </row>
    <row r="21456">
      <c r="A21456" s="6"/>
      <c r="B21456" s="6"/>
      <c r="H21456" s="13"/>
    </row>
    <row r="21457">
      <c r="A21457" s="6"/>
      <c r="B21457" s="6"/>
      <c r="H21457" s="13"/>
    </row>
    <row r="21458">
      <c r="A21458" s="6"/>
      <c r="B21458" s="6"/>
      <c r="H21458" s="13"/>
    </row>
    <row r="21459">
      <c r="A21459" s="6"/>
      <c r="B21459" s="6"/>
      <c r="H21459" s="13"/>
    </row>
    <row r="21460">
      <c r="A21460" s="6"/>
      <c r="B21460" s="6"/>
      <c r="H21460" s="13"/>
    </row>
    <row r="21461">
      <c r="A21461" s="6"/>
      <c r="B21461" s="6"/>
      <c r="H21461" s="13"/>
    </row>
    <row r="21462">
      <c r="A21462" s="6"/>
      <c r="B21462" s="6"/>
      <c r="H21462" s="13"/>
    </row>
    <row r="21463">
      <c r="A21463" s="6"/>
      <c r="B21463" s="6"/>
      <c r="H21463" s="13"/>
    </row>
    <row r="21464">
      <c r="A21464" s="6"/>
      <c r="B21464" s="6"/>
      <c r="H21464" s="13"/>
    </row>
    <row r="21465">
      <c r="A21465" s="6"/>
      <c r="B21465" s="6"/>
      <c r="H21465" s="13"/>
    </row>
    <row r="21466">
      <c r="A21466" s="6"/>
      <c r="B21466" s="6"/>
      <c r="H21466" s="13"/>
    </row>
    <row r="21467">
      <c r="A21467" s="6"/>
      <c r="B21467" s="6"/>
      <c r="H21467" s="13"/>
    </row>
    <row r="21468">
      <c r="A21468" s="6"/>
      <c r="B21468" s="6"/>
      <c r="H21468" s="13"/>
    </row>
    <row r="21469">
      <c r="A21469" s="6"/>
      <c r="B21469" s="6"/>
      <c r="H21469" s="13"/>
    </row>
    <row r="21470">
      <c r="A21470" s="6"/>
      <c r="B21470" s="6"/>
      <c r="H21470" s="13"/>
    </row>
    <row r="21471">
      <c r="A21471" s="6"/>
      <c r="B21471" s="6"/>
      <c r="H21471" s="13"/>
    </row>
    <row r="21472">
      <c r="A21472" s="6"/>
      <c r="B21472" s="6"/>
      <c r="H21472" s="13"/>
    </row>
    <row r="21473">
      <c r="A21473" s="6"/>
      <c r="B21473" s="6"/>
      <c r="H21473" s="13"/>
    </row>
    <row r="21474">
      <c r="A21474" s="6"/>
      <c r="B21474" s="6"/>
      <c r="H21474" s="13"/>
    </row>
    <row r="21475">
      <c r="A21475" s="6"/>
      <c r="B21475" s="6"/>
      <c r="H21475" s="13"/>
    </row>
    <row r="21476">
      <c r="A21476" s="6"/>
      <c r="B21476" s="6"/>
      <c r="H21476" s="13"/>
    </row>
    <row r="21477">
      <c r="A21477" s="6"/>
      <c r="B21477" s="6"/>
      <c r="H21477" s="13"/>
    </row>
    <row r="21478">
      <c r="A21478" s="6"/>
      <c r="B21478" s="6"/>
      <c r="H21478" s="13"/>
    </row>
    <row r="21479">
      <c r="A21479" s="6"/>
      <c r="B21479" s="6"/>
      <c r="H21479" s="13"/>
    </row>
    <row r="21480">
      <c r="A21480" s="6"/>
      <c r="B21480" s="6"/>
      <c r="H21480" s="13"/>
    </row>
    <row r="21481">
      <c r="A21481" s="6"/>
      <c r="B21481" s="6"/>
      <c r="H21481" s="13"/>
    </row>
    <row r="21482">
      <c r="A21482" s="6"/>
      <c r="B21482" s="6"/>
      <c r="H21482" s="13"/>
    </row>
    <row r="21483">
      <c r="A21483" s="6"/>
      <c r="B21483" s="6"/>
      <c r="H21483" s="13"/>
    </row>
    <row r="21484">
      <c r="A21484" s="6"/>
      <c r="B21484" s="6"/>
      <c r="H21484" s="13"/>
    </row>
    <row r="21485">
      <c r="A21485" s="6"/>
      <c r="B21485" s="6"/>
      <c r="H21485" s="13"/>
    </row>
    <row r="21486">
      <c r="A21486" s="6"/>
      <c r="B21486" s="6"/>
      <c r="H21486" s="13"/>
    </row>
    <row r="21487">
      <c r="A21487" s="6"/>
      <c r="B21487" s="6"/>
      <c r="H21487" s="13"/>
    </row>
    <row r="21488">
      <c r="A21488" s="6"/>
      <c r="B21488" s="6"/>
      <c r="H21488" s="13"/>
    </row>
    <row r="21489">
      <c r="A21489" s="6"/>
      <c r="B21489" s="6"/>
      <c r="H21489" s="13"/>
    </row>
    <row r="21490">
      <c r="A21490" s="6"/>
      <c r="B21490" s="6"/>
      <c r="H21490" s="13"/>
    </row>
    <row r="21491">
      <c r="A21491" s="6"/>
      <c r="B21491" s="6"/>
      <c r="H21491" s="13"/>
    </row>
    <row r="21492">
      <c r="A21492" s="6"/>
      <c r="B21492" s="6"/>
      <c r="H21492" s="13"/>
    </row>
    <row r="21493">
      <c r="A21493" s="6"/>
      <c r="B21493" s="6"/>
      <c r="H21493" s="13"/>
    </row>
    <row r="21494">
      <c r="A21494" s="6"/>
      <c r="B21494" s="6"/>
      <c r="H21494" s="13"/>
    </row>
    <row r="21495">
      <c r="A21495" s="6"/>
      <c r="B21495" s="6"/>
      <c r="H21495" s="13"/>
    </row>
    <row r="21496">
      <c r="A21496" s="6"/>
      <c r="B21496" s="6"/>
      <c r="H21496" s="13"/>
    </row>
    <row r="21497">
      <c r="A21497" s="6"/>
      <c r="B21497" s="6"/>
      <c r="H21497" s="13"/>
    </row>
    <row r="21498">
      <c r="A21498" s="6"/>
      <c r="B21498" s="6"/>
      <c r="H21498" s="13"/>
    </row>
    <row r="21499">
      <c r="A21499" s="6"/>
      <c r="B21499" s="6"/>
      <c r="H21499" s="13"/>
    </row>
    <row r="21500">
      <c r="A21500" s="6"/>
      <c r="B21500" s="6"/>
      <c r="H21500" s="13"/>
    </row>
    <row r="21501">
      <c r="A21501" s="6"/>
      <c r="B21501" s="6"/>
      <c r="H21501" s="13"/>
    </row>
    <row r="21502">
      <c r="A21502" s="6"/>
      <c r="B21502" s="6"/>
      <c r="H21502" s="13"/>
    </row>
    <row r="21503">
      <c r="A21503" s="6"/>
      <c r="B21503" s="6"/>
      <c r="H21503" s="13"/>
    </row>
    <row r="21504">
      <c r="A21504" s="6"/>
      <c r="B21504" s="6"/>
      <c r="H21504" s="13"/>
    </row>
    <row r="21505">
      <c r="A21505" s="6"/>
      <c r="B21505" s="6"/>
      <c r="H21505" s="13"/>
    </row>
    <row r="21506">
      <c r="A21506" s="6"/>
      <c r="B21506" s="6"/>
      <c r="H21506" s="13"/>
    </row>
    <row r="21507">
      <c r="A21507" s="6"/>
      <c r="B21507" s="6"/>
      <c r="H21507" s="13"/>
    </row>
    <row r="21508">
      <c r="A21508" s="6"/>
      <c r="B21508" s="6"/>
      <c r="H21508" s="13"/>
    </row>
    <row r="21509">
      <c r="A21509" s="6"/>
      <c r="B21509" s="6"/>
      <c r="H21509" s="13"/>
    </row>
    <row r="21510">
      <c r="A21510" s="6"/>
      <c r="B21510" s="6"/>
      <c r="H21510" s="13"/>
    </row>
    <row r="21511">
      <c r="A21511" s="6"/>
      <c r="B21511" s="6"/>
      <c r="H21511" s="13"/>
    </row>
    <row r="21512">
      <c r="A21512" s="6"/>
      <c r="B21512" s="6"/>
      <c r="H21512" s="13"/>
    </row>
    <row r="21513">
      <c r="A21513" s="6"/>
      <c r="B21513" s="6"/>
      <c r="H21513" s="13"/>
    </row>
    <row r="21514">
      <c r="A21514" s="6"/>
      <c r="B21514" s="6"/>
      <c r="H21514" s="13"/>
    </row>
    <row r="21515">
      <c r="A21515" s="6"/>
      <c r="B21515" s="6"/>
      <c r="H21515" s="13"/>
    </row>
    <row r="21516">
      <c r="A21516" s="6"/>
      <c r="B21516" s="6"/>
      <c r="H21516" s="13"/>
    </row>
    <row r="21517">
      <c r="A21517" s="6"/>
      <c r="B21517" s="6"/>
      <c r="H21517" s="13"/>
    </row>
    <row r="21518">
      <c r="A21518" s="6"/>
      <c r="B21518" s="6"/>
      <c r="H21518" s="13"/>
    </row>
    <row r="21519">
      <c r="A21519" s="6"/>
      <c r="B21519" s="6"/>
      <c r="H21519" s="13"/>
    </row>
    <row r="21520">
      <c r="A21520" s="6"/>
      <c r="B21520" s="6"/>
      <c r="H21520" s="13"/>
    </row>
    <row r="21521">
      <c r="A21521" s="6"/>
      <c r="B21521" s="6"/>
      <c r="H21521" s="13"/>
    </row>
    <row r="21522">
      <c r="A21522" s="6"/>
      <c r="B21522" s="6"/>
      <c r="H21522" s="13"/>
    </row>
    <row r="21523">
      <c r="A21523" s="6"/>
      <c r="B21523" s="6"/>
      <c r="H21523" s="13"/>
    </row>
    <row r="21524">
      <c r="A21524" s="6"/>
      <c r="B21524" s="6"/>
      <c r="H21524" s="13"/>
    </row>
    <row r="21525">
      <c r="A21525" s="6"/>
      <c r="B21525" s="6"/>
      <c r="H21525" s="13"/>
    </row>
    <row r="21526">
      <c r="A21526" s="6"/>
      <c r="B21526" s="6"/>
      <c r="H21526" s="13"/>
    </row>
    <row r="21527">
      <c r="A21527" s="6"/>
      <c r="B21527" s="6"/>
      <c r="H21527" s="13"/>
    </row>
    <row r="21528">
      <c r="A21528" s="6"/>
      <c r="B21528" s="6"/>
      <c r="H21528" s="13"/>
    </row>
    <row r="21529">
      <c r="A21529" s="6"/>
      <c r="B21529" s="6"/>
      <c r="H21529" s="13"/>
    </row>
    <row r="21530">
      <c r="A21530" s="6"/>
      <c r="B21530" s="6"/>
      <c r="H21530" s="13"/>
    </row>
    <row r="21531">
      <c r="A21531" s="6"/>
      <c r="B21531" s="6"/>
      <c r="H21531" s="13"/>
    </row>
    <row r="21532">
      <c r="A21532" s="6"/>
      <c r="B21532" s="6"/>
      <c r="H21532" s="13"/>
    </row>
    <row r="21533">
      <c r="A21533" s="6"/>
      <c r="B21533" s="6"/>
      <c r="H21533" s="13"/>
    </row>
    <row r="21534">
      <c r="A21534" s="6"/>
      <c r="B21534" s="6"/>
      <c r="H21534" s="13"/>
    </row>
    <row r="21535">
      <c r="A21535" s="6"/>
      <c r="B21535" s="6"/>
      <c r="H21535" s="13"/>
    </row>
    <row r="21536">
      <c r="A21536" s="6"/>
      <c r="B21536" s="6"/>
      <c r="H21536" s="13"/>
    </row>
    <row r="21537">
      <c r="A21537" s="6"/>
      <c r="B21537" s="6"/>
      <c r="H21537" s="13"/>
    </row>
    <row r="21538">
      <c r="A21538" s="6"/>
      <c r="B21538" s="6"/>
      <c r="H21538" s="13"/>
    </row>
    <row r="21539">
      <c r="A21539" s="6"/>
      <c r="B21539" s="6"/>
      <c r="H21539" s="13"/>
    </row>
    <row r="21540">
      <c r="A21540" s="6"/>
      <c r="B21540" s="6"/>
      <c r="H21540" s="13"/>
    </row>
    <row r="21541">
      <c r="A21541" s="6"/>
      <c r="B21541" s="6"/>
      <c r="H21541" s="13"/>
    </row>
    <row r="21542">
      <c r="A21542" s="6"/>
      <c r="B21542" s="6"/>
      <c r="H21542" s="13"/>
    </row>
    <row r="21543">
      <c r="A21543" s="6"/>
      <c r="B21543" s="6"/>
      <c r="H21543" s="13"/>
    </row>
    <row r="21544">
      <c r="A21544" s="6"/>
      <c r="B21544" s="6"/>
      <c r="H21544" s="13"/>
    </row>
    <row r="21545">
      <c r="A21545" s="6"/>
      <c r="B21545" s="6"/>
      <c r="H21545" s="13"/>
    </row>
    <row r="21546">
      <c r="A21546" s="6"/>
      <c r="B21546" s="6"/>
      <c r="H21546" s="13"/>
    </row>
    <row r="21547">
      <c r="A21547" s="6"/>
      <c r="B21547" s="6"/>
      <c r="H21547" s="13"/>
    </row>
    <row r="21548">
      <c r="A21548" s="6"/>
      <c r="B21548" s="6"/>
      <c r="H21548" s="13"/>
    </row>
    <row r="21549">
      <c r="A21549" s="6"/>
      <c r="B21549" s="6"/>
      <c r="H21549" s="13"/>
    </row>
    <row r="21550">
      <c r="A21550" s="6"/>
      <c r="B21550" s="6"/>
      <c r="H21550" s="13"/>
    </row>
    <row r="21551">
      <c r="A21551" s="6"/>
      <c r="B21551" s="6"/>
      <c r="H21551" s="13"/>
    </row>
    <row r="21552">
      <c r="A21552" s="6"/>
      <c r="B21552" s="6"/>
      <c r="H21552" s="13"/>
    </row>
    <row r="21553">
      <c r="A21553" s="6"/>
      <c r="B21553" s="6"/>
      <c r="H21553" s="13"/>
    </row>
    <row r="21554">
      <c r="A21554" s="6"/>
      <c r="B21554" s="6"/>
      <c r="H21554" s="13"/>
    </row>
    <row r="21555">
      <c r="A21555" s="6"/>
      <c r="B21555" s="6"/>
      <c r="H21555" s="13"/>
    </row>
    <row r="21556">
      <c r="A21556" s="6"/>
      <c r="B21556" s="6"/>
      <c r="H21556" s="13"/>
    </row>
    <row r="21557">
      <c r="A21557" s="6"/>
      <c r="B21557" s="6"/>
      <c r="H21557" s="13"/>
    </row>
    <row r="21558">
      <c r="A21558" s="6"/>
      <c r="B21558" s="6"/>
      <c r="H21558" s="13"/>
    </row>
    <row r="21559">
      <c r="A21559" s="6"/>
      <c r="B21559" s="6"/>
      <c r="H21559" s="13"/>
    </row>
    <row r="21560">
      <c r="A21560" s="6"/>
      <c r="B21560" s="6"/>
      <c r="H21560" s="13"/>
    </row>
    <row r="21561">
      <c r="A21561" s="6"/>
      <c r="B21561" s="6"/>
      <c r="H21561" s="13"/>
    </row>
    <row r="21562">
      <c r="A21562" s="6"/>
      <c r="B21562" s="6"/>
      <c r="H21562" s="13"/>
    </row>
    <row r="21563">
      <c r="A21563" s="6"/>
      <c r="B21563" s="6"/>
      <c r="H21563" s="13"/>
    </row>
    <row r="21564">
      <c r="A21564" s="6"/>
      <c r="B21564" s="6"/>
      <c r="H21564" s="13"/>
    </row>
    <row r="21565">
      <c r="A21565" s="6"/>
      <c r="B21565" s="6"/>
      <c r="H21565" s="13"/>
    </row>
    <row r="21566">
      <c r="A21566" s="6"/>
      <c r="B21566" s="6"/>
      <c r="H21566" s="13"/>
    </row>
    <row r="21567">
      <c r="A21567" s="6"/>
      <c r="B21567" s="6"/>
      <c r="H21567" s="13"/>
    </row>
    <row r="21568">
      <c r="A21568" s="6"/>
      <c r="B21568" s="6"/>
      <c r="H21568" s="13"/>
    </row>
    <row r="21569">
      <c r="A21569" s="6"/>
      <c r="B21569" s="6"/>
      <c r="H21569" s="13"/>
    </row>
    <row r="21570">
      <c r="A21570" s="6"/>
      <c r="B21570" s="6"/>
      <c r="H21570" s="13"/>
    </row>
    <row r="21571">
      <c r="A21571" s="6"/>
      <c r="B21571" s="6"/>
      <c r="H21571" s="13"/>
    </row>
    <row r="21572">
      <c r="A21572" s="6"/>
      <c r="B21572" s="6"/>
      <c r="H21572" s="13"/>
    </row>
    <row r="21573">
      <c r="A21573" s="6"/>
      <c r="B21573" s="6"/>
      <c r="H21573" s="13"/>
    </row>
    <row r="21574">
      <c r="A21574" s="6"/>
      <c r="B21574" s="6"/>
      <c r="H21574" s="13"/>
    </row>
    <row r="21575">
      <c r="A21575" s="6"/>
      <c r="B21575" s="6"/>
      <c r="H21575" s="13"/>
    </row>
    <row r="21576">
      <c r="A21576" s="6"/>
      <c r="B21576" s="6"/>
      <c r="H21576" s="13"/>
    </row>
    <row r="21577">
      <c r="A21577" s="6"/>
      <c r="B21577" s="6"/>
      <c r="H21577" s="13"/>
    </row>
    <row r="21578">
      <c r="A21578" s="6"/>
      <c r="B21578" s="6"/>
      <c r="H21578" s="13"/>
    </row>
    <row r="21579">
      <c r="A21579" s="6"/>
      <c r="B21579" s="6"/>
      <c r="H21579" s="13"/>
    </row>
    <row r="21580">
      <c r="A21580" s="6"/>
      <c r="B21580" s="6"/>
      <c r="H21580" s="13"/>
    </row>
    <row r="21581">
      <c r="A21581" s="6"/>
      <c r="B21581" s="6"/>
      <c r="H21581" s="13"/>
    </row>
    <row r="21582">
      <c r="A21582" s="6"/>
      <c r="B21582" s="6"/>
      <c r="H21582" s="13"/>
    </row>
    <row r="21583">
      <c r="A21583" s="6"/>
      <c r="B21583" s="6"/>
      <c r="H21583" s="13"/>
    </row>
    <row r="21584">
      <c r="A21584" s="6"/>
      <c r="B21584" s="6"/>
      <c r="H21584" s="13"/>
    </row>
    <row r="21585">
      <c r="A21585" s="6"/>
      <c r="B21585" s="6"/>
      <c r="H21585" s="13"/>
    </row>
    <row r="21586">
      <c r="A21586" s="6"/>
      <c r="B21586" s="6"/>
      <c r="H21586" s="13"/>
    </row>
    <row r="21587">
      <c r="A21587" s="6"/>
      <c r="B21587" s="6"/>
      <c r="H21587" s="13"/>
    </row>
    <row r="21588">
      <c r="A21588" s="6"/>
      <c r="B21588" s="6"/>
      <c r="H21588" s="13"/>
    </row>
    <row r="21589">
      <c r="A21589" s="6"/>
      <c r="B21589" s="6"/>
      <c r="H21589" s="13"/>
    </row>
    <row r="21590">
      <c r="A21590" s="6"/>
      <c r="B21590" s="6"/>
      <c r="H21590" s="13"/>
    </row>
    <row r="21591">
      <c r="A21591" s="6"/>
      <c r="B21591" s="6"/>
      <c r="H21591" s="13"/>
    </row>
    <row r="21592">
      <c r="A21592" s="6"/>
      <c r="B21592" s="6"/>
      <c r="H21592" s="13"/>
    </row>
    <row r="21593">
      <c r="A21593" s="6"/>
      <c r="B21593" s="6"/>
      <c r="H21593" s="13"/>
    </row>
    <row r="21594">
      <c r="A21594" s="6"/>
      <c r="B21594" s="6"/>
      <c r="H21594" s="13"/>
    </row>
    <row r="21595">
      <c r="A21595" s="6"/>
      <c r="B21595" s="6"/>
      <c r="H21595" s="13"/>
    </row>
    <row r="21596">
      <c r="A21596" s="6"/>
      <c r="B21596" s="6"/>
      <c r="H21596" s="13"/>
    </row>
    <row r="21597">
      <c r="A21597" s="6"/>
      <c r="B21597" s="6"/>
      <c r="H21597" s="13"/>
    </row>
    <row r="21598">
      <c r="A21598" s="6"/>
      <c r="B21598" s="6"/>
      <c r="H21598" s="13"/>
    </row>
    <row r="21599">
      <c r="A21599" s="6"/>
      <c r="B21599" s="6"/>
      <c r="H21599" s="13"/>
    </row>
    <row r="21600">
      <c r="A21600" s="6"/>
      <c r="B21600" s="6"/>
      <c r="H21600" s="13"/>
    </row>
    <row r="21601">
      <c r="A21601" s="6"/>
      <c r="B21601" s="6"/>
      <c r="H21601" s="13"/>
    </row>
    <row r="21602">
      <c r="A21602" s="6"/>
      <c r="B21602" s="6"/>
      <c r="H21602" s="13"/>
    </row>
    <row r="21603">
      <c r="A21603" s="6"/>
      <c r="B21603" s="6"/>
      <c r="H21603" s="13"/>
    </row>
    <row r="21604">
      <c r="A21604" s="6"/>
      <c r="B21604" s="6"/>
      <c r="H21604" s="13"/>
    </row>
    <row r="21605">
      <c r="A21605" s="6"/>
      <c r="B21605" s="6"/>
      <c r="H21605" s="13"/>
    </row>
    <row r="21606">
      <c r="A21606" s="6"/>
      <c r="B21606" s="6"/>
      <c r="H21606" s="13"/>
    </row>
    <row r="21607">
      <c r="A21607" s="6"/>
      <c r="B21607" s="6"/>
      <c r="H21607" s="13"/>
    </row>
    <row r="21608">
      <c r="A21608" s="6"/>
      <c r="B21608" s="6"/>
      <c r="H21608" s="13"/>
    </row>
    <row r="21609">
      <c r="A21609" s="6"/>
      <c r="B21609" s="6"/>
      <c r="H21609" s="13"/>
    </row>
    <row r="21610">
      <c r="A21610" s="6"/>
      <c r="B21610" s="6"/>
      <c r="H21610" s="13"/>
    </row>
    <row r="21611">
      <c r="A21611" s="6"/>
      <c r="B21611" s="6"/>
      <c r="H21611" s="13"/>
    </row>
    <row r="21612">
      <c r="A21612" s="6"/>
      <c r="B21612" s="6"/>
      <c r="H21612" s="13"/>
    </row>
    <row r="21613">
      <c r="A21613" s="6"/>
      <c r="B21613" s="6"/>
      <c r="H21613" s="13"/>
    </row>
    <row r="21614">
      <c r="A21614" s="6"/>
      <c r="B21614" s="6"/>
      <c r="H21614" s="13"/>
    </row>
    <row r="21615">
      <c r="A21615" s="6"/>
      <c r="B21615" s="6"/>
      <c r="H21615" s="13"/>
    </row>
    <row r="21616">
      <c r="A21616" s="6"/>
      <c r="B21616" s="6"/>
      <c r="H21616" s="13"/>
    </row>
    <row r="21617">
      <c r="A21617" s="6"/>
      <c r="B21617" s="6"/>
      <c r="H21617" s="13"/>
    </row>
    <row r="21618">
      <c r="A21618" s="6"/>
      <c r="B21618" s="6"/>
      <c r="H21618" s="13"/>
    </row>
    <row r="21619">
      <c r="A21619" s="6"/>
      <c r="B21619" s="6"/>
      <c r="H21619" s="13"/>
    </row>
    <row r="21620">
      <c r="A21620" s="6"/>
      <c r="B21620" s="6"/>
      <c r="H21620" s="13"/>
    </row>
    <row r="21621">
      <c r="A21621" s="6"/>
      <c r="B21621" s="6"/>
      <c r="H21621" s="13"/>
    </row>
    <row r="21622">
      <c r="A21622" s="6"/>
      <c r="B21622" s="6"/>
      <c r="H21622" s="13"/>
    </row>
    <row r="21623">
      <c r="A21623" s="6"/>
      <c r="B21623" s="6"/>
      <c r="H21623" s="13"/>
    </row>
    <row r="21624">
      <c r="A21624" s="6"/>
      <c r="B21624" s="6"/>
      <c r="H21624" s="13"/>
    </row>
    <row r="21625">
      <c r="A21625" s="6"/>
      <c r="B21625" s="6"/>
      <c r="H21625" s="13"/>
    </row>
    <row r="21626">
      <c r="A21626" s="6"/>
      <c r="B21626" s="6"/>
      <c r="H21626" s="13"/>
    </row>
    <row r="21627">
      <c r="A21627" s="6"/>
      <c r="B21627" s="6"/>
      <c r="H21627" s="13"/>
    </row>
    <row r="21628">
      <c r="A21628" s="6"/>
      <c r="B21628" s="6"/>
      <c r="H21628" s="13"/>
    </row>
    <row r="21629">
      <c r="A21629" s="6"/>
      <c r="B21629" s="6"/>
      <c r="H21629" s="13"/>
    </row>
    <row r="21630">
      <c r="A21630" s="6"/>
      <c r="B21630" s="6"/>
      <c r="H21630" s="13"/>
    </row>
    <row r="21631">
      <c r="A21631" s="6"/>
      <c r="B21631" s="6"/>
      <c r="H21631" s="13"/>
    </row>
    <row r="21632">
      <c r="A21632" s="6"/>
      <c r="B21632" s="6"/>
      <c r="H21632" s="13"/>
    </row>
    <row r="21633">
      <c r="A21633" s="6"/>
      <c r="B21633" s="6"/>
      <c r="H21633" s="13"/>
    </row>
    <row r="21634">
      <c r="A21634" s="6"/>
      <c r="B21634" s="6"/>
      <c r="H21634" s="13"/>
    </row>
    <row r="21635">
      <c r="A21635" s="6"/>
      <c r="B21635" s="6"/>
      <c r="H21635" s="13"/>
    </row>
    <row r="21636">
      <c r="A21636" s="6"/>
      <c r="B21636" s="6"/>
      <c r="H21636" s="13"/>
    </row>
    <row r="21637">
      <c r="A21637" s="6"/>
      <c r="B21637" s="6"/>
      <c r="H21637" s="13"/>
    </row>
    <row r="21638">
      <c r="A21638" s="6"/>
      <c r="B21638" s="6"/>
      <c r="H21638" s="13"/>
    </row>
    <row r="21639">
      <c r="A21639" s="6"/>
      <c r="B21639" s="6"/>
      <c r="H21639" s="13"/>
    </row>
    <row r="21640">
      <c r="A21640" s="6"/>
      <c r="B21640" s="6"/>
      <c r="H21640" s="13"/>
    </row>
    <row r="21641">
      <c r="A21641" s="6"/>
      <c r="B21641" s="6"/>
      <c r="H21641" s="13"/>
    </row>
    <row r="21642">
      <c r="A21642" s="6"/>
      <c r="B21642" s="6"/>
      <c r="H21642" s="13"/>
    </row>
    <row r="21643">
      <c r="A21643" s="6"/>
      <c r="B21643" s="6"/>
      <c r="H21643" s="13"/>
    </row>
    <row r="21644">
      <c r="A21644" s="6"/>
      <c r="B21644" s="6"/>
      <c r="H21644" s="13"/>
    </row>
    <row r="21645">
      <c r="A21645" s="6"/>
      <c r="B21645" s="6"/>
      <c r="H21645" s="13"/>
    </row>
    <row r="21646">
      <c r="A21646" s="6"/>
      <c r="B21646" s="6"/>
      <c r="H21646" s="13"/>
    </row>
    <row r="21647">
      <c r="A21647" s="6"/>
      <c r="B21647" s="6"/>
      <c r="H21647" s="13"/>
    </row>
    <row r="21648">
      <c r="A21648" s="6"/>
      <c r="B21648" s="6"/>
      <c r="H21648" s="13"/>
    </row>
    <row r="21649">
      <c r="A21649" s="6"/>
      <c r="B21649" s="6"/>
      <c r="H21649" s="13"/>
    </row>
    <row r="21650">
      <c r="A21650" s="6"/>
      <c r="B21650" s="6"/>
      <c r="H21650" s="13"/>
    </row>
    <row r="21651">
      <c r="A21651" s="6"/>
      <c r="B21651" s="6"/>
      <c r="H21651" s="13"/>
    </row>
    <row r="21652">
      <c r="A21652" s="6"/>
      <c r="B21652" s="6"/>
      <c r="H21652" s="13"/>
    </row>
    <row r="21653">
      <c r="A21653" s="6"/>
      <c r="B21653" s="6"/>
      <c r="H21653" s="13"/>
    </row>
    <row r="21654">
      <c r="A21654" s="6"/>
      <c r="B21654" s="6"/>
      <c r="H21654" s="13"/>
    </row>
    <row r="21655">
      <c r="A21655" s="6"/>
      <c r="B21655" s="6"/>
      <c r="H21655" s="13"/>
    </row>
    <row r="21656">
      <c r="A21656" s="6"/>
      <c r="B21656" s="6"/>
      <c r="H21656" s="13"/>
    </row>
    <row r="21657">
      <c r="A21657" s="6"/>
      <c r="B21657" s="6"/>
      <c r="H21657" s="13"/>
    </row>
    <row r="21658">
      <c r="A21658" s="6"/>
      <c r="B21658" s="6"/>
      <c r="H21658" s="13"/>
    </row>
    <row r="21659">
      <c r="A21659" s="6"/>
      <c r="B21659" s="6"/>
      <c r="H21659" s="13"/>
    </row>
    <row r="21660">
      <c r="A21660" s="6"/>
      <c r="B21660" s="6"/>
      <c r="H21660" s="13"/>
    </row>
    <row r="21661">
      <c r="A21661" s="6"/>
      <c r="B21661" s="6"/>
      <c r="H21661" s="13"/>
    </row>
    <row r="21662">
      <c r="A21662" s="6"/>
      <c r="B21662" s="6"/>
      <c r="H21662" s="13"/>
    </row>
    <row r="21663">
      <c r="A21663" s="6"/>
      <c r="B21663" s="6"/>
      <c r="H21663" s="13"/>
    </row>
    <row r="21664">
      <c r="A21664" s="6"/>
      <c r="B21664" s="6"/>
      <c r="H21664" s="13"/>
    </row>
    <row r="21665">
      <c r="A21665" s="6"/>
      <c r="B21665" s="6"/>
      <c r="H21665" s="13"/>
    </row>
    <row r="21666">
      <c r="A21666" s="6"/>
      <c r="B21666" s="6"/>
      <c r="H21666" s="13"/>
    </row>
    <row r="21667">
      <c r="A21667" s="6"/>
      <c r="B21667" s="6"/>
      <c r="H21667" s="13"/>
    </row>
    <row r="21668">
      <c r="A21668" s="6"/>
      <c r="B21668" s="6"/>
      <c r="H21668" s="13"/>
    </row>
    <row r="21669">
      <c r="A21669" s="6"/>
      <c r="B21669" s="6"/>
      <c r="H21669" s="13"/>
    </row>
    <row r="21670">
      <c r="A21670" s="6"/>
      <c r="B21670" s="6"/>
      <c r="H21670" s="13"/>
    </row>
    <row r="21671">
      <c r="A21671" s="6"/>
      <c r="B21671" s="6"/>
      <c r="H21671" s="13"/>
    </row>
    <row r="21672">
      <c r="A21672" s="6"/>
      <c r="B21672" s="6"/>
      <c r="H21672" s="13"/>
    </row>
    <row r="21673">
      <c r="A21673" s="6"/>
      <c r="B21673" s="6"/>
      <c r="H21673" s="13"/>
    </row>
    <row r="21674">
      <c r="A21674" s="6"/>
      <c r="B21674" s="6"/>
      <c r="H21674" s="13"/>
    </row>
    <row r="21675">
      <c r="A21675" s="6"/>
      <c r="B21675" s="6"/>
      <c r="H21675" s="13"/>
    </row>
    <row r="21676">
      <c r="A21676" s="6"/>
      <c r="B21676" s="6"/>
      <c r="H21676" s="13"/>
    </row>
    <row r="21677">
      <c r="A21677" s="6"/>
      <c r="B21677" s="6"/>
      <c r="H21677" s="13"/>
    </row>
    <row r="21678">
      <c r="A21678" s="6"/>
      <c r="B21678" s="6"/>
      <c r="H21678" s="13"/>
    </row>
    <row r="21679">
      <c r="A21679" s="6"/>
      <c r="B21679" s="6"/>
      <c r="H21679" s="13"/>
    </row>
    <row r="21680">
      <c r="A21680" s="6"/>
      <c r="B21680" s="6"/>
      <c r="H21680" s="13"/>
    </row>
    <row r="21681">
      <c r="A21681" s="6"/>
      <c r="B21681" s="6"/>
      <c r="H21681" s="13"/>
    </row>
    <row r="21682">
      <c r="A21682" s="6"/>
      <c r="B21682" s="6"/>
      <c r="H21682" s="13"/>
    </row>
    <row r="21683">
      <c r="A21683" s="6"/>
      <c r="B21683" s="6"/>
      <c r="H21683" s="13"/>
    </row>
    <row r="21684">
      <c r="A21684" s="6"/>
      <c r="B21684" s="6"/>
      <c r="H21684" s="13"/>
    </row>
    <row r="21685">
      <c r="A21685" s="6"/>
      <c r="B21685" s="6"/>
      <c r="H21685" s="13"/>
    </row>
    <row r="21686">
      <c r="A21686" s="6"/>
      <c r="B21686" s="6"/>
      <c r="H21686" s="13"/>
    </row>
    <row r="21687">
      <c r="A21687" s="6"/>
      <c r="B21687" s="6"/>
      <c r="H21687" s="13"/>
    </row>
    <row r="21688">
      <c r="A21688" s="6"/>
      <c r="B21688" s="6"/>
      <c r="H21688" s="13"/>
    </row>
    <row r="21689">
      <c r="A21689" s="6"/>
      <c r="B21689" s="6"/>
      <c r="H21689" s="13"/>
    </row>
    <row r="21690">
      <c r="A21690" s="6"/>
      <c r="B21690" s="6"/>
      <c r="H21690" s="13"/>
    </row>
    <row r="21691">
      <c r="A21691" s="6"/>
      <c r="B21691" s="6"/>
      <c r="H21691" s="13"/>
    </row>
    <row r="21692">
      <c r="A21692" s="6"/>
      <c r="B21692" s="6"/>
      <c r="H21692" s="13"/>
    </row>
    <row r="21693">
      <c r="A21693" s="6"/>
      <c r="B21693" s="6"/>
      <c r="H21693" s="13"/>
    </row>
    <row r="21694">
      <c r="A21694" s="6"/>
      <c r="B21694" s="6"/>
      <c r="H21694" s="13"/>
    </row>
    <row r="21695">
      <c r="A21695" s="6"/>
      <c r="B21695" s="6"/>
      <c r="H21695" s="13"/>
    </row>
    <row r="21696">
      <c r="A21696" s="6"/>
      <c r="B21696" s="6"/>
      <c r="H21696" s="13"/>
    </row>
    <row r="21697">
      <c r="A21697" s="6"/>
      <c r="B21697" s="6"/>
      <c r="H21697" s="13"/>
    </row>
    <row r="21698">
      <c r="A21698" s="6"/>
      <c r="B21698" s="6"/>
      <c r="H21698" s="13"/>
    </row>
    <row r="21699">
      <c r="A21699" s="6"/>
      <c r="B21699" s="6"/>
      <c r="H21699" s="13"/>
    </row>
    <row r="21700">
      <c r="A21700" s="6"/>
      <c r="B21700" s="6"/>
      <c r="H21700" s="13"/>
    </row>
    <row r="21701">
      <c r="A21701" s="6"/>
      <c r="B21701" s="6"/>
      <c r="H21701" s="13"/>
    </row>
    <row r="21702">
      <c r="A21702" s="6"/>
      <c r="B21702" s="6"/>
      <c r="H21702" s="13"/>
    </row>
    <row r="21703">
      <c r="A21703" s="6"/>
      <c r="B21703" s="6"/>
      <c r="H21703" s="13"/>
    </row>
    <row r="21704">
      <c r="A21704" s="6"/>
      <c r="B21704" s="6"/>
      <c r="H21704" s="13"/>
    </row>
    <row r="21705">
      <c r="A21705" s="6"/>
      <c r="B21705" s="6"/>
      <c r="H21705" s="13"/>
    </row>
    <row r="21706">
      <c r="A21706" s="6"/>
      <c r="B21706" s="6"/>
      <c r="H21706" s="13"/>
    </row>
    <row r="21707">
      <c r="A21707" s="6"/>
      <c r="B21707" s="6"/>
      <c r="H21707" s="13"/>
    </row>
    <row r="21708">
      <c r="A21708" s="6"/>
      <c r="B21708" s="6"/>
      <c r="H21708" s="13"/>
    </row>
    <row r="21709">
      <c r="A21709" s="6"/>
      <c r="B21709" s="6"/>
      <c r="H21709" s="13"/>
    </row>
    <row r="21710">
      <c r="A21710" s="6"/>
      <c r="B21710" s="6"/>
      <c r="H21710" s="13"/>
    </row>
    <row r="21711">
      <c r="A21711" s="6"/>
      <c r="B21711" s="6"/>
      <c r="H21711" s="13"/>
    </row>
    <row r="21712">
      <c r="A21712" s="6"/>
      <c r="B21712" s="6"/>
      <c r="H21712" s="13"/>
    </row>
    <row r="21713">
      <c r="A21713" s="6"/>
      <c r="B21713" s="6"/>
      <c r="H21713" s="13"/>
    </row>
    <row r="21714">
      <c r="A21714" s="6"/>
      <c r="B21714" s="6"/>
      <c r="H21714" s="13"/>
    </row>
    <row r="21715">
      <c r="A21715" s="6"/>
      <c r="B21715" s="6"/>
      <c r="H21715" s="13"/>
    </row>
    <row r="21716">
      <c r="A21716" s="6"/>
      <c r="B21716" s="6"/>
      <c r="H21716" s="13"/>
    </row>
    <row r="21717">
      <c r="A21717" s="6"/>
      <c r="B21717" s="6"/>
      <c r="H21717" s="13"/>
    </row>
    <row r="21718">
      <c r="A21718" s="6"/>
      <c r="B21718" s="6"/>
      <c r="H21718" s="13"/>
    </row>
    <row r="21719">
      <c r="A21719" s="6"/>
      <c r="B21719" s="6"/>
      <c r="H21719" s="13"/>
    </row>
    <row r="21720">
      <c r="A21720" s="6"/>
      <c r="B21720" s="6"/>
      <c r="H21720" s="13"/>
    </row>
    <row r="21721">
      <c r="A21721" s="6"/>
      <c r="B21721" s="6"/>
      <c r="H21721" s="13"/>
    </row>
    <row r="21722">
      <c r="A21722" s="6"/>
      <c r="B21722" s="6"/>
      <c r="H21722" s="13"/>
    </row>
    <row r="21723">
      <c r="A21723" s="6"/>
      <c r="B21723" s="6"/>
      <c r="H21723" s="13"/>
    </row>
    <row r="21724">
      <c r="A21724" s="6"/>
      <c r="B21724" s="6"/>
      <c r="H21724" s="13"/>
    </row>
    <row r="21725">
      <c r="A21725" s="6"/>
      <c r="B21725" s="6"/>
      <c r="H21725" s="13"/>
    </row>
    <row r="21726">
      <c r="A21726" s="6"/>
      <c r="B21726" s="6"/>
      <c r="H21726" s="13"/>
    </row>
    <row r="21727">
      <c r="A21727" s="6"/>
      <c r="B21727" s="6"/>
      <c r="H21727" s="13"/>
    </row>
    <row r="21728">
      <c r="A21728" s="6"/>
      <c r="B21728" s="6"/>
      <c r="H21728" s="13"/>
    </row>
    <row r="21729">
      <c r="A21729" s="6"/>
      <c r="B21729" s="6"/>
      <c r="H21729" s="13"/>
    </row>
    <row r="21730">
      <c r="A21730" s="6"/>
      <c r="B21730" s="6"/>
      <c r="H21730" s="13"/>
    </row>
    <row r="21731">
      <c r="A21731" s="6"/>
      <c r="B21731" s="6"/>
      <c r="H21731" s="13"/>
    </row>
    <row r="21732">
      <c r="A21732" s="6"/>
      <c r="B21732" s="6"/>
      <c r="H21732" s="13"/>
    </row>
    <row r="21733">
      <c r="A21733" s="6"/>
      <c r="B21733" s="6"/>
      <c r="H21733" s="13"/>
    </row>
    <row r="21734">
      <c r="A21734" s="6"/>
      <c r="B21734" s="6"/>
      <c r="H21734" s="13"/>
    </row>
    <row r="21735">
      <c r="A21735" s="6"/>
      <c r="B21735" s="6"/>
      <c r="H21735" s="13"/>
    </row>
    <row r="21736">
      <c r="A21736" s="6"/>
      <c r="B21736" s="6"/>
      <c r="H21736" s="13"/>
    </row>
    <row r="21737">
      <c r="A21737" s="6"/>
      <c r="B21737" s="6"/>
      <c r="H21737" s="13"/>
    </row>
    <row r="21738">
      <c r="A21738" s="6"/>
      <c r="B21738" s="6"/>
      <c r="H21738" s="13"/>
    </row>
    <row r="21739">
      <c r="A21739" s="6"/>
      <c r="B21739" s="6"/>
      <c r="H21739" s="13"/>
    </row>
    <row r="21740">
      <c r="A21740" s="6"/>
      <c r="B21740" s="6"/>
      <c r="H21740" s="13"/>
    </row>
    <row r="21741">
      <c r="A21741" s="6"/>
      <c r="B21741" s="6"/>
      <c r="H21741" s="13"/>
    </row>
    <row r="21742">
      <c r="A21742" s="6"/>
      <c r="B21742" s="6"/>
      <c r="H21742" s="13"/>
    </row>
    <row r="21743">
      <c r="A21743" s="6"/>
      <c r="B21743" s="6"/>
      <c r="H21743" s="13"/>
    </row>
    <row r="21744">
      <c r="A21744" s="6"/>
      <c r="B21744" s="6"/>
      <c r="H21744" s="13"/>
    </row>
    <row r="21745">
      <c r="A21745" s="6"/>
      <c r="B21745" s="6"/>
      <c r="H21745" s="13"/>
    </row>
    <row r="21746">
      <c r="A21746" s="6"/>
      <c r="B21746" s="6"/>
      <c r="H21746" s="13"/>
    </row>
    <row r="21747">
      <c r="A21747" s="6"/>
      <c r="B21747" s="6"/>
      <c r="H21747" s="13"/>
    </row>
    <row r="21748">
      <c r="A21748" s="6"/>
      <c r="B21748" s="6"/>
      <c r="H21748" s="13"/>
    </row>
    <row r="21749">
      <c r="A21749" s="6"/>
      <c r="B21749" s="6"/>
      <c r="H21749" s="13"/>
    </row>
    <row r="21750">
      <c r="A21750" s="6"/>
      <c r="B21750" s="6"/>
      <c r="H21750" s="13"/>
    </row>
    <row r="21751">
      <c r="A21751" s="6"/>
      <c r="B21751" s="6"/>
      <c r="H21751" s="13"/>
    </row>
    <row r="21752">
      <c r="A21752" s="6"/>
      <c r="B21752" s="6"/>
      <c r="H21752" s="13"/>
    </row>
    <row r="21753">
      <c r="A21753" s="6"/>
      <c r="B21753" s="6"/>
      <c r="H21753" s="13"/>
    </row>
    <row r="21754">
      <c r="A21754" s="6"/>
      <c r="B21754" s="6"/>
      <c r="H21754" s="13"/>
    </row>
    <row r="21755">
      <c r="A21755" s="6"/>
      <c r="B21755" s="6"/>
      <c r="H21755" s="13"/>
    </row>
    <row r="21756">
      <c r="A21756" s="6"/>
      <c r="B21756" s="6"/>
      <c r="H21756" s="13"/>
    </row>
    <row r="21757">
      <c r="A21757" s="6"/>
      <c r="B21757" s="6"/>
      <c r="H21757" s="13"/>
    </row>
    <row r="21758">
      <c r="A21758" s="6"/>
      <c r="B21758" s="6"/>
      <c r="H21758" s="13"/>
    </row>
    <row r="21759">
      <c r="A21759" s="6"/>
      <c r="B21759" s="6"/>
      <c r="H21759" s="13"/>
    </row>
    <row r="21760">
      <c r="A21760" s="6"/>
      <c r="B21760" s="6"/>
      <c r="H21760" s="13"/>
    </row>
    <row r="21761">
      <c r="A21761" s="6"/>
      <c r="B21761" s="6"/>
      <c r="H21761" s="13"/>
    </row>
    <row r="21762">
      <c r="A21762" s="6"/>
      <c r="B21762" s="6"/>
      <c r="H21762" s="13"/>
    </row>
    <row r="21763">
      <c r="A21763" s="6"/>
      <c r="B21763" s="6"/>
      <c r="H21763" s="13"/>
    </row>
    <row r="21764">
      <c r="A21764" s="6"/>
      <c r="B21764" s="6"/>
      <c r="H21764" s="13"/>
    </row>
    <row r="21765">
      <c r="A21765" s="6"/>
      <c r="B21765" s="6"/>
      <c r="H21765" s="13"/>
    </row>
    <row r="21766">
      <c r="A21766" s="6"/>
      <c r="B21766" s="6"/>
      <c r="H21766" s="13"/>
    </row>
    <row r="21767">
      <c r="A21767" s="6"/>
      <c r="B21767" s="6"/>
      <c r="H21767" s="13"/>
    </row>
    <row r="21768">
      <c r="A21768" s="6"/>
      <c r="B21768" s="6"/>
      <c r="H21768" s="13"/>
    </row>
    <row r="21769">
      <c r="A21769" s="6"/>
      <c r="B21769" s="6"/>
      <c r="H21769" s="13"/>
    </row>
    <row r="21770">
      <c r="A21770" s="6"/>
      <c r="B21770" s="6"/>
      <c r="H21770" s="13"/>
    </row>
    <row r="21771">
      <c r="A21771" s="6"/>
      <c r="B21771" s="6"/>
      <c r="H21771" s="13"/>
    </row>
    <row r="21772">
      <c r="A21772" s="6"/>
      <c r="B21772" s="6"/>
      <c r="H21772" s="13"/>
    </row>
    <row r="21773">
      <c r="A21773" s="6"/>
      <c r="B21773" s="6"/>
      <c r="H21773" s="13"/>
    </row>
    <row r="21774">
      <c r="A21774" s="6"/>
      <c r="B21774" s="6"/>
      <c r="H21774" s="13"/>
    </row>
    <row r="21775">
      <c r="A21775" s="6"/>
      <c r="B21775" s="6"/>
      <c r="H21775" s="13"/>
    </row>
    <row r="21776">
      <c r="A21776" s="6"/>
      <c r="B21776" s="6"/>
      <c r="H21776" s="13"/>
    </row>
    <row r="21777">
      <c r="A21777" s="6"/>
      <c r="B21777" s="6"/>
      <c r="H21777" s="13"/>
    </row>
    <row r="21778">
      <c r="A21778" s="6"/>
      <c r="B21778" s="6"/>
      <c r="H21778" s="13"/>
    </row>
    <row r="21779">
      <c r="A21779" s="6"/>
      <c r="B21779" s="6"/>
      <c r="H21779" s="13"/>
    </row>
    <row r="21780">
      <c r="A21780" s="6"/>
      <c r="B21780" s="6"/>
      <c r="H21780" s="13"/>
    </row>
    <row r="21781">
      <c r="A21781" s="6"/>
      <c r="B21781" s="6"/>
      <c r="H21781" s="13"/>
    </row>
    <row r="21782">
      <c r="A21782" s="6"/>
      <c r="B21782" s="6"/>
      <c r="H21782" s="13"/>
    </row>
    <row r="21783">
      <c r="A21783" s="6"/>
      <c r="B21783" s="6"/>
      <c r="H21783" s="13"/>
    </row>
    <row r="21784">
      <c r="A21784" s="6"/>
      <c r="B21784" s="6"/>
      <c r="H21784" s="13"/>
    </row>
    <row r="21785">
      <c r="A21785" s="6"/>
      <c r="B21785" s="6"/>
      <c r="H21785" s="13"/>
    </row>
    <row r="21786">
      <c r="A21786" s="6"/>
      <c r="B21786" s="6"/>
      <c r="H21786" s="13"/>
    </row>
    <row r="21787">
      <c r="A21787" s="6"/>
      <c r="B21787" s="6"/>
      <c r="H21787" s="13"/>
    </row>
    <row r="21788">
      <c r="A21788" s="6"/>
      <c r="B21788" s="6"/>
      <c r="H21788" s="13"/>
    </row>
    <row r="21789">
      <c r="A21789" s="6"/>
      <c r="B21789" s="6"/>
      <c r="H21789" s="13"/>
    </row>
    <row r="21790">
      <c r="A21790" s="6"/>
      <c r="B21790" s="6"/>
      <c r="H21790" s="13"/>
    </row>
    <row r="21791">
      <c r="A21791" s="6"/>
      <c r="B21791" s="6"/>
      <c r="H21791" s="13"/>
    </row>
    <row r="21792">
      <c r="A21792" s="6"/>
      <c r="B21792" s="6"/>
      <c r="H21792" s="13"/>
    </row>
    <row r="21793">
      <c r="A21793" s="6"/>
      <c r="B21793" s="6"/>
      <c r="H21793" s="13"/>
    </row>
    <row r="21794">
      <c r="A21794" s="6"/>
      <c r="B21794" s="6"/>
      <c r="H21794" s="13"/>
    </row>
    <row r="21795">
      <c r="A21795" s="6"/>
      <c r="B21795" s="6"/>
      <c r="H21795" s="13"/>
    </row>
    <row r="21796">
      <c r="A21796" s="6"/>
      <c r="B21796" s="6"/>
      <c r="H21796" s="13"/>
    </row>
    <row r="21797">
      <c r="A21797" s="6"/>
      <c r="B21797" s="6"/>
      <c r="H21797" s="13"/>
    </row>
    <row r="21798">
      <c r="A21798" s="6"/>
      <c r="B21798" s="6"/>
      <c r="H21798" s="13"/>
    </row>
    <row r="21799">
      <c r="A21799" s="6"/>
      <c r="B21799" s="6"/>
      <c r="H21799" s="13"/>
    </row>
    <row r="21800">
      <c r="A21800" s="6"/>
      <c r="B21800" s="6"/>
      <c r="H21800" s="13"/>
    </row>
    <row r="21801">
      <c r="A21801" s="6"/>
      <c r="B21801" s="6"/>
      <c r="H21801" s="13"/>
    </row>
    <row r="21802">
      <c r="A21802" s="6"/>
      <c r="B21802" s="6"/>
      <c r="H21802" s="13"/>
    </row>
    <row r="21803">
      <c r="A21803" s="6"/>
      <c r="B21803" s="6"/>
      <c r="H21803" s="13"/>
    </row>
    <row r="21804">
      <c r="A21804" s="6"/>
      <c r="B21804" s="6"/>
      <c r="H21804" s="13"/>
    </row>
    <row r="21805">
      <c r="A21805" s="6"/>
      <c r="B21805" s="6"/>
      <c r="H21805" s="13"/>
    </row>
    <row r="21806">
      <c r="A21806" s="6"/>
      <c r="B21806" s="6"/>
      <c r="H21806" s="13"/>
    </row>
    <row r="21807">
      <c r="A21807" s="6"/>
      <c r="B21807" s="6"/>
      <c r="H21807" s="13"/>
    </row>
    <row r="21808">
      <c r="A21808" s="6"/>
      <c r="B21808" s="6"/>
      <c r="H21808" s="13"/>
    </row>
    <row r="21809">
      <c r="A21809" s="6"/>
      <c r="B21809" s="6"/>
      <c r="H21809" s="13"/>
    </row>
    <row r="21810">
      <c r="A21810" s="6"/>
      <c r="B21810" s="6"/>
      <c r="H21810" s="13"/>
    </row>
    <row r="21811">
      <c r="A21811" s="6"/>
      <c r="B21811" s="6"/>
      <c r="H21811" s="13"/>
    </row>
    <row r="21812">
      <c r="A21812" s="6"/>
      <c r="B21812" s="6"/>
      <c r="H21812" s="13"/>
    </row>
    <row r="21813">
      <c r="A21813" s="6"/>
      <c r="B21813" s="6"/>
      <c r="H21813" s="13"/>
    </row>
    <row r="21814">
      <c r="A21814" s="6"/>
      <c r="B21814" s="6"/>
      <c r="H21814" s="13"/>
    </row>
    <row r="21815">
      <c r="A21815" s="6"/>
      <c r="B21815" s="6"/>
      <c r="H21815" s="13"/>
    </row>
    <row r="21816">
      <c r="A21816" s="6"/>
      <c r="B21816" s="6"/>
      <c r="H21816" s="13"/>
    </row>
    <row r="21817">
      <c r="A21817" s="6"/>
      <c r="B21817" s="6"/>
      <c r="H21817" s="13"/>
    </row>
    <row r="21818">
      <c r="A21818" s="6"/>
      <c r="B21818" s="6"/>
      <c r="H21818" s="13"/>
    </row>
    <row r="21819">
      <c r="A21819" s="6"/>
      <c r="B21819" s="6"/>
      <c r="H21819" s="13"/>
    </row>
    <row r="21820">
      <c r="A21820" s="6"/>
      <c r="B21820" s="6"/>
      <c r="H21820" s="13"/>
    </row>
    <row r="21821">
      <c r="A21821" s="6"/>
      <c r="B21821" s="6"/>
      <c r="H21821" s="13"/>
    </row>
    <row r="21822">
      <c r="A21822" s="6"/>
      <c r="B21822" s="6"/>
      <c r="H21822" s="13"/>
    </row>
    <row r="21823">
      <c r="A21823" s="6"/>
      <c r="B21823" s="6"/>
      <c r="H21823" s="13"/>
    </row>
    <row r="21824">
      <c r="A21824" s="6"/>
      <c r="B21824" s="6"/>
      <c r="H21824" s="13"/>
    </row>
    <row r="21825">
      <c r="A21825" s="6"/>
      <c r="B21825" s="6"/>
      <c r="H21825" s="13"/>
    </row>
    <row r="21826">
      <c r="A21826" s="6"/>
      <c r="B21826" s="6"/>
      <c r="H21826" s="13"/>
    </row>
    <row r="21827">
      <c r="A21827" s="6"/>
      <c r="B21827" s="6"/>
      <c r="H21827" s="13"/>
    </row>
    <row r="21828">
      <c r="A21828" s="6"/>
      <c r="B21828" s="6"/>
      <c r="H21828" s="13"/>
    </row>
    <row r="21829">
      <c r="A21829" s="6"/>
      <c r="B21829" s="6"/>
      <c r="H21829" s="13"/>
    </row>
    <row r="21830">
      <c r="A21830" s="6"/>
      <c r="B21830" s="6"/>
      <c r="H21830" s="13"/>
    </row>
    <row r="21831">
      <c r="A21831" s="6"/>
      <c r="B21831" s="6"/>
      <c r="H21831" s="13"/>
    </row>
    <row r="21832">
      <c r="A21832" s="6"/>
      <c r="B21832" s="6"/>
      <c r="H21832" s="13"/>
    </row>
    <row r="21833">
      <c r="A21833" s="6"/>
      <c r="B21833" s="6"/>
      <c r="H21833" s="13"/>
    </row>
    <row r="21834">
      <c r="A21834" s="6"/>
      <c r="B21834" s="6"/>
      <c r="H21834" s="13"/>
    </row>
    <row r="21835">
      <c r="A21835" s="6"/>
      <c r="B21835" s="6"/>
      <c r="H21835" s="13"/>
    </row>
    <row r="21836">
      <c r="A21836" s="6"/>
      <c r="B21836" s="6"/>
      <c r="H21836" s="13"/>
    </row>
    <row r="21837">
      <c r="A21837" s="6"/>
      <c r="B21837" s="6"/>
      <c r="H21837" s="13"/>
    </row>
    <row r="21838">
      <c r="A21838" s="6"/>
      <c r="B21838" s="6"/>
      <c r="H21838" s="13"/>
    </row>
    <row r="21839">
      <c r="A21839" s="6"/>
      <c r="B21839" s="6"/>
      <c r="H21839" s="13"/>
    </row>
    <row r="21840">
      <c r="A21840" s="6"/>
      <c r="B21840" s="6"/>
      <c r="H21840" s="13"/>
    </row>
    <row r="21841">
      <c r="A21841" s="6"/>
      <c r="B21841" s="6"/>
      <c r="H21841" s="13"/>
    </row>
    <row r="21842">
      <c r="A21842" s="6"/>
      <c r="B21842" s="6"/>
      <c r="H21842" s="13"/>
    </row>
    <row r="21843">
      <c r="A21843" s="6"/>
      <c r="B21843" s="6"/>
      <c r="H21843" s="13"/>
    </row>
    <row r="21844">
      <c r="A21844" s="6"/>
      <c r="B21844" s="6"/>
      <c r="H21844" s="13"/>
    </row>
    <row r="21845">
      <c r="A21845" s="6"/>
      <c r="B21845" s="6"/>
      <c r="H21845" s="13"/>
    </row>
    <row r="21846">
      <c r="A21846" s="6"/>
      <c r="B21846" s="6"/>
      <c r="H21846" s="13"/>
    </row>
    <row r="21847">
      <c r="A21847" s="6"/>
      <c r="B21847" s="6"/>
      <c r="H21847" s="13"/>
    </row>
    <row r="21848">
      <c r="A21848" s="6"/>
      <c r="B21848" s="6"/>
      <c r="H21848" s="13"/>
    </row>
    <row r="21849">
      <c r="A21849" s="6"/>
      <c r="B21849" s="6"/>
      <c r="H21849" s="13"/>
    </row>
    <row r="21850">
      <c r="A21850" s="6"/>
      <c r="B21850" s="6"/>
      <c r="H21850" s="13"/>
    </row>
    <row r="21851">
      <c r="A21851" s="6"/>
      <c r="B21851" s="6"/>
      <c r="H21851" s="13"/>
    </row>
    <row r="21852">
      <c r="A21852" s="6"/>
      <c r="B21852" s="6"/>
      <c r="H21852" s="13"/>
    </row>
    <row r="21853">
      <c r="A21853" s="6"/>
      <c r="B21853" s="6"/>
      <c r="H21853" s="13"/>
    </row>
    <row r="21854">
      <c r="A21854" s="6"/>
      <c r="B21854" s="6"/>
      <c r="H21854" s="13"/>
    </row>
    <row r="21855">
      <c r="A21855" s="6"/>
      <c r="B21855" s="6"/>
      <c r="H21855" s="13"/>
    </row>
    <row r="21856">
      <c r="A21856" s="6"/>
      <c r="B21856" s="6"/>
      <c r="H21856" s="13"/>
    </row>
    <row r="21857">
      <c r="A21857" s="6"/>
      <c r="B21857" s="6"/>
      <c r="H21857" s="13"/>
    </row>
    <row r="21858">
      <c r="A21858" s="6"/>
      <c r="B21858" s="6"/>
      <c r="H21858" s="13"/>
    </row>
    <row r="21859">
      <c r="A21859" s="6"/>
      <c r="B21859" s="6"/>
      <c r="H21859" s="13"/>
    </row>
    <row r="21860">
      <c r="A21860" s="6"/>
      <c r="B21860" s="6"/>
      <c r="H21860" s="13"/>
    </row>
    <row r="21861">
      <c r="A21861" s="6"/>
      <c r="B21861" s="6"/>
      <c r="H21861" s="13"/>
    </row>
    <row r="21862">
      <c r="A21862" s="6"/>
      <c r="B21862" s="6"/>
      <c r="H21862" s="13"/>
    </row>
    <row r="21863">
      <c r="A21863" s="6"/>
      <c r="B21863" s="6"/>
      <c r="H21863" s="13"/>
    </row>
    <row r="21864">
      <c r="A21864" s="6"/>
      <c r="B21864" s="6"/>
      <c r="H21864" s="13"/>
    </row>
    <row r="21865">
      <c r="A21865" s="6"/>
      <c r="B21865" s="6"/>
      <c r="H21865" s="13"/>
    </row>
    <row r="21866">
      <c r="A21866" s="6"/>
      <c r="B21866" s="6"/>
      <c r="H21866" s="13"/>
    </row>
    <row r="21867">
      <c r="A21867" s="6"/>
      <c r="B21867" s="6"/>
      <c r="H21867" s="13"/>
    </row>
    <row r="21868">
      <c r="A21868" s="6"/>
      <c r="B21868" s="6"/>
      <c r="H21868" s="13"/>
    </row>
    <row r="21869">
      <c r="A21869" s="6"/>
      <c r="B21869" s="6"/>
      <c r="H21869" s="13"/>
    </row>
    <row r="21870">
      <c r="A21870" s="6"/>
      <c r="B21870" s="6"/>
      <c r="H21870" s="13"/>
    </row>
    <row r="21871">
      <c r="A21871" s="6"/>
      <c r="B21871" s="6"/>
      <c r="H21871" s="13"/>
    </row>
    <row r="21872">
      <c r="A21872" s="6"/>
      <c r="B21872" s="6"/>
      <c r="H21872" s="13"/>
    </row>
    <row r="21873">
      <c r="A21873" s="6"/>
      <c r="B21873" s="6"/>
      <c r="H21873" s="13"/>
    </row>
    <row r="21874">
      <c r="A21874" s="6"/>
      <c r="B21874" s="6"/>
      <c r="H21874" s="13"/>
    </row>
    <row r="21875">
      <c r="A21875" s="6"/>
      <c r="B21875" s="6"/>
      <c r="H21875" s="13"/>
    </row>
    <row r="21876">
      <c r="A21876" s="6"/>
      <c r="B21876" s="6"/>
      <c r="H21876" s="13"/>
    </row>
    <row r="21877">
      <c r="A21877" s="6"/>
      <c r="B21877" s="6"/>
      <c r="H21877" s="13"/>
    </row>
    <row r="21878">
      <c r="A21878" s="6"/>
      <c r="B21878" s="6"/>
      <c r="H21878" s="13"/>
    </row>
    <row r="21879">
      <c r="A21879" s="6"/>
      <c r="B21879" s="6"/>
      <c r="H21879" s="13"/>
    </row>
    <row r="21880">
      <c r="A21880" s="6"/>
      <c r="B21880" s="6"/>
      <c r="H21880" s="13"/>
    </row>
    <row r="21881">
      <c r="A21881" s="6"/>
      <c r="B21881" s="6"/>
      <c r="H21881" s="13"/>
    </row>
    <row r="21882">
      <c r="A21882" s="6"/>
      <c r="B21882" s="6"/>
      <c r="H21882" s="13"/>
    </row>
    <row r="21883">
      <c r="A21883" s="6"/>
      <c r="B21883" s="6"/>
      <c r="H21883" s="13"/>
    </row>
    <row r="21884">
      <c r="A21884" s="6"/>
      <c r="B21884" s="6"/>
      <c r="H21884" s="13"/>
    </row>
    <row r="21885">
      <c r="A21885" s="6"/>
      <c r="B21885" s="6"/>
      <c r="H21885" s="13"/>
    </row>
    <row r="21886">
      <c r="A21886" s="6"/>
      <c r="B21886" s="6"/>
      <c r="H21886" s="13"/>
    </row>
    <row r="21887">
      <c r="A21887" s="6"/>
      <c r="B21887" s="6"/>
      <c r="H21887" s="13"/>
    </row>
    <row r="21888">
      <c r="A21888" s="6"/>
      <c r="B21888" s="6"/>
      <c r="H21888" s="13"/>
    </row>
    <row r="21889">
      <c r="A21889" s="6"/>
      <c r="B21889" s="6"/>
      <c r="H21889" s="13"/>
    </row>
    <row r="21890">
      <c r="A21890" s="6"/>
      <c r="B21890" s="6"/>
      <c r="H21890" s="13"/>
    </row>
    <row r="21891">
      <c r="A21891" s="6"/>
      <c r="B21891" s="6"/>
      <c r="H21891" s="13"/>
    </row>
    <row r="21892">
      <c r="A21892" s="6"/>
      <c r="B21892" s="6"/>
      <c r="H21892" s="13"/>
    </row>
    <row r="21893">
      <c r="A21893" s="6"/>
      <c r="B21893" s="6"/>
      <c r="H21893" s="13"/>
    </row>
    <row r="21894">
      <c r="A21894" s="6"/>
      <c r="B21894" s="6"/>
      <c r="H21894" s="13"/>
    </row>
    <row r="21895">
      <c r="A21895" s="6"/>
      <c r="B21895" s="6"/>
      <c r="H21895" s="13"/>
    </row>
    <row r="21896">
      <c r="A21896" s="6"/>
      <c r="B21896" s="6"/>
      <c r="H21896" s="13"/>
    </row>
    <row r="21897">
      <c r="A21897" s="6"/>
      <c r="B21897" s="6"/>
      <c r="H21897" s="13"/>
    </row>
    <row r="21898">
      <c r="A21898" s="6"/>
      <c r="B21898" s="6"/>
      <c r="H21898" s="13"/>
    </row>
    <row r="21899">
      <c r="A21899" s="6"/>
      <c r="B21899" s="6"/>
      <c r="H21899" s="13"/>
    </row>
    <row r="21900">
      <c r="A21900" s="6"/>
      <c r="B21900" s="6"/>
      <c r="H21900" s="13"/>
    </row>
    <row r="21901">
      <c r="A21901" s="6"/>
      <c r="B21901" s="6"/>
      <c r="H21901" s="13"/>
    </row>
    <row r="21902">
      <c r="A21902" s="6"/>
      <c r="B21902" s="6"/>
      <c r="H21902" s="13"/>
    </row>
    <row r="21903">
      <c r="A21903" s="6"/>
      <c r="B21903" s="6"/>
      <c r="H21903" s="13"/>
    </row>
    <row r="21904">
      <c r="A21904" s="6"/>
      <c r="B21904" s="6"/>
      <c r="H21904" s="13"/>
    </row>
    <row r="21905">
      <c r="A21905" s="6"/>
      <c r="B21905" s="6"/>
      <c r="H21905" s="13"/>
    </row>
    <row r="21906">
      <c r="A21906" s="6"/>
      <c r="B21906" s="6"/>
      <c r="H21906" s="13"/>
    </row>
    <row r="21907">
      <c r="A21907" s="6"/>
      <c r="B21907" s="6"/>
      <c r="H21907" s="13"/>
    </row>
    <row r="21908">
      <c r="A21908" s="6"/>
      <c r="B21908" s="6"/>
      <c r="H21908" s="13"/>
    </row>
    <row r="21909">
      <c r="A21909" s="6"/>
      <c r="B21909" s="6"/>
      <c r="H21909" s="13"/>
    </row>
    <row r="21910">
      <c r="A21910" s="6"/>
      <c r="B21910" s="6"/>
      <c r="H21910" s="13"/>
    </row>
    <row r="21911">
      <c r="A21911" s="6"/>
      <c r="B21911" s="6"/>
      <c r="H21911" s="13"/>
    </row>
    <row r="21912">
      <c r="A21912" s="6"/>
      <c r="B21912" s="6"/>
      <c r="H21912" s="13"/>
    </row>
    <row r="21913">
      <c r="A21913" s="6"/>
      <c r="B21913" s="6"/>
      <c r="H21913" s="13"/>
    </row>
    <row r="21914">
      <c r="A21914" s="6"/>
      <c r="B21914" s="6"/>
      <c r="H21914" s="13"/>
    </row>
    <row r="21915">
      <c r="A21915" s="6"/>
      <c r="B21915" s="6"/>
      <c r="H21915" s="13"/>
    </row>
    <row r="21916">
      <c r="A21916" s="6"/>
      <c r="B21916" s="6"/>
      <c r="H21916" s="13"/>
    </row>
    <row r="21917">
      <c r="A21917" s="6"/>
      <c r="B21917" s="6"/>
      <c r="H21917" s="13"/>
    </row>
    <row r="21918">
      <c r="A21918" s="6"/>
      <c r="B21918" s="6"/>
      <c r="H21918" s="13"/>
    </row>
    <row r="21919">
      <c r="A21919" s="6"/>
      <c r="B21919" s="6"/>
      <c r="H21919" s="13"/>
    </row>
    <row r="21920">
      <c r="A21920" s="6"/>
      <c r="B21920" s="6"/>
      <c r="H21920" s="13"/>
    </row>
    <row r="21921">
      <c r="A21921" s="6"/>
      <c r="B21921" s="6"/>
      <c r="H21921" s="13"/>
    </row>
    <row r="21922">
      <c r="A21922" s="6"/>
      <c r="B21922" s="6"/>
      <c r="H21922" s="13"/>
    </row>
    <row r="21923">
      <c r="A21923" s="6"/>
      <c r="B21923" s="6"/>
      <c r="H21923" s="13"/>
    </row>
    <row r="21924">
      <c r="A21924" s="6"/>
      <c r="B21924" s="6"/>
      <c r="H21924" s="13"/>
    </row>
    <row r="21925">
      <c r="A21925" s="6"/>
      <c r="B21925" s="6"/>
      <c r="H21925" s="13"/>
    </row>
    <row r="21926">
      <c r="A21926" s="6"/>
      <c r="B21926" s="6"/>
      <c r="H21926" s="13"/>
    </row>
    <row r="21927">
      <c r="A21927" s="6"/>
      <c r="B21927" s="6"/>
      <c r="H21927" s="13"/>
    </row>
    <row r="21928">
      <c r="A21928" s="6"/>
      <c r="B21928" s="6"/>
      <c r="H21928" s="13"/>
    </row>
    <row r="21929">
      <c r="A21929" s="6"/>
      <c r="B21929" s="6"/>
      <c r="H21929" s="13"/>
    </row>
    <row r="21930">
      <c r="A21930" s="6"/>
      <c r="B21930" s="6"/>
      <c r="H21930" s="13"/>
    </row>
    <row r="21931">
      <c r="A21931" s="6"/>
      <c r="B21931" s="6"/>
      <c r="H21931" s="13"/>
    </row>
    <row r="21932">
      <c r="A21932" s="6"/>
      <c r="B21932" s="6"/>
      <c r="H21932" s="13"/>
    </row>
    <row r="21933">
      <c r="A21933" s="6"/>
      <c r="B21933" s="6"/>
      <c r="H21933" s="13"/>
    </row>
    <row r="21934">
      <c r="A21934" s="6"/>
      <c r="B21934" s="6"/>
      <c r="H21934" s="13"/>
    </row>
    <row r="21935">
      <c r="A21935" s="6"/>
      <c r="B21935" s="6"/>
      <c r="H21935" s="13"/>
    </row>
    <row r="21936">
      <c r="A21936" s="6"/>
      <c r="B21936" s="6"/>
      <c r="H21936" s="13"/>
    </row>
    <row r="21937">
      <c r="A21937" s="6"/>
      <c r="B21937" s="6"/>
      <c r="H21937" s="13"/>
    </row>
    <row r="21938">
      <c r="A21938" s="6"/>
      <c r="B21938" s="6"/>
      <c r="H21938" s="13"/>
    </row>
    <row r="21939">
      <c r="A21939" s="6"/>
      <c r="B21939" s="6"/>
      <c r="H21939" s="13"/>
    </row>
    <row r="21940">
      <c r="A21940" s="6"/>
      <c r="B21940" s="6"/>
      <c r="H21940" s="13"/>
    </row>
    <row r="21941">
      <c r="A21941" s="6"/>
      <c r="B21941" s="6"/>
      <c r="H21941" s="13"/>
    </row>
    <row r="21942">
      <c r="A21942" s="6"/>
      <c r="B21942" s="6"/>
      <c r="H21942" s="13"/>
    </row>
    <row r="21943">
      <c r="A21943" s="6"/>
      <c r="B21943" s="6"/>
      <c r="H21943" s="13"/>
    </row>
    <row r="21944">
      <c r="A21944" s="6"/>
      <c r="B21944" s="6"/>
      <c r="H21944" s="13"/>
    </row>
    <row r="21945">
      <c r="A21945" s="6"/>
      <c r="B21945" s="6"/>
      <c r="H21945" s="13"/>
    </row>
    <row r="21946">
      <c r="A21946" s="6"/>
      <c r="B21946" s="6"/>
      <c r="H21946" s="13"/>
    </row>
    <row r="21947">
      <c r="A21947" s="6"/>
      <c r="B21947" s="6"/>
      <c r="H21947" s="13"/>
    </row>
    <row r="21948">
      <c r="A21948" s="6"/>
      <c r="B21948" s="6"/>
      <c r="H21948" s="13"/>
    </row>
    <row r="21949">
      <c r="A21949" s="6"/>
      <c r="B21949" s="6"/>
      <c r="H21949" s="13"/>
    </row>
    <row r="21950">
      <c r="A21950" s="6"/>
      <c r="B21950" s="6"/>
      <c r="H21950" s="13"/>
    </row>
    <row r="21951">
      <c r="A21951" s="6"/>
      <c r="B21951" s="6"/>
      <c r="H21951" s="13"/>
    </row>
    <row r="21952">
      <c r="A21952" s="6"/>
      <c r="B21952" s="6"/>
      <c r="H21952" s="13"/>
    </row>
    <row r="21953">
      <c r="A21953" s="6"/>
      <c r="B21953" s="6"/>
      <c r="H21953" s="13"/>
    </row>
    <row r="21954">
      <c r="A21954" s="6"/>
      <c r="B21954" s="6"/>
      <c r="H21954" s="13"/>
    </row>
    <row r="21955">
      <c r="A21955" s="6"/>
      <c r="B21955" s="6"/>
      <c r="H21955" s="13"/>
    </row>
    <row r="21956">
      <c r="A21956" s="6"/>
      <c r="B21956" s="6"/>
      <c r="H21956" s="13"/>
    </row>
    <row r="21957">
      <c r="A21957" s="6"/>
      <c r="B21957" s="6"/>
      <c r="H21957" s="13"/>
    </row>
    <row r="21958">
      <c r="A21958" s="6"/>
      <c r="B21958" s="6"/>
      <c r="H21958" s="13"/>
    </row>
    <row r="21959">
      <c r="A21959" s="6"/>
      <c r="B21959" s="6"/>
      <c r="H21959" s="13"/>
    </row>
    <row r="21960">
      <c r="A21960" s="6"/>
      <c r="B21960" s="6"/>
      <c r="H21960" s="13"/>
    </row>
    <row r="21961">
      <c r="A21961" s="6"/>
      <c r="B21961" s="6"/>
      <c r="H21961" s="13"/>
    </row>
    <row r="21962">
      <c r="A21962" s="6"/>
      <c r="B21962" s="6"/>
      <c r="H21962" s="13"/>
    </row>
    <row r="21963">
      <c r="A21963" s="6"/>
      <c r="B21963" s="6"/>
      <c r="H21963" s="13"/>
    </row>
    <row r="21964">
      <c r="A21964" s="6"/>
      <c r="B21964" s="6"/>
      <c r="H21964" s="13"/>
    </row>
    <row r="21965">
      <c r="A21965" s="6"/>
      <c r="B21965" s="6"/>
      <c r="H21965" s="13"/>
    </row>
    <row r="21966">
      <c r="A21966" s="6"/>
      <c r="B21966" s="6"/>
      <c r="H21966" s="13"/>
    </row>
    <row r="21967">
      <c r="A21967" s="6"/>
      <c r="B21967" s="6"/>
      <c r="H21967" s="13"/>
    </row>
    <row r="21968">
      <c r="A21968" s="6"/>
      <c r="B21968" s="6"/>
      <c r="H21968" s="13"/>
    </row>
    <row r="21969">
      <c r="A21969" s="6"/>
      <c r="B21969" s="6"/>
      <c r="H21969" s="13"/>
    </row>
    <row r="21970">
      <c r="A21970" s="6"/>
      <c r="B21970" s="6"/>
      <c r="H21970" s="13"/>
    </row>
    <row r="21971">
      <c r="A21971" s="6"/>
      <c r="B21971" s="6"/>
      <c r="H21971" s="13"/>
    </row>
    <row r="21972">
      <c r="A21972" s="6"/>
      <c r="B21972" s="6"/>
      <c r="H21972" s="13"/>
    </row>
    <row r="21973">
      <c r="A21973" s="6"/>
      <c r="B21973" s="6"/>
      <c r="H21973" s="13"/>
    </row>
    <row r="21974">
      <c r="A21974" s="6"/>
      <c r="B21974" s="6"/>
      <c r="H21974" s="13"/>
    </row>
    <row r="21975">
      <c r="A21975" s="6"/>
      <c r="B21975" s="6"/>
      <c r="H21975" s="13"/>
    </row>
    <row r="21976">
      <c r="A21976" s="6"/>
      <c r="B21976" s="6"/>
      <c r="H21976" s="13"/>
    </row>
    <row r="21977">
      <c r="A21977" s="6"/>
      <c r="B21977" s="6"/>
      <c r="H21977" s="13"/>
    </row>
    <row r="21978">
      <c r="A21978" s="6"/>
      <c r="B21978" s="6"/>
      <c r="H21978" s="13"/>
    </row>
    <row r="21979">
      <c r="A21979" s="6"/>
      <c r="B21979" s="6"/>
      <c r="H21979" s="13"/>
    </row>
    <row r="21980">
      <c r="A21980" s="6"/>
      <c r="B21980" s="6"/>
      <c r="H21980" s="13"/>
    </row>
    <row r="21981">
      <c r="A21981" s="6"/>
      <c r="B21981" s="6"/>
      <c r="H21981" s="13"/>
    </row>
    <row r="21982">
      <c r="A21982" s="6"/>
      <c r="B21982" s="6"/>
      <c r="H21982" s="13"/>
    </row>
    <row r="21983">
      <c r="A21983" s="6"/>
      <c r="B21983" s="6"/>
      <c r="H21983" s="13"/>
    </row>
    <row r="21984">
      <c r="A21984" s="6"/>
      <c r="B21984" s="6"/>
      <c r="H21984" s="13"/>
    </row>
    <row r="21985">
      <c r="A21985" s="6"/>
      <c r="B21985" s="6"/>
      <c r="H21985" s="13"/>
    </row>
    <row r="21986">
      <c r="A21986" s="6"/>
      <c r="B21986" s="6"/>
      <c r="H21986" s="13"/>
    </row>
    <row r="21987">
      <c r="A21987" s="6"/>
      <c r="B21987" s="6"/>
      <c r="H21987" s="13"/>
    </row>
    <row r="21988">
      <c r="A21988" s="6"/>
      <c r="B21988" s="6"/>
      <c r="H21988" s="13"/>
    </row>
    <row r="21989">
      <c r="A21989" s="6"/>
      <c r="B21989" s="6"/>
      <c r="H21989" s="13"/>
    </row>
    <row r="21990">
      <c r="A21990" s="6"/>
      <c r="B21990" s="6"/>
      <c r="H21990" s="13"/>
    </row>
    <row r="21991">
      <c r="A21991" s="6"/>
      <c r="B21991" s="6"/>
      <c r="H21991" s="13"/>
    </row>
    <row r="21992">
      <c r="A21992" s="6"/>
      <c r="B21992" s="6"/>
      <c r="H21992" s="13"/>
    </row>
    <row r="21993">
      <c r="A21993" s="6"/>
      <c r="B21993" s="6"/>
      <c r="H21993" s="13"/>
    </row>
    <row r="21994">
      <c r="A21994" s="6"/>
      <c r="B21994" s="6"/>
      <c r="H21994" s="13"/>
    </row>
    <row r="21995">
      <c r="A21995" s="6"/>
      <c r="B21995" s="6"/>
      <c r="H21995" s="13"/>
    </row>
    <row r="21996">
      <c r="A21996" s="6"/>
      <c r="B21996" s="6"/>
      <c r="H21996" s="13"/>
    </row>
    <row r="21997">
      <c r="A21997" s="6"/>
      <c r="B21997" s="6"/>
      <c r="H21997" s="13"/>
    </row>
    <row r="21998">
      <c r="A21998" s="6"/>
      <c r="B21998" s="6"/>
      <c r="H21998" s="13"/>
    </row>
    <row r="21999">
      <c r="A21999" s="6"/>
      <c r="B21999" s="6"/>
      <c r="H21999" s="13"/>
    </row>
    <row r="22000">
      <c r="A22000" s="6"/>
      <c r="B22000" s="6"/>
      <c r="H22000" s="13"/>
    </row>
    <row r="22001">
      <c r="A22001" s="6"/>
      <c r="B22001" s="6"/>
      <c r="H22001" s="13"/>
    </row>
    <row r="22002">
      <c r="A22002" s="6"/>
      <c r="B22002" s="6"/>
      <c r="H22002" s="13"/>
    </row>
    <row r="22003">
      <c r="A22003" s="6"/>
      <c r="B22003" s="6"/>
      <c r="H22003" s="13"/>
    </row>
    <row r="22004">
      <c r="A22004" s="6"/>
      <c r="B22004" s="6"/>
      <c r="H22004" s="13"/>
    </row>
    <row r="22005">
      <c r="A22005" s="6"/>
      <c r="B22005" s="6"/>
      <c r="H22005" s="13"/>
    </row>
    <row r="22006">
      <c r="A22006" s="6"/>
      <c r="B22006" s="6"/>
      <c r="H22006" s="13"/>
    </row>
    <row r="22007">
      <c r="A22007" s="6"/>
      <c r="B22007" s="6"/>
      <c r="H22007" s="13"/>
    </row>
    <row r="22008">
      <c r="A22008" s="6"/>
      <c r="B22008" s="6"/>
      <c r="H22008" s="13"/>
    </row>
    <row r="22009">
      <c r="A22009" s="6"/>
      <c r="B22009" s="6"/>
      <c r="H22009" s="13"/>
    </row>
    <row r="22010">
      <c r="A22010" s="6"/>
      <c r="B22010" s="6"/>
      <c r="H22010" s="13"/>
    </row>
    <row r="22011">
      <c r="A22011" s="6"/>
      <c r="B22011" s="6"/>
      <c r="H22011" s="13"/>
    </row>
    <row r="22012">
      <c r="A22012" s="6"/>
      <c r="B22012" s="6"/>
      <c r="H22012" s="13"/>
    </row>
    <row r="22013">
      <c r="A22013" s="6"/>
      <c r="B22013" s="6"/>
      <c r="H22013" s="13"/>
    </row>
    <row r="22014">
      <c r="A22014" s="6"/>
      <c r="B22014" s="6"/>
      <c r="H22014" s="13"/>
    </row>
    <row r="22015">
      <c r="A22015" s="6"/>
      <c r="B22015" s="6"/>
      <c r="H22015" s="13"/>
    </row>
    <row r="22016">
      <c r="A22016" s="6"/>
      <c r="B22016" s="6"/>
      <c r="H22016" s="13"/>
    </row>
    <row r="22017">
      <c r="A22017" s="6"/>
      <c r="B22017" s="6"/>
      <c r="H22017" s="13"/>
    </row>
    <row r="22018">
      <c r="A22018" s="6"/>
      <c r="B22018" s="6"/>
      <c r="H22018" s="13"/>
    </row>
    <row r="22019">
      <c r="A22019" s="6"/>
      <c r="B22019" s="6"/>
      <c r="H22019" s="13"/>
    </row>
    <row r="22020">
      <c r="A22020" s="6"/>
      <c r="B22020" s="6"/>
      <c r="H22020" s="13"/>
    </row>
    <row r="22021">
      <c r="A22021" s="6"/>
      <c r="B22021" s="6"/>
      <c r="H22021" s="13"/>
    </row>
    <row r="22022">
      <c r="A22022" s="6"/>
      <c r="B22022" s="6"/>
      <c r="H22022" s="13"/>
    </row>
    <row r="22023">
      <c r="A22023" s="6"/>
      <c r="B22023" s="6"/>
      <c r="H22023" s="13"/>
    </row>
    <row r="22024">
      <c r="A22024" s="6"/>
      <c r="B22024" s="6"/>
      <c r="H22024" s="13"/>
    </row>
    <row r="22025">
      <c r="A22025" s="6"/>
      <c r="B22025" s="6"/>
      <c r="H22025" s="13"/>
    </row>
    <row r="22026">
      <c r="A22026" s="6"/>
      <c r="B22026" s="6"/>
      <c r="H22026" s="13"/>
    </row>
    <row r="22027">
      <c r="A22027" s="6"/>
      <c r="B22027" s="6"/>
      <c r="H22027" s="13"/>
    </row>
    <row r="22028">
      <c r="A22028" s="6"/>
      <c r="B22028" s="6"/>
      <c r="H22028" s="13"/>
    </row>
    <row r="22029">
      <c r="A22029" s="6"/>
      <c r="B22029" s="6"/>
      <c r="H22029" s="13"/>
    </row>
    <row r="22030">
      <c r="A22030" s="6"/>
      <c r="B22030" s="6"/>
      <c r="H22030" s="13"/>
    </row>
    <row r="22031">
      <c r="A22031" s="6"/>
      <c r="B22031" s="6"/>
      <c r="H22031" s="13"/>
    </row>
    <row r="22032">
      <c r="A22032" s="6"/>
      <c r="B22032" s="6"/>
      <c r="H22032" s="13"/>
    </row>
    <row r="22033">
      <c r="A22033" s="6"/>
      <c r="B22033" s="6"/>
      <c r="H22033" s="13"/>
    </row>
    <row r="22034">
      <c r="A22034" s="6"/>
      <c r="B22034" s="6"/>
      <c r="H22034" s="13"/>
    </row>
    <row r="22035">
      <c r="A22035" s="6"/>
      <c r="B22035" s="6"/>
      <c r="H22035" s="13"/>
    </row>
    <row r="22036">
      <c r="A22036" s="6"/>
      <c r="B22036" s="6"/>
      <c r="H22036" s="13"/>
    </row>
    <row r="22037">
      <c r="A22037" s="6"/>
      <c r="B22037" s="6"/>
      <c r="H22037" s="13"/>
    </row>
    <row r="22038">
      <c r="A22038" s="6"/>
      <c r="B22038" s="6"/>
      <c r="H22038" s="13"/>
    </row>
    <row r="22039">
      <c r="A22039" s="6"/>
      <c r="B22039" s="6"/>
      <c r="H22039" s="13"/>
    </row>
    <row r="22040">
      <c r="A22040" s="6"/>
      <c r="B22040" s="6"/>
      <c r="H22040" s="13"/>
    </row>
    <row r="22041">
      <c r="A22041" s="6"/>
      <c r="B22041" s="6"/>
      <c r="H22041" s="13"/>
    </row>
    <row r="22042">
      <c r="A22042" s="6"/>
      <c r="B22042" s="6"/>
      <c r="H22042" s="13"/>
    </row>
    <row r="22043">
      <c r="A22043" s="6"/>
      <c r="B22043" s="6"/>
      <c r="H22043" s="13"/>
    </row>
    <row r="22044">
      <c r="A22044" s="6"/>
      <c r="B22044" s="6"/>
      <c r="H22044" s="13"/>
    </row>
    <row r="22045">
      <c r="A22045" s="6"/>
      <c r="B22045" s="6"/>
      <c r="H22045" s="13"/>
    </row>
    <row r="22046">
      <c r="A22046" s="6"/>
      <c r="B22046" s="6"/>
      <c r="H22046" s="13"/>
    </row>
    <row r="22047">
      <c r="A22047" s="6"/>
      <c r="B22047" s="6"/>
      <c r="H22047" s="13"/>
    </row>
    <row r="22048">
      <c r="A22048" s="6"/>
      <c r="B22048" s="6"/>
      <c r="H22048" s="13"/>
    </row>
    <row r="22049">
      <c r="A22049" s="6"/>
      <c r="B22049" s="6"/>
      <c r="H22049" s="13"/>
    </row>
    <row r="22050">
      <c r="A22050" s="6"/>
      <c r="B22050" s="6"/>
      <c r="H22050" s="13"/>
    </row>
    <row r="22051">
      <c r="A22051" s="6"/>
      <c r="B22051" s="6"/>
      <c r="H22051" s="13"/>
    </row>
    <row r="22052">
      <c r="A22052" s="6"/>
      <c r="B22052" s="6"/>
      <c r="H22052" s="13"/>
    </row>
    <row r="22053">
      <c r="A22053" s="6"/>
      <c r="B22053" s="6"/>
      <c r="H22053" s="13"/>
    </row>
    <row r="22054">
      <c r="A22054" s="6"/>
      <c r="B22054" s="6"/>
      <c r="H22054" s="13"/>
    </row>
    <row r="22055">
      <c r="A22055" s="6"/>
      <c r="B22055" s="6"/>
      <c r="H22055" s="13"/>
    </row>
    <row r="22056">
      <c r="A22056" s="6"/>
      <c r="B22056" s="6"/>
      <c r="H22056" s="13"/>
    </row>
    <row r="22057">
      <c r="A22057" s="6"/>
      <c r="B22057" s="6"/>
      <c r="H22057" s="13"/>
    </row>
    <row r="22058">
      <c r="A22058" s="6"/>
      <c r="B22058" s="6"/>
      <c r="H22058" s="13"/>
    </row>
    <row r="22059">
      <c r="A22059" s="6"/>
      <c r="B22059" s="6"/>
      <c r="H22059" s="13"/>
    </row>
    <row r="22060">
      <c r="A22060" s="6"/>
      <c r="B22060" s="6"/>
      <c r="H22060" s="13"/>
    </row>
    <row r="22061">
      <c r="A22061" s="6"/>
      <c r="B22061" s="6"/>
      <c r="H22061" s="13"/>
    </row>
    <row r="22062">
      <c r="A22062" s="6"/>
      <c r="B22062" s="6"/>
      <c r="H22062" s="13"/>
    </row>
    <row r="22063">
      <c r="A22063" s="6"/>
      <c r="B22063" s="6"/>
      <c r="H22063" s="13"/>
    </row>
    <row r="22064">
      <c r="A22064" s="6"/>
      <c r="B22064" s="6"/>
      <c r="H22064" s="13"/>
    </row>
    <row r="22065">
      <c r="A22065" s="6"/>
      <c r="B22065" s="6"/>
      <c r="H22065" s="13"/>
    </row>
    <row r="22066">
      <c r="A22066" s="6"/>
      <c r="B22066" s="6"/>
      <c r="H22066" s="13"/>
    </row>
    <row r="22067">
      <c r="A22067" s="6"/>
      <c r="B22067" s="6"/>
      <c r="H22067" s="13"/>
    </row>
    <row r="22068">
      <c r="A22068" s="6"/>
      <c r="B22068" s="6"/>
      <c r="H22068" s="13"/>
    </row>
    <row r="22069">
      <c r="A22069" s="6"/>
      <c r="B22069" s="6"/>
      <c r="H22069" s="13"/>
    </row>
    <row r="22070">
      <c r="A22070" s="6"/>
      <c r="B22070" s="6"/>
      <c r="H22070" s="13"/>
    </row>
    <row r="22071">
      <c r="A22071" s="6"/>
      <c r="B22071" s="6"/>
      <c r="H22071" s="13"/>
    </row>
    <row r="22072">
      <c r="A22072" s="6"/>
      <c r="B22072" s="6"/>
      <c r="H22072" s="13"/>
    </row>
    <row r="22073">
      <c r="A22073" s="6"/>
      <c r="B22073" s="6"/>
      <c r="H22073" s="13"/>
    </row>
    <row r="22074">
      <c r="A22074" s="6"/>
      <c r="B22074" s="6"/>
      <c r="H22074" s="13"/>
    </row>
    <row r="22075">
      <c r="A22075" s="6"/>
      <c r="B22075" s="6"/>
      <c r="H22075" s="13"/>
    </row>
    <row r="22076">
      <c r="A22076" s="6"/>
      <c r="B22076" s="6"/>
      <c r="H22076" s="13"/>
    </row>
    <row r="22077">
      <c r="A22077" s="6"/>
      <c r="B22077" s="6"/>
      <c r="H22077" s="13"/>
    </row>
    <row r="22078">
      <c r="A22078" s="6"/>
      <c r="B22078" s="6"/>
      <c r="H22078" s="13"/>
    </row>
    <row r="22079">
      <c r="A22079" s="6"/>
      <c r="B22079" s="6"/>
      <c r="H22079" s="13"/>
    </row>
    <row r="22080">
      <c r="A22080" s="6"/>
      <c r="B22080" s="6"/>
      <c r="H22080" s="13"/>
    </row>
    <row r="22081">
      <c r="A22081" s="6"/>
      <c r="B22081" s="6"/>
      <c r="H22081" s="13"/>
    </row>
    <row r="22082">
      <c r="A22082" s="6"/>
      <c r="B22082" s="6"/>
      <c r="H22082" s="13"/>
    </row>
    <row r="22083">
      <c r="A22083" s="6"/>
      <c r="B22083" s="6"/>
      <c r="H22083" s="13"/>
    </row>
    <row r="22084">
      <c r="A22084" s="6"/>
      <c r="B22084" s="6"/>
      <c r="H22084" s="13"/>
    </row>
    <row r="22085">
      <c r="A22085" s="6"/>
      <c r="B22085" s="6"/>
      <c r="H22085" s="13"/>
    </row>
    <row r="22086">
      <c r="A22086" s="6"/>
      <c r="B22086" s="6"/>
      <c r="H22086" s="13"/>
    </row>
    <row r="22087">
      <c r="A22087" s="6"/>
      <c r="B22087" s="6"/>
      <c r="H22087" s="13"/>
    </row>
    <row r="22088">
      <c r="A22088" s="6"/>
      <c r="B22088" s="6"/>
      <c r="H22088" s="13"/>
    </row>
    <row r="22089">
      <c r="A22089" s="6"/>
      <c r="B22089" s="6"/>
      <c r="H22089" s="13"/>
    </row>
    <row r="22090">
      <c r="A22090" s="6"/>
      <c r="B22090" s="6"/>
      <c r="H22090" s="13"/>
    </row>
    <row r="22091">
      <c r="A22091" s="6"/>
      <c r="B22091" s="6"/>
      <c r="H22091" s="13"/>
    </row>
    <row r="22092">
      <c r="A22092" s="6"/>
      <c r="B22092" s="6"/>
      <c r="H22092" s="13"/>
    </row>
    <row r="22093">
      <c r="A22093" s="6"/>
      <c r="B22093" s="6"/>
      <c r="H22093" s="13"/>
    </row>
    <row r="22094">
      <c r="A22094" s="6"/>
      <c r="B22094" s="6"/>
      <c r="H22094" s="13"/>
    </row>
    <row r="22095">
      <c r="A22095" s="6"/>
      <c r="B22095" s="6"/>
      <c r="H22095" s="13"/>
    </row>
    <row r="22096">
      <c r="A22096" s="6"/>
      <c r="B22096" s="6"/>
      <c r="H22096" s="13"/>
    </row>
    <row r="22097">
      <c r="A22097" s="6"/>
      <c r="B22097" s="6"/>
      <c r="H22097" s="13"/>
    </row>
    <row r="22098">
      <c r="A22098" s="6"/>
      <c r="B22098" s="6"/>
      <c r="H22098" s="13"/>
    </row>
    <row r="22099">
      <c r="A22099" s="6"/>
      <c r="B22099" s="6"/>
      <c r="H22099" s="13"/>
    </row>
    <row r="22100">
      <c r="A22100" s="6"/>
      <c r="B22100" s="6"/>
      <c r="H22100" s="13"/>
    </row>
    <row r="22101">
      <c r="A22101" s="6"/>
      <c r="B22101" s="6"/>
      <c r="H22101" s="13"/>
    </row>
    <row r="22102">
      <c r="A22102" s="6"/>
      <c r="B22102" s="6"/>
      <c r="H22102" s="13"/>
    </row>
    <row r="22103">
      <c r="A22103" s="6"/>
      <c r="B22103" s="6"/>
      <c r="H22103" s="13"/>
    </row>
    <row r="22104">
      <c r="A22104" s="6"/>
      <c r="B22104" s="6"/>
      <c r="H22104" s="13"/>
    </row>
    <row r="22105">
      <c r="A22105" s="6"/>
      <c r="B22105" s="6"/>
      <c r="H22105" s="13"/>
    </row>
    <row r="22106">
      <c r="A22106" s="6"/>
      <c r="B22106" s="6"/>
      <c r="H22106" s="13"/>
    </row>
    <row r="22107">
      <c r="A22107" s="6"/>
      <c r="B22107" s="6"/>
      <c r="H22107" s="13"/>
    </row>
    <row r="22108">
      <c r="A22108" s="6"/>
      <c r="B22108" s="6"/>
      <c r="H22108" s="13"/>
    </row>
    <row r="22109">
      <c r="A22109" s="6"/>
      <c r="B22109" s="6"/>
      <c r="H22109" s="13"/>
    </row>
    <row r="22110">
      <c r="A22110" s="6"/>
      <c r="B22110" s="6"/>
      <c r="H22110" s="13"/>
    </row>
    <row r="22111">
      <c r="A22111" s="6"/>
      <c r="B22111" s="6"/>
      <c r="H22111" s="13"/>
    </row>
    <row r="22112">
      <c r="A22112" s="6"/>
      <c r="B22112" s="6"/>
      <c r="H22112" s="13"/>
    </row>
    <row r="22113">
      <c r="A22113" s="6"/>
      <c r="B22113" s="6"/>
      <c r="H22113" s="13"/>
    </row>
    <row r="22114">
      <c r="A22114" s="6"/>
      <c r="B22114" s="6"/>
      <c r="H22114" s="13"/>
    </row>
    <row r="22115">
      <c r="A22115" s="6"/>
      <c r="B22115" s="6"/>
      <c r="H22115" s="13"/>
    </row>
    <row r="22116">
      <c r="A22116" s="6"/>
      <c r="B22116" s="6"/>
      <c r="H22116" s="13"/>
    </row>
    <row r="22117">
      <c r="A22117" s="6"/>
      <c r="B22117" s="6"/>
      <c r="H22117" s="13"/>
    </row>
    <row r="22118">
      <c r="A22118" s="6"/>
      <c r="B22118" s="6"/>
      <c r="H22118" s="13"/>
    </row>
    <row r="22119">
      <c r="A22119" s="6"/>
      <c r="B22119" s="6"/>
      <c r="H22119" s="13"/>
    </row>
    <row r="22120">
      <c r="A22120" s="6"/>
      <c r="B22120" s="6"/>
      <c r="H22120" s="13"/>
    </row>
    <row r="22121">
      <c r="A22121" s="6"/>
      <c r="B22121" s="6"/>
      <c r="H22121" s="13"/>
    </row>
    <row r="22122">
      <c r="A22122" s="6"/>
      <c r="B22122" s="6"/>
      <c r="H22122" s="13"/>
    </row>
    <row r="22123">
      <c r="A22123" s="6"/>
      <c r="B22123" s="6"/>
      <c r="H22123" s="13"/>
    </row>
    <row r="22124">
      <c r="A22124" s="6"/>
      <c r="B22124" s="6"/>
      <c r="H22124" s="13"/>
    </row>
    <row r="22125">
      <c r="A22125" s="6"/>
      <c r="B22125" s="6"/>
      <c r="H22125" s="13"/>
    </row>
    <row r="22126">
      <c r="A22126" s="6"/>
      <c r="B22126" s="6"/>
      <c r="H22126" s="13"/>
    </row>
    <row r="22127">
      <c r="A22127" s="6"/>
      <c r="B22127" s="6"/>
      <c r="H22127" s="13"/>
    </row>
    <row r="22128">
      <c r="A22128" s="6"/>
      <c r="B22128" s="6"/>
      <c r="H22128" s="13"/>
    </row>
    <row r="22129">
      <c r="A22129" s="6"/>
      <c r="B22129" s="6"/>
      <c r="H22129" s="13"/>
    </row>
    <row r="22130">
      <c r="A22130" s="6"/>
      <c r="B22130" s="6"/>
      <c r="H22130" s="13"/>
    </row>
    <row r="22131">
      <c r="A22131" s="6"/>
      <c r="B22131" s="6"/>
      <c r="H22131" s="13"/>
    </row>
    <row r="22132">
      <c r="A22132" s="6"/>
      <c r="B22132" s="6"/>
      <c r="H22132" s="13"/>
    </row>
    <row r="22133">
      <c r="A22133" s="6"/>
      <c r="B22133" s="6"/>
      <c r="H22133" s="13"/>
    </row>
    <row r="22134">
      <c r="A22134" s="6"/>
      <c r="B22134" s="6"/>
      <c r="H22134" s="13"/>
    </row>
    <row r="22135">
      <c r="A22135" s="6"/>
      <c r="B22135" s="6"/>
      <c r="H22135" s="13"/>
    </row>
    <row r="22136">
      <c r="A22136" s="6"/>
      <c r="B22136" s="6"/>
      <c r="H22136" s="13"/>
    </row>
    <row r="22137">
      <c r="A22137" s="6"/>
      <c r="B22137" s="6"/>
      <c r="H22137" s="13"/>
    </row>
    <row r="22138">
      <c r="A22138" s="6"/>
      <c r="B22138" s="6"/>
      <c r="H22138" s="13"/>
    </row>
    <row r="22139">
      <c r="A22139" s="6"/>
      <c r="B22139" s="6"/>
      <c r="H22139" s="13"/>
    </row>
    <row r="22140">
      <c r="A22140" s="6"/>
      <c r="B22140" s="6"/>
      <c r="H22140" s="13"/>
    </row>
    <row r="22141">
      <c r="A22141" s="6"/>
      <c r="B22141" s="6"/>
      <c r="H22141" s="13"/>
    </row>
    <row r="22142">
      <c r="A22142" s="6"/>
      <c r="B22142" s="6"/>
      <c r="H22142" s="13"/>
    </row>
    <row r="22143">
      <c r="A22143" s="6"/>
      <c r="B22143" s="6"/>
      <c r="H22143" s="13"/>
    </row>
    <row r="22144">
      <c r="A22144" s="6"/>
      <c r="B22144" s="6"/>
      <c r="H22144" s="13"/>
    </row>
    <row r="22145">
      <c r="A22145" s="6"/>
      <c r="B22145" s="6"/>
      <c r="H22145" s="13"/>
    </row>
    <row r="22146">
      <c r="A22146" s="6"/>
      <c r="B22146" s="6"/>
      <c r="H22146" s="13"/>
    </row>
    <row r="22147">
      <c r="A22147" s="6"/>
      <c r="B22147" s="6"/>
      <c r="H22147" s="13"/>
    </row>
    <row r="22148">
      <c r="A22148" s="6"/>
      <c r="B22148" s="6"/>
      <c r="H22148" s="13"/>
    </row>
    <row r="22149">
      <c r="A22149" s="6"/>
      <c r="B22149" s="6"/>
      <c r="H22149" s="13"/>
    </row>
    <row r="22150">
      <c r="A22150" s="6"/>
      <c r="B22150" s="6"/>
      <c r="H22150" s="13"/>
    </row>
    <row r="22151">
      <c r="A22151" s="6"/>
      <c r="B22151" s="6"/>
      <c r="H22151" s="13"/>
    </row>
    <row r="22152">
      <c r="A22152" s="6"/>
      <c r="B22152" s="6"/>
      <c r="H22152" s="13"/>
    </row>
    <row r="22153">
      <c r="A22153" s="6"/>
      <c r="B22153" s="6"/>
      <c r="H22153" s="13"/>
    </row>
    <row r="22154">
      <c r="A22154" s="6"/>
      <c r="B22154" s="6"/>
      <c r="H22154" s="13"/>
    </row>
    <row r="22155">
      <c r="A22155" s="6"/>
      <c r="B22155" s="6"/>
      <c r="H22155" s="13"/>
    </row>
    <row r="22156">
      <c r="A22156" s="6"/>
      <c r="B22156" s="6"/>
      <c r="H22156" s="13"/>
    </row>
    <row r="22157">
      <c r="A22157" s="6"/>
      <c r="B22157" s="6"/>
      <c r="H22157" s="13"/>
    </row>
    <row r="22158">
      <c r="A22158" s="6"/>
      <c r="B22158" s="6"/>
      <c r="H22158" s="13"/>
    </row>
    <row r="22159">
      <c r="A22159" s="6"/>
      <c r="B22159" s="6"/>
      <c r="H22159" s="13"/>
    </row>
    <row r="22160">
      <c r="A22160" s="6"/>
      <c r="B22160" s="6"/>
      <c r="H22160" s="13"/>
    </row>
    <row r="22161">
      <c r="A22161" s="6"/>
      <c r="B22161" s="6"/>
      <c r="H22161" s="13"/>
    </row>
    <row r="22162">
      <c r="A22162" s="6"/>
      <c r="B22162" s="6"/>
      <c r="H22162" s="13"/>
    </row>
    <row r="22163">
      <c r="A22163" s="6"/>
      <c r="B22163" s="6"/>
      <c r="H22163" s="13"/>
    </row>
    <row r="22164">
      <c r="A22164" s="6"/>
      <c r="B22164" s="6"/>
      <c r="H22164" s="13"/>
    </row>
    <row r="22165">
      <c r="A22165" s="6"/>
      <c r="B22165" s="6"/>
      <c r="H22165" s="13"/>
    </row>
    <row r="22166">
      <c r="A22166" s="6"/>
      <c r="B22166" s="6"/>
      <c r="H22166" s="13"/>
    </row>
    <row r="22167">
      <c r="A22167" s="6"/>
      <c r="B22167" s="6"/>
      <c r="H22167" s="13"/>
    </row>
    <row r="22168">
      <c r="A22168" s="6"/>
      <c r="B22168" s="6"/>
      <c r="H22168" s="13"/>
    </row>
    <row r="22169">
      <c r="A22169" s="6"/>
      <c r="B22169" s="6"/>
      <c r="H22169" s="13"/>
    </row>
    <row r="22170">
      <c r="A22170" s="6"/>
      <c r="B22170" s="6"/>
      <c r="H22170" s="13"/>
    </row>
    <row r="22171">
      <c r="A22171" s="6"/>
      <c r="B22171" s="6"/>
      <c r="H22171" s="13"/>
    </row>
    <row r="22172">
      <c r="A22172" s="6"/>
      <c r="B22172" s="6"/>
      <c r="H22172" s="13"/>
    </row>
    <row r="22173">
      <c r="A22173" s="6"/>
      <c r="B22173" s="6"/>
      <c r="H22173" s="13"/>
    </row>
    <row r="22174">
      <c r="A22174" s="6"/>
      <c r="B22174" s="6"/>
      <c r="H22174" s="13"/>
    </row>
    <row r="22175">
      <c r="A22175" s="6"/>
      <c r="B22175" s="6"/>
      <c r="H22175" s="13"/>
    </row>
    <row r="22176">
      <c r="A22176" s="6"/>
      <c r="B22176" s="6"/>
      <c r="H22176" s="13"/>
    </row>
    <row r="22177">
      <c r="A22177" s="6"/>
      <c r="B22177" s="6"/>
      <c r="H22177" s="13"/>
    </row>
    <row r="22178">
      <c r="A22178" s="6"/>
      <c r="B22178" s="6"/>
      <c r="H22178" s="13"/>
    </row>
    <row r="22179">
      <c r="A22179" s="6"/>
      <c r="B22179" s="6"/>
      <c r="H22179" s="13"/>
    </row>
    <row r="22180">
      <c r="A22180" s="6"/>
      <c r="B22180" s="6"/>
      <c r="H22180" s="13"/>
    </row>
    <row r="22181">
      <c r="A22181" s="6"/>
      <c r="B22181" s="6"/>
      <c r="H22181" s="13"/>
    </row>
    <row r="22182">
      <c r="A22182" s="6"/>
      <c r="B22182" s="6"/>
      <c r="H22182" s="13"/>
    </row>
    <row r="22183">
      <c r="A22183" s="6"/>
      <c r="B22183" s="6"/>
      <c r="H22183" s="13"/>
    </row>
    <row r="22184">
      <c r="A22184" s="6"/>
      <c r="B22184" s="6"/>
      <c r="H22184" s="13"/>
    </row>
    <row r="22185">
      <c r="A22185" s="6"/>
      <c r="B22185" s="6"/>
      <c r="H22185" s="13"/>
    </row>
    <row r="22186">
      <c r="A22186" s="6"/>
      <c r="B22186" s="6"/>
      <c r="H22186" s="13"/>
    </row>
    <row r="22187">
      <c r="A22187" s="6"/>
      <c r="B22187" s="6"/>
      <c r="H22187" s="13"/>
    </row>
    <row r="22188">
      <c r="A22188" s="6"/>
      <c r="B22188" s="6"/>
      <c r="H22188" s="13"/>
    </row>
    <row r="22189">
      <c r="A22189" s="6"/>
      <c r="B22189" s="6"/>
      <c r="H22189" s="13"/>
    </row>
    <row r="22190">
      <c r="A22190" s="6"/>
      <c r="B22190" s="6"/>
      <c r="H22190" s="13"/>
    </row>
    <row r="22191">
      <c r="A22191" s="6"/>
      <c r="B22191" s="6"/>
      <c r="H22191" s="13"/>
    </row>
    <row r="22192">
      <c r="A22192" s="6"/>
      <c r="B22192" s="6"/>
      <c r="H22192" s="13"/>
    </row>
    <row r="22193">
      <c r="A22193" s="6"/>
      <c r="B22193" s="6"/>
      <c r="H22193" s="13"/>
    </row>
    <row r="22194">
      <c r="A22194" s="6"/>
      <c r="B22194" s="6"/>
      <c r="H22194" s="13"/>
    </row>
    <row r="22195">
      <c r="A22195" s="6"/>
      <c r="B22195" s="6"/>
      <c r="H22195" s="13"/>
    </row>
    <row r="22196">
      <c r="A22196" s="6"/>
      <c r="B22196" s="6"/>
      <c r="H22196" s="13"/>
    </row>
    <row r="22197">
      <c r="A22197" s="6"/>
      <c r="B22197" s="6"/>
      <c r="H22197" s="13"/>
    </row>
    <row r="22198">
      <c r="A22198" s="6"/>
      <c r="B22198" s="6"/>
      <c r="H22198" s="13"/>
    </row>
    <row r="22199">
      <c r="A22199" s="6"/>
      <c r="B22199" s="6"/>
      <c r="H22199" s="13"/>
    </row>
    <row r="22200">
      <c r="A22200" s="6"/>
      <c r="B22200" s="6"/>
      <c r="H22200" s="13"/>
    </row>
    <row r="22201">
      <c r="A22201" s="6"/>
      <c r="B22201" s="6"/>
      <c r="H22201" s="13"/>
    </row>
    <row r="22202">
      <c r="A22202" s="6"/>
      <c r="B22202" s="6"/>
      <c r="H22202" s="13"/>
    </row>
    <row r="22203">
      <c r="A22203" s="6"/>
      <c r="B22203" s="6"/>
      <c r="H22203" s="13"/>
    </row>
    <row r="22204">
      <c r="A22204" s="6"/>
      <c r="B22204" s="6"/>
      <c r="H22204" s="13"/>
    </row>
    <row r="22205">
      <c r="A22205" s="6"/>
      <c r="B22205" s="6"/>
      <c r="H22205" s="13"/>
    </row>
    <row r="22206">
      <c r="A22206" s="6"/>
      <c r="B22206" s="6"/>
      <c r="H22206" s="13"/>
    </row>
    <row r="22207">
      <c r="A22207" s="6"/>
      <c r="B22207" s="6"/>
      <c r="H22207" s="13"/>
    </row>
    <row r="22208">
      <c r="A22208" s="6"/>
      <c r="B22208" s="6"/>
      <c r="H22208" s="13"/>
    </row>
    <row r="22209">
      <c r="A22209" s="6"/>
      <c r="B22209" s="6"/>
      <c r="H22209" s="13"/>
    </row>
    <row r="22210">
      <c r="A22210" s="6"/>
      <c r="B22210" s="6"/>
      <c r="H22210" s="13"/>
    </row>
    <row r="22211">
      <c r="A22211" s="6"/>
      <c r="B22211" s="6"/>
      <c r="H22211" s="13"/>
    </row>
    <row r="22212">
      <c r="A22212" s="6"/>
      <c r="B22212" s="6"/>
      <c r="H22212" s="13"/>
    </row>
    <row r="22213">
      <c r="A22213" s="6"/>
      <c r="B22213" s="6"/>
      <c r="H22213" s="13"/>
    </row>
    <row r="22214">
      <c r="A22214" s="6"/>
      <c r="B22214" s="6"/>
      <c r="H22214" s="13"/>
    </row>
    <row r="22215">
      <c r="A22215" s="6"/>
      <c r="B22215" s="6"/>
      <c r="H22215" s="13"/>
    </row>
    <row r="22216">
      <c r="A22216" s="6"/>
      <c r="B22216" s="6"/>
      <c r="H22216" s="13"/>
    </row>
    <row r="22217">
      <c r="A22217" s="6"/>
      <c r="B22217" s="6"/>
      <c r="H22217" s="13"/>
    </row>
    <row r="22218">
      <c r="A22218" s="6"/>
      <c r="B22218" s="6"/>
      <c r="H22218" s="13"/>
    </row>
    <row r="22219">
      <c r="A22219" s="6"/>
      <c r="B22219" s="6"/>
      <c r="H22219" s="13"/>
    </row>
    <row r="22220">
      <c r="A22220" s="6"/>
      <c r="B22220" s="6"/>
      <c r="H22220" s="13"/>
    </row>
    <row r="22221">
      <c r="A22221" s="6"/>
      <c r="B22221" s="6"/>
      <c r="H22221" s="13"/>
    </row>
    <row r="22222">
      <c r="A22222" s="6"/>
      <c r="B22222" s="6"/>
      <c r="H22222" s="13"/>
    </row>
    <row r="22223">
      <c r="A22223" s="6"/>
      <c r="B22223" s="6"/>
      <c r="H22223" s="13"/>
    </row>
    <row r="22224">
      <c r="A22224" s="6"/>
      <c r="B22224" s="6"/>
      <c r="H22224" s="13"/>
    </row>
    <row r="22225">
      <c r="A22225" s="6"/>
      <c r="B22225" s="6"/>
      <c r="H22225" s="13"/>
    </row>
    <row r="22226">
      <c r="A22226" s="6"/>
      <c r="B22226" s="6"/>
      <c r="H22226" s="13"/>
    </row>
    <row r="22227">
      <c r="A22227" s="6"/>
      <c r="B22227" s="6"/>
      <c r="H22227" s="13"/>
    </row>
    <row r="22228">
      <c r="A22228" s="6"/>
      <c r="B22228" s="6"/>
      <c r="H22228" s="13"/>
    </row>
    <row r="22229">
      <c r="A22229" s="6"/>
      <c r="B22229" s="6"/>
      <c r="H22229" s="13"/>
    </row>
    <row r="22230">
      <c r="A22230" s="6"/>
      <c r="B22230" s="6"/>
      <c r="H22230" s="13"/>
    </row>
    <row r="22231">
      <c r="A22231" s="6"/>
      <c r="B22231" s="6"/>
      <c r="H22231" s="13"/>
    </row>
    <row r="22232">
      <c r="A22232" s="6"/>
      <c r="B22232" s="6"/>
      <c r="H22232" s="13"/>
    </row>
    <row r="22233">
      <c r="A22233" s="6"/>
      <c r="B22233" s="6"/>
      <c r="H22233" s="13"/>
    </row>
    <row r="22234">
      <c r="A22234" s="6"/>
      <c r="B22234" s="6"/>
      <c r="H22234" s="13"/>
    </row>
    <row r="22235">
      <c r="A22235" s="6"/>
      <c r="B22235" s="6"/>
      <c r="H22235" s="13"/>
    </row>
    <row r="22236">
      <c r="A22236" s="6"/>
      <c r="B22236" s="6"/>
      <c r="H22236" s="13"/>
    </row>
    <row r="22237">
      <c r="A22237" s="6"/>
      <c r="B22237" s="6"/>
      <c r="H22237" s="13"/>
    </row>
    <row r="22238">
      <c r="A22238" s="6"/>
      <c r="B22238" s="6"/>
      <c r="H22238" s="13"/>
    </row>
    <row r="22239">
      <c r="A22239" s="6"/>
      <c r="B22239" s="6"/>
      <c r="H22239" s="13"/>
    </row>
    <row r="22240">
      <c r="A22240" s="6"/>
      <c r="B22240" s="6"/>
      <c r="H22240" s="13"/>
    </row>
    <row r="22241">
      <c r="A22241" s="6"/>
      <c r="B22241" s="6"/>
      <c r="H22241" s="13"/>
    </row>
    <row r="22242">
      <c r="A22242" s="6"/>
      <c r="B22242" s="6"/>
      <c r="H22242" s="13"/>
    </row>
    <row r="22243">
      <c r="A22243" s="6"/>
      <c r="B22243" s="6"/>
      <c r="H22243" s="13"/>
    </row>
    <row r="22244">
      <c r="A22244" s="6"/>
      <c r="B22244" s="6"/>
      <c r="H22244" s="13"/>
    </row>
    <row r="22245">
      <c r="A22245" s="6"/>
      <c r="B22245" s="6"/>
      <c r="H22245" s="13"/>
    </row>
    <row r="22246">
      <c r="A22246" s="6"/>
      <c r="B22246" s="6"/>
      <c r="H22246" s="13"/>
    </row>
    <row r="22247">
      <c r="A22247" s="6"/>
      <c r="B22247" s="6"/>
      <c r="H22247" s="13"/>
    </row>
    <row r="22248">
      <c r="A22248" s="6"/>
      <c r="B22248" s="6"/>
      <c r="H22248" s="13"/>
    </row>
    <row r="22249">
      <c r="A22249" s="6"/>
      <c r="B22249" s="6"/>
      <c r="H22249" s="13"/>
    </row>
    <row r="22250">
      <c r="A22250" s="6"/>
      <c r="B22250" s="6"/>
      <c r="H22250" s="13"/>
    </row>
    <row r="22251">
      <c r="A22251" s="6"/>
      <c r="B22251" s="6"/>
      <c r="H22251" s="13"/>
    </row>
    <row r="22252">
      <c r="A22252" s="6"/>
      <c r="B22252" s="6"/>
      <c r="H22252" s="13"/>
    </row>
    <row r="22253">
      <c r="A22253" s="6"/>
      <c r="B22253" s="6"/>
      <c r="H22253" s="13"/>
    </row>
    <row r="22254">
      <c r="A22254" s="6"/>
      <c r="B22254" s="6"/>
      <c r="H22254" s="13"/>
    </row>
    <row r="22255">
      <c r="A22255" s="6"/>
      <c r="B22255" s="6"/>
      <c r="H22255" s="13"/>
    </row>
    <row r="22256">
      <c r="A22256" s="6"/>
      <c r="B22256" s="6"/>
      <c r="H22256" s="13"/>
    </row>
    <row r="22257">
      <c r="A22257" s="6"/>
      <c r="B22257" s="6"/>
      <c r="H22257" s="13"/>
    </row>
    <row r="22258">
      <c r="A22258" s="6"/>
      <c r="B22258" s="6"/>
      <c r="H22258" s="13"/>
    </row>
    <row r="22259">
      <c r="A22259" s="6"/>
      <c r="B22259" s="6"/>
      <c r="H22259" s="13"/>
    </row>
    <row r="22260">
      <c r="A22260" s="6"/>
      <c r="B22260" s="6"/>
      <c r="H22260" s="13"/>
    </row>
    <row r="22261">
      <c r="A22261" s="6"/>
      <c r="B22261" s="6"/>
      <c r="H22261" s="13"/>
    </row>
    <row r="22262">
      <c r="A22262" s="6"/>
      <c r="B22262" s="6"/>
      <c r="H22262" s="13"/>
    </row>
    <row r="22263">
      <c r="A22263" s="6"/>
      <c r="B22263" s="6"/>
      <c r="H22263" s="13"/>
    </row>
    <row r="22264">
      <c r="A22264" s="6"/>
      <c r="B22264" s="6"/>
      <c r="H22264" s="13"/>
    </row>
    <row r="22265">
      <c r="A22265" s="6"/>
      <c r="B22265" s="6"/>
      <c r="H22265" s="13"/>
    </row>
    <row r="22266">
      <c r="A22266" s="6"/>
      <c r="B22266" s="6"/>
      <c r="H22266" s="13"/>
    </row>
    <row r="22267">
      <c r="A22267" s="6"/>
      <c r="B22267" s="6"/>
      <c r="H22267" s="13"/>
    </row>
    <row r="22268">
      <c r="A22268" s="6"/>
      <c r="B22268" s="6"/>
      <c r="H22268" s="13"/>
    </row>
    <row r="22269">
      <c r="A22269" s="6"/>
      <c r="B22269" s="6"/>
      <c r="H22269" s="13"/>
    </row>
    <row r="22270">
      <c r="A22270" s="6"/>
      <c r="B22270" s="6"/>
      <c r="H22270" s="13"/>
    </row>
    <row r="22271">
      <c r="A22271" s="6"/>
      <c r="B22271" s="6"/>
      <c r="H22271" s="13"/>
    </row>
    <row r="22272">
      <c r="A22272" s="6"/>
      <c r="B22272" s="6"/>
      <c r="H22272" s="13"/>
    </row>
    <row r="22273">
      <c r="A22273" s="6"/>
      <c r="B22273" s="6"/>
      <c r="H22273" s="13"/>
    </row>
    <row r="22274">
      <c r="A22274" s="6"/>
      <c r="B22274" s="6"/>
      <c r="H22274" s="13"/>
    </row>
    <row r="22275">
      <c r="A22275" s="6"/>
      <c r="B22275" s="6"/>
      <c r="H22275" s="13"/>
    </row>
    <row r="22276">
      <c r="A22276" s="6"/>
      <c r="B22276" s="6"/>
      <c r="H22276" s="13"/>
    </row>
    <row r="22277">
      <c r="A22277" s="6"/>
      <c r="B22277" s="6"/>
      <c r="H22277" s="13"/>
    </row>
    <row r="22278">
      <c r="A22278" s="6"/>
      <c r="B22278" s="6"/>
      <c r="H22278" s="13"/>
    </row>
    <row r="22279">
      <c r="A22279" s="6"/>
      <c r="B22279" s="6"/>
      <c r="H22279" s="13"/>
    </row>
    <row r="22280">
      <c r="A22280" s="6"/>
      <c r="B22280" s="6"/>
      <c r="H22280" s="13"/>
    </row>
    <row r="22281">
      <c r="A22281" s="6"/>
      <c r="B22281" s="6"/>
      <c r="H22281" s="13"/>
    </row>
    <row r="22282">
      <c r="A22282" s="6"/>
      <c r="B22282" s="6"/>
      <c r="H22282" s="13"/>
    </row>
    <row r="22283">
      <c r="A22283" s="6"/>
      <c r="B22283" s="6"/>
      <c r="H22283" s="13"/>
    </row>
    <row r="22284">
      <c r="A22284" s="6"/>
      <c r="B22284" s="6"/>
      <c r="H22284" s="13"/>
    </row>
    <row r="22285">
      <c r="A22285" s="6"/>
      <c r="B22285" s="6"/>
      <c r="H22285" s="13"/>
    </row>
    <row r="22286">
      <c r="A22286" s="6"/>
      <c r="B22286" s="6"/>
      <c r="H22286" s="13"/>
    </row>
    <row r="22287">
      <c r="A22287" s="6"/>
      <c r="B22287" s="6"/>
      <c r="H22287" s="13"/>
    </row>
    <row r="22288">
      <c r="A22288" s="6"/>
      <c r="B22288" s="6"/>
      <c r="H22288" s="13"/>
    </row>
    <row r="22289">
      <c r="A22289" s="6"/>
      <c r="B22289" s="6"/>
      <c r="H22289" s="13"/>
    </row>
    <row r="22290">
      <c r="A22290" s="6"/>
      <c r="B22290" s="6"/>
      <c r="H22290" s="13"/>
    </row>
    <row r="22291">
      <c r="A22291" s="6"/>
      <c r="B22291" s="6"/>
      <c r="H22291" s="13"/>
    </row>
    <row r="22292">
      <c r="A22292" s="6"/>
      <c r="B22292" s="6"/>
      <c r="H22292" s="13"/>
    </row>
    <row r="22293">
      <c r="A22293" s="6"/>
      <c r="B22293" s="6"/>
      <c r="H22293" s="13"/>
    </row>
    <row r="22294">
      <c r="A22294" s="6"/>
      <c r="B22294" s="6"/>
      <c r="H22294" s="13"/>
    </row>
    <row r="22295">
      <c r="A22295" s="6"/>
      <c r="B22295" s="6"/>
      <c r="H22295" s="13"/>
    </row>
    <row r="22296">
      <c r="A22296" s="6"/>
      <c r="B22296" s="6"/>
      <c r="H22296" s="13"/>
    </row>
    <row r="22297">
      <c r="A22297" s="6"/>
      <c r="B22297" s="6"/>
      <c r="H22297" s="13"/>
    </row>
    <row r="22298">
      <c r="A22298" s="6"/>
      <c r="B22298" s="6"/>
      <c r="H22298" s="13"/>
    </row>
    <row r="22299">
      <c r="A22299" s="6"/>
      <c r="B22299" s="6"/>
      <c r="H22299" s="13"/>
    </row>
    <row r="22300">
      <c r="A22300" s="6"/>
      <c r="B22300" s="6"/>
      <c r="H22300" s="13"/>
    </row>
    <row r="22301">
      <c r="A22301" s="6"/>
      <c r="B22301" s="6"/>
      <c r="H22301" s="13"/>
    </row>
    <row r="22302">
      <c r="A22302" s="6"/>
      <c r="B22302" s="6"/>
      <c r="H22302" s="13"/>
    </row>
    <row r="22303">
      <c r="A22303" s="6"/>
      <c r="B22303" s="6"/>
      <c r="H22303" s="13"/>
    </row>
    <row r="22304">
      <c r="A22304" s="6"/>
      <c r="B22304" s="6"/>
      <c r="H22304" s="13"/>
    </row>
    <row r="22305">
      <c r="A22305" s="6"/>
      <c r="B22305" s="6"/>
      <c r="H22305" s="13"/>
    </row>
    <row r="22306">
      <c r="A22306" s="6"/>
      <c r="B22306" s="6"/>
      <c r="H22306" s="13"/>
    </row>
    <row r="22307">
      <c r="A22307" s="6"/>
      <c r="B22307" s="6"/>
      <c r="H22307" s="13"/>
    </row>
    <row r="22308">
      <c r="A22308" s="6"/>
      <c r="B22308" s="6"/>
      <c r="H22308" s="13"/>
    </row>
    <row r="22309">
      <c r="A22309" s="6"/>
      <c r="B22309" s="6"/>
      <c r="H22309" s="13"/>
    </row>
    <row r="22310">
      <c r="A22310" s="6"/>
      <c r="B22310" s="6"/>
      <c r="H22310" s="13"/>
    </row>
    <row r="22311">
      <c r="A22311" s="6"/>
      <c r="B22311" s="6"/>
      <c r="H22311" s="13"/>
    </row>
    <row r="22312">
      <c r="A22312" s="6"/>
      <c r="B22312" s="6"/>
      <c r="H22312" s="13"/>
    </row>
    <row r="22313">
      <c r="A22313" s="6"/>
      <c r="B22313" s="6"/>
      <c r="H22313" s="13"/>
    </row>
    <row r="22314">
      <c r="A22314" s="6"/>
      <c r="B22314" s="6"/>
      <c r="H22314" s="13"/>
    </row>
    <row r="22315">
      <c r="A22315" s="6"/>
      <c r="B22315" s="6"/>
      <c r="H22315" s="13"/>
    </row>
    <row r="22316">
      <c r="A22316" s="6"/>
      <c r="B22316" s="6"/>
      <c r="H22316" s="13"/>
    </row>
    <row r="22317">
      <c r="A22317" s="6"/>
      <c r="B22317" s="6"/>
      <c r="H22317" s="13"/>
    </row>
    <row r="22318">
      <c r="A22318" s="6"/>
      <c r="B22318" s="6"/>
      <c r="H22318" s="13"/>
    </row>
    <row r="22319">
      <c r="A22319" s="6"/>
      <c r="B22319" s="6"/>
      <c r="H22319" s="13"/>
    </row>
    <row r="22320">
      <c r="A22320" s="6"/>
      <c r="B22320" s="6"/>
      <c r="H22320" s="13"/>
    </row>
    <row r="22321">
      <c r="A22321" s="6"/>
      <c r="B22321" s="6"/>
      <c r="H22321" s="13"/>
    </row>
    <row r="22322">
      <c r="A22322" s="6"/>
      <c r="B22322" s="6"/>
      <c r="H22322" s="13"/>
    </row>
    <row r="22323">
      <c r="A22323" s="6"/>
      <c r="B22323" s="6"/>
      <c r="H22323" s="13"/>
    </row>
    <row r="22324">
      <c r="A22324" s="6"/>
      <c r="B22324" s="6"/>
      <c r="H22324" s="13"/>
    </row>
    <row r="22325">
      <c r="A22325" s="6"/>
      <c r="B22325" s="6"/>
      <c r="H22325" s="13"/>
    </row>
    <row r="22326">
      <c r="A22326" s="6"/>
      <c r="B22326" s="6"/>
      <c r="H22326" s="13"/>
    </row>
    <row r="22327">
      <c r="A22327" s="6"/>
      <c r="B22327" s="6"/>
      <c r="H22327" s="13"/>
    </row>
    <row r="22328">
      <c r="A22328" s="6"/>
      <c r="B22328" s="6"/>
      <c r="H22328" s="13"/>
    </row>
    <row r="22329">
      <c r="A22329" s="6"/>
      <c r="B22329" s="6"/>
      <c r="H22329" s="13"/>
    </row>
    <row r="22330">
      <c r="A22330" s="6"/>
      <c r="B22330" s="6"/>
      <c r="H22330" s="13"/>
    </row>
    <row r="22331">
      <c r="A22331" s="6"/>
      <c r="B22331" s="6"/>
      <c r="H22331" s="13"/>
    </row>
    <row r="22332">
      <c r="A22332" s="6"/>
      <c r="B22332" s="6"/>
      <c r="H22332" s="13"/>
    </row>
    <row r="22333">
      <c r="A22333" s="6"/>
      <c r="B22333" s="6"/>
      <c r="H22333" s="13"/>
    </row>
    <row r="22334">
      <c r="A22334" s="6"/>
      <c r="B22334" s="6"/>
      <c r="H22334" s="13"/>
    </row>
    <row r="22335">
      <c r="A22335" s="6"/>
      <c r="B22335" s="6"/>
      <c r="H22335" s="13"/>
    </row>
    <row r="22336">
      <c r="A22336" s="6"/>
      <c r="B22336" s="6"/>
      <c r="H22336" s="13"/>
    </row>
    <row r="22337">
      <c r="A22337" s="6"/>
      <c r="B22337" s="6"/>
      <c r="H22337" s="13"/>
    </row>
    <row r="22338">
      <c r="A22338" s="6"/>
      <c r="B22338" s="6"/>
      <c r="H22338" s="13"/>
    </row>
    <row r="22339">
      <c r="A22339" s="6"/>
      <c r="B22339" s="6"/>
      <c r="H22339" s="13"/>
    </row>
    <row r="22340">
      <c r="A22340" s="6"/>
      <c r="B22340" s="6"/>
      <c r="H22340" s="13"/>
    </row>
    <row r="22341">
      <c r="A22341" s="6"/>
      <c r="B22341" s="6"/>
      <c r="H22341" s="13"/>
    </row>
    <row r="22342">
      <c r="A22342" s="6"/>
      <c r="B22342" s="6"/>
      <c r="H22342" s="13"/>
    </row>
    <row r="22343">
      <c r="A22343" s="6"/>
      <c r="B22343" s="6"/>
      <c r="H22343" s="13"/>
    </row>
    <row r="22344">
      <c r="A22344" s="6"/>
      <c r="B22344" s="6"/>
      <c r="H22344" s="13"/>
    </row>
    <row r="22345">
      <c r="A22345" s="6"/>
      <c r="B22345" s="6"/>
      <c r="H22345" s="13"/>
    </row>
    <row r="22346">
      <c r="A22346" s="6"/>
      <c r="B22346" s="6"/>
      <c r="H22346" s="13"/>
    </row>
    <row r="22347">
      <c r="A22347" s="6"/>
      <c r="B22347" s="6"/>
      <c r="H22347" s="13"/>
    </row>
    <row r="22348">
      <c r="A22348" s="6"/>
      <c r="B22348" s="6"/>
      <c r="H22348" s="13"/>
    </row>
    <row r="22349">
      <c r="A22349" s="6"/>
      <c r="B22349" s="6"/>
      <c r="H22349" s="13"/>
    </row>
    <row r="22350">
      <c r="A22350" s="6"/>
      <c r="B22350" s="6"/>
      <c r="H22350" s="13"/>
    </row>
    <row r="22351">
      <c r="A22351" s="6"/>
      <c r="B22351" s="6"/>
      <c r="H22351" s="13"/>
    </row>
    <row r="22352">
      <c r="A22352" s="6"/>
      <c r="B22352" s="6"/>
      <c r="H22352" s="13"/>
    </row>
    <row r="22353">
      <c r="A22353" s="6"/>
      <c r="B22353" s="6"/>
      <c r="H22353" s="13"/>
    </row>
    <row r="22354">
      <c r="A22354" s="6"/>
      <c r="B22354" s="6"/>
      <c r="H22354" s="13"/>
    </row>
    <row r="22355">
      <c r="A22355" s="6"/>
      <c r="B22355" s="6"/>
      <c r="H22355" s="13"/>
    </row>
    <row r="22356">
      <c r="A22356" s="6"/>
      <c r="B22356" s="6"/>
      <c r="H22356" s="13"/>
    </row>
    <row r="22357">
      <c r="A22357" s="6"/>
      <c r="B22357" s="6"/>
      <c r="H22357" s="13"/>
    </row>
    <row r="22358">
      <c r="A22358" s="6"/>
      <c r="B22358" s="6"/>
      <c r="H22358" s="13"/>
    </row>
    <row r="22359">
      <c r="A22359" s="6"/>
      <c r="B22359" s="6"/>
      <c r="H22359" s="13"/>
    </row>
    <row r="22360">
      <c r="A22360" s="6"/>
      <c r="B22360" s="6"/>
      <c r="H22360" s="13"/>
    </row>
    <row r="22361">
      <c r="A22361" s="6"/>
      <c r="B22361" s="6"/>
      <c r="H22361" s="13"/>
    </row>
    <row r="22362">
      <c r="A22362" s="6"/>
      <c r="B22362" s="6"/>
      <c r="H22362" s="13"/>
    </row>
    <row r="22363">
      <c r="A22363" s="6"/>
      <c r="B22363" s="6"/>
      <c r="H22363" s="13"/>
    </row>
    <row r="22364">
      <c r="A22364" s="6"/>
      <c r="B22364" s="6"/>
      <c r="H22364" s="13"/>
    </row>
    <row r="22365">
      <c r="A22365" s="6"/>
      <c r="B22365" s="6"/>
      <c r="H22365" s="13"/>
    </row>
    <row r="22366">
      <c r="A22366" s="6"/>
      <c r="B22366" s="6"/>
      <c r="H22366" s="13"/>
    </row>
    <row r="22367">
      <c r="A22367" s="6"/>
      <c r="B22367" s="6"/>
      <c r="H22367" s="13"/>
    </row>
    <row r="22368">
      <c r="A22368" s="6"/>
      <c r="B22368" s="6"/>
      <c r="H22368" s="13"/>
    </row>
    <row r="22369">
      <c r="A22369" s="6"/>
      <c r="B22369" s="6"/>
      <c r="H22369" s="13"/>
    </row>
    <row r="22370">
      <c r="A22370" s="6"/>
      <c r="B22370" s="6"/>
      <c r="H22370" s="13"/>
    </row>
    <row r="22371">
      <c r="A22371" s="6"/>
      <c r="B22371" s="6"/>
      <c r="H22371" s="13"/>
    </row>
    <row r="22372">
      <c r="A22372" s="6"/>
      <c r="B22372" s="6"/>
      <c r="H22372" s="13"/>
    </row>
    <row r="22373">
      <c r="A22373" s="6"/>
      <c r="B22373" s="6"/>
      <c r="H22373" s="13"/>
    </row>
    <row r="22374">
      <c r="A22374" s="6"/>
      <c r="B22374" s="6"/>
      <c r="H22374" s="13"/>
    </row>
    <row r="22375">
      <c r="A22375" s="6"/>
      <c r="B22375" s="6"/>
      <c r="H22375" s="13"/>
    </row>
    <row r="22376">
      <c r="A22376" s="6"/>
      <c r="B22376" s="6"/>
      <c r="H22376" s="13"/>
    </row>
    <row r="22377">
      <c r="A22377" s="6"/>
      <c r="B22377" s="6"/>
      <c r="H22377" s="13"/>
    </row>
    <row r="22378">
      <c r="A22378" s="6"/>
      <c r="B22378" s="6"/>
      <c r="H22378" s="13"/>
    </row>
    <row r="22379">
      <c r="A22379" s="6"/>
      <c r="B22379" s="6"/>
      <c r="H22379" s="13"/>
    </row>
    <row r="22380">
      <c r="A22380" s="6"/>
      <c r="B22380" s="6"/>
      <c r="H22380" s="13"/>
    </row>
    <row r="22381">
      <c r="A22381" s="6"/>
      <c r="B22381" s="6"/>
      <c r="H22381" s="13"/>
    </row>
    <row r="22382">
      <c r="A22382" s="6"/>
      <c r="B22382" s="6"/>
      <c r="H22382" s="13"/>
    </row>
    <row r="22383">
      <c r="A22383" s="6"/>
      <c r="B22383" s="6"/>
      <c r="H22383" s="13"/>
    </row>
    <row r="22384">
      <c r="A22384" s="6"/>
      <c r="B22384" s="6"/>
      <c r="H22384" s="13"/>
    </row>
    <row r="22385">
      <c r="A22385" s="6"/>
      <c r="B22385" s="6"/>
      <c r="H22385" s="13"/>
    </row>
    <row r="22386">
      <c r="A22386" s="6"/>
      <c r="B22386" s="6"/>
      <c r="H22386" s="13"/>
    </row>
    <row r="22387">
      <c r="A22387" s="6"/>
      <c r="B22387" s="6"/>
      <c r="H22387" s="13"/>
    </row>
    <row r="22388">
      <c r="A22388" s="6"/>
      <c r="B22388" s="6"/>
      <c r="H22388" s="13"/>
    </row>
    <row r="22389">
      <c r="A22389" s="6"/>
      <c r="B22389" s="6"/>
      <c r="H22389" s="13"/>
    </row>
    <row r="22390">
      <c r="A22390" s="6"/>
      <c r="B22390" s="6"/>
      <c r="H22390" s="13"/>
    </row>
    <row r="22391">
      <c r="A22391" s="6"/>
      <c r="B22391" s="6"/>
      <c r="H22391" s="13"/>
    </row>
    <row r="22392">
      <c r="A22392" s="6"/>
      <c r="B22392" s="6"/>
      <c r="H22392" s="13"/>
    </row>
    <row r="22393">
      <c r="A22393" s="6"/>
      <c r="B22393" s="6"/>
      <c r="H22393" s="13"/>
    </row>
    <row r="22394">
      <c r="A22394" s="6"/>
      <c r="B22394" s="6"/>
      <c r="H22394" s="13"/>
    </row>
    <row r="22395">
      <c r="A22395" s="6"/>
      <c r="B22395" s="6"/>
      <c r="H22395" s="13"/>
    </row>
    <row r="22396">
      <c r="A22396" s="6"/>
      <c r="B22396" s="6"/>
      <c r="H22396" s="13"/>
    </row>
    <row r="22397">
      <c r="A22397" s="6"/>
      <c r="B22397" s="6"/>
      <c r="H22397" s="13"/>
    </row>
    <row r="22398">
      <c r="A22398" s="6"/>
      <c r="B22398" s="6"/>
      <c r="H22398" s="13"/>
    </row>
    <row r="22399">
      <c r="A22399" s="6"/>
      <c r="B22399" s="6"/>
      <c r="H22399" s="13"/>
    </row>
    <row r="22400">
      <c r="A22400" s="6"/>
      <c r="B22400" s="6"/>
      <c r="H22400" s="13"/>
    </row>
    <row r="22401">
      <c r="A22401" s="6"/>
      <c r="B22401" s="6"/>
      <c r="H22401" s="13"/>
    </row>
    <row r="22402">
      <c r="A22402" s="6"/>
      <c r="B22402" s="6"/>
      <c r="H22402" s="13"/>
    </row>
    <row r="22403">
      <c r="A22403" s="6"/>
      <c r="B22403" s="6"/>
      <c r="H22403" s="13"/>
    </row>
    <row r="22404">
      <c r="A22404" s="6"/>
      <c r="B22404" s="6"/>
      <c r="H22404" s="13"/>
    </row>
    <row r="22405">
      <c r="A22405" s="6"/>
      <c r="B22405" s="6"/>
      <c r="H22405" s="13"/>
    </row>
    <row r="22406">
      <c r="A22406" s="6"/>
      <c r="B22406" s="6"/>
      <c r="H22406" s="13"/>
    </row>
    <row r="22407">
      <c r="A22407" s="6"/>
      <c r="B22407" s="6"/>
      <c r="H22407" s="13"/>
    </row>
    <row r="22408">
      <c r="A22408" s="6"/>
      <c r="B22408" s="6"/>
      <c r="H22408" s="13"/>
    </row>
    <row r="22409">
      <c r="A22409" s="6"/>
      <c r="B22409" s="6"/>
      <c r="H22409" s="13"/>
    </row>
    <row r="22410">
      <c r="A22410" s="6"/>
      <c r="B22410" s="6"/>
      <c r="H22410" s="13"/>
    </row>
    <row r="22411">
      <c r="A22411" s="6"/>
      <c r="B22411" s="6"/>
      <c r="H22411" s="13"/>
    </row>
    <row r="22412">
      <c r="A22412" s="6"/>
      <c r="B22412" s="6"/>
      <c r="H22412" s="13"/>
    </row>
    <row r="22413">
      <c r="A22413" s="6"/>
      <c r="B22413" s="6"/>
      <c r="H22413" s="13"/>
    </row>
    <row r="22414">
      <c r="A22414" s="6"/>
      <c r="B22414" s="6"/>
      <c r="H22414" s="13"/>
    </row>
    <row r="22415">
      <c r="A22415" s="6"/>
      <c r="B22415" s="6"/>
      <c r="H22415" s="13"/>
    </row>
    <row r="22416">
      <c r="A22416" s="6"/>
      <c r="B22416" s="6"/>
      <c r="H22416" s="13"/>
    </row>
    <row r="22417">
      <c r="A22417" s="6"/>
      <c r="B22417" s="6"/>
      <c r="H22417" s="13"/>
    </row>
    <row r="22418">
      <c r="A22418" s="6"/>
      <c r="B22418" s="6"/>
      <c r="H22418" s="13"/>
    </row>
    <row r="22419">
      <c r="A22419" s="6"/>
      <c r="B22419" s="6"/>
      <c r="H22419" s="13"/>
    </row>
    <row r="22420">
      <c r="A22420" s="6"/>
      <c r="B22420" s="6"/>
      <c r="H22420" s="13"/>
    </row>
    <row r="22421">
      <c r="A22421" s="6"/>
      <c r="B22421" s="6"/>
      <c r="H22421" s="13"/>
    </row>
    <row r="22422">
      <c r="A22422" s="6"/>
      <c r="B22422" s="6"/>
      <c r="H22422" s="13"/>
    </row>
    <row r="22423">
      <c r="A22423" s="6"/>
      <c r="B22423" s="6"/>
      <c r="H22423" s="13"/>
    </row>
    <row r="22424">
      <c r="A22424" s="6"/>
      <c r="B22424" s="6"/>
      <c r="H22424" s="13"/>
    </row>
    <row r="22425">
      <c r="A22425" s="6"/>
      <c r="B22425" s="6"/>
      <c r="H22425" s="13"/>
    </row>
    <row r="22426">
      <c r="A22426" s="6"/>
      <c r="B22426" s="6"/>
      <c r="H22426" s="13"/>
    </row>
    <row r="22427">
      <c r="A22427" s="6"/>
      <c r="B22427" s="6"/>
      <c r="H22427" s="13"/>
    </row>
    <row r="22428">
      <c r="A22428" s="6"/>
      <c r="B22428" s="6"/>
      <c r="H22428" s="13"/>
    </row>
    <row r="22429">
      <c r="A22429" s="6"/>
      <c r="B22429" s="6"/>
      <c r="H22429" s="13"/>
    </row>
    <row r="22430">
      <c r="A22430" s="6"/>
      <c r="B22430" s="6"/>
      <c r="H22430" s="13"/>
    </row>
    <row r="22431">
      <c r="A22431" s="6"/>
      <c r="B22431" s="6"/>
      <c r="H22431" s="13"/>
    </row>
    <row r="22432">
      <c r="A22432" s="6"/>
      <c r="B22432" s="6"/>
      <c r="H22432" s="13"/>
    </row>
    <row r="22433">
      <c r="A22433" s="6"/>
      <c r="B22433" s="6"/>
      <c r="H22433" s="13"/>
    </row>
    <row r="22434">
      <c r="A22434" s="6"/>
      <c r="B22434" s="6"/>
      <c r="H22434" s="13"/>
    </row>
    <row r="22435">
      <c r="A22435" s="6"/>
      <c r="B22435" s="6"/>
      <c r="H22435" s="13"/>
    </row>
    <row r="22436">
      <c r="A22436" s="6"/>
      <c r="B22436" s="6"/>
      <c r="H22436" s="13"/>
    </row>
    <row r="22437">
      <c r="A22437" s="6"/>
      <c r="B22437" s="6"/>
      <c r="H22437" s="13"/>
    </row>
    <row r="22438">
      <c r="A22438" s="6"/>
      <c r="B22438" s="6"/>
      <c r="H22438" s="13"/>
    </row>
    <row r="22439">
      <c r="A22439" s="6"/>
      <c r="B22439" s="6"/>
      <c r="H22439" s="13"/>
    </row>
    <row r="22440">
      <c r="A22440" s="6"/>
      <c r="B22440" s="6"/>
      <c r="H22440" s="13"/>
    </row>
    <row r="22441">
      <c r="A22441" s="6"/>
      <c r="B22441" s="6"/>
      <c r="H22441" s="13"/>
    </row>
    <row r="22442">
      <c r="A22442" s="6"/>
      <c r="B22442" s="6"/>
      <c r="H22442" s="13"/>
    </row>
    <row r="22443">
      <c r="A22443" s="6"/>
      <c r="B22443" s="6"/>
      <c r="H22443" s="13"/>
    </row>
    <row r="22444">
      <c r="A22444" s="6"/>
      <c r="B22444" s="6"/>
      <c r="H22444" s="13"/>
    </row>
    <row r="22445">
      <c r="A22445" s="6"/>
      <c r="B22445" s="6"/>
      <c r="H22445" s="13"/>
    </row>
    <row r="22446">
      <c r="A22446" s="6"/>
      <c r="B22446" s="6"/>
      <c r="H22446" s="13"/>
    </row>
    <row r="22447">
      <c r="A22447" s="6"/>
      <c r="B22447" s="6"/>
      <c r="H22447" s="13"/>
    </row>
    <row r="22448">
      <c r="A22448" s="6"/>
      <c r="B22448" s="6"/>
      <c r="H22448" s="13"/>
    </row>
    <row r="22449">
      <c r="A22449" s="6"/>
      <c r="B22449" s="6"/>
      <c r="H22449" s="13"/>
    </row>
    <row r="22450">
      <c r="A22450" s="6"/>
      <c r="B22450" s="6"/>
      <c r="H22450" s="13"/>
    </row>
    <row r="22451">
      <c r="A22451" s="6"/>
      <c r="B22451" s="6"/>
      <c r="H22451" s="13"/>
    </row>
    <row r="22452">
      <c r="A22452" s="6"/>
      <c r="B22452" s="6"/>
      <c r="H22452" s="13"/>
    </row>
    <row r="22453">
      <c r="A22453" s="6"/>
      <c r="B22453" s="6"/>
      <c r="H22453" s="13"/>
    </row>
    <row r="22454">
      <c r="A22454" s="6"/>
      <c r="B22454" s="6"/>
      <c r="H22454" s="13"/>
    </row>
    <row r="22455">
      <c r="A22455" s="6"/>
      <c r="B22455" s="6"/>
      <c r="H22455" s="13"/>
    </row>
    <row r="22456">
      <c r="A22456" s="6"/>
      <c r="B22456" s="6"/>
      <c r="H22456" s="13"/>
    </row>
    <row r="22457">
      <c r="A22457" s="6"/>
      <c r="B22457" s="6"/>
      <c r="H22457" s="13"/>
    </row>
    <row r="22458">
      <c r="A22458" s="6"/>
      <c r="B22458" s="6"/>
      <c r="H22458" s="13"/>
    </row>
    <row r="22459">
      <c r="A22459" s="6"/>
      <c r="B22459" s="6"/>
      <c r="H22459" s="13"/>
    </row>
    <row r="22460">
      <c r="A22460" s="6"/>
      <c r="B22460" s="6"/>
      <c r="H22460" s="13"/>
    </row>
    <row r="22461">
      <c r="A22461" s="6"/>
      <c r="B22461" s="6"/>
      <c r="H22461" s="13"/>
    </row>
    <row r="22462">
      <c r="A22462" s="6"/>
      <c r="B22462" s="6"/>
      <c r="H22462" s="13"/>
    </row>
    <row r="22463">
      <c r="A22463" s="6"/>
      <c r="B22463" s="6"/>
      <c r="H22463" s="13"/>
    </row>
    <row r="22464">
      <c r="A22464" s="6"/>
      <c r="B22464" s="6"/>
      <c r="H22464" s="13"/>
    </row>
    <row r="22465">
      <c r="A22465" s="6"/>
      <c r="B22465" s="6"/>
      <c r="H22465" s="13"/>
    </row>
    <row r="22466">
      <c r="A22466" s="6"/>
      <c r="B22466" s="6"/>
      <c r="H22466" s="13"/>
    </row>
    <row r="22467">
      <c r="A22467" s="6"/>
      <c r="B22467" s="6"/>
      <c r="H22467" s="13"/>
    </row>
    <row r="22468">
      <c r="A22468" s="6"/>
      <c r="B22468" s="6"/>
      <c r="H22468" s="13"/>
    </row>
    <row r="22469">
      <c r="A22469" s="6"/>
      <c r="B22469" s="6"/>
      <c r="H22469" s="13"/>
    </row>
    <row r="22470">
      <c r="A22470" s="6"/>
      <c r="B22470" s="6"/>
      <c r="H22470" s="13"/>
    </row>
    <row r="22471">
      <c r="A22471" s="6"/>
      <c r="B22471" s="6"/>
      <c r="H22471" s="13"/>
    </row>
    <row r="22472">
      <c r="A22472" s="6"/>
      <c r="B22472" s="6"/>
      <c r="H22472" s="13"/>
    </row>
    <row r="22473">
      <c r="A22473" s="6"/>
      <c r="B22473" s="6"/>
      <c r="H22473" s="13"/>
    </row>
    <row r="22474">
      <c r="A22474" s="6"/>
      <c r="B22474" s="6"/>
      <c r="H22474" s="13"/>
    </row>
    <row r="22475">
      <c r="A22475" s="6"/>
      <c r="B22475" s="6"/>
      <c r="H22475" s="13"/>
    </row>
    <row r="22476">
      <c r="A22476" s="6"/>
      <c r="B22476" s="6"/>
      <c r="H22476" s="13"/>
    </row>
    <row r="22477">
      <c r="A22477" s="6"/>
      <c r="B22477" s="6"/>
      <c r="H22477" s="13"/>
    </row>
    <row r="22478">
      <c r="A22478" s="6"/>
      <c r="B22478" s="6"/>
      <c r="H22478" s="13"/>
    </row>
    <row r="22479">
      <c r="A22479" s="6"/>
      <c r="B22479" s="6"/>
      <c r="H22479" s="13"/>
    </row>
    <row r="22480">
      <c r="A22480" s="6"/>
      <c r="B22480" s="6"/>
      <c r="H22480" s="13"/>
    </row>
    <row r="22481">
      <c r="A22481" s="6"/>
      <c r="B22481" s="6"/>
      <c r="H22481" s="13"/>
    </row>
    <row r="22482">
      <c r="A22482" s="6"/>
      <c r="B22482" s="6"/>
      <c r="H22482" s="13"/>
    </row>
    <row r="22483">
      <c r="A22483" s="6"/>
      <c r="B22483" s="6"/>
      <c r="H22483" s="13"/>
    </row>
    <row r="22484">
      <c r="A22484" s="6"/>
      <c r="B22484" s="6"/>
      <c r="H22484" s="13"/>
    </row>
    <row r="22485">
      <c r="A22485" s="6"/>
      <c r="B22485" s="6"/>
      <c r="H22485" s="13"/>
    </row>
    <row r="22486">
      <c r="A22486" s="6"/>
      <c r="B22486" s="6"/>
      <c r="H22486" s="13"/>
    </row>
    <row r="22487">
      <c r="A22487" s="6"/>
      <c r="B22487" s="6"/>
      <c r="H22487" s="13"/>
    </row>
    <row r="22488">
      <c r="A22488" s="6"/>
      <c r="B22488" s="6"/>
      <c r="H22488" s="13"/>
    </row>
    <row r="22489">
      <c r="A22489" s="6"/>
      <c r="B22489" s="6"/>
      <c r="H22489" s="13"/>
    </row>
    <row r="22490">
      <c r="A22490" s="6"/>
      <c r="B22490" s="6"/>
      <c r="H22490" s="13"/>
    </row>
    <row r="22491">
      <c r="A22491" s="6"/>
      <c r="B22491" s="6"/>
      <c r="H22491" s="13"/>
    </row>
    <row r="22492">
      <c r="A22492" s="6"/>
      <c r="B22492" s="6"/>
      <c r="H22492" s="13"/>
    </row>
    <row r="22493">
      <c r="A22493" s="6"/>
      <c r="B22493" s="6"/>
      <c r="H22493" s="13"/>
    </row>
    <row r="22494">
      <c r="A22494" s="6"/>
      <c r="B22494" s="6"/>
      <c r="H22494" s="13"/>
    </row>
    <row r="22495">
      <c r="A22495" s="6"/>
      <c r="B22495" s="6"/>
      <c r="H22495" s="13"/>
    </row>
    <row r="22496">
      <c r="A22496" s="6"/>
      <c r="B22496" s="6"/>
      <c r="H22496" s="13"/>
    </row>
    <row r="22497">
      <c r="A22497" s="6"/>
      <c r="B22497" s="6"/>
      <c r="H22497" s="13"/>
    </row>
    <row r="22498">
      <c r="A22498" s="6"/>
      <c r="B22498" s="6"/>
      <c r="H22498" s="13"/>
    </row>
    <row r="22499">
      <c r="A22499" s="6"/>
      <c r="B22499" s="6"/>
      <c r="H22499" s="13"/>
    </row>
    <row r="22500">
      <c r="A22500" s="6"/>
      <c r="B22500" s="6"/>
      <c r="H22500" s="13"/>
    </row>
    <row r="22501">
      <c r="A22501" s="6"/>
      <c r="B22501" s="6"/>
      <c r="H22501" s="13"/>
    </row>
    <row r="22502">
      <c r="A22502" s="6"/>
      <c r="B22502" s="6"/>
      <c r="H22502" s="13"/>
    </row>
    <row r="22503">
      <c r="A22503" s="6"/>
      <c r="B22503" s="6"/>
      <c r="H22503" s="13"/>
    </row>
    <row r="22504">
      <c r="A22504" s="6"/>
      <c r="B22504" s="6"/>
      <c r="H22504" s="13"/>
    </row>
    <row r="22505">
      <c r="A22505" s="6"/>
      <c r="B22505" s="6"/>
      <c r="H22505" s="13"/>
    </row>
    <row r="22506">
      <c r="A22506" s="6"/>
      <c r="B22506" s="6"/>
      <c r="H22506" s="13"/>
    </row>
    <row r="22507">
      <c r="A22507" s="6"/>
      <c r="B22507" s="6"/>
      <c r="H22507" s="13"/>
    </row>
    <row r="22508">
      <c r="A22508" s="6"/>
      <c r="B22508" s="6"/>
      <c r="H22508" s="13"/>
    </row>
    <row r="22509">
      <c r="A22509" s="6"/>
      <c r="B22509" s="6"/>
      <c r="H22509" s="13"/>
    </row>
    <row r="22510">
      <c r="A22510" s="6"/>
      <c r="B22510" s="6"/>
      <c r="H22510" s="13"/>
    </row>
    <row r="22511">
      <c r="A22511" s="6"/>
      <c r="B22511" s="6"/>
      <c r="H22511" s="13"/>
    </row>
    <row r="22512">
      <c r="A22512" s="6"/>
      <c r="B22512" s="6"/>
      <c r="H22512" s="13"/>
    </row>
    <row r="22513">
      <c r="A22513" s="6"/>
      <c r="B22513" s="6"/>
      <c r="H22513" s="13"/>
    </row>
    <row r="22514">
      <c r="A22514" s="6"/>
      <c r="B22514" s="6"/>
      <c r="H22514" s="13"/>
    </row>
    <row r="22515">
      <c r="A22515" s="6"/>
      <c r="B22515" s="6"/>
      <c r="H22515" s="13"/>
    </row>
    <row r="22516">
      <c r="A22516" s="6"/>
      <c r="B22516" s="6"/>
      <c r="H22516" s="13"/>
    </row>
    <row r="22517">
      <c r="A22517" s="6"/>
      <c r="B22517" s="6"/>
      <c r="H22517" s="13"/>
    </row>
    <row r="22518">
      <c r="A22518" s="6"/>
      <c r="B22518" s="6"/>
      <c r="H22518" s="13"/>
    </row>
    <row r="22519">
      <c r="A22519" s="6"/>
      <c r="B22519" s="6"/>
      <c r="H22519" s="13"/>
    </row>
    <row r="22520">
      <c r="A22520" s="6"/>
      <c r="B22520" s="6"/>
      <c r="H22520" s="13"/>
    </row>
    <row r="22521">
      <c r="A22521" s="6"/>
      <c r="B22521" s="6"/>
      <c r="H22521" s="13"/>
    </row>
    <row r="22522">
      <c r="A22522" s="6"/>
      <c r="B22522" s="6"/>
      <c r="H22522" s="13"/>
    </row>
    <row r="22523">
      <c r="A22523" s="6"/>
      <c r="B22523" s="6"/>
      <c r="H22523" s="13"/>
    </row>
    <row r="22524">
      <c r="A22524" s="6"/>
      <c r="B22524" s="6"/>
      <c r="H22524" s="13"/>
    </row>
    <row r="22525">
      <c r="A22525" s="6"/>
      <c r="B22525" s="6"/>
      <c r="H22525" s="13"/>
    </row>
    <row r="22526">
      <c r="A22526" s="6"/>
      <c r="B22526" s="6"/>
      <c r="H22526" s="13"/>
    </row>
    <row r="22527">
      <c r="A22527" s="6"/>
      <c r="B22527" s="6"/>
      <c r="H22527" s="13"/>
    </row>
    <row r="22528">
      <c r="A22528" s="6"/>
      <c r="B22528" s="6"/>
      <c r="H22528" s="13"/>
    </row>
    <row r="22529">
      <c r="A22529" s="6"/>
      <c r="B22529" s="6"/>
      <c r="H22529" s="13"/>
    </row>
    <row r="22530">
      <c r="A22530" s="6"/>
      <c r="B22530" s="6"/>
      <c r="H22530" s="13"/>
    </row>
    <row r="22531">
      <c r="A22531" s="6"/>
      <c r="B22531" s="6"/>
      <c r="H22531" s="13"/>
    </row>
    <row r="22532">
      <c r="A22532" s="6"/>
      <c r="B22532" s="6"/>
      <c r="H22532" s="13"/>
    </row>
    <row r="22533">
      <c r="A22533" s="6"/>
      <c r="B22533" s="6"/>
      <c r="H22533" s="13"/>
    </row>
    <row r="22534">
      <c r="A22534" s="6"/>
      <c r="B22534" s="6"/>
      <c r="H22534" s="13"/>
    </row>
    <row r="22535">
      <c r="A22535" s="6"/>
      <c r="B22535" s="6"/>
      <c r="H22535" s="13"/>
    </row>
    <row r="22536">
      <c r="A22536" s="6"/>
      <c r="B22536" s="6"/>
      <c r="H22536" s="13"/>
    </row>
    <row r="22537">
      <c r="A22537" s="6"/>
      <c r="B22537" s="6"/>
      <c r="H22537" s="13"/>
    </row>
    <row r="22538">
      <c r="A22538" s="6"/>
      <c r="B22538" s="6"/>
      <c r="H22538" s="13"/>
    </row>
    <row r="22539">
      <c r="A22539" s="6"/>
      <c r="B22539" s="6"/>
      <c r="H22539" s="13"/>
    </row>
    <row r="22540">
      <c r="A22540" s="6"/>
      <c r="B22540" s="6"/>
      <c r="H22540" s="13"/>
    </row>
    <row r="22541">
      <c r="A22541" s="6"/>
      <c r="B22541" s="6"/>
      <c r="H22541" s="13"/>
    </row>
    <row r="22542">
      <c r="A22542" s="6"/>
      <c r="B22542" s="6"/>
      <c r="H22542" s="13"/>
    </row>
    <row r="22543">
      <c r="A22543" s="6"/>
      <c r="B22543" s="6"/>
      <c r="H22543" s="13"/>
    </row>
    <row r="22544">
      <c r="A22544" s="6"/>
      <c r="B22544" s="6"/>
      <c r="H22544" s="13"/>
    </row>
    <row r="22545">
      <c r="A22545" s="6"/>
      <c r="B22545" s="6"/>
      <c r="H22545" s="13"/>
    </row>
    <row r="22546">
      <c r="A22546" s="6"/>
      <c r="B22546" s="6"/>
      <c r="H22546" s="13"/>
    </row>
    <row r="22547">
      <c r="A22547" s="6"/>
      <c r="B22547" s="6"/>
      <c r="H22547" s="13"/>
    </row>
    <row r="22548">
      <c r="A22548" s="6"/>
      <c r="B22548" s="6"/>
      <c r="H22548" s="13"/>
    </row>
    <row r="22549">
      <c r="A22549" s="6"/>
      <c r="B22549" s="6"/>
      <c r="H22549" s="13"/>
    </row>
    <row r="22550">
      <c r="A22550" s="6"/>
      <c r="B22550" s="6"/>
      <c r="H22550" s="13"/>
    </row>
    <row r="22551">
      <c r="A22551" s="6"/>
      <c r="B22551" s="6"/>
      <c r="H22551" s="13"/>
    </row>
    <row r="22552">
      <c r="A22552" s="6"/>
      <c r="B22552" s="6"/>
      <c r="H22552" s="13"/>
    </row>
    <row r="22553">
      <c r="A22553" s="6"/>
      <c r="B22553" s="6"/>
      <c r="H22553" s="13"/>
    </row>
    <row r="22554">
      <c r="A22554" s="6"/>
      <c r="B22554" s="6"/>
      <c r="H22554" s="13"/>
    </row>
    <row r="22555">
      <c r="A22555" s="6"/>
      <c r="B22555" s="6"/>
      <c r="H22555" s="13"/>
    </row>
    <row r="22556">
      <c r="A22556" s="6"/>
      <c r="B22556" s="6"/>
      <c r="H22556" s="13"/>
    </row>
    <row r="22557">
      <c r="A22557" s="6"/>
      <c r="B22557" s="6"/>
      <c r="H22557" s="13"/>
    </row>
    <row r="22558">
      <c r="A22558" s="6"/>
      <c r="B22558" s="6"/>
      <c r="H22558" s="13"/>
    </row>
    <row r="22559">
      <c r="A22559" s="6"/>
      <c r="B22559" s="6"/>
      <c r="H22559" s="13"/>
    </row>
    <row r="22560">
      <c r="A22560" s="6"/>
      <c r="B22560" s="6"/>
      <c r="H22560" s="13"/>
    </row>
    <row r="22561">
      <c r="A22561" s="6"/>
      <c r="B22561" s="6"/>
      <c r="H22561" s="13"/>
    </row>
    <row r="22562">
      <c r="A22562" s="6"/>
      <c r="B22562" s="6"/>
      <c r="H22562" s="13"/>
    </row>
    <row r="22563">
      <c r="A22563" s="6"/>
      <c r="B22563" s="6"/>
      <c r="H22563" s="13"/>
    </row>
    <row r="22564">
      <c r="A22564" s="6"/>
      <c r="B22564" s="6"/>
      <c r="H22564" s="13"/>
    </row>
    <row r="22565">
      <c r="A22565" s="6"/>
      <c r="B22565" s="6"/>
      <c r="H22565" s="13"/>
    </row>
    <row r="22566">
      <c r="A22566" s="6"/>
      <c r="B22566" s="6"/>
      <c r="H22566" s="13"/>
    </row>
    <row r="22567">
      <c r="A22567" s="6"/>
      <c r="B22567" s="6"/>
      <c r="H22567" s="13"/>
    </row>
    <row r="22568">
      <c r="A22568" s="6"/>
      <c r="B22568" s="6"/>
      <c r="H22568" s="13"/>
    </row>
    <row r="22569">
      <c r="A22569" s="6"/>
      <c r="B22569" s="6"/>
      <c r="H22569" s="13"/>
    </row>
    <row r="22570">
      <c r="A22570" s="6"/>
      <c r="B22570" s="6"/>
      <c r="H22570" s="13"/>
    </row>
    <row r="22571">
      <c r="A22571" s="6"/>
      <c r="B22571" s="6"/>
      <c r="H22571" s="13"/>
    </row>
    <row r="22572">
      <c r="A22572" s="6"/>
      <c r="B22572" s="6"/>
      <c r="H22572" s="13"/>
    </row>
    <row r="22573">
      <c r="A22573" s="6"/>
      <c r="B22573" s="6"/>
      <c r="H22573" s="13"/>
    </row>
    <row r="22574">
      <c r="A22574" s="6"/>
      <c r="B22574" s="6"/>
      <c r="H22574" s="13"/>
    </row>
    <row r="22575">
      <c r="A22575" s="6"/>
      <c r="B22575" s="6"/>
      <c r="H22575" s="13"/>
    </row>
    <row r="22576">
      <c r="A22576" s="6"/>
      <c r="B22576" s="6"/>
      <c r="H22576" s="13"/>
    </row>
    <row r="22577">
      <c r="A22577" s="6"/>
      <c r="B22577" s="6"/>
      <c r="H22577" s="13"/>
    </row>
    <row r="22578">
      <c r="A22578" s="6"/>
      <c r="B22578" s="6"/>
      <c r="H22578" s="13"/>
    </row>
    <row r="22579">
      <c r="A22579" s="6"/>
      <c r="B22579" s="6"/>
      <c r="H22579" s="13"/>
    </row>
    <row r="22580">
      <c r="A22580" s="6"/>
      <c r="B22580" s="6"/>
      <c r="H22580" s="13"/>
    </row>
    <row r="22581">
      <c r="A22581" s="6"/>
      <c r="B22581" s="6"/>
      <c r="H22581" s="13"/>
    </row>
    <row r="22582">
      <c r="A22582" s="6"/>
      <c r="B22582" s="6"/>
      <c r="H22582" s="13"/>
    </row>
    <row r="22583">
      <c r="A22583" s="6"/>
      <c r="B22583" s="6"/>
      <c r="H22583" s="13"/>
    </row>
    <row r="22584">
      <c r="A22584" s="6"/>
      <c r="B22584" s="6"/>
      <c r="H22584" s="13"/>
    </row>
    <row r="22585">
      <c r="A22585" s="6"/>
      <c r="B22585" s="6"/>
      <c r="H22585" s="13"/>
    </row>
    <row r="22586">
      <c r="A22586" s="6"/>
      <c r="B22586" s="6"/>
      <c r="H22586" s="13"/>
    </row>
    <row r="22587">
      <c r="A22587" s="6"/>
      <c r="B22587" s="6"/>
      <c r="H22587" s="13"/>
    </row>
    <row r="22588">
      <c r="A22588" s="6"/>
      <c r="B22588" s="6"/>
      <c r="H22588" s="13"/>
    </row>
    <row r="22589">
      <c r="A22589" s="6"/>
      <c r="B22589" s="6"/>
      <c r="H22589" s="13"/>
    </row>
    <row r="22590">
      <c r="A22590" s="6"/>
      <c r="B22590" s="6"/>
      <c r="H22590" s="13"/>
    </row>
    <row r="22591">
      <c r="A22591" s="6"/>
      <c r="B22591" s="6"/>
      <c r="H22591" s="13"/>
    </row>
    <row r="22592">
      <c r="A22592" s="6"/>
      <c r="B22592" s="6"/>
      <c r="H22592" s="13"/>
    </row>
    <row r="22593">
      <c r="A22593" s="6"/>
      <c r="B22593" s="6"/>
      <c r="H22593" s="13"/>
    </row>
    <row r="22594">
      <c r="A22594" s="6"/>
      <c r="B22594" s="6"/>
      <c r="H22594" s="13"/>
    </row>
    <row r="22595">
      <c r="A22595" s="6"/>
      <c r="B22595" s="6"/>
      <c r="H22595" s="13"/>
    </row>
    <row r="22596">
      <c r="A22596" s="6"/>
      <c r="B22596" s="6"/>
      <c r="H22596" s="13"/>
    </row>
    <row r="22597">
      <c r="A22597" s="6"/>
      <c r="B22597" s="6"/>
      <c r="H22597" s="13"/>
    </row>
    <row r="22598">
      <c r="A22598" s="6"/>
      <c r="B22598" s="6"/>
      <c r="H22598" s="13"/>
    </row>
    <row r="22599">
      <c r="A22599" s="6"/>
      <c r="B22599" s="6"/>
      <c r="H22599" s="13"/>
    </row>
    <row r="22600">
      <c r="A22600" s="6"/>
      <c r="B22600" s="6"/>
      <c r="H22600" s="13"/>
    </row>
    <row r="22601">
      <c r="A22601" s="6"/>
      <c r="B22601" s="6"/>
      <c r="H22601" s="13"/>
    </row>
    <row r="22602">
      <c r="A22602" s="6"/>
      <c r="B22602" s="6"/>
      <c r="H22602" s="13"/>
    </row>
    <row r="22603">
      <c r="A22603" s="6"/>
      <c r="B22603" s="6"/>
      <c r="H22603" s="13"/>
    </row>
    <row r="22604">
      <c r="A22604" s="6"/>
      <c r="B22604" s="6"/>
      <c r="H22604" s="13"/>
    </row>
    <row r="22605">
      <c r="A22605" s="6"/>
      <c r="B22605" s="6"/>
      <c r="H22605" s="13"/>
    </row>
    <row r="22606">
      <c r="A22606" s="6"/>
      <c r="B22606" s="6"/>
      <c r="H22606" s="13"/>
    </row>
    <row r="22607">
      <c r="A22607" s="6"/>
      <c r="B22607" s="6"/>
      <c r="H22607" s="13"/>
    </row>
    <row r="22608">
      <c r="A22608" s="6"/>
      <c r="B22608" s="6"/>
      <c r="H22608" s="13"/>
    </row>
    <row r="22609">
      <c r="A22609" s="6"/>
      <c r="B22609" s="6"/>
      <c r="H22609" s="13"/>
    </row>
    <row r="22610">
      <c r="A22610" s="6"/>
      <c r="B22610" s="6"/>
      <c r="H22610" s="13"/>
    </row>
    <row r="22611">
      <c r="A22611" s="6"/>
      <c r="B22611" s="6"/>
      <c r="H22611" s="13"/>
    </row>
    <row r="22612">
      <c r="A22612" s="6"/>
      <c r="B22612" s="6"/>
      <c r="H22612" s="13"/>
    </row>
    <row r="22613">
      <c r="A22613" s="6"/>
      <c r="B22613" s="6"/>
      <c r="H22613" s="13"/>
    </row>
    <row r="22614">
      <c r="A22614" s="6"/>
      <c r="B22614" s="6"/>
      <c r="H22614" s="13"/>
    </row>
    <row r="22615">
      <c r="A22615" s="6"/>
      <c r="B22615" s="6"/>
      <c r="H22615" s="13"/>
    </row>
    <row r="22616">
      <c r="A22616" s="6"/>
      <c r="B22616" s="6"/>
      <c r="H22616" s="13"/>
    </row>
    <row r="22617">
      <c r="A22617" s="6"/>
      <c r="B22617" s="6"/>
      <c r="H22617" s="13"/>
    </row>
    <row r="22618">
      <c r="A22618" s="6"/>
      <c r="B22618" s="6"/>
      <c r="H22618" s="13"/>
    </row>
    <row r="22619">
      <c r="A22619" s="6"/>
      <c r="B22619" s="6"/>
      <c r="H22619" s="13"/>
    </row>
    <row r="22620">
      <c r="A22620" s="6"/>
      <c r="B22620" s="6"/>
      <c r="H22620" s="13"/>
    </row>
    <row r="22621">
      <c r="A22621" s="6"/>
      <c r="B22621" s="6"/>
      <c r="H22621" s="13"/>
    </row>
    <row r="22622">
      <c r="A22622" s="6"/>
      <c r="B22622" s="6"/>
      <c r="H22622" s="13"/>
    </row>
    <row r="22623">
      <c r="A22623" s="6"/>
      <c r="B22623" s="6"/>
      <c r="H22623" s="13"/>
    </row>
    <row r="22624">
      <c r="A22624" s="6"/>
      <c r="B22624" s="6"/>
      <c r="H22624" s="13"/>
    </row>
    <row r="22625">
      <c r="A22625" s="6"/>
      <c r="B22625" s="6"/>
      <c r="H22625" s="13"/>
    </row>
    <row r="22626">
      <c r="A22626" s="6"/>
      <c r="B22626" s="6"/>
      <c r="H22626" s="13"/>
    </row>
    <row r="22627">
      <c r="A22627" s="6"/>
      <c r="B22627" s="6"/>
      <c r="H22627" s="13"/>
    </row>
    <row r="22628">
      <c r="A22628" s="6"/>
      <c r="B22628" s="6"/>
      <c r="H22628" s="13"/>
    </row>
    <row r="22629">
      <c r="A22629" s="6"/>
      <c r="B22629" s="6"/>
      <c r="H22629" s="13"/>
    </row>
    <row r="22630">
      <c r="A22630" s="6"/>
      <c r="B22630" s="6"/>
      <c r="H22630" s="13"/>
    </row>
    <row r="22631">
      <c r="A22631" s="6"/>
      <c r="B22631" s="6"/>
      <c r="H22631" s="13"/>
    </row>
    <row r="22632">
      <c r="A22632" s="6"/>
      <c r="B22632" s="6"/>
      <c r="H22632" s="13"/>
    </row>
    <row r="22633">
      <c r="A22633" s="6"/>
      <c r="B22633" s="6"/>
      <c r="H22633" s="13"/>
    </row>
    <row r="22634">
      <c r="A22634" s="6"/>
      <c r="B22634" s="6"/>
      <c r="H22634" s="13"/>
    </row>
    <row r="22635">
      <c r="A22635" s="6"/>
      <c r="B22635" s="6"/>
      <c r="H22635" s="13"/>
    </row>
    <row r="22636">
      <c r="A22636" s="6"/>
      <c r="B22636" s="6"/>
      <c r="H22636" s="13"/>
    </row>
    <row r="22637">
      <c r="A22637" s="6"/>
      <c r="B22637" s="6"/>
      <c r="H22637" s="13"/>
    </row>
    <row r="22638">
      <c r="A22638" s="6"/>
      <c r="B22638" s="6"/>
      <c r="H22638" s="13"/>
    </row>
    <row r="22639">
      <c r="A22639" s="6"/>
      <c r="B22639" s="6"/>
      <c r="H22639" s="13"/>
    </row>
    <row r="22640">
      <c r="A22640" s="6"/>
      <c r="B22640" s="6"/>
      <c r="H22640" s="13"/>
    </row>
    <row r="22641">
      <c r="A22641" s="6"/>
      <c r="B22641" s="6"/>
      <c r="H22641" s="13"/>
    </row>
    <row r="22642">
      <c r="A22642" s="6"/>
      <c r="B22642" s="6"/>
      <c r="H22642" s="13"/>
    </row>
    <row r="22643">
      <c r="A22643" s="6"/>
      <c r="B22643" s="6"/>
      <c r="H22643" s="13"/>
    </row>
    <row r="22644">
      <c r="A22644" s="6"/>
      <c r="B22644" s="6"/>
      <c r="H22644" s="13"/>
    </row>
    <row r="22645">
      <c r="A22645" s="6"/>
      <c r="B22645" s="6"/>
      <c r="H22645" s="13"/>
    </row>
    <row r="22646">
      <c r="A22646" s="6"/>
      <c r="B22646" s="6"/>
      <c r="H22646" s="13"/>
    </row>
    <row r="22647">
      <c r="A22647" s="6"/>
      <c r="B22647" s="6"/>
      <c r="H22647" s="13"/>
    </row>
    <row r="22648">
      <c r="A22648" s="6"/>
      <c r="B22648" s="6"/>
      <c r="H22648" s="13"/>
    </row>
    <row r="22649">
      <c r="A22649" s="6"/>
      <c r="B22649" s="6"/>
      <c r="H22649" s="13"/>
    </row>
    <row r="22650">
      <c r="A22650" s="6"/>
      <c r="B22650" s="6"/>
      <c r="H22650" s="13"/>
    </row>
    <row r="22651">
      <c r="A22651" s="6"/>
      <c r="B22651" s="6"/>
      <c r="H22651" s="13"/>
    </row>
    <row r="22652">
      <c r="A22652" s="6"/>
      <c r="B22652" s="6"/>
      <c r="H22652" s="13"/>
    </row>
    <row r="22653">
      <c r="A22653" s="6"/>
      <c r="B22653" s="6"/>
      <c r="H22653" s="13"/>
    </row>
    <row r="22654">
      <c r="A22654" s="6"/>
      <c r="B22654" s="6"/>
      <c r="H22654" s="13"/>
    </row>
    <row r="22655">
      <c r="A22655" s="6"/>
      <c r="B22655" s="6"/>
      <c r="H22655" s="13"/>
    </row>
    <row r="22656">
      <c r="A22656" s="6"/>
      <c r="B22656" s="6"/>
      <c r="H22656" s="13"/>
    </row>
    <row r="22657">
      <c r="A22657" s="6"/>
      <c r="B22657" s="6"/>
      <c r="H22657" s="13"/>
    </row>
    <row r="22658">
      <c r="A22658" s="6"/>
      <c r="B22658" s="6"/>
      <c r="H22658" s="13"/>
    </row>
    <row r="22659">
      <c r="A22659" s="6"/>
      <c r="B22659" s="6"/>
      <c r="H22659" s="13"/>
    </row>
    <row r="22660">
      <c r="A22660" s="6"/>
      <c r="B22660" s="6"/>
      <c r="H22660" s="13"/>
    </row>
    <row r="22661">
      <c r="A22661" s="6"/>
      <c r="B22661" s="6"/>
      <c r="H22661" s="13"/>
    </row>
    <row r="22662">
      <c r="A22662" s="6"/>
      <c r="B22662" s="6"/>
      <c r="H22662" s="13"/>
    </row>
    <row r="22663">
      <c r="A22663" s="6"/>
      <c r="B22663" s="6"/>
      <c r="H22663" s="13"/>
    </row>
    <row r="22664">
      <c r="A22664" s="6"/>
      <c r="B22664" s="6"/>
      <c r="H22664" s="13"/>
    </row>
    <row r="22665">
      <c r="A22665" s="6"/>
      <c r="B22665" s="6"/>
      <c r="H22665" s="13"/>
    </row>
    <row r="22666">
      <c r="A22666" s="6"/>
      <c r="B22666" s="6"/>
      <c r="H22666" s="13"/>
    </row>
    <row r="22667">
      <c r="A22667" s="6"/>
      <c r="B22667" s="6"/>
      <c r="H22667" s="13"/>
    </row>
    <row r="22668">
      <c r="A22668" s="6"/>
      <c r="B22668" s="6"/>
      <c r="H22668" s="13"/>
    </row>
    <row r="22669">
      <c r="A22669" s="6"/>
      <c r="B22669" s="6"/>
      <c r="H22669" s="13"/>
    </row>
    <row r="22670">
      <c r="A22670" s="6"/>
      <c r="B22670" s="6"/>
      <c r="H22670" s="13"/>
    </row>
    <row r="22671">
      <c r="A22671" s="6"/>
      <c r="B22671" s="6"/>
      <c r="H22671" s="13"/>
    </row>
    <row r="22672">
      <c r="A22672" s="6"/>
      <c r="B22672" s="6"/>
      <c r="H22672" s="13"/>
    </row>
    <row r="22673">
      <c r="A22673" s="6"/>
      <c r="B22673" s="6"/>
      <c r="H22673" s="13"/>
    </row>
    <row r="22674">
      <c r="A22674" s="6"/>
      <c r="B22674" s="6"/>
      <c r="H22674" s="13"/>
    </row>
    <row r="22675">
      <c r="A22675" s="6"/>
      <c r="B22675" s="6"/>
      <c r="H22675" s="13"/>
    </row>
    <row r="22676">
      <c r="A22676" s="6"/>
      <c r="B22676" s="6"/>
      <c r="H22676" s="13"/>
    </row>
    <row r="22677">
      <c r="A22677" s="6"/>
      <c r="B22677" s="6"/>
      <c r="H22677" s="13"/>
    </row>
    <row r="22678">
      <c r="A22678" s="6"/>
      <c r="B22678" s="6"/>
      <c r="H22678" s="13"/>
    </row>
    <row r="22679">
      <c r="A22679" s="6"/>
      <c r="B22679" s="6"/>
      <c r="H22679" s="13"/>
    </row>
    <row r="22680">
      <c r="A22680" s="6"/>
      <c r="B22680" s="6"/>
      <c r="H22680" s="13"/>
    </row>
    <row r="22681">
      <c r="A22681" s="6"/>
      <c r="B22681" s="6"/>
      <c r="H22681" s="13"/>
    </row>
    <row r="22682">
      <c r="A22682" s="6"/>
      <c r="B22682" s="6"/>
      <c r="H22682" s="13"/>
    </row>
    <row r="22683">
      <c r="A22683" s="6"/>
      <c r="B22683" s="6"/>
      <c r="H22683" s="13"/>
    </row>
    <row r="22684">
      <c r="A22684" s="6"/>
      <c r="B22684" s="6"/>
      <c r="H22684" s="13"/>
    </row>
    <row r="22685">
      <c r="A22685" s="6"/>
      <c r="B22685" s="6"/>
      <c r="H22685" s="13"/>
    </row>
    <row r="22686">
      <c r="A22686" s="6"/>
      <c r="B22686" s="6"/>
      <c r="H22686" s="13"/>
    </row>
    <row r="22687">
      <c r="A22687" s="6"/>
      <c r="B22687" s="6"/>
      <c r="H22687" s="13"/>
    </row>
    <row r="22688">
      <c r="A22688" s="6"/>
      <c r="B22688" s="6"/>
      <c r="H22688" s="13"/>
    </row>
    <row r="22689">
      <c r="A22689" s="6"/>
      <c r="B22689" s="6"/>
      <c r="H22689" s="13"/>
    </row>
    <row r="22690">
      <c r="A22690" s="6"/>
      <c r="B22690" s="6"/>
      <c r="H22690" s="13"/>
    </row>
    <row r="22691">
      <c r="A22691" s="6"/>
      <c r="B22691" s="6"/>
      <c r="H22691" s="13"/>
    </row>
    <row r="22692">
      <c r="A22692" s="6"/>
      <c r="B22692" s="6"/>
      <c r="H22692" s="13"/>
    </row>
    <row r="22693">
      <c r="A22693" s="6"/>
      <c r="B22693" s="6"/>
      <c r="H22693" s="13"/>
    </row>
    <row r="22694">
      <c r="A22694" s="6"/>
      <c r="B22694" s="6"/>
      <c r="H22694" s="13"/>
    </row>
    <row r="22695">
      <c r="A22695" s="6"/>
      <c r="B22695" s="6"/>
      <c r="H22695" s="13"/>
    </row>
    <row r="22696">
      <c r="A22696" s="6"/>
      <c r="B22696" s="6"/>
      <c r="H22696" s="13"/>
    </row>
    <row r="22697">
      <c r="A22697" s="6"/>
      <c r="B22697" s="6"/>
      <c r="H22697" s="13"/>
    </row>
    <row r="22698">
      <c r="A22698" s="6"/>
      <c r="B22698" s="6"/>
      <c r="H22698" s="13"/>
    </row>
    <row r="22699">
      <c r="A22699" s="6"/>
      <c r="B22699" s="6"/>
      <c r="H22699" s="13"/>
    </row>
    <row r="22700">
      <c r="A22700" s="6"/>
      <c r="B22700" s="6"/>
      <c r="H22700" s="13"/>
    </row>
    <row r="22701">
      <c r="A22701" s="6"/>
      <c r="B22701" s="6"/>
      <c r="H22701" s="13"/>
    </row>
    <row r="22702">
      <c r="A22702" s="6"/>
      <c r="B22702" s="6"/>
      <c r="H22702" s="13"/>
    </row>
    <row r="22703">
      <c r="A22703" s="6"/>
      <c r="B22703" s="6"/>
      <c r="H22703" s="13"/>
    </row>
    <row r="22704">
      <c r="A22704" s="6"/>
      <c r="B22704" s="6"/>
      <c r="H22704" s="13"/>
    </row>
    <row r="22705">
      <c r="A22705" s="6"/>
      <c r="B22705" s="6"/>
      <c r="H22705" s="13"/>
    </row>
    <row r="22706">
      <c r="A22706" s="6"/>
      <c r="B22706" s="6"/>
      <c r="H22706" s="13"/>
    </row>
    <row r="22707">
      <c r="A22707" s="6"/>
      <c r="B22707" s="6"/>
      <c r="H22707" s="13"/>
    </row>
    <row r="22708">
      <c r="A22708" s="6"/>
      <c r="B22708" s="6"/>
      <c r="H22708" s="13"/>
    </row>
    <row r="22709">
      <c r="A22709" s="6"/>
      <c r="B22709" s="6"/>
      <c r="H22709" s="13"/>
    </row>
    <row r="22710">
      <c r="A22710" s="6"/>
      <c r="B22710" s="6"/>
      <c r="H22710" s="13"/>
    </row>
    <row r="22711">
      <c r="A22711" s="6"/>
      <c r="B22711" s="6"/>
      <c r="H22711" s="13"/>
    </row>
    <row r="22712">
      <c r="A22712" s="6"/>
      <c r="B22712" s="6"/>
      <c r="H22712" s="13"/>
    </row>
    <row r="22713">
      <c r="A22713" s="6"/>
      <c r="B22713" s="6"/>
      <c r="H22713" s="13"/>
    </row>
    <row r="22714">
      <c r="A22714" s="6"/>
      <c r="B22714" s="6"/>
      <c r="H22714" s="13"/>
    </row>
    <row r="22715">
      <c r="A22715" s="6"/>
      <c r="B22715" s="6"/>
      <c r="H22715" s="13"/>
    </row>
    <row r="22716">
      <c r="A22716" s="6"/>
      <c r="B22716" s="6"/>
      <c r="H22716" s="13"/>
    </row>
    <row r="22717">
      <c r="A22717" s="6"/>
      <c r="B22717" s="6"/>
      <c r="H22717" s="13"/>
    </row>
    <row r="22718">
      <c r="A22718" s="6"/>
      <c r="B22718" s="6"/>
      <c r="H22718" s="13"/>
    </row>
    <row r="22719">
      <c r="A22719" s="6"/>
      <c r="B22719" s="6"/>
      <c r="H22719" s="13"/>
    </row>
    <row r="22720">
      <c r="A22720" s="6"/>
      <c r="B22720" s="6"/>
      <c r="H22720" s="13"/>
    </row>
    <row r="22721">
      <c r="A22721" s="6"/>
      <c r="B22721" s="6"/>
      <c r="H22721" s="13"/>
    </row>
    <row r="22722">
      <c r="A22722" s="6"/>
      <c r="B22722" s="6"/>
      <c r="H22722" s="13"/>
    </row>
    <row r="22723">
      <c r="A22723" s="6"/>
      <c r="B22723" s="6"/>
      <c r="H22723" s="13"/>
    </row>
    <row r="22724">
      <c r="A22724" s="6"/>
      <c r="B22724" s="6"/>
      <c r="H22724" s="13"/>
    </row>
    <row r="22725">
      <c r="A22725" s="6"/>
      <c r="B22725" s="6"/>
      <c r="H22725" s="13"/>
    </row>
    <row r="22726">
      <c r="A22726" s="6"/>
      <c r="B22726" s="6"/>
      <c r="H22726" s="13"/>
    </row>
    <row r="22727">
      <c r="A22727" s="6"/>
      <c r="B22727" s="6"/>
      <c r="H22727" s="13"/>
    </row>
    <row r="22728">
      <c r="A22728" s="6"/>
      <c r="B22728" s="6"/>
      <c r="H22728" s="13"/>
    </row>
    <row r="22729">
      <c r="A22729" s="6"/>
      <c r="B22729" s="6"/>
      <c r="H22729" s="13"/>
    </row>
    <row r="22730">
      <c r="A22730" s="6"/>
      <c r="B22730" s="6"/>
      <c r="H22730" s="13"/>
    </row>
    <row r="22731">
      <c r="A22731" s="6"/>
      <c r="B22731" s="6"/>
      <c r="H22731" s="13"/>
    </row>
    <row r="22732">
      <c r="A22732" s="6"/>
      <c r="B22732" s="6"/>
      <c r="H22732" s="13"/>
    </row>
    <row r="22733">
      <c r="A22733" s="6"/>
      <c r="B22733" s="6"/>
      <c r="H22733" s="13"/>
    </row>
    <row r="22734">
      <c r="A22734" s="6"/>
      <c r="B22734" s="6"/>
      <c r="H22734" s="13"/>
    </row>
    <row r="22735">
      <c r="A22735" s="6"/>
      <c r="B22735" s="6"/>
      <c r="H22735" s="13"/>
    </row>
    <row r="22736">
      <c r="A22736" s="6"/>
      <c r="B22736" s="6"/>
      <c r="H22736" s="13"/>
    </row>
    <row r="22737">
      <c r="A22737" s="6"/>
      <c r="B22737" s="6"/>
      <c r="H22737" s="13"/>
    </row>
    <row r="22738">
      <c r="A22738" s="6"/>
      <c r="B22738" s="6"/>
      <c r="H22738" s="13"/>
    </row>
    <row r="22739">
      <c r="A22739" s="6"/>
      <c r="B22739" s="6"/>
      <c r="H22739" s="13"/>
    </row>
    <row r="22740">
      <c r="A22740" s="6"/>
      <c r="B22740" s="6"/>
      <c r="H22740" s="13"/>
    </row>
    <row r="22741">
      <c r="A22741" s="6"/>
      <c r="B22741" s="6"/>
      <c r="H22741" s="13"/>
    </row>
    <row r="22742">
      <c r="A22742" s="6"/>
      <c r="B22742" s="6"/>
      <c r="H22742" s="13"/>
    </row>
    <row r="22743">
      <c r="A22743" s="6"/>
      <c r="B22743" s="6"/>
      <c r="H22743" s="13"/>
    </row>
    <row r="22744">
      <c r="A22744" s="6"/>
      <c r="B22744" s="6"/>
      <c r="H22744" s="13"/>
    </row>
    <row r="22745">
      <c r="A22745" s="6"/>
      <c r="B22745" s="6"/>
      <c r="H22745" s="13"/>
    </row>
    <row r="22746">
      <c r="A22746" s="6"/>
      <c r="B22746" s="6"/>
      <c r="H22746" s="13"/>
    </row>
    <row r="22747">
      <c r="A22747" s="6"/>
      <c r="B22747" s="6"/>
      <c r="H22747" s="13"/>
    </row>
    <row r="22748">
      <c r="A22748" s="6"/>
      <c r="B22748" s="6"/>
      <c r="H22748" s="13"/>
    </row>
    <row r="22749">
      <c r="A22749" s="6"/>
      <c r="B22749" s="6"/>
      <c r="H22749" s="13"/>
    </row>
    <row r="22750">
      <c r="A22750" s="6"/>
      <c r="B22750" s="6"/>
      <c r="H22750" s="13"/>
    </row>
    <row r="22751">
      <c r="A22751" s="6"/>
      <c r="B22751" s="6"/>
      <c r="H22751" s="13"/>
    </row>
    <row r="22752">
      <c r="A22752" s="6"/>
      <c r="B22752" s="6"/>
      <c r="H22752" s="13"/>
    </row>
    <row r="22753">
      <c r="A22753" s="6"/>
      <c r="B22753" s="6"/>
      <c r="H22753" s="13"/>
    </row>
    <row r="22754">
      <c r="A22754" s="6"/>
      <c r="B22754" s="6"/>
      <c r="H22754" s="13"/>
    </row>
    <row r="22755">
      <c r="A22755" s="6"/>
      <c r="B22755" s="6"/>
      <c r="H22755" s="13"/>
    </row>
    <row r="22756">
      <c r="A22756" s="6"/>
      <c r="B22756" s="6"/>
      <c r="H22756" s="13"/>
    </row>
    <row r="22757">
      <c r="A22757" s="6"/>
      <c r="B22757" s="6"/>
      <c r="H22757" s="13"/>
    </row>
    <row r="22758">
      <c r="A22758" s="6"/>
      <c r="B22758" s="6"/>
      <c r="H22758" s="13"/>
    </row>
    <row r="22759">
      <c r="A22759" s="6"/>
      <c r="B22759" s="6"/>
      <c r="H22759" s="13"/>
    </row>
    <row r="22760">
      <c r="A22760" s="6"/>
      <c r="B22760" s="6"/>
      <c r="H22760" s="13"/>
    </row>
    <row r="22761">
      <c r="A22761" s="6"/>
      <c r="B22761" s="6"/>
      <c r="H22761" s="13"/>
    </row>
    <row r="22762">
      <c r="A22762" s="6"/>
      <c r="B22762" s="6"/>
      <c r="H22762" s="13"/>
    </row>
    <row r="22763">
      <c r="A22763" s="6"/>
      <c r="B22763" s="6"/>
      <c r="H22763" s="13"/>
    </row>
    <row r="22764">
      <c r="A22764" s="6"/>
      <c r="B22764" s="6"/>
      <c r="H22764" s="13"/>
    </row>
    <row r="22765">
      <c r="A22765" s="6"/>
      <c r="B22765" s="6"/>
      <c r="H22765" s="13"/>
    </row>
    <row r="22766">
      <c r="A22766" s="6"/>
      <c r="B22766" s="6"/>
      <c r="H22766" s="13"/>
    </row>
    <row r="22767">
      <c r="A22767" s="6"/>
      <c r="B22767" s="6"/>
      <c r="H22767" s="13"/>
    </row>
    <row r="22768">
      <c r="A22768" s="6"/>
      <c r="B22768" s="6"/>
      <c r="H22768" s="13"/>
    </row>
    <row r="22769">
      <c r="A22769" s="6"/>
      <c r="B22769" s="6"/>
      <c r="H22769" s="13"/>
    </row>
    <row r="22770">
      <c r="A22770" s="6"/>
      <c r="B22770" s="6"/>
      <c r="H22770" s="13"/>
    </row>
    <row r="22771">
      <c r="A22771" s="6"/>
      <c r="B22771" s="6"/>
      <c r="H22771" s="13"/>
    </row>
    <row r="22772">
      <c r="A22772" s="6"/>
      <c r="B22772" s="6"/>
      <c r="H22772" s="13"/>
    </row>
    <row r="22773">
      <c r="A22773" s="6"/>
      <c r="B22773" s="6"/>
      <c r="H22773" s="13"/>
    </row>
    <row r="22774">
      <c r="A22774" s="6"/>
      <c r="B22774" s="6"/>
      <c r="H22774" s="13"/>
    </row>
    <row r="22775">
      <c r="A22775" s="6"/>
      <c r="B22775" s="6"/>
      <c r="H22775" s="13"/>
    </row>
    <row r="22776">
      <c r="A22776" s="6"/>
      <c r="B22776" s="6"/>
      <c r="H22776" s="13"/>
    </row>
    <row r="22777">
      <c r="A22777" s="6"/>
      <c r="B22777" s="6"/>
      <c r="H22777" s="13"/>
    </row>
    <row r="22778">
      <c r="A22778" s="6"/>
      <c r="B22778" s="6"/>
      <c r="H22778" s="13"/>
    </row>
    <row r="22779">
      <c r="A22779" s="6"/>
      <c r="B22779" s="6"/>
      <c r="H22779" s="13"/>
    </row>
    <row r="22780">
      <c r="A22780" s="6"/>
      <c r="B22780" s="6"/>
      <c r="H22780" s="13"/>
    </row>
    <row r="22781">
      <c r="A22781" s="6"/>
      <c r="B22781" s="6"/>
      <c r="H22781" s="13"/>
    </row>
    <row r="22782">
      <c r="A22782" s="6"/>
      <c r="B22782" s="6"/>
      <c r="H22782" s="13"/>
    </row>
    <row r="22783">
      <c r="A22783" s="6"/>
      <c r="B22783" s="6"/>
      <c r="H22783" s="13"/>
    </row>
    <row r="22784">
      <c r="A22784" s="6"/>
      <c r="B22784" s="6"/>
      <c r="H22784" s="13"/>
    </row>
    <row r="22785">
      <c r="A22785" s="6"/>
      <c r="B22785" s="6"/>
      <c r="H22785" s="13"/>
    </row>
    <row r="22786">
      <c r="A22786" s="6"/>
      <c r="B22786" s="6"/>
      <c r="H22786" s="13"/>
    </row>
    <row r="22787">
      <c r="A22787" s="6"/>
      <c r="B22787" s="6"/>
      <c r="H22787" s="13"/>
    </row>
    <row r="22788">
      <c r="A22788" s="6"/>
      <c r="B22788" s="6"/>
      <c r="H22788" s="13"/>
    </row>
    <row r="22789">
      <c r="A22789" s="6"/>
      <c r="B22789" s="6"/>
      <c r="H22789" s="13"/>
    </row>
    <row r="22790">
      <c r="A22790" s="6"/>
      <c r="B22790" s="6"/>
      <c r="H22790" s="13"/>
    </row>
    <row r="22791">
      <c r="A22791" s="6"/>
      <c r="B22791" s="6"/>
      <c r="H22791" s="13"/>
    </row>
    <row r="22792">
      <c r="A22792" s="6"/>
      <c r="B22792" s="6"/>
      <c r="H22792" s="13"/>
    </row>
    <row r="22793">
      <c r="A22793" s="6"/>
      <c r="B22793" s="6"/>
      <c r="H22793" s="13"/>
    </row>
    <row r="22794">
      <c r="A22794" s="6"/>
      <c r="B22794" s="6"/>
      <c r="H22794" s="13"/>
    </row>
    <row r="22795">
      <c r="A22795" s="6"/>
      <c r="B22795" s="6"/>
      <c r="H22795" s="13"/>
    </row>
    <row r="22796">
      <c r="A22796" s="6"/>
      <c r="B22796" s="6"/>
      <c r="H22796" s="13"/>
    </row>
    <row r="22797">
      <c r="A22797" s="6"/>
      <c r="B22797" s="6"/>
      <c r="H22797" s="13"/>
    </row>
    <row r="22798">
      <c r="A22798" s="6"/>
      <c r="B22798" s="6"/>
      <c r="H22798" s="13"/>
    </row>
    <row r="22799">
      <c r="A22799" s="6"/>
      <c r="B22799" s="6"/>
      <c r="H22799" s="13"/>
    </row>
    <row r="22800">
      <c r="A22800" s="6"/>
      <c r="B22800" s="6"/>
      <c r="H22800" s="13"/>
    </row>
    <row r="22801">
      <c r="A22801" s="6"/>
      <c r="B22801" s="6"/>
      <c r="H22801" s="13"/>
    </row>
    <row r="22802">
      <c r="A22802" s="6"/>
      <c r="B22802" s="6"/>
      <c r="H22802" s="13"/>
    </row>
    <row r="22803">
      <c r="A22803" s="6"/>
      <c r="B22803" s="6"/>
      <c r="H22803" s="13"/>
    </row>
    <row r="22804">
      <c r="A22804" s="6"/>
      <c r="B22804" s="6"/>
      <c r="H22804" s="13"/>
    </row>
    <row r="22805">
      <c r="A22805" s="6"/>
      <c r="B22805" s="6"/>
      <c r="H22805" s="13"/>
    </row>
    <row r="22806">
      <c r="A22806" s="6"/>
      <c r="B22806" s="6"/>
      <c r="H22806" s="13"/>
    </row>
    <row r="22807">
      <c r="A22807" s="6"/>
      <c r="B22807" s="6"/>
      <c r="H22807" s="13"/>
    </row>
    <row r="22808">
      <c r="A22808" s="6"/>
      <c r="B22808" s="6"/>
      <c r="H22808" s="13"/>
    </row>
    <row r="22809">
      <c r="A22809" s="6"/>
      <c r="B22809" s="6"/>
      <c r="H22809" s="13"/>
    </row>
    <row r="22810">
      <c r="A22810" s="6"/>
      <c r="B22810" s="6"/>
      <c r="H22810" s="13"/>
    </row>
    <row r="22811">
      <c r="A22811" s="6"/>
      <c r="B22811" s="6"/>
      <c r="H22811" s="13"/>
    </row>
    <row r="22812">
      <c r="A22812" s="6"/>
      <c r="B22812" s="6"/>
      <c r="H22812" s="13"/>
    </row>
    <row r="22813">
      <c r="A22813" s="6"/>
      <c r="B22813" s="6"/>
      <c r="H22813" s="13"/>
    </row>
    <row r="22814">
      <c r="A22814" s="6"/>
      <c r="B22814" s="6"/>
      <c r="H22814" s="13"/>
    </row>
    <row r="22815">
      <c r="A22815" s="6"/>
      <c r="B22815" s="6"/>
      <c r="H22815" s="13"/>
    </row>
    <row r="22816">
      <c r="A22816" s="6"/>
      <c r="B22816" s="6"/>
      <c r="H22816" s="13"/>
    </row>
    <row r="22817">
      <c r="A22817" s="6"/>
      <c r="B22817" s="6"/>
      <c r="H22817" s="13"/>
    </row>
    <row r="22818">
      <c r="A22818" s="6"/>
      <c r="B22818" s="6"/>
      <c r="H22818" s="13"/>
    </row>
    <row r="22819">
      <c r="A22819" s="6"/>
      <c r="B22819" s="6"/>
      <c r="H22819" s="13"/>
    </row>
    <row r="22820">
      <c r="A22820" s="6"/>
      <c r="B22820" s="6"/>
      <c r="H22820" s="13"/>
    </row>
    <row r="22821">
      <c r="A22821" s="6"/>
      <c r="B22821" s="6"/>
      <c r="H22821" s="13"/>
    </row>
    <row r="22822">
      <c r="A22822" s="6"/>
      <c r="B22822" s="6"/>
      <c r="H22822" s="13"/>
    </row>
    <row r="22823">
      <c r="A22823" s="6"/>
      <c r="B22823" s="6"/>
      <c r="H22823" s="13"/>
    </row>
    <row r="22824">
      <c r="A22824" s="6"/>
      <c r="B22824" s="6"/>
      <c r="H22824" s="13"/>
    </row>
    <row r="22825">
      <c r="A22825" s="6"/>
      <c r="B22825" s="6"/>
      <c r="H22825" s="13"/>
    </row>
    <row r="22826">
      <c r="A22826" s="6"/>
      <c r="B22826" s="6"/>
      <c r="H22826" s="13"/>
    </row>
    <row r="22827">
      <c r="A22827" s="6"/>
      <c r="B22827" s="6"/>
      <c r="H22827" s="13"/>
    </row>
    <row r="22828">
      <c r="A22828" s="6"/>
      <c r="B22828" s="6"/>
      <c r="H22828" s="13"/>
    </row>
    <row r="22829">
      <c r="A22829" s="6"/>
      <c r="B22829" s="6"/>
      <c r="H22829" s="13"/>
    </row>
    <row r="22830">
      <c r="A22830" s="6"/>
      <c r="B22830" s="6"/>
      <c r="H22830" s="13"/>
    </row>
    <row r="22831">
      <c r="A22831" s="6"/>
      <c r="B22831" s="6"/>
      <c r="H22831" s="13"/>
    </row>
    <row r="22832">
      <c r="A22832" s="6"/>
      <c r="B22832" s="6"/>
      <c r="H22832" s="13"/>
    </row>
    <row r="22833">
      <c r="A22833" s="6"/>
      <c r="B22833" s="6"/>
      <c r="H22833" s="13"/>
    </row>
    <row r="22834">
      <c r="A22834" s="6"/>
      <c r="B22834" s="6"/>
      <c r="H22834" s="13"/>
    </row>
    <row r="22835">
      <c r="A22835" s="6"/>
      <c r="B22835" s="6"/>
      <c r="H22835" s="13"/>
    </row>
    <row r="22836">
      <c r="A22836" s="6"/>
      <c r="B22836" s="6"/>
      <c r="H22836" s="13"/>
    </row>
    <row r="22837">
      <c r="A22837" s="6"/>
      <c r="B22837" s="6"/>
      <c r="H22837" s="13"/>
    </row>
    <row r="22838">
      <c r="A22838" s="6"/>
      <c r="B22838" s="6"/>
      <c r="H22838" s="13"/>
    </row>
    <row r="22839">
      <c r="A22839" s="6"/>
      <c r="B22839" s="6"/>
      <c r="H22839" s="13"/>
    </row>
    <row r="22840">
      <c r="A22840" s="6"/>
      <c r="B22840" s="6"/>
      <c r="H22840" s="13"/>
    </row>
    <row r="22841">
      <c r="A22841" s="6"/>
      <c r="B22841" s="6"/>
      <c r="H22841" s="13"/>
    </row>
    <row r="22842">
      <c r="A22842" s="6"/>
      <c r="B22842" s="6"/>
      <c r="H22842" s="13"/>
    </row>
    <row r="22843">
      <c r="A22843" s="6"/>
      <c r="B22843" s="6"/>
      <c r="H22843" s="13"/>
    </row>
    <row r="22844">
      <c r="A22844" s="6"/>
      <c r="B22844" s="6"/>
      <c r="H22844" s="13"/>
    </row>
    <row r="22845">
      <c r="A22845" s="6"/>
      <c r="B22845" s="6"/>
      <c r="H22845" s="13"/>
    </row>
    <row r="22846">
      <c r="A22846" s="6"/>
      <c r="B22846" s="6"/>
      <c r="H22846" s="13"/>
    </row>
    <row r="22847">
      <c r="A22847" s="6"/>
      <c r="B22847" s="6"/>
      <c r="H22847" s="13"/>
    </row>
    <row r="22848">
      <c r="A22848" s="6"/>
      <c r="B22848" s="6"/>
      <c r="H22848" s="13"/>
    </row>
    <row r="22849">
      <c r="A22849" s="6"/>
      <c r="B22849" s="6"/>
      <c r="H22849" s="13"/>
    </row>
    <row r="22850">
      <c r="A22850" s="6"/>
      <c r="B22850" s="6"/>
      <c r="H22850" s="13"/>
    </row>
    <row r="22851">
      <c r="A22851" s="6"/>
      <c r="B22851" s="6"/>
      <c r="H22851" s="13"/>
    </row>
    <row r="22852">
      <c r="A22852" s="6"/>
      <c r="B22852" s="6"/>
      <c r="H22852" s="13"/>
    </row>
    <row r="22853">
      <c r="A22853" s="6"/>
      <c r="B22853" s="6"/>
      <c r="H22853" s="13"/>
    </row>
    <row r="22854">
      <c r="A22854" s="6"/>
      <c r="B22854" s="6"/>
      <c r="H22854" s="13"/>
    </row>
    <row r="22855">
      <c r="A22855" s="6"/>
      <c r="B22855" s="6"/>
      <c r="H22855" s="13"/>
    </row>
    <row r="22856">
      <c r="A22856" s="6"/>
      <c r="B22856" s="6"/>
      <c r="H22856" s="13"/>
    </row>
    <row r="22857">
      <c r="A22857" s="6"/>
      <c r="B22857" s="6"/>
      <c r="H22857" s="13"/>
    </row>
    <row r="22858">
      <c r="A22858" s="6"/>
      <c r="B22858" s="6"/>
      <c r="H22858" s="13"/>
    </row>
    <row r="22859">
      <c r="A22859" s="6"/>
      <c r="B22859" s="6"/>
      <c r="H22859" s="13"/>
    </row>
    <row r="22860">
      <c r="A22860" s="6"/>
      <c r="B22860" s="6"/>
      <c r="H22860" s="13"/>
    </row>
    <row r="22861">
      <c r="A22861" s="6"/>
      <c r="B22861" s="6"/>
      <c r="H22861" s="13"/>
    </row>
    <row r="22862">
      <c r="A22862" s="6"/>
      <c r="B22862" s="6"/>
      <c r="H22862" s="13"/>
    </row>
    <row r="22863">
      <c r="A22863" s="6"/>
      <c r="B22863" s="6"/>
      <c r="H22863" s="13"/>
    </row>
    <row r="22864">
      <c r="A22864" s="6"/>
      <c r="B22864" s="6"/>
      <c r="H22864" s="13"/>
    </row>
    <row r="22865">
      <c r="A22865" s="6"/>
      <c r="B22865" s="6"/>
      <c r="H22865" s="13"/>
    </row>
    <row r="22866">
      <c r="A22866" s="6"/>
      <c r="B22866" s="6"/>
      <c r="H22866" s="13"/>
    </row>
    <row r="22867">
      <c r="A22867" s="6"/>
      <c r="B22867" s="6"/>
      <c r="H22867" s="13"/>
    </row>
    <row r="22868">
      <c r="A22868" s="6"/>
      <c r="B22868" s="6"/>
      <c r="H22868" s="13"/>
    </row>
    <row r="22869">
      <c r="A22869" s="6"/>
      <c r="B22869" s="6"/>
      <c r="H22869" s="13"/>
    </row>
    <row r="22870">
      <c r="A22870" s="6"/>
      <c r="B22870" s="6"/>
      <c r="H22870" s="13"/>
    </row>
    <row r="22871">
      <c r="A22871" s="6"/>
      <c r="B22871" s="6"/>
      <c r="H22871" s="13"/>
    </row>
    <row r="22872">
      <c r="A22872" s="6"/>
      <c r="B22872" s="6"/>
      <c r="H22872" s="13"/>
    </row>
    <row r="22873">
      <c r="A22873" s="6"/>
      <c r="B22873" s="6"/>
      <c r="H22873" s="13"/>
    </row>
    <row r="22874">
      <c r="A22874" s="6"/>
      <c r="B22874" s="6"/>
      <c r="H22874" s="13"/>
    </row>
    <row r="22875">
      <c r="A22875" s="6"/>
      <c r="B22875" s="6"/>
      <c r="H22875" s="13"/>
    </row>
    <row r="22876">
      <c r="A22876" s="6"/>
      <c r="B22876" s="6"/>
      <c r="H22876" s="13"/>
    </row>
    <row r="22877">
      <c r="A22877" s="6"/>
      <c r="B22877" s="6"/>
      <c r="H22877" s="13"/>
    </row>
    <row r="22878">
      <c r="A22878" s="6"/>
      <c r="B22878" s="6"/>
      <c r="H22878" s="13"/>
    </row>
    <row r="22879">
      <c r="A22879" s="6"/>
      <c r="B22879" s="6"/>
      <c r="H22879" s="13"/>
    </row>
    <row r="22880">
      <c r="A22880" s="6"/>
      <c r="B22880" s="6"/>
      <c r="H22880" s="13"/>
    </row>
    <row r="22881">
      <c r="A22881" s="6"/>
      <c r="B22881" s="6"/>
      <c r="H22881" s="13"/>
    </row>
    <row r="22882">
      <c r="A22882" s="6"/>
      <c r="B22882" s="6"/>
      <c r="H22882" s="13"/>
    </row>
    <row r="22883">
      <c r="A22883" s="6"/>
      <c r="B22883" s="6"/>
      <c r="H22883" s="13"/>
    </row>
    <row r="22884">
      <c r="A22884" s="6"/>
      <c r="B22884" s="6"/>
      <c r="H22884" s="13"/>
    </row>
    <row r="22885">
      <c r="A22885" s="6"/>
      <c r="B22885" s="6"/>
      <c r="H22885" s="13"/>
    </row>
    <row r="22886">
      <c r="A22886" s="6"/>
      <c r="B22886" s="6"/>
      <c r="H22886" s="13"/>
    </row>
    <row r="22887">
      <c r="A22887" s="6"/>
      <c r="B22887" s="6"/>
      <c r="H22887" s="13"/>
    </row>
    <row r="22888">
      <c r="A22888" s="6"/>
      <c r="B22888" s="6"/>
      <c r="H22888" s="13"/>
    </row>
    <row r="22889">
      <c r="A22889" s="6"/>
      <c r="B22889" s="6"/>
      <c r="H22889" s="13"/>
    </row>
    <row r="22890">
      <c r="A22890" s="6"/>
      <c r="B22890" s="6"/>
      <c r="H22890" s="13"/>
    </row>
    <row r="22891">
      <c r="A22891" s="6"/>
      <c r="B22891" s="6"/>
      <c r="H22891" s="13"/>
    </row>
    <row r="22892">
      <c r="A22892" s="6"/>
      <c r="B22892" s="6"/>
      <c r="H22892" s="13"/>
    </row>
    <row r="22893">
      <c r="A22893" s="6"/>
      <c r="B22893" s="6"/>
      <c r="H22893" s="13"/>
    </row>
    <row r="22894">
      <c r="A22894" s="6"/>
      <c r="B22894" s="6"/>
      <c r="H22894" s="13"/>
    </row>
    <row r="22895">
      <c r="A22895" s="6"/>
      <c r="B22895" s="6"/>
      <c r="H22895" s="13"/>
    </row>
    <row r="22896">
      <c r="A22896" s="6"/>
      <c r="B22896" s="6"/>
      <c r="H22896" s="13"/>
    </row>
    <row r="22897">
      <c r="A22897" s="6"/>
      <c r="B22897" s="6"/>
      <c r="H22897" s="13"/>
    </row>
    <row r="22898">
      <c r="A22898" s="6"/>
      <c r="B22898" s="6"/>
      <c r="H22898" s="13"/>
    </row>
    <row r="22899">
      <c r="A22899" s="6"/>
      <c r="B22899" s="6"/>
      <c r="H22899" s="13"/>
    </row>
    <row r="22900">
      <c r="A22900" s="6"/>
      <c r="B22900" s="6"/>
      <c r="H22900" s="13"/>
    </row>
    <row r="22901">
      <c r="A22901" s="6"/>
      <c r="B22901" s="6"/>
      <c r="H22901" s="13"/>
    </row>
    <row r="22902">
      <c r="A22902" s="6"/>
      <c r="B22902" s="6"/>
      <c r="H22902" s="13"/>
    </row>
    <row r="22903">
      <c r="A22903" s="6"/>
      <c r="B22903" s="6"/>
      <c r="H22903" s="13"/>
    </row>
    <row r="22904">
      <c r="A22904" s="6"/>
      <c r="B22904" s="6"/>
      <c r="H22904" s="13"/>
    </row>
    <row r="22905">
      <c r="A22905" s="6"/>
      <c r="B22905" s="6"/>
      <c r="H22905" s="13"/>
    </row>
    <row r="22906">
      <c r="A22906" s="6"/>
      <c r="B22906" s="6"/>
      <c r="H22906" s="13"/>
    </row>
    <row r="22907">
      <c r="A22907" s="6"/>
      <c r="B22907" s="6"/>
      <c r="H22907" s="13"/>
    </row>
    <row r="22908">
      <c r="A22908" s="6"/>
      <c r="B22908" s="6"/>
      <c r="H22908" s="13"/>
    </row>
    <row r="22909">
      <c r="A22909" s="6"/>
      <c r="B22909" s="6"/>
      <c r="H22909" s="13"/>
    </row>
    <row r="22910">
      <c r="A22910" s="6"/>
      <c r="B22910" s="6"/>
      <c r="H22910" s="13"/>
    </row>
    <row r="22911">
      <c r="A22911" s="6"/>
      <c r="B22911" s="6"/>
      <c r="H22911" s="13"/>
    </row>
    <row r="22912">
      <c r="A22912" s="6"/>
      <c r="B22912" s="6"/>
      <c r="H22912" s="13"/>
    </row>
    <row r="22913">
      <c r="A22913" s="6"/>
      <c r="B22913" s="6"/>
      <c r="H22913" s="13"/>
    </row>
    <row r="22914">
      <c r="A22914" s="6"/>
      <c r="B22914" s="6"/>
      <c r="H22914" s="13"/>
    </row>
    <row r="22915">
      <c r="A22915" s="6"/>
      <c r="B22915" s="6"/>
      <c r="H22915" s="13"/>
    </row>
    <row r="22916">
      <c r="A22916" s="6"/>
      <c r="B22916" s="6"/>
      <c r="H22916" s="13"/>
    </row>
    <row r="22917">
      <c r="A22917" s="6"/>
      <c r="B22917" s="6"/>
      <c r="H22917" s="13"/>
    </row>
    <row r="22918">
      <c r="A22918" s="6"/>
      <c r="B22918" s="6"/>
      <c r="H22918" s="13"/>
    </row>
    <row r="22919">
      <c r="A22919" s="6"/>
      <c r="B22919" s="6"/>
      <c r="H22919" s="13"/>
    </row>
    <row r="22920">
      <c r="A22920" s="6"/>
      <c r="B22920" s="6"/>
      <c r="H22920" s="13"/>
    </row>
    <row r="22921">
      <c r="A22921" s="6"/>
      <c r="B22921" s="6"/>
      <c r="H22921" s="13"/>
    </row>
    <row r="22922">
      <c r="A22922" s="6"/>
      <c r="B22922" s="6"/>
      <c r="H22922" s="13"/>
    </row>
    <row r="22923">
      <c r="A22923" s="6"/>
      <c r="B22923" s="6"/>
      <c r="H22923" s="13"/>
    </row>
    <row r="22924">
      <c r="A22924" s="6"/>
      <c r="B22924" s="6"/>
      <c r="H22924" s="13"/>
    </row>
    <row r="22925">
      <c r="A22925" s="6"/>
      <c r="B22925" s="6"/>
      <c r="H22925" s="13"/>
    </row>
    <row r="22926">
      <c r="A22926" s="6"/>
      <c r="B22926" s="6"/>
      <c r="H22926" s="13"/>
    </row>
    <row r="22927">
      <c r="A22927" s="6"/>
      <c r="B22927" s="6"/>
      <c r="H22927" s="13"/>
    </row>
    <row r="22928">
      <c r="A22928" s="6"/>
      <c r="B22928" s="6"/>
      <c r="H22928" s="13"/>
    </row>
    <row r="22929">
      <c r="A22929" s="6"/>
      <c r="B22929" s="6"/>
      <c r="H22929" s="13"/>
    </row>
    <row r="22930">
      <c r="A22930" s="6"/>
      <c r="B22930" s="6"/>
      <c r="H22930" s="13"/>
    </row>
    <row r="22931">
      <c r="A22931" s="6"/>
      <c r="B22931" s="6"/>
      <c r="H22931" s="13"/>
    </row>
    <row r="22932">
      <c r="A22932" s="6"/>
      <c r="B22932" s="6"/>
      <c r="H22932" s="13"/>
    </row>
    <row r="22933">
      <c r="A22933" s="6"/>
      <c r="B22933" s="6"/>
      <c r="H22933" s="13"/>
    </row>
    <row r="22934">
      <c r="A22934" s="6"/>
      <c r="B22934" s="6"/>
      <c r="H22934" s="13"/>
    </row>
    <row r="22935">
      <c r="A22935" s="6"/>
      <c r="B22935" s="6"/>
      <c r="H22935" s="13"/>
    </row>
    <row r="22936">
      <c r="A22936" s="6"/>
      <c r="B22936" s="6"/>
      <c r="H22936" s="13"/>
    </row>
    <row r="22937">
      <c r="A22937" s="6"/>
      <c r="B22937" s="6"/>
      <c r="H22937" s="13"/>
    </row>
    <row r="22938">
      <c r="A22938" s="6"/>
      <c r="B22938" s="6"/>
      <c r="H22938" s="13"/>
    </row>
    <row r="22939">
      <c r="A22939" s="6"/>
      <c r="B22939" s="6"/>
      <c r="H22939" s="13"/>
    </row>
    <row r="22940">
      <c r="A22940" s="6"/>
      <c r="B22940" s="6"/>
      <c r="H22940" s="13"/>
    </row>
    <row r="22941">
      <c r="A22941" s="6"/>
      <c r="B22941" s="6"/>
      <c r="H22941" s="13"/>
    </row>
    <row r="22942">
      <c r="A22942" s="6"/>
      <c r="B22942" s="6"/>
      <c r="H22942" s="13"/>
    </row>
    <row r="22943">
      <c r="A22943" s="6"/>
      <c r="B22943" s="6"/>
      <c r="H22943" s="13"/>
    </row>
    <row r="22944">
      <c r="A22944" s="6"/>
      <c r="B22944" s="6"/>
      <c r="H22944" s="13"/>
    </row>
    <row r="22945">
      <c r="A22945" s="6"/>
      <c r="B22945" s="6"/>
      <c r="H22945" s="13"/>
    </row>
    <row r="22946">
      <c r="A22946" s="6"/>
      <c r="B22946" s="6"/>
      <c r="H22946" s="13"/>
    </row>
    <row r="22947">
      <c r="A22947" s="6"/>
      <c r="B22947" s="6"/>
      <c r="H22947" s="13"/>
    </row>
    <row r="22948">
      <c r="A22948" s="6"/>
      <c r="B22948" s="6"/>
      <c r="H22948" s="13"/>
    </row>
    <row r="22949">
      <c r="A22949" s="6"/>
      <c r="B22949" s="6"/>
      <c r="H22949" s="13"/>
    </row>
    <row r="22950">
      <c r="A22950" s="6"/>
      <c r="B22950" s="6"/>
      <c r="H22950" s="13"/>
    </row>
    <row r="22951">
      <c r="A22951" s="6"/>
      <c r="B22951" s="6"/>
      <c r="H22951" s="13"/>
    </row>
    <row r="22952">
      <c r="A22952" s="6"/>
      <c r="B22952" s="6"/>
      <c r="H22952" s="13"/>
    </row>
    <row r="22953">
      <c r="A22953" s="6"/>
      <c r="B22953" s="6"/>
      <c r="H22953" s="13"/>
    </row>
    <row r="22954">
      <c r="A22954" s="6"/>
      <c r="B22954" s="6"/>
      <c r="H22954" s="13"/>
    </row>
    <row r="22955">
      <c r="A22955" s="6"/>
      <c r="B22955" s="6"/>
      <c r="H22955" s="13"/>
    </row>
    <row r="22956">
      <c r="A22956" s="6"/>
      <c r="B22956" s="6"/>
      <c r="H22956" s="13"/>
    </row>
    <row r="22957">
      <c r="A22957" s="6"/>
      <c r="B22957" s="6"/>
      <c r="H22957" s="13"/>
    </row>
    <row r="22958">
      <c r="A22958" s="6"/>
      <c r="B22958" s="6"/>
      <c r="H22958" s="13"/>
    </row>
    <row r="22959">
      <c r="A22959" s="6"/>
      <c r="B22959" s="6"/>
      <c r="H22959" s="13"/>
    </row>
    <row r="22960">
      <c r="A22960" s="6"/>
      <c r="B22960" s="6"/>
      <c r="H22960" s="13"/>
    </row>
    <row r="22961">
      <c r="A22961" s="6"/>
      <c r="B22961" s="6"/>
      <c r="H22961" s="13"/>
    </row>
    <row r="22962">
      <c r="A22962" s="6"/>
      <c r="B22962" s="6"/>
      <c r="H22962" s="13"/>
    </row>
    <row r="22963">
      <c r="A22963" s="6"/>
      <c r="B22963" s="6"/>
      <c r="H22963" s="13"/>
    </row>
    <row r="22964">
      <c r="A22964" s="6"/>
      <c r="B22964" s="6"/>
      <c r="H22964" s="13"/>
    </row>
    <row r="22965">
      <c r="A22965" s="6"/>
      <c r="B22965" s="6"/>
      <c r="H22965" s="13"/>
    </row>
    <row r="22966">
      <c r="A22966" s="6"/>
      <c r="B22966" s="6"/>
      <c r="H22966" s="13"/>
    </row>
    <row r="22967">
      <c r="A22967" s="6"/>
      <c r="B22967" s="6"/>
      <c r="H22967" s="13"/>
    </row>
    <row r="22968">
      <c r="A22968" s="6"/>
      <c r="B22968" s="6"/>
      <c r="H22968" s="13"/>
    </row>
    <row r="22969">
      <c r="A22969" s="6"/>
      <c r="B22969" s="6"/>
      <c r="H22969" s="13"/>
    </row>
    <row r="22970">
      <c r="A22970" s="6"/>
      <c r="B22970" s="6"/>
      <c r="H22970" s="13"/>
    </row>
    <row r="22971">
      <c r="A22971" s="6"/>
      <c r="B22971" s="6"/>
      <c r="H22971" s="13"/>
    </row>
    <row r="22972">
      <c r="A22972" s="6"/>
      <c r="B22972" s="6"/>
      <c r="H22972" s="13"/>
    </row>
    <row r="22973">
      <c r="A22973" s="6"/>
      <c r="B22973" s="6"/>
      <c r="H22973" s="13"/>
    </row>
    <row r="22974">
      <c r="A22974" s="6"/>
      <c r="B22974" s="6"/>
      <c r="H22974" s="13"/>
    </row>
    <row r="22975">
      <c r="A22975" s="6"/>
      <c r="B22975" s="6"/>
      <c r="H22975" s="13"/>
    </row>
    <row r="22976">
      <c r="A22976" s="6"/>
      <c r="B22976" s="6"/>
      <c r="H22976" s="13"/>
    </row>
    <row r="22977">
      <c r="A22977" s="6"/>
      <c r="B22977" s="6"/>
      <c r="H22977" s="13"/>
    </row>
    <row r="22978">
      <c r="A22978" s="6"/>
      <c r="B22978" s="6"/>
      <c r="H22978" s="13"/>
    </row>
    <row r="22979">
      <c r="A22979" s="6"/>
      <c r="B22979" s="6"/>
      <c r="H22979" s="13"/>
    </row>
    <row r="22980">
      <c r="A22980" s="6"/>
      <c r="B22980" s="6"/>
      <c r="H22980" s="13"/>
    </row>
    <row r="22981">
      <c r="A22981" s="6"/>
      <c r="B22981" s="6"/>
      <c r="H22981" s="13"/>
    </row>
    <row r="22982">
      <c r="A22982" s="6"/>
      <c r="B22982" s="6"/>
      <c r="H22982" s="13"/>
    </row>
    <row r="22983">
      <c r="A22983" s="6"/>
      <c r="B22983" s="6"/>
      <c r="H22983" s="13"/>
    </row>
    <row r="22984">
      <c r="A22984" s="6"/>
      <c r="B22984" s="6"/>
      <c r="H22984" s="13"/>
    </row>
    <row r="22985">
      <c r="A22985" s="6"/>
      <c r="B22985" s="6"/>
      <c r="H22985" s="13"/>
    </row>
    <row r="22986">
      <c r="A22986" s="6"/>
      <c r="B22986" s="6"/>
      <c r="H22986" s="13"/>
    </row>
    <row r="22987">
      <c r="A22987" s="6"/>
      <c r="B22987" s="6"/>
      <c r="H22987" s="13"/>
    </row>
    <row r="22988">
      <c r="A22988" s="6"/>
      <c r="B22988" s="6"/>
      <c r="H22988" s="13"/>
    </row>
    <row r="22989">
      <c r="A22989" s="6"/>
      <c r="B22989" s="6"/>
      <c r="H22989" s="13"/>
    </row>
    <row r="22990">
      <c r="A22990" s="6"/>
      <c r="B22990" s="6"/>
      <c r="H22990" s="13"/>
    </row>
    <row r="22991">
      <c r="A22991" s="6"/>
      <c r="B22991" s="6"/>
      <c r="H22991" s="13"/>
    </row>
    <row r="22992">
      <c r="A22992" s="6"/>
      <c r="B22992" s="6"/>
      <c r="H22992" s="13"/>
    </row>
    <row r="22993">
      <c r="A22993" s="6"/>
      <c r="B22993" s="6"/>
      <c r="H22993" s="13"/>
    </row>
    <row r="22994">
      <c r="A22994" s="6"/>
      <c r="B22994" s="6"/>
      <c r="H22994" s="13"/>
    </row>
    <row r="22995">
      <c r="A22995" s="6"/>
      <c r="B22995" s="6"/>
      <c r="H22995" s="13"/>
    </row>
    <row r="22996">
      <c r="A22996" s="6"/>
      <c r="B22996" s="6"/>
      <c r="H22996" s="13"/>
    </row>
    <row r="22997">
      <c r="A22997" s="6"/>
      <c r="B22997" s="6"/>
      <c r="H22997" s="13"/>
    </row>
    <row r="22998">
      <c r="A22998" s="6"/>
      <c r="B22998" s="6"/>
      <c r="H22998" s="13"/>
    </row>
    <row r="22999">
      <c r="A22999" s="6"/>
      <c r="B22999" s="6"/>
      <c r="H22999" s="13"/>
    </row>
    <row r="23000">
      <c r="A23000" s="6"/>
      <c r="B23000" s="6"/>
      <c r="H23000" s="13"/>
    </row>
    <row r="23001">
      <c r="A23001" s="6"/>
      <c r="B23001" s="6"/>
      <c r="H23001" s="13"/>
    </row>
    <row r="23002">
      <c r="A23002" s="6"/>
      <c r="B23002" s="6"/>
      <c r="H23002" s="13"/>
    </row>
    <row r="23003">
      <c r="A23003" s="6"/>
      <c r="B23003" s="6"/>
      <c r="H23003" s="13"/>
    </row>
    <row r="23004">
      <c r="A23004" s="6"/>
      <c r="B23004" s="6"/>
      <c r="H23004" s="13"/>
    </row>
    <row r="23005">
      <c r="A23005" s="6"/>
      <c r="B23005" s="6"/>
      <c r="H23005" s="13"/>
    </row>
    <row r="23006">
      <c r="A23006" s="6"/>
      <c r="B23006" s="6"/>
      <c r="H23006" s="13"/>
    </row>
    <row r="23007">
      <c r="A23007" s="6"/>
      <c r="B23007" s="6"/>
      <c r="H23007" s="13"/>
    </row>
    <row r="23008">
      <c r="A23008" s="6"/>
      <c r="B23008" s="6"/>
      <c r="H23008" s="13"/>
    </row>
    <row r="23009">
      <c r="A23009" s="6"/>
      <c r="B23009" s="6"/>
      <c r="H23009" s="13"/>
    </row>
    <row r="23010">
      <c r="A23010" s="6"/>
      <c r="B23010" s="6"/>
      <c r="H23010" s="13"/>
    </row>
    <row r="23011">
      <c r="A23011" s="6"/>
      <c r="B23011" s="6"/>
      <c r="H23011" s="13"/>
    </row>
    <row r="23012">
      <c r="A23012" s="6"/>
      <c r="B23012" s="6"/>
      <c r="H23012" s="13"/>
    </row>
    <row r="23013">
      <c r="A23013" s="6"/>
      <c r="B23013" s="6"/>
      <c r="H23013" s="13"/>
    </row>
    <row r="23014">
      <c r="A23014" s="6"/>
      <c r="B23014" s="6"/>
      <c r="H23014" s="13"/>
    </row>
    <row r="23015">
      <c r="A23015" s="6"/>
      <c r="B23015" s="6"/>
      <c r="H23015" s="13"/>
    </row>
    <row r="23016">
      <c r="A23016" s="6"/>
      <c r="B23016" s="6"/>
      <c r="H23016" s="13"/>
    </row>
    <row r="23017">
      <c r="A23017" s="6"/>
      <c r="B23017" s="6"/>
      <c r="H23017" s="13"/>
    </row>
    <row r="23018">
      <c r="A23018" s="6"/>
      <c r="B23018" s="6"/>
      <c r="H23018" s="13"/>
    </row>
    <row r="23019">
      <c r="A23019" s="6"/>
      <c r="B23019" s="6"/>
      <c r="H23019" s="13"/>
    </row>
    <row r="23020">
      <c r="A23020" s="6"/>
      <c r="B23020" s="6"/>
      <c r="H23020" s="13"/>
    </row>
    <row r="23021">
      <c r="A23021" s="6"/>
      <c r="B23021" s="6"/>
      <c r="H23021" s="13"/>
    </row>
    <row r="23022">
      <c r="A23022" s="6"/>
      <c r="B23022" s="6"/>
      <c r="H23022" s="13"/>
    </row>
    <row r="23023">
      <c r="A23023" s="6"/>
      <c r="B23023" s="6"/>
      <c r="H23023" s="13"/>
    </row>
    <row r="23024">
      <c r="A23024" s="6"/>
      <c r="B23024" s="6"/>
      <c r="H23024" s="13"/>
    </row>
    <row r="23025">
      <c r="A23025" s="6"/>
      <c r="B23025" s="6"/>
      <c r="H23025" s="13"/>
    </row>
    <row r="23026">
      <c r="A23026" s="6"/>
      <c r="B23026" s="6"/>
      <c r="H23026" s="13"/>
    </row>
    <row r="23027">
      <c r="A23027" s="6"/>
      <c r="B23027" s="6"/>
      <c r="H23027" s="13"/>
    </row>
    <row r="23028">
      <c r="A23028" s="6"/>
      <c r="B23028" s="6"/>
      <c r="H23028" s="13"/>
    </row>
    <row r="23029">
      <c r="A23029" s="6"/>
      <c r="B23029" s="6"/>
      <c r="H23029" s="13"/>
    </row>
    <row r="23030">
      <c r="A23030" s="6"/>
      <c r="B23030" s="6"/>
      <c r="H23030" s="13"/>
    </row>
    <row r="23031">
      <c r="A23031" s="6"/>
      <c r="B23031" s="6"/>
      <c r="H23031" s="13"/>
    </row>
    <row r="23032">
      <c r="A23032" s="6"/>
      <c r="B23032" s="6"/>
      <c r="H23032" s="13"/>
    </row>
    <row r="23033">
      <c r="A23033" s="6"/>
      <c r="B23033" s="6"/>
      <c r="H23033" s="13"/>
    </row>
    <row r="23034">
      <c r="A23034" s="6"/>
      <c r="B23034" s="6"/>
      <c r="H23034" s="13"/>
    </row>
    <row r="23035">
      <c r="A23035" s="6"/>
      <c r="B23035" s="6"/>
      <c r="H23035" s="13"/>
    </row>
    <row r="23036">
      <c r="A23036" s="6"/>
      <c r="B23036" s="6"/>
      <c r="H23036" s="13"/>
    </row>
    <row r="23037">
      <c r="A23037" s="6"/>
      <c r="B23037" s="6"/>
      <c r="H23037" s="13"/>
    </row>
    <row r="23038">
      <c r="A23038" s="6"/>
      <c r="B23038" s="6"/>
      <c r="H23038" s="13"/>
    </row>
    <row r="23039">
      <c r="A23039" s="6"/>
      <c r="B23039" s="6"/>
      <c r="H23039" s="13"/>
    </row>
    <row r="23040">
      <c r="A23040" s="6"/>
      <c r="B23040" s="6"/>
      <c r="H23040" s="13"/>
    </row>
    <row r="23041">
      <c r="A23041" s="6"/>
      <c r="B23041" s="6"/>
      <c r="H23041" s="13"/>
    </row>
    <row r="23042">
      <c r="A23042" s="6"/>
      <c r="B23042" s="6"/>
      <c r="H23042" s="13"/>
    </row>
    <row r="23043">
      <c r="A23043" s="6"/>
      <c r="B23043" s="6"/>
      <c r="H23043" s="13"/>
    </row>
    <row r="23044">
      <c r="A23044" s="6"/>
      <c r="B23044" s="6"/>
      <c r="H23044" s="13"/>
    </row>
    <row r="23045">
      <c r="A23045" s="6"/>
      <c r="B23045" s="6"/>
      <c r="H23045" s="13"/>
    </row>
    <row r="23046">
      <c r="A23046" s="6"/>
      <c r="B23046" s="6"/>
      <c r="H23046" s="13"/>
    </row>
    <row r="23047">
      <c r="A23047" s="6"/>
      <c r="B23047" s="6"/>
      <c r="H23047" s="13"/>
    </row>
    <row r="23048">
      <c r="A23048" s="6"/>
      <c r="B23048" s="6"/>
      <c r="H23048" s="13"/>
    </row>
    <row r="23049">
      <c r="A23049" s="6"/>
      <c r="B23049" s="6"/>
      <c r="H23049" s="13"/>
    </row>
    <row r="23050">
      <c r="A23050" s="6"/>
      <c r="B23050" s="6"/>
      <c r="H23050" s="13"/>
    </row>
    <row r="23051">
      <c r="A23051" s="6"/>
      <c r="B23051" s="6"/>
      <c r="H23051" s="13"/>
    </row>
    <row r="23052">
      <c r="A23052" s="6"/>
      <c r="B23052" s="6"/>
      <c r="H23052" s="13"/>
    </row>
    <row r="23053">
      <c r="A23053" s="6"/>
      <c r="B23053" s="6"/>
      <c r="H23053" s="13"/>
    </row>
    <row r="23054">
      <c r="A23054" s="6"/>
      <c r="B23054" s="6"/>
      <c r="H23054" s="13"/>
    </row>
    <row r="23055">
      <c r="A23055" s="6"/>
      <c r="B23055" s="6"/>
      <c r="H23055" s="13"/>
    </row>
    <row r="23056">
      <c r="A23056" s="6"/>
      <c r="B23056" s="6"/>
      <c r="H23056" s="13"/>
    </row>
    <row r="23057">
      <c r="A23057" s="6"/>
      <c r="B23057" s="6"/>
      <c r="H23057" s="13"/>
    </row>
    <row r="23058">
      <c r="A23058" s="6"/>
      <c r="B23058" s="6"/>
      <c r="H23058" s="13"/>
    </row>
    <row r="23059">
      <c r="A23059" s="6"/>
      <c r="B23059" s="6"/>
      <c r="H23059" s="13"/>
    </row>
    <row r="23060">
      <c r="A23060" s="6"/>
      <c r="B23060" s="6"/>
      <c r="H23060" s="13"/>
    </row>
    <row r="23061">
      <c r="A23061" s="6"/>
      <c r="B23061" s="6"/>
      <c r="H23061" s="13"/>
    </row>
    <row r="23062">
      <c r="A23062" s="6"/>
      <c r="B23062" s="6"/>
      <c r="H23062" s="13"/>
    </row>
    <row r="23063">
      <c r="A23063" s="6"/>
      <c r="B23063" s="6"/>
      <c r="H23063" s="13"/>
    </row>
    <row r="23064">
      <c r="A23064" s="6"/>
      <c r="B23064" s="6"/>
      <c r="H23064" s="13"/>
    </row>
    <row r="23065">
      <c r="A23065" s="6"/>
      <c r="B23065" s="6"/>
      <c r="H23065" s="13"/>
    </row>
    <row r="23066">
      <c r="A23066" s="6"/>
      <c r="B23066" s="6"/>
      <c r="H23066" s="13"/>
    </row>
    <row r="23067">
      <c r="A23067" s="6"/>
      <c r="B23067" s="6"/>
      <c r="H23067" s="13"/>
    </row>
    <row r="23068">
      <c r="A23068" s="6"/>
      <c r="B23068" s="6"/>
      <c r="H23068" s="13"/>
    </row>
    <row r="23069">
      <c r="A23069" s="6"/>
      <c r="B23069" s="6"/>
      <c r="H23069" s="13"/>
    </row>
    <row r="23070">
      <c r="A23070" s="6"/>
      <c r="B23070" s="6"/>
      <c r="H23070" s="13"/>
    </row>
    <row r="23071">
      <c r="A23071" s="6"/>
      <c r="B23071" s="6"/>
      <c r="H23071" s="13"/>
    </row>
    <row r="23072">
      <c r="A23072" s="6"/>
      <c r="B23072" s="6"/>
      <c r="H23072" s="13"/>
    </row>
    <row r="23073">
      <c r="A23073" s="6"/>
      <c r="B23073" s="6"/>
      <c r="H23073" s="13"/>
    </row>
    <row r="23074">
      <c r="A23074" s="6"/>
      <c r="B23074" s="6"/>
      <c r="H23074" s="13"/>
    </row>
    <row r="23075">
      <c r="A23075" s="6"/>
      <c r="B23075" s="6"/>
      <c r="H23075" s="13"/>
    </row>
    <row r="23076">
      <c r="A23076" s="6"/>
      <c r="B23076" s="6"/>
      <c r="H23076" s="13"/>
    </row>
    <row r="23077">
      <c r="A23077" s="6"/>
      <c r="B23077" s="6"/>
      <c r="H23077" s="13"/>
    </row>
    <row r="23078">
      <c r="A23078" s="6"/>
      <c r="B23078" s="6"/>
      <c r="H23078" s="13"/>
    </row>
    <row r="23079">
      <c r="A23079" s="6"/>
      <c r="B23079" s="6"/>
      <c r="H23079" s="13"/>
    </row>
    <row r="23080">
      <c r="A23080" s="6"/>
      <c r="B23080" s="6"/>
      <c r="H23080" s="13"/>
    </row>
    <row r="23081">
      <c r="A23081" s="6"/>
      <c r="B23081" s="6"/>
      <c r="H23081" s="13"/>
    </row>
    <row r="23082">
      <c r="A23082" s="6"/>
      <c r="B23082" s="6"/>
      <c r="H23082" s="13"/>
    </row>
    <row r="23083">
      <c r="A23083" s="6"/>
      <c r="B23083" s="6"/>
      <c r="H23083" s="13"/>
    </row>
    <row r="23084">
      <c r="A23084" s="6"/>
      <c r="B23084" s="6"/>
      <c r="H23084" s="13"/>
    </row>
    <row r="23085">
      <c r="A23085" s="6"/>
      <c r="B23085" s="6"/>
      <c r="H23085" s="13"/>
    </row>
    <row r="23086">
      <c r="A23086" s="6"/>
      <c r="B23086" s="6"/>
      <c r="H23086" s="13"/>
    </row>
    <row r="23087">
      <c r="A23087" s="6"/>
      <c r="B23087" s="6"/>
      <c r="H23087" s="13"/>
    </row>
    <row r="23088">
      <c r="A23088" s="6"/>
      <c r="B23088" s="6"/>
      <c r="H23088" s="13"/>
    </row>
    <row r="23089">
      <c r="A23089" s="6"/>
      <c r="B23089" s="6"/>
      <c r="H23089" s="13"/>
    </row>
    <row r="23090">
      <c r="A23090" s="6"/>
      <c r="B23090" s="6"/>
      <c r="H23090" s="13"/>
    </row>
    <row r="23091">
      <c r="A23091" s="6"/>
      <c r="B23091" s="6"/>
      <c r="H23091" s="13"/>
    </row>
    <row r="23092">
      <c r="A23092" s="6"/>
      <c r="B23092" s="6"/>
      <c r="H23092" s="13"/>
    </row>
    <row r="23093">
      <c r="A23093" s="6"/>
      <c r="B23093" s="6"/>
      <c r="H23093" s="13"/>
    </row>
    <row r="23094">
      <c r="A23094" s="6"/>
      <c r="B23094" s="6"/>
      <c r="H23094" s="13"/>
    </row>
    <row r="23095">
      <c r="A23095" s="6"/>
      <c r="B23095" s="6"/>
      <c r="H23095" s="13"/>
    </row>
    <row r="23096">
      <c r="A23096" s="6"/>
      <c r="B23096" s="6"/>
      <c r="H23096" s="13"/>
    </row>
    <row r="23097">
      <c r="A23097" s="6"/>
      <c r="B23097" s="6"/>
      <c r="H23097" s="13"/>
    </row>
    <row r="23098">
      <c r="A23098" s="6"/>
      <c r="B23098" s="6"/>
      <c r="H23098" s="13"/>
    </row>
    <row r="23099">
      <c r="A23099" s="6"/>
      <c r="B23099" s="6"/>
      <c r="H23099" s="13"/>
    </row>
    <row r="23100">
      <c r="A23100" s="6"/>
      <c r="B23100" s="6"/>
      <c r="H23100" s="13"/>
    </row>
    <row r="23101">
      <c r="A23101" s="6"/>
      <c r="B23101" s="6"/>
      <c r="H23101" s="13"/>
    </row>
    <row r="23102">
      <c r="A23102" s="6"/>
      <c r="B23102" s="6"/>
      <c r="H23102" s="13"/>
    </row>
    <row r="23103">
      <c r="A23103" s="6"/>
      <c r="B23103" s="6"/>
      <c r="H23103" s="13"/>
    </row>
    <row r="23104">
      <c r="A23104" s="6"/>
      <c r="B23104" s="6"/>
      <c r="H23104" s="13"/>
    </row>
    <row r="23105">
      <c r="A23105" s="6"/>
      <c r="B23105" s="6"/>
      <c r="H23105" s="13"/>
    </row>
    <row r="23106">
      <c r="A23106" s="6"/>
      <c r="B23106" s="6"/>
      <c r="H23106" s="13"/>
    </row>
    <row r="23107">
      <c r="A23107" s="6"/>
      <c r="B23107" s="6"/>
      <c r="H23107" s="13"/>
    </row>
    <row r="23108">
      <c r="A23108" s="6"/>
      <c r="B23108" s="6"/>
      <c r="H23108" s="13"/>
    </row>
    <row r="23109">
      <c r="A23109" s="6"/>
      <c r="B23109" s="6"/>
      <c r="H23109" s="13"/>
    </row>
    <row r="23110">
      <c r="A23110" s="6"/>
      <c r="B23110" s="6"/>
      <c r="H23110" s="13"/>
    </row>
    <row r="23111">
      <c r="A23111" s="6"/>
      <c r="B23111" s="6"/>
      <c r="H23111" s="13"/>
    </row>
    <row r="23112">
      <c r="A23112" s="6"/>
      <c r="B23112" s="6"/>
      <c r="H23112" s="13"/>
    </row>
    <row r="23113">
      <c r="A23113" s="6"/>
      <c r="B23113" s="6"/>
      <c r="H23113" s="13"/>
    </row>
    <row r="23114">
      <c r="A23114" s="6"/>
      <c r="B23114" s="6"/>
      <c r="H23114" s="13"/>
    </row>
    <row r="23115">
      <c r="A23115" s="6"/>
      <c r="B23115" s="6"/>
      <c r="H23115" s="13"/>
    </row>
    <row r="23116">
      <c r="A23116" s="6"/>
      <c r="B23116" s="6"/>
      <c r="H23116" s="13"/>
    </row>
    <row r="23117">
      <c r="A23117" s="6"/>
      <c r="B23117" s="6"/>
      <c r="H23117" s="13"/>
    </row>
    <row r="23118">
      <c r="A23118" s="6"/>
      <c r="B23118" s="6"/>
      <c r="H23118" s="13"/>
    </row>
    <row r="23119">
      <c r="A23119" s="6"/>
      <c r="B23119" s="6"/>
      <c r="H23119" s="13"/>
    </row>
    <row r="23120">
      <c r="A23120" s="6"/>
      <c r="B23120" s="6"/>
      <c r="H23120" s="13"/>
    </row>
    <row r="23121">
      <c r="A23121" s="6"/>
      <c r="B23121" s="6"/>
      <c r="H23121" s="13"/>
    </row>
    <row r="23122">
      <c r="A23122" s="6"/>
      <c r="B23122" s="6"/>
      <c r="H23122" s="13"/>
    </row>
    <row r="23123">
      <c r="A23123" s="6"/>
      <c r="B23123" s="6"/>
      <c r="H23123" s="13"/>
    </row>
    <row r="23124">
      <c r="A23124" s="6"/>
      <c r="B23124" s="6"/>
      <c r="H23124" s="13"/>
    </row>
    <row r="23125">
      <c r="A23125" s="6"/>
      <c r="B23125" s="6"/>
      <c r="H23125" s="13"/>
    </row>
    <row r="23126">
      <c r="A23126" s="6"/>
      <c r="B23126" s="6"/>
      <c r="H23126" s="13"/>
    </row>
    <row r="23127">
      <c r="A23127" s="6"/>
      <c r="B23127" s="6"/>
      <c r="H23127" s="13"/>
    </row>
    <row r="23128">
      <c r="A23128" s="6"/>
      <c r="B23128" s="6"/>
      <c r="H23128" s="13"/>
    </row>
    <row r="23129">
      <c r="A23129" s="6"/>
      <c r="B23129" s="6"/>
      <c r="H23129" s="13"/>
    </row>
    <row r="23130">
      <c r="A23130" s="6"/>
      <c r="B23130" s="6"/>
      <c r="H23130" s="13"/>
    </row>
    <row r="23131">
      <c r="A23131" s="6"/>
      <c r="B23131" s="6"/>
      <c r="H23131" s="13"/>
    </row>
    <row r="23132">
      <c r="A23132" s="6"/>
      <c r="B23132" s="6"/>
      <c r="H23132" s="13"/>
    </row>
    <row r="23133">
      <c r="A23133" s="6"/>
      <c r="B23133" s="6"/>
      <c r="H23133" s="13"/>
    </row>
    <row r="23134">
      <c r="A23134" s="6"/>
      <c r="B23134" s="6"/>
      <c r="H23134" s="13"/>
    </row>
    <row r="23135">
      <c r="A23135" s="6"/>
      <c r="B23135" s="6"/>
      <c r="H23135" s="13"/>
    </row>
    <row r="23136">
      <c r="A23136" s="6"/>
      <c r="B23136" s="6"/>
      <c r="H23136" s="13"/>
    </row>
    <row r="23137">
      <c r="A23137" s="6"/>
      <c r="B23137" s="6"/>
      <c r="H23137" s="13"/>
    </row>
    <row r="23138">
      <c r="A23138" s="6"/>
      <c r="B23138" s="6"/>
      <c r="H23138" s="13"/>
    </row>
    <row r="23139">
      <c r="A23139" s="6"/>
      <c r="B23139" s="6"/>
      <c r="H23139" s="13"/>
    </row>
    <row r="23140">
      <c r="A23140" s="6"/>
      <c r="B23140" s="6"/>
      <c r="H23140" s="13"/>
    </row>
    <row r="23141">
      <c r="A23141" s="6"/>
      <c r="B23141" s="6"/>
      <c r="H23141" s="13"/>
    </row>
    <row r="23142">
      <c r="A23142" s="6"/>
      <c r="B23142" s="6"/>
      <c r="H23142" s="13"/>
    </row>
    <row r="23143">
      <c r="A23143" s="6"/>
      <c r="B23143" s="6"/>
      <c r="H23143" s="13"/>
    </row>
    <row r="23144">
      <c r="A23144" s="6"/>
      <c r="B23144" s="6"/>
      <c r="H23144" s="13"/>
    </row>
    <row r="23145">
      <c r="A23145" s="6"/>
      <c r="B23145" s="6"/>
      <c r="H23145" s="13"/>
    </row>
    <row r="23146">
      <c r="A23146" s="6"/>
      <c r="B23146" s="6"/>
      <c r="H23146" s="13"/>
    </row>
    <row r="23147">
      <c r="A23147" s="6"/>
      <c r="B23147" s="6"/>
      <c r="H23147" s="13"/>
    </row>
    <row r="23148">
      <c r="A23148" s="6"/>
      <c r="B23148" s="6"/>
      <c r="H23148" s="13"/>
    </row>
    <row r="23149">
      <c r="A23149" s="6"/>
      <c r="B23149" s="6"/>
      <c r="H23149" s="13"/>
    </row>
    <row r="23150">
      <c r="A23150" s="6"/>
      <c r="B23150" s="6"/>
      <c r="H23150" s="13"/>
    </row>
    <row r="23151">
      <c r="A23151" s="6"/>
      <c r="B23151" s="6"/>
      <c r="H23151" s="13"/>
    </row>
    <row r="23152">
      <c r="A23152" s="6"/>
      <c r="B23152" s="6"/>
      <c r="H23152" s="13"/>
    </row>
    <row r="23153">
      <c r="A23153" s="6"/>
      <c r="B23153" s="6"/>
      <c r="H23153" s="13"/>
    </row>
    <row r="23154">
      <c r="A23154" s="6"/>
      <c r="B23154" s="6"/>
      <c r="H23154" s="13"/>
    </row>
    <row r="23155">
      <c r="A23155" s="6"/>
      <c r="B23155" s="6"/>
      <c r="H23155" s="13"/>
    </row>
    <row r="23156">
      <c r="A23156" s="6"/>
      <c r="B23156" s="6"/>
      <c r="H23156" s="13"/>
    </row>
    <row r="23157">
      <c r="A23157" s="6"/>
      <c r="B23157" s="6"/>
      <c r="H23157" s="13"/>
    </row>
    <row r="23158">
      <c r="A23158" s="6"/>
      <c r="B23158" s="6"/>
      <c r="H23158" s="13"/>
    </row>
    <row r="23159">
      <c r="A23159" s="6"/>
      <c r="B23159" s="6"/>
      <c r="H23159" s="13"/>
    </row>
    <row r="23160">
      <c r="A23160" s="6"/>
      <c r="B23160" s="6"/>
      <c r="H23160" s="13"/>
    </row>
    <row r="23161">
      <c r="A23161" s="6"/>
      <c r="B23161" s="6"/>
      <c r="H23161" s="13"/>
    </row>
    <row r="23162">
      <c r="A23162" s="6"/>
      <c r="B23162" s="6"/>
      <c r="H23162" s="13"/>
    </row>
    <row r="23163">
      <c r="A23163" s="6"/>
      <c r="B23163" s="6"/>
      <c r="H23163" s="13"/>
    </row>
    <row r="23164">
      <c r="A23164" s="6"/>
      <c r="B23164" s="6"/>
      <c r="H23164" s="13"/>
    </row>
    <row r="23165">
      <c r="A23165" s="6"/>
      <c r="B23165" s="6"/>
      <c r="H23165" s="13"/>
    </row>
    <row r="23166">
      <c r="A23166" s="6"/>
      <c r="B23166" s="6"/>
      <c r="H23166" s="13"/>
    </row>
    <row r="23167">
      <c r="A23167" s="6"/>
      <c r="B23167" s="6"/>
      <c r="H23167" s="13"/>
    </row>
    <row r="23168">
      <c r="A23168" s="6"/>
      <c r="B23168" s="6"/>
      <c r="H23168" s="13"/>
    </row>
    <row r="23169">
      <c r="A23169" s="6"/>
      <c r="B23169" s="6"/>
      <c r="H23169" s="13"/>
    </row>
    <row r="23170">
      <c r="A23170" s="6"/>
      <c r="B23170" s="6"/>
      <c r="H23170" s="13"/>
    </row>
    <row r="23171">
      <c r="A23171" s="6"/>
      <c r="B23171" s="6"/>
      <c r="H23171" s="13"/>
    </row>
    <row r="23172">
      <c r="A23172" s="6"/>
      <c r="B23172" s="6"/>
      <c r="H23172" s="13"/>
    </row>
    <row r="23173">
      <c r="A23173" s="6"/>
      <c r="B23173" s="6"/>
      <c r="H23173" s="13"/>
    </row>
    <row r="23174">
      <c r="A23174" s="6"/>
      <c r="B23174" s="6"/>
      <c r="H23174" s="13"/>
    </row>
    <row r="23175">
      <c r="A23175" s="6"/>
      <c r="B23175" s="6"/>
      <c r="H23175" s="13"/>
    </row>
    <row r="23176">
      <c r="A23176" s="6"/>
      <c r="B23176" s="6"/>
      <c r="H23176" s="13"/>
    </row>
    <row r="23177">
      <c r="A23177" s="6"/>
      <c r="B23177" s="6"/>
      <c r="H23177" s="13"/>
    </row>
    <row r="23178">
      <c r="A23178" s="6"/>
      <c r="B23178" s="6"/>
      <c r="H23178" s="13"/>
    </row>
    <row r="23179">
      <c r="A23179" s="6"/>
      <c r="B23179" s="6"/>
      <c r="H23179" s="13"/>
    </row>
    <row r="23180">
      <c r="A23180" s="6"/>
      <c r="B23180" s="6"/>
      <c r="H23180" s="13"/>
    </row>
    <row r="23181">
      <c r="A23181" s="6"/>
      <c r="B23181" s="6"/>
      <c r="H23181" s="13"/>
    </row>
    <row r="23182">
      <c r="A23182" s="6"/>
      <c r="B23182" s="6"/>
      <c r="H23182" s="13"/>
    </row>
    <row r="23183">
      <c r="A23183" s="6"/>
      <c r="B23183" s="6"/>
      <c r="H23183" s="13"/>
    </row>
    <row r="23184">
      <c r="A23184" s="6"/>
      <c r="B23184" s="6"/>
      <c r="H23184" s="13"/>
    </row>
    <row r="23185">
      <c r="A23185" s="6"/>
      <c r="B23185" s="6"/>
      <c r="H23185" s="13"/>
    </row>
    <row r="23186">
      <c r="A23186" s="6"/>
      <c r="B23186" s="6"/>
      <c r="H23186" s="13"/>
    </row>
    <row r="23187">
      <c r="A23187" s="6"/>
      <c r="B23187" s="6"/>
      <c r="H23187" s="13"/>
    </row>
    <row r="23188">
      <c r="A23188" s="6"/>
      <c r="B23188" s="6"/>
      <c r="H23188" s="13"/>
    </row>
    <row r="23189">
      <c r="A23189" s="6"/>
      <c r="B23189" s="6"/>
      <c r="H23189" s="13"/>
    </row>
    <row r="23190">
      <c r="A23190" s="6"/>
      <c r="B23190" s="6"/>
      <c r="H23190" s="13"/>
    </row>
    <row r="23191">
      <c r="A23191" s="6"/>
      <c r="B23191" s="6"/>
      <c r="H23191" s="13"/>
    </row>
    <row r="23192">
      <c r="A23192" s="6"/>
      <c r="B23192" s="6"/>
      <c r="H23192" s="13"/>
    </row>
    <row r="23193">
      <c r="A23193" s="6"/>
      <c r="B23193" s="6"/>
      <c r="H23193" s="13"/>
    </row>
    <row r="23194">
      <c r="A23194" s="6"/>
      <c r="B23194" s="6"/>
      <c r="H23194" s="13"/>
    </row>
    <row r="23195">
      <c r="A23195" s="6"/>
      <c r="B23195" s="6"/>
      <c r="H23195" s="13"/>
    </row>
    <row r="23196">
      <c r="A23196" s="6"/>
      <c r="B23196" s="6"/>
      <c r="H23196" s="13"/>
    </row>
    <row r="23197">
      <c r="A23197" s="6"/>
      <c r="B23197" s="6"/>
      <c r="H23197" s="13"/>
    </row>
    <row r="23198">
      <c r="A23198" s="6"/>
      <c r="B23198" s="6"/>
      <c r="H23198" s="13"/>
    </row>
    <row r="23199">
      <c r="A23199" s="6"/>
      <c r="B23199" s="6"/>
      <c r="H23199" s="13"/>
    </row>
    <row r="23200">
      <c r="A23200" s="6"/>
      <c r="B23200" s="6"/>
      <c r="H23200" s="13"/>
    </row>
    <row r="23201">
      <c r="A23201" s="6"/>
      <c r="B23201" s="6"/>
      <c r="H23201" s="13"/>
    </row>
    <row r="23202">
      <c r="A23202" s="6"/>
      <c r="B23202" s="6"/>
      <c r="H23202" s="13"/>
    </row>
    <row r="23203">
      <c r="A23203" s="6"/>
      <c r="B23203" s="6"/>
      <c r="H23203" s="13"/>
    </row>
    <row r="23204">
      <c r="A23204" s="6"/>
      <c r="B23204" s="6"/>
      <c r="H23204" s="13"/>
    </row>
    <row r="23205">
      <c r="A23205" s="6"/>
      <c r="B23205" s="6"/>
      <c r="H23205" s="13"/>
    </row>
    <row r="23206">
      <c r="A23206" s="6"/>
      <c r="B23206" s="6"/>
      <c r="H23206" s="13"/>
    </row>
    <row r="23207">
      <c r="A23207" s="6"/>
      <c r="B23207" s="6"/>
      <c r="H23207" s="13"/>
    </row>
    <row r="23208">
      <c r="A23208" s="6"/>
      <c r="B23208" s="6"/>
      <c r="H23208" s="13"/>
    </row>
    <row r="23209">
      <c r="A23209" s="6"/>
      <c r="B23209" s="6"/>
      <c r="H23209" s="13"/>
    </row>
    <row r="23210">
      <c r="A23210" s="6"/>
      <c r="B23210" s="6"/>
      <c r="H23210" s="13"/>
    </row>
    <row r="23211">
      <c r="A23211" s="6"/>
      <c r="B23211" s="6"/>
      <c r="H23211" s="13"/>
    </row>
    <row r="23212">
      <c r="A23212" s="6"/>
      <c r="B23212" s="6"/>
      <c r="H23212" s="13"/>
    </row>
    <row r="23213">
      <c r="A23213" s="6"/>
      <c r="B23213" s="6"/>
      <c r="H23213" s="13"/>
    </row>
    <row r="23214">
      <c r="A23214" s="6"/>
      <c r="B23214" s="6"/>
      <c r="H23214" s="13"/>
    </row>
    <row r="23215">
      <c r="A23215" s="6"/>
      <c r="B23215" s="6"/>
      <c r="H23215" s="13"/>
    </row>
    <row r="23216">
      <c r="A23216" s="6"/>
      <c r="B23216" s="6"/>
      <c r="H23216" s="13"/>
    </row>
    <row r="23217">
      <c r="A23217" s="6"/>
      <c r="B23217" s="6"/>
      <c r="H23217" s="13"/>
    </row>
    <row r="23218">
      <c r="A23218" s="6"/>
      <c r="B23218" s="6"/>
      <c r="H23218" s="13"/>
    </row>
    <row r="23219">
      <c r="A23219" s="6"/>
      <c r="B23219" s="6"/>
      <c r="H23219" s="13"/>
    </row>
    <row r="23220">
      <c r="A23220" s="6"/>
      <c r="B23220" s="6"/>
      <c r="H23220" s="13"/>
    </row>
    <row r="23221">
      <c r="A23221" s="6"/>
      <c r="B23221" s="6"/>
      <c r="H23221" s="13"/>
    </row>
    <row r="23222">
      <c r="A23222" s="6"/>
      <c r="B23222" s="6"/>
      <c r="H23222" s="13"/>
    </row>
    <row r="23223">
      <c r="A23223" s="6"/>
      <c r="B23223" s="6"/>
      <c r="H23223" s="13"/>
    </row>
    <row r="23224">
      <c r="A23224" s="6"/>
      <c r="B23224" s="6"/>
      <c r="H23224" s="13"/>
    </row>
    <row r="23225">
      <c r="A23225" s="6"/>
      <c r="B23225" s="6"/>
      <c r="H23225" s="13"/>
    </row>
    <row r="23226">
      <c r="A23226" s="6"/>
      <c r="B23226" s="6"/>
      <c r="H23226" s="13"/>
    </row>
    <row r="23227">
      <c r="A23227" s="6"/>
      <c r="B23227" s="6"/>
      <c r="H23227" s="13"/>
    </row>
    <row r="23228">
      <c r="A23228" s="6"/>
      <c r="B23228" s="6"/>
      <c r="H23228" s="13"/>
    </row>
    <row r="23229">
      <c r="A23229" s="6"/>
      <c r="B23229" s="6"/>
      <c r="H23229" s="13"/>
    </row>
    <row r="23230">
      <c r="A23230" s="6"/>
      <c r="B23230" s="6"/>
      <c r="H23230" s="13"/>
    </row>
    <row r="23231">
      <c r="A23231" s="6"/>
      <c r="B23231" s="6"/>
      <c r="H23231" s="13"/>
    </row>
    <row r="23232">
      <c r="A23232" s="6"/>
      <c r="B23232" s="6"/>
      <c r="H23232" s="13"/>
    </row>
    <row r="23233">
      <c r="A23233" s="6"/>
      <c r="B23233" s="6"/>
      <c r="H23233" s="13"/>
    </row>
    <row r="23234">
      <c r="A23234" s="6"/>
      <c r="B23234" s="6"/>
      <c r="H23234" s="13"/>
    </row>
    <row r="23235">
      <c r="A23235" s="6"/>
      <c r="B23235" s="6"/>
      <c r="H23235" s="13"/>
    </row>
    <row r="23236">
      <c r="A23236" s="6"/>
      <c r="B23236" s="6"/>
      <c r="H23236" s="13"/>
    </row>
    <row r="23237">
      <c r="A23237" s="6"/>
      <c r="B23237" s="6"/>
      <c r="H23237" s="13"/>
    </row>
    <row r="23238">
      <c r="A23238" s="6"/>
      <c r="B23238" s="6"/>
      <c r="H23238" s="13"/>
    </row>
    <row r="23239">
      <c r="A23239" s="6"/>
      <c r="B23239" s="6"/>
      <c r="H23239" s="13"/>
    </row>
    <row r="23240">
      <c r="A23240" s="6"/>
      <c r="B23240" s="6"/>
      <c r="H23240" s="13"/>
    </row>
    <row r="23241">
      <c r="A23241" s="6"/>
      <c r="B23241" s="6"/>
      <c r="H23241" s="13"/>
    </row>
    <row r="23242">
      <c r="A23242" s="6"/>
      <c r="B23242" s="6"/>
      <c r="H23242" s="13"/>
    </row>
    <row r="23243">
      <c r="A23243" s="6"/>
      <c r="B23243" s="6"/>
      <c r="H23243" s="13"/>
    </row>
    <row r="23244">
      <c r="A23244" s="6"/>
      <c r="B23244" s="6"/>
      <c r="H23244" s="13"/>
    </row>
    <row r="23245">
      <c r="A23245" s="6"/>
      <c r="B23245" s="6"/>
      <c r="H23245" s="13"/>
    </row>
    <row r="23246">
      <c r="A23246" s="6"/>
      <c r="B23246" s="6"/>
      <c r="H23246" s="13"/>
    </row>
    <row r="23247">
      <c r="A23247" s="6"/>
      <c r="B23247" s="6"/>
      <c r="H23247" s="13"/>
    </row>
    <row r="23248">
      <c r="A23248" s="6"/>
      <c r="B23248" s="6"/>
      <c r="H23248" s="13"/>
    </row>
    <row r="23249">
      <c r="A23249" s="6"/>
      <c r="B23249" s="6"/>
      <c r="H23249" s="13"/>
    </row>
    <row r="23250">
      <c r="A23250" s="6"/>
      <c r="B23250" s="6"/>
      <c r="H23250" s="13"/>
    </row>
    <row r="23251">
      <c r="A23251" s="6"/>
      <c r="B23251" s="6"/>
      <c r="H23251" s="13"/>
    </row>
    <row r="23252">
      <c r="A23252" s="6"/>
      <c r="B23252" s="6"/>
      <c r="H23252" s="13"/>
    </row>
    <row r="23253">
      <c r="A23253" s="6"/>
      <c r="B23253" s="6"/>
      <c r="H23253" s="13"/>
    </row>
    <row r="23254">
      <c r="A23254" s="6"/>
      <c r="B23254" s="6"/>
      <c r="H23254" s="13"/>
    </row>
    <row r="23255">
      <c r="A23255" s="6"/>
      <c r="B23255" s="6"/>
      <c r="H23255" s="13"/>
    </row>
    <row r="23256">
      <c r="A23256" s="6"/>
      <c r="B23256" s="6"/>
      <c r="H23256" s="13"/>
    </row>
    <row r="23257">
      <c r="A23257" s="6"/>
      <c r="B23257" s="6"/>
      <c r="H23257" s="13"/>
    </row>
    <row r="23258">
      <c r="A23258" s="6"/>
      <c r="B23258" s="6"/>
      <c r="H23258" s="13"/>
    </row>
    <row r="23259">
      <c r="A23259" s="6"/>
      <c r="B23259" s="6"/>
      <c r="H23259" s="13"/>
    </row>
    <row r="23260">
      <c r="A23260" s="6"/>
      <c r="B23260" s="6"/>
      <c r="H23260" s="13"/>
    </row>
    <row r="23261">
      <c r="A23261" s="6"/>
      <c r="B23261" s="6"/>
      <c r="H23261" s="13"/>
    </row>
    <row r="23262">
      <c r="A23262" s="6"/>
      <c r="B23262" s="6"/>
      <c r="H23262" s="13"/>
    </row>
    <row r="23263">
      <c r="A23263" s="6"/>
      <c r="B23263" s="6"/>
      <c r="H23263" s="13"/>
    </row>
    <row r="23264">
      <c r="A23264" s="6"/>
      <c r="B23264" s="6"/>
      <c r="H23264" s="13"/>
    </row>
    <row r="23265">
      <c r="A23265" s="6"/>
      <c r="B23265" s="6"/>
      <c r="H23265" s="13"/>
    </row>
    <row r="23266">
      <c r="A23266" s="6"/>
      <c r="B23266" s="6"/>
      <c r="H23266" s="13"/>
    </row>
    <row r="23267">
      <c r="A23267" s="6"/>
      <c r="B23267" s="6"/>
      <c r="H23267" s="13"/>
    </row>
    <row r="23268">
      <c r="A23268" s="6"/>
      <c r="B23268" s="6"/>
      <c r="H23268" s="13"/>
    </row>
    <row r="23269">
      <c r="A23269" s="6"/>
      <c r="B23269" s="6"/>
      <c r="H23269" s="13"/>
    </row>
    <row r="23270">
      <c r="A23270" s="6"/>
      <c r="B23270" s="6"/>
      <c r="H23270" s="13"/>
    </row>
    <row r="23271">
      <c r="A23271" s="6"/>
      <c r="B23271" s="6"/>
      <c r="H23271" s="13"/>
    </row>
    <row r="23272">
      <c r="A23272" s="6"/>
      <c r="B23272" s="6"/>
      <c r="H23272" s="13"/>
    </row>
    <row r="23273">
      <c r="A23273" s="6"/>
      <c r="B23273" s="6"/>
      <c r="H23273" s="13"/>
    </row>
    <row r="23274">
      <c r="A23274" s="6"/>
      <c r="B23274" s="6"/>
      <c r="H23274" s="13"/>
    </row>
    <row r="23275">
      <c r="A23275" s="6"/>
      <c r="B23275" s="6"/>
      <c r="H23275" s="13"/>
    </row>
    <row r="23276">
      <c r="A23276" s="6"/>
      <c r="B23276" s="6"/>
      <c r="H23276" s="13"/>
    </row>
    <row r="23277">
      <c r="A23277" s="6"/>
      <c r="B23277" s="6"/>
      <c r="H23277" s="13"/>
    </row>
    <row r="23278">
      <c r="A23278" s="6"/>
      <c r="B23278" s="6"/>
      <c r="H23278" s="13"/>
    </row>
    <row r="23279">
      <c r="A23279" s="6"/>
      <c r="B23279" s="6"/>
      <c r="H23279" s="13"/>
    </row>
    <row r="23280">
      <c r="A23280" s="6"/>
      <c r="B23280" s="6"/>
      <c r="H23280" s="13"/>
    </row>
    <row r="23281">
      <c r="A23281" s="6"/>
      <c r="B23281" s="6"/>
      <c r="H23281" s="13"/>
    </row>
    <row r="23282">
      <c r="A23282" s="6"/>
      <c r="B23282" s="6"/>
      <c r="H23282" s="13"/>
    </row>
    <row r="23283">
      <c r="A23283" s="6"/>
      <c r="B23283" s="6"/>
      <c r="H23283" s="13"/>
    </row>
    <row r="23284">
      <c r="A23284" s="6"/>
      <c r="B23284" s="6"/>
      <c r="H23284" s="13"/>
    </row>
    <row r="23285">
      <c r="A23285" s="6"/>
      <c r="B23285" s="6"/>
      <c r="H23285" s="13"/>
    </row>
    <row r="23286">
      <c r="A23286" s="6"/>
      <c r="B23286" s="6"/>
      <c r="H23286" s="13"/>
    </row>
    <row r="23287">
      <c r="A23287" s="6"/>
      <c r="B23287" s="6"/>
      <c r="H23287" s="13"/>
    </row>
    <row r="23288">
      <c r="A23288" s="6"/>
      <c r="B23288" s="6"/>
      <c r="H23288" s="13"/>
    </row>
    <row r="23289">
      <c r="A23289" s="6"/>
      <c r="B23289" s="6"/>
      <c r="H23289" s="13"/>
    </row>
    <row r="23290">
      <c r="A23290" s="6"/>
      <c r="B23290" s="6"/>
      <c r="H23290" s="13"/>
    </row>
    <row r="23291">
      <c r="A23291" s="6"/>
      <c r="B23291" s="6"/>
      <c r="H23291" s="13"/>
    </row>
    <row r="23292">
      <c r="A23292" s="6"/>
      <c r="B23292" s="6"/>
      <c r="H23292" s="13"/>
    </row>
    <row r="23293">
      <c r="A23293" s="6"/>
      <c r="B23293" s="6"/>
      <c r="H23293" s="13"/>
    </row>
    <row r="23294">
      <c r="A23294" s="6"/>
      <c r="B23294" s="6"/>
      <c r="H23294" s="13"/>
    </row>
    <row r="23295">
      <c r="A23295" s="6"/>
      <c r="B23295" s="6"/>
      <c r="H23295" s="13"/>
    </row>
    <row r="23296">
      <c r="A23296" s="6"/>
      <c r="B23296" s="6"/>
      <c r="H23296" s="13"/>
    </row>
    <row r="23297">
      <c r="A23297" s="6"/>
      <c r="B23297" s="6"/>
      <c r="H23297" s="13"/>
    </row>
    <row r="23298">
      <c r="A23298" s="6"/>
      <c r="B23298" s="6"/>
      <c r="H23298" s="13"/>
    </row>
    <row r="23299">
      <c r="A23299" s="6"/>
      <c r="B23299" s="6"/>
      <c r="H23299" s="13"/>
    </row>
    <row r="23300">
      <c r="A23300" s="6"/>
      <c r="B23300" s="6"/>
      <c r="H23300" s="13"/>
    </row>
    <row r="23301">
      <c r="A23301" s="6"/>
      <c r="B23301" s="6"/>
      <c r="H23301" s="13"/>
    </row>
    <row r="23302">
      <c r="A23302" s="6"/>
      <c r="B23302" s="6"/>
      <c r="H23302" s="13"/>
    </row>
    <row r="23303">
      <c r="A23303" s="6"/>
      <c r="B23303" s="6"/>
      <c r="H23303" s="13"/>
    </row>
    <row r="23304">
      <c r="A23304" s="6"/>
      <c r="B23304" s="6"/>
      <c r="H23304" s="13"/>
    </row>
    <row r="23305">
      <c r="A23305" s="6"/>
      <c r="B23305" s="6"/>
      <c r="H23305" s="13"/>
    </row>
    <row r="23306">
      <c r="A23306" s="6"/>
      <c r="B23306" s="6"/>
      <c r="H23306" s="13"/>
    </row>
    <row r="23307">
      <c r="A23307" s="6"/>
      <c r="B23307" s="6"/>
      <c r="H23307" s="13"/>
    </row>
    <row r="23308">
      <c r="A23308" s="6"/>
      <c r="B23308" s="6"/>
      <c r="H23308" s="13"/>
    </row>
    <row r="23309">
      <c r="A23309" s="6"/>
      <c r="B23309" s="6"/>
      <c r="H23309" s="13"/>
    </row>
    <row r="23310">
      <c r="A23310" s="6"/>
      <c r="B23310" s="6"/>
      <c r="H23310" s="13"/>
    </row>
    <row r="23311">
      <c r="A23311" s="6"/>
      <c r="B23311" s="6"/>
      <c r="H23311" s="13"/>
    </row>
    <row r="23312">
      <c r="A23312" s="6"/>
      <c r="B23312" s="6"/>
      <c r="H23312" s="13"/>
    </row>
    <row r="23313">
      <c r="A23313" s="6"/>
      <c r="B23313" s="6"/>
      <c r="H23313" s="13"/>
    </row>
    <row r="23314">
      <c r="A23314" s="6"/>
      <c r="B23314" s="6"/>
      <c r="H23314" s="13"/>
    </row>
    <row r="23315">
      <c r="A23315" s="6"/>
      <c r="B23315" s="6"/>
      <c r="H23315" s="13"/>
    </row>
    <row r="23316">
      <c r="A23316" s="6"/>
      <c r="B23316" s="6"/>
      <c r="H23316" s="13"/>
    </row>
    <row r="23317">
      <c r="A23317" s="6"/>
      <c r="B23317" s="6"/>
      <c r="H23317" s="13"/>
    </row>
    <row r="23318">
      <c r="A23318" s="6"/>
      <c r="B23318" s="6"/>
      <c r="H23318" s="13"/>
    </row>
    <row r="23319">
      <c r="A23319" s="6"/>
      <c r="B23319" s="6"/>
      <c r="H23319" s="13"/>
    </row>
    <row r="23320">
      <c r="A23320" s="6"/>
      <c r="B23320" s="6"/>
      <c r="H23320" s="13"/>
    </row>
    <row r="23321">
      <c r="A23321" s="6"/>
      <c r="B23321" s="6"/>
      <c r="H23321" s="13"/>
    </row>
    <row r="23322">
      <c r="A23322" s="6"/>
      <c r="B23322" s="6"/>
      <c r="H23322" s="13"/>
    </row>
    <row r="23323">
      <c r="A23323" s="6"/>
      <c r="B23323" s="6"/>
      <c r="H23323" s="13"/>
    </row>
    <row r="23324">
      <c r="A23324" s="6"/>
      <c r="B23324" s="6"/>
      <c r="H23324" s="13"/>
    </row>
    <row r="23325">
      <c r="A23325" s="6"/>
      <c r="B23325" s="6"/>
      <c r="H23325" s="13"/>
    </row>
    <row r="23326">
      <c r="A23326" s="6"/>
      <c r="B23326" s="6"/>
      <c r="H23326" s="13"/>
    </row>
    <row r="23327">
      <c r="A23327" s="6"/>
      <c r="B23327" s="6"/>
      <c r="H23327" s="13"/>
    </row>
    <row r="23328">
      <c r="A23328" s="6"/>
      <c r="B23328" s="6"/>
      <c r="H23328" s="13"/>
    </row>
    <row r="23329">
      <c r="A23329" s="6"/>
      <c r="B23329" s="6"/>
      <c r="H23329" s="13"/>
    </row>
    <row r="23330">
      <c r="A23330" s="6"/>
      <c r="B23330" s="6"/>
      <c r="H23330" s="13"/>
    </row>
    <row r="23331">
      <c r="A23331" s="6"/>
      <c r="B23331" s="6"/>
      <c r="H23331" s="13"/>
    </row>
    <row r="23332">
      <c r="A23332" s="6"/>
      <c r="B23332" s="6"/>
      <c r="H23332" s="13"/>
    </row>
    <row r="23333">
      <c r="A23333" s="6"/>
      <c r="B23333" s="6"/>
      <c r="H23333" s="13"/>
    </row>
    <row r="23334">
      <c r="A23334" s="6"/>
      <c r="B23334" s="6"/>
      <c r="H23334" s="13"/>
    </row>
    <row r="23335">
      <c r="A23335" s="6"/>
      <c r="B23335" s="6"/>
      <c r="H23335" s="13"/>
    </row>
    <row r="23336">
      <c r="A23336" s="6"/>
      <c r="B23336" s="6"/>
      <c r="H23336" s="13"/>
    </row>
    <row r="23337">
      <c r="A23337" s="6"/>
      <c r="B23337" s="6"/>
      <c r="H23337" s="13"/>
    </row>
    <row r="23338">
      <c r="A23338" s="6"/>
      <c r="B23338" s="6"/>
      <c r="H23338" s="13"/>
    </row>
    <row r="23339">
      <c r="A23339" s="6"/>
      <c r="B23339" s="6"/>
      <c r="H23339" s="13"/>
    </row>
    <row r="23340">
      <c r="A23340" s="6"/>
      <c r="B23340" s="6"/>
      <c r="H23340" s="13"/>
    </row>
    <row r="23341">
      <c r="A23341" s="6"/>
      <c r="B23341" s="6"/>
      <c r="H23341" s="13"/>
    </row>
    <row r="23342">
      <c r="A23342" s="6"/>
      <c r="B23342" s="6"/>
      <c r="H23342" s="13"/>
    </row>
    <row r="23343">
      <c r="A23343" s="6"/>
      <c r="B23343" s="6"/>
      <c r="H23343" s="13"/>
    </row>
    <row r="23344">
      <c r="A23344" s="6"/>
      <c r="B23344" s="6"/>
      <c r="H23344" s="13"/>
    </row>
    <row r="23345">
      <c r="A23345" s="6"/>
      <c r="B23345" s="6"/>
      <c r="H23345" s="13"/>
    </row>
    <row r="23346">
      <c r="A23346" s="6"/>
      <c r="B23346" s="6"/>
      <c r="H23346" s="13"/>
    </row>
    <row r="23347">
      <c r="A23347" s="6"/>
      <c r="B23347" s="6"/>
      <c r="H23347" s="13"/>
    </row>
    <row r="23348">
      <c r="A23348" s="6"/>
      <c r="B23348" s="6"/>
      <c r="H23348" s="13"/>
    </row>
    <row r="23349">
      <c r="A23349" s="6"/>
      <c r="B23349" s="6"/>
      <c r="H23349" s="13"/>
    </row>
    <row r="23350">
      <c r="A23350" s="6"/>
      <c r="B23350" s="6"/>
      <c r="H23350" s="13"/>
    </row>
    <row r="23351">
      <c r="A23351" s="6"/>
      <c r="B23351" s="6"/>
      <c r="H23351" s="13"/>
    </row>
    <row r="23352">
      <c r="A23352" s="6"/>
      <c r="B23352" s="6"/>
      <c r="H23352" s="13"/>
    </row>
    <row r="23353">
      <c r="A23353" s="6"/>
      <c r="B23353" s="6"/>
      <c r="H23353" s="13"/>
    </row>
    <row r="23354">
      <c r="A23354" s="6"/>
      <c r="B23354" s="6"/>
      <c r="H23354" s="13"/>
    </row>
    <row r="23355">
      <c r="A23355" s="6"/>
      <c r="B23355" s="6"/>
      <c r="H23355" s="13"/>
    </row>
    <row r="23356">
      <c r="A23356" s="6"/>
      <c r="B23356" s="6"/>
      <c r="H23356" s="13"/>
    </row>
    <row r="23357">
      <c r="A23357" s="6"/>
      <c r="B23357" s="6"/>
      <c r="H23357" s="13"/>
    </row>
    <row r="23358">
      <c r="A23358" s="6"/>
      <c r="B23358" s="6"/>
      <c r="H23358" s="13"/>
    </row>
    <row r="23359">
      <c r="A23359" s="6"/>
      <c r="B23359" s="6"/>
      <c r="H23359" s="13"/>
    </row>
    <row r="23360">
      <c r="A23360" s="6"/>
      <c r="B23360" s="6"/>
      <c r="H23360" s="13"/>
    </row>
    <row r="23361">
      <c r="A23361" s="6"/>
      <c r="B23361" s="6"/>
      <c r="H23361" s="13"/>
    </row>
    <row r="23362">
      <c r="A23362" s="6"/>
      <c r="B23362" s="6"/>
      <c r="H23362" s="13"/>
    </row>
    <row r="23363">
      <c r="A23363" s="6"/>
      <c r="B23363" s="6"/>
      <c r="H23363" s="13"/>
    </row>
    <row r="23364">
      <c r="A23364" s="6"/>
      <c r="B23364" s="6"/>
      <c r="H23364" s="13"/>
    </row>
    <row r="23365">
      <c r="A23365" s="6"/>
      <c r="B23365" s="6"/>
      <c r="H23365" s="13"/>
    </row>
    <row r="23366">
      <c r="A23366" s="6"/>
      <c r="B23366" s="6"/>
      <c r="H23366" s="13"/>
    </row>
    <row r="23367">
      <c r="A23367" s="6"/>
      <c r="B23367" s="6"/>
      <c r="H23367" s="13"/>
    </row>
    <row r="23368">
      <c r="A23368" s="6"/>
      <c r="B23368" s="6"/>
      <c r="H23368" s="13"/>
    </row>
    <row r="23369">
      <c r="A23369" s="6"/>
      <c r="B23369" s="6"/>
      <c r="H23369" s="13"/>
    </row>
    <row r="23370">
      <c r="A23370" s="6"/>
      <c r="B23370" s="6"/>
      <c r="H23370" s="13"/>
    </row>
    <row r="23371">
      <c r="A23371" s="6"/>
      <c r="B23371" s="6"/>
      <c r="H23371" s="13"/>
    </row>
    <row r="23372">
      <c r="A23372" s="6"/>
      <c r="B23372" s="6"/>
      <c r="H23372" s="13"/>
    </row>
    <row r="23373">
      <c r="A23373" s="6"/>
      <c r="B23373" s="6"/>
      <c r="H23373" s="13"/>
    </row>
    <row r="23374">
      <c r="A23374" s="6"/>
      <c r="B23374" s="6"/>
      <c r="H23374" s="13"/>
    </row>
    <row r="23375">
      <c r="A23375" s="6"/>
      <c r="B23375" s="6"/>
      <c r="H23375" s="13"/>
    </row>
    <row r="23376">
      <c r="A23376" s="6"/>
      <c r="B23376" s="6"/>
      <c r="H23376" s="13"/>
    </row>
    <row r="23377">
      <c r="A23377" s="6"/>
      <c r="B23377" s="6"/>
      <c r="H23377" s="13"/>
    </row>
    <row r="23378">
      <c r="A23378" s="6"/>
      <c r="B23378" s="6"/>
      <c r="H23378" s="13"/>
    </row>
    <row r="23379">
      <c r="A23379" s="6"/>
      <c r="B23379" s="6"/>
      <c r="H23379" s="13"/>
    </row>
    <row r="23380">
      <c r="A23380" s="6"/>
      <c r="B23380" s="6"/>
      <c r="H23380" s="13"/>
    </row>
    <row r="23381">
      <c r="A23381" s="6"/>
      <c r="B23381" s="6"/>
      <c r="H23381" s="13"/>
    </row>
    <row r="23382">
      <c r="A23382" s="6"/>
      <c r="B23382" s="6"/>
      <c r="H23382" s="13"/>
    </row>
    <row r="23383">
      <c r="A23383" s="6"/>
      <c r="B23383" s="6"/>
      <c r="H23383" s="13"/>
    </row>
    <row r="23384">
      <c r="A23384" s="6"/>
      <c r="B23384" s="6"/>
      <c r="H23384" s="13"/>
    </row>
    <row r="23385">
      <c r="A23385" s="6"/>
      <c r="B23385" s="6"/>
      <c r="H23385" s="13"/>
    </row>
    <row r="23386">
      <c r="A23386" s="6"/>
      <c r="B23386" s="6"/>
      <c r="H23386" s="13"/>
    </row>
    <row r="23387">
      <c r="A23387" s="6"/>
      <c r="B23387" s="6"/>
      <c r="H23387" s="13"/>
    </row>
    <row r="23388">
      <c r="A23388" s="6"/>
      <c r="B23388" s="6"/>
      <c r="H23388" s="13"/>
    </row>
    <row r="23389">
      <c r="A23389" s="6"/>
      <c r="B23389" s="6"/>
      <c r="H23389" s="13"/>
    </row>
    <row r="23390">
      <c r="A23390" s="6"/>
      <c r="B23390" s="6"/>
      <c r="H23390" s="13"/>
    </row>
    <row r="23391">
      <c r="A23391" s="6"/>
      <c r="B23391" s="6"/>
      <c r="H23391" s="13"/>
    </row>
    <row r="23392">
      <c r="A23392" s="6"/>
      <c r="B23392" s="6"/>
      <c r="H23392" s="13"/>
    </row>
    <row r="23393">
      <c r="A23393" s="6"/>
      <c r="B23393" s="6"/>
      <c r="H23393" s="13"/>
    </row>
    <row r="23394">
      <c r="A23394" s="6"/>
      <c r="B23394" s="6"/>
      <c r="H23394" s="13"/>
    </row>
    <row r="23395">
      <c r="A23395" s="6"/>
      <c r="B23395" s="6"/>
      <c r="H23395" s="13"/>
    </row>
    <row r="23396">
      <c r="A23396" s="6"/>
      <c r="B23396" s="6"/>
      <c r="H23396" s="13"/>
    </row>
    <row r="23397">
      <c r="A23397" s="6"/>
      <c r="B23397" s="6"/>
      <c r="H23397" s="13"/>
    </row>
    <row r="23398">
      <c r="A23398" s="6"/>
      <c r="B23398" s="6"/>
      <c r="H23398" s="13"/>
    </row>
    <row r="23399">
      <c r="A23399" s="6"/>
      <c r="B23399" s="6"/>
      <c r="H23399" s="13"/>
    </row>
    <row r="23400">
      <c r="A23400" s="6"/>
      <c r="B23400" s="6"/>
      <c r="H23400" s="13"/>
    </row>
    <row r="23401">
      <c r="A23401" s="6"/>
      <c r="B23401" s="6"/>
      <c r="H23401" s="13"/>
    </row>
    <row r="23402">
      <c r="A23402" s="6"/>
      <c r="B23402" s="6"/>
      <c r="H23402" s="13"/>
    </row>
    <row r="23403">
      <c r="A23403" s="6"/>
      <c r="B23403" s="6"/>
      <c r="H23403" s="13"/>
    </row>
    <row r="23404">
      <c r="A23404" s="6"/>
      <c r="B23404" s="6"/>
      <c r="H23404" s="13"/>
    </row>
    <row r="23405">
      <c r="A23405" s="6"/>
      <c r="B23405" s="6"/>
      <c r="H23405" s="13"/>
    </row>
    <row r="23406">
      <c r="A23406" s="6"/>
      <c r="B23406" s="6"/>
      <c r="H23406" s="13"/>
    </row>
    <row r="23407">
      <c r="A23407" s="6"/>
      <c r="B23407" s="6"/>
      <c r="H23407" s="13"/>
    </row>
    <row r="23408">
      <c r="A23408" s="6"/>
      <c r="B23408" s="6"/>
      <c r="H23408" s="13"/>
    </row>
    <row r="23409">
      <c r="A23409" s="6"/>
      <c r="B23409" s="6"/>
      <c r="H23409" s="13"/>
    </row>
    <row r="23410">
      <c r="A23410" s="6"/>
      <c r="B23410" s="6"/>
      <c r="H23410" s="13"/>
    </row>
    <row r="23411">
      <c r="A23411" s="6"/>
      <c r="B23411" s="6"/>
      <c r="H23411" s="13"/>
    </row>
    <row r="23412">
      <c r="A23412" s="6"/>
      <c r="B23412" s="6"/>
      <c r="H23412" s="13"/>
    </row>
    <row r="23413">
      <c r="A23413" s="6"/>
      <c r="B23413" s="6"/>
      <c r="H23413" s="13"/>
    </row>
    <row r="23414">
      <c r="A23414" s="6"/>
      <c r="B23414" s="6"/>
      <c r="H23414" s="13"/>
    </row>
    <row r="23415">
      <c r="A23415" s="6"/>
      <c r="B23415" s="6"/>
      <c r="H23415" s="13"/>
    </row>
    <row r="23416">
      <c r="A23416" s="6"/>
      <c r="B23416" s="6"/>
      <c r="H23416" s="13"/>
    </row>
    <row r="23417">
      <c r="A23417" s="6"/>
      <c r="B23417" s="6"/>
      <c r="H23417" s="13"/>
    </row>
    <row r="23418">
      <c r="A23418" s="6"/>
      <c r="B23418" s="6"/>
      <c r="H23418" s="13"/>
    </row>
    <row r="23419">
      <c r="A23419" s="6"/>
      <c r="B23419" s="6"/>
      <c r="H23419" s="13"/>
    </row>
    <row r="23420">
      <c r="A23420" s="6"/>
      <c r="B23420" s="6"/>
      <c r="H23420" s="13"/>
    </row>
    <row r="23421">
      <c r="A23421" s="6"/>
      <c r="B23421" s="6"/>
      <c r="H23421" s="13"/>
    </row>
    <row r="23422">
      <c r="A23422" s="6"/>
      <c r="B23422" s="6"/>
      <c r="H23422" s="13"/>
    </row>
    <row r="23423">
      <c r="A23423" s="6"/>
      <c r="B23423" s="6"/>
      <c r="H23423" s="13"/>
    </row>
    <row r="23424">
      <c r="A23424" s="6"/>
      <c r="B23424" s="6"/>
      <c r="H23424" s="13"/>
    </row>
    <row r="23425">
      <c r="A23425" s="6"/>
      <c r="B23425" s="6"/>
      <c r="H23425" s="13"/>
    </row>
    <row r="23426">
      <c r="A23426" s="6"/>
      <c r="B23426" s="6"/>
      <c r="H23426" s="13"/>
    </row>
    <row r="23427">
      <c r="A23427" s="6"/>
      <c r="B23427" s="6"/>
      <c r="H23427" s="13"/>
    </row>
    <row r="23428">
      <c r="A23428" s="6"/>
      <c r="B23428" s="6"/>
      <c r="H23428" s="13"/>
    </row>
    <row r="23429">
      <c r="A23429" s="6"/>
      <c r="B23429" s="6"/>
      <c r="H23429" s="13"/>
    </row>
    <row r="23430">
      <c r="A23430" s="6"/>
      <c r="B23430" s="6"/>
      <c r="H23430" s="13"/>
    </row>
    <row r="23431">
      <c r="A23431" s="6"/>
      <c r="B23431" s="6"/>
      <c r="H23431" s="13"/>
    </row>
    <row r="23432">
      <c r="A23432" s="6"/>
      <c r="B23432" s="6"/>
      <c r="H23432" s="13"/>
    </row>
    <row r="23433">
      <c r="A23433" s="6"/>
      <c r="B23433" s="6"/>
      <c r="H23433" s="13"/>
    </row>
    <row r="23434">
      <c r="A23434" s="6"/>
      <c r="B23434" s="6"/>
      <c r="H23434" s="13"/>
    </row>
    <row r="23435">
      <c r="A23435" s="6"/>
      <c r="B23435" s="6"/>
      <c r="H23435" s="13"/>
    </row>
    <row r="23436">
      <c r="A23436" s="6"/>
      <c r="B23436" s="6"/>
      <c r="H23436" s="13"/>
    </row>
    <row r="23437">
      <c r="A23437" s="6"/>
      <c r="B23437" s="6"/>
      <c r="H23437" s="13"/>
    </row>
    <row r="23438">
      <c r="A23438" s="6"/>
      <c r="B23438" s="6"/>
      <c r="H23438" s="13"/>
    </row>
    <row r="23439">
      <c r="A23439" s="6"/>
      <c r="B23439" s="6"/>
      <c r="H23439" s="13"/>
    </row>
    <row r="23440">
      <c r="A23440" s="6"/>
      <c r="B23440" s="6"/>
      <c r="H23440" s="13"/>
    </row>
    <row r="23441">
      <c r="A23441" s="6"/>
      <c r="B23441" s="6"/>
      <c r="H23441" s="13"/>
    </row>
    <row r="23442">
      <c r="A23442" s="6"/>
      <c r="B23442" s="6"/>
      <c r="H23442" s="13"/>
    </row>
    <row r="23443">
      <c r="A23443" s="6"/>
      <c r="B23443" s="6"/>
      <c r="H23443" s="13"/>
    </row>
    <row r="23444">
      <c r="A23444" s="6"/>
      <c r="B23444" s="6"/>
      <c r="H23444" s="13"/>
    </row>
    <row r="23445">
      <c r="A23445" s="6"/>
      <c r="B23445" s="6"/>
      <c r="H23445" s="13"/>
    </row>
    <row r="23446">
      <c r="A23446" s="6"/>
      <c r="B23446" s="6"/>
      <c r="H23446" s="13"/>
    </row>
    <row r="23447">
      <c r="A23447" s="6"/>
      <c r="B23447" s="6"/>
      <c r="H23447" s="13"/>
    </row>
    <row r="23448">
      <c r="A23448" s="6"/>
      <c r="B23448" s="6"/>
      <c r="H23448" s="13"/>
    </row>
    <row r="23449">
      <c r="A23449" s="6"/>
      <c r="B23449" s="6"/>
      <c r="H23449" s="13"/>
    </row>
    <row r="23450">
      <c r="A23450" s="6"/>
      <c r="B23450" s="6"/>
      <c r="H23450" s="13"/>
    </row>
    <row r="23451">
      <c r="A23451" s="6"/>
      <c r="B23451" s="6"/>
      <c r="H23451" s="13"/>
    </row>
    <row r="23452">
      <c r="A23452" s="6"/>
      <c r="B23452" s="6"/>
      <c r="H23452" s="13"/>
    </row>
    <row r="23453">
      <c r="A23453" s="6"/>
      <c r="B23453" s="6"/>
      <c r="H23453" s="13"/>
    </row>
    <row r="23454">
      <c r="A23454" s="6"/>
      <c r="B23454" s="6"/>
      <c r="H23454" s="13"/>
    </row>
    <row r="23455">
      <c r="A23455" s="6"/>
      <c r="B23455" s="6"/>
      <c r="H23455" s="13"/>
    </row>
    <row r="23456">
      <c r="A23456" s="6"/>
      <c r="B23456" s="6"/>
      <c r="H23456" s="13"/>
    </row>
    <row r="23457">
      <c r="A23457" s="6"/>
      <c r="B23457" s="6"/>
      <c r="H23457" s="13"/>
    </row>
    <row r="23458">
      <c r="A23458" s="6"/>
      <c r="B23458" s="6"/>
      <c r="H23458" s="13"/>
    </row>
    <row r="23459">
      <c r="A23459" s="6"/>
      <c r="B23459" s="6"/>
      <c r="H23459" s="13"/>
    </row>
    <row r="23460">
      <c r="A23460" s="6"/>
      <c r="B23460" s="6"/>
      <c r="H23460" s="13"/>
    </row>
    <row r="23461">
      <c r="A23461" s="6"/>
      <c r="B23461" s="6"/>
      <c r="H23461" s="13"/>
    </row>
    <row r="23462">
      <c r="A23462" s="6"/>
      <c r="B23462" s="6"/>
      <c r="H23462" s="13"/>
    </row>
    <row r="23463">
      <c r="A23463" s="6"/>
      <c r="B23463" s="6"/>
      <c r="H23463" s="13"/>
    </row>
    <row r="23464">
      <c r="A23464" s="6"/>
      <c r="B23464" s="6"/>
      <c r="H23464" s="13"/>
    </row>
    <row r="23465">
      <c r="A23465" s="6"/>
      <c r="B23465" s="6"/>
      <c r="H23465" s="13"/>
    </row>
    <row r="23466">
      <c r="A23466" s="6"/>
      <c r="B23466" s="6"/>
      <c r="H23466" s="13"/>
    </row>
    <row r="23467">
      <c r="A23467" s="6"/>
      <c r="B23467" s="6"/>
      <c r="H23467" s="13"/>
    </row>
    <row r="23468">
      <c r="A23468" s="6"/>
      <c r="B23468" s="6"/>
      <c r="H23468" s="13"/>
    </row>
    <row r="23469">
      <c r="A23469" s="6"/>
      <c r="B23469" s="6"/>
      <c r="H23469" s="13"/>
    </row>
    <row r="23470">
      <c r="A23470" s="6"/>
      <c r="B23470" s="6"/>
      <c r="H23470" s="13"/>
    </row>
    <row r="23471">
      <c r="A23471" s="6"/>
      <c r="B23471" s="6"/>
      <c r="H23471" s="13"/>
    </row>
    <row r="23472">
      <c r="A23472" s="6"/>
      <c r="B23472" s="6"/>
      <c r="H23472" s="13"/>
    </row>
    <row r="23473">
      <c r="A23473" s="6"/>
      <c r="B23473" s="6"/>
      <c r="H23473" s="13"/>
    </row>
    <row r="23474">
      <c r="A23474" s="6"/>
      <c r="B23474" s="6"/>
      <c r="H23474" s="13"/>
    </row>
    <row r="23475">
      <c r="A23475" s="6"/>
      <c r="B23475" s="6"/>
      <c r="H23475" s="13"/>
    </row>
    <row r="23476">
      <c r="A23476" s="6"/>
      <c r="B23476" s="6"/>
      <c r="H23476" s="13"/>
    </row>
    <row r="23477">
      <c r="A23477" s="6"/>
      <c r="B23477" s="6"/>
      <c r="H23477" s="13"/>
    </row>
    <row r="23478">
      <c r="A23478" s="6"/>
      <c r="B23478" s="6"/>
      <c r="H23478" s="13"/>
    </row>
    <row r="23479">
      <c r="A23479" s="6"/>
      <c r="B23479" s="6"/>
      <c r="H23479" s="13"/>
    </row>
    <row r="23480">
      <c r="A23480" s="6"/>
      <c r="B23480" s="6"/>
      <c r="H23480" s="13"/>
    </row>
    <row r="23481">
      <c r="A23481" s="6"/>
      <c r="B23481" s="6"/>
      <c r="H23481" s="13"/>
    </row>
    <row r="23482">
      <c r="A23482" s="6"/>
      <c r="B23482" s="6"/>
      <c r="H23482" s="13"/>
    </row>
    <row r="23483">
      <c r="A23483" s="6"/>
      <c r="B23483" s="6"/>
      <c r="H23483" s="13"/>
    </row>
    <row r="23484">
      <c r="A23484" s="6"/>
      <c r="B23484" s="6"/>
      <c r="H23484" s="13"/>
    </row>
    <row r="23485">
      <c r="A23485" s="6"/>
      <c r="B23485" s="6"/>
      <c r="H23485" s="13"/>
    </row>
    <row r="23486">
      <c r="A23486" s="6"/>
      <c r="B23486" s="6"/>
      <c r="H23486" s="13"/>
    </row>
    <row r="23487">
      <c r="A23487" s="6"/>
      <c r="B23487" s="6"/>
      <c r="H23487" s="13"/>
    </row>
    <row r="23488">
      <c r="A23488" s="6"/>
      <c r="B23488" s="6"/>
      <c r="H23488" s="13"/>
    </row>
    <row r="23489">
      <c r="A23489" s="6"/>
      <c r="B23489" s="6"/>
      <c r="H23489" s="13"/>
    </row>
    <row r="23490">
      <c r="A23490" s="6"/>
      <c r="B23490" s="6"/>
      <c r="H23490" s="13"/>
    </row>
    <row r="23491">
      <c r="A23491" s="6"/>
      <c r="B23491" s="6"/>
      <c r="H23491" s="13"/>
    </row>
    <row r="23492">
      <c r="A23492" s="6"/>
      <c r="B23492" s="6"/>
      <c r="H23492" s="13"/>
    </row>
    <row r="23493">
      <c r="A23493" s="6"/>
      <c r="B23493" s="6"/>
      <c r="H23493" s="13"/>
    </row>
    <row r="23494">
      <c r="A23494" s="6"/>
      <c r="B23494" s="6"/>
      <c r="H23494" s="13"/>
    </row>
    <row r="23495">
      <c r="A23495" s="6"/>
      <c r="B23495" s="6"/>
      <c r="H23495" s="13"/>
    </row>
    <row r="23496">
      <c r="A23496" s="6"/>
      <c r="B23496" s="6"/>
      <c r="H23496" s="13"/>
    </row>
    <row r="23497">
      <c r="A23497" s="6"/>
      <c r="B23497" s="6"/>
      <c r="H23497" s="13"/>
    </row>
    <row r="23498">
      <c r="A23498" s="6"/>
      <c r="B23498" s="6"/>
      <c r="H23498" s="13"/>
    </row>
    <row r="23499">
      <c r="A23499" s="6"/>
      <c r="B23499" s="6"/>
      <c r="H23499" s="13"/>
    </row>
    <row r="23500">
      <c r="A23500" s="6"/>
      <c r="B23500" s="6"/>
      <c r="H23500" s="13"/>
    </row>
    <row r="23501">
      <c r="A23501" s="6"/>
      <c r="B23501" s="6"/>
      <c r="H23501" s="13"/>
    </row>
    <row r="23502">
      <c r="A23502" s="6"/>
      <c r="B23502" s="6"/>
      <c r="H23502" s="13"/>
    </row>
    <row r="23503">
      <c r="A23503" s="6"/>
      <c r="B23503" s="6"/>
      <c r="H23503" s="13"/>
    </row>
    <row r="23504">
      <c r="A23504" s="6"/>
      <c r="B23504" s="6"/>
      <c r="H23504" s="13"/>
    </row>
    <row r="23505">
      <c r="A23505" s="6"/>
      <c r="B23505" s="6"/>
      <c r="H23505" s="13"/>
    </row>
    <row r="23506">
      <c r="A23506" s="6"/>
      <c r="B23506" s="6"/>
      <c r="H23506" s="13"/>
    </row>
    <row r="23507">
      <c r="A23507" s="6"/>
      <c r="B23507" s="6"/>
      <c r="H23507" s="13"/>
    </row>
    <row r="23508">
      <c r="A23508" s="6"/>
      <c r="B23508" s="6"/>
      <c r="H23508" s="13"/>
    </row>
    <row r="23509">
      <c r="A23509" s="6"/>
      <c r="B23509" s="6"/>
      <c r="H23509" s="13"/>
    </row>
    <row r="23510">
      <c r="A23510" s="6"/>
      <c r="B23510" s="6"/>
      <c r="H23510" s="13"/>
    </row>
    <row r="23511">
      <c r="A23511" s="6"/>
      <c r="B23511" s="6"/>
      <c r="H23511" s="13"/>
    </row>
    <row r="23512">
      <c r="A23512" s="6"/>
      <c r="B23512" s="6"/>
      <c r="H23512" s="13"/>
    </row>
    <row r="23513">
      <c r="A23513" s="6"/>
      <c r="B23513" s="6"/>
      <c r="H23513" s="13"/>
    </row>
    <row r="23514">
      <c r="A23514" s="6"/>
      <c r="B23514" s="6"/>
      <c r="H23514" s="13"/>
    </row>
    <row r="23515">
      <c r="A23515" s="6"/>
      <c r="B23515" s="6"/>
      <c r="H23515" s="13"/>
    </row>
    <row r="23516">
      <c r="A23516" s="6"/>
      <c r="B23516" s="6"/>
      <c r="H23516" s="13"/>
    </row>
    <row r="23517">
      <c r="A23517" s="6"/>
      <c r="B23517" s="6"/>
      <c r="H23517" s="13"/>
    </row>
    <row r="23518">
      <c r="A23518" s="6"/>
      <c r="B23518" s="6"/>
      <c r="H23518" s="13"/>
    </row>
    <row r="23519">
      <c r="A23519" s="6"/>
      <c r="B23519" s="6"/>
      <c r="H23519" s="13"/>
    </row>
    <row r="23520">
      <c r="A23520" s="6"/>
      <c r="B23520" s="6"/>
      <c r="H23520" s="13"/>
    </row>
    <row r="23521">
      <c r="A23521" s="6"/>
      <c r="B23521" s="6"/>
      <c r="H23521" s="13"/>
    </row>
    <row r="23522">
      <c r="A23522" s="6"/>
      <c r="B23522" s="6"/>
      <c r="H23522" s="13"/>
    </row>
    <row r="23523">
      <c r="A23523" s="6"/>
      <c r="B23523" s="6"/>
      <c r="H23523" s="13"/>
    </row>
    <row r="23524">
      <c r="A23524" s="6"/>
      <c r="B23524" s="6"/>
      <c r="H23524" s="13"/>
    </row>
    <row r="23525">
      <c r="A23525" s="6"/>
      <c r="B23525" s="6"/>
      <c r="H23525" s="13"/>
    </row>
    <row r="23526">
      <c r="A23526" s="6"/>
      <c r="B23526" s="6"/>
      <c r="H23526" s="13"/>
    </row>
    <row r="23527">
      <c r="A23527" s="6"/>
      <c r="B23527" s="6"/>
      <c r="H23527" s="13"/>
    </row>
    <row r="23528">
      <c r="A23528" s="6"/>
      <c r="B23528" s="6"/>
      <c r="H23528" s="13"/>
    </row>
    <row r="23529">
      <c r="A23529" s="6"/>
      <c r="B23529" s="6"/>
      <c r="H23529" s="13"/>
    </row>
    <row r="23530">
      <c r="A23530" s="6"/>
      <c r="B23530" s="6"/>
      <c r="H23530" s="13"/>
    </row>
    <row r="23531">
      <c r="A23531" s="6"/>
      <c r="B23531" s="6"/>
      <c r="H23531" s="13"/>
    </row>
    <row r="23532">
      <c r="A23532" s="6"/>
      <c r="B23532" s="6"/>
      <c r="H23532" s="13"/>
    </row>
    <row r="23533">
      <c r="A23533" s="6"/>
      <c r="B23533" s="6"/>
      <c r="H23533" s="13"/>
    </row>
    <row r="23534">
      <c r="A23534" s="6"/>
      <c r="B23534" s="6"/>
      <c r="H23534" s="13"/>
    </row>
    <row r="23535">
      <c r="A23535" s="6"/>
      <c r="B23535" s="6"/>
      <c r="H23535" s="13"/>
    </row>
    <row r="23536">
      <c r="A23536" s="6"/>
      <c r="B23536" s="6"/>
      <c r="H23536" s="13"/>
    </row>
    <row r="23537">
      <c r="A23537" s="6"/>
      <c r="B23537" s="6"/>
      <c r="H23537" s="13"/>
    </row>
    <row r="23538">
      <c r="A23538" s="6"/>
      <c r="B23538" s="6"/>
      <c r="H23538" s="13"/>
    </row>
    <row r="23539">
      <c r="A23539" s="6"/>
      <c r="B23539" s="6"/>
      <c r="H23539" s="13"/>
    </row>
    <row r="23540">
      <c r="A23540" s="6"/>
      <c r="B23540" s="6"/>
      <c r="H23540" s="13"/>
    </row>
    <row r="23541">
      <c r="A23541" s="6"/>
      <c r="B23541" s="6"/>
      <c r="H23541" s="13"/>
    </row>
    <row r="23542">
      <c r="A23542" s="6"/>
      <c r="B23542" s="6"/>
      <c r="H23542" s="13"/>
    </row>
    <row r="23543">
      <c r="A23543" s="6"/>
      <c r="B23543" s="6"/>
      <c r="H23543" s="13"/>
    </row>
    <row r="23544">
      <c r="A23544" s="6"/>
      <c r="B23544" s="6"/>
      <c r="H23544" s="13"/>
    </row>
    <row r="23545">
      <c r="A23545" s="6"/>
      <c r="B23545" s="6"/>
      <c r="H23545" s="13"/>
    </row>
    <row r="23546">
      <c r="A23546" s="6"/>
      <c r="B23546" s="6"/>
      <c r="H23546" s="13"/>
    </row>
    <row r="23547">
      <c r="A23547" s="6"/>
      <c r="B23547" s="6"/>
      <c r="H23547" s="13"/>
    </row>
    <row r="23548">
      <c r="A23548" s="6"/>
      <c r="B23548" s="6"/>
      <c r="H23548" s="13"/>
    </row>
    <row r="23549">
      <c r="A23549" s="6"/>
      <c r="B23549" s="6"/>
      <c r="H23549" s="13"/>
    </row>
    <row r="23550">
      <c r="A23550" s="6"/>
      <c r="B23550" s="6"/>
      <c r="H23550" s="13"/>
    </row>
    <row r="23551">
      <c r="A23551" s="6"/>
      <c r="B23551" s="6"/>
      <c r="H23551" s="13"/>
    </row>
    <row r="23552">
      <c r="A23552" s="6"/>
      <c r="B23552" s="6"/>
      <c r="H23552" s="13"/>
    </row>
    <row r="23553">
      <c r="A23553" s="6"/>
      <c r="B23553" s="6"/>
      <c r="H23553" s="13"/>
    </row>
    <row r="23554">
      <c r="A23554" s="6"/>
      <c r="B23554" s="6"/>
      <c r="H23554" s="13"/>
    </row>
    <row r="23555">
      <c r="A23555" s="6"/>
      <c r="B23555" s="6"/>
      <c r="H23555" s="13"/>
    </row>
    <row r="23556">
      <c r="A23556" s="6"/>
      <c r="B23556" s="6"/>
      <c r="H23556" s="13"/>
    </row>
    <row r="23557">
      <c r="A23557" s="6"/>
      <c r="B23557" s="6"/>
      <c r="H23557" s="13"/>
    </row>
    <row r="23558">
      <c r="A23558" s="6"/>
      <c r="B23558" s="6"/>
      <c r="H23558" s="13"/>
    </row>
    <row r="23559">
      <c r="A23559" s="6"/>
      <c r="B23559" s="6"/>
      <c r="H23559" s="13"/>
    </row>
    <row r="23560">
      <c r="A23560" s="6"/>
      <c r="B23560" s="6"/>
      <c r="H23560" s="13"/>
    </row>
    <row r="23561">
      <c r="A23561" s="6"/>
      <c r="B23561" s="6"/>
      <c r="H23561" s="13"/>
    </row>
    <row r="23562">
      <c r="A23562" s="6"/>
      <c r="B23562" s="6"/>
      <c r="H23562" s="13"/>
    </row>
    <row r="23563">
      <c r="A23563" s="6"/>
      <c r="B23563" s="6"/>
      <c r="H23563" s="13"/>
    </row>
    <row r="23564">
      <c r="A23564" s="6"/>
      <c r="B23564" s="6"/>
      <c r="H23564" s="13"/>
    </row>
    <row r="23565">
      <c r="A23565" s="6"/>
      <c r="B23565" s="6"/>
      <c r="H23565" s="13"/>
    </row>
    <row r="23566">
      <c r="A23566" s="6"/>
      <c r="B23566" s="6"/>
      <c r="H23566" s="13"/>
    </row>
    <row r="23567">
      <c r="A23567" s="6"/>
      <c r="B23567" s="6"/>
      <c r="H23567" s="13"/>
    </row>
    <row r="23568">
      <c r="A23568" s="6"/>
      <c r="B23568" s="6"/>
      <c r="H23568" s="13"/>
    </row>
    <row r="23569">
      <c r="A23569" s="6"/>
      <c r="B23569" s="6"/>
      <c r="H23569" s="13"/>
    </row>
    <row r="23570">
      <c r="A23570" s="6"/>
      <c r="B23570" s="6"/>
      <c r="H23570" s="13"/>
    </row>
    <row r="23571">
      <c r="A23571" s="6"/>
      <c r="B23571" s="6"/>
      <c r="H23571" s="13"/>
    </row>
    <row r="23572">
      <c r="A23572" s="6"/>
      <c r="B23572" s="6"/>
      <c r="H23572" s="13"/>
    </row>
    <row r="23573">
      <c r="A23573" s="6"/>
      <c r="B23573" s="6"/>
      <c r="H23573" s="13"/>
    </row>
    <row r="23574">
      <c r="A23574" s="6"/>
      <c r="B23574" s="6"/>
      <c r="H23574" s="13"/>
    </row>
    <row r="23575">
      <c r="A23575" s="6"/>
      <c r="B23575" s="6"/>
      <c r="H23575" s="13"/>
    </row>
    <row r="23576">
      <c r="A23576" s="6"/>
      <c r="B23576" s="6"/>
      <c r="H23576" s="13"/>
    </row>
    <row r="23577">
      <c r="A23577" s="6"/>
      <c r="B23577" s="6"/>
      <c r="H23577" s="13"/>
    </row>
    <row r="23578">
      <c r="A23578" s="6"/>
      <c r="B23578" s="6"/>
      <c r="H23578" s="13"/>
    </row>
    <row r="23579">
      <c r="A23579" s="6"/>
      <c r="B23579" s="6"/>
      <c r="H23579" s="13"/>
    </row>
    <row r="23580">
      <c r="A23580" s="6"/>
      <c r="B23580" s="6"/>
      <c r="H23580" s="13"/>
    </row>
    <row r="23581">
      <c r="A23581" s="6"/>
      <c r="B23581" s="6"/>
      <c r="H23581" s="13"/>
    </row>
    <row r="23582">
      <c r="A23582" s="6"/>
      <c r="B23582" s="6"/>
      <c r="H23582" s="13"/>
    </row>
    <row r="23583">
      <c r="A23583" s="6"/>
      <c r="B23583" s="6"/>
      <c r="H23583" s="13"/>
    </row>
    <row r="23584">
      <c r="A23584" s="6"/>
      <c r="B23584" s="6"/>
      <c r="H23584" s="13"/>
    </row>
    <row r="23585">
      <c r="A23585" s="6"/>
      <c r="B23585" s="6"/>
      <c r="H23585" s="13"/>
    </row>
    <row r="23586">
      <c r="A23586" s="6"/>
      <c r="B23586" s="6"/>
      <c r="H23586" s="13"/>
    </row>
    <row r="23587">
      <c r="A23587" s="6"/>
      <c r="B23587" s="6"/>
      <c r="H23587" s="13"/>
    </row>
    <row r="23588">
      <c r="A23588" s="6"/>
      <c r="B23588" s="6"/>
      <c r="H23588" s="13"/>
    </row>
    <row r="23589">
      <c r="A23589" s="6"/>
      <c r="B23589" s="6"/>
      <c r="H23589" s="13"/>
    </row>
    <row r="23590">
      <c r="A23590" s="6"/>
      <c r="B23590" s="6"/>
      <c r="H23590" s="13"/>
    </row>
    <row r="23591">
      <c r="A23591" s="6"/>
      <c r="B23591" s="6"/>
      <c r="H23591" s="13"/>
    </row>
    <row r="23592">
      <c r="A23592" s="6"/>
      <c r="B23592" s="6"/>
      <c r="H23592" s="13"/>
    </row>
    <row r="23593">
      <c r="A23593" s="6"/>
      <c r="B23593" s="6"/>
      <c r="H23593" s="13"/>
    </row>
    <row r="23594">
      <c r="A23594" s="6"/>
      <c r="B23594" s="6"/>
      <c r="H23594" s="13"/>
    </row>
    <row r="23595">
      <c r="A23595" s="6"/>
      <c r="B23595" s="6"/>
      <c r="H23595" s="13"/>
    </row>
    <row r="23596">
      <c r="A23596" s="6"/>
      <c r="B23596" s="6"/>
      <c r="H23596" s="13"/>
    </row>
    <row r="23597">
      <c r="A23597" s="6"/>
      <c r="B23597" s="6"/>
      <c r="H23597" s="13"/>
    </row>
    <row r="23598">
      <c r="A23598" s="6"/>
      <c r="B23598" s="6"/>
      <c r="H23598" s="13"/>
    </row>
    <row r="23599">
      <c r="A23599" s="6"/>
      <c r="B23599" s="6"/>
      <c r="H23599" s="13"/>
    </row>
    <row r="23600">
      <c r="A23600" s="6"/>
      <c r="B23600" s="6"/>
      <c r="H23600" s="13"/>
    </row>
    <row r="23601">
      <c r="A23601" s="6"/>
      <c r="B23601" s="6"/>
      <c r="H23601" s="13"/>
    </row>
    <row r="23602">
      <c r="A23602" s="6"/>
      <c r="B23602" s="6"/>
      <c r="H23602" s="13"/>
    </row>
    <row r="23603">
      <c r="A23603" s="6"/>
      <c r="B23603" s="6"/>
      <c r="H23603" s="13"/>
    </row>
    <row r="23604">
      <c r="A23604" s="6"/>
      <c r="B23604" s="6"/>
      <c r="H23604" s="13"/>
    </row>
    <row r="23605">
      <c r="A23605" s="6"/>
      <c r="B23605" s="6"/>
      <c r="H23605" s="13"/>
    </row>
    <row r="23606">
      <c r="A23606" s="6"/>
      <c r="B23606" s="6"/>
      <c r="H23606" s="13"/>
    </row>
    <row r="23607">
      <c r="A23607" s="6"/>
      <c r="B23607" s="6"/>
      <c r="H23607" s="13"/>
    </row>
    <row r="23608">
      <c r="A23608" s="6"/>
      <c r="B23608" s="6"/>
      <c r="H23608" s="13"/>
    </row>
    <row r="23609">
      <c r="A23609" s="6"/>
      <c r="B23609" s="6"/>
      <c r="H23609" s="13"/>
    </row>
    <row r="23610">
      <c r="A23610" s="6"/>
      <c r="B23610" s="6"/>
      <c r="H23610" s="13"/>
    </row>
    <row r="23611">
      <c r="A23611" s="6"/>
      <c r="B23611" s="6"/>
      <c r="H23611" s="13"/>
    </row>
    <row r="23612">
      <c r="A23612" s="6"/>
      <c r="B23612" s="6"/>
      <c r="H23612" s="13"/>
    </row>
    <row r="23613">
      <c r="A23613" s="6"/>
      <c r="B23613" s="6"/>
      <c r="H23613" s="13"/>
    </row>
    <row r="23614">
      <c r="A23614" s="6"/>
      <c r="B23614" s="6"/>
      <c r="H23614" s="13"/>
    </row>
    <row r="23615">
      <c r="A23615" s="6"/>
      <c r="B23615" s="6"/>
      <c r="H23615" s="13"/>
    </row>
    <row r="23616">
      <c r="A23616" s="6"/>
      <c r="B23616" s="6"/>
      <c r="H23616" s="13"/>
    </row>
    <row r="23617">
      <c r="A23617" s="6"/>
      <c r="B23617" s="6"/>
      <c r="H23617" s="13"/>
    </row>
    <row r="23618">
      <c r="A23618" s="6"/>
      <c r="B23618" s="6"/>
      <c r="H23618" s="13"/>
    </row>
    <row r="23619">
      <c r="A23619" s="6"/>
      <c r="B23619" s="6"/>
      <c r="H23619" s="13"/>
    </row>
    <row r="23620">
      <c r="A23620" s="6"/>
      <c r="B23620" s="6"/>
      <c r="H23620" s="13"/>
    </row>
    <row r="23621">
      <c r="A23621" s="6"/>
      <c r="B23621" s="6"/>
      <c r="H23621" s="13"/>
    </row>
    <row r="23622">
      <c r="A23622" s="6"/>
      <c r="B23622" s="6"/>
      <c r="H23622" s="13"/>
    </row>
    <row r="23623">
      <c r="A23623" s="6"/>
      <c r="B23623" s="6"/>
      <c r="H23623" s="13"/>
    </row>
    <row r="23624">
      <c r="A23624" s="6"/>
      <c r="B23624" s="6"/>
      <c r="H23624" s="13"/>
    </row>
    <row r="23625">
      <c r="A23625" s="6"/>
      <c r="B23625" s="6"/>
      <c r="H23625" s="13"/>
    </row>
    <row r="23626">
      <c r="A23626" s="6"/>
      <c r="B23626" s="6"/>
      <c r="H23626" s="13"/>
    </row>
    <row r="23627">
      <c r="A23627" s="6"/>
      <c r="B23627" s="6"/>
      <c r="H23627" s="13"/>
    </row>
    <row r="23628">
      <c r="A23628" s="6"/>
      <c r="B23628" s="6"/>
      <c r="H23628" s="13"/>
    </row>
    <row r="23629">
      <c r="A23629" s="6"/>
      <c r="B23629" s="6"/>
      <c r="H23629" s="13"/>
    </row>
    <row r="23630">
      <c r="A23630" s="6"/>
      <c r="B23630" s="6"/>
      <c r="H23630" s="13"/>
    </row>
    <row r="23631">
      <c r="A23631" s="6"/>
      <c r="B23631" s="6"/>
      <c r="H23631" s="13"/>
    </row>
    <row r="23632">
      <c r="A23632" s="6"/>
      <c r="B23632" s="6"/>
      <c r="H23632" s="13"/>
    </row>
    <row r="23633">
      <c r="A23633" s="6"/>
      <c r="B23633" s="6"/>
      <c r="H23633" s="13"/>
    </row>
    <row r="23634">
      <c r="A23634" s="6"/>
      <c r="B23634" s="6"/>
      <c r="H23634" s="13"/>
    </row>
    <row r="23635">
      <c r="A23635" s="6"/>
      <c r="B23635" s="6"/>
      <c r="H23635" s="13"/>
    </row>
    <row r="23636">
      <c r="A23636" s="6"/>
      <c r="B23636" s="6"/>
      <c r="H23636" s="13"/>
    </row>
    <row r="23637">
      <c r="A23637" s="6"/>
      <c r="B23637" s="6"/>
      <c r="H23637" s="13"/>
    </row>
    <row r="23638">
      <c r="A23638" s="6"/>
      <c r="B23638" s="6"/>
      <c r="H23638" s="13"/>
    </row>
    <row r="23639">
      <c r="A23639" s="6"/>
      <c r="B23639" s="6"/>
      <c r="H23639" s="13"/>
    </row>
    <row r="23640">
      <c r="A23640" s="6"/>
      <c r="B23640" s="6"/>
      <c r="H23640" s="13"/>
    </row>
    <row r="23641">
      <c r="A23641" s="6"/>
      <c r="B23641" s="6"/>
      <c r="H23641" s="13"/>
    </row>
    <row r="23642">
      <c r="A23642" s="6"/>
      <c r="B23642" s="6"/>
      <c r="H23642" s="13"/>
    </row>
    <row r="23643">
      <c r="A23643" s="6"/>
      <c r="B23643" s="6"/>
      <c r="H23643" s="13"/>
    </row>
    <row r="23644">
      <c r="A23644" s="6"/>
      <c r="B23644" s="6"/>
      <c r="H23644" s="13"/>
    </row>
    <row r="23645">
      <c r="A23645" s="6"/>
      <c r="B23645" s="6"/>
      <c r="H23645" s="13"/>
    </row>
    <row r="23646">
      <c r="A23646" s="6"/>
      <c r="B23646" s="6"/>
      <c r="H23646" s="13"/>
    </row>
    <row r="23647">
      <c r="A23647" s="6"/>
      <c r="B23647" s="6"/>
      <c r="H23647" s="13"/>
    </row>
    <row r="23648">
      <c r="A23648" s="6"/>
      <c r="B23648" s="6"/>
      <c r="H23648" s="13"/>
    </row>
    <row r="23649">
      <c r="A23649" s="6"/>
      <c r="B23649" s="6"/>
      <c r="H23649" s="13"/>
    </row>
    <row r="23650">
      <c r="A23650" s="6"/>
      <c r="B23650" s="6"/>
      <c r="H23650" s="13"/>
    </row>
    <row r="23651">
      <c r="A23651" s="6"/>
      <c r="B23651" s="6"/>
      <c r="H23651" s="13"/>
    </row>
    <row r="23652">
      <c r="A23652" s="6"/>
      <c r="B23652" s="6"/>
      <c r="H23652" s="13"/>
    </row>
    <row r="23653">
      <c r="A23653" s="6"/>
      <c r="B23653" s="6"/>
      <c r="H23653" s="13"/>
    </row>
    <row r="23654">
      <c r="A23654" s="6"/>
      <c r="B23654" s="6"/>
      <c r="H23654" s="13"/>
    </row>
    <row r="23655">
      <c r="A23655" s="6"/>
      <c r="B23655" s="6"/>
      <c r="H23655" s="13"/>
    </row>
    <row r="23656">
      <c r="A23656" s="6"/>
      <c r="B23656" s="6"/>
      <c r="H23656" s="13"/>
    </row>
    <row r="23657">
      <c r="A23657" s="6"/>
      <c r="B23657" s="6"/>
      <c r="H23657" s="13"/>
    </row>
    <row r="23658">
      <c r="A23658" s="6"/>
      <c r="B23658" s="6"/>
      <c r="H23658" s="13"/>
    </row>
    <row r="23659">
      <c r="A23659" s="6"/>
      <c r="B23659" s="6"/>
      <c r="H23659" s="13"/>
    </row>
    <row r="23660">
      <c r="A23660" s="6"/>
      <c r="B23660" s="6"/>
      <c r="H23660" s="13"/>
    </row>
    <row r="23661">
      <c r="A23661" s="6"/>
      <c r="B23661" s="6"/>
      <c r="H23661" s="13"/>
    </row>
    <row r="23662">
      <c r="A23662" s="6"/>
      <c r="B23662" s="6"/>
      <c r="H23662" s="13"/>
    </row>
    <row r="23663">
      <c r="A23663" s="6"/>
      <c r="B23663" s="6"/>
      <c r="H23663" s="13"/>
    </row>
    <row r="23664">
      <c r="A23664" s="6"/>
      <c r="B23664" s="6"/>
      <c r="H23664" s="13"/>
    </row>
    <row r="23665">
      <c r="A23665" s="6"/>
      <c r="B23665" s="6"/>
      <c r="H23665" s="13"/>
    </row>
    <row r="23666">
      <c r="A23666" s="6"/>
      <c r="B23666" s="6"/>
      <c r="H23666" s="13"/>
    </row>
    <row r="23667">
      <c r="A23667" s="6"/>
      <c r="B23667" s="6"/>
      <c r="H23667" s="13"/>
    </row>
    <row r="23668">
      <c r="A23668" s="6"/>
      <c r="B23668" s="6"/>
      <c r="H23668" s="13"/>
    </row>
    <row r="23669">
      <c r="A23669" s="6"/>
      <c r="B23669" s="6"/>
      <c r="H23669" s="13"/>
    </row>
    <row r="23670">
      <c r="A23670" s="6"/>
      <c r="B23670" s="6"/>
      <c r="H23670" s="13"/>
    </row>
    <row r="23671">
      <c r="A23671" s="6"/>
      <c r="B23671" s="6"/>
      <c r="H23671" s="13"/>
    </row>
    <row r="23672">
      <c r="A23672" s="6"/>
      <c r="B23672" s="6"/>
      <c r="H23672" s="13"/>
    </row>
    <row r="23673">
      <c r="A23673" s="6"/>
      <c r="B23673" s="6"/>
      <c r="H23673" s="13"/>
    </row>
    <row r="23674">
      <c r="A23674" s="6"/>
      <c r="B23674" s="6"/>
      <c r="H23674" s="13"/>
    </row>
    <row r="23675">
      <c r="A23675" s="6"/>
      <c r="B23675" s="6"/>
      <c r="H23675" s="13"/>
    </row>
    <row r="23676">
      <c r="A23676" s="6"/>
      <c r="B23676" s="6"/>
      <c r="H23676" s="13"/>
    </row>
    <row r="23677">
      <c r="A23677" s="6"/>
      <c r="B23677" s="6"/>
      <c r="H23677" s="13"/>
    </row>
    <row r="23678">
      <c r="A23678" s="6"/>
      <c r="B23678" s="6"/>
      <c r="H23678" s="13"/>
    </row>
    <row r="23679">
      <c r="A23679" s="6"/>
      <c r="B23679" s="6"/>
      <c r="H23679" s="13"/>
    </row>
    <row r="23680">
      <c r="A23680" s="6"/>
      <c r="B23680" s="6"/>
      <c r="H23680" s="13"/>
    </row>
    <row r="23681">
      <c r="A23681" s="6"/>
      <c r="B23681" s="6"/>
      <c r="H23681" s="13"/>
    </row>
    <row r="23682">
      <c r="A23682" s="6"/>
      <c r="B23682" s="6"/>
      <c r="H23682" s="13"/>
    </row>
    <row r="23683">
      <c r="A23683" s="6"/>
      <c r="B23683" s="6"/>
      <c r="H23683" s="13"/>
    </row>
    <row r="23684">
      <c r="A23684" s="6"/>
      <c r="B23684" s="6"/>
      <c r="H23684" s="13"/>
    </row>
    <row r="23685">
      <c r="A23685" s="6"/>
      <c r="B23685" s="6"/>
      <c r="H23685" s="13"/>
    </row>
    <row r="23686">
      <c r="A23686" s="6"/>
      <c r="B23686" s="6"/>
      <c r="H23686" s="13"/>
    </row>
    <row r="23687">
      <c r="A23687" s="6"/>
      <c r="B23687" s="6"/>
      <c r="H23687" s="13"/>
    </row>
    <row r="23688">
      <c r="A23688" s="6"/>
      <c r="B23688" s="6"/>
      <c r="H23688" s="13"/>
    </row>
    <row r="23689">
      <c r="A23689" s="6"/>
      <c r="B23689" s="6"/>
      <c r="H23689" s="13"/>
    </row>
    <row r="23690">
      <c r="A23690" s="6"/>
      <c r="B23690" s="6"/>
      <c r="H23690" s="13"/>
    </row>
    <row r="23691">
      <c r="A23691" s="6"/>
      <c r="B23691" s="6"/>
      <c r="H23691" s="13"/>
    </row>
    <row r="23692">
      <c r="A23692" s="6"/>
      <c r="B23692" s="6"/>
      <c r="H23692" s="13"/>
    </row>
    <row r="23693">
      <c r="A23693" s="6"/>
      <c r="B23693" s="6"/>
      <c r="H23693" s="13"/>
    </row>
    <row r="23694">
      <c r="A23694" s="6"/>
      <c r="B23694" s="6"/>
      <c r="H23694" s="13"/>
    </row>
    <row r="23695">
      <c r="A23695" s="6"/>
      <c r="B23695" s="6"/>
      <c r="H23695" s="13"/>
    </row>
    <row r="23696">
      <c r="A23696" s="6"/>
      <c r="B23696" s="6"/>
      <c r="H23696" s="13"/>
    </row>
    <row r="23697">
      <c r="A23697" s="6"/>
      <c r="B23697" s="6"/>
      <c r="H23697" s="13"/>
    </row>
    <row r="23698">
      <c r="A23698" s="6"/>
      <c r="B23698" s="6"/>
      <c r="H23698" s="13"/>
    </row>
    <row r="23699">
      <c r="A23699" s="6"/>
      <c r="B23699" s="6"/>
      <c r="H23699" s="13"/>
    </row>
    <row r="23700">
      <c r="A23700" s="6"/>
      <c r="B23700" s="6"/>
      <c r="H23700" s="13"/>
    </row>
    <row r="23701">
      <c r="A23701" s="6"/>
      <c r="B23701" s="6"/>
      <c r="H23701" s="13"/>
    </row>
    <row r="23702">
      <c r="A23702" s="6"/>
      <c r="B23702" s="6"/>
      <c r="H23702" s="13"/>
    </row>
    <row r="23703">
      <c r="A23703" s="6"/>
      <c r="B23703" s="6"/>
      <c r="H23703" s="13"/>
    </row>
    <row r="23704">
      <c r="A23704" s="6"/>
      <c r="B23704" s="6"/>
      <c r="H23704" s="13"/>
    </row>
    <row r="23705">
      <c r="A23705" s="6"/>
      <c r="B23705" s="6"/>
      <c r="H23705" s="13"/>
    </row>
    <row r="23706">
      <c r="A23706" s="6"/>
      <c r="B23706" s="6"/>
      <c r="H23706" s="13"/>
    </row>
    <row r="23707">
      <c r="A23707" s="6"/>
      <c r="B23707" s="6"/>
      <c r="H23707" s="13"/>
    </row>
    <row r="23708">
      <c r="A23708" s="6"/>
      <c r="B23708" s="6"/>
      <c r="H23708" s="13"/>
    </row>
    <row r="23709">
      <c r="A23709" s="6"/>
      <c r="B23709" s="6"/>
      <c r="H23709" s="13"/>
    </row>
    <row r="23710">
      <c r="A23710" s="6"/>
      <c r="B23710" s="6"/>
      <c r="H23710" s="13"/>
    </row>
    <row r="23711">
      <c r="A23711" s="6"/>
      <c r="B23711" s="6"/>
      <c r="H23711" s="13"/>
    </row>
    <row r="23712">
      <c r="A23712" s="6"/>
      <c r="B23712" s="6"/>
      <c r="H23712" s="13"/>
    </row>
    <row r="23713">
      <c r="A23713" s="6"/>
      <c r="B23713" s="6"/>
      <c r="H23713" s="13"/>
    </row>
    <row r="23714">
      <c r="A23714" s="6"/>
      <c r="B23714" s="6"/>
      <c r="H23714" s="13"/>
    </row>
    <row r="23715">
      <c r="A23715" s="6"/>
      <c r="B23715" s="6"/>
      <c r="H23715" s="13"/>
    </row>
    <row r="23716">
      <c r="A23716" s="6"/>
      <c r="B23716" s="6"/>
      <c r="H23716" s="13"/>
    </row>
    <row r="23717">
      <c r="A23717" s="6"/>
      <c r="B23717" s="6"/>
      <c r="H23717" s="13"/>
    </row>
    <row r="23718">
      <c r="A23718" s="6"/>
      <c r="B23718" s="6"/>
      <c r="H23718" s="13"/>
    </row>
    <row r="23719">
      <c r="A23719" s="6"/>
      <c r="B23719" s="6"/>
      <c r="H23719" s="13"/>
    </row>
    <row r="23720">
      <c r="A23720" s="6"/>
      <c r="B23720" s="6"/>
      <c r="H23720" s="13"/>
    </row>
    <row r="23721">
      <c r="A23721" s="6"/>
      <c r="B23721" s="6"/>
      <c r="H23721" s="13"/>
    </row>
    <row r="23722">
      <c r="A23722" s="6"/>
      <c r="B23722" s="6"/>
      <c r="H23722" s="13"/>
    </row>
    <row r="23723">
      <c r="A23723" s="6"/>
      <c r="B23723" s="6"/>
      <c r="H23723" s="13"/>
    </row>
    <row r="23724">
      <c r="A23724" s="6"/>
      <c r="B23724" s="6"/>
      <c r="H23724" s="13"/>
    </row>
    <row r="23725">
      <c r="A23725" s="6"/>
      <c r="B23725" s="6"/>
      <c r="H23725" s="13"/>
    </row>
    <row r="23726">
      <c r="A23726" s="6"/>
      <c r="B23726" s="6"/>
      <c r="H23726" s="13"/>
    </row>
    <row r="23727">
      <c r="A23727" s="6"/>
      <c r="B23727" s="6"/>
      <c r="H23727" s="13"/>
    </row>
    <row r="23728">
      <c r="A23728" s="6"/>
      <c r="B23728" s="6"/>
      <c r="H23728" s="13"/>
    </row>
    <row r="23729">
      <c r="A23729" s="6"/>
      <c r="B23729" s="6"/>
      <c r="H23729" s="13"/>
    </row>
    <row r="23730">
      <c r="A23730" s="6"/>
      <c r="B23730" s="6"/>
      <c r="H23730" s="13"/>
    </row>
    <row r="23731">
      <c r="A23731" s="6"/>
      <c r="B23731" s="6"/>
      <c r="H23731" s="13"/>
    </row>
    <row r="23732">
      <c r="A23732" s="6"/>
      <c r="B23732" s="6"/>
      <c r="H23732" s="13"/>
    </row>
    <row r="23733">
      <c r="A23733" s="6"/>
      <c r="B23733" s="6"/>
      <c r="H23733" s="13"/>
    </row>
    <row r="23734">
      <c r="A23734" s="6"/>
      <c r="B23734" s="6"/>
      <c r="H23734" s="13"/>
    </row>
    <row r="23735">
      <c r="A23735" s="6"/>
      <c r="B23735" s="6"/>
      <c r="H23735" s="13"/>
    </row>
    <row r="23736">
      <c r="A23736" s="6"/>
      <c r="B23736" s="6"/>
      <c r="H23736" s="13"/>
    </row>
    <row r="23737">
      <c r="A23737" s="6"/>
      <c r="B23737" s="6"/>
      <c r="H23737" s="13"/>
    </row>
    <row r="23738">
      <c r="A23738" s="6"/>
      <c r="B23738" s="6"/>
      <c r="H23738" s="13"/>
    </row>
    <row r="23739">
      <c r="A23739" s="6"/>
      <c r="B23739" s="6"/>
      <c r="H23739" s="13"/>
    </row>
    <row r="23740">
      <c r="A23740" s="6"/>
      <c r="B23740" s="6"/>
      <c r="H23740" s="13"/>
    </row>
    <row r="23741">
      <c r="A23741" s="6"/>
      <c r="B23741" s="6"/>
      <c r="H23741" s="13"/>
    </row>
    <row r="23742">
      <c r="A23742" s="6"/>
      <c r="B23742" s="6"/>
      <c r="H23742" s="13"/>
    </row>
    <row r="23743">
      <c r="A23743" s="6"/>
      <c r="B23743" s="6"/>
      <c r="H23743" s="13"/>
    </row>
    <row r="23744">
      <c r="A23744" s="6"/>
      <c r="B23744" s="6"/>
      <c r="H23744" s="13"/>
    </row>
    <row r="23745">
      <c r="A23745" s="6"/>
      <c r="B23745" s="6"/>
      <c r="H23745" s="13"/>
    </row>
    <row r="23746">
      <c r="A23746" s="6"/>
      <c r="B23746" s="6"/>
      <c r="H23746" s="13"/>
    </row>
    <row r="23747">
      <c r="A23747" s="6"/>
      <c r="B23747" s="6"/>
      <c r="H23747" s="13"/>
    </row>
    <row r="23748">
      <c r="A23748" s="6"/>
      <c r="B23748" s="6"/>
      <c r="H23748" s="13"/>
    </row>
    <row r="23749">
      <c r="A23749" s="6"/>
      <c r="B23749" s="6"/>
      <c r="H23749" s="13"/>
    </row>
    <row r="23750">
      <c r="A23750" s="6"/>
      <c r="B23750" s="6"/>
      <c r="H23750" s="13"/>
    </row>
    <row r="23751">
      <c r="A23751" s="6"/>
      <c r="B23751" s="6"/>
      <c r="H23751" s="13"/>
    </row>
    <row r="23752">
      <c r="A23752" s="6"/>
      <c r="B23752" s="6"/>
      <c r="H23752" s="13"/>
    </row>
    <row r="23753">
      <c r="A23753" s="6"/>
      <c r="B23753" s="6"/>
      <c r="H23753" s="13"/>
    </row>
    <row r="23754">
      <c r="A23754" s="6"/>
      <c r="B23754" s="6"/>
      <c r="H23754" s="13"/>
    </row>
    <row r="23755">
      <c r="A23755" s="6"/>
      <c r="B23755" s="6"/>
      <c r="H23755" s="13"/>
    </row>
    <row r="23756">
      <c r="A23756" s="6"/>
      <c r="B23756" s="6"/>
      <c r="H23756" s="13"/>
    </row>
    <row r="23757">
      <c r="A23757" s="6"/>
      <c r="B23757" s="6"/>
      <c r="H23757" s="13"/>
    </row>
    <row r="23758">
      <c r="A23758" s="6"/>
      <c r="B23758" s="6"/>
      <c r="H23758" s="13"/>
    </row>
    <row r="23759">
      <c r="A23759" s="6"/>
      <c r="B23759" s="6"/>
      <c r="H23759" s="13"/>
    </row>
    <row r="23760">
      <c r="A23760" s="6"/>
      <c r="B23760" s="6"/>
      <c r="H23760" s="13"/>
    </row>
    <row r="23761">
      <c r="A23761" s="6"/>
      <c r="B23761" s="6"/>
      <c r="H23761" s="13"/>
    </row>
    <row r="23762">
      <c r="A23762" s="6"/>
      <c r="B23762" s="6"/>
      <c r="H23762" s="13"/>
    </row>
    <row r="23763">
      <c r="A23763" s="6"/>
      <c r="B23763" s="6"/>
      <c r="H23763" s="13"/>
    </row>
    <row r="23764">
      <c r="A23764" s="6"/>
      <c r="B23764" s="6"/>
      <c r="H23764" s="13"/>
    </row>
    <row r="23765">
      <c r="A23765" s="6"/>
      <c r="B23765" s="6"/>
      <c r="H23765" s="13"/>
    </row>
    <row r="23766">
      <c r="A23766" s="6"/>
      <c r="B23766" s="6"/>
      <c r="H23766" s="13"/>
    </row>
    <row r="23767">
      <c r="A23767" s="6"/>
      <c r="B23767" s="6"/>
      <c r="H23767" s="13"/>
    </row>
    <row r="23768">
      <c r="A23768" s="6"/>
      <c r="B23768" s="6"/>
      <c r="H23768" s="13"/>
    </row>
    <row r="23769">
      <c r="A23769" s="6"/>
      <c r="B23769" s="6"/>
      <c r="H23769" s="13"/>
    </row>
    <row r="23770">
      <c r="A23770" s="6"/>
      <c r="B23770" s="6"/>
      <c r="H23770" s="13"/>
    </row>
    <row r="23771">
      <c r="A23771" s="6"/>
      <c r="B23771" s="6"/>
      <c r="H23771" s="13"/>
    </row>
    <row r="23772">
      <c r="A23772" s="6"/>
      <c r="B23772" s="6"/>
      <c r="H23772" s="13"/>
    </row>
    <row r="23773">
      <c r="A23773" s="6"/>
      <c r="B23773" s="6"/>
      <c r="H23773" s="13"/>
    </row>
    <row r="23774">
      <c r="A23774" s="6"/>
      <c r="B23774" s="6"/>
      <c r="H23774" s="13"/>
    </row>
    <row r="23775">
      <c r="A23775" s="6"/>
      <c r="B23775" s="6"/>
      <c r="H23775" s="13"/>
    </row>
    <row r="23776">
      <c r="A23776" s="6"/>
      <c r="B23776" s="6"/>
      <c r="H23776" s="13"/>
    </row>
    <row r="23777">
      <c r="A23777" s="6"/>
      <c r="B23777" s="6"/>
      <c r="H23777" s="13"/>
    </row>
    <row r="23778">
      <c r="A23778" s="6"/>
      <c r="B23778" s="6"/>
      <c r="H23778" s="13"/>
    </row>
    <row r="23779">
      <c r="A23779" s="6"/>
      <c r="B23779" s="6"/>
      <c r="H23779" s="13"/>
    </row>
    <row r="23780">
      <c r="A23780" s="6"/>
      <c r="B23780" s="6"/>
      <c r="H23780" s="13"/>
    </row>
    <row r="23781">
      <c r="A23781" s="6"/>
      <c r="B23781" s="6"/>
      <c r="H23781" s="13"/>
    </row>
    <row r="23782">
      <c r="A23782" s="6"/>
      <c r="B23782" s="6"/>
      <c r="H23782" s="13"/>
    </row>
    <row r="23783">
      <c r="A23783" s="6"/>
      <c r="B23783" s="6"/>
      <c r="H23783" s="13"/>
    </row>
    <row r="23784">
      <c r="A23784" s="6"/>
      <c r="B23784" s="6"/>
      <c r="H23784" s="13"/>
    </row>
    <row r="23785">
      <c r="A23785" s="6"/>
      <c r="B23785" s="6"/>
      <c r="H23785" s="13"/>
    </row>
    <row r="23786">
      <c r="A23786" s="6"/>
      <c r="B23786" s="6"/>
      <c r="H23786" s="13"/>
    </row>
    <row r="23787">
      <c r="A23787" s="6"/>
      <c r="B23787" s="6"/>
      <c r="H23787" s="13"/>
    </row>
    <row r="23788">
      <c r="A23788" s="6"/>
      <c r="B23788" s="6"/>
      <c r="H23788" s="13"/>
    </row>
    <row r="23789">
      <c r="A23789" s="6"/>
      <c r="B23789" s="6"/>
      <c r="H23789" s="13"/>
    </row>
    <row r="23790">
      <c r="A23790" s="6"/>
      <c r="B23790" s="6"/>
      <c r="H23790" s="13"/>
    </row>
    <row r="23791">
      <c r="A23791" s="6"/>
      <c r="B23791" s="6"/>
      <c r="H23791" s="13"/>
    </row>
    <row r="23792">
      <c r="A23792" s="6"/>
      <c r="B23792" s="6"/>
      <c r="H23792" s="13"/>
    </row>
    <row r="23793">
      <c r="A23793" s="6"/>
      <c r="B23793" s="6"/>
      <c r="H23793" s="13"/>
    </row>
    <row r="23794">
      <c r="A23794" s="6"/>
      <c r="B23794" s="6"/>
      <c r="H23794" s="13"/>
    </row>
    <row r="23795">
      <c r="A23795" s="6"/>
      <c r="B23795" s="6"/>
      <c r="H23795" s="13"/>
    </row>
    <row r="23796">
      <c r="A23796" s="6"/>
      <c r="B23796" s="6"/>
      <c r="H23796" s="13"/>
    </row>
    <row r="23797">
      <c r="A23797" s="6"/>
      <c r="B23797" s="6"/>
      <c r="H23797" s="13"/>
    </row>
    <row r="23798">
      <c r="A23798" s="6"/>
      <c r="B23798" s="6"/>
      <c r="H23798" s="13"/>
    </row>
    <row r="23799">
      <c r="A23799" s="6"/>
      <c r="B23799" s="6"/>
      <c r="H23799" s="13"/>
    </row>
    <row r="23800">
      <c r="A23800" s="6"/>
      <c r="B23800" s="6"/>
      <c r="H23800" s="13"/>
    </row>
    <row r="23801">
      <c r="A23801" s="6"/>
      <c r="B23801" s="6"/>
      <c r="H23801" s="13"/>
    </row>
    <row r="23802">
      <c r="A23802" s="6"/>
      <c r="B23802" s="6"/>
      <c r="H23802" s="13"/>
    </row>
    <row r="23803">
      <c r="A23803" s="6"/>
      <c r="B23803" s="6"/>
      <c r="H23803" s="13"/>
    </row>
    <row r="23804">
      <c r="A23804" s="6"/>
      <c r="B23804" s="6"/>
      <c r="H23804" s="13"/>
    </row>
    <row r="23805">
      <c r="A23805" s="6"/>
      <c r="B23805" s="6"/>
      <c r="H23805" s="13"/>
    </row>
    <row r="23806">
      <c r="A23806" s="6"/>
      <c r="B23806" s="6"/>
      <c r="H23806" s="13"/>
    </row>
    <row r="23807">
      <c r="A23807" s="6"/>
      <c r="B23807" s="6"/>
      <c r="H23807" s="13"/>
    </row>
    <row r="23808">
      <c r="A23808" s="6"/>
      <c r="B23808" s="6"/>
      <c r="H23808" s="13"/>
    </row>
    <row r="23809">
      <c r="A23809" s="6"/>
      <c r="B23809" s="6"/>
      <c r="H23809" s="13"/>
    </row>
    <row r="23810">
      <c r="A23810" s="6"/>
      <c r="B23810" s="6"/>
      <c r="H23810" s="13"/>
    </row>
    <row r="23811">
      <c r="A23811" s="6"/>
      <c r="B23811" s="6"/>
      <c r="H23811" s="13"/>
    </row>
    <row r="23812">
      <c r="A23812" s="6"/>
      <c r="B23812" s="6"/>
      <c r="H23812" s="13"/>
    </row>
    <row r="23813">
      <c r="A23813" s="6"/>
      <c r="B23813" s="6"/>
      <c r="H23813" s="13"/>
    </row>
    <row r="23814">
      <c r="A23814" s="6"/>
      <c r="B23814" s="6"/>
      <c r="H23814" s="13"/>
    </row>
    <row r="23815">
      <c r="A23815" s="6"/>
      <c r="B23815" s="6"/>
      <c r="H23815" s="13"/>
    </row>
    <row r="23816">
      <c r="A23816" s="6"/>
      <c r="B23816" s="6"/>
      <c r="H23816" s="13"/>
    </row>
    <row r="23817">
      <c r="A23817" s="6"/>
      <c r="B23817" s="6"/>
      <c r="H23817" s="13"/>
    </row>
    <row r="23818">
      <c r="A23818" s="6"/>
      <c r="B23818" s="6"/>
      <c r="H23818" s="13"/>
    </row>
    <row r="23819">
      <c r="A23819" s="6"/>
      <c r="B23819" s="6"/>
      <c r="H23819" s="13"/>
    </row>
    <row r="23820">
      <c r="A23820" s="6"/>
      <c r="B23820" s="6"/>
      <c r="H23820" s="13"/>
    </row>
    <row r="23821">
      <c r="A23821" s="6"/>
      <c r="B23821" s="6"/>
      <c r="H23821" s="13"/>
    </row>
    <row r="23822">
      <c r="A23822" s="6"/>
      <c r="B23822" s="6"/>
      <c r="H23822" s="13"/>
    </row>
    <row r="23823">
      <c r="A23823" s="6"/>
      <c r="B23823" s="6"/>
      <c r="H23823" s="13"/>
    </row>
    <row r="23824">
      <c r="A23824" s="6"/>
      <c r="B23824" s="6"/>
      <c r="H23824" s="13"/>
    </row>
    <row r="23825">
      <c r="A23825" s="6"/>
      <c r="B23825" s="6"/>
      <c r="H23825" s="13"/>
    </row>
    <row r="23826">
      <c r="A23826" s="6"/>
      <c r="B23826" s="6"/>
      <c r="H23826" s="13"/>
    </row>
    <row r="23827">
      <c r="A23827" s="6"/>
      <c r="B23827" s="6"/>
      <c r="H23827" s="13"/>
    </row>
    <row r="23828">
      <c r="A23828" s="6"/>
      <c r="B23828" s="6"/>
      <c r="H23828" s="13"/>
    </row>
    <row r="23829">
      <c r="A23829" s="6"/>
      <c r="B23829" s="6"/>
      <c r="H23829" s="13"/>
    </row>
    <row r="23830">
      <c r="A23830" s="6"/>
      <c r="B23830" s="6"/>
      <c r="H23830" s="13"/>
    </row>
    <row r="23831">
      <c r="A23831" s="6"/>
      <c r="B23831" s="6"/>
      <c r="H23831" s="13"/>
    </row>
    <row r="23832">
      <c r="A23832" s="6"/>
      <c r="B23832" s="6"/>
      <c r="H23832" s="13"/>
    </row>
    <row r="23833">
      <c r="A23833" s="6"/>
      <c r="B23833" s="6"/>
      <c r="H23833" s="13"/>
    </row>
    <row r="23834">
      <c r="A23834" s="6"/>
      <c r="B23834" s="6"/>
      <c r="H23834" s="13"/>
    </row>
    <row r="23835">
      <c r="A23835" s="6"/>
      <c r="B23835" s="6"/>
      <c r="H23835" s="13"/>
    </row>
    <row r="23836">
      <c r="A23836" s="6"/>
      <c r="B23836" s="6"/>
      <c r="H23836" s="13"/>
    </row>
    <row r="23837">
      <c r="A23837" s="6"/>
      <c r="B23837" s="6"/>
      <c r="H23837" s="13"/>
    </row>
    <row r="23838">
      <c r="A23838" s="6"/>
      <c r="B23838" s="6"/>
      <c r="H23838" s="13"/>
    </row>
    <row r="23839">
      <c r="A23839" s="6"/>
      <c r="B23839" s="6"/>
      <c r="H23839" s="13"/>
    </row>
    <row r="23840">
      <c r="A23840" s="6"/>
      <c r="B23840" s="6"/>
      <c r="H23840" s="13"/>
    </row>
    <row r="23841">
      <c r="A23841" s="6"/>
      <c r="B23841" s="6"/>
      <c r="H23841" s="13"/>
    </row>
    <row r="23842">
      <c r="A23842" s="6"/>
      <c r="B23842" s="6"/>
      <c r="H23842" s="13"/>
    </row>
    <row r="23843">
      <c r="A23843" s="6"/>
      <c r="B23843" s="6"/>
      <c r="H23843" s="13"/>
    </row>
    <row r="23844">
      <c r="A23844" s="6"/>
      <c r="B23844" s="6"/>
      <c r="H23844" s="13"/>
    </row>
    <row r="23845">
      <c r="A23845" s="6"/>
      <c r="B23845" s="6"/>
      <c r="H23845" s="13"/>
    </row>
    <row r="23846">
      <c r="A23846" s="6"/>
      <c r="B23846" s="6"/>
      <c r="H23846" s="13"/>
    </row>
    <row r="23847">
      <c r="A23847" s="6"/>
      <c r="B23847" s="6"/>
      <c r="H23847" s="13"/>
    </row>
    <row r="23848">
      <c r="A23848" s="6"/>
      <c r="B23848" s="6"/>
      <c r="H23848" s="13"/>
    </row>
    <row r="23849">
      <c r="A23849" s="6"/>
      <c r="B23849" s="6"/>
      <c r="H23849" s="13"/>
    </row>
    <row r="23850">
      <c r="A23850" s="6"/>
      <c r="B23850" s="6"/>
      <c r="H23850" s="13"/>
    </row>
    <row r="23851">
      <c r="A23851" s="6"/>
      <c r="B23851" s="6"/>
      <c r="H23851" s="13"/>
    </row>
    <row r="23852">
      <c r="A23852" s="6"/>
      <c r="B23852" s="6"/>
      <c r="H23852" s="13"/>
    </row>
    <row r="23853">
      <c r="A23853" s="6"/>
      <c r="B23853" s="6"/>
      <c r="H23853" s="13"/>
    </row>
    <row r="23854">
      <c r="A23854" s="6"/>
      <c r="B23854" s="6"/>
      <c r="H23854" s="13"/>
    </row>
    <row r="23855">
      <c r="A23855" s="6"/>
      <c r="B23855" s="6"/>
      <c r="H23855" s="13"/>
    </row>
    <row r="23856">
      <c r="A23856" s="6"/>
      <c r="B23856" s="6"/>
      <c r="H23856" s="13"/>
    </row>
    <row r="23857">
      <c r="A23857" s="6"/>
      <c r="B23857" s="6"/>
      <c r="H23857" s="13"/>
    </row>
    <row r="23858">
      <c r="A23858" s="6"/>
      <c r="B23858" s="6"/>
      <c r="H23858" s="13"/>
    </row>
    <row r="23859">
      <c r="A23859" s="6"/>
      <c r="B23859" s="6"/>
      <c r="H23859" s="13"/>
    </row>
    <row r="23860">
      <c r="A23860" s="6"/>
      <c r="B23860" s="6"/>
      <c r="H23860" s="13"/>
    </row>
    <row r="23861">
      <c r="A23861" s="6"/>
      <c r="B23861" s="6"/>
      <c r="H23861" s="13"/>
    </row>
    <row r="23862">
      <c r="A23862" s="6"/>
      <c r="B23862" s="6"/>
      <c r="H23862" s="13"/>
    </row>
    <row r="23863">
      <c r="A23863" s="6"/>
      <c r="B23863" s="6"/>
      <c r="H23863" s="13"/>
    </row>
    <row r="23864">
      <c r="A23864" s="6"/>
      <c r="B23864" s="6"/>
      <c r="H23864" s="13"/>
    </row>
    <row r="23865">
      <c r="A23865" s="6"/>
      <c r="B23865" s="6"/>
      <c r="H23865" s="13"/>
    </row>
    <row r="23866">
      <c r="A23866" s="6"/>
      <c r="B23866" s="6"/>
      <c r="H23866" s="13"/>
    </row>
    <row r="23867">
      <c r="A23867" s="6"/>
      <c r="B23867" s="6"/>
      <c r="H23867" s="13"/>
    </row>
    <row r="23868">
      <c r="A23868" s="6"/>
      <c r="B23868" s="6"/>
      <c r="H23868" s="13"/>
    </row>
    <row r="23869">
      <c r="A23869" s="6"/>
      <c r="B23869" s="6"/>
      <c r="H23869" s="13"/>
    </row>
    <row r="23870">
      <c r="A23870" s="6"/>
      <c r="B23870" s="6"/>
      <c r="H23870" s="13"/>
    </row>
    <row r="23871">
      <c r="A23871" s="6"/>
      <c r="B23871" s="6"/>
      <c r="H23871" s="13"/>
    </row>
    <row r="23872">
      <c r="A23872" s="6"/>
      <c r="B23872" s="6"/>
      <c r="H23872" s="13"/>
    </row>
    <row r="23873">
      <c r="A23873" s="6"/>
      <c r="B23873" s="6"/>
      <c r="H23873" s="13"/>
    </row>
    <row r="23874">
      <c r="A23874" s="6"/>
      <c r="B23874" s="6"/>
      <c r="H23874" s="13"/>
    </row>
    <row r="23875">
      <c r="A23875" s="6"/>
      <c r="B23875" s="6"/>
      <c r="H23875" s="13"/>
    </row>
    <row r="23876">
      <c r="A23876" s="6"/>
      <c r="B23876" s="6"/>
      <c r="H23876" s="13"/>
    </row>
    <row r="23877">
      <c r="A23877" s="6"/>
      <c r="B23877" s="6"/>
      <c r="H23877" s="13"/>
    </row>
    <row r="23878">
      <c r="A23878" s="6"/>
      <c r="B23878" s="6"/>
      <c r="H23878" s="13"/>
    </row>
    <row r="23879">
      <c r="A23879" s="6"/>
      <c r="B23879" s="6"/>
      <c r="H23879" s="13"/>
    </row>
    <row r="23880">
      <c r="A23880" s="6"/>
      <c r="B23880" s="6"/>
      <c r="H23880" s="13"/>
    </row>
    <row r="23881">
      <c r="A23881" s="6"/>
      <c r="B23881" s="6"/>
      <c r="H23881" s="13"/>
    </row>
    <row r="23882">
      <c r="A23882" s="6"/>
      <c r="B23882" s="6"/>
      <c r="H23882" s="13"/>
    </row>
    <row r="23883">
      <c r="A23883" s="6"/>
      <c r="B23883" s="6"/>
      <c r="H23883" s="13"/>
    </row>
    <row r="23884">
      <c r="A23884" s="6"/>
      <c r="B23884" s="6"/>
      <c r="H23884" s="13"/>
    </row>
    <row r="23885">
      <c r="A23885" s="6"/>
      <c r="B23885" s="6"/>
      <c r="H23885" s="13"/>
    </row>
    <row r="23886">
      <c r="A23886" s="6"/>
      <c r="B23886" s="6"/>
      <c r="H23886" s="13"/>
    </row>
    <row r="23887">
      <c r="A23887" s="6"/>
      <c r="B23887" s="6"/>
      <c r="H23887" s="13"/>
    </row>
    <row r="23888">
      <c r="A23888" s="6"/>
      <c r="B23888" s="6"/>
      <c r="H23888" s="13"/>
    </row>
    <row r="23889">
      <c r="A23889" s="6"/>
      <c r="B23889" s="6"/>
      <c r="H23889" s="13"/>
    </row>
    <row r="23890">
      <c r="A23890" s="6"/>
      <c r="B23890" s="6"/>
      <c r="H23890" s="13"/>
    </row>
    <row r="23891">
      <c r="A23891" s="6"/>
      <c r="B23891" s="6"/>
      <c r="H23891" s="13"/>
    </row>
    <row r="23892">
      <c r="A23892" s="6"/>
      <c r="B23892" s="6"/>
      <c r="H23892" s="13"/>
    </row>
    <row r="23893">
      <c r="A23893" s="6"/>
      <c r="B23893" s="6"/>
      <c r="H23893" s="13"/>
    </row>
    <row r="23894">
      <c r="A23894" s="6"/>
      <c r="B23894" s="6"/>
      <c r="H23894" s="13"/>
    </row>
    <row r="23895">
      <c r="A23895" s="6"/>
      <c r="B23895" s="6"/>
      <c r="H23895" s="13"/>
    </row>
    <row r="23896">
      <c r="A23896" s="6"/>
      <c r="B23896" s="6"/>
      <c r="H23896" s="13"/>
    </row>
    <row r="23897">
      <c r="A23897" s="6"/>
      <c r="B23897" s="6"/>
      <c r="H23897" s="13"/>
    </row>
    <row r="23898">
      <c r="A23898" s="6"/>
      <c r="B23898" s="6"/>
      <c r="H23898" s="13"/>
    </row>
    <row r="23899">
      <c r="A23899" s="6"/>
      <c r="B23899" s="6"/>
      <c r="H23899" s="13"/>
    </row>
    <row r="23900">
      <c r="A23900" s="6"/>
      <c r="B23900" s="6"/>
      <c r="H23900" s="13"/>
    </row>
    <row r="23901">
      <c r="A23901" s="6"/>
      <c r="B23901" s="6"/>
      <c r="H23901" s="13"/>
    </row>
    <row r="23902">
      <c r="A23902" s="6"/>
      <c r="B23902" s="6"/>
      <c r="H23902" s="13"/>
    </row>
    <row r="23903">
      <c r="A23903" s="6"/>
      <c r="B23903" s="6"/>
      <c r="H23903" s="13"/>
    </row>
    <row r="23904">
      <c r="A23904" s="6"/>
      <c r="B23904" s="6"/>
      <c r="H23904" s="13"/>
    </row>
    <row r="23905">
      <c r="A23905" s="6"/>
      <c r="B23905" s="6"/>
      <c r="H23905" s="13"/>
    </row>
    <row r="23906">
      <c r="A23906" s="6"/>
      <c r="B23906" s="6"/>
      <c r="H23906" s="13"/>
    </row>
    <row r="23907">
      <c r="A23907" s="6"/>
      <c r="B23907" s="6"/>
      <c r="H23907" s="13"/>
    </row>
    <row r="23908">
      <c r="A23908" s="6"/>
      <c r="B23908" s="6"/>
      <c r="H23908" s="13"/>
    </row>
    <row r="23909">
      <c r="A23909" s="6"/>
      <c r="B23909" s="6"/>
      <c r="H23909" s="13"/>
    </row>
    <row r="23910">
      <c r="A23910" s="6"/>
      <c r="B23910" s="6"/>
      <c r="H23910" s="13"/>
    </row>
    <row r="23911">
      <c r="A23911" s="6"/>
      <c r="B23911" s="6"/>
      <c r="H23911" s="13"/>
    </row>
    <row r="23912">
      <c r="A23912" s="6"/>
      <c r="B23912" s="6"/>
      <c r="H23912" s="13"/>
    </row>
    <row r="23913">
      <c r="A23913" s="6"/>
      <c r="B23913" s="6"/>
      <c r="H23913" s="13"/>
    </row>
    <row r="23914">
      <c r="A23914" s="6"/>
      <c r="B23914" s="6"/>
      <c r="H23914" s="13"/>
    </row>
    <row r="23915">
      <c r="A23915" s="6"/>
      <c r="B23915" s="6"/>
      <c r="H23915" s="13"/>
    </row>
    <row r="23916">
      <c r="A23916" s="6"/>
      <c r="B23916" s="6"/>
      <c r="H23916" s="13"/>
    </row>
    <row r="23917">
      <c r="A23917" s="6"/>
      <c r="B23917" s="6"/>
      <c r="H23917" s="13"/>
    </row>
    <row r="23918">
      <c r="A23918" s="6"/>
      <c r="B23918" s="6"/>
      <c r="H23918" s="13"/>
    </row>
    <row r="23919">
      <c r="A23919" s="6"/>
      <c r="B23919" s="6"/>
      <c r="H23919" s="13"/>
    </row>
    <row r="23920">
      <c r="A23920" s="6"/>
      <c r="B23920" s="6"/>
      <c r="H23920" s="13"/>
    </row>
    <row r="23921">
      <c r="A23921" s="6"/>
      <c r="B23921" s="6"/>
      <c r="H23921" s="13"/>
    </row>
    <row r="23922">
      <c r="A23922" s="6"/>
      <c r="B23922" s="6"/>
      <c r="H23922" s="13"/>
    </row>
    <row r="23923">
      <c r="A23923" s="6"/>
      <c r="B23923" s="6"/>
      <c r="H23923" s="13"/>
    </row>
    <row r="23924">
      <c r="A23924" s="6"/>
      <c r="B23924" s="6"/>
      <c r="H23924" s="13"/>
    </row>
    <row r="23925">
      <c r="A23925" s="6"/>
      <c r="B23925" s="6"/>
      <c r="H23925" s="13"/>
    </row>
    <row r="23926">
      <c r="A23926" s="6"/>
      <c r="B23926" s="6"/>
      <c r="H23926" s="13"/>
    </row>
    <row r="23927">
      <c r="A23927" s="6"/>
      <c r="B23927" s="6"/>
      <c r="H23927" s="13"/>
    </row>
    <row r="23928">
      <c r="A23928" s="6"/>
      <c r="B23928" s="6"/>
      <c r="H23928" s="13"/>
    </row>
    <row r="23929">
      <c r="A23929" s="6"/>
      <c r="B23929" s="6"/>
      <c r="H23929" s="13"/>
    </row>
    <row r="23930">
      <c r="A23930" s="6"/>
      <c r="B23930" s="6"/>
      <c r="H23930" s="13"/>
    </row>
    <row r="23931">
      <c r="A23931" s="6"/>
      <c r="B23931" s="6"/>
      <c r="H23931" s="13"/>
    </row>
    <row r="23932">
      <c r="A23932" s="6"/>
      <c r="B23932" s="6"/>
      <c r="H23932" s="13"/>
    </row>
    <row r="23933">
      <c r="A23933" s="6"/>
      <c r="B23933" s="6"/>
      <c r="H23933" s="13"/>
    </row>
    <row r="23934">
      <c r="A23934" s="6"/>
      <c r="B23934" s="6"/>
      <c r="H23934" s="13"/>
    </row>
    <row r="23935">
      <c r="A23935" s="6"/>
      <c r="B23935" s="6"/>
      <c r="H23935" s="13"/>
    </row>
    <row r="23936">
      <c r="A23936" s="6"/>
      <c r="B23936" s="6"/>
      <c r="H23936" s="13"/>
    </row>
    <row r="23937">
      <c r="A23937" s="6"/>
      <c r="B23937" s="6"/>
      <c r="H23937" s="13"/>
    </row>
    <row r="23938">
      <c r="A23938" s="6"/>
      <c r="B23938" s="6"/>
      <c r="H23938" s="13"/>
    </row>
    <row r="23939">
      <c r="A23939" s="6"/>
      <c r="B23939" s="6"/>
      <c r="H23939" s="13"/>
    </row>
    <row r="23940">
      <c r="A23940" s="6"/>
      <c r="B23940" s="6"/>
      <c r="H23940" s="13"/>
    </row>
    <row r="23941">
      <c r="A23941" s="6"/>
      <c r="B23941" s="6"/>
      <c r="H23941" s="13"/>
    </row>
    <row r="23942">
      <c r="A23942" s="6"/>
      <c r="B23942" s="6"/>
      <c r="H23942" s="13"/>
    </row>
    <row r="23943">
      <c r="A23943" s="6"/>
      <c r="B23943" s="6"/>
      <c r="H23943" s="13"/>
    </row>
    <row r="23944">
      <c r="A23944" s="6"/>
      <c r="B23944" s="6"/>
      <c r="H23944" s="13"/>
    </row>
    <row r="23945">
      <c r="A23945" s="6"/>
      <c r="B23945" s="6"/>
      <c r="H23945" s="13"/>
    </row>
    <row r="23946">
      <c r="A23946" s="6"/>
      <c r="B23946" s="6"/>
      <c r="H23946" s="13"/>
    </row>
    <row r="23947">
      <c r="A23947" s="6"/>
      <c r="B23947" s="6"/>
      <c r="H23947" s="13"/>
    </row>
    <row r="23948">
      <c r="A23948" s="6"/>
      <c r="B23948" s="6"/>
      <c r="H23948" s="13"/>
    </row>
    <row r="23949">
      <c r="A23949" s="6"/>
      <c r="B23949" s="6"/>
      <c r="H23949" s="13"/>
    </row>
    <row r="23950">
      <c r="A23950" s="6"/>
      <c r="B23950" s="6"/>
      <c r="H23950" s="13"/>
    </row>
    <row r="23951">
      <c r="A23951" s="6"/>
      <c r="B23951" s="6"/>
      <c r="H23951" s="13"/>
    </row>
    <row r="23952">
      <c r="A23952" s="6"/>
      <c r="B23952" s="6"/>
      <c r="H23952" s="13"/>
    </row>
    <row r="23953">
      <c r="A23953" s="6"/>
      <c r="B23953" s="6"/>
      <c r="H23953" s="13"/>
    </row>
    <row r="23954">
      <c r="A23954" s="6"/>
      <c r="B23954" s="6"/>
      <c r="H23954" s="13"/>
    </row>
    <row r="23955">
      <c r="A23955" s="6"/>
      <c r="B23955" s="6"/>
      <c r="H23955" s="13"/>
    </row>
    <row r="23956">
      <c r="A23956" s="6"/>
      <c r="B23956" s="6"/>
      <c r="H23956" s="13"/>
    </row>
    <row r="23957">
      <c r="A23957" s="6"/>
      <c r="B23957" s="6"/>
      <c r="H23957" s="13"/>
    </row>
    <row r="23958">
      <c r="A23958" s="6"/>
      <c r="B23958" s="6"/>
      <c r="H23958" s="13"/>
    </row>
    <row r="23959">
      <c r="A23959" s="6"/>
      <c r="B23959" s="6"/>
      <c r="H23959" s="13"/>
    </row>
    <row r="23960">
      <c r="A23960" s="6"/>
      <c r="B23960" s="6"/>
      <c r="H23960" s="13"/>
    </row>
    <row r="23961">
      <c r="A23961" s="6"/>
      <c r="B23961" s="6"/>
      <c r="H23961" s="13"/>
    </row>
    <row r="23962">
      <c r="A23962" s="6"/>
      <c r="B23962" s="6"/>
      <c r="H23962" s="13"/>
    </row>
    <row r="23963">
      <c r="A23963" s="6"/>
      <c r="B23963" s="6"/>
      <c r="H23963" s="13"/>
    </row>
    <row r="23964">
      <c r="A23964" s="6"/>
      <c r="B23964" s="6"/>
      <c r="H23964" s="13"/>
    </row>
    <row r="23965">
      <c r="A23965" s="6"/>
      <c r="B23965" s="6"/>
      <c r="H23965" s="13"/>
    </row>
    <row r="23966">
      <c r="A23966" s="6"/>
      <c r="B23966" s="6"/>
      <c r="H23966" s="13"/>
    </row>
    <row r="23967">
      <c r="A23967" s="6"/>
      <c r="B23967" s="6"/>
      <c r="H23967" s="13"/>
    </row>
    <row r="23968">
      <c r="A23968" s="6"/>
      <c r="B23968" s="6"/>
      <c r="H23968" s="13"/>
    </row>
    <row r="23969">
      <c r="A23969" s="6"/>
      <c r="B23969" s="6"/>
      <c r="H23969" s="13"/>
    </row>
    <row r="23970">
      <c r="A23970" s="6"/>
      <c r="B23970" s="6"/>
      <c r="H23970" s="13"/>
    </row>
    <row r="23971">
      <c r="A23971" s="6"/>
      <c r="B23971" s="6"/>
      <c r="H23971" s="13"/>
    </row>
    <row r="23972">
      <c r="A23972" s="6"/>
      <c r="B23972" s="6"/>
      <c r="H23972" s="13"/>
    </row>
    <row r="23973">
      <c r="A23973" s="6"/>
      <c r="B23973" s="6"/>
      <c r="H23973" s="13"/>
    </row>
    <row r="23974">
      <c r="A23974" s="6"/>
      <c r="B23974" s="6"/>
      <c r="H23974" s="13"/>
    </row>
    <row r="23975">
      <c r="A23975" s="6"/>
      <c r="B23975" s="6"/>
      <c r="H23975" s="13"/>
    </row>
    <row r="23976">
      <c r="A23976" s="6"/>
      <c r="B23976" s="6"/>
      <c r="H23976" s="13"/>
    </row>
    <row r="23977">
      <c r="A23977" s="6"/>
      <c r="B23977" s="6"/>
      <c r="H23977" s="13"/>
    </row>
    <row r="23978">
      <c r="A23978" s="6"/>
      <c r="B23978" s="6"/>
      <c r="H23978" s="13"/>
    </row>
    <row r="23979">
      <c r="A23979" s="6"/>
      <c r="B23979" s="6"/>
      <c r="H23979" s="13"/>
    </row>
    <row r="23980">
      <c r="A23980" s="6"/>
      <c r="B23980" s="6"/>
      <c r="H23980" s="13"/>
    </row>
    <row r="23981">
      <c r="A23981" s="6"/>
      <c r="B23981" s="6"/>
      <c r="H23981" s="13"/>
    </row>
    <row r="23982">
      <c r="A23982" s="6"/>
      <c r="B23982" s="6"/>
      <c r="H23982" s="13"/>
    </row>
    <row r="23983">
      <c r="A23983" s="6"/>
      <c r="B23983" s="6"/>
      <c r="H23983" s="13"/>
    </row>
    <row r="23984">
      <c r="A23984" s="6"/>
      <c r="B23984" s="6"/>
      <c r="H23984" s="13"/>
    </row>
    <row r="23985">
      <c r="A23985" s="6"/>
      <c r="B23985" s="6"/>
      <c r="H23985" s="13"/>
    </row>
    <row r="23986">
      <c r="A23986" s="6"/>
      <c r="B23986" s="6"/>
      <c r="H23986" s="13"/>
    </row>
    <row r="23987">
      <c r="A23987" s="6"/>
      <c r="B23987" s="6"/>
      <c r="H23987" s="13"/>
    </row>
    <row r="23988">
      <c r="A23988" s="6"/>
      <c r="B23988" s="6"/>
      <c r="H23988" s="13"/>
    </row>
    <row r="23989">
      <c r="A23989" s="6"/>
      <c r="B23989" s="6"/>
      <c r="H23989" s="13"/>
    </row>
    <row r="23990">
      <c r="A23990" s="6"/>
      <c r="B23990" s="6"/>
      <c r="H23990" s="13"/>
    </row>
    <row r="23991">
      <c r="A23991" s="6"/>
      <c r="B23991" s="6"/>
      <c r="H23991" s="13"/>
    </row>
    <row r="23992">
      <c r="A23992" s="6"/>
      <c r="B23992" s="6"/>
      <c r="H23992" s="13"/>
    </row>
    <row r="23993">
      <c r="A23993" s="6"/>
      <c r="B23993" s="6"/>
      <c r="H23993" s="13"/>
    </row>
    <row r="23994">
      <c r="A23994" s="6"/>
      <c r="B23994" s="6"/>
      <c r="H23994" s="13"/>
    </row>
    <row r="23995">
      <c r="A23995" s="6"/>
      <c r="B23995" s="6"/>
      <c r="H23995" s="13"/>
    </row>
    <row r="23996">
      <c r="A23996" s="6"/>
      <c r="B23996" s="6"/>
      <c r="H23996" s="13"/>
    </row>
    <row r="23997">
      <c r="A23997" s="6"/>
      <c r="B23997" s="6"/>
      <c r="H23997" s="13"/>
    </row>
    <row r="23998">
      <c r="A23998" s="6"/>
      <c r="B23998" s="6"/>
      <c r="H23998" s="13"/>
    </row>
    <row r="23999">
      <c r="A23999" s="6"/>
      <c r="B23999" s="6"/>
      <c r="H23999" s="13"/>
    </row>
    <row r="24000">
      <c r="A24000" s="6"/>
      <c r="B24000" s="6"/>
      <c r="H24000" s="13"/>
    </row>
    <row r="24001">
      <c r="A24001" s="6"/>
      <c r="B24001" s="6"/>
      <c r="H24001" s="13"/>
    </row>
    <row r="24002">
      <c r="A24002" s="6"/>
      <c r="B24002" s="6"/>
      <c r="H24002" s="13"/>
    </row>
    <row r="24003">
      <c r="A24003" s="6"/>
      <c r="B24003" s="6"/>
      <c r="H24003" s="13"/>
    </row>
    <row r="24004">
      <c r="A24004" s="6"/>
      <c r="B24004" s="6"/>
      <c r="H24004" s="13"/>
    </row>
    <row r="24005">
      <c r="A24005" s="6"/>
      <c r="B24005" s="6"/>
      <c r="H24005" s="13"/>
    </row>
    <row r="24006">
      <c r="A24006" s="6"/>
      <c r="B24006" s="6"/>
      <c r="H24006" s="13"/>
    </row>
    <row r="24007">
      <c r="A24007" s="6"/>
      <c r="B24007" s="6"/>
      <c r="H24007" s="13"/>
    </row>
    <row r="24008">
      <c r="A24008" s="6"/>
      <c r="B24008" s="6"/>
      <c r="H24008" s="13"/>
    </row>
    <row r="24009">
      <c r="A24009" s="6"/>
      <c r="B24009" s="6"/>
      <c r="H24009" s="13"/>
    </row>
    <row r="24010">
      <c r="A24010" s="6"/>
      <c r="B24010" s="6"/>
      <c r="H24010" s="13"/>
    </row>
    <row r="24011">
      <c r="A24011" s="6"/>
      <c r="B24011" s="6"/>
      <c r="H24011" s="13"/>
    </row>
    <row r="24012">
      <c r="A24012" s="6"/>
      <c r="B24012" s="6"/>
      <c r="H24012" s="13"/>
    </row>
    <row r="24013">
      <c r="A24013" s="6"/>
      <c r="B24013" s="6"/>
      <c r="H24013" s="13"/>
    </row>
    <row r="24014">
      <c r="A24014" s="6"/>
      <c r="B24014" s="6"/>
      <c r="H24014" s="13"/>
    </row>
    <row r="24015">
      <c r="A24015" s="6"/>
      <c r="B24015" s="6"/>
      <c r="H24015" s="13"/>
    </row>
    <row r="24016">
      <c r="A24016" s="6"/>
      <c r="B24016" s="6"/>
      <c r="H24016" s="13"/>
    </row>
    <row r="24017">
      <c r="A24017" s="6"/>
      <c r="B24017" s="6"/>
      <c r="H24017" s="13"/>
    </row>
    <row r="24018">
      <c r="A24018" s="6"/>
      <c r="B24018" s="6"/>
      <c r="H24018" s="13"/>
    </row>
    <row r="24019">
      <c r="A24019" s="6"/>
      <c r="B24019" s="6"/>
      <c r="H24019" s="13"/>
    </row>
    <row r="24020">
      <c r="A24020" s="6"/>
      <c r="B24020" s="6"/>
      <c r="H24020" s="13"/>
    </row>
    <row r="24021">
      <c r="A24021" s="6"/>
      <c r="B24021" s="6"/>
      <c r="H24021" s="13"/>
    </row>
    <row r="24022">
      <c r="A24022" s="6"/>
      <c r="B24022" s="6"/>
      <c r="H24022" s="13"/>
    </row>
    <row r="24023">
      <c r="A24023" s="6"/>
      <c r="B24023" s="6"/>
      <c r="H24023" s="13"/>
    </row>
    <row r="24024">
      <c r="A24024" s="6"/>
      <c r="B24024" s="6"/>
      <c r="H24024" s="13"/>
    </row>
    <row r="24025">
      <c r="A24025" s="6"/>
      <c r="B24025" s="6"/>
      <c r="H24025" s="13"/>
    </row>
    <row r="24026">
      <c r="A24026" s="6"/>
      <c r="B24026" s="6"/>
      <c r="H24026" s="13"/>
    </row>
    <row r="24027">
      <c r="A24027" s="6"/>
      <c r="B24027" s="6"/>
      <c r="H24027" s="13"/>
    </row>
    <row r="24028">
      <c r="A24028" s="6"/>
      <c r="B24028" s="6"/>
      <c r="H24028" s="13"/>
    </row>
    <row r="24029">
      <c r="A24029" s="6"/>
      <c r="B24029" s="6"/>
      <c r="H24029" s="13"/>
    </row>
    <row r="24030">
      <c r="A24030" s="6"/>
      <c r="B24030" s="6"/>
      <c r="H24030" s="13"/>
    </row>
    <row r="24031">
      <c r="A24031" s="6"/>
      <c r="B24031" s="6"/>
      <c r="H24031" s="13"/>
    </row>
    <row r="24032">
      <c r="A24032" s="6"/>
      <c r="B24032" s="6"/>
      <c r="H24032" s="13"/>
    </row>
    <row r="24033">
      <c r="A24033" s="6"/>
      <c r="B24033" s="6"/>
      <c r="H24033" s="13"/>
    </row>
    <row r="24034">
      <c r="A24034" s="6"/>
      <c r="B24034" s="6"/>
      <c r="H24034" s="13"/>
    </row>
    <row r="24035">
      <c r="A24035" s="6"/>
      <c r="B24035" s="6"/>
      <c r="H24035" s="13"/>
    </row>
    <row r="24036">
      <c r="A24036" s="6"/>
      <c r="B24036" s="6"/>
      <c r="H24036" s="13"/>
    </row>
    <row r="24037">
      <c r="A24037" s="6"/>
      <c r="B24037" s="6"/>
      <c r="H24037" s="13"/>
    </row>
    <row r="24038">
      <c r="A24038" s="6"/>
      <c r="B24038" s="6"/>
      <c r="H24038" s="13"/>
    </row>
    <row r="24039">
      <c r="A24039" s="6"/>
      <c r="B24039" s="6"/>
      <c r="H24039" s="13"/>
    </row>
    <row r="24040">
      <c r="A24040" s="6"/>
      <c r="B24040" s="6"/>
      <c r="H24040" s="13"/>
    </row>
    <row r="24041">
      <c r="A24041" s="6"/>
      <c r="B24041" s="6"/>
      <c r="H24041" s="13"/>
    </row>
    <row r="24042">
      <c r="A24042" s="6"/>
      <c r="B24042" s="6"/>
      <c r="H24042" s="13"/>
    </row>
    <row r="24043">
      <c r="A24043" s="6"/>
      <c r="B24043" s="6"/>
      <c r="H24043" s="13"/>
    </row>
    <row r="24044">
      <c r="A24044" s="6"/>
      <c r="B24044" s="6"/>
      <c r="H24044" s="13"/>
    </row>
    <row r="24045">
      <c r="A24045" s="6"/>
      <c r="B24045" s="6"/>
      <c r="H24045" s="13"/>
    </row>
    <row r="24046">
      <c r="A24046" s="6"/>
      <c r="B24046" s="6"/>
      <c r="H24046" s="13"/>
    </row>
    <row r="24047">
      <c r="A24047" s="6"/>
      <c r="B24047" s="6"/>
      <c r="H24047" s="13"/>
    </row>
    <row r="24048">
      <c r="A24048" s="6"/>
      <c r="B24048" s="6"/>
      <c r="H24048" s="13"/>
    </row>
    <row r="24049">
      <c r="A24049" s="6"/>
      <c r="B24049" s="6"/>
      <c r="H24049" s="13"/>
    </row>
    <row r="24050">
      <c r="A24050" s="6"/>
      <c r="B24050" s="6"/>
      <c r="H24050" s="13"/>
    </row>
    <row r="24051">
      <c r="A24051" s="6"/>
      <c r="B24051" s="6"/>
      <c r="H24051" s="13"/>
    </row>
    <row r="24052">
      <c r="A24052" s="6"/>
      <c r="B24052" s="6"/>
      <c r="H24052" s="13"/>
    </row>
    <row r="24053">
      <c r="A24053" s="6"/>
      <c r="B24053" s="6"/>
      <c r="H24053" s="13"/>
    </row>
    <row r="24054">
      <c r="A24054" s="6"/>
      <c r="B24054" s="6"/>
      <c r="H24054" s="13"/>
    </row>
    <row r="24055">
      <c r="A24055" s="6"/>
      <c r="B24055" s="6"/>
      <c r="H24055" s="13"/>
    </row>
    <row r="24056">
      <c r="A24056" s="6"/>
      <c r="B24056" s="6"/>
      <c r="H24056" s="13"/>
    </row>
    <row r="24057">
      <c r="A24057" s="6"/>
      <c r="B24057" s="6"/>
      <c r="H24057" s="13"/>
    </row>
    <row r="24058">
      <c r="A24058" s="6"/>
      <c r="B24058" s="6"/>
      <c r="H24058" s="13"/>
    </row>
    <row r="24059">
      <c r="A24059" s="6"/>
      <c r="B24059" s="6"/>
      <c r="H24059" s="13"/>
    </row>
    <row r="24060">
      <c r="A24060" s="6"/>
      <c r="B24060" s="6"/>
      <c r="H24060" s="13"/>
    </row>
    <row r="24061">
      <c r="A24061" s="6"/>
      <c r="B24061" s="6"/>
      <c r="H24061" s="13"/>
    </row>
    <row r="24062">
      <c r="A24062" s="6"/>
      <c r="B24062" s="6"/>
      <c r="H24062" s="13"/>
    </row>
    <row r="24063">
      <c r="A24063" s="6"/>
      <c r="B24063" s="6"/>
      <c r="H24063" s="13"/>
    </row>
    <row r="24064">
      <c r="A24064" s="6"/>
      <c r="B24064" s="6"/>
      <c r="H24064" s="13"/>
    </row>
    <row r="24065">
      <c r="A24065" s="6"/>
      <c r="B24065" s="6"/>
      <c r="H24065" s="13"/>
    </row>
    <row r="24066">
      <c r="A24066" s="6"/>
      <c r="B24066" s="6"/>
      <c r="H24066" s="13"/>
    </row>
    <row r="24067">
      <c r="A24067" s="6"/>
      <c r="B24067" s="6"/>
      <c r="H24067" s="13"/>
    </row>
    <row r="24068">
      <c r="A24068" s="6"/>
      <c r="B24068" s="6"/>
      <c r="H24068" s="13"/>
    </row>
    <row r="24069">
      <c r="A24069" s="6"/>
      <c r="B24069" s="6"/>
      <c r="H24069" s="13"/>
    </row>
    <row r="24070">
      <c r="A24070" s="6"/>
      <c r="B24070" s="6"/>
      <c r="H24070" s="13"/>
    </row>
    <row r="24071">
      <c r="A24071" s="6"/>
      <c r="B24071" s="6"/>
      <c r="H24071" s="13"/>
    </row>
    <row r="24072">
      <c r="A24072" s="6"/>
      <c r="B24072" s="6"/>
      <c r="H24072" s="13"/>
    </row>
    <row r="24073">
      <c r="A24073" s="6"/>
      <c r="B24073" s="6"/>
      <c r="H24073" s="13"/>
    </row>
    <row r="24074">
      <c r="A24074" s="6"/>
      <c r="B24074" s="6"/>
      <c r="H24074" s="13"/>
    </row>
    <row r="24075">
      <c r="A24075" s="6"/>
      <c r="B24075" s="6"/>
      <c r="H24075" s="13"/>
    </row>
    <row r="24076">
      <c r="A24076" s="6"/>
      <c r="B24076" s="6"/>
      <c r="H24076" s="13"/>
    </row>
    <row r="24077">
      <c r="A24077" s="6"/>
      <c r="B24077" s="6"/>
      <c r="H24077" s="13"/>
    </row>
    <row r="24078">
      <c r="A24078" s="6"/>
      <c r="B24078" s="6"/>
      <c r="H24078" s="13"/>
    </row>
    <row r="24079">
      <c r="A24079" s="6"/>
      <c r="B24079" s="6"/>
      <c r="H24079" s="13"/>
    </row>
    <row r="24080">
      <c r="A24080" s="6"/>
      <c r="B24080" s="6"/>
      <c r="H24080" s="13"/>
    </row>
    <row r="24081">
      <c r="A24081" s="6"/>
      <c r="B24081" s="6"/>
      <c r="H24081" s="13"/>
    </row>
    <row r="24082">
      <c r="A24082" s="6"/>
      <c r="B24082" s="6"/>
      <c r="H24082" s="13"/>
    </row>
    <row r="24083">
      <c r="A24083" s="6"/>
      <c r="B24083" s="6"/>
      <c r="H24083" s="13"/>
    </row>
    <row r="24084">
      <c r="A24084" s="6"/>
      <c r="B24084" s="6"/>
      <c r="H24084" s="13"/>
    </row>
    <row r="24085">
      <c r="A24085" s="6"/>
      <c r="B24085" s="6"/>
      <c r="H24085" s="13"/>
    </row>
    <row r="24086">
      <c r="A24086" s="6"/>
      <c r="B24086" s="6"/>
      <c r="H24086" s="13"/>
    </row>
    <row r="24087">
      <c r="A24087" s="6"/>
      <c r="B24087" s="6"/>
      <c r="H24087" s="13"/>
    </row>
    <row r="24088">
      <c r="A24088" s="6"/>
      <c r="B24088" s="6"/>
      <c r="H24088" s="13"/>
    </row>
    <row r="24089">
      <c r="A24089" s="6"/>
      <c r="B24089" s="6"/>
      <c r="H24089" s="13"/>
    </row>
    <row r="24090">
      <c r="A24090" s="6"/>
      <c r="B24090" s="6"/>
      <c r="H24090" s="13"/>
    </row>
    <row r="24091">
      <c r="A24091" s="6"/>
      <c r="B24091" s="6"/>
      <c r="H24091" s="13"/>
    </row>
    <row r="24092">
      <c r="A24092" s="6"/>
      <c r="B24092" s="6"/>
      <c r="H24092" s="13"/>
    </row>
    <row r="24093">
      <c r="A24093" s="6"/>
      <c r="B24093" s="6"/>
      <c r="H24093" s="13"/>
    </row>
    <row r="24094">
      <c r="A24094" s="6"/>
      <c r="B24094" s="6"/>
      <c r="H24094" s="13"/>
    </row>
    <row r="24095">
      <c r="A24095" s="6"/>
      <c r="B24095" s="6"/>
      <c r="H24095" s="13"/>
    </row>
    <row r="24096">
      <c r="A24096" s="6"/>
      <c r="B24096" s="6"/>
      <c r="H24096" s="13"/>
    </row>
    <row r="24097">
      <c r="A24097" s="6"/>
      <c r="B24097" s="6"/>
      <c r="H24097" s="13"/>
    </row>
    <row r="24098">
      <c r="A24098" s="6"/>
      <c r="B24098" s="6"/>
      <c r="H24098" s="13"/>
    </row>
    <row r="24099">
      <c r="A24099" s="6"/>
      <c r="B24099" s="6"/>
      <c r="H24099" s="13"/>
    </row>
    <row r="24100">
      <c r="A24100" s="6"/>
      <c r="B24100" s="6"/>
      <c r="H24100" s="13"/>
    </row>
    <row r="24101">
      <c r="A24101" s="6"/>
      <c r="B24101" s="6"/>
      <c r="H24101" s="13"/>
    </row>
    <row r="24102">
      <c r="A24102" s="6"/>
      <c r="B24102" s="6"/>
      <c r="H24102" s="13"/>
    </row>
    <row r="24103">
      <c r="A24103" s="6"/>
      <c r="B24103" s="6"/>
      <c r="H24103" s="13"/>
    </row>
    <row r="24104">
      <c r="A24104" s="6"/>
      <c r="B24104" s="6"/>
      <c r="H24104" s="13"/>
    </row>
    <row r="24105">
      <c r="A24105" s="6"/>
      <c r="B24105" s="6"/>
      <c r="H24105" s="13"/>
    </row>
    <row r="24106">
      <c r="A24106" s="6"/>
      <c r="B24106" s="6"/>
      <c r="H24106" s="13"/>
    </row>
    <row r="24107">
      <c r="A24107" s="6"/>
      <c r="B24107" s="6"/>
      <c r="H24107" s="13"/>
    </row>
    <row r="24108">
      <c r="A24108" s="6"/>
      <c r="B24108" s="6"/>
      <c r="H24108" s="13"/>
    </row>
    <row r="24109">
      <c r="A24109" s="6"/>
      <c r="B24109" s="6"/>
      <c r="H24109" s="13"/>
    </row>
    <row r="24110">
      <c r="A24110" s="6"/>
      <c r="B24110" s="6"/>
      <c r="H24110" s="13"/>
    </row>
    <row r="24111">
      <c r="A24111" s="6"/>
      <c r="B24111" s="6"/>
      <c r="H24111" s="13"/>
    </row>
    <row r="24112">
      <c r="A24112" s="6"/>
      <c r="B24112" s="6"/>
      <c r="H24112" s="13"/>
    </row>
    <row r="24113">
      <c r="A24113" s="6"/>
      <c r="B24113" s="6"/>
      <c r="H24113" s="13"/>
    </row>
    <row r="24114">
      <c r="A24114" s="6"/>
      <c r="B24114" s="6"/>
      <c r="H24114" s="13"/>
    </row>
    <row r="24115">
      <c r="A24115" s="6"/>
      <c r="B24115" s="6"/>
      <c r="H24115" s="13"/>
    </row>
    <row r="24116">
      <c r="A24116" s="6"/>
      <c r="B24116" s="6"/>
      <c r="H24116" s="13"/>
    </row>
    <row r="24117">
      <c r="A24117" s="6"/>
      <c r="B24117" s="6"/>
      <c r="H24117" s="13"/>
    </row>
    <row r="24118">
      <c r="A24118" s="6"/>
      <c r="B24118" s="6"/>
      <c r="H24118" s="13"/>
    </row>
    <row r="24119">
      <c r="A24119" s="6"/>
      <c r="B24119" s="6"/>
      <c r="H24119" s="13"/>
    </row>
    <row r="24120">
      <c r="A24120" s="6"/>
      <c r="B24120" s="6"/>
      <c r="H24120" s="13"/>
    </row>
    <row r="24121">
      <c r="A24121" s="6"/>
      <c r="B24121" s="6"/>
      <c r="H24121" s="13"/>
    </row>
    <row r="24122">
      <c r="A24122" s="6"/>
      <c r="B24122" s="6"/>
      <c r="H24122" s="13"/>
    </row>
    <row r="24123">
      <c r="A24123" s="6"/>
      <c r="B24123" s="6"/>
      <c r="H24123" s="13"/>
    </row>
    <row r="24124">
      <c r="A24124" s="6"/>
      <c r="B24124" s="6"/>
      <c r="H24124" s="13"/>
    </row>
    <row r="24125">
      <c r="A24125" s="6"/>
      <c r="B24125" s="6"/>
      <c r="H24125" s="13"/>
    </row>
    <row r="24126">
      <c r="A24126" s="6"/>
      <c r="B24126" s="6"/>
      <c r="H24126" s="13"/>
    </row>
    <row r="24127">
      <c r="A24127" s="6"/>
      <c r="B24127" s="6"/>
      <c r="H24127" s="13"/>
    </row>
    <row r="24128">
      <c r="A24128" s="6"/>
      <c r="B24128" s="6"/>
      <c r="H24128" s="13"/>
    </row>
    <row r="24129">
      <c r="A24129" s="6"/>
      <c r="B24129" s="6"/>
      <c r="H24129" s="13"/>
    </row>
    <row r="24130">
      <c r="A24130" s="6"/>
      <c r="B24130" s="6"/>
      <c r="H24130" s="13"/>
    </row>
    <row r="24131">
      <c r="A24131" s="6"/>
      <c r="B24131" s="6"/>
      <c r="H24131" s="13"/>
    </row>
    <row r="24132">
      <c r="A24132" s="6"/>
      <c r="B24132" s="6"/>
      <c r="H24132" s="13"/>
    </row>
    <row r="24133">
      <c r="A24133" s="6"/>
      <c r="B24133" s="6"/>
      <c r="H24133" s="13"/>
    </row>
    <row r="24134">
      <c r="A24134" s="6"/>
      <c r="B24134" s="6"/>
      <c r="H24134" s="13"/>
    </row>
    <row r="24135">
      <c r="A24135" s="6"/>
      <c r="B24135" s="6"/>
      <c r="H24135" s="13"/>
    </row>
    <row r="24136">
      <c r="A24136" s="6"/>
      <c r="B24136" s="6"/>
      <c r="H24136" s="13"/>
    </row>
    <row r="24137">
      <c r="A24137" s="6"/>
      <c r="B24137" s="6"/>
      <c r="H24137" s="13"/>
    </row>
    <row r="24138">
      <c r="A24138" s="6"/>
      <c r="B24138" s="6"/>
      <c r="H24138" s="13"/>
    </row>
    <row r="24139">
      <c r="A24139" s="6"/>
      <c r="B24139" s="6"/>
      <c r="H24139" s="13"/>
    </row>
    <row r="24140">
      <c r="A24140" s="6"/>
      <c r="B24140" s="6"/>
      <c r="H24140" s="13"/>
    </row>
    <row r="24141">
      <c r="A24141" s="6"/>
      <c r="B24141" s="6"/>
      <c r="H24141" s="13"/>
    </row>
    <row r="24142">
      <c r="A24142" s="6"/>
      <c r="B24142" s="6"/>
      <c r="H24142" s="13"/>
    </row>
    <row r="24143">
      <c r="A24143" s="6"/>
      <c r="B24143" s="6"/>
      <c r="H24143" s="13"/>
    </row>
    <row r="24144">
      <c r="A24144" s="6"/>
      <c r="B24144" s="6"/>
      <c r="H24144" s="13"/>
    </row>
    <row r="24145">
      <c r="A24145" s="6"/>
      <c r="B24145" s="6"/>
      <c r="H24145" s="13"/>
    </row>
    <row r="24146">
      <c r="A24146" s="6"/>
      <c r="B24146" s="6"/>
      <c r="H24146" s="13"/>
    </row>
    <row r="24147">
      <c r="A24147" s="6"/>
      <c r="B24147" s="6"/>
      <c r="H24147" s="13"/>
    </row>
    <row r="24148">
      <c r="A24148" s="6"/>
      <c r="B24148" s="6"/>
      <c r="H24148" s="13"/>
    </row>
    <row r="24149">
      <c r="A24149" s="6"/>
      <c r="B24149" s="6"/>
      <c r="H24149" s="13"/>
    </row>
    <row r="24150">
      <c r="A24150" s="6"/>
      <c r="B24150" s="6"/>
      <c r="H24150" s="13"/>
    </row>
    <row r="24151">
      <c r="A24151" s="6"/>
      <c r="B24151" s="6"/>
      <c r="H24151" s="13"/>
    </row>
    <row r="24152">
      <c r="A24152" s="6"/>
      <c r="B24152" s="6"/>
      <c r="H24152" s="13"/>
    </row>
    <row r="24153">
      <c r="A24153" s="6"/>
      <c r="B24153" s="6"/>
      <c r="H24153" s="13"/>
    </row>
    <row r="24154">
      <c r="A24154" s="6"/>
      <c r="B24154" s="6"/>
      <c r="H24154" s="13"/>
    </row>
    <row r="24155">
      <c r="A24155" s="6"/>
      <c r="B24155" s="6"/>
      <c r="H24155" s="13"/>
    </row>
    <row r="24156">
      <c r="A24156" s="6"/>
      <c r="B24156" s="6"/>
      <c r="H24156" s="13"/>
    </row>
    <row r="24157">
      <c r="A24157" s="6"/>
      <c r="B24157" s="6"/>
      <c r="H24157" s="13"/>
    </row>
    <row r="24158">
      <c r="A24158" s="6"/>
      <c r="B24158" s="6"/>
      <c r="H24158" s="13"/>
    </row>
    <row r="24159">
      <c r="A24159" s="6"/>
      <c r="B24159" s="6"/>
      <c r="H24159" s="13"/>
    </row>
    <row r="24160">
      <c r="A24160" s="6"/>
      <c r="B24160" s="6"/>
      <c r="H24160" s="13"/>
    </row>
    <row r="24161">
      <c r="A24161" s="6"/>
      <c r="B24161" s="6"/>
      <c r="H24161" s="13"/>
    </row>
    <row r="24162">
      <c r="A24162" s="6"/>
      <c r="B24162" s="6"/>
      <c r="H24162" s="13"/>
    </row>
    <row r="24163">
      <c r="A24163" s="6"/>
      <c r="B24163" s="6"/>
      <c r="H24163" s="13"/>
    </row>
    <row r="24164">
      <c r="A24164" s="6"/>
      <c r="B24164" s="6"/>
      <c r="H24164" s="13"/>
    </row>
    <row r="24165">
      <c r="A24165" s="6"/>
      <c r="B24165" s="6"/>
      <c r="H24165" s="13"/>
    </row>
    <row r="24166">
      <c r="A24166" s="6"/>
      <c r="B24166" s="6"/>
      <c r="H24166" s="13"/>
    </row>
    <row r="24167">
      <c r="A24167" s="6"/>
      <c r="B24167" s="6"/>
      <c r="H24167" s="13"/>
    </row>
    <row r="24168">
      <c r="A24168" s="6"/>
      <c r="B24168" s="6"/>
      <c r="H24168" s="13"/>
    </row>
    <row r="24169">
      <c r="A24169" s="6"/>
      <c r="B24169" s="6"/>
      <c r="H24169" s="13"/>
    </row>
    <row r="24170">
      <c r="A24170" s="6"/>
      <c r="B24170" s="6"/>
      <c r="H24170" s="13"/>
    </row>
    <row r="24171">
      <c r="A24171" s="6"/>
      <c r="B24171" s="6"/>
      <c r="H24171" s="13"/>
    </row>
    <row r="24172">
      <c r="A24172" s="6"/>
      <c r="B24172" s="6"/>
      <c r="H24172" s="13"/>
    </row>
    <row r="24173">
      <c r="A24173" s="6"/>
      <c r="B24173" s="6"/>
      <c r="H24173" s="13"/>
    </row>
    <row r="24174">
      <c r="A24174" s="6"/>
      <c r="B24174" s="6"/>
      <c r="H24174" s="13"/>
    </row>
    <row r="24175">
      <c r="A24175" s="6"/>
      <c r="B24175" s="6"/>
      <c r="H24175" s="13"/>
    </row>
    <row r="24176">
      <c r="A24176" s="6"/>
      <c r="B24176" s="6"/>
      <c r="H24176" s="13"/>
    </row>
    <row r="24177">
      <c r="A24177" s="6"/>
      <c r="B24177" s="6"/>
      <c r="H24177" s="13"/>
    </row>
    <row r="24178">
      <c r="A24178" s="6"/>
      <c r="B24178" s="6"/>
      <c r="H24178" s="13"/>
    </row>
    <row r="24179">
      <c r="A24179" s="6"/>
      <c r="B24179" s="6"/>
      <c r="H24179" s="13"/>
    </row>
    <row r="24180">
      <c r="A24180" s="6"/>
      <c r="B24180" s="6"/>
      <c r="H24180" s="13"/>
    </row>
    <row r="24181">
      <c r="A24181" s="6"/>
      <c r="B24181" s="6"/>
      <c r="H24181" s="13"/>
    </row>
    <row r="24182">
      <c r="A24182" s="6"/>
      <c r="B24182" s="6"/>
      <c r="H24182" s="13"/>
    </row>
    <row r="24183">
      <c r="A24183" s="6"/>
      <c r="B24183" s="6"/>
      <c r="H24183" s="13"/>
    </row>
    <row r="24184">
      <c r="A24184" s="6"/>
      <c r="B24184" s="6"/>
      <c r="H24184" s="13"/>
    </row>
    <row r="24185">
      <c r="A24185" s="6"/>
      <c r="B24185" s="6"/>
      <c r="H24185" s="13"/>
    </row>
    <row r="24186">
      <c r="A24186" s="6"/>
      <c r="B24186" s="6"/>
      <c r="H24186" s="13"/>
    </row>
    <row r="24187">
      <c r="A24187" s="6"/>
      <c r="B24187" s="6"/>
      <c r="H24187" s="13"/>
    </row>
    <row r="24188">
      <c r="A24188" s="6"/>
      <c r="B24188" s="6"/>
      <c r="H24188" s="13"/>
    </row>
    <row r="24189">
      <c r="A24189" s="6"/>
      <c r="B24189" s="6"/>
      <c r="H24189" s="13"/>
    </row>
    <row r="24190">
      <c r="A24190" s="6"/>
      <c r="B24190" s="6"/>
      <c r="H24190" s="13"/>
    </row>
    <row r="24191">
      <c r="A24191" s="6"/>
      <c r="B24191" s="6"/>
      <c r="H24191" s="13"/>
    </row>
    <row r="24192">
      <c r="A24192" s="6"/>
      <c r="B24192" s="6"/>
      <c r="H24192" s="13"/>
    </row>
    <row r="24193">
      <c r="A24193" s="6"/>
      <c r="B24193" s="6"/>
      <c r="H24193" s="13"/>
    </row>
    <row r="24194">
      <c r="A24194" s="6"/>
      <c r="B24194" s="6"/>
      <c r="H24194" s="13"/>
    </row>
    <row r="24195">
      <c r="A24195" s="6"/>
      <c r="B24195" s="6"/>
      <c r="H24195" s="13"/>
    </row>
    <row r="24196">
      <c r="A24196" s="6"/>
      <c r="B24196" s="6"/>
      <c r="H24196" s="13"/>
    </row>
    <row r="24197">
      <c r="A24197" s="6"/>
      <c r="B24197" s="6"/>
      <c r="H24197" s="13"/>
    </row>
    <row r="24198">
      <c r="A24198" s="6"/>
      <c r="B24198" s="6"/>
      <c r="H24198" s="13"/>
    </row>
    <row r="24199">
      <c r="A24199" s="6"/>
      <c r="B24199" s="6"/>
      <c r="H24199" s="13"/>
    </row>
    <row r="24200">
      <c r="A24200" s="6"/>
      <c r="B24200" s="6"/>
      <c r="H24200" s="13"/>
    </row>
    <row r="24201">
      <c r="A24201" s="6"/>
      <c r="B24201" s="6"/>
      <c r="H24201" s="13"/>
    </row>
    <row r="24202">
      <c r="A24202" s="6"/>
      <c r="B24202" s="6"/>
      <c r="H24202" s="13"/>
    </row>
    <row r="24203">
      <c r="A24203" s="6"/>
      <c r="B24203" s="6"/>
      <c r="H24203" s="13"/>
    </row>
    <row r="24204">
      <c r="A24204" s="6"/>
      <c r="B24204" s="6"/>
      <c r="H24204" s="13"/>
    </row>
    <row r="24205">
      <c r="A24205" s="6"/>
      <c r="B24205" s="6"/>
      <c r="H24205" s="13"/>
    </row>
    <row r="24206">
      <c r="A24206" s="6"/>
      <c r="B24206" s="6"/>
      <c r="H24206" s="13"/>
    </row>
    <row r="24207">
      <c r="A24207" s="6"/>
      <c r="B24207" s="6"/>
      <c r="H24207" s="13"/>
    </row>
    <row r="24208">
      <c r="A24208" s="6"/>
      <c r="B24208" s="6"/>
      <c r="H24208" s="13"/>
    </row>
    <row r="24209">
      <c r="A24209" s="6"/>
      <c r="B24209" s="6"/>
      <c r="H24209" s="13"/>
    </row>
    <row r="24210">
      <c r="A24210" s="6"/>
      <c r="B24210" s="6"/>
      <c r="H24210" s="13"/>
    </row>
    <row r="24211">
      <c r="A24211" s="6"/>
      <c r="B24211" s="6"/>
      <c r="H24211" s="13"/>
    </row>
    <row r="24212">
      <c r="A24212" s="6"/>
      <c r="B24212" s="6"/>
      <c r="H24212" s="13"/>
    </row>
    <row r="24213">
      <c r="A24213" s="6"/>
      <c r="B24213" s="6"/>
      <c r="H24213" s="13"/>
    </row>
    <row r="24214">
      <c r="A24214" s="6"/>
      <c r="B24214" s="6"/>
      <c r="H24214" s="13"/>
    </row>
    <row r="24215">
      <c r="A24215" s="6"/>
      <c r="B24215" s="6"/>
      <c r="H24215" s="13"/>
    </row>
    <row r="24216">
      <c r="A24216" s="6"/>
      <c r="B24216" s="6"/>
      <c r="H24216" s="13"/>
    </row>
    <row r="24217">
      <c r="A24217" s="6"/>
      <c r="B24217" s="6"/>
      <c r="H24217" s="13"/>
    </row>
    <row r="24218">
      <c r="A24218" s="6"/>
      <c r="B24218" s="6"/>
      <c r="H24218" s="13"/>
    </row>
    <row r="24219">
      <c r="A24219" s="6"/>
      <c r="B24219" s="6"/>
      <c r="H24219" s="13"/>
    </row>
    <row r="24220">
      <c r="A24220" s="6"/>
      <c r="B24220" s="6"/>
      <c r="H24220" s="13"/>
    </row>
    <row r="24221">
      <c r="A24221" s="6"/>
      <c r="B24221" s="6"/>
      <c r="H24221" s="13"/>
    </row>
    <row r="24222">
      <c r="A24222" s="6"/>
      <c r="B24222" s="6"/>
      <c r="H24222" s="13"/>
    </row>
    <row r="24223">
      <c r="A24223" s="6"/>
      <c r="B24223" s="6"/>
      <c r="H24223" s="13"/>
    </row>
    <row r="24224">
      <c r="A24224" s="6"/>
      <c r="B24224" s="6"/>
      <c r="H24224" s="13"/>
    </row>
    <row r="24225">
      <c r="A24225" s="6"/>
      <c r="B24225" s="6"/>
      <c r="H24225" s="13"/>
    </row>
    <row r="24226">
      <c r="A24226" s="6"/>
      <c r="B24226" s="6"/>
      <c r="H24226" s="13"/>
    </row>
    <row r="24227">
      <c r="A24227" s="6"/>
      <c r="B24227" s="6"/>
      <c r="H24227" s="13"/>
    </row>
    <row r="24228">
      <c r="A24228" s="6"/>
      <c r="B24228" s="6"/>
      <c r="H24228" s="13"/>
    </row>
    <row r="24229">
      <c r="A24229" s="6"/>
      <c r="B24229" s="6"/>
      <c r="H24229" s="13"/>
    </row>
    <row r="24230">
      <c r="A24230" s="6"/>
      <c r="B24230" s="6"/>
      <c r="H24230" s="13"/>
    </row>
    <row r="24231">
      <c r="A24231" s="6"/>
      <c r="B24231" s="6"/>
      <c r="H24231" s="13"/>
    </row>
    <row r="24232">
      <c r="A24232" s="6"/>
      <c r="B24232" s="6"/>
      <c r="H24232" s="13"/>
    </row>
    <row r="24233">
      <c r="A24233" s="6"/>
      <c r="B24233" s="6"/>
      <c r="H24233" s="13"/>
    </row>
    <row r="24234">
      <c r="A24234" s="6"/>
      <c r="B24234" s="6"/>
      <c r="H24234" s="13"/>
    </row>
    <row r="24235">
      <c r="A24235" s="6"/>
      <c r="B24235" s="6"/>
      <c r="H24235" s="13"/>
    </row>
    <row r="24236">
      <c r="A24236" s="6"/>
      <c r="B24236" s="6"/>
      <c r="H24236" s="13"/>
    </row>
    <row r="24237">
      <c r="A24237" s="6"/>
      <c r="B24237" s="6"/>
      <c r="H24237" s="13"/>
    </row>
    <row r="24238">
      <c r="A24238" s="6"/>
      <c r="B24238" s="6"/>
      <c r="H24238" s="13"/>
    </row>
    <row r="24239">
      <c r="A24239" s="6"/>
      <c r="B24239" s="6"/>
      <c r="H24239" s="13"/>
    </row>
    <row r="24240">
      <c r="A24240" s="6"/>
      <c r="B24240" s="6"/>
      <c r="H24240" s="13"/>
    </row>
    <row r="24241">
      <c r="A24241" s="6"/>
      <c r="B24241" s="6"/>
      <c r="H24241" s="13"/>
    </row>
    <row r="24242">
      <c r="A24242" s="6"/>
      <c r="B24242" s="6"/>
      <c r="H24242" s="13"/>
    </row>
    <row r="24243">
      <c r="A24243" s="6"/>
      <c r="B24243" s="6"/>
      <c r="H24243" s="13"/>
    </row>
    <row r="24244">
      <c r="A24244" s="6"/>
      <c r="B24244" s="6"/>
      <c r="H24244" s="13"/>
    </row>
    <row r="24245">
      <c r="A24245" s="6"/>
      <c r="B24245" s="6"/>
      <c r="H24245" s="13"/>
    </row>
    <row r="24246">
      <c r="A24246" s="6"/>
      <c r="B24246" s="6"/>
      <c r="H24246" s="13"/>
    </row>
    <row r="24247">
      <c r="A24247" s="6"/>
      <c r="B24247" s="6"/>
      <c r="H24247" s="13"/>
    </row>
    <row r="24248">
      <c r="A24248" s="6"/>
      <c r="B24248" s="6"/>
      <c r="H24248" s="13"/>
    </row>
    <row r="24249">
      <c r="A24249" s="6"/>
      <c r="B24249" s="6"/>
      <c r="H24249" s="13"/>
    </row>
    <row r="24250">
      <c r="A24250" s="6"/>
      <c r="B24250" s="6"/>
      <c r="H24250" s="13"/>
    </row>
    <row r="24251">
      <c r="A24251" s="6"/>
      <c r="B24251" s="6"/>
      <c r="H24251" s="13"/>
    </row>
    <row r="24252">
      <c r="A24252" s="6"/>
      <c r="B24252" s="6"/>
      <c r="H24252" s="13"/>
    </row>
    <row r="24253">
      <c r="A24253" s="6"/>
      <c r="B24253" s="6"/>
      <c r="H24253" s="13"/>
    </row>
    <row r="24254">
      <c r="A24254" s="6"/>
      <c r="B24254" s="6"/>
      <c r="H24254" s="13"/>
    </row>
    <row r="24255">
      <c r="A24255" s="6"/>
      <c r="B24255" s="6"/>
      <c r="H24255" s="13"/>
    </row>
    <row r="24256">
      <c r="A24256" s="6"/>
      <c r="B24256" s="6"/>
      <c r="H24256" s="13"/>
    </row>
    <row r="24257">
      <c r="A24257" s="6"/>
      <c r="B24257" s="6"/>
      <c r="H24257" s="13"/>
    </row>
    <row r="24258">
      <c r="A24258" s="6"/>
      <c r="B24258" s="6"/>
      <c r="H24258" s="13"/>
    </row>
    <row r="24259">
      <c r="A24259" s="6"/>
      <c r="B24259" s="6"/>
      <c r="H24259" s="13"/>
    </row>
    <row r="24260">
      <c r="A24260" s="6"/>
      <c r="B24260" s="6"/>
      <c r="H24260" s="13"/>
    </row>
    <row r="24261">
      <c r="A24261" s="6"/>
      <c r="B24261" s="6"/>
      <c r="H24261" s="13"/>
    </row>
    <row r="24262">
      <c r="A24262" s="6"/>
      <c r="B24262" s="6"/>
      <c r="H24262" s="13"/>
    </row>
    <row r="24263">
      <c r="A24263" s="6"/>
      <c r="B24263" s="6"/>
      <c r="H24263" s="13"/>
    </row>
    <row r="24264">
      <c r="A24264" s="6"/>
      <c r="B24264" s="6"/>
      <c r="H24264" s="13"/>
    </row>
    <row r="24265">
      <c r="A24265" s="6"/>
      <c r="B24265" s="6"/>
      <c r="H24265" s="13"/>
    </row>
    <row r="24266">
      <c r="A24266" s="6"/>
      <c r="B24266" s="6"/>
      <c r="H24266" s="13"/>
    </row>
    <row r="24267">
      <c r="A24267" s="6"/>
      <c r="B24267" s="6"/>
      <c r="H24267" s="13"/>
    </row>
    <row r="24268">
      <c r="A24268" s="6"/>
      <c r="B24268" s="6"/>
      <c r="H24268" s="13"/>
    </row>
    <row r="24269">
      <c r="A24269" s="6"/>
      <c r="B24269" s="6"/>
      <c r="H24269" s="13"/>
    </row>
    <row r="24270">
      <c r="A24270" s="6"/>
      <c r="B24270" s="6"/>
      <c r="H24270" s="13"/>
    </row>
    <row r="24271">
      <c r="A24271" s="6"/>
      <c r="B24271" s="6"/>
      <c r="H24271" s="13"/>
    </row>
    <row r="24272">
      <c r="A24272" s="6"/>
      <c r="B24272" s="6"/>
      <c r="H24272" s="13"/>
    </row>
    <row r="24273">
      <c r="A24273" s="6"/>
      <c r="B24273" s="6"/>
      <c r="H24273" s="13"/>
    </row>
    <row r="24274">
      <c r="A24274" s="6"/>
      <c r="B24274" s="6"/>
      <c r="H24274" s="13"/>
    </row>
    <row r="24275">
      <c r="A24275" s="6"/>
      <c r="B24275" s="6"/>
      <c r="H24275" s="13"/>
    </row>
    <row r="24276">
      <c r="A24276" s="6"/>
      <c r="B24276" s="6"/>
      <c r="H24276" s="13"/>
    </row>
    <row r="24277">
      <c r="A24277" s="6"/>
      <c r="B24277" s="6"/>
      <c r="H24277" s="13"/>
    </row>
    <row r="24278">
      <c r="A24278" s="6"/>
      <c r="B24278" s="6"/>
      <c r="H24278" s="13"/>
    </row>
    <row r="24279">
      <c r="A24279" s="6"/>
      <c r="B24279" s="6"/>
      <c r="H24279" s="13"/>
    </row>
    <row r="24280">
      <c r="A24280" s="6"/>
      <c r="B24280" s="6"/>
      <c r="H24280" s="13"/>
    </row>
    <row r="24281">
      <c r="A24281" s="6"/>
      <c r="B24281" s="6"/>
      <c r="H24281" s="13"/>
    </row>
    <row r="24282">
      <c r="A24282" s="6"/>
      <c r="B24282" s="6"/>
      <c r="H24282" s="13"/>
    </row>
    <row r="24283">
      <c r="A24283" s="6"/>
      <c r="B24283" s="6"/>
      <c r="H24283" s="13"/>
    </row>
    <row r="24284">
      <c r="A24284" s="6"/>
      <c r="B24284" s="6"/>
      <c r="H24284" s="13"/>
    </row>
    <row r="24285">
      <c r="A24285" s="6"/>
      <c r="B24285" s="6"/>
      <c r="H24285" s="13"/>
    </row>
    <row r="24286">
      <c r="A24286" s="6"/>
      <c r="B24286" s="6"/>
      <c r="H24286" s="13"/>
    </row>
    <row r="24287">
      <c r="A24287" s="6"/>
      <c r="B24287" s="6"/>
      <c r="H24287" s="13"/>
    </row>
    <row r="24288">
      <c r="A24288" s="6"/>
      <c r="B24288" s="6"/>
      <c r="H24288" s="13"/>
    </row>
    <row r="24289">
      <c r="A24289" s="6"/>
      <c r="B24289" s="6"/>
      <c r="H24289" s="13"/>
    </row>
    <row r="24290">
      <c r="A24290" s="6"/>
      <c r="B24290" s="6"/>
      <c r="H24290" s="13"/>
    </row>
    <row r="24291">
      <c r="A24291" s="6"/>
      <c r="B24291" s="6"/>
      <c r="H24291" s="13"/>
    </row>
    <row r="24292">
      <c r="A24292" s="6"/>
      <c r="B24292" s="6"/>
      <c r="H24292" s="13"/>
    </row>
    <row r="24293">
      <c r="A24293" s="6"/>
      <c r="B24293" s="6"/>
      <c r="H24293" s="13"/>
    </row>
    <row r="24294">
      <c r="A24294" s="6"/>
      <c r="B24294" s="6"/>
      <c r="H24294" s="13"/>
    </row>
    <row r="24295">
      <c r="A24295" s="6"/>
      <c r="B24295" s="6"/>
      <c r="H24295" s="13"/>
    </row>
    <row r="24296">
      <c r="A24296" s="6"/>
      <c r="B24296" s="6"/>
      <c r="H24296" s="13"/>
    </row>
    <row r="24297">
      <c r="A24297" s="6"/>
      <c r="B24297" s="6"/>
      <c r="H24297" s="13"/>
    </row>
    <row r="24298">
      <c r="A24298" s="6"/>
      <c r="B24298" s="6"/>
      <c r="H24298" s="13"/>
    </row>
    <row r="24299">
      <c r="A24299" s="6"/>
      <c r="B24299" s="6"/>
      <c r="H24299" s="13"/>
    </row>
    <row r="24300">
      <c r="A24300" s="6"/>
      <c r="B24300" s="6"/>
      <c r="H24300" s="13"/>
    </row>
    <row r="24301">
      <c r="A24301" s="6"/>
      <c r="B24301" s="6"/>
      <c r="H24301" s="13"/>
    </row>
    <row r="24302">
      <c r="A24302" s="6"/>
      <c r="B24302" s="6"/>
      <c r="H24302" s="13"/>
    </row>
    <row r="24303">
      <c r="A24303" s="6"/>
      <c r="B24303" s="6"/>
      <c r="H24303" s="13"/>
    </row>
    <row r="24304">
      <c r="A24304" s="6"/>
      <c r="B24304" s="6"/>
      <c r="H24304" s="13"/>
    </row>
    <row r="24305">
      <c r="A24305" s="6"/>
      <c r="B24305" s="6"/>
      <c r="H24305" s="13"/>
    </row>
    <row r="24306">
      <c r="A24306" s="6"/>
      <c r="B24306" s="6"/>
      <c r="H24306" s="13"/>
    </row>
    <row r="24307">
      <c r="A24307" s="6"/>
      <c r="B24307" s="6"/>
      <c r="H24307" s="13"/>
    </row>
    <row r="24308">
      <c r="A24308" s="6"/>
      <c r="B24308" s="6"/>
      <c r="H24308" s="13"/>
    </row>
    <row r="24309">
      <c r="A24309" s="6"/>
      <c r="B24309" s="6"/>
      <c r="H24309" s="13"/>
    </row>
    <row r="24310">
      <c r="A24310" s="6"/>
      <c r="B24310" s="6"/>
      <c r="H24310" s="13"/>
    </row>
    <row r="24311">
      <c r="A24311" s="6"/>
      <c r="B24311" s="6"/>
      <c r="H24311" s="13"/>
    </row>
    <row r="24312">
      <c r="A24312" s="6"/>
      <c r="B24312" s="6"/>
      <c r="H24312" s="13"/>
    </row>
    <row r="24313">
      <c r="A24313" s="6"/>
      <c r="B24313" s="6"/>
      <c r="H24313" s="13"/>
    </row>
    <row r="24314">
      <c r="A24314" s="6"/>
      <c r="B24314" s="6"/>
      <c r="H24314" s="13"/>
    </row>
    <row r="24315">
      <c r="A24315" s="6"/>
      <c r="B24315" s="6"/>
      <c r="H24315" s="13"/>
    </row>
    <row r="24316">
      <c r="A24316" s="6"/>
      <c r="B24316" s="6"/>
      <c r="H24316" s="13"/>
    </row>
    <row r="24317">
      <c r="A24317" s="6"/>
      <c r="B24317" s="6"/>
      <c r="H24317" s="13"/>
    </row>
    <row r="24318">
      <c r="A24318" s="6"/>
      <c r="B24318" s="6"/>
      <c r="H24318" s="13"/>
    </row>
    <row r="24319">
      <c r="A24319" s="6"/>
      <c r="B24319" s="6"/>
      <c r="H24319" s="13"/>
    </row>
    <row r="24320">
      <c r="A24320" s="6"/>
      <c r="B24320" s="6"/>
      <c r="H24320" s="13"/>
    </row>
    <row r="24321">
      <c r="A24321" s="6"/>
      <c r="B24321" s="6"/>
      <c r="H24321" s="13"/>
    </row>
    <row r="24322">
      <c r="A24322" s="6"/>
      <c r="B24322" s="6"/>
      <c r="H24322" s="13"/>
    </row>
    <row r="24323">
      <c r="A24323" s="6"/>
      <c r="B24323" s="6"/>
      <c r="H24323" s="13"/>
    </row>
    <row r="24324">
      <c r="A24324" s="6"/>
      <c r="B24324" s="6"/>
      <c r="H24324" s="13"/>
    </row>
    <row r="24325">
      <c r="A24325" s="6"/>
      <c r="B24325" s="6"/>
      <c r="H24325" s="13"/>
    </row>
    <row r="24326">
      <c r="A24326" s="6"/>
      <c r="B24326" s="6"/>
      <c r="H24326" s="13"/>
    </row>
    <row r="24327">
      <c r="A24327" s="6"/>
      <c r="B24327" s="6"/>
      <c r="H24327" s="13"/>
    </row>
    <row r="24328">
      <c r="A24328" s="6"/>
      <c r="B24328" s="6"/>
      <c r="H24328" s="13"/>
    </row>
    <row r="24329">
      <c r="A24329" s="6"/>
      <c r="B24329" s="6"/>
      <c r="H24329" s="13"/>
    </row>
    <row r="24330">
      <c r="A24330" s="6"/>
      <c r="B24330" s="6"/>
      <c r="H24330" s="13"/>
    </row>
    <row r="24331">
      <c r="A24331" s="6"/>
      <c r="B24331" s="6"/>
      <c r="H24331" s="13"/>
    </row>
    <row r="24332">
      <c r="A24332" s="6"/>
      <c r="B24332" s="6"/>
      <c r="H24332" s="13"/>
    </row>
    <row r="24333">
      <c r="A24333" s="6"/>
      <c r="B24333" s="6"/>
      <c r="H24333" s="13"/>
    </row>
    <row r="24334">
      <c r="A24334" s="6"/>
      <c r="B24334" s="6"/>
      <c r="H24334" s="13"/>
    </row>
    <row r="24335">
      <c r="A24335" s="6"/>
      <c r="B24335" s="6"/>
      <c r="H24335" s="13"/>
    </row>
    <row r="24336">
      <c r="A24336" s="6"/>
      <c r="B24336" s="6"/>
      <c r="H24336" s="13"/>
    </row>
    <row r="24337">
      <c r="A24337" s="6"/>
      <c r="B24337" s="6"/>
      <c r="H24337" s="13"/>
    </row>
    <row r="24338">
      <c r="A24338" s="6"/>
      <c r="B24338" s="6"/>
      <c r="H24338" s="13"/>
    </row>
    <row r="24339">
      <c r="A24339" s="6"/>
      <c r="B24339" s="6"/>
      <c r="H24339" s="13"/>
    </row>
    <row r="24340">
      <c r="A24340" s="6"/>
      <c r="B24340" s="6"/>
      <c r="H24340" s="13"/>
    </row>
    <row r="24341">
      <c r="A24341" s="6"/>
      <c r="B24341" s="6"/>
      <c r="H24341" s="13"/>
    </row>
    <row r="24342">
      <c r="A24342" s="6"/>
      <c r="B24342" s="6"/>
      <c r="H24342" s="13"/>
    </row>
    <row r="24343">
      <c r="A24343" s="6"/>
      <c r="B24343" s="6"/>
      <c r="H24343" s="13"/>
    </row>
    <row r="24344">
      <c r="A24344" s="6"/>
      <c r="B24344" s="6"/>
      <c r="H24344" s="13"/>
    </row>
    <row r="24345">
      <c r="A24345" s="6"/>
      <c r="B24345" s="6"/>
      <c r="H24345" s="13"/>
    </row>
    <row r="24346">
      <c r="A24346" s="6"/>
      <c r="B24346" s="6"/>
      <c r="H24346" s="13"/>
    </row>
    <row r="24347">
      <c r="A24347" s="6"/>
      <c r="B24347" s="6"/>
      <c r="H24347" s="13"/>
    </row>
    <row r="24348">
      <c r="A24348" s="6"/>
      <c r="B24348" s="6"/>
      <c r="H24348" s="13"/>
    </row>
    <row r="24349">
      <c r="A24349" s="6"/>
      <c r="B24349" s="6"/>
      <c r="H24349" s="13"/>
    </row>
    <row r="24350">
      <c r="A24350" s="6"/>
      <c r="B24350" s="6"/>
      <c r="H24350" s="13"/>
    </row>
    <row r="24351">
      <c r="A24351" s="6"/>
      <c r="B24351" s="6"/>
      <c r="H24351" s="13"/>
    </row>
    <row r="24352">
      <c r="A24352" s="6"/>
      <c r="B24352" s="6"/>
      <c r="H24352" s="13"/>
    </row>
    <row r="24353">
      <c r="A24353" s="6"/>
      <c r="B24353" s="6"/>
      <c r="H24353" s="13"/>
    </row>
    <row r="24354">
      <c r="A24354" s="6"/>
      <c r="B24354" s="6"/>
      <c r="H24354" s="13"/>
    </row>
    <row r="24355">
      <c r="A24355" s="6"/>
      <c r="B24355" s="6"/>
      <c r="H24355" s="13"/>
    </row>
    <row r="24356">
      <c r="A24356" s="6"/>
      <c r="B24356" s="6"/>
      <c r="H24356" s="13"/>
    </row>
    <row r="24357">
      <c r="A24357" s="6"/>
      <c r="B24357" s="6"/>
      <c r="H24357" s="13"/>
    </row>
    <row r="24358">
      <c r="A24358" s="6"/>
      <c r="B24358" s="6"/>
      <c r="H24358" s="13"/>
    </row>
    <row r="24359">
      <c r="A24359" s="6"/>
      <c r="B24359" s="6"/>
      <c r="H24359" s="13"/>
    </row>
    <row r="24360">
      <c r="A24360" s="6"/>
      <c r="B24360" s="6"/>
      <c r="H24360" s="13"/>
    </row>
    <row r="24361">
      <c r="A24361" s="6"/>
      <c r="B24361" s="6"/>
      <c r="H24361" s="13"/>
    </row>
    <row r="24362">
      <c r="A24362" s="6"/>
      <c r="B24362" s="6"/>
      <c r="H24362" s="13"/>
    </row>
    <row r="24363">
      <c r="A24363" s="6"/>
      <c r="B24363" s="6"/>
      <c r="H24363" s="13"/>
    </row>
    <row r="24364">
      <c r="A24364" s="6"/>
      <c r="B24364" s="6"/>
      <c r="H24364" s="13"/>
    </row>
    <row r="24365">
      <c r="A24365" s="6"/>
      <c r="B24365" s="6"/>
      <c r="H24365" s="13"/>
    </row>
    <row r="24366">
      <c r="A24366" s="6"/>
      <c r="B24366" s="6"/>
      <c r="H24366" s="13"/>
    </row>
    <row r="24367">
      <c r="A24367" s="6"/>
      <c r="B24367" s="6"/>
      <c r="H24367" s="13"/>
    </row>
    <row r="24368">
      <c r="A24368" s="6"/>
      <c r="B24368" s="6"/>
      <c r="H24368" s="13"/>
    </row>
    <row r="24369">
      <c r="A24369" s="6"/>
      <c r="B24369" s="6"/>
      <c r="H24369" s="13"/>
    </row>
    <row r="24370">
      <c r="A24370" s="6"/>
      <c r="B24370" s="6"/>
      <c r="H24370" s="13"/>
    </row>
    <row r="24371">
      <c r="A24371" s="6"/>
      <c r="B24371" s="6"/>
      <c r="H24371" s="13"/>
    </row>
    <row r="24372">
      <c r="A24372" s="6"/>
      <c r="B24372" s="6"/>
      <c r="H24372" s="13"/>
    </row>
    <row r="24373">
      <c r="A24373" s="6"/>
      <c r="B24373" s="6"/>
      <c r="H24373" s="13"/>
    </row>
    <row r="24374">
      <c r="A24374" s="6"/>
      <c r="B24374" s="6"/>
      <c r="H24374" s="13"/>
    </row>
    <row r="24375">
      <c r="A24375" s="6"/>
      <c r="B24375" s="6"/>
      <c r="H24375" s="13"/>
    </row>
    <row r="24376">
      <c r="A24376" s="6"/>
      <c r="B24376" s="6"/>
      <c r="H24376" s="13"/>
    </row>
    <row r="24377">
      <c r="A24377" s="6"/>
      <c r="B24377" s="6"/>
      <c r="H24377" s="13"/>
    </row>
    <row r="24378">
      <c r="A24378" s="6"/>
      <c r="B24378" s="6"/>
      <c r="H24378" s="13"/>
    </row>
    <row r="24379">
      <c r="A24379" s="6"/>
      <c r="B24379" s="6"/>
      <c r="H24379" s="13"/>
    </row>
    <row r="24380">
      <c r="A24380" s="6"/>
      <c r="B24380" s="6"/>
      <c r="H24380" s="13"/>
    </row>
    <row r="24381">
      <c r="A24381" s="6"/>
      <c r="B24381" s="6"/>
      <c r="H24381" s="13"/>
    </row>
    <row r="24382">
      <c r="A24382" s="6"/>
      <c r="B24382" s="6"/>
      <c r="H24382" s="13"/>
    </row>
    <row r="24383">
      <c r="A24383" s="6"/>
      <c r="B24383" s="6"/>
      <c r="H24383" s="13"/>
    </row>
    <row r="24384">
      <c r="A24384" s="6"/>
      <c r="B24384" s="6"/>
      <c r="H24384" s="13"/>
    </row>
    <row r="24385">
      <c r="A24385" s="6"/>
      <c r="B24385" s="6"/>
      <c r="H24385" s="13"/>
    </row>
    <row r="24386">
      <c r="A24386" s="6"/>
      <c r="B24386" s="6"/>
      <c r="H24386" s="13"/>
    </row>
    <row r="24387">
      <c r="A24387" s="6"/>
      <c r="B24387" s="6"/>
      <c r="H24387" s="13"/>
    </row>
    <row r="24388">
      <c r="A24388" s="6"/>
      <c r="B24388" s="6"/>
      <c r="H24388" s="13"/>
    </row>
    <row r="24389">
      <c r="A24389" s="6"/>
      <c r="B24389" s="6"/>
      <c r="H24389" s="13"/>
    </row>
    <row r="24390">
      <c r="A24390" s="6"/>
      <c r="B24390" s="6"/>
      <c r="H24390" s="13"/>
    </row>
    <row r="24391">
      <c r="A24391" s="6"/>
      <c r="B24391" s="6"/>
      <c r="H24391" s="13"/>
    </row>
    <row r="24392">
      <c r="A24392" s="6"/>
      <c r="B24392" s="6"/>
      <c r="H24392" s="13"/>
    </row>
    <row r="24393">
      <c r="A24393" s="6"/>
      <c r="B24393" s="6"/>
      <c r="H24393" s="13"/>
    </row>
    <row r="24394">
      <c r="A24394" s="6"/>
      <c r="B24394" s="6"/>
      <c r="H24394" s="13"/>
    </row>
    <row r="24395">
      <c r="A24395" s="6"/>
      <c r="B24395" s="6"/>
      <c r="H24395" s="13"/>
    </row>
    <row r="24396">
      <c r="A24396" s="6"/>
      <c r="B24396" s="6"/>
      <c r="H24396" s="13"/>
    </row>
    <row r="24397">
      <c r="A24397" s="6"/>
      <c r="B24397" s="6"/>
      <c r="H24397" s="13"/>
    </row>
    <row r="24398">
      <c r="A24398" s="6"/>
      <c r="B24398" s="6"/>
      <c r="H24398" s="13"/>
    </row>
    <row r="24399">
      <c r="A24399" s="6"/>
      <c r="B24399" s="6"/>
      <c r="H24399" s="13"/>
    </row>
    <row r="24400">
      <c r="A24400" s="6"/>
      <c r="B24400" s="6"/>
      <c r="H24400" s="13"/>
    </row>
    <row r="24401">
      <c r="A24401" s="6"/>
      <c r="B24401" s="6"/>
      <c r="H24401" s="13"/>
    </row>
    <row r="24402">
      <c r="A24402" s="6"/>
      <c r="B24402" s="6"/>
      <c r="H24402" s="13"/>
    </row>
    <row r="24403">
      <c r="A24403" s="6"/>
      <c r="B24403" s="6"/>
      <c r="H24403" s="13"/>
    </row>
    <row r="24404">
      <c r="A24404" s="6"/>
      <c r="B24404" s="6"/>
      <c r="H24404" s="13"/>
    </row>
    <row r="24405">
      <c r="A24405" s="6"/>
      <c r="B24405" s="6"/>
      <c r="H24405" s="13"/>
    </row>
    <row r="24406">
      <c r="A24406" s="6"/>
      <c r="B24406" s="6"/>
      <c r="H24406" s="13"/>
    </row>
    <row r="24407">
      <c r="A24407" s="6"/>
      <c r="B24407" s="6"/>
      <c r="H24407" s="13"/>
    </row>
    <row r="24408">
      <c r="A24408" s="6"/>
      <c r="B24408" s="6"/>
      <c r="H24408" s="13"/>
    </row>
    <row r="24409">
      <c r="A24409" s="6"/>
      <c r="B24409" s="6"/>
      <c r="H24409" s="13"/>
    </row>
    <row r="24410">
      <c r="A24410" s="6"/>
      <c r="B24410" s="6"/>
      <c r="H24410" s="13"/>
    </row>
    <row r="24411">
      <c r="A24411" s="6"/>
      <c r="B24411" s="6"/>
      <c r="H24411" s="13"/>
    </row>
    <row r="24412">
      <c r="A24412" s="6"/>
      <c r="B24412" s="6"/>
      <c r="H24412" s="13"/>
    </row>
    <row r="24413">
      <c r="A24413" s="6"/>
      <c r="B24413" s="6"/>
      <c r="H24413" s="13"/>
    </row>
    <row r="24414">
      <c r="A24414" s="6"/>
      <c r="B24414" s="6"/>
      <c r="H24414" s="13"/>
    </row>
    <row r="24415">
      <c r="A24415" s="6"/>
      <c r="B24415" s="6"/>
      <c r="H24415" s="13"/>
    </row>
    <row r="24416">
      <c r="A24416" s="6"/>
      <c r="B24416" s="6"/>
      <c r="H24416" s="13"/>
    </row>
    <row r="24417">
      <c r="A24417" s="6"/>
      <c r="B24417" s="6"/>
      <c r="H24417" s="13"/>
    </row>
    <row r="24418">
      <c r="A24418" s="6"/>
      <c r="B24418" s="6"/>
      <c r="H24418" s="13"/>
    </row>
    <row r="24419">
      <c r="A24419" s="6"/>
      <c r="B24419" s="6"/>
      <c r="H24419" s="13"/>
    </row>
    <row r="24420">
      <c r="A24420" s="6"/>
      <c r="B24420" s="6"/>
      <c r="H24420" s="13"/>
    </row>
    <row r="24421">
      <c r="A24421" s="6"/>
      <c r="B24421" s="6"/>
      <c r="H24421" s="13"/>
    </row>
    <row r="24422">
      <c r="A24422" s="6"/>
      <c r="B24422" s="6"/>
      <c r="H24422" s="13"/>
    </row>
    <row r="24423">
      <c r="A24423" s="6"/>
      <c r="B24423" s="6"/>
      <c r="H24423" s="13"/>
    </row>
    <row r="24424">
      <c r="A24424" s="6"/>
      <c r="B24424" s="6"/>
      <c r="H24424" s="13"/>
    </row>
    <row r="24425">
      <c r="A24425" s="6"/>
      <c r="B24425" s="6"/>
      <c r="H24425" s="13"/>
    </row>
    <row r="24426">
      <c r="A24426" s="6"/>
      <c r="B24426" s="6"/>
      <c r="H24426" s="13"/>
    </row>
    <row r="24427">
      <c r="A24427" s="6"/>
      <c r="B24427" s="6"/>
      <c r="H24427" s="13"/>
    </row>
    <row r="24428">
      <c r="A24428" s="6"/>
      <c r="B24428" s="6"/>
      <c r="H24428" s="13"/>
    </row>
    <row r="24429">
      <c r="A24429" s="6"/>
      <c r="B24429" s="6"/>
      <c r="H24429" s="13"/>
    </row>
    <row r="24430">
      <c r="A24430" s="6"/>
      <c r="B24430" s="6"/>
      <c r="H24430" s="13"/>
    </row>
    <row r="24431">
      <c r="A24431" s="6"/>
      <c r="B24431" s="6"/>
      <c r="H24431" s="13"/>
    </row>
    <row r="24432">
      <c r="A24432" s="6"/>
      <c r="B24432" s="6"/>
      <c r="H24432" s="13"/>
    </row>
    <row r="24433">
      <c r="A24433" s="6"/>
      <c r="B24433" s="6"/>
      <c r="H24433" s="13"/>
    </row>
    <row r="24434">
      <c r="A24434" s="6"/>
      <c r="B24434" s="6"/>
      <c r="H24434" s="13"/>
    </row>
    <row r="24435">
      <c r="A24435" s="6"/>
      <c r="B24435" s="6"/>
      <c r="H24435" s="13"/>
    </row>
    <row r="24436">
      <c r="A24436" s="6"/>
      <c r="B24436" s="6"/>
      <c r="H24436" s="13"/>
    </row>
    <row r="24437">
      <c r="A24437" s="6"/>
      <c r="B24437" s="6"/>
      <c r="H24437" s="13"/>
    </row>
    <row r="24438">
      <c r="A24438" s="6"/>
      <c r="B24438" s="6"/>
      <c r="H24438" s="13"/>
    </row>
    <row r="24439">
      <c r="A24439" s="6"/>
      <c r="B24439" s="6"/>
      <c r="H24439" s="13"/>
    </row>
    <row r="24440">
      <c r="A24440" s="6"/>
      <c r="B24440" s="6"/>
      <c r="H24440" s="13"/>
    </row>
    <row r="24441">
      <c r="A24441" s="6"/>
      <c r="B24441" s="6"/>
      <c r="H24441" s="13"/>
    </row>
    <row r="24442">
      <c r="A24442" s="6"/>
      <c r="B24442" s="6"/>
      <c r="H24442" s="13"/>
    </row>
    <row r="24443">
      <c r="A24443" s="6"/>
      <c r="B24443" s="6"/>
      <c r="H24443" s="13"/>
    </row>
    <row r="24444">
      <c r="A24444" s="6"/>
      <c r="B24444" s="6"/>
      <c r="H24444" s="13"/>
    </row>
    <row r="24445">
      <c r="A24445" s="6"/>
      <c r="B24445" s="6"/>
      <c r="H24445" s="13"/>
    </row>
    <row r="24446">
      <c r="A24446" s="6"/>
      <c r="B24446" s="6"/>
      <c r="H24446" s="13"/>
    </row>
    <row r="24447">
      <c r="A24447" s="6"/>
      <c r="B24447" s="6"/>
      <c r="H24447" s="13"/>
    </row>
    <row r="24448">
      <c r="A24448" s="6"/>
      <c r="B24448" s="6"/>
      <c r="H24448" s="13"/>
    </row>
    <row r="24449">
      <c r="A24449" s="6"/>
      <c r="B24449" s="6"/>
      <c r="H24449" s="13"/>
    </row>
    <row r="24450">
      <c r="A24450" s="6"/>
      <c r="B24450" s="6"/>
      <c r="H24450" s="13"/>
    </row>
    <row r="24451">
      <c r="A24451" s="6"/>
      <c r="B24451" s="6"/>
      <c r="H24451" s="13"/>
    </row>
    <row r="24452">
      <c r="A24452" s="6"/>
      <c r="B24452" s="6"/>
      <c r="H24452" s="13"/>
    </row>
    <row r="24453">
      <c r="A24453" s="6"/>
      <c r="B24453" s="6"/>
      <c r="H24453" s="13"/>
    </row>
    <row r="24454">
      <c r="A24454" s="6"/>
      <c r="B24454" s="6"/>
      <c r="H24454" s="13"/>
    </row>
    <row r="24455">
      <c r="A24455" s="6"/>
      <c r="B24455" s="6"/>
      <c r="H24455" s="13"/>
    </row>
    <row r="24456">
      <c r="A24456" s="6"/>
      <c r="B24456" s="6"/>
      <c r="H24456" s="13"/>
    </row>
    <row r="24457">
      <c r="A24457" s="6"/>
      <c r="B24457" s="6"/>
      <c r="H24457" s="13"/>
    </row>
    <row r="24458">
      <c r="A24458" s="6"/>
      <c r="B24458" s="6"/>
      <c r="H24458" s="13"/>
    </row>
    <row r="24459">
      <c r="A24459" s="6"/>
      <c r="B24459" s="6"/>
      <c r="H24459" s="13"/>
    </row>
    <row r="24460">
      <c r="A24460" s="6"/>
      <c r="B24460" s="6"/>
      <c r="H24460" s="13"/>
    </row>
    <row r="24461">
      <c r="A24461" s="6"/>
      <c r="B24461" s="6"/>
      <c r="H24461" s="13"/>
    </row>
    <row r="24462">
      <c r="A24462" s="6"/>
      <c r="B24462" s="6"/>
      <c r="H24462" s="13"/>
    </row>
    <row r="24463">
      <c r="A24463" s="6"/>
      <c r="B24463" s="6"/>
      <c r="H24463" s="13"/>
    </row>
    <row r="24464">
      <c r="A24464" s="6"/>
      <c r="B24464" s="6"/>
      <c r="H24464" s="13"/>
    </row>
    <row r="24465">
      <c r="A24465" s="6"/>
      <c r="B24465" s="6"/>
      <c r="H24465" s="13"/>
    </row>
    <row r="24466">
      <c r="A24466" s="6"/>
      <c r="B24466" s="6"/>
      <c r="H24466" s="13"/>
    </row>
    <row r="24467">
      <c r="A24467" s="6"/>
      <c r="B24467" s="6"/>
      <c r="H24467" s="13"/>
    </row>
    <row r="24468">
      <c r="A24468" s="6"/>
      <c r="B24468" s="6"/>
      <c r="H24468" s="13"/>
    </row>
    <row r="24469">
      <c r="A24469" s="6"/>
      <c r="B24469" s="6"/>
      <c r="H24469" s="13"/>
    </row>
    <row r="24470">
      <c r="A24470" s="6"/>
      <c r="B24470" s="6"/>
      <c r="H24470" s="13"/>
    </row>
    <row r="24471">
      <c r="A24471" s="6"/>
      <c r="B24471" s="6"/>
      <c r="H24471" s="13"/>
    </row>
    <row r="24472">
      <c r="A24472" s="6"/>
      <c r="B24472" s="6"/>
      <c r="H24472" s="13"/>
    </row>
    <row r="24473">
      <c r="A24473" s="6"/>
      <c r="B24473" s="6"/>
      <c r="H24473" s="13"/>
    </row>
    <row r="24474">
      <c r="A24474" s="6"/>
      <c r="B24474" s="6"/>
      <c r="H24474" s="13"/>
    </row>
    <row r="24475">
      <c r="A24475" s="6"/>
      <c r="B24475" s="6"/>
      <c r="H24475" s="13"/>
    </row>
    <row r="24476">
      <c r="A24476" s="6"/>
      <c r="B24476" s="6"/>
      <c r="H24476" s="13"/>
    </row>
    <row r="24477">
      <c r="A24477" s="6"/>
      <c r="B24477" s="6"/>
      <c r="H24477" s="13"/>
    </row>
    <row r="24478">
      <c r="A24478" s="6"/>
      <c r="B24478" s="6"/>
      <c r="H24478" s="13"/>
    </row>
    <row r="24479">
      <c r="A24479" s="6"/>
      <c r="B24479" s="6"/>
      <c r="H24479" s="13"/>
    </row>
    <row r="24480">
      <c r="A24480" s="6"/>
      <c r="B24480" s="6"/>
      <c r="H24480" s="13"/>
    </row>
    <row r="24481">
      <c r="A24481" s="6"/>
      <c r="B24481" s="6"/>
      <c r="H24481" s="13"/>
    </row>
    <row r="24482">
      <c r="A24482" s="6"/>
      <c r="B24482" s="6"/>
      <c r="H24482" s="13"/>
    </row>
    <row r="24483">
      <c r="A24483" s="6"/>
      <c r="B24483" s="6"/>
      <c r="H24483" s="13"/>
    </row>
    <row r="24484">
      <c r="A24484" s="6"/>
      <c r="B24484" s="6"/>
      <c r="H24484" s="13"/>
    </row>
    <row r="24485">
      <c r="A24485" s="6"/>
      <c r="B24485" s="6"/>
      <c r="H24485" s="13"/>
    </row>
    <row r="24486">
      <c r="A24486" s="6"/>
      <c r="B24486" s="6"/>
      <c r="H24486" s="13"/>
    </row>
    <row r="24487">
      <c r="A24487" s="6"/>
      <c r="B24487" s="6"/>
      <c r="H24487" s="13"/>
    </row>
    <row r="24488">
      <c r="A24488" s="6"/>
      <c r="B24488" s="6"/>
      <c r="H24488" s="13"/>
    </row>
    <row r="24489">
      <c r="A24489" s="6"/>
      <c r="B24489" s="6"/>
      <c r="H24489" s="13"/>
    </row>
    <row r="24490">
      <c r="A24490" s="6"/>
      <c r="B24490" s="6"/>
      <c r="H24490" s="13"/>
    </row>
    <row r="24491">
      <c r="A24491" s="6"/>
      <c r="B24491" s="6"/>
      <c r="H24491" s="13"/>
    </row>
    <row r="24492">
      <c r="A24492" s="6"/>
      <c r="B24492" s="6"/>
      <c r="H24492" s="13"/>
    </row>
    <row r="24493">
      <c r="A24493" s="6"/>
      <c r="B24493" s="6"/>
      <c r="H24493" s="13"/>
    </row>
    <row r="24494">
      <c r="A24494" s="6"/>
      <c r="B24494" s="6"/>
      <c r="H24494" s="13"/>
    </row>
    <row r="24495">
      <c r="A24495" s="6"/>
      <c r="B24495" s="6"/>
      <c r="H24495" s="13"/>
    </row>
    <row r="24496">
      <c r="A24496" s="6"/>
      <c r="B24496" s="6"/>
      <c r="H24496" s="13"/>
    </row>
    <row r="24497">
      <c r="A24497" s="6"/>
      <c r="B24497" s="6"/>
      <c r="H24497" s="13"/>
    </row>
    <row r="24498">
      <c r="A24498" s="6"/>
      <c r="B24498" s="6"/>
      <c r="H24498" s="13"/>
    </row>
    <row r="24499">
      <c r="A24499" s="6"/>
      <c r="B24499" s="6"/>
      <c r="H24499" s="13"/>
    </row>
    <row r="24500">
      <c r="A24500" s="6"/>
      <c r="B24500" s="6"/>
      <c r="H24500" s="13"/>
    </row>
    <row r="24501">
      <c r="A24501" s="6"/>
      <c r="B24501" s="6"/>
      <c r="H24501" s="13"/>
    </row>
    <row r="24502">
      <c r="A24502" s="6"/>
      <c r="B24502" s="6"/>
      <c r="H24502" s="13"/>
    </row>
    <row r="24503">
      <c r="A24503" s="6"/>
      <c r="B24503" s="6"/>
      <c r="H24503" s="13"/>
    </row>
    <row r="24504">
      <c r="A24504" s="6"/>
      <c r="B24504" s="6"/>
      <c r="H24504" s="13"/>
    </row>
    <row r="24505">
      <c r="A24505" s="6"/>
      <c r="B24505" s="6"/>
      <c r="H24505" s="13"/>
    </row>
    <row r="24506">
      <c r="A24506" s="6"/>
      <c r="B24506" s="6"/>
      <c r="H24506" s="13"/>
    </row>
    <row r="24507">
      <c r="A24507" s="6"/>
      <c r="B24507" s="6"/>
      <c r="H24507" s="13"/>
    </row>
    <row r="24508">
      <c r="A24508" s="6"/>
      <c r="B24508" s="6"/>
      <c r="H24508" s="13"/>
    </row>
    <row r="24509">
      <c r="A24509" s="6"/>
      <c r="B24509" s="6"/>
      <c r="H24509" s="13"/>
    </row>
    <row r="24510">
      <c r="A24510" s="6"/>
      <c r="B24510" s="6"/>
      <c r="H24510" s="13"/>
    </row>
    <row r="24511">
      <c r="A24511" s="6"/>
      <c r="B24511" s="6"/>
      <c r="H24511" s="13"/>
    </row>
    <row r="24512">
      <c r="A24512" s="6"/>
      <c r="B24512" s="6"/>
      <c r="H24512" s="13"/>
    </row>
    <row r="24513">
      <c r="A24513" s="6"/>
      <c r="B24513" s="6"/>
      <c r="H24513" s="13"/>
    </row>
    <row r="24514">
      <c r="A24514" s="6"/>
      <c r="B24514" s="6"/>
      <c r="H24514" s="13"/>
    </row>
    <row r="24515">
      <c r="A24515" s="6"/>
      <c r="B24515" s="6"/>
      <c r="H24515" s="13"/>
    </row>
    <row r="24516">
      <c r="A24516" s="6"/>
      <c r="B24516" s="6"/>
      <c r="H24516" s="13"/>
    </row>
    <row r="24517">
      <c r="A24517" s="6"/>
      <c r="B24517" s="6"/>
      <c r="H24517" s="13"/>
    </row>
    <row r="24518">
      <c r="A24518" s="6"/>
      <c r="B24518" s="6"/>
      <c r="H24518" s="13"/>
    </row>
    <row r="24519">
      <c r="A24519" s="6"/>
      <c r="B24519" s="6"/>
      <c r="H24519" s="13"/>
    </row>
    <row r="24520">
      <c r="A24520" s="6"/>
      <c r="B24520" s="6"/>
      <c r="H24520" s="13"/>
    </row>
    <row r="24521">
      <c r="A24521" s="6"/>
      <c r="B24521" s="6"/>
      <c r="H24521" s="13"/>
    </row>
    <row r="24522">
      <c r="A24522" s="6"/>
      <c r="B24522" s="6"/>
      <c r="H24522" s="13"/>
    </row>
    <row r="24523">
      <c r="A24523" s="6"/>
      <c r="B24523" s="6"/>
      <c r="H24523" s="13"/>
    </row>
    <row r="24524">
      <c r="A24524" s="6"/>
      <c r="B24524" s="6"/>
      <c r="H24524" s="13"/>
    </row>
    <row r="24525">
      <c r="A24525" s="6"/>
      <c r="B24525" s="6"/>
      <c r="H24525" s="13"/>
    </row>
    <row r="24526">
      <c r="A24526" s="6"/>
      <c r="B24526" s="6"/>
      <c r="H24526" s="13"/>
    </row>
    <row r="24527">
      <c r="A24527" s="6"/>
      <c r="B24527" s="6"/>
      <c r="H24527" s="13"/>
    </row>
    <row r="24528">
      <c r="A24528" s="6"/>
      <c r="B24528" s="6"/>
      <c r="H24528" s="13"/>
    </row>
    <row r="24529">
      <c r="A24529" s="6"/>
      <c r="B24529" s="6"/>
      <c r="H24529" s="13"/>
    </row>
    <row r="24530">
      <c r="A24530" s="6"/>
      <c r="B24530" s="6"/>
      <c r="H24530" s="13"/>
    </row>
    <row r="24531">
      <c r="A24531" s="6"/>
      <c r="B24531" s="6"/>
      <c r="H24531" s="13"/>
    </row>
    <row r="24532">
      <c r="A24532" s="6"/>
      <c r="B24532" s="6"/>
      <c r="H24532" s="13"/>
    </row>
    <row r="24533">
      <c r="A24533" s="6"/>
      <c r="B24533" s="6"/>
      <c r="H24533" s="13"/>
    </row>
    <row r="24534">
      <c r="A24534" s="6"/>
      <c r="B24534" s="6"/>
      <c r="H24534" s="13"/>
    </row>
    <row r="24535">
      <c r="A24535" s="6"/>
      <c r="B24535" s="6"/>
      <c r="H24535" s="13"/>
    </row>
    <row r="24536">
      <c r="A24536" s="6"/>
      <c r="B24536" s="6"/>
      <c r="H24536" s="13"/>
    </row>
    <row r="24537">
      <c r="A24537" s="6"/>
      <c r="B24537" s="6"/>
      <c r="H24537" s="13"/>
    </row>
    <row r="24538">
      <c r="A24538" s="6"/>
      <c r="B24538" s="6"/>
      <c r="H24538" s="13"/>
    </row>
    <row r="24539">
      <c r="A24539" s="6"/>
      <c r="B24539" s="6"/>
      <c r="H24539" s="13"/>
    </row>
    <row r="24540">
      <c r="A24540" s="6"/>
      <c r="B24540" s="6"/>
      <c r="H24540" s="13"/>
    </row>
    <row r="24541">
      <c r="A24541" s="6"/>
      <c r="B24541" s="6"/>
      <c r="H24541" s="13"/>
    </row>
    <row r="24542">
      <c r="A24542" s="6"/>
      <c r="B24542" s="6"/>
      <c r="H24542" s="13"/>
    </row>
    <row r="24543">
      <c r="A24543" s="6"/>
      <c r="B24543" s="6"/>
      <c r="H24543" s="13"/>
    </row>
    <row r="24544">
      <c r="A24544" s="6"/>
      <c r="B24544" s="6"/>
      <c r="H24544" s="13"/>
    </row>
    <row r="24545">
      <c r="A24545" s="6"/>
      <c r="B24545" s="6"/>
      <c r="H24545" s="13"/>
    </row>
    <row r="24546">
      <c r="A24546" s="6"/>
      <c r="B24546" s="6"/>
      <c r="H24546" s="13"/>
    </row>
    <row r="24547">
      <c r="A24547" s="6"/>
      <c r="B24547" s="6"/>
      <c r="H24547" s="13"/>
    </row>
    <row r="24548">
      <c r="A24548" s="6"/>
      <c r="B24548" s="6"/>
      <c r="H24548" s="13"/>
    </row>
    <row r="24549">
      <c r="A24549" s="6"/>
      <c r="B24549" s="6"/>
      <c r="H24549" s="13"/>
    </row>
    <row r="24550">
      <c r="A24550" s="6"/>
      <c r="B24550" s="6"/>
      <c r="H24550" s="13"/>
    </row>
    <row r="24551">
      <c r="A24551" s="6"/>
      <c r="B24551" s="6"/>
      <c r="H24551" s="13"/>
    </row>
    <row r="24552">
      <c r="A24552" s="6"/>
      <c r="B24552" s="6"/>
      <c r="H24552" s="13"/>
    </row>
    <row r="24553">
      <c r="A24553" s="6"/>
      <c r="B24553" s="6"/>
      <c r="H24553" s="13"/>
    </row>
    <row r="24554">
      <c r="A24554" s="6"/>
      <c r="B24554" s="6"/>
      <c r="H24554" s="13"/>
    </row>
    <row r="24555">
      <c r="A24555" s="6"/>
      <c r="B24555" s="6"/>
      <c r="H24555" s="13"/>
    </row>
    <row r="24556">
      <c r="A24556" s="6"/>
      <c r="B24556" s="6"/>
      <c r="H24556" s="13"/>
    </row>
    <row r="24557">
      <c r="A24557" s="6"/>
      <c r="B24557" s="6"/>
      <c r="H24557" s="13"/>
    </row>
    <row r="24558">
      <c r="A24558" s="6"/>
      <c r="B24558" s="6"/>
      <c r="H24558" s="13"/>
    </row>
    <row r="24559">
      <c r="A24559" s="6"/>
      <c r="B24559" s="6"/>
      <c r="H24559" s="13"/>
    </row>
    <row r="24560">
      <c r="A24560" s="6"/>
      <c r="B24560" s="6"/>
      <c r="H24560" s="13"/>
    </row>
    <row r="24561">
      <c r="A24561" s="6"/>
      <c r="B24561" s="6"/>
      <c r="H24561" s="13"/>
    </row>
    <row r="24562">
      <c r="A24562" s="6"/>
      <c r="B24562" s="6"/>
      <c r="H24562" s="13"/>
    </row>
    <row r="24563">
      <c r="A24563" s="6"/>
      <c r="B24563" s="6"/>
      <c r="H24563" s="13"/>
    </row>
    <row r="24564">
      <c r="A24564" s="6"/>
      <c r="B24564" s="6"/>
      <c r="H24564" s="13"/>
    </row>
    <row r="24565">
      <c r="A24565" s="6"/>
      <c r="B24565" s="6"/>
      <c r="H24565" s="13"/>
    </row>
    <row r="24566">
      <c r="A24566" s="6"/>
      <c r="B24566" s="6"/>
      <c r="H24566" s="13"/>
    </row>
    <row r="24567">
      <c r="A24567" s="6"/>
      <c r="B24567" s="6"/>
      <c r="H24567" s="13"/>
    </row>
    <row r="24568">
      <c r="A24568" s="6"/>
      <c r="B24568" s="6"/>
      <c r="H24568" s="13"/>
    </row>
    <row r="24569">
      <c r="A24569" s="6"/>
      <c r="B24569" s="6"/>
      <c r="H24569" s="13"/>
    </row>
    <row r="24570">
      <c r="A24570" s="6"/>
      <c r="B24570" s="6"/>
      <c r="H24570" s="13"/>
    </row>
    <row r="24571">
      <c r="A24571" s="6"/>
      <c r="B24571" s="6"/>
      <c r="H24571" s="13"/>
    </row>
    <row r="24572">
      <c r="A24572" s="6"/>
      <c r="B24572" s="6"/>
      <c r="H24572" s="13"/>
    </row>
    <row r="24573">
      <c r="A24573" s="6"/>
      <c r="B24573" s="6"/>
      <c r="H24573" s="13"/>
    </row>
    <row r="24574">
      <c r="A24574" s="6"/>
      <c r="B24574" s="6"/>
      <c r="H24574" s="13"/>
    </row>
    <row r="24575">
      <c r="A24575" s="6"/>
      <c r="B24575" s="6"/>
      <c r="H24575" s="13"/>
    </row>
    <row r="24576">
      <c r="A24576" s="6"/>
      <c r="B24576" s="6"/>
      <c r="H24576" s="13"/>
    </row>
    <row r="24577">
      <c r="A24577" s="6"/>
      <c r="B24577" s="6"/>
      <c r="H24577" s="13"/>
    </row>
    <row r="24578">
      <c r="A24578" s="6"/>
      <c r="B24578" s="6"/>
      <c r="H24578" s="13"/>
    </row>
    <row r="24579">
      <c r="A24579" s="6"/>
      <c r="B24579" s="6"/>
      <c r="H24579" s="13"/>
    </row>
    <row r="24580">
      <c r="A24580" s="6"/>
      <c r="B24580" s="6"/>
      <c r="H24580" s="13"/>
    </row>
    <row r="24581">
      <c r="A24581" s="6"/>
      <c r="B24581" s="6"/>
      <c r="H24581" s="13"/>
    </row>
    <row r="24582">
      <c r="A24582" s="6"/>
      <c r="B24582" s="6"/>
      <c r="H24582" s="13"/>
    </row>
    <row r="24583">
      <c r="A24583" s="6"/>
      <c r="B24583" s="6"/>
      <c r="H24583" s="13"/>
    </row>
    <row r="24584">
      <c r="A24584" s="6"/>
      <c r="B24584" s="6"/>
      <c r="H24584" s="13"/>
    </row>
    <row r="24585">
      <c r="A24585" s="6"/>
      <c r="B24585" s="6"/>
      <c r="H24585" s="13"/>
    </row>
    <row r="24586">
      <c r="A24586" s="6"/>
      <c r="B24586" s="6"/>
      <c r="H24586" s="13"/>
    </row>
    <row r="24587">
      <c r="A24587" s="6"/>
      <c r="B24587" s="6"/>
      <c r="H24587" s="13"/>
    </row>
    <row r="24588">
      <c r="A24588" s="6"/>
      <c r="B24588" s="6"/>
      <c r="H24588" s="13"/>
    </row>
    <row r="24589">
      <c r="A24589" s="6"/>
      <c r="B24589" s="6"/>
      <c r="H24589" s="13"/>
    </row>
    <row r="24590">
      <c r="A24590" s="6"/>
      <c r="B24590" s="6"/>
      <c r="H24590" s="13"/>
    </row>
    <row r="24591">
      <c r="A24591" s="6"/>
      <c r="B24591" s="6"/>
      <c r="H24591" s="13"/>
    </row>
    <row r="24592">
      <c r="A24592" s="6"/>
      <c r="B24592" s="6"/>
      <c r="H24592" s="13"/>
    </row>
    <row r="24593">
      <c r="A24593" s="6"/>
      <c r="B24593" s="6"/>
      <c r="H24593" s="13"/>
    </row>
    <row r="24594">
      <c r="A24594" s="6"/>
      <c r="B24594" s="6"/>
      <c r="H24594" s="13"/>
    </row>
    <row r="24595">
      <c r="A24595" s="6"/>
      <c r="B24595" s="6"/>
      <c r="H24595" s="13"/>
    </row>
    <row r="24596">
      <c r="A24596" s="6"/>
      <c r="B24596" s="6"/>
      <c r="H24596" s="13"/>
    </row>
    <row r="24597">
      <c r="A24597" s="6"/>
      <c r="B24597" s="6"/>
      <c r="H24597" s="13"/>
    </row>
    <row r="24598">
      <c r="A24598" s="6"/>
      <c r="B24598" s="6"/>
      <c r="H24598" s="13"/>
    </row>
    <row r="24599">
      <c r="A24599" s="6"/>
      <c r="B24599" s="6"/>
      <c r="H24599" s="13"/>
    </row>
    <row r="24600">
      <c r="A24600" s="6"/>
      <c r="B24600" s="6"/>
      <c r="H24600" s="13"/>
    </row>
    <row r="24601">
      <c r="A24601" s="6"/>
      <c r="B24601" s="6"/>
      <c r="H24601" s="13"/>
    </row>
    <row r="24602">
      <c r="A24602" s="6"/>
      <c r="B24602" s="6"/>
      <c r="H24602" s="13"/>
    </row>
    <row r="24603">
      <c r="A24603" s="6"/>
      <c r="B24603" s="6"/>
      <c r="H24603" s="13"/>
    </row>
    <row r="24604">
      <c r="A24604" s="6"/>
      <c r="B24604" s="6"/>
      <c r="H24604" s="13"/>
    </row>
    <row r="24605">
      <c r="A24605" s="6"/>
      <c r="B24605" s="6"/>
      <c r="H24605" s="13"/>
    </row>
    <row r="24606">
      <c r="A24606" s="6"/>
      <c r="B24606" s="6"/>
      <c r="H24606" s="13"/>
    </row>
    <row r="24607">
      <c r="A24607" s="6"/>
      <c r="B24607" s="6"/>
      <c r="H24607" s="13"/>
    </row>
    <row r="24608">
      <c r="A24608" s="6"/>
      <c r="B24608" s="6"/>
      <c r="H24608" s="13"/>
    </row>
    <row r="24609">
      <c r="A24609" s="6"/>
      <c r="B24609" s="6"/>
      <c r="H24609" s="13"/>
    </row>
    <row r="24610">
      <c r="A24610" s="6"/>
      <c r="B24610" s="6"/>
      <c r="H24610" s="13"/>
    </row>
    <row r="24611">
      <c r="A24611" s="6"/>
      <c r="B24611" s="6"/>
      <c r="H24611" s="13"/>
    </row>
    <row r="24612">
      <c r="A24612" s="6"/>
      <c r="B24612" s="6"/>
      <c r="H24612" s="13"/>
    </row>
    <row r="24613">
      <c r="A24613" s="6"/>
      <c r="B24613" s="6"/>
      <c r="H24613" s="13"/>
    </row>
    <row r="24614">
      <c r="A24614" s="6"/>
      <c r="B24614" s="6"/>
      <c r="H24614" s="13"/>
    </row>
    <row r="24615">
      <c r="A24615" s="6"/>
      <c r="B24615" s="6"/>
      <c r="H24615" s="13"/>
    </row>
    <row r="24616">
      <c r="A24616" s="6"/>
      <c r="B24616" s="6"/>
      <c r="H24616" s="13"/>
    </row>
    <row r="24617">
      <c r="A24617" s="6"/>
      <c r="B24617" s="6"/>
      <c r="H24617" s="13"/>
    </row>
    <row r="24618">
      <c r="A24618" s="6"/>
      <c r="B24618" s="6"/>
      <c r="H24618" s="13"/>
    </row>
    <row r="24619">
      <c r="A24619" s="6"/>
      <c r="B24619" s="6"/>
      <c r="H24619" s="13"/>
    </row>
    <row r="24620">
      <c r="A24620" s="6"/>
      <c r="B24620" s="6"/>
      <c r="H24620" s="13"/>
    </row>
    <row r="24621">
      <c r="A24621" s="6"/>
      <c r="B24621" s="6"/>
      <c r="H24621" s="13"/>
    </row>
    <row r="24622">
      <c r="A24622" s="6"/>
      <c r="B24622" s="6"/>
      <c r="H24622" s="13"/>
    </row>
    <row r="24623">
      <c r="A24623" s="6"/>
      <c r="B24623" s="6"/>
      <c r="H24623" s="13"/>
    </row>
    <row r="24624">
      <c r="A24624" s="6"/>
      <c r="B24624" s="6"/>
      <c r="H24624" s="13"/>
    </row>
    <row r="24625">
      <c r="A24625" s="6"/>
      <c r="B24625" s="6"/>
      <c r="H24625" s="13"/>
    </row>
    <row r="24626">
      <c r="A24626" s="6"/>
      <c r="B24626" s="6"/>
      <c r="H24626" s="13"/>
    </row>
    <row r="24627">
      <c r="A24627" s="6"/>
      <c r="B24627" s="6"/>
      <c r="H24627" s="13"/>
    </row>
    <row r="24628">
      <c r="A24628" s="6"/>
      <c r="B24628" s="6"/>
      <c r="H24628" s="13"/>
    </row>
    <row r="24629">
      <c r="A24629" s="6"/>
      <c r="B24629" s="6"/>
      <c r="H24629" s="13"/>
    </row>
    <row r="24630">
      <c r="A24630" s="6"/>
      <c r="B24630" s="6"/>
      <c r="H24630" s="13"/>
    </row>
    <row r="24631">
      <c r="A24631" s="6"/>
      <c r="B24631" s="6"/>
      <c r="H24631" s="13"/>
    </row>
    <row r="24632">
      <c r="A24632" s="6"/>
      <c r="B24632" s="6"/>
      <c r="H24632" s="13"/>
    </row>
    <row r="24633">
      <c r="A24633" s="6"/>
      <c r="B24633" s="6"/>
      <c r="H24633" s="13"/>
    </row>
    <row r="24634">
      <c r="A24634" s="6"/>
      <c r="B24634" s="6"/>
      <c r="H24634" s="13"/>
    </row>
    <row r="24635">
      <c r="A24635" s="6"/>
      <c r="B24635" s="6"/>
      <c r="H24635" s="13"/>
    </row>
    <row r="24636">
      <c r="A24636" s="6"/>
      <c r="B24636" s="6"/>
      <c r="H24636" s="13"/>
    </row>
    <row r="24637">
      <c r="A24637" s="6"/>
      <c r="B24637" s="6"/>
      <c r="H24637" s="13"/>
    </row>
    <row r="24638">
      <c r="A24638" s="6"/>
      <c r="B24638" s="6"/>
      <c r="H24638" s="13"/>
    </row>
    <row r="24639">
      <c r="A24639" s="6"/>
      <c r="B24639" s="6"/>
      <c r="H24639" s="13"/>
    </row>
    <row r="24640">
      <c r="A24640" s="6"/>
      <c r="B24640" s="6"/>
      <c r="H24640" s="13"/>
    </row>
    <row r="24641">
      <c r="A24641" s="6"/>
      <c r="B24641" s="6"/>
      <c r="H24641" s="13"/>
    </row>
    <row r="24642">
      <c r="A24642" s="6"/>
      <c r="B24642" s="6"/>
      <c r="H24642" s="13"/>
    </row>
    <row r="24643">
      <c r="A24643" s="6"/>
      <c r="B24643" s="6"/>
      <c r="H24643" s="13"/>
    </row>
    <row r="24644">
      <c r="A24644" s="6"/>
      <c r="B24644" s="6"/>
      <c r="H24644" s="13"/>
    </row>
    <row r="24645">
      <c r="A24645" s="6"/>
      <c r="B24645" s="6"/>
      <c r="H24645" s="13"/>
    </row>
    <row r="24646">
      <c r="A24646" s="6"/>
      <c r="B24646" s="6"/>
      <c r="H24646" s="13"/>
    </row>
    <row r="24647">
      <c r="A24647" s="6"/>
      <c r="B24647" s="6"/>
      <c r="H24647" s="13"/>
    </row>
    <row r="24648">
      <c r="A24648" s="6"/>
      <c r="B24648" s="6"/>
      <c r="H24648" s="13"/>
    </row>
    <row r="24649">
      <c r="A24649" s="6"/>
      <c r="B24649" s="6"/>
      <c r="H24649" s="13"/>
    </row>
    <row r="24650">
      <c r="A24650" s="6"/>
      <c r="B24650" s="6"/>
      <c r="H24650" s="13"/>
    </row>
    <row r="24651">
      <c r="A24651" s="6"/>
      <c r="B24651" s="6"/>
      <c r="H24651" s="13"/>
    </row>
    <row r="24652">
      <c r="A24652" s="6"/>
      <c r="B24652" s="6"/>
      <c r="H24652" s="13"/>
    </row>
    <row r="24653">
      <c r="A24653" s="6"/>
      <c r="B24653" s="6"/>
      <c r="H24653" s="13"/>
    </row>
    <row r="24654">
      <c r="A24654" s="6"/>
      <c r="B24654" s="6"/>
      <c r="H24654" s="13"/>
    </row>
    <row r="24655">
      <c r="A24655" s="6"/>
      <c r="B24655" s="6"/>
      <c r="H24655" s="13"/>
    </row>
    <row r="24656">
      <c r="A24656" s="6"/>
      <c r="B24656" s="6"/>
      <c r="H24656" s="13"/>
    </row>
    <row r="24657">
      <c r="A24657" s="6"/>
      <c r="B24657" s="6"/>
      <c r="H24657" s="13"/>
    </row>
    <row r="24658">
      <c r="A24658" s="6"/>
      <c r="B24658" s="6"/>
      <c r="H24658" s="13"/>
    </row>
    <row r="24659">
      <c r="A24659" s="6"/>
      <c r="B24659" s="6"/>
      <c r="H24659" s="13"/>
    </row>
    <row r="24660">
      <c r="A24660" s="6"/>
      <c r="B24660" s="6"/>
      <c r="H24660" s="13"/>
    </row>
    <row r="24661">
      <c r="A24661" s="6"/>
      <c r="B24661" s="6"/>
      <c r="H24661" s="13"/>
    </row>
    <row r="24662">
      <c r="A24662" s="6"/>
      <c r="B24662" s="6"/>
      <c r="H24662" s="13"/>
    </row>
    <row r="24663">
      <c r="A24663" s="6"/>
      <c r="B24663" s="6"/>
      <c r="H24663" s="13"/>
    </row>
    <row r="24664">
      <c r="A24664" s="6"/>
      <c r="B24664" s="6"/>
      <c r="H24664" s="13"/>
    </row>
    <row r="24665">
      <c r="A24665" s="6"/>
      <c r="B24665" s="6"/>
      <c r="H24665" s="13"/>
    </row>
    <row r="24666">
      <c r="A24666" s="6"/>
      <c r="B24666" s="6"/>
      <c r="H24666" s="13"/>
    </row>
    <row r="24667">
      <c r="A24667" s="6"/>
      <c r="B24667" s="6"/>
      <c r="H24667" s="13"/>
    </row>
    <row r="24668">
      <c r="A24668" s="6"/>
      <c r="B24668" s="6"/>
      <c r="H24668" s="13"/>
    </row>
    <row r="24669">
      <c r="A24669" s="6"/>
      <c r="B24669" s="6"/>
      <c r="H24669" s="13"/>
    </row>
    <row r="24670">
      <c r="A24670" s="6"/>
      <c r="B24670" s="6"/>
      <c r="H24670" s="13"/>
    </row>
    <row r="24671">
      <c r="A24671" s="6"/>
      <c r="B24671" s="6"/>
      <c r="H24671" s="13"/>
    </row>
    <row r="24672">
      <c r="A24672" s="6"/>
      <c r="B24672" s="6"/>
      <c r="H24672" s="13"/>
    </row>
    <row r="24673">
      <c r="A24673" s="6"/>
      <c r="B24673" s="6"/>
      <c r="H24673" s="13"/>
    </row>
    <row r="24674">
      <c r="A24674" s="6"/>
      <c r="B24674" s="6"/>
      <c r="H24674" s="13"/>
    </row>
    <row r="24675">
      <c r="A24675" s="6"/>
      <c r="B24675" s="6"/>
      <c r="H24675" s="13"/>
    </row>
    <row r="24676">
      <c r="A24676" s="6"/>
      <c r="B24676" s="6"/>
      <c r="H24676" s="13"/>
    </row>
    <row r="24677">
      <c r="A24677" s="6"/>
      <c r="B24677" s="6"/>
      <c r="H24677" s="13"/>
    </row>
    <row r="24678">
      <c r="A24678" s="6"/>
      <c r="B24678" s="6"/>
      <c r="H24678" s="13"/>
    </row>
    <row r="24679">
      <c r="A24679" s="6"/>
      <c r="B24679" s="6"/>
      <c r="H24679" s="13"/>
    </row>
    <row r="24680">
      <c r="A24680" s="6"/>
      <c r="B24680" s="6"/>
      <c r="H24680" s="13"/>
    </row>
    <row r="24681">
      <c r="A24681" s="6"/>
      <c r="B24681" s="6"/>
      <c r="H24681" s="13"/>
    </row>
    <row r="24682">
      <c r="A24682" s="6"/>
      <c r="B24682" s="6"/>
      <c r="H24682" s="13"/>
    </row>
    <row r="24683">
      <c r="A24683" s="6"/>
      <c r="B24683" s="6"/>
      <c r="H24683" s="13"/>
    </row>
    <row r="24684">
      <c r="A24684" s="6"/>
      <c r="B24684" s="6"/>
      <c r="H24684" s="13"/>
    </row>
    <row r="24685">
      <c r="A24685" s="6"/>
      <c r="B24685" s="6"/>
      <c r="H24685" s="13"/>
    </row>
    <row r="24686">
      <c r="A24686" s="6"/>
      <c r="B24686" s="6"/>
      <c r="H24686" s="13"/>
    </row>
    <row r="24687">
      <c r="A24687" s="6"/>
      <c r="B24687" s="6"/>
      <c r="H24687" s="13"/>
    </row>
    <row r="24688">
      <c r="A24688" s="6"/>
      <c r="B24688" s="6"/>
      <c r="H24688" s="13"/>
    </row>
    <row r="24689">
      <c r="A24689" s="6"/>
      <c r="B24689" s="6"/>
      <c r="H24689" s="13"/>
    </row>
    <row r="24690">
      <c r="A24690" s="6"/>
      <c r="B24690" s="6"/>
      <c r="H24690" s="13"/>
    </row>
    <row r="24691">
      <c r="A24691" s="6"/>
      <c r="B24691" s="6"/>
      <c r="H24691" s="13"/>
    </row>
    <row r="24692">
      <c r="A24692" s="6"/>
      <c r="B24692" s="6"/>
      <c r="H24692" s="13"/>
    </row>
    <row r="24693">
      <c r="A24693" s="6"/>
      <c r="B24693" s="6"/>
      <c r="H24693" s="13"/>
    </row>
    <row r="24694">
      <c r="A24694" s="6"/>
      <c r="B24694" s="6"/>
      <c r="H24694" s="13"/>
    </row>
    <row r="24695">
      <c r="A24695" s="6"/>
      <c r="B24695" s="6"/>
      <c r="H24695" s="13"/>
    </row>
    <row r="24696">
      <c r="A24696" s="6"/>
      <c r="B24696" s="6"/>
      <c r="H24696" s="13"/>
    </row>
    <row r="24697">
      <c r="A24697" s="6"/>
      <c r="B24697" s="6"/>
      <c r="H24697" s="13"/>
    </row>
    <row r="24698">
      <c r="A24698" s="6"/>
      <c r="B24698" s="6"/>
      <c r="H24698" s="13"/>
    </row>
    <row r="24699">
      <c r="A24699" s="6"/>
      <c r="B24699" s="6"/>
      <c r="H24699" s="13"/>
    </row>
    <row r="24700">
      <c r="A24700" s="6"/>
      <c r="B24700" s="6"/>
      <c r="H24700" s="13"/>
    </row>
    <row r="24701">
      <c r="A24701" s="6"/>
      <c r="B24701" s="6"/>
      <c r="H24701" s="13"/>
    </row>
    <row r="24702">
      <c r="A24702" s="6"/>
      <c r="B24702" s="6"/>
      <c r="H24702" s="13"/>
    </row>
    <row r="24703">
      <c r="A24703" s="6"/>
      <c r="B24703" s="6"/>
      <c r="H24703" s="13"/>
    </row>
    <row r="24704">
      <c r="A24704" s="6"/>
      <c r="B24704" s="6"/>
      <c r="H24704" s="13"/>
    </row>
    <row r="24705">
      <c r="A24705" s="6"/>
      <c r="B24705" s="6"/>
      <c r="H24705" s="13"/>
    </row>
    <row r="24706">
      <c r="A24706" s="6"/>
      <c r="B24706" s="6"/>
      <c r="H24706" s="13"/>
    </row>
    <row r="24707">
      <c r="A24707" s="6"/>
      <c r="B24707" s="6"/>
      <c r="H24707" s="13"/>
    </row>
    <row r="24708">
      <c r="A24708" s="6"/>
      <c r="B24708" s="6"/>
      <c r="H24708" s="13"/>
    </row>
    <row r="24709">
      <c r="A24709" s="6"/>
      <c r="B24709" s="6"/>
      <c r="H24709" s="13"/>
    </row>
    <row r="24710">
      <c r="A24710" s="6"/>
      <c r="B24710" s="6"/>
      <c r="H24710" s="13"/>
    </row>
    <row r="24711">
      <c r="A24711" s="6"/>
      <c r="B24711" s="6"/>
      <c r="H24711" s="13"/>
    </row>
    <row r="24712">
      <c r="A24712" s="6"/>
      <c r="B24712" s="6"/>
      <c r="H24712" s="13"/>
    </row>
    <row r="24713">
      <c r="A24713" s="6"/>
      <c r="B24713" s="6"/>
      <c r="H24713" s="13"/>
    </row>
    <row r="24714">
      <c r="A24714" s="6"/>
      <c r="B24714" s="6"/>
      <c r="H24714" s="13"/>
    </row>
    <row r="24715">
      <c r="A24715" s="6"/>
      <c r="B24715" s="6"/>
      <c r="H24715" s="13"/>
    </row>
    <row r="24716">
      <c r="A24716" s="6"/>
      <c r="B24716" s="6"/>
      <c r="H24716" s="13"/>
    </row>
    <row r="24717">
      <c r="A24717" s="6"/>
      <c r="B24717" s="6"/>
      <c r="H24717" s="13"/>
    </row>
    <row r="24718">
      <c r="A24718" s="6"/>
      <c r="B24718" s="6"/>
      <c r="H24718" s="13"/>
    </row>
    <row r="24719">
      <c r="A24719" s="6"/>
      <c r="B24719" s="6"/>
      <c r="H24719" s="13"/>
    </row>
    <row r="24720">
      <c r="A24720" s="6"/>
      <c r="B24720" s="6"/>
      <c r="H24720" s="13"/>
    </row>
    <row r="24721">
      <c r="A24721" s="6"/>
      <c r="B24721" s="6"/>
      <c r="H24721" s="13"/>
    </row>
    <row r="24722">
      <c r="A24722" s="6"/>
      <c r="B24722" s="6"/>
      <c r="H24722" s="13"/>
    </row>
    <row r="24723">
      <c r="A24723" s="6"/>
      <c r="B24723" s="6"/>
      <c r="H24723" s="13"/>
    </row>
    <row r="24724">
      <c r="A24724" s="6"/>
      <c r="B24724" s="6"/>
      <c r="H24724" s="13"/>
    </row>
    <row r="24725">
      <c r="A24725" s="6"/>
      <c r="B24725" s="6"/>
      <c r="H24725" s="13"/>
    </row>
    <row r="24726">
      <c r="A24726" s="6"/>
      <c r="B24726" s="6"/>
      <c r="H24726" s="13"/>
    </row>
    <row r="24727">
      <c r="A24727" s="6"/>
      <c r="B24727" s="6"/>
      <c r="H24727" s="13"/>
    </row>
    <row r="24728">
      <c r="A24728" s="6"/>
      <c r="B24728" s="6"/>
      <c r="H24728" s="13"/>
    </row>
    <row r="24729">
      <c r="A24729" s="6"/>
      <c r="B24729" s="6"/>
      <c r="H24729" s="13"/>
    </row>
    <row r="24730">
      <c r="A24730" s="6"/>
      <c r="B24730" s="6"/>
      <c r="H24730" s="13"/>
    </row>
    <row r="24731">
      <c r="A24731" s="6"/>
      <c r="B24731" s="6"/>
      <c r="H24731" s="13"/>
    </row>
    <row r="24732">
      <c r="A24732" s="6"/>
      <c r="B24732" s="6"/>
      <c r="H24732" s="13"/>
    </row>
    <row r="24733">
      <c r="A24733" s="6"/>
      <c r="B24733" s="6"/>
      <c r="H24733" s="13"/>
    </row>
    <row r="24734">
      <c r="A24734" s="6"/>
      <c r="B24734" s="6"/>
      <c r="H24734" s="13"/>
    </row>
    <row r="24735">
      <c r="A24735" s="6"/>
      <c r="B24735" s="6"/>
      <c r="H24735" s="13"/>
    </row>
    <row r="24736">
      <c r="A24736" s="6"/>
      <c r="B24736" s="6"/>
      <c r="H24736" s="13"/>
    </row>
    <row r="24737">
      <c r="A24737" s="6"/>
      <c r="B24737" s="6"/>
      <c r="H24737" s="13"/>
    </row>
    <row r="24738">
      <c r="A24738" s="6"/>
      <c r="B24738" s="6"/>
      <c r="H24738" s="13"/>
    </row>
    <row r="24739">
      <c r="A24739" s="6"/>
      <c r="B24739" s="6"/>
      <c r="H24739" s="13"/>
    </row>
    <row r="24740">
      <c r="A24740" s="6"/>
      <c r="B24740" s="6"/>
      <c r="H24740" s="13"/>
    </row>
    <row r="24741">
      <c r="A24741" s="6"/>
      <c r="B24741" s="6"/>
      <c r="H24741" s="13"/>
    </row>
    <row r="24742">
      <c r="A24742" s="6"/>
      <c r="B24742" s="6"/>
      <c r="H24742" s="13"/>
    </row>
    <row r="24743">
      <c r="A24743" s="6"/>
      <c r="B24743" s="6"/>
      <c r="H24743" s="13"/>
    </row>
    <row r="24744">
      <c r="A24744" s="6"/>
      <c r="B24744" s="6"/>
      <c r="H24744" s="13"/>
    </row>
    <row r="24745">
      <c r="A24745" s="6"/>
      <c r="B24745" s="6"/>
      <c r="H24745" s="13"/>
    </row>
    <row r="24746">
      <c r="A24746" s="6"/>
      <c r="B24746" s="6"/>
      <c r="H24746" s="13"/>
    </row>
    <row r="24747">
      <c r="A24747" s="6"/>
      <c r="B24747" s="6"/>
      <c r="H24747" s="13"/>
    </row>
    <row r="24748">
      <c r="A24748" s="6"/>
      <c r="B24748" s="6"/>
      <c r="H24748" s="13"/>
    </row>
    <row r="24749">
      <c r="A24749" s="6"/>
      <c r="B24749" s="6"/>
      <c r="H24749" s="13"/>
    </row>
    <row r="24750">
      <c r="A24750" s="6"/>
      <c r="B24750" s="6"/>
      <c r="H24750" s="13"/>
    </row>
    <row r="24751">
      <c r="A24751" s="6"/>
      <c r="B24751" s="6"/>
      <c r="H24751" s="13"/>
    </row>
    <row r="24752">
      <c r="A24752" s="6"/>
      <c r="B24752" s="6"/>
      <c r="H24752" s="13"/>
    </row>
    <row r="24753">
      <c r="A24753" s="6"/>
      <c r="B24753" s="6"/>
      <c r="H24753" s="13"/>
    </row>
    <row r="24754">
      <c r="A24754" s="6"/>
      <c r="B24754" s="6"/>
      <c r="H24754" s="13"/>
    </row>
    <row r="24755">
      <c r="A24755" s="6"/>
      <c r="B24755" s="6"/>
      <c r="H24755" s="13"/>
    </row>
    <row r="24756">
      <c r="A24756" s="6"/>
      <c r="B24756" s="6"/>
      <c r="H24756" s="13"/>
    </row>
    <row r="24757">
      <c r="A24757" s="6"/>
      <c r="B24757" s="6"/>
      <c r="H24757" s="13"/>
    </row>
    <row r="24758">
      <c r="A24758" s="6"/>
      <c r="B24758" s="6"/>
      <c r="H24758" s="13"/>
    </row>
    <row r="24759">
      <c r="A24759" s="6"/>
      <c r="B24759" s="6"/>
      <c r="H24759" s="13"/>
    </row>
    <row r="24760">
      <c r="A24760" s="6"/>
      <c r="B24760" s="6"/>
      <c r="H24760" s="13"/>
    </row>
    <row r="24761">
      <c r="A24761" s="6"/>
      <c r="B24761" s="6"/>
      <c r="H24761" s="13"/>
    </row>
    <row r="24762">
      <c r="A24762" s="6"/>
      <c r="B24762" s="6"/>
      <c r="H24762" s="13"/>
    </row>
    <row r="24763">
      <c r="A24763" s="6"/>
      <c r="B24763" s="6"/>
      <c r="H24763" s="13"/>
    </row>
    <row r="24764">
      <c r="A24764" s="6"/>
      <c r="B24764" s="6"/>
      <c r="H24764" s="13"/>
    </row>
    <row r="24765">
      <c r="A24765" s="6"/>
      <c r="B24765" s="6"/>
      <c r="H24765" s="13"/>
    </row>
    <row r="24766">
      <c r="A24766" s="6"/>
      <c r="B24766" s="6"/>
      <c r="H24766" s="13"/>
    </row>
    <row r="24767">
      <c r="A24767" s="6"/>
      <c r="B24767" s="6"/>
      <c r="H24767" s="13"/>
    </row>
    <row r="24768">
      <c r="A24768" s="6"/>
      <c r="B24768" s="6"/>
      <c r="H24768" s="13"/>
    </row>
    <row r="24769">
      <c r="A24769" s="6"/>
      <c r="B24769" s="6"/>
      <c r="H24769" s="13"/>
    </row>
    <row r="24770">
      <c r="A24770" s="6"/>
      <c r="B24770" s="6"/>
      <c r="H24770" s="13"/>
    </row>
    <row r="24771">
      <c r="A24771" s="6"/>
      <c r="B24771" s="6"/>
      <c r="H24771" s="13"/>
    </row>
    <row r="24772">
      <c r="A24772" s="6"/>
      <c r="B24772" s="6"/>
      <c r="H24772" s="13"/>
    </row>
    <row r="24773">
      <c r="A24773" s="6"/>
      <c r="B24773" s="6"/>
      <c r="H24773" s="13"/>
    </row>
    <row r="24774">
      <c r="A24774" s="6"/>
      <c r="B24774" s="6"/>
      <c r="H24774" s="13"/>
    </row>
    <row r="24775">
      <c r="A24775" s="6"/>
      <c r="B24775" s="6"/>
      <c r="H24775" s="13"/>
    </row>
    <row r="24776">
      <c r="A24776" s="6"/>
      <c r="B24776" s="6"/>
      <c r="H24776" s="13"/>
    </row>
    <row r="24777">
      <c r="A24777" s="6"/>
      <c r="B24777" s="6"/>
      <c r="H24777" s="13"/>
    </row>
    <row r="24778">
      <c r="A24778" s="6"/>
      <c r="B24778" s="6"/>
      <c r="H24778" s="13"/>
    </row>
    <row r="24779">
      <c r="A24779" s="6"/>
      <c r="B24779" s="6"/>
      <c r="H24779" s="13"/>
    </row>
    <row r="24780">
      <c r="A24780" s="6"/>
      <c r="B24780" s="6"/>
      <c r="H24780" s="13"/>
    </row>
    <row r="24781">
      <c r="A24781" s="6"/>
      <c r="B24781" s="6"/>
      <c r="H24781" s="13"/>
    </row>
    <row r="24782">
      <c r="A24782" s="6"/>
      <c r="B24782" s="6"/>
      <c r="H24782" s="13"/>
    </row>
    <row r="24783">
      <c r="A24783" s="6"/>
      <c r="B24783" s="6"/>
      <c r="H24783" s="13"/>
    </row>
    <row r="24784">
      <c r="A24784" s="6"/>
      <c r="B24784" s="6"/>
      <c r="H24784" s="13"/>
    </row>
    <row r="24785">
      <c r="A24785" s="6"/>
      <c r="B24785" s="6"/>
      <c r="H24785" s="13"/>
    </row>
    <row r="24786">
      <c r="A24786" s="6"/>
      <c r="B24786" s="6"/>
      <c r="H24786" s="13"/>
    </row>
    <row r="24787">
      <c r="A24787" s="6"/>
      <c r="B24787" s="6"/>
      <c r="H24787" s="13"/>
    </row>
    <row r="24788">
      <c r="A24788" s="6"/>
      <c r="B24788" s="6"/>
      <c r="H24788" s="13"/>
    </row>
    <row r="24789">
      <c r="A24789" s="6"/>
      <c r="B24789" s="6"/>
      <c r="H24789" s="13"/>
    </row>
    <row r="24790">
      <c r="A24790" s="6"/>
      <c r="B24790" s="6"/>
      <c r="H24790" s="13"/>
    </row>
    <row r="24791">
      <c r="A24791" s="6"/>
      <c r="B24791" s="6"/>
      <c r="H24791" s="13"/>
    </row>
    <row r="24792">
      <c r="A24792" s="6"/>
      <c r="B24792" s="6"/>
      <c r="H24792" s="13"/>
    </row>
    <row r="24793">
      <c r="A24793" s="6"/>
      <c r="B24793" s="6"/>
      <c r="H24793" s="13"/>
    </row>
    <row r="24794">
      <c r="A24794" s="6"/>
      <c r="B24794" s="6"/>
      <c r="H24794" s="13"/>
    </row>
    <row r="24795">
      <c r="A24795" s="6"/>
      <c r="B24795" s="6"/>
      <c r="H24795" s="13"/>
    </row>
    <row r="24796">
      <c r="A24796" s="6"/>
      <c r="B24796" s="6"/>
      <c r="H24796" s="13"/>
    </row>
    <row r="24797">
      <c r="A24797" s="6"/>
      <c r="B24797" s="6"/>
      <c r="H24797" s="13"/>
    </row>
    <row r="24798">
      <c r="A24798" s="6"/>
      <c r="B24798" s="6"/>
      <c r="H24798" s="13"/>
    </row>
    <row r="24799">
      <c r="A24799" s="6"/>
      <c r="B24799" s="6"/>
      <c r="H24799" s="13"/>
    </row>
    <row r="24800">
      <c r="A24800" s="6"/>
      <c r="B24800" s="6"/>
      <c r="H24800" s="13"/>
    </row>
    <row r="24801">
      <c r="A24801" s="6"/>
      <c r="B24801" s="6"/>
      <c r="H24801" s="13"/>
    </row>
    <row r="24802">
      <c r="A24802" s="6"/>
      <c r="B24802" s="6"/>
      <c r="H24802" s="13"/>
    </row>
    <row r="24803">
      <c r="A24803" s="6"/>
      <c r="B24803" s="6"/>
      <c r="H24803" s="13"/>
    </row>
    <row r="24804">
      <c r="A24804" s="6"/>
      <c r="B24804" s="6"/>
      <c r="H24804" s="13"/>
    </row>
    <row r="24805">
      <c r="A24805" s="6"/>
      <c r="B24805" s="6"/>
      <c r="H24805" s="13"/>
    </row>
    <row r="24806">
      <c r="A24806" s="6"/>
      <c r="B24806" s="6"/>
      <c r="H24806" s="13"/>
    </row>
    <row r="24807">
      <c r="A24807" s="6"/>
      <c r="B24807" s="6"/>
      <c r="H24807" s="13"/>
    </row>
    <row r="24808">
      <c r="A24808" s="6"/>
      <c r="B24808" s="6"/>
      <c r="H24808" s="13"/>
    </row>
    <row r="24809">
      <c r="A24809" s="6"/>
      <c r="B24809" s="6"/>
      <c r="H24809" s="13"/>
    </row>
    <row r="24810">
      <c r="A24810" s="6"/>
      <c r="B24810" s="6"/>
      <c r="H24810" s="13"/>
    </row>
    <row r="24811">
      <c r="A24811" s="6"/>
      <c r="B24811" s="6"/>
      <c r="H24811" s="13"/>
    </row>
    <row r="24812">
      <c r="A24812" s="6"/>
      <c r="B24812" s="6"/>
      <c r="H24812" s="13"/>
    </row>
    <row r="24813">
      <c r="A24813" s="6"/>
      <c r="B24813" s="6"/>
      <c r="H24813" s="13"/>
    </row>
    <row r="24814">
      <c r="A24814" s="6"/>
      <c r="B24814" s="6"/>
      <c r="H24814" s="13"/>
    </row>
    <row r="24815">
      <c r="A24815" s="6"/>
      <c r="B24815" s="6"/>
      <c r="H24815" s="13"/>
    </row>
    <row r="24816">
      <c r="A24816" s="6"/>
      <c r="B24816" s="6"/>
      <c r="H24816" s="13"/>
    </row>
    <row r="24817">
      <c r="A24817" s="6"/>
      <c r="B24817" s="6"/>
      <c r="H24817" s="13"/>
    </row>
    <row r="24818">
      <c r="A24818" s="6"/>
      <c r="B24818" s="6"/>
      <c r="H24818" s="13"/>
    </row>
    <row r="24819">
      <c r="A24819" s="6"/>
      <c r="B24819" s="6"/>
      <c r="H24819" s="13"/>
    </row>
    <row r="24820">
      <c r="A24820" s="6"/>
      <c r="B24820" s="6"/>
      <c r="H24820" s="13"/>
    </row>
    <row r="24821">
      <c r="A24821" s="6"/>
      <c r="B24821" s="6"/>
      <c r="H24821" s="13"/>
    </row>
    <row r="24822">
      <c r="A24822" s="6"/>
      <c r="B24822" s="6"/>
      <c r="H24822" s="13"/>
    </row>
    <row r="24823">
      <c r="A24823" s="6"/>
      <c r="B24823" s="6"/>
      <c r="H24823" s="13"/>
    </row>
    <row r="24824">
      <c r="A24824" s="6"/>
      <c r="B24824" s="6"/>
      <c r="H24824" s="13"/>
    </row>
    <row r="24825">
      <c r="A24825" s="6"/>
      <c r="B24825" s="6"/>
      <c r="H24825" s="13"/>
    </row>
    <row r="24826">
      <c r="A24826" s="6"/>
      <c r="B24826" s="6"/>
      <c r="H24826" s="13"/>
    </row>
    <row r="24827">
      <c r="A24827" s="6"/>
      <c r="B24827" s="6"/>
      <c r="H24827" s="13"/>
    </row>
    <row r="24828">
      <c r="A24828" s="6"/>
      <c r="B24828" s="6"/>
      <c r="H24828" s="13"/>
    </row>
    <row r="24829">
      <c r="A24829" s="6"/>
      <c r="B24829" s="6"/>
      <c r="H24829" s="13"/>
    </row>
    <row r="24830">
      <c r="A24830" s="6"/>
      <c r="B24830" s="6"/>
      <c r="H24830" s="13"/>
    </row>
    <row r="24831">
      <c r="A24831" s="6"/>
      <c r="B24831" s="6"/>
      <c r="H24831" s="13"/>
    </row>
    <row r="24832">
      <c r="A24832" s="6"/>
      <c r="B24832" s="6"/>
      <c r="H24832" s="13"/>
    </row>
    <row r="24833">
      <c r="A24833" s="6"/>
      <c r="B24833" s="6"/>
      <c r="H24833" s="13"/>
    </row>
    <row r="24834">
      <c r="A24834" s="6"/>
      <c r="B24834" s="6"/>
      <c r="H24834" s="13"/>
    </row>
    <row r="24835">
      <c r="A24835" s="6"/>
      <c r="B24835" s="6"/>
      <c r="H24835" s="13"/>
    </row>
    <row r="24836">
      <c r="A24836" s="6"/>
      <c r="B24836" s="6"/>
      <c r="H24836" s="13"/>
    </row>
    <row r="24837">
      <c r="A24837" s="6"/>
      <c r="B24837" s="6"/>
      <c r="H24837" s="13"/>
    </row>
    <row r="24838">
      <c r="A24838" s="6"/>
      <c r="B24838" s="6"/>
      <c r="H24838" s="13"/>
    </row>
    <row r="24839">
      <c r="A24839" s="6"/>
      <c r="B24839" s="6"/>
      <c r="H24839" s="13"/>
    </row>
    <row r="24840">
      <c r="A24840" s="6"/>
      <c r="B24840" s="6"/>
      <c r="H24840" s="13"/>
    </row>
    <row r="24841">
      <c r="A24841" s="6"/>
      <c r="B24841" s="6"/>
      <c r="H24841" s="13"/>
    </row>
    <row r="24842">
      <c r="A24842" s="6"/>
      <c r="B24842" s="6"/>
      <c r="H24842" s="13"/>
    </row>
    <row r="24843">
      <c r="A24843" s="6"/>
      <c r="B24843" s="6"/>
      <c r="H24843" s="13"/>
    </row>
    <row r="24844">
      <c r="A24844" s="6"/>
      <c r="B24844" s="6"/>
      <c r="H24844" s="13"/>
    </row>
    <row r="24845">
      <c r="A24845" s="6"/>
      <c r="B24845" s="6"/>
      <c r="H24845" s="13"/>
    </row>
    <row r="24846">
      <c r="A24846" s="6"/>
      <c r="B24846" s="6"/>
      <c r="H24846" s="13"/>
    </row>
    <row r="24847">
      <c r="A24847" s="6"/>
      <c r="B24847" s="6"/>
      <c r="H24847" s="13"/>
    </row>
    <row r="24848">
      <c r="A24848" s="6"/>
      <c r="B24848" s="6"/>
      <c r="H24848" s="13"/>
    </row>
    <row r="24849">
      <c r="A24849" s="6"/>
      <c r="B24849" s="6"/>
      <c r="H24849" s="13"/>
    </row>
    <row r="24850">
      <c r="A24850" s="6"/>
      <c r="B24850" s="6"/>
      <c r="H24850" s="13"/>
    </row>
    <row r="24851">
      <c r="A24851" s="6"/>
      <c r="B24851" s="6"/>
      <c r="H24851" s="13"/>
    </row>
    <row r="24852">
      <c r="A24852" s="6"/>
      <c r="B24852" s="6"/>
      <c r="H24852" s="13"/>
    </row>
    <row r="24853">
      <c r="A24853" s="6"/>
      <c r="B24853" s="6"/>
      <c r="H24853" s="13"/>
    </row>
    <row r="24854">
      <c r="A24854" s="6"/>
      <c r="B24854" s="6"/>
      <c r="H24854" s="13"/>
    </row>
    <row r="24855">
      <c r="A24855" s="6"/>
      <c r="B24855" s="6"/>
      <c r="H24855" s="13"/>
    </row>
    <row r="24856">
      <c r="A24856" s="6"/>
      <c r="B24856" s="6"/>
      <c r="H24856" s="13"/>
    </row>
    <row r="24857">
      <c r="A24857" s="6"/>
      <c r="B24857" s="6"/>
      <c r="H24857" s="13"/>
    </row>
    <row r="24858">
      <c r="A24858" s="6"/>
      <c r="B24858" s="6"/>
      <c r="H24858" s="13"/>
    </row>
    <row r="24859">
      <c r="A24859" s="6"/>
      <c r="B24859" s="6"/>
      <c r="H24859" s="13"/>
    </row>
    <row r="24860">
      <c r="A24860" s="6"/>
      <c r="B24860" s="6"/>
      <c r="H24860" s="13"/>
    </row>
    <row r="24861">
      <c r="A24861" s="6"/>
      <c r="B24861" s="6"/>
      <c r="H24861" s="13"/>
    </row>
    <row r="24862">
      <c r="A24862" s="6"/>
      <c r="B24862" s="6"/>
      <c r="H24862" s="13"/>
    </row>
    <row r="24863">
      <c r="A24863" s="6"/>
      <c r="B24863" s="6"/>
      <c r="H24863" s="13"/>
    </row>
    <row r="24864">
      <c r="A24864" s="6"/>
      <c r="B24864" s="6"/>
      <c r="H24864" s="13"/>
    </row>
    <row r="24865">
      <c r="A24865" s="6"/>
      <c r="B24865" s="6"/>
      <c r="H24865" s="13"/>
    </row>
    <row r="24866">
      <c r="A24866" s="6"/>
      <c r="B24866" s="6"/>
      <c r="H24866" s="13"/>
    </row>
    <row r="24867">
      <c r="A24867" s="6"/>
      <c r="B24867" s="6"/>
      <c r="H24867" s="13"/>
    </row>
    <row r="24868">
      <c r="A24868" s="6"/>
      <c r="B24868" s="6"/>
      <c r="H24868" s="13"/>
    </row>
    <row r="24869">
      <c r="A24869" s="6"/>
      <c r="B24869" s="6"/>
      <c r="H24869" s="13"/>
    </row>
    <row r="24870">
      <c r="A24870" s="6"/>
      <c r="B24870" s="6"/>
      <c r="H24870" s="13"/>
    </row>
    <row r="24871">
      <c r="A24871" s="6"/>
      <c r="B24871" s="6"/>
      <c r="H24871" s="13"/>
    </row>
    <row r="24872">
      <c r="A24872" s="6"/>
      <c r="B24872" s="6"/>
      <c r="H24872" s="13"/>
    </row>
    <row r="24873">
      <c r="A24873" s="6"/>
      <c r="B24873" s="6"/>
      <c r="H24873" s="13"/>
    </row>
    <row r="24874">
      <c r="A24874" s="6"/>
      <c r="B24874" s="6"/>
      <c r="H24874" s="13"/>
    </row>
    <row r="24875">
      <c r="A24875" s="6"/>
      <c r="B24875" s="6"/>
      <c r="H24875" s="13"/>
    </row>
    <row r="24876">
      <c r="A24876" s="6"/>
      <c r="B24876" s="6"/>
      <c r="H24876" s="13"/>
    </row>
    <row r="24877">
      <c r="A24877" s="6"/>
      <c r="B24877" s="6"/>
      <c r="H24877" s="13"/>
    </row>
    <row r="24878">
      <c r="A24878" s="6"/>
      <c r="B24878" s="6"/>
      <c r="H24878" s="13"/>
    </row>
    <row r="24879">
      <c r="A24879" s="6"/>
      <c r="B24879" s="6"/>
      <c r="H24879" s="13"/>
    </row>
    <row r="24880">
      <c r="A24880" s="6"/>
      <c r="B24880" s="6"/>
      <c r="H24880" s="13"/>
    </row>
    <row r="24881">
      <c r="A24881" s="6"/>
      <c r="B24881" s="6"/>
      <c r="H24881" s="13"/>
    </row>
    <row r="24882">
      <c r="A24882" s="6"/>
      <c r="B24882" s="6"/>
      <c r="H24882" s="13"/>
    </row>
    <row r="24883">
      <c r="A24883" s="6"/>
      <c r="B24883" s="6"/>
      <c r="H24883" s="13"/>
    </row>
    <row r="24884">
      <c r="A24884" s="6"/>
      <c r="B24884" s="6"/>
      <c r="H24884" s="13"/>
    </row>
    <row r="24885">
      <c r="A24885" s="6"/>
      <c r="B24885" s="6"/>
      <c r="H24885" s="13"/>
    </row>
    <row r="24886">
      <c r="A24886" s="6"/>
      <c r="B24886" s="6"/>
      <c r="H24886" s="13"/>
    </row>
    <row r="24887">
      <c r="A24887" s="6"/>
      <c r="B24887" s="6"/>
      <c r="H24887" s="13"/>
    </row>
    <row r="24888">
      <c r="A24888" s="6"/>
      <c r="B24888" s="6"/>
      <c r="H24888" s="13"/>
    </row>
    <row r="24889">
      <c r="A24889" s="6"/>
      <c r="B24889" s="6"/>
      <c r="H24889" s="13"/>
    </row>
    <row r="24890">
      <c r="A24890" s="6"/>
      <c r="B24890" s="6"/>
      <c r="H24890" s="13"/>
    </row>
    <row r="24891">
      <c r="A24891" s="6"/>
      <c r="B24891" s="6"/>
      <c r="H24891" s="13"/>
    </row>
    <row r="24892">
      <c r="A24892" s="6"/>
      <c r="B24892" s="6"/>
      <c r="H24892" s="13"/>
    </row>
    <row r="24893">
      <c r="A24893" s="6"/>
      <c r="B24893" s="6"/>
      <c r="H24893" s="13"/>
    </row>
    <row r="24894">
      <c r="A24894" s="6"/>
      <c r="B24894" s="6"/>
      <c r="H24894" s="13"/>
    </row>
    <row r="24895">
      <c r="A24895" s="6"/>
      <c r="B24895" s="6"/>
      <c r="H24895" s="13"/>
    </row>
    <row r="24896">
      <c r="A24896" s="6"/>
      <c r="B24896" s="6"/>
      <c r="H24896" s="13"/>
    </row>
    <row r="24897">
      <c r="A24897" s="6"/>
      <c r="B24897" s="6"/>
      <c r="H24897" s="13"/>
    </row>
    <row r="24898">
      <c r="A24898" s="6"/>
      <c r="B24898" s="6"/>
      <c r="H24898" s="13"/>
    </row>
    <row r="24899">
      <c r="A24899" s="6"/>
      <c r="B24899" s="6"/>
      <c r="H24899" s="13"/>
    </row>
    <row r="24900">
      <c r="A24900" s="6"/>
      <c r="B24900" s="6"/>
      <c r="H24900" s="13"/>
    </row>
    <row r="24901">
      <c r="A24901" s="6"/>
      <c r="B24901" s="6"/>
      <c r="H24901" s="13"/>
    </row>
    <row r="24902">
      <c r="A24902" s="6"/>
      <c r="B24902" s="6"/>
      <c r="H24902" s="13"/>
    </row>
    <row r="24903">
      <c r="A24903" s="6"/>
      <c r="B24903" s="6"/>
      <c r="H24903" s="13"/>
    </row>
    <row r="24904">
      <c r="A24904" s="6"/>
      <c r="B24904" s="6"/>
      <c r="H24904" s="13"/>
    </row>
    <row r="24905">
      <c r="A24905" s="6"/>
      <c r="B24905" s="6"/>
      <c r="H24905" s="13"/>
    </row>
    <row r="24906">
      <c r="A24906" s="6"/>
      <c r="B24906" s="6"/>
      <c r="H24906" s="13"/>
    </row>
    <row r="24907">
      <c r="A24907" s="6"/>
      <c r="B24907" s="6"/>
      <c r="H24907" s="13"/>
    </row>
    <row r="24908">
      <c r="A24908" s="6"/>
      <c r="B24908" s="6"/>
      <c r="H24908" s="13"/>
    </row>
    <row r="24909">
      <c r="A24909" s="6"/>
      <c r="B24909" s="6"/>
      <c r="H24909" s="13"/>
    </row>
    <row r="24910">
      <c r="A24910" s="6"/>
      <c r="B24910" s="6"/>
      <c r="H24910" s="13"/>
    </row>
    <row r="24911">
      <c r="A24911" s="6"/>
      <c r="B24911" s="6"/>
      <c r="H24911" s="13"/>
    </row>
    <row r="24912">
      <c r="A24912" s="6"/>
      <c r="B24912" s="6"/>
      <c r="H24912" s="13"/>
    </row>
    <row r="24913">
      <c r="A24913" s="6"/>
      <c r="B24913" s="6"/>
      <c r="H24913" s="13"/>
    </row>
    <row r="24914">
      <c r="A24914" s="6"/>
      <c r="B24914" s="6"/>
      <c r="H24914" s="13"/>
    </row>
    <row r="24915">
      <c r="A24915" s="6"/>
      <c r="B24915" s="6"/>
      <c r="H24915" s="13"/>
    </row>
    <row r="24916">
      <c r="A24916" s="6"/>
      <c r="B24916" s="6"/>
      <c r="H24916" s="13"/>
    </row>
    <row r="24917">
      <c r="A24917" s="6"/>
      <c r="B24917" s="6"/>
      <c r="H24917" s="13"/>
    </row>
    <row r="24918">
      <c r="A24918" s="6"/>
      <c r="B24918" s="6"/>
      <c r="H24918" s="13"/>
    </row>
    <row r="24919">
      <c r="A24919" s="6"/>
      <c r="B24919" s="6"/>
      <c r="H24919" s="13"/>
    </row>
    <row r="24920">
      <c r="A24920" s="6"/>
      <c r="B24920" s="6"/>
      <c r="H24920" s="13"/>
    </row>
    <row r="24921">
      <c r="A24921" s="6"/>
      <c r="B24921" s="6"/>
      <c r="H24921" s="13"/>
    </row>
    <row r="24922">
      <c r="A24922" s="6"/>
      <c r="B24922" s="6"/>
      <c r="H24922" s="13"/>
    </row>
    <row r="24923">
      <c r="A24923" s="6"/>
      <c r="B24923" s="6"/>
      <c r="H24923" s="13"/>
    </row>
    <row r="24924">
      <c r="A24924" s="6"/>
      <c r="B24924" s="6"/>
      <c r="H24924" s="13"/>
    </row>
    <row r="24925">
      <c r="A24925" s="6"/>
      <c r="B24925" s="6"/>
      <c r="H24925" s="13"/>
    </row>
    <row r="24926">
      <c r="A24926" s="6"/>
      <c r="B24926" s="6"/>
      <c r="H24926" s="13"/>
    </row>
    <row r="24927">
      <c r="A24927" s="6"/>
      <c r="B24927" s="6"/>
      <c r="H24927" s="13"/>
    </row>
    <row r="24928">
      <c r="A24928" s="6"/>
      <c r="B24928" s="6"/>
      <c r="H24928" s="13"/>
    </row>
    <row r="24929">
      <c r="A24929" s="6"/>
      <c r="B24929" s="6"/>
      <c r="H24929" s="13"/>
    </row>
    <row r="24930">
      <c r="A24930" s="6"/>
      <c r="B24930" s="6"/>
      <c r="H24930" s="13"/>
    </row>
    <row r="24931">
      <c r="A24931" s="6"/>
      <c r="B24931" s="6"/>
      <c r="H24931" s="13"/>
    </row>
    <row r="24932">
      <c r="A24932" s="6"/>
      <c r="B24932" s="6"/>
      <c r="H24932" s="13"/>
    </row>
    <row r="24933">
      <c r="A24933" s="6"/>
      <c r="B24933" s="6"/>
      <c r="H24933" s="13"/>
    </row>
    <row r="24934">
      <c r="A24934" s="6"/>
      <c r="B24934" s="6"/>
      <c r="H24934" s="13"/>
    </row>
    <row r="24935">
      <c r="A24935" s="6"/>
      <c r="B24935" s="6"/>
      <c r="H24935" s="13"/>
    </row>
    <row r="24936">
      <c r="A24936" s="6"/>
      <c r="B24936" s="6"/>
      <c r="H24936" s="13"/>
    </row>
    <row r="24937">
      <c r="A24937" s="6"/>
      <c r="B24937" s="6"/>
      <c r="H24937" s="13"/>
    </row>
    <row r="24938">
      <c r="A24938" s="6"/>
      <c r="B24938" s="6"/>
      <c r="H24938" s="13"/>
    </row>
    <row r="24939">
      <c r="A24939" s="6"/>
      <c r="B24939" s="6"/>
      <c r="H24939" s="13"/>
    </row>
    <row r="24940">
      <c r="A24940" s="6"/>
      <c r="B24940" s="6"/>
      <c r="H24940" s="13"/>
    </row>
    <row r="24941">
      <c r="A24941" s="6"/>
      <c r="B24941" s="6"/>
      <c r="H24941" s="13"/>
    </row>
    <row r="24942">
      <c r="A24942" s="6"/>
      <c r="B24942" s="6"/>
      <c r="H24942" s="13"/>
    </row>
    <row r="24943">
      <c r="A24943" s="6"/>
      <c r="B24943" s="6"/>
      <c r="H24943" s="13"/>
    </row>
    <row r="24944">
      <c r="A24944" s="6"/>
      <c r="B24944" s="6"/>
      <c r="H24944" s="13"/>
    </row>
    <row r="24945">
      <c r="A24945" s="6"/>
      <c r="B24945" s="6"/>
      <c r="H24945" s="13"/>
    </row>
    <row r="24946">
      <c r="A24946" s="6"/>
      <c r="B24946" s="6"/>
      <c r="H24946" s="13"/>
    </row>
    <row r="24947">
      <c r="A24947" s="6"/>
      <c r="B24947" s="6"/>
      <c r="H24947" s="13"/>
    </row>
    <row r="24948">
      <c r="A24948" s="6"/>
      <c r="B24948" s="6"/>
      <c r="H24948" s="13"/>
    </row>
    <row r="24949">
      <c r="A24949" s="6"/>
      <c r="B24949" s="6"/>
      <c r="H24949" s="13"/>
    </row>
    <row r="24950">
      <c r="A24950" s="6"/>
      <c r="B24950" s="6"/>
      <c r="H24950" s="13"/>
    </row>
    <row r="24951">
      <c r="A24951" s="6"/>
      <c r="B24951" s="6"/>
      <c r="H24951" s="13"/>
    </row>
    <row r="24952">
      <c r="A24952" s="6"/>
      <c r="B24952" s="6"/>
      <c r="H24952" s="13"/>
    </row>
    <row r="24953">
      <c r="A24953" s="6"/>
      <c r="B24953" s="6"/>
      <c r="H24953" s="13"/>
    </row>
    <row r="24954">
      <c r="A24954" s="6"/>
      <c r="B24954" s="6"/>
      <c r="H24954" s="13"/>
    </row>
    <row r="24955">
      <c r="A24955" s="6"/>
      <c r="B24955" s="6"/>
      <c r="H24955" s="13"/>
    </row>
    <row r="24956">
      <c r="A24956" s="6"/>
      <c r="B24956" s="6"/>
      <c r="H24956" s="13"/>
    </row>
    <row r="24957">
      <c r="A24957" s="6"/>
      <c r="B24957" s="6"/>
      <c r="H24957" s="13"/>
    </row>
    <row r="24958">
      <c r="A24958" s="6"/>
      <c r="B24958" s="6"/>
      <c r="H24958" s="13"/>
    </row>
    <row r="24959">
      <c r="A24959" s="6"/>
      <c r="B24959" s="6"/>
      <c r="H24959" s="13"/>
    </row>
    <row r="24960">
      <c r="A24960" s="6"/>
      <c r="B24960" s="6"/>
      <c r="H24960" s="13"/>
    </row>
    <row r="24961">
      <c r="A24961" s="6"/>
      <c r="B24961" s="6"/>
      <c r="H24961" s="13"/>
    </row>
    <row r="24962">
      <c r="A24962" s="6"/>
      <c r="B24962" s="6"/>
      <c r="H24962" s="13"/>
    </row>
    <row r="24963">
      <c r="A24963" s="6"/>
      <c r="B24963" s="6"/>
      <c r="H24963" s="13"/>
    </row>
    <row r="24964">
      <c r="A24964" s="6"/>
      <c r="B24964" s="6"/>
      <c r="H24964" s="13"/>
    </row>
    <row r="24965">
      <c r="A24965" s="6"/>
      <c r="B24965" s="6"/>
      <c r="H24965" s="13"/>
    </row>
    <row r="24966">
      <c r="A24966" s="6"/>
      <c r="B24966" s="6"/>
      <c r="H24966" s="13"/>
    </row>
    <row r="24967">
      <c r="A24967" s="6"/>
      <c r="B24967" s="6"/>
      <c r="H24967" s="13"/>
    </row>
    <row r="24968">
      <c r="A24968" s="6"/>
      <c r="B24968" s="6"/>
      <c r="H24968" s="13"/>
    </row>
    <row r="24969">
      <c r="A24969" s="6"/>
      <c r="B24969" s="6"/>
      <c r="H24969" s="13"/>
    </row>
    <row r="24970">
      <c r="A24970" s="6"/>
      <c r="B24970" s="6"/>
      <c r="H24970" s="13"/>
    </row>
    <row r="24971">
      <c r="A24971" s="6"/>
      <c r="B24971" s="6"/>
      <c r="H24971" s="13"/>
    </row>
    <row r="24972">
      <c r="A24972" s="6"/>
      <c r="B24972" s="6"/>
      <c r="H24972" s="13"/>
    </row>
    <row r="24973">
      <c r="A24973" s="6"/>
      <c r="B24973" s="6"/>
      <c r="H24973" s="13"/>
    </row>
    <row r="24974">
      <c r="A24974" s="6"/>
      <c r="B24974" s="6"/>
      <c r="H24974" s="13"/>
    </row>
    <row r="24975">
      <c r="A24975" s="6"/>
      <c r="B24975" s="6"/>
      <c r="H24975" s="13"/>
    </row>
    <row r="24976">
      <c r="A24976" s="6"/>
      <c r="B24976" s="6"/>
      <c r="H24976" s="13"/>
    </row>
    <row r="24977">
      <c r="A24977" s="6"/>
      <c r="B24977" s="6"/>
      <c r="H24977" s="13"/>
    </row>
    <row r="24978">
      <c r="A24978" s="6"/>
      <c r="B24978" s="6"/>
      <c r="H24978" s="13"/>
    </row>
    <row r="24979">
      <c r="A24979" s="6"/>
      <c r="B24979" s="6"/>
      <c r="H24979" s="13"/>
    </row>
    <row r="24980">
      <c r="A24980" s="6"/>
      <c r="B24980" s="6"/>
      <c r="H24980" s="13"/>
    </row>
    <row r="24981">
      <c r="A24981" s="6"/>
      <c r="B24981" s="6"/>
      <c r="H24981" s="13"/>
    </row>
    <row r="24982">
      <c r="A24982" s="6"/>
      <c r="B24982" s="6"/>
      <c r="H24982" s="13"/>
    </row>
    <row r="24983">
      <c r="A24983" s="6"/>
      <c r="B24983" s="6"/>
      <c r="H24983" s="13"/>
    </row>
    <row r="24984">
      <c r="A24984" s="6"/>
      <c r="B24984" s="6"/>
      <c r="H24984" s="13"/>
    </row>
    <row r="24985">
      <c r="A24985" s="6"/>
      <c r="B24985" s="6"/>
      <c r="H24985" s="13"/>
    </row>
    <row r="24986">
      <c r="A24986" s="6"/>
      <c r="B24986" s="6"/>
      <c r="H24986" s="13"/>
    </row>
    <row r="24987">
      <c r="A24987" s="6"/>
      <c r="B24987" s="6"/>
      <c r="H24987" s="13"/>
    </row>
    <row r="24988">
      <c r="A24988" s="6"/>
      <c r="B24988" s="6"/>
      <c r="H24988" s="13"/>
    </row>
    <row r="24989">
      <c r="A24989" s="6"/>
      <c r="B24989" s="6"/>
      <c r="H24989" s="13"/>
    </row>
    <row r="24990">
      <c r="A24990" s="6"/>
      <c r="B24990" s="6"/>
      <c r="H24990" s="13"/>
    </row>
    <row r="24991">
      <c r="A24991" s="6"/>
      <c r="B24991" s="6"/>
      <c r="H24991" s="13"/>
    </row>
    <row r="24992">
      <c r="A24992" s="6"/>
      <c r="B24992" s="6"/>
      <c r="H24992" s="13"/>
    </row>
    <row r="24993">
      <c r="A24993" s="6"/>
      <c r="B24993" s="6"/>
      <c r="H24993" s="13"/>
    </row>
    <row r="24994">
      <c r="A24994" s="6"/>
      <c r="B24994" s="6"/>
      <c r="H24994" s="13"/>
    </row>
    <row r="24995">
      <c r="A24995" s="6"/>
      <c r="B24995" s="6"/>
      <c r="H24995" s="13"/>
    </row>
    <row r="24996">
      <c r="A24996" s="6"/>
      <c r="B24996" s="6"/>
      <c r="H24996" s="13"/>
    </row>
    <row r="24997">
      <c r="A24997" s="6"/>
      <c r="B24997" s="6"/>
      <c r="H24997" s="13"/>
    </row>
    <row r="24998">
      <c r="A24998" s="6"/>
      <c r="B24998" s="6"/>
      <c r="H24998" s="13"/>
    </row>
    <row r="24999">
      <c r="A24999" s="6"/>
      <c r="B24999" s="6"/>
      <c r="H24999" s="13"/>
    </row>
    <row r="25000">
      <c r="A25000" s="6"/>
      <c r="B25000" s="6"/>
      <c r="H25000" s="13"/>
    </row>
    <row r="25001">
      <c r="A25001" s="6"/>
      <c r="B25001" s="6"/>
      <c r="H25001" s="13"/>
    </row>
    <row r="25002">
      <c r="A25002" s="6"/>
      <c r="B25002" s="6"/>
      <c r="H25002" s="13"/>
    </row>
    <row r="25003">
      <c r="A25003" s="6"/>
      <c r="B25003" s="6"/>
      <c r="H25003" s="13"/>
    </row>
    <row r="25004">
      <c r="A25004" s="6"/>
      <c r="B25004" s="6"/>
      <c r="H25004" s="13"/>
    </row>
    <row r="25005">
      <c r="A25005" s="6"/>
      <c r="B25005" s="6"/>
      <c r="H25005" s="13"/>
    </row>
    <row r="25006">
      <c r="A25006" s="6"/>
      <c r="B25006" s="6"/>
      <c r="H25006" s="13"/>
    </row>
    <row r="25007">
      <c r="A25007" s="6"/>
      <c r="B25007" s="6"/>
      <c r="H25007" s="13"/>
    </row>
    <row r="25008">
      <c r="A25008" s="6"/>
      <c r="B25008" s="6"/>
      <c r="H25008" s="13"/>
    </row>
    <row r="25009">
      <c r="A25009" s="6"/>
      <c r="B25009" s="6"/>
      <c r="H25009" s="13"/>
    </row>
    <row r="25010">
      <c r="A25010" s="6"/>
      <c r="B25010" s="6"/>
      <c r="H25010" s="13"/>
    </row>
    <row r="25011">
      <c r="A25011" s="6"/>
      <c r="B25011" s="6"/>
      <c r="H25011" s="13"/>
    </row>
    <row r="25012">
      <c r="A25012" s="6"/>
      <c r="B25012" s="6"/>
      <c r="H25012" s="13"/>
    </row>
    <row r="25013">
      <c r="A25013" s="6"/>
      <c r="B25013" s="6"/>
      <c r="H25013" s="13"/>
    </row>
    <row r="25014">
      <c r="A25014" s="6"/>
      <c r="B25014" s="6"/>
      <c r="H25014" s="13"/>
    </row>
    <row r="25015">
      <c r="A25015" s="6"/>
      <c r="B25015" s="6"/>
      <c r="H25015" s="13"/>
    </row>
    <row r="25016">
      <c r="A25016" s="6"/>
      <c r="B25016" s="6"/>
      <c r="H25016" s="13"/>
    </row>
    <row r="25017">
      <c r="A25017" s="6"/>
      <c r="B25017" s="6"/>
      <c r="H25017" s="13"/>
    </row>
    <row r="25018">
      <c r="A25018" s="6"/>
      <c r="B25018" s="6"/>
      <c r="H25018" s="13"/>
    </row>
    <row r="25019">
      <c r="A25019" s="6"/>
      <c r="B25019" s="6"/>
      <c r="H25019" s="13"/>
    </row>
    <row r="25020">
      <c r="A25020" s="6"/>
      <c r="B25020" s="6"/>
      <c r="H25020" s="13"/>
    </row>
    <row r="25021">
      <c r="A25021" s="6"/>
      <c r="B25021" s="6"/>
      <c r="H25021" s="13"/>
    </row>
    <row r="25022">
      <c r="A25022" s="6"/>
      <c r="B25022" s="6"/>
      <c r="H25022" s="13"/>
    </row>
    <row r="25023">
      <c r="A25023" s="6"/>
      <c r="B25023" s="6"/>
      <c r="H25023" s="13"/>
    </row>
    <row r="25024">
      <c r="A25024" s="6"/>
      <c r="B25024" s="6"/>
      <c r="H25024" s="13"/>
    </row>
    <row r="25025">
      <c r="A25025" s="6"/>
      <c r="B25025" s="6"/>
      <c r="H25025" s="13"/>
    </row>
    <row r="25026">
      <c r="A25026" s="6"/>
      <c r="B25026" s="6"/>
      <c r="H25026" s="13"/>
    </row>
    <row r="25027">
      <c r="A25027" s="6"/>
      <c r="B25027" s="6"/>
      <c r="H25027" s="13"/>
    </row>
    <row r="25028">
      <c r="A25028" s="6"/>
      <c r="B25028" s="6"/>
      <c r="H25028" s="13"/>
    </row>
    <row r="25029">
      <c r="A25029" s="6"/>
      <c r="B25029" s="6"/>
      <c r="H25029" s="13"/>
    </row>
    <row r="25030">
      <c r="A25030" s="6"/>
      <c r="B25030" s="6"/>
      <c r="H25030" s="13"/>
    </row>
    <row r="25031">
      <c r="A25031" s="6"/>
      <c r="B25031" s="6"/>
      <c r="H25031" s="13"/>
    </row>
    <row r="25032">
      <c r="A25032" s="6"/>
      <c r="B25032" s="6"/>
      <c r="H25032" s="13"/>
    </row>
    <row r="25033">
      <c r="A25033" s="6"/>
      <c r="B25033" s="6"/>
      <c r="H25033" s="13"/>
    </row>
    <row r="25034">
      <c r="A25034" s="6"/>
      <c r="B25034" s="6"/>
      <c r="H25034" s="13"/>
    </row>
    <row r="25035">
      <c r="A25035" s="6"/>
      <c r="B25035" s="6"/>
      <c r="H25035" s="13"/>
    </row>
    <row r="25036">
      <c r="A25036" s="6"/>
      <c r="B25036" s="6"/>
      <c r="H25036" s="13"/>
    </row>
    <row r="25037">
      <c r="A25037" s="6"/>
      <c r="B25037" s="6"/>
      <c r="H25037" s="13"/>
    </row>
    <row r="25038">
      <c r="A25038" s="6"/>
      <c r="B25038" s="6"/>
      <c r="H25038" s="13"/>
    </row>
    <row r="25039">
      <c r="A25039" s="6"/>
      <c r="B25039" s="6"/>
      <c r="H25039" s="13"/>
    </row>
    <row r="25040">
      <c r="A25040" s="6"/>
      <c r="B25040" s="6"/>
      <c r="H25040" s="13"/>
    </row>
    <row r="25041">
      <c r="A25041" s="6"/>
      <c r="B25041" s="6"/>
      <c r="H25041" s="13"/>
    </row>
    <row r="25042">
      <c r="A25042" s="6"/>
      <c r="B25042" s="6"/>
      <c r="H25042" s="13"/>
    </row>
    <row r="25043">
      <c r="A25043" s="6"/>
      <c r="B25043" s="6"/>
      <c r="H25043" s="13"/>
    </row>
    <row r="25044">
      <c r="A25044" s="6"/>
      <c r="B25044" s="6"/>
      <c r="H25044" s="13"/>
    </row>
    <row r="25045">
      <c r="A25045" s="6"/>
      <c r="B25045" s="6"/>
      <c r="H25045" s="13"/>
    </row>
    <row r="25046">
      <c r="A25046" s="6"/>
      <c r="B25046" s="6"/>
      <c r="H25046" s="13"/>
    </row>
    <row r="25047">
      <c r="A25047" s="6"/>
      <c r="B25047" s="6"/>
      <c r="H25047" s="13"/>
    </row>
    <row r="25048">
      <c r="A25048" s="6"/>
      <c r="B25048" s="6"/>
      <c r="H25048" s="13"/>
    </row>
    <row r="25049">
      <c r="A25049" s="6"/>
      <c r="B25049" s="6"/>
      <c r="H25049" s="13"/>
    </row>
    <row r="25050">
      <c r="A25050" s="6"/>
      <c r="B25050" s="6"/>
      <c r="H25050" s="13"/>
    </row>
    <row r="25051">
      <c r="A25051" s="6"/>
      <c r="B25051" s="6"/>
      <c r="H25051" s="13"/>
    </row>
    <row r="25052">
      <c r="A25052" s="6"/>
      <c r="B25052" s="6"/>
      <c r="H25052" s="13"/>
    </row>
    <row r="25053">
      <c r="A25053" s="6"/>
      <c r="B25053" s="6"/>
      <c r="H25053" s="13"/>
    </row>
    <row r="25054">
      <c r="A25054" s="6"/>
      <c r="B25054" s="6"/>
      <c r="H25054" s="13"/>
    </row>
    <row r="25055">
      <c r="A25055" s="6"/>
      <c r="B25055" s="6"/>
      <c r="H25055" s="13"/>
    </row>
    <row r="25056">
      <c r="A25056" s="6"/>
      <c r="B25056" s="6"/>
      <c r="H25056" s="13"/>
    </row>
    <row r="25057">
      <c r="A25057" s="6"/>
      <c r="B25057" s="6"/>
      <c r="H25057" s="13"/>
    </row>
    <row r="25058">
      <c r="A25058" s="6"/>
      <c r="B25058" s="6"/>
      <c r="H25058" s="13"/>
    </row>
    <row r="25059">
      <c r="A25059" s="6"/>
      <c r="B25059" s="6"/>
      <c r="H25059" s="13"/>
    </row>
    <row r="25060">
      <c r="A25060" s="6"/>
      <c r="B25060" s="6"/>
      <c r="H25060" s="13"/>
    </row>
    <row r="25061">
      <c r="A25061" s="6"/>
      <c r="B25061" s="6"/>
      <c r="H25061" s="13"/>
    </row>
    <row r="25062">
      <c r="A25062" s="6"/>
      <c r="B25062" s="6"/>
      <c r="H25062" s="13"/>
    </row>
    <row r="25063">
      <c r="A25063" s="6"/>
      <c r="B25063" s="6"/>
      <c r="H25063" s="13"/>
    </row>
    <row r="25064">
      <c r="A25064" s="6"/>
      <c r="B25064" s="6"/>
      <c r="H25064" s="13"/>
    </row>
    <row r="25065">
      <c r="A25065" s="6"/>
      <c r="B25065" s="6"/>
      <c r="H25065" s="13"/>
    </row>
    <row r="25066">
      <c r="A25066" s="6"/>
      <c r="B25066" s="6"/>
      <c r="H25066" s="13"/>
    </row>
    <row r="25067">
      <c r="A25067" s="6"/>
      <c r="B25067" s="6"/>
      <c r="H25067" s="13"/>
    </row>
    <row r="25068">
      <c r="A25068" s="6"/>
      <c r="B25068" s="6"/>
      <c r="H25068" s="13"/>
    </row>
    <row r="25069">
      <c r="A25069" s="6"/>
      <c r="B25069" s="6"/>
      <c r="H25069" s="13"/>
    </row>
    <row r="25070">
      <c r="A25070" s="6"/>
      <c r="B25070" s="6"/>
      <c r="H25070" s="13"/>
    </row>
    <row r="25071">
      <c r="A25071" s="6"/>
      <c r="B25071" s="6"/>
      <c r="H25071" s="13"/>
    </row>
    <row r="25072">
      <c r="A25072" s="6"/>
      <c r="B25072" s="6"/>
      <c r="H25072" s="13"/>
    </row>
    <row r="25073">
      <c r="A25073" s="6"/>
      <c r="B25073" s="6"/>
      <c r="H25073" s="13"/>
    </row>
    <row r="25074">
      <c r="A25074" s="6"/>
      <c r="B25074" s="6"/>
      <c r="H25074" s="13"/>
    </row>
    <row r="25075">
      <c r="A25075" s="6"/>
      <c r="B25075" s="6"/>
      <c r="H25075" s="13"/>
    </row>
    <row r="25076">
      <c r="A25076" s="6"/>
      <c r="B25076" s="6"/>
      <c r="H25076" s="13"/>
    </row>
    <row r="25077">
      <c r="A25077" s="6"/>
      <c r="B25077" s="6"/>
      <c r="H25077" s="13"/>
    </row>
    <row r="25078">
      <c r="A25078" s="6"/>
      <c r="B25078" s="6"/>
      <c r="H25078" s="13"/>
    </row>
    <row r="25079">
      <c r="A25079" s="6"/>
      <c r="B25079" s="6"/>
      <c r="H25079" s="13"/>
    </row>
    <row r="25080">
      <c r="A25080" s="6"/>
      <c r="B25080" s="6"/>
      <c r="H25080" s="13"/>
    </row>
    <row r="25081">
      <c r="A25081" s="6"/>
      <c r="B25081" s="6"/>
      <c r="H25081" s="13"/>
    </row>
    <row r="25082">
      <c r="A25082" s="6"/>
      <c r="B25082" s="6"/>
      <c r="H25082" s="13"/>
    </row>
    <row r="25083">
      <c r="A25083" s="6"/>
      <c r="B25083" s="6"/>
      <c r="H25083" s="13"/>
    </row>
    <row r="25084">
      <c r="A25084" s="6"/>
      <c r="B25084" s="6"/>
      <c r="H25084" s="13"/>
    </row>
    <row r="25085">
      <c r="A25085" s="6"/>
      <c r="B25085" s="6"/>
      <c r="H25085" s="13"/>
    </row>
    <row r="25086">
      <c r="A25086" s="6"/>
      <c r="B25086" s="6"/>
      <c r="H25086" s="13"/>
    </row>
    <row r="25087">
      <c r="A25087" s="6"/>
      <c r="B25087" s="6"/>
      <c r="H25087" s="13"/>
    </row>
    <row r="25088">
      <c r="A25088" s="6"/>
      <c r="B25088" s="6"/>
      <c r="H25088" s="13"/>
    </row>
    <row r="25089">
      <c r="A25089" s="6"/>
      <c r="B25089" s="6"/>
      <c r="H25089" s="13"/>
    </row>
    <row r="25090">
      <c r="A25090" s="6"/>
      <c r="B25090" s="6"/>
      <c r="H25090" s="13"/>
    </row>
    <row r="25091">
      <c r="A25091" s="6"/>
      <c r="B25091" s="6"/>
      <c r="H25091" s="13"/>
    </row>
    <row r="25092">
      <c r="A25092" s="6"/>
      <c r="B25092" s="6"/>
      <c r="H25092" s="13"/>
    </row>
    <row r="25093">
      <c r="A25093" s="6"/>
      <c r="B25093" s="6"/>
      <c r="H25093" s="13"/>
    </row>
    <row r="25094">
      <c r="A25094" s="6"/>
      <c r="B25094" s="6"/>
      <c r="H25094" s="13"/>
    </row>
    <row r="25095">
      <c r="A25095" s="6"/>
      <c r="B25095" s="6"/>
      <c r="H25095" s="13"/>
    </row>
    <row r="25096">
      <c r="A25096" s="6"/>
      <c r="B25096" s="6"/>
      <c r="H25096" s="13"/>
    </row>
    <row r="25097">
      <c r="A25097" s="6"/>
      <c r="B25097" s="6"/>
      <c r="H25097" s="13"/>
    </row>
    <row r="25098">
      <c r="A25098" s="6"/>
      <c r="B25098" s="6"/>
      <c r="H25098" s="13"/>
    </row>
    <row r="25099">
      <c r="A25099" s="6"/>
      <c r="B25099" s="6"/>
      <c r="H25099" s="13"/>
    </row>
    <row r="25100">
      <c r="A25100" s="6"/>
      <c r="B25100" s="6"/>
      <c r="H25100" s="13"/>
    </row>
    <row r="25101">
      <c r="A25101" s="6"/>
      <c r="B25101" s="6"/>
      <c r="H25101" s="13"/>
    </row>
    <row r="25102">
      <c r="A25102" s="6"/>
      <c r="B25102" s="6"/>
      <c r="H25102" s="13"/>
    </row>
    <row r="25103">
      <c r="A25103" s="6"/>
      <c r="B25103" s="6"/>
      <c r="H25103" s="13"/>
    </row>
    <row r="25104">
      <c r="A25104" s="6"/>
      <c r="B25104" s="6"/>
      <c r="H25104" s="13"/>
    </row>
    <row r="25105">
      <c r="A25105" s="6"/>
      <c r="B25105" s="6"/>
      <c r="H25105" s="13"/>
    </row>
    <row r="25106">
      <c r="A25106" s="6"/>
      <c r="B25106" s="6"/>
      <c r="H25106" s="13"/>
    </row>
    <row r="25107">
      <c r="A25107" s="6"/>
      <c r="B25107" s="6"/>
      <c r="H25107" s="13"/>
    </row>
    <row r="25108">
      <c r="A25108" s="6"/>
      <c r="B25108" s="6"/>
      <c r="H25108" s="13"/>
    </row>
    <row r="25109">
      <c r="A25109" s="6"/>
      <c r="B25109" s="6"/>
      <c r="H25109" s="13"/>
    </row>
    <row r="25110">
      <c r="A25110" s="6"/>
      <c r="B25110" s="6"/>
      <c r="H25110" s="13"/>
    </row>
    <row r="25111">
      <c r="A25111" s="6"/>
      <c r="B25111" s="6"/>
      <c r="H25111" s="13"/>
    </row>
    <row r="25112">
      <c r="A25112" s="6"/>
      <c r="B25112" s="6"/>
      <c r="H25112" s="13"/>
    </row>
    <row r="25113">
      <c r="A25113" s="6"/>
      <c r="B25113" s="6"/>
      <c r="H25113" s="13"/>
    </row>
    <row r="25114">
      <c r="A25114" s="6"/>
      <c r="B25114" s="6"/>
      <c r="H25114" s="13"/>
    </row>
    <row r="25115">
      <c r="A25115" s="6"/>
      <c r="B25115" s="6"/>
      <c r="H25115" s="13"/>
    </row>
    <row r="25116">
      <c r="A25116" s="6"/>
      <c r="B25116" s="6"/>
      <c r="H25116" s="13"/>
    </row>
    <row r="25117">
      <c r="A25117" s="6"/>
      <c r="B25117" s="6"/>
      <c r="H25117" s="13"/>
    </row>
    <row r="25118">
      <c r="A25118" s="6"/>
      <c r="B25118" s="6"/>
      <c r="H25118" s="13"/>
    </row>
    <row r="25119">
      <c r="A25119" s="6"/>
      <c r="B25119" s="6"/>
      <c r="H25119" s="13"/>
    </row>
    <row r="25120">
      <c r="A25120" s="6"/>
      <c r="B25120" s="6"/>
      <c r="H25120" s="13"/>
    </row>
    <row r="25121">
      <c r="A25121" s="6"/>
      <c r="B25121" s="6"/>
      <c r="H25121" s="13"/>
    </row>
    <row r="25122">
      <c r="A25122" s="6"/>
      <c r="B25122" s="6"/>
      <c r="H25122" s="13"/>
    </row>
    <row r="25123">
      <c r="A25123" s="6"/>
      <c r="B25123" s="6"/>
      <c r="H25123" s="13"/>
    </row>
    <row r="25124">
      <c r="A25124" s="6"/>
      <c r="B25124" s="6"/>
      <c r="H25124" s="13"/>
    </row>
    <row r="25125">
      <c r="A25125" s="6"/>
      <c r="B25125" s="6"/>
      <c r="H25125" s="13"/>
    </row>
    <row r="25126">
      <c r="A25126" s="6"/>
      <c r="B25126" s="6"/>
      <c r="H25126" s="13"/>
    </row>
    <row r="25127">
      <c r="A25127" s="6"/>
      <c r="B25127" s="6"/>
      <c r="H25127" s="13"/>
    </row>
    <row r="25128">
      <c r="A25128" s="6"/>
      <c r="B25128" s="6"/>
      <c r="H25128" s="13"/>
    </row>
    <row r="25129">
      <c r="A25129" s="6"/>
      <c r="B25129" s="6"/>
      <c r="H25129" s="13"/>
    </row>
    <row r="25130">
      <c r="A25130" s="6"/>
      <c r="B25130" s="6"/>
      <c r="H25130" s="13"/>
    </row>
    <row r="25131">
      <c r="A25131" s="6"/>
      <c r="B25131" s="6"/>
      <c r="H25131" s="13"/>
    </row>
    <row r="25132">
      <c r="A25132" s="6"/>
      <c r="B25132" s="6"/>
      <c r="H25132" s="13"/>
    </row>
    <row r="25133">
      <c r="A25133" s="6"/>
      <c r="B25133" s="6"/>
      <c r="H25133" s="13"/>
    </row>
    <row r="25134">
      <c r="A25134" s="6"/>
      <c r="B25134" s="6"/>
      <c r="H25134" s="13"/>
    </row>
    <row r="25135">
      <c r="A25135" s="6"/>
      <c r="B25135" s="6"/>
      <c r="H25135" s="13"/>
    </row>
    <row r="25136">
      <c r="A25136" s="6"/>
      <c r="B25136" s="6"/>
      <c r="H25136" s="13"/>
    </row>
    <row r="25137">
      <c r="A25137" s="6"/>
      <c r="B25137" s="6"/>
      <c r="H25137" s="13"/>
    </row>
    <row r="25138">
      <c r="A25138" s="6"/>
      <c r="B25138" s="6"/>
      <c r="H25138" s="13"/>
    </row>
    <row r="25139">
      <c r="A25139" s="6"/>
      <c r="B25139" s="6"/>
      <c r="H25139" s="13"/>
    </row>
    <row r="25140">
      <c r="A25140" s="6"/>
      <c r="B25140" s="6"/>
      <c r="H25140" s="13"/>
    </row>
    <row r="25141">
      <c r="A25141" s="6"/>
      <c r="B25141" s="6"/>
      <c r="H25141" s="13"/>
    </row>
    <row r="25142">
      <c r="A25142" s="6"/>
      <c r="B25142" s="6"/>
      <c r="H25142" s="13"/>
    </row>
    <row r="25143">
      <c r="A25143" s="6"/>
      <c r="B25143" s="6"/>
      <c r="H25143" s="13"/>
    </row>
    <row r="25144">
      <c r="A25144" s="6"/>
      <c r="B25144" s="6"/>
      <c r="H25144" s="13"/>
    </row>
    <row r="25145">
      <c r="A25145" s="6"/>
      <c r="B25145" s="6"/>
      <c r="H25145" s="13"/>
    </row>
    <row r="25146">
      <c r="A25146" s="6"/>
      <c r="B25146" s="6"/>
      <c r="H25146" s="13"/>
    </row>
    <row r="25147">
      <c r="A25147" s="6"/>
      <c r="B25147" s="6"/>
      <c r="H25147" s="13"/>
    </row>
    <row r="25148">
      <c r="A25148" s="6"/>
      <c r="B25148" s="6"/>
      <c r="H25148" s="13"/>
    </row>
    <row r="25149">
      <c r="A25149" s="6"/>
      <c r="B25149" s="6"/>
      <c r="H25149" s="13"/>
    </row>
    <row r="25150">
      <c r="A25150" s="6"/>
      <c r="B25150" s="6"/>
      <c r="H25150" s="13"/>
    </row>
    <row r="25151">
      <c r="A25151" s="6"/>
      <c r="B25151" s="6"/>
      <c r="H25151" s="13"/>
    </row>
    <row r="25152">
      <c r="A25152" s="6"/>
      <c r="B25152" s="6"/>
      <c r="H25152" s="13"/>
    </row>
    <row r="25153">
      <c r="A25153" s="6"/>
      <c r="B25153" s="6"/>
      <c r="H25153" s="13"/>
    </row>
    <row r="25154">
      <c r="A25154" s="6"/>
      <c r="B25154" s="6"/>
      <c r="H25154" s="13"/>
    </row>
    <row r="25155">
      <c r="A25155" s="6"/>
      <c r="B25155" s="6"/>
      <c r="H25155" s="13"/>
    </row>
    <row r="25156">
      <c r="A25156" s="6"/>
      <c r="B25156" s="6"/>
      <c r="H25156" s="13"/>
    </row>
    <row r="25157">
      <c r="A25157" s="6"/>
      <c r="B25157" s="6"/>
      <c r="H25157" s="13"/>
    </row>
    <row r="25158">
      <c r="A25158" s="6"/>
      <c r="B25158" s="6"/>
      <c r="H25158" s="13"/>
    </row>
    <row r="25159">
      <c r="A25159" s="6"/>
      <c r="B25159" s="6"/>
      <c r="H25159" s="13"/>
    </row>
    <row r="25160">
      <c r="A25160" s="6"/>
      <c r="B25160" s="6"/>
      <c r="H25160" s="13"/>
    </row>
    <row r="25161">
      <c r="A25161" s="6"/>
      <c r="B25161" s="6"/>
      <c r="H25161" s="13"/>
    </row>
    <row r="25162">
      <c r="A25162" s="6"/>
      <c r="B25162" s="6"/>
      <c r="H25162" s="13"/>
    </row>
    <row r="25163">
      <c r="A25163" s="6"/>
      <c r="B25163" s="6"/>
      <c r="H25163" s="13"/>
    </row>
    <row r="25164">
      <c r="A25164" s="6"/>
      <c r="B25164" s="6"/>
      <c r="H25164" s="13"/>
    </row>
    <row r="25165">
      <c r="A25165" s="6"/>
      <c r="B25165" s="6"/>
      <c r="H25165" s="13"/>
    </row>
    <row r="25166">
      <c r="A25166" s="6"/>
      <c r="B25166" s="6"/>
      <c r="H25166" s="13"/>
    </row>
    <row r="25167">
      <c r="A25167" s="6"/>
      <c r="B25167" s="6"/>
      <c r="H25167" s="13"/>
    </row>
    <row r="25168">
      <c r="A25168" s="6"/>
      <c r="B25168" s="6"/>
      <c r="H25168" s="13"/>
    </row>
    <row r="25169">
      <c r="A25169" s="6"/>
      <c r="B25169" s="6"/>
      <c r="H25169" s="13"/>
    </row>
    <row r="25170">
      <c r="A25170" s="6"/>
      <c r="B25170" s="6"/>
      <c r="H25170" s="13"/>
    </row>
    <row r="25171">
      <c r="A25171" s="6"/>
      <c r="B25171" s="6"/>
      <c r="H25171" s="13"/>
    </row>
    <row r="25172">
      <c r="A25172" s="6"/>
      <c r="B25172" s="6"/>
      <c r="H25172" s="13"/>
    </row>
    <row r="25173">
      <c r="A25173" s="6"/>
      <c r="B25173" s="6"/>
      <c r="H25173" s="13"/>
    </row>
    <row r="25174">
      <c r="A25174" s="6"/>
      <c r="B25174" s="6"/>
      <c r="H25174" s="13"/>
    </row>
    <row r="25175">
      <c r="A25175" s="6"/>
      <c r="B25175" s="6"/>
      <c r="H25175" s="13"/>
    </row>
    <row r="25176">
      <c r="A25176" s="6"/>
      <c r="B25176" s="6"/>
      <c r="H25176" s="13"/>
    </row>
    <row r="25177">
      <c r="A25177" s="6"/>
      <c r="B25177" s="6"/>
      <c r="H25177" s="13"/>
    </row>
    <row r="25178">
      <c r="A25178" s="6"/>
      <c r="B25178" s="6"/>
      <c r="H25178" s="13"/>
    </row>
    <row r="25179">
      <c r="A25179" s="6"/>
      <c r="B25179" s="6"/>
      <c r="H25179" s="13"/>
    </row>
    <row r="25180">
      <c r="A25180" s="6"/>
      <c r="B25180" s="6"/>
      <c r="H25180" s="13"/>
    </row>
    <row r="25181">
      <c r="A25181" s="6"/>
      <c r="B25181" s="6"/>
      <c r="H25181" s="13"/>
    </row>
    <row r="25182">
      <c r="A25182" s="6"/>
      <c r="B25182" s="6"/>
      <c r="H25182" s="13"/>
    </row>
    <row r="25183">
      <c r="A25183" s="6"/>
      <c r="B25183" s="6"/>
      <c r="H25183" s="13"/>
    </row>
    <row r="25184">
      <c r="A25184" s="6"/>
      <c r="B25184" s="6"/>
      <c r="H25184" s="13"/>
    </row>
    <row r="25185">
      <c r="A25185" s="6"/>
      <c r="B25185" s="6"/>
      <c r="H25185" s="13"/>
    </row>
    <row r="25186">
      <c r="A25186" s="6"/>
      <c r="B25186" s="6"/>
      <c r="H25186" s="13"/>
    </row>
    <row r="25187">
      <c r="A25187" s="6"/>
      <c r="B25187" s="6"/>
      <c r="H25187" s="13"/>
    </row>
    <row r="25188">
      <c r="A25188" s="6"/>
      <c r="B25188" s="6"/>
      <c r="H25188" s="13"/>
    </row>
    <row r="25189">
      <c r="A25189" s="6"/>
      <c r="B25189" s="6"/>
      <c r="H25189" s="13"/>
    </row>
    <row r="25190">
      <c r="A25190" s="6"/>
      <c r="B25190" s="6"/>
      <c r="H25190" s="13"/>
    </row>
    <row r="25191">
      <c r="A25191" s="6"/>
      <c r="B25191" s="6"/>
      <c r="H25191" s="13"/>
    </row>
    <row r="25192">
      <c r="A25192" s="6"/>
      <c r="B25192" s="6"/>
      <c r="H25192" s="13"/>
    </row>
    <row r="25193">
      <c r="A25193" s="6"/>
      <c r="B25193" s="6"/>
      <c r="H25193" s="13"/>
    </row>
    <row r="25194">
      <c r="A25194" s="6"/>
      <c r="B25194" s="6"/>
      <c r="H25194" s="13"/>
    </row>
    <row r="25195">
      <c r="A25195" s="6"/>
      <c r="B25195" s="6"/>
      <c r="H25195" s="13"/>
    </row>
    <row r="25196">
      <c r="A25196" s="6"/>
      <c r="B25196" s="6"/>
      <c r="H25196" s="13"/>
    </row>
    <row r="25197">
      <c r="A25197" s="6"/>
      <c r="B25197" s="6"/>
      <c r="H25197" s="13"/>
    </row>
    <row r="25198">
      <c r="A25198" s="6"/>
      <c r="B25198" s="6"/>
      <c r="H25198" s="13"/>
    </row>
    <row r="25199">
      <c r="A25199" s="6"/>
      <c r="B25199" s="6"/>
      <c r="H25199" s="13"/>
    </row>
    <row r="25200">
      <c r="A25200" s="6"/>
      <c r="B25200" s="6"/>
      <c r="H25200" s="13"/>
    </row>
    <row r="25201">
      <c r="A25201" s="6"/>
      <c r="B25201" s="6"/>
      <c r="H25201" s="13"/>
    </row>
    <row r="25202">
      <c r="A25202" s="6"/>
      <c r="B25202" s="6"/>
      <c r="H25202" s="13"/>
    </row>
    <row r="25203">
      <c r="A25203" s="6"/>
      <c r="B25203" s="6"/>
      <c r="H25203" s="13"/>
    </row>
    <row r="25204">
      <c r="A25204" s="6"/>
      <c r="B25204" s="6"/>
      <c r="H25204" s="13"/>
    </row>
    <row r="25205">
      <c r="A25205" s="6"/>
      <c r="B25205" s="6"/>
      <c r="H25205" s="13"/>
    </row>
    <row r="25206">
      <c r="A25206" s="6"/>
      <c r="B25206" s="6"/>
      <c r="H25206" s="13"/>
    </row>
    <row r="25207">
      <c r="A25207" s="6"/>
      <c r="B25207" s="6"/>
      <c r="H25207" s="13"/>
    </row>
    <row r="25208">
      <c r="A25208" s="6"/>
      <c r="B25208" s="6"/>
      <c r="H25208" s="13"/>
    </row>
    <row r="25209">
      <c r="A25209" s="6"/>
      <c r="B25209" s="6"/>
      <c r="H25209" s="13"/>
    </row>
    <row r="25210">
      <c r="A25210" s="6"/>
      <c r="B25210" s="6"/>
      <c r="H25210" s="13"/>
    </row>
    <row r="25211">
      <c r="A25211" s="6"/>
      <c r="B25211" s="6"/>
      <c r="H25211" s="13"/>
    </row>
    <row r="25212">
      <c r="A25212" s="6"/>
      <c r="B25212" s="6"/>
      <c r="H25212" s="13"/>
    </row>
    <row r="25213">
      <c r="A25213" s="6"/>
      <c r="B25213" s="6"/>
      <c r="H25213" s="13"/>
    </row>
    <row r="25214">
      <c r="A25214" s="6"/>
      <c r="B25214" s="6"/>
      <c r="H25214" s="13"/>
    </row>
    <row r="25215">
      <c r="A25215" s="6"/>
      <c r="B25215" s="6"/>
      <c r="H25215" s="13"/>
    </row>
    <row r="25216">
      <c r="A25216" s="6"/>
      <c r="B25216" s="6"/>
      <c r="H25216" s="13"/>
    </row>
    <row r="25217">
      <c r="A25217" s="6"/>
      <c r="B25217" s="6"/>
      <c r="H25217" s="13"/>
    </row>
    <row r="25218">
      <c r="A25218" s="6"/>
      <c r="B25218" s="6"/>
      <c r="H25218" s="13"/>
    </row>
    <row r="25219">
      <c r="A25219" s="6"/>
      <c r="B25219" s="6"/>
      <c r="H25219" s="13"/>
    </row>
    <row r="25220">
      <c r="A25220" s="6"/>
      <c r="B25220" s="6"/>
      <c r="H25220" s="13"/>
    </row>
    <row r="25221">
      <c r="A25221" s="6"/>
      <c r="B25221" s="6"/>
      <c r="H25221" s="13"/>
    </row>
    <row r="25222">
      <c r="A25222" s="6"/>
      <c r="B25222" s="6"/>
      <c r="H25222" s="13"/>
    </row>
    <row r="25223">
      <c r="A25223" s="6"/>
      <c r="B25223" s="6"/>
      <c r="H25223" s="13"/>
    </row>
    <row r="25224">
      <c r="A25224" s="6"/>
      <c r="B25224" s="6"/>
      <c r="H25224" s="13"/>
    </row>
    <row r="25225">
      <c r="A25225" s="6"/>
      <c r="B25225" s="6"/>
      <c r="H25225" s="13"/>
    </row>
    <row r="25226">
      <c r="A25226" s="6"/>
      <c r="B25226" s="6"/>
      <c r="H25226" s="13"/>
    </row>
    <row r="25227">
      <c r="A25227" s="6"/>
      <c r="B25227" s="6"/>
      <c r="H25227" s="13"/>
    </row>
    <row r="25228">
      <c r="A25228" s="6"/>
      <c r="B25228" s="6"/>
      <c r="H25228" s="13"/>
    </row>
    <row r="25229">
      <c r="A25229" s="6"/>
      <c r="B25229" s="6"/>
      <c r="H25229" s="13"/>
    </row>
    <row r="25230">
      <c r="A25230" s="6"/>
      <c r="B25230" s="6"/>
      <c r="H25230" s="13"/>
    </row>
    <row r="25231">
      <c r="A25231" s="6"/>
      <c r="B25231" s="6"/>
      <c r="H25231" s="13"/>
    </row>
    <row r="25232">
      <c r="A25232" s="6"/>
      <c r="B25232" s="6"/>
      <c r="H25232" s="13"/>
    </row>
    <row r="25233">
      <c r="A25233" s="6"/>
      <c r="B25233" s="6"/>
      <c r="H25233" s="13"/>
    </row>
    <row r="25234">
      <c r="A25234" s="6"/>
      <c r="B25234" s="6"/>
      <c r="H25234" s="13"/>
    </row>
    <row r="25235">
      <c r="A25235" s="6"/>
      <c r="B25235" s="6"/>
      <c r="H25235" s="13"/>
    </row>
    <row r="25236">
      <c r="A25236" s="6"/>
      <c r="B25236" s="6"/>
      <c r="H25236" s="13"/>
    </row>
    <row r="25237">
      <c r="A25237" s="6"/>
      <c r="B25237" s="6"/>
      <c r="H25237" s="13"/>
    </row>
    <row r="25238">
      <c r="A25238" s="6"/>
      <c r="B25238" s="6"/>
      <c r="H25238" s="13"/>
    </row>
    <row r="25239">
      <c r="A25239" s="6"/>
      <c r="B25239" s="6"/>
      <c r="H25239" s="13"/>
    </row>
    <row r="25240">
      <c r="A25240" s="6"/>
      <c r="B25240" s="6"/>
      <c r="H25240" s="13"/>
    </row>
    <row r="25241">
      <c r="A25241" s="6"/>
      <c r="B25241" s="6"/>
      <c r="H25241" s="13"/>
    </row>
    <row r="25242">
      <c r="A25242" s="6"/>
      <c r="B25242" s="6"/>
      <c r="H25242" s="13"/>
    </row>
    <row r="25243">
      <c r="A25243" s="6"/>
      <c r="B25243" s="6"/>
      <c r="H25243" s="13"/>
    </row>
    <row r="25244">
      <c r="A25244" s="6"/>
      <c r="B25244" s="6"/>
      <c r="H25244" s="13"/>
    </row>
    <row r="25245">
      <c r="A25245" s="6"/>
      <c r="B25245" s="6"/>
      <c r="H25245" s="13"/>
    </row>
    <row r="25246">
      <c r="A25246" s="6"/>
      <c r="B25246" s="6"/>
      <c r="H25246" s="13"/>
    </row>
    <row r="25247">
      <c r="A25247" s="6"/>
      <c r="B25247" s="6"/>
      <c r="H25247" s="13"/>
    </row>
    <row r="25248">
      <c r="A25248" s="6"/>
      <c r="B25248" s="6"/>
      <c r="H25248" s="13"/>
    </row>
    <row r="25249">
      <c r="A25249" s="6"/>
      <c r="B25249" s="6"/>
      <c r="H25249" s="13"/>
    </row>
    <row r="25250">
      <c r="A25250" s="6"/>
      <c r="B25250" s="6"/>
      <c r="H25250" s="13"/>
    </row>
    <row r="25251">
      <c r="A25251" s="6"/>
      <c r="B25251" s="6"/>
      <c r="H25251" s="13"/>
    </row>
    <row r="25252">
      <c r="A25252" s="6"/>
      <c r="B25252" s="6"/>
      <c r="H25252" s="13"/>
    </row>
    <row r="25253">
      <c r="A25253" s="6"/>
      <c r="B25253" s="6"/>
      <c r="H25253" s="13"/>
    </row>
    <row r="25254">
      <c r="A25254" s="6"/>
      <c r="B25254" s="6"/>
      <c r="H25254" s="13"/>
    </row>
    <row r="25255">
      <c r="A25255" s="6"/>
      <c r="B25255" s="6"/>
      <c r="H25255" s="13"/>
    </row>
    <row r="25256">
      <c r="A25256" s="6"/>
      <c r="B25256" s="6"/>
      <c r="H25256" s="13"/>
    </row>
    <row r="25257">
      <c r="A25257" s="6"/>
      <c r="B25257" s="6"/>
      <c r="H25257" s="13"/>
    </row>
    <row r="25258">
      <c r="A25258" s="6"/>
      <c r="B25258" s="6"/>
      <c r="H25258" s="13"/>
    </row>
    <row r="25259">
      <c r="A25259" s="6"/>
      <c r="B25259" s="6"/>
      <c r="H25259" s="13"/>
    </row>
    <row r="25260">
      <c r="A25260" s="6"/>
      <c r="B25260" s="6"/>
      <c r="H25260" s="13"/>
    </row>
    <row r="25261">
      <c r="A25261" s="6"/>
      <c r="B25261" s="6"/>
      <c r="H25261" s="13"/>
    </row>
    <row r="25262">
      <c r="A25262" s="6"/>
      <c r="B25262" s="6"/>
      <c r="H25262" s="13"/>
    </row>
    <row r="25263">
      <c r="A25263" s="6"/>
      <c r="B25263" s="6"/>
      <c r="H25263" s="13"/>
    </row>
    <row r="25264">
      <c r="A25264" s="6"/>
      <c r="B25264" s="6"/>
      <c r="H25264" s="13"/>
    </row>
    <row r="25265">
      <c r="A25265" s="6"/>
      <c r="B25265" s="6"/>
      <c r="H25265" s="13"/>
    </row>
    <row r="25266">
      <c r="A25266" s="6"/>
      <c r="B25266" s="6"/>
      <c r="H25266" s="13"/>
    </row>
    <row r="25267">
      <c r="A25267" s="6"/>
      <c r="B25267" s="6"/>
      <c r="H25267" s="13"/>
    </row>
    <row r="25268">
      <c r="A25268" s="6"/>
      <c r="B25268" s="6"/>
      <c r="H25268" s="13"/>
    </row>
    <row r="25269">
      <c r="A25269" s="6"/>
      <c r="B25269" s="6"/>
      <c r="H25269" s="13"/>
    </row>
    <row r="25270">
      <c r="A25270" s="6"/>
      <c r="B25270" s="6"/>
      <c r="H25270" s="13"/>
    </row>
    <row r="25271">
      <c r="A25271" s="6"/>
      <c r="B25271" s="6"/>
      <c r="H25271" s="13"/>
    </row>
    <row r="25272">
      <c r="A25272" s="6"/>
      <c r="B25272" s="6"/>
      <c r="H25272" s="13"/>
    </row>
    <row r="25273">
      <c r="A25273" s="6"/>
      <c r="B25273" s="6"/>
      <c r="H25273" s="13"/>
    </row>
    <row r="25274">
      <c r="A25274" s="6"/>
      <c r="B25274" s="6"/>
      <c r="H25274" s="13"/>
    </row>
    <row r="25275">
      <c r="A25275" s="6"/>
      <c r="B25275" s="6"/>
      <c r="H25275" s="13"/>
    </row>
    <row r="25276">
      <c r="A25276" s="6"/>
      <c r="B25276" s="6"/>
      <c r="H25276" s="13"/>
    </row>
    <row r="25277">
      <c r="A25277" s="6"/>
      <c r="B25277" s="6"/>
      <c r="H25277" s="13"/>
    </row>
    <row r="25278">
      <c r="A25278" s="6"/>
      <c r="B25278" s="6"/>
      <c r="H25278" s="13"/>
    </row>
    <row r="25279">
      <c r="A25279" s="6"/>
      <c r="B25279" s="6"/>
      <c r="H25279" s="13"/>
    </row>
    <row r="25280">
      <c r="A25280" s="6"/>
      <c r="B25280" s="6"/>
      <c r="H25280" s="13"/>
    </row>
    <row r="25281">
      <c r="A25281" s="6"/>
      <c r="B25281" s="6"/>
      <c r="H25281" s="13"/>
    </row>
    <row r="25282">
      <c r="A25282" s="6"/>
      <c r="B25282" s="6"/>
      <c r="H25282" s="13"/>
    </row>
    <row r="25283">
      <c r="A25283" s="6"/>
      <c r="B25283" s="6"/>
      <c r="H25283" s="13"/>
    </row>
    <row r="25284">
      <c r="A25284" s="6"/>
      <c r="B25284" s="6"/>
      <c r="H25284" s="13"/>
    </row>
    <row r="25285">
      <c r="A25285" s="6"/>
      <c r="B25285" s="6"/>
      <c r="H25285" s="13"/>
    </row>
    <row r="25286">
      <c r="A25286" s="6"/>
      <c r="B25286" s="6"/>
      <c r="H25286" s="13"/>
    </row>
    <row r="25287">
      <c r="A25287" s="6"/>
      <c r="B25287" s="6"/>
      <c r="H25287" s="13"/>
    </row>
    <row r="25288">
      <c r="A25288" s="6"/>
      <c r="B25288" s="6"/>
      <c r="H25288" s="13"/>
    </row>
    <row r="25289">
      <c r="A25289" s="6"/>
      <c r="B25289" s="6"/>
      <c r="H25289" s="13"/>
    </row>
    <row r="25290">
      <c r="A25290" s="6"/>
      <c r="B25290" s="6"/>
      <c r="H25290" s="13"/>
    </row>
    <row r="25291">
      <c r="A25291" s="6"/>
      <c r="B25291" s="6"/>
      <c r="H25291" s="13"/>
    </row>
    <row r="25292">
      <c r="A25292" s="6"/>
      <c r="B25292" s="6"/>
      <c r="H25292" s="13"/>
    </row>
    <row r="25293">
      <c r="A25293" s="6"/>
      <c r="B25293" s="6"/>
      <c r="H25293" s="13"/>
    </row>
    <row r="25294">
      <c r="A25294" s="6"/>
      <c r="B25294" s="6"/>
      <c r="H25294" s="13"/>
    </row>
    <row r="25295">
      <c r="A25295" s="6"/>
      <c r="B25295" s="6"/>
      <c r="H25295" s="13"/>
    </row>
    <row r="25296">
      <c r="A25296" s="6"/>
      <c r="B25296" s="6"/>
      <c r="H25296" s="13"/>
    </row>
    <row r="25297">
      <c r="A25297" s="6"/>
      <c r="B25297" s="6"/>
      <c r="H25297" s="13"/>
    </row>
    <row r="25298">
      <c r="A25298" s="6"/>
      <c r="B25298" s="6"/>
      <c r="H25298" s="13"/>
    </row>
    <row r="25299">
      <c r="A25299" s="6"/>
      <c r="B25299" s="6"/>
      <c r="H25299" s="13"/>
    </row>
    <row r="25300">
      <c r="A25300" s="6"/>
      <c r="B25300" s="6"/>
      <c r="H25300" s="13"/>
    </row>
    <row r="25301">
      <c r="A25301" s="6"/>
      <c r="B25301" s="6"/>
      <c r="H25301" s="13"/>
    </row>
    <row r="25302">
      <c r="A25302" s="6"/>
      <c r="B25302" s="6"/>
      <c r="H25302" s="13"/>
    </row>
    <row r="25303">
      <c r="A25303" s="6"/>
      <c r="B25303" s="6"/>
      <c r="H25303" s="13"/>
    </row>
    <row r="25304">
      <c r="A25304" s="6"/>
      <c r="B25304" s="6"/>
      <c r="H25304" s="13"/>
    </row>
    <row r="25305">
      <c r="A25305" s="6"/>
      <c r="B25305" s="6"/>
      <c r="H25305" s="13"/>
    </row>
    <row r="25306">
      <c r="A25306" s="6"/>
      <c r="B25306" s="6"/>
      <c r="H25306" s="13"/>
    </row>
    <row r="25307">
      <c r="A25307" s="6"/>
      <c r="B25307" s="6"/>
      <c r="H25307" s="13"/>
    </row>
    <row r="25308">
      <c r="A25308" s="6"/>
      <c r="B25308" s="6"/>
      <c r="H25308" s="13"/>
    </row>
    <row r="25309">
      <c r="A25309" s="6"/>
      <c r="B25309" s="6"/>
      <c r="H25309" s="13"/>
    </row>
    <row r="25310">
      <c r="A25310" s="6"/>
      <c r="B25310" s="6"/>
      <c r="H25310" s="13"/>
    </row>
    <row r="25311">
      <c r="A25311" s="6"/>
      <c r="B25311" s="6"/>
      <c r="H25311" s="13"/>
    </row>
    <row r="25312">
      <c r="A25312" s="6"/>
      <c r="B25312" s="6"/>
      <c r="H25312" s="13"/>
    </row>
    <row r="25313">
      <c r="A25313" s="6"/>
      <c r="B25313" s="6"/>
      <c r="H25313" s="13"/>
    </row>
    <row r="25314">
      <c r="A25314" s="6"/>
      <c r="B25314" s="6"/>
      <c r="H25314" s="13"/>
    </row>
    <row r="25315">
      <c r="A25315" s="6"/>
      <c r="B25315" s="6"/>
      <c r="H25315" s="13"/>
    </row>
    <row r="25316">
      <c r="A25316" s="6"/>
      <c r="B25316" s="6"/>
      <c r="H25316" s="13"/>
    </row>
    <row r="25317">
      <c r="A25317" s="6"/>
      <c r="B25317" s="6"/>
      <c r="H25317" s="13"/>
    </row>
    <row r="25318">
      <c r="A25318" s="6"/>
      <c r="B25318" s="6"/>
      <c r="H25318" s="13"/>
    </row>
    <row r="25319">
      <c r="A25319" s="6"/>
      <c r="B25319" s="6"/>
      <c r="H25319" s="13"/>
    </row>
    <row r="25320">
      <c r="A25320" s="6"/>
      <c r="B25320" s="6"/>
      <c r="H25320" s="13"/>
    </row>
    <row r="25321">
      <c r="A25321" s="6"/>
      <c r="B25321" s="6"/>
      <c r="H25321" s="13"/>
    </row>
    <row r="25322">
      <c r="A25322" s="6"/>
      <c r="B25322" s="6"/>
      <c r="H25322" s="13"/>
    </row>
    <row r="25323">
      <c r="A25323" s="6"/>
      <c r="B25323" s="6"/>
      <c r="H25323" s="13"/>
    </row>
    <row r="25324">
      <c r="A25324" s="6"/>
      <c r="B25324" s="6"/>
      <c r="H25324" s="13"/>
    </row>
    <row r="25325">
      <c r="A25325" s="6"/>
      <c r="B25325" s="6"/>
      <c r="H25325" s="13"/>
    </row>
    <row r="25326">
      <c r="A25326" s="6"/>
      <c r="B25326" s="6"/>
      <c r="H25326" s="13"/>
    </row>
    <row r="25327">
      <c r="A25327" s="6"/>
      <c r="B25327" s="6"/>
      <c r="H25327" s="13"/>
    </row>
    <row r="25328">
      <c r="A25328" s="6"/>
      <c r="B25328" s="6"/>
      <c r="H25328" s="13"/>
    </row>
    <row r="25329">
      <c r="A25329" s="6"/>
      <c r="B25329" s="6"/>
      <c r="H25329" s="13"/>
    </row>
    <row r="25330">
      <c r="A25330" s="6"/>
      <c r="B25330" s="6"/>
      <c r="H25330" s="13"/>
    </row>
    <row r="25331">
      <c r="A25331" s="6"/>
      <c r="B25331" s="6"/>
      <c r="H25331" s="13"/>
    </row>
    <row r="25332">
      <c r="A25332" s="6"/>
      <c r="B25332" s="6"/>
      <c r="H25332" s="13"/>
    </row>
    <row r="25333">
      <c r="A25333" s="6"/>
      <c r="B25333" s="6"/>
      <c r="H25333" s="13"/>
    </row>
    <row r="25334">
      <c r="A25334" s="6"/>
      <c r="B25334" s="6"/>
      <c r="H25334" s="13"/>
    </row>
    <row r="25335">
      <c r="A25335" s="6"/>
      <c r="B25335" s="6"/>
      <c r="H25335" s="13"/>
    </row>
    <row r="25336">
      <c r="A25336" s="6"/>
      <c r="B25336" s="6"/>
      <c r="H25336" s="13"/>
    </row>
    <row r="25337">
      <c r="A25337" s="6"/>
      <c r="B25337" s="6"/>
      <c r="H25337" s="13"/>
    </row>
    <row r="25338">
      <c r="A25338" s="6"/>
      <c r="B25338" s="6"/>
      <c r="H25338" s="13"/>
    </row>
    <row r="25339">
      <c r="A25339" s="6"/>
      <c r="B25339" s="6"/>
      <c r="H25339" s="13"/>
    </row>
    <row r="25340">
      <c r="A25340" s="6"/>
      <c r="B25340" s="6"/>
      <c r="H25340" s="13"/>
    </row>
    <row r="25341">
      <c r="A25341" s="6"/>
      <c r="B25341" s="6"/>
      <c r="H25341" s="13"/>
    </row>
    <row r="25342">
      <c r="A25342" s="6"/>
      <c r="B25342" s="6"/>
      <c r="H25342" s="13"/>
    </row>
    <row r="25343">
      <c r="A25343" s="6"/>
      <c r="B25343" s="6"/>
      <c r="H25343" s="13"/>
    </row>
    <row r="25344">
      <c r="A25344" s="6"/>
      <c r="B25344" s="6"/>
      <c r="H25344" s="13"/>
    </row>
    <row r="25345">
      <c r="A25345" s="6"/>
      <c r="B25345" s="6"/>
      <c r="H25345" s="13"/>
    </row>
    <row r="25346">
      <c r="A25346" s="6"/>
      <c r="B25346" s="6"/>
      <c r="H25346" s="13"/>
    </row>
    <row r="25347">
      <c r="A25347" s="6"/>
      <c r="B25347" s="6"/>
      <c r="H25347" s="13"/>
    </row>
    <row r="25348">
      <c r="A25348" s="6"/>
      <c r="B25348" s="6"/>
      <c r="H25348" s="13"/>
    </row>
    <row r="25349">
      <c r="A25349" s="6"/>
      <c r="B25349" s="6"/>
      <c r="H25349" s="13"/>
    </row>
    <row r="25350">
      <c r="A25350" s="6"/>
      <c r="B25350" s="6"/>
      <c r="H25350" s="13"/>
    </row>
    <row r="25351">
      <c r="A25351" s="6"/>
      <c r="B25351" s="6"/>
      <c r="H25351" s="13"/>
    </row>
    <row r="25352">
      <c r="A25352" s="6"/>
      <c r="B25352" s="6"/>
      <c r="H25352" s="13"/>
    </row>
    <row r="25353">
      <c r="A25353" s="6"/>
      <c r="B25353" s="6"/>
      <c r="H25353" s="13"/>
    </row>
    <row r="25354">
      <c r="A25354" s="6"/>
      <c r="B25354" s="6"/>
      <c r="H25354" s="13"/>
    </row>
    <row r="25355">
      <c r="A25355" s="6"/>
      <c r="B25355" s="6"/>
      <c r="H25355" s="13"/>
    </row>
    <row r="25356">
      <c r="A25356" s="6"/>
      <c r="B25356" s="6"/>
      <c r="H25356" s="13"/>
    </row>
    <row r="25357">
      <c r="A25357" s="6"/>
      <c r="B25357" s="6"/>
      <c r="H25357" s="13"/>
    </row>
    <row r="25358">
      <c r="A25358" s="6"/>
      <c r="B25358" s="6"/>
      <c r="H25358" s="13"/>
    </row>
    <row r="25359">
      <c r="A25359" s="6"/>
      <c r="B25359" s="6"/>
      <c r="H25359" s="13"/>
    </row>
    <row r="25360">
      <c r="A25360" s="6"/>
      <c r="B25360" s="6"/>
      <c r="H25360" s="13"/>
    </row>
    <row r="25361">
      <c r="A25361" s="6"/>
      <c r="B25361" s="6"/>
      <c r="H25361" s="13"/>
    </row>
    <row r="25362">
      <c r="A25362" s="6"/>
      <c r="B25362" s="6"/>
      <c r="H25362" s="13"/>
    </row>
    <row r="25363">
      <c r="A25363" s="6"/>
      <c r="B25363" s="6"/>
      <c r="H25363" s="13"/>
    </row>
    <row r="25364">
      <c r="A25364" s="6"/>
      <c r="B25364" s="6"/>
      <c r="H25364" s="13"/>
    </row>
    <row r="25365">
      <c r="A25365" s="6"/>
      <c r="B25365" s="6"/>
      <c r="H25365" s="13"/>
    </row>
    <row r="25366">
      <c r="A25366" s="6"/>
      <c r="B25366" s="6"/>
      <c r="H25366" s="13"/>
    </row>
    <row r="25367">
      <c r="A25367" s="6"/>
      <c r="B25367" s="6"/>
      <c r="H25367" s="13"/>
    </row>
    <row r="25368">
      <c r="A25368" s="6"/>
      <c r="B25368" s="6"/>
      <c r="H25368" s="13"/>
    </row>
    <row r="25369">
      <c r="A25369" s="6"/>
      <c r="B25369" s="6"/>
      <c r="H25369" s="13"/>
    </row>
    <row r="25370">
      <c r="A25370" s="6"/>
      <c r="B25370" s="6"/>
      <c r="H25370" s="13"/>
    </row>
    <row r="25371">
      <c r="A25371" s="6"/>
      <c r="B25371" s="6"/>
      <c r="H25371" s="13"/>
    </row>
    <row r="25372">
      <c r="A25372" s="6"/>
      <c r="B25372" s="6"/>
      <c r="H25372" s="13"/>
    </row>
    <row r="25373">
      <c r="A25373" s="6"/>
      <c r="B25373" s="6"/>
      <c r="H25373" s="13"/>
    </row>
    <row r="25374">
      <c r="A25374" s="6"/>
      <c r="B25374" s="6"/>
      <c r="H25374" s="13"/>
    </row>
    <row r="25375">
      <c r="A25375" s="6"/>
      <c r="B25375" s="6"/>
      <c r="H25375" s="13"/>
    </row>
    <row r="25376">
      <c r="A25376" s="6"/>
      <c r="B25376" s="6"/>
      <c r="H25376" s="13"/>
    </row>
    <row r="25377">
      <c r="A25377" s="6"/>
      <c r="B25377" s="6"/>
      <c r="H25377" s="13"/>
    </row>
    <row r="25378">
      <c r="A25378" s="6"/>
      <c r="B25378" s="6"/>
      <c r="H25378" s="13"/>
    </row>
    <row r="25379">
      <c r="A25379" s="6"/>
      <c r="B25379" s="6"/>
      <c r="H25379" s="13"/>
    </row>
    <row r="25380">
      <c r="A25380" s="6"/>
      <c r="B25380" s="6"/>
      <c r="H25380" s="13"/>
    </row>
    <row r="25381">
      <c r="A25381" s="6"/>
      <c r="B25381" s="6"/>
      <c r="H25381" s="13"/>
    </row>
    <row r="25382">
      <c r="A25382" s="6"/>
      <c r="B25382" s="6"/>
      <c r="H25382" s="13"/>
    </row>
    <row r="25383">
      <c r="A25383" s="6"/>
      <c r="B25383" s="6"/>
      <c r="H25383" s="13"/>
    </row>
    <row r="25384">
      <c r="A25384" s="6"/>
      <c r="B25384" s="6"/>
      <c r="H25384" s="13"/>
    </row>
    <row r="25385">
      <c r="A25385" s="6"/>
      <c r="B25385" s="6"/>
      <c r="H25385" s="13"/>
    </row>
    <row r="25386">
      <c r="A25386" s="6"/>
      <c r="B25386" s="6"/>
      <c r="H25386" s="13"/>
    </row>
    <row r="25387">
      <c r="A25387" s="6"/>
      <c r="B25387" s="6"/>
      <c r="H25387" s="13"/>
    </row>
    <row r="25388">
      <c r="A25388" s="6"/>
      <c r="B25388" s="6"/>
      <c r="H25388" s="13"/>
    </row>
    <row r="25389">
      <c r="A25389" s="6"/>
      <c r="B25389" s="6"/>
      <c r="H25389" s="13"/>
    </row>
    <row r="25390">
      <c r="A25390" s="6"/>
      <c r="B25390" s="6"/>
      <c r="H25390" s="13"/>
    </row>
    <row r="25391">
      <c r="A25391" s="6"/>
      <c r="B25391" s="6"/>
      <c r="H25391" s="13"/>
    </row>
    <row r="25392">
      <c r="A25392" s="6"/>
      <c r="B25392" s="6"/>
      <c r="H25392" s="13"/>
    </row>
    <row r="25393">
      <c r="A25393" s="6"/>
      <c r="B25393" s="6"/>
      <c r="H25393" s="13"/>
    </row>
    <row r="25394">
      <c r="A25394" s="6"/>
      <c r="B25394" s="6"/>
      <c r="H25394" s="13"/>
    </row>
    <row r="25395">
      <c r="A25395" s="6"/>
      <c r="B25395" s="6"/>
      <c r="H25395" s="13"/>
    </row>
    <row r="25396">
      <c r="A25396" s="6"/>
      <c r="B25396" s="6"/>
      <c r="H25396" s="13"/>
    </row>
    <row r="25397">
      <c r="A25397" s="6"/>
      <c r="B25397" s="6"/>
      <c r="H25397" s="13"/>
    </row>
    <row r="25398">
      <c r="A25398" s="6"/>
      <c r="B25398" s="6"/>
      <c r="H25398" s="13"/>
    </row>
    <row r="25399">
      <c r="A25399" s="6"/>
      <c r="B25399" s="6"/>
      <c r="H25399" s="13"/>
    </row>
    <row r="25400">
      <c r="A25400" s="6"/>
      <c r="B25400" s="6"/>
      <c r="H25400" s="13"/>
    </row>
    <row r="25401">
      <c r="A25401" s="6"/>
      <c r="B25401" s="6"/>
      <c r="H25401" s="13"/>
    </row>
    <row r="25402">
      <c r="A25402" s="6"/>
      <c r="B25402" s="6"/>
      <c r="H25402" s="13"/>
    </row>
    <row r="25403">
      <c r="A25403" s="6"/>
      <c r="B25403" s="6"/>
      <c r="H25403" s="13"/>
    </row>
    <row r="25404">
      <c r="A25404" s="6"/>
      <c r="B25404" s="6"/>
      <c r="H25404" s="13"/>
    </row>
    <row r="25405">
      <c r="A25405" s="6"/>
      <c r="B25405" s="6"/>
      <c r="H25405" s="13"/>
    </row>
    <row r="25406">
      <c r="A25406" s="6"/>
      <c r="B25406" s="6"/>
      <c r="H25406" s="13"/>
    </row>
    <row r="25407">
      <c r="A25407" s="6"/>
      <c r="B25407" s="6"/>
      <c r="H25407" s="13"/>
    </row>
    <row r="25408">
      <c r="A25408" s="6"/>
      <c r="B25408" s="6"/>
      <c r="H25408" s="13"/>
    </row>
    <row r="25409">
      <c r="A25409" s="6"/>
      <c r="B25409" s="6"/>
      <c r="H25409" s="13"/>
    </row>
    <row r="25410">
      <c r="A25410" s="6"/>
      <c r="B25410" s="6"/>
      <c r="H25410" s="13"/>
    </row>
    <row r="25411">
      <c r="A25411" s="6"/>
      <c r="B25411" s="6"/>
      <c r="H25411" s="13"/>
    </row>
    <row r="25412">
      <c r="A25412" s="6"/>
      <c r="B25412" s="6"/>
      <c r="H25412" s="13"/>
    </row>
    <row r="25413">
      <c r="A25413" s="6"/>
      <c r="B25413" s="6"/>
      <c r="H25413" s="13"/>
    </row>
    <row r="25414">
      <c r="A25414" s="6"/>
      <c r="B25414" s="6"/>
      <c r="H25414" s="13"/>
    </row>
    <row r="25415">
      <c r="A25415" s="6"/>
      <c r="B25415" s="6"/>
      <c r="H25415" s="13"/>
    </row>
    <row r="25416">
      <c r="A25416" s="6"/>
      <c r="B25416" s="6"/>
      <c r="H25416" s="13"/>
    </row>
    <row r="25417">
      <c r="A25417" s="6"/>
      <c r="B25417" s="6"/>
      <c r="H25417" s="13"/>
    </row>
    <row r="25418">
      <c r="A25418" s="6"/>
      <c r="B25418" s="6"/>
      <c r="H25418" s="13"/>
    </row>
    <row r="25419">
      <c r="A25419" s="6"/>
      <c r="B25419" s="6"/>
      <c r="H25419" s="13"/>
    </row>
    <row r="25420">
      <c r="A25420" s="6"/>
      <c r="B25420" s="6"/>
      <c r="H25420" s="13"/>
    </row>
    <row r="25421">
      <c r="A25421" s="6"/>
      <c r="B25421" s="6"/>
      <c r="H25421" s="13"/>
    </row>
    <row r="25422">
      <c r="A25422" s="6"/>
      <c r="B25422" s="6"/>
      <c r="H25422" s="13"/>
    </row>
    <row r="25423">
      <c r="A25423" s="6"/>
      <c r="B25423" s="6"/>
      <c r="H25423" s="13"/>
    </row>
    <row r="25424">
      <c r="A25424" s="6"/>
      <c r="B25424" s="6"/>
      <c r="H25424" s="13"/>
    </row>
    <row r="25425">
      <c r="A25425" s="6"/>
      <c r="B25425" s="6"/>
      <c r="H25425" s="13"/>
    </row>
    <row r="25426">
      <c r="A25426" s="6"/>
      <c r="B25426" s="6"/>
      <c r="H25426" s="13"/>
    </row>
    <row r="25427">
      <c r="A25427" s="6"/>
      <c r="B25427" s="6"/>
      <c r="H25427" s="13"/>
    </row>
    <row r="25428">
      <c r="A25428" s="6"/>
      <c r="B25428" s="6"/>
      <c r="H25428" s="13"/>
    </row>
    <row r="25429">
      <c r="A25429" s="6"/>
      <c r="B25429" s="6"/>
      <c r="H25429" s="13"/>
    </row>
    <row r="25430">
      <c r="A25430" s="6"/>
      <c r="B25430" s="6"/>
      <c r="H25430" s="13"/>
    </row>
    <row r="25431">
      <c r="A25431" s="6"/>
      <c r="B25431" s="6"/>
      <c r="H25431" s="13"/>
    </row>
    <row r="25432">
      <c r="A25432" s="6"/>
      <c r="B25432" s="6"/>
      <c r="H25432" s="13"/>
    </row>
    <row r="25433">
      <c r="A25433" s="6"/>
      <c r="B25433" s="6"/>
      <c r="H25433" s="13"/>
    </row>
    <row r="25434">
      <c r="A25434" s="6"/>
      <c r="B25434" s="6"/>
      <c r="H25434" s="13"/>
    </row>
    <row r="25435">
      <c r="A25435" s="6"/>
      <c r="B25435" s="6"/>
      <c r="H25435" s="13"/>
    </row>
    <row r="25436">
      <c r="A25436" s="6"/>
      <c r="B25436" s="6"/>
      <c r="H25436" s="13"/>
    </row>
    <row r="25437">
      <c r="A25437" s="6"/>
      <c r="B25437" s="6"/>
      <c r="H25437" s="13"/>
    </row>
    <row r="25438">
      <c r="A25438" s="6"/>
      <c r="B25438" s="6"/>
      <c r="H25438" s="13"/>
    </row>
    <row r="25439">
      <c r="A25439" s="6"/>
      <c r="B25439" s="6"/>
      <c r="H25439" s="13"/>
    </row>
    <row r="25440">
      <c r="A25440" s="6"/>
      <c r="B25440" s="6"/>
      <c r="H25440" s="13"/>
    </row>
    <row r="25441">
      <c r="A25441" s="6"/>
      <c r="B25441" s="6"/>
      <c r="H25441" s="13"/>
    </row>
    <row r="25442">
      <c r="A25442" s="6"/>
      <c r="B25442" s="6"/>
      <c r="H25442" s="13"/>
    </row>
    <row r="25443">
      <c r="A25443" s="6"/>
      <c r="B25443" s="6"/>
      <c r="H25443" s="13"/>
    </row>
    <row r="25444">
      <c r="A25444" s="6"/>
      <c r="B25444" s="6"/>
      <c r="H25444" s="13"/>
    </row>
    <row r="25445">
      <c r="A25445" s="6"/>
      <c r="B25445" s="6"/>
      <c r="H25445" s="13"/>
    </row>
    <row r="25446">
      <c r="A25446" s="6"/>
      <c r="B25446" s="6"/>
      <c r="H25446" s="13"/>
    </row>
    <row r="25447">
      <c r="A25447" s="6"/>
      <c r="B25447" s="6"/>
      <c r="H25447" s="13"/>
    </row>
    <row r="25448">
      <c r="A25448" s="6"/>
      <c r="B25448" s="6"/>
      <c r="H25448" s="13"/>
    </row>
    <row r="25449">
      <c r="A25449" s="6"/>
      <c r="B25449" s="6"/>
      <c r="H25449" s="13"/>
    </row>
    <row r="25450">
      <c r="A25450" s="6"/>
      <c r="B25450" s="6"/>
      <c r="H25450" s="13"/>
    </row>
    <row r="25451">
      <c r="A25451" s="6"/>
      <c r="B25451" s="6"/>
      <c r="H25451" s="13"/>
    </row>
    <row r="25452">
      <c r="A25452" s="6"/>
      <c r="B25452" s="6"/>
      <c r="H25452" s="13"/>
    </row>
    <row r="25453">
      <c r="A25453" s="6"/>
      <c r="B25453" s="6"/>
      <c r="H25453" s="13"/>
    </row>
    <row r="25454">
      <c r="A25454" s="6"/>
      <c r="B25454" s="6"/>
      <c r="H25454" s="13"/>
    </row>
    <row r="25455">
      <c r="A25455" s="6"/>
      <c r="B25455" s="6"/>
      <c r="H25455" s="13"/>
    </row>
    <row r="25456">
      <c r="A25456" s="6"/>
      <c r="B25456" s="6"/>
      <c r="H25456" s="13"/>
    </row>
    <row r="25457">
      <c r="A25457" s="6"/>
      <c r="B25457" s="6"/>
      <c r="H25457" s="13"/>
    </row>
    <row r="25458">
      <c r="A25458" s="6"/>
      <c r="B25458" s="6"/>
      <c r="H25458" s="13"/>
    </row>
    <row r="25459">
      <c r="A25459" s="6"/>
      <c r="B25459" s="6"/>
      <c r="H25459" s="13"/>
    </row>
    <row r="25460">
      <c r="A25460" s="6"/>
      <c r="B25460" s="6"/>
      <c r="H25460" s="13"/>
    </row>
    <row r="25461">
      <c r="A25461" s="6"/>
      <c r="B25461" s="6"/>
      <c r="H25461" s="13"/>
    </row>
    <row r="25462">
      <c r="A25462" s="6"/>
      <c r="B25462" s="6"/>
      <c r="H25462" s="13"/>
    </row>
    <row r="25463">
      <c r="A25463" s="6"/>
      <c r="B25463" s="6"/>
      <c r="H25463" s="13"/>
    </row>
    <row r="25464">
      <c r="A25464" s="6"/>
      <c r="B25464" s="6"/>
      <c r="H25464" s="13"/>
    </row>
    <row r="25465">
      <c r="A25465" s="6"/>
      <c r="B25465" s="6"/>
      <c r="H25465" s="13"/>
    </row>
    <row r="25466">
      <c r="A25466" s="6"/>
      <c r="B25466" s="6"/>
      <c r="H25466" s="13"/>
    </row>
    <row r="25467">
      <c r="A25467" s="6"/>
      <c r="B25467" s="6"/>
      <c r="H25467" s="13"/>
    </row>
    <row r="25468">
      <c r="A25468" s="6"/>
      <c r="B25468" s="6"/>
      <c r="H25468" s="13"/>
    </row>
    <row r="25469">
      <c r="A25469" s="6"/>
      <c r="B25469" s="6"/>
      <c r="H25469" s="13"/>
    </row>
    <row r="25470">
      <c r="A25470" s="6"/>
      <c r="B25470" s="6"/>
      <c r="H25470" s="13"/>
    </row>
    <row r="25471">
      <c r="A25471" s="6"/>
      <c r="B25471" s="6"/>
      <c r="H25471" s="13"/>
    </row>
    <row r="25472">
      <c r="A25472" s="6"/>
      <c r="B25472" s="6"/>
      <c r="H25472" s="13"/>
    </row>
    <row r="25473">
      <c r="A25473" s="6"/>
      <c r="B25473" s="6"/>
      <c r="H25473" s="13"/>
    </row>
    <row r="25474">
      <c r="A25474" s="6"/>
      <c r="B25474" s="6"/>
      <c r="H25474" s="13"/>
    </row>
    <row r="25475">
      <c r="A25475" s="6"/>
      <c r="B25475" s="6"/>
      <c r="H25475" s="13"/>
    </row>
    <row r="25476">
      <c r="A25476" s="6"/>
      <c r="B25476" s="6"/>
      <c r="H25476" s="13"/>
    </row>
    <row r="25477">
      <c r="A25477" s="6"/>
      <c r="B25477" s="6"/>
      <c r="H25477" s="13"/>
    </row>
    <row r="25478">
      <c r="A25478" s="6"/>
      <c r="B25478" s="6"/>
      <c r="H25478" s="13"/>
    </row>
    <row r="25479">
      <c r="A25479" s="6"/>
      <c r="B25479" s="6"/>
      <c r="H25479" s="13"/>
    </row>
    <row r="25480">
      <c r="A25480" s="6"/>
      <c r="B25480" s="6"/>
      <c r="H25480" s="13"/>
    </row>
    <row r="25481">
      <c r="A25481" s="6"/>
      <c r="B25481" s="6"/>
      <c r="H25481" s="13"/>
    </row>
    <row r="25482">
      <c r="A25482" s="6"/>
      <c r="B25482" s="6"/>
      <c r="H25482" s="13"/>
    </row>
    <row r="25483">
      <c r="A25483" s="6"/>
      <c r="B25483" s="6"/>
      <c r="H25483" s="13"/>
    </row>
    <row r="25484">
      <c r="A25484" s="6"/>
      <c r="B25484" s="6"/>
      <c r="H25484" s="13"/>
    </row>
    <row r="25485">
      <c r="A25485" s="6"/>
      <c r="B25485" s="6"/>
      <c r="H25485" s="13"/>
    </row>
    <row r="25486">
      <c r="A25486" s="6"/>
      <c r="B25486" s="6"/>
      <c r="H25486" s="13"/>
    </row>
    <row r="25487">
      <c r="A25487" s="6"/>
      <c r="B25487" s="6"/>
      <c r="H25487" s="13"/>
    </row>
    <row r="25488">
      <c r="A25488" s="6"/>
      <c r="B25488" s="6"/>
      <c r="H25488" s="13"/>
    </row>
    <row r="25489">
      <c r="A25489" s="6"/>
      <c r="B25489" s="6"/>
      <c r="H25489" s="13"/>
    </row>
    <row r="25490">
      <c r="A25490" s="6"/>
      <c r="B25490" s="6"/>
      <c r="H25490" s="13"/>
    </row>
    <row r="25491">
      <c r="A25491" s="6"/>
      <c r="B25491" s="6"/>
      <c r="H25491" s="13"/>
    </row>
    <row r="25492">
      <c r="A25492" s="6"/>
      <c r="B25492" s="6"/>
      <c r="H25492" s="13"/>
    </row>
    <row r="25493">
      <c r="A25493" s="6"/>
      <c r="B25493" s="6"/>
      <c r="H25493" s="13"/>
    </row>
    <row r="25494">
      <c r="A25494" s="6"/>
      <c r="B25494" s="6"/>
      <c r="H25494" s="13"/>
    </row>
    <row r="25495">
      <c r="A25495" s="6"/>
      <c r="B25495" s="6"/>
      <c r="H25495" s="13"/>
    </row>
    <row r="25496">
      <c r="A25496" s="6"/>
      <c r="B25496" s="6"/>
      <c r="H25496" s="13"/>
    </row>
    <row r="25497">
      <c r="A25497" s="6"/>
      <c r="B25497" s="6"/>
      <c r="H25497" s="13"/>
    </row>
    <row r="25498">
      <c r="A25498" s="6"/>
      <c r="B25498" s="6"/>
      <c r="H25498" s="13"/>
    </row>
    <row r="25499">
      <c r="A25499" s="6"/>
      <c r="B25499" s="6"/>
      <c r="H25499" s="13"/>
    </row>
    <row r="25500">
      <c r="A25500" s="6"/>
      <c r="B25500" s="6"/>
      <c r="H25500" s="13"/>
    </row>
    <row r="25501">
      <c r="A25501" s="6"/>
      <c r="B25501" s="6"/>
      <c r="H25501" s="13"/>
    </row>
    <row r="25502">
      <c r="A25502" s="6"/>
      <c r="B25502" s="6"/>
      <c r="H25502" s="13"/>
    </row>
    <row r="25503">
      <c r="A25503" s="6"/>
      <c r="B25503" s="6"/>
      <c r="H25503" s="13"/>
    </row>
    <row r="25504">
      <c r="A25504" s="6"/>
      <c r="B25504" s="6"/>
      <c r="H25504" s="13"/>
    </row>
    <row r="25505">
      <c r="A25505" s="6"/>
      <c r="B25505" s="6"/>
      <c r="H25505" s="13"/>
    </row>
    <row r="25506">
      <c r="A25506" s="6"/>
      <c r="B25506" s="6"/>
      <c r="H25506" s="13"/>
    </row>
    <row r="25507">
      <c r="A25507" s="6"/>
      <c r="B25507" s="6"/>
      <c r="H25507" s="13"/>
    </row>
    <row r="25508">
      <c r="A25508" s="6"/>
      <c r="B25508" s="6"/>
      <c r="H25508" s="13"/>
    </row>
    <row r="25509">
      <c r="A25509" s="6"/>
      <c r="B25509" s="6"/>
      <c r="H25509" s="13"/>
    </row>
    <row r="25510">
      <c r="A25510" s="6"/>
      <c r="B25510" s="6"/>
      <c r="H25510" s="13"/>
    </row>
    <row r="25511">
      <c r="A25511" s="6"/>
      <c r="B25511" s="6"/>
      <c r="H25511" s="13"/>
    </row>
    <row r="25512">
      <c r="A25512" s="6"/>
      <c r="B25512" s="6"/>
      <c r="H25512" s="13"/>
    </row>
    <row r="25513">
      <c r="A25513" s="6"/>
      <c r="B25513" s="6"/>
      <c r="H25513" s="13"/>
    </row>
    <row r="25514">
      <c r="A25514" s="6"/>
      <c r="B25514" s="6"/>
      <c r="H25514" s="13"/>
    </row>
    <row r="25515">
      <c r="A25515" s="6"/>
      <c r="B25515" s="6"/>
      <c r="H25515" s="13"/>
    </row>
    <row r="25516">
      <c r="A25516" s="6"/>
      <c r="B25516" s="6"/>
      <c r="H25516" s="13"/>
    </row>
    <row r="25517">
      <c r="A25517" s="6"/>
      <c r="B25517" s="6"/>
      <c r="H25517" s="13"/>
    </row>
    <row r="25518">
      <c r="A25518" s="6"/>
      <c r="B25518" s="6"/>
      <c r="H25518" s="13"/>
    </row>
    <row r="25519">
      <c r="A25519" s="6"/>
      <c r="B25519" s="6"/>
      <c r="H25519" s="13"/>
    </row>
    <row r="25520">
      <c r="A25520" s="6"/>
      <c r="B25520" s="6"/>
      <c r="H25520" s="13"/>
    </row>
    <row r="25521">
      <c r="A25521" s="6"/>
      <c r="B25521" s="6"/>
      <c r="H25521" s="13"/>
    </row>
    <row r="25522">
      <c r="A25522" s="6"/>
      <c r="B25522" s="6"/>
      <c r="H25522" s="13"/>
    </row>
    <row r="25523">
      <c r="A25523" s="6"/>
      <c r="B25523" s="6"/>
      <c r="H25523" s="13"/>
    </row>
    <row r="25524">
      <c r="A25524" s="6"/>
      <c r="B25524" s="6"/>
      <c r="H25524" s="13"/>
    </row>
    <row r="25525">
      <c r="A25525" s="6"/>
      <c r="B25525" s="6"/>
      <c r="H25525" s="13"/>
    </row>
    <row r="25526">
      <c r="A25526" s="6"/>
      <c r="B25526" s="6"/>
      <c r="H25526" s="13"/>
    </row>
    <row r="25527">
      <c r="A25527" s="6"/>
      <c r="B25527" s="6"/>
      <c r="H25527" s="13"/>
    </row>
    <row r="25528">
      <c r="A25528" s="6"/>
      <c r="B25528" s="6"/>
      <c r="H25528" s="13"/>
    </row>
    <row r="25529">
      <c r="A25529" s="6"/>
      <c r="B25529" s="6"/>
      <c r="H25529" s="13"/>
    </row>
    <row r="25530">
      <c r="A25530" s="6"/>
      <c r="B25530" s="6"/>
      <c r="H25530" s="13"/>
    </row>
    <row r="25531">
      <c r="A25531" s="6"/>
      <c r="B25531" s="6"/>
      <c r="H25531" s="13"/>
    </row>
    <row r="25532">
      <c r="A25532" s="6"/>
      <c r="B25532" s="6"/>
      <c r="H25532" s="13"/>
    </row>
    <row r="25533">
      <c r="A25533" s="6"/>
      <c r="B25533" s="6"/>
      <c r="H25533" s="13"/>
    </row>
    <row r="25534">
      <c r="A25534" s="6"/>
      <c r="B25534" s="6"/>
      <c r="H25534" s="13"/>
    </row>
    <row r="25535">
      <c r="A25535" s="6"/>
      <c r="B25535" s="6"/>
      <c r="H25535" s="13"/>
    </row>
    <row r="25536">
      <c r="A25536" s="6"/>
      <c r="B25536" s="6"/>
      <c r="H25536" s="13"/>
    </row>
    <row r="25537">
      <c r="A25537" s="6"/>
      <c r="B25537" s="6"/>
      <c r="H25537" s="13"/>
    </row>
    <row r="25538">
      <c r="A25538" s="6"/>
      <c r="B25538" s="6"/>
      <c r="H25538" s="13"/>
    </row>
    <row r="25539">
      <c r="A25539" s="6"/>
      <c r="B25539" s="6"/>
      <c r="H25539" s="13"/>
    </row>
    <row r="25540">
      <c r="A25540" s="6"/>
      <c r="B25540" s="6"/>
      <c r="H25540" s="13"/>
    </row>
    <row r="25541">
      <c r="A25541" s="6"/>
      <c r="B25541" s="6"/>
      <c r="H25541" s="13"/>
    </row>
    <row r="25542">
      <c r="A25542" s="6"/>
      <c r="B25542" s="6"/>
      <c r="H25542" s="13"/>
    </row>
    <row r="25543">
      <c r="A25543" s="6"/>
      <c r="B25543" s="6"/>
      <c r="H25543" s="13"/>
    </row>
    <row r="25544">
      <c r="A25544" s="6"/>
      <c r="B25544" s="6"/>
      <c r="H25544" s="13"/>
    </row>
    <row r="25545">
      <c r="A25545" s="6"/>
      <c r="B25545" s="6"/>
      <c r="H25545" s="13"/>
    </row>
    <row r="25546">
      <c r="A25546" s="6"/>
      <c r="B25546" s="6"/>
      <c r="H25546" s="13"/>
    </row>
    <row r="25547">
      <c r="A25547" s="6"/>
      <c r="B25547" s="6"/>
      <c r="H25547" s="13"/>
    </row>
    <row r="25548">
      <c r="A25548" s="6"/>
      <c r="B25548" s="6"/>
      <c r="H25548" s="13"/>
    </row>
    <row r="25549">
      <c r="A25549" s="6"/>
      <c r="B25549" s="6"/>
      <c r="H25549" s="13"/>
    </row>
    <row r="25550">
      <c r="A25550" s="6"/>
      <c r="B25550" s="6"/>
      <c r="H25550" s="13"/>
    </row>
    <row r="25551">
      <c r="A25551" s="6"/>
      <c r="B25551" s="6"/>
      <c r="H25551" s="13"/>
    </row>
    <row r="25552">
      <c r="A25552" s="6"/>
      <c r="B25552" s="6"/>
      <c r="H25552" s="13"/>
    </row>
    <row r="25553">
      <c r="A25553" s="6"/>
      <c r="B25553" s="6"/>
      <c r="H25553" s="13"/>
    </row>
    <row r="25554">
      <c r="A25554" s="6"/>
      <c r="B25554" s="6"/>
      <c r="H25554" s="13"/>
    </row>
    <row r="25555">
      <c r="A25555" s="6"/>
      <c r="B25555" s="6"/>
      <c r="H25555" s="13"/>
    </row>
    <row r="25556">
      <c r="A25556" s="6"/>
      <c r="B25556" s="6"/>
      <c r="H25556" s="13"/>
    </row>
    <row r="25557">
      <c r="A25557" s="6"/>
      <c r="B25557" s="6"/>
      <c r="H25557" s="13"/>
    </row>
    <row r="25558">
      <c r="A25558" s="6"/>
      <c r="B25558" s="6"/>
      <c r="H25558" s="13"/>
    </row>
    <row r="25559">
      <c r="A25559" s="6"/>
      <c r="B25559" s="6"/>
      <c r="H25559" s="13"/>
    </row>
    <row r="25560">
      <c r="A25560" s="6"/>
      <c r="B25560" s="6"/>
      <c r="H25560" s="13"/>
    </row>
    <row r="25561">
      <c r="A25561" s="6"/>
      <c r="B25561" s="6"/>
      <c r="H25561" s="13"/>
    </row>
    <row r="25562">
      <c r="A25562" s="6"/>
      <c r="B25562" s="6"/>
      <c r="H25562" s="13"/>
    </row>
    <row r="25563">
      <c r="A25563" s="6"/>
      <c r="B25563" s="6"/>
      <c r="H25563" s="13"/>
    </row>
    <row r="25564">
      <c r="A25564" s="6"/>
      <c r="B25564" s="6"/>
      <c r="H25564" s="13"/>
    </row>
    <row r="25565">
      <c r="A25565" s="6"/>
      <c r="B25565" s="6"/>
      <c r="H25565" s="13"/>
    </row>
    <row r="25566">
      <c r="A25566" s="6"/>
      <c r="B25566" s="6"/>
      <c r="H25566" s="13"/>
    </row>
    <row r="25567">
      <c r="A25567" s="6"/>
      <c r="B25567" s="6"/>
      <c r="H25567" s="13"/>
    </row>
    <row r="25568">
      <c r="A25568" s="6"/>
      <c r="B25568" s="6"/>
      <c r="H25568" s="13"/>
    </row>
    <row r="25569">
      <c r="A25569" s="6"/>
      <c r="B25569" s="6"/>
      <c r="H25569" s="13"/>
    </row>
    <row r="25570">
      <c r="A25570" s="6"/>
      <c r="B25570" s="6"/>
      <c r="H25570" s="13"/>
    </row>
    <row r="25571">
      <c r="A25571" s="6"/>
      <c r="B25571" s="6"/>
      <c r="H25571" s="13"/>
    </row>
    <row r="25572">
      <c r="A25572" s="6"/>
      <c r="B25572" s="6"/>
      <c r="H25572" s="13"/>
    </row>
    <row r="25573">
      <c r="A25573" s="6"/>
      <c r="B25573" s="6"/>
      <c r="H25573" s="13"/>
    </row>
    <row r="25574">
      <c r="A25574" s="6"/>
      <c r="B25574" s="6"/>
      <c r="H25574" s="13"/>
    </row>
    <row r="25575">
      <c r="A25575" s="6"/>
      <c r="B25575" s="6"/>
      <c r="H25575" s="13"/>
    </row>
    <row r="25576">
      <c r="A25576" s="6"/>
      <c r="B25576" s="6"/>
      <c r="H25576" s="13"/>
    </row>
    <row r="25577">
      <c r="A25577" s="6"/>
      <c r="B25577" s="6"/>
      <c r="H25577" s="13"/>
    </row>
    <row r="25578">
      <c r="A25578" s="6"/>
      <c r="B25578" s="6"/>
      <c r="H25578" s="13"/>
    </row>
    <row r="25579">
      <c r="A25579" s="6"/>
      <c r="B25579" s="6"/>
      <c r="H25579" s="13"/>
    </row>
    <row r="25580">
      <c r="A25580" s="6"/>
      <c r="B25580" s="6"/>
      <c r="H25580" s="13"/>
    </row>
    <row r="25581">
      <c r="A25581" s="6"/>
      <c r="B25581" s="6"/>
      <c r="H25581" s="13"/>
    </row>
    <row r="25582">
      <c r="A25582" s="6"/>
      <c r="B25582" s="6"/>
      <c r="H25582" s="13"/>
    </row>
    <row r="25583">
      <c r="A25583" s="6"/>
      <c r="B25583" s="6"/>
      <c r="H25583" s="13"/>
    </row>
    <row r="25584">
      <c r="A25584" s="6"/>
      <c r="B25584" s="6"/>
      <c r="H25584" s="13"/>
    </row>
    <row r="25585">
      <c r="A25585" s="6"/>
      <c r="B25585" s="6"/>
      <c r="H25585" s="13"/>
    </row>
    <row r="25586">
      <c r="A25586" s="6"/>
      <c r="B25586" s="6"/>
      <c r="H25586" s="13"/>
    </row>
    <row r="25587">
      <c r="A25587" s="6"/>
      <c r="B25587" s="6"/>
      <c r="H25587" s="13"/>
    </row>
    <row r="25588">
      <c r="A25588" s="6"/>
      <c r="B25588" s="6"/>
      <c r="H25588" s="13"/>
    </row>
    <row r="25589">
      <c r="A25589" s="6"/>
      <c r="B25589" s="6"/>
      <c r="H25589" s="13"/>
    </row>
    <row r="25590">
      <c r="A25590" s="6"/>
      <c r="B25590" s="6"/>
      <c r="H25590" s="13"/>
    </row>
    <row r="25591">
      <c r="A25591" s="6"/>
      <c r="B25591" s="6"/>
      <c r="H25591" s="13"/>
    </row>
    <row r="25592">
      <c r="A25592" s="6"/>
      <c r="B25592" s="6"/>
      <c r="H25592" s="13"/>
    </row>
    <row r="25593">
      <c r="A25593" s="6"/>
      <c r="B25593" s="6"/>
      <c r="H25593" s="13"/>
    </row>
    <row r="25594">
      <c r="A25594" s="6"/>
      <c r="B25594" s="6"/>
      <c r="H25594" s="13"/>
    </row>
    <row r="25595">
      <c r="A25595" s="6"/>
      <c r="B25595" s="6"/>
      <c r="H25595" s="13"/>
    </row>
    <row r="25596">
      <c r="A25596" s="6"/>
      <c r="B25596" s="6"/>
      <c r="H25596" s="13"/>
    </row>
    <row r="25597">
      <c r="A25597" s="6"/>
      <c r="B25597" s="6"/>
      <c r="H25597" s="13"/>
    </row>
    <row r="25598">
      <c r="A25598" s="6"/>
      <c r="B25598" s="6"/>
      <c r="H25598" s="13"/>
    </row>
    <row r="25599">
      <c r="A25599" s="6"/>
      <c r="B25599" s="6"/>
      <c r="H25599" s="13"/>
    </row>
    <row r="25600">
      <c r="A25600" s="6"/>
      <c r="B25600" s="6"/>
      <c r="H25600" s="13"/>
    </row>
    <row r="25601">
      <c r="A25601" s="6"/>
      <c r="B25601" s="6"/>
      <c r="H25601" s="13"/>
    </row>
    <row r="25602">
      <c r="A25602" s="6"/>
      <c r="B25602" s="6"/>
      <c r="H25602" s="13"/>
    </row>
    <row r="25603">
      <c r="A25603" s="6"/>
      <c r="B25603" s="6"/>
      <c r="H25603" s="13"/>
    </row>
    <row r="25604">
      <c r="A25604" s="6"/>
      <c r="B25604" s="6"/>
      <c r="H25604" s="13"/>
    </row>
    <row r="25605">
      <c r="A25605" s="6"/>
      <c r="B25605" s="6"/>
      <c r="H25605" s="13"/>
    </row>
    <row r="25606">
      <c r="A25606" s="6"/>
      <c r="B25606" s="6"/>
      <c r="H25606" s="13"/>
    </row>
    <row r="25607">
      <c r="A25607" s="6"/>
      <c r="B25607" s="6"/>
      <c r="H25607" s="13"/>
    </row>
    <row r="25608">
      <c r="A25608" s="6"/>
      <c r="B25608" s="6"/>
      <c r="H25608" s="13"/>
    </row>
    <row r="25609">
      <c r="A25609" s="6"/>
      <c r="B25609" s="6"/>
      <c r="H25609" s="13"/>
    </row>
    <row r="25610">
      <c r="A25610" s="6"/>
      <c r="B25610" s="6"/>
      <c r="H25610" s="13"/>
    </row>
    <row r="25611">
      <c r="A25611" s="6"/>
      <c r="B25611" s="6"/>
      <c r="H25611" s="13"/>
    </row>
    <row r="25612">
      <c r="A25612" s="6"/>
      <c r="B25612" s="6"/>
      <c r="H25612" s="13"/>
    </row>
    <row r="25613">
      <c r="A25613" s="6"/>
      <c r="B25613" s="6"/>
      <c r="H25613" s="13"/>
    </row>
    <row r="25614">
      <c r="A25614" s="6"/>
      <c r="B25614" s="6"/>
      <c r="H25614" s="13"/>
    </row>
    <row r="25615">
      <c r="A25615" s="6"/>
      <c r="B25615" s="6"/>
      <c r="H25615" s="13"/>
    </row>
    <row r="25616">
      <c r="A25616" s="6"/>
      <c r="B25616" s="6"/>
      <c r="H25616" s="13"/>
    </row>
    <row r="25617">
      <c r="A25617" s="6"/>
      <c r="B25617" s="6"/>
      <c r="H25617" s="13"/>
    </row>
    <row r="25618">
      <c r="A25618" s="6"/>
      <c r="B25618" s="6"/>
      <c r="H25618" s="13"/>
    </row>
    <row r="25619">
      <c r="A25619" s="6"/>
      <c r="B25619" s="6"/>
      <c r="H25619" s="13"/>
    </row>
    <row r="25620">
      <c r="A25620" s="6"/>
      <c r="B25620" s="6"/>
      <c r="H25620" s="13"/>
    </row>
    <row r="25621">
      <c r="A25621" s="6"/>
      <c r="B25621" s="6"/>
      <c r="H25621" s="13"/>
    </row>
    <row r="25622">
      <c r="A25622" s="6"/>
      <c r="B25622" s="6"/>
      <c r="H25622" s="13"/>
    </row>
    <row r="25623">
      <c r="A25623" s="6"/>
      <c r="B25623" s="6"/>
      <c r="H25623" s="13"/>
    </row>
    <row r="25624">
      <c r="A25624" s="6"/>
      <c r="B25624" s="6"/>
      <c r="H25624" s="13"/>
    </row>
    <row r="25625">
      <c r="A25625" s="6"/>
      <c r="B25625" s="6"/>
      <c r="H25625" s="13"/>
    </row>
    <row r="25626">
      <c r="A25626" s="6"/>
      <c r="B25626" s="6"/>
      <c r="H25626" s="13"/>
    </row>
    <row r="25627">
      <c r="A25627" s="6"/>
      <c r="B25627" s="6"/>
      <c r="H25627" s="13"/>
    </row>
    <row r="25628">
      <c r="A25628" s="6"/>
      <c r="B25628" s="6"/>
      <c r="H25628" s="13"/>
    </row>
    <row r="25629">
      <c r="A25629" s="6"/>
      <c r="B25629" s="6"/>
      <c r="H25629" s="13"/>
    </row>
    <row r="25630">
      <c r="A25630" s="6"/>
      <c r="B25630" s="6"/>
      <c r="H25630" s="13"/>
    </row>
    <row r="25631">
      <c r="A25631" s="6"/>
      <c r="B25631" s="6"/>
      <c r="H25631" s="13"/>
    </row>
    <row r="25632">
      <c r="A25632" s="6"/>
      <c r="B25632" s="6"/>
      <c r="H25632" s="13"/>
    </row>
    <row r="25633">
      <c r="A25633" s="6"/>
      <c r="B25633" s="6"/>
      <c r="H25633" s="13"/>
    </row>
    <row r="25634">
      <c r="A25634" s="6"/>
      <c r="B25634" s="6"/>
      <c r="H25634" s="13"/>
    </row>
    <row r="25635">
      <c r="A25635" s="6"/>
      <c r="B25635" s="6"/>
      <c r="H25635" s="13"/>
    </row>
    <row r="25636">
      <c r="A25636" s="6"/>
      <c r="B25636" s="6"/>
      <c r="H25636" s="13"/>
    </row>
    <row r="25637">
      <c r="A25637" s="6"/>
      <c r="B25637" s="6"/>
      <c r="H25637" s="13"/>
    </row>
    <row r="25638">
      <c r="A25638" s="6"/>
      <c r="B25638" s="6"/>
      <c r="H25638" s="13"/>
    </row>
    <row r="25639">
      <c r="A25639" s="6"/>
      <c r="B25639" s="6"/>
      <c r="H25639" s="13"/>
    </row>
    <row r="25640">
      <c r="A25640" s="6"/>
      <c r="B25640" s="6"/>
      <c r="H25640" s="13"/>
    </row>
    <row r="25641">
      <c r="A25641" s="6"/>
      <c r="B25641" s="6"/>
      <c r="H25641" s="13"/>
    </row>
    <row r="25642">
      <c r="A25642" s="6"/>
      <c r="B25642" s="6"/>
      <c r="H25642" s="13"/>
    </row>
    <row r="25643">
      <c r="A25643" s="6"/>
      <c r="B25643" s="6"/>
      <c r="H25643" s="13"/>
    </row>
    <row r="25644">
      <c r="A25644" s="6"/>
      <c r="B25644" s="6"/>
      <c r="H25644" s="13"/>
    </row>
    <row r="25645">
      <c r="A25645" s="6"/>
      <c r="B25645" s="6"/>
      <c r="H25645" s="13"/>
    </row>
    <row r="25646">
      <c r="A25646" s="6"/>
      <c r="B25646" s="6"/>
      <c r="H25646" s="13"/>
    </row>
    <row r="25647">
      <c r="A25647" s="6"/>
      <c r="B25647" s="6"/>
      <c r="H25647" s="13"/>
    </row>
    <row r="25648">
      <c r="A25648" s="6"/>
      <c r="B25648" s="6"/>
      <c r="H25648" s="13"/>
    </row>
    <row r="25649">
      <c r="A25649" s="6"/>
      <c r="B25649" s="6"/>
      <c r="H25649" s="13"/>
    </row>
    <row r="25650">
      <c r="A25650" s="6"/>
      <c r="B25650" s="6"/>
      <c r="H25650" s="13"/>
    </row>
    <row r="25651">
      <c r="A25651" s="6"/>
      <c r="B25651" s="6"/>
      <c r="H25651" s="13"/>
    </row>
    <row r="25652">
      <c r="A25652" s="6"/>
      <c r="B25652" s="6"/>
      <c r="H25652" s="13"/>
    </row>
    <row r="25653">
      <c r="A25653" s="6"/>
      <c r="B25653" s="6"/>
      <c r="H25653" s="13"/>
    </row>
    <row r="25654">
      <c r="A25654" s="6"/>
      <c r="B25654" s="6"/>
      <c r="H25654" s="13"/>
    </row>
    <row r="25655">
      <c r="A25655" s="6"/>
      <c r="B25655" s="6"/>
      <c r="H25655" s="13"/>
    </row>
    <row r="25656">
      <c r="A25656" s="6"/>
      <c r="B25656" s="6"/>
      <c r="H25656" s="13"/>
    </row>
    <row r="25657">
      <c r="A25657" s="6"/>
      <c r="B25657" s="6"/>
      <c r="H25657" s="13"/>
    </row>
    <row r="25658">
      <c r="A25658" s="6"/>
      <c r="B25658" s="6"/>
      <c r="H25658" s="13"/>
    </row>
    <row r="25659">
      <c r="A25659" s="6"/>
      <c r="B25659" s="6"/>
      <c r="H25659" s="13"/>
    </row>
    <row r="25660">
      <c r="A25660" s="6"/>
      <c r="B25660" s="6"/>
      <c r="H25660" s="13"/>
    </row>
    <row r="25661">
      <c r="A25661" s="6"/>
      <c r="B25661" s="6"/>
      <c r="H25661" s="13"/>
    </row>
    <row r="25662">
      <c r="A25662" s="6"/>
      <c r="B25662" s="6"/>
      <c r="H25662" s="13"/>
    </row>
    <row r="25663">
      <c r="A25663" s="6"/>
      <c r="B25663" s="6"/>
      <c r="H25663" s="13"/>
    </row>
    <row r="25664">
      <c r="A25664" s="6"/>
      <c r="B25664" s="6"/>
      <c r="H25664" s="13"/>
    </row>
    <row r="25665">
      <c r="A25665" s="6"/>
      <c r="B25665" s="6"/>
      <c r="H25665" s="13"/>
    </row>
    <row r="25666">
      <c r="A25666" s="6"/>
      <c r="B25666" s="6"/>
      <c r="H25666" s="13"/>
    </row>
    <row r="25667">
      <c r="A25667" s="6"/>
      <c r="B25667" s="6"/>
      <c r="H25667" s="13"/>
    </row>
    <row r="25668">
      <c r="A25668" s="6"/>
      <c r="B25668" s="6"/>
      <c r="H25668" s="13"/>
    </row>
    <row r="25669">
      <c r="A25669" s="6"/>
      <c r="B25669" s="6"/>
      <c r="H25669" s="13"/>
    </row>
    <row r="25670">
      <c r="A25670" s="6"/>
      <c r="B25670" s="6"/>
      <c r="H25670" s="13"/>
    </row>
    <row r="25671">
      <c r="A25671" s="6"/>
      <c r="B25671" s="6"/>
      <c r="H25671" s="13"/>
    </row>
    <row r="25672">
      <c r="A25672" s="6"/>
      <c r="B25672" s="6"/>
      <c r="H25672" s="13"/>
    </row>
    <row r="25673">
      <c r="A25673" s="6"/>
      <c r="B25673" s="6"/>
      <c r="H25673" s="13"/>
    </row>
    <row r="25674">
      <c r="A25674" s="6"/>
      <c r="B25674" s="6"/>
      <c r="H25674" s="13"/>
    </row>
    <row r="25675">
      <c r="A25675" s="6"/>
      <c r="B25675" s="6"/>
      <c r="H25675" s="13"/>
    </row>
    <row r="25676">
      <c r="A25676" s="6"/>
      <c r="B25676" s="6"/>
      <c r="H25676" s="13"/>
    </row>
    <row r="25677">
      <c r="A25677" s="6"/>
      <c r="B25677" s="6"/>
      <c r="H25677" s="13"/>
    </row>
    <row r="25678">
      <c r="A25678" s="6"/>
      <c r="B25678" s="6"/>
      <c r="H25678" s="13"/>
    </row>
    <row r="25679">
      <c r="A25679" s="6"/>
      <c r="B25679" s="6"/>
      <c r="H25679" s="13"/>
    </row>
    <row r="25680">
      <c r="A25680" s="6"/>
      <c r="B25680" s="6"/>
      <c r="H25680" s="13"/>
    </row>
    <row r="25681">
      <c r="A25681" s="6"/>
      <c r="B25681" s="6"/>
      <c r="H25681" s="13"/>
    </row>
    <row r="25682">
      <c r="A25682" s="6"/>
      <c r="B25682" s="6"/>
      <c r="H25682" s="13"/>
    </row>
    <row r="25683">
      <c r="A25683" s="6"/>
      <c r="B25683" s="6"/>
      <c r="H25683" s="13"/>
    </row>
    <row r="25684">
      <c r="A25684" s="6"/>
      <c r="B25684" s="6"/>
      <c r="H25684" s="13"/>
    </row>
    <row r="25685">
      <c r="A25685" s="6"/>
      <c r="B25685" s="6"/>
      <c r="H25685" s="13"/>
    </row>
    <row r="25686">
      <c r="A25686" s="6"/>
      <c r="B25686" s="6"/>
      <c r="H25686" s="13"/>
    </row>
    <row r="25687">
      <c r="A25687" s="6"/>
      <c r="B25687" s="6"/>
      <c r="H25687" s="13"/>
    </row>
    <row r="25688">
      <c r="A25688" s="6"/>
      <c r="B25688" s="6"/>
      <c r="H25688" s="13"/>
    </row>
    <row r="25689">
      <c r="A25689" s="6"/>
      <c r="B25689" s="6"/>
      <c r="H25689" s="13"/>
    </row>
    <row r="25690">
      <c r="A25690" s="6"/>
      <c r="B25690" s="6"/>
      <c r="H25690" s="13"/>
    </row>
    <row r="25691">
      <c r="A25691" s="6"/>
      <c r="B25691" s="6"/>
      <c r="H25691" s="13"/>
    </row>
    <row r="25692">
      <c r="A25692" s="6"/>
      <c r="B25692" s="6"/>
      <c r="H25692" s="13"/>
    </row>
    <row r="25693">
      <c r="A25693" s="6"/>
      <c r="B25693" s="6"/>
      <c r="H25693" s="13"/>
    </row>
    <row r="25694">
      <c r="A25694" s="6"/>
      <c r="B25694" s="6"/>
      <c r="H25694" s="13"/>
    </row>
    <row r="25695">
      <c r="A25695" s="6"/>
      <c r="B25695" s="6"/>
      <c r="H25695" s="13"/>
    </row>
    <row r="25696">
      <c r="A25696" s="6"/>
      <c r="B25696" s="6"/>
      <c r="H25696" s="13"/>
    </row>
    <row r="25697">
      <c r="A25697" s="6"/>
      <c r="B25697" s="6"/>
      <c r="H25697" s="13"/>
    </row>
    <row r="25698">
      <c r="A25698" s="6"/>
      <c r="B25698" s="6"/>
      <c r="H25698" s="13"/>
    </row>
    <row r="25699">
      <c r="A25699" s="6"/>
      <c r="B25699" s="6"/>
      <c r="H25699" s="13"/>
    </row>
    <row r="25700">
      <c r="A25700" s="6"/>
      <c r="B25700" s="6"/>
      <c r="H25700" s="13"/>
    </row>
    <row r="25701">
      <c r="A25701" s="6"/>
      <c r="B25701" s="6"/>
      <c r="H25701" s="13"/>
    </row>
    <row r="25702">
      <c r="A25702" s="6"/>
      <c r="B25702" s="6"/>
      <c r="H25702" s="13"/>
    </row>
    <row r="25703">
      <c r="A25703" s="6"/>
      <c r="B25703" s="6"/>
      <c r="H25703" s="13"/>
    </row>
    <row r="25704">
      <c r="A25704" s="6"/>
      <c r="B25704" s="6"/>
      <c r="H25704" s="13"/>
    </row>
    <row r="25705">
      <c r="A25705" s="6"/>
      <c r="B25705" s="6"/>
      <c r="H25705" s="13"/>
    </row>
    <row r="25706">
      <c r="A25706" s="6"/>
      <c r="B25706" s="6"/>
      <c r="H25706" s="13"/>
    </row>
    <row r="25707">
      <c r="A25707" s="6"/>
      <c r="B25707" s="6"/>
      <c r="H25707" s="13"/>
    </row>
    <row r="25708">
      <c r="A25708" s="6"/>
      <c r="B25708" s="6"/>
      <c r="H25708" s="13"/>
    </row>
    <row r="25709">
      <c r="A25709" s="6"/>
      <c r="B25709" s="6"/>
      <c r="H25709" s="13"/>
    </row>
    <row r="25710">
      <c r="A25710" s="6"/>
      <c r="B25710" s="6"/>
      <c r="H25710" s="13"/>
    </row>
    <row r="25711">
      <c r="A25711" s="6"/>
      <c r="B25711" s="6"/>
      <c r="H25711" s="13"/>
    </row>
    <row r="25712">
      <c r="A25712" s="6"/>
      <c r="B25712" s="6"/>
      <c r="H25712" s="13"/>
    </row>
    <row r="25713">
      <c r="A25713" s="6"/>
      <c r="B25713" s="6"/>
      <c r="H25713" s="13"/>
    </row>
    <row r="25714">
      <c r="A25714" s="6"/>
      <c r="B25714" s="6"/>
      <c r="H25714" s="13"/>
    </row>
    <row r="25715">
      <c r="A25715" s="6"/>
      <c r="B25715" s="6"/>
      <c r="H25715" s="13"/>
    </row>
    <row r="25716">
      <c r="A25716" s="6"/>
      <c r="B25716" s="6"/>
      <c r="H25716" s="13"/>
    </row>
    <row r="25717">
      <c r="A25717" s="6"/>
      <c r="B25717" s="6"/>
      <c r="H25717" s="13"/>
    </row>
    <row r="25718">
      <c r="A25718" s="6"/>
      <c r="B25718" s="6"/>
      <c r="H25718" s="13"/>
    </row>
    <row r="25719">
      <c r="A25719" s="6"/>
      <c r="B25719" s="6"/>
      <c r="H25719" s="13"/>
    </row>
    <row r="25720">
      <c r="A25720" s="6"/>
      <c r="B25720" s="6"/>
      <c r="H25720" s="13"/>
    </row>
    <row r="25721">
      <c r="A25721" s="6"/>
      <c r="B25721" s="6"/>
      <c r="H25721" s="13"/>
    </row>
    <row r="25722">
      <c r="A25722" s="6"/>
      <c r="B25722" s="6"/>
      <c r="H25722" s="13"/>
    </row>
    <row r="25723">
      <c r="A25723" s="6"/>
      <c r="B25723" s="6"/>
      <c r="H25723" s="13"/>
    </row>
    <row r="25724">
      <c r="A25724" s="6"/>
      <c r="B25724" s="6"/>
      <c r="H25724" s="13"/>
    </row>
    <row r="25725">
      <c r="A25725" s="6"/>
      <c r="B25725" s="6"/>
      <c r="H25725" s="13"/>
    </row>
    <row r="25726">
      <c r="A25726" s="6"/>
      <c r="B25726" s="6"/>
      <c r="H25726" s="13"/>
    </row>
    <row r="25727">
      <c r="A25727" s="6"/>
      <c r="B25727" s="6"/>
      <c r="H25727" s="13"/>
    </row>
    <row r="25728">
      <c r="A25728" s="6"/>
      <c r="B25728" s="6"/>
      <c r="H25728" s="13"/>
    </row>
    <row r="25729">
      <c r="A25729" s="6"/>
      <c r="B25729" s="6"/>
      <c r="H25729" s="13"/>
    </row>
    <row r="25730">
      <c r="A25730" s="6"/>
      <c r="B25730" s="6"/>
      <c r="H25730" s="13"/>
    </row>
    <row r="25731">
      <c r="A25731" s="6"/>
      <c r="B25731" s="6"/>
      <c r="H25731" s="13"/>
    </row>
    <row r="25732">
      <c r="A25732" s="6"/>
      <c r="B25732" s="6"/>
      <c r="H25732" s="13"/>
    </row>
    <row r="25733">
      <c r="A25733" s="6"/>
      <c r="B25733" s="6"/>
      <c r="H25733" s="13"/>
    </row>
    <row r="25734">
      <c r="A25734" s="6"/>
      <c r="B25734" s="6"/>
      <c r="H25734" s="13"/>
    </row>
    <row r="25735">
      <c r="A25735" s="6"/>
      <c r="B25735" s="6"/>
      <c r="H25735" s="13"/>
    </row>
    <row r="25736">
      <c r="A25736" s="6"/>
      <c r="B25736" s="6"/>
      <c r="H25736" s="13"/>
    </row>
    <row r="25737">
      <c r="A25737" s="6"/>
      <c r="B25737" s="6"/>
      <c r="H25737" s="13"/>
    </row>
    <row r="25738">
      <c r="A25738" s="6"/>
      <c r="B25738" s="6"/>
      <c r="H25738" s="13"/>
    </row>
    <row r="25739">
      <c r="A25739" s="6"/>
      <c r="B25739" s="6"/>
      <c r="H25739" s="13"/>
    </row>
    <row r="25740">
      <c r="A25740" s="6"/>
      <c r="B25740" s="6"/>
      <c r="H25740" s="13"/>
    </row>
    <row r="25741">
      <c r="A25741" s="6"/>
      <c r="B25741" s="6"/>
      <c r="H25741" s="13"/>
    </row>
    <row r="25742">
      <c r="A25742" s="6"/>
      <c r="B25742" s="6"/>
      <c r="H25742" s="13"/>
    </row>
    <row r="25743">
      <c r="A25743" s="6"/>
      <c r="B25743" s="6"/>
      <c r="H25743" s="13"/>
    </row>
    <row r="25744">
      <c r="A25744" s="6"/>
      <c r="B25744" s="6"/>
      <c r="H25744" s="13"/>
    </row>
    <row r="25745">
      <c r="A25745" s="6"/>
      <c r="B25745" s="6"/>
      <c r="H25745" s="13"/>
    </row>
    <row r="25746">
      <c r="A25746" s="6"/>
      <c r="B25746" s="6"/>
      <c r="H25746" s="13"/>
    </row>
    <row r="25747">
      <c r="A25747" s="6"/>
      <c r="B25747" s="6"/>
      <c r="H25747" s="13"/>
    </row>
    <row r="25748">
      <c r="A25748" s="6"/>
      <c r="B25748" s="6"/>
      <c r="H25748" s="13"/>
    </row>
    <row r="25749">
      <c r="A25749" s="6"/>
      <c r="B25749" s="6"/>
      <c r="H25749" s="13"/>
    </row>
    <row r="25750">
      <c r="A25750" s="6"/>
      <c r="B25750" s="6"/>
      <c r="H25750" s="13"/>
    </row>
    <row r="25751">
      <c r="A25751" s="6"/>
      <c r="B25751" s="6"/>
      <c r="H25751" s="13"/>
    </row>
    <row r="25752">
      <c r="A25752" s="6"/>
      <c r="B25752" s="6"/>
      <c r="H25752" s="13"/>
    </row>
    <row r="25753">
      <c r="A25753" s="6"/>
      <c r="B25753" s="6"/>
      <c r="H25753" s="13"/>
    </row>
    <row r="25754">
      <c r="A25754" s="6"/>
      <c r="B25754" s="6"/>
      <c r="H25754" s="13"/>
    </row>
    <row r="25755">
      <c r="A25755" s="6"/>
      <c r="B25755" s="6"/>
      <c r="H25755" s="13"/>
    </row>
    <row r="25756">
      <c r="A25756" s="6"/>
      <c r="B25756" s="6"/>
      <c r="H25756" s="13"/>
    </row>
    <row r="25757">
      <c r="A25757" s="6"/>
      <c r="B25757" s="6"/>
      <c r="H25757" s="13"/>
    </row>
    <row r="25758">
      <c r="A25758" s="6"/>
      <c r="B25758" s="6"/>
      <c r="H25758" s="13"/>
    </row>
    <row r="25759">
      <c r="A25759" s="6"/>
      <c r="B25759" s="6"/>
      <c r="H25759" s="13"/>
    </row>
    <row r="25760">
      <c r="A25760" s="6"/>
      <c r="B25760" s="6"/>
      <c r="H25760" s="13"/>
    </row>
    <row r="25761">
      <c r="A25761" s="6"/>
      <c r="B25761" s="6"/>
      <c r="H25761" s="13"/>
    </row>
    <row r="25762">
      <c r="A25762" s="6"/>
      <c r="B25762" s="6"/>
      <c r="H25762" s="13"/>
    </row>
    <row r="25763">
      <c r="A25763" s="6"/>
      <c r="B25763" s="6"/>
      <c r="H25763" s="13"/>
    </row>
    <row r="25764">
      <c r="A25764" s="6"/>
      <c r="B25764" s="6"/>
      <c r="H25764" s="13"/>
    </row>
    <row r="25765">
      <c r="A25765" s="6"/>
      <c r="B25765" s="6"/>
      <c r="H25765" s="13"/>
    </row>
    <row r="25766">
      <c r="A25766" s="6"/>
      <c r="B25766" s="6"/>
      <c r="H25766" s="13"/>
    </row>
    <row r="25767">
      <c r="A25767" s="6"/>
      <c r="B25767" s="6"/>
      <c r="H25767" s="13"/>
    </row>
    <row r="25768">
      <c r="A25768" s="6"/>
      <c r="B25768" s="6"/>
      <c r="H25768" s="13"/>
    </row>
    <row r="25769">
      <c r="A25769" s="6"/>
      <c r="B25769" s="6"/>
      <c r="H25769" s="13"/>
    </row>
    <row r="25770">
      <c r="A25770" s="6"/>
      <c r="B25770" s="6"/>
      <c r="H25770" s="13"/>
    </row>
    <row r="25771">
      <c r="A25771" s="6"/>
      <c r="B25771" s="6"/>
      <c r="H25771" s="13"/>
    </row>
    <row r="25772">
      <c r="A25772" s="6"/>
      <c r="B25772" s="6"/>
      <c r="H25772" s="13"/>
    </row>
    <row r="25773">
      <c r="A25773" s="6"/>
      <c r="B25773" s="6"/>
      <c r="H25773" s="13"/>
    </row>
    <row r="25774">
      <c r="A25774" s="6"/>
      <c r="B25774" s="6"/>
      <c r="H25774" s="13"/>
    </row>
    <row r="25775">
      <c r="A25775" s="6"/>
      <c r="B25775" s="6"/>
      <c r="H25775" s="13"/>
    </row>
    <row r="25776">
      <c r="A25776" s="6"/>
      <c r="B25776" s="6"/>
      <c r="H25776" s="13"/>
    </row>
    <row r="25777">
      <c r="A25777" s="6"/>
      <c r="B25777" s="6"/>
      <c r="H25777" s="13"/>
    </row>
    <row r="25778">
      <c r="A25778" s="6"/>
      <c r="B25778" s="6"/>
      <c r="H25778" s="13"/>
    </row>
    <row r="25779">
      <c r="A25779" s="6"/>
      <c r="B25779" s="6"/>
      <c r="H25779" s="13"/>
    </row>
    <row r="25780">
      <c r="A25780" s="6"/>
      <c r="B25780" s="6"/>
      <c r="H25780" s="13"/>
    </row>
    <row r="25781">
      <c r="A25781" s="6"/>
      <c r="B25781" s="6"/>
      <c r="H25781" s="13"/>
    </row>
    <row r="25782">
      <c r="A25782" s="6"/>
      <c r="B25782" s="6"/>
      <c r="H25782" s="13"/>
    </row>
    <row r="25783">
      <c r="A25783" s="6"/>
      <c r="B25783" s="6"/>
      <c r="H25783" s="13"/>
    </row>
    <row r="25784">
      <c r="A25784" s="6"/>
      <c r="B25784" s="6"/>
      <c r="H25784" s="13"/>
    </row>
    <row r="25785">
      <c r="A25785" s="6"/>
      <c r="B25785" s="6"/>
      <c r="H25785" s="13"/>
    </row>
    <row r="25786">
      <c r="A25786" s="6"/>
      <c r="B25786" s="6"/>
      <c r="H25786" s="13"/>
    </row>
    <row r="25787">
      <c r="A25787" s="6"/>
      <c r="B25787" s="6"/>
      <c r="H25787" s="13"/>
    </row>
    <row r="25788">
      <c r="A25788" s="6"/>
      <c r="B25788" s="6"/>
      <c r="H25788" s="13"/>
    </row>
    <row r="25789">
      <c r="A25789" s="6"/>
      <c r="B25789" s="6"/>
      <c r="H25789" s="13"/>
    </row>
    <row r="25790">
      <c r="A25790" s="6"/>
      <c r="B25790" s="6"/>
      <c r="H25790" s="13"/>
    </row>
    <row r="25791">
      <c r="A25791" s="6"/>
      <c r="B25791" s="6"/>
      <c r="H25791" s="13"/>
    </row>
    <row r="25792">
      <c r="A25792" s="6"/>
      <c r="B25792" s="6"/>
      <c r="H25792" s="13"/>
    </row>
    <row r="25793">
      <c r="A25793" s="6"/>
      <c r="B25793" s="6"/>
      <c r="H25793" s="13"/>
    </row>
    <row r="25794">
      <c r="A25794" s="6"/>
      <c r="B25794" s="6"/>
      <c r="H25794" s="13"/>
    </row>
    <row r="25795">
      <c r="A25795" s="6"/>
      <c r="B25795" s="6"/>
      <c r="H25795" s="13"/>
    </row>
    <row r="25796">
      <c r="A25796" s="6"/>
      <c r="B25796" s="6"/>
      <c r="H25796" s="13"/>
    </row>
    <row r="25797">
      <c r="A25797" s="6"/>
      <c r="B25797" s="6"/>
      <c r="H25797" s="13"/>
    </row>
    <row r="25798">
      <c r="A25798" s="6"/>
      <c r="B25798" s="6"/>
      <c r="H25798" s="13"/>
    </row>
    <row r="25799">
      <c r="A25799" s="6"/>
      <c r="B25799" s="6"/>
      <c r="H25799" s="13"/>
    </row>
    <row r="25800">
      <c r="A25800" s="6"/>
      <c r="B25800" s="6"/>
      <c r="H25800" s="13"/>
    </row>
    <row r="25801">
      <c r="A25801" s="6"/>
      <c r="B25801" s="6"/>
      <c r="H25801" s="13"/>
    </row>
    <row r="25802">
      <c r="A25802" s="6"/>
      <c r="B25802" s="6"/>
      <c r="H25802" s="13"/>
    </row>
    <row r="25803">
      <c r="A25803" s="6"/>
      <c r="B25803" s="6"/>
      <c r="H25803" s="13"/>
    </row>
    <row r="25804">
      <c r="A25804" s="6"/>
      <c r="B25804" s="6"/>
      <c r="H25804" s="13"/>
    </row>
    <row r="25805">
      <c r="A25805" s="6"/>
      <c r="B25805" s="6"/>
      <c r="H25805" s="13"/>
    </row>
    <row r="25806">
      <c r="A25806" s="6"/>
      <c r="B25806" s="6"/>
      <c r="H25806" s="13"/>
    </row>
    <row r="25807">
      <c r="A25807" s="6"/>
      <c r="B25807" s="6"/>
      <c r="H25807" s="13"/>
    </row>
    <row r="25808">
      <c r="A25808" s="6"/>
      <c r="B25808" s="6"/>
      <c r="H25808" s="13"/>
    </row>
    <row r="25809">
      <c r="A25809" s="6"/>
      <c r="B25809" s="6"/>
      <c r="H25809" s="13"/>
    </row>
    <row r="25810">
      <c r="A25810" s="6"/>
      <c r="B25810" s="6"/>
      <c r="H25810" s="13"/>
    </row>
    <row r="25811">
      <c r="A25811" s="6"/>
      <c r="B25811" s="6"/>
      <c r="H25811" s="13"/>
    </row>
    <row r="25812">
      <c r="A25812" s="6"/>
      <c r="B25812" s="6"/>
      <c r="H25812" s="13"/>
    </row>
    <row r="25813">
      <c r="A25813" s="6"/>
      <c r="B25813" s="6"/>
      <c r="H25813" s="13"/>
    </row>
    <row r="25814">
      <c r="A25814" s="6"/>
      <c r="B25814" s="6"/>
      <c r="H25814" s="13"/>
    </row>
    <row r="25815">
      <c r="A25815" s="6"/>
      <c r="B25815" s="6"/>
      <c r="H25815" s="13"/>
    </row>
    <row r="25816">
      <c r="A25816" s="6"/>
      <c r="B25816" s="6"/>
      <c r="H25816" s="13"/>
    </row>
    <row r="25817">
      <c r="A25817" s="6"/>
      <c r="B25817" s="6"/>
      <c r="H25817" s="13"/>
    </row>
    <row r="25818">
      <c r="A25818" s="6"/>
      <c r="B25818" s="6"/>
      <c r="H25818" s="13"/>
    </row>
    <row r="25819">
      <c r="A25819" s="6"/>
      <c r="B25819" s="6"/>
      <c r="H25819" s="13"/>
    </row>
    <row r="25820">
      <c r="A25820" s="6"/>
      <c r="B25820" s="6"/>
      <c r="H25820" s="13"/>
    </row>
    <row r="25821">
      <c r="A25821" s="6"/>
      <c r="B25821" s="6"/>
      <c r="H25821" s="13"/>
    </row>
    <row r="25822">
      <c r="A25822" s="6"/>
      <c r="B25822" s="6"/>
      <c r="H25822" s="13"/>
    </row>
    <row r="25823">
      <c r="A25823" s="6"/>
      <c r="B25823" s="6"/>
      <c r="H25823" s="13"/>
    </row>
    <row r="25824">
      <c r="A25824" s="6"/>
      <c r="B25824" s="6"/>
      <c r="H25824" s="13"/>
    </row>
    <row r="25825">
      <c r="A25825" s="6"/>
      <c r="B25825" s="6"/>
      <c r="H25825" s="13"/>
    </row>
    <row r="25826">
      <c r="A25826" s="6"/>
      <c r="B25826" s="6"/>
      <c r="H25826" s="13"/>
    </row>
    <row r="25827">
      <c r="A25827" s="6"/>
      <c r="B25827" s="6"/>
      <c r="H25827" s="13"/>
    </row>
    <row r="25828">
      <c r="A25828" s="6"/>
      <c r="B25828" s="6"/>
      <c r="H25828" s="13"/>
    </row>
    <row r="25829">
      <c r="A25829" s="6"/>
      <c r="B25829" s="6"/>
      <c r="H25829" s="13"/>
    </row>
    <row r="25830">
      <c r="A25830" s="6"/>
      <c r="B25830" s="6"/>
      <c r="H25830" s="13"/>
    </row>
    <row r="25831">
      <c r="A25831" s="6"/>
      <c r="B25831" s="6"/>
      <c r="H25831" s="13"/>
    </row>
    <row r="25832">
      <c r="A25832" s="6"/>
      <c r="B25832" s="6"/>
      <c r="H25832" s="13"/>
    </row>
    <row r="25833">
      <c r="A25833" s="6"/>
      <c r="B25833" s="6"/>
      <c r="H25833" s="13"/>
    </row>
    <row r="25834">
      <c r="A25834" s="6"/>
      <c r="B25834" s="6"/>
      <c r="H25834" s="13"/>
    </row>
    <row r="25835">
      <c r="A25835" s="6"/>
      <c r="B25835" s="6"/>
      <c r="H25835" s="13"/>
    </row>
    <row r="25836">
      <c r="A25836" s="6"/>
      <c r="B25836" s="6"/>
      <c r="H25836" s="13"/>
    </row>
    <row r="25837">
      <c r="A25837" s="6"/>
      <c r="B25837" s="6"/>
      <c r="H25837" s="13"/>
    </row>
    <row r="25838">
      <c r="A25838" s="6"/>
      <c r="B25838" s="6"/>
      <c r="H25838" s="13"/>
    </row>
    <row r="25839">
      <c r="A25839" s="6"/>
      <c r="B25839" s="6"/>
      <c r="H25839" s="13"/>
    </row>
    <row r="25840">
      <c r="A25840" s="6"/>
      <c r="B25840" s="6"/>
      <c r="H25840" s="13"/>
    </row>
    <row r="25841">
      <c r="A25841" s="6"/>
      <c r="B25841" s="6"/>
      <c r="H25841" s="13"/>
    </row>
    <row r="25842">
      <c r="A25842" s="6"/>
      <c r="B25842" s="6"/>
      <c r="H25842" s="13"/>
    </row>
    <row r="25843">
      <c r="A25843" s="6"/>
      <c r="B25843" s="6"/>
      <c r="H25843" s="13"/>
    </row>
    <row r="25844">
      <c r="A25844" s="6"/>
      <c r="B25844" s="6"/>
      <c r="H25844" s="13"/>
    </row>
    <row r="25845">
      <c r="A25845" s="6"/>
      <c r="B25845" s="6"/>
      <c r="H25845" s="13"/>
    </row>
    <row r="25846">
      <c r="A25846" s="6"/>
      <c r="B25846" s="6"/>
      <c r="H25846" s="13"/>
    </row>
    <row r="25847">
      <c r="A25847" s="6"/>
      <c r="B25847" s="6"/>
      <c r="H25847" s="13"/>
    </row>
    <row r="25848">
      <c r="A25848" s="6"/>
      <c r="B25848" s="6"/>
      <c r="H25848" s="13"/>
    </row>
    <row r="25849">
      <c r="A25849" s="6"/>
      <c r="B25849" s="6"/>
      <c r="H25849" s="13"/>
    </row>
    <row r="25850">
      <c r="A25850" s="6"/>
      <c r="B25850" s="6"/>
      <c r="H25850" s="13"/>
    </row>
    <row r="25851">
      <c r="A25851" s="6"/>
      <c r="B25851" s="6"/>
      <c r="H25851" s="13"/>
    </row>
    <row r="25852">
      <c r="A25852" s="6"/>
      <c r="B25852" s="6"/>
      <c r="H25852" s="13"/>
    </row>
    <row r="25853">
      <c r="A25853" s="6"/>
      <c r="B25853" s="6"/>
      <c r="H25853" s="13"/>
    </row>
    <row r="25854">
      <c r="A25854" s="6"/>
      <c r="B25854" s="6"/>
      <c r="H25854" s="13"/>
    </row>
    <row r="25855">
      <c r="A25855" s="6"/>
      <c r="B25855" s="6"/>
      <c r="H25855" s="13"/>
    </row>
    <row r="25856">
      <c r="A25856" s="6"/>
      <c r="B25856" s="6"/>
      <c r="H25856" s="13"/>
    </row>
    <row r="25857">
      <c r="A25857" s="6"/>
      <c r="B25857" s="6"/>
      <c r="H25857" s="13"/>
    </row>
    <row r="25858">
      <c r="A25858" s="6"/>
      <c r="B25858" s="6"/>
      <c r="H25858" s="13"/>
    </row>
    <row r="25859">
      <c r="A25859" s="6"/>
      <c r="B25859" s="6"/>
      <c r="H25859" s="13"/>
    </row>
    <row r="25860">
      <c r="A25860" s="6"/>
      <c r="B25860" s="6"/>
      <c r="H25860" s="13"/>
    </row>
    <row r="25861">
      <c r="A25861" s="6"/>
      <c r="B25861" s="6"/>
      <c r="H25861" s="13"/>
    </row>
    <row r="25862">
      <c r="A25862" s="6"/>
      <c r="B25862" s="6"/>
      <c r="H25862" s="13"/>
    </row>
    <row r="25863">
      <c r="A25863" s="6"/>
      <c r="B25863" s="6"/>
      <c r="H25863" s="13"/>
    </row>
    <row r="25864">
      <c r="A25864" s="6"/>
      <c r="B25864" s="6"/>
      <c r="H25864" s="13"/>
    </row>
    <row r="25865">
      <c r="A25865" s="6"/>
      <c r="B25865" s="6"/>
      <c r="H25865" s="13"/>
    </row>
    <row r="25866">
      <c r="A25866" s="6"/>
      <c r="B25866" s="6"/>
      <c r="H25866" s="13"/>
    </row>
    <row r="25867">
      <c r="A25867" s="6"/>
      <c r="B25867" s="6"/>
      <c r="H25867" s="13"/>
    </row>
    <row r="25868">
      <c r="A25868" s="6"/>
      <c r="B25868" s="6"/>
      <c r="H25868" s="13"/>
    </row>
    <row r="25869">
      <c r="A25869" s="6"/>
      <c r="B25869" s="6"/>
      <c r="H25869" s="13"/>
    </row>
    <row r="25870">
      <c r="A25870" s="6"/>
      <c r="B25870" s="6"/>
      <c r="H25870" s="13"/>
    </row>
    <row r="25871">
      <c r="A25871" s="6"/>
      <c r="B25871" s="6"/>
      <c r="H25871" s="13"/>
    </row>
    <row r="25872">
      <c r="A25872" s="6"/>
      <c r="B25872" s="6"/>
      <c r="H25872" s="13"/>
    </row>
    <row r="25873">
      <c r="A25873" s="6"/>
      <c r="B25873" s="6"/>
      <c r="H25873" s="13"/>
    </row>
    <row r="25874">
      <c r="A25874" s="6"/>
      <c r="B25874" s="6"/>
      <c r="H25874" s="13"/>
    </row>
    <row r="25875">
      <c r="A25875" s="6"/>
      <c r="B25875" s="6"/>
      <c r="H25875" s="13"/>
    </row>
    <row r="25876">
      <c r="A25876" s="6"/>
      <c r="B25876" s="6"/>
      <c r="H25876" s="13"/>
    </row>
    <row r="25877">
      <c r="A25877" s="6"/>
      <c r="B25877" s="6"/>
      <c r="H25877" s="13"/>
    </row>
    <row r="25878">
      <c r="A25878" s="6"/>
      <c r="B25878" s="6"/>
      <c r="H25878" s="13"/>
    </row>
    <row r="25879">
      <c r="A25879" s="6"/>
      <c r="B25879" s="6"/>
      <c r="H25879" s="13"/>
    </row>
    <row r="25880">
      <c r="A25880" s="6"/>
      <c r="B25880" s="6"/>
      <c r="H25880" s="13"/>
    </row>
    <row r="25881">
      <c r="A25881" s="6"/>
      <c r="B25881" s="6"/>
      <c r="H25881" s="13"/>
    </row>
    <row r="25882">
      <c r="A25882" s="6"/>
      <c r="B25882" s="6"/>
      <c r="H25882" s="13"/>
    </row>
    <row r="25883">
      <c r="A25883" s="6"/>
      <c r="B25883" s="6"/>
      <c r="H25883" s="13"/>
    </row>
    <row r="25884">
      <c r="A25884" s="6"/>
      <c r="B25884" s="6"/>
      <c r="H25884" s="13"/>
    </row>
    <row r="25885">
      <c r="A25885" s="6"/>
      <c r="B25885" s="6"/>
      <c r="H25885" s="13"/>
    </row>
    <row r="25886">
      <c r="A25886" s="6"/>
      <c r="B25886" s="6"/>
      <c r="H25886" s="13"/>
    </row>
    <row r="25887">
      <c r="A25887" s="6"/>
      <c r="B25887" s="6"/>
      <c r="H25887" s="13"/>
    </row>
    <row r="25888">
      <c r="A25888" s="6"/>
      <c r="B25888" s="6"/>
      <c r="H25888" s="13"/>
    </row>
    <row r="25889">
      <c r="A25889" s="6"/>
      <c r="B25889" s="6"/>
      <c r="H25889" s="13"/>
    </row>
    <row r="25890">
      <c r="A25890" s="6"/>
      <c r="B25890" s="6"/>
      <c r="H25890" s="13"/>
    </row>
    <row r="25891">
      <c r="A25891" s="6"/>
      <c r="B25891" s="6"/>
      <c r="H25891" s="13"/>
    </row>
    <row r="25892">
      <c r="A25892" s="6"/>
      <c r="B25892" s="6"/>
      <c r="H25892" s="13"/>
    </row>
    <row r="25893">
      <c r="A25893" s="6"/>
      <c r="B25893" s="6"/>
      <c r="H25893" s="13"/>
    </row>
    <row r="25894">
      <c r="A25894" s="6"/>
      <c r="B25894" s="6"/>
      <c r="H25894" s="13"/>
    </row>
    <row r="25895">
      <c r="A25895" s="6"/>
      <c r="B25895" s="6"/>
      <c r="H25895" s="13"/>
    </row>
    <row r="25896">
      <c r="A25896" s="6"/>
      <c r="B25896" s="6"/>
      <c r="H25896" s="13"/>
    </row>
    <row r="25897">
      <c r="A25897" s="6"/>
      <c r="B25897" s="6"/>
      <c r="H25897" s="13"/>
    </row>
    <row r="25898">
      <c r="A25898" s="6"/>
      <c r="B25898" s="6"/>
      <c r="H25898" s="13"/>
    </row>
    <row r="25899">
      <c r="A25899" s="6"/>
      <c r="B25899" s="6"/>
      <c r="H25899" s="13"/>
    </row>
    <row r="25900">
      <c r="A25900" s="6"/>
      <c r="B25900" s="6"/>
      <c r="H25900" s="13"/>
    </row>
    <row r="25901">
      <c r="A25901" s="6"/>
      <c r="B25901" s="6"/>
      <c r="H25901" s="13"/>
    </row>
    <row r="25902">
      <c r="A25902" s="6"/>
      <c r="B25902" s="6"/>
      <c r="H25902" s="13"/>
    </row>
    <row r="25903">
      <c r="A25903" s="6"/>
      <c r="B25903" s="6"/>
      <c r="H25903" s="13"/>
    </row>
    <row r="25904">
      <c r="A25904" s="6"/>
      <c r="B25904" s="6"/>
      <c r="H25904" s="13"/>
    </row>
    <row r="25905">
      <c r="A25905" s="6"/>
      <c r="B25905" s="6"/>
      <c r="H25905" s="13"/>
    </row>
    <row r="25906">
      <c r="A25906" s="6"/>
      <c r="B25906" s="6"/>
      <c r="H25906" s="13"/>
    </row>
    <row r="25907">
      <c r="A25907" s="6"/>
      <c r="B25907" s="6"/>
      <c r="H25907" s="13"/>
    </row>
    <row r="25908">
      <c r="A25908" s="6"/>
      <c r="B25908" s="6"/>
      <c r="H25908" s="13"/>
    </row>
    <row r="25909">
      <c r="A25909" s="6"/>
      <c r="B25909" s="6"/>
      <c r="H25909" s="13"/>
    </row>
    <row r="25910">
      <c r="A25910" s="6"/>
      <c r="B25910" s="6"/>
      <c r="H25910" s="13"/>
    </row>
    <row r="25911">
      <c r="A25911" s="6"/>
      <c r="B25911" s="6"/>
      <c r="H25911" s="13"/>
    </row>
    <row r="25912">
      <c r="A25912" s="6"/>
      <c r="B25912" s="6"/>
      <c r="H25912" s="13"/>
    </row>
    <row r="25913">
      <c r="A25913" s="6"/>
      <c r="B25913" s="6"/>
      <c r="H25913" s="13"/>
    </row>
    <row r="25914">
      <c r="A25914" s="6"/>
      <c r="B25914" s="6"/>
      <c r="H25914" s="13"/>
    </row>
    <row r="25915">
      <c r="A25915" s="6"/>
      <c r="B25915" s="6"/>
      <c r="H25915" s="13"/>
    </row>
    <row r="25916">
      <c r="A25916" s="6"/>
      <c r="B25916" s="6"/>
      <c r="H25916" s="13"/>
    </row>
    <row r="25917">
      <c r="A25917" s="6"/>
      <c r="B25917" s="6"/>
      <c r="H25917" s="13"/>
    </row>
    <row r="25918">
      <c r="A25918" s="6"/>
      <c r="B25918" s="6"/>
      <c r="H25918" s="13"/>
    </row>
    <row r="25919">
      <c r="A25919" s="6"/>
      <c r="B25919" s="6"/>
      <c r="H25919" s="13"/>
    </row>
    <row r="25920">
      <c r="A25920" s="6"/>
      <c r="B25920" s="6"/>
      <c r="H25920" s="13"/>
    </row>
    <row r="25921">
      <c r="A25921" s="6"/>
      <c r="B25921" s="6"/>
      <c r="H25921" s="13"/>
    </row>
    <row r="25922">
      <c r="A25922" s="6"/>
      <c r="B25922" s="6"/>
      <c r="H25922" s="13"/>
    </row>
    <row r="25923">
      <c r="A25923" s="6"/>
      <c r="B25923" s="6"/>
      <c r="H25923" s="13"/>
    </row>
    <row r="25924">
      <c r="A25924" s="6"/>
      <c r="B25924" s="6"/>
      <c r="H25924" s="13"/>
    </row>
    <row r="25925">
      <c r="A25925" s="6"/>
      <c r="B25925" s="6"/>
      <c r="H25925" s="13"/>
    </row>
    <row r="25926">
      <c r="A25926" s="6"/>
      <c r="B25926" s="6"/>
      <c r="H25926" s="13"/>
    </row>
    <row r="25927">
      <c r="A25927" s="6"/>
      <c r="B25927" s="6"/>
      <c r="H25927" s="13"/>
    </row>
    <row r="25928">
      <c r="A25928" s="6"/>
      <c r="B25928" s="6"/>
      <c r="H25928" s="13"/>
    </row>
    <row r="25929">
      <c r="A25929" s="6"/>
      <c r="B25929" s="6"/>
      <c r="H25929" s="13"/>
    </row>
    <row r="25930">
      <c r="A25930" s="6"/>
      <c r="B25930" s="6"/>
      <c r="H25930" s="13"/>
    </row>
    <row r="25931">
      <c r="A25931" s="6"/>
      <c r="B25931" s="6"/>
      <c r="H25931" s="13"/>
    </row>
    <row r="25932">
      <c r="A25932" s="6"/>
      <c r="B25932" s="6"/>
      <c r="H25932" s="13"/>
    </row>
    <row r="25933">
      <c r="A25933" s="6"/>
      <c r="B25933" s="6"/>
      <c r="H25933" s="13"/>
    </row>
    <row r="25934">
      <c r="A25934" s="6"/>
      <c r="B25934" s="6"/>
      <c r="H25934" s="13"/>
    </row>
    <row r="25935">
      <c r="A25935" s="6"/>
      <c r="B25935" s="6"/>
      <c r="H25935" s="13"/>
    </row>
    <row r="25936">
      <c r="A25936" s="6"/>
      <c r="B25936" s="6"/>
      <c r="H25936" s="13"/>
    </row>
    <row r="25937">
      <c r="A25937" s="6"/>
      <c r="B25937" s="6"/>
      <c r="H25937" s="13"/>
    </row>
    <row r="25938">
      <c r="A25938" s="6"/>
      <c r="B25938" s="6"/>
      <c r="H25938" s="13"/>
    </row>
    <row r="25939">
      <c r="A25939" s="6"/>
      <c r="B25939" s="6"/>
      <c r="H25939" s="13"/>
    </row>
    <row r="25940">
      <c r="A25940" s="6"/>
      <c r="B25940" s="6"/>
      <c r="H25940" s="13"/>
    </row>
    <row r="25941">
      <c r="A25941" s="6"/>
      <c r="B25941" s="6"/>
      <c r="H25941" s="13"/>
    </row>
    <row r="25942">
      <c r="A25942" s="6"/>
      <c r="B25942" s="6"/>
      <c r="H25942" s="13"/>
    </row>
    <row r="25943">
      <c r="A25943" s="6"/>
      <c r="B25943" s="6"/>
      <c r="H25943" s="13"/>
    </row>
    <row r="25944">
      <c r="A25944" s="6"/>
      <c r="B25944" s="6"/>
      <c r="H25944" s="13"/>
    </row>
    <row r="25945">
      <c r="A25945" s="6"/>
      <c r="B25945" s="6"/>
      <c r="H25945" s="13"/>
    </row>
    <row r="25946">
      <c r="A25946" s="6"/>
      <c r="B25946" s="6"/>
      <c r="H25946" s="13"/>
    </row>
    <row r="25947">
      <c r="A25947" s="6"/>
      <c r="B25947" s="6"/>
      <c r="H25947" s="13"/>
    </row>
    <row r="25948">
      <c r="A25948" s="6"/>
      <c r="B25948" s="6"/>
      <c r="H25948" s="13"/>
    </row>
    <row r="25949">
      <c r="A25949" s="6"/>
      <c r="B25949" s="6"/>
      <c r="H25949" s="13"/>
    </row>
    <row r="25950">
      <c r="A25950" s="6"/>
      <c r="B25950" s="6"/>
      <c r="H25950" s="13"/>
    </row>
    <row r="25951">
      <c r="A25951" s="6"/>
      <c r="B25951" s="6"/>
      <c r="H25951" s="13"/>
    </row>
    <row r="25952">
      <c r="A25952" s="6"/>
      <c r="B25952" s="6"/>
      <c r="H25952" s="13"/>
    </row>
    <row r="25953">
      <c r="A25953" s="6"/>
      <c r="B25953" s="6"/>
      <c r="H25953" s="13"/>
    </row>
    <row r="25954">
      <c r="A25954" s="6"/>
      <c r="B25954" s="6"/>
      <c r="H25954" s="13"/>
    </row>
    <row r="25955">
      <c r="A25955" s="6"/>
      <c r="B25955" s="6"/>
      <c r="H25955" s="13"/>
    </row>
    <row r="25956">
      <c r="A25956" s="6"/>
      <c r="B25956" s="6"/>
      <c r="H25956" s="13"/>
    </row>
    <row r="25957">
      <c r="A25957" s="6"/>
      <c r="B25957" s="6"/>
      <c r="H25957" s="13"/>
    </row>
    <row r="25958">
      <c r="A25958" s="6"/>
      <c r="B25958" s="6"/>
      <c r="H25958" s="13"/>
    </row>
    <row r="25959">
      <c r="A25959" s="6"/>
      <c r="B25959" s="6"/>
      <c r="H25959" s="13"/>
    </row>
    <row r="25960">
      <c r="A25960" s="6"/>
      <c r="B25960" s="6"/>
      <c r="H25960" s="13"/>
    </row>
    <row r="25961">
      <c r="A25961" s="6"/>
      <c r="B25961" s="6"/>
      <c r="H25961" s="13"/>
    </row>
    <row r="25962">
      <c r="A25962" s="6"/>
      <c r="B25962" s="6"/>
      <c r="H25962" s="13"/>
    </row>
    <row r="25963">
      <c r="A25963" s="6"/>
      <c r="B25963" s="6"/>
      <c r="H25963" s="13"/>
    </row>
    <row r="25964">
      <c r="A25964" s="6"/>
      <c r="B25964" s="6"/>
      <c r="H25964" s="13"/>
    </row>
    <row r="25965">
      <c r="A25965" s="6"/>
      <c r="B25965" s="6"/>
      <c r="H25965" s="13"/>
    </row>
    <row r="25966">
      <c r="A25966" s="6"/>
      <c r="B25966" s="6"/>
      <c r="H25966" s="13"/>
    </row>
    <row r="25967">
      <c r="A25967" s="6"/>
      <c r="B25967" s="6"/>
      <c r="H25967" s="13"/>
    </row>
    <row r="25968">
      <c r="A25968" s="6"/>
      <c r="B25968" s="6"/>
      <c r="H25968" s="13"/>
    </row>
    <row r="25969">
      <c r="A25969" s="6"/>
      <c r="B25969" s="6"/>
      <c r="H25969" s="13"/>
    </row>
    <row r="25970">
      <c r="A25970" s="6"/>
      <c r="B25970" s="6"/>
      <c r="H25970" s="13"/>
    </row>
    <row r="25971">
      <c r="A25971" s="6"/>
      <c r="B25971" s="6"/>
      <c r="H25971" s="13"/>
    </row>
    <row r="25972">
      <c r="A25972" s="6"/>
      <c r="B25972" s="6"/>
      <c r="H25972" s="13"/>
    </row>
    <row r="25973">
      <c r="A25973" s="6"/>
      <c r="B25973" s="6"/>
      <c r="H25973" s="13"/>
    </row>
    <row r="25974">
      <c r="A25974" s="6"/>
      <c r="B25974" s="6"/>
      <c r="H25974" s="13"/>
    </row>
    <row r="25975">
      <c r="A25975" s="6"/>
      <c r="B25975" s="6"/>
      <c r="H25975" s="13"/>
    </row>
    <row r="25976">
      <c r="A25976" s="6"/>
      <c r="B25976" s="6"/>
      <c r="H25976" s="13"/>
    </row>
    <row r="25977">
      <c r="A25977" s="6"/>
      <c r="B25977" s="6"/>
      <c r="H25977" s="13"/>
    </row>
    <row r="25978">
      <c r="A25978" s="6"/>
      <c r="B25978" s="6"/>
      <c r="H25978" s="13"/>
    </row>
    <row r="25979">
      <c r="A25979" s="6"/>
      <c r="B25979" s="6"/>
      <c r="H25979" s="13"/>
    </row>
    <row r="25980">
      <c r="A25980" s="6"/>
      <c r="B25980" s="6"/>
      <c r="H25980" s="13"/>
    </row>
    <row r="25981">
      <c r="A25981" s="6"/>
      <c r="B25981" s="6"/>
      <c r="H25981" s="13"/>
    </row>
    <row r="25982">
      <c r="A25982" s="6"/>
      <c r="B25982" s="6"/>
      <c r="H25982" s="13"/>
    </row>
    <row r="25983">
      <c r="A25983" s="6"/>
      <c r="B25983" s="6"/>
      <c r="H25983" s="13"/>
    </row>
    <row r="25984">
      <c r="A25984" s="6"/>
      <c r="B25984" s="6"/>
      <c r="H25984" s="13"/>
    </row>
    <row r="25985">
      <c r="A25985" s="6"/>
      <c r="B25985" s="6"/>
      <c r="H25985" s="13"/>
    </row>
    <row r="25986">
      <c r="A25986" s="6"/>
      <c r="B25986" s="6"/>
      <c r="H25986" s="13"/>
    </row>
    <row r="25987">
      <c r="A25987" s="6"/>
      <c r="B25987" s="6"/>
      <c r="H25987" s="13"/>
    </row>
    <row r="25988">
      <c r="A25988" s="6"/>
      <c r="B25988" s="6"/>
      <c r="H25988" s="13"/>
    </row>
    <row r="25989">
      <c r="A25989" s="6"/>
      <c r="B25989" s="6"/>
      <c r="H25989" s="13"/>
    </row>
    <row r="25990">
      <c r="A25990" s="6"/>
      <c r="B25990" s="6"/>
      <c r="H25990" s="13"/>
    </row>
    <row r="25991">
      <c r="A25991" s="6"/>
      <c r="B25991" s="6"/>
      <c r="H25991" s="13"/>
    </row>
    <row r="25992">
      <c r="A25992" s="6"/>
      <c r="B25992" s="6"/>
      <c r="H25992" s="13"/>
    </row>
    <row r="25993">
      <c r="A25993" s="6"/>
      <c r="B25993" s="6"/>
      <c r="H25993" s="13"/>
    </row>
    <row r="25994">
      <c r="A25994" s="6"/>
      <c r="B25994" s="6"/>
      <c r="H25994" s="13"/>
    </row>
    <row r="25995">
      <c r="A25995" s="6"/>
      <c r="B25995" s="6"/>
      <c r="H25995" s="13"/>
    </row>
    <row r="25996">
      <c r="A25996" s="6"/>
      <c r="B25996" s="6"/>
      <c r="H25996" s="13"/>
    </row>
    <row r="25997">
      <c r="A25997" s="6"/>
      <c r="B25997" s="6"/>
      <c r="H25997" s="13"/>
    </row>
    <row r="25998">
      <c r="A25998" s="6"/>
      <c r="B25998" s="6"/>
      <c r="H25998" s="13"/>
    </row>
    <row r="25999">
      <c r="A25999" s="6"/>
      <c r="B25999" s="6"/>
      <c r="H25999" s="13"/>
    </row>
    <row r="26000">
      <c r="A26000" s="6"/>
      <c r="B26000" s="6"/>
      <c r="H26000" s="13"/>
    </row>
    <row r="26001">
      <c r="A26001" s="6"/>
      <c r="B26001" s="6"/>
      <c r="H26001" s="13"/>
    </row>
    <row r="26002">
      <c r="A26002" s="6"/>
      <c r="B26002" s="6"/>
      <c r="H26002" s="13"/>
    </row>
    <row r="26003">
      <c r="A26003" s="6"/>
      <c r="B26003" s="6"/>
      <c r="H26003" s="13"/>
    </row>
    <row r="26004">
      <c r="A26004" s="6"/>
      <c r="B26004" s="6"/>
      <c r="H26004" s="13"/>
    </row>
    <row r="26005">
      <c r="A26005" s="6"/>
      <c r="B26005" s="6"/>
      <c r="H26005" s="13"/>
    </row>
    <row r="26006">
      <c r="A26006" s="6"/>
      <c r="B26006" s="6"/>
      <c r="H26006" s="13"/>
    </row>
    <row r="26007">
      <c r="A26007" s="6"/>
      <c r="B26007" s="6"/>
      <c r="H26007" s="13"/>
    </row>
    <row r="26008">
      <c r="A26008" s="6"/>
      <c r="B26008" s="6"/>
      <c r="H26008" s="13"/>
    </row>
    <row r="26009">
      <c r="A26009" s="6"/>
      <c r="B26009" s="6"/>
      <c r="H26009" s="13"/>
    </row>
    <row r="26010">
      <c r="A26010" s="6"/>
      <c r="B26010" s="6"/>
      <c r="H26010" s="13"/>
    </row>
    <row r="26011">
      <c r="A26011" s="6"/>
      <c r="B26011" s="6"/>
      <c r="H26011" s="13"/>
    </row>
    <row r="26012">
      <c r="A26012" s="6"/>
      <c r="B26012" s="6"/>
      <c r="H26012" s="13"/>
    </row>
    <row r="26013">
      <c r="A26013" s="6"/>
      <c r="B26013" s="6"/>
      <c r="H26013" s="13"/>
    </row>
    <row r="26014">
      <c r="A26014" s="6"/>
      <c r="B26014" s="6"/>
      <c r="H26014" s="13"/>
    </row>
    <row r="26015">
      <c r="A26015" s="6"/>
      <c r="B26015" s="6"/>
      <c r="H26015" s="13"/>
    </row>
    <row r="26016">
      <c r="A26016" s="6"/>
      <c r="B26016" s="6"/>
      <c r="H26016" s="13"/>
    </row>
    <row r="26017">
      <c r="A26017" s="6"/>
      <c r="B26017" s="6"/>
      <c r="H26017" s="13"/>
    </row>
    <row r="26018">
      <c r="A26018" s="6"/>
      <c r="B26018" s="6"/>
      <c r="H26018" s="13"/>
    </row>
    <row r="26019">
      <c r="A26019" s="6"/>
      <c r="B26019" s="6"/>
      <c r="H26019" s="13"/>
    </row>
    <row r="26020">
      <c r="A26020" s="6"/>
      <c r="B26020" s="6"/>
      <c r="H26020" s="13"/>
    </row>
    <row r="26021">
      <c r="A26021" s="6"/>
      <c r="B26021" s="6"/>
      <c r="H26021" s="13"/>
    </row>
    <row r="26022">
      <c r="A26022" s="6"/>
      <c r="B26022" s="6"/>
      <c r="H26022" s="13"/>
    </row>
    <row r="26023">
      <c r="A26023" s="6"/>
      <c r="B26023" s="6"/>
      <c r="H26023" s="13"/>
    </row>
    <row r="26024">
      <c r="A26024" s="6"/>
      <c r="B26024" s="6"/>
      <c r="H26024" s="13"/>
    </row>
    <row r="26025">
      <c r="A26025" s="6"/>
      <c r="B26025" s="6"/>
      <c r="H26025" s="13"/>
    </row>
    <row r="26026">
      <c r="A26026" s="6"/>
      <c r="B26026" s="6"/>
      <c r="H26026" s="13"/>
    </row>
    <row r="26027">
      <c r="A26027" s="6"/>
      <c r="B26027" s="6"/>
      <c r="H26027" s="13"/>
    </row>
    <row r="26028">
      <c r="A26028" s="6"/>
      <c r="B26028" s="6"/>
      <c r="H26028" s="13"/>
    </row>
    <row r="26029">
      <c r="A26029" s="6"/>
      <c r="B26029" s="6"/>
      <c r="H26029" s="13"/>
    </row>
    <row r="26030">
      <c r="A26030" s="6"/>
      <c r="B26030" s="6"/>
      <c r="H26030" s="13"/>
    </row>
    <row r="26031">
      <c r="A26031" s="6"/>
      <c r="B26031" s="6"/>
      <c r="H26031" s="13"/>
    </row>
    <row r="26032">
      <c r="A26032" s="6"/>
      <c r="B26032" s="6"/>
      <c r="H26032" s="13"/>
    </row>
    <row r="26033">
      <c r="A26033" s="6"/>
      <c r="B26033" s="6"/>
      <c r="H26033" s="13"/>
    </row>
    <row r="26034">
      <c r="A26034" s="6"/>
      <c r="B26034" s="6"/>
      <c r="H26034" s="13"/>
    </row>
    <row r="26035">
      <c r="A26035" s="6"/>
      <c r="B26035" s="6"/>
      <c r="H26035" s="13"/>
    </row>
    <row r="26036">
      <c r="A26036" s="6"/>
      <c r="B26036" s="6"/>
      <c r="H26036" s="13"/>
    </row>
    <row r="26037">
      <c r="A26037" s="6"/>
      <c r="B26037" s="6"/>
      <c r="H26037" s="13"/>
    </row>
    <row r="26038">
      <c r="A26038" s="6"/>
      <c r="B26038" s="6"/>
      <c r="H26038" s="13"/>
    </row>
    <row r="26039">
      <c r="A26039" s="6"/>
      <c r="B26039" s="6"/>
      <c r="H26039" s="13"/>
    </row>
    <row r="26040">
      <c r="A26040" s="6"/>
      <c r="B26040" s="6"/>
      <c r="H26040" s="13"/>
    </row>
    <row r="26041">
      <c r="A26041" s="6"/>
      <c r="B26041" s="6"/>
      <c r="H26041" s="13"/>
    </row>
    <row r="26042">
      <c r="A26042" s="6"/>
      <c r="B26042" s="6"/>
      <c r="H26042" s="13"/>
    </row>
    <row r="26043">
      <c r="A26043" s="6"/>
      <c r="B26043" s="6"/>
      <c r="H26043" s="13"/>
    </row>
    <row r="26044">
      <c r="A26044" s="6"/>
      <c r="B26044" s="6"/>
      <c r="H26044" s="13"/>
    </row>
    <row r="26045">
      <c r="A26045" s="6"/>
      <c r="B26045" s="6"/>
      <c r="H26045" s="13"/>
    </row>
    <row r="26046">
      <c r="A26046" s="6"/>
      <c r="B26046" s="6"/>
      <c r="H26046" s="13"/>
    </row>
    <row r="26047">
      <c r="A26047" s="6"/>
      <c r="B26047" s="6"/>
      <c r="H26047" s="13"/>
    </row>
    <row r="26048">
      <c r="A26048" s="6"/>
      <c r="B26048" s="6"/>
      <c r="H26048" s="13"/>
    </row>
    <row r="26049">
      <c r="A26049" s="6"/>
      <c r="B26049" s="6"/>
      <c r="H26049" s="13"/>
    </row>
    <row r="26050">
      <c r="A26050" s="6"/>
      <c r="B26050" s="6"/>
      <c r="H26050" s="13"/>
    </row>
    <row r="26051">
      <c r="A26051" s="6"/>
      <c r="B26051" s="6"/>
      <c r="H26051" s="13"/>
    </row>
    <row r="26052">
      <c r="A26052" s="6"/>
      <c r="B26052" s="6"/>
      <c r="H26052" s="13"/>
    </row>
    <row r="26053">
      <c r="A26053" s="6"/>
      <c r="B26053" s="6"/>
      <c r="H26053" s="13"/>
    </row>
    <row r="26054">
      <c r="A26054" s="6"/>
      <c r="B26054" s="6"/>
      <c r="H26054" s="13"/>
    </row>
    <row r="26055">
      <c r="A26055" s="6"/>
      <c r="B26055" s="6"/>
      <c r="H26055" s="13"/>
    </row>
    <row r="26056">
      <c r="A26056" s="6"/>
      <c r="B26056" s="6"/>
      <c r="H26056" s="13"/>
    </row>
    <row r="26057">
      <c r="A26057" s="6"/>
      <c r="B26057" s="6"/>
      <c r="H26057" s="13"/>
    </row>
    <row r="26058">
      <c r="A26058" s="6"/>
      <c r="B26058" s="6"/>
      <c r="H26058" s="13"/>
    </row>
    <row r="26059">
      <c r="A26059" s="6"/>
      <c r="B26059" s="6"/>
      <c r="H26059" s="13"/>
    </row>
    <row r="26060">
      <c r="A26060" s="6"/>
      <c r="B26060" s="6"/>
      <c r="H26060" s="13"/>
    </row>
    <row r="26061">
      <c r="A26061" s="6"/>
      <c r="B26061" s="6"/>
      <c r="H26061" s="13"/>
    </row>
    <row r="26062">
      <c r="A26062" s="6"/>
      <c r="B26062" s="6"/>
      <c r="H26062" s="13"/>
    </row>
    <row r="26063">
      <c r="A26063" s="6"/>
      <c r="B26063" s="6"/>
      <c r="H26063" s="13"/>
    </row>
    <row r="26064">
      <c r="A26064" s="6"/>
      <c r="B26064" s="6"/>
      <c r="H26064" s="13"/>
    </row>
    <row r="26065">
      <c r="A26065" s="6"/>
      <c r="B26065" s="6"/>
      <c r="H26065" s="13"/>
    </row>
    <row r="26066">
      <c r="A26066" s="6"/>
      <c r="B26066" s="6"/>
      <c r="H26066" s="13"/>
    </row>
    <row r="26067">
      <c r="A26067" s="6"/>
      <c r="B26067" s="6"/>
      <c r="H26067" s="13"/>
    </row>
    <row r="26068">
      <c r="A26068" s="6"/>
      <c r="B26068" s="6"/>
      <c r="H26068" s="13"/>
    </row>
    <row r="26069">
      <c r="A26069" s="6"/>
      <c r="B26069" s="6"/>
      <c r="H26069" s="13"/>
    </row>
    <row r="26070">
      <c r="A26070" s="6"/>
      <c r="B26070" s="6"/>
      <c r="H26070" s="13"/>
    </row>
    <row r="26071">
      <c r="A26071" s="6"/>
      <c r="B26071" s="6"/>
      <c r="H26071" s="13"/>
    </row>
    <row r="26072">
      <c r="A26072" s="6"/>
      <c r="B26072" s="6"/>
      <c r="H26072" s="13"/>
    </row>
    <row r="26073">
      <c r="A26073" s="6"/>
      <c r="B26073" s="6"/>
      <c r="H26073" s="13"/>
    </row>
    <row r="26074">
      <c r="A26074" s="6"/>
      <c r="B26074" s="6"/>
      <c r="H26074" s="13"/>
    </row>
    <row r="26075">
      <c r="A26075" s="6"/>
      <c r="B26075" s="6"/>
      <c r="H26075" s="13"/>
    </row>
    <row r="26076">
      <c r="A26076" s="6"/>
      <c r="B26076" s="6"/>
      <c r="H26076" s="13"/>
    </row>
    <row r="26077">
      <c r="A26077" s="6"/>
      <c r="B26077" s="6"/>
      <c r="H26077" s="13"/>
    </row>
    <row r="26078">
      <c r="A26078" s="6"/>
      <c r="B26078" s="6"/>
      <c r="H26078" s="13"/>
    </row>
    <row r="26079">
      <c r="A26079" s="6"/>
      <c r="B26079" s="6"/>
      <c r="H26079" s="13"/>
    </row>
    <row r="26080">
      <c r="A26080" s="6"/>
      <c r="B26080" s="6"/>
      <c r="H26080" s="13"/>
    </row>
    <row r="26081">
      <c r="A26081" s="6"/>
      <c r="B26081" s="6"/>
      <c r="H26081" s="13"/>
    </row>
    <row r="26082">
      <c r="A26082" s="6"/>
      <c r="B26082" s="6"/>
      <c r="H26082" s="13"/>
    </row>
    <row r="26083">
      <c r="A26083" s="6"/>
      <c r="B26083" s="6"/>
      <c r="H26083" s="13"/>
    </row>
    <row r="26084">
      <c r="A26084" s="6"/>
      <c r="B26084" s="6"/>
      <c r="H26084" s="13"/>
    </row>
    <row r="26085">
      <c r="A26085" s="6"/>
      <c r="B26085" s="6"/>
      <c r="H26085" s="13"/>
    </row>
    <row r="26086">
      <c r="A26086" s="6"/>
      <c r="B26086" s="6"/>
      <c r="H26086" s="13"/>
    </row>
    <row r="26087">
      <c r="A26087" s="6"/>
      <c r="B26087" s="6"/>
      <c r="H26087" s="13"/>
    </row>
    <row r="26088">
      <c r="A26088" s="6"/>
      <c r="B26088" s="6"/>
      <c r="H26088" s="13"/>
    </row>
    <row r="26089">
      <c r="A26089" s="6"/>
      <c r="B26089" s="6"/>
      <c r="H26089" s="13"/>
    </row>
    <row r="26090">
      <c r="A26090" s="6"/>
      <c r="B26090" s="6"/>
      <c r="H26090" s="13"/>
    </row>
    <row r="26091">
      <c r="A26091" s="6"/>
      <c r="B26091" s="6"/>
      <c r="H26091" s="13"/>
    </row>
    <row r="26092">
      <c r="A26092" s="6"/>
      <c r="B26092" s="6"/>
      <c r="H26092" s="13"/>
    </row>
    <row r="26093">
      <c r="A26093" s="6"/>
      <c r="B26093" s="6"/>
      <c r="H26093" s="13"/>
    </row>
    <row r="26094">
      <c r="A26094" s="6"/>
      <c r="B26094" s="6"/>
      <c r="H26094" s="13"/>
    </row>
    <row r="26095">
      <c r="A26095" s="6"/>
      <c r="B26095" s="6"/>
      <c r="H26095" s="13"/>
    </row>
    <row r="26096">
      <c r="A26096" s="6"/>
      <c r="B26096" s="6"/>
      <c r="H26096" s="13"/>
    </row>
    <row r="26097">
      <c r="A26097" s="6"/>
      <c r="B26097" s="6"/>
      <c r="H26097" s="13"/>
    </row>
    <row r="26098">
      <c r="A26098" s="6"/>
      <c r="B26098" s="6"/>
      <c r="H26098" s="13"/>
    </row>
    <row r="26099">
      <c r="A26099" s="6"/>
      <c r="B26099" s="6"/>
      <c r="H26099" s="13"/>
    </row>
    <row r="26100">
      <c r="A26100" s="6"/>
      <c r="B26100" s="6"/>
      <c r="H26100" s="13"/>
    </row>
    <row r="26101">
      <c r="A26101" s="6"/>
      <c r="B26101" s="6"/>
      <c r="H26101" s="13"/>
    </row>
    <row r="26102">
      <c r="A26102" s="6"/>
      <c r="B26102" s="6"/>
      <c r="H26102" s="13"/>
    </row>
    <row r="26103">
      <c r="A26103" s="6"/>
      <c r="B26103" s="6"/>
      <c r="H26103" s="13"/>
    </row>
    <row r="26104">
      <c r="A26104" s="6"/>
      <c r="B26104" s="6"/>
      <c r="H26104" s="13"/>
    </row>
    <row r="26105">
      <c r="A26105" s="6"/>
      <c r="B26105" s="6"/>
      <c r="H26105" s="13"/>
    </row>
    <row r="26106">
      <c r="A26106" s="6"/>
      <c r="B26106" s="6"/>
      <c r="H26106" s="13"/>
    </row>
    <row r="26107">
      <c r="A26107" s="6"/>
      <c r="B26107" s="6"/>
      <c r="H26107" s="13"/>
    </row>
    <row r="26108">
      <c r="A26108" s="6"/>
      <c r="B26108" s="6"/>
      <c r="H26108" s="13"/>
    </row>
    <row r="26109">
      <c r="A26109" s="6"/>
      <c r="B26109" s="6"/>
      <c r="H26109" s="13"/>
    </row>
    <row r="26110">
      <c r="A26110" s="6"/>
      <c r="B26110" s="6"/>
      <c r="H26110" s="13"/>
    </row>
    <row r="26111">
      <c r="A26111" s="6"/>
      <c r="B26111" s="6"/>
      <c r="H26111" s="13"/>
    </row>
    <row r="26112">
      <c r="A26112" s="6"/>
      <c r="B26112" s="6"/>
      <c r="H26112" s="13"/>
    </row>
    <row r="26113">
      <c r="A26113" s="6"/>
      <c r="B26113" s="6"/>
      <c r="H26113" s="13"/>
    </row>
    <row r="26114">
      <c r="A26114" s="6"/>
      <c r="B26114" s="6"/>
      <c r="H26114" s="13"/>
    </row>
    <row r="26115">
      <c r="A26115" s="6"/>
      <c r="B26115" s="6"/>
      <c r="H26115" s="13"/>
    </row>
    <row r="26116">
      <c r="A26116" s="6"/>
      <c r="B26116" s="6"/>
      <c r="H26116" s="13"/>
    </row>
    <row r="26117">
      <c r="A26117" s="6"/>
      <c r="B26117" s="6"/>
      <c r="H26117" s="13"/>
    </row>
    <row r="26118">
      <c r="A26118" s="6"/>
      <c r="B26118" s="6"/>
      <c r="H26118" s="13"/>
    </row>
    <row r="26119">
      <c r="A26119" s="6"/>
      <c r="B26119" s="6"/>
      <c r="H26119" s="13"/>
    </row>
    <row r="26120">
      <c r="A26120" s="6"/>
      <c r="B26120" s="6"/>
      <c r="H26120" s="13"/>
    </row>
    <row r="26121">
      <c r="A26121" s="6"/>
      <c r="B26121" s="6"/>
      <c r="H26121" s="13"/>
    </row>
    <row r="26122">
      <c r="A26122" s="6"/>
      <c r="B26122" s="6"/>
      <c r="H26122" s="13"/>
    </row>
    <row r="26123">
      <c r="A26123" s="6"/>
      <c r="B26123" s="6"/>
      <c r="H26123" s="13"/>
    </row>
    <row r="26124">
      <c r="A26124" s="6"/>
      <c r="B26124" s="6"/>
      <c r="H26124" s="13"/>
    </row>
    <row r="26125">
      <c r="A26125" s="6"/>
      <c r="B26125" s="6"/>
      <c r="H26125" s="13"/>
    </row>
    <row r="26126">
      <c r="A26126" s="6"/>
      <c r="B26126" s="6"/>
      <c r="H26126" s="13"/>
    </row>
    <row r="26127">
      <c r="A26127" s="6"/>
      <c r="B26127" s="6"/>
      <c r="H26127" s="13"/>
    </row>
    <row r="26128">
      <c r="A26128" s="6"/>
      <c r="B26128" s="6"/>
      <c r="H26128" s="13"/>
    </row>
    <row r="26129">
      <c r="A26129" s="6"/>
      <c r="B26129" s="6"/>
      <c r="H26129" s="13"/>
    </row>
    <row r="26130">
      <c r="A26130" s="6"/>
      <c r="B26130" s="6"/>
      <c r="H26130" s="13"/>
    </row>
    <row r="26131">
      <c r="A26131" s="6"/>
      <c r="B26131" s="6"/>
      <c r="H26131" s="13"/>
    </row>
    <row r="26132">
      <c r="A26132" s="6"/>
      <c r="B26132" s="6"/>
      <c r="H26132" s="13"/>
    </row>
    <row r="26133">
      <c r="A26133" s="6"/>
      <c r="B26133" s="6"/>
      <c r="H26133" s="13"/>
    </row>
    <row r="26134">
      <c r="A26134" s="6"/>
      <c r="B26134" s="6"/>
      <c r="H26134" s="13"/>
    </row>
    <row r="26135">
      <c r="A26135" s="6"/>
      <c r="B26135" s="6"/>
      <c r="H26135" s="13"/>
    </row>
    <row r="26136">
      <c r="A26136" s="6"/>
      <c r="B26136" s="6"/>
      <c r="H26136" s="13"/>
    </row>
    <row r="26137">
      <c r="A26137" s="6"/>
      <c r="B26137" s="6"/>
      <c r="H26137" s="13"/>
    </row>
    <row r="26138">
      <c r="A26138" s="6"/>
      <c r="B26138" s="6"/>
      <c r="H26138" s="13"/>
    </row>
    <row r="26139">
      <c r="A26139" s="6"/>
      <c r="B26139" s="6"/>
      <c r="H26139" s="13"/>
    </row>
    <row r="26140">
      <c r="A26140" s="6"/>
      <c r="B26140" s="6"/>
      <c r="H26140" s="13"/>
    </row>
    <row r="26141">
      <c r="A26141" s="6"/>
      <c r="B26141" s="6"/>
      <c r="H26141" s="13"/>
    </row>
    <row r="26142">
      <c r="A26142" s="6"/>
      <c r="B26142" s="6"/>
      <c r="H26142" s="13"/>
    </row>
    <row r="26143">
      <c r="A26143" s="6"/>
      <c r="B26143" s="6"/>
      <c r="H26143" s="13"/>
    </row>
    <row r="26144">
      <c r="A26144" s="6"/>
      <c r="B26144" s="6"/>
      <c r="H26144" s="13"/>
    </row>
    <row r="26145">
      <c r="A26145" s="6"/>
      <c r="B26145" s="6"/>
      <c r="H26145" s="13"/>
    </row>
    <row r="26146">
      <c r="A26146" s="6"/>
      <c r="B26146" s="6"/>
      <c r="H26146" s="13"/>
    </row>
    <row r="26147">
      <c r="A26147" s="6"/>
      <c r="B26147" s="6"/>
      <c r="H26147" s="13"/>
    </row>
    <row r="26148">
      <c r="A26148" s="6"/>
      <c r="B26148" s="6"/>
      <c r="H26148" s="13"/>
    </row>
    <row r="26149">
      <c r="A26149" s="6"/>
      <c r="B26149" s="6"/>
      <c r="H26149" s="13"/>
    </row>
    <row r="26150">
      <c r="A26150" s="6"/>
      <c r="B26150" s="6"/>
      <c r="H26150" s="13"/>
    </row>
    <row r="26151">
      <c r="A26151" s="6"/>
      <c r="B26151" s="6"/>
      <c r="H26151" s="13"/>
    </row>
    <row r="26152">
      <c r="A26152" s="6"/>
      <c r="B26152" s="6"/>
      <c r="H26152" s="13"/>
    </row>
    <row r="26153">
      <c r="A26153" s="6"/>
      <c r="B26153" s="6"/>
      <c r="H26153" s="13"/>
    </row>
    <row r="26154">
      <c r="A26154" s="6"/>
      <c r="B26154" s="6"/>
      <c r="H26154" s="13"/>
    </row>
    <row r="26155">
      <c r="A26155" s="6"/>
      <c r="B26155" s="6"/>
      <c r="H26155" s="13"/>
    </row>
    <row r="26156">
      <c r="A26156" s="6"/>
      <c r="B26156" s="6"/>
      <c r="H26156" s="13"/>
    </row>
    <row r="26157">
      <c r="A26157" s="6"/>
      <c r="B26157" s="6"/>
      <c r="H26157" s="13"/>
    </row>
    <row r="26158">
      <c r="A26158" s="6"/>
      <c r="B26158" s="6"/>
      <c r="H26158" s="13"/>
    </row>
    <row r="26159">
      <c r="A26159" s="6"/>
      <c r="B26159" s="6"/>
      <c r="H26159" s="13"/>
    </row>
    <row r="26160">
      <c r="A26160" s="6"/>
      <c r="B26160" s="6"/>
      <c r="H26160" s="13"/>
    </row>
    <row r="26161">
      <c r="A26161" s="6"/>
      <c r="B26161" s="6"/>
      <c r="H26161" s="13"/>
    </row>
    <row r="26162">
      <c r="A26162" s="6"/>
      <c r="B26162" s="6"/>
      <c r="H26162" s="13"/>
    </row>
    <row r="26163">
      <c r="A26163" s="6"/>
      <c r="B26163" s="6"/>
      <c r="H26163" s="13"/>
    </row>
    <row r="26164">
      <c r="A26164" s="6"/>
      <c r="B26164" s="6"/>
      <c r="H26164" s="13"/>
    </row>
    <row r="26165">
      <c r="A26165" s="6"/>
      <c r="B26165" s="6"/>
      <c r="H26165" s="13"/>
    </row>
    <row r="26166">
      <c r="A26166" s="6"/>
      <c r="B26166" s="6"/>
      <c r="H26166" s="13"/>
    </row>
    <row r="26167">
      <c r="A26167" s="6"/>
      <c r="B26167" s="6"/>
      <c r="H26167" s="13"/>
    </row>
    <row r="26168">
      <c r="A26168" s="6"/>
      <c r="B26168" s="6"/>
      <c r="H26168" s="13"/>
    </row>
    <row r="26169">
      <c r="A26169" s="6"/>
      <c r="B26169" s="6"/>
      <c r="H26169" s="13"/>
    </row>
    <row r="26170">
      <c r="A26170" s="6"/>
      <c r="B26170" s="6"/>
      <c r="H26170" s="13"/>
    </row>
    <row r="26171">
      <c r="A26171" s="6"/>
      <c r="B26171" s="6"/>
      <c r="H26171" s="13"/>
    </row>
    <row r="26172">
      <c r="A26172" s="6"/>
      <c r="B26172" s="6"/>
      <c r="H26172" s="13"/>
    </row>
    <row r="26173">
      <c r="A26173" s="6"/>
      <c r="B26173" s="6"/>
      <c r="H26173" s="13"/>
    </row>
    <row r="26174">
      <c r="A26174" s="6"/>
      <c r="B26174" s="6"/>
      <c r="H26174" s="13"/>
    </row>
    <row r="26175">
      <c r="A26175" s="6"/>
      <c r="B26175" s="6"/>
      <c r="H26175" s="13"/>
    </row>
    <row r="26176">
      <c r="A26176" s="6"/>
      <c r="B26176" s="6"/>
      <c r="H26176" s="13"/>
    </row>
    <row r="26177">
      <c r="A26177" s="6"/>
      <c r="B26177" s="6"/>
      <c r="H26177" s="13"/>
    </row>
    <row r="26178">
      <c r="A26178" s="6"/>
      <c r="B26178" s="6"/>
      <c r="H26178" s="13"/>
    </row>
    <row r="26179">
      <c r="A26179" s="6"/>
      <c r="B26179" s="6"/>
      <c r="H26179" s="13"/>
    </row>
    <row r="26180">
      <c r="A26180" s="6"/>
      <c r="B26180" s="6"/>
      <c r="H26180" s="13"/>
    </row>
    <row r="26181">
      <c r="A26181" s="6"/>
      <c r="B26181" s="6"/>
      <c r="H26181" s="13"/>
    </row>
    <row r="26182">
      <c r="A26182" s="6"/>
      <c r="B26182" s="6"/>
      <c r="H26182" s="13"/>
    </row>
    <row r="26183">
      <c r="A26183" s="6"/>
      <c r="B26183" s="6"/>
      <c r="H26183" s="13"/>
    </row>
    <row r="26184">
      <c r="A26184" s="6"/>
      <c r="B26184" s="6"/>
      <c r="H26184" s="13"/>
    </row>
    <row r="26185">
      <c r="A26185" s="6"/>
      <c r="B26185" s="6"/>
      <c r="H26185" s="13"/>
    </row>
    <row r="26186">
      <c r="A26186" s="6"/>
      <c r="B26186" s="6"/>
      <c r="H26186" s="13"/>
    </row>
    <row r="26187">
      <c r="A26187" s="6"/>
      <c r="B26187" s="6"/>
      <c r="H26187" s="13"/>
    </row>
    <row r="26188">
      <c r="A26188" s="6"/>
      <c r="B26188" s="6"/>
      <c r="H26188" s="13"/>
    </row>
    <row r="26189">
      <c r="A26189" s="6"/>
      <c r="B26189" s="6"/>
      <c r="H26189" s="13"/>
    </row>
    <row r="26190">
      <c r="A26190" s="6"/>
      <c r="B26190" s="6"/>
      <c r="H26190" s="13"/>
    </row>
    <row r="26191">
      <c r="A26191" s="6"/>
      <c r="B26191" s="6"/>
      <c r="H26191" s="13"/>
    </row>
    <row r="26192">
      <c r="A26192" s="6"/>
      <c r="B26192" s="6"/>
      <c r="H26192" s="13"/>
    </row>
    <row r="26193">
      <c r="A26193" s="6"/>
      <c r="B26193" s="6"/>
      <c r="H26193" s="13"/>
    </row>
    <row r="26194">
      <c r="A26194" s="6"/>
      <c r="B26194" s="6"/>
      <c r="H26194" s="13"/>
    </row>
    <row r="26195">
      <c r="A26195" s="6"/>
      <c r="B26195" s="6"/>
      <c r="H26195" s="13"/>
    </row>
    <row r="26196">
      <c r="A26196" s="6"/>
      <c r="B26196" s="6"/>
      <c r="H26196" s="13"/>
    </row>
    <row r="26197">
      <c r="A26197" s="6"/>
      <c r="B26197" s="6"/>
      <c r="H26197" s="13"/>
    </row>
    <row r="26198">
      <c r="A26198" s="6"/>
      <c r="B26198" s="6"/>
      <c r="H26198" s="13"/>
    </row>
    <row r="26199">
      <c r="A26199" s="6"/>
      <c r="B26199" s="6"/>
      <c r="H26199" s="13"/>
    </row>
    <row r="26200">
      <c r="A26200" s="6"/>
      <c r="B26200" s="6"/>
      <c r="H26200" s="13"/>
    </row>
    <row r="26201">
      <c r="A26201" s="6"/>
      <c r="B26201" s="6"/>
      <c r="H26201" s="13"/>
    </row>
    <row r="26202">
      <c r="A26202" s="6"/>
      <c r="B26202" s="6"/>
      <c r="H26202" s="13"/>
    </row>
    <row r="26203">
      <c r="A26203" s="6"/>
      <c r="B26203" s="6"/>
      <c r="H26203" s="13"/>
    </row>
    <row r="26204">
      <c r="A26204" s="6"/>
      <c r="B26204" s="6"/>
      <c r="H26204" s="13"/>
    </row>
    <row r="26205">
      <c r="A26205" s="6"/>
      <c r="B26205" s="6"/>
      <c r="H26205" s="13"/>
    </row>
    <row r="26206">
      <c r="A26206" s="6"/>
      <c r="B26206" s="6"/>
      <c r="H26206" s="13"/>
    </row>
    <row r="26207">
      <c r="A26207" s="6"/>
      <c r="B26207" s="6"/>
      <c r="H26207" s="13"/>
    </row>
    <row r="26208">
      <c r="A26208" s="6"/>
      <c r="B26208" s="6"/>
      <c r="H26208" s="13"/>
    </row>
    <row r="26209">
      <c r="A26209" s="6"/>
      <c r="B26209" s="6"/>
      <c r="H26209" s="13"/>
    </row>
    <row r="26210">
      <c r="A26210" s="6"/>
      <c r="B26210" s="6"/>
      <c r="H26210" s="13"/>
    </row>
    <row r="26211">
      <c r="A26211" s="6"/>
      <c r="B26211" s="6"/>
      <c r="H26211" s="13"/>
    </row>
    <row r="26212">
      <c r="A26212" s="6"/>
      <c r="B26212" s="6"/>
      <c r="H26212" s="13"/>
    </row>
    <row r="26213">
      <c r="A26213" s="6"/>
      <c r="B26213" s="6"/>
      <c r="H26213" s="13"/>
    </row>
    <row r="26214">
      <c r="A26214" s="6"/>
      <c r="B26214" s="6"/>
      <c r="H26214" s="13"/>
    </row>
    <row r="26215">
      <c r="A26215" s="6"/>
      <c r="B26215" s="6"/>
      <c r="H26215" s="13"/>
    </row>
    <row r="26216">
      <c r="A26216" s="6"/>
      <c r="B26216" s="6"/>
      <c r="H26216" s="13"/>
    </row>
    <row r="26217">
      <c r="A26217" s="6"/>
      <c r="B26217" s="6"/>
      <c r="H26217" s="13"/>
    </row>
    <row r="26218">
      <c r="A26218" s="6"/>
      <c r="B26218" s="6"/>
      <c r="H26218" s="13"/>
    </row>
    <row r="26219">
      <c r="A26219" s="6"/>
      <c r="B26219" s="6"/>
      <c r="H26219" s="13"/>
    </row>
    <row r="26220">
      <c r="A26220" s="6"/>
      <c r="B26220" s="6"/>
      <c r="H26220" s="13"/>
    </row>
    <row r="26221">
      <c r="A26221" s="6"/>
      <c r="B26221" s="6"/>
      <c r="H26221" s="13"/>
    </row>
    <row r="26222">
      <c r="A26222" s="6"/>
      <c r="B26222" s="6"/>
      <c r="H26222" s="13"/>
    </row>
    <row r="26223">
      <c r="A26223" s="6"/>
      <c r="B26223" s="6"/>
      <c r="H26223" s="13"/>
    </row>
    <row r="26224">
      <c r="A26224" s="6"/>
      <c r="B26224" s="6"/>
      <c r="H26224" s="13"/>
    </row>
    <row r="26225">
      <c r="A26225" s="6"/>
      <c r="B26225" s="6"/>
      <c r="H26225" s="13"/>
    </row>
    <row r="26226">
      <c r="A26226" s="6"/>
      <c r="B26226" s="6"/>
      <c r="H26226" s="13"/>
    </row>
    <row r="26227">
      <c r="A26227" s="6"/>
      <c r="B26227" s="6"/>
      <c r="H26227" s="13"/>
    </row>
    <row r="26228">
      <c r="A26228" s="6"/>
      <c r="B26228" s="6"/>
      <c r="H26228" s="13"/>
    </row>
    <row r="26229">
      <c r="A26229" s="6"/>
      <c r="B26229" s="6"/>
      <c r="H26229" s="13"/>
    </row>
    <row r="26230">
      <c r="A26230" s="6"/>
      <c r="B26230" s="6"/>
      <c r="H26230" s="13"/>
    </row>
    <row r="26231">
      <c r="A26231" s="6"/>
      <c r="B26231" s="6"/>
      <c r="H26231" s="13"/>
    </row>
    <row r="26232">
      <c r="A26232" s="6"/>
      <c r="B26232" s="6"/>
      <c r="H26232" s="13"/>
    </row>
    <row r="26233">
      <c r="A26233" s="6"/>
      <c r="B26233" s="6"/>
      <c r="H26233" s="13"/>
    </row>
    <row r="26234">
      <c r="A26234" s="6"/>
      <c r="B26234" s="6"/>
      <c r="H26234" s="13"/>
    </row>
    <row r="26235">
      <c r="A26235" s="6"/>
      <c r="B26235" s="6"/>
      <c r="H26235" s="13"/>
    </row>
    <row r="26236">
      <c r="A26236" s="6"/>
      <c r="B26236" s="6"/>
      <c r="H26236" s="13"/>
    </row>
    <row r="26237">
      <c r="A26237" s="6"/>
      <c r="B26237" s="6"/>
      <c r="H26237" s="13"/>
    </row>
    <row r="26238">
      <c r="A26238" s="6"/>
      <c r="B26238" s="6"/>
      <c r="H26238" s="13"/>
    </row>
    <row r="26239">
      <c r="A26239" s="6"/>
      <c r="B26239" s="6"/>
      <c r="H26239" s="13"/>
    </row>
    <row r="26240">
      <c r="A26240" s="6"/>
      <c r="B26240" s="6"/>
      <c r="H26240" s="13"/>
    </row>
    <row r="26241">
      <c r="A26241" s="6"/>
      <c r="B26241" s="6"/>
      <c r="H26241" s="13"/>
    </row>
    <row r="26242">
      <c r="A26242" s="6"/>
      <c r="B26242" s="6"/>
      <c r="H26242" s="13"/>
    </row>
    <row r="26243">
      <c r="A26243" s="6"/>
      <c r="B26243" s="6"/>
      <c r="H26243" s="13"/>
    </row>
    <row r="26244">
      <c r="A26244" s="6"/>
      <c r="B26244" s="6"/>
      <c r="H26244" s="13"/>
    </row>
    <row r="26245">
      <c r="A26245" s="6"/>
      <c r="B26245" s="6"/>
      <c r="H26245" s="13"/>
    </row>
    <row r="26246">
      <c r="A26246" s="6"/>
      <c r="B26246" s="6"/>
      <c r="H26246" s="13"/>
    </row>
    <row r="26247">
      <c r="A26247" s="6"/>
      <c r="B26247" s="6"/>
      <c r="H26247" s="13"/>
    </row>
    <row r="26248">
      <c r="A26248" s="6"/>
      <c r="B26248" s="6"/>
      <c r="H26248" s="13"/>
    </row>
    <row r="26249">
      <c r="A26249" s="6"/>
      <c r="B26249" s="6"/>
      <c r="H26249" s="13"/>
    </row>
    <row r="26250">
      <c r="A26250" s="6"/>
      <c r="B26250" s="6"/>
      <c r="H26250" s="13"/>
    </row>
    <row r="26251">
      <c r="A26251" s="6"/>
      <c r="B26251" s="6"/>
      <c r="H26251" s="13"/>
    </row>
    <row r="26252">
      <c r="A26252" s="6"/>
      <c r="B26252" s="6"/>
      <c r="H26252" s="13"/>
    </row>
    <row r="26253">
      <c r="A26253" s="6"/>
      <c r="B26253" s="6"/>
      <c r="H26253" s="13"/>
    </row>
    <row r="26254">
      <c r="A26254" s="6"/>
      <c r="B26254" s="6"/>
      <c r="H26254" s="13"/>
    </row>
    <row r="26255">
      <c r="A26255" s="6"/>
      <c r="B26255" s="6"/>
      <c r="H26255" s="13"/>
    </row>
    <row r="26256">
      <c r="A26256" s="6"/>
      <c r="B26256" s="6"/>
      <c r="H26256" s="13"/>
    </row>
    <row r="26257">
      <c r="A26257" s="6"/>
      <c r="B26257" s="6"/>
      <c r="H26257" s="13"/>
    </row>
    <row r="26258">
      <c r="A26258" s="6"/>
      <c r="B26258" s="6"/>
      <c r="H26258" s="13"/>
    </row>
    <row r="26259">
      <c r="A26259" s="6"/>
      <c r="B26259" s="6"/>
      <c r="H26259" s="13"/>
    </row>
    <row r="26260">
      <c r="A26260" s="6"/>
      <c r="B26260" s="6"/>
      <c r="H26260" s="13"/>
    </row>
    <row r="26261">
      <c r="A26261" s="6"/>
      <c r="B26261" s="6"/>
      <c r="H26261" s="13"/>
    </row>
    <row r="26262">
      <c r="A26262" s="6"/>
      <c r="B26262" s="6"/>
      <c r="H26262" s="13"/>
    </row>
    <row r="26263">
      <c r="A26263" s="6"/>
      <c r="B26263" s="6"/>
      <c r="H26263" s="13"/>
    </row>
    <row r="26264">
      <c r="A26264" s="6"/>
      <c r="B26264" s="6"/>
      <c r="H26264" s="13"/>
    </row>
    <row r="26265">
      <c r="A26265" s="6"/>
      <c r="B26265" s="6"/>
      <c r="H26265" s="13"/>
    </row>
    <row r="26266">
      <c r="A26266" s="6"/>
      <c r="B26266" s="6"/>
      <c r="H26266" s="13"/>
    </row>
    <row r="26267">
      <c r="A26267" s="6"/>
      <c r="B26267" s="6"/>
      <c r="H26267" s="13"/>
    </row>
    <row r="26268">
      <c r="A26268" s="6"/>
      <c r="B26268" s="6"/>
      <c r="H26268" s="13"/>
    </row>
    <row r="26269">
      <c r="A26269" s="6"/>
      <c r="B26269" s="6"/>
      <c r="H26269" s="13"/>
    </row>
    <row r="26270">
      <c r="A26270" s="6"/>
      <c r="B26270" s="6"/>
      <c r="H26270" s="13"/>
    </row>
    <row r="26271">
      <c r="A26271" s="6"/>
      <c r="B26271" s="6"/>
      <c r="H26271" s="13"/>
    </row>
    <row r="26272">
      <c r="A26272" s="6"/>
      <c r="B26272" s="6"/>
      <c r="H26272" s="13"/>
    </row>
    <row r="26273">
      <c r="A26273" s="6"/>
      <c r="B26273" s="6"/>
      <c r="H26273" s="13"/>
    </row>
    <row r="26274">
      <c r="A26274" s="6"/>
      <c r="B26274" s="6"/>
      <c r="H26274" s="13"/>
    </row>
    <row r="26275">
      <c r="A26275" s="6"/>
      <c r="B26275" s="6"/>
      <c r="H26275" s="13"/>
    </row>
    <row r="26276">
      <c r="A26276" s="6"/>
      <c r="B26276" s="6"/>
      <c r="H26276" s="13"/>
    </row>
    <row r="26277">
      <c r="A26277" s="6"/>
      <c r="B26277" s="6"/>
      <c r="H26277" s="13"/>
    </row>
    <row r="26278">
      <c r="A26278" s="6"/>
      <c r="B26278" s="6"/>
      <c r="H26278" s="13"/>
    </row>
    <row r="26279">
      <c r="A26279" s="6"/>
      <c r="B26279" s="6"/>
      <c r="H26279" s="13"/>
    </row>
    <row r="26280">
      <c r="A26280" s="6"/>
      <c r="B26280" s="6"/>
      <c r="H26280" s="13"/>
    </row>
    <row r="26281">
      <c r="A26281" s="6"/>
      <c r="B26281" s="6"/>
      <c r="H26281" s="13"/>
    </row>
    <row r="26282">
      <c r="A26282" s="6"/>
      <c r="B26282" s="6"/>
      <c r="H26282" s="13"/>
    </row>
    <row r="26283">
      <c r="A26283" s="6"/>
      <c r="B26283" s="6"/>
      <c r="H26283" s="13"/>
    </row>
    <row r="26284">
      <c r="A26284" s="6"/>
      <c r="B26284" s="6"/>
      <c r="H26284" s="13"/>
    </row>
    <row r="26285">
      <c r="A26285" s="6"/>
      <c r="B26285" s="6"/>
      <c r="H26285" s="13"/>
    </row>
    <row r="26286">
      <c r="A26286" s="6"/>
      <c r="B26286" s="6"/>
      <c r="H26286" s="13"/>
    </row>
    <row r="26287">
      <c r="A26287" s="6"/>
      <c r="B26287" s="6"/>
      <c r="H26287" s="13"/>
    </row>
    <row r="26288">
      <c r="A26288" s="6"/>
      <c r="B26288" s="6"/>
      <c r="H26288" s="13"/>
    </row>
    <row r="26289">
      <c r="A26289" s="6"/>
      <c r="B26289" s="6"/>
      <c r="H26289" s="13"/>
    </row>
    <row r="26290">
      <c r="A26290" s="6"/>
      <c r="B26290" s="6"/>
      <c r="H26290" s="13"/>
    </row>
    <row r="26291">
      <c r="A26291" s="6"/>
      <c r="B26291" s="6"/>
      <c r="H26291" s="13"/>
    </row>
    <row r="26292">
      <c r="A26292" s="6"/>
      <c r="B26292" s="6"/>
      <c r="H26292" s="13"/>
    </row>
    <row r="26293">
      <c r="A26293" s="6"/>
      <c r="B26293" s="6"/>
      <c r="H26293" s="13"/>
    </row>
    <row r="26294">
      <c r="A26294" s="6"/>
      <c r="B26294" s="6"/>
      <c r="H26294" s="13"/>
    </row>
    <row r="26295">
      <c r="A26295" s="6"/>
      <c r="B26295" s="6"/>
      <c r="H26295" s="13"/>
    </row>
    <row r="26296">
      <c r="A26296" s="6"/>
      <c r="B26296" s="6"/>
      <c r="H26296" s="13"/>
    </row>
    <row r="26297">
      <c r="A26297" s="6"/>
      <c r="B26297" s="6"/>
      <c r="H26297" s="13"/>
    </row>
    <row r="26298">
      <c r="A26298" s="6"/>
      <c r="B26298" s="6"/>
      <c r="H26298" s="13"/>
    </row>
    <row r="26299">
      <c r="A26299" s="6"/>
      <c r="B26299" s="6"/>
      <c r="H26299" s="13"/>
    </row>
    <row r="26300">
      <c r="A26300" s="6"/>
      <c r="B26300" s="6"/>
      <c r="H26300" s="13"/>
    </row>
    <row r="26301">
      <c r="A26301" s="6"/>
      <c r="B26301" s="6"/>
      <c r="H26301" s="13"/>
    </row>
    <row r="26302">
      <c r="A26302" s="6"/>
      <c r="B26302" s="6"/>
      <c r="H26302" s="13"/>
    </row>
    <row r="26303">
      <c r="A26303" s="6"/>
      <c r="B26303" s="6"/>
      <c r="H26303" s="13"/>
    </row>
    <row r="26304">
      <c r="A26304" s="6"/>
      <c r="B26304" s="6"/>
      <c r="H26304" s="13"/>
    </row>
    <row r="26305">
      <c r="A26305" s="6"/>
      <c r="B26305" s="6"/>
      <c r="H26305" s="13"/>
    </row>
    <row r="26306">
      <c r="A26306" s="6"/>
      <c r="B26306" s="6"/>
      <c r="H26306" s="13"/>
    </row>
    <row r="26307">
      <c r="A26307" s="6"/>
      <c r="B26307" s="6"/>
      <c r="H26307" s="13"/>
    </row>
    <row r="26308">
      <c r="A26308" s="6"/>
      <c r="B26308" s="6"/>
      <c r="H26308" s="13"/>
    </row>
    <row r="26309">
      <c r="A26309" s="6"/>
      <c r="B26309" s="6"/>
      <c r="H26309" s="13"/>
    </row>
    <row r="26310">
      <c r="A26310" s="6"/>
      <c r="B26310" s="6"/>
      <c r="H26310" s="13"/>
    </row>
    <row r="26311">
      <c r="A26311" s="6"/>
      <c r="B26311" s="6"/>
      <c r="H26311" s="13"/>
    </row>
    <row r="26312">
      <c r="A26312" s="6"/>
      <c r="B26312" s="6"/>
      <c r="H26312" s="13"/>
    </row>
    <row r="26313">
      <c r="A26313" s="6"/>
      <c r="B26313" s="6"/>
      <c r="H26313" s="13"/>
    </row>
    <row r="26314">
      <c r="A26314" s="6"/>
      <c r="B26314" s="6"/>
      <c r="H26314" s="13"/>
    </row>
    <row r="26315">
      <c r="A26315" s="6"/>
      <c r="B26315" s="6"/>
      <c r="H26315" s="13"/>
    </row>
    <row r="26316">
      <c r="A26316" s="6"/>
      <c r="B26316" s="6"/>
      <c r="H26316" s="13"/>
    </row>
    <row r="26317">
      <c r="A26317" s="6"/>
      <c r="B26317" s="6"/>
      <c r="H26317" s="13"/>
    </row>
    <row r="26318">
      <c r="A26318" s="6"/>
      <c r="B26318" s="6"/>
      <c r="H26318" s="13"/>
    </row>
    <row r="26319">
      <c r="A26319" s="6"/>
      <c r="B26319" s="6"/>
      <c r="H26319" s="13"/>
    </row>
    <row r="26320">
      <c r="A26320" s="6"/>
      <c r="B26320" s="6"/>
      <c r="H26320" s="13"/>
    </row>
    <row r="26321">
      <c r="A26321" s="6"/>
      <c r="B26321" s="6"/>
      <c r="H26321" s="13"/>
    </row>
    <row r="26322">
      <c r="A26322" s="6"/>
      <c r="B26322" s="6"/>
      <c r="H26322" s="13"/>
    </row>
    <row r="26323">
      <c r="A26323" s="6"/>
      <c r="B26323" s="6"/>
      <c r="H26323" s="13"/>
    </row>
    <row r="26324">
      <c r="A26324" s="6"/>
      <c r="B26324" s="6"/>
      <c r="H26324" s="13"/>
    </row>
    <row r="26325">
      <c r="A26325" s="6"/>
      <c r="B26325" s="6"/>
      <c r="H26325" s="13"/>
    </row>
    <row r="26326">
      <c r="A26326" s="6"/>
      <c r="B26326" s="6"/>
      <c r="H26326" s="13"/>
    </row>
    <row r="26327">
      <c r="A26327" s="6"/>
      <c r="B26327" s="6"/>
      <c r="H26327" s="13"/>
    </row>
    <row r="26328">
      <c r="A26328" s="6"/>
      <c r="B26328" s="6"/>
      <c r="H26328" s="13"/>
    </row>
    <row r="26329">
      <c r="A26329" s="6"/>
      <c r="B26329" s="6"/>
      <c r="H26329" s="13"/>
    </row>
    <row r="26330">
      <c r="A26330" s="6"/>
      <c r="B26330" s="6"/>
      <c r="H26330" s="13"/>
    </row>
    <row r="26331">
      <c r="A26331" s="6"/>
      <c r="B26331" s="6"/>
      <c r="H26331" s="13"/>
    </row>
    <row r="26332">
      <c r="A26332" s="6"/>
      <c r="B26332" s="6"/>
      <c r="H26332" s="13"/>
    </row>
    <row r="26333">
      <c r="A26333" s="6"/>
      <c r="B26333" s="6"/>
      <c r="H26333" s="13"/>
    </row>
    <row r="26334">
      <c r="A26334" s="6"/>
      <c r="B26334" s="6"/>
      <c r="H26334" s="13"/>
    </row>
    <row r="26335">
      <c r="A26335" s="6"/>
      <c r="B26335" s="6"/>
      <c r="H26335" s="13"/>
    </row>
    <row r="26336">
      <c r="A26336" s="6"/>
      <c r="B26336" s="6"/>
      <c r="H26336" s="13"/>
    </row>
    <row r="26337">
      <c r="A26337" s="6"/>
      <c r="B26337" s="6"/>
      <c r="H26337" s="13"/>
    </row>
    <row r="26338">
      <c r="A26338" s="6"/>
      <c r="B26338" s="6"/>
      <c r="H26338" s="13"/>
    </row>
    <row r="26339">
      <c r="A26339" s="6"/>
      <c r="B26339" s="6"/>
      <c r="H26339" s="13"/>
    </row>
    <row r="26340">
      <c r="A26340" s="6"/>
      <c r="B26340" s="6"/>
      <c r="H26340" s="13"/>
    </row>
    <row r="26341">
      <c r="A26341" s="6"/>
      <c r="B26341" s="6"/>
      <c r="H26341" s="13"/>
    </row>
    <row r="26342">
      <c r="A26342" s="6"/>
      <c r="B26342" s="6"/>
      <c r="H26342" s="13"/>
    </row>
    <row r="26343">
      <c r="A26343" s="6"/>
      <c r="B26343" s="6"/>
      <c r="H26343" s="13"/>
    </row>
    <row r="26344">
      <c r="A26344" s="6"/>
      <c r="B26344" s="6"/>
      <c r="H26344" s="13"/>
    </row>
    <row r="26345">
      <c r="A26345" s="6"/>
      <c r="B26345" s="6"/>
      <c r="H26345" s="13"/>
    </row>
    <row r="26346">
      <c r="A26346" s="6"/>
      <c r="B26346" s="6"/>
      <c r="H26346" s="13"/>
    </row>
    <row r="26347">
      <c r="A26347" s="6"/>
      <c r="B26347" s="6"/>
      <c r="H26347" s="13"/>
    </row>
    <row r="26348">
      <c r="A26348" s="6"/>
      <c r="B26348" s="6"/>
      <c r="H26348" s="13"/>
    </row>
    <row r="26349">
      <c r="A26349" s="6"/>
      <c r="B26349" s="6"/>
      <c r="H26349" s="13"/>
    </row>
    <row r="26350">
      <c r="A26350" s="6"/>
      <c r="B26350" s="6"/>
      <c r="H26350" s="13"/>
    </row>
    <row r="26351">
      <c r="A26351" s="6"/>
      <c r="B26351" s="6"/>
      <c r="H26351" s="13"/>
    </row>
    <row r="26352">
      <c r="A26352" s="6"/>
      <c r="B26352" s="6"/>
      <c r="H26352" s="13"/>
    </row>
    <row r="26353">
      <c r="A26353" s="6"/>
      <c r="B26353" s="6"/>
      <c r="H26353" s="13"/>
    </row>
    <row r="26354">
      <c r="A26354" s="6"/>
      <c r="B26354" s="6"/>
      <c r="H26354" s="13"/>
    </row>
    <row r="26355">
      <c r="A26355" s="6"/>
      <c r="B26355" s="6"/>
      <c r="H26355" s="13"/>
    </row>
    <row r="26356">
      <c r="A26356" s="6"/>
      <c r="B26356" s="6"/>
      <c r="H26356" s="13"/>
    </row>
    <row r="26357">
      <c r="A26357" s="6"/>
      <c r="B26357" s="6"/>
      <c r="H26357" s="13"/>
    </row>
    <row r="26358">
      <c r="A26358" s="6"/>
      <c r="B26358" s="6"/>
      <c r="H26358" s="13"/>
    </row>
    <row r="26359">
      <c r="A26359" s="6"/>
      <c r="B26359" s="6"/>
      <c r="H26359" s="13"/>
    </row>
    <row r="26360">
      <c r="A26360" s="6"/>
      <c r="B26360" s="6"/>
      <c r="H26360" s="13"/>
    </row>
    <row r="26361">
      <c r="A26361" s="6"/>
      <c r="B26361" s="6"/>
      <c r="H26361" s="13"/>
    </row>
    <row r="26362">
      <c r="A26362" s="6"/>
      <c r="B26362" s="6"/>
      <c r="H26362" s="13"/>
    </row>
    <row r="26363">
      <c r="A26363" s="6"/>
      <c r="B26363" s="6"/>
      <c r="H26363" s="13"/>
    </row>
    <row r="26364">
      <c r="A26364" s="6"/>
      <c r="B26364" s="6"/>
      <c r="H26364" s="13"/>
    </row>
    <row r="26365">
      <c r="A26365" s="6"/>
      <c r="B26365" s="6"/>
      <c r="H26365" s="13"/>
    </row>
    <row r="26366">
      <c r="A26366" s="6"/>
      <c r="B26366" s="6"/>
      <c r="H26366" s="13"/>
    </row>
    <row r="26367">
      <c r="A26367" s="6"/>
      <c r="B26367" s="6"/>
      <c r="H26367" s="13"/>
    </row>
    <row r="26368">
      <c r="A26368" s="6"/>
      <c r="B26368" s="6"/>
      <c r="H26368" s="13"/>
    </row>
    <row r="26369">
      <c r="A26369" s="6"/>
      <c r="B26369" s="6"/>
      <c r="H26369" s="13"/>
    </row>
    <row r="26370">
      <c r="A26370" s="6"/>
      <c r="B26370" s="6"/>
      <c r="H26370" s="13"/>
    </row>
    <row r="26371">
      <c r="A26371" s="6"/>
      <c r="B26371" s="6"/>
      <c r="H26371" s="13"/>
    </row>
    <row r="26372">
      <c r="A26372" s="6"/>
      <c r="B26372" s="6"/>
      <c r="H26372" s="13"/>
    </row>
    <row r="26373">
      <c r="A26373" s="6"/>
      <c r="B26373" s="6"/>
      <c r="H26373" s="13"/>
    </row>
    <row r="26374">
      <c r="A26374" s="6"/>
      <c r="B26374" s="6"/>
      <c r="H26374" s="13"/>
    </row>
    <row r="26375">
      <c r="A26375" s="6"/>
      <c r="B26375" s="6"/>
      <c r="H26375" s="13"/>
    </row>
    <row r="26376">
      <c r="A26376" s="6"/>
      <c r="B26376" s="6"/>
      <c r="H26376" s="13"/>
    </row>
    <row r="26377">
      <c r="A26377" s="6"/>
      <c r="B26377" s="6"/>
      <c r="H26377" s="13"/>
    </row>
    <row r="26378">
      <c r="A26378" s="6"/>
      <c r="B26378" s="6"/>
      <c r="H26378" s="13"/>
    </row>
    <row r="26379">
      <c r="A26379" s="6"/>
      <c r="B26379" s="6"/>
      <c r="H26379" s="13"/>
    </row>
    <row r="26380">
      <c r="A26380" s="6"/>
      <c r="B26380" s="6"/>
      <c r="H26380" s="13"/>
    </row>
    <row r="26381">
      <c r="A26381" s="6"/>
      <c r="B26381" s="6"/>
      <c r="H26381" s="13"/>
    </row>
    <row r="26382">
      <c r="A26382" s="6"/>
      <c r="B26382" s="6"/>
      <c r="H26382" s="13"/>
    </row>
    <row r="26383">
      <c r="A26383" s="6"/>
      <c r="B26383" s="6"/>
      <c r="H26383" s="13"/>
    </row>
    <row r="26384">
      <c r="A26384" s="6"/>
      <c r="B26384" s="6"/>
      <c r="H26384" s="13"/>
    </row>
    <row r="26385">
      <c r="A26385" s="6"/>
      <c r="B26385" s="6"/>
      <c r="H26385" s="13"/>
    </row>
    <row r="26386">
      <c r="A26386" s="6"/>
      <c r="B26386" s="6"/>
      <c r="H26386" s="13"/>
    </row>
    <row r="26387">
      <c r="A26387" s="6"/>
      <c r="B26387" s="6"/>
      <c r="H26387" s="13"/>
    </row>
    <row r="26388">
      <c r="A26388" s="6"/>
      <c r="B26388" s="6"/>
      <c r="H26388" s="13"/>
    </row>
    <row r="26389">
      <c r="A26389" s="6"/>
      <c r="B26389" s="6"/>
      <c r="H26389" s="13"/>
    </row>
    <row r="26390">
      <c r="A26390" s="6"/>
      <c r="B26390" s="6"/>
      <c r="H26390" s="13"/>
    </row>
    <row r="26391">
      <c r="A26391" s="6"/>
      <c r="B26391" s="6"/>
      <c r="H26391" s="13"/>
    </row>
    <row r="26392">
      <c r="A26392" s="6"/>
      <c r="B26392" s="6"/>
      <c r="H26392" s="13"/>
    </row>
    <row r="26393">
      <c r="A26393" s="6"/>
      <c r="B26393" s="6"/>
      <c r="H26393" s="13"/>
    </row>
    <row r="26394">
      <c r="A26394" s="6"/>
      <c r="B26394" s="6"/>
      <c r="H26394" s="13"/>
    </row>
    <row r="26395">
      <c r="A26395" s="6"/>
      <c r="B26395" s="6"/>
      <c r="H26395" s="13"/>
    </row>
    <row r="26396">
      <c r="A26396" s="6"/>
      <c r="B26396" s="6"/>
      <c r="H26396" s="13"/>
    </row>
    <row r="26397">
      <c r="A26397" s="6"/>
      <c r="B26397" s="6"/>
      <c r="H26397" s="13"/>
    </row>
    <row r="26398">
      <c r="A26398" s="6"/>
      <c r="B26398" s="6"/>
      <c r="H26398" s="13"/>
    </row>
    <row r="26399">
      <c r="A26399" s="6"/>
      <c r="B26399" s="6"/>
      <c r="H26399" s="13"/>
    </row>
    <row r="26400">
      <c r="A26400" s="6"/>
      <c r="B26400" s="6"/>
      <c r="H26400" s="13"/>
    </row>
    <row r="26401">
      <c r="A26401" s="6"/>
      <c r="B26401" s="6"/>
      <c r="H26401" s="13"/>
    </row>
    <row r="26402">
      <c r="A26402" s="6"/>
      <c r="B26402" s="6"/>
      <c r="H26402" s="13"/>
    </row>
    <row r="26403">
      <c r="A26403" s="6"/>
      <c r="B26403" s="6"/>
      <c r="H26403" s="13"/>
    </row>
    <row r="26404">
      <c r="A26404" s="6"/>
      <c r="B26404" s="6"/>
      <c r="H26404" s="13"/>
    </row>
    <row r="26405">
      <c r="A26405" s="6"/>
      <c r="B26405" s="6"/>
      <c r="H26405" s="13"/>
    </row>
    <row r="26406">
      <c r="A26406" s="6"/>
      <c r="B26406" s="6"/>
      <c r="H26406" s="13"/>
    </row>
    <row r="26407">
      <c r="A26407" s="6"/>
      <c r="B26407" s="6"/>
      <c r="H26407" s="13"/>
    </row>
    <row r="26408">
      <c r="A26408" s="6"/>
      <c r="B26408" s="6"/>
      <c r="H26408" s="13"/>
    </row>
    <row r="26409">
      <c r="A26409" s="6"/>
      <c r="B26409" s="6"/>
      <c r="H26409" s="13"/>
    </row>
    <row r="26410">
      <c r="A26410" s="6"/>
      <c r="B26410" s="6"/>
      <c r="H26410" s="13"/>
    </row>
    <row r="26411">
      <c r="A26411" s="6"/>
      <c r="B26411" s="6"/>
      <c r="H26411" s="13"/>
    </row>
    <row r="26412">
      <c r="A26412" s="6"/>
      <c r="B26412" s="6"/>
      <c r="H26412" s="13"/>
    </row>
    <row r="26413">
      <c r="A26413" s="6"/>
      <c r="B26413" s="6"/>
      <c r="H26413" s="13"/>
    </row>
    <row r="26414">
      <c r="A26414" s="6"/>
      <c r="B26414" s="6"/>
      <c r="H26414" s="13"/>
    </row>
    <row r="26415">
      <c r="A26415" s="6"/>
      <c r="B26415" s="6"/>
      <c r="H26415" s="13"/>
    </row>
    <row r="26416">
      <c r="A26416" s="6"/>
      <c r="B26416" s="6"/>
      <c r="H26416" s="13"/>
    </row>
    <row r="26417">
      <c r="A26417" s="6"/>
      <c r="B26417" s="6"/>
      <c r="H26417" s="13"/>
    </row>
    <row r="26418">
      <c r="A26418" s="6"/>
      <c r="B26418" s="6"/>
      <c r="H26418" s="13"/>
    </row>
    <row r="26419">
      <c r="A26419" s="6"/>
      <c r="B26419" s="6"/>
      <c r="H26419" s="13"/>
    </row>
    <row r="26420">
      <c r="A26420" s="6"/>
      <c r="B26420" s="6"/>
      <c r="H26420" s="13"/>
    </row>
    <row r="26421">
      <c r="A26421" s="6"/>
      <c r="B26421" s="6"/>
      <c r="H26421" s="13"/>
    </row>
    <row r="26422">
      <c r="A26422" s="6"/>
      <c r="B26422" s="6"/>
      <c r="H26422" s="13"/>
    </row>
    <row r="26423">
      <c r="A26423" s="6"/>
      <c r="B26423" s="6"/>
      <c r="H26423" s="13"/>
    </row>
    <row r="26424">
      <c r="A26424" s="6"/>
      <c r="B26424" s="6"/>
      <c r="H26424" s="13"/>
    </row>
    <row r="26425">
      <c r="A26425" s="6"/>
      <c r="B26425" s="6"/>
      <c r="H26425" s="13"/>
    </row>
    <row r="26426">
      <c r="A26426" s="6"/>
      <c r="B26426" s="6"/>
      <c r="H26426" s="13"/>
    </row>
    <row r="26427">
      <c r="A26427" s="6"/>
      <c r="B26427" s="6"/>
      <c r="H26427" s="13"/>
    </row>
    <row r="26428">
      <c r="A26428" s="6"/>
      <c r="B26428" s="6"/>
      <c r="H26428" s="13"/>
    </row>
    <row r="26429">
      <c r="A26429" s="6"/>
      <c r="B26429" s="6"/>
      <c r="H26429" s="13"/>
    </row>
    <row r="26430">
      <c r="A26430" s="6"/>
      <c r="B26430" s="6"/>
      <c r="H26430" s="13"/>
    </row>
    <row r="26431">
      <c r="A26431" s="6"/>
      <c r="B26431" s="6"/>
      <c r="H26431" s="13"/>
    </row>
    <row r="26432">
      <c r="A26432" s="6"/>
      <c r="B26432" s="6"/>
      <c r="H26432" s="13"/>
    </row>
    <row r="26433">
      <c r="A26433" s="6"/>
      <c r="B26433" s="6"/>
      <c r="H26433" s="13"/>
    </row>
    <row r="26434">
      <c r="A26434" s="6"/>
      <c r="B26434" s="6"/>
      <c r="H26434" s="13"/>
    </row>
    <row r="26435">
      <c r="A26435" s="6"/>
      <c r="B26435" s="6"/>
      <c r="H26435" s="13"/>
    </row>
    <row r="26436">
      <c r="A26436" s="6"/>
      <c r="B26436" s="6"/>
      <c r="H26436" s="13"/>
    </row>
    <row r="26437">
      <c r="A26437" s="6"/>
      <c r="B26437" s="6"/>
      <c r="H26437" s="13"/>
    </row>
    <row r="26438">
      <c r="A26438" s="6"/>
      <c r="B26438" s="6"/>
      <c r="H26438" s="13"/>
    </row>
    <row r="26439">
      <c r="A26439" s="6"/>
      <c r="B26439" s="6"/>
      <c r="H26439" s="13"/>
    </row>
    <row r="26440">
      <c r="A26440" s="6"/>
      <c r="B26440" s="6"/>
      <c r="H26440" s="13"/>
    </row>
    <row r="26441">
      <c r="A26441" s="6"/>
      <c r="B26441" s="6"/>
      <c r="H26441" s="13"/>
    </row>
    <row r="26442">
      <c r="A26442" s="6"/>
      <c r="B26442" s="6"/>
      <c r="H26442" s="13"/>
    </row>
    <row r="26443">
      <c r="A26443" s="6"/>
      <c r="B26443" s="6"/>
      <c r="H26443" s="13"/>
    </row>
    <row r="26444">
      <c r="A26444" s="6"/>
      <c r="B26444" s="6"/>
      <c r="H26444" s="13"/>
    </row>
    <row r="26445">
      <c r="A26445" s="6"/>
      <c r="B26445" s="6"/>
      <c r="H26445" s="13"/>
    </row>
    <row r="26446">
      <c r="A26446" s="6"/>
      <c r="B26446" s="6"/>
      <c r="H26446" s="13"/>
    </row>
    <row r="26447">
      <c r="A26447" s="6"/>
      <c r="B26447" s="6"/>
      <c r="H26447" s="13"/>
    </row>
    <row r="26448">
      <c r="A26448" s="6"/>
      <c r="B26448" s="6"/>
      <c r="H26448" s="13"/>
    </row>
    <row r="26449">
      <c r="A26449" s="6"/>
      <c r="B26449" s="6"/>
      <c r="H26449" s="13"/>
    </row>
    <row r="26450">
      <c r="A26450" s="6"/>
      <c r="B26450" s="6"/>
      <c r="H26450" s="13"/>
    </row>
    <row r="26451">
      <c r="A26451" s="6"/>
      <c r="B26451" s="6"/>
      <c r="H26451" s="13"/>
    </row>
    <row r="26452">
      <c r="A26452" s="6"/>
      <c r="B26452" s="6"/>
      <c r="H26452" s="13"/>
    </row>
    <row r="26453">
      <c r="A26453" s="6"/>
      <c r="B26453" s="6"/>
      <c r="H26453" s="13"/>
    </row>
    <row r="26454">
      <c r="A26454" s="6"/>
      <c r="B26454" s="6"/>
      <c r="H26454" s="13"/>
    </row>
    <row r="26455">
      <c r="A26455" s="6"/>
      <c r="B26455" s="6"/>
      <c r="H26455" s="13"/>
    </row>
    <row r="26456">
      <c r="A26456" s="6"/>
      <c r="B26456" s="6"/>
      <c r="H26456" s="13"/>
    </row>
    <row r="26457">
      <c r="A26457" s="6"/>
      <c r="B26457" s="6"/>
      <c r="H26457" s="13"/>
    </row>
    <row r="26458">
      <c r="A26458" s="6"/>
      <c r="B26458" s="6"/>
      <c r="H26458" s="13"/>
    </row>
    <row r="26459">
      <c r="A26459" s="6"/>
      <c r="B26459" s="6"/>
      <c r="H26459" s="13"/>
    </row>
    <row r="26460">
      <c r="A26460" s="6"/>
      <c r="B26460" s="6"/>
      <c r="H26460" s="13"/>
    </row>
    <row r="26461">
      <c r="A26461" s="6"/>
      <c r="B26461" s="6"/>
      <c r="H26461" s="13"/>
    </row>
    <row r="26462">
      <c r="A26462" s="6"/>
      <c r="B26462" s="6"/>
      <c r="H26462" s="13"/>
    </row>
    <row r="26463">
      <c r="A26463" s="6"/>
      <c r="B26463" s="6"/>
      <c r="H26463" s="13"/>
    </row>
    <row r="26464">
      <c r="A26464" s="6"/>
      <c r="B26464" s="6"/>
      <c r="H26464" s="13"/>
    </row>
    <row r="26465">
      <c r="A26465" s="6"/>
      <c r="B26465" s="6"/>
      <c r="H26465" s="13"/>
    </row>
    <row r="26466">
      <c r="A26466" s="6"/>
      <c r="B26466" s="6"/>
      <c r="H26466" s="13"/>
    </row>
    <row r="26467">
      <c r="A26467" s="6"/>
      <c r="B26467" s="6"/>
      <c r="H26467" s="13"/>
    </row>
    <row r="26468">
      <c r="A26468" s="6"/>
      <c r="B26468" s="6"/>
      <c r="H26468" s="13"/>
    </row>
    <row r="26469">
      <c r="A26469" s="6"/>
      <c r="B26469" s="6"/>
      <c r="H26469" s="13"/>
    </row>
    <row r="26470">
      <c r="A26470" s="6"/>
      <c r="B26470" s="6"/>
      <c r="H26470" s="13"/>
    </row>
    <row r="26471">
      <c r="A26471" s="6"/>
      <c r="B26471" s="6"/>
      <c r="H26471" s="13"/>
    </row>
    <row r="26472">
      <c r="A26472" s="6"/>
      <c r="B26472" s="6"/>
      <c r="H26472" s="13"/>
    </row>
    <row r="26473">
      <c r="A26473" s="6"/>
      <c r="B26473" s="6"/>
      <c r="H26473" s="13"/>
    </row>
    <row r="26474">
      <c r="A26474" s="6"/>
      <c r="B26474" s="6"/>
      <c r="H26474" s="13"/>
    </row>
    <row r="26475">
      <c r="A26475" s="6"/>
      <c r="B26475" s="6"/>
      <c r="H26475" s="13"/>
    </row>
    <row r="26476">
      <c r="A26476" s="6"/>
      <c r="B26476" s="6"/>
      <c r="H26476" s="13"/>
    </row>
    <row r="26477">
      <c r="A26477" s="6"/>
      <c r="B26477" s="6"/>
      <c r="H26477" s="13"/>
    </row>
    <row r="26478">
      <c r="A26478" s="6"/>
      <c r="B26478" s="6"/>
      <c r="H26478" s="13"/>
    </row>
    <row r="26479">
      <c r="A26479" s="6"/>
      <c r="B26479" s="6"/>
      <c r="H26479" s="13"/>
    </row>
    <row r="26480">
      <c r="A26480" s="6"/>
      <c r="B26480" s="6"/>
      <c r="H26480" s="13"/>
    </row>
    <row r="26481">
      <c r="A26481" s="6"/>
      <c r="B26481" s="6"/>
      <c r="H26481" s="13"/>
    </row>
    <row r="26482">
      <c r="A26482" s="6"/>
      <c r="B26482" s="6"/>
      <c r="H26482" s="13"/>
    </row>
    <row r="26483">
      <c r="A26483" s="6"/>
      <c r="B26483" s="6"/>
      <c r="H26483" s="13"/>
    </row>
    <row r="26484">
      <c r="A26484" s="6"/>
      <c r="B26484" s="6"/>
      <c r="H26484" s="13"/>
    </row>
    <row r="26485">
      <c r="A26485" s="6"/>
      <c r="B26485" s="6"/>
      <c r="H26485" s="13"/>
    </row>
    <row r="26486">
      <c r="A26486" s="6"/>
      <c r="B26486" s="6"/>
      <c r="H26486" s="13"/>
    </row>
    <row r="26487">
      <c r="A26487" s="6"/>
      <c r="B26487" s="6"/>
      <c r="H26487" s="13"/>
    </row>
    <row r="26488">
      <c r="A26488" s="6"/>
      <c r="B26488" s="6"/>
      <c r="H26488" s="13"/>
    </row>
    <row r="26489">
      <c r="A26489" s="6"/>
      <c r="B26489" s="6"/>
      <c r="H26489" s="13"/>
    </row>
    <row r="26490">
      <c r="A26490" s="6"/>
      <c r="B26490" s="6"/>
      <c r="H26490" s="13"/>
    </row>
    <row r="26491">
      <c r="A26491" s="6"/>
      <c r="B26491" s="6"/>
      <c r="H26491" s="13"/>
    </row>
    <row r="26492">
      <c r="A26492" s="6"/>
      <c r="B26492" s="6"/>
      <c r="H26492" s="13"/>
    </row>
    <row r="26493">
      <c r="A26493" s="6"/>
      <c r="B26493" s="6"/>
      <c r="H26493" s="13"/>
    </row>
    <row r="26494">
      <c r="A26494" s="6"/>
      <c r="B26494" s="6"/>
      <c r="H26494" s="13"/>
    </row>
    <row r="26495">
      <c r="A26495" s="6"/>
      <c r="B26495" s="6"/>
      <c r="H26495" s="13"/>
    </row>
    <row r="26496">
      <c r="A26496" s="6"/>
      <c r="B26496" s="6"/>
      <c r="H26496" s="13"/>
    </row>
    <row r="26497">
      <c r="A26497" s="6"/>
      <c r="B26497" s="6"/>
      <c r="H26497" s="13"/>
    </row>
    <row r="26498">
      <c r="A26498" s="6"/>
      <c r="B26498" s="6"/>
      <c r="H26498" s="13"/>
    </row>
    <row r="26499">
      <c r="A26499" s="6"/>
      <c r="B26499" s="6"/>
      <c r="H26499" s="13"/>
    </row>
    <row r="26500">
      <c r="A26500" s="6"/>
      <c r="B26500" s="6"/>
      <c r="H26500" s="13"/>
    </row>
    <row r="26501">
      <c r="A26501" s="6"/>
      <c r="B26501" s="6"/>
      <c r="H26501" s="13"/>
    </row>
    <row r="26502">
      <c r="A26502" s="6"/>
      <c r="B26502" s="6"/>
      <c r="H26502" s="13"/>
    </row>
    <row r="26503">
      <c r="A26503" s="6"/>
      <c r="B26503" s="6"/>
      <c r="H26503" s="13"/>
    </row>
    <row r="26504">
      <c r="A26504" s="6"/>
      <c r="B26504" s="6"/>
      <c r="H26504" s="13"/>
    </row>
    <row r="26505">
      <c r="A26505" s="6"/>
      <c r="B26505" s="6"/>
      <c r="H26505" s="13"/>
    </row>
    <row r="26506">
      <c r="A26506" s="6"/>
      <c r="B26506" s="6"/>
      <c r="H26506" s="13"/>
    </row>
    <row r="26507">
      <c r="A26507" s="6"/>
      <c r="B26507" s="6"/>
      <c r="H26507" s="13"/>
    </row>
    <row r="26508">
      <c r="A26508" s="6"/>
      <c r="B26508" s="6"/>
      <c r="H26508" s="13"/>
    </row>
    <row r="26509">
      <c r="A26509" s="6"/>
      <c r="B26509" s="6"/>
      <c r="H26509" s="13"/>
    </row>
    <row r="26510">
      <c r="A26510" s="6"/>
      <c r="B26510" s="6"/>
      <c r="H26510" s="13"/>
    </row>
    <row r="26511">
      <c r="A26511" s="6"/>
      <c r="B26511" s="6"/>
      <c r="H26511" s="13"/>
    </row>
    <row r="26512">
      <c r="A26512" s="6"/>
      <c r="B26512" s="6"/>
      <c r="H26512" s="13"/>
    </row>
    <row r="26513">
      <c r="A26513" s="6"/>
      <c r="B26513" s="6"/>
      <c r="H26513" s="13"/>
    </row>
    <row r="26514">
      <c r="A26514" s="6"/>
      <c r="B26514" s="6"/>
      <c r="H26514" s="13"/>
    </row>
    <row r="26515">
      <c r="A26515" s="6"/>
      <c r="B26515" s="6"/>
      <c r="H26515" s="13"/>
    </row>
    <row r="26516">
      <c r="A26516" s="6"/>
      <c r="B26516" s="6"/>
      <c r="H26516" s="13"/>
    </row>
    <row r="26517">
      <c r="A26517" s="6"/>
      <c r="B26517" s="6"/>
      <c r="H26517" s="13"/>
    </row>
    <row r="26518">
      <c r="A26518" s="6"/>
      <c r="B26518" s="6"/>
      <c r="H26518" s="13"/>
    </row>
    <row r="26519">
      <c r="A26519" s="6"/>
      <c r="B26519" s="6"/>
      <c r="H26519" s="13"/>
    </row>
    <row r="26520">
      <c r="A26520" s="6"/>
      <c r="B26520" s="6"/>
      <c r="H26520" s="13"/>
    </row>
    <row r="26521">
      <c r="A26521" s="6"/>
      <c r="B26521" s="6"/>
      <c r="H26521" s="13"/>
    </row>
    <row r="26522">
      <c r="A26522" s="6"/>
      <c r="B26522" s="6"/>
      <c r="H26522" s="13"/>
    </row>
    <row r="26523">
      <c r="A26523" s="6"/>
      <c r="B26523" s="6"/>
      <c r="H26523" s="13"/>
    </row>
    <row r="26524">
      <c r="A26524" s="6"/>
      <c r="B26524" s="6"/>
      <c r="H26524" s="13"/>
    </row>
    <row r="26525">
      <c r="A26525" s="6"/>
      <c r="B26525" s="6"/>
      <c r="H26525" s="13"/>
    </row>
    <row r="26526">
      <c r="A26526" s="6"/>
      <c r="B26526" s="6"/>
      <c r="H26526" s="13"/>
    </row>
    <row r="26527">
      <c r="A26527" s="6"/>
      <c r="B26527" s="6"/>
      <c r="H26527" s="13"/>
    </row>
    <row r="26528">
      <c r="A26528" s="6"/>
      <c r="B26528" s="6"/>
      <c r="H26528" s="13"/>
    </row>
    <row r="26529">
      <c r="A26529" s="6"/>
      <c r="B26529" s="6"/>
      <c r="H26529" s="13"/>
    </row>
    <row r="26530">
      <c r="A26530" s="6"/>
      <c r="B26530" s="6"/>
      <c r="H26530" s="13"/>
    </row>
    <row r="26531">
      <c r="A26531" s="6"/>
      <c r="B26531" s="6"/>
      <c r="H26531" s="13"/>
    </row>
    <row r="26532">
      <c r="A26532" s="6"/>
      <c r="B26532" s="6"/>
      <c r="H26532" s="13"/>
    </row>
    <row r="26533">
      <c r="A26533" s="6"/>
      <c r="B26533" s="6"/>
      <c r="H26533" s="13"/>
    </row>
    <row r="26534">
      <c r="A26534" s="6"/>
      <c r="B26534" s="6"/>
      <c r="H26534" s="13"/>
    </row>
    <row r="26535">
      <c r="A26535" s="6"/>
      <c r="B26535" s="6"/>
      <c r="H26535" s="13"/>
    </row>
    <row r="26536">
      <c r="A26536" s="6"/>
      <c r="B26536" s="6"/>
      <c r="H26536" s="13"/>
    </row>
    <row r="26537">
      <c r="A26537" s="6"/>
      <c r="B26537" s="6"/>
      <c r="H26537" s="13"/>
    </row>
    <row r="26538">
      <c r="A26538" s="6"/>
      <c r="B26538" s="6"/>
      <c r="H26538" s="13"/>
    </row>
    <row r="26539">
      <c r="A26539" s="6"/>
      <c r="B26539" s="6"/>
      <c r="H26539" s="13"/>
    </row>
    <row r="26540">
      <c r="A26540" s="6"/>
      <c r="B26540" s="6"/>
      <c r="H26540" s="13"/>
    </row>
    <row r="26541">
      <c r="A26541" s="6"/>
      <c r="B26541" s="6"/>
      <c r="H26541" s="13"/>
    </row>
    <row r="26542">
      <c r="A26542" s="6"/>
      <c r="B26542" s="6"/>
      <c r="H26542" s="13"/>
    </row>
    <row r="26543">
      <c r="A26543" s="6"/>
      <c r="B26543" s="6"/>
      <c r="H26543" s="13"/>
    </row>
    <row r="26544">
      <c r="A26544" s="6"/>
      <c r="B26544" s="6"/>
      <c r="H26544" s="13"/>
    </row>
    <row r="26545">
      <c r="A26545" s="6"/>
      <c r="B26545" s="6"/>
      <c r="H26545" s="13"/>
    </row>
    <row r="26546">
      <c r="A26546" s="6"/>
      <c r="B26546" s="6"/>
      <c r="H26546" s="13"/>
    </row>
    <row r="26547">
      <c r="A26547" s="6"/>
      <c r="B26547" s="6"/>
      <c r="H26547" s="13"/>
    </row>
    <row r="26548">
      <c r="A26548" s="6"/>
      <c r="B26548" s="6"/>
      <c r="H26548" s="13"/>
    </row>
    <row r="26549">
      <c r="A26549" s="6"/>
      <c r="B26549" s="6"/>
      <c r="H26549" s="13"/>
    </row>
    <row r="26550">
      <c r="A26550" s="6"/>
      <c r="B26550" s="6"/>
      <c r="H26550" s="13"/>
    </row>
    <row r="26551">
      <c r="A26551" s="6"/>
      <c r="B26551" s="6"/>
      <c r="H26551" s="13"/>
    </row>
    <row r="26552">
      <c r="A26552" s="6"/>
      <c r="B26552" s="6"/>
      <c r="H26552" s="13"/>
    </row>
    <row r="26553">
      <c r="A26553" s="6"/>
      <c r="B26553" s="6"/>
      <c r="H26553" s="13"/>
    </row>
    <row r="26554">
      <c r="A26554" s="6"/>
      <c r="B26554" s="6"/>
      <c r="H26554" s="13"/>
    </row>
    <row r="26555">
      <c r="A26555" s="6"/>
      <c r="B26555" s="6"/>
      <c r="H26555" s="13"/>
    </row>
    <row r="26556">
      <c r="A26556" s="6"/>
      <c r="B26556" s="6"/>
      <c r="H26556" s="13"/>
    </row>
    <row r="26557">
      <c r="A26557" s="6"/>
      <c r="B26557" s="6"/>
      <c r="H26557" s="13"/>
    </row>
    <row r="26558">
      <c r="A26558" s="6"/>
      <c r="B26558" s="6"/>
      <c r="H26558" s="13"/>
    </row>
    <row r="26559">
      <c r="A26559" s="6"/>
      <c r="B26559" s="6"/>
      <c r="H26559" s="13"/>
    </row>
    <row r="26560">
      <c r="A26560" s="6"/>
      <c r="B26560" s="6"/>
      <c r="H26560" s="13"/>
    </row>
    <row r="26561">
      <c r="A26561" s="6"/>
      <c r="B26561" s="6"/>
      <c r="H26561" s="13"/>
    </row>
    <row r="26562">
      <c r="A26562" s="6"/>
      <c r="B26562" s="6"/>
      <c r="H26562" s="13"/>
    </row>
    <row r="26563">
      <c r="A26563" s="6"/>
      <c r="B26563" s="6"/>
      <c r="H26563" s="13"/>
    </row>
    <row r="26564">
      <c r="A26564" s="6"/>
      <c r="B26564" s="6"/>
      <c r="H26564" s="13"/>
    </row>
    <row r="26565">
      <c r="A26565" s="6"/>
      <c r="B26565" s="6"/>
      <c r="H26565" s="13"/>
    </row>
    <row r="26566">
      <c r="A26566" s="6"/>
      <c r="B26566" s="6"/>
      <c r="H26566" s="13"/>
    </row>
    <row r="26567">
      <c r="A26567" s="6"/>
      <c r="B26567" s="6"/>
      <c r="H26567" s="13"/>
    </row>
    <row r="26568">
      <c r="A26568" s="6"/>
      <c r="B26568" s="6"/>
      <c r="H26568" s="13"/>
    </row>
    <row r="26569">
      <c r="A26569" s="6"/>
      <c r="B26569" s="6"/>
      <c r="H26569" s="13"/>
    </row>
    <row r="26570">
      <c r="A26570" s="6"/>
      <c r="B26570" s="6"/>
      <c r="H26570" s="13"/>
    </row>
    <row r="26571">
      <c r="A26571" s="6"/>
      <c r="B26571" s="6"/>
      <c r="H26571" s="13"/>
    </row>
    <row r="26572">
      <c r="A26572" s="6"/>
      <c r="B26572" s="6"/>
      <c r="H26572" s="13"/>
    </row>
    <row r="26573">
      <c r="A26573" s="6"/>
      <c r="B26573" s="6"/>
      <c r="H26573" s="13"/>
    </row>
    <row r="26574">
      <c r="A26574" s="6"/>
      <c r="B26574" s="6"/>
      <c r="H26574" s="13"/>
    </row>
    <row r="26575">
      <c r="A26575" s="6"/>
      <c r="B26575" s="6"/>
      <c r="H26575" s="13"/>
    </row>
    <row r="26576">
      <c r="A26576" s="6"/>
      <c r="B26576" s="6"/>
      <c r="H26576" s="13"/>
    </row>
    <row r="26577">
      <c r="A26577" s="6"/>
      <c r="B26577" s="6"/>
      <c r="H26577" s="13"/>
    </row>
    <row r="26578">
      <c r="A26578" s="6"/>
      <c r="B26578" s="6"/>
      <c r="H26578" s="13"/>
    </row>
    <row r="26579">
      <c r="A26579" s="6"/>
      <c r="B26579" s="6"/>
      <c r="H26579" s="13"/>
    </row>
    <row r="26580">
      <c r="A26580" s="6"/>
      <c r="B26580" s="6"/>
      <c r="H26580" s="13"/>
    </row>
    <row r="26581">
      <c r="A26581" s="6"/>
      <c r="B26581" s="6"/>
      <c r="H26581" s="13"/>
    </row>
    <row r="26582">
      <c r="A26582" s="6"/>
      <c r="B26582" s="6"/>
      <c r="H26582" s="13"/>
    </row>
    <row r="26583">
      <c r="A26583" s="6"/>
      <c r="B26583" s="6"/>
      <c r="H26583" s="13"/>
    </row>
    <row r="26584">
      <c r="A26584" s="6"/>
      <c r="B26584" s="6"/>
      <c r="H26584" s="13"/>
    </row>
    <row r="26585">
      <c r="A26585" s="6"/>
      <c r="B26585" s="6"/>
      <c r="H26585" s="13"/>
    </row>
    <row r="26586">
      <c r="A26586" s="6"/>
      <c r="B26586" s="6"/>
      <c r="H26586" s="13"/>
    </row>
    <row r="26587">
      <c r="A26587" s="6"/>
      <c r="B26587" s="6"/>
      <c r="H26587" s="13"/>
    </row>
    <row r="26588">
      <c r="A26588" s="6"/>
      <c r="B26588" s="6"/>
      <c r="H26588" s="13"/>
    </row>
    <row r="26589">
      <c r="A26589" s="6"/>
      <c r="B26589" s="6"/>
      <c r="H26589" s="13"/>
    </row>
    <row r="26590">
      <c r="A26590" s="6"/>
      <c r="B26590" s="6"/>
      <c r="H26590" s="13"/>
    </row>
    <row r="26591">
      <c r="A26591" s="6"/>
      <c r="B26591" s="6"/>
      <c r="H26591" s="13"/>
    </row>
    <row r="26592">
      <c r="A26592" s="6"/>
      <c r="B26592" s="6"/>
      <c r="H26592" s="13"/>
    </row>
    <row r="26593">
      <c r="A26593" s="6"/>
      <c r="B26593" s="6"/>
      <c r="H26593" s="13"/>
    </row>
    <row r="26594">
      <c r="A26594" s="6"/>
      <c r="B26594" s="6"/>
      <c r="H26594" s="13"/>
    </row>
    <row r="26595">
      <c r="A26595" s="6"/>
      <c r="B26595" s="6"/>
      <c r="H26595" s="13"/>
    </row>
    <row r="26596">
      <c r="A26596" s="6"/>
      <c r="B26596" s="6"/>
      <c r="H26596" s="13"/>
    </row>
    <row r="26597">
      <c r="A26597" s="6"/>
      <c r="B26597" s="6"/>
      <c r="H26597" s="13"/>
    </row>
    <row r="26598">
      <c r="A26598" s="6"/>
      <c r="B26598" s="6"/>
      <c r="H26598" s="13"/>
    </row>
    <row r="26599">
      <c r="A26599" s="6"/>
      <c r="B26599" s="6"/>
      <c r="H26599" s="13"/>
    </row>
    <row r="26600">
      <c r="A26600" s="6"/>
      <c r="B26600" s="6"/>
      <c r="H26600" s="13"/>
    </row>
    <row r="26601">
      <c r="A26601" s="6"/>
      <c r="B26601" s="6"/>
      <c r="H26601" s="13"/>
    </row>
    <row r="26602">
      <c r="A26602" s="6"/>
      <c r="B26602" s="6"/>
      <c r="H26602" s="13"/>
    </row>
    <row r="26603">
      <c r="A26603" s="6"/>
      <c r="B26603" s="6"/>
      <c r="H26603" s="13"/>
    </row>
    <row r="26604">
      <c r="A26604" s="6"/>
      <c r="B26604" s="6"/>
      <c r="H26604" s="13"/>
    </row>
    <row r="26605">
      <c r="A26605" s="6"/>
      <c r="B26605" s="6"/>
      <c r="H26605" s="13"/>
    </row>
    <row r="26606">
      <c r="A26606" s="6"/>
      <c r="B26606" s="6"/>
      <c r="H26606" s="13"/>
    </row>
    <row r="26607">
      <c r="A26607" s="6"/>
      <c r="B26607" s="6"/>
      <c r="H26607" s="13"/>
    </row>
    <row r="26608">
      <c r="A26608" s="6"/>
      <c r="B26608" s="6"/>
      <c r="H26608" s="13"/>
    </row>
    <row r="26609">
      <c r="A26609" s="6"/>
      <c r="B26609" s="6"/>
      <c r="H26609" s="13"/>
    </row>
    <row r="26610">
      <c r="A26610" s="6"/>
      <c r="B26610" s="6"/>
      <c r="H26610" s="13"/>
    </row>
    <row r="26611">
      <c r="A26611" s="6"/>
      <c r="B26611" s="6"/>
      <c r="H26611" s="13"/>
    </row>
    <row r="26612">
      <c r="A26612" s="6"/>
      <c r="B26612" s="6"/>
      <c r="H26612" s="13"/>
    </row>
    <row r="26613">
      <c r="A26613" s="6"/>
      <c r="B26613" s="6"/>
      <c r="H26613" s="13"/>
    </row>
    <row r="26614">
      <c r="A26614" s="6"/>
      <c r="B26614" s="6"/>
      <c r="H26614" s="13"/>
    </row>
    <row r="26615">
      <c r="A26615" s="6"/>
      <c r="B26615" s="6"/>
      <c r="H26615" s="13"/>
    </row>
    <row r="26616">
      <c r="A26616" s="6"/>
      <c r="B26616" s="6"/>
      <c r="H26616" s="13"/>
    </row>
    <row r="26617">
      <c r="A26617" s="6"/>
      <c r="B26617" s="6"/>
      <c r="H26617" s="13"/>
    </row>
    <row r="26618">
      <c r="A26618" s="6"/>
      <c r="B26618" s="6"/>
      <c r="H26618" s="13"/>
    </row>
    <row r="26619">
      <c r="A26619" s="6"/>
      <c r="B26619" s="6"/>
      <c r="H26619" s="13"/>
    </row>
    <row r="26620">
      <c r="A26620" s="6"/>
      <c r="B26620" s="6"/>
      <c r="H26620" s="13"/>
    </row>
    <row r="26621">
      <c r="A26621" s="6"/>
      <c r="B26621" s="6"/>
      <c r="H26621" s="13"/>
    </row>
    <row r="26622">
      <c r="A26622" s="6"/>
      <c r="B26622" s="6"/>
      <c r="H26622" s="13"/>
    </row>
    <row r="26623">
      <c r="A26623" s="6"/>
      <c r="B26623" s="6"/>
      <c r="H26623" s="13"/>
    </row>
    <row r="26624">
      <c r="A26624" s="6"/>
      <c r="B26624" s="6"/>
      <c r="H26624" s="13"/>
    </row>
    <row r="26625">
      <c r="A26625" s="6"/>
      <c r="B26625" s="6"/>
      <c r="H26625" s="13"/>
    </row>
    <row r="26626">
      <c r="A26626" s="6"/>
      <c r="B26626" s="6"/>
      <c r="H26626" s="13"/>
    </row>
    <row r="26627">
      <c r="A26627" s="6"/>
      <c r="B26627" s="6"/>
      <c r="H26627" s="13"/>
    </row>
    <row r="26628">
      <c r="A26628" s="6"/>
      <c r="B26628" s="6"/>
      <c r="H26628" s="13"/>
    </row>
    <row r="26629">
      <c r="A26629" s="6"/>
      <c r="B26629" s="6"/>
      <c r="H26629" s="13"/>
    </row>
    <row r="26630">
      <c r="A26630" s="6"/>
      <c r="B26630" s="6"/>
      <c r="H26630" s="13"/>
    </row>
    <row r="26631">
      <c r="A26631" s="6"/>
      <c r="B26631" s="6"/>
      <c r="H26631" s="13"/>
    </row>
    <row r="26632">
      <c r="A26632" s="6"/>
      <c r="B26632" s="6"/>
      <c r="H26632" s="13"/>
    </row>
    <row r="26633">
      <c r="A26633" s="6"/>
      <c r="B26633" s="6"/>
      <c r="H26633" s="13"/>
    </row>
    <row r="26634">
      <c r="A26634" s="6"/>
      <c r="B26634" s="6"/>
      <c r="H26634" s="13"/>
    </row>
    <row r="26635">
      <c r="A26635" s="6"/>
      <c r="B26635" s="6"/>
      <c r="H26635" s="13"/>
    </row>
    <row r="26636">
      <c r="A26636" s="6"/>
      <c r="B26636" s="6"/>
      <c r="H26636" s="13"/>
    </row>
    <row r="26637">
      <c r="A26637" s="6"/>
      <c r="B26637" s="6"/>
      <c r="H26637" s="13"/>
    </row>
    <row r="26638">
      <c r="A26638" s="6"/>
      <c r="B26638" s="6"/>
      <c r="H26638" s="13"/>
    </row>
    <row r="26639">
      <c r="A26639" s="6"/>
      <c r="B26639" s="6"/>
      <c r="H26639" s="13"/>
    </row>
    <row r="26640">
      <c r="A26640" s="6"/>
      <c r="B26640" s="6"/>
      <c r="H26640" s="13"/>
    </row>
    <row r="26641">
      <c r="A26641" s="6"/>
      <c r="B26641" s="6"/>
      <c r="H26641" s="13"/>
    </row>
    <row r="26642">
      <c r="A26642" s="6"/>
      <c r="B26642" s="6"/>
      <c r="H26642" s="13"/>
    </row>
    <row r="26643">
      <c r="A26643" s="6"/>
      <c r="B26643" s="6"/>
      <c r="H26643" s="13"/>
    </row>
    <row r="26644">
      <c r="A26644" s="6"/>
      <c r="B26644" s="6"/>
      <c r="H26644" s="13"/>
    </row>
    <row r="26645">
      <c r="A26645" s="6"/>
      <c r="B26645" s="6"/>
      <c r="H26645" s="13"/>
    </row>
    <row r="26646">
      <c r="A26646" s="6"/>
      <c r="B26646" s="6"/>
      <c r="H26646" s="13"/>
    </row>
    <row r="26647">
      <c r="A26647" s="6"/>
      <c r="B26647" s="6"/>
      <c r="H26647" s="13"/>
    </row>
    <row r="26648">
      <c r="A26648" s="6"/>
      <c r="B26648" s="6"/>
      <c r="H26648" s="13"/>
    </row>
    <row r="26649">
      <c r="A26649" s="6"/>
      <c r="B26649" s="6"/>
      <c r="H26649" s="13"/>
    </row>
    <row r="26650">
      <c r="A26650" s="6"/>
      <c r="B26650" s="6"/>
      <c r="H26650" s="13"/>
    </row>
    <row r="26651">
      <c r="A26651" s="6"/>
      <c r="B26651" s="6"/>
      <c r="H26651" s="13"/>
    </row>
    <row r="26652">
      <c r="A26652" s="6"/>
      <c r="B26652" s="6"/>
      <c r="H26652" s="13"/>
    </row>
    <row r="26653">
      <c r="A26653" s="6"/>
      <c r="B26653" s="6"/>
      <c r="H26653" s="13"/>
    </row>
    <row r="26654">
      <c r="A26654" s="6"/>
      <c r="B26654" s="6"/>
      <c r="H26654" s="13"/>
    </row>
    <row r="26655">
      <c r="A26655" s="6"/>
      <c r="B26655" s="6"/>
      <c r="H26655" s="13"/>
    </row>
    <row r="26656">
      <c r="A26656" s="6"/>
      <c r="B26656" s="6"/>
      <c r="H26656" s="13"/>
    </row>
    <row r="26657">
      <c r="A26657" s="6"/>
      <c r="B26657" s="6"/>
      <c r="H26657" s="13"/>
    </row>
    <row r="26658">
      <c r="A26658" s="6"/>
      <c r="B26658" s="6"/>
      <c r="H26658" s="13"/>
    </row>
    <row r="26659">
      <c r="A26659" s="6"/>
      <c r="B26659" s="6"/>
      <c r="H26659" s="13"/>
    </row>
    <row r="26660">
      <c r="A26660" s="6"/>
      <c r="B26660" s="6"/>
      <c r="H26660" s="13"/>
    </row>
    <row r="26661">
      <c r="A26661" s="6"/>
      <c r="B26661" s="6"/>
      <c r="H26661" s="13"/>
    </row>
    <row r="26662">
      <c r="A26662" s="6"/>
      <c r="B26662" s="6"/>
      <c r="H26662" s="13"/>
    </row>
    <row r="26663">
      <c r="A26663" s="6"/>
      <c r="B26663" s="6"/>
      <c r="H26663" s="13"/>
    </row>
    <row r="26664">
      <c r="A26664" s="6"/>
      <c r="B26664" s="6"/>
      <c r="H26664" s="13"/>
    </row>
    <row r="26665">
      <c r="A26665" s="6"/>
      <c r="B26665" s="6"/>
      <c r="H26665" s="13"/>
    </row>
    <row r="26666">
      <c r="A26666" s="6"/>
      <c r="B26666" s="6"/>
      <c r="H26666" s="13"/>
    </row>
    <row r="26667">
      <c r="A26667" s="6"/>
      <c r="B26667" s="6"/>
      <c r="H26667" s="13"/>
    </row>
    <row r="26668">
      <c r="A26668" s="6"/>
      <c r="B26668" s="6"/>
      <c r="H26668" s="13"/>
    </row>
    <row r="26669">
      <c r="A26669" s="6"/>
      <c r="B26669" s="6"/>
      <c r="H26669" s="13"/>
    </row>
    <row r="26670">
      <c r="A26670" s="6"/>
      <c r="B26670" s="6"/>
      <c r="H26670" s="13"/>
    </row>
    <row r="26671">
      <c r="A26671" s="6"/>
      <c r="B26671" s="6"/>
      <c r="H26671" s="13"/>
    </row>
    <row r="26672">
      <c r="A26672" s="6"/>
      <c r="B26672" s="6"/>
      <c r="H26672" s="13"/>
    </row>
    <row r="26673">
      <c r="A26673" s="6"/>
      <c r="B26673" s="6"/>
      <c r="H26673" s="13"/>
    </row>
    <row r="26674">
      <c r="A26674" s="6"/>
      <c r="B26674" s="6"/>
      <c r="H26674" s="13"/>
    </row>
    <row r="26675">
      <c r="A26675" s="6"/>
      <c r="B26675" s="6"/>
      <c r="H26675" s="13"/>
    </row>
    <row r="26676">
      <c r="A26676" s="6"/>
      <c r="B26676" s="6"/>
      <c r="H26676" s="13"/>
    </row>
    <row r="26677">
      <c r="A26677" s="6"/>
      <c r="B26677" s="6"/>
      <c r="H26677" s="13"/>
    </row>
    <row r="26678">
      <c r="A26678" s="6"/>
      <c r="B26678" s="6"/>
      <c r="H26678" s="13"/>
    </row>
    <row r="26679">
      <c r="A26679" s="6"/>
      <c r="B26679" s="6"/>
      <c r="H26679" s="13"/>
    </row>
    <row r="26680">
      <c r="A26680" s="6"/>
      <c r="B26680" s="6"/>
      <c r="H26680" s="13"/>
    </row>
    <row r="26681">
      <c r="A26681" s="6"/>
      <c r="B26681" s="6"/>
      <c r="H26681" s="13"/>
    </row>
    <row r="26682">
      <c r="A26682" s="6"/>
      <c r="B26682" s="6"/>
      <c r="H26682" s="13"/>
    </row>
    <row r="26683">
      <c r="A26683" s="6"/>
      <c r="B26683" s="6"/>
      <c r="H26683" s="13"/>
    </row>
    <row r="26684">
      <c r="A26684" s="6"/>
      <c r="B26684" s="6"/>
      <c r="H26684" s="13"/>
    </row>
    <row r="26685">
      <c r="A26685" s="6"/>
      <c r="B26685" s="6"/>
      <c r="H26685" s="13"/>
    </row>
    <row r="26686">
      <c r="A26686" s="6"/>
      <c r="B26686" s="6"/>
      <c r="H26686" s="13"/>
    </row>
    <row r="26687">
      <c r="A26687" s="6"/>
      <c r="B26687" s="6"/>
      <c r="H26687" s="13"/>
    </row>
    <row r="26688">
      <c r="A26688" s="6"/>
      <c r="B26688" s="6"/>
      <c r="H26688" s="13"/>
    </row>
    <row r="26689">
      <c r="A26689" s="6"/>
      <c r="B26689" s="6"/>
      <c r="H26689" s="13"/>
    </row>
    <row r="26690">
      <c r="A26690" s="6"/>
      <c r="B26690" s="6"/>
      <c r="H26690" s="13"/>
    </row>
    <row r="26691">
      <c r="A26691" s="6"/>
      <c r="B26691" s="6"/>
      <c r="H26691" s="13"/>
    </row>
    <row r="26692">
      <c r="A26692" s="6"/>
      <c r="B26692" s="6"/>
      <c r="H26692" s="13"/>
    </row>
    <row r="26693">
      <c r="A26693" s="6"/>
      <c r="B26693" s="6"/>
      <c r="H26693" s="13"/>
    </row>
    <row r="26694">
      <c r="A26694" s="6"/>
      <c r="B26694" s="6"/>
      <c r="H26694" s="13"/>
    </row>
    <row r="26695">
      <c r="A26695" s="6"/>
      <c r="B26695" s="6"/>
      <c r="H26695" s="13"/>
    </row>
    <row r="26696">
      <c r="A26696" s="6"/>
      <c r="B26696" s="6"/>
      <c r="H26696" s="13"/>
    </row>
    <row r="26697">
      <c r="A26697" s="6"/>
      <c r="B26697" s="6"/>
      <c r="H26697" s="13"/>
    </row>
    <row r="26698">
      <c r="A26698" s="6"/>
      <c r="B26698" s="6"/>
      <c r="H26698" s="13"/>
    </row>
    <row r="26699">
      <c r="A26699" s="6"/>
      <c r="B26699" s="6"/>
      <c r="H26699" s="13"/>
    </row>
    <row r="26700">
      <c r="A26700" s="6"/>
      <c r="B26700" s="6"/>
      <c r="H26700" s="13"/>
    </row>
    <row r="26701">
      <c r="A26701" s="6"/>
      <c r="B26701" s="6"/>
      <c r="H26701" s="13"/>
    </row>
    <row r="26702">
      <c r="A26702" s="6"/>
      <c r="B26702" s="6"/>
      <c r="H26702" s="13"/>
    </row>
    <row r="26703">
      <c r="A26703" s="6"/>
      <c r="B26703" s="6"/>
      <c r="H26703" s="13"/>
    </row>
    <row r="26704">
      <c r="A26704" s="6"/>
      <c r="B26704" s="6"/>
      <c r="H26704" s="13"/>
    </row>
    <row r="26705">
      <c r="A26705" s="6"/>
      <c r="B26705" s="6"/>
      <c r="H26705" s="13"/>
    </row>
    <row r="26706">
      <c r="A26706" s="6"/>
      <c r="B26706" s="6"/>
      <c r="H26706" s="13"/>
    </row>
    <row r="26707">
      <c r="A26707" s="6"/>
      <c r="B26707" s="6"/>
      <c r="H26707" s="13"/>
    </row>
    <row r="26708">
      <c r="A26708" s="6"/>
      <c r="B26708" s="6"/>
      <c r="H26708" s="13"/>
    </row>
    <row r="26709">
      <c r="A26709" s="6"/>
      <c r="B26709" s="6"/>
      <c r="H26709" s="13"/>
    </row>
    <row r="26710">
      <c r="A26710" s="6"/>
      <c r="B26710" s="6"/>
      <c r="H26710" s="13"/>
    </row>
    <row r="26711">
      <c r="A26711" s="6"/>
      <c r="B26711" s="6"/>
      <c r="H26711" s="13"/>
    </row>
    <row r="26712">
      <c r="A26712" s="6"/>
      <c r="B26712" s="6"/>
      <c r="H26712" s="13"/>
    </row>
    <row r="26713">
      <c r="A26713" s="6"/>
      <c r="B26713" s="6"/>
      <c r="H26713" s="13"/>
    </row>
    <row r="26714">
      <c r="A26714" s="6"/>
      <c r="B26714" s="6"/>
      <c r="H26714" s="13"/>
    </row>
    <row r="26715">
      <c r="A26715" s="6"/>
      <c r="B26715" s="6"/>
      <c r="H26715" s="13"/>
    </row>
    <row r="26716">
      <c r="A26716" s="6"/>
      <c r="B26716" s="6"/>
      <c r="H26716" s="13"/>
    </row>
    <row r="26717">
      <c r="A26717" s="6"/>
      <c r="B26717" s="6"/>
      <c r="H26717" s="13"/>
    </row>
    <row r="26718">
      <c r="A26718" s="6"/>
      <c r="B26718" s="6"/>
      <c r="H26718" s="13"/>
    </row>
    <row r="26719">
      <c r="A26719" s="6"/>
      <c r="B26719" s="6"/>
      <c r="H26719" s="13"/>
    </row>
    <row r="26720">
      <c r="A26720" s="6"/>
      <c r="B26720" s="6"/>
      <c r="H26720" s="13"/>
    </row>
    <row r="26721">
      <c r="A26721" s="6"/>
      <c r="B26721" s="6"/>
      <c r="H26721" s="13"/>
    </row>
    <row r="26722">
      <c r="A26722" s="6"/>
      <c r="B26722" s="6"/>
      <c r="H26722" s="13"/>
    </row>
    <row r="26723">
      <c r="A26723" s="6"/>
      <c r="B26723" s="6"/>
      <c r="H26723" s="13"/>
    </row>
    <row r="26724">
      <c r="A26724" s="6"/>
      <c r="B26724" s="6"/>
      <c r="H26724" s="13"/>
    </row>
    <row r="26725">
      <c r="A26725" s="6"/>
      <c r="B26725" s="6"/>
      <c r="H26725" s="13"/>
    </row>
    <row r="26726">
      <c r="A26726" s="6"/>
      <c r="B26726" s="6"/>
      <c r="H26726" s="13"/>
    </row>
    <row r="26727">
      <c r="A26727" s="6"/>
      <c r="B26727" s="6"/>
      <c r="H26727" s="13"/>
    </row>
    <row r="26728">
      <c r="A26728" s="6"/>
      <c r="B26728" s="6"/>
      <c r="H26728" s="13"/>
    </row>
    <row r="26729">
      <c r="A26729" s="6"/>
      <c r="B26729" s="6"/>
      <c r="H26729" s="13"/>
    </row>
    <row r="26730">
      <c r="A26730" s="6"/>
      <c r="B26730" s="6"/>
      <c r="H26730" s="13"/>
    </row>
    <row r="26731">
      <c r="A26731" s="6"/>
      <c r="B26731" s="6"/>
      <c r="H26731" s="13"/>
    </row>
    <row r="26732">
      <c r="A26732" s="6"/>
      <c r="B26732" s="6"/>
      <c r="H26732" s="13"/>
    </row>
    <row r="26733">
      <c r="A26733" s="6"/>
      <c r="B26733" s="6"/>
      <c r="H26733" s="13"/>
    </row>
    <row r="26734">
      <c r="A26734" s="6"/>
      <c r="B26734" s="6"/>
      <c r="H26734" s="13"/>
    </row>
    <row r="26735">
      <c r="A26735" s="6"/>
      <c r="B26735" s="6"/>
      <c r="H26735" s="13"/>
    </row>
    <row r="26736">
      <c r="A26736" s="6"/>
      <c r="B26736" s="6"/>
      <c r="H26736" s="13"/>
    </row>
    <row r="26737">
      <c r="A26737" s="6"/>
      <c r="B26737" s="6"/>
      <c r="H26737" s="13"/>
    </row>
    <row r="26738">
      <c r="A26738" s="6"/>
      <c r="B26738" s="6"/>
      <c r="H26738" s="13"/>
    </row>
    <row r="26739">
      <c r="A26739" s="6"/>
      <c r="B26739" s="6"/>
      <c r="H26739" s="13"/>
    </row>
    <row r="26740">
      <c r="A26740" s="6"/>
      <c r="B26740" s="6"/>
      <c r="H26740" s="13"/>
    </row>
    <row r="26741">
      <c r="A26741" s="6"/>
      <c r="B26741" s="6"/>
      <c r="H26741" s="13"/>
    </row>
    <row r="26742">
      <c r="A26742" s="6"/>
      <c r="B26742" s="6"/>
      <c r="H26742" s="13"/>
    </row>
    <row r="26743">
      <c r="A26743" s="6"/>
      <c r="B26743" s="6"/>
      <c r="H26743" s="13"/>
    </row>
    <row r="26744">
      <c r="A26744" s="6"/>
      <c r="B26744" s="6"/>
      <c r="H26744" s="13"/>
    </row>
    <row r="26745">
      <c r="A26745" s="6"/>
      <c r="B26745" s="6"/>
      <c r="H26745" s="13"/>
    </row>
    <row r="26746">
      <c r="A26746" s="6"/>
      <c r="B26746" s="6"/>
      <c r="H26746" s="13"/>
    </row>
    <row r="26747">
      <c r="A26747" s="6"/>
      <c r="B26747" s="6"/>
      <c r="H26747" s="13"/>
    </row>
    <row r="26748">
      <c r="A26748" s="6"/>
      <c r="B26748" s="6"/>
      <c r="H26748" s="13"/>
    </row>
    <row r="26749">
      <c r="A26749" s="6"/>
      <c r="B26749" s="6"/>
      <c r="H26749" s="13"/>
    </row>
    <row r="26750">
      <c r="A26750" s="6"/>
      <c r="B26750" s="6"/>
      <c r="H26750" s="13"/>
    </row>
    <row r="26751">
      <c r="A26751" s="6"/>
      <c r="B26751" s="6"/>
      <c r="H26751" s="13"/>
    </row>
    <row r="26752">
      <c r="A26752" s="6"/>
      <c r="B26752" s="6"/>
      <c r="H26752" s="13"/>
    </row>
    <row r="26753">
      <c r="A26753" s="6"/>
      <c r="B26753" s="6"/>
      <c r="H26753" s="13"/>
    </row>
    <row r="26754">
      <c r="A26754" s="6"/>
      <c r="B26754" s="6"/>
      <c r="H26754" s="13"/>
    </row>
    <row r="26755">
      <c r="A26755" s="6"/>
      <c r="B26755" s="6"/>
      <c r="H26755" s="13"/>
    </row>
    <row r="26756">
      <c r="A26756" s="6"/>
      <c r="B26756" s="6"/>
      <c r="H26756" s="13"/>
    </row>
    <row r="26757">
      <c r="A26757" s="6"/>
      <c r="B26757" s="6"/>
      <c r="H26757" s="13"/>
    </row>
    <row r="26758">
      <c r="A26758" s="6"/>
      <c r="B26758" s="6"/>
      <c r="H26758" s="13"/>
    </row>
    <row r="26759">
      <c r="A26759" s="6"/>
      <c r="B26759" s="6"/>
      <c r="H26759" s="13"/>
    </row>
    <row r="26760">
      <c r="A26760" s="6"/>
      <c r="B26760" s="6"/>
      <c r="H26760" s="13"/>
    </row>
    <row r="26761">
      <c r="A26761" s="6"/>
      <c r="B26761" s="6"/>
      <c r="H26761" s="13"/>
    </row>
    <row r="26762">
      <c r="A26762" s="6"/>
      <c r="B26762" s="6"/>
      <c r="H26762" s="13"/>
    </row>
    <row r="26763">
      <c r="A26763" s="6"/>
      <c r="B26763" s="6"/>
      <c r="H26763" s="13"/>
    </row>
    <row r="26764">
      <c r="A26764" s="6"/>
      <c r="B26764" s="6"/>
      <c r="H26764" s="13"/>
    </row>
    <row r="26765">
      <c r="A26765" s="6"/>
      <c r="B26765" s="6"/>
      <c r="H26765" s="13"/>
    </row>
    <row r="26766">
      <c r="A26766" s="6"/>
      <c r="B26766" s="6"/>
      <c r="H26766" s="13"/>
    </row>
    <row r="26767">
      <c r="A26767" s="6"/>
      <c r="B26767" s="6"/>
      <c r="H26767" s="13"/>
    </row>
    <row r="26768">
      <c r="A26768" s="6"/>
      <c r="B26768" s="6"/>
      <c r="H26768" s="13"/>
    </row>
    <row r="26769">
      <c r="A26769" s="6"/>
      <c r="B26769" s="6"/>
      <c r="H26769" s="13"/>
    </row>
    <row r="26770">
      <c r="A26770" s="6"/>
      <c r="B26770" s="6"/>
      <c r="H26770" s="13"/>
    </row>
    <row r="26771">
      <c r="A26771" s="6"/>
      <c r="B26771" s="6"/>
      <c r="H26771" s="13"/>
    </row>
    <row r="26772">
      <c r="A26772" s="6"/>
      <c r="B26772" s="6"/>
      <c r="H26772" s="13"/>
    </row>
    <row r="26773">
      <c r="A26773" s="6"/>
      <c r="B26773" s="6"/>
      <c r="H26773" s="13"/>
    </row>
    <row r="26774">
      <c r="A26774" s="6"/>
      <c r="B26774" s="6"/>
      <c r="H26774" s="13"/>
    </row>
    <row r="26775">
      <c r="A26775" s="6"/>
      <c r="B26775" s="6"/>
      <c r="H26775" s="13"/>
    </row>
    <row r="26776">
      <c r="A26776" s="6"/>
      <c r="B26776" s="6"/>
      <c r="H26776" s="13"/>
    </row>
    <row r="26777">
      <c r="A26777" s="6"/>
      <c r="B26777" s="6"/>
      <c r="H26777" s="13"/>
    </row>
    <row r="26778">
      <c r="A26778" s="6"/>
      <c r="B26778" s="6"/>
      <c r="H26778" s="13"/>
    </row>
    <row r="26779">
      <c r="A26779" s="6"/>
      <c r="B26779" s="6"/>
      <c r="H26779" s="13"/>
    </row>
    <row r="26780">
      <c r="A26780" s="6"/>
      <c r="B26780" s="6"/>
      <c r="H26780" s="13"/>
    </row>
    <row r="26781">
      <c r="A26781" s="6"/>
      <c r="B26781" s="6"/>
      <c r="H26781" s="13"/>
    </row>
    <row r="26782">
      <c r="A26782" s="6"/>
      <c r="B26782" s="6"/>
      <c r="H26782" s="13"/>
    </row>
    <row r="26783">
      <c r="A26783" s="6"/>
      <c r="B26783" s="6"/>
      <c r="H26783" s="13"/>
    </row>
    <row r="26784">
      <c r="A26784" s="6"/>
      <c r="B26784" s="6"/>
      <c r="H26784" s="13"/>
    </row>
    <row r="26785">
      <c r="A26785" s="6"/>
      <c r="B26785" s="6"/>
      <c r="H26785" s="13"/>
    </row>
    <row r="26786">
      <c r="A26786" s="6"/>
      <c r="B26786" s="6"/>
      <c r="H26786" s="13"/>
    </row>
    <row r="26787">
      <c r="A26787" s="6"/>
      <c r="B26787" s="6"/>
      <c r="H26787" s="13"/>
    </row>
    <row r="26788">
      <c r="A26788" s="6"/>
      <c r="B26788" s="6"/>
      <c r="H26788" s="13"/>
    </row>
    <row r="26789">
      <c r="A26789" s="6"/>
      <c r="B26789" s="6"/>
      <c r="H26789" s="13"/>
    </row>
    <row r="26790">
      <c r="A26790" s="6"/>
      <c r="B26790" s="6"/>
      <c r="H26790" s="13"/>
    </row>
    <row r="26791">
      <c r="A26791" s="6"/>
      <c r="B26791" s="6"/>
      <c r="H26791" s="13"/>
    </row>
    <row r="26792">
      <c r="A26792" s="6"/>
      <c r="B26792" s="6"/>
      <c r="H26792" s="13"/>
    </row>
    <row r="26793">
      <c r="A26793" s="6"/>
      <c r="B26793" s="6"/>
      <c r="H26793" s="13"/>
    </row>
    <row r="26794">
      <c r="A26794" s="6"/>
      <c r="B26794" s="6"/>
      <c r="H26794" s="13"/>
    </row>
    <row r="26795">
      <c r="A26795" s="6"/>
      <c r="B26795" s="6"/>
      <c r="H26795" s="13"/>
    </row>
    <row r="26796">
      <c r="A26796" s="6"/>
      <c r="B26796" s="6"/>
      <c r="H26796" s="13"/>
    </row>
    <row r="26797">
      <c r="A26797" s="6"/>
      <c r="B26797" s="6"/>
      <c r="H26797" s="13"/>
    </row>
    <row r="26798">
      <c r="A26798" s="6"/>
      <c r="B26798" s="6"/>
      <c r="H26798" s="13"/>
    </row>
    <row r="26799">
      <c r="A26799" s="6"/>
      <c r="B26799" s="6"/>
      <c r="H26799" s="13"/>
    </row>
    <row r="26800">
      <c r="A26800" s="6"/>
      <c r="B26800" s="6"/>
      <c r="H26800" s="13"/>
    </row>
    <row r="26801">
      <c r="A26801" s="6"/>
      <c r="B26801" s="6"/>
      <c r="H26801" s="13"/>
    </row>
    <row r="26802">
      <c r="A26802" s="6"/>
      <c r="B26802" s="6"/>
      <c r="H26802" s="13"/>
    </row>
    <row r="26803">
      <c r="A26803" s="6"/>
      <c r="B26803" s="6"/>
      <c r="H26803" s="13"/>
    </row>
    <row r="26804">
      <c r="A26804" s="6"/>
      <c r="B26804" s="6"/>
      <c r="H26804" s="13"/>
    </row>
    <row r="26805">
      <c r="A26805" s="6"/>
      <c r="B26805" s="6"/>
      <c r="H26805" s="13"/>
    </row>
    <row r="26806">
      <c r="A26806" s="6"/>
      <c r="B26806" s="6"/>
      <c r="H26806" s="13"/>
    </row>
    <row r="26807">
      <c r="A26807" s="6"/>
      <c r="B26807" s="6"/>
      <c r="H26807" s="13"/>
    </row>
    <row r="26808">
      <c r="A26808" s="6"/>
      <c r="B26808" s="6"/>
      <c r="H26808" s="13"/>
    </row>
    <row r="26809">
      <c r="A26809" s="6"/>
      <c r="B26809" s="6"/>
      <c r="H26809" s="13"/>
    </row>
    <row r="26810">
      <c r="A26810" s="6"/>
      <c r="B26810" s="6"/>
      <c r="H26810" s="13"/>
    </row>
    <row r="26811">
      <c r="A26811" s="6"/>
      <c r="B26811" s="6"/>
      <c r="H26811" s="13"/>
    </row>
    <row r="26812">
      <c r="A26812" s="6"/>
      <c r="B26812" s="6"/>
      <c r="H26812" s="13"/>
    </row>
    <row r="26813">
      <c r="A26813" s="6"/>
      <c r="B26813" s="6"/>
      <c r="H26813" s="13"/>
    </row>
    <row r="26814">
      <c r="A26814" s="6"/>
      <c r="B26814" s="6"/>
      <c r="H26814" s="13"/>
    </row>
    <row r="26815">
      <c r="A26815" s="6"/>
      <c r="B26815" s="6"/>
      <c r="H26815" s="13"/>
    </row>
    <row r="26816">
      <c r="A26816" s="6"/>
      <c r="B26816" s="6"/>
      <c r="H26816" s="13"/>
    </row>
    <row r="26817">
      <c r="A26817" s="6"/>
      <c r="B26817" s="6"/>
      <c r="H26817" s="13"/>
    </row>
    <row r="26818">
      <c r="A26818" s="6"/>
      <c r="B26818" s="6"/>
      <c r="H26818" s="13"/>
    </row>
    <row r="26819">
      <c r="A26819" s="6"/>
      <c r="B26819" s="6"/>
      <c r="H26819" s="13"/>
    </row>
    <row r="26820">
      <c r="A26820" s="6"/>
      <c r="B26820" s="6"/>
      <c r="H26820" s="13"/>
    </row>
    <row r="26821">
      <c r="A26821" s="6"/>
      <c r="B26821" s="6"/>
      <c r="H26821" s="13"/>
    </row>
    <row r="26822">
      <c r="A26822" s="6"/>
      <c r="B26822" s="6"/>
      <c r="H26822" s="13"/>
    </row>
    <row r="26823">
      <c r="A26823" s="6"/>
      <c r="B26823" s="6"/>
      <c r="H26823" s="13"/>
    </row>
    <row r="26824">
      <c r="A26824" s="6"/>
      <c r="B26824" s="6"/>
      <c r="H26824" s="13"/>
    </row>
    <row r="26825">
      <c r="A26825" s="6"/>
      <c r="B26825" s="6"/>
      <c r="H26825" s="13"/>
    </row>
    <row r="26826">
      <c r="A26826" s="6"/>
      <c r="B26826" s="6"/>
      <c r="H26826" s="13"/>
    </row>
    <row r="26827">
      <c r="A26827" s="6"/>
      <c r="B26827" s="6"/>
      <c r="H26827" s="13"/>
    </row>
    <row r="26828">
      <c r="A26828" s="6"/>
      <c r="B26828" s="6"/>
      <c r="H26828" s="13"/>
    </row>
    <row r="26829">
      <c r="A26829" s="6"/>
      <c r="B26829" s="6"/>
      <c r="H26829" s="13"/>
    </row>
    <row r="26830">
      <c r="A26830" s="6"/>
      <c r="B26830" s="6"/>
      <c r="H26830" s="13"/>
    </row>
    <row r="26831">
      <c r="A26831" s="6"/>
      <c r="B26831" s="6"/>
      <c r="H26831" s="13"/>
    </row>
    <row r="26832">
      <c r="A26832" s="6"/>
      <c r="B26832" s="6"/>
      <c r="H26832" s="13"/>
    </row>
    <row r="26833">
      <c r="A26833" s="6"/>
      <c r="B26833" s="6"/>
      <c r="H26833" s="13"/>
    </row>
    <row r="26834">
      <c r="A26834" s="6"/>
      <c r="B26834" s="6"/>
      <c r="H26834" s="13"/>
    </row>
    <row r="26835">
      <c r="A26835" s="6"/>
      <c r="B26835" s="6"/>
      <c r="H26835" s="13"/>
    </row>
    <row r="26836">
      <c r="A26836" s="6"/>
      <c r="B26836" s="6"/>
      <c r="H26836" s="13"/>
    </row>
    <row r="26837">
      <c r="A26837" s="6"/>
      <c r="B26837" s="6"/>
      <c r="H26837" s="13"/>
    </row>
    <row r="26838">
      <c r="A26838" s="6"/>
      <c r="B26838" s="6"/>
      <c r="H26838" s="13"/>
    </row>
    <row r="26839">
      <c r="A26839" s="6"/>
      <c r="B26839" s="6"/>
      <c r="H26839" s="13"/>
    </row>
    <row r="26840">
      <c r="A26840" s="6"/>
      <c r="B26840" s="6"/>
      <c r="H26840" s="13"/>
    </row>
    <row r="26841">
      <c r="A26841" s="6"/>
      <c r="B26841" s="6"/>
      <c r="H26841" s="13"/>
    </row>
    <row r="26842">
      <c r="A26842" s="6"/>
      <c r="B26842" s="6"/>
      <c r="H26842" s="13"/>
    </row>
    <row r="26843">
      <c r="A26843" s="6"/>
      <c r="B26843" s="6"/>
      <c r="H26843" s="13"/>
    </row>
    <row r="26844">
      <c r="A26844" s="6"/>
      <c r="B26844" s="6"/>
      <c r="H26844" s="13"/>
    </row>
    <row r="26845">
      <c r="A26845" s="6"/>
      <c r="B26845" s="6"/>
      <c r="H26845" s="13"/>
    </row>
    <row r="26846">
      <c r="A26846" s="6"/>
      <c r="B26846" s="6"/>
      <c r="H26846" s="13"/>
    </row>
    <row r="26847">
      <c r="A26847" s="6"/>
      <c r="B26847" s="6"/>
      <c r="H26847" s="13"/>
    </row>
    <row r="26848">
      <c r="A26848" s="6"/>
      <c r="B26848" s="6"/>
      <c r="H26848" s="13"/>
    </row>
    <row r="26849">
      <c r="A26849" s="6"/>
      <c r="B26849" s="6"/>
      <c r="H26849" s="13"/>
    </row>
    <row r="26850">
      <c r="A26850" s="6"/>
      <c r="B26850" s="6"/>
      <c r="H26850" s="13"/>
    </row>
    <row r="26851">
      <c r="A26851" s="6"/>
      <c r="B26851" s="6"/>
      <c r="H26851" s="13"/>
    </row>
    <row r="26852">
      <c r="A26852" s="6"/>
      <c r="B26852" s="6"/>
      <c r="H26852" s="13"/>
    </row>
    <row r="26853">
      <c r="A26853" s="6"/>
      <c r="B26853" s="6"/>
      <c r="H26853" s="13"/>
    </row>
    <row r="26854">
      <c r="A26854" s="6"/>
      <c r="B26854" s="6"/>
      <c r="H26854" s="13"/>
    </row>
    <row r="26855">
      <c r="A26855" s="6"/>
      <c r="B26855" s="6"/>
      <c r="H26855" s="13"/>
    </row>
    <row r="26856">
      <c r="A26856" s="6"/>
      <c r="B26856" s="6"/>
      <c r="H26856" s="13"/>
    </row>
    <row r="26857">
      <c r="A26857" s="6"/>
      <c r="B26857" s="6"/>
      <c r="H26857" s="13"/>
    </row>
    <row r="26858">
      <c r="A26858" s="6"/>
      <c r="B26858" s="6"/>
      <c r="H26858" s="13"/>
    </row>
    <row r="26859">
      <c r="A26859" s="6"/>
      <c r="B26859" s="6"/>
      <c r="H26859" s="13"/>
    </row>
    <row r="26860">
      <c r="A26860" s="6"/>
      <c r="B26860" s="6"/>
      <c r="H26860" s="13"/>
    </row>
    <row r="26861">
      <c r="A26861" s="6"/>
      <c r="B26861" s="6"/>
      <c r="H26861" s="13"/>
    </row>
    <row r="26862">
      <c r="A26862" s="6"/>
      <c r="B26862" s="6"/>
      <c r="H26862" s="13"/>
    </row>
    <row r="26863">
      <c r="A26863" s="6"/>
      <c r="B26863" s="6"/>
      <c r="H26863" s="13"/>
    </row>
    <row r="26864">
      <c r="A26864" s="6"/>
      <c r="B26864" s="6"/>
      <c r="H26864" s="13"/>
    </row>
    <row r="26865">
      <c r="A26865" s="6"/>
      <c r="B26865" s="6"/>
      <c r="H26865" s="13"/>
    </row>
    <row r="26866">
      <c r="A26866" s="6"/>
      <c r="B26866" s="6"/>
      <c r="H26866" s="13"/>
    </row>
    <row r="26867">
      <c r="A26867" s="6"/>
      <c r="B26867" s="6"/>
      <c r="H26867" s="13"/>
    </row>
    <row r="26868">
      <c r="A26868" s="6"/>
      <c r="B26868" s="6"/>
      <c r="H26868" s="13"/>
    </row>
    <row r="26869">
      <c r="A26869" s="6"/>
      <c r="B26869" s="6"/>
      <c r="H26869" s="13"/>
    </row>
    <row r="26870">
      <c r="A26870" s="6"/>
      <c r="B26870" s="6"/>
      <c r="H26870" s="13"/>
    </row>
    <row r="26871">
      <c r="A26871" s="6"/>
      <c r="B26871" s="6"/>
      <c r="H26871" s="13"/>
    </row>
    <row r="26872">
      <c r="A26872" s="6"/>
      <c r="B26872" s="6"/>
      <c r="H26872" s="13"/>
    </row>
    <row r="26873">
      <c r="A26873" s="6"/>
      <c r="B26873" s="6"/>
      <c r="H26873" s="13"/>
    </row>
    <row r="26874">
      <c r="A26874" s="6"/>
      <c r="B26874" s="6"/>
      <c r="H26874" s="13"/>
    </row>
    <row r="26875">
      <c r="A26875" s="6"/>
      <c r="B26875" s="6"/>
      <c r="H26875" s="13"/>
    </row>
    <row r="26876">
      <c r="A26876" s="6"/>
      <c r="B26876" s="6"/>
      <c r="H26876" s="13"/>
    </row>
    <row r="26877">
      <c r="A26877" s="6"/>
      <c r="B26877" s="6"/>
      <c r="H26877" s="13"/>
    </row>
    <row r="26878">
      <c r="A26878" s="6"/>
      <c r="B26878" s="6"/>
      <c r="H26878" s="13"/>
    </row>
    <row r="26879">
      <c r="A26879" s="6"/>
      <c r="B26879" s="6"/>
      <c r="H26879" s="13"/>
    </row>
    <row r="26880">
      <c r="A26880" s="6"/>
      <c r="B26880" s="6"/>
      <c r="H26880" s="13"/>
    </row>
    <row r="26881">
      <c r="A26881" s="6"/>
      <c r="B26881" s="6"/>
      <c r="H26881" s="13"/>
    </row>
    <row r="26882">
      <c r="A26882" s="6"/>
      <c r="B26882" s="6"/>
      <c r="H26882" s="13"/>
    </row>
    <row r="26883">
      <c r="A26883" s="6"/>
      <c r="B26883" s="6"/>
      <c r="H26883" s="13"/>
    </row>
    <row r="26884">
      <c r="A26884" s="6"/>
      <c r="B26884" s="6"/>
      <c r="H26884" s="13"/>
    </row>
    <row r="26885">
      <c r="A26885" s="6"/>
      <c r="B26885" s="6"/>
      <c r="H26885" s="13"/>
    </row>
    <row r="26886">
      <c r="A26886" s="6"/>
      <c r="B26886" s="6"/>
      <c r="H26886" s="13"/>
    </row>
    <row r="26887">
      <c r="A26887" s="6"/>
      <c r="B26887" s="6"/>
      <c r="H26887" s="13"/>
    </row>
    <row r="26888">
      <c r="A26888" s="6"/>
      <c r="B26888" s="6"/>
      <c r="H26888" s="13"/>
    </row>
    <row r="26889">
      <c r="A26889" s="6"/>
      <c r="B26889" s="6"/>
      <c r="H26889" s="13"/>
    </row>
    <row r="26890">
      <c r="A26890" s="6"/>
      <c r="B26890" s="6"/>
      <c r="H26890" s="13"/>
    </row>
    <row r="26891">
      <c r="A26891" s="6"/>
      <c r="B26891" s="6"/>
      <c r="H26891" s="13"/>
    </row>
    <row r="26892">
      <c r="A26892" s="6"/>
      <c r="B26892" s="6"/>
      <c r="H26892" s="13"/>
    </row>
    <row r="26893">
      <c r="A26893" s="6"/>
      <c r="B26893" s="6"/>
      <c r="H26893" s="13"/>
    </row>
    <row r="26894">
      <c r="A26894" s="6"/>
      <c r="B26894" s="6"/>
      <c r="H26894" s="13"/>
    </row>
    <row r="26895">
      <c r="A26895" s="6"/>
      <c r="B26895" s="6"/>
      <c r="H26895" s="13"/>
    </row>
    <row r="26896">
      <c r="A26896" s="6"/>
      <c r="B26896" s="6"/>
      <c r="H26896" s="13"/>
    </row>
    <row r="26897">
      <c r="A26897" s="6"/>
      <c r="B26897" s="6"/>
      <c r="H26897" s="13"/>
    </row>
    <row r="26898">
      <c r="A26898" s="6"/>
      <c r="B26898" s="6"/>
      <c r="H26898" s="13"/>
    </row>
    <row r="26899">
      <c r="A26899" s="6"/>
      <c r="B26899" s="6"/>
      <c r="H26899" s="13"/>
    </row>
    <row r="26900">
      <c r="A26900" s="6"/>
      <c r="B26900" s="6"/>
      <c r="H26900" s="13"/>
    </row>
    <row r="26901">
      <c r="A26901" s="6"/>
      <c r="B26901" s="6"/>
      <c r="H26901" s="13"/>
    </row>
    <row r="26902">
      <c r="A26902" s="6"/>
      <c r="B26902" s="6"/>
      <c r="H26902" s="13"/>
    </row>
    <row r="26903">
      <c r="A26903" s="6"/>
      <c r="B26903" s="6"/>
      <c r="H26903" s="13"/>
    </row>
    <row r="26904">
      <c r="A26904" s="6"/>
      <c r="B26904" s="6"/>
      <c r="H26904" s="13"/>
    </row>
    <row r="26905">
      <c r="A26905" s="6"/>
      <c r="B26905" s="6"/>
      <c r="H26905" s="13"/>
    </row>
    <row r="26906">
      <c r="A26906" s="6"/>
      <c r="B26906" s="6"/>
      <c r="H26906" s="13"/>
    </row>
    <row r="26907">
      <c r="A26907" s="6"/>
      <c r="B26907" s="6"/>
      <c r="H26907" s="13"/>
    </row>
    <row r="26908">
      <c r="A26908" s="6"/>
      <c r="B26908" s="6"/>
      <c r="H26908" s="13"/>
    </row>
    <row r="26909">
      <c r="A26909" s="6"/>
      <c r="B26909" s="6"/>
      <c r="H26909" s="13"/>
    </row>
    <row r="26910">
      <c r="A26910" s="6"/>
      <c r="B26910" s="6"/>
      <c r="H26910" s="13"/>
    </row>
    <row r="26911">
      <c r="A26911" s="6"/>
      <c r="B26911" s="6"/>
      <c r="H26911" s="13"/>
    </row>
    <row r="26912">
      <c r="A26912" s="6"/>
      <c r="B26912" s="6"/>
      <c r="H26912" s="13"/>
    </row>
    <row r="26913">
      <c r="A26913" s="6"/>
      <c r="B26913" s="6"/>
      <c r="H26913" s="13"/>
    </row>
    <row r="26914">
      <c r="A26914" s="6"/>
      <c r="B26914" s="6"/>
      <c r="H26914" s="13"/>
    </row>
    <row r="26915">
      <c r="A26915" s="6"/>
      <c r="B26915" s="6"/>
      <c r="H26915" s="13"/>
    </row>
    <row r="26916">
      <c r="A26916" s="6"/>
      <c r="B26916" s="6"/>
      <c r="H26916" s="13"/>
    </row>
    <row r="26917">
      <c r="A26917" s="6"/>
      <c r="B26917" s="6"/>
      <c r="H26917" s="13"/>
    </row>
    <row r="26918">
      <c r="A26918" s="6"/>
      <c r="B26918" s="6"/>
      <c r="H26918" s="13"/>
    </row>
    <row r="26919">
      <c r="A26919" s="6"/>
      <c r="B26919" s="6"/>
      <c r="H26919" s="13"/>
    </row>
    <row r="26920">
      <c r="A26920" s="6"/>
      <c r="B26920" s="6"/>
      <c r="H26920" s="13"/>
    </row>
    <row r="26921">
      <c r="A26921" s="6"/>
      <c r="B26921" s="6"/>
      <c r="H26921" s="13"/>
    </row>
    <row r="26922">
      <c r="A26922" s="6"/>
      <c r="B26922" s="6"/>
      <c r="H26922" s="13"/>
    </row>
    <row r="26923">
      <c r="A26923" s="6"/>
      <c r="B26923" s="6"/>
      <c r="H26923" s="13"/>
    </row>
    <row r="26924">
      <c r="A26924" s="6"/>
      <c r="B26924" s="6"/>
      <c r="H26924" s="13"/>
    </row>
    <row r="26925">
      <c r="A26925" s="6"/>
      <c r="B26925" s="6"/>
      <c r="H26925" s="13"/>
    </row>
    <row r="26926">
      <c r="A26926" s="6"/>
      <c r="B26926" s="6"/>
      <c r="H26926" s="13"/>
    </row>
    <row r="26927">
      <c r="A26927" s="6"/>
      <c r="B26927" s="6"/>
      <c r="H26927" s="13"/>
    </row>
    <row r="26928">
      <c r="A26928" s="6"/>
      <c r="B26928" s="6"/>
      <c r="H26928" s="13"/>
    </row>
    <row r="26929">
      <c r="A26929" s="6"/>
      <c r="B26929" s="6"/>
      <c r="H26929" s="13"/>
    </row>
    <row r="26930">
      <c r="A26930" s="6"/>
      <c r="B26930" s="6"/>
      <c r="H26930" s="13"/>
    </row>
    <row r="26931">
      <c r="A26931" s="6"/>
      <c r="B26931" s="6"/>
      <c r="H26931" s="13"/>
    </row>
    <row r="26932">
      <c r="A26932" s="6"/>
      <c r="B26932" s="6"/>
      <c r="H26932" s="13"/>
    </row>
    <row r="26933">
      <c r="A26933" s="6"/>
      <c r="B26933" s="6"/>
      <c r="H26933" s="13"/>
    </row>
    <row r="26934">
      <c r="A26934" s="6"/>
      <c r="B26934" s="6"/>
      <c r="H26934" s="13"/>
    </row>
    <row r="26935">
      <c r="A26935" s="6"/>
      <c r="B26935" s="6"/>
      <c r="H26935" s="13"/>
    </row>
    <row r="26936">
      <c r="A26936" s="6"/>
      <c r="B26936" s="6"/>
      <c r="H26936" s="13"/>
    </row>
    <row r="26937">
      <c r="A26937" s="6"/>
      <c r="B26937" s="6"/>
      <c r="H26937" s="13"/>
    </row>
    <row r="26938">
      <c r="A26938" s="6"/>
      <c r="B26938" s="6"/>
      <c r="H26938" s="13"/>
    </row>
    <row r="26939">
      <c r="A26939" s="6"/>
      <c r="B26939" s="6"/>
      <c r="H26939" s="13"/>
    </row>
    <row r="26940">
      <c r="A26940" s="6"/>
      <c r="B26940" s="6"/>
      <c r="H26940" s="13"/>
    </row>
    <row r="26941">
      <c r="A26941" s="6"/>
      <c r="B26941" s="6"/>
      <c r="H26941" s="13"/>
    </row>
    <row r="26942">
      <c r="A26942" s="6"/>
      <c r="B26942" s="6"/>
      <c r="H26942" s="13"/>
    </row>
    <row r="26943">
      <c r="A26943" s="6"/>
      <c r="B26943" s="6"/>
      <c r="H26943" s="13"/>
    </row>
    <row r="26944">
      <c r="A26944" s="6"/>
      <c r="B26944" s="6"/>
      <c r="H26944" s="13"/>
    </row>
    <row r="26945">
      <c r="A26945" s="6"/>
      <c r="B26945" s="6"/>
      <c r="H26945" s="13"/>
    </row>
    <row r="26946">
      <c r="A26946" s="6"/>
      <c r="B26946" s="6"/>
      <c r="H26946" s="13"/>
    </row>
    <row r="26947">
      <c r="A26947" s="6"/>
      <c r="B26947" s="6"/>
      <c r="H26947" s="13"/>
    </row>
    <row r="26948">
      <c r="A26948" s="6"/>
      <c r="B26948" s="6"/>
      <c r="H26948" s="13"/>
    </row>
    <row r="26949">
      <c r="A26949" s="6"/>
      <c r="B26949" s="6"/>
      <c r="H26949" s="13"/>
    </row>
    <row r="26950">
      <c r="A26950" s="6"/>
      <c r="B26950" s="6"/>
      <c r="H26950" s="13"/>
    </row>
    <row r="26951">
      <c r="A26951" s="6"/>
      <c r="B26951" s="6"/>
      <c r="H26951" s="13"/>
    </row>
    <row r="26952">
      <c r="A26952" s="6"/>
      <c r="B26952" s="6"/>
      <c r="H26952" s="13"/>
    </row>
    <row r="26953">
      <c r="A26953" s="6"/>
      <c r="B26953" s="6"/>
      <c r="H26953" s="13"/>
    </row>
    <row r="26954">
      <c r="A26954" s="6"/>
      <c r="B26954" s="6"/>
      <c r="H26954" s="13"/>
    </row>
    <row r="26955">
      <c r="A26955" s="6"/>
      <c r="B26955" s="6"/>
      <c r="H26955" s="13"/>
    </row>
    <row r="26956">
      <c r="A26956" s="6"/>
      <c r="B26956" s="6"/>
      <c r="H26956" s="13"/>
    </row>
    <row r="26957">
      <c r="A26957" s="6"/>
      <c r="B26957" s="6"/>
      <c r="H26957" s="13"/>
    </row>
    <row r="26958">
      <c r="A26958" s="6"/>
      <c r="B26958" s="6"/>
      <c r="H26958" s="13"/>
    </row>
    <row r="26959">
      <c r="A26959" s="6"/>
      <c r="B26959" s="6"/>
      <c r="H26959" s="13"/>
    </row>
    <row r="26960">
      <c r="A26960" s="6"/>
      <c r="B26960" s="6"/>
      <c r="H26960" s="13"/>
    </row>
    <row r="26961">
      <c r="A26961" s="6"/>
      <c r="B26961" s="6"/>
      <c r="H26961" s="13"/>
    </row>
    <row r="26962">
      <c r="A26962" s="6"/>
      <c r="B26962" s="6"/>
      <c r="H26962" s="13"/>
    </row>
    <row r="26963">
      <c r="A26963" s="6"/>
      <c r="B26963" s="6"/>
      <c r="H26963" s="13"/>
    </row>
    <row r="26964">
      <c r="A26964" s="6"/>
      <c r="B26964" s="6"/>
      <c r="H26964" s="13"/>
    </row>
    <row r="26965">
      <c r="A26965" s="6"/>
      <c r="B26965" s="6"/>
      <c r="H26965" s="13"/>
    </row>
    <row r="26966">
      <c r="A26966" s="6"/>
      <c r="B26966" s="6"/>
      <c r="H26966" s="13"/>
    </row>
    <row r="26967">
      <c r="A26967" s="6"/>
      <c r="B26967" s="6"/>
      <c r="H26967" s="13"/>
    </row>
    <row r="26968">
      <c r="A26968" s="6"/>
      <c r="B26968" s="6"/>
      <c r="H26968" s="13"/>
    </row>
    <row r="26969">
      <c r="A26969" s="6"/>
      <c r="B26969" s="6"/>
      <c r="H26969" s="13"/>
    </row>
    <row r="26970">
      <c r="A26970" s="6"/>
      <c r="B26970" s="6"/>
      <c r="H26970" s="13"/>
    </row>
    <row r="26971">
      <c r="A26971" s="6"/>
      <c r="B26971" s="6"/>
      <c r="H26971" s="13"/>
    </row>
    <row r="26972">
      <c r="A26972" s="6"/>
      <c r="B26972" s="6"/>
      <c r="H26972" s="13"/>
    </row>
    <row r="26973">
      <c r="A26973" s="6"/>
      <c r="B26973" s="6"/>
      <c r="H26973" s="13"/>
    </row>
    <row r="26974">
      <c r="A26974" s="6"/>
      <c r="B26974" s="6"/>
      <c r="H26974" s="13"/>
    </row>
    <row r="26975">
      <c r="A26975" s="6"/>
      <c r="B26975" s="6"/>
      <c r="H26975" s="13"/>
    </row>
    <row r="26976">
      <c r="A26976" s="6"/>
      <c r="B26976" s="6"/>
      <c r="H26976" s="13"/>
    </row>
    <row r="26977">
      <c r="A26977" s="6"/>
      <c r="B26977" s="6"/>
      <c r="H26977" s="13"/>
    </row>
    <row r="26978">
      <c r="A26978" s="6"/>
      <c r="B26978" s="6"/>
      <c r="H26978" s="13"/>
    </row>
    <row r="26979">
      <c r="A26979" s="6"/>
      <c r="B26979" s="6"/>
      <c r="H26979" s="13"/>
    </row>
    <row r="26980">
      <c r="A26980" s="6"/>
      <c r="B26980" s="6"/>
      <c r="H26980" s="13"/>
    </row>
    <row r="26981">
      <c r="A26981" s="6"/>
      <c r="B26981" s="6"/>
      <c r="H26981" s="13"/>
    </row>
    <row r="26982">
      <c r="A26982" s="6"/>
      <c r="B26982" s="6"/>
      <c r="H26982" s="13"/>
    </row>
    <row r="26983">
      <c r="A26983" s="6"/>
      <c r="B26983" s="6"/>
      <c r="H26983" s="13"/>
    </row>
    <row r="26984">
      <c r="A26984" s="6"/>
      <c r="B26984" s="6"/>
      <c r="H26984" s="13"/>
    </row>
    <row r="26985">
      <c r="A26985" s="6"/>
      <c r="B26985" s="6"/>
      <c r="H26985" s="13"/>
    </row>
    <row r="26986">
      <c r="A26986" s="6"/>
      <c r="B26986" s="6"/>
      <c r="H26986" s="13"/>
    </row>
    <row r="26987">
      <c r="A26987" s="6"/>
      <c r="B26987" s="6"/>
      <c r="H26987" s="13"/>
    </row>
    <row r="26988">
      <c r="A26988" s="6"/>
      <c r="B26988" s="6"/>
      <c r="H26988" s="13"/>
    </row>
    <row r="26989">
      <c r="A26989" s="6"/>
      <c r="B26989" s="6"/>
      <c r="H26989" s="13"/>
    </row>
    <row r="26990">
      <c r="A26990" s="6"/>
      <c r="B26990" s="6"/>
      <c r="H26990" s="13"/>
    </row>
    <row r="26991">
      <c r="A26991" s="6"/>
      <c r="B26991" s="6"/>
      <c r="H26991" s="13"/>
    </row>
    <row r="26992">
      <c r="A26992" s="6"/>
      <c r="B26992" s="6"/>
      <c r="H26992" s="13"/>
    </row>
    <row r="26993">
      <c r="A26993" s="6"/>
      <c r="B26993" s="6"/>
      <c r="H26993" s="13"/>
    </row>
    <row r="26994">
      <c r="A26994" s="6"/>
      <c r="B26994" s="6"/>
      <c r="H26994" s="13"/>
    </row>
    <row r="26995">
      <c r="A26995" s="6"/>
      <c r="B26995" s="6"/>
      <c r="H26995" s="13"/>
    </row>
    <row r="26996">
      <c r="A26996" s="6"/>
      <c r="B26996" s="6"/>
      <c r="H26996" s="13"/>
    </row>
    <row r="26997">
      <c r="A26997" s="6"/>
      <c r="B26997" s="6"/>
      <c r="H26997" s="13"/>
    </row>
    <row r="26998">
      <c r="A26998" s="6"/>
      <c r="B26998" s="6"/>
      <c r="H26998" s="13"/>
    </row>
    <row r="26999">
      <c r="A26999" s="6"/>
      <c r="B26999" s="6"/>
      <c r="H26999" s="13"/>
    </row>
    <row r="27000">
      <c r="A27000" s="6"/>
      <c r="B27000" s="6"/>
      <c r="H27000" s="13"/>
    </row>
    <row r="27001">
      <c r="A27001" s="6"/>
      <c r="B27001" s="6"/>
      <c r="H27001" s="13"/>
    </row>
    <row r="27002">
      <c r="A27002" s="6"/>
      <c r="B27002" s="6"/>
      <c r="H27002" s="13"/>
    </row>
    <row r="27003">
      <c r="A27003" s="6"/>
      <c r="B27003" s="6"/>
      <c r="H27003" s="13"/>
    </row>
    <row r="27004">
      <c r="A27004" s="6"/>
      <c r="B27004" s="6"/>
      <c r="H27004" s="13"/>
    </row>
    <row r="27005">
      <c r="A27005" s="6"/>
      <c r="B27005" s="6"/>
      <c r="H27005" s="13"/>
    </row>
    <row r="27006">
      <c r="A27006" s="6"/>
      <c r="B27006" s="6"/>
      <c r="H27006" s="13"/>
    </row>
    <row r="27007">
      <c r="A27007" s="6"/>
      <c r="B27007" s="6"/>
      <c r="H27007" s="13"/>
    </row>
    <row r="27008">
      <c r="A27008" s="6"/>
      <c r="B27008" s="6"/>
      <c r="H27008" s="13"/>
    </row>
    <row r="27009">
      <c r="A27009" s="6"/>
      <c r="B27009" s="6"/>
      <c r="H27009" s="13"/>
    </row>
    <row r="27010">
      <c r="A27010" s="6"/>
      <c r="B27010" s="6"/>
      <c r="H27010" s="13"/>
    </row>
    <row r="27011">
      <c r="A27011" s="6"/>
      <c r="B27011" s="6"/>
      <c r="H27011" s="13"/>
    </row>
    <row r="27012">
      <c r="A27012" s="6"/>
      <c r="B27012" s="6"/>
      <c r="H27012" s="13"/>
    </row>
    <row r="27013">
      <c r="A27013" s="6"/>
      <c r="B27013" s="6"/>
      <c r="H27013" s="13"/>
    </row>
    <row r="27014">
      <c r="A27014" s="6"/>
      <c r="B27014" s="6"/>
      <c r="H27014" s="13"/>
    </row>
    <row r="27015">
      <c r="A27015" s="6"/>
      <c r="B27015" s="6"/>
      <c r="H27015" s="13"/>
    </row>
    <row r="27016">
      <c r="A27016" s="6"/>
      <c r="B27016" s="6"/>
      <c r="H27016" s="13"/>
    </row>
    <row r="27017">
      <c r="A27017" s="6"/>
      <c r="B27017" s="6"/>
      <c r="H27017" s="13"/>
    </row>
    <row r="27018">
      <c r="A27018" s="6"/>
      <c r="B27018" s="6"/>
      <c r="H27018" s="13"/>
    </row>
    <row r="27019">
      <c r="A27019" s="6"/>
      <c r="B27019" s="6"/>
      <c r="H27019" s="13"/>
    </row>
    <row r="27020">
      <c r="A27020" s="6"/>
      <c r="B27020" s="6"/>
      <c r="H27020" s="13"/>
    </row>
    <row r="27021">
      <c r="A27021" s="6"/>
      <c r="B27021" s="6"/>
      <c r="H27021" s="13"/>
    </row>
    <row r="27022">
      <c r="A27022" s="6"/>
      <c r="B27022" s="6"/>
      <c r="H27022" s="13"/>
    </row>
    <row r="27023">
      <c r="A27023" s="6"/>
      <c r="B27023" s="6"/>
      <c r="H27023" s="13"/>
    </row>
    <row r="27024">
      <c r="A27024" s="6"/>
      <c r="B27024" s="6"/>
      <c r="H27024" s="13"/>
    </row>
    <row r="27025">
      <c r="A27025" s="6"/>
      <c r="B27025" s="6"/>
      <c r="H27025" s="13"/>
    </row>
    <row r="27026">
      <c r="A27026" s="6"/>
      <c r="B27026" s="6"/>
      <c r="H27026" s="13"/>
    </row>
    <row r="27027">
      <c r="A27027" s="6"/>
      <c r="B27027" s="6"/>
      <c r="H27027" s="13"/>
    </row>
    <row r="27028">
      <c r="A27028" s="6"/>
      <c r="B27028" s="6"/>
      <c r="H27028" s="13"/>
    </row>
    <row r="27029">
      <c r="A27029" s="6"/>
      <c r="B27029" s="6"/>
      <c r="H27029" s="13"/>
    </row>
    <row r="27030">
      <c r="A27030" s="6"/>
      <c r="B27030" s="6"/>
      <c r="H27030" s="13"/>
    </row>
    <row r="27031">
      <c r="A27031" s="6"/>
      <c r="B27031" s="6"/>
      <c r="H27031" s="13"/>
    </row>
    <row r="27032">
      <c r="A27032" s="6"/>
      <c r="B27032" s="6"/>
      <c r="H27032" s="13"/>
    </row>
    <row r="27033">
      <c r="A27033" s="6"/>
      <c r="B27033" s="6"/>
      <c r="H27033" s="13"/>
    </row>
    <row r="27034">
      <c r="A27034" s="6"/>
      <c r="B27034" s="6"/>
      <c r="H27034" s="13"/>
    </row>
    <row r="27035">
      <c r="A27035" s="6"/>
      <c r="B27035" s="6"/>
      <c r="H27035" s="13"/>
    </row>
    <row r="27036">
      <c r="A27036" s="6"/>
      <c r="B27036" s="6"/>
      <c r="H27036" s="13"/>
    </row>
    <row r="27037">
      <c r="A27037" s="6"/>
      <c r="B27037" s="6"/>
      <c r="H27037" s="13"/>
    </row>
    <row r="27038">
      <c r="A27038" s="6"/>
      <c r="B27038" s="6"/>
      <c r="H27038" s="13"/>
    </row>
    <row r="27039">
      <c r="A27039" s="6"/>
      <c r="B27039" s="6"/>
      <c r="H27039" s="13"/>
    </row>
    <row r="27040">
      <c r="A27040" s="6"/>
      <c r="B27040" s="6"/>
      <c r="H27040" s="13"/>
    </row>
    <row r="27041">
      <c r="A27041" s="6"/>
      <c r="B27041" s="6"/>
      <c r="H27041" s="13"/>
    </row>
    <row r="27042">
      <c r="A27042" s="6"/>
      <c r="B27042" s="6"/>
      <c r="H27042" s="13"/>
    </row>
    <row r="27043">
      <c r="A27043" s="6"/>
      <c r="B27043" s="6"/>
      <c r="H27043" s="13"/>
    </row>
    <row r="27044">
      <c r="A27044" s="6"/>
      <c r="B27044" s="6"/>
      <c r="H27044" s="13"/>
    </row>
    <row r="27045">
      <c r="A27045" s="6"/>
      <c r="B27045" s="6"/>
      <c r="H27045" s="13"/>
    </row>
    <row r="27046">
      <c r="A27046" s="6"/>
      <c r="B27046" s="6"/>
      <c r="H27046" s="13"/>
    </row>
    <row r="27047">
      <c r="A27047" s="6"/>
      <c r="B27047" s="6"/>
      <c r="H27047" s="13"/>
    </row>
    <row r="27048">
      <c r="A27048" s="6"/>
      <c r="B27048" s="6"/>
      <c r="H27048" s="13"/>
    </row>
    <row r="27049">
      <c r="A27049" s="6"/>
      <c r="B27049" s="6"/>
      <c r="H27049" s="13"/>
    </row>
    <row r="27050">
      <c r="A27050" s="6"/>
      <c r="B27050" s="6"/>
      <c r="H27050" s="13"/>
    </row>
    <row r="27051">
      <c r="A27051" s="6"/>
      <c r="B27051" s="6"/>
      <c r="H27051" s="13"/>
    </row>
    <row r="27052">
      <c r="A27052" s="6"/>
      <c r="B27052" s="6"/>
      <c r="H27052" s="13"/>
    </row>
    <row r="27053">
      <c r="A27053" s="6"/>
      <c r="B27053" s="6"/>
      <c r="H27053" s="13"/>
    </row>
    <row r="27054">
      <c r="A27054" s="6"/>
      <c r="B27054" s="6"/>
      <c r="H27054" s="13"/>
    </row>
    <row r="27055">
      <c r="A27055" s="6"/>
      <c r="B27055" s="6"/>
      <c r="H27055" s="13"/>
    </row>
    <row r="27056">
      <c r="A27056" s="6"/>
      <c r="B27056" s="6"/>
      <c r="H27056" s="13"/>
    </row>
    <row r="27057">
      <c r="A27057" s="6"/>
      <c r="B27057" s="6"/>
      <c r="H27057" s="13"/>
    </row>
    <row r="27058">
      <c r="A27058" s="6"/>
      <c r="B27058" s="6"/>
      <c r="H27058" s="13"/>
    </row>
    <row r="27059">
      <c r="A27059" s="6"/>
      <c r="B27059" s="6"/>
      <c r="H27059" s="13"/>
    </row>
    <row r="27060">
      <c r="A27060" s="6"/>
      <c r="B27060" s="6"/>
      <c r="H27060" s="13"/>
    </row>
    <row r="27061">
      <c r="A27061" s="6"/>
      <c r="B27061" s="6"/>
      <c r="H27061" s="13"/>
    </row>
    <row r="27062">
      <c r="A27062" s="6"/>
      <c r="B27062" s="6"/>
      <c r="H27062" s="13"/>
    </row>
    <row r="27063">
      <c r="A27063" s="6"/>
      <c r="B27063" s="6"/>
      <c r="H27063" s="13"/>
    </row>
    <row r="27064">
      <c r="A27064" s="6"/>
      <c r="B27064" s="6"/>
      <c r="H27064" s="13"/>
    </row>
    <row r="27065">
      <c r="A27065" s="6"/>
      <c r="B27065" s="6"/>
      <c r="H27065" s="13"/>
    </row>
    <row r="27066">
      <c r="A27066" s="6"/>
      <c r="B27066" s="6"/>
      <c r="H27066" s="13"/>
    </row>
    <row r="27067">
      <c r="A27067" s="6"/>
      <c r="B27067" s="6"/>
      <c r="H27067" s="13"/>
    </row>
    <row r="27068">
      <c r="A27068" s="6"/>
      <c r="B27068" s="6"/>
      <c r="H27068" s="13"/>
    </row>
    <row r="27069">
      <c r="A27069" s="6"/>
      <c r="B27069" s="6"/>
      <c r="H27069" s="13"/>
    </row>
    <row r="27070">
      <c r="A27070" s="6"/>
      <c r="B27070" s="6"/>
      <c r="H27070" s="13"/>
    </row>
    <row r="27071">
      <c r="A27071" s="6"/>
      <c r="B27071" s="6"/>
      <c r="H27071" s="13"/>
    </row>
    <row r="27072">
      <c r="A27072" s="6"/>
      <c r="B27072" s="6"/>
      <c r="H27072" s="13"/>
    </row>
    <row r="27073">
      <c r="A27073" s="6"/>
      <c r="B27073" s="6"/>
      <c r="H27073" s="13"/>
    </row>
    <row r="27074">
      <c r="A27074" s="6"/>
      <c r="B27074" s="6"/>
      <c r="H27074" s="13"/>
    </row>
    <row r="27075">
      <c r="A27075" s="6"/>
      <c r="B27075" s="6"/>
      <c r="H27075" s="13"/>
    </row>
    <row r="27076">
      <c r="A27076" s="6"/>
      <c r="B27076" s="6"/>
      <c r="H27076" s="13"/>
    </row>
    <row r="27077">
      <c r="A27077" s="6"/>
      <c r="B27077" s="6"/>
      <c r="H27077" s="13"/>
    </row>
    <row r="27078">
      <c r="A27078" s="6"/>
      <c r="B27078" s="6"/>
      <c r="H27078" s="13"/>
    </row>
    <row r="27079">
      <c r="A27079" s="6"/>
      <c r="B27079" s="6"/>
      <c r="H27079" s="13"/>
    </row>
    <row r="27080">
      <c r="A27080" s="6"/>
      <c r="B27080" s="6"/>
      <c r="H27080" s="13"/>
    </row>
    <row r="27081">
      <c r="A27081" s="6"/>
      <c r="B27081" s="6"/>
      <c r="H27081" s="13"/>
    </row>
    <row r="27082">
      <c r="A27082" s="6"/>
      <c r="B27082" s="6"/>
      <c r="H27082" s="13"/>
    </row>
    <row r="27083">
      <c r="A27083" s="6"/>
      <c r="B27083" s="6"/>
      <c r="H27083" s="13"/>
    </row>
    <row r="27084">
      <c r="A27084" s="6"/>
      <c r="B27084" s="6"/>
      <c r="H27084" s="13"/>
    </row>
    <row r="27085">
      <c r="A27085" s="6"/>
      <c r="B27085" s="6"/>
      <c r="H27085" s="13"/>
    </row>
    <row r="27086">
      <c r="A27086" s="6"/>
      <c r="B27086" s="6"/>
      <c r="H27086" s="13"/>
    </row>
    <row r="27087">
      <c r="A27087" s="6"/>
      <c r="B27087" s="6"/>
      <c r="H27087" s="13"/>
    </row>
    <row r="27088">
      <c r="A27088" s="6"/>
      <c r="B27088" s="6"/>
      <c r="H27088" s="13"/>
    </row>
    <row r="27089">
      <c r="A27089" s="6"/>
      <c r="B27089" s="6"/>
      <c r="H27089" s="13"/>
    </row>
    <row r="27090">
      <c r="A27090" s="6"/>
      <c r="B27090" s="6"/>
      <c r="H27090" s="13"/>
    </row>
    <row r="27091">
      <c r="A27091" s="6"/>
      <c r="B27091" s="6"/>
      <c r="H27091" s="13"/>
    </row>
    <row r="27092">
      <c r="A27092" s="6"/>
      <c r="B27092" s="6"/>
      <c r="H27092" s="13"/>
    </row>
    <row r="27093">
      <c r="A27093" s="6"/>
      <c r="B27093" s="6"/>
      <c r="H27093" s="13"/>
    </row>
    <row r="27094">
      <c r="A27094" s="6"/>
      <c r="B27094" s="6"/>
      <c r="H27094" s="13"/>
    </row>
    <row r="27095">
      <c r="A27095" s="6"/>
      <c r="B27095" s="6"/>
      <c r="H27095" s="13"/>
    </row>
    <row r="27096">
      <c r="A27096" s="6"/>
      <c r="B27096" s="6"/>
      <c r="H27096" s="13"/>
    </row>
    <row r="27097">
      <c r="A27097" s="6"/>
      <c r="B27097" s="6"/>
      <c r="H27097" s="13"/>
    </row>
    <row r="27098">
      <c r="A27098" s="6"/>
      <c r="B27098" s="6"/>
      <c r="H27098" s="13"/>
    </row>
    <row r="27099">
      <c r="A27099" s="6"/>
      <c r="B27099" s="6"/>
      <c r="H27099" s="13"/>
    </row>
    <row r="27100">
      <c r="A27100" s="6"/>
      <c r="B27100" s="6"/>
      <c r="H27100" s="13"/>
    </row>
    <row r="27101">
      <c r="A27101" s="6"/>
      <c r="B27101" s="6"/>
      <c r="H27101" s="13"/>
    </row>
    <row r="27102">
      <c r="A27102" s="6"/>
      <c r="B27102" s="6"/>
      <c r="H27102" s="13"/>
    </row>
    <row r="27103">
      <c r="A27103" s="6"/>
      <c r="B27103" s="6"/>
      <c r="H27103" s="13"/>
    </row>
    <row r="27104">
      <c r="A27104" s="6"/>
      <c r="B27104" s="6"/>
      <c r="H27104" s="13"/>
    </row>
    <row r="27105">
      <c r="A27105" s="6"/>
      <c r="B27105" s="6"/>
      <c r="H27105" s="13"/>
    </row>
    <row r="27106">
      <c r="A27106" s="6"/>
      <c r="B27106" s="6"/>
      <c r="H27106" s="13"/>
    </row>
    <row r="27107">
      <c r="A27107" s="6"/>
      <c r="B27107" s="6"/>
      <c r="H27107" s="13"/>
    </row>
    <row r="27108">
      <c r="A27108" s="6"/>
      <c r="B27108" s="6"/>
      <c r="H27108" s="13"/>
    </row>
    <row r="27109">
      <c r="A27109" s="6"/>
      <c r="B27109" s="6"/>
      <c r="H27109" s="13"/>
    </row>
    <row r="27110">
      <c r="A27110" s="6"/>
      <c r="B27110" s="6"/>
      <c r="H27110" s="13"/>
    </row>
    <row r="27111">
      <c r="A27111" s="6"/>
      <c r="B27111" s="6"/>
      <c r="H27111" s="13"/>
    </row>
    <row r="27112">
      <c r="A27112" s="6"/>
      <c r="B27112" s="6"/>
      <c r="H27112" s="13"/>
    </row>
    <row r="27113">
      <c r="A27113" s="6"/>
      <c r="B27113" s="6"/>
      <c r="H27113" s="13"/>
    </row>
    <row r="27114">
      <c r="A27114" s="6"/>
      <c r="B27114" s="6"/>
      <c r="H27114" s="13"/>
    </row>
    <row r="27115">
      <c r="A27115" s="6"/>
      <c r="B27115" s="6"/>
      <c r="H27115" s="13"/>
    </row>
    <row r="27116">
      <c r="A27116" s="6"/>
      <c r="B27116" s="6"/>
      <c r="H27116" s="13"/>
    </row>
    <row r="27117">
      <c r="A27117" s="6"/>
      <c r="B27117" s="6"/>
      <c r="H27117" s="13"/>
    </row>
    <row r="27118">
      <c r="A27118" s="6"/>
      <c r="B27118" s="6"/>
      <c r="H27118" s="13"/>
    </row>
    <row r="27119">
      <c r="A27119" s="6"/>
      <c r="B27119" s="6"/>
      <c r="H27119" s="13"/>
    </row>
    <row r="27120">
      <c r="A27120" s="6"/>
      <c r="B27120" s="6"/>
      <c r="H27120" s="13"/>
    </row>
    <row r="27121">
      <c r="A27121" s="6"/>
      <c r="B27121" s="6"/>
      <c r="H27121" s="13"/>
    </row>
    <row r="27122">
      <c r="A27122" s="6"/>
      <c r="B27122" s="6"/>
      <c r="H27122" s="13"/>
    </row>
    <row r="27123">
      <c r="A27123" s="6"/>
      <c r="B27123" s="6"/>
      <c r="H27123" s="13"/>
    </row>
    <row r="27124">
      <c r="A27124" s="6"/>
      <c r="B27124" s="6"/>
      <c r="H27124" s="13"/>
    </row>
    <row r="27125">
      <c r="A27125" s="6"/>
      <c r="B27125" s="6"/>
      <c r="H27125" s="13"/>
    </row>
    <row r="27126">
      <c r="A27126" s="6"/>
      <c r="B27126" s="6"/>
      <c r="H27126" s="13"/>
    </row>
    <row r="27127">
      <c r="A27127" s="6"/>
      <c r="B27127" s="6"/>
      <c r="H27127" s="13"/>
    </row>
    <row r="27128">
      <c r="A27128" s="6"/>
      <c r="B27128" s="6"/>
      <c r="H27128" s="13"/>
    </row>
    <row r="27129">
      <c r="A27129" s="6"/>
      <c r="B27129" s="6"/>
      <c r="H27129" s="13"/>
    </row>
    <row r="27130">
      <c r="A27130" s="6"/>
      <c r="B27130" s="6"/>
      <c r="H27130" s="13"/>
    </row>
    <row r="27131">
      <c r="A27131" s="6"/>
      <c r="B27131" s="6"/>
      <c r="H27131" s="13"/>
    </row>
    <row r="27132">
      <c r="A27132" s="6"/>
      <c r="B27132" s="6"/>
      <c r="H27132" s="13"/>
    </row>
    <row r="27133">
      <c r="A27133" s="6"/>
      <c r="B27133" s="6"/>
      <c r="H27133" s="13"/>
    </row>
    <row r="27134">
      <c r="A27134" s="6"/>
      <c r="B27134" s="6"/>
      <c r="H27134" s="13"/>
    </row>
    <row r="27135">
      <c r="A27135" s="6"/>
      <c r="B27135" s="6"/>
      <c r="H27135" s="13"/>
    </row>
    <row r="27136">
      <c r="A27136" s="6"/>
      <c r="B27136" s="6"/>
      <c r="H27136" s="13"/>
    </row>
    <row r="27137">
      <c r="A27137" s="6"/>
      <c r="B27137" s="6"/>
      <c r="H27137" s="13"/>
    </row>
    <row r="27138">
      <c r="A27138" s="6"/>
      <c r="B27138" s="6"/>
      <c r="H27138" s="13"/>
    </row>
    <row r="27139">
      <c r="A27139" s="6"/>
      <c r="B27139" s="6"/>
      <c r="H27139" s="13"/>
    </row>
    <row r="27140">
      <c r="A27140" s="6"/>
      <c r="B27140" s="6"/>
      <c r="H27140" s="13"/>
    </row>
    <row r="27141">
      <c r="A27141" s="6"/>
      <c r="B27141" s="6"/>
      <c r="H27141" s="13"/>
    </row>
    <row r="27142">
      <c r="A27142" s="6"/>
      <c r="B27142" s="6"/>
      <c r="H27142" s="13"/>
    </row>
    <row r="27143">
      <c r="A27143" s="6"/>
      <c r="B27143" s="6"/>
      <c r="H27143" s="13"/>
    </row>
    <row r="27144">
      <c r="A27144" s="6"/>
      <c r="B27144" s="6"/>
      <c r="H27144" s="13"/>
    </row>
    <row r="27145">
      <c r="A27145" s="6"/>
      <c r="B27145" s="6"/>
      <c r="H27145" s="13"/>
    </row>
    <row r="27146">
      <c r="A27146" s="6"/>
      <c r="B27146" s="6"/>
      <c r="H27146" s="13"/>
    </row>
    <row r="27147">
      <c r="A27147" s="6"/>
      <c r="B27147" s="6"/>
      <c r="H27147" s="13"/>
    </row>
    <row r="27148">
      <c r="A27148" s="6"/>
      <c r="B27148" s="6"/>
      <c r="H27148" s="13"/>
    </row>
    <row r="27149">
      <c r="A27149" s="6"/>
      <c r="B27149" s="6"/>
      <c r="H27149" s="13"/>
    </row>
    <row r="27150">
      <c r="A27150" s="6"/>
      <c r="B27150" s="6"/>
      <c r="H27150" s="13"/>
    </row>
    <row r="27151">
      <c r="A27151" s="6"/>
      <c r="B27151" s="6"/>
      <c r="H27151" s="13"/>
    </row>
    <row r="27152">
      <c r="A27152" s="6"/>
      <c r="B27152" s="6"/>
      <c r="H27152" s="13"/>
    </row>
    <row r="27153">
      <c r="A27153" s="6"/>
      <c r="B27153" s="6"/>
      <c r="H27153" s="13"/>
    </row>
    <row r="27154">
      <c r="A27154" s="6"/>
      <c r="B27154" s="6"/>
      <c r="H27154" s="13"/>
    </row>
    <row r="27155">
      <c r="A27155" s="6"/>
      <c r="B27155" s="6"/>
      <c r="H27155" s="13"/>
    </row>
    <row r="27156">
      <c r="A27156" s="6"/>
      <c r="B27156" s="6"/>
      <c r="H27156" s="13"/>
    </row>
    <row r="27157">
      <c r="A27157" s="6"/>
      <c r="B27157" s="6"/>
      <c r="H27157" s="13"/>
    </row>
    <row r="27158">
      <c r="A27158" s="6"/>
      <c r="B27158" s="6"/>
      <c r="H27158" s="13"/>
    </row>
    <row r="27159">
      <c r="A27159" s="6"/>
      <c r="B27159" s="6"/>
      <c r="H27159" s="13"/>
    </row>
    <row r="27160">
      <c r="A27160" s="6"/>
      <c r="B27160" s="6"/>
      <c r="H27160" s="13"/>
    </row>
    <row r="27161">
      <c r="A27161" s="6"/>
      <c r="B27161" s="6"/>
      <c r="H27161" s="13"/>
    </row>
    <row r="27162">
      <c r="A27162" s="6"/>
      <c r="B27162" s="6"/>
      <c r="H27162" s="13"/>
    </row>
    <row r="27163">
      <c r="A27163" s="6"/>
      <c r="B27163" s="6"/>
      <c r="H27163" s="13"/>
    </row>
    <row r="27164">
      <c r="A27164" s="6"/>
      <c r="B27164" s="6"/>
      <c r="H27164" s="13"/>
    </row>
    <row r="27165">
      <c r="A27165" s="6"/>
      <c r="B27165" s="6"/>
      <c r="H27165" s="13"/>
    </row>
    <row r="27166">
      <c r="A27166" s="6"/>
      <c r="B27166" s="6"/>
      <c r="H27166" s="13"/>
    </row>
    <row r="27167">
      <c r="A27167" s="6"/>
      <c r="B27167" s="6"/>
      <c r="H27167" s="13"/>
    </row>
    <row r="27168">
      <c r="A27168" s="6"/>
      <c r="B27168" s="6"/>
      <c r="H27168" s="13"/>
    </row>
    <row r="27169">
      <c r="A27169" s="6"/>
      <c r="B27169" s="6"/>
      <c r="H27169" s="13"/>
    </row>
    <row r="27170">
      <c r="A27170" s="6"/>
      <c r="B27170" s="6"/>
      <c r="H27170" s="13"/>
    </row>
    <row r="27171">
      <c r="A27171" s="6"/>
      <c r="B27171" s="6"/>
      <c r="H27171" s="13"/>
    </row>
    <row r="27172">
      <c r="A27172" s="6"/>
      <c r="B27172" s="6"/>
      <c r="H27172" s="13"/>
    </row>
    <row r="27173">
      <c r="A27173" s="6"/>
      <c r="B27173" s="6"/>
      <c r="H27173" s="13"/>
    </row>
    <row r="27174">
      <c r="A27174" s="6"/>
      <c r="B27174" s="6"/>
      <c r="H27174" s="13"/>
    </row>
    <row r="27175">
      <c r="A27175" s="6"/>
      <c r="B27175" s="6"/>
      <c r="H27175" s="13"/>
    </row>
    <row r="27176">
      <c r="A27176" s="6"/>
      <c r="B27176" s="6"/>
      <c r="H27176" s="13"/>
    </row>
    <row r="27177">
      <c r="A27177" s="6"/>
      <c r="B27177" s="6"/>
      <c r="H27177" s="13"/>
    </row>
    <row r="27178">
      <c r="A27178" s="6"/>
      <c r="B27178" s="6"/>
      <c r="H27178" s="13"/>
    </row>
    <row r="27179">
      <c r="A27179" s="6"/>
      <c r="B27179" s="6"/>
      <c r="H27179" s="13"/>
    </row>
    <row r="27180">
      <c r="A27180" s="6"/>
      <c r="B27180" s="6"/>
      <c r="H27180" s="13"/>
    </row>
    <row r="27181">
      <c r="A27181" s="6"/>
      <c r="B27181" s="6"/>
      <c r="H27181" s="13"/>
    </row>
    <row r="27182">
      <c r="A27182" s="6"/>
      <c r="B27182" s="6"/>
      <c r="H27182" s="13"/>
    </row>
    <row r="27183">
      <c r="A27183" s="6"/>
      <c r="B27183" s="6"/>
      <c r="H27183" s="13"/>
    </row>
    <row r="27184">
      <c r="A27184" s="6"/>
      <c r="B27184" s="6"/>
      <c r="H27184" s="13"/>
    </row>
    <row r="27185">
      <c r="A27185" s="6"/>
      <c r="B27185" s="6"/>
      <c r="H27185" s="13"/>
    </row>
    <row r="27186">
      <c r="A27186" s="6"/>
      <c r="B27186" s="6"/>
      <c r="H27186" s="13"/>
    </row>
    <row r="27187">
      <c r="A27187" s="6"/>
      <c r="B27187" s="6"/>
      <c r="H27187" s="13"/>
    </row>
    <row r="27188">
      <c r="A27188" s="6"/>
      <c r="B27188" s="6"/>
      <c r="H27188" s="13"/>
    </row>
    <row r="27189">
      <c r="A27189" s="6"/>
      <c r="B27189" s="6"/>
      <c r="H27189" s="13"/>
    </row>
    <row r="27190">
      <c r="A27190" s="6"/>
      <c r="B27190" s="6"/>
      <c r="H27190" s="13"/>
    </row>
    <row r="27191">
      <c r="A27191" s="6"/>
      <c r="B27191" s="6"/>
      <c r="H27191" s="13"/>
    </row>
    <row r="27192">
      <c r="A27192" s="6"/>
      <c r="B27192" s="6"/>
      <c r="H27192" s="13"/>
    </row>
    <row r="27193">
      <c r="A27193" s="6"/>
      <c r="B27193" s="6"/>
      <c r="H27193" s="13"/>
    </row>
    <row r="27194">
      <c r="A27194" s="6"/>
      <c r="B27194" s="6"/>
      <c r="H27194" s="13"/>
    </row>
    <row r="27195">
      <c r="A27195" s="6"/>
      <c r="B27195" s="6"/>
      <c r="H27195" s="13"/>
    </row>
    <row r="27196">
      <c r="A27196" s="6"/>
      <c r="B27196" s="6"/>
      <c r="H27196" s="13"/>
    </row>
    <row r="27197">
      <c r="A27197" s="6"/>
      <c r="B27197" s="6"/>
      <c r="H27197" s="13"/>
    </row>
    <row r="27198">
      <c r="A27198" s="6"/>
      <c r="B27198" s="6"/>
      <c r="H27198" s="13"/>
    </row>
    <row r="27199">
      <c r="A27199" s="6"/>
      <c r="B27199" s="6"/>
      <c r="H27199" s="13"/>
    </row>
    <row r="27200">
      <c r="A27200" s="6"/>
      <c r="B27200" s="6"/>
      <c r="H27200" s="13"/>
    </row>
    <row r="27201">
      <c r="A27201" s="6"/>
      <c r="B27201" s="6"/>
      <c r="H27201" s="13"/>
    </row>
    <row r="27202">
      <c r="A27202" s="6"/>
      <c r="B27202" s="6"/>
      <c r="H27202" s="13"/>
    </row>
    <row r="27203">
      <c r="A27203" s="6"/>
      <c r="B27203" s="6"/>
      <c r="H27203" s="13"/>
    </row>
    <row r="27204">
      <c r="A27204" s="6"/>
      <c r="B27204" s="6"/>
      <c r="H27204" s="13"/>
    </row>
    <row r="27205">
      <c r="A27205" s="6"/>
      <c r="B27205" s="6"/>
      <c r="H27205" s="13"/>
    </row>
    <row r="27206">
      <c r="A27206" s="6"/>
      <c r="B27206" s="6"/>
      <c r="H27206" s="13"/>
    </row>
    <row r="27207">
      <c r="A27207" s="6"/>
      <c r="B27207" s="6"/>
      <c r="H27207" s="13"/>
    </row>
    <row r="27208">
      <c r="A27208" s="6"/>
      <c r="B27208" s="6"/>
      <c r="H27208" s="13"/>
    </row>
    <row r="27209">
      <c r="A27209" s="6"/>
      <c r="B27209" s="6"/>
      <c r="H27209" s="13"/>
    </row>
    <row r="27210">
      <c r="A27210" s="6"/>
      <c r="B27210" s="6"/>
      <c r="H27210" s="13"/>
    </row>
    <row r="27211">
      <c r="A27211" s="6"/>
      <c r="B27211" s="6"/>
      <c r="H27211" s="13"/>
    </row>
    <row r="27212">
      <c r="A27212" s="6"/>
      <c r="B27212" s="6"/>
      <c r="H27212" s="13"/>
    </row>
    <row r="27213">
      <c r="A27213" s="6"/>
      <c r="B27213" s="6"/>
      <c r="H27213" s="13"/>
    </row>
    <row r="27214">
      <c r="A27214" s="6"/>
      <c r="B27214" s="6"/>
      <c r="H27214" s="13"/>
    </row>
    <row r="27215">
      <c r="A27215" s="6"/>
      <c r="B27215" s="6"/>
      <c r="H27215" s="13"/>
    </row>
    <row r="27216">
      <c r="A27216" s="6"/>
      <c r="B27216" s="6"/>
      <c r="H27216" s="13"/>
    </row>
    <row r="27217">
      <c r="A27217" s="6"/>
      <c r="B27217" s="6"/>
      <c r="H27217" s="13"/>
    </row>
    <row r="27218">
      <c r="A27218" s="6"/>
      <c r="B27218" s="6"/>
      <c r="H27218" s="13"/>
    </row>
    <row r="27219">
      <c r="A27219" s="6"/>
      <c r="B27219" s="6"/>
      <c r="H27219" s="13"/>
    </row>
    <row r="27220">
      <c r="A27220" s="6"/>
      <c r="B27220" s="6"/>
      <c r="H27220" s="13"/>
    </row>
    <row r="27221">
      <c r="A27221" s="6"/>
      <c r="B27221" s="6"/>
      <c r="H27221" s="13"/>
    </row>
    <row r="27222">
      <c r="A27222" s="6"/>
      <c r="B27222" s="6"/>
      <c r="H27222" s="13"/>
    </row>
    <row r="27223">
      <c r="A27223" s="6"/>
      <c r="B27223" s="6"/>
      <c r="H27223" s="13"/>
    </row>
    <row r="27224">
      <c r="A27224" s="6"/>
      <c r="B27224" s="6"/>
      <c r="H27224" s="13"/>
    </row>
    <row r="27225">
      <c r="A27225" s="6"/>
      <c r="B27225" s="6"/>
      <c r="H27225" s="13"/>
    </row>
    <row r="27226">
      <c r="A27226" s="6"/>
      <c r="B27226" s="6"/>
      <c r="H27226" s="13"/>
    </row>
    <row r="27227">
      <c r="A27227" s="6"/>
      <c r="B27227" s="6"/>
      <c r="H27227" s="13"/>
    </row>
    <row r="27228">
      <c r="A27228" s="6"/>
      <c r="B27228" s="6"/>
      <c r="H27228" s="13"/>
    </row>
    <row r="27229">
      <c r="A27229" s="6"/>
      <c r="B27229" s="6"/>
      <c r="H27229" s="13"/>
    </row>
    <row r="27230">
      <c r="A27230" s="6"/>
      <c r="B27230" s="6"/>
      <c r="H27230" s="13"/>
    </row>
    <row r="27231">
      <c r="A27231" s="6"/>
      <c r="B27231" s="6"/>
      <c r="H27231" s="13"/>
    </row>
    <row r="27232">
      <c r="A27232" s="6"/>
      <c r="B27232" s="6"/>
      <c r="H27232" s="13"/>
    </row>
    <row r="27233">
      <c r="A27233" s="6"/>
      <c r="B27233" s="6"/>
      <c r="H27233" s="13"/>
    </row>
    <row r="27234">
      <c r="A27234" s="6"/>
      <c r="B27234" s="6"/>
      <c r="H27234" s="13"/>
    </row>
    <row r="27235">
      <c r="A27235" s="6"/>
      <c r="B27235" s="6"/>
      <c r="H27235" s="13"/>
    </row>
    <row r="27236">
      <c r="A27236" s="6"/>
      <c r="B27236" s="6"/>
      <c r="H27236" s="13"/>
    </row>
    <row r="27237">
      <c r="A27237" s="6"/>
      <c r="B27237" s="6"/>
      <c r="H27237" s="13"/>
    </row>
    <row r="27238">
      <c r="A27238" s="6"/>
      <c r="B27238" s="6"/>
      <c r="H27238" s="13"/>
    </row>
    <row r="27239">
      <c r="A27239" s="6"/>
      <c r="B27239" s="6"/>
      <c r="H27239" s="13"/>
    </row>
    <row r="27240">
      <c r="A27240" s="6"/>
      <c r="B27240" s="6"/>
      <c r="H27240" s="13"/>
    </row>
    <row r="27241">
      <c r="A27241" s="6"/>
      <c r="B27241" s="6"/>
      <c r="H27241" s="13"/>
    </row>
    <row r="27242">
      <c r="A27242" s="6"/>
      <c r="B27242" s="6"/>
      <c r="H27242" s="13"/>
    </row>
    <row r="27243">
      <c r="A27243" s="6"/>
      <c r="B27243" s="6"/>
      <c r="H27243" s="13"/>
    </row>
    <row r="27244">
      <c r="A27244" s="6"/>
      <c r="B27244" s="6"/>
      <c r="H27244" s="13"/>
    </row>
    <row r="27245">
      <c r="A27245" s="6"/>
      <c r="B27245" s="6"/>
      <c r="H27245" s="13"/>
    </row>
    <row r="27246">
      <c r="A27246" s="6"/>
      <c r="B27246" s="6"/>
      <c r="H27246" s="13"/>
    </row>
    <row r="27247">
      <c r="A27247" s="6"/>
      <c r="B27247" s="6"/>
      <c r="H27247" s="13"/>
    </row>
    <row r="27248">
      <c r="A27248" s="6"/>
      <c r="B27248" s="6"/>
      <c r="H27248" s="13"/>
    </row>
    <row r="27249">
      <c r="A27249" s="6"/>
      <c r="B27249" s="6"/>
      <c r="H27249" s="13"/>
    </row>
    <row r="27250">
      <c r="A27250" s="6"/>
      <c r="B27250" s="6"/>
      <c r="H27250" s="13"/>
    </row>
    <row r="27251">
      <c r="A27251" s="6"/>
      <c r="B27251" s="6"/>
      <c r="H27251" s="13"/>
    </row>
    <row r="27252">
      <c r="A27252" s="6"/>
      <c r="B27252" s="6"/>
      <c r="H27252" s="13"/>
    </row>
    <row r="27253">
      <c r="A27253" s="6"/>
      <c r="B27253" s="6"/>
      <c r="H27253" s="13"/>
    </row>
    <row r="27254">
      <c r="A27254" s="6"/>
      <c r="B27254" s="6"/>
      <c r="H27254" s="13"/>
    </row>
    <row r="27255">
      <c r="A27255" s="6"/>
      <c r="B27255" s="6"/>
      <c r="H27255" s="13"/>
    </row>
    <row r="27256">
      <c r="A27256" s="6"/>
      <c r="B27256" s="6"/>
      <c r="H27256" s="13"/>
    </row>
    <row r="27257">
      <c r="A27257" s="6"/>
      <c r="B27257" s="6"/>
      <c r="H27257" s="13"/>
    </row>
    <row r="27258">
      <c r="A27258" s="6"/>
      <c r="B27258" s="6"/>
      <c r="H27258" s="13"/>
    </row>
    <row r="27259">
      <c r="A27259" s="6"/>
      <c r="B27259" s="6"/>
      <c r="H27259" s="13"/>
    </row>
    <row r="27260">
      <c r="A27260" s="6"/>
      <c r="B27260" s="6"/>
      <c r="H27260" s="13"/>
    </row>
    <row r="27261">
      <c r="A27261" s="6"/>
      <c r="B27261" s="6"/>
      <c r="H27261" s="13"/>
    </row>
    <row r="27262">
      <c r="A27262" s="6"/>
      <c r="B27262" s="6"/>
      <c r="H27262" s="13"/>
    </row>
    <row r="27263">
      <c r="A27263" s="6"/>
      <c r="B27263" s="6"/>
      <c r="H27263" s="13"/>
    </row>
    <row r="27264">
      <c r="A27264" s="6"/>
      <c r="B27264" s="6"/>
      <c r="H27264" s="13"/>
    </row>
    <row r="27265">
      <c r="A27265" s="6"/>
      <c r="B27265" s="6"/>
      <c r="H27265" s="13"/>
    </row>
    <row r="27266">
      <c r="A27266" s="6"/>
      <c r="B27266" s="6"/>
      <c r="H27266" s="13"/>
    </row>
    <row r="27267">
      <c r="A27267" s="6"/>
      <c r="B27267" s="6"/>
      <c r="H27267" s="13"/>
    </row>
    <row r="27268">
      <c r="A27268" s="6"/>
      <c r="B27268" s="6"/>
      <c r="H27268" s="13"/>
    </row>
    <row r="27269">
      <c r="A27269" s="6"/>
      <c r="B27269" s="6"/>
      <c r="H27269" s="13"/>
    </row>
    <row r="27270">
      <c r="A27270" s="6"/>
      <c r="B27270" s="6"/>
      <c r="H27270" s="13"/>
    </row>
    <row r="27271">
      <c r="A27271" s="6"/>
      <c r="B27271" s="6"/>
      <c r="H27271" s="13"/>
    </row>
    <row r="27272">
      <c r="A27272" s="6"/>
      <c r="B27272" s="6"/>
      <c r="H27272" s="13"/>
    </row>
    <row r="27273">
      <c r="A27273" s="6"/>
      <c r="B27273" s="6"/>
      <c r="H27273" s="13"/>
    </row>
    <row r="27274">
      <c r="A27274" s="6"/>
      <c r="B27274" s="6"/>
      <c r="H27274" s="13"/>
    </row>
    <row r="27275">
      <c r="A27275" s="6"/>
      <c r="B27275" s="6"/>
      <c r="H27275" s="13"/>
    </row>
    <row r="27276">
      <c r="A27276" s="6"/>
      <c r="B27276" s="6"/>
      <c r="H27276" s="13"/>
    </row>
    <row r="27277">
      <c r="A27277" s="6"/>
      <c r="B27277" s="6"/>
      <c r="H27277" s="13"/>
    </row>
    <row r="27278">
      <c r="A27278" s="6"/>
      <c r="B27278" s="6"/>
      <c r="H27278" s="13"/>
    </row>
    <row r="27279">
      <c r="A27279" s="6"/>
      <c r="B27279" s="6"/>
      <c r="H27279" s="13"/>
    </row>
    <row r="27280">
      <c r="A27280" s="6"/>
      <c r="B27280" s="6"/>
      <c r="H27280" s="13"/>
    </row>
    <row r="27281">
      <c r="A27281" s="6"/>
      <c r="B27281" s="6"/>
      <c r="H27281" s="13"/>
    </row>
    <row r="27282">
      <c r="A27282" s="6"/>
      <c r="B27282" s="6"/>
      <c r="H27282" s="13"/>
    </row>
    <row r="27283">
      <c r="A27283" s="6"/>
      <c r="B27283" s="6"/>
      <c r="H27283" s="13"/>
    </row>
    <row r="27284">
      <c r="A27284" s="6"/>
      <c r="B27284" s="6"/>
      <c r="H27284" s="13"/>
    </row>
    <row r="27285">
      <c r="A27285" s="6"/>
      <c r="B27285" s="6"/>
      <c r="H27285" s="13"/>
    </row>
    <row r="27286">
      <c r="A27286" s="6"/>
      <c r="B27286" s="6"/>
      <c r="H27286" s="13"/>
    </row>
    <row r="27287">
      <c r="A27287" s="6"/>
      <c r="B27287" s="6"/>
      <c r="H27287" s="13"/>
    </row>
    <row r="27288">
      <c r="A27288" s="6"/>
      <c r="B27288" s="6"/>
      <c r="H27288" s="13"/>
    </row>
    <row r="27289">
      <c r="A27289" s="6"/>
      <c r="B27289" s="6"/>
      <c r="H27289" s="13"/>
    </row>
    <row r="27290">
      <c r="A27290" s="6"/>
      <c r="B27290" s="6"/>
      <c r="H27290" s="13"/>
    </row>
    <row r="27291">
      <c r="A27291" s="6"/>
      <c r="B27291" s="6"/>
      <c r="H27291" s="13"/>
    </row>
    <row r="27292">
      <c r="A27292" s="6"/>
      <c r="B27292" s="6"/>
      <c r="H27292" s="13"/>
    </row>
    <row r="27293">
      <c r="A27293" s="6"/>
      <c r="B27293" s="6"/>
      <c r="H27293" s="13"/>
    </row>
    <row r="27294">
      <c r="A27294" s="6"/>
      <c r="B27294" s="6"/>
      <c r="H27294" s="13"/>
    </row>
    <row r="27295">
      <c r="A27295" s="6"/>
      <c r="B27295" s="6"/>
      <c r="H27295" s="13"/>
    </row>
    <row r="27296">
      <c r="A27296" s="6"/>
      <c r="B27296" s="6"/>
      <c r="H27296" s="13"/>
    </row>
    <row r="27297">
      <c r="A27297" s="6"/>
      <c r="B27297" s="6"/>
      <c r="H27297" s="13"/>
    </row>
    <row r="27298">
      <c r="A27298" s="6"/>
      <c r="B27298" s="6"/>
      <c r="H27298" s="13"/>
    </row>
    <row r="27299">
      <c r="A27299" s="6"/>
      <c r="B27299" s="6"/>
      <c r="H27299" s="13"/>
    </row>
    <row r="27300">
      <c r="A27300" s="6"/>
      <c r="B27300" s="6"/>
      <c r="H27300" s="13"/>
    </row>
    <row r="27301">
      <c r="A27301" s="6"/>
      <c r="B27301" s="6"/>
      <c r="H27301" s="13"/>
    </row>
    <row r="27302">
      <c r="A27302" s="6"/>
      <c r="B27302" s="6"/>
      <c r="H27302" s="13"/>
    </row>
    <row r="27303">
      <c r="A27303" s="6"/>
      <c r="B27303" s="6"/>
      <c r="H27303" s="13"/>
    </row>
    <row r="27304">
      <c r="A27304" s="6"/>
      <c r="B27304" s="6"/>
      <c r="H27304" s="13"/>
    </row>
    <row r="27305">
      <c r="A27305" s="6"/>
      <c r="B27305" s="6"/>
      <c r="H27305" s="13"/>
    </row>
    <row r="27306">
      <c r="A27306" s="6"/>
      <c r="B27306" s="6"/>
      <c r="H27306" s="13"/>
    </row>
    <row r="27307">
      <c r="A27307" s="6"/>
      <c r="B27307" s="6"/>
      <c r="H27307" s="13"/>
    </row>
    <row r="27308">
      <c r="A27308" s="6"/>
      <c r="B27308" s="6"/>
      <c r="H27308" s="13"/>
    </row>
    <row r="27309">
      <c r="A27309" s="6"/>
      <c r="B27309" s="6"/>
      <c r="H27309" s="13"/>
    </row>
    <row r="27310">
      <c r="A27310" s="6"/>
      <c r="B27310" s="6"/>
      <c r="H27310" s="13"/>
    </row>
    <row r="27311">
      <c r="A27311" s="6"/>
      <c r="B27311" s="6"/>
      <c r="H27311" s="13"/>
    </row>
    <row r="27312">
      <c r="A27312" s="6"/>
      <c r="B27312" s="6"/>
      <c r="H27312" s="13"/>
    </row>
    <row r="27313">
      <c r="A27313" s="6"/>
      <c r="B27313" s="6"/>
      <c r="H27313" s="13"/>
    </row>
    <row r="27314">
      <c r="A27314" s="6"/>
      <c r="B27314" s="6"/>
      <c r="H27314" s="13"/>
    </row>
    <row r="27315">
      <c r="A27315" s="6"/>
      <c r="B27315" s="6"/>
      <c r="H27315" s="13"/>
    </row>
    <row r="27316">
      <c r="A27316" s="6"/>
      <c r="B27316" s="6"/>
      <c r="H27316" s="13"/>
    </row>
    <row r="27317">
      <c r="A27317" s="6"/>
      <c r="B27317" s="6"/>
      <c r="H27317" s="13"/>
    </row>
    <row r="27318">
      <c r="A27318" s="6"/>
      <c r="B27318" s="6"/>
      <c r="H27318" s="13"/>
    </row>
    <row r="27319">
      <c r="A27319" s="6"/>
      <c r="B27319" s="6"/>
      <c r="H27319" s="13"/>
    </row>
    <row r="27320">
      <c r="A27320" s="6"/>
      <c r="B27320" s="6"/>
      <c r="H27320" s="13"/>
    </row>
    <row r="27321">
      <c r="A27321" s="6"/>
      <c r="B27321" s="6"/>
      <c r="H27321" s="13"/>
    </row>
    <row r="27322">
      <c r="A27322" s="6"/>
      <c r="B27322" s="6"/>
      <c r="H27322" s="13"/>
    </row>
    <row r="27323">
      <c r="A27323" s="6"/>
      <c r="B27323" s="6"/>
      <c r="H27323" s="13"/>
    </row>
    <row r="27324">
      <c r="A27324" s="6"/>
      <c r="B27324" s="6"/>
      <c r="H27324" s="13"/>
    </row>
    <row r="27325">
      <c r="A27325" s="6"/>
      <c r="B27325" s="6"/>
      <c r="H27325" s="13"/>
    </row>
    <row r="27326">
      <c r="A27326" s="6"/>
      <c r="B27326" s="6"/>
      <c r="H27326" s="13"/>
    </row>
    <row r="27327">
      <c r="A27327" s="6"/>
      <c r="B27327" s="6"/>
      <c r="H27327" s="13"/>
    </row>
    <row r="27328">
      <c r="A27328" s="6"/>
      <c r="B27328" s="6"/>
      <c r="H27328" s="13"/>
    </row>
    <row r="27329">
      <c r="A27329" s="6"/>
      <c r="B27329" s="6"/>
      <c r="H27329" s="13"/>
    </row>
    <row r="27330">
      <c r="A27330" s="6"/>
      <c r="B27330" s="6"/>
      <c r="H27330" s="13"/>
    </row>
    <row r="27331">
      <c r="A27331" s="6"/>
      <c r="B27331" s="6"/>
      <c r="H27331" s="13"/>
    </row>
    <row r="27332">
      <c r="A27332" s="6"/>
      <c r="B27332" s="6"/>
      <c r="H27332" s="13"/>
    </row>
    <row r="27333">
      <c r="A27333" s="6"/>
      <c r="B27333" s="6"/>
      <c r="H27333" s="13"/>
    </row>
    <row r="27334">
      <c r="A27334" s="6"/>
      <c r="B27334" s="6"/>
      <c r="H27334" s="13"/>
    </row>
    <row r="27335">
      <c r="A27335" s="6"/>
      <c r="B27335" s="6"/>
      <c r="H27335" s="13"/>
    </row>
    <row r="27336">
      <c r="A27336" s="6"/>
      <c r="B27336" s="6"/>
      <c r="H27336" s="13"/>
    </row>
    <row r="27337">
      <c r="A27337" s="6"/>
      <c r="B27337" s="6"/>
      <c r="H27337" s="13"/>
    </row>
    <row r="27338">
      <c r="A27338" s="6"/>
      <c r="B27338" s="6"/>
      <c r="H27338" s="13"/>
    </row>
    <row r="27339">
      <c r="A27339" s="6"/>
      <c r="B27339" s="6"/>
      <c r="H27339" s="13"/>
    </row>
    <row r="27340">
      <c r="A27340" s="6"/>
      <c r="B27340" s="6"/>
      <c r="H27340" s="13"/>
    </row>
    <row r="27341">
      <c r="A27341" s="6"/>
      <c r="B27341" s="6"/>
      <c r="H27341" s="13"/>
    </row>
    <row r="27342">
      <c r="A27342" s="6"/>
      <c r="B27342" s="6"/>
      <c r="H27342" s="13"/>
    </row>
    <row r="27343">
      <c r="A27343" s="6"/>
      <c r="B27343" s="6"/>
      <c r="H27343" s="13"/>
    </row>
    <row r="27344">
      <c r="A27344" s="6"/>
      <c r="B27344" s="6"/>
      <c r="H27344" s="13"/>
    </row>
    <row r="27345">
      <c r="A27345" s="6"/>
      <c r="B27345" s="6"/>
      <c r="H27345" s="13"/>
    </row>
    <row r="27346">
      <c r="A27346" s="6"/>
      <c r="B27346" s="6"/>
      <c r="H27346" s="13"/>
    </row>
    <row r="27347">
      <c r="A27347" s="6"/>
      <c r="B27347" s="6"/>
      <c r="H27347" s="13"/>
    </row>
    <row r="27348">
      <c r="A27348" s="6"/>
      <c r="B27348" s="6"/>
      <c r="H27348" s="13"/>
    </row>
    <row r="27349">
      <c r="A27349" s="6"/>
      <c r="B27349" s="6"/>
      <c r="H27349" s="13"/>
    </row>
    <row r="27350">
      <c r="A27350" s="6"/>
      <c r="B27350" s="6"/>
      <c r="H27350" s="13"/>
    </row>
    <row r="27351">
      <c r="A27351" s="6"/>
      <c r="B27351" s="6"/>
      <c r="H27351" s="13"/>
    </row>
    <row r="27352">
      <c r="A27352" s="6"/>
      <c r="B27352" s="6"/>
      <c r="H27352" s="13"/>
    </row>
    <row r="27353">
      <c r="A27353" s="6"/>
      <c r="B27353" s="6"/>
      <c r="H27353" s="13"/>
    </row>
    <row r="27354">
      <c r="A27354" s="6"/>
      <c r="B27354" s="6"/>
      <c r="H27354" s="13"/>
    </row>
    <row r="27355">
      <c r="A27355" s="6"/>
      <c r="B27355" s="6"/>
      <c r="H27355" s="13"/>
    </row>
    <row r="27356">
      <c r="A27356" s="6"/>
      <c r="B27356" s="6"/>
      <c r="H27356" s="13"/>
    </row>
    <row r="27357">
      <c r="A27357" s="6"/>
      <c r="B27357" s="6"/>
      <c r="H27357" s="13"/>
    </row>
    <row r="27358">
      <c r="A27358" s="6"/>
      <c r="B27358" s="6"/>
      <c r="H27358" s="13"/>
    </row>
    <row r="27359">
      <c r="A27359" s="6"/>
      <c r="B27359" s="6"/>
      <c r="H27359" s="13"/>
    </row>
    <row r="27360">
      <c r="A27360" s="6"/>
      <c r="B27360" s="6"/>
      <c r="H27360" s="13"/>
    </row>
    <row r="27361">
      <c r="A27361" s="6"/>
      <c r="B27361" s="6"/>
      <c r="H27361" s="13"/>
    </row>
    <row r="27362">
      <c r="A27362" s="6"/>
      <c r="B27362" s="6"/>
      <c r="H27362" s="13"/>
    </row>
    <row r="27363">
      <c r="A27363" s="6"/>
      <c r="B27363" s="6"/>
      <c r="H27363" s="13"/>
    </row>
    <row r="27364">
      <c r="A27364" s="6"/>
      <c r="B27364" s="6"/>
      <c r="H27364" s="13"/>
    </row>
    <row r="27365">
      <c r="A27365" s="6"/>
      <c r="B27365" s="6"/>
      <c r="H27365" s="13"/>
    </row>
    <row r="27366">
      <c r="A27366" s="6"/>
      <c r="B27366" s="6"/>
      <c r="H27366" s="13"/>
    </row>
    <row r="27367">
      <c r="A27367" s="6"/>
      <c r="B27367" s="6"/>
      <c r="H27367" s="13"/>
    </row>
    <row r="27368">
      <c r="A27368" s="6"/>
      <c r="B27368" s="6"/>
      <c r="H27368" s="13"/>
    </row>
    <row r="27369">
      <c r="A27369" s="6"/>
      <c r="B27369" s="6"/>
      <c r="H27369" s="13"/>
    </row>
    <row r="27370">
      <c r="A27370" s="6"/>
      <c r="B27370" s="6"/>
      <c r="H27370" s="13"/>
    </row>
    <row r="27371">
      <c r="A27371" s="6"/>
      <c r="B27371" s="6"/>
      <c r="H27371" s="13"/>
    </row>
    <row r="27372">
      <c r="A27372" s="6"/>
      <c r="B27372" s="6"/>
      <c r="H27372" s="13"/>
    </row>
    <row r="27373">
      <c r="A27373" s="6"/>
      <c r="B27373" s="6"/>
      <c r="H27373" s="13"/>
    </row>
    <row r="27374">
      <c r="A27374" s="6"/>
      <c r="B27374" s="6"/>
      <c r="H27374" s="13"/>
    </row>
    <row r="27375">
      <c r="A27375" s="6"/>
      <c r="B27375" s="6"/>
      <c r="H27375" s="13"/>
    </row>
    <row r="27376">
      <c r="A27376" s="6"/>
      <c r="B27376" s="6"/>
      <c r="H27376" s="13"/>
    </row>
    <row r="27377">
      <c r="A27377" s="6"/>
      <c r="B27377" s="6"/>
      <c r="H27377" s="13"/>
    </row>
    <row r="27378">
      <c r="A27378" s="6"/>
      <c r="B27378" s="6"/>
      <c r="H27378" s="13"/>
    </row>
    <row r="27379">
      <c r="A27379" s="6"/>
      <c r="B27379" s="6"/>
      <c r="H27379" s="13"/>
    </row>
    <row r="27380">
      <c r="A27380" s="6"/>
      <c r="B27380" s="6"/>
      <c r="H27380" s="13"/>
    </row>
    <row r="27381">
      <c r="A27381" s="6"/>
      <c r="B27381" s="6"/>
      <c r="H27381" s="13"/>
    </row>
    <row r="27382">
      <c r="A27382" s="6"/>
      <c r="B27382" s="6"/>
      <c r="H27382" s="13"/>
    </row>
    <row r="27383">
      <c r="A27383" s="6"/>
      <c r="B27383" s="6"/>
      <c r="H27383" s="13"/>
    </row>
    <row r="27384">
      <c r="A27384" s="6"/>
      <c r="B27384" s="6"/>
      <c r="H27384" s="13"/>
    </row>
    <row r="27385">
      <c r="A27385" s="6"/>
      <c r="B27385" s="6"/>
      <c r="H27385" s="13"/>
    </row>
    <row r="27386">
      <c r="A27386" s="6"/>
      <c r="B27386" s="6"/>
      <c r="H27386" s="13"/>
    </row>
    <row r="27387">
      <c r="A27387" s="6"/>
      <c r="B27387" s="6"/>
      <c r="H27387" s="13"/>
    </row>
    <row r="27388">
      <c r="A27388" s="6"/>
      <c r="B27388" s="6"/>
      <c r="H27388" s="13"/>
    </row>
    <row r="27389">
      <c r="A27389" s="6"/>
      <c r="B27389" s="6"/>
      <c r="H27389" s="13"/>
    </row>
    <row r="27390">
      <c r="A27390" s="6"/>
      <c r="B27390" s="6"/>
      <c r="H27390" s="13"/>
    </row>
    <row r="27391">
      <c r="A27391" s="6"/>
      <c r="B27391" s="6"/>
      <c r="H27391" s="13"/>
    </row>
    <row r="27392">
      <c r="A27392" s="6"/>
      <c r="B27392" s="6"/>
      <c r="H27392" s="13"/>
    </row>
    <row r="27393">
      <c r="A27393" s="6"/>
      <c r="B27393" s="6"/>
      <c r="H27393" s="13"/>
    </row>
    <row r="27394">
      <c r="A27394" s="6"/>
      <c r="B27394" s="6"/>
      <c r="H27394" s="13"/>
    </row>
    <row r="27395">
      <c r="A27395" s="6"/>
      <c r="B27395" s="6"/>
      <c r="H27395" s="13"/>
    </row>
    <row r="27396">
      <c r="A27396" s="6"/>
      <c r="B27396" s="6"/>
      <c r="H27396" s="13"/>
    </row>
    <row r="27397">
      <c r="A27397" s="6"/>
      <c r="B27397" s="6"/>
      <c r="H27397" s="13"/>
    </row>
    <row r="27398">
      <c r="A27398" s="6"/>
      <c r="B27398" s="6"/>
      <c r="H27398" s="13"/>
    </row>
    <row r="27399">
      <c r="A27399" s="6"/>
      <c r="B27399" s="6"/>
      <c r="H27399" s="13"/>
    </row>
    <row r="27400">
      <c r="A27400" s="6"/>
      <c r="B27400" s="6"/>
      <c r="H27400" s="13"/>
    </row>
    <row r="27401">
      <c r="A27401" s="6"/>
      <c r="B27401" s="6"/>
      <c r="H27401" s="13"/>
    </row>
    <row r="27402">
      <c r="A27402" s="6"/>
      <c r="B27402" s="6"/>
      <c r="H27402" s="13"/>
    </row>
    <row r="27403">
      <c r="A27403" s="6"/>
      <c r="B27403" s="6"/>
      <c r="H27403" s="13"/>
    </row>
    <row r="27404">
      <c r="A27404" s="6"/>
      <c r="B27404" s="6"/>
      <c r="H27404" s="13"/>
    </row>
    <row r="27405">
      <c r="A27405" s="6"/>
      <c r="B27405" s="6"/>
      <c r="H27405" s="13"/>
    </row>
    <row r="27406">
      <c r="A27406" s="6"/>
      <c r="B27406" s="6"/>
      <c r="H27406" s="13"/>
    </row>
    <row r="27407">
      <c r="A27407" s="6"/>
      <c r="B27407" s="6"/>
      <c r="H27407" s="13"/>
    </row>
    <row r="27408">
      <c r="A27408" s="6"/>
      <c r="B27408" s="6"/>
      <c r="H27408" s="13"/>
    </row>
    <row r="27409">
      <c r="A27409" s="6"/>
      <c r="B27409" s="6"/>
      <c r="H27409" s="13"/>
    </row>
    <row r="27410">
      <c r="A27410" s="6"/>
      <c r="B27410" s="6"/>
      <c r="H27410" s="13"/>
    </row>
    <row r="27411">
      <c r="A27411" s="6"/>
      <c r="B27411" s="6"/>
      <c r="H27411" s="13"/>
    </row>
    <row r="27412">
      <c r="A27412" s="6"/>
      <c r="B27412" s="6"/>
      <c r="H27412" s="13"/>
    </row>
    <row r="27413">
      <c r="A27413" s="6"/>
      <c r="B27413" s="6"/>
      <c r="H27413" s="13"/>
    </row>
    <row r="27414">
      <c r="A27414" s="6"/>
      <c r="B27414" s="6"/>
      <c r="H27414" s="13"/>
    </row>
    <row r="27415">
      <c r="A27415" s="6"/>
      <c r="B27415" s="6"/>
      <c r="H27415" s="13"/>
    </row>
    <row r="27416">
      <c r="A27416" s="6"/>
      <c r="B27416" s="6"/>
      <c r="H27416" s="13"/>
    </row>
    <row r="27417">
      <c r="A27417" s="6"/>
      <c r="B27417" s="6"/>
      <c r="H27417" s="13"/>
    </row>
    <row r="27418">
      <c r="A27418" s="6"/>
      <c r="B27418" s="6"/>
      <c r="H27418" s="13"/>
    </row>
    <row r="27419">
      <c r="A27419" s="6"/>
      <c r="B27419" s="6"/>
      <c r="H27419" s="13"/>
    </row>
    <row r="27420">
      <c r="A27420" s="6"/>
      <c r="B27420" s="6"/>
      <c r="H27420" s="13"/>
    </row>
    <row r="27421">
      <c r="A27421" s="6"/>
      <c r="B27421" s="6"/>
      <c r="H27421" s="13"/>
    </row>
    <row r="27422">
      <c r="A27422" s="6"/>
      <c r="B27422" s="6"/>
      <c r="H27422" s="13"/>
    </row>
    <row r="27423">
      <c r="A27423" s="6"/>
      <c r="B27423" s="6"/>
      <c r="H27423" s="13"/>
    </row>
    <row r="27424">
      <c r="A27424" s="6"/>
      <c r="B27424" s="6"/>
      <c r="H27424" s="13"/>
    </row>
    <row r="27425">
      <c r="A27425" s="6"/>
      <c r="B27425" s="6"/>
      <c r="H27425" s="13"/>
    </row>
    <row r="27426">
      <c r="A27426" s="6"/>
      <c r="B27426" s="6"/>
      <c r="H27426" s="13"/>
    </row>
    <row r="27427">
      <c r="A27427" s="6"/>
      <c r="B27427" s="6"/>
      <c r="H27427" s="13"/>
    </row>
    <row r="27428">
      <c r="A27428" s="6"/>
      <c r="B27428" s="6"/>
      <c r="H27428" s="13"/>
    </row>
    <row r="27429">
      <c r="A27429" s="6"/>
      <c r="B27429" s="6"/>
      <c r="H27429" s="13"/>
    </row>
    <row r="27430">
      <c r="A27430" s="6"/>
      <c r="B27430" s="6"/>
      <c r="H27430" s="13"/>
    </row>
    <row r="27431">
      <c r="A27431" s="6"/>
      <c r="B27431" s="6"/>
      <c r="H27431" s="13"/>
    </row>
    <row r="27432">
      <c r="A27432" s="6"/>
      <c r="B27432" s="6"/>
      <c r="H27432" s="13"/>
    </row>
    <row r="27433">
      <c r="A27433" s="6"/>
      <c r="B27433" s="6"/>
      <c r="H27433" s="13"/>
    </row>
    <row r="27434">
      <c r="A27434" s="6"/>
      <c r="B27434" s="6"/>
      <c r="H27434" s="13"/>
    </row>
    <row r="27435">
      <c r="A27435" s="6"/>
      <c r="B27435" s="6"/>
      <c r="H27435" s="13"/>
    </row>
    <row r="27436">
      <c r="A27436" s="6"/>
      <c r="B27436" s="6"/>
      <c r="H27436" s="13"/>
    </row>
    <row r="27437">
      <c r="A27437" s="6"/>
      <c r="B27437" s="6"/>
      <c r="H27437" s="13"/>
    </row>
    <row r="27438">
      <c r="A27438" s="6"/>
      <c r="B27438" s="6"/>
      <c r="H27438" s="13"/>
    </row>
    <row r="27439">
      <c r="A27439" s="6"/>
      <c r="B27439" s="6"/>
      <c r="H27439" s="13"/>
    </row>
    <row r="27440">
      <c r="A27440" s="6"/>
      <c r="B27440" s="6"/>
      <c r="H27440" s="13"/>
    </row>
    <row r="27441">
      <c r="A27441" s="6"/>
      <c r="B27441" s="6"/>
      <c r="H27441" s="13"/>
    </row>
    <row r="27442">
      <c r="A27442" s="6"/>
      <c r="B27442" s="6"/>
      <c r="H27442" s="13"/>
    </row>
    <row r="27443">
      <c r="A27443" s="6"/>
      <c r="B27443" s="6"/>
      <c r="H27443" s="13"/>
    </row>
    <row r="27444">
      <c r="A27444" s="6"/>
      <c r="B27444" s="6"/>
      <c r="H27444" s="13"/>
    </row>
    <row r="27445">
      <c r="A27445" s="6"/>
      <c r="B27445" s="6"/>
      <c r="H27445" s="13"/>
    </row>
    <row r="27446">
      <c r="A27446" s="6"/>
      <c r="B27446" s="6"/>
      <c r="H27446" s="13"/>
    </row>
    <row r="27447">
      <c r="A27447" s="6"/>
      <c r="B27447" s="6"/>
      <c r="H27447" s="13"/>
    </row>
    <row r="27448">
      <c r="A27448" s="6"/>
      <c r="B27448" s="6"/>
      <c r="H27448" s="13"/>
    </row>
    <row r="27449">
      <c r="A27449" s="6"/>
      <c r="B27449" s="6"/>
      <c r="H27449" s="13"/>
    </row>
    <row r="27450">
      <c r="A27450" s="6"/>
      <c r="B27450" s="6"/>
      <c r="H27450" s="13"/>
    </row>
    <row r="27451">
      <c r="A27451" s="6"/>
      <c r="B27451" s="6"/>
      <c r="H27451" s="13"/>
    </row>
    <row r="27452">
      <c r="A27452" s="6"/>
      <c r="B27452" s="6"/>
      <c r="H27452" s="13"/>
    </row>
    <row r="27453">
      <c r="A27453" s="6"/>
      <c r="B27453" s="6"/>
      <c r="H27453" s="13"/>
    </row>
    <row r="27454">
      <c r="A27454" s="6"/>
      <c r="B27454" s="6"/>
      <c r="H27454" s="13"/>
    </row>
    <row r="27455">
      <c r="A27455" s="6"/>
      <c r="B27455" s="6"/>
      <c r="H27455" s="13"/>
    </row>
    <row r="27456">
      <c r="A27456" s="6"/>
      <c r="B27456" s="6"/>
      <c r="H27456" s="13"/>
    </row>
    <row r="27457">
      <c r="A27457" s="6"/>
      <c r="B27457" s="6"/>
      <c r="H27457" s="13"/>
    </row>
    <row r="27458">
      <c r="A27458" s="6"/>
      <c r="B27458" s="6"/>
      <c r="H27458" s="13"/>
    </row>
    <row r="27459">
      <c r="A27459" s="6"/>
      <c r="B27459" s="6"/>
      <c r="H27459" s="13"/>
    </row>
    <row r="27460">
      <c r="A27460" s="6"/>
      <c r="B27460" s="6"/>
      <c r="H27460" s="13"/>
    </row>
    <row r="27461">
      <c r="A27461" s="6"/>
      <c r="B27461" s="6"/>
      <c r="H27461" s="13"/>
    </row>
    <row r="27462">
      <c r="A27462" s="6"/>
      <c r="B27462" s="6"/>
      <c r="H27462" s="13"/>
    </row>
    <row r="27463">
      <c r="A27463" s="6"/>
      <c r="B27463" s="6"/>
      <c r="H27463" s="13"/>
    </row>
    <row r="27464">
      <c r="A27464" s="6"/>
      <c r="B27464" s="6"/>
      <c r="H27464" s="13"/>
    </row>
    <row r="27465">
      <c r="A27465" s="6"/>
      <c r="B27465" s="6"/>
      <c r="H27465" s="13"/>
    </row>
    <row r="27466">
      <c r="A27466" s="6"/>
      <c r="B27466" s="6"/>
      <c r="H27466" s="13"/>
    </row>
    <row r="27467">
      <c r="A27467" s="6"/>
      <c r="B27467" s="6"/>
      <c r="H27467" s="13"/>
    </row>
    <row r="27468">
      <c r="A27468" s="6"/>
      <c r="B27468" s="6"/>
      <c r="H27468" s="13"/>
    </row>
    <row r="27469">
      <c r="A27469" s="6"/>
      <c r="B27469" s="6"/>
      <c r="H27469" s="13"/>
    </row>
    <row r="27470">
      <c r="A27470" s="6"/>
      <c r="B27470" s="6"/>
      <c r="H27470" s="13"/>
    </row>
    <row r="27471">
      <c r="A27471" s="6"/>
      <c r="B27471" s="6"/>
      <c r="H27471" s="13"/>
    </row>
    <row r="27472">
      <c r="A27472" s="6"/>
      <c r="B27472" s="6"/>
      <c r="H27472" s="13"/>
    </row>
    <row r="27473">
      <c r="A27473" s="6"/>
      <c r="B27473" s="6"/>
      <c r="H27473" s="13"/>
    </row>
    <row r="27474">
      <c r="A27474" s="6"/>
      <c r="B27474" s="6"/>
      <c r="H27474" s="13"/>
    </row>
    <row r="27475">
      <c r="A27475" s="6"/>
      <c r="B27475" s="6"/>
      <c r="H27475" s="13"/>
    </row>
    <row r="27476">
      <c r="A27476" s="6"/>
      <c r="B27476" s="6"/>
      <c r="H27476" s="13"/>
    </row>
    <row r="27477">
      <c r="A27477" s="6"/>
      <c r="B27477" s="6"/>
      <c r="H27477" s="13"/>
    </row>
    <row r="27478">
      <c r="A27478" s="6"/>
      <c r="B27478" s="6"/>
      <c r="H27478" s="13"/>
    </row>
    <row r="27479">
      <c r="A27479" s="6"/>
      <c r="B27479" s="6"/>
      <c r="H27479" s="13"/>
    </row>
    <row r="27480">
      <c r="A27480" s="6"/>
      <c r="B27480" s="6"/>
      <c r="H27480" s="13"/>
    </row>
    <row r="27481">
      <c r="A27481" s="6"/>
      <c r="B27481" s="6"/>
      <c r="H27481" s="13"/>
    </row>
    <row r="27482">
      <c r="A27482" s="6"/>
      <c r="B27482" s="6"/>
      <c r="H27482" s="13"/>
    </row>
    <row r="27483">
      <c r="A27483" s="6"/>
      <c r="B27483" s="6"/>
      <c r="H27483" s="13"/>
    </row>
    <row r="27484">
      <c r="A27484" s="6"/>
      <c r="B27484" s="6"/>
      <c r="H27484" s="13"/>
    </row>
    <row r="27485">
      <c r="A27485" s="6"/>
      <c r="B27485" s="6"/>
      <c r="H27485" s="13"/>
    </row>
    <row r="27486">
      <c r="A27486" s="6"/>
      <c r="B27486" s="6"/>
      <c r="H27486" s="13"/>
    </row>
    <row r="27487">
      <c r="A27487" s="6"/>
      <c r="B27487" s="6"/>
      <c r="H27487" s="13"/>
    </row>
    <row r="27488">
      <c r="A27488" s="6"/>
      <c r="B27488" s="6"/>
      <c r="H27488" s="13"/>
    </row>
    <row r="27489">
      <c r="A27489" s="6"/>
      <c r="B27489" s="6"/>
      <c r="H27489" s="13"/>
    </row>
    <row r="27490">
      <c r="A27490" s="6"/>
      <c r="B27490" s="6"/>
      <c r="H27490" s="13"/>
    </row>
    <row r="27491">
      <c r="A27491" s="6"/>
      <c r="B27491" s="6"/>
      <c r="H27491" s="13"/>
    </row>
    <row r="27492">
      <c r="A27492" s="6"/>
      <c r="B27492" s="6"/>
      <c r="H27492" s="13"/>
    </row>
    <row r="27493">
      <c r="A27493" s="6"/>
      <c r="B27493" s="6"/>
      <c r="H27493" s="13"/>
    </row>
    <row r="27494">
      <c r="A27494" s="6"/>
      <c r="B27494" s="6"/>
      <c r="H27494" s="13"/>
    </row>
    <row r="27495">
      <c r="A27495" s="6"/>
      <c r="B27495" s="6"/>
      <c r="H27495" s="13"/>
    </row>
    <row r="27496">
      <c r="A27496" s="6"/>
      <c r="B27496" s="6"/>
      <c r="H27496" s="13"/>
    </row>
    <row r="27497">
      <c r="A27497" s="6"/>
      <c r="B27497" s="6"/>
      <c r="H27497" s="13"/>
    </row>
    <row r="27498">
      <c r="A27498" s="6"/>
      <c r="B27498" s="6"/>
      <c r="H27498" s="13"/>
    </row>
    <row r="27499">
      <c r="A27499" s="6"/>
      <c r="B27499" s="6"/>
      <c r="H27499" s="13"/>
    </row>
    <row r="27500">
      <c r="A27500" s="6"/>
      <c r="B27500" s="6"/>
      <c r="H27500" s="13"/>
    </row>
    <row r="27501">
      <c r="A27501" s="6"/>
      <c r="B27501" s="6"/>
      <c r="H27501" s="13"/>
    </row>
    <row r="27502">
      <c r="A27502" s="6"/>
      <c r="B27502" s="6"/>
      <c r="H27502" s="13"/>
    </row>
    <row r="27503">
      <c r="A27503" s="6"/>
      <c r="B27503" s="6"/>
      <c r="H27503" s="13"/>
    </row>
    <row r="27504">
      <c r="A27504" s="6"/>
      <c r="B27504" s="6"/>
      <c r="H27504" s="13"/>
    </row>
    <row r="27505">
      <c r="A27505" s="6"/>
      <c r="B27505" s="6"/>
      <c r="H27505" s="13"/>
    </row>
    <row r="27506">
      <c r="A27506" s="6"/>
      <c r="B27506" s="6"/>
      <c r="H27506" s="13"/>
    </row>
    <row r="27507">
      <c r="A27507" s="6"/>
      <c r="B27507" s="6"/>
      <c r="H27507" s="13"/>
    </row>
    <row r="27508">
      <c r="A27508" s="6"/>
      <c r="B27508" s="6"/>
      <c r="H27508" s="13"/>
    </row>
    <row r="27509">
      <c r="A27509" s="6"/>
      <c r="B27509" s="6"/>
      <c r="H27509" s="13"/>
    </row>
    <row r="27510">
      <c r="A27510" s="6"/>
      <c r="B27510" s="6"/>
      <c r="H27510" s="13"/>
    </row>
    <row r="27511">
      <c r="A27511" s="6"/>
      <c r="B27511" s="6"/>
      <c r="H27511" s="13"/>
    </row>
    <row r="27512">
      <c r="A27512" s="6"/>
      <c r="B27512" s="6"/>
      <c r="H27512" s="13"/>
    </row>
    <row r="27513">
      <c r="A27513" s="6"/>
      <c r="B27513" s="6"/>
      <c r="H27513" s="13"/>
    </row>
    <row r="27514">
      <c r="A27514" s="6"/>
      <c r="B27514" s="6"/>
      <c r="H27514" s="13"/>
    </row>
    <row r="27515">
      <c r="A27515" s="6"/>
      <c r="B27515" s="6"/>
      <c r="H27515" s="13"/>
    </row>
    <row r="27516">
      <c r="A27516" s="6"/>
      <c r="B27516" s="6"/>
      <c r="H27516" s="13"/>
    </row>
    <row r="27517">
      <c r="A27517" s="6"/>
      <c r="B27517" s="6"/>
      <c r="H27517" s="13"/>
    </row>
    <row r="27518">
      <c r="A27518" s="6"/>
      <c r="B27518" s="6"/>
      <c r="H27518" s="13"/>
    </row>
    <row r="27519">
      <c r="A27519" s="6"/>
      <c r="B27519" s="6"/>
      <c r="H27519" s="13"/>
    </row>
    <row r="27520">
      <c r="A27520" s="6"/>
      <c r="B27520" s="6"/>
      <c r="H27520" s="13"/>
    </row>
    <row r="27521">
      <c r="A27521" s="6"/>
      <c r="B27521" s="6"/>
      <c r="H27521" s="13"/>
    </row>
    <row r="27522">
      <c r="A27522" s="6"/>
      <c r="B27522" s="6"/>
      <c r="H27522" s="13"/>
    </row>
    <row r="27523">
      <c r="A27523" s="6"/>
      <c r="B27523" s="6"/>
      <c r="H27523" s="13"/>
    </row>
    <row r="27524">
      <c r="A27524" s="6"/>
      <c r="B27524" s="6"/>
      <c r="H27524" s="13"/>
    </row>
    <row r="27525">
      <c r="A27525" s="6"/>
      <c r="B27525" s="6"/>
      <c r="H27525" s="13"/>
    </row>
    <row r="27526">
      <c r="A27526" s="6"/>
      <c r="B27526" s="6"/>
      <c r="H27526" s="13"/>
    </row>
    <row r="27527">
      <c r="A27527" s="6"/>
      <c r="B27527" s="6"/>
      <c r="H27527" s="13"/>
    </row>
    <row r="27528">
      <c r="A27528" s="6"/>
      <c r="B27528" s="6"/>
      <c r="H27528" s="13"/>
    </row>
    <row r="27529">
      <c r="A27529" s="6"/>
      <c r="B27529" s="6"/>
      <c r="H27529" s="13"/>
    </row>
    <row r="27530">
      <c r="A27530" s="6"/>
      <c r="B27530" s="6"/>
      <c r="H27530" s="13"/>
    </row>
    <row r="27531">
      <c r="A27531" s="6"/>
      <c r="B27531" s="6"/>
      <c r="H27531" s="13"/>
    </row>
    <row r="27532">
      <c r="A27532" s="6"/>
      <c r="B27532" s="6"/>
      <c r="H27532" s="13"/>
    </row>
    <row r="27533">
      <c r="A27533" s="6"/>
      <c r="B27533" s="6"/>
      <c r="H27533" s="13"/>
    </row>
    <row r="27534">
      <c r="A27534" s="6"/>
      <c r="B27534" s="6"/>
      <c r="H27534" s="13"/>
    </row>
    <row r="27535">
      <c r="A27535" s="6"/>
      <c r="B27535" s="6"/>
      <c r="H27535" s="13"/>
    </row>
    <row r="27536">
      <c r="A27536" s="6"/>
      <c r="B27536" s="6"/>
      <c r="H27536" s="13"/>
    </row>
    <row r="27537">
      <c r="A27537" s="6"/>
      <c r="B27537" s="6"/>
      <c r="H27537" s="13"/>
    </row>
    <row r="27538">
      <c r="A27538" s="6"/>
      <c r="B27538" s="6"/>
      <c r="H27538" s="13"/>
    </row>
    <row r="27539">
      <c r="A27539" s="6"/>
      <c r="B27539" s="6"/>
      <c r="H27539" s="13"/>
    </row>
    <row r="27540">
      <c r="A27540" s="6"/>
      <c r="B27540" s="6"/>
      <c r="H27540" s="13"/>
    </row>
    <row r="27541">
      <c r="A27541" s="6"/>
      <c r="B27541" s="6"/>
      <c r="H27541" s="13"/>
    </row>
    <row r="27542">
      <c r="A27542" s="6"/>
      <c r="B27542" s="6"/>
      <c r="H27542" s="13"/>
    </row>
    <row r="27543">
      <c r="A27543" s="6"/>
      <c r="B27543" s="6"/>
      <c r="H27543" s="13"/>
    </row>
    <row r="27544">
      <c r="A27544" s="6"/>
      <c r="B27544" s="6"/>
      <c r="H27544" s="13"/>
    </row>
    <row r="27545">
      <c r="A27545" s="6"/>
      <c r="B27545" s="6"/>
      <c r="H27545" s="13"/>
    </row>
    <row r="27546">
      <c r="A27546" s="6"/>
      <c r="B27546" s="6"/>
      <c r="H27546" s="13"/>
    </row>
    <row r="27547">
      <c r="A27547" s="6"/>
      <c r="B27547" s="6"/>
      <c r="H27547" s="13"/>
    </row>
    <row r="27548">
      <c r="A27548" s="6"/>
      <c r="B27548" s="6"/>
      <c r="H27548" s="13"/>
    </row>
    <row r="27549">
      <c r="A27549" s="6"/>
      <c r="B27549" s="6"/>
      <c r="H27549" s="13"/>
    </row>
    <row r="27550">
      <c r="A27550" s="6"/>
      <c r="B27550" s="6"/>
      <c r="H27550" s="13"/>
    </row>
    <row r="27551">
      <c r="A27551" s="6"/>
      <c r="B27551" s="6"/>
      <c r="H27551" s="13"/>
    </row>
    <row r="27552">
      <c r="A27552" s="6"/>
      <c r="B27552" s="6"/>
      <c r="H27552" s="13"/>
    </row>
    <row r="27553">
      <c r="A27553" s="6"/>
      <c r="B27553" s="6"/>
      <c r="H27553" s="13"/>
    </row>
    <row r="27554">
      <c r="A27554" s="6"/>
      <c r="B27554" s="6"/>
      <c r="H27554" s="13"/>
    </row>
    <row r="27555">
      <c r="A27555" s="6"/>
      <c r="B27555" s="6"/>
      <c r="H27555" s="13"/>
    </row>
    <row r="27556">
      <c r="A27556" s="6"/>
      <c r="B27556" s="6"/>
      <c r="H27556" s="13"/>
    </row>
    <row r="27557">
      <c r="A27557" s="6"/>
      <c r="B27557" s="6"/>
      <c r="H27557" s="13"/>
    </row>
    <row r="27558">
      <c r="A27558" s="6"/>
      <c r="B27558" s="6"/>
      <c r="H27558" s="13"/>
    </row>
    <row r="27559">
      <c r="A27559" s="6"/>
      <c r="B27559" s="6"/>
      <c r="H27559" s="13"/>
    </row>
    <row r="27560">
      <c r="A27560" s="6"/>
      <c r="B27560" s="6"/>
      <c r="H27560" s="13"/>
    </row>
    <row r="27561">
      <c r="A27561" s="6"/>
      <c r="B27561" s="6"/>
      <c r="H27561" s="13"/>
    </row>
    <row r="27562">
      <c r="A27562" s="6"/>
      <c r="B27562" s="6"/>
      <c r="H27562" s="13"/>
    </row>
    <row r="27563">
      <c r="A27563" s="6"/>
      <c r="B27563" s="6"/>
      <c r="H27563" s="13"/>
    </row>
    <row r="27564">
      <c r="A27564" s="6"/>
      <c r="B27564" s="6"/>
      <c r="H27564" s="13"/>
    </row>
    <row r="27565">
      <c r="A27565" s="6"/>
      <c r="B27565" s="6"/>
      <c r="H27565" s="13"/>
    </row>
    <row r="27566">
      <c r="A27566" s="6"/>
      <c r="B27566" s="6"/>
      <c r="H27566" s="13"/>
    </row>
    <row r="27567">
      <c r="A27567" s="6"/>
      <c r="B27567" s="6"/>
      <c r="H27567" s="13"/>
    </row>
    <row r="27568">
      <c r="A27568" s="6"/>
      <c r="B27568" s="6"/>
      <c r="H27568" s="13"/>
    </row>
    <row r="27569">
      <c r="A27569" s="6"/>
      <c r="B27569" s="6"/>
      <c r="H27569" s="13"/>
    </row>
    <row r="27570">
      <c r="A27570" s="6"/>
      <c r="B27570" s="6"/>
      <c r="H27570" s="13"/>
    </row>
    <row r="27571">
      <c r="A27571" s="6"/>
      <c r="B27571" s="6"/>
      <c r="H27571" s="13"/>
    </row>
    <row r="27572">
      <c r="A27572" s="6"/>
      <c r="B27572" s="6"/>
      <c r="H27572" s="13"/>
    </row>
    <row r="27573">
      <c r="A27573" s="6"/>
      <c r="B27573" s="6"/>
      <c r="H27573" s="13"/>
    </row>
    <row r="27574">
      <c r="A27574" s="6"/>
      <c r="B27574" s="6"/>
      <c r="H27574" s="13"/>
    </row>
    <row r="27575">
      <c r="A27575" s="6"/>
      <c r="B27575" s="6"/>
      <c r="H27575" s="13"/>
    </row>
    <row r="27576">
      <c r="A27576" s="6"/>
      <c r="B27576" s="6"/>
      <c r="H27576" s="13"/>
    </row>
    <row r="27577">
      <c r="A27577" s="6"/>
      <c r="B27577" s="6"/>
      <c r="H27577" s="13"/>
    </row>
    <row r="27578">
      <c r="A27578" s="6"/>
      <c r="B27578" s="6"/>
      <c r="H27578" s="13"/>
    </row>
    <row r="27579">
      <c r="A27579" s="6"/>
      <c r="B27579" s="6"/>
      <c r="H27579" s="13"/>
    </row>
    <row r="27580">
      <c r="A27580" s="6"/>
      <c r="B27580" s="6"/>
      <c r="H27580" s="13"/>
    </row>
    <row r="27581">
      <c r="A27581" s="6"/>
      <c r="B27581" s="6"/>
      <c r="H27581" s="13"/>
    </row>
    <row r="27582">
      <c r="A27582" s="6"/>
      <c r="B27582" s="6"/>
      <c r="H27582" s="13"/>
    </row>
    <row r="27583">
      <c r="A27583" s="6"/>
      <c r="B27583" s="6"/>
      <c r="H27583" s="13"/>
    </row>
    <row r="27584">
      <c r="A27584" s="6"/>
      <c r="B27584" s="6"/>
      <c r="H27584" s="13"/>
    </row>
    <row r="27585">
      <c r="A27585" s="6"/>
      <c r="B27585" s="6"/>
      <c r="H27585" s="13"/>
    </row>
    <row r="27586">
      <c r="A27586" s="6"/>
      <c r="B27586" s="6"/>
      <c r="H27586" s="13"/>
    </row>
    <row r="27587">
      <c r="A27587" s="6"/>
      <c r="B27587" s="6"/>
      <c r="H27587" s="13"/>
    </row>
    <row r="27588">
      <c r="A27588" s="6"/>
      <c r="B27588" s="6"/>
      <c r="H27588" s="13"/>
    </row>
    <row r="27589">
      <c r="A27589" s="6"/>
      <c r="B27589" s="6"/>
      <c r="H27589" s="13"/>
    </row>
    <row r="27590">
      <c r="A27590" s="6"/>
      <c r="B27590" s="6"/>
      <c r="H27590" s="13"/>
    </row>
    <row r="27591">
      <c r="A27591" s="6"/>
      <c r="B27591" s="6"/>
      <c r="H27591" s="13"/>
    </row>
    <row r="27592">
      <c r="A27592" s="6"/>
      <c r="B27592" s="6"/>
      <c r="H27592" s="13"/>
    </row>
    <row r="27593">
      <c r="A27593" s="6"/>
      <c r="B27593" s="6"/>
      <c r="H27593" s="13"/>
    </row>
    <row r="27594">
      <c r="A27594" s="6"/>
      <c r="B27594" s="6"/>
      <c r="H27594" s="13"/>
    </row>
    <row r="27595">
      <c r="A27595" s="6"/>
      <c r="B27595" s="6"/>
      <c r="H27595" s="13"/>
    </row>
    <row r="27596">
      <c r="A27596" s="6"/>
      <c r="B27596" s="6"/>
      <c r="H27596" s="13"/>
    </row>
    <row r="27597">
      <c r="A27597" s="6"/>
      <c r="B27597" s="6"/>
      <c r="H27597" s="13"/>
    </row>
    <row r="27598">
      <c r="A27598" s="6"/>
      <c r="B27598" s="6"/>
      <c r="H27598" s="13"/>
    </row>
    <row r="27599">
      <c r="A27599" s="6"/>
      <c r="B27599" s="6"/>
      <c r="H27599" s="13"/>
    </row>
    <row r="27600">
      <c r="A27600" s="6"/>
      <c r="B27600" s="6"/>
      <c r="H27600" s="13"/>
    </row>
    <row r="27601">
      <c r="A27601" s="6"/>
      <c r="B27601" s="6"/>
      <c r="H27601" s="13"/>
    </row>
    <row r="27602">
      <c r="A27602" s="6"/>
      <c r="B27602" s="6"/>
      <c r="H27602" s="13"/>
    </row>
    <row r="27603">
      <c r="A27603" s="6"/>
      <c r="B27603" s="6"/>
      <c r="H27603" s="13"/>
    </row>
    <row r="27604">
      <c r="A27604" s="6"/>
      <c r="B27604" s="6"/>
      <c r="H27604" s="13"/>
    </row>
    <row r="27605">
      <c r="A27605" s="6"/>
      <c r="B27605" s="6"/>
      <c r="H27605" s="13"/>
    </row>
    <row r="27606">
      <c r="A27606" s="6"/>
      <c r="B27606" s="6"/>
      <c r="H27606" s="13"/>
    </row>
    <row r="27607">
      <c r="A27607" s="6"/>
      <c r="B27607" s="6"/>
      <c r="H27607" s="13"/>
    </row>
    <row r="27608">
      <c r="A27608" s="6"/>
      <c r="B27608" s="6"/>
      <c r="H27608" s="13"/>
    </row>
    <row r="27609">
      <c r="A27609" s="6"/>
      <c r="B27609" s="6"/>
      <c r="H27609" s="13"/>
    </row>
    <row r="27610">
      <c r="A27610" s="6"/>
      <c r="B27610" s="6"/>
      <c r="H27610" s="13"/>
    </row>
    <row r="27611">
      <c r="A27611" s="6"/>
      <c r="B27611" s="6"/>
      <c r="H27611" s="13"/>
    </row>
    <row r="27612">
      <c r="A27612" s="6"/>
      <c r="B27612" s="6"/>
      <c r="H27612" s="13"/>
    </row>
    <row r="27613">
      <c r="A27613" s="6"/>
      <c r="B27613" s="6"/>
      <c r="H27613" s="13"/>
    </row>
    <row r="27614">
      <c r="A27614" s="6"/>
      <c r="B27614" s="6"/>
      <c r="H27614" s="13"/>
    </row>
    <row r="27615">
      <c r="A27615" s="6"/>
      <c r="B27615" s="6"/>
      <c r="H27615" s="13"/>
    </row>
    <row r="27616">
      <c r="A27616" s="6"/>
      <c r="B27616" s="6"/>
      <c r="H27616" s="13"/>
    </row>
    <row r="27617">
      <c r="A27617" s="6"/>
      <c r="B27617" s="6"/>
      <c r="H27617" s="13"/>
    </row>
    <row r="27618">
      <c r="A27618" s="6"/>
      <c r="B27618" s="6"/>
      <c r="H27618" s="13"/>
    </row>
    <row r="27619">
      <c r="A27619" s="6"/>
      <c r="B27619" s="6"/>
      <c r="H27619" s="13"/>
    </row>
    <row r="27620">
      <c r="A27620" s="6"/>
      <c r="B27620" s="6"/>
      <c r="H27620" s="13"/>
    </row>
    <row r="27621">
      <c r="A27621" s="6"/>
      <c r="B27621" s="6"/>
      <c r="H27621" s="13"/>
    </row>
    <row r="27622">
      <c r="A27622" s="6"/>
      <c r="B27622" s="6"/>
      <c r="H27622" s="13"/>
    </row>
    <row r="27623">
      <c r="A27623" s="6"/>
      <c r="B27623" s="6"/>
      <c r="H27623" s="13"/>
    </row>
    <row r="27624">
      <c r="A27624" s="6"/>
      <c r="B27624" s="6"/>
      <c r="H27624" s="13"/>
    </row>
    <row r="27625">
      <c r="A27625" s="6"/>
      <c r="B27625" s="6"/>
      <c r="H27625" s="13"/>
    </row>
    <row r="27626">
      <c r="A27626" s="6"/>
      <c r="B27626" s="6"/>
      <c r="H27626" s="13"/>
    </row>
    <row r="27627">
      <c r="A27627" s="6"/>
      <c r="B27627" s="6"/>
      <c r="H27627" s="13"/>
    </row>
    <row r="27628">
      <c r="A27628" s="6"/>
      <c r="B27628" s="6"/>
      <c r="H27628" s="13"/>
    </row>
    <row r="27629">
      <c r="A27629" s="6"/>
      <c r="B27629" s="6"/>
      <c r="H27629" s="13"/>
    </row>
    <row r="27630">
      <c r="A27630" s="6"/>
      <c r="B27630" s="6"/>
      <c r="H27630" s="13"/>
    </row>
    <row r="27631">
      <c r="A27631" s="6"/>
      <c r="B27631" s="6"/>
      <c r="H27631" s="13"/>
    </row>
    <row r="27632">
      <c r="A27632" s="6"/>
      <c r="B27632" s="6"/>
      <c r="H27632" s="13"/>
    </row>
    <row r="27633">
      <c r="A27633" s="6"/>
      <c r="B27633" s="6"/>
      <c r="H27633" s="13"/>
    </row>
    <row r="27634">
      <c r="A27634" s="6"/>
      <c r="B27634" s="6"/>
      <c r="H27634" s="13"/>
    </row>
    <row r="27635">
      <c r="A27635" s="6"/>
      <c r="B27635" s="6"/>
      <c r="H27635" s="13"/>
    </row>
    <row r="27636">
      <c r="A27636" s="6"/>
      <c r="B27636" s="6"/>
      <c r="H27636" s="13"/>
    </row>
    <row r="27637">
      <c r="A27637" s="6"/>
      <c r="B27637" s="6"/>
      <c r="H27637" s="13"/>
    </row>
    <row r="27638">
      <c r="A27638" s="6"/>
      <c r="B27638" s="6"/>
      <c r="H27638" s="13"/>
    </row>
    <row r="27639">
      <c r="A27639" s="6"/>
      <c r="B27639" s="6"/>
      <c r="H27639" s="13"/>
    </row>
    <row r="27640">
      <c r="A27640" s="6"/>
      <c r="B27640" s="6"/>
      <c r="H27640" s="13"/>
    </row>
    <row r="27641">
      <c r="A27641" s="6"/>
      <c r="B27641" s="6"/>
      <c r="H27641" s="13"/>
    </row>
    <row r="27642">
      <c r="A27642" s="6"/>
      <c r="B27642" s="6"/>
      <c r="H27642" s="13"/>
    </row>
    <row r="27643">
      <c r="A27643" s="6"/>
      <c r="B27643" s="6"/>
      <c r="H27643" s="13"/>
    </row>
    <row r="27644">
      <c r="A27644" s="6"/>
      <c r="B27644" s="6"/>
      <c r="H27644" s="13"/>
    </row>
    <row r="27645">
      <c r="A27645" s="6"/>
      <c r="B27645" s="6"/>
      <c r="H27645" s="13"/>
    </row>
    <row r="27646">
      <c r="A27646" s="6"/>
      <c r="B27646" s="6"/>
      <c r="H27646" s="13"/>
    </row>
    <row r="27647">
      <c r="A27647" s="6"/>
      <c r="B27647" s="6"/>
      <c r="H27647" s="13"/>
    </row>
    <row r="27648">
      <c r="A27648" s="6"/>
      <c r="B27648" s="6"/>
      <c r="H27648" s="13"/>
    </row>
    <row r="27649">
      <c r="A27649" s="6"/>
      <c r="B27649" s="6"/>
      <c r="H27649" s="13"/>
    </row>
    <row r="27650">
      <c r="A27650" s="6"/>
      <c r="B27650" s="6"/>
      <c r="H27650" s="13"/>
    </row>
    <row r="27651">
      <c r="A27651" s="6"/>
      <c r="B27651" s="6"/>
      <c r="H27651" s="13"/>
    </row>
    <row r="27652">
      <c r="A27652" s="6"/>
      <c r="B27652" s="6"/>
      <c r="H27652" s="13"/>
    </row>
    <row r="27653">
      <c r="A27653" s="6"/>
      <c r="B27653" s="6"/>
      <c r="H27653" s="13"/>
    </row>
    <row r="27654">
      <c r="A27654" s="6"/>
      <c r="B27654" s="6"/>
      <c r="H27654" s="13"/>
    </row>
    <row r="27655">
      <c r="A27655" s="6"/>
      <c r="B27655" s="6"/>
      <c r="H27655" s="13"/>
    </row>
    <row r="27656">
      <c r="A27656" s="6"/>
      <c r="B27656" s="6"/>
      <c r="H27656" s="13"/>
    </row>
    <row r="27657">
      <c r="A27657" s="6"/>
      <c r="B27657" s="6"/>
      <c r="H27657" s="13"/>
    </row>
    <row r="27658">
      <c r="A27658" s="6"/>
      <c r="B27658" s="6"/>
      <c r="H27658" s="13"/>
    </row>
    <row r="27659">
      <c r="A27659" s="6"/>
      <c r="B27659" s="6"/>
      <c r="H27659" s="13"/>
    </row>
    <row r="27660">
      <c r="A27660" s="6"/>
      <c r="B27660" s="6"/>
      <c r="H27660" s="13"/>
    </row>
    <row r="27661">
      <c r="A27661" s="6"/>
      <c r="B27661" s="6"/>
      <c r="H27661" s="13"/>
    </row>
    <row r="27662">
      <c r="A27662" s="6"/>
      <c r="B27662" s="6"/>
      <c r="H27662" s="13"/>
    </row>
    <row r="27663">
      <c r="A27663" s="6"/>
      <c r="B27663" s="6"/>
      <c r="H27663" s="13"/>
    </row>
    <row r="27664">
      <c r="A27664" s="6"/>
      <c r="B27664" s="6"/>
      <c r="H27664" s="13"/>
    </row>
    <row r="27665">
      <c r="A27665" s="6"/>
      <c r="B27665" s="6"/>
      <c r="H27665" s="13"/>
    </row>
    <row r="27666">
      <c r="A27666" s="6"/>
      <c r="B27666" s="6"/>
      <c r="H27666" s="13"/>
    </row>
    <row r="27667">
      <c r="A27667" s="6"/>
      <c r="B27667" s="6"/>
      <c r="H27667" s="13"/>
    </row>
    <row r="27668">
      <c r="A27668" s="6"/>
      <c r="B27668" s="6"/>
      <c r="H27668" s="13"/>
    </row>
    <row r="27669">
      <c r="A27669" s="6"/>
      <c r="B27669" s="6"/>
      <c r="H27669" s="13"/>
    </row>
    <row r="27670">
      <c r="A27670" s="6"/>
      <c r="B27670" s="6"/>
      <c r="H27670" s="13"/>
    </row>
    <row r="27671">
      <c r="A27671" s="6"/>
      <c r="B27671" s="6"/>
      <c r="H27671" s="13"/>
    </row>
    <row r="27672">
      <c r="A27672" s="6"/>
      <c r="B27672" s="6"/>
      <c r="H27672" s="13"/>
    </row>
    <row r="27673">
      <c r="A27673" s="6"/>
      <c r="B27673" s="6"/>
      <c r="H27673" s="13"/>
    </row>
    <row r="27674">
      <c r="A27674" s="6"/>
      <c r="B27674" s="6"/>
      <c r="H27674" s="13"/>
    </row>
    <row r="27675">
      <c r="A27675" s="6"/>
      <c r="B27675" s="6"/>
      <c r="H27675" s="13"/>
    </row>
    <row r="27676">
      <c r="A27676" s="6"/>
      <c r="B27676" s="6"/>
      <c r="H27676" s="13"/>
    </row>
    <row r="27677">
      <c r="A27677" s="6"/>
      <c r="B27677" s="6"/>
      <c r="H27677" s="13"/>
    </row>
    <row r="27678">
      <c r="A27678" s="6"/>
      <c r="B27678" s="6"/>
      <c r="H27678" s="13"/>
    </row>
    <row r="27679">
      <c r="A27679" s="6"/>
      <c r="B27679" s="6"/>
      <c r="H27679" s="13"/>
    </row>
    <row r="27680">
      <c r="A27680" s="6"/>
      <c r="B27680" s="6"/>
      <c r="H27680" s="13"/>
    </row>
    <row r="27681">
      <c r="A27681" s="6"/>
      <c r="B27681" s="6"/>
      <c r="H27681" s="13"/>
    </row>
    <row r="27682">
      <c r="A27682" s="6"/>
      <c r="B27682" s="6"/>
      <c r="H27682" s="13"/>
    </row>
    <row r="27683">
      <c r="A27683" s="6"/>
      <c r="B27683" s="6"/>
      <c r="H27683" s="13"/>
    </row>
    <row r="27684">
      <c r="A27684" s="6"/>
      <c r="B27684" s="6"/>
      <c r="H27684" s="13"/>
    </row>
    <row r="27685">
      <c r="A27685" s="6"/>
      <c r="B27685" s="6"/>
      <c r="H27685" s="13"/>
    </row>
    <row r="27686">
      <c r="A27686" s="6"/>
      <c r="B27686" s="6"/>
      <c r="H27686" s="13"/>
    </row>
    <row r="27687">
      <c r="A27687" s="6"/>
      <c r="B27687" s="6"/>
      <c r="H27687" s="13"/>
    </row>
    <row r="27688">
      <c r="A27688" s="6"/>
      <c r="B27688" s="6"/>
      <c r="H27688" s="13"/>
    </row>
    <row r="27689">
      <c r="A27689" s="6"/>
      <c r="B27689" s="6"/>
      <c r="H27689" s="13"/>
    </row>
    <row r="27690">
      <c r="A27690" s="6"/>
      <c r="B27690" s="6"/>
      <c r="H27690" s="13"/>
    </row>
    <row r="27691">
      <c r="A27691" s="6"/>
      <c r="B27691" s="6"/>
      <c r="H27691" s="13"/>
    </row>
    <row r="27692">
      <c r="A27692" s="6"/>
      <c r="B27692" s="6"/>
      <c r="H27692" s="13"/>
    </row>
    <row r="27693">
      <c r="A27693" s="6"/>
      <c r="B27693" s="6"/>
      <c r="H27693" s="13"/>
    </row>
    <row r="27694">
      <c r="A27694" s="6"/>
      <c r="B27694" s="6"/>
      <c r="H27694" s="13"/>
    </row>
    <row r="27695">
      <c r="A27695" s="6"/>
      <c r="B27695" s="6"/>
      <c r="H27695" s="13"/>
    </row>
    <row r="27696">
      <c r="A27696" s="6"/>
      <c r="B27696" s="6"/>
      <c r="H27696" s="13"/>
    </row>
    <row r="27697">
      <c r="A27697" s="6"/>
      <c r="B27697" s="6"/>
      <c r="H27697" s="13"/>
    </row>
    <row r="27698">
      <c r="A27698" s="6"/>
      <c r="B27698" s="6"/>
      <c r="H27698" s="13"/>
    </row>
    <row r="27699">
      <c r="A27699" s="6"/>
      <c r="B27699" s="6"/>
      <c r="H27699" s="13"/>
    </row>
    <row r="27700">
      <c r="A27700" s="6"/>
      <c r="B27700" s="6"/>
      <c r="H27700" s="13"/>
    </row>
    <row r="27701">
      <c r="A27701" s="6"/>
      <c r="B27701" s="6"/>
      <c r="H27701" s="13"/>
    </row>
    <row r="27702">
      <c r="A27702" s="6"/>
      <c r="B27702" s="6"/>
      <c r="H27702" s="13"/>
    </row>
    <row r="27703">
      <c r="A27703" s="6"/>
      <c r="B27703" s="6"/>
      <c r="H27703" s="13"/>
    </row>
    <row r="27704">
      <c r="A27704" s="6"/>
      <c r="B27704" s="6"/>
      <c r="H27704" s="13"/>
    </row>
    <row r="27705">
      <c r="A27705" s="6"/>
      <c r="B27705" s="6"/>
      <c r="H27705" s="13"/>
    </row>
    <row r="27706">
      <c r="A27706" s="6"/>
      <c r="B27706" s="6"/>
      <c r="H27706" s="13"/>
    </row>
    <row r="27707">
      <c r="A27707" s="6"/>
      <c r="B27707" s="6"/>
      <c r="H27707" s="13"/>
    </row>
    <row r="27708">
      <c r="A27708" s="6"/>
      <c r="B27708" s="6"/>
      <c r="H27708" s="13"/>
    </row>
    <row r="27709">
      <c r="A27709" s="6"/>
      <c r="B27709" s="6"/>
      <c r="H27709" s="13"/>
    </row>
    <row r="27710">
      <c r="A27710" s="6"/>
      <c r="B27710" s="6"/>
      <c r="H27710" s="13"/>
    </row>
    <row r="27711">
      <c r="A27711" s="6"/>
      <c r="B27711" s="6"/>
      <c r="H27711" s="13"/>
    </row>
    <row r="27712">
      <c r="A27712" s="6"/>
      <c r="B27712" s="6"/>
      <c r="H27712" s="13"/>
    </row>
    <row r="27713">
      <c r="A27713" s="6"/>
      <c r="B27713" s="6"/>
      <c r="H27713" s="13"/>
    </row>
    <row r="27714">
      <c r="A27714" s="6"/>
      <c r="B27714" s="6"/>
      <c r="H27714" s="13"/>
    </row>
    <row r="27715">
      <c r="A27715" s="6"/>
      <c r="B27715" s="6"/>
      <c r="H27715" s="13"/>
    </row>
    <row r="27716">
      <c r="A27716" s="6"/>
      <c r="B27716" s="6"/>
      <c r="H27716" s="13"/>
    </row>
    <row r="27717">
      <c r="A27717" s="6"/>
      <c r="B27717" s="6"/>
      <c r="H27717" s="13"/>
    </row>
    <row r="27718">
      <c r="A27718" s="6"/>
      <c r="B27718" s="6"/>
      <c r="H27718" s="13"/>
    </row>
    <row r="27719">
      <c r="A27719" s="6"/>
      <c r="B27719" s="6"/>
      <c r="H27719" s="13"/>
    </row>
    <row r="27720">
      <c r="A27720" s="6"/>
      <c r="B27720" s="6"/>
      <c r="H27720" s="13"/>
    </row>
    <row r="27721">
      <c r="A27721" s="6"/>
      <c r="B27721" s="6"/>
      <c r="H27721" s="13"/>
    </row>
    <row r="27722">
      <c r="A27722" s="6"/>
      <c r="B27722" s="6"/>
      <c r="H27722" s="13"/>
    </row>
    <row r="27723">
      <c r="A27723" s="6"/>
      <c r="B27723" s="6"/>
      <c r="H27723" s="13"/>
    </row>
    <row r="27724">
      <c r="A27724" s="6"/>
      <c r="B27724" s="6"/>
      <c r="H27724" s="13"/>
    </row>
    <row r="27725">
      <c r="A27725" s="6"/>
      <c r="B27725" s="6"/>
      <c r="H27725" s="13"/>
    </row>
    <row r="27726">
      <c r="A27726" s="6"/>
      <c r="B27726" s="6"/>
      <c r="H27726" s="13"/>
    </row>
    <row r="27727">
      <c r="A27727" s="6"/>
      <c r="B27727" s="6"/>
      <c r="H27727" s="13"/>
    </row>
    <row r="27728">
      <c r="A27728" s="6"/>
      <c r="B27728" s="6"/>
      <c r="H27728" s="13"/>
    </row>
    <row r="27729">
      <c r="A27729" s="6"/>
      <c r="B27729" s="6"/>
      <c r="H27729" s="13"/>
    </row>
    <row r="27730">
      <c r="A27730" s="6"/>
      <c r="B27730" s="6"/>
      <c r="H27730" s="13"/>
    </row>
    <row r="27731">
      <c r="A27731" s="6"/>
      <c r="B27731" s="6"/>
      <c r="H27731" s="13"/>
    </row>
    <row r="27732">
      <c r="A27732" s="6"/>
      <c r="B27732" s="6"/>
      <c r="H27732" s="13"/>
    </row>
    <row r="27733">
      <c r="A27733" s="6"/>
      <c r="B27733" s="6"/>
      <c r="H27733" s="13"/>
    </row>
    <row r="27734">
      <c r="A27734" s="6"/>
      <c r="B27734" s="6"/>
      <c r="H27734" s="13"/>
    </row>
    <row r="27735">
      <c r="A27735" s="6"/>
      <c r="B27735" s="6"/>
      <c r="H27735" s="13"/>
    </row>
    <row r="27736">
      <c r="A27736" s="6"/>
      <c r="B27736" s="6"/>
      <c r="H27736" s="13"/>
    </row>
    <row r="27737">
      <c r="A27737" s="6"/>
      <c r="B27737" s="6"/>
      <c r="H27737" s="13"/>
    </row>
    <row r="27738">
      <c r="A27738" s="6"/>
      <c r="B27738" s="6"/>
      <c r="H27738" s="13"/>
    </row>
    <row r="27739">
      <c r="A27739" s="6"/>
      <c r="B27739" s="6"/>
      <c r="H27739" s="13"/>
    </row>
    <row r="27740">
      <c r="A27740" s="6"/>
      <c r="B27740" s="6"/>
      <c r="H27740" s="13"/>
    </row>
    <row r="27741">
      <c r="A27741" s="6"/>
      <c r="B27741" s="6"/>
      <c r="H27741" s="13"/>
    </row>
    <row r="27742">
      <c r="A27742" s="6"/>
      <c r="B27742" s="6"/>
      <c r="H27742" s="13"/>
    </row>
    <row r="27743">
      <c r="A27743" s="6"/>
      <c r="B27743" s="6"/>
      <c r="H27743" s="13"/>
    </row>
    <row r="27744">
      <c r="A27744" s="6"/>
      <c r="B27744" s="6"/>
      <c r="H27744" s="13"/>
    </row>
    <row r="27745">
      <c r="A27745" s="6"/>
      <c r="B27745" s="6"/>
      <c r="H27745" s="13"/>
    </row>
    <row r="27746">
      <c r="A27746" s="6"/>
      <c r="B27746" s="6"/>
      <c r="H27746" s="13"/>
    </row>
    <row r="27747">
      <c r="A27747" s="6"/>
      <c r="B27747" s="6"/>
      <c r="H27747" s="13"/>
    </row>
    <row r="27748">
      <c r="A27748" s="6"/>
      <c r="B27748" s="6"/>
      <c r="H27748" s="13"/>
    </row>
    <row r="27749">
      <c r="A27749" s="6"/>
      <c r="B27749" s="6"/>
      <c r="H27749" s="13"/>
    </row>
    <row r="27750">
      <c r="A27750" s="6"/>
      <c r="B27750" s="6"/>
      <c r="H27750" s="13"/>
    </row>
    <row r="27751">
      <c r="A27751" s="6"/>
      <c r="B27751" s="6"/>
      <c r="H27751" s="13"/>
    </row>
    <row r="27752">
      <c r="A27752" s="6"/>
      <c r="B27752" s="6"/>
      <c r="H27752" s="13"/>
    </row>
    <row r="27753">
      <c r="A27753" s="6"/>
      <c r="B27753" s="6"/>
      <c r="H27753" s="13"/>
    </row>
    <row r="27754">
      <c r="A27754" s="6"/>
      <c r="B27754" s="6"/>
      <c r="H27754" s="13"/>
    </row>
    <row r="27755">
      <c r="A27755" s="6"/>
      <c r="B27755" s="6"/>
      <c r="H27755" s="13"/>
    </row>
    <row r="27756">
      <c r="A27756" s="6"/>
      <c r="B27756" s="6"/>
      <c r="H27756" s="13"/>
    </row>
    <row r="27757">
      <c r="A27757" s="6"/>
      <c r="B27757" s="6"/>
      <c r="H27757" s="13"/>
    </row>
    <row r="27758">
      <c r="A27758" s="6"/>
      <c r="B27758" s="6"/>
      <c r="H27758" s="13"/>
    </row>
    <row r="27759">
      <c r="A27759" s="6"/>
      <c r="B27759" s="6"/>
      <c r="H27759" s="13"/>
    </row>
    <row r="27760">
      <c r="A27760" s="6"/>
      <c r="B27760" s="6"/>
      <c r="H27760" s="13"/>
    </row>
    <row r="27761">
      <c r="A27761" s="6"/>
      <c r="B27761" s="6"/>
      <c r="H27761" s="13"/>
    </row>
    <row r="27762">
      <c r="A27762" s="6"/>
      <c r="B27762" s="6"/>
      <c r="H27762" s="13"/>
    </row>
    <row r="27763">
      <c r="A27763" s="6"/>
      <c r="B27763" s="6"/>
      <c r="H27763" s="13"/>
    </row>
    <row r="27764">
      <c r="A27764" s="6"/>
      <c r="B27764" s="6"/>
      <c r="H27764" s="13"/>
    </row>
    <row r="27765">
      <c r="A27765" s="6"/>
      <c r="B27765" s="6"/>
      <c r="H27765" s="13"/>
    </row>
    <row r="27766">
      <c r="A27766" s="6"/>
      <c r="B27766" s="6"/>
      <c r="H27766" s="13"/>
    </row>
    <row r="27767">
      <c r="A27767" s="6"/>
      <c r="B27767" s="6"/>
      <c r="H27767" s="13"/>
    </row>
    <row r="27768">
      <c r="A27768" s="6"/>
      <c r="B27768" s="6"/>
      <c r="H27768" s="13"/>
    </row>
    <row r="27769">
      <c r="A27769" s="6"/>
      <c r="B27769" s="6"/>
      <c r="H27769" s="13"/>
    </row>
    <row r="27770">
      <c r="A27770" s="6"/>
      <c r="B27770" s="6"/>
      <c r="H27770" s="13"/>
    </row>
    <row r="27771">
      <c r="A27771" s="6"/>
      <c r="B27771" s="6"/>
      <c r="H27771" s="13"/>
    </row>
    <row r="27772">
      <c r="A27772" s="6"/>
      <c r="B27772" s="6"/>
      <c r="H27772" s="13"/>
    </row>
    <row r="27773">
      <c r="A27773" s="6"/>
      <c r="B27773" s="6"/>
      <c r="H27773" s="13"/>
    </row>
    <row r="27774">
      <c r="A27774" s="6"/>
      <c r="B27774" s="6"/>
      <c r="H27774" s="13"/>
    </row>
    <row r="27775">
      <c r="A27775" s="6"/>
      <c r="B27775" s="6"/>
      <c r="H27775" s="13"/>
    </row>
    <row r="27776">
      <c r="A27776" s="6"/>
      <c r="B27776" s="6"/>
      <c r="H27776" s="13"/>
    </row>
    <row r="27777">
      <c r="A27777" s="6"/>
      <c r="B27777" s="6"/>
      <c r="H27777" s="13"/>
    </row>
    <row r="27778">
      <c r="A27778" s="6"/>
      <c r="B27778" s="6"/>
      <c r="H27778" s="13"/>
    </row>
    <row r="27779">
      <c r="A27779" s="6"/>
      <c r="B27779" s="6"/>
      <c r="H27779" s="13"/>
    </row>
    <row r="27780">
      <c r="A27780" s="6"/>
      <c r="B27780" s="6"/>
      <c r="H27780" s="13"/>
    </row>
    <row r="27781">
      <c r="A27781" s="6"/>
      <c r="B27781" s="6"/>
      <c r="H27781" s="13"/>
    </row>
    <row r="27782">
      <c r="A27782" s="6"/>
      <c r="B27782" s="6"/>
      <c r="H27782" s="13"/>
    </row>
    <row r="27783">
      <c r="A27783" s="6"/>
      <c r="B27783" s="6"/>
      <c r="H27783" s="13"/>
    </row>
    <row r="27784">
      <c r="A27784" s="6"/>
      <c r="B27784" s="6"/>
      <c r="H27784" s="13"/>
    </row>
    <row r="27785">
      <c r="A27785" s="6"/>
      <c r="B27785" s="6"/>
      <c r="H27785" s="13"/>
    </row>
    <row r="27786">
      <c r="A27786" s="6"/>
      <c r="B27786" s="6"/>
      <c r="H27786" s="13"/>
    </row>
    <row r="27787">
      <c r="A27787" s="6"/>
      <c r="B27787" s="6"/>
      <c r="H27787" s="13"/>
    </row>
    <row r="27788">
      <c r="A27788" s="6"/>
      <c r="B27788" s="6"/>
      <c r="H27788" s="13"/>
    </row>
    <row r="27789">
      <c r="A27789" s="6"/>
      <c r="B27789" s="6"/>
      <c r="H27789" s="13"/>
    </row>
    <row r="27790">
      <c r="A27790" s="6"/>
      <c r="B27790" s="6"/>
      <c r="H27790" s="13"/>
    </row>
    <row r="27791">
      <c r="A27791" s="6"/>
      <c r="B27791" s="6"/>
      <c r="H27791" s="13"/>
    </row>
    <row r="27792">
      <c r="A27792" s="6"/>
      <c r="B27792" s="6"/>
      <c r="H27792" s="13"/>
    </row>
    <row r="27793">
      <c r="A27793" s="6"/>
      <c r="B27793" s="6"/>
      <c r="H27793" s="13"/>
    </row>
    <row r="27794">
      <c r="A27794" s="6"/>
      <c r="B27794" s="6"/>
      <c r="H27794" s="13"/>
    </row>
    <row r="27795">
      <c r="A27795" s="6"/>
      <c r="B27795" s="6"/>
      <c r="H27795" s="13"/>
    </row>
    <row r="27796">
      <c r="A27796" s="6"/>
      <c r="B27796" s="6"/>
      <c r="H27796" s="13"/>
    </row>
    <row r="27797">
      <c r="A27797" s="6"/>
      <c r="B27797" s="6"/>
      <c r="H27797" s="13"/>
    </row>
    <row r="27798">
      <c r="A27798" s="6"/>
      <c r="B27798" s="6"/>
      <c r="H27798" s="13"/>
    </row>
    <row r="27799">
      <c r="A27799" s="6"/>
      <c r="B27799" s="6"/>
      <c r="H27799" s="13"/>
    </row>
    <row r="27800">
      <c r="A27800" s="6"/>
      <c r="B27800" s="6"/>
      <c r="H27800" s="13"/>
    </row>
    <row r="27801">
      <c r="A27801" s="6"/>
      <c r="B27801" s="6"/>
      <c r="H27801" s="13"/>
    </row>
    <row r="27802">
      <c r="A27802" s="6"/>
      <c r="B27802" s="6"/>
      <c r="H27802" s="13"/>
    </row>
    <row r="27803">
      <c r="A27803" s="6"/>
      <c r="B27803" s="6"/>
      <c r="H27803" s="13"/>
    </row>
    <row r="27804">
      <c r="A27804" s="6"/>
      <c r="B27804" s="6"/>
      <c r="H27804" s="13"/>
    </row>
    <row r="27805">
      <c r="A27805" s="6"/>
      <c r="B27805" s="6"/>
      <c r="H27805" s="13"/>
    </row>
    <row r="27806">
      <c r="A27806" s="6"/>
      <c r="B27806" s="6"/>
      <c r="H27806" s="13"/>
    </row>
    <row r="27807">
      <c r="A27807" s="6"/>
      <c r="B27807" s="6"/>
      <c r="H27807" s="13"/>
    </row>
    <row r="27808">
      <c r="A27808" s="6"/>
      <c r="B27808" s="6"/>
      <c r="H27808" s="13"/>
    </row>
    <row r="27809">
      <c r="A27809" s="6"/>
      <c r="B27809" s="6"/>
      <c r="H27809" s="13"/>
    </row>
    <row r="27810">
      <c r="A27810" s="6"/>
      <c r="B27810" s="6"/>
      <c r="H27810" s="13"/>
    </row>
    <row r="27811">
      <c r="A27811" s="6"/>
      <c r="B27811" s="6"/>
      <c r="H27811" s="13"/>
    </row>
    <row r="27812">
      <c r="A27812" s="6"/>
      <c r="B27812" s="6"/>
      <c r="H27812" s="13"/>
    </row>
    <row r="27813">
      <c r="A27813" s="6"/>
      <c r="B27813" s="6"/>
      <c r="H27813" s="13"/>
    </row>
    <row r="27814">
      <c r="A27814" s="6"/>
      <c r="B27814" s="6"/>
      <c r="H27814" s="13"/>
    </row>
    <row r="27815">
      <c r="A27815" s="6"/>
      <c r="B27815" s="6"/>
      <c r="H27815" s="13"/>
    </row>
    <row r="27816">
      <c r="A27816" s="6"/>
      <c r="B27816" s="6"/>
      <c r="H27816" s="13"/>
    </row>
    <row r="27817">
      <c r="A27817" s="6"/>
      <c r="B27817" s="6"/>
      <c r="H27817" s="13"/>
    </row>
    <row r="27818">
      <c r="A27818" s="6"/>
      <c r="B27818" s="6"/>
      <c r="H27818" s="13"/>
    </row>
    <row r="27819">
      <c r="A27819" s="6"/>
      <c r="B27819" s="6"/>
      <c r="H27819" s="13"/>
    </row>
    <row r="27820">
      <c r="A27820" s="6"/>
      <c r="B27820" s="6"/>
      <c r="H27820" s="13"/>
    </row>
    <row r="27821">
      <c r="A27821" s="6"/>
      <c r="B27821" s="6"/>
      <c r="H27821" s="13"/>
    </row>
    <row r="27822">
      <c r="A27822" s="6"/>
      <c r="B27822" s="6"/>
      <c r="H27822" s="13"/>
    </row>
    <row r="27823">
      <c r="A27823" s="6"/>
      <c r="B27823" s="6"/>
      <c r="H27823" s="13"/>
    </row>
    <row r="27824">
      <c r="A27824" s="6"/>
      <c r="B27824" s="6"/>
      <c r="H27824" s="13"/>
    </row>
    <row r="27825">
      <c r="A27825" s="6"/>
      <c r="B27825" s="6"/>
      <c r="H27825" s="13"/>
    </row>
    <row r="27826">
      <c r="A27826" s="6"/>
      <c r="B27826" s="6"/>
      <c r="H27826" s="13"/>
    </row>
    <row r="27827">
      <c r="A27827" s="6"/>
      <c r="B27827" s="6"/>
      <c r="H27827" s="13"/>
    </row>
    <row r="27828">
      <c r="A27828" s="6"/>
      <c r="B27828" s="6"/>
      <c r="H27828" s="13"/>
    </row>
    <row r="27829">
      <c r="A27829" s="6"/>
      <c r="B27829" s="6"/>
      <c r="H27829" s="13"/>
    </row>
    <row r="27830">
      <c r="A27830" s="6"/>
      <c r="B27830" s="6"/>
      <c r="H27830" s="13"/>
    </row>
    <row r="27831">
      <c r="A27831" s="6"/>
      <c r="B27831" s="6"/>
      <c r="H27831" s="13"/>
    </row>
    <row r="27832">
      <c r="A27832" s="6"/>
      <c r="B27832" s="6"/>
      <c r="H27832" s="13"/>
    </row>
    <row r="27833">
      <c r="A27833" s="6"/>
      <c r="B27833" s="6"/>
      <c r="H27833" s="13"/>
    </row>
    <row r="27834">
      <c r="A27834" s="6"/>
      <c r="B27834" s="6"/>
      <c r="H27834" s="13"/>
    </row>
    <row r="27835">
      <c r="A27835" s="6"/>
      <c r="B27835" s="6"/>
      <c r="H27835" s="13"/>
    </row>
    <row r="27836">
      <c r="A27836" s="6"/>
      <c r="B27836" s="6"/>
      <c r="H27836" s="13"/>
    </row>
    <row r="27837">
      <c r="A27837" s="6"/>
      <c r="B27837" s="6"/>
      <c r="H27837" s="13"/>
    </row>
    <row r="27838">
      <c r="A27838" s="6"/>
      <c r="B27838" s="6"/>
      <c r="H27838" s="13"/>
    </row>
    <row r="27839">
      <c r="A27839" s="6"/>
      <c r="B27839" s="6"/>
      <c r="H27839" s="13"/>
    </row>
    <row r="27840">
      <c r="A27840" s="6"/>
      <c r="B27840" s="6"/>
      <c r="H27840" s="13"/>
    </row>
    <row r="27841">
      <c r="A27841" s="6"/>
      <c r="B27841" s="6"/>
      <c r="H27841" s="13"/>
    </row>
    <row r="27842">
      <c r="A27842" s="6"/>
      <c r="B27842" s="6"/>
      <c r="H27842" s="13"/>
    </row>
    <row r="27843">
      <c r="A27843" s="6"/>
      <c r="B27843" s="6"/>
      <c r="H27843" s="13"/>
    </row>
    <row r="27844">
      <c r="A27844" s="6"/>
      <c r="B27844" s="6"/>
      <c r="H27844" s="13"/>
    </row>
    <row r="27845">
      <c r="A27845" s="6"/>
      <c r="B27845" s="6"/>
      <c r="H27845" s="13"/>
    </row>
    <row r="27846">
      <c r="A27846" s="6"/>
      <c r="B27846" s="6"/>
      <c r="H27846" s="13"/>
    </row>
    <row r="27847">
      <c r="A27847" s="6"/>
      <c r="B27847" s="6"/>
      <c r="H27847" s="13"/>
    </row>
    <row r="27848">
      <c r="A27848" s="6"/>
      <c r="B27848" s="6"/>
      <c r="H27848" s="13"/>
    </row>
    <row r="27849">
      <c r="A27849" s="6"/>
      <c r="B27849" s="6"/>
      <c r="H27849" s="13"/>
    </row>
    <row r="27850">
      <c r="A27850" s="6"/>
      <c r="B27850" s="6"/>
      <c r="H27850" s="13"/>
    </row>
    <row r="27851">
      <c r="A27851" s="6"/>
      <c r="B27851" s="6"/>
      <c r="H27851" s="13"/>
    </row>
    <row r="27852">
      <c r="A27852" s="6"/>
      <c r="B27852" s="6"/>
      <c r="H27852" s="13"/>
    </row>
    <row r="27853">
      <c r="A27853" s="6"/>
      <c r="B27853" s="6"/>
      <c r="H27853" s="13"/>
    </row>
    <row r="27854">
      <c r="A27854" s="6"/>
      <c r="B27854" s="6"/>
      <c r="H27854" s="13"/>
    </row>
    <row r="27855">
      <c r="A27855" s="6"/>
      <c r="B27855" s="6"/>
      <c r="H27855" s="13"/>
    </row>
    <row r="27856">
      <c r="A27856" s="6"/>
      <c r="B27856" s="6"/>
      <c r="H27856" s="13"/>
    </row>
    <row r="27857">
      <c r="A27857" s="6"/>
      <c r="B27857" s="6"/>
      <c r="H27857" s="13"/>
    </row>
    <row r="27858">
      <c r="A27858" s="6"/>
      <c r="B27858" s="6"/>
      <c r="H27858" s="13"/>
    </row>
    <row r="27859">
      <c r="A27859" s="6"/>
      <c r="B27859" s="6"/>
      <c r="H27859" s="13"/>
    </row>
    <row r="27860">
      <c r="A27860" s="6"/>
      <c r="B27860" s="6"/>
      <c r="H27860" s="13"/>
    </row>
    <row r="27861">
      <c r="A27861" s="6"/>
      <c r="B27861" s="6"/>
      <c r="H27861" s="13"/>
    </row>
    <row r="27862">
      <c r="A27862" s="6"/>
      <c r="B27862" s="6"/>
      <c r="H27862" s="13"/>
    </row>
    <row r="27863">
      <c r="A27863" s="6"/>
      <c r="B27863" s="6"/>
      <c r="H27863" s="13"/>
    </row>
    <row r="27864">
      <c r="A27864" s="6"/>
      <c r="B27864" s="6"/>
      <c r="H27864" s="13"/>
    </row>
    <row r="27865">
      <c r="A27865" s="6"/>
      <c r="B27865" s="6"/>
      <c r="H27865" s="13"/>
    </row>
    <row r="27866">
      <c r="A27866" s="6"/>
      <c r="B27866" s="6"/>
      <c r="H27866" s="13"/>
    </row>
    <row r="27867">
      <c r="A27867" s="6"/>
      <c r="B27867" s="6"/>
      <c r="H27867" s="13"/>
    </row>
    <row r="27868">
      <c r="A27868" s="6"/>
      <c r="B27868" s="6"/>
      <c r="H27868" s="13"/>
    </row>
    <row r="27869">
      <c r="A27869" s="6"/>
      <c r="B27869" s="6"/>
      <c r="H27869" s="13"/>
    </row>
    <row r="27870">
      <c r="A27870" s="6"/>
      <c r="B27870" s="6"/>
      <c r="H27870" s="13"/>
    </row>
    <row r="27871">
      <c r="A27871" s="6"/>
      <c r="B27871" s="6"/>
      <c r="H27871" s="13"/>
    </row>
    <row r="27872">
      <c r="A27872" s="6"/>
      <c r="B27872" s="6"/>
      <c r="H27872" s="13"/>
    </row>
    <row r="27873">
      <c r="A27873" s="6"/>
      <c r="B27873" s="6"/>
      <c r="H27873" s="13"/>
    </row>
    <row r="27874">
      <c r="A27874" s="6"/>
      <c r="B27874" s="6"/>
      <c r="H27874" s="13"/>
    </row>
    <row r="27875">
      <c r="A27875" s="6"/>
      <c r="B27875" s="6"/>
      <c r="H27875" s="13"/>
    </row>
    <row r="27876">
      <c r="A27876" s="6"/>
      <c r="B27876" s="6"/>
      <c r="H27876" s="13"/>
    </row>
    <row r="27877">
      <c r="A27877" s="6"/>
      <c r="B27877" s="6"/>
      <c r="H27877" s="13"/>
    </row>
    <row r="27878">
      <c r="A27878" s="6"/>
      <c r="B27878" s="6"/>
      <c r="H27878" s="13"/>
    </row>
    <row r="27879">
      <c r="A27879" s="6"/>
      <c r="B27879" s="6"/>
      <c r="H27879" s="13"/>
    </row>
    <row r="27880">
      <c r="A27880" s="6"/>
      <c r="B27880" s="6"/>
      <c r="H27880" s="13"/>
    </row>
    <row r="27881">
      <c r="A27881" s="6"/>
      <c r="B27881" s="6"/>
      <c r="H27881" s="13"/>
    </row>
    <row r="27882">
      <c r="A27882" s="6"/>
      <c r="B27882" s="6"/>
      <c r="H27882" s="13"/>
    </row>
    <row r="27883">
      <c r="A27883" s="6"/>
      <c r="B27883" s="6"/>
      <c r="H27883" s="13"/>
    </row>
    <row r="27884">
      <c r="A27884" s="6"/>
      <c r="B27884" s="6"/>
      <c r="H27884" s="13"/>
    </row>
    <row r="27885">
      <c r="A27885" s="6"/>
      <c r="B27885" s="6"/>
      <c r="H27885" s="13"/>
    </row>
    <row r="27886">
      <c r="A27886" s="6"/>
      <c r="B27886" s="6"/>
      <c r="H27886" s="13"/>
    </row>
    <row r="27887">
      <c r="A27887" s="6"/>
      <c r="B27887" s="6"/>
      <c r="H27887" s="13"/>
    </row>
    <row r="27888">
      <c r="A27888" s="6"/>
      <c r="B27888" s="6"/>
      <c r="H27888" s="13"/>
    </row>
    <row r="27889">
      <c r="A27889" s="6"/>
      <c r="B27889" s="6"/>
      <c r="H27889" s="13"/>
    </row>
    <row r="27890">
      <c r="A27890" s="6"/>
      <c r="B27890" s="6"/>
      <c r="H27890" s="13"/>
    </row>
    <row r="27891">
      <c r="A27891" s="6"/>
      <c r="B27891" s="6"/>
      <c r="H27891" s="13"/>
    </row>
    <row r="27892">
      <c r="A27892" s="6"/>
      <c r="B27892" s="6"/>
      <c r="H27892" s="13"/>
    </row>
    <row r="27893">
      <c r="A27893" s="6"/>
      <c r="B27893" s="6"/>
      <c r="H27893" s="13"/>
    </row>
    <row r="27894">
      <c r="A27894" s="6"/>
      <c r="B27894" s="6"/>
      <c r="H27894" s="13"/>
    </row>
    <row r="27895">
      <c r="A27895" s="6"/>
      <c r="B27895" s="6"/>
      <c r="H27895" s="13"/>
    </row>
    <row r="27896">
      <c r="A27896" s="6"/>
      <c r="B27896" s="6"/>
      <c r="H27896" s="13"/>
    </row>
    <row r="27897">
      <c r="A27897" s="6"/>
      <c r="B27897" s="6"/>
      <c r="H27897" s="13"/>
    </row>
    <row r="27898">
      <c r="A27898" s="6"/>
      <c r="B27898" s="6"/>
      <c r="H27898" s="13"/>
    </row>
    <row r="27899">
      <c r="A27899" s="6"/>
      <c r="B27899" s="6"/>
      <c r="H27899" s="13"/>
    </row>
    <row r="27900">
      <c r="A27900" s="6"/>
      <c r="B27900" s="6"/>
      <c r="H27900" s="13"/>
    </row>
    <row r="27901">
      <c r="A27901" s="6"/>
      <c r="B27901" s="6"/>
      <c r="H27901" s="13"/>
    </row>
    <row r="27902">
      <c r="A27902" s="6"/>
      <c r="B27902" s="6"/>
      <c r="H27902" s="13"/>
    </row>
    <row r="27903">
      <c r="A27903" s="6"/>
      <c r="B27903" s="6"/>
      <c r="H27903" s="13"/>
    </row>
    <row r="27904">
      <c r="A27904" s="6"/>
      <c r="B27904" s="6"/>
      <c r="H27904" s="13"/>
    </row>
    <row r="27905">
      <c r="A27905" s="6"/>
      <c r="B27905" s="6"/>
      <c r="H27905" s="13"/>
    </row>
    <row r="27906">
      <c r="A27906" s="6"/>
      <c r="B27906" s="6"/>
      <c r="H27906" s="13"/>
    </row>
    <row r="27907">
      <c r="A27907" s="6"/>
      <c r="B27907" s="6"/>
      <c r="H27907" s="13"/>
    </row>
    <row r="27908">
      <c r="A27908" s="6"/>
      <c r="B27908" s="6"/>
      <c r="H27908" s="13"/>
    </row>
    <row r="27909">
      <c r="A27909" s="6"/>
      <c r="B27909" s="6"/>
      <c r="H27909" s="13"/>
    </row>
    <row r="27910">
      <c r="A27910" s="6"/>
      <c r="B27910" s="6"/>
      <c r="H27910" s="13"/>
    </row>
    <row r="27911">
      <c r="A27911" s="6"/>
      <c r="B27911" s="6"/>
      <c r="H27911" s="13"/>
    </row>
    <row r="27912">
      <c r="A27912" s="6"/>
      <c r="B27912" s="6"/>
      <c r="H27912" s="13"/>
    </row>
    <row r="27913">
      <c r="A27913" s="6"/>
      <c r="B27913" s="6"/>
      <c r="H27913" s="13"/>
    </row>
    <row r="27914">
      <c r="A27914" s="6"/>
      <c r="B27914" s="6"/>
      <c r="H27914" s="13"/>
    </row>
    <row r="27915">
      <c r="A27915" s="6"/>
      <c r="B27915" s="6"/>
      <c r="H27915" s="13"/>
    </row>
    <row r="27916">
      <c r="A27916" s="6"/>
      <c r="B27916" s="6"/>
      <c r="H27916" s="13"/>
    </row>
    <row r="27917">
      <c r="A27917" s="6"/>
      <c r="B27917" s="6"/>
      <c r="H27917" s="13"/>
    </row>
    <row r="27918">
      <c r="A27918" s="6"/>
      <c r="B27918" s="6"/>
      <c r="H27918" s="13"/>
    </row>
    <row r="27919">
      <c r="A27919" s="6"/>
      <c r="B27919" s="6"/>
      <c r="H27919" s="13"/>
    </row>
    <row r="27920">
      <c r="A27920" s="6"/>
      <c r="B27920" s="6"/>
      <c r="H27920" s="13"/>
    </row>
    <row r="27921">
      <c r="A27921" s="6"/>
      <c r="B27921" s="6"/>
      <c r="H27921" s="13"/>
    </row>
    <row r="27922">
      <c r="A27922" s="6"/>
      <c r="B27922" s="6"/>
      <c r="H27922" s="13"/>
    </row>
    <row r="27923">
      <c r="A27923" s="6"/>
      <c r="B27923" s="6"/>
      <c r="H27923" s="13"/>
    </row>
    <row r="27924">
      <c r="A27924" s="6"/>
      <c r="B27924" s="6"/>
      <c r="H27924" s="13"/>
    </row>
    <row r="27925">
      <c r="A27925" s="6"/>
      <c r="B27925" s="6"/>
      <c r="H27925" s="13"/>
    </row>
    <row r="27926">
      <c r="A27926" s="6"/>
      <c r="B27926" s="6"/>
      <c r="H27926" s="13"/>
    </row>
    <row r="27927">
      <c r="A27927" s="6"/>
      <c r="B27927" s="6"/>
      <c r="H27927" s="13"/>
    </row>
    <row r="27928">
      <c r="A27928" s="6"/>
      <c r="B27928" s="6"/>
      <c r="H27928" s="13"/>
    </row>
    <row r="27929">
      <c r="A27929" s="6"/>
      <c r="B27929" s="6"/>
      <c r="H27929" s="13"/>
    </row>
    <row r="27930">
      <c r="A27930" s="6"/>
      <c r="B27930" s="6"/>
      <c r="H27930" s="13"/>
    </row>
    <row r="27931">
      <c r="A27931" s="6"/>
      <c r="B27931" s="6"/>
      <c r="H27931" s="13"/>
    </row>
    <row r="27932">
      <c r="A27932" s="6"/>
      <c r="B27932" s="6"/>
      <c r="H27932" s="13"/>
    </row>
    <row r="27933">
      <c r="A27933" s="6"/>
      <c r="B27933" s="6"/>
      <c r="H27933" s="13"/>
    </row>
    <row r="27934">
      <c r="A27934" s="6"/>
      <c r="B27934" s="6"/>
      <c r="H27934" s="13"/>
    </row>
    <row r="27935">
      <c r="A27935" s="6"/>
      <c r="B27935" s="6"/>
      <c r="H27935" s="13"/>
    </row>
    <row r="27936">
      <c r="A27936" s="6"/>
      <c r="B27936" s="6"/>
      <c r="H27936" s="13"/>
    </row>
    <row r="27937">
      <c r="A27937" s="6"/>
      <c r="B27937" s="6"/>
      <c r="H27937" s="13"/>
    </row>
    <row r="27938">
      <c r="A27938" s="6"/>
      <c r="B27938" s="6"/>
      <c r="H27938" s="13"/>
    </row>
    <row r="27939">
      <c r="A27939" s="6"/>
      <c r="B27939" s="6"/>
      <c r="H27939" s="13"/>
    </row>
    <row r="27940">
      <c r="A27940" s="6"/>
      <c r="B27940" s="6"/>
      <c r="H27940" s="13"/>
    </row>
    <row r="27941">
      <c r="A27941" s="6"/>
      <c r="B27941" s="6"/>
      <c r="H27941" s="13"/>
    </row>
    <row r="27942">
      <c r="A27942" s="6"/>
      <c r="B27942" s="6"/>
      <c r="H27942" s="13"/>
    </row>
    <row r="27943">
      <c r="A27943" s="6"/>
      <c r="B27943" s="6"/>
      <c r="H27943" s="13"/>
    </row>
    <row r="27944">
      <c r="A27944" s="6"/>
      <c r="B27944" s="6"/>
      <c r="H27944" s="13"/>
    </row>
    <row r="27945">
      <c r="A27945" s="6"/>
      <c r="B27945" s="6"/>
      <c r="H27945" s="13"/>
    </row>
    <row r="27946">
      <c r="A27946" s="6"/>
      <c r="B27946" s="6"/>
      <c r="H27946" s="13"/>
    </row>
    <row r="27947">
      <c r="A27947" s="6"/>
      <c r="B27947" s="6"/>
      <c r="H27947" s="13"/>
    </row>
    <row r="27948">
      <c r="A27948" s="6"/>
      <c r="B27948" s="6"/>
      <c r="H27948" s="13"/>
    </row>
    <row r="27949">
      <c r="A27949" s="6"/>
      <c r="B27949" s="6"/>
      <c r="H27949" s="13"/>
    </row>
    <row r="27950">
      <c r="A27950" s="6"/>
      <c r="B27950" s="6"/>
      <c r="H27950" s="13"/>
    </row>
    <row r="27951">
      <c r="A27951" s="6"/>
      <c r="B27951" s="6"/>
      <c r="H27951" s="13"/>
    </row>
    <row r="27952">
      <c r="A27952" s="6"/>
      <c r="B27952" s="6"/>
      <c r="H27952" s="13"/>
    </row>
    <row r="27953">
      <c r="A27953" s="6"/>
      <c r="B27953" s="6"/>
      <c r="H27953" s="13"/>
    </row>
    <row r="27954">
      <c r="A27954" s="6"/>
      <c r="B27954" s="6"/>
      <c r="H27954" s="13"/>
    </row>
    <row r="27955">
      <c r="A27955" s="6"/>
      <c r="B27955" s="6"/>
      <c r="H27955" s="13"/>
    </row>
    <row r="27956">
      <c r="A27956" s="6"/>
      <c r="B27956" s="6"/>
      <c r="H27956" s="13"/>
    </row>
    <row r="27957">
      <c r="A27957" s="6"/>
      <c r="B27957" s="6"/>
      <c r="H27957" s="13"/>
    </row>
    <row r="27958">
      <c r="A27958" s="6"/>
      <c r="B27958" s="6"/>
      <c r="H27958" s="13"/>
    </row>
    <row r="27959">
      <c r="A27959" s="6"/>
      <c r="B27959" s="6"/>
      <c r="H27959" s="13"/>
    </row>
    <row r="27960">
      <c r="A27960" s="6"/>
      <c r="B27960" s="6"/>
      <c r="H27960" s="13"/>
    </row>
    <row r="27961">
      <c r="A27961" s="6"/>
      <c r="B27961" s="6"/>
      <c r="H27961" s="13"/>
    </row>
    <row r="27962">
      <c r="A27962" s="6"/>
      <c r="B27962" s="6"/>
      <c r="H27962" s="13"/>
    </row>
    <row r="27963">
      <c r="A27963" s="6"/>
      <c r="B27963" s="6"/>
      <c r="H27963" s="13"/>
    </row>
    <row r="27964">
      <c r="A27964" s="6"/>
      <c r="B27964" s="6"/>
      <c r="H27964" s="13"/>
    </row>
    <row r="27965">
      <c r="A27965" s="6"/>
      <c r="B27965" s="6"/>
      <c r="H27965" s="13"/>
    </row>
    <row r="27966">
      <c r="A27966" s="6"/>
      <c r="B27966" s="6"/>
      <c r="H27966" s="13"/>
    </row>
    <row r="27967">
      <c r="A27967" s="6"/>
      <c r="B27967" s="6"/>
      <c r="H27967" s="13"/>
    </row>
    <row r="27968">
      <c r="A27968" s="6"/>
      <c r="B27968" s="6"/>
      <c r="H27968" s="13"/>
    </row>
    <row r="27969">
      <c r="A27969" s="6"/>
      <c r="B27969" s="6"/>
      <c r="H27969" s="13"/>
    </row>
    <row r="27970">
      <c r="A27970" s="6"/>
      <c r="B27970" s="6"/>
      <c r="H27970" s="13"/>
    </row>
    <row r="27971">
      <c r="A27971" s="6"/>
      <c r="B27971" s="6"/>
      <c r="H27971" s="13"/>
    </row>
    <row r="27972">
      <c r="A27972" s="6"/>
      <c r="B27972" s="6"/>
      <c r="H27972" s="13"/>
    </row>
    <row r="27973">
      <c r="A27973" s="6"/>
      <c r="B27973" s="6"/>
      <c r="H27973" s="13"/>
    </row>
    <row r="27974">
      <c r="A27974" s="6"/>
      <c r="B27974" s="6"/>
      <c r="H27974" s="13"/>
    </row>
    <row r="27975">
      <c r="A27975" s="6"/>
      <c r="B27975" s="6"/>
      <c r="H27975" s="13"/>
    </row>
    <row r="27976">
      <c r="A27976" s="6"/>
      <c r="B27976" s="6"/>
      <c r="H27976" s="13"/>
    </row>
    <row r="27977">
      <c r="A27977" s="6"/>
      <c r="B27977" s="6"/>
      <c r="H27977" s="13"/>
    </row>
    <row r="27978">
      <c r="A27978" s="6"/>
      <c r="B27978" s="6"/>
      <c r="H27978" s="13"/>
    </row>
    <row r="27979">
      <c r="A27979" s="6"/>
      <c r="B27979" s="6"/>
      <c r="H27979" s="13"/>
    </row>
    <row r="27980">
      <c r="A27980" s="6"/>
      <c r="B27980" s="6"/>
      <c r="H27980" s="13"/>
    </row>
    <row r="27981">
      <c r="A27981" s="6"/>
      <c r="B27981" s="6"/>
      <c r="H27981" s="13"/>
    </row>
    <row r="27982">
      <c r="A27982" s="6"/>
      <c r="B27982" s="6"/>
      <c r="H27982" s="13"/>
    </row>
    <row r="27983">
      <c r="A27983" s="6"/>
      <c r="B27983" s="6"/>
      <c r="H27983" s="13"/>
    </row>
    <row r="27984">
      <c r="A27984" s="6"/>
      <c r="B27984" s="6"/>
      <c r="H27984" s="13"/>
    </row>
    <row r="27985">
      <c r="A27985" s="6"/>
      <c r="B27985" s="6"/>
      <c r="H27985" s="13"/>
    </row>
    <row r="27986">
      <c r="A27986" s="6"/>
      <c r="B27986" s="6"/>
      <c r="H27986" s="13"/>
    </row>
    <row r="27987">
      <c r="A27987" s="6"/>
      <c r="B27987" s="6"/>
      <c r="H27987" s="13"/>
    </row>
    <row r="27988">
      <c r="A27988" s="6"/>
      <c r="B27988" s="6"/>
      <c r="H27988" s="13"/>
    </row>
    <row r="27989">
      <c r="A27989" s="6"/>
      <c r="B27989" s="6"/>
      <c r="H27989" s="13"/>
    </row>
    <row r="27990">
      <c r="A27990" s="6"/>
      <c r="B27990" s="6"/>
      <c r="H27990" s="13"/>
    </row>
    <row r="27991">
      <c r="A27991" s="6"/>
      <c r="B27991" s="6"/>
      <c r="H27991" s="13"/>
    </row>
    <row r="27992">
      <c r="A27992" s="6"/>
      <c r="B27992" s="6"/>
      <c r="H27992" s="13"/>
    </row>
    <row r="27993">
      <c r="A27993" s="6"/>
      <c r="B27993" s="6"/>
      <c r="H27993" s="13"/>
    </row>
    <row r="27994">
      <c r="A27994" s="6"/>
      <c r="B27994" s="6"/>
      <c r="H27994" s="13"/>
    </row>
    <row r="27995">
      <c r="A27995" s="6"/>
      <c r="B27995" s="6"/>
      <c r="H27995" s="13"/>
    </row>
    <row r="27996">
      <c r="A27996" s="6"/>
      <c r="B27996" s="6"/>
      <c r="H27996" s="13"/>
    </row>
    <row r="27997">
      <c r="A27997" s="6"/>
      <c r="B27997" s="6"/>
      <c r="H27997" s="13"/>
    </row>
    <row r="27998">
      <c r="A27998" s="6"/>
      <c r="B27998" s="6"/>
      <c r="H27998" s="13"/>
    </row>
    <row r="27999">
      <c r="A27999" s="6"/>
      <c r="B27999" s="6"/>
      <c r="H27999" s="13"/>
    </row>
    <row r="28000">
      <c r="A28000" s="6"/>
      <c r="B28000" s="6"/>
      <c r="H28000" s="13"/>
    </row>
    <row r="28001">
      <c r="A28001" s="6"/>
      <c r="B28001" s="6"/>
      <c r="H28001" s="13"/>
    </row>
    <row r="28002">
      <c r="A28002" s="6"/>
      <c r="B28002" s="6"/>
      <c r="H28002" s="13"/>
    </row>
    <row r="28003">
      <c r="A28003" s="6"/>
      <c r="B28003" s="6"/>
      <c r="H28003" s="13"/>
    </row>
    <row r="28004">
      <c r="A28004" s="6"/>
      <c r="B28004" s="6"/>
      <c r="H28004" s="13"/>
    </row>
    <row r="28005">
      <c r="A28005" s="6"/>
      <c r="B28005" s="6"/>
      <c r="H28005" s="13"/>
    </row>
    <row r="28006">
      <c r="A28006" s="6"/>
      <c r="B28006" s="6"/>
      <c r="H28006" s="13"/>
    </row>
    <row r="28007">
      <c r="A28007" s="6"/>
      <c r="B28007" s="6"/>
      <c r="H28007" s="13"/>
    </row>
    <row r="28008">
      <c r="A28008" s="6"/>
      <c r="B28008" s="6"/>
      <c r="H28008" s="13"/>
    </row>
    <row r="28009">
      <c r="A28009" s="6"/>
      <c r="B28009" s="6"/>
      <c r="H28009" s="13"/>
    </row>
    <row r="28010">
      <c r="A28010" s="6"/>
      <c r="B28010" s="6"/>
      <c r="H28010" s="13"/>
    </row>
    <row r="28011">
      <c r="A28011" s="6"/>
      <c r="B28011" s="6"/>
      <c r="H28011" s="13"/>
    </row>
    <row r="28012">
      <c r="A28012" s="6"/>
      <c r="B28012" s="6"/>
      <c r="H28012" s="13"/>
    </row>
    <row r="28013">
      <c r="A28013" s="6"/>
      <c r="B28013" s="6"/>
      <c r="H28013" s="13"/>
    </row>
    <row r="28014">
      <c r="A28014" s="6"/>
      <c r="B28014" s="6"/>
      <c r="H28014" s="13"/>
    </row>
    <row r="28015">
      <c r="A28015" s="6"/>
      <c r="B28015" s="6"/>
      <c r="H28015" s="13"/>
    </row>
    <row r="28016">
      <c r="A28016" s="6"/>
      <c r="B28016" s="6"/>
      <c r="H28016" s="13"/>
    </row>
    <row r="28017">
      <c r="A28017" s="6"/>
      <c r="B28017" s="6"/>
      <c r="H28017" s="13"/>
    </row>
    <row r="28018">
      <c r="A28018" s="6"/>
      <c r="B28018" s="6"/>
      <c r="H28018" s="13"/>
    </row>
    <row r="28019">
      <c r="A28019" s="6"/>
      <c r="B28019" s="6"/>
      <c r="H28019" s="13"/>
    </row>
    <row r="28020">
      <c r="A28020" s="6"/>
      <c r="B28020" s="6"/>
      <c r="H28020" s="13"/>
    </row>
    <row r="28021">
      <c r="A28021" s="6"/>
      <c r="B28021" s="6"/>
      <c r="H28021" s="13"/>
    </row>
    <row r="28022">
      <c r="A28022" s="6"/>
      <c r="B28022" s="6"/>
      <c r="H28022" s="13"/>
    </row>
    <row r="28023">
      <c r="A28023" s="6"/>
      <c r="B28023" s="6"/>
      <c r="H28023" s="13"/>
    </row>
    <row r="28024">
      <c r="A28024" s="6"/>
      <c r="B28024" s="6"/>
      <c r="H28024" s="13"/>
    </row>
    <row r="28025">
      <c r="A28025" s="6"/>
      <c r="B28025" s="6"/>
      <c r="H28025" s="13"/>
    </row>
    <row r="28026">
      <c r="A28026" s="6"/>
      <c r="B28026" s="6"/>
      <c r="H28026" s="13"/>
    </row>
    <row r="28027">
      <c r="A28027" s="6"/>
      <c r="B28027" s="6"/>
      <c r="H28027" s="13"/>
    </row>
    <row r="28028">
      <c r="A28028" s="6"/>
      <c r="B28028" s="6"/>
      <c r="H28028" s="13"/>
    </row>
    <row r="28029">
      <c r="A28029" s="6"/>
      <c r="B28029" s="6"/>
      <c r="H28029" s="13"/>
    </row>
    <row r="28030">
      <c r="A28030" s="6"/>
      <c r="B28030" s="6"/>
      <c r="H28030" s="13"/>
    </row>
    <row r="28031">
      <c r="A28031" s="6"/>
      <c r="B28031" s="6"/>
      <c r="H28031" s="13"/>
    </row>
    <row r="28032">
      <c r="A28032" s="6"/>
      <c r="B28032" s="6"/>
      <c r="H28032" s="13"/>
    </row>
    <row r="28033">
      <c r="A28033" s="6"/>
      <c r="B28033" s="6"/>
      <c r="H28033" s="13"/>
    </row>
    <row r="28034">
      <c r="A28034" s="6"/>
      <c r="B28034" s="6"/>
      <c r="H28034" s="13"/>
    </row>
    <row r="28035">
      <c r="A28035" s="6"/>
      <c r="B28035" s="6"/>
      <c r="H28035" s="13"/>
    </row>
    <row r="28036">
      <c r="A28036" s="6"/>
      <c r="B28036" s="6"/>
      <c r="H28036" s="13"/>
    </row>
    <row r="28037">
      <c r="A28037" s="6"/>
      <c r="B28037" s="6"/>
      <c r="H28037" s="13"/>
    </row>
    <row r="28038">
      <c r="A28038" s="6"/>
      <c r="B28038" s="6"/>
      <c r="H28038" s="13"/>
    </row>
    <row r="28039">
      <c r="A28039" s="6"/>
      <c r="B28039" s="6"/>
      <c r="H28039" s="13"/>
    </row>
    <row r="28040">
      <c r="A28040" s="6"/>
      <c r="B28040" s="6"/>
      <c r="H28040" s="13"/>
    </row>
    <row r="28041">
      <c r="A28041" s="6"/>
      <c r="B28041" s="6"/>
      <c r="H28041" s="13"/>
    </row>
    <row r="28042">
      <c r="A28042" s="6"/>
      <c r="B28042" s="6"/>
      <c r="H28042" s="13"/>
    </row>
    <row r="28043">
      <c r="A28043" s="6"/>
      <c r="B28043" s="6"/>
      <c r="H28043" s="13"/>
    </row>
    <row r="28044">
      <c r="A28044" s="6"/>
      <c r="B28044" s="6"/>
      <c r="H28044" s="13"/>
    </row>
    <row r="28045">
      <c r="A28045" s="6"/>
      <c r="B28045" s="6"/>
      <c r="H28045" s="13"/>
    </row>
    <row r="28046">
      <c r="A28046" s="6"/>
      <c r="B28046" s="6"/>
      <c r="H28046" s="13"/>
    </row>
    <row r="28047">
      <c r="A28047" s="6"/>
      <c r="B28047" s="6"/>
      <c r="H28047" s="13"/>
    </row>
    <row r="28048">
      <c r="A28048" s="6"/>
      <c r="B28048" s="6"/>
      <c r="H28048" s="13"/>
    </row>
    <row r="28049">
      <c r="A28049" s="6"/>
      <c r="B28049" s="6"/>
      <c r="H28049" s="13"/>
    </row>
    <row r="28050">
      <c r="A28050" s="6"/>
      <c r="B28050" s="6"/>
      <c r="H28050" s="13"/>
    </row>
    <row r="28051">
      <c r="A28051" s="6"/>
      <c r="B28051" s="6"/>
      <c r="H28051" s="13"/>
    </row>
    <row r="28052">
      <c r="A28052" s="6"/>
      <c r="B28052" s="6"/>
      <c r="H28052" s="13"/>
    </row>
    <row r="28053">
      <c r="A28053" s="6"/>
      <c r="B28053" s="6"/>
      <c r="H28053" s="13"/>
    </row>
    <row r="28054">
      <c r="A28054" s="6"/>
      <c r="B28054" s="6"/>
      <c r="H28054" s="13"/>
    </row>
    <row r="28055">
      <c r="A28055" s="6"/>
      <c r="B28055" s="6"/>
      <c r="H28055" s="13"/>
    </row>
    <row r="28056">
      <c r="A28056" s="6"/>
      <c r="B28056" s="6"/>
      <c r="H28056" s="13"/>
    </row>
    <row r="28057">
      <c r="A28057" s="6"/>
      <c r="B28057" s="6"/>
      <c r="H28057" s="13"/>
    </row>
    <row r="28058">
      <c r="A28058" s="6"/>
      <c r="B28058" s="6"/>
      <c r="H28058" s="13"/>
    </row>
    <row r="28059">
      <c r="A28059" s="6"/>
      <c r="B28059" s="6"/>
      <c r="H28059" s="13"/>
    </row>
    <row r="28060">
      <c r="A28060" s="6"/>
      <c r="B28060" s="6"/>
      <c r="H28060" s="13"/>
    </row>
    <row r="28061">
      <c r="A28061" s="6"/>
      <c r="B28061" s="6"/>
      <c r="H28061" s="13"/>
    </row>
    <row r="28062">
      <c r="A28062" s="6"/>
      <c r="B28062" s="6"/>
      <c r="H28062" s="13"/>
    </row>
    <row r="28063">
      <c r="A28063" s="6"/>
      <c r="B28063" s="6"/>
      <c r="H28063" s="13"/>
    </row>
    <row r="28064">
      <c r="A28064" s="6"/>
      <c r="B28064" s="6"/>
      <c r="H28064" s="13"/>
    </row>
    <row r="28065">
      <c r="A28065" s="6"/>
      <c r="B28065" s="6"/>
      <c r="H28065" s="13"/>
    </row>
    <row r="28066">
      <c r="A28066" s="6"/>
      <c r="B28066" s="6"/>
      <c r="H28066" s="13"/>
    </row>
    <row r="28067">
      <c r="A28067" s="6"/>
      <c r="B28067" s="6"/>
      <c r="H28067" s="13"/>
    </row>
    <row r="28068">
      <c r="A28068" s="6"/>
      <c r="B28068" s="6"/>
      <c r="H28068" s="13"/>
    </row>
    <row r="28069">
      <c r="A28069" s="6"/>
      <c r="B28069" s="6"/>
      <c r="H28069" s="13"/>
    </row>
    <row r="28070">
      <c r="A28070" s="6"/>
      <c r="B28070" s="6"/>
      <c r="H28070" s="13"/>
    </row>
    <row r="28071">
      <c r="A28071" s="6"/>
      <c r="B28071" s="6"/>
      <c r="H28071" s="13"/>
    </row>
    <row r="28072">
      <c r="A28072" s="6"/>
      <c r="B28072" s="6"/>
      <c r="H28072" s="13"/>
    </row>
    <row r="28073">
      <c r="A28073" s="6"/>
      <c r="B28073" s="6"/>
      <c r="H28073" s="13"/>
    </row>
    <row r="28074">
      <c r="A28074" s="6"/>
      <c r="B28074" s="6"/>
      <c r="H28074" s="13"/>
    </row>
    <row r="28075">
      <c r="A28075" s="6"/>
      <c r="B28075" s="6"/>
      <c r="H28075" s="13"/>
    </row>
    <row r="28076">
      <c r="A28076" s="6"/>
      <c r="B28076" s="6"/>
      <c r="H28076" s="13"/>
    </row>
    <row r="28077">
      <c r="A28077" s="6"/>
      <c r="B28077" s="6"/>
      <c r="H28077" s="13"/>
    </row>
    <row r="28078">
      <c r="A28078" s="6"/>
      <c r="B28078" s="6"/>
      <c r="H28078" s="13"/>
    </row>
    <row r="28079">
      <c r="A28079" s="6"/>
      <c r="B28079" s="6"/>
      <c r="H28079" s="13"/>
    </row>
    <row r="28080">
      <c r="A28080" s="6"/>
      <c r="B28080" s="6"/>
      <c r="H28080" s="13"/>
    </row>
    <row r="28081">
      <c r="A28081" s="6"/>
      <c r="B28081" s="6"/>
      <c r="H28081" s="13"/>
    </row>
    <row r="28082">
      <c r="A28082" s="6"/>
      <c r="B28082" s="6"/>
      <c r="H28082" s="13"/>
    </row>
    <row r="28083">
      <c r="A28083" s="6"/>
      <c r="B28083" s="6"/>
      <c r="H28083" s="13"/>
    </row>
    <row r="28084">
      <c r="A28084" s="6"/>
      <c r="B28084" s="6"/>
      <c r="H28084" s="13"/>
    </row>
    <row r="28085">
      <c r="A28085" s="6"/>
      <c r="B28085" s="6"/>
      <c r="H28085" s="13"/>
    </row>
    <row r="28086">
      <c r="A28086" s="6"/>
      <c r="B28086" s="6"/>
      <c r="H28086" s="13"/>
    </row>
    <row r="28087">
      <c r="A28087" s="6"/>
      <c r="B28087" s="6"/>
      <c r="H28087" s="13"/>
    </row>
    <row r="28088">
      <c r="A28088" s="6"/>
      <c r="B28088" s="6"/>
      <c r="H28088" s="13"/>
    </row>
    <row r="28089">
      <c r="A28089" s="6"/>
      <c r="B28089" s="6"/>
      <c r="H28089" s="13"/>
    </row>
    <row r="28090">
      <c r="A28090" s="6"/>
      <c r="B28090" s="6"/>
      <c r="H28090" s="13"/>
    </row>
    <row r="28091">
      <c r="A28091" s="6"/>
      <c r="B28091" s="6"/>
      <c r="H28091" s="13"/>
    </row>
    <row r="28092">
      <c r="A28092" s="6"/>
      <c r="B28092" s="6"/>
      <c r="H28092" s="13"/>
    </row>
    <row r="28093">
      <c r="A28093" s="6"/>
      <c r="B28093" s="6"/>
      <c r="H28093" s="13"/>
    </row>
    <row r="28094">
      <c r="A28094" s="6"/>
      <c r="B28094" s="6"/>
      <c r="H28094" s="13"/>
    </row>
    <row r="28095">
      <c r="A28095" s="6"/>
      <c r="B28095" s="6"/>
      <c r="H28095" s="13"/>
    </row>
    <row r="28096">
      <c r="A28096" s="6"/>
      <c r="B28096" s="6"/>
      <c r="H28096" s="13"/>
    </row>
    <row r="28097">
      <c r="A28097" s="6"/>
      <c r="B28097" s="6"/>
      <c r="H28097" s="13"/>
    </row>
    <row r="28098">
      <c r="A28098" s="6"/>
      <c r="B28098" s="6"/>
      <c r="H28098" s="13"/>
    </row>
    <row r="28099">
      <c r="A28099" s="6"/>
      <c r="B28099" s="6"/>
      <c r="H28099" s="13"/>
    </row>
    <row r="28100">
      <c r="A28100" s="6"/>
      <c r="B28100" s="6"/>
      <c r="H28100" s="13"/>
    </row>
    <row r="28101">
      <c r="A28101" s="6"/>
      <c r="B28101" s="6"/>
      <c r="H28101" s="13"/>
    </row>
    <row r="28102">
      <c r="A28102" s="6"/>
      <c r="B28102" s="6"/>
      <c r="H28102" s="13"/>
    </row>
    <row r="28103">
      <c r="A28103" s="6"/>
      <c r="B28103" s="6"/>
      <c r="H28103" s="13"/>
    </row>
    <row r="28104">
      <c r="A28104" s="6"/>
      <c r="B28104" s="6"/>
      <c r="H28104" s="13"/>
    </row>
    <row r="28105">
      <c r="A28105" s="6"/>
      <c r="B28105" s="6"/>
      <c r="H28105" s="13"/>
    </row>
    <row r="28106">
      <c r="A28106" s="6"/>
      <c r="B28106" s="6"/>
      <c r="H28106" s="13"/>
    </row>
    <row r="28107">
      <c r="A28107" s="6"/>
      <c r="B28107" s="6"/>
      <c r="H28107" s="13"/>
    </row>
    <row r="28108">
      <c r="A28108" s="6"/>
      <c r="B28108" s="6"/>
      <c r="H28108" s="13"/>
    </row>
    <row r="28109">
      <c r="A28109" s="6"/>
      <c r="B28109" s="6"/>
      <c r="H28109" s="13"/>
    </row>
    <row r="28110">
      <c r="A28110" s="6"/>
      <c r="B28110" s="6"/>
      <c r="H28110" s="13"/>
    </row>
    <row r="28111">
      <c r="A28111" s="6"/>
      <c r="B28111" s="6"/>
      <c r="H28111" s="13"/>
    </row>
    <row r="28112">
      <c r="A28112" s="6"/>
      <c r="B28112" s="6"/>
      <c r="H28112" s="13"/>
    </row>
    <row r="28113">
      <c r="A28113" s="6"/>
      <c r="B28113" s="6"/>
      <c r="H28113" s="13"/>
    </row>
    <row r="28114">
      <c r="A28114" s="6"/>
      <c r="B28114" s="6"/>
      <c r="H28114" s="13"/>
    </row>
    <row r="28115">
      <c r="A28115" s="6"/>
      <c r="B28115" s="6"/>
      <c r="H28115" s="13"/>
    </row>
    <row r="28116">
      <c r="A28116" s="6"/>
      <c r="B28116" s="6"/>
      <c r="H28116" s="13"/>
    </row>
    <row r="28117">
      <c r="A28117" s="6"/>
      <c r="B28117" s="6"/>
      <c r="H28117" s="13"/>
    </row>
    <row r="28118">
      <c r="A28118" s="6"/>
      <c r="B28118" s="6"/>
      <c r="H28118" s="13"/>
    </row>
    <row r="28119">
      <c r="A28119" s="6"/>
      <c r="B28119" s="6"/>
      <c r="H28119" s="13"/>
    </row>
    <row r="28120">
      <c r="A28120" s="6"/>
      <c r="B28120" s="6"/>
      <c r="H28120" s="13"/>
    </row>
    <row r="28121">
      <c r="A28121" s="6"/>
      <c r="B28121" s="6"/>
      <c r="H28121" s="13"/>
    </row>
    <row r="28122">
      <c r="A28122" s="6"/>
      <c r="B28122" s="6"/>
      <c r="H28122" s="13"/>
    </row>
    <row r="28123">
      <c r="A28123" s="6"/>
      <c r="B28123" s="6"/>
      <c r="H28123" s="13"/>
    </row>
    <row r="28124">
      <c r="A28124" s="6"/>
      <c r="B28124" s="6"/>
      <c r="H28124" s="13"/>
    </row>
    <row r="28125">
      <c r="A28125" s="6"/>
      <c r="B28125" s="6"/>
      <c r="H28125" s="13"/>
    </row>
    <row r="28126">
      <c r="A28126" s="6"/>
      <c r="B28126" s="6"/>
      <c r="H28126" s="13"/>
    </row>
    <row r="28127">
      <c r="A28127" s="6"/>
      <c r="B28127" s="6"/>
      <c r="H28127" s="13"/>
    </row>
    <row r="28128">
      <c r="A28128" s="6"/>
      <c r="B28128" s="6"/>
      <c r="H28128" s="13"/>
    </row>
    <row r="28129">
      <c r="A28129" s="6"/>
      <c r="B28129" s="6"/>
      <c r="H28129" s="13"/>
    </row>
    <row r="28130">
      <c r="A28130" s="6"/>
      <c r="B28130" s="6"/>
      <c r="H28130" s="13"/>
    </row>
    <row r="28131">
      <c r="A28131" s="6"/>
      <c r="B28131" s="6"/>
      <c r="H28131" s="13"/>
    </row>
    <row r="28132">
      <c r="A28132" s="6"/>
      <c r="B28132" s="6"/>
      <c r="H28132" s="13"/>
    </row>
    <row r="28133">
      <c r="A28133" s="6"/>
      <c r="B28133" s="6"/>
      <c r="H28133" s="13"/>
    </row>
    <row r="28134">
      <c r="A28134" s="6"/>
      <c r="B28134" s="6"/>
      <c r="H28134" s="13"/>
    </row>
    <row r="28135">
      <c r="A28135" s="6"/>
      <c r="B28135" s="6"/>
      <c r="H28135" s="13"/>
    </row>
    <row r="28136">
      <c r="A28136" s="6"/>
      <c r="B28136" s="6"/>
      <c r="H28136" s="13"/>
    </row>
    <row r="28137">
      <c r="A28137" s="6"/>
      <c r="B28137" s="6"/>
      <c r="H28137" s="13"/>
    </row>
    <row r="28138">
      <c r="A28138" s="6"/>
      <c r="B28138" s="6"/>
      <c r="H28138" s="13"/>
    </row>
    <row r="28139">
      <c r="A28139" s="6"/>
      <c r="B28139" s="6"/>
      <c r="H28139" s="13"/>
    </row>
    <row r="28140">
      <c r="A28140" s="6"/>
      <c r="B28140" s="6"/>
      <c r="H28140" s="13"/>
    </row>
    <row r="28141">
      <c r="A28141" s="6"/>
      <c r="B28141" s="6"/>
      <c r="H28141" s="13"/>
    </row>
    <row r="28142">
      <c r="A28142" s="6"/>
      <c r="B28142" s="6"/>
      <c r="H28142" s="13"/>
    </row>
    <row r="28143">
      <c r="A28143" s="6"/>
      <c r="B28143" s="6"/>
      <c r="H28143" s="13"/>
    </row>
    <row r="28144">
      <c r="A28144" s="6"/>
      <c r="B28144" s="6"/>
      <c r="H28144" s="13"/>
    </row>
    <row r="28145">
      <c r="A28145" s="6"/>
      <c r="B28145" s="6"/>
      <c r="H28145" s="13"/>
    </row>
    <row r="28146">
      <c r="A28146" s="6"/>
      <c r="B28146" s="6"/>
      <c r="H28146" s="13"/>
    </row>
    <row r="28147">
      <c r="A28147" s="6"/>
      <c r="B28147" s="6"/>
      <c r="H28147" s="13"/>
    </row>
    <row r="28148">
      <c r="A28148" s="6"/>
      <c r="B28148" s="6"/>
      <c r="H28148" s="13"/>
    </row>
    <row r="28149">
      <c r="A28149" s="6"/>
      <c r="B28149" s="6"/>
      <c r="H28149" s="13"/>
    </row>
    <row r="28150">
      <c r="A28150" s="6"/>
      <c r="B28150" s="6"/>
      <c r="H28150" s="13"/>
    </row>
    <row r="28151">
      <c r="A28151" s="6"/>
      <c r="B28151" s="6"/>
      <c r="H28151" s="13"/>
    </row>
    <row r="28152">
      <c r="A28152" s="6"/>
      <c r="B28152" s="6"/>
      <c r="H28152" s="13"/>
    </row>
    <row r="28153">
      <c r="A28153" s="6"/>
      <c r="B28153" s="6"/>
      <c r="H28153" s="13"/>
    </row>
    <row r="28154">
      <c r="A28154" s="6"/>
      <c r="B28154" s="6"/>
      <c r="H28154" s="13"/>
    </row>
    <row r="28155">
      <c r="A28155" s="6"/>
      <c r="B28155" s="6"/>
      <c r="H28155" s="13"/>
    </row>
    <row r="28156">
      <c r="A28156" s="6"/>
      <c r="B28156" s="6"/>
      <c r="H28156" s="13"/>
    </row>
    <row r="28157">
      <c r="A28157" s="6"/>
      <c r="B28157" s="6"/>
      <c r="H28157" s="13"/>
    </row>
    <row r="28158">
      <c r="A28158" s="6"/>
      <c r="B28158" s="6"/>
      <c r="H28158" s="13"/>
    </row>
    <row r="28159">
      <c r="A28159" s="6"/>
      <c r="B28159" s="6"/>
      <c r="H28159" s="13"/>
    </row>
    <row r="28160">
      <c r="A28160" s="6"/>
      <c r="B28160" s="6"/>
      <c r="H28160" s="13"/>
    </row>
    <row r="28161">
      <c r="A28161" s="6"/>
      <c r="B28161" s="6"/>
      <c r="H28161" s="13"/>
    </row>
    <row r="28162">
      <c r="A28162" s="6"/>
      <c r="B28162" s="6"/>
      <c r="H28162" s="13"/>
    </row>
    <row r="28163">
      <c r="A28163" s="6"/>
      <c r="B28163" s="6"/>
      <c r="H28163" s="13"/>
    </row>
    <row r="28164">
      <c r="A28164" s="6"/>
      <c r="B28164" s="6"/>
      <c r="H28164" s="13"/>
    </row>
    <row r="28165">
      <c r="A28165" s="6"/>
      <c r="B28165" s="6"/>
      <c r="H28165" s="13"/>
    </row>
    <row r="28166">
      <c r="A28166" s="6"/>
      <c r="B28166" s="6"/>
      <c r="H28166" s="13"/>
    </row>
    <row r="28167">
      <c r="A28167" s="6"/>
      <c r="B28167" s="6"/>
      <c r="H28167" s="13"/>
    </row>
    <row r="28168">
      <c r="A28168" s="6"/>
      <c r="B28168" s="6"/>
      <c r="H28168" s="13"/>
    </row>
    <row r="28169">
      <c r="A28169" s="6"/>
      <c r="B28169" s="6"/>
      <c r="H28169" s="13"/>
    </row>
    <row r="28170">
      <c r="A28170" s="6"/>
      <c r="B28170" s="6"/>
      <c r="H28170" s="13"/>
    </row>
    <row r="28171">
      <c r="A28171" s="6"/>
      <c r="B28171" s="6"/>
      <c r="H28171" s="13"/>
    </row>
    <row r="28172">
      <c r="A28172" s="6"/>
      <c r="B28172" s="6"/>
      <c r="H28172" s="13"/>
    </row>
    <row r="28173">
      <c r="A28173" s="6"/>
      <c r="B28173" s="6"/>
      <c r="H28173" s="13"/>
    </row>
    <row r="28174">
      <c r="A28174" s="6"/>
      <c r="B28174" s="6"/>
      <c r="H28174" s="13"/>
    </row>
    <row r="28175">
      <c r="A28175" s="6"/>
      <c r="B28175" s="6"/>
      <c r="H28175" s="13"/>
    </row>
    <row r="28176">
      <c r="A28176" s="6"/>
      <c r="B28176" s="6"/>
      <c r="H28176" s="13"/>
    </row>
    <row r="28177">
      <c r="A28177" s="6"/>
      <c r="B28177" s="6"/>
      <c r="H28177" s="13"/>
    </row>
    <row r="28178">
      <c r="A28178" s="6"/>
      <c r="B28178" s="6"/>
      <c r="H28178" s="13"/>
    </row>
    <row r="28179">
      <c r="A28179" s="6"/>
      <c r="B28179" s="6"/>
      <c r="H28179" s="13"/>
    </row>
    <row r="28180">
      <c r="A28180" s="6"/>
      <c r="B28180" s="6"/>
      <c r="H28180" s="13"/>
    </row>
    <row r="28181">
      <c r="A28181" s="6"/>
      <c r="B28181" s="6"/>
      <c r="H28181" s="13"/>
    </row>
    <row r="28182">
      <c r="A28182" s="6"/>
      <c r="B28182" s="6"/>
      <c r="H28182" s="13"/>
    </row>
    <row r="28183">
      <c r="A28183" s="6"/>
      <c r="B28183" s="6"/>
      <c r="H28183" s="13"/>
    </row>
    <row r="28184">
      <c r="A28184" s="6"/>
      <c r="B28184" s="6"/>
      <c r="H28184" s="13"/>
    </row>
    <row r="28185">
      <c r="A28185" s="6"/>
      <c r="B28185" s="6"/>
      <c r="H28185" s="13"/>
    </row>
    <row r="28186">
      <c r="A28186" s="6"/>
      <c r="B28186" s="6"/>
      <c r="H28186" s="13"/>
    </row>
    <row r="28187">
      <c r="A28187" s="6"/>
      <c r="B28187" s="6"/>
      <c r="H28187" s="13"/>
    </row>
    <row r="28188">
      <c r="A28188" s="6"/>
      <c r="B28188" s="6"/>
      <c r="H28188" s="13"/>
    </row>
    <row r="28189">
      <c r="A28189" s="6"/>
      <c r="B28189" s="6"/>
      <c r="H28189" s="13"/>
    </row>
    <row r="28190">
      <c r="A28190" s="6"/>
      <c r="B28190" s="6"/>
      <c r="H28190" s="13"/>
    </row>
    <row r="28191">
      <c r="A28191" s="6"/>
      <c r="B28191" s="6"/>
      <c r="H28191" s="13"/>
    </row>
    <row r="28192">
      <c r="A28192" s="6"/>
      <c r="B28192" s="6"/>
      <c r="H28192" s="13"/>
    </row>
    <row r="28193">
      <c r="A28193" s="6"/>
      <c r="B28193" s="6"/>
      <c r="H28193" s="13"/>
    </row>
    <row r="28194">
      <c r="A28194" s="6"/>
      <c r="B28194" s="6"/>
      <c r="H28194" s="13"/>
    </row>
    <row r="28195">
      <c r="A28195" s="6"/>
      <c r="B28195" s="6"/>
      <c r="H28195" s="13"/>
    </row>
    <row r="28196">
      <c r="A28196" s="6"/>
      <c r="B28196" s="6"/>
      <c r="H28196" s="13"/>
    </row>
    <row r="28197">
      <c r="A28197" s="6"/>
      <c r="B28197" s="6"/>
      <c r="H28197" s="13"/>
    </row>
    <row r="28198">
      <c r="A28198" s="6"/>
      <c r="B28198" s="6"/>
      <c r="H28198" s="13"/>
    </row>
    <row r="28199">
      <c r="A28199" s="6"/>
      <c r="B28199" s="6"/>
      <c r="H28199" s="13"/>
    </row>
    <row r="28200">
      <c r="A28200" s="6"/>
      <c r="B28200" s="6"/>
      <c r="H28200" s="13"/>
    </row>
    <row r="28201">
      <c r="A28201" s="6"/>
      <c r="B28201" s="6"/>
      <c r="H28201" s="13"/>
    </row>
    <row r="28202">
      <c r="A28202" s="6"/>
      <c r="B28202" s="6"/>
      <c r="H28202" s="13"/>
    </row>
    <row r="28203">
      <c r="A28203" s="6"/>
      <c r="B28203" s="6"/>
      <c r="H28203" s="13"/>
    </row>
    <row r="28204">
      <c r="A28204" s="6"/>
      <c r="B28204" s="6"/>
      <c r="H28204" s="13"/>
    </row>
    <row r="28205">
      <c r="A28205" s="6"/>
      <c r="B28205" s="6"/>
      <c r="H28205" s="13"/>
    </row>
    <row r="28206">
      <c r="A28206" s="6"/>
      <c r="B28206" s="6"/>
      <c r="H28206" s="13"/>
    </row>
    <row r="28207">
      <c r="A28207" s="6"/>
      <c r="B28207" s="6"/>
      <c r="H28207" s="13"/>
    </row>
    <row r="28208">
      <c r="A28208" s="6"/>
      <c r="B28208" s="6"/>
      <c r="H28208" s="13"/>
    </row>
    <row r="28209">
      <c r="A28209" s="6"/>
      <c r="B28209" s="6"/>
      <c r="H28209" s="13"/>
    </row>
    <row r="28210">
      <c r="A28210" s="6"/>
      <c r="B28210" s="6"/>
      <c r="H28210" s="13"/>
    </row>
    <row r="28211">
      <c r="A28211" s="6"/>
      <c r="B28211" s="6"/>
      <c r="H28211" s="13"/>
    </row>
    <row r="28212">
      <c r="A28212" s="6"/>
      <c r="B28212" s="6"/>
      <c r="H28212" s="13"/>
    </row>
    <row r="28213">
      <c r="A28213" s="6"/>
      <c r="B28213" s="6"/>
      <c r="H28213" s="13"/>
    </row>
    <row r="28214">
      <c r="A28214" s="6"/>
      <c r="B28214" s="6"/>
      <c r="H28214" s="13"/>
    </row>
    <row r="28215">
      <c r="A28215" s="6"/>
      <c r="B28215" s="6"/>
      <c r="H28215" s="13"/>
    </row>
    <row r="28216">
      <c r="A28216" s="6"/>
      <c r="B28216" s="6"/>
      <c r="H28216" s="13"/>
    </row>
    <row r="28217">
      <c r="A28217" s="6"/>
      <c r="B28217" s="6"/>
      <c r="H28217" s="13"/>
    </row>
    <row r="28218">
      <c r="A28218" s="6"/>
      <c r="B28218" s="6"/>
      <c r="H28218" s="13"/>
    </row>
    <row r="28219">
      <c r="A28219" s="6"/>
      <c r="B28219" s="6"/>
      <c r="H28219" s="13"/>
    </row>
    <row r="28220">
      <c r="A28220" s="6"/>
      <c r="B28220" s="6"/>
      <c r="H28220" s="13"/>
    </row>
    <row r="28221">
      <c r="A28221" s="6"/>
      <c r="B28221" s="6"/>
      <c r="H28221" s="13"/>
    </row>
    <row r="28222">
      <c r="A28222" s="6"/>
      <c r="B28222" s="6"/>
      <c r="H28222" s="13"/>
    </row>
    <row r="28223">
      <c r="A28223" s="6"/>
      <c r="B28223" s="6"/>
      <c r="H28223" s="13"/>
    </row>
    <row r="28224">
      <c r="A28224" s="6"/>
      <c r="B28224" s="6"/>
      <c r="H28224" s="13"/>
    </row>
    <row r="28225">
      <c r="A28225" s="6"/>
      <c r="B28225" s="6"/>
      <c r="H28225" s="13"/>
    </row>
    <row r="28226">
      <c r="A28226" s="6"/>
      <c r="B28226" s="6"/>
      <c r="H28226" s="13"/>
    </row>
    <row r="28227">
      <c r="A28227" s="6"/>
      <c r="B28227" s="6"/>
      <c r="H28227" s="13"/>
    </row>
    <row r="28228">
      <c r="A28228" s="6"/>
      <c r="B28228" s="6"/>
      <c r="H28228" s="13"/>
    </row>
    <row r="28229">
      <c r="A28229" s="6"/>
      <c r="B28229" s="6"/>
      <c r="H28229" s="13"/>
    </row>
    <row r="28230">
      <c r="A28230" s="6"/>
      <c r="B28230" s="6"/>
      <c r="H28230" s="13"/>
    </row>
    <row r="28231">
      <c r="A28231" s="6"/>
      <c r="B28231" s="6"/>
      <c r="H28231" s="13"/>
    </row>
    <row r="28232">
      <c r="A28232" s="6"/>
      <c r="B28232" s="6"/>
      <c r="H28232" s="13"/>
    </row>
    <row r="28233">
      <c r="A28233" s="6"/>
      <c r="B28233" s="6"/>
      <c r="H28233" s="13"/>
    </row>
    <row r="28234">
      <c r="A28234" s="6"/>
      <c r="B28234" s="6"/>
      <c r="H28234" s="13"/>
    </row>
    <row r="28235">
      <c r="A28235" s="6"/>
      <c r="B28235" s="6"/>
      <c r="H28235" s="13"/>
    </row>
    <row r="28236">
      <c r="A28236" s="6"/>
      <c r="B28236" s="6"/>
      <c r="H28236" s="13"/>
    </row>
    <row r="28237">
      <c r="A28237" s="6"/>
      <c r="B28237" s="6"/>
      <c r="H28237" s="13"/>
    </row>
    <row r="28238">
      <c r="A28238" s="6"/>
      <c r="B28238" s="6"/>
      <c r="H28238" s="13"/>
    </row>
    <row r="28239">
      <c r="A28239" s="6"/>
      <c r="B28239" s="6"/>
      <c r="H28239" s="13"/>
    </row>
    <row r="28240">
      <c r="A28240" s="6"/>
      <c r="B28240" s="6"/>
      <c r="H28240" s="13"/>
    </row>
    <row r="28241">
      <c r="A28241" s="6"/>
      <c r="B28241" s="6"/>
      <c r="H28241" s="13"/>
    </row>
    <row r="28242">
      <c r="A28242" s="6"/>
      <c r="B28242" s="6"/>
      <c r="H28242" s="13"/>
    </row>
    <row r="28243">
      <c r="A28243" s="6"/>
      <c r="B28243" s="6"/>
      <c r="H28243" s="13"/>
    </row>
    <row r="28244">
      <c r="A28244" s="6"/>
      <c r="B28244" s="6"/>
      <c r="H28244" s="13"/>
    </row>
    <row r="28245">
      <c r="A28245" s="6"/>
      <c r="B28245" s="6"/>
      <c r="H28245" s="13"/>
    </row>
    <row r="28246">
      <c r="A28246" s="6"/>
      <c r="B28246" s="6"/>
      <c r="H28246" s="13"/>
    </row>
    <row r="28247">
      <c r="A28247" s="6"/>
      <c r="B28247" s="6"/>
      <c r="H28247" s="13"/>
    </row>
    <row r="28248">
      <c r="A28248" s="6"/>
      <c r="B28248" s="6"/>
      <c r="H28248" s="13"/>
    </row>
    <row r="28249">
      <c r="A28249" s="6"/>
      <c r="B28249" s="6"/>
      <c r="H28249" s="13"/>
    </row>
    <row r="28250">
      <c r="A28250" s="6"/>
      <c r="B28250" s="6"/>
      <c r="H28250" s="13"/>
    </row>
    <row r="28251">
      <c r="A28251" s="6"/>
      <c r="B28251" s="6"/>
      <c r="H28251" s="13"/>
    </row>
    <row r="28252">
      <c r="A28252" s="6"/>
      <c r="B28252" s="6"/>
      <c r="H28252" s="13"/>
    </row>
    <row r="28253">
      <c r="A28253" s="6"/>
      <c r="B28253" s="6"/>
      <c r="H28253" s="13"/>
    </row>
    <row r="28254">
      <c r="A28254" s="6"/>
      <c r="B28254" s="6"/>
      <c r="H28254" s="13"/>
    </row>
    <row r="28255">
      <c r="A28255" s="6"/>
      <c r="B28255" s="6"/>
      <c r="H28255" s="13"/>
    </row>
    <row r="28256">
      <c r="A28256" s="6"/>
      <c r="B28256" s="6"/>
      <c r="H28256" s="13"/>
    </row>
    <row r="28257">
      <c r="A28257" s="6"/>
      <c r="B28257" s="6"/>
      <c r="H28257" s="13"/>
    </row>
    <row r="28258">
      <c r="A28258" s="6"/>
      <c r="B28258" s="6"/>
      <c r="H28258" s="13"/>
    </row>
    <row r="28259">
      <c r="A28259" s="6"/>
      <c r="B28259" s="6"/>
      <c r="H28259" s="13"/>
    </row>
    <row r="28260">
      <c r="A28260" s="6"/>
      <c r="B28260" s="6"/>
      <c r="H28260" s="13"/>
    </row>
    <row r="28261">
      <c r="A28261" s="6"/>
      <c r="B28261" s="6"/>
      <c r="H28261" s="13"/>
    </row>
    <row r="28262">
      <c r="A28262" s="6"/>
      <c r="B28262" s="6"/>
      <c r="H28262" s="13"/>
    </row>
    <row r="28263">
      <c r="A28263" s="6"/>
      <c r="B28263" s="6"/>
      <c r="H28263" s="13"/>
    </row>
    <row r="28264">
      <c r="A28264" s="6"/>
      <c r="B28264" s="6"/>
      <c r="H28264" s="13"/>
    </row>
    <row r="28265">
      <c r="A28265" s="6"/>
      <c r="B28265" s="6"/>
      <c r="H28265" s="13"/>
    </row>
    <row r="28266">
      <c r="A28266" s="6"/>
      <c r="B28266" s="6"/>
      <c r="H28266" s="13"/>
    </row>
    <row r="28267">
      <c r="A28267" s="6"/>
      <c r="B28267" s="6"/>
      <c r="H28267" s="13"/>
    </row>
    <row r="28268">
      <c r="A28268" s="6"/>
      <c r="B28268" s="6"/>
      <c r="H28268" s="13"/>
    </row>
    <row r="28269">
      <c r="A28269" s="6"/>
      <c r="B28269" s="6"/>
      <c r="H28269" s="13"/>
    </row>
    <row r="28270">
      <c r="A28270" s="6"/>
      <c r="B28270" s="6"/>
      <c r="H28270" s="13"/>
    </row>
    <row r="28271">
      <c r="A28271" s="6"/>
      <c r="B28271" s="6"/>
      <c r="H28271" s="13"/>
    </row>
    <row r="28272">
      <c r="A28272" s="6"/>
      <c r="B28272" s="6"/>
      <c r="H28272" s="13"/>
    </row>
    <row r="28273">
      <c r="A28273" s="6"/>
      <c r="B28273" s="6"/>
      <c r="H28273" s="13"/>
    </row>
    <row r="28274">
      <c r="A28274" s="6"/>
      <c r="B28274" s="6"/>
      <c r="H28274" s="13"/>
    </row>
    <row r="28275">
      <c r="A28275" s="6"/>
      <c r="B28275" s="6"/>
      <c r="H28275" s="13"/>
    </row>
    <row r="28276">
      <c r="A28276" s="6"/>
      <c r="B28276" s="6"/>
      <c r="H28276" s="13"/>
    </row>
    <row r="28277">
      <c r="A28277" s="6"/>
      <c r="B28277" s="6"/>
      <c r="H28277" s="13"/>
    </row>
    <row r="28278">
      <c r="A28278" s="6"/>
      <c r="B28278" s="6"/>
      <c r="H28278" s="13"/>
    </row>
    <row r="28279">
      <c r="A28279" s="6"/>
      <c r="B28279" s="6"/>
      <c r="H28279" s="13"/>
    </row>
    <row r="28280">
      <c r="A28280" s="6"/>
      <c r="B28280" s="6"/>
      <c r="H28280" s="13"/>
    </row>
    <row r="28281">
      <c r="A28281" s="6"/>
      <c r="B28281" s="6"/>
      <c r="H28281" s="13"/>
    </row>
    <row r="28282">
      <c r="A28282" s="6"/>
      <c r="B28282" s="6"/>
      <c r="H28282" s="13"/>
    </row>
    <row r="28283">
      <c r="A28283" s="6"/>
      <c r="B28283" s="6"/>
      <c r="H28283" s="13"/>
    </row>
    <row r="28284">
      <c r="A28284" s="6"/>
      <c r="B28284" s="6"/>
      <c r="H28284" s="13"/>
    </row>
    <row r="28285">
      <c r="A28285" s="6"/>
      <c r="B28285" s="6"/>
      <c r="H28285" s="13"/>
    </row>
    <row r="28286">
      <c r="A28286" s="6"/>
      <c r="B28286" s="6"/>
      <c r="H28286" s="13"/>
    </row>
    <row r="28287">
      <c r="A28287" s="6"/>
      <c r="B28287" s="6"/>
      <c r="H28287" s="13"/>
    </row>
    <row r="28288">
      <c r="A28288" s="6"/>
      <c r="B28288" s="6"/>
      <c r="H28288" s="13"/>
    </row>
    <row r="28289">
      <c r="A28289" s="6"/>
      <c r="B28289" s="6"/>
      <c r="H28289" s="13"/>
    </row>
    <row r="28290">
      <c r="A28290" s="6"/>
      <c r="B28290" s="6"/>
      <c r="H28290" s="13"/>
    </row>
    <row r="28291">
      <c r="A28291" s="6"/>
      <c r="B28291" s="6"/>
      <c r="H28291" s="13"/>
    </row>
    <row r="28292">
      <c r="A28292" s="6"/>
      <c r="B28292" s="6"/>
      <c r="H28292" s="13"/>
    </row>
    <row r="28293">
      <c r="A28293" s="6"/>
      <c r="B28293" s="6"/>
      <c r="H28293" s="13"/>
    </row>
    <row r="28294">
      <c r="A28294" s="6"/>
      <c r="B28294" s="6"/>
      <c r="H28294" s="13"/>
    </row>
    <row r="28295">
      <c r="A28295" s="6"/>
      <c r="B28295" s="6"/>
      <c r="H28295" s="13"/>
    </row>
    <row r="28296">
      <c r="A28296" s="6"/>
      <c r="B28296" s="6"/>
      <c r="H28296" s="13"/>
    </row>
    <row r="28297">
      <c r="A28297" s="6"/>
      <c r="B28297" s="6"/>
      <c r="H28297" s="13"/>
    </row>
    <row r="28298">
      <c r="A28298" s="6"/>
      <c r="B28298" s="6"/>
      <c r="H28298" s="13"/>
    </row>
    <row r="28299">
      <c r="A28299" s="6"/>
      <c r="B28299" s="6"/>
      <c r="H28299" s="13"/>
    </row>
    <row r="28300">
      <c r="A28300" s="6"/>
      <c r="B28300" s="6"/>
      <c r="H28300" s="13"/>
    </row>
    <row r="28301">
      <c r="A28301" s="6"/>
      <c r="B28301" s="6"/>
      <c r="H28301" s="13"/>
    </row>
    <row r="28302">
      <c r="A28302" s="6"/>
      <c r="B28302" s="6"/>
      <c r="H28302" s="13"/>
    </row>
    <row r="28303">
      <c r="A28303" s="6"/>
      <c r="B28303" s="6"/>
      <c r="H28303" s="13"/>
    </row>
    <row r="28304">
      <c r="A28304" s="6"/>
      <c r="B28304" s="6"/>
      <c r="H28304" s="13"/>
    </row>
    <row r="28305">
      <c r="A28305" s="6"/>
      <c r="B28305" s="6"/>
      <c r="H28305" s="13"/>
    </row>
    <row r="28306">
      <c r="A28306" s="6"/>
      <c r="B28306" s="6"/>
      <c r="H28306" s="13"/>
    </row>
    <row r="28307">
      <c r="A28307" s="6"/>
      <c r="B28307" s="6"/>
      <c r="H28307" s="13"/>
    </row>
    <row r="28308">
      <c r="A28308" s="6"/>
      <c r="B28308" s="6"/>
      <c r="H28308" s="13"/>
    </row>
    <row r="28309">
      <c r="A28309" s="6"/>
      <c r="B28309" s="6"/>
      <c r="H28309" s="13"/>
    </row>
    <row r="28310">
      <c r="A28310" s="6"/>
      <c r="B28310" s="6"/>
      <c r="H28310" s="13"/>
    </row>
    <row r="28311">
      <c r="A28311" s="6"/>
      <c r="B28311" s="6"/>
      <c r="H28311" s="13"/>
    </row>
    <row r="28312">
      <c r="A28312" s="6"/>
      <c r="B28312" s="6"/>
      <c r="H28312" s="13"/>
    </row>
    <row r="28313">
      <c r="A28313" s="6"/>
      <c r="B28313" s="6"/>
      <c r="H28313" s="13"/>
    </row>
    <row r="28314">
      <c r="A28314" s="6"/>
      <c r="B28314" s="6"/>
      <c r="H28314" s="13"/>
    </row>
    <row r="28315">
      <c r="A28315" s="6"/>
      <c r="B28315" s="6"/>
      <c r="H28315" s="13"/>
    </row>
    <row r="28316">
      <c r="A28316" s="6"/>
      <c r="B28316" s="6"/>
      <c r="H28316" s="13"/>
    </row>
    <row r="28317">
      <c r="A28317" s="6"/>
      <c r="B28317" s="6"/>
      <c r="H28317" s="13"/>
    </row>
    <row r="28318">
      <c r="A28318" s="6"/>
      <c r="B28318" s="6"/>
      <c r="H28318" s="13"/>
    </row>
    <row r="28319">
      <c r="A28319" s="6"/>
      <c r="B28319" s="6"/>
      <c r="H28319" s="13"/>
    </row>
    <row r="28320">
      <c r="A28320" s="6"/>
      <c r="B28320" s="6"/>
      <c r="H28320" s="13"/>
    </row>
    <row r="28321">
      <c r="A28321" s="6"/>
      <c r="B28321" s="6"/>
      <c r="H28321" s="13"/>
    </row>
    <row r="28322">
      <c r="A28322" s="6"/>
      <c r="B28322" s="6"/>
      <c r="H28322" s="13"/>
    </row>
    <row r="28323">
      <c r="A28323" s="6"/>
      <c r="B28323" s="6"/>
      <c r="H28323" s="13"/>
    </row>
    <row r="28324">
      <c r="A28324" s="6"/>
      <c r="B28324" s="6"/>
      <c r="H28324" s="13"/>
    </row>
    <row r="28325">
      <c r="A28325" s="6"/>
      <c r="B28325" s="6"/>
      <c r="H28325" s="13"/>
    </row>
    <row r="28326">
      <c r="A28326" s="6"/>
      <c r="B28326" s="6"/>
      <c r="H28326" s="13"/>
    </row>
    <row r="28327">
      <c r="A28327" s="6"/>
      <c r="B28327" s="6"/>
      <c r="H28327" s="13"/>
    </row>
    <row r="28328">
      <c r="A28328" s="6"/>
      <c r="B28328" s="6"/>
      <c r="H28328" s="13"/>
    </row>
    <row r="28329">
      <c r="A28329" s="6"/>
      <c r="B28329" s="6"/>
      <c r="H28329" s="13"/>
    </row>
    <row r="28330">
      <c r="A28330" s="6"/>
      <c r="B28330" s="6"/>
      <c r="H28330" s="13"/>
    </row>
    <row r="28331">
      <c r="A28331" s="6"/>
      <c r="B28331" s="6"/>
      <c r="H28331" s="13"/>
    </row>
    <row r="28332">
      <c r="A28332" s="6"/>
      <c r="B28332" s="6"/>
      <c r="H28332" s="13"/>
    </row>
    <row r="28333">
      <c r="A28333" s="6"/>
      <c r="B28333" s="6"/>
      <c r="H28333" s="13"/>
    </row>
    <row r="28334">
      <c r="A28334" s="6"/>
      <c r="B28334" s="6"/>
      <c r="H28334" s="13"/>
    </row>
    <row r="28335">
      <c r="A28335" s="6"/>
      <c r="B28335" s="6"/>
      <c r="H28335" s="13"/>
    </row>
    <row r="28336">
      <c r="A28336" s="6"/>
      <c r="B28336" s="6"/>
      <c r="H28336" s="13"/>
    </row>
    <row r="28337">
      <c r="A28337" s="6"/>
      <c r="B28337" s="6"/>
      <c r="H28337" s="13"/>
    </row>
    <row r="28338">
      <c r="A28338" s="6"/>
      <c r="B28338" s="6"/>
      <c r="H28338" s="13"/>
    </row>
    <row r="28339">
      <c r="A28339" s="6"/>
      <c r="B28339" s="6"/>
      <c r="H28339" s="13"/>
    </row>
    <row r="28340">
      <c r="A28340" s="6"/>
      <c r="B28340" s="6"/>
      <c r="H28340" s="13"/>
    </row>
    <row r="28341">
      <c r="A28341" s="6"/>
      <c r="B28341" s="6"/>
      <c r="H28341" s="13"/>
    </row>
    <row r="28342">
      <c r="A28342" s="6"/>
      <c r="B28342" s="6"/>
      <c r="H28342" s="13"/>
    </row>
    <row r="28343">
      <c r="A28343" s="6"/>
      <c r="B28343" s="6"/>
      <c r="H28343" s="13"/>
    </row>
    <row r="28344">
      <c r="A28344" s="6"/>
      <c r="B28344" s="6"/>
      <c r="H28344" s="13"/>
    </row>
    <row r="28345">
      <c r="A28345" s="6"/>
      <c r="B28345" s="6"/>
      <c r="H28345" s="13"/>
    </row>
    <row r="28346">
      <c r="A28346" s="6"/>
      <c r="B28346" s="6"/>
      <c r="H28346" s="13"/>
    </row>
    <row r="28347">
      <c r="A28347" s="6"/>
      <c r="B28347" s="6"/>
      <c r="H28347" s="13"/>
    </row>
    <row r="28348">
      <c r="A28348" s="6"/>
      <c r="B28348" s="6"/>
      <c r="H28348" s="13"/>
    </row>
    <row r="28349">
      <c r="A28349" s="6"/>
      <c r="B28349" s="6"/>
      <c r="H28349" s="13"/>
    </row>
    <row r="28350">
      <c r="A28350" s="6"/>
      <c r="B28350" s="6"/>
      <c r="H28350" s="13"/>
    </row>
    <row r="28351">
      <c r="A28351" s="6"/>
      <c r="B28351" s="6"/>
      <c r="H28351" s="13"/>
    </row>
    <row r="28352">
      <c r="A28352" s="6"/>
      <c r="B28352" s="6"/>
      <c r="H28352" s="13"/>
    </row>
    <row r="28353">
      <c r="A28353" s="6"/>
      <c r="B28353" s="6"/>
      <c r="H28353" s="13"/>
    </row>
    <row r="28354">
      <c r="A28354" s="6"/>
      <c r="B28354" s="6"/>
      <c r="H28354" s="13"/>
    </row>
    <row r="28355">
      <c r="A28355" s="6"/>
      <c r="B28355" s="6"/>
      <c r="H28355" s="13"/>
    </row>
    <row r="28356">
      <c r="A28356" s="6"/>
      <c r="B28356" s="6"/>
      <c r="H28356" s="13"/>
    </row>
    <row r="28357">
      <c r="A28357" s="6"/>
      <c r="B28357" s="6"/>
      <c r="H28357" s="13"/>
    </row>
    <row r="28358">
      <c r="A28358" s="6"/>
      <c r="B28358" s="6"/>
      <c r="H28358" s="13"/>
    </row>
    <row r="28359">
      <c r="A28359" s="6"/>
      <c r="B28359" s="6"/>
      <c r="H28359" s="13"/>
    </row>
    <row r="28360">
      <c r="A28360" s="6"/>
      <c r="B28360" s="6"/>
      <c r="H28360" s="13"/>
    </row>
    <row r="28361">
      <c r="A28361" s="6"/>
      <c r="B28361" s="6"/>
      <c r="H28361" s="13"/>
    </row>
    <row r="28362">
      <c r="A28362" s="6"/>
      <c r="B28362" s="6"/>
      <c r="H28362" s="13"/>
    </row>
    <row r="28363">
      <c r="A28363" s="6"/>
      <c r="B28363" s="6"/>
      <c r="H28363" s="13"/>
    </row>
    <row r="28364">
      <c r="A28364" s="6"/>
      <c r="B28364" s="6"/>
      <c r="H28364" s="13"/>
    </row>
    <row r="28365">
      <c r="A28365" s="6"/>
      <c r="B28365" s="6"/>
      <c r="H28365" s="13"/>
    </row>
    <row r="28366">
      <c r="A28366" s="6"/>
      <c r="B28366" s="6"/>
      <c r="H28366" s="13"/>
    </row>
    <row r="28367">
      <c r="A28367" s="6"/>
      <c r="B28367" s="6"/>
      <c r="H28367" s="13"/>
    </row>
    <row r="28368">
      <c r="A28368" s="6"/>
      <c r="B28368" s="6"/>
      <c r="H28368" s="13"/>
    </row>
    <row r="28369">
      <c r="A28369" s="6"/>
      <c r="B28369" s="6"/>
      <c r="H28369" s="13"/>
    </row>
    <row r="28370">
      <c r="A28370" s="6"/>
      <c r="B28370" s="6"/>
      <c r="H28370" s="13"/>
    </row>
    <row r="28371">
      <c r="A28371" s="6"/>
      <c r="B28371" s="6"/>
      <c r="H28371" s="13"/>
    </row>
    <row r="28372">
      <c r="A28372" s="6"/>
      <c r="B28372" s="6"/>
      <c r="H28372" s="13"/>
    </row>
    <row r="28373">
      <c r="A28373" s="6"/>
      <c r="B28373" s="6"/>
      <c r="H28373" s="13"/>
    </row>
    <row r="28374">
      <c r="A28374" s="6"/>
      <c r="B28374" s="6"/>
      <c r="H28374" s="13"/>
    </row>
    <row r="28375">
      <c r="A28375" s="6"/>
      <c r="B28375" s="6"/>
      <c r="H28375" s="13"/>
    </row>
    <row r="28376">
      <c r="A28376" s="6"/>
      <c r="B28376" s="6"/>
      <c r="H28376" s="13"/>
    </row>
    <row r="28377">
      <c r="A28377" s="6"/>
      <c r="B28377" s="6"/>
      <c r="H28377" s="13"/>
    </row>
    <row r="28378">
      <c r="A28378" s="6"/>
      <c r="B28378" s="6"/>
      <c r="H28378" s="13"/>
    </row>
    <row r="28379">
      <c r="A28379" s="6"/>
      <c r="B28379" s="6"/>
      <c r="H28379" s="13"/>
    </row>
    <row r="28380">
      <c r="A28380" s="6"/>
      <c r="B28380" s="6"/>
      <c r="H28380" s="13"/>
    </row>
    <row r="28381">
      <c r="A28381" s="6"/>
      <c r="B28381" s="6"/>
      <c r="H28381" s="13"/>
    </row>
    <row r="28382">
      <c r="A28382" s="6"/>
      <c r="B28382" s="6"/>
      <c r="H28382" s="13"/>
    </row>
    <row r="28383">
      <c r="A28383" s="6"/>
      <c r="B28383" s="6"/>
      <c r="H28383" s="13"/>
    </row>
    <row r="28384">
      <c r="A28384" s="6"/>
      <c r="B28384" s="6"/>
      <c r="H28384" s="13"/>
    </row>
    <row r="28385">
      <c r="A28385" s="6"/>
      <c r="B28385" s="6"/>
      <c r="H28385" s="13"/>
    </row>
    <row r="28386">
      <c r="A28386" s="6"/>
      <c r="B28386" s="6"/>
      <c r="H28386" s="13"/>
    </row>
    <row r="28387">
      <c r="A28387" s="6"/>
      <c r="B28387" s="6"/>
      <c r="H28387" s="13"/>
    </row>
    <row r="28388">
      <c r="A28388" s="6"/>
      <c r="B28388" s="6"/>
      <c r="H28388" s="13"/>
    </row>
    <row r="28389">
      <c r="A28389" s="6"/>
      <c r="B28389" s="6"/>
      <c r="H28389" s="13"/>
    </row>
    <row r="28390">
      <c r="A28390" s="6"/>
      <c r="B28390" s="6"/>
      <c r="H28390" s="13"/>
    </row>
    <row r="28391">
      <c r="A28391" s="6"/>
      <c r="B28391" s="6"/>
      <c r="H28391" s="13"/>
    </row>
    <row r="28392">
      <c r="A28392" s="6"/>
      <c r="B28392" s="6"/>
      <c r="H28392" s="13"/>
    </row>
    <row r="28393">
      <c r="A28393" s="6"/>
      <c r="B28393" s="6"/>
      <c r="H28393" s="13"/>
    </row>
    <row r="28394">
      <c r="A28394" s="6"/>
      <c r="B28394" s="6"/>
      <c r="H28394" s="13"/>
    </row>
    <row r="28395">
      <c r="A28395" s="6"/>
      <c r="B28395" s="6"/>
      <c r="H28395" s="13"/>
    </row>
    <row r="28396">
      <c r="A28396" s="6"/>
      <c r="B28396" s="6"/>
      <c r="H28396" s="13"/>
    </row>
    <row r="28397">
      <c r="A28397" s="6"/>
      <c r="B28397" s="6"/>
      <c r="H28397" s="13"/>
    </row>
    <row r="28398">
      <c r="A28398" s="6"/>
      <c r="B28398" s="6"/>
      <c r="H28398" s="13"/>
    </row>
    <row r="28399">
      <c r="A28399" s="6"/>
      <c r="B28399" s="6"/>
      <c r="H28399" s="13"/>
    </row>
    <row r="28400">
      <c r="A28400" s="6"/>
      <c r="B28400" s="6"/>
      <c r="H28400" s="13"/>
    </row>
    <row r="28401">
      <c r="A28401" s="6"/>
      <c r="B28401" s="6"/>
      <c r="H28401" s="13"/>
    </row>
    <row r="28402">
      <c r="A28402" s="6"/>
      <c r="B28402" s="6"/>
      <c r="H28402" s="13"/>
    </row>
    <row r="28403">
      <c r="A28403" s="6"/>
      <c r="B28403" s="6"/>
      <c r="H28403" s="13"/>
    </row>
    <row r="28404">
      <c r="A28404" s="6"/>
      <c r="B28404" s="6"/>
      <c r="H28404" s="13"/>
    </row>
    <row r="28405">
      <c r="A28405" s="6"/>
      <c r="B28405" s="6"/>
      <c r="H28405" s="13"/>
    </row>
    <row r="28406">
      <c r="A28406" s="6"/>
      <c r="B28406" s="6"/>
      <c r="H28406" s="13"/>
    </row>
    <row r="28407">
      <c r="A28407" s="6"/>
      <c r="B28407" s="6"/>
      <c r="H28407" s="13"/>
    </row>
    <row r="28408">
      <c r="A28408" s="6"/>
      <c r="B28408" s="6"/>
      <c r="H28408" s="13"/>
    </row>
    <row r="28409">
      <c r="A28409" s="6"/>
      <c r="B28409" s="6"/>
      <c r="H28409" s="13"/>
    </row>
    <row r="28410">
      <c r="A28410" s="6"/>
      <c r="B28410" s="6"/>
      <c r="H28410" s="13"/>
    </row>
    <row r="28411">
      <c r="A28411" s="6"/>
      <c r="B28411" s="6"/>
      <c r="H28411" s="13"/>
    </row>
    <row r="28412">
      <c r="A28412" s="6"/>
      <c r="B28412" s="6"/>
      <c r="H28412" s="13"/>
    </row>
    <row r="28413">
      <c r="A28413" s="6"/>
      <c r="B28413" s="6"/>
      <c r="H28413" s="13"/>
    </row>
    <row r="28414">
      <c r="A28414" s="6"/>
      <c r="B28414" s="6"/>
      <c r="H28414" s="13"/>
    </row>
    <row r="28415">
      <c r="A28415" s="6"/>
      <c r="B28415" s="6"/>
      <c r="H28415" s="13"/>
    </row>
    <row r="28416">
      <c r="A28416" s="6"/>
      <c r="B28416" s="6"/>
      <c r="H28416" s="13"/>
    </row>
    <row r="28417">
      <c r="A28417" s="6"/>
      <c r="B28417" s="6"/>
      <c r="H28417" s="13"/>
    </row>
    <row r="28418">
      <c r="A28418" s="6"/>
      <c r="B28418" s="6"/>
      <c r="H28418" s="13"/>
    </row>
    <row r="28419">
      <c r="A28419" s="6"/>
      <c r="B28419" s="6"/>
      <c r="H28419" s="13"/>
    </row>
    <row r="28420">
      <c r="A28420" s="6"/>
      <c r="B28420" s="6"/>
      <c r="H28420" s="13"/>
    </row>
    <row r="28421">
      <c r="A28421" s="6"/>
      <c r="B28421" s="6"/>
      <c r="H28421" s="13"/>
    </row>
    <row r="28422">
      <c r="A28422" s="6"/>
      <c r="B28422" s="6"/>
      <c r="H28422" s="13"/>
    </row>
    <row r="28423">
      <c r="A28423" s="6"/>
      <c r="B28423" s="6"/>
      <c r="H28423" s="13"/>
    </row>
    <row r="28424">
      <c r="A28424" s="6"/>
      <c r="B28424" s="6"/>
      <c r="H28424" s="13"/>
    </row>
    <row r="28425">
      <c r="A28425" s="6"/>
      <c r="B28425" s="6"/>
      <c r="H28425" s="13"/>
    </row>
    <row r="28426">
      <c r="A28426" s="6"/>
      <c r="B28426" s="6"/>
      <c r="H28426" s="13"/>
    </row>
    <row r="28427">
      <c r="A28427" s="6"/>
      <c r="B28427" s="6"/>
      <c r="H28427" s="13"/>
    </row>
    <row r="28428">
      <c r="A28428" s="6"/>
      <c r="B28428" s="6"/>
      <c r="H28428" s="13"/>
    </row>
    <row r="28429">
      <c r="A28429" s="6"/>
      <c r="B28429" s="6"/>
      <c r="H28429" s="13"/>
    </row>
    <row r="28430">
      <c r="A28430" s="6"/>
      <c r="B28430" s="6"/>
      <c r="H28430" s="13"/>
    </row>
    <row r="28431">
      <c r="A28431" s="6"/>
      <c r="B28431" s="6"/>
      <c r="H28431" s="13"/>
    </row>
    <row r="28432">
      <c r="A28432" s="6"/>
      <c r="B28432" s="6"/>
      <c r="H28432" s="13"/>
    </row>
    <row r="28433">
      <c r="A28433" s="6"/>
      <c r="B28433" s="6"/>
      <c r="H28433" s="13"/>
    </row>
    <row r="28434">
      <c r="A28434" s="6"/>
      <c r="B28434" s="6"/>
      <c r="H28434" s="13"/>
    </row>
    <row r="28435">
      <c r="A28435" s="6"/>
      <c r="B28435" s="6"/>
      <c r="H28435" s="13"/>
    </row>
    <row r="28436">
      <c r="A28436" s="6"/>
      <c r="B28436" s="6"/>
      <c r="H28436" s="13"/>
    </row>
    <row r="28437">
      <c r="A28437" s="6"/>
      <c r="B28437" s="6"/>
      <c r="H28437" s="13"/>
    </row>
    <row r="28438">
      <c r="A28438" s="6"/>
      <c r="B28438" s="6"/>
      <c r="H28438" s="13"/>
    </row>
    <row r="28439">
      <c r="A28439" s="6"/>
      <c r="B28439" s="6"/>
      <c r="H28439" s="13"/>
    </row>
    <row r="28440">
      <c r="A28440" s="6"/>
      <c r="B28440" s="6"/>
      <c r="H28440" s="13"/>
    </row>
    <row r="28441">
      <c r="A28441" s="6"/>
      <c r="B28441" s="6"/>
      <c r="H28441" s="13"/>
    </row>
    <row r="28442">
      <c r="A28442" s="6"/>
      <c r="B28442" s="6"/>
      <c r="H28442" s="13"/>
    </row>
    <row r="28443">
      <c r="A28443" s="6"/>
      <c r="B28443" s="6"/>
      <c r="H28443" s="13"/>
    </row>
    <row r="28444">
      <c r="A28444" s="6"/>
      <c r="B28444" s="6"/>
      <c r="H28444" s="13"/>
    </row>
    <row r="28445">
      <c r="A28445" s="6"/>
      <c r="B28445" s="6"/>
      <c r="H28445" s="13"/>
    </row>
    <row r="28446">
      <c r="A28446" s="6"/>
      <c r="B28446" s="6"/>
      <c r="H28446" s="13"/>
    </row>
    <row r="28447">
      <c r="A28447" s="6"/>
      <c r="B28447" s="6"/>
      <c r="H28447" s="13"/>
    </row>
    <row r="28448">
      <c r="A28448" s="6"/>
      <c r="B28448" s="6"/>
      <c r="H28448" s="13"/>
    </row>
    <row r="28449">
      <c r="A28449" s="6"/>
      <c r="B28449" s="6"/>
      <c r="H28449" s="13"/>
    </row>
    <row r="28450">
      <c r="A28450" s="6"/>
      <c r="B28450" s="6"/>
      <c r="H28450" s="13"/>
    </row>
    <row r="28451">
      <c r="A28451" s="6"/>
      <c r="B28451" s="6"/>
      <c r="H28451" s="13"/>
    </row>
    <row r="28452">
      <c r="A28452" s="6"/>
      <c r="B28452" s="6"/>
      <c r="H28452" s="13"/>
    </row>
    <row r="28453">
      <c r="A28453" s="6"/>
      <c r="B28453" s="6"/>
      <c r="H28453" s="13"/>
    </row>
    <row r="28454">
      <c r="A28454" s="6"/>
      <c r="B28454" s="6"/>
      <c r="H28454" s="13"/>
    </row>
    <row r="28455">
      <c r="A28455" s="6"/>
      <c r="B28455" s="6"/>
      <c r="H28455" s="13"/>
    </row>
    <row r="28456">
      <c r="A28456" s="6"/>
      <c r="B28456" s="6"/>
      <c r="H28456" s="13"/>
    </row>
    <row r="28457">
      <c r="A28457" s="6"/>
      <c r="B28457" s="6"/>
      <c r="H28457" s="13"/>
    </row>
    <row r="28458">
      <c r="A28458" s="6"/>
      <c r="B28458" s="6"/>
      <c r="H28458" s="13"/>
    </row>
    <row r="28459">
      <c r="A28459" s="6"/>
      <c r="B28459" s="6"/>
      <c r="H28459" s="13"/>
    </row>
    <row r="28460">
      <c r="A28460" s="6"/>
      <c r="B28460" s="6"/>
      <c r="H28460" s="13"/>
    </row>
    <row r="28461">
      <c r="A28461" s="6"/>
      <c r="B28461" s="6"/>
      <c r="H28461" s="13"/>
    </row>
    <row r="28462">
      <c r="A28462" s="6"/>
      <c r="B28462" s="6"/>
      <c r="H28462" s="13"/>
    </row>
    <row r="28463">
      <c r="A28463" s="6"/>
      <c r="B28463" s="6"/>
      <c r="H28463" s="13"/>
    </row>
    <row r="28464">
      <c r="A28464" s="6"/>
      <c r="B28464" s="6"/>
      <c r="H28464" s="13"/>
    </row>
    <row r="28465">
      <c r="A28465" s="6"/>
      <c r="B28465" s="6"/>
      <c r="H28465" s="13"/>
    </row>
    <row r="28466">
      <c r="A28466" s="6"/>
      <c r="B28466" s="6"/>
      <c r="H28466" s="13"/>
    </row>
    <row r="28467">
      <c r="A28467" s="6"/>
      <c r="B28467" s="6"/>
      <c r="H28467" s="13"/>
    </row>
    <row r="28468">
      <c r="A28468" s="6"/>
      <c r="B28468" s="6"/>
      <c r="H28468" s="13"/>
    </row>
    <row r="28469">
      <c r="A28469" s="6"/>
      <c r="B28469" s="6"/>
      <c r="H28469" s="13"/>
    </row>
    <row r="28470">
      <c r="A28470" s="6"/>
      <c r="B28470" s="6"/>
      <c r="H28470" s="13"/>
    </row>
    <row r="28471">
      <c r="A28471" s="6"/>
      <c r="B28471" s="6"/>
      <c r="H28471" s="13"/>
    </row>
    <row r="28472">
      <c r="A28472" s="6"/>
      <c r="B28472" s="6"/>
      <c r="H28472" s="13"/>
    </row>
    <row r="28473">
      <c r="A28473" s="6"/>
      <c r="B28473" s="6"/>
      <c r="H28473" s="13"/>
    </row>
    <row r="28474">
      <c r="A28474" s="6"/>
      <c r="B28474" s="6"/>
      <c r="H28474" s="13"/>
    </row>
    <row r="28475">
      <c r="A28475" s="6"/>
      <c r="B28475" s="6"/>
      <c r="H28475" s="13"/>
    </row>
    <row r="28476">
      <c r="A28476" s="6"/>
      <c r="B28476" s="6"/>
      <c r="H28476" s="13"/>
    </row>
    <row r="28477">
      <c r="A28477" s="6"/>
      <c r="B28477" s="6"/>
      <c r="H28477" s="13"/>
    </row>
    <row r="28478">
      <c r="A28478" s="6"/>
      <c r="B28478" s="6"/>
      <c r="H28478" s="13"/>
    </row>
    <row r="28479">
      <c r="A28479" s="6"/>
      <c r="B28479" s="6"/>
      <c r="H28479" s="13"/>
    </row>
    <row r="28480">
      <c r="A28480" s="6"/>
      <c r="B28480" s="6"/>
      <c r="H28480" s="13"/>
    </row>
    <row r="28481">
      <c r="A28481" s="6"/>
      <c r="B28481" s="6"/>
      <c r="H28481" s="13"/>
    </row>
    <row r="28482">
      <c r="A28482" s="6"/>
      <c r="B28482" s="6"/>
      <c r="H28482" s="13"/>
    </row>
    <row r="28483">
      <c r="A28483" s="6"/>
      <c r="B28483" s="6"/>
      <c r="H28483" s="13"/>
    </row>
    <row r="28484">
      <c r="A28484" s="6"/>
      <c r="B28484" s="6"/>
      <c r="H28484" s="13"/>
    </row>
    <row r="28485">
      <c r="A28485" s="6"/>
      <c r="B28485" s="6"/>
      <c r="H28485" s="13"/>
    </row>
    <row r="28486">
      <c r="A28486" s="6"/>
      <c r="B28486" s="6"/>
      <c r="H28486" s="13"/>
    </row>
    <row r="28487">
      <c r="A28487" s="6"/>
      <c r="B28487" s="6"/>
      <c r="H28487" s="13"/>
    </row>
    <row r="28488">
      <c r="A28488" s="6"/>
      <c r="B28488" s="6"/>
      <c r="H28488" s="13"/>
    </row>
    <row r="28489">
      <c r="A28489" s="6"/>
      <c r="B28489" s="6"/>
      <c r="H28489" s="13"/>
    </row>
    <row r="28490">
      <c r="A28490" s="6"/>
      <c r="B28490" s="6"/>
      <c r="H28490" s="13"/>
    </row>
    <row r="28491">
      <c r="A28491" s="6"/>
      <c r="B28491" s="6"/>
      <c r="H28491" s="13"/>
    </row>
    <row r="28492">
      <c r="A28492" s="6"/>
      <c r="B28492" s="6"/>
      <c r="H28492" s="13"/>
    </row>
    <row r="28493">
      <c r="A28493" s="6"/>
      <c r="B28493" s="6"/>
      <c r="H28493" s="13"/>
    </row>
    <row r="28494">
      <c r="A28494" s="6"/>
      <c r="B28494" s="6"/>
      <c r="H28494" s="13"/>
    </row>
    <row r="28495">
      <c r="A28495" s="6"/>
      <c r="B28495" s="6"/>
      <c r="H28495" s="13"/>
    </row>
    <row r="28496">
      <c r="A28496" s="6"/>
      <c r="B28496" s="6"/>
      <c r="H28496" s="13"/>
    </row>
    <row r="28497">
      <c r="A28497" s="6"/>
      <c r="B28497" s="6"/>
      <c r="H28497" s="13"/>
    </row>
    <row r="28498">
      <c r="A28498" s="6"/>
      <c r="B28498" s="6"/>
      <c r="H28498" s="13"/>
    </row>
    <row r="28499">
      <c r="A28499" s="6"/>
      <c r="B28499" s="6"/>
      <c r="H28499" s="13"/>
    </row>
    <row r="28500">
      <c r="A28500" s="6"/>
      <c r="B28500" s="6"/>
      <c r="H28500" s="13"/>
    </row>
    <row r="28501">
      <c r="A28501" s="6"/>
      <c r="B28501" s="6"/>
      <c r="H28501" s="13"/>
    </row>
    <row r="28502">
      <c r="A28502" s="6"/>
      <c r="B28502" s="6"/>
      <c r="H28502" s="13"/>
    </row>
    <row r="28503">
      <c r="A28503" s="6"/>
      <c r="B28503" s="6"/>
      <c r="H28503" s="13"/>
    </row>
    <row r="28504">
      <c r="A28504" s="6"/>
      <c r="B28504" s="6"/>
      <c r="H28504" s="13"/>
    </row>
    <row r="28505">
      <c r="A28505" s="6"/>
      <c r="B28505" s="6"/>
      <c r="H28505" s="13"/>
    </row>
    <row r="28506">
      <c r="A28506" s="6"/>
      <c r="B28506" s="6"/>
      <c r="H28506" s="13"/>
    </row>
    <row r="28507">
      <c r="A28507" s="6"/>
      <c r="B28507" s="6"/>
      <c r="H28507" s="13"/>
    </row>
    <row r="28508">
      <c r="A28508" s="6"/>
      <c r="B28508" s="6"/>
      <c r="H28508" s="13"/>
    </row>
    <row r="28509">
      <c r="A28509" s="6"/>
      <c r="B28509" s="6"/>
      <c r="H28509" s="13"/>
    </row>
    <row r="28510">
      <c r="A28510" s="6"/>
      <c r="B28510" s="6"/>
      <c r="H28510" s="13"/>
    </row>
    <row r="28511">
      <c r="A28511" s="6"/>
      <c r="B28511" s="6"/>
      <c r="H28511" s="13"/>
    </row>
    <row r="28512">
      <c r="A28512" s="6"/>
      <c r="B28512" s="6"/>
      <c r="H28512" s="13"/>
    </row>
    <row r="28513">
      <c r="A28513" s="6"/>
      <c r="B28513" s="6"/>
      <c r="H28513" s="13"/>
    </row>
    <row r="28514">
      <c r="A28514" s="6"/>
      <c r="B28514" s="6"/>
      <c r="H28514" s="13"/>
    </row>
    <row r="28515">
      <c r="A28515" s="6"/>
      <c r="B28515" s="6"/>
      <c r="H28515" s="13"/>
    </row>
    <row r="28516">
      <c r="A28516" s="6"/>
      <c r="B28516" s="6"/>
      <c r="H28516" s="13"/>
    </row>
    <row r="28517">
      <c r="A28517" s="6"/>
      <c r="B28517" s="6"/>
      <c r="H28517" s="13"/>
    </row>
    <row r="28518">
      <c r="A28518" s="6"/>
      <c r="B28518" s="6"/>
      <c r="H28518" s="13"/>
    </row>
    <row r="28519">
      <c r="A28519" s="6"/>
      <c r="B28519" s="6"/>
      <c r="H28519" s="13"/>
    </row>
    <row r="28520">
      <c r="A28520" s="6"/>
      <c r="B28520" s="6"/>
      <c r="H28520" s="13"/>
    </row>
    <row r="28521">
      <c r="A28521" s="6"/>
      <c r="B28521" s="6"/>
      <c r="H28521" s="13"/>
    </row>
    <row r="28522">
      <c r="A28522" s="6"/>
      <c r="B28522" s="6"/>
      <c r="H28522" s="13"/>
    </row>
    <row r="28523">
      <c r="A28523" s="6"/>
      <c r="B28523" s="6"/>
      <c r="H28523" s="13"/>
    </row>
    <row r="28524">
      <c r="A28524" s="6"/>
      <c r="B28524" s="6"/>
      <c r="H28524" s="13"/>
    </row>
    <row r="28525">
      <c r="A28525" s="6"/>
      <c r="B28525" s="6"/>
      <c r="H28525" s="13"/>
    </row>
    <row r="28526">
      <c r="A28526" s="6"/>
      <c r="B28526" s="6"/>
      <c r="H28526" s="13"/>
    </row>
    <row r="28527">
      <c r="A28527" s="6"/>
      <c r="B28527" s="6"/>
      <c r="H28527" s="13"/>
    </row>
    <row r="28528">
      <c r="A28528" s="6"/>
      <c r="B28528" s="6"/>
      <c r="H28528" s="13"/>
    </row>
    <row r="28529">
      <c r="A28529" s="6"/>
      <c r="B28529" s="6"/>
      <c r="H28529" s="13"/>
    </row>
    <row r="28530">
      <c r="A28530" s="6"/>
      <c r="B28530" s="6"/>
      <c r="H28530" s="13"/>
    </row>
    <row r="28531">
      <c r="A28531" s="6"/>
      <c r="B28531" s="6"/>
      <c r="H28531" s="13"/>
    </row>
    <row r="28532">
      <c r="A28532" s="6"/>
      <c r="B28532" s="6"/>
      <c r="H28532" s="13"/>
    </row>
    <row r="28533">
      <c r="A28533" s="6"/>
      <c r="B28533" s="6"/>
      <c r="H28533" s="13"/>
    </row>
    <row r="28534">
      <c r="A28534" s="6"/>
      <c r="B28534" s="6"/>
      <c r="H28534" s="13"/>
    </row>
    <row r="28535">
      <c r="A28535" s="6"/>
      <c r="B28535" s="6"/>
      <c r="H28535" s="13"/>
    </row>
    <row r="28536">
      <c r="A28536" s="6"/>
      <c r="B28536" s="6"/>
      <c r="H28536" s="13"/>
    </row>
    <row r="28537">
      <c r="A28537" s="6"/>
      <c r="B28537" s="6"/>
      <c r="H28537" s="13"/>
    </row>
    <row r="28538">
      <c r="A28538" s="6"/>
      <c r="B28538" s="6"/>
      <c r="H28538" s="13"/>
    </row>
    <row r="28539">
      <c r="A28539" s="6"/>
      <c r="B28539" s="6"/>
      <c r="H28539" s="13"/>
    </row>
    <row r="28540">
      <c r="A28540" s="6"/>
      <c r="B28540" s="6"/>
      <c r="H28540" s="13"/>
    </row>
    <row r="28541">
      <c r="A28541" s="6"/>
      <c r="B28541" s="6"/>
      <c r="H28541" s="13"/>
    </row>
    <row r="28542">
      <c r="A28542" s="6"/>
      <c r="B28542" s="6"/>
      <c r="H28542" s="13"/>
    </row>
    <row r="28543">
      <c r="A28543" s="6"/>
      <c r="B28543" s="6"/>
      <c r="H28543" s="13"/>
    </row>
    <row r="28544">
      <c r="A28544" s="6"/>
      <c r="B28544" s="6"/>
      <c r="H28544" s="13"/>
    </row>
    <row r="28545">
      <c r="A28545" s="6"/>
      <c r="B28545" s="6"/>
      <c r="H28545" s="13"/>
    </row>
    <row r="28546">
      <c r="A28546" s="6"/>
      <c r="B28546" s="6"/>
      <c r="H28546" s="13"/>
    </row>
    <row r="28547">
      <c r="A28547" s="6"/>
      <c r="B28547" s="6"/>
      <c r="H28547" s="13"/>
    </row>
    <row r="28548">
      <c r="A28548" s="6"/>
      <c r="B28548" s="6"/>
      <c r="H28548" s="13"/>
    </row>
    <row r="28549">
      <c r="A28549" s="6"/>
      <c r="B28549" s="6"/>
      <c r="H28549" s="13"/>
    </row>
    <row r="28550">
      <c r="A28550" s="6"/>
      <c r="B28550" s="6"/>
      <c r="H28550" s="13"/>
    </row>
    <row r="28551">
      <c r="A28551" s="6"/>
      <c r="B28551" s="6"/>
      <c r="H28551" s="13"/>
    </row>
    <row r="28552">
      <c r="A28552" s="6"/>
      <c r="B28552" s="6"/>
      <c r="H28552" s="13"/>
    </row>
    <row r="28553">
      <c r="A28553" s="6"/>
      <c r="B28553" s="6"/>
      <c r="H28553" s="13"/>
    </row>
    <row r="28554">
      <c r="A28554" s="6"/>
      <c r="B28554" s="6"/>
      <c r="H28554" s="13"/>
    </row>
    <row r="28555">
      <c r="A28555" s="6"/>
      <c r="B28555" s="6"/>
      <c r="H28555" s="13"/>
    </row>
    <row r="28556">
      <c r="A28556" s="6"/>
      <c r="B28556" s="6"/>
      <c r="H28556" s="13"/>
    </row>
    <row r="28557">
      <c r="A28557" s="6"/>
      <c r="B28557" s="6"/>
      <c r="H28557" s="13"/>
    </row>
    <row r="28558">
      <c r="A28558" s="6"/>
      <c r="B28558" s="6"/>
      <c r="H28558" s="13"/>
    </row>
    <row r="28559">
      <c r="A28559" s="6"/>
      <c r="B28559" s="6"/>
      <c r="H28559" s="13"/>
    </row>
    <row r="28560">
      <c r="A28560" s="6"/>
      <c r="B28560" s="6"/>
      <c r="H28560" s="13"/>
    </row>
    <row r="28561">
      <c r="A28561" s="6"/>
      <c r="B28561" s="6"/>
      <c r="H28561" s="13"/>
    </row>
    <row r="28562">
      <c r="A28562" s="6"/>
      <c r="B28562" s="6"/>
      <c r="H28562" s="13"/>
    </row>
    <row r="28563">
      <c r="A28563" s="6"/>
      <c r="B28563" s="6"/>
      <c r="H28563" s="13"/>
    </row>
    <row r="28564">
      <c r="A28564" s="6"/>
      <c r="B28564" s="6"/>
      <c r="H28564" s="13"/>
    </row>
    <row r="28565">
      <c r="A28565" s="6"/>
      <c r="B28565" s="6"/>
      <c r="H28565" s="13"/>
    </row>
    <row r="28566">
      <c r="A28566" s="6"/>
      <c r="B28566" s="6"/>
      <c r="H28566" s="13"/>
    </row>
    <row r="28567">
      <c r="A28567" s="6"/>
      <c r="B28567" s="6"/>
      <c r="H28567" s="13"/>
    </row>
    <row r="28568">
      <c r="A28568" s="6"/>
      <c r="B28568" s="6"/>
      <c r="H28568" s="13"/>
    </row>
    <row r="28569">
      <c r="A28569" s="6"/>
      <c r="B28569" s="6"/>
      <c r="H28569" s="13"/>
    </row>
    <row r="28570">
      <c r="A28570" s="6"/>
      <c r="B28570" s="6"/>
      <c r="H28570" s="13"/>
    </row>
    <row r="28571">
      <c r="A28571" s="6"/>
      <c r="B28571" s="6"/>
      <c r="H28571" s="13"/>
    </row>
    <row r="28572">
      <c r="A28572" s="6"/>
      <c r="B28572" s="6"/>
      <c r="H28572" s="13"/>
    </row>
    <row r="28573">
      <c r="A28573" s="6"/>
      <c r="B28573" s="6"/>
      <c r="H28573" s="13"/>
    </row>
    <row r="28574">
      <c r="A28574" s="6"/>
      <c r="B28574" s="6"/>
      <c r="H28574" s="13"/>
    </row>
    <row r="28575">
      <c r="A28575" s="6"/>
      <c r="B28575" s="6"/>
      <c r="H28575" s="13"/>
    </row>
    <row r="28576">
      <c r="A28576" s="6"/>
      <c r="B28576" s="6"/>
      <c r="H28576" s="13"/>
    </row>
    <row r="28577">
      <c r="A28577" s="6"/>
      <c r="B28577" s="6"/>
      <c r="H28577" s="13"/>
    </row>
    <row r="28578">
      <c r="A28578" s="6"/>
      <c r="B28578" s="6"/>
      <c r="H28578" s="13"/>
    </row>
    <row r="28579">
      <c r="A28579" s="6"/>
      <c r="B28579" s="6"/>
      <c r="H28579" s="13"/>
    </row>
    <row r="28580">
      <c r="A28580" s="6"/>
      <c r="B28580" s="6"/>
      <c r="H28580" s="13"/>
    </row>
    <row r="28581">
      <c r="A28581" s="6"/>
      <c r="B28581" s="6"/>
      <c r="H28581" s="13"/>
    </row>
    <row r="28582">
      <c r="A28582" s="6"/>
      <c r="B28582" s="6"/>
      <c r="H28582" s="13"/>
    </row>
    <row r="28583">
      <c r="A28583" s="6"/>
      <c r="B28583" s="6"/>
      <c r="H28583" s="13"/>
    </row>
    <row r="28584">
      <c r="A28584" s="6"/>
      <c r="B28584" s="6"/>
      <c r="H28584" s="13"/>
    </row>
    <row r="28585">
      <c r="A28585" s="6"/>
      <c r="B28585" s="6"/>
      <c r="H28585" s="13"/>
    </row>
    <row r="28586">
      <c r="A28586" s="6"/>
      <c r="B28586" s="6"/>
      <c r="H28586" s="13"/>
    </row>
    <row r="28587">
      <c r="A28587" s="6"/>
      <c r="B28587" s="6"/>
      <c r="H28587" s="13"/>
    </row>
    <row r="28588">
      <c r="A28588" s="6"/>
      <c r="B28588" s="6"/>
      <c r="H28588" s="13"/>
    </row>
    <row r="28589">
      <c r="A28589" s="6"/>
      <c r="B28589" s="6"/>
      <c r="H28589" s="13"/>
    </row>
    <row r="28590">
      <c r="A28590" s="6"/>
      <c r="B28590" s="6"/>
      <c r="H28590" s="13"/>
    </row>
    <row r="28591">
      <c r="A28591" s="6"/>
      <c r="B28591" s="6"/>
      <c r="H28591" s="13"/>
    </row>
    <row r="28592">
      <c r="A28592" s="6"/>
      <c r="B28592" s="6"/>
      <c r="H28592" s="13"/>
    </row>
    <row r="28593">
      <c r="A28593" s="6"/>
      <c r="B28593" s="6"/>
      <c r="H28593" s="13"/>
    </row>
    <row r="28594">
      <c r="A28594" s="6"/>
      <c r="B28594" s="6"/>
      <c r="H28594" s="13"/>
    </row>
    <row r="28595">
      <c r="A28595" s="6"/>
      <c r="B28595" s="6"/>
      <c r="H28595" s="13"/>
    </row>
    <row r="28596">
      <c r="A28596" s="6"/>
      <c r="B28596" s="6"/>
      <c r="H28596" s="13"/>
    </row>
    <row r="28597">
      <c r="A28597" s="6"/>
      <c r="B28597" s="6"/>
      <c r="H28597" s="13"/>
    </row>
    <row r="28598">
      <c r="A28598" s="6"/>
      <c r="B28598" s="6"/>
      <c r="H28598" s="13"/>
    </row>
    <row r="28599">
      <c r="A28599" s="6"/>
      <c r="B28599" s="6"/>
      <c r="H28599" s="13"/>
    </row>
    <row r="28600">
      <c r="A28600" s="6"/>
      <c r="B28600" s="6"/>
      <c r="H28600" s="13"/>
    </row>
    <row r="28601">
      <c r="A28601" s="6"/>
      <c r="B28601" s="6"/>
      <c r="H28601" s="13"/>
    </row>
    <row r="28602">
      <c r="A28602" s="6"/>
      <c r="B28602" s="6"/>
      <c r="H28602" s="13"/>
    </row>
    <row r="28603">
      <c r="A28603" s="6"/>
      <c r="B28603" s="6"/>
      <c r="H28603" s="13"/>
    </row>
    <row r="28604">
      <c r="A28604" s="6"/>
      <c r="B28604" s="6"/>
      <c r="H28604" s="13"/>
    </row>
    <row r="28605">
      <c r="A28605" s="6"/>
      <c r="B28605" s="6"/>
      <c r="H28605" s="13"/>
    </row>
    <row r="28606">
      <c r="A28606" s="6"/>
      <c r="B28606" s="6"/>
      <c r="H28606" s="13"/>
    </row>
    <row r="28607">
      <c r="A28607" s="6"/>
      <c r="B28607" s="6"/>
      <c r="H28607" s="13"/>
    </row>
    <row r="28608">
      <c r="A28608" s="6"/>
      <c r="B28608" s="6"/>
      <c r="H28608" s="13"/>
    </row>
    <row r="28609">
      <c r="A28609" s="6"/>
      <c r="B28609" s="6"/>
      <c r="H28609" s="13"/>
    </row>
    <row r="28610">
      <c r="A28610" s="6"/>
      <c r="B28610" s="6"/>
      <c r="H28610" s="13"/>
    </row>
    <row r="28611">
      <c r="A28611" s="6"/>
      <c r="B28611" s="6"/>
      <c r="H28611" s="13"/>
    </row>
    <row r="28612">
      <c r="A28612" s="6"/>
      <c r="B28612" s="6"/>
      <c r="H28612" s="13"/>
    </row>
    <row r="28613">
      <c r="A28613" s="6"/>
      <c r="B28613" s="6"/>
      <c r="H28613" s="13"/>
    </row>
    <row r="28614">
      <c r="A28614" s="6"/>
      <c r="B28614" s="6"/>
      <c r="H28614" s="13"/>
    </row>
    <row r="28615">
      <c r="A28615" s="6"/>
      <c r="B28615" s="6"/>
      <c r="H28615" s="13"/>
    </row>
    <row r="28616">
      <c r="A28616" s="6"/>
      <c r="B28616" s="6"/>
      <c r="H28616" s="13"/>
    </row>
    <row r="28617">
      <c r="A28617" s="6"/>
      <c r="B28617" s="6"/>
      <c r="H28617" s="13"/>
    </row>
    <row r="28618">
      <c r="A28618" s="6"/>
      <c r="B28618" s="6"/>
      <c r="H28618" s="13"/>
    </row>
    <row r="28619">
      <c r="A28619" s="6"/>
      <c r="B28619" s="6"/>
      <c r="H28619" s="13"/>
    </row>
    <row r="28620">
      <c r="A28620" s="6"/>
      <c r="B28620" s="6"/>
      <c r="H28620" s="13"/>
    </row>
    <row r="28621">
      <c r="A28621" s="6"/>
      <c r="B28621" s="6"/>
      <c r="H28621" s="13"/>
    </row>
    <row r="28622">
      <c r="A28622" s="6"/>
      <c r="B28622" s="6"/>
      <c r="H28622" s="13"/>
    </row>
    <row r="28623">
      <c r="A28623" s="6"/>
      <c r="B28623" s="6"/>
      <c r="H28623" s="13"/>
    </row>
    <row r="28624">
      <c r="A28624" s="6"/>
      <c r="B28624" s="6"/>
      <c r="H28624" s="13"/>
    </row>
    <row r="28625">
      <c r="A28625" s="6"/>
      <c r="B28625" s="6"/>
      <c r="H28625" s="13"/>
    </row>
    <row r="28626">
      <c r="A28626" s="6"/>
      <c r="B28626" s="6"/>
      <c r="H28626" s="13"/>
    </row>
    <row r="28627">
      <c r="A28627" s="6"/>
      <c r="B28627" s="6"/>
      <c r="H28627" s="13"/>
    </row>
    <row r="28628">
      <c r="A28628" s="6"/>
      <c r="B28628" s="6"/>
      <c r="H28628" s="13"/>
    </row>
    <row r="28629">
      <c r="A28629" s="6"/>
      <c r="B28629" s="6"/>
      <c r="H28629" s="13"/>
    </row>
    <row r="28630">
      <c r="A28630" s="6"/>
      <c r="B28630" s="6"/>
      <c r="H28630" s="13"/>
    </row>
    <row r="28631">
      <c r="A28631" s="6"/>
      <c r="B28631" s="6"/>
      <c r="H28631" s="13"/>
    </row>
    <row r="28632">
      <c r="A28632" s="6"/>
      <c r="B28632" s="6"/>
      <c r="H28632" s="13"/>
    </row>
    <row r="28633">
      <c r="A28633" s="6"/>
      <c r="B28633" s="6"/>
      <c r="H28633" s="13"/>
    </row>
    <row r="28634">
      <c r="A28634" s="6"/>
      <c r="B28634" s="6"/>
      <c r="H28634" s="13"/>
    </row>
    <row r="28635">
      <c r="A28635" s="6"/>
      <c r="B28635" s="6"/>
      <c r="H28635" s="13"/>
    </row>
    <row r="28636">
      <c r="A28636" s="6"/>
      <c r="B28636" s="6"/>
      <c r="H28636" s="13"/>
    </row>
    <row r="28637">
      <c r="A28637" s="6"/>
      <c r="B28637" s="6"/>
      <c r="H28637" s="13"/>
    </row>
    <row r="28638">
      <c r="A28638" s="6"/>
      <c r="B28638" s="6"/>
      <c r="H28638" s="13"/>
    </row>
    <row r="28639">
      <c r="A28639" s="6"/>
      <c r="B28639" s="6"/>
      <c r="H28639" s="13"/>
    </row>
    <row r="28640">
      <c r="A28640" s="6"/>
      <c r="B28640" s="6"/>
      <c r="H28640" s="13"/>
    </row>
    <row r="28641">
      <c r="A28641" s="6"/>
      <c r="B28641" s="6"/>
      <c r="H28641" s="13"/>
    </row>
    <row r="28642">
      <c r="A28642" s="6"/>
      <c r="B28642" s="6"/>
      <c r="H28642" s="13"/>
    </row>
    <row r="28643">
      <c r="A28643" s="6"/>
      <c r="B28643" s="6"/>
      <c r="H28643" s="13"/>
    </row>
    <row r="28644">
      <c r="A28644" s="6"/>
      <c r="B28644" s="6"/>
      <c r="H28644" s="13"/>
    </row>
    <row r="28645">
      <c r="A28645" s="6"/>
      <c r="B28645" s="6"/>
      <c r="H28645" s="13"/>
    </row>
    <row r="28646">
      <c r="A28646" s="6"/>
      <c r="B28646" s="6"/>
      <c r="H28646" s="13"/>
    </row>
    <row r="28647">
      <c r="A28647" s="6"/>
      <c r="B28647" s="6"/>
      <c r="H28647" s="13"/>
    </row>
    <row r="28648">
      <c r="A28648" s="6"/>
      <c r="B28648" s="6"/>
      <c r="H28648" s="13"/>
    </row>
    <row r="28649">
      <c r="A28649" s="6"/>
      <c r="B28649" s="6"/>
      <c r="H28649" s="13"/>
    </row>
    <row r="28650">
      <c r="A28650" s="6"/>
      <c r="B28650" s="6"/>
      <c r="H28650" s="13"/>
    </row>
    <row r="28651">
      <c r="A28651" s="6"/>
      <c r="B28651" s="6"/>
      <c r="H28651" s="13"/>
    </row>
    <row r="28652">
      <c r="A28652" s="6"/>
      <c r="B28652" s="6"/>
      <c r="H28652" s="13"/>
    </row>
    <row r="28653">
      <c r="A28653" s="6"/>
      <c r="B28653" s="6"/>
      <c r="H28653" s="13"/>
    </row>
    <row r="28654">
      <c r="A28654" s="6"/>
      <c r="B28654" s="6"/>
      <c r="H28654" s="13"/>
    </row>
    <row r="28655">
      <c r="A28655" s="6"/>
      <c r="B28655" s="6"/>
      <c r="H28655" s="13"/>
    </row>
    <row r="28656">
      <c r="A28656" s="6"/>
      <c r="B28656" s="6"/>
      <c r="H28656" s="13"/>
    </row>
    <row r="28657">
      <c r="A28657" s="6"/>
      <c r="B28657" s="6"/>
      <c r="H28657" s="13"/>
    </row>
    <row r="28658">
      <c r="A28658" s="6"/>
      <c r="B28658" s="6"/>
      <c r="H28658" s="13"/>
    </row>
    <row r="28659">
      <c r="A28659" s="6"/>
      <c r="B28659" s="6"/>
      <c r="H28659" s="13"/>
    </row>
    <row r="28660">
      <c r="A28660" s="6"/>
      <c r="B28660" s="6"/>
      <c r="H28660" s="13"/>
    </row>
    <row r="28661">
      <c r="A28661" s="6"/>
      <c r="B28661" s="6"/>
      <c r="H28661" s="13"/>
    </row>
    <row r="28662">
      <c r="A28662" s="6"/>
      <c r="B28662" s="6"/>
      <c r="H28662" s="13"/>
    </row>
    <row r="28663">
      <c r="A28663" s="6"/>
      <c r="B28663" s="6"/>
      <c r="H28663" s="13"/>
    </row>
    <row r="28664">
      <c r="A28664" s="6"/>
      <c r="B28664" s="6"/>
      <c r="H28664" s="13"/>
    </row>
    <row r="28665">
      <c r="A28665" s="6"/>
      <c r="B28665" s="6"/>
      <c r="H28665" s="13"/>
    </row>
    <row r="28666">
      <c r="A28666" s="6"/>
      <c r="B28666" s="6"/>
      <c r="H28666" s="13"/>
    </row>
    <row r="28667">
      <c r="A28667" s="6"/>
      <c r="B28667" s="6"/>
      <c r="H28667" s="13"/>
    </row>
    <row r="28668">
      <c r="A28668" s="6"/>
      <c r="B28668" s="6"/>
      <c r="H28668" s="13"/>
    </row>
    <row r="28669">
      <c r="A28669" s="6"/>
      <c r="B28669" s="6"/>
      <c r="H28669" s="13"/>
    </row>
    <row r="28670">
      <c r="A28670" s="6"/>
      <c r="B28670" s="6"/>
      <c r="H28670" s="13"/>
    </row>
    <row r="28671">
      <c r="A28671" s="6"/>
      <c r="B28671" s="6"/>
      <c r="H28671" s="13"/>
    </row>
    <row r="28672">
      <c r="A28672" s="6"/>
      <c r="B28672" s="6"/>
      <c r="H28672" s="13"/>
    </row>
    <row r="28673">
      <c r="A28673" s="6"/>
      <c r="B28673" s="6"/>
      <c r="H28673" s="13"/>
    </row>
    <row r="28674">
      <c r="A28674" s="6"/>
      <c r="B28674" s="6"/>
      <c r="H28674" s="13"/>
    </row>
    <row r="28675">
      <c r="A28675" s="6"/>
      <c r="B28675" s="6"/>
      <c r="H28675" s="13"/>
    </row>
    <row r="28676">
      <c r="A28676" s="6"/>
      <c r="B28676" s="6"/>
      <c r="H28676" s="13"/>
    </row>
    <row r="28677">
      <c r="A28677" s="6"/>
      <c r="B28677" s="6"/>
      <c r="H28677" s="13"/>
    </row>
    <row r="28678">
      <c r="A28678" s="6"/>
      <c r="B28678" s="6"/>
      <c r="H28678" s="13"/>
    </row>
    <row r="28679">
      <c r="A28679" s="6"/>
      <c r="B28679" s="6"/>
      <c r="H28679" s="13"/>
    </row>
    <row r="28680">
      <c r="A28680" s="6"/>
      <c r="B28680" s="6"/>
      <c r="H28680" s="13"/>
    </row>
    <row r="28681">
      <c r="A28681" s="6"/>
      <c r="B28681" s="6"/>
      <c r="H28681" s="13"/>
    </row>
    <row r="28682">
      <c r="A28682" s="6"/>
      <c r="B28682" s="6"/>
      <c r="H28682" s="13"/>
    </row>
    <row r="28683">
      <c r="A28683" s="6"/>
      <c r="B28683" s="6"/>
      <c r="H28683" s="13"/>
    </row>
    <row r="28684">
      <c r="A28684" s="6"/>
      <c r="B28684" s="6"/>
      <c r="H28684" s="13"/>
    </row>
    <row r="28685">
      <c r="A28685" s="6"/>
      <c r="B28685" s="6"/>
      <c r="H28685" s="13"/>
    </row>
    <row r="28686">
      <c r="A28686" s="6"/>
      <c r="B28686" s="6"/>
      <c r="H28686" s="13"/>
    </row>
    <row r="28687">
      <c r="A28687" s="6"/>
      <c r="B28687" s="6"/>
      <c r="H28687" s="13"/>
    </row>
    <row r="28688">
      <c r="A28688" s="6"/>
      <c r="B28688" s="6"/>
      <c r="H28688" s="13"/>
    </row>
    <row r="28689">
      <c r="A28689" s="6"/>
      <c r="B28689" s="6"/>
      <c r="H28689" s="13"/>
    </row>
    <row r="28690">
      <c r="A28690" s="6"/>
      <c r="B28690" s="6"/>
      <c r="H28690" s="13"/>
    </row>
    <row r="28691">
      <c r="A28691" s="6"/>
      <c r="B28691" s="6"/>
      <c r="H28691" s="13"/>
    </row>
    <row r="28692">
      <c r="A28692" s="6"/>
      <c r="B28692" s="6"/>
      <c r="H28692" s="13"/>
    </row>
    <row r="28693">
      <c r="A28693" s="6"/>
      <c r="B28693" s="6"/>
      <c r="H28693" s="13"/>
    </row>
    <row r="28694">
      <c r="A28694" s="6"/>
      <c r="B28694" s="6"/>
      <c r="H28694" s="13"/>
    </row>
    <row r="28695">
      <c r="A28695" s="6"/>
      <c r="B28695" s="6"/>
      <c r="H28695" s="13"/>
    </row>
    <row r="28696">
      <c r="A28696" s="6"/>
      <c r="B28696" s="6"/>
      <c r="H28696" s="13"/>
    </row>
    <row r="28697">
      <c r="A28697" s="6"/>
      <c r="B28697" s="6"/>
      <c r="H28697" s="13"/>
    </row>
    <row r="28698">
      <c r="A28698" s="6"/>
      <c r="B28698" s="6"/>
      <c r="H28698" s="13"/>
    </row>
    <row r="28699">
      <c r="A28699" s="6"/>
      <c r="B28699" s="6"/>
      <c r="H28699" s="13"/>
    </row>
    <row r="28700">
      <c r="A28700" s="6"/>
      <c r="B28700" s="6"/>
      <c r="H28700" s="13"/>
    </row>
    <row r="28701">
      <c r="A28701" s="6"/>
      <c r="B28701" s="6"/>
      <c r="H28701" s="13"/>
    </row>
    <row r="28702">
      <c r="A28702" s="6"/>
      <c r="B28702" s="6"/>
      <c r="H28702" s="13"/>
    </row>
    <row r="28703">
      <c r="A28703" s="6"/>
      <c r="B28703" s="6"/>
      <c r="H28703" s="13"/>
    </row>
    <row r="28704">
      <c r="A28704" s="6"/>
      <c r="B28704" s="6"/>
      <c r="H28704" s="13"/>
    </row>
    <row r="28705">
      <c r="A28705" s="6"/>
      <c r="B28705" s="6"/>
      <c r="H28705" s="13"/>
    </row>
    <row r="28706">
      <c r="A28706" s="6"/>
      <c r="B28706" s="6"/>
      <c r="H28706" s="13"/>
    </row>
    <row r="28707">
      <c r="A28707" s="6"/>
      <c r="B28707" s="6"/>
      <c r="H28707" s="13"/>
    </row>
    <row r="28708">
      <c r="A28708" s="6"/>
      <c r="B28708" s="6"/>
      <c r="H28708" s="13"/>
    </row>
    <row r="28709">
      <c r="A28709" s="6"/>
      <c r="B28709" s="6"/>
      <c r="H28709" s="13"/>
    </row>
    <row r="28710">
      <c r="A28710" s="6"/>
      <c r="B28710" s="6"/>
      <c r="H28710" s="13"/>
    </row>
    <row r="28711">
      <c r="A28711" s="6"/>
      <c r="B28711" s="6"/>
      <c r="H28711" s="13"/>
    </row>
    <row r="28712">
      <c r="A28712" s="6"/>
      <c r="B28712" s="6"/>
      <c r="H28712" s="13"/>
    </row>
    <row r="28713">
      <c r="A28713" s="6"/>
      <c r="B28713" s="6"/>
      <c r="H28713" s="13"/>
    </row>
    <row r="28714">
      <c r="A28714" s="6"/>
      <c r="B28714" s="6"/>
      <c r="H28714" s="13"/>
    </row>
    <row r="28715">
      <c r="A28715" s="6"/>
      <c r="B28715" s="6"/>
      <c r="H28715" s="13"/>
    </row>
    <row r="28716">
      <c r="A28716" s="6"/>
      <c r="B28716" s="6"/>
      <c r="H28716" s="13"/>
    </row>
    <row r="28717">
      <c r="A28717" s="6"/>
      <c r="B28717" s="6"/>
      <c r="H28717" s="13"/>
    </row>
    <row r="28718">
      <c r="A28718" s="6"/>
      <c r="B28718" s="6"/>
      <c r="H28718" s="13"/>
    </row>
    <row r="28719">
      <c r="A28719" s="6"/>
      <c r="B28719" s="6"/>
      <c r="H28719" s="13"/>
    </row>
    <row r="28720">
      <c r="A28720" s="6"/>
      <c r="B28720" s="6"/>
      <c r="H28720" s="13"/>
    </row>
    <row r="28721">
      <c r="A28721" s="6"/>
      <c r="B28721" s="6"/>
      <c r="H28721" s="13"/>
    </row>
    <row r="28722">
      <c r="A28722" s="6"/>
      <c r="B28722" s="6"/>
      <c r="H28722" s="13"/>
    </row>
    <row r="28723">
      <c r="A28723" s="6"/>
      <c r="B28723" s="6"/>
      <c r="H28723" s="13"/>
    </row>
    <row r="28724">
      <c r="A28724" s="6"/>
      <c r="B28724" s="6"/>
      <c r="H28724" s="13"/>
    </row>
    <row r="28725">
      <c r="A28725" s="6"/>
      <c r="B28725" s="6"/>
      <c r="H28725" s="13"/>
    </row>
    <row r="28726">
      <c r="A28726" s="6"/>
      <c r="B28726" s="6"/>
      <c r="H28726" s="13"/>
    </row>
    <row r="28727">
      <c r="A28727" s="6"/>
      <c r="B28727" s="6"/>
      <c r="H28727" s="13"/>
    </row>
    <row r="28728">
      <c r="A28728" s="6"/>
      <c r="B28728" s="6"/>
      <c r="H28728" s="13"/>
    </row>
    <row r="28729">
      <c r="A28729" s="6"/>
      <c r="B28729" s="6"/>
      <c r="H28729" s="13"/>
    </row>
    <row r="28730">
      <c r="A28730" s="6"/>
      <c r="B28730" s="6"/>
      <c r="H28730" s="13"/>
    </row>
    <row r="28731">
      <c r="A28731" s="6"/>
      <c r="B28731" s="6"/>
      <c r="H28731" s="13"/>
    </row>
    <row r="28732">
      <c r="A28732" s="6"/>
      <c r="B28732" s="6"/>
      <c r="H28732" s="13"/>
    </row>
    <row r="28733">
      <c r="A28733" s="6"/>
      <c r="B28733" s="6"/>
      <c r="H28733" s="13"/>
    </row>
    <row r="28734">
      <c r="A28734" s="6"/>
      <c r="B28734" s="6"/>
      <c r="H28734" s="13"/>
    </row>
    <row r="28735">
      <c r="A28735" s="6"/>
      <c r="B28735" s="6"/>
      <c r="H28735" s="13"/>
    </row>
    <row r="28736">
      <c r="A28736" s="6"/>
      <c r="B28736" s="6"/>
      <c r="H28736" s="13"/>
    </row>
    <row r="28737">
      <c r="A28737" s="6"/>
      <c r="B28737" s="6"/>
      <c r="H28737" s="13"/>
    </row>
    <row r="28738">
      <c r="A28738" s="6"/>
      <c r="B28738" s="6"/>
      <c r="H28738" s="13"/>
    </row>
    <row r="28739">
      <c r="A28739" s="6"/>
      <c r="B28739" s="6"/>
      <c r="H28739" s="13"/>
    </row>
    <row r="28740">
      <c r="A28740" s="6"/>
      <c r="B28740" s="6"/>
      <c r="H28740" s="13"/>
    </row>
    <row r="28741">
      <c r="A28741" s="6"/>
      <c r="B28741" s="6"/>
      <c r="H28741" s="13"/>
    </row>
    <row r="28742">
      <c r="A28742" s="6"/>
      <c r="B28742" s="6"/>
      <c r="H28742" s="13"/>
    </row>
    <row r="28743">
      <c r="A28743" s="6"/>
      <c r="B28743" s="6"/>
      <c r="H28743" s="13"/>
    </row>
    <row r="28744">
      <c r="A28744" s="6"/>
      <c r="B28744" s="6"/>
      <c r="H28744" s="13"/>
    </row>
    <row r="28745">
      <c r="A28745" s="6"/>
      <c r="B28745" s="6"/>
      <c r="H28745" s="13"/>
    </row>
    <row r="28746">
      <c r="A28746" s="6"/>
      <c r="B28746" s="6"/>
      <c r="H28746" s="13"/>
    </row>
    <row r="28747">
      <c r="A28747" s="6"/>
      <c r="B28747" s="6"/>
      <c r="H28747" s="13"/>
    </row>
    <row r="28748">
      <c r="A28748" s="6"/>
      <c r="B28748" s="6"/>
      <c r="H28748" s="13"/>
    </row>
    <row r="28749">
      <c r="A28749" s="6"/>
      <c r="B28749" s="6"/>
      <c r="H28749" s="13"/>
    </row>
    <row r="28750">
      <c r="A28750" s="6"/>
      <c r="B28750" s="6"/>
      <c r="H28750" s="13"/>
    </row>
    <row r="28751">
      <c r="A28751" s="6"/>
      <c r="B28751" s="6"/>
      <c r="H28751" s="13"/>
    </row>
    <row r="28752">
      <c r="A28752" s="6"/>
      <c r="B28752" s="6"/>
      <c r="H28752" s="13"/>
    </row>
    <row r="28753">
      <c r="A28753" s="6"/>
      <c r="B28753" s="6"/>
      <c r="H28753" s="13"/>
    </row>
    <row r="28754">
      <c r="A28754" s="6"/>
      <c r="B28754" s="6"/>
      <c r="H28754" s="13"/>
    </row>
    <row r="28755">
      <c r="A28755" s="6"/>
      <c r="B28755" s="6"/>
      <c r="H28755" s="13"/>
    </row>
    <row r="28756">
      <c r="A28756" s="6"/>
      <c r="B28756" s="6"/>
      <c r="H28756" s="13"/>
    </row>
    <row r="28757">
      <c r="A28757" s="6"/>
      <c r="B28757" s="6"/>
      <c r="H28757" s="13"/>
    </row>
    <row r="28758">
      <c r="A28758" s="6"/>
      <c r="B28758" s="6"/>
      <c r="H28758" s="13"/>
    </row>
    <row r="28759">
      <c r="A28759" s="6"/>
      <c r="B28759" s="6"/>
      <c r="H28759" s="13"/>
    </row>
    <row r="28760">
      <c r="A28760" s="6"/>
      <c r="B28760" s="6"/>
      <c r="H28760" s="13"/>
    </row>
    <row r="28761">
      <c r="A28761" s="6"/>
      <c r="B28761" s="6"/>
      <c r="H28761" s="13"/>
    </row>
    <row r="28762">
      <c r="A28762" s="6"/>
      <c r="B28762" s="6"/>
      <c r="H28762" s="13"/>
    </row>
    <row r="28763">
      <c r="A28763" s="6"/>
      <c r="B28763" s="6"/>
      <c r="H28763" s="13"/>
    </row>
    <row r="28764">
      <c r="A28764" s="6"/>
      <c r="B28764" s="6"/>
      <c r="H28764" s="13"/>
    </row>
    <row r="28765">
      <c r="A28765" s="6"/>
      <c r="B28765" s="6"/>
      <c r="H28765" s="13"/>
    </row>
    <row r="28766">
      <c r="A28766" s="6"/>
      <c r="B28766" s="6"/>
      <c r="H28766" s="13"/>
    </row>
    <row r="28767">
      <c r="A28767" s="6"/>
      <c r="B28767" s="6"/>
      <c r="H28767" s="13"/>
    </row>
    <row r="28768">
      <c r="A28768" s="6"/>
      <c r="B28768" s="6"/>
      <c r="H28768" s="13"/>
    </row>
    <row r="28769">
      <c r="A28769" s="6"/>
      <c r="B28769" s="6"/>
      <c r="H28769" s="13"/>
    </row>
    <row r="28770">
      <c r="A28770" s="6"/>
      <c r="B28770" s="6"/>
      <c r="H28770" s="13"/>
    </row>
    <row r="28771">
      <c r="A28771" s="6"/>
      <c r="B28771" s="6"/>
      <c r="H28771" s="13"/>
    </row>
    <row r="28772">
      <c r="A28772" s="6"/>
      <c r="B28772" s="6"/>
      <c r="H28772" s="13"/>
    </row>
    <row r="28773">
      <c r="A28773" s="6"/>
      <c r="B28773" s="6"/>
      <c r="H28773" s="13"/>
    </row>
    <row r="28774">
      <c r="A28774" s="6"/>
      <c r="B28774" s="6"/>
      <c r="H28774" s="13"/>
    </row>
    <row r="28775">
      <c r="A28775" s="6"/>
      <c r="B28775" s="6"/>
      <c r="H28775" s="13"/>
    </row>
    <row r="28776">
      <c r="A28776" s="6"/>
      <c r="B28776" s="6"/>
      <c r="H28776" s="13"/>
    </row>
    <row r="28777">
      <c r="A28777" s="6"/>
      <c r="B28777" s="6"/>
      <c r="H28777" s="13"/>
    </row>
    <row r="28778">
      <c r="A28778" s="6"/>
      <c r="B28778" s="6"/>
      <c r="H28778" s="13"/>
    </row>
    <row r="28779">
      <c r="A28779" s="6"/>
      <c r="B28779" s="6"/>
      <c r="H28779" s="13"/>
    </row>
    <row r="28780">
      <c r="A28780" s="6"/>
      <c r="B28780" s="6"/>
      <c r="H28780" s="13"/>
    </row>
    <row r="28781">
      <c r="A28781" s="6"/>
      <c r="B28781" s="6"/>
      <c r="H28781" s="13"/>
    </row>
    <row r="28782">
      <c r="A28782" s="6"/>
      <c r="B28782" s="6"/>
      <c r="H28782" s="13"/>
    </row>
    <row r="28783">
      <c r="A28783" s="6"/>
      <c r="B28783" s="6"/>
      <c r="H28783" s="13"/>
    </row>
    <row r="28784">
      <c r="A28784" s="6"/>
      <c r="B28784" s="6"/>
      <c r="H28784" s="13"/>
    </row>
    <row r="28785">
      <c r="A28785" s="6"/>
      <c r="B28785" s="6"/>
      <c r="H28785" s="13"/>
    </row>
    <row r="28786">
      <c r="A28786" s="6"/>
      <c r="B28786" s="6"/>
      <c r="H28786" s="13"/>
    </row>
    <row r="28787">
      <c r="A28787" s="6"/>
      <c r="B28787" s="6"/>
      <c r="H28787" s="13"/>
    </row>
    <row r="28788">
      <c r="A28788" s="6"/>
      <c r="B28788" s="6"/>
      <c r="H28788" s="13"/>
    </row>
    <row r="28789">
      <c r="A28789" s="6"/>
      <c r="B28789" s="6"/>
      <c r="H28789" s="13"/>
    </row>
    <row r="28790">
      <c r="A28790" s="6"/>
      <c r="B28790" s="6"/>
      <c r="H28790" s="13"/>
    </row>
    <row r="28791">
      <c r="A28791" s="6"/>
      <c r="B28791" s="6"/>
      <c r="H28791" s="13"/>
    </row>
    <row r="28792">
      <c r="A28792" s="6"/>
      <c r="B28792" s="6"/>
      <c r="H28792" s="13"/>
    </row>
    <row r="28793">
      <c r="A28793" s="6"/>
      <c r="B28793" s="6"/>
      <c r="H28793" s="13"/>
    </row>
    <row r="28794">
      <c r="A28794" s="6"/>
      <c r="B28794" s="6"/>
      <c r="H28794" s="13"/>
    </row>
    <row r="28795">
      <c r="A28795" s="6"/>
      <c r="B28795" s="6"/>
      <c r="H28795" s="13"/>
    </row>
    <row r="28796">
      <c r="A28796" s="6"/>
      <c r="B28796" s="6"/>
      <c r="H28796" s="13"/>
    </row>
    <row r="28797">
      <c r="A28797" s="6"/>
      <c r="B28797" s="6"/>
      <c r="H28797" s="13"/>
    </row>
    <row r="28798">
      <c r="A28798" s="6"/>
      <c r="B28798" s="6"/>
      <c r="H28798" s="13"/>
    </row>
    <row r="28799">
      <c r="A28799" s="6"/>
      <c r="B28799" s="6"/>
      <c r="H28799" s="13"/>
    </row>
    <row r="28800">
      <c r="A28800" s="6"/>
      <c r="B28800" s="6"/>
      <c r="H28800" s="13"/>
    </row>
    <row r="28801">
      <c r="A28801" s="6"/>
      <c r="B28801" s="6"/>
      <c r="H28801" s="13"/>
    </row>
    <row r="28802">
      <c r="A28802" s="6"/>
      <c r="B28802" s="6"/>
      <c r="H28802" s="13"/>
    </row>
    <row r="28803">
      <c r="A28803" s="6"/>
      <c r="B28803" s="6"/>
      <c r="H28803" s="13"/>
    </row>
    <row r="28804">
      <c r="A28804" s="6"/>
      <c r="B28804" s="6"/>
      <c r="H28804" s="13"/>
    </row>
    <row r="28805">
      <c r="A28805" s="6"/>
      <c r="B28805" s="6"/>
      <c r="H28805" s="13"/>
    </row>
    <row r="28806">
      <c r="A28806" s="6"/>
      <c r="B28806" s="6"/>
      <c r="H28806" s="13"/>
    </row>
    <row r="28807">
      <c r="A28807" s="6"/>
      <c r="B28807" s="6"/>
      <c r="H28807" s="13"/>
    </row>
    <row r="28808">
      <c r="A28808" s="6"/>
      <c r="B28808" s="6"/>
      <c r="H28808" s="13"/>
    </row>
    <row r="28809">
      <c r="A28809" s="6"/>
      <c r="B28809" s="6"/>
      <c r="H28809" s="13"/>
    </row>
    <row r="28810">
      <c r="A28810" s="6"/>
      <c r="B28810" s="6"/>
      <c r="H28810" s="13"/>
    </row>
    <row r="28811">
      <c r="A28811" s="6"/>
      <c r="B28811" s="6"/>
      <c r="H28811" s="13"/>
    </row>
    <row r="28812">
      <c r="A28812" s="6"/>
      <c r="B28812" s="6"/>
      <c r="H28812" s="13"/>
    </row>
    <row r="28813">
      <c r="A28813" s="6"/>
      <c r="B28813" s="6"/>
      <c r="H28813" s="13"/>
    </row>
    <row r="28814">
      <c r="A28814" s="6"/>
      <c r="B28814" s="6"/>
      <c r="H28814" s="13"/>
    </row>
    <row r="28815">
      <c r="A28815" s="6"/>
      <c r="B28815" s="6"/>
      <c r="H28815" s="13"/>
    </row>
    <row r="28816">
      <c r="A28816" s="6"/>
      <c r="B28816" s="6"/>
      <c r="H28816" s="13"/>
    </row>
    <row r="28817">
      <c r="A28817" s="6"/>
      <c r="B28817" s="6"/>
      <c r="H28817" s="13"/>
    </row>
    <row r="28818">
      <c r="A28818" s="6"/>
      <c r="B28818" s="6"/>
      <c r="H28818" s="13"/>
    </row>
    <row r="28819">
      <c r="A28819" s="6"/>
      <c r="B28819" s="6"/>
      <c r="H28819" s="13"/>
    </row>
    <row r="28820">
      <c r="A28820" s="6"/>
      <c r="B28820" s="6"/>
      <c r="H28820" s="13"/>
    </row>
    <row r="28821">
      <c r="A28821" s="6"/>
      <c r="B28821" s="6"/>
      <c r="H28821" s="13"/>
    </row>
    <row r="28822">
      <c r="A28822" s="6"/>
      <c r="B28822" s="6"/>
      <c r="H28822" s="13"/>
    </row>
    <row r="28823">
      <c r="A28823" s="6"/>
      <c r="B28823" s="6"/>
      <c r="H28823" s="13"/>
    </row>
    <row r="28824">
      <c r="A28824" s="6"/>
      <c r="B28824" s="6"/>
      <c r="H28824" s="13"/>
    </row>
    <row r="28825">
      <c r="A28825" s="6"/>
      <c r="B28825" s="6"/>
      <c r="H28825" s="13"/>
    </row>
    <row r="28826">
      <c r="A28826" s="6"/>
      <c r="B28826" s="6"/>
      <c r="H28826" s="13"/>
    </row>
    <row r="28827">
      <c r="A28827" s="6"/>
      <c r="B28827" s="6"/>
      <c r="H28827" s="13"/>
    </row>
    <row r="28828">
      <c r="A28828" s="6"/>
      <c r="B28828" s="6"/>
      <c r="H28828" s="13"/>
    </row>
    <row r="28829">
      <c r="A28829" s="6"/>
      <c r="B28829" s="6"/>
      <c r="H28829" s="13"/>
    </row>
    <row r="28830">
      <c r="A28830" s="6"/>
      <c r="B28830" s="6"/>
      <c r="H28830" s="13"/>
    </row>
    <row r="28831">
      <c r="A28831" s="6"/>
      <c r="B28831" s="6"/>
      <c r="H28831" s="13"/>
    </row>
    <row r="28832">
      <c r="A28832" s="6"/>
      <c r="B28832" s="6"/>
      <c r="H28832" s="13"/>
    </row>
    <row r="28833">
      <c r="A28833" s="6"/>
      <c r="B28833" s="6"/>
      <c r="H28833" s="13"/>
    </row>
    <row r="28834">
      <c r="A28834" s="6"/>
      <c r="B28834" s="6"/>
      <c r="H28834" s="13"/>
    </row>
    <row r="28835">
      <c r="A28835" s="6"/>
      <c r="B28835" s="6"/>
      <c r="H28835" s="13"/>
    </row>
    <row r="28836">
      <c r="A28836" s="6"/>
      <c r="B28836" s="6"/>
      <c r="H28836" s="13"/>
    </row>
    <row r="28837">
      <c r="A28837" s="6"/>
      <c r="B28837" s="6"/>
      <c r="H28837" s="13"/>
    </row>
    <row r="28838">
      <c r="A28838" s="6"/>
      <c r="B28838" s="6"/>
      <c r="H28838" s="13"/>
    </row>
    <row r="28839">
      <c r="A28839" s="6"/>
      <c r="B28839" s="6"/>
      <c r="H28839" s="13"/>
    </row>
    <row r="28840">
      <c r="A28840" s="6"/>
      <c r="B28840" s="6"/>
      <c r="H28840" s="13"/>
    </row>
    <row r="28841">
      <c r="A28841" s="6"/>
      <c r="B28841" s="6"/>
      <c r="H28841" s="13"/>
    </row>
    <row r="28842">
      <c r="A28842" s="6"/>
      <c r="B28842" s="6"/>
      <c r="H28842" s="13"/>
    </row>
    <row r="28843">
      <c r="A28843" s="6"/>
      <c r="B28843" s="6"/>
      <c r="H28843" s="13"/>
    </row>
    <row r="28844">
      <c r="A28844" s="6"/>
      <c r="B28844" s="6"/>
      <c r="H28844" s="13"/>
    </row>
    <row r="28845">
      <c r="A28845" s="6"/>
      <c r="B28845" s="6"/>
      <c r="H28845" s="13"/>
    </row>
    <row r="28846">
      <c r="A28846" s="6"/>
      <c r="B28846" s="6"/>
      <c r="H28846" s="13"/>
    </row>
    <row r="28847">
      <c r="A28847" s="6"/>
      <c r="B28847" s="6"/>
      <c r="H28847" s="13"/>
    </row>
    <row r="28848">
      <c r="A28848" s="6"/>
      <c r="B28848" s="6"/>
      <c r="H28848" s="13"/>
    </row>
    <row r="28849">
      <c r="A28849" s="6"/>
      <c r="B28849" s="6"/>
      <c r="H28849" s="13"/>
    </row>
    <row r="28850">
      <c r="A28850" s="6"/>
      <c r="B28850" s="6"/>
      <c r="H28850" s="13"/>
    </row>
    <row r="28851">
      <c r="A28851" s="6"/>
      <c r="B28851" s="6"/>
      <c r="H28851" s="13"/>
    </row>
    <row r="28852">
      <c r="A28852" s="6"/>
      <c r="B28852" s="6"/>
      <c r="H28852" s="13"/>
    </row>
    <row r="28853">
      <c r="A28853" s="6"/>
      <c r="B28853" s="6"/>
      <c r="H28853" s="13"/>
    </row>
    <row r="28854">
      <c r="A28854" s="6"/>
      <c r="B28854" s="6"/>
      <c r="H28854" s="13"/>
    </row>
    <row r="28855">
      <c r="A28855" s="6"/>
      <c r="B28855" s="6"/>
      <c r="H28855" s="13"/>
    </row>
    <row r="28856">
      <c r="A28856" s="6"/>
      <c r="B28856" s="6"/>
      <c r="H28856" s="13"/>
    </row>
    <row r="28857">
      <c r="A28857" s="6"/>
      <c r="B28857" s="6"/>
      <c r="H28857" s="13"/>
    </row>
    <row r="28858">
      <c r="A28858" s="6"/>
      <c r="B28858" s="6"/>
      <c r="H28858" s="13"/>
    </row>
    <row r="28859">
      <c r="A28859" s="6"/>
      <c r="B28859" s="6"/>
      <c r="H28859" s="13"/>
    </row>
    <row r="28860">
      <c r="A28860" s="6"/>
      <c r="B28860" s="6"/>
      <c r="H28860" s="13"/>
    </row>
    <row r="28861">
      <c r="A28861" s="6"/>
      <c r="B28861" s="6"/>
      <c r="H28861" s="13"/>
    </row>
    <row r="28862">
      <c r="A28862" s="6"/>
      <c r="B28862" s="6"/>
      <c r="H28862" s="13"/>
    </row>
    <row r="28863">
      <c r="A28863" s="6"/>
      <c r="B28863" s="6"/>
      <c r="H28863" s="13"/>
    </row>
    <row r="28864">
      <c r="A28864" s="6"/>
      <c r="B28864" s="6"/>
      <c r="H28864" s="13"/>
    </row>
    <row r="28865">
      <c r="A28865" s="6"/>
      <c r="B28865" s="6"/>
      <c r="H28865" s="13"/>
    </row>
    <row r="28866">
      <c r="A28866" s="6"/>
      <c r="B28866" s="6"/>
      <c r="H28866" s="13"/>
    </row>
    <row r="28867">
      <c r="A28867" s="6"/>
      <c r="B28867" s="6"/>
      <c r="H28867" s="13"/>
    </row>
    <row r="28868">
      <c r="A28868" s="6"/>
      <c r="B28868" s="6"/>
      <c r="H28868" s="13"/>
    </row>
    <row r="28869">
      <c r="A28869" s="6"/>
      <c r="B28869" s="6"/>
      <c r="H28869" s="13"/>
    </row>
    <row r="28870">
      <c r="A28870" s="6"/>
      <c r="B28870" s="6"/>
      <c r="H28870" s="13"/>
    </row>
    <row r="28871">
      <c r="A28871" s="6"/>
      <c r="B28871" s="6"/>
      <c r="H28871" s="13"/>
    </row>
    <row r="28872">
      <c r="A28872" s="6"/>
      <c r="B28872" s="6"/>
      <c r="H28872" s="13"/>
    </row>
    <row r="28873">
      <c r="A28873" s="6"/>
      <c r="B28873" s="6"/>
      <c r="H28873" s="13"/>
    </row>
    <row r="28874">
      <c r="A28874" s="6"/>
      <c r="B28874" s="6"/>
      <c r="H28874" s="13"/>
    </row>
    <row r="28875">
      <c r="A28875" s="6"/>
      <c r="B28875" s="6"/>
      <c r="H28875" s="13"/>
    </row>
    <row r="28876">
      <c r="A28876" s="6"/>
      <c r="B28876" s="6"/>
      <c r="H28876" s="13"/>
    </row>
    <row r="28877">
      <c r="A28877" s="6"/>
      <c r="B28877" s="6"/>
      <c r="H28877" s="13"/>
    </row>
    <row r="28878">
      <c r="A28878" s="6"/>
      <c r="B28878" s="6"/>
      <c r="H28878" s="13"/>
    </row>
    <row r="28879">
      <c r="A28879" s="6"/>
      <c r="B28879" s="6"/>
      <c r="H28879" s="13"/>
    </row>
    <row r="28880">
      <c r="A28880" s="6"/>
      <c r="B28880" s="6"/>
      <c r="H28880" s="13"/>
    </row>
    <row r="28881">
      <c r="A28881" s="6"/>
      <c r="B28881" s="6"/>
      <c r="H28881" s="13"/>
    </row>
    <row r="28882">
      <c r="A28882" s="6"/>
      <c r="B28882" s="6"/>
      <c r="H28882" s="13"/>
    </row>
    <row r="28883">
      <c r="A28883" s="6"/>
      <c r="B28883" s="6"/>
      <c r="H28883" s="13"/>
    </row>
    <row r="28884">
      <c r="A28884" s="6"/>
      <c r="B28884" s="6"/>
      <c r="H28884" s="13"/>
    </row>
    <row r="28885">
      <c r="A28885" s="6"/>
      <c r="B28885" s="6"/>
      <c r="H28885" s="13"/>
    </row>
    <row r="28886">
      <c r="A28886" s="6"/>
      <c r="B28886" s="6"/>
      <c r="H28886" s="13"/>
    </row>
    <row r="28887">
      <c r="A28887" s="6"/>
      <c r="B28887" s="6"/>
      <c r="H28887" s="13"/>
    </row>
    <row r="28888">
      <c r="A28888" s="6"/>
      <c r="B28888" s="6"/>
      <c r="H28888" s="13"/>
    </row>
    <row r="28889">
      <c r="A28889" s="6"/>
      <c r="B28889" s="6"/>
      <c r="H28889" s="13"/>
    </row>
    <row r="28890">
      <c r="A28890" s="6"/>
      <c r="B28890" s="6"/>
      <c r="H28890" s="13"/>
    </row>
    <row r="28891">
      <c r="A28891" s="6"/>
      <c r="B28891" s="6"/>
      <c r="H28891" s="13"/>
    </row>
    <row r="28892">
      <c r="A28892" s="6"/>
      <c r="B28892" s="6"/>
      <c r="H28892" s="13"/>
    </row>
    <row r="28893">
      <c r="A28893" s="6"/>
      <c r="B28893" s="6"/>
      <c r="H28893" s="13"/>
    </row>
    <row r="28894">
      <c r="A28894" s="6"/>
      <c r="B28894" s="6"/>
      <c r="H28894" s="13"/>
    </row>
    <row r="28895">
      <c r="A28895" s="6"/>
      <c r="B28895" s="6"/>
      <c r="H28895" s="13"/>
    </row>
    <row r="28896">
      <c r="A28896" s="6"/>
      <c r="B28896" s="6"/>
      <c r="H28896" s="13"/>
    </row>
    <row r="28897">
      <c r="A28897" s="6"/>
      <c r="B28897" s="6"/>
      <c r="H28897" s="13"/>
    </row>
    <row r="28898">
      <c r="A28898" s="6"/>
      <c r="B28898" s="6"/>
      <c r="H28898" s="13"/>
    </row>
    <row r="28899">
      <c r="A28899" s="6"/>
      <c r="B28899" s="6"/>
      <c r="H28899" s="13"/>
    </row>
    <row r="28900">
      <c r="A28900" s="6"/>
      <c r="B28900" s="6"/>
      <c r="H28900" s="13"/>
    </row>
    <row r="28901">
      <c r="A28901" s="6"/>
      <c r="B28901" s="6"/>
      <c r="H28901" s="13"/>
    </row>
    <row r="28902">
      <c r="A28902" s="6"/>
      <c r="B28902" s="6"/>
      <c r="H28902" s="13"/>
    </row>
    <row r="28903">
      <c r="A28903" s="6"/>
      <c r="B28903" s="6"/>
      <c r="H28903" s="13"/>
    </row>
    <row r="28904">
      <c r="A28904" s="6"/>
      <c r="B28904" s="6"/>
      <c r="H28904" s="13"/>
    </row>
    <row r="28905">
      <c r="A28905" s="6"/>
      <c r="B28905" s="6"/>
      <c r="H28905" s="13"/>
    </row>
    <row r="28906">
      <c r="A28906" s="6"/>
      <c r="B28906" s="6"/>
      <c r="H28906" s="13"/>
    </row>
    <row r="28907">
      <c r="A28907" s="6"/>
      <c r="B28907" s="6"/>
      <c r="H28907" s="13"/>
    </row>
    <row r="28908">
      <c r="A28908" s="6"/>
      <c r="B28908" s="6"/>
      <c r="H28908" s="13"/>
    </row>
    <row r="28909">
      <c r="A28909" s="6"/>
      <c r="B28909" s="6"/>
      <c r="H28909" s="13"/>
    </row>
    <row r="28910">
      <c r="A28910" s="6"/>
      <c r="B28910" s="6"/>
      <c r="H28910" s="13"/>
    </row>
    <row r="28911">
      <c r="A28911" s="6"/>
      <c r="B28911" s="6"/>
      <c r="H28911" s="13"/>
    </row>
    <row r="28912">
      <c r="A28912" s="6"/>
      <c r="B28912" s="6"/>
      <c r="H28912" s="13"/>
    </row>
    <row r="28913">
      <c r="A28913" s="6"/>
      <c r="B28913" s="6"/>
      <c r="H28913" s="13"/>
    </row>
    <row r="28914">
      <c r="A28914" s="6"/>
      <c r="B28914" s="6"/>
      <c r="H28914" s="13"/>
    </row>
    <row r="28915">
      <c r="A28915" s="6"/>
      <c r="B28915" s="6"/>
      <c r="H28915" s="13"/>
    </row>
    <row r="28916">
      <c r="A28916" s="6"/>
      <c r="B28916" s="6"/>
      <c r="H28916" s="13"/>
    </row>
    <row r="28917">
      <c r="A28917" s="6"/>
      <c r="B28917" s="6"/>
      <c r="H28917" s="13"/>
    </row>
    <row r="28918">
      <c r="A28918" s="6"/>
      <c r="B28918" s="6"/>
      <c r="H28918" s="13"/>
    </row>
    <row r="28919">
      <c r="A28919" s="6"/>
      <c r="B28919" s="6"/>
      <c r="H28919" s="13"/>
    </row>
    <row r="28920">
      <c r="A28920" s="6"/>
      <c r="B28920" s="6"/>
      <c r="H28920" s="13"/>
    </row>
    <row r="28921">
      <c r="A28921" s="6"/>
      <c r="B28921" s="6"/>
      <c r="H28921" s="13"/>
    </row>
    <row r="28922">
      <c r="A28922" s="6"/>
      <c r="B28922" s="6"/>
      <c r="H28922" s="13"/>
    </row>
    <row r="28923">
      <c r="A28923" s="6"/>
      <c r="B28923" s="6"/>
      <c r="H28923" s="13"/>
    </row>
    <row r="28924">
      <c r="A28924" s="6"/>
      <c r="B28924" s="6"/>
      <c r="H28924" s="13"/>
    </row>
    <row r="28925">
      <c r="A28925" s="6"/>
      <c r="B28925" s="6"/>
      <c r="H28925" s="13"/>
    </row>
    <row r="28926">
      <c r="A28926" s="6"/>
      <c r="B28926" s="6"/>
      <c r="H28926" s="13"/>
    </row>
    <row r="28927">
      <c r="A28927" s="6"/>
      <c r="B28927" s="6"/>
      <c r="H28927" s="13"/>
    </row>
    <row r="28928">
      <c r="A28928" s="6"/>
      <c r="B28928" s="6"/>
      <c r="H28928" s="13"/>
    </row>
    <row r="28929">
      <c r="A28929" s="6"/>
      <c r="B28929" s="6"/>
      <c r="H28929" s="13"/>
    </row>
    <row r="28930">
      <c r="A28930" s="6"/>
      <c r="B28930" s="6"/>
      <c r="H28930" s="13"/>
    </row>
    <row r="28931">
      <c r="A28931" s="6"/>
      <c r="B28931" s="6"/>
      <c r="H28931" s="13"/>
    </row>
    <row r="28932">
      <c r="A28932" s="6"/>
      <c r="B28932" s="6"/>
      <c r="H28932" s="13"/>
    </row>
    <row r="28933">
      <c r="A28933" s="6"/>
      <c r="B28933" s="6"/>
      <c r="H28933" s="13"/>
    </row>
    <row r="28934">
      <c r="A28934" s="6"/>
      <c r="B28934" s="6"/>
      <c r="H28934" s="13"/>
    </row>
    <row r="28935">
      <c r="A28935" s="6"/>
      <c r="B28935" s="6"/>
      <c r="H28935" s="13"/>
    </row>
    <row r="28936">
      <c r="A28936" s="6"/>
      <c r="B28936" s="6"/>
      <c r="H28936" s="13"/>
    </row>
    <row r="28937">
      <c r="A28937" s="6"/>
      <c r="B28937" s="6"/>
      <c r="H28937" s="13"/>
    </row>
    <row r="28938">
      <c r="A28938" s="6"/>
      <c r="B28938" s="6"/>
      <c r="H28938" s="13"/>
    </row>
    <row r="28939">
      <c r="A28939" s="6"/>
      <c r="B28939" s="6"/>
      <c r="H28939" s="13"/>
    </row>
    <row r="28940">
      <c r="A28940" s="6"/>
      <c r="B28940" s="6"/>
      <c r="H28940" s="13"/>
    </row>
    <row r="28941">
      <c r="A28941" s="6"/>
      <c r="B28941" s="6"/>
      <c r="H28941" s="13"/>
    </row>
    <row r="28942">
      <c r="A28942" s="6"/>
      <c r="B28942" s="6"/>
      <c r="H28942" s="13"/>
    </row>
    <row r="28943">
      <c r="A28943" s="6"/>
      <c r="B28943" s="6"/>
      <c r="H28943" s="13"/>
    </row>
    <row r="28944">
      <c r="A28944" s="6"/>
      <c r="B28944" s="6"/>
      <c r="H28944" s="13"/>
    </row>
    <row r="28945">
      <c r="A28945" s="6"/>
      <c r="B28945" s="6"/>
      <c r="H28945" s="13"/>
    </row>
    <row r="28946">
      <c r="A28946" s="6"/>
      <c r="B28946" s="6"/>
      <c r="H28946" s="13"/>
    </row>
    <row r="28947">
      <c r="A28947" s="6"/>
      <c r="B28947" s="6"/>
      <c r="H28947" s="13"/>
    </row>
    <row r="28948">
      <c r="A28948" s="6"/>
      <c r="B28948" s="6"/>
      <c r="H28948" s="13"/>
    </row>
    <row r="28949">
      <c r="A28949" s="6"/>
      <c r="B28949" s="6"/>
      <c r="H28949" s="13"/>
    </row>
    <row r="28950">
      <c r="A28950" s="6"/>
      <c r="B28950" s="6"/>
      <c r="H28950" s="13"/>
    </row>
    <row r="28951">
      <c r="A28951" s="6"/>
      <c r="B28951" s="6"/>
      <c r="H28951" s="13"/>
    </row>
    <row r="28952">
      <c r="A28952" s="6"/>
      <c r="B28952" s="6"/>
      <c r="H28952" s="13"/>
    </row>
    <row r="28953">
      <c r="A28953" s="6"/>
      <c r="B28953" s="6"/>
      <c r="H28953" s="13"/>
    </row>
    <row r="28954">
      <c r="A28954" s="6"/>
      <c r="B28954" s="6"/>
      <c r="H28954" s="13"/>
    </row>
    <row r="28955">
      <c r="A28955" s="6"/>
      <c r="B28955" s="6"/>
      <c r="H28955" s="13"/>
    </row>
    <row r="28956">
      <c r="A28956" s="6"/>
      <c r="B28956" s="6"/>
      <c r="H28956" s="13"/>
    </row>
    <row r="28957">
      <c r="A28957" s="6"/>
      <c r="B28957" s="6"/>
      <c r="H28957" s="13"/>
    </row>
    <row r="28958">
      <c r="A28958" s="6"/>
      <c r="B28958" s="6"/>
      <c r="H28958" s="13"/>
    </row>
    <row r="28959">
      <c r="A28959" s="6"/>
      <c r="B28959" s="6"/>
      <c r="H28959" s="13"/>
    </row>
    <row r="28960">
      <c r="A28960" s="6"/>
      <c r="B28960" s="6"/>
      <c r="H28960" s="13"/>
    </row>
    <row r="28961">
      <c r="A28961" s="6"/>
      <c r="B28961" s="6"/>
      <c r="H28961" s="13"/>
    </row>
    <row r="28962">
      <c r="A28962" s="6"/>
      <c r="B28962" s="6"/>
      <c r="H28962" s="13"/>
    </row>
    <row r="28963">
      <c r="A28963" s="6"/>
      <c r="B28963" s="6"/>
      <c r="H28963" s="13"/>
    </row>
    <row r="28964">
      <c r="A28964" s="6"/>
      <c r="B28964" s="6"/>
      <c r="H28964" s="13"/>
    </row>
    <row r="28965">
      <c r="A28965" s="6"/>
      <c r="B28965" s="6"/>
      <c r="H28965" s="13"/>
    </row>
    <row r="28966">
      <c r="A28966" s="6"/>
      <c r="B28966" s="6"/>
      <c r="H28966" s="13"/>
    </row>
    <row r="28967">
      <c r="A28967" s="6"/>
      <c r="B28967" s="6"/>
      <c r="H28967" s="13"/>
    </row>
    <row r="28968">
      <c r="A28968" s="6"/>
      <c r="B28968" s="6"/>
      <c r="H28968" s="13"/>
    </row>
    <row r="28969">
      <c r="A28969" s="6"/>
      <c r="B28969" s="6"/>
      <c r="H28969" s="13"/>
    </row>
    <row r="28970">
      <c r="A28970" s="6"/>
      <c r="B28970" s="6"/>
      <c r="H28970" s="13"/>
    </row>
    <row r="28971">
      <c r="A28971" s="6"/>
      <c r="B28971" s="6"/>
      <c r="H28971" s="13"/>
    </row>
    <row r="28972">
      <c r="A28972" s="6"/>
      <c r="B28972" s="6"/>
      <c r="H28972" s="13"/>
    </row>
    <row r="28973">
      <c r="A28973" s="6"/>
      <c r="B28973" s="6"/>
      <c r="H28973" s="13"/>
    </row>
    <row r="28974">
      <c r="A28974" s="6"/>
      <c r="B28974" s="6"/>
      <c r="H28974" s="13"/>
    </row>
    <row r="28975">
      <c r="A28975" s="6"/>
      <c r="B28975" s="6"/>
      <c r="H28975" s="13"/>
    </row>
    <row r="28976">
      <c r="A28976" s="6"/>
      <c r="B28976" s="6"/>
      <c r="H28976" s="13"/>
    </row>
    <row r="28977">
      <c r="A28977" s="6"/>
      <c r="B28977" s="6"/>
      <c r="H28977" s="13"/>
    </row>
    <row r="28978">
      <c r="A28978" s="6"/>
      <c r="B28978" s="6"/>
      <c r="H28978" s="13"/>
    </row>
    <row r="28979">
      <c r="A28979" s="6"/>
      <c r="B28979" s="6"/>
      <c r="H28979" s="13"/>
    </row>
    <row r="28980">
      <c r="A28980" s="6"/>
      <c r="B28980" s="6"/>
      <c r="H28980" s="13"/>
    </row>
    <row r="28981">
      <c r="A28981" s="6"/>
      <c r="B28981" s="6"/>
      <c r="H28981" s="13"/>
    </row>
    <row r="28982">
      <c r="A28982" s="6"/>
      <c r="B28982" s="6"/>
      <c r="H28982" s="13"/>
    </row>
    <row r="28983">
      <c r="A28983" s="6"/>
      <c r="B28983" s="6"/>
      <c r="H28983" s="13"/>
    </row>
    <row r="28984">
      <c r="A28984" s="6"/>
      <c r="B28984" s="6"/>
      <c r="H28984" s="13"/>
    </row>
    <row r="28985">
      <c r="A28985" s="6"/>
      <c r="B28985" s="6"/>
      <c r="H28985" s="13"/>
    </row>
    <row r="28986">
      <c r="A28986" s="6"/>
      <c r="B28986" s="6"/>
      <c r="H28986" s="13"/>
    </row>
    <row r="28987">
      <c r="A28987" s="6"/>
      <c r="B28987" s="6"/>
      <c r="H28987" s="13"/>
    </row>
    <row r="28988">
      <c r="A28988" s="6"/>
      <c r="B28988" s="6"/>
      <c r="H28988" s="13"/>
    </row>
    <row r="28989">
      <c r="A28989" s="6"/>
      <c r="B28989" s="6"/>
      <c r="H28989" s="13"/>
    </row>
    <row r="28990">
      <c r="A28990" s="6"/>
      <c r="B28990" s="6"/>
      <c r="H28990" s="13"/>
    </row>
    <row r="28991">
      <c r="A28991" s="6"/>
      <c r="B28991" s="6"/>
      <c r="H28991" s="13"/>
    </row>
    <row r="28992">
      <c r="A28992" s="6"/>
      <c r="B28992" s="6"/>
      <c r="H28992" s="13"/>
    </row>
    <row r="28993">
      <c r="A28993" s="6"/>
      <c r="B28993" s="6"/>
      <c r="H28993" s="13"/>
    </row>
    <row r="28994">
      <c r="A28994" s="6"/>
      <c r="B28994" s="6"/>
      <c r="H28994" s="13"/>
    </row>
    <row r="28995">
      <c r="A28995" s="6"/>
      <c r="B28995" s="6"/>
      <c r="H28995" s="13"/>
    </row>
    <row r="28996">
      <c r="A28996" s="6"/>
      <c r="B28996" s="6"/>
      <c r="H28996" s="13"/>
    </row>
    <row r="28997">
      <c r="A28997" s="6"/>
      <c r="B28997" s="6"/>
      <c r="H28997" s="13"/>
    </row>
    <row r="28998">
      <c r="A28998" s="6"/>
      <c r="B28998" s="6"/>
      <c r="H28998" s="13"/>
    </row>
    <row r="28999">
      <c r="A28999" s="6"/>
      <c r="B28999" s="6"/>
      <c r="H28999" s="13"/>
    </row>
    <row r="29000">
      <c r="A29000" s="6"/>
      <c r="B29000" s="6"/>
      <c r="H29000" s="13"/>
    </row>
    <row r="29001">
      <c r="A29001" s="6"/>
      <c r="B29001" s="6"/>
      <c r="H29001" s="13"/>
    </row>
    <row r="29002">
      <c r="A29002" s="6"/>
      <c r="B29002" s="6"/>
      <c r="H29002" s="13"/>
    </row>
    <row r="29003">
      <c r="A29003" s="6"/>
      <c r="B29003" s="6"/>
      <c r="H29003" s="13"/>
    </row>
    <row r="29004">
      <c r="A29004" s="6"/>
      <c r="B29004" s="6"/>
      <c r="H29004" s="13"/>
    </row>
    <row r="29005">
      <c r="A29005" s="6"/>
      <c r="B29005" s="6"/>
      <c r="H29005" s="13"/>
    </row>
    <row r="29006">
      <c r="A29006" s="6"/>
      <c r="B29006" s="6"/>
      <c r="H29006" s="13"/>
    </row>
    <row r="29007">
      <c r="A29007" s="6"/>
      <c r="B29007" s="6"/>
      <c r="H29007" s="13"/>
    </row>
    <row r="29008">
      <c r="A29008" s="6"/>
      <c r="B29008" s="6"/>
      <c r="H29008" s="13"/>
    </row>
    <row r="29009">
      <c r="A29009" s="6"/>
      <c r="B29009" s="6"/>
      <c r="H29009" s="13"/>
    </row>
    <row r="29010">
      <c r="A29010" s="6"/>
      <c r="B29010" s="6"/>
      <c r="H29010" s="13"/>
    </row>
    <row r="29011">
      <c r="A29011" s="6"/>
      <c r="B29011" s="6"/>
      <c r="H29011" s="13"/>
    </row>
    <row r="29012">
      <c r="A29012" s="6"/>
      <c r="B29012" s="6"/>
      <c r="H29012" s="13"/>
    </row>
    <row r="29013">
      <c r="A29013" s="6"/>
      <c r="B29013" s="6"/>
      <c r="H29013" s="13"/>
    </row>
    <row r="29014">
      <c r="A29014" s="6"/>
      <c r="B29014" s="6"/>
      <c r="H29014" s="13"/>
    </row>
    <row r="29015">
      <c r="A29015" s="6"/>
      <c r="B29015" s="6"/>
      <c r="H29015" s="13"/>
    </row>
    <row r="29016">
      <c r="A29016" s="6"/>
      <c r="B29016" s="6"/>
      <c r="H29016" s="13"/>
    </row>
    <row r="29017">
      <c r="A29017" s="6"/>
      <c r="B29017" s="6"/>
      <c r="H29017" s="13"/>
    </row>
    <row r="29018">
      <c r="A29018" s="6"/>
      <c r="B29018" s="6"/>
      <c r="H29018" s="13"/>
    </row>
    <row r="29019">
      <c r="A29019" s="6"/>
      <c r="B29019" s="6"/>
      <c r="H29019" s="13"/>
    </row>
    <row r="29020">
      <c r="A29020" s="6"/>
      <c r="B29020" s="6"/>
      <c r="H29020" s="13"/>
    </row>
    <row r="29021">
      <c r="A29021" s="6"/>
      <c r="B29021" s="6"/>
      <c r="H29021" s="13"/>
    </row>
    <row r="29022">
      <c r="A29022" s="6"/>
      <c r="B29022" s="6"/>
      <c r="H29022" s="13"/>
    </row>
    <row r="29023">
      <c r="A29023" s="6"/>
      <c r="B29023" s="6"/>
      <c r="H29023" s="13"/>
    </row>
    <row r="29024">
      <c r="A29024" s="6"/>
      <c r="B29024" s="6"/>
      <c r="H29024" s="13"/>
    </row>
    <row r="29025">
      <c r="A29025" s="6"/>
      <c r="B29025" s="6"/>
      <c r="H29025" s="13"/>
    </row>
    <row r="29026">
      <c r="A29026" s="6"/>
      <c r="B29026" s="6"/>
      <c r="H29026" s="13"/>
    </row>
    <row r="29027">
      <c r="A29027" s="6"/>
      <c r="B29027" s="6"/>
      <c r="H29027" s="13"/>
    </row>
    <row r="29028">
      <c r="A29028" s="6"/>
      <c r="B29028" s="6"/>
      <c r="H29028" s="13"/>
    </row>
    <row r="29029">
      <c r="A29029" s="6"/>
      <c r="B29029" s="6"/>
      <c r="H29029" s="13"/>
    </row>
    <row r="29030">
      <c r="A29030" s="6"/>
      <c r="B29030" s="6"/>
      <c r="H29030" s="13"/>
    </row>
    <row r="29031">
      <c r="A29031" s="6"/>
      <c r="B29031" s="6"/>
      <c r="H29031" s="13"/>
    </row>
    <row r="29032">
      <c r="A29032" s="6"/>
      <c r="B29032" s="6"/>
      <c r="H29032" s="13"/>
    </row>
    <row r="29033">
      <c r="A29033" s="6"/>
      <c r="B29033" s="6"/>
      <c r="H29033" s="13"/>
    </row>
    <row r="29034">
      <c r="A29034" s="6"/>
      <c r="B29034" s="6"/>
      <c r="H29034" s="13"/>
    </row>
    <row r="29035">
      <c r="A29035" s="6"/>
      <c r="B29035" s="6"/>
      <c r="H29035" s="13"/>
    </row>
    <row r="29036">
      <c r="A29036" s="6"/>
      <c r="B29036" s="6"/>
      <c r="H29036" s="13"/>
    </row>
    <row r="29037">
      <c r="A29037" s="6"/>
      <c r="B29037" s="6"/>
      <c r="H29037" s="13"/>
    </row>
    <row r="29038">
      <c r="A29038" s="6"/>
      <c r="B29038" s="6"/>
      <c r="H29038" s="13"/>
    </row>
    <row r="29039">
      <c r="A29039" s="6"/>
      <c r="B29039" s="6"/>
      <c r="H29039" s="13"/>
    </row>
    <row r="29040">
      <c r="A29040" s="6"/>
      <c r="B29040" s="6"/>
      <c r="H29040" s="13"/>
    </row>
    <row r="29041">
      <c r="A29041" s="6"/>
      <c r="B29041" s="6"/>
      <c r="H29041" s="13"/>
    </row>
    <row r="29042">
      <c r="A29042" s="6"/>
      <c r="B29042" s="6"/>
      <c r="H29042" s="13"/>
    </row>
    <row r="29043">
      <c r="A29043" s="6"/>
      <c r="B29043" s="6"/>
      <c r="H29043" s="13"/>
    </row>
    <row r="29044">
      <c r="A29044" s="6"/>
      <c r="B29044" s="6"/>
      <c r="H29044" s="13"/>
    </row>
    <row r="29045">
      <c r="A29045" s="6"/>
      <c r="B29045" s="6"/>
      <c r="H29045" s="13"/>
    </row>
    <row r="29046">
      <c r="A29046" s="6"/>
      <c r="B29046" s="6"/>
      <c r="H29046" s="13"/>
    </row>
    <row r="29047">
      <c r="A29047" s="6"/>
      <c r="B29047" s="6"/>
      <c r="H29047" s="13"/>
    </row>
    <row r="29048">
      <c r="A29048" s="6"/>
      <c r="B29048" s="6"/>
      <c r="H29048" s="13"/>
    </row>
    <row r="29049">
      <c r="A29049" s="6"/>
      <c r="B29049" s="6"/>
      <c r="H29049" s="13"/>
    </row>
    <row r="29050">
      <c r="A29050" s="6"/>
      <c r="B29050" s="6"/>
      <c r="H29050" s="13"/>
    </row>
    <row r="29051">
      <c r="A29051" s="6"/>
      <c r="B29051" s="6"/>
      <c r="H29051" s="13"/>
    </row>
    <row r="29052">
      <c r="A29052" s="6"/>
      <c r="B29052" s="6"/>
      <c r="H29052" s="13"/>
    </row>
    <row r="29053">
      <c r="A29053" s="6"/>
      <c r="B29053" s="6"/>
      <c r="H29053" s="13"/>
    </row>
    <row r="29054">
      <c r="A29054" s="6"/>
      <c r="B29054" s="6"/>
      <c r="H29054" s="13"/>
    </row>
    <row r="29055">
      <c r="A29055" s="6"/>
      <c r="B29055" s="6"/>
      <c r="H29055" s="13"/>
    </row>
    <row r="29056">
      <c r="A29056" s="6"/>
      <c r="B29056" s="6"/>
      <c r="H29056" s="13"/>
    </row>
    <row r="29057">
      <c r="A29057" s="6"/>
      <c r="B29057" s="6"/>
      <c r="H29057" s="13"/>
    </row>
    <row r="29058">
      <c r="A29058" s="6"/>
      <c r="B29058" s="6"/>
      <c r="H29058" s="13"/>
    </row>
    <row r="29059">
      <c r="A29059" s="6"/>
      <c r="B29059" s="6"/>
      <c r="H29059" s="13"/>
    </row>
    <row r="29060">
      <c r="A29060" s="6"/>
      <c r="B29060" s="6"/>
      <c r="H29060" s="13"/>
    </row>
    <row r="29061">
      <c r="A29061" s="6"/>
      <c r="B29061" s="6"/>
      <c r="H29061" s="13"/>
    </row>
    <row r="29062">
      <c r="A29062" s="6"/>
      <c r="B29062" s="6"/>
      <c r="H29062" s="13"/>
    </row>
    <row r="29063">
      <c r="A29063" s="6"/>
      <c r="B29063" s="6"/>
      <c r="H29063" s="13"/>
    </row>
    <row r="29064">
      <c r="A29064" s="6"/>
      <c r="B29064" s="6"/>
      <c r="H29064" s="13"/>
    </row>
    <row r="29065">
      <c r="A29065" s="6"/>
      <c r="B29065" s="6"/>
      <c r="H29065" s="13"/>
    </row>
    <row r="29066">
      <c r="A29066" s="6"/>
      <c r="B29066" s="6"/>
      <c r="H29066" s="13"/>
    </row>
    <row r="29067">
      <c r="A29067" s="6"/>
      <c r="B29067" s="6"/>
      <c r="H29067" s="13"/>
    </row>
    <row r="29068">
      <c r="A29068" s="6"/>
      <c r="B29068" s="6"/>
      <c r="H29068" s="13"/>
    </row>
    <row r="29069">
      <c r="A29069" s="6"/>
      <c r="B29069" s="6"/>
      <c r="H29069" s="13"/>
    </row>
    <row r="29070">
      <c r="A29070" s="6"/>
      <c r="B29070" s="6"/>
      <c r="H29070" s="13"/>
    </row>
    <row r="29071">
      <c r="A29071" s="6"/>
      <c r="B29071" s="6"/>
      <c r="H29071" s="13"/>
    </row>
    <row r="29072">
      <c r="A29072" s="6"/>
      <c r="B29072" s="6"/>
      <c r="H29072" s="13"/>
    </row>
    <row r="29073">
      <c r="A29073" s="6"/>
      <c r="B29073" s="6"/>
      <c r="H29073" s="13"/>
    </row>
    <row r="29074">
      <c r="A29074" s="6"/>
      <c r="B29074" s="6"/>
      <c r="H29074" s="13"/>
    </row>
    <row r="29075">
      <c r="A29075" s="6"/>
      <c r="B29075" s="6"/>
      <c r="H29075" s="13"/>
    </row>
    <row r="29076">
      <c r="A29076" s="6"/>
      <c r="B29076" s="6"/>
      <c r="H29076" s="13"/>
    </row>
    <row r="29077">
      <c r="A29077" s="6"/>
      <c r="B29077" s="6"/>
      <c r="H29077" s="13"/>
    </row>
    <row r="29078">
      <c r="A29078" s="6"/>
      <c r="B29078" s="6"/>
      <c r="H29078" s="13"/>
    </row>
    <row r="29079">
      <c r="A29079" s="6"/>
      <c r="B29079" s="6"/>
      <c r="H29079" s="13"/>
    </row>
    <row r="29080">
      <c r="A29080" s="6"/>
      <c r="B29080" s="6"/>
      <c r="H29080" s="13"/>
    </row>
    <row r="29081">
      <c r="A29081" s="6"/>
      <c r="B29081" s="6"/>
      <c r="H29081" s="13"/>
    </row>
    <row r="29082">
      <c r="A29082" s="6"/>
      <c r="B29082" s="6"/>
      <c r="H29082" s="13"/>
    </row>
    <row r="29083">
      <c r="A29083" s="6"/>
      <c r="B29083" s="6"/>
      <c r="H29083" s="13"/>
    </row>
    <row r="29084">
      <c r="A29084" s="6"/>
      <c r="B29084" s="6"/>
      <c r="H29084" s="13"/>
    </row>
    <row r="29085">
      <c r="A29085" s="6"/>
      <c r="B29085" s="6"/>
      <c r="H29085" s="13"/>
    </row>
    <row r="29086">
      <c r="A29086" s="6"/>
      <c r="B29086" s="6"/>
      <c r="H29086" s="13"/>
    </row>
    <row r="29087">
      <c r="A29087" s="6"/>
      <c r="B29087" s="6"/>
      <c r="H29087" s="13"/>
    </row>
    <row r="29088">
      <c r="A29088" s="6"/>
      <c r="B29088" s="6"/>
      <c r="H29088" s="13"/>
    </row>
    <row r="29089">
      <c r="A29089" s="6"/>
      <c r="B29089" s="6"/>
      <c r="H29089" s="13"/>
    </row>
    <row r="29090">
      <c r="A29090" s="6"/>
      <c r="B29090" s="6"/>
      <c r="H29090" s="13"/>
    </row>
    <row r="29091">
      <c r="A29091" s="6"/>
      <c r="B29091" s="6"/>
      <c r="H29091" s="13"/>
    </row>
    <row r="29092">
      <c r="A29092" s="6"/>
      <c r="B29092" s="6"/>
      <c r="H29092" s="13"/>
    </row>
    <row r="29093">
      <c r="A29093" s="6"/>
      <c r="B29093" s="6"/>
      <c r="H29093" s="13"/>
    </row>
    <row r="29094">
      <c r="A29094" s="6"/>
      <c r="B29094" s="6"/>
      <c r="H29094" s="13"/>
    </row>
    <row r="29095">
      <c r="A29095" s="6"/>
      <c r="B29095" s="6"/>
      <c r="H29095" s="13"/>
    </row>
    <row r="29096">
      <c r="A29096" s="6"/>
      <c r="B29096" s="6"/>
      <c r="H29096" s="13"/>
    </row>
    <row r="29097">
      <c r="A29097" s="6"/>
      <c r="B29097" s="6"/>
      <c r="H29097" s="13"/>
    </row>
    <row r="29098">
      <c r="A29098" s="6"/>
      <c r="B29098" s="6"/>
      <c r="H29098" s="13"/>
    </row>
    <row r="29099">
      <c r="A29099" s="6"/>
      <c r="B29099" s="6"/>
      <c r="H29099" s="13"/>
    </row>
    <row r="29100">
      <c r="A29100" s="6"/>
      <c r="B29100" s="6"/>
      <c r="H29100" s="13"/>
    </row>
    <row r="29101">
      <c r="A29101" s="6"/>
      <c r="B29101" s="6"/>
      <c r="H29101" s="13"/>
    </row>
    <row r="29102">
      <c r="A29102" s="6"/>
      <c r="B29102" s="6"/>
      <c r="H29102" s="13"/>
    </row>
    <row r="29103">
      <c r="A29103" s="6"/>
      <c r="B29103" s="6"/>
      <c r="H29103" s="13"/>
    </row>
    <row r="29104">
      <c r="A29104" s="6"/>
      <c r="B29104" s="6"/>
      <c r="H29104" s="13"/>
    </row>
    <row r="29105">
      <c r="A29105" s="6"/>
      <c r="B29105" s="6"/>
      <c r="H29105" s="13"/>
    </row>
    <row r="29106">
      <c r="A29106" s="6"/>
      <c r="B29106" s="6"/>
      <c r="H29106" s="13"/>
    </row>
    <row r="29107">
      <c r="A29107" s="6"/>
      <c r="B29107" s="6"/>
      <c r="H29107" s="13"/>
    </row>
    <row r="29108">
      <c r="A29108" s="6"/>
      <c r="B29108" s="6"/>
      <c r="H29108" s="13"/>
    </row>
    <row r="29109">
      <c r="A29109" s="6"/>
      <c r="B29109" s="6"/>
      <c r="H29109" s="13"/>
    </row>
    <row r="29110">
      <c r="A29110" s="6"/>
      <c r="B29110" s="6"/>
      <c r="H29110" s="13"/>
    </row>
    <row r="29111">
      <c r="A29111" s="6"/>
      <c r="B29111" s="6"/>
      <c r="H29111" s="13"/>
    </row>
    <row r="29112">
      <c r="A29112" s="6"/>
      <c r="B29112" s="6"/>
      <c r="H29112" s="13"/>
    </row>
    <row r="29113">
      <c r="A29113" s="6"/>
      <c r="B29113" s="6"/>
      <c r="H29113" s="13"/>
    </row>
    <row r="29114">
      <c r="A29114" s="6"/>
      <c r="B29114" s="6"/>
      <c r="H29114" s="13"/>
    </row>
    <row r="29115">
      <c r="A29115" s="6"/>
      <c r="B29115" s="6"/>
      <c r="H29115" s="13"/>
    </row>
    <row r="29116">
      <c r="A29116" s="6"/>
      <c r="B29116" s="6"/>
      <c r="H29116" s="13"/>
    </row>
    <row r="29117">
      <c r="A29117" s="6"/>
      <c r="B29117" s="6"/>
      <c r="H29117" s="13"/>
    </row>
    <row r="29118">
      <c r="A29118" s="6"/>
      <c r="B29118" s="6"/>
      <c r="H29118" s="13"/>
    </row>
    <row r="29119">
      <c r="A29119" s="6"/>
      <c r="B29119" s="6"/>
      <c r="H29119" s="13"/>
    </row>
    <row r="29120">
      <c r="A29120" s="6"/>
      <c r="B29120" s="6"/>
      <c r="H29120" s="13"/>
    </row>
    <row r="29121">
      <c r="A29121" s="6"/>
      <c r="B29121" s="6"/>
      <c r="H29121" s="13"/>
    </row>
    <row r="29122">
      <c r="A29122" s="6"/>
      <c r="B29122" s="6"/>
      <c r="H29122" s="13"/>
    </row>
    <row r="29123">
      <c r="A29123" s="6"/>
      <c r="B29123" s="6"/>
      <c r="H29123" s="13"/>
    </row>
    <row r="29124">
      <c r="A29124" s="6"/>
      <c r="B29124" s="6"/>
      <c r="H29124" s="13"/>
    </row>
    <row r="29125">
      <c r="A29125" s="6"/>
      <c r="B29125" s="6"/>
      <c r="H29125" s="13"/>
    </row>
    <row r="29126">
      <c r="A29126" s="6"/>
      <c r="B29126" s="6"/>
      <c r="H29126" s="13"/>
    </row>
    <row r="29127">
      <c r="A29127" s="6"/>
      <c r="B29127" s="6"/>
      <c r="H29127" s="13"/>
    </row>
    <row r="29128">
      <c r="A29128" s="6"/>
      <c r="B29128" s="6"/>
      <c r="H29128" s="13"/>
    </row>
    <row r="29129">
      <c r="A29129" s="6"/>
      <c r="B29129" s="6"/>
      <c r="H29129" s="13"/>
    </row>
    <row r="29130">
      <c r="A29130" s="6"/>
      <c r="B29130" s="6"/>
      <c r="H29130" s="13"/>
    </row>
    <row r="29131">
      <c r="A29131" s="6"/>
      <c r="B29131" s="6"/>
      <c r="H29131" s="13"/>
    </row>
    <row r="29132">
      <c r="A29132" s="6"/>
      <c r="B29132" s="6"/>
      <c r="H29132" s="13"/>
    </row>
    <row r="29133">
      <c r="A29133" s="6"/>
      <c r="B29133" s="6"/>
      <c r="H29133" s="13"/>
    </row>
    <row r="29134">
      <c r="A29134" s="6"/>
      <c r="B29134" s="6"/>
      <c r="H29134" s="13"/>
    </row>
    <row r="29135">
      <c r="A29135" s="6"/>
      <c r="B29135" s="6"/>
      <c r="H29135" s="13"/>
    </row>
    <row r="29136">
      <c r="A29136" s="6"/>
      <c r="B29136" s="6"/>
      <c r="H29136" s="13"/>
    </row>
    <row r="29137">
      <c r="A29137" s="6"/>
      <c r="B29137" s="6"/>
      <c r="H29137" s="13"/>
    </row>
    <row r="29138">
      <c r="A29138" s="6"/>
      <c r="B29138" s="6"/>
      <c r="H29138" s="13"/>
    </row>
    <row r="29139">
      <c r="A29139" s="6"/>
      <c r="B29139" s="6"/>
      <c r="H29139" s="13"/>
    </row>
    <row r="29140">
      <c r="A29140" s="6"/>
      <c r="B29140" s="6"/>
      <c r="H29140" s="13"/>
    </row>
    <row r="29141">
      <c r="A29141" s="6"/>
      <c r="B29141" s="6"/>
      <c r="H29141" s="13"/>
    </row>
    <row r="29142">
      <c r="A29142" s="6"/>
      <c r="B29142" s="6"/>
      <c r="H29142" s="13"/>
    </row>
    <row r="29143">
      <c r="A29143" s="6"/>
      <c r="B29143" s="6"/>
      <c r="H29143" s="13"/>
    </row>
    <row r="29144">
      <c r="A29144" s="6"/>
      <c r="B29144" s="6"/>
      <c r="H29144" s="13"/>
    </row>
    <row r="29145">
      <c r="A29145" s="6"/>
      <c r="B29145" s="6"/>
      <c r="H29145" s="13"/>
    </row>
    <row r="29146">
      <c r="A29146" s="6"/>
      <c r="B29146" s="6"/>
      <c r="H29146" s="13"/>
    </row>
    <row r="29147">
      <c r="A29147" s="6"/>
      <c r="B29147" s="6"/>
      <c r="H29147" s="13"/>
    </row>
    <row r="29148">
      <c r="A29148" s="6"/>
      <c r="B29148" s="6"/>
      <c r="H29148" s="13"/>
    </row>
    <row r="29149">
      <c r="A29149" s="6"/>
      <c r="B29149" s="6"/>
      <c r="H29149" s="13"/>
    </row>
    <row r="29150">
      <c r="A29150" s="6"/>
      <c r="B29150" s="6"/>
      <c r="H29150" s="13"/>
    </row>
    <row r="29151">
      <c r="A29151" s="6"/>
      <c r="B29151" s="6"/>
      <c r="H29151" s="13"/>
    </row>
    <row r="29152">
      <c r="A29152" s="6"/>
      <c r="B29152" s="6"/>
      <c r="H29152" s="13"/>
    </row>
    <row r="29153">
      <c r="A29153" s="6"/>
      <c r="B29153" s="6"/>
      <c r="H29153" s="13"/>
    </row>
    <row r="29154">
      <c r="A29154" s="6"/>
      <c r="B29154" s="6"/>
      <c r="H29154" s="13"/>
    </row>
    <row r="29155">
      <c r="A29155" s="6"/>
      <c r="B29155" s="6"/>
      <c r="H29155" s="13"/>
    </row>
    <row r="29156">
      <c r="A29156" s="6"/>
      <c r="B29156" s="6"/>
      <c r="H29156" s="13"/>
    </row>
    <row r="29157">
      <c r="A29157" s="6"/>
      <c r="B29157" s="6"/>
      <c r="H29157" s="13"/>
    </row>
    <row r="29158">
      <c r="A29158" s="6"/>
      <c r="B29158" s="6"/>
      <c r="H29158" s="13"/>
    </row>
    <row r="29159">
      <c r="A29159" s="6"/>
      <c r="B29159" s="6"/>
      <c r="H29159" s="13"/>
    </row>
    <row r="29160">
      <c r="A29160" s="6"/>
      <c r="B29160" s="6"/>
      <c r="H29160" s="13"/>
    </row>
    <row r="29161">
      <c r="A29161" s="6"/>
      <c r="B29161" s="6"/>
      <c r="H29161" s="13"/>
    </row>
    <row r="29162">
      <c r="A29162" s="6"/>
      <c r="B29162" s="6"/>
      <c r="H29162" s="13"/>
    </row>
    <row r="29163">
      <c r="A29163" s="6"/>
      <c r="B29163" s="6"/>
      <c r="H29163" s="13"/>
    </row>
    <row r="29164">
      <c r="A29164" s="6"/>
      <c r="B29164" s="6"/>
      <c r="H29164" s="13"/>
    </row>
    <row r="29165">
      <c r="A29165" s="6"/>
      <c r="B29165" s="6"/>
      <c r="H29165" s="13"/>
    </row>
    <row r="29166">
      <c r="A29166" s="6"/>
      <c r="B29166" s="6"/>
      <c r="H29166" s="13"/>
    </row>
    <row r="29167">
      <c r="A29167" s="6"/>
      <c r="B29167" s="6"/>
      <c r="H29167" s="13"/>
    </row>
    <row r="29168">
      <c r="A29168" s="6"/>
      <c r="B29168" s="6"/>
      <c r="H29168" s="13"/>
    </row>
    <row r="29169">
      <c r="A29169" s="6"/>
      <c r="B29169" s="6"/>
      <c r="H29169" s="13"/>
    </row>
    <row r="29170">
      <c r="A29170" s="6"/>
      <c r="B29170" s="6"/>
      <c r="H29170" s="13"/>
    </row>
    <row r="29171">
      <c r="A29171" s="6"/>
      <c r="B29171" s="6"/>
      <c r="H29171" s="13"/>
    </row>
    <row r="29172">
      <c r="A29172" s="6"/>
      <c r="B29172" s="6"/>
      <c r="H29172" s="13"/>
    </row>
    <row r="29173">
      <c r="A29173" s="6"/>
      <c r="B29173" s="6"/>
      <c r="H29173" s="13"/>
    </row>
    <row r="29174">
      <c r="A29174" s="6"/>
      <c r="B29174" s="6"/>
      <c r="H29174" s="13"/>
    </row>
    <row r="29175">
      <c r="A29175" s="6"/>
      <c r="B29175" s="6"/>
      <c r="H29175" s="13"/>
    </row>
    <row r="29176">
      <c r="A29176" s="6"/>
      <c r="B29176" s="6"/>
      <c r="H29176" s="13"/>
    </row>
    <row r="29177">
      <c r="A29177" s="6"/>
      <c r="B29177" s="6"/>
      <c r="H29177" s="13"/>
    </row>
    <row r="29178">
      <c r="A29178" s="6"/>
      <c r="B29178" s="6"/>
      <c r="H29178" s="13"/>
    </row>
    <row r="29179">
      <c r="A29179" s="6"/>
      <c r="B29179" s="6"/>
      <c r="H29179" s="13"/>
    </row>
    <row r="29180">
      <c r="A29180" s="6"/>
      <c r="B29180" s="6"/>
      <c r="H29180" s="13"/>
    </row>
    <row r="29181">
      <c r="A29181" s="6"/>
      <c r="B29181" s="6"/>
      <c r="H29181" s="13"/>
    </row>
    <row r="29182">
      <c r="A29182" s="6"/>
      <c r="B29182" s="6"/>
      <c r="H29182" s="13"/>
    </row>
    <row r="29183">
      <c r="A29183" s="6"/>
      <c r="B29183" s="6"/>
      <c r="H29183" s="13"/>
    </row>
    <row r="29184">
      <c r="A29184" s="6"/>
      <c r="B29184" s="6"/>
      <c r="H29184" s="13"/>
    </row>
    <row r="29185">
      <c r="A29185" s="6"/>
      <c r="B29185" s="6"/>
      <c r="H29185" s="13"/>
    </row>
    <row r="29186">
      <c r="A29186" s="6"/>
      <c r="B29186" s="6"/>
      <c r="H29186" s="13"/>
    </row>
    <row r="29187">
      <c r="A29187" s="6"/>
      <c r="B29187" s="6"/>
      <c r="H29187" s="13"/>
    </row>
    <row r="29188">
      <c r="A29188" s="6"/>
      <c r="B29188" s="6"/>
      <c r="H29188" s="13"/>
    </row>
    <row r="29189">
      <c r="A29189" s="6"/>
      <c r="B29189" s="6"/>
      <c r="H29189" s="13"/>
    </row>
    <row r="29190">
      <c r="A29190" s="6"/>
      <c r="B29190" s="6"/>
      <c r="H29190" s="13"/>
    </row>
    <row r="29191">
      <c r="A29191" s="6"/>
      <c r="B29191" s="6"/>
      <c r="H29191" s="13"/>
    </row>
    <row r="29192">
      <c r="A29192" s="6"/>
      <c r="B29192" s="6"/>
      <c r="H29192" s="13"/>
    </row>
    <row r="29193">
      <c r="A29193" s="6"/>
      <c r="B29193" s="6"/>
      <c r="H29193" s="13"/>
    </row>
    <row r="29194">
      <c r="A29194" s="6"/>
      <c r="B29194" s="6"/>
      <c r="H29194" s="13"/>
    </row>
    <row r="29195">
      <c r="A29195" s="6"/>
      <c r="B29195" s="6"/>
      <c r="H29195" s="13"/>
    </row>
    <row r="29196">
      <c r="A29196" s="6"/>
      <c r="B29196" s="6"/>
      <c r="H29196" s="13"/>
    </row>
    <row r="29197">
      <c r="A29197" s="6"/>
      <c r="B29197" s="6"/>
      <c r="H29197" s="13"/>
    </row>
    <row r="29198">
      <c r="A29198" s="6"/>
      <c r="B29198" s="6"/>
      <c r="H29198" s="13"/>
    </row>
    <row r="29199">
      <c r="A29199" s="6"/>
      <c r="B29199" s="6"/>
      <c r="H29199" s="13"/>
    </row>
    <row r="29200">
      <c r="A29200" s="6"/>
      <c r="B29200" s="6"/>
      <c r="H29200" s="13"/>
    </row>
    <row r="29201">
      <c r="A29201" s="6"/>
      <c r="B29201" s="6"/>
      <c r="H29201" s="13"/>
    </row>
    <row r="29202">
      <c r="A29202" s="6"/>
      <c r="B29202" s="6"/>
      <c r="H29202" s="13"/>
    </row>
    <row r="29203">
      <c r="A29203" s="6"/>
      <c r="B29203" s="6"/>
      <c r="H29203" s="13"/>
    </row>
    <row r="29204">
      <c r="A29204" s="6"/>
      <c r="B29204" s="6"/>
      <c r="H29204" s="13"/>
    </row>
    <row r="29205">
      <c r="A29205" s="6"/>
      <c r="B29205" s="6"/>
      <c r="H29205" s="13"/>
    </row>
    <row r="29206">
      <c r="A29206" s="6"/>
      <c r="B29206" s="6"/>
      <c r="H29206" s="13"/>
    </row>
    <row r="29207">
      <c r="A29207" s="6"/>
      <c r="B29207" s="6"/>
      <c r="H29207" s="13"/>
    </row>
    <row r="29208">
      <c r="A29208" s="6"/>
      <c r="B29208" s="6"/>
      <c r="H29208" s="13"/>
    </row>
    <row r="29209">
      <c r="A29209" s="6"/>
      <c r="B29209" s="6"/>
      <c r="H29209" s="13"/>
    </row>
    <row r="29210">
      <c r="A29210" s="6"/>
      <c r="B29210" s="6"/>
      <c r="H29210" s="13"/>
    </row>
    <row r="29211">
      <c r="A29211" s="6"/>
      <c r="B29211" s="6"/>
      <c r="H29211" s="13"/>
    </row>
    <row r="29212">
      <c r="A29212" s="6"/>
      <c r="B29212" s="6"/>
      <c r="H29212" s="13"/>
    </row>
    <row r="29213">
      <c r="A29213" s="6"/>
      <c r="B29213" s="6"/>
      <c r="H29213" s="13"/>
    </row>
    <row r="29214">
      <c r="A29214" s="6"/>
      <c r="B29214" s="6"/>
      <c r="H29214" s="13"/>
    </row>
    <row r="29215">
      <c r="A29215" s="6"/>
      <c r="B29215" s="6"/>
      <c r="H29215" s="13"/>
    </row>
    <row r="29216">
      <c r="A29216" s="6"/>
      <c r="B29216" s="6"/>
      <c r="H29216" s="13"/>
    </row>
    <row r="29217">
      <c r="A29217" s="6"/>
      <c r="B29217" s="6"/>
      <c r="H29217" s="13"/>
    </row>
    <row r="29218">
      <c r="A29218" s="6"/>
      <c r="B29218" s="6"/>
      <c r="H29218" s="13"/>
    </row>
    <row r="29219">
      <c r="A29219" s="6"/>
      <c r="B29219" s="6"/>
      <c r="H29219" s="13"/>
    </row>
    <row r="29220">
      <c r="A29220" s="6"/>
      <c r="B29220" s="6"/>
      <c r="H29220" s="13"/>
    </row>
    <row r="29221">
      <c r="A29221" s="6"/>
      <c r="B29221" s="6"/>
      <c r="H29221" s="13"/>
    </row>
    <row r="29222">
      <c r="A29222" s="6"/>
      <c r="B29222" s="6"/>
      <c r="H29222" s="13"/>
    </row>
    <row r="29223">
      <c r="A29223" s="6"/>
      <c r="B29223" s="6"/>
      <c r="H29223" s="13"/>
    </row>
    <row r="29224">
      <c r="A29224" s="6"/>
      <c r="B29224" s="6"/>
      <c r="H29224" s="13"/>
    </row>
    <row r="29225">
      <c r="A29225" s="6"/>
      <c r="B29225" s="6"/>
      <c r="H29225" s="13"/>
    </row>
    <row r="29226">
      <c r="A29226" s="6"/>
      <c r="B29226" s="6"/>
      <c r="H29226" s="13"/>
    </row>
    <row r="29227">
      <c r="A29227" s="6"/>
      <c r="B29227" s="6"/>
      <c r="H29227" s="13"/>
    </row>
    <row r="29228">
      <c r="A29228" s="6"/>
      <c r="B29228" s="6"/>
      <c r="H29228" s="13"/>
    </row>
    <row r="29229">
      <c r="A29229" s="6"/>
      <c r="B29229" s="6"/>
      <c r="H29229" s="13"/>
    </row>
    <row r="29230">
      <c r="A29230" s="6"/>
      <c r="B29230" s="6"/>
      <c r="H29230" s="13"/>
    </row>
    <row r="29231">
      <c r="A29231" s="6"/>
      <c r="B29231" s="6"/>
      <c r="H29231" s="13"/>
    </row>
    <row r="29232">
      <c r="A29232" s="6"/>
      <c r="B29232" s="6"/>
      <c r="H29232" s="13"/>
    </row>
    <row r="29233">
      <c r="A29233" s="6"/>
      <c r="B29233" s="6"/>
      <c r="H29233" s="13"/>
    </row>
    <row r="29234">
      <c r="A29234" s="6"/>
      <c r="B29234" s="6"/>
      <c r="H29234" s="13"/>
    </row>
    <row r="29235">
      <c r="A29235" s="6"/>
      <c r="B29235" s="6"/>
      <c r="H29235" s="13"/>
    </row>
    <row r="29236">
      <c r="A29236" s="6"/>
      <c r="B29236" s="6"/>
      <c r="H29236" s="13"/>
    </row>
    <row r="29237">
      <c r="A29237" s="6"/>
      <c r="B29237" s="6"/>
      <c r="H29237" s="13"/>
    </row>
    <row r="29238">
      <c r="A29238" s="6"/>
      <c r="B29238" s="6"/>
      <c r="H29238" s="13"/>
    </row>
    <row r="29239">
      <c r="A29239" s="6"/>
      <c r="B29239" s="6"/>
      <c r="H29239" s="13"/>
    </row>
    <row r="29240">
      <c r="A29240" s="6"/>
      <c r="B29240" s="6"/>
      <c r="H29240" s="13"/>
    </row>
    <row r="29241">
      <c r="A29241" s="6"/>
      <c r="B29241" s="6"/>
      <c r="H29241" s="13"/>
    </row>
    <row r="29242">
      <c r="A29242" s="6"/>
      <c r="B29242" s="6"/>
      <c r="H29242" s="13"/>
    </row>
    <row r="29243">
      <c r="A29243" s="6"/>
      <c r="B29243" s="6"/>
      <c r="H29243" s="13"/>
    </row>
    <row r="29244">
      <c r="A29244" s="6"/>
      <c r="B29244" s="6"/>
      <c r="H29244" s="13"/>
    </row>
    <row r="29245">
      <c r="A29245" s="6"/>
      <c r="B29245" s="6"/>
      <c r="H29245" s="13"/>
    </row>
    <row r="29246">
      <c r="A29246" s="6"/>
      <c r="B29246" s="6"/>
      <c r="H29246" s="13"/>
    </row>
    <row r="29247">
      <c r="A29247" s="6"/>
      <c r="B29247" s="6"/>
      <c r="H29247" s="13"/>
    </row>
    <row r="29248">
      <c r="A29248" s="6"/>
      <c r="B29248" s="6"/>
      <c r="H29248" s="13"/>
    </row>
    <row r="29249">
      <c r="A29249" s="6"/>
      <c r="B29249" s="6"/>
      <c r="H29249" s="13"/>
    </row>
    <row r="29250">
      <c r="A29250" s="6"/>
      <c r="B29250" s="6"/>
      <c r="H29250" s="13"/>
    </row>
    <row r="29251">
      <c r="A29251" s="6"/>
      <c r="B29251" s="6"/>
      <c r="H29251" s="13"/>
    </row>
    <row r="29252">
      <c r="A29252" s="6"/>
      <c r="B29252" s="6"/>
      <c r="H29252" s="13"/>
    </row>
    <row r="29253">
      <c r="A29253" s="6"/>
      <c r="B29253" s="6"/>
      <c r="H29253" s="13"/>
    </row>
    <row r="29254">
      <c r="A29254" s="6"/>
      <c r="B29254" s="6"/>
      <c r="H29254" s="13"/>
    </row>
    <row r="29255">
      <c r="A29255" s="6"/>
      <c r="B29255" s="6"/>
      <c r="H29255" s="13"/>
    </row>
    <row r="29256">
      <c r="A29256" s="6"/>
      <c r="B29256" s="6"/>
      <c r="H29256" s="13"/>
    </row>
    <row r="29257">
      <c r="A29257" s="6"/>
      <c r="B29257" s="6"/>
      <c r="H29257" s="13"/>
    </row>
    <row r="29258">
      <c r="A29258" s="6"/>
      <c r="B29258" s="6"/>
      <c r="H29258" s="13"/>
    </row>
    <row r="29259">
      <c r="A29259" s="6"/>
      <c r="B29259" s="6"/>
      <c r="H29259" s="13"/>
    </row>
    <row r="29260">
      <c r="A29260" s="6"/>
      <c r="B29260" s="6"/>
      <c r="H29260" s="13"/>
    </row>
    <row r="29261">
      <c r="A29261" s="6"/>
      <c r="B29261" s="6"/>
      <c r="H29261" s="13"/>
    </row>
    <row r="29262">
      <c r="A29262" s="6"/>
      <c r="B29262" s="6"/>
      <c r="H29262" s="13"/>
    </row>
    <row r="29263">
      <c r="A29263" s="6"/>
      <c r="B29263" s="6"/>
      <c r="H29263" s="13"/>
    </row>
    <row r="29264">
      <c r="A29264" s="6"/>
      <c r="B29264" s="6"/>
      <c r="H29264" s="13"/>
    </row>
    <row r="29265">
      <c r="A29265" s="6"/>
      <c r="B29265" s="6"/>
      <c r="H29265" s="13"/>
    </row>
    <row r="29266">
      <c r="A29266" s="6"/>
      <c r="B29266" s="6"/>
      <c r="H29266" s="13"/>
    </row>
    <row r="29267">
      <c r="A29267" s="6"/>
      <c r="B29267" s="6"/>
      <c r="H29267" s="13"/>
    </row>
    <row r="29268">
      <c r="A29268" s="6"/>
      <c r="B29268" s="6"/>
      <c r="H29268" s="13"/>
    </row>
    <row r="29269">
      <c r="A29269" s="6"/>
      <c r="B29269" s="6"/>
      <c r="H29269" s="13"/>
    </row>
    <row r="29270">
      <c r="A29270" s="6"/>
      <c r="B29270" s="6"/>
      <c r="H29270" s="13"/>
    </row>
    <row r="29271">
      <c r="A29271" s="6"/>
      <c r="B29271" s="6"/>
      <c r="H29271" s="13"/>
    </row>
    <row r="29272">
      <c r="A29272" s="6"/>
      <c r="B29272" s="6"/>
      <c r="H29272" s="13"/>
    </row>
    <row r="29273">
      <c r="A29273" s="6"/>
      <c r="B29273" s="6"/>
      <c r="H29273" s="13"/>
    </row>
    <row r="29274">
      <c r="A29274" s="6"/>
      <c r="B29274" s="6"/>
      <c r="H29274" s="13"/>
    </row>
    <row r="29275">
      <c r="A29275" s="6"/>
      <c r="B29275" s="6"/>
      <c r="H29275" s="13"/>
    </row>
    <row r="29276">
      <c r="A29276" s="6"/>
      <c r="B29276" s="6"/>
      <c r="H29276" s="13"/>
    </row>
    <row r="29277">
      <c r="A29277" s="6"/>
      <c r="B29277" s="6"/>
      <c r="H29277" s="13"/>
    </row>
    <row r="29278">
      <c r="A29278" s="6"/>
      <c r="B29278" s="6"/>
      <c r="H29278" s="13"/>
    </row>
    <row r="29279">
      <c r="A29279" s="6"/>
      <c r="B29279" s="6"/>
      <c r="H29279" s="13"/>
    </row>
    <row r="29280">
      <c r="A29280" s="6"/>
      <c r="B29280" s="6"/>
      <c r="H29280" s="13"/>
    </row>
    <row r="29281">
      <c r="A29281" s="6"/>
      <c r="B29281" s="6"/>
      <c r="H29281" s="13"/>
    </row>
    <row r="29282">
      <c r="A29282" s="6"/>
      <c r="B29282" s="6"/>
      <c r="H29282" s="13"/>
    </row>
    <row r="29283">
      <c r="A29283" s="6"/>
      <c r="B29283" s="6"/>
      <c r="H29283" s="13"/>
    </row>
    <row r="29284">
      <c r="A29284" s="6"/>
      <c r="B29284" s="6"/>
      <c r="H29284" s="13"/>
    </row>
    <row r="29285">
      <c r="A29285" s="6"/>
      <c r="B29285" s="6"/>
      <c r="H29285" s="13"/>
    </row>
    <row r="29286">
      <c r="A29286" s="6"/>
      <c r="B29286" s="6"/>
      <c r="H29286" s="13"/>
    </row>
    <row r="29287">
      <c r="A29287" s="6"/>
      <c r="B29287" s="6"/>
      <c r="H29287" s="13"/>
    </row>
    <row r="29288">
      <c r="A29288" s="6"/>
      <c r="B29288" s="6"/>
      <c r="H29288" s="13"/>
    </row>
    <row r="29289">
      <c r="A29289" s="6"/>
      <c r="B29289" s="6"/>
      <c r="H29289" s="13"/>
    </row>
    <row r="29290">
      <c r="A29290" s="6"/>
      <c r="B29290" s="6"/>
      <c r="H29290" s="13"/>
    </row>
    <row r="29291">
      <c r="A29291" s="6"/>
      <c r="B29291" s="6"/>
      <c r="H29291" s="13"/>
    </row>
    <row r="29292">
      <c r="A29292" s="6"/>
      <c r="B29292" s="6"/>
      <c r="H29292" s="13"/>
    </row>
    <row r="29293">
      <c r="A29293" s="6"/>
      <c r="B29293" s="6"/>
      <c r="H29293" s="13"/>
    </row>
    <row r="29294">
      <c r="A29294" s="6"/>
      <c r="B29294" s="6"/>
      <c r="H29294" s="13"/>
    </row>
    <row r="29295">
      <c r="A29295" s="6"/>
      <c r="B29295" s="6"/>
      <c r="H29295" s="13"/>
    </row>
    <row r="29296">
      <c r="A29296" s="6"/>
      <c r="B29296" s="6"/>
      <c r="H29296" s="13"/>
    </row>
    <row r="29297">
      <c r="A29297" s="6"/>
      <c r="B29297" s="6"/>
      <c r="H29297" s="13"/>
    </row>
    <row r="29298">
      <c r="A29298" s="6"/>
      <c r="B29298" s="6"/>
      <c r="H29298" s="13"/>
    </row>
    <row r="29299">
      <c r="A29299" s="6"/>
      <c r="B29299" s="6"/>
      <c r="H29299" s="13"/>
    </row>
    <row r="29300">
      <c r="A29300" s="6"/>
      <c r="B29300" s="6"/>
      <c r="H29300" s="13"/>
    </row>
    <row r="29301">
      <c r="A29301" s="6"/>
      <c r="B29301" s="6"/>
      <c r="H29301" s="13"/>
    </row>
    <row r="29302">
      <c r="A29302" s="6"/>
      <c r="B29302" s="6"/>
      <c r="H29302" s="13"/>
    </row>
    <row r="29303">
      <c r="A29303" s="6"/>
      <c r="B29303" s="6"/>
      <c r="H29303" s="13"/>
    </row>
    <row r="29304">
      <c r="A29304" s="6"/>
      <c r="B29304" s="6"/>
      <c r="H29304" s="13"/>
    </row>
    <row r="29305">
      <c r="A29305" s="6"/>
      <c r="B29305" s="6"/>
      <c r="H29305" s="13"/>
    </row>
    <row r="29306">
      <c r="A29306" s="6"/>
      <c r="B29306" s="6"/>
      <c r="H29306" s="13"/>
    </row>
    <row r="29307">
      <c r="A29307" s="6"/>
      <c r="B29307" s="6"/>
      <c r="H29307" s="13"/>
    </row>
    <row r="29308">
      <c r="A29308" s="6"/>
      <c r="B29308" s="6"/>
      <c r="H29308" s="13"/>
    </row>
    <row r="29309">
      <c r="A29309" s="6"/>
      <c r="B29309" s="6"/>
      <c r="H29309" s="13"/>
    </row>
    <row r="29310">
      <c r="A29310" s="6"/>
      <c r="B29310" s="6"/>
      <c r="H29310" s="13"/>
    </row>
    <row r="29311">
      <c r="A29311" s="6"/>
      <c r="B29311" s="6"/>
      <c r="H29311" s="13"/>
    </row>
    <row r="29312">
      <c r="A29312" s="6"/>
      <c r="B29312" s="6"/>
      <c r="H29312" s="13"/>
    </row>
    <row r="29313">
      <c r="A29313" s="6"/>
      <c r="B29313" s="6"/>
      <c r="H29313" s="13"/>
    </row>
    <row r="29314">
      <c r="A29314" s="6"/>
      <c r="B29314" s="6"/>
      <c r="H29314" s="13"/>
    </row>
    <row r="29315">
      <c r="A29315" s="6"/>
      <c r="B29315" s="6"/>
      <c r="H29315" s="13"/>
    </row>
    <row r="29316">
      <c r="A29316" s="6"/>
      <c r="B29316" s="6"/>
      <c r="H29316" s="13"/>
    </row>
    <row r="29317">
      <c r="A29317" s="6"/>
      <c r="B29317" s="6"/>
      <c r="H29317" s="13"/>
    </row>
    <row r="29318">
      <c r="A29318" s="6"/>
      <c r="B29318" s="6"/>
      <c r="H29318" s="13"/>
    </row>
    <row r="29319">
      <c r="A29319" s="6"/>
      <c r="B29319" s="6"/>
      <c r="H29319" s="13"/>
    </row>
    <row r="29320">
      <c r="A29320" s="6"/>
      <c r="B29320" s="6"/>
      <c r="H29320" s="13"/>
    </row>
    <row r="29321">
      <c r="A29321" s="6"/>
      <c r="B29321" s="6"/>
      <c r="H29321" s="13"/>
    </row>
    <row r="29322">
      <c r="A29322" s="6"/>
      <c r="B29322" s="6"/>
      <c r="H29322" s="13"/>
    </row>
    <row r="29323">
      <c r="A29323" s="6"/>
      <c r="B29323" s="6"/>
      <c r="H29323" s="13"/>
    </row>
    <row r="29324">
      <c r="A29324" s="6"/>
      <c r="B29324" s="6"/>
      <c r="H29324" s="13"/>
    </row>
    <row r="29325">
      <c r="A29325" s="6"/>
      <c r="B29325" s="6"/>
      <c r="H29325" s="13"/>
    </row>
    <row r="29326">
      <c r="A29326" s="6"/>
      <c r="B29326" s="6"/>
      <c r="H29326" s="13"/>
    </row>
    <row r="29327">
      <c r="A29327" s="6"/>
      <c r="B29327" s="6"/>
      <c r="H29327" s="13"/>
    </row>
    <row r="29328">
      <c r="A29328" s="6"/>
      <c r="B29328" s="6"/>
      <c r="H29328" s="13"/>
    </row>
    <row r="29329">
      <c r="A29329" s="6"/>
      <c r="B29329" s="6"/>
      <c r="H29329" s="13"/>
    </row>
    <row r="29330">
      <c r="A29330" s="6"/>
      <c r="B29330" s="6"/>
      <c r="H29330" s="13"/>
    </row>
    <row r="29331">
      <c r="A29331" s="6"/>
      <c r="B29331" s="6"/>
      <c r="H29331" s="13"/>
    </row>
    <row r="29332">
      <c r="A29332" s="6"/>
      <c r="B29332" s="6"/>
      <c r="H29332" s="13"/>
    </row>
    <row r="29333">
      <c r="A29333" s="6"/>
      <c r="B29333" s="6"/>
      <c r="H29333" s="13"/>
    </row>
    <row r="29334">
      <c r="A29334" s="6"/>
      <c r="B29334" s="6"/>
      <c r="H29334" s="13"/>
    </row>
    <row r="29335">
      <c r="A29335" s="6"/>
      <c r="B29335" s="6"/>
      <c r="H29335" s="13"/>
    </row>
    <row r="29336">
      <c r="A29336" s="6"/>
      <c r="B29336" s="6"/>
      <c r="H29336" s="13"/>
    </row>
    <row r="29337">
      <c r="A29337" s="6"/>
      <c r="B29337" s="6"/>
      <c r="H29337" s="13"/>
    </row>
    <row r="29338">
      <c r="A29338" s="6"/>
      <c r="B29338" s="6"/>
      <c r="H29338" s="13"/>
    </row>
    <row r="29339">
      <c r="A29339" s="6"/>
      <c r="B29339" s="6"/>
      <c r="H29339" s="13"/>
    </row>
    <row r="29340">
      <c r="A29340" s="6"/>
      <c r="B29340" s="6"/>
      <c r="H29340" s="13"/>
    </row>
    <row r="29341">
      <c r="A29341" s="6"/>
      <c r="B29341" s="6"/>
      <c r="H29341" s="13"/>
    </row>
    <row r="29342">
      <c r="A29342" s="6"/>
      <c r="B29342" s="6"/>
      <c r="H29342" s="13"/>
    </row>
    <row r="29343">
      <c r="A29343" s="6"/>
      <c r="B29343" s="6"/>
      <c r="H29343" s="13"/>
    </row>
    <row r="29344">
      <c r="A29344" s="6"/>
      <c r="B29344" s="6"/>
      <c r="H29344" s="13"/>
    </row>
    <row r="29345">
      <c r="A29345" s="6"/>
      <c r="B29345" s="6"/>
      <c r="H29345" s="13"/>
    </row>
    <row r="29346">
      <c r="A29346" s="6"/>
      <c r="B29346" s="6"/>
      <c r="H29346" s="13"/>
    </row>
    <row r="29347">
      <c r="A29347" s="6"/>
      <c r="B29347" s="6"/>
      <c r="H29347" s="13"/>
    </row>
    <row r="29348">
      <c r="A29348" s="6"/>
      <c r="B29348" s="6"/>
      <c r="H29348" s="13"/>
    </row>
    <row r="29349">
      <c r="A29349" s="6"/>
      <c r="B29349" s="6"/>
      <c r="H29349" s="13"/>
    </row>
    <row r="29350">
      <c r="A29350" s="6"/>
      <c r="B29350" s="6"/>
      <c r="H29350" s="13"/>
    </row>
    <row r="29351">
      <c r="A29351" s="6"/>
      <c r="B29351" s="6"/>
      <c r="H29351" s="13"/>
    </row>
    <row r="29352">
      <c r="A29352" s="6"/>
      <c r="B29352" s="6"/>
      <c r="H29352" s="13"/>
    </row>
    <row r="29353">
      <c r="A29353" s="6"/>
      <c r="B29353" s="6"/>
      <c r="H29353" s="13"/>
    </row>
    <row r="29354">
      <c r="A29354" s="6"/>
      <c r="B29354" s="6"/>
      <c r="H29354" s="13"/>
    </row>
    <row r="29355">
      <c r="A29355" s="6"/>
      <c r="B29355" s="6"/>
      <c r="H29355" s="13"/>
    </row>
    <row r="29356">
      <c r="A29356" s="6"/>
      <c r="B29356" s="6"/>
      <c r="H29356" s="13"/>
    </row>
    <row r="29357">
      <c r="A29357" s="6"/>
      <c r="B29357" s="6"/>
      <c r="H29357" s="13"/>
    </row>
    <row r="29358">
      <c r="A29358" s="6"/>
      <c r="B29358" s="6"/>
      <c r="H29358" s="13"/>
    </row>
    <row r="29359">
      <c r="A29359" s="6"/>
      <c r="B29359" s="6"/>
      <c r="H29359" s="13"/>
    </row>
    <row r="29360">
      <c r="A29360" s="6"/>
      <c r="B29360" s="6"/>
      <c r="H29360" s="13"/>
    </row>
    <row r="29361">
      <c r="A29361" s="6"/>
      <c r="B29361" s="6"/>
      <c r="H29361" s="13"/>
    </row>
    <row r="29362">
      <c r="A29362" s="6"/>
      <c r="B29362" s="6"/>
      <c r="H29362" s="13"/>
    </row>
    <row r="29363">
      <c r="A29363" s="6"/>
      <c r="B29363" s="6"/>
      <c r="H29363" s="13"/>
    </row>
    <row r="29364">
      <c r="A29364" s="6"/>
      <c r="B29364" s="6"/>
      <c r="H29364" s="13"/>
    </row>
    <row r="29365">
      <c r="A29365" s="6"/>
      <c r="B29365" s="6"/>
      <c r="H29365" s="13"/>
    </row>
    <row r="29366">
      <c r="A29366" s="6"/>
      <c r="B29366" s="6"/>
      <c r="H29366" s="13"/>
    </row>
    <row r="29367">
      <c r="A29367" s="6"/>
      <c r="B29367" s="6"/>
      <c r="H29367" s="13"/>
    </row>
    <row r="29368">
      <c r="A29368" s="6"/>
      <c r="B29368" s="6"/>
      <c r="H29368" s="13"/>
    </row>
    <row r="29369">
      <c r="A29369" s="6"/>
      <c r="B29369" s="6"/>
      <c r="H29369" s="13"/>
    </row>
    <row r="29370">
      <c r="A29370" s="6"/>
      <c r="B29370" s="6"/>
      <c r="H29370" s="13"/>
    </row>
    <row r="29371">
      <c r="A29371" s="6"/>
      <c r="B29371" s="6"/>
      <c r="H29371" s="13"/>
    </row>
    <row r="29372">
      <c r="A29372" s="6"/>
      <c r="B29372" s="6"/>
      <c r="H29372" s="13"/>
    </row>
    <row r="29373">
      <c r="A29373" s="6"/>
      <c r="B29373" s="6"/>
      <c r="H29373" s="13"/>
    </row>
    <row r="29374">
      <c r="A29374" s="6"/>
      <c r="B29374" s="6"/>
      <c r="H29374" s="13"/>
    </row>
    <row r="29375">
      <c r="A29375" s="6"/>
      <c r="B29375" s="6"/>
      <c r="H29375" s="13"/>
    </row>
    <row r="29376">
      <c r="A29376" s="6"/>
      <c r="B29376" s="6"/>
      <c r="H29376" s="13"/>
    </row>
    <row r="29377">
      <c r="A29377" s="6"/>
      <c r="B29377" s="6"/>
      <c r="H29377" s="13"/>
    </row>
    <row r="29378">
      <c r="A29378" s="6"/>
      <c r="B29378" s="6"/>
      <c r="H29378" s="13"/>
    </row>
    <row r="29379">
      <c r="A29379" s="6"/>
      <c r="B29379" s="6"/>
      <c r="H29379" s="13"/>
    </row>
    <row r="29380">
      <c r="A29380" s="6"/>
      <c r="B29380" s="6"/>
      <c r="H29380" s="13"/>
    </row>
    <row r="29381">
      <c r="A29381" s="6"/>
      <c r="B29381" s="6"/>
      <c r="H29381" s="13"/>
    </row>
    <row r="29382">
      <c r="A29382" s="6"/>
      <c r="B29382" s="6"/>
      <c r="H29382" s="13"/>
    </row>
    <row r="29383">
      <c r="A29383" s="6"/>
      <c r="B29383" s="6"/>
      <c r="H29383" s="13"/>
    </row>
    <row r="29384">
      <c r="A29384" s="6"/>
      <c r="B29384" s="6"/>
      <c r="H29384" s="13"/>
    </row>
    <row r="29385">
      <c r="A29385" s="6"/>
      <c r="B29385" s="6"/>
      <c r="H29385" s="13"/>
    </row>
    <row r="29386">
      <c r="A29386" s="6"/>
      <c r="B29386" s="6"/>
      <c r="H29386" s="13"/>
    </row>
    <row r="29387">
      <c r="A29387" s="6"/>
      <c r="B29387" s="6"/>
      <c r="H29387" s="13"/>
    </row>
    <row r="29388">
      <c r="A29388" s="6"/>
      <c r="B29388" s="6"/>
      <c r="H29388" s="13"/>
    </row>
    <row r="29389">
      <c r="A29389" s="6"/>
      <c r="B29389" s="6"/>
      <c r="H29389" s="13"/>
    </row>
    <row r="29390">
      <c r="A29390" s="6"/>
      <c r="B29390" s="6"/>
      <c r="H29390" s="13"/>
    </row>
    <row r="29391">
      <c r="A29391" s="6"/>
      <c r="B29391" s="6"/>
      <c r="H29391" s="13"/>
    </row>
    <row r="29392">
      <c r="A29392" s="6"/>
      <c r="B29392" s="6"/>
      <c r="H29392" s="13"/>
    </row>
    <row r="29393">
      <c r="A29393" s="6"/>
      <c r="B29393" s="6"/>
      <c r="H29393" s="13"/>
    </row>
    <row r="29394">
      <c r="A29394" s="6"/>
      <c r="B29394" s="6"/>
      <c r="H29394" s="13"/>
    </row>
    <row r="29395">
      <c r="A29395" s="6"/>
      <c r="B29395" s="6"/>
      <c r="H29395" s="13"/>
    </row>
    <row r="29396">
      <c r="A29396" s="6"/>
      <c r="B29396" s="6"/>
      <c r="H29396" s="13"/>
    </row>
    <row r="29397">
      <c r="A29397" s="6"/>
      <c r="B29397" s="6"/>
      <c r="H29397" s="13"/>
    </row>
    <row r="29398">
      <c r="A29398" s="6"/>
      <c r="B29398" s="6"/>
      <c r="H29398" s="13"/>
    </row>
    <row r="29399">
      <c r="A29399" s="6"/>
      <c r="B29399" s="6"/>
      <c r="H29399" s="13"/>
    </row>
    <row r="29400">
      <c r="A29400" s="6"/>
      <c r="B29400" s="6"/>
      <c r="H29400" s="13"/>
    </row>
    <row r="29401">
      <c r="A29401" s="6"/>
      <c r="B29401" s="6"/>
      <c r="H29401" s="13"/>
    </row>
    <row r="29402">
      <c r="A29402" s="6"/>
      <c r="B29402" s="6"/>
      <c r="H29402" s="13"/>
    </row>
    <row r="29403">
      <c r="A29403" s="6"/>
      <c r="B29403" s="6"/>
      <c r="H29403" s="13"/>
    </row>
    <row r="29404">
      <c r="A29404" s="6"/>
      <c r="B29404" s="6"/>
      <c r="H29404" s="13"/>
    </row>
    <row r="29405">
      <c r="A29405" s="6"/>
      <c r="B29405" s="6"/>
      <c r="H29405" s="13"/>
    </row>
    <row r="29406">
      <c r="A29406" s="6"/>
      <c r="B29406" s="6"/>
      <c r="H29406" s="13"/>
    </row>
    <row r="29407">
      <c r="A29407" s="6"/>
      <c r="B29407" s="6"/>
      <c r="H29407" s="13"/>
    </row>
    <row r="29408">
      <c r="A29408" s="6"/>
      <c r="B29408" s="6"/>
      <c r="H29408" s="13"/>
    </row>
    <row r="29409">
      <c r="A29409" s="6"/>
      <c r="B29409" s="6"/>
      <c r="H29409" s="13"/>
    </row>
    <row r="29410">
      <c r="A29410" s="6"/>
      <c r="B29410" s="6"/>
      <c r="H29410" s="13"/>
    </row>
    <row r="29411">
      <c r="A29411" s="6"/>
      <c r="B29411" s="6"/>
      <c r="H29411" s="13"/>
    </row>
    <row r="29412">
      <c r="A29412" s="6"/>
      <c r="B29412" s="6"/>
      <c r="H29412" s="13"/>
    </row>
    <row r="29413">
      <c r="A29413" s="6"/>
      <c r="B29413" s="6"/>
      <c r="H29413" s="13"/>
    </row>
    <row r="29414">
      <c r="A29414" s="6"/>
      <c r="B29414" s="6"/>
      <c r="H29414" s="13"/>
    </row>
    <row r="29415">
      <c r="A29415" s="6"/>
      <c r="B29415" s="6"/>
      <c r="H29415" s="13"/>
    </row>
    <row r="29416">
      <c r="A29416" s="6"/>
      <c r="B29416" s="6"/>
      <c r="H29416" s="13"/>
    </row>
    <row r="29417">
      <c r="A29417" s="6"/>
      <c r="B29417" s="6"/>
      <c r="H29417" s="13"/>
    </row>
    <row r="29418">
      <c r="A29418" s="6"/>
      <c r="B29418" s="6"/>
      <c r="H29418" s="13"/>
    </row>
    <row r="29419">
      <c r="A29419" s="6"/>
      <c r="B29419" s="6"/>
      <c r="H29419" s="13"/>
    </row>
    <row r="29420">
      <c r="A29420" s="6"/>
      <c r="B29420" s="6"/>
      <c r="H29420" s="13"/>
    </row>
    <row r="29421">
      <c r="A29421" s="6"/>
      <c r="B29421" s="6"/>
      <c r="H29421" s="13"/>
    </row>
    <row r="29422">
      <c r="A29422" s="6"/>
      <c r="B29422" s="6"/>
      <c r="H29422" s="13"/>
    </row>
    <row r="29423">
      <c r="A29423" s="6"/>
      <c r="B29423" s="6"/>
      <c r="H29423" s="13"/>
    </row>
    <row r="29424">
      <c r="A29424" s="6"/>
      <c r="B29424" s="6"/>
      <c r="H29424" s="13"/>
    </row>
    <row r="29425">
      <c r="A29425" s="6"/>
      <c r="B29425" s="6"/>
      <c r="H29425" s="13"/>
    </row>
    <row r="29426">
      <c r="A29426" s="6"/>
      <c r="B29426" s="6"/>
      <c r="H29426" s="13"/>
    </row>
    <row r="29427">
      <c r="A29427" s="6"/>
      <c r="B29427" s="6"/>
      <c r="H29427" s="13"/>
    </row>
    <row r="29428">
      <c r="A29428" s="6"/>
      <c r="B29428" s="6"/>
      <c r="H29428" s="13"/>
    </row>
    <row r="29429">
      <c r="A29429" s="6"/>
      <c r="B29429" s="6"/>
      <c r="H29429" s="13"/>
    </row>
    <row r="29430">
      <c r="A29430" s="6"/>
      <c r="B29430" s="6"/>
      <c r="H29430" s="13"/>
    </row>
    <row r="29431">
      <c r="A29431" s="6"/>
      <c r="B29431" s="6"/>
      <c r="H29431" s="13"/>
    </row>
    <row r="29432">
      <c r="A29432" s="6"/>
      <c r="B29432" s="6"/>
      <c r="H29432" s="13"/>
    </row>
    <row r="29433">
      <c r="A29433" s="6"/>
      <c r="B29433" s="6"/>
      <c r="H29433" s="13"/>
    </row>
    <row r="29434">
      <c r="A29434" s="6"/>
      <c r="B29434" s="6"/>
      <c r="H29434" s="13"/>
    </row>
    <row r="29435">
      <c r="A29435" s="6"/>
      <c r="B29435" s="6"/>
      <c r="H29435" s="13"/>
    </row>
    <row r="29436">
      <c r="A29436" s="6"/>
      <c r="B29436" s="6"/>
      <c r="H29436" s="13"/>
    </row>
    <row r="29437">
      <c r="A29437" s="6"/>
      <c r="B29437" s="6"/>
      <c r="H29437" s="13"/>
    </row>
    <row r="29438">
      <c r="A29438" s="6"/>
      <c r="B29438" s="6"/>
      <c r="H29438" s="13"/>
    </row>
    <row r="29439">
      <c r="A29439" s="6"/>
      <c r="B29439" s="6"/>
      <c r="H29439" s="13"/>
    </row>
    <row r="29440">
      <c r="A29440" s="6"/>
      <c r="B29440" s="6"/>
      <c r="H29440" s="13"/>
    </row>
    <row r="29441">
      <c r="A29441" s="6"/>
      <c r="B29441" s="6"/>
      <c r="H29441" s="13"/>
    </row>
    <row r="29442">
      <c r="A29442" s="6"/>
      <c r="B29442" s="6"/>
      <c r="H29442" s="13"/>
    </row>
    <row r="29443">
      <c r="A29443" s="6"/>
      <c r="B29443" s="6"/>
      <c r="H29443" s="13"/>
    </row>
    <row r="29444">
      <c r="A29444" s="6"/>
      <c r="B29444" s="6"/>
      <c r="H29444" s="13"/>
    </row>
    <row r="29445">
      <c r="A29445" s="6"/>
      <c r="B29445" s="6"/>
      <c r="H29445" s="13"/>
    </row>
    <row r="29446">
      <c r="A29446" s="6"/>
      <c r="B29446" s="6"/>
      <c r="H29446" s="13"/>
    </row>
    <row r="29447">
      <c r="A29447" s="6"/>
      <c r="B29447" s="6"/>
      <c r="H29447" s="13"/>
    </row>
    <row r="29448">
      <c r="A29448" s="6"/>
      <c r="B29448" s="6"/>
      <c r="H29448" s="13"/>
    </row>
    <row r="29449">
      <c r="A29449" s="6"/>
      <c r="B29449" s="6"/>
      <c r="H29449" s="13"/>
    </row>
    <row r="29450">
      <c r="A29450" s="6"/>
      <c r="B29450" s="6"/>
      <c r="H29450" s="13"/>
    </row>
    <row r="29451">
      <c r="A29451" s="6"/>
      <c r="B29451" s="6"/>
      <c r="H29451" s="13"/>
    </row>
    <row r="29452">
      <c r="A29452" s="6"/>
      <c r="B29452" s="6"/>
      <c r="H29452" s="13"/>
    </row>
    <row r="29453">
      <c r="A29453" s="6"/>
      <c r="B29453" s="6"/>
      <c r="H29453" s="13"/>
    </row>
    <row r="29454">
      <c r="A29454" s="6"/>
      <c r="B29454" s="6"/>
      <c r="H29454" s="13"/>
    </row>
    <row r="29455">
      <c r="A29455" s="6"/>
      <c r="B29455" s="6"/>
      <c r="H29455" s="13"/>
    </row>
    <row r="29456">
      <c r="A29456" s="6"/>
      <c r="B29456" s="6"/>
      <c r="H29456" s="13"/>
    </row>
    <row r="29457">
      <c r="A29457" s="6"/>
      <c r="B29457" s="6"/>
      <c r="H29457" s="13"/>
    </row>
    <row r="29458">
      <c r="A29458" s="6"/>
      <c r="B29458" s="6"/>
      <c r="H29458" s="13"/>
    </row>
    <row r="29459">
      <c r="A29459" s="6"/>
      <c r="B29459" s="6"/>
      <c r="H29459" s="13"/>
    </row>
    <row r="29460">
      <c r="A29460" s="6"/>
      <c r="B29460" s="6"/>
      <c r="H29460" s="13"/>
    </row>
    <row r="29461">
      <c r="A29461" s="6"/>
      <c r="B29461" s="6"/>
      <c r="H29461" s="13"/>
    </row>
    <row r="29462">
      <c r="A29462" s="6"/>
      <c r="B29462" s="6"/>
      <c r="H29462" s="13"/>
    </row>
    <row r="29463">
      <c r="A29463" s="6"/>
      <c r="B29463" s="6"/>
      <c r="H29463" s="13"/>
    </row>
    <row r="29464">
      <c r="A29464" s="6"/>
      <c r="B29464" s="6"/>
      <c r="H29464" s="13"/>
    </row>
    <row r="29465">
      <c r="A29465" s="6"/>
      <c r="B29465" s="6"/>
      <c r="H29465" s="13"/>
    </row>
    <row r="29466">
      <c r="A29466" s="6"/>
      <c r="B29466" s="6"/>
      <c r="H29466" s="13"/>
    </row>
    <row r="29467">
      <c r="A29467" s="6"/>
      <c r="B29467" s="6"/>
      <c r="H29467" s="13"/>
    </row>
    <row r="29468">
      <c r="A29468" s="6"/>
      <c r="B29468" s="6"/>
      <c r="H29468" s="13"/>
    </row>
    <row r="29469">
      <c r="A29469" s="6"/>
      <c r="B29469" s="6"/>
      <c r="H29469" s="13"/>
    </row>
    <row r="29470">
      <c r="A29470" s="6"/>
      <c r="B29470" s="6"/>
      <c r="H29470" s="13"/>
    </row>
    <row r="29471">
      <c r="A29471" s="6"/>
      <c r="B29471" s="6"/>
      <c r="H29471" s="13"/>
    </row>
    <row r="29472">
      <c r="A29472" s="6"/>
      <c r="B29472" s="6"/>
      <c r="H29472" s="13"/>
    </row>
    <row r="29473">
      <c r="A29473" s="6"/>
      <c r="B29473" s="6"/>
      <c r="H29473" s="13"/>
    </row>
    <row r="29474">
      <c r="A29474" s="6"/>
      <c r="B29474" s="6"/>
      <c r="H29474" s="13"/>
    </row>
    <row r="29475">
      <c r="A29475" s="6"/>
      <c r="B29475" s="6"/>
      <c r="H29475" s="13"/>
    </row>
    <row r="29476">
      <c r="A29476" s="6"/>
      <c r="B29476" s="6"/>
      <c r="H29476" s="13"/>
    </row>
    <row r="29477">
      <c r="A29477" s="6"/>
      <c r="B29477" s="6"/>
      <c r="H29477" s="13"/>
    </row>
    <row r="29478">
      <c r="A29478" s="6"/>
      <c r="B29478" s="6"/>
      <c r="H29478" s="13"/>
    </row>
    <row r="29479">
      <c r="A29479" s="6"/>
      <c r="B29479" s="6"/>
      <c r="H29479" s="13"/>
    </row>
    <row r="29480">
      <c r="A29480" s="6"/>
      <c r="B29480" s="6"/>
      <c r="H29480" s="13"/>
    </row>
    <row r="29481">
      <c r="A29481" s="6"/>
      <c r="B29481" s="6"/>
      <c r="H29481" s="13"/>
    </row>
    <row r="29482">
      <c r="A29482" s="6"/>
      <c r="B29482" s="6"/>
      <c r="H29482" s="13"/>
    </row>
    <row r="29483">
      <c r="A29483" s="6"/>
      <c r="B29483" s="6"/>
      <c r="H29483" s="13"/>
    </row>
    <row r="29484">
      <c r="A29484" s="6"/>
      <c r="B29484" s="6"/>
      <c r="H29484" s="13"/>
    </row>
    <row r="29485">
      <c r="A29485" s="6"/>
      <c r="B29485" s="6"/>
      <c r="H29485" s="13"/>
    </row>
    <row r="29486">
      <c r="A29486" s="6"/>
      <c r="B29486" s="6"/>
      <c r="H29486" s="13"/>
    </row>
    <row r="29487">
      <c r="A29487" s="6"/>
      <c r="B29487" s="6"/>
      <c r="H29487" s="13"/>
    </row>
    <row r="29488">
      <c r="A29488" s="6"/>
      <c r="B29488" s="6"/>
      <c r="H29488" s="13"/>
    </row>
    <row r="29489">
      <c r="A29489" s="6"/>
      <c r="B29489" s="6"/>
      <c r="H29489" s="13"/>
    </row>
    <row r="29490">
      <c r="A29490" s="6"/>
      <c r="B29490" s="6"/>
      <c r="H29490" s="13"/>
    </row>
    <row r="29491">
      <c r="A29491" s="6"/>
      <c r="B29491" s="6"/>
      <c r="H29491" s="13"/>
    </row>
    <row r="29492">
      <c r="A29492" s="6"/>
      <c r="B29492" s="6"/>
      <c r="H29492" s="13"/>
    </row>
    <row r="29493">
      <c r="A29493" s="6"/>
      <c r="B29493" s="6"/>
      <c r="H29493" s="13"/>
    </row>
    <row r="29494">
      <c r="A29494" s="6"/>
      <c r="B29494" s="6"/>
      <c r="H29494" s="13"/>
    </row>
    <row r="29495">
      <c r="A29495" s="6"/>
      <c r="B29495" s="6"/>
      <c r="H29495" s="13"/>
    </row>
    <row r="29496">
      <c r="A29496" s="6"/>
      <c r="B29496" s="6"/>
      <c r="H29496" s="13"/>
    </row>
    <row r="29497">
      <c r="A29497" s="6"/>
      <c r="B29497" s="6"/>
      <c r="H29497" s="13"/>
    </row>
    <row r="29498">
      <c r="A29498" s="6"/>
      <c r="B29498" s="6"/>
      <c r="H29498" s="13"/>
    </row>
    <row r="29499">
      <c r="A29499" s="6"/>
      <c r="B29499" s="6"/>
      <c r="H29499" s="13"/>
    </row>
    <row r="29500">
      <c r="A29500" s="6"/>
      <c r="B29500" s="6"/>
      <c r="H29500" s="13"/>
    </row>
    <row r="29501">
      <c r="A29501" s="6"/>
      <c r="B29501" s="6"/>
      <c r="H29501" s="13"/>
    </row>
    <row r="29502">
      <c r="A29502" s="6"/>
      <c r="B29502" s="6"/>
      <c r="H29502" s="13"/>
    </row>
    <row r="29503">
      <c r="A29503" s="6"/>
      <c r="B29503" s="6"/>
      <c r="H29503" s="13"/>
    </row>
    <row r="29504">
      <c r="A29504" s="6"/>
      <c r="B29504" s="6"/>
      <c r="H29504" s="13"/>
    </row>
    <row r="29505">
      <c r="A29505" s="6"/>
      <c r="B29505" s="6"/>
      <c r="H29505" s="13"/>
    </row>
    <row r="29506">
      <c r="A29506" s="6"/>
      <c r="B29506" s="6"/>
      <c r="H29506" s="13"/>
    </row>
    <row r="29507">
      <c r="A29507" s="6"/>
      <c r="B29507" s="6"/>
      <c r="H29507" s="13"/>
    </row>
    <row r="29508">
      <c r="A29508" s="6"/>
      <c r="B29508" s="6"/>
      <c r="H29508" s="13"/>
    </row>
    <row r="29509">
      <c r="A29509" s="6"/>
      <c r="B29509" s="6"/>
      <c r="H29509" s="13"/>
    </row>
    <row r="29510">
      <c r="A29510" s="6"/>
      <c r="B29510" s="6"/>
      <c r="H29510" s="13"/>
    </row>
    <row r="29511">
      <c r="A29511" s="6"/>
      <c r="B29511" s="6"/>
      <c r="H29511" s="13"/>
    </row>
    <row r="29512">
      <c r="A29512" s="6"/>
      <c r="B29512" s="6"/>
      <c r="H29512" s="13"/>
    </row>
    <row r="29513">
      <c r="A29513" s="6"/>
      <c r="B29513" s="6"/>
      <c r="H29513" s="13"/>
    </row>
    <row r="29514">
      <c r="A29514" s="6"/>
      <c r="B29514" s="6"/>
      <c r="H29514" s="13"/>
    </row>
    <row r="29515">
      <c r="A29515" s="6"/>
      <c r="B29515" s="6"/>
      <c r="H29515" s="13"/>
    </row>
    <row r="29516">
      <c r="A29516" s="6"/>
      <c r="B29516" s="6"/>
      <c r="H29516" s="13"/>
    </row>
    <row r="29517">
      <c r="A29517" s="6"/>
      <c r="B29517" s="6"/>
      <c r="H29517" s="13"/>
    </row>
    <row r="29518">
      <c r="A29518" s="6"/>
      <c r="B29518" s="6"/>
      <c r="H29518" s="13"/>
    </row>
    <row r="29519">
      <c r="A29519" s="6"/>
      <c r="B29519" s="6"/>
      <c r="H29519" s="13"/>
    </row>
    <row r="29520">
      <c r="A29520" s="6"/>
      <c r="B29520" s="6"/>
      <c r="H29520" s="13"/>
    </row>
    <row r="29521">
      <c r="A29521" s="6"/>
      <c r="B29521" s="6"/>
      <c r="H29521" s="13"/>
    </row>
    <row r="29522">
      <c r="A29522" s="6"/>
      <c r="B29522" s="6"/>
      <c r="H29522" s="13"/>
    </row>
    <row r="29523">
      <c r="A29523" s="6"/>
      <c r="B29523" s="6"/>
      <c r="H29523" s="13"/>
    </row>
    <row r="29524">
      <c r="A29524" s="6"/>
      <c r="B29524" s="6"/>
      <c r="H29524" s="13"/>
    </row>
    <row r="29525">
      <c r="A29525" s="6"/>
      <c r="B29525" s="6"/>
      <c r="H29525" s="13"/>
    </row>
    <row r="29526">
      <c r="A29526" s="6"/>
      <c r="B29526" s="6"/>
      <c r="H29526" s="13"/>
    </row>
    <row r="29527">
      <c r="A29527" s="6"/>
      <c r="B29527" s="6"/>
      <c r="H29527" s="13"/>
    </row>
    <row r="29528">
      <c r="A29528" s="6"/>
      <c r="B29528" s="6"/>
      <c r="H29528" s="13"/>
    </row>
    <row r="29529">
      <c r="A29529" s="6"/>
      <c r="B29529" s="6"/>
      <c r="H29529" s="13"/>
    </row>
    <row r="29530">
      <c r="A29530" s="6"/>
      <c r="B29530" s="6"/>
      <c r="H29530" s="13"/>
    </row>
    <row r="29531">
      <c r="A29531" s="6"/>
      <c r="B29531" s="6"/>
      <c r="H29531" s="13"/>
    </row>
    <row r="29532">
      <c r="A29532" s="6"/>
      <c r="B29532" s="6"/>
      <c r="H29532" s="13"/>
    </row>
    <row r="29533">
      <c r="A29533" s="6"/>
      <c r="B29533" s="6"/>
      <c r="H29533" s="13"/>
    </row>
    <row r="29534">
      <c r="A29534" s="6"/>
      <c r="B29534" s="6"/>
      <c r="H29534" s="13"/>
    </row>
    <row r="29535">
      <c r="A29535" s="6"/>
      <c r="B29535" s="6"/>
      <c r="H29535" s="13"/>
    </row>
    <row r="29536">
      <c r="A29536" s="6"/>
      <c r="B29536" s="6"/>
      <c r="H29536" s="13"/>
    </row>
    <row r="29537">
      <c r="A29537" s="6"/>
      <c r="B29537" s="6"/>
      <c r="H29537" s="13"/>
    </row>
    <row r="29538">
      <c r="A29538" s="6"/>
      <c r="B29538" s="6"/>
      <c r="H29538" s="13"/>
    </row>
    <row r="29539">
      <c r="A29539" s="6"/>
      <c r="B29539" s="6"/>
      <c r="H29539" s="13"/>
    </row>
    <row r="29540">
      <c r="A29540" s="6"/>
      <c r="B29540" s="6"/>
      <c r="H29540" s="13"/>
    </row>
    <row r="29541">
      <c r="A29541" s="6"/>
      <c r="B29541" s="6"/>
      <c r="H29541" s="13"/>
    </row>
    <row r="29542">
      <c r="A29542" s="6"/>
      <c r="B29542" s="6"/>
      <c r="H29542" s="13"/>
    </row>
    <row r="29543">
      <c r="A29543" s="6"/>
      <c r="B29543" s="6"/>
      <c r="H29543" s="13"/>
    </row>
    <row r="29544">
      <c r="A29544" s="6"/>
      <c r="B29544" s="6"/>
      <c r="H29544" s="13"/>
    </row>
    <row r="29545">
      <c r="A29545" s="6"/>
      <c r="B29545" s="6"/>
      <c r="H29545" s="13"/>
    </row>
    <row r="29546">
      <c r="A29546" s="6"/>
      <c r="B29546" s="6"/>
      <c r="H29546" s="13"/>
    </row>
    <row r="29547">
      <c r="A29547" s="6"/>
      <c r="B29547" s="6"/>
      <c r="H29547" s="13"/>
    </row>
    <row r="29548">
      <c r="A29548" s="6"/>
      <c r="B29548" s="6"/>
      <c r="H29548" s="13"/>
    </row>
    <row r="29549">
      <c r="A29549" s="6"/>
      <c r="B29549" s="6"/>
      <c r="H29549" s="13"/>
    </row>
    <row r="29550">
      <c r="A29550" s="6"/>
      <c r="B29550" s="6"/>
      <c r="H29550" s="13"/>
    </row>
    <row r="29551">
      <c r="A29551" s="6"/>
      <c r="B29551" s="6"/>
      <c r="H29551" s="13"/>
    </row>
    <row r="29552">
      <c r="A29552" s="6"/>
      <c r="B29552" s="6"/>
      <c r="H29552" s="13"/>
    </row>
    <row r="29553">
      <c r="A29553" s="6"/>
      <c r="B29553" s="6"/>
      <c r="H29553" s="13"/>
    </row>
    <row r="29554">
      <c r="A29554" s="6"/>
      <c r="B29554" s="6"/>
      <c r="H29554" s="13"/>
    </row>
    <row r="29555">
      <c r="A29555" s="6"/>
      <c r="B29555" s="6"/>
      <c r="H29555" s="13"/>
    </row>
    <row r="29556">
      <c r="A29556" s="6"/>
      <c r="B29556" s="6"/>
      <c r="H29556" s="13"/>
    </row>
    <row r="29557">
      <c r="A29557" s="6"/>
      <c r="B29557" s="6"/>
      <c r="H29557" s="13"/>
    </row>
    <row r="29558">
      <c r="A29558" s="6"/>
      <c r="B29558" s="6"/>
      <c r="H29558" s="13"/>
    </row>
    <row r="29559">
      <c r="A29559" s="6"/>
      <c r="B29559" s="6"/>
      <c r="H29559" s="13"/>
    </row>
    <row r="29560">
      <c r="A29560" s="6"/>
      <c r="B29560" s="6"/>
      <c r="H29560" s="13"/>
    </row>
    <row r="29561">
      <c r="A29561" s="6"/>
      <c r="B29561" s="6"/>
      <c r="H29561" s="13"/>
    </row>
    <row r="29562">
      <c r="A29562" s="6"/>
      <c r="B29562" s="6"/>
      <c r="H29562" s="13"/>
    </row>
    <row r="29563">
      <c r="A29563" s="6"/>
      <c r="B29563" s="6"/>
      <c r="H29563" s="13"/>
    </row>
    <row r="29564">
      <c r="A29564" s="6"/>
      <c r="B29564" s="6"/>
      <c r="H29564" s="13"/>
    </row>
    <row r="29565">
      <c r="A29565" s="6"/>
      <c r="B29565" s="6"/>
      <c r="H29565" s="13"/>
    </row>
    <row r="29566">
      <c r="A29566" s="6"/>
      <c r="B29566" s="6"/>
      <c r="H29566" s="13"/>
    </row>
    <row r="29567">
      <c r="A29567" s="6"/>
      <c r="B29567" s="6"/>
      <c r="H29567" s="13"/>
    </row>
    <row r="29568">
      <c r="A29568" s="6"/>
      <c r="B29568" s="6"/>
      <c r="H29568" s="13"/>
    </row>
    <row r="29569">
      <c r="A29569" s="6"/>
      <c r="B29569" s="6"/>
      <c r="H29569" s="13"/>
    </row>
    <row r="29570">
      <c r="A29570" s="6"/>
      <c r="B29570" s="6"/>
      <c r="H29570" s="13"/>
    </row>
    <row r="29571">
      <c r="A29571" s="6"/>
      <c r="B29571" s="6"/>
      <c r="H29571" s="13"/>
    </row>
    <row r="29572">
      <c r="A29572" s="6"/>
      <c r="B29572" s="6"/>
      <c r="H29572" s="13"/>
    </row>
    <row r="29573">
      <c r="A29573" s="6"/>
      <c r="B29573" s="6"/>
      <c r="H29573" s="13"/>
    </row>
    <row r="29574">
      <c r="A29574" s="6"/>
      <c r="B29574" s="6"/>
      <c r="H29574" s="13"/>
    </row>
    <row r="29575">
      <c r="A29575" s="6"/>
      <c r="B29575" s="6"/>
      <c r="H29575" s="13"/>
    </row>
    <row r="29576">
      <c r="A29576" s="6"/>
      <c r="B29576" s="6"/>
      <c r="H29576" s="13"/>
    </row>
    <row r="29577">
      <c r="A29577" s="6"/>
      <c r="B29577" s="6"/>
      <c r="H29577" s="13"/>
    </row>
    <row r="29578">
      <c r="A29578" s="6"/>
      <c r="B29578" s="6"/>
      <c r="H29578" s="13"/>
    </row>
    <row r="29579">
      <c r="A29579" s="6"/>
      <c r="B29579" s="6"/>
      <c r="H29579" s="13"/>
    </row>
    <row r="29580">
      <c r="A29580" s="6"/>
      <c r="B29580" s="6"/>
      <c r="H29580" s="13"/>
    </row>
    <row r="29581">
      <c r="A29581" s="6"/>
      <c r="B29581" s="6"/>
      <c r="H29581" s="13"/>
    </row>
    <row r="29582">
      <c r="A29582" s="6"/>
      <c r="B29582" s="6"/>
      <c r="H29582" s="13"/>
    </row>
    <row r="29583">
      <c r="A29583" s="6"/>
      <c r="B29583" s="6"/>
      <c r="H29583" s="13"/>
    </row>
    <row r="29584">
      <c r="A29584" s="6"/>
      <c r="B29584" s="6"/>
      <c r="H29584" s="13"/>
    </row>
    <row r="29585">
      <c r="A29585" s="6"/>
      <c r="B29585" s="6"/>
      <c r="H29585" s="13"/>
    </row>
    <row r="29586">
      <c r="A29586" s="6"/>
      <c r="B29586" s="6"/>
      <c r="H29586" s="13"/>
    </row>
    <row r="29587">
      <c r="A29587" s="6"/>
      <c r="B29587" s="6"/>
      <c r="H29587" s="13"/>
    </row>
    <row r="29588">
      <c r="A29588" s="6"/>
      <c r="B29588" s="6"/>
      <c r="H29588" s="13"/>
    </row>
    <row r="29589">
      <c r="A29589" s="6"/>
      <c r="B29589" s="6"/>
      <c r="H29589" s="13"/>
    </row>
    <row r="29590">
      <c r="A29590" s="6"/>
      <c r="B29590" s="6"/>
      <c r="H29590" s="13"/>
    </row>
    <row r="29591">
      <c r="A29591" s="6"/>
      <c r="B29591" s="6"/>
      <c r="H29591" s="13"/>
    </row>
    <row r="29592">
      <c r="A29592" s="6"/>
      <c r="B29592" s="6"/>
      <c r="H29592" s="13"/>
    </row>
    <row r="29593">
      <c r="A29593" s="6"/>
      <c r="B29593" s="6"/>
      <c r="H29593" s="13"/>
    </row>
    <row r="29594">
      <c r="A29594" s="6"/>
      <c r="B29594" s="6"/>
      <c r="H29594" s="13"/>
    </row>
    <row r="29595">
      <c r="A29595" s="6"/>
      <c r="B29595" s="6"/>
      <c r="H29595" s="13"/>
    </row>
    <row r="29596">
      <c r="A29596" s="6"/>
      <c r="B29596" s="6"/>
      <c r="H29596" s="13"/>
    </row>
    <row r="29597">
      <c r="A29597" s="6"/>
      <c r="B29597" s="6"/>
      <c r="H29597" s="13"/>
    </row>
    <row r="29598">
      <c r="A29598" s="6"/>
      <c r="B29598" s="6"/>
      <c r="H29598" s="13"/>
    </row>
    <row r="29599">
      <c r="A29599" s="6"/>
      <c r="B29599" s="6"/>
      <c r="H29599" s="13"/>
    </row>
    <row r="29600">
      <c r="A29600" s="6"/>
      <c r="B29600" s="6"/>
      <c r="H29600" s="13"/>
    </row>
    <row r="29601">
      <c r="A29601" s="6"/>
      <c r="B29601" s="6"/>
      <c r="H29601" s="13"/>
    </row>
    <row r="29602">
      <c r="A29602" s="6"/>
      <c r="B29602" s="6"/>
      <c r="H29602" s="13"/>
    </row>
    <row r="29603">
      <c r="A29603" s="6"/>
      <c r="B29603" s="6"/>
      <c r="H29603" s="13"/>
    </row>
    <row r="29604">
      <c r="A29604" s="6"/>
      <c r="B29604" s="6"/>
      <c r="H29604" s="13"/>
    </row>
    <row r="29605">
      <c r="A29605" s="6"/>
      <c r="B29605" s="6"/>
      <c r="H29605" s="13"/>
    </row>
    <row r="29606">
      <c r="A29606" s="6"/>
      <c r="B29606" s="6"/>
      <c r="H29606" s="13"/>
    </row>
    <row r="29607">
      <c r="A29607" s="6"/>
      <c r="B29607" s="6"/>
      <c r="H29607" s="13"/>
    </row>
    <row r="29608">
      <c r="A29608" s="6"/>
      <c r="B29608" s="6"/>
      <c r="H29608" s="13"/>
    </row>
    <row r="29609">
      <c r="A29609" s="6"/>
      <c r="B29609" s="6"/>
      <c r="H29609" s="13"/>
    </row>
    <row r="29610">
      <c r="A29610" s="6"/>
      <c r="B29610" s="6"/>
      <c r="H29610" s="13"/>
    </row>
    <row r="29611">
      <c r="A29611" s="6"/>
      <c r="B29611" s="6"/>
      <c r="H29611" s="13"/>
    </row>
    <row r="29612">
      <c r="A29612" s="6"/>
      <c r="B29612" s="6"/>
      <c r="H29612" s="13"/>
    </row>
    <row r="29613">
      <c r="A29613" s="6"/>
      <c r="B29613" s="6"/>
      <c r="H29613" s="13"/>
    </row>
    <row r="29614">
      <c r="A29614" s="6"/>
      <c r="B29614" s="6"/>
      <c r="H29614" s="13"/>
    </row>
    <row r="29615">
      <c r="A29615" s="6"/>
      <c r="B29615" s="6"/>
      <c r="H29615" s="13"/>
    </row>
    <row r="29616">
      <c r="A29616" s="6"/>
      <c r="B29616" s="6"/>
      <c r="H29616" s="13"/>
    </row>
    <row r="29617">
      <c r="A29617" s="6"/>
      <c r="B29617" s="6"/>
      <c r="H29617" s="13"/>
    </row>
    <row r="29618">
      <c r="A29618" s="6"/>
      <c r="B29618" s="6"/>
      <c r="H29618" s="13"/>
    </row>
    <row r="29619">
      <c r="A29619" s="6"/>
      <c r="B29619" s="6"/>
      <c r="H29619" s="13"/>
    </row>
    <row r="29620">
      <c r="A29620" s="6"/>
      <c r="B29620" s="6"/>
      <c r="H29620" s="13"/>
    </row>
    <row r="29621">
      <c r="A29621" s="6"/>
      <c r="B29621" s="6"/>
      <c r="H29621" s="13"/>
    </row>
    <row r="29622">
      <c r="A29622" s="6"/>
      <c r="B29622" s="6"/>
      <c r="H29622" s="13"/>
    </row>
    <row r="29623">
      <c r="A29623" s="6"/>
      <c r="B29623" s="6"/>
      <c r="H29623" s="13"/>
    </row>
    <row r="29624">
      <c r="A29624" s="6"/>
      <c r="B29624" s="6"/>
      <c r="H29624" s="13"/>
    </row>
    <row r="29625">
      <c r="A29625" s="6"/>
      <c r="B29625" s="6"/>
      <c r="H29625" s="13"/>
    </row>
    <row r="29626">
      <c r="A29626" s="6"/>
      <c r="B29626" s="6"/>
      <c r="H29626" s="13"/>
    </row>
    <row r="29627">
      <c r="A29627" s="6"/>
      <c r="B29627" s="6"/>
      <c r="H29627" s="13"/>
    </row>
    <row r="29628">
      <c r="A29628" s="6"/>
      <c r="B29628" s="6"/>
      <c r="H29628" s="13"/>
    </row>
    <row r="29629">
      <c r="A29629" s="6"/>
      <c r="B29629" s="6"/>
      <c r="H29629" s="13"/>
    </row>
    <row r="29630">
      <c r="A29630" s="6"/>
      <c r="B29630" s="6"/>
      <c r="H29630" s="13"/>
    </row>
    <row r="29631">
      <c r="A29631" s="6"/>
      <c r="B29631" s="6"/>
      <c r="H29631" s="13"/>
    </row>
    <row r="29632">
      <c r="A29632" s="6"/>
      <c r="B29632" s="6"/>
      <c r="H29632" s="13"/>
    </row>
    <row r="29633">
      <c r="A29633" s="6"/>
      <c r="B29633" s="6"/>
      <c r="H29633" s="13"/>
    </row>
    <row r="29634">
      <c r="A29634" s="6"/>
      <c r="B29634" s="6"/>
      <c r="H29634" s="13"/>
    </row>
    <row r="29635">
      <c r="A29635" s="6"/>
      <c r="B29635" s="6"/>
      <c r="H29635" s="13"/>
    </row>
    <row r="29636">
      <c r="A29636" s="6"/>
      <c r="B29636" s="6"/>
      <c r="H29636" s="13"/>
    </row>
    <row r="29637">
      <c r="A29637" s="6"/>
      <c r="B29637" s="6"/>
      <c r="H29637" s="13"/>
    </row>
    <row r="29638">
      <c r="A29638" s="6"/>
      <c r="B29638" s="6"/>
      <c r="H29638" s="13"/>
    </row>
    <row r="29639">
      <c r="A29639" s="6"/>
      <c r="B29639" s="6"/>
      <c r="H29639" s="13"/>
    </row>
    <row r="29640">
      <c r="A29640" s="6"/>
      <c r="B29640" s="6"/>
      <c r="H29640" s="13"/>
    </row>
    <row r="29641">
      <c r="A29641" s="6"/>
      <c r="B29641" s="6"/>
      <c r="H29641" s="13"/>
    </row>
    <row r="29642">
      <c r="A29642" s="6"/>
      <c r="B29642" s="6"/>
      <c r="H29642" s="13"/>
    </row>
    <row r="29643">
      <c r="A29643" s="6"/>
      <c r="B29643" s="6"/>
      <c r="H29643" s="13"/>
    </row>
    <row r="29644">
      <c r="A29644" s="6"/>
      <c r="B29644" s="6"/>
      <c r="H29644" s="13"/>
    </row>
    <row r="29645">
      <c r="A29645" s="6"/>
      <c r="B29645" s="6"/>
      <c r="H29645" s="13"/>
    </row>
    <row r="29646">
      <c r="A29646" s="6"/>
      <c r="B29646" s="6"/>
      <c r="H29646" s="13"/>
    </row>
    <row r="29647">
      <c r="A29647" s="6"/>
      <c r="B29647" s="6"/>
      <c r="H29647" s="13"/>
    </row>
    <row r="29648">
      <c r="A29648" s="6"/>
      <c r="B29648" s="6"/>
      <c r="H29648" s="13"/>
    </row>
    <row r="29649">
      <c r="A29649" s="6"/>
      <c r="B29649" s="6"/>
      <c r="H29649" s="13"/>
    </row>
    <row r="29650">
      <c r="A29650" s="6"/>
      <c r="B29650" s="6"/>
      <c r="H29650" s="13"/>
    </row>
    <row r="29651">
      <c r="A29651" s="6"/>
      <c r="B29651" s="6"/>
      <c r="H29651" s="13"/>
    </row>
    <row r="29652">
      <c r="A29652" s="6"/>
      <c r="B29652" s="6"/>
      <c r="H29652" s="13"/>
    </row>
    <row r="29653">
      <c r="A29653" s="6"/>
      <c r="B29653" s="6"/>
      <c r="H29653" s="13"/>
    </row>
    <row r="29654">
      <c r="A29654" s="6"/>
      <c r="B29654" s="6"/>
      <c r="H29654" s="13"/>
    </row>
    <row r="29655">
      <c r="A29655" s="6"/>
      <c r="B29655" s="6"/>
      <c r="H29655" s="13"/>
    </row>
    <row r="29656">
      <c r="A29656" s="6"/>
      <c r="B29656" s="6"/>
      <c r="H29656" s="13"/>
    </row>
    <row r="29657">
      <c r="A29657" s="6"/>
      <c r="B29657" s="6"/>
      <c r="H29657" s="13"/>
    </row>
    <row r="29658">
      <c r="A29658" s="6"/>
      <c r="B29658" s="6"/>
      <c r="H29658" s="13"/>
    </row>
    <row r="29659">
      <c r="A29659" s="6"/>
      <c r="B29659" s="6"/>
      <c r="H29659" s="13"/>
    </row>
    <row r="29660">
      <c r="A29660" s="6"/>
      <c r="B29660" s="6"/>
      <c r="H29660" s="13"/>
    </row>
    <row r="29661">
      <c r="A29661" s="6"/>
      <c r="B29661" s="6"/>
      <c r="H29661" s="13"/>
    </row>
    <row r="29662">
      <c r="A29662" s="6"/>
      <c r="B29662" s="6"/>
      <c r="H29662" s="13"/>
    </row>
    <row r="29663">
      <c r="A29663" s="6"/>
      <c r="B29663" s="6"/>
      <c r="H29663" s="13"/>
    </row>
    <row r="29664">
      <c r="A29664" s="6"/>
      <c r="B29664" s="6"/>
      <c r="H29664" s="13"/>
    </row>
    <row r="29665">
      <c r="A29665" s="6"/>
      <c r="B29665" s="6"/>
      <c r="H29665" s="13"/>
    </row>
    <row r="29666">
      <c r="A29666" s="6"/>
      <c r="B29666" s="6"/>
      <c r="H29666" s="13"/>
    </row>
    <row r="29667">
      <c r="A29667" s="6"/>
      <c r="B29667" s="6"/>
      <c r="H29667" s="13"/>
    </row>
    <row r="29668">
      <c r="A29668" s="6"/>
      <c r="B29668" s="6"/>
      <c r="H29668" s="13"/>
    </row>
    <row r="29669">
      <c r="A29669" s="6"/>
      <c r="B29669" s="6"/>
      <c r="H29669" s="13"/>
    </row>
    <row r="29670">
      <c r="A29670" s="6"/>
      <c r="B29670" s="6"/>
      <c r="H29670" s="13"/>
    </row>
    <row r="29671">
      <c r="A29671" s="6"/>
      <c r="B29671" s="6"/>
      <c r="H29671" s="13"/>
    </row>
    <row r="29672">
      <c r="A29672" s="6"/>
      <c r="B29672" s="6"/>
      <c r="H29672" s="13"/>
    </row>
    <row r="29673">
      <c r="A29673" s="6"/>
      <c r="B29673" s="6"/>
      <c r="H29673" s="13"/>
    </row>
    <row r="29674">
      <c r="A29674" s="6"/>
      <c r="B29674" s="6"/>
      <c r="H29674" s="13"/>
    </row>
    <row r="29675">
      <c r="A29675" s="6"/>
      <c r="B29675" s="6"/>
      <c r="H29675" s="13"/>
    </row>
    <row r="29676">
      <c r="A29676" s="6"/>
      <c r="B29676" s="6"/>
      <c r="H29676" s="13"/>
    </row>
    <row r="29677">
      <c r="A29677" s="6"/>
      <c r="B29677" s="6"/>
      <c r="H29677" s="13"/>
    </row>
    <row r="29678">
      <c r="A29678" s="6"/>
      <c r="B29678" s="6"/>
      <c r="H29678" s="13"/>
    </row>
    <row r="29679">
      <c r="A29679" s="6"/>
      <c r="B29679" s="6"/>
      <c r="H29679" s="13"/>
    </row>
    <row r="29680">
      <c r="A29680" s="6"/>
      <c r="B29680" s="6"/>
      <c r="H29680" s="13"/>
    </row>
    <row r="29681">
      <c r="A29681" s="6"/>
      <c r="B29681" s="6"/>
      <c r="H29681" s="13"/>
    </row>
    <row r="29682">
      <c r="A29682" s="6"/>
      <c r="B29682" s="6"/>
      <c r="H29682" s="13"/>
    </row>
    <row r="29683">
      <c r="A29683" s="6"/>
      <c r="B29683" s="6"/>
      <c r="H29683" s="13"/>
    </row>
    <row r="29684">
      <c r="A29684" s="6"/>
      <c r="B29684" s="6"/>
      <c r="H29684" s="13"/>
    </row>
    <row r="29685">
      <c r="A29685" s="6"/>
      <c r="B29685" s="6"/>
      <c r="H29685" s="13"/>
    </row>
    <row r="29686">
      <c r="A29686" s="6"/>
      <c r="B29686" s="6"/>
      <c r="H29686" s="13"/>
    </row>
    <row r="29687">
      <c r="A29687" s="6"/>
      <c r="B29687" s="6"/>
      <c r="H29687" s="13"/>
    </row>
    <row r="29688">
      <c r="A29688" s="6"/>
      <c r="B29688" s="6"/>
      <c r="H29688" s="13"/>
    </row>
    <row r="29689">
      <c r="A29689" s="6"/>
      <c r="B29689" s="6"/>
      <c r="H29689" s="13"/>
    </row>
    <row r="29690">
      <c r="A29690" s="6"/>
      <c r="B29690" s="6"/>
      <c r="H29690" s="13"/>
    </row>
    <row r="29691">
      <c r="A29691" s="6"/>
      <c r="B29691" s="6"/>
      <c r="H29691" s="13"/>
    </row>
    <row r="29692">
      <c r="A29692" s="6"/>
      <c r="B29692" s="6"/>
      <c r="H29692" s="13"/>
    </row>
    <row r="29693">
      <c r="A29693" s="6"/>
      <c r="B29693" s="6"/>
      <c r="H29693" s="13"/>
    </row>
    <row r="29694">
      <c r="A29694" s="6"/>
      <c r="B29694" s="6"/>
      <c r="H29694" s="13"/>
    </row>
    <row r="29695">
      <c r="A29695" s="6"/>
      <c r="B29695" s="6"/>
      <c r="H29695" s="13"/>
    </row>
    <row r="29696">
      <c r="A29696" s="6"/>
      <c r="B29696" s="6"/>
      <c r="H29696" s="13"/>
    </row>
    <row r="29697">
      <c r="A29697" s="6"/>
      <c r="B29697" s="6"/>
      <c r="H29697" s="13"/>
    </row>
    <row r="29698">
      <c r="A29698" s="6"/>
      <c r="B29698" s="6"/>
      <c r="H29698" s="13"/>
    </row>
    <row r="29699">
      <c r="A29699" s="6"/>
      <c r="B29699" s="6"/>
      <c r="H29699" s="13"/>
    </row>
    <row r="29700">
      <c r="A29700" s="6"/>
      <c r="B29700" s="6"/>
      <c r="H29700" s="13"/>
    </row>
    <row r="29701">
      <c r="A29701" s="6"/>
      <c r="B29701" s="6"/>
      <c r="H29701" s="13"/>
    </row>
    <row r="29702">
      <c r="A29702" s="6"/>
      <c r="B29702" s="6"/>
      <c r="H29702" s="13"/>
    </row>
    <row r="29703">
      <c r="A29703" s="6"/>
      <c r="B29703" s="6"/>
      <c r="H29703" s="13"/>
    </row>
    <row r="29704">
      <c r="A29704" s="6"/>
      <c r="B29704" s="6"/>
      <c r="H29704" s="13"/>
    </row>
    <row r="29705">
      <c r="A29705" s="6"/>
      <c r="B29705" s="6"/>
      <c r="H29705" s="13"/>
    </row>
    <row r="29706">
      <c r="A29706" s="6"/>
      <c r="B29706" s="6"/>
      <c r="H29706" s="13"/>
    </row>
    <row r="29707">
      <c r="A29707" s="6"/>
      <c r="B29707" s="6"/>
      <c r="H29707" s="13"/>
    </row>
    <row r="29708">
      <c r="A29708" s="6"/>
      <c r="B29708" s="6"/>
      <c r="H29708" s="13"/>
    </row>
    <row r="29709">
      <c r="A29709" s="6"/>
      <c r="B29709" s="6"/>
      <c r="H29709" s="13"/>
    </row>
    <row r="29710">
      <c r="A29710" s="6"/>
      <c r="B29710" s="6"/>
      <c r="H29710" s="13"/>
    </row>
    <row r="29711">
      <c r="A29711" s="6"/>
      <c r="B29711" s="6"/>
      <c r="H29711" s="13"/>
    </row>
    <row r="29712">
      <c r="A29712" s="6"/>
      <c r="B29712" s="6"/>
      <c r="H29712" s="13"/>
    </row>
    <row r="29713">
      <c r="A29713" s="6"/>
      <c r="B29713" s="6"/>
      <c r="H29713" s="13"/>
    </row>
    <row r="29714">
      <c r="A29714" s="6"/>
      <c r="B29714" s="6"/>
      <c r="H29714" s="13"/>
    </row>
    <row r="29715">
      <c r="A29715" s="6"/>
      <c r="B29715" s="6"/>
      <c r="H29715" s="13"/>
    </row>
    <row r="29716">
      <c r="A29716" s="6"/>
      <c r="B29716" s="6"/>
      <c r="H29716" s="13"/>
    </row>
    <row r="29717">
      <c r="A29717" s="6"/>
      <c r="B29717" s="6"/>
      <c r="H29717" s="13"/>
    </row>
    <row r="29718">
      <c r="A29718" s="6"/>
      <c r="B29718" s="6"/>
      <c r="H29718" s="13"/>
    </row>
    <row r="29719">
      <c r="A29719" s="6"/>
      <c r="B29719" s="6"/>
      <c r="H29719" s="13"/>
    </row>
    <row r="29720">
      <c r="A29720" s="6"/>
      <c r="B29720" s="6"/>
      <c r="H29720" s="13"/>
    </row>
    <row r="29721">
      <c r="A29721" s="6"/>
      <c r="B29721" s="6"/>
      <c r="H29721" s="13"/>
    </row>
    <row r="29722">
      <c r="A29722" s="6"/>
      <c r="B29722" s="6"/>
      <c r="H29722" s="13"/>
    </row>
    <row r="29723">
      <c r="A29723" s="6"/>
      <c r="B29723" s="6"/>
      <c r="H29723" s="13"/>
    </row>
    <row r="29724">
      <c r="A29724" s="6"/>
      <c r="B29724" s="6"/>
      <c r="H29724" s="13"/>
    </row>
    <row r="29725">
      <c r="A29725" s="6"/>
      <c r="B29725" s="6"/>
      <c r="H29725" s="13"/>
    </row>
    <row r="29726">
      <c r="A29726" s="6"/>
      <c r="B29726" s="6"/>
      <c r="H29726" s="13"/>
    </row>
    <row r="29727">
      <c r="A29727" s="6"/>
      <c r="B29727" s="6"/>
      <c r="H29727" s="13"/>
    </row>
    <row r="29728">
      <c r="A29728" s="6"/>
      <c r="B29728" s="6"/>
      <c r="H29728" s="13"/>
    </row>
    <row r="29729">
      <c r="A29729" s="6"/>
      <c r="B29729" s="6"/>
      <c r="H29729" s="13"/>
    </row>
    <row r="29730">
      <c r="A29730" s="6"/>
      <c r="B29730" s="6"/>
      <c r="H29730" s="13"/>
    </row>
    <row r="29731">
      <c r="A29731" s="6"/>
      <c r="B29731" s="6"/>
      <c r="H29731" s="13"/>
    </row>
    <row r="29732">
      <c r="A29732" s="6"/>
      <c r="B29732" s="6"/>
      <c r="H29732" s="13"/>
    </row>
    <row r="29733">
      <c r="A29733" s="6"/>
      <c r="B29733" s="6"/>
      <c r="H29733" s="13"/>
    </row>
    <row r="29734">
      <c r="A29734" s="6"/>
      <c r="B29734" s="6"/>
      <c r="H29734" s="13"/>
    </row>
    <row r="29735">
      <c r="A29735" s="6"/>
      <c r="B29735" s="6"/>
      <c r="H29735" s="13"/>
    </row>
    <row r="29736">
      <c r="A29736" s="6"/>
      <c r="B29736" s="6"/>
      <c r="H29736" s="13"/>
    </row>
    <row r="29737">
      <c r="A29737" s="6"/>
      <c r="B29737" s="6"/>
      <c r="H29737" s="13"/>
    </row>
    <row r="29738">
      <c r="A29738" s="6"/>
      <c r="B29738" s="6"/>
      <c r="H29738" s="13"/>
    </row>
    <row r="29739">
      <c r="A29739" s="6"/>
      <c r="B29739" s="6"/>
      <c r="H29739" s="13"/>
    </row>
    <row r="29740">
      <c r="A29740" s="6"/>
      <c r="B29740" s="6"/>
      <c r="H29740" s="13"/>
    </row>
    <row r="29741">
      <c r="A29741" s="6"/>
      <c r="B29741" s="6"/>
      <c r="H29741" s="13"/>
    </row>
    <row r="29742">
      <c r="A29742" s="6"/>
      <c r="B29742" s="6"/>
      <c r="H29742" s="13"/>
    </row>
    <row r="29743">
      <c r="A29743" s="6"/>
      <c r="B29743" s="6"/>
      <c r="H29743" s="13"/>
    </row>
    <row r="29744">
      <c r="A29744" s="6"/>
      <c r="B29744" s="6"/>
      <c r="H29744" s="13"/>
    </row>
    <row r="29745">
      <c r="A29745" s="6"/>
      <c r="B29745" s="6"/>
      <c r="H29745" s="13"/>
    </row>
    <row r="29746">
      <c r="A29746" s="6"/>
      <c r="B29746" s="6"/>
      <c r="H29746" s="13"/>
    </row>
    <row r="29747">
      <c r="A29747" s="6"/>
      <c r="B29747" s="6"/>
      <c r="H29747" s="13"/>
    </row>
    <row r="29748">
      <c r="A29748" s="6"/>
      <c r="B29748" s="6"/>
      <c r="H29748" s="13"/>
    </row>
    <row r="29749">
      <c r="A29749" s="6"/>
      <c r="B29749" s="6"/>
      <c r="H29749" s="13"/>
    </row>
    <row r="29750">
      <c r="A29750" s="6"/>
      <c r="B29750" s="6"/>
      <c r="H29750" s="13"/>
    </row>
    <row r="29751">
      <c r="A29751" s="6"/>
      <c r="B29751" s="6"/>
      <c r="H29751" s="13"/>
    </row>
    <row r="29752">
      <c r="A29752" s="6"/>
      <c r="B29752" s="6"/>
      <c r="H29752" s="13"/>
    </row>
    <row r="29753">
      <c r="A29753" s="6"/>
      <c r="B29753" s="6"/>
      <c r="H29753" s="13"/>
    </row>
    <row r="29754">
      <c r="A29754" s="6"/>
      <c r="B29754" s="6"/>
      <c r="H29754" s="13"/>
    </row>
    <row r="29755">
      <c r="A29755" s="6"/>
      <c r="B29755" s="6"/>
      <c r="H29755" s="13"/>
    </row>
    <row r="29756">
      <c r="A29756" s="6"/>
      <c r="B29756" s="6"/>
      <c r="H29756" s="13"/>
    </row>
    <row r="29757">
      <c r="A29757" s="6"/>
      <c r="B29757" s="6"/>
      <c r="H29757" s="13"/>
    </row>
    <row r="29758">
      <c r="A29758" s="6"/>
      <c r="B29758" s="6"/>
      <c r="H29758" s="13"/>
    </row>
    <row r="29759">
      <c r="A29759" s="6"/>
      <c r="B29759" s="6"/>
      <c r="H29759" s="13"/>
    </row>
    <row r="29760">
      <c r="A29760" s="6"/>
      <c r="B29760" s="6"/>
      <c r="H29760" s="13"/>
    </row>
    <row r="29761">
      <c r="A29761" s="6"/>
      <c r="B29761" s="6"/>
      <c r="H29761" s="13"/>
    </row>
    <row r="29762">
      <c r="A29762" s="6"/>
      <c r="B29762" s="6"/>
      <c r="H29762" s="13"/>
    </row>
    <row r="29763">
      <c r="A29763" s="6"/>
      <c r="B29763" s="6"/>
      <c r="H29763" s="13"/>
    </row>
    <row r="29764">
      <c r="A29764" s="6"/>
      <c r="B29764" s="6"/>
      <c r="H29764" s="13"/>
    </row>
    <row r="29765">
      <c r="A29765" s="6"/>
      <c r="B29765" s="6"/>
      <c r="H29765" s="13"/>
    </row>
    <row r="29766">
      <c r="A29766" s="6"/>
      <c r="B29766" s="6"/>
      <c r="H29766" s="13"/>
    </row>
    <row r="29767">
      <c r="A29767" s="6"/>
      <c r="B29767" s="6"/>
      <c r="H29767" s="13"/>
    </row>
    <row r="29768">
      <c r="A29768" s="6"/>
      <c r="B29768" s="6"/>
      <c r="H29768" s="13"/>
    </row>
    <row r="29769">
      <c r="A29769" s="6"/>
      <c r="B29769" s="6"/>
      <c r="H29769" s="13"/>
    </row>
    <row r="29770">
      <c r="A29770" s="6"/>
      <c r="B29770" s="6"/>
      <c r="H29770" s="13"/>
    </row>
    <row r="29771">
      <c r="A29771" s="6"/>
      <c r="B29771" s="6"/>
      <c r="H29771" s="13"/>
    </row>
    <row r="29772">
      <c r="A29772" s="6"/>
      <c r="B29772" s="6"/>
      <c r="H29772" s="13"/>
    </row>
    <row r="29773">
      <c r="A29773" s="6"/>
      <c r="B29773" s="6"/>
      <c r="H29773" s="13"/>
    </row>
    <row r="29774">
      <c r="A29774" s="6"/>
      <c r="B29774" s="6"/>
      <c r="H29774" s="13"/>
    </row>
    <row r="29775">
      <c r="A29775" s="6"/>
      <c r="B29775" s="6"/>
      <c r="H29775" s="13"/>
    </row>
    <row r="29776">
      <c r="A29776" s="6"/>
      <c r="B29776" s="6"/>
      <c r="H29776" s="13"/>
    </row>
    <row r="29777">
      <c r="A29777" s="6"/>
      <c r="B29777" s="6"/>
      <c r="H29777" s="13"/>
    </row>
    <row r="29778">
      <c r="A29778" s="6"/>
      <c r="B29778" s="6"/>
      <c r="H29778" s="13"/>
    </row>
    <row r="29779">
      <c r="A29779" s="6"/>
      <c r="B29779" s="6"/>
      <c r="H29779" s="13"/>
    </row>
    <row r="29780">
      <c r="A29780" s="6"/>
      <c r="B29780" s="6"/>
      <c r="H29780" s="13"/>
    </row>
    <row r="29781">
      <c r="A29781" s="6"/>
      <c r="B29781" s="6"/>
      <c r="H29781" s="13"/>
    </row>
    <row r="29782">
      <c r="A29782" s="6"/>
      <c r="B29782" s="6"/>
      <c r="H29782" s="13"/>
    </row>
    <row r="29783">
      <c r="A29783" s="6"/>
      <c r="B29783" s="6"/>
      <c r="H29783" s="13"/>
    </row>
    <row r="29784">
      <c r="A29784" s="6"/>
      <c r="B29784" s="6"/>
      <c r="H29784" s="13"/>
    </row>
    <row r="29785">
      <c r="A29785" s="6"/>
      <c r="B29785" s="6"/>
      <c r="H29785" s="13"/>
    </row>
    <row r="29786">
      <c r="A29786" s="6"/>
      <c r="B29786" s="6"/>
      <c r="H29786" s="13"/>
    </row>
    <row r="29787">
      <c r="A29787" s="6"/>
      <c r="B29787" s="6"/>
      <c r="H29787" s="13"/>
    </row>
    <row r="29788">
      <c r="A29788" s="6"/>
      <c r="B29788" s="6"/>
      <c r="H29788" s="13"/>
    </row>
    <row r="29789">
      <c r="A29789" s="6"/>
      <c r="B29789" s="6"/>
      <c r="H29789" s="13"/>
    </row>
    <row r="29790">
      <c r="A29790" s="6"/>
      <c r="B29790" s="6"/>
      <c r="H29790" s="13"/>
    </row>
    <row r="29791">
      <c r="A29791" s="6"/>
      <c r="B29791" s="6"/>
      <c r="H29791" s="13"/>
    </row>
    <row r="29792">
      <c r="A29792" s="6"/>
      <c r="B29792" s="6"/>
      <c r="H29792" s="13"/>
    </row>
    <row r="29793">
      <c r="A29793" s="6"/>
      <c r="B29793" s="6"/>
      <c r="H29793" s="13"/>
    </row>
    <row r="29794">
      <c r="A29794" s="6"/>
      <c r="B29794" s="6"/>
      <c r="H29794" s="13"/>
    </row>
    <row r="29795">
      <c r="A29795" s="6"/>
      <c r="B29795" s="6"/>
      <c r="H29795" s="13"/>
    </row>
    <row r="29796">
      <c r="A29796" s="6"/>
      <c r="B29796" s="6"/>
      <c r="H29796" s="13"/>
    </row>
    <row r="29797">
      <c r="A29797" s="6"/>
      <c r="B29797" s="6"/>
      <c r="H29797" s="13"/>
    </row>
    <row r="29798">
      <c r="A29798" s="6"/>
      <c r="B29798" s="6"/>
      <c r="H29798" s="13"/>
    </row>
    <row r="29799">
      <c r="A29799" s="6"/>
      <c r="B29799" s="6"/>
      <c r="H29799" s="13"/>
    </row>
    <row r="29800">
      <c r="A29800" s="6"/>
      <c r="B29800" s="6"/>
      <c r="H29800" s="13"/>
    </row>
    <row r="29801">
      <c r="A29801" s="6"/>
      <c r="B29801" s="6"/>
      <c r="H29801" s="13"/>
    </row>
    <row r="29802">
      <c r="A29802" s="6"/>
      <c r="B29802" s="6"/>
      <c r="H29802" s="13"/>
    </row>
    <row r="29803">
      <c r="A29803" s="6"/>
      <c r="B29803" s="6"/>
      <c r="H29803" s="13"/>
    </row>
    <row r="29804">
      <c r="A29804" s="6"/>
      <c r="B29804" s="6"/>
      <c r="H29804" s="13"/>
    </row>
    <row r="29805">
      <c r="A29805" s="6"/>
      <c r="B29805" s="6"/>
      <c r="H29805" s="13"/>
    </row>
    <row r="29806">
      <c r="A29806" s="6"/>
      <c r="B29806" s="6"/>
      <c r="H29806" s="13"/>
    </row>
    <row r="29807">
      <c r="A29807" s="6"/>
      <c r="B29807" s="6"/>
      <c r="H29807" s="13"/>
    </row>
    <row r="29808">
      <c r="A29808" s="6"/>
      <c r="B29808" s="6"/>
      <c r="H29808" s="13"/>
    </row>
    <row r="29809">
      <c r="A29809" s="6"/>
      <c r="B29809" s="6"/>
      <c r="H29809" s="13"/>
    </row>
    <row r="29810">
      <c r="A29810" s="6"/>
      <c r="B29810" s="6"/>
      <c r="H29810" s="13"/>
    </row>
    <row r="29811">
      <c r="A29811" s="6"/>
      <c r="B29811" s="6"/>
      <c r="H29811" s="13"/>
    </row>
    <row r="29812">
      <c r="A29812" s="6"/>
      <c r="B29812" s="6"/>
      <c r="H29812" s="13"/>
    </row>
    <row r="29813">
      <c r="A29813" s="6"/>
      <c r="B29813" s="6"/>
      <c r="H29813" s="13"/>
    </row>
    <row r="29814">
      <c r="A29814" s="6"/>
      <c r="B29814" s="6"/>
      <c r="H29814" s="13"/>
    </row>
    <row r="29815">
      <c r="A29815" s="6"/>
      <c r="B29815" s="6"/>
      <c r="H29815" s="13"/>
    </row>
    <row r="29816">
      <c r="A29816" s="6"/>
      <c r="B29816" s="6"/>
      <c r="H29816" s="13"/>
    </row>
    <row r="29817">
      <c r="A29817" s="6"/>
      <c r="B29817" s="6"/>
      <c r="H29817" s="13"/>
    </row>
    <row r="29818">
      <c r="A29818" s="6"/>
      <c r="B29818" s="6"/>
      <c r="H29818" s="13"/>
    </row>
    <row r="29819">
      <c r="A29819" s="6"/>
      <c r="B29819" s="6"/>
      <c r="H29819" s="13"/>
    </row>
    <row r="29820">
      <c r="A29820" s="6"/>
      <c r="B29820" s="6"/>
      <c r="H29820" s="13"/>
    </row>
    <row r="29821">
      <c r="A29821" s="6"/>
      <c r="B29821" s="6"/>
      <c r="H29821" s="13"/>
    </row>
    <row r="29822">
      <c r="A29822" s="6"/>
      <c r="B29822" s="6"/>
      <c r="H29822" s="13"/>
    </row>
    <row r="29823">
      <c r="A29823" s="6"/>
      <c r="B29823" s="6"/>
      <c r="H29823" s="13"/>
    </row>
    <row r="29824">
      <c r="A29824" s="6"/>
      <c r="B29824" s="6"/>
      <c r="H29824" s="13"/>
    </row>
    <row r="29825">
      <c r="A29825" s="6"/>
      <c r="B29825" s="6"/>
      <c r="H29825" s="13"/>
    </row>
    <row r="29826">
      <c r="A29826" s="6"/>
      <c r="B29826" s="6"/>
      <c r="H29826" s="13"/>
    </row>
    <row r="29827">
      <c r="A29827" s="6"/>
      <c r="B29827" s="6"/>
      <c r="H29827" s="13"/>
    </row>
    <row r="29828">
      <c r="A29828" s="6"/>
      <c r="B29828" s="6"/>
      <c r="H29828" s="13"/>
    </row>
    <row r="29829">
      <c r="A29829" s="6"/>
      <c r="B29829" s="6"/>
      <c r="H29829" s="13"/>
    </row>
    <row r="29830">
      <c r="A29830" s="6"/>
      <c r="B29830" s="6"/>
      <c r="H29830" s="13"/>
    </row>
    <row r="29831">
      <c r="A29831" s="6"/>
      <c r="B29831" s="6"/>
      <c r="H29831" s="13"/>
    </row>
    <row r="29832">
      <c r="A29832" s="6"/>
      <c r="B29832" s="6"/>
      <c r="H29832" s="13"/>
    </row>
    <row r="29833">
      <c r="A29833" s="6"/>
      <c r="B29833" s="6"/>
      <c r="H29833" s="13"/>
    </row>
    <row r="29834">
      <c r="A29834" s="6"/>
      <c r="B29834" s="6"/>
      <c r="H29834" s="13"/>
    </row>
    <row r="29835">
      <c r="A29835" s="6"/>
      <c r="B29835" s="6"/>
      <c r="H29835" s="13"/>
    </row>
    <row r="29836">
      <c r="A29836" s="6"/>
      <c r="B29836" s="6"/>
      <c r="H29836" s="13"/>
    </row>
    <row r="29837">
      <c r="A29837" s="6"/>
      <c r="B29837" s="6"/>
      <c r="H29837" s="13"/>
    </row>
    <row r="29838">
      <c r="A29838" s="6"/>
      <c r="B29838" s="6"/>
      <c r="H29838" s="13"/>
    </row>
    <row r="29839">
      <c r="A29839" s="6"/>
      <c r="B29839" s="6"/>
      <c r="H29839" s="13"/>
    </row>
    <row r="29840">
      <c r="A29840" s="6"/>
      <c r="B29840" s="6"/>
      <c r="H29840" s="13"/>
    </row>
    <row r="29841">
      <c r="A29841" s="6"/>
      <c r="B29841" s="6"/>
      <c r="H29841" s="13"/>
    </row>
    <row r="29842">
      <c r="A29842" s="6"/>
      <c r="B29842" s="6"/>
      <c r="H29842" s="13"/>
    </row>
    <row r="29843">
      <c r="A29843" s="6"/>
      <c r="B29843" s="6"/>
      <c r="H29843" s="13"/>
    </row>
    <row r="29844">
      <c r="A29844" s="6"/>
      <c r="B29844" s="6"/>
      <c r="H29844" s="13"/>
    </row>
    <row r="29845">
      <c r="A29845" s="6"/>
      <c r="B29845" s="6"/>
      <c r="H29845" s="13"/>
    </row>
    <row r="29846">
      <c r="A29846" s="6"/>
      <c r="B29846" s="6"/>
      <c r="H29846" s="13"/>
    </row>
    <row r="29847">
      <c r="A29847" s="6"/>
      <c r="B29847" s="6"/>
      <c r="H29847" s="13"/>
    </row>
    <row r="29848">
      <c r="A29848" s="6"/>
      <c r="B29848" s="6"/>
      <c r="H29848" s="13"/>
    </row>
    <row r="29849">
      <c r="A29849" s="6"/>
      <c r="B29849" s="6"/>
      <c r="H29849" s="13"/>
    </row>
    <row r="29850">
      <c r="A29850" s="6"/>
      <c r="B29850" s="6"/>
      <c r="H29850" s="13"/>
    </row>
    <row r="29851">
      <c r="A29851" s="6"/>
      <c r="B29851" s="6"/>
      <c r="H29851" s="13"/>
    </row>
    <row r="29852">
      <c r="A29852" s="6"/>
      <c r="B29852" s="6"/>
      <c r="H29852" s="13"/>
    </row>
    <row r="29853">
      <c r="A29853" s="6"/>
      <c r="B29853" s="6"/>
      <c r="H29853" s="13"/>
    </row>
    <row r="29854">
      <c r="A29854" s="6"/>
      <c r="B29854" s="6"/>
      <c r="H29854" s="13"/>
    </row>
    <row r="29855">
      <c r="A29855" s="6"/>
      <c r="B29855" s="6"/>
      <c r="H29855" s="13"/>
    </row>
    <row r="29856">
      <c r="A29856" s="6"/>
      <c r="B29856" s="6"/>
      <c r="H29856" s="13"/>
    </row>
    <row r="29857">
      <c r="A29857" s="6"/>
      <c r="B29857" s="6"/>
      <c r="H29857" s="13"/>
    </row>
    <row r="29858">
      <c r="A29858" s="6"/>
      <c r="B29858" s="6"/>
      <c r="H29858" s="13"/>
    </row>
    <row r="29859">
      <c r="A29859" s="6"/>
      <c r="B29859" s="6"/>
      <c r="H29859" s="13"/>
    </row>
    <row r="29860">
      <c r="A29860" s="6"/>
      <c r="B29860" s="6"/>
      <c r="H29860" s="13"/>
    </row>
    <row r="29861">
      <c r="A29861" s="6"/>
      <c r="B29861" s="6"/>
      <c r="H29861" s="13"/>
    </row>
    <row r="29862">
      <c r="A29862" s="6"/>
      <c r="B29862" s="6"/>
      <c r="H29862" s="13"/>
    </row>
    <row r="29863">
      <c r="A29863" s="6"/>
      <c r="B29863" s="6"/>
      <c r="H29863" s="13"/>
    </row>
    <row r="29864">
      <c r="A29864" s="6"/>
      <c r="B29864" s="6"/>
      <c r="H29864" s="13"/>
    </row>
    <row r="29865">
      <c r="A29865" s="6"/>
      <c r="B29865" s="6"/>
      <c r="H29865" s="13"/>
    </row>
    <row r="29866">
      <c r="A29866" s="6"/>
      <c r="B29866" s="6"/>
      <c r="H29866" s="13"/>
    </row>
    <row r="29867">
      <c r="A29867" s="6"/>
      <c r="B29867" s="6"/>
      <c r="H29867" s="13"/>
    </row>
    <row r="29868">
      <c r="A29868" s="6"/>
      <c r="B29868" s="6"/>
      <c r="H29868" s="13"/>
    </row>
    <row r="29869">
      <c r="A29869" s="6"/>
      <c r="B29869" s="6"/>
      <c r="H29869" s="13"/>
    </row>
    <row r="29870">
      <c r="A29870" s="6"/>
      <c r="B29870" s="6"/>
      <c r="H29870" s="13"/>
    </row>
    <row r="29871">
      <c r="A29871" s="6"/>
      <c r="B29871" s="6"/>
      <c r="H29871" s="13"/>
    </row>
    <row r="29872">
      <c r="A29872" s="6"/>
      <c r="B29872" s="6"/>
      <c r="H29872" s="13"/>
    </row>
    <row r="29873">
      <c r="A29873" s="6"/>
      <c r="B29873" s="6"/>
      <c r="H29873" s="13"/>
    </row>
    <row r="29874">
      <c r="A29874" s="6"/>
      <c r="B29874" s="6"/>
      <c r="H29874" s="13"/>
    </row>
    <row r="29875">
      <c r="A29875" s="6"/>
      <c r="B29875" s="6"/>
      <c r="H29875" s="13"/>
    </row>
    <row r="29876">
      <c r="A29876" s="6"/>
      <c r="B29876" s="6"/>
      <c r="H29876" s="13"/>
    </row>
    <row r="29877">
      <c r="A29877" s="6"/>
      <c r="B29877" s="6"/>
      <c r="H29877" s="13"/>
    </row>
    <row r="29878">
      <c r="A29878" s="6"/>
      <c r="B29878" s="6"/>
      <c r="H29878" s="13"/>
    </row>
    <row r="29879">
      <c r="A29879" s="6"/>
      <c r="B29879" s="6"/>
      <c r="H29879" s="13"/>
    </row>
    <row r="29880">
      <c r="A29880" s="6"/>
      <c r="B29880" s="6"/>
      <c r="H29880" s="13"/>
    </row>
    <row r="29881">
      <c r="A29881" s="6"/>
      <c r="B29881" s="6"/>
      <c r="H29881" s="13"/>
    </row>
    <row r="29882">
      <c r="A29882" s="6"/>
      <c r="B29882" s="6"/>
      <c r="H29882" s="13"/>
    </row>
    <row r="29883">
      <c r="A29883" s="6"/>
      <c r="B29883" s="6"/>
      <c r="H29883" s="13"/>
    </row>
    <row r="29884">
      <c r="A29884" s="6"/>
      <c r="B29884" s="6"/>
      <c r="H29884" s="13"/>
    </row>
    <row r="29885">
      <c r="A29885" s="6"/>
      <c r="B29885" s="6"/>
      <c r="H29885" s="13"/>
    </row>
    <row r="29886">
      <c r="A29886" s="6"/>
      <c r="B29886" s="6"/>
      <c r="H29886" s="13"/>
    </row>
    <row r="29887">
      <c r="A29887" s="6"/>
      <c r="B29887" s="6"/>
      <c r="H29887" s="13"/>
    </row>
    <row r="29888">
      <c r="A29888" s="6"/>
      <c r="B29888" s="6"/>
      <c r="H29888" s="13"/>
    </row>
    <row r="29889">
      <c r="A29889" s="6"/>
      <c r="B29889" s="6"/>
      <c r="H29889" s="13"/>
    </row>
    <row r="29890">
      <c r="A29890" s="6"/>
      <c r="B29890" s="6"/>
      <c r="H29890" s="13"/>
    </row>
    <row r="29891">
      <c r="A29891" s="6"/>
      <c r="B29891" s="6"/>
      <c r="H29891" s="13"/>
    </row>
    <row r="29892">
      <c r="A29892" s="6"/>
      <c r="B29892" s="6"/>
      <c r="H29892" s="13"/>
    </row>
    <row r="29893">
      <c r="A29893" s="6"/>
      <c r="B29893" s="6"/>
      <c r="H29893" s="13"/>
    </row>
    <row r="29894">
      <c r="A29894" s="6"/>
      <c r="B29894" s="6"/>
      <c r="H29894" s="13"/>
    </row>
    <row r="29895">
      <c r="A29895" s="6"/>
      <c r="B29895" s="6"/>
      <c r="H29895" s="13"/>
    </row>
    <row r="29896">
      <c r="A29896" s="6"/>
      <c r="B29896" s="6"/>
      <c r="H29896" s="13"/>
    </row>
    <row r="29897">
      <c r="A29897" s="6"/>
      <c r="B29897" s="6"/>
      <c r="H29897" s="13"/>
    </row>
    <row r="29898">
      <c r="A29898" s="6"/>
      <c r="B29898" s="6"/>
      <c r="H29898" s="13"/>
    </row>
    <row r="29899">
      <c r="A29899" s="6"/>
      <c r="B29899" s="6"/>
      <c r="H29899" s="13"/>
    </row>
    <row r="29900">
      <c r="A29900" s="6"/>
      <c r="B29900" s="6"/>
      <c r="H29900" s="13"/>
    </row>
    <row r="29901">
      <c r="A29901" s="6"/>
      <c r="B29901" s="6"/>
      <c r="H29901" s="13"/>
    </row>
    <row r="29902">
      <c r="A29902" s="6"/>
      <c r="B29902" s="6"/>
      <c r="H29902" s="13"/>
    </row>
    <row r="29903">
      <c r="A29903" s="6"/>
      <c r="B29903" s="6"/>
      <c r="H29903" s="13"/>
    </row>
    <row r="29904">
      <c r="A29904" s="6"/>
      <c r="B29904" s="6"/>
      <c r="H29904" s="13"/>
    </row>
    <row r="29905">
      <c r="A29905" s="6"/>
      <c r="B29905" s="6"/>
      <c r="H29905" s="13"/>
    </row>
    <row r="29906">
      <c r="A29906" s="6"/>
      <c r="B29906" s="6"/>
      <c r="H29906" s="13"/>
    </row>
    <row r="29907">
      <c r="A29907" s="6"/>
      <c r="B29907" s="6"/>
      <c r="H29907" s="13"/>
    </row>
    <row r="29908">
      <c r="A29908" s="6"/>
      <c r="B29908" s="6"/>
      <c r="H29908" s="13"/>
    </row>
    <row r="29909">
      <c r="A29909" s="6"/>
      <c r="B29909" s="6"/>
      <c r="H29909" s="13"/>
    </row>
    <row r="29910">
      <c r="A29910" s="6"/>
      <c r="B29910" s="6"/>
      <c r="H29910" s="13"/>
    </row>
    <row r="29911">
      <c r="A29911" s="6"/>
      <c r="B29911" s="6"/>
      <c r="H29911" s="13"/>
    </row>
    <row r="29912">
      <c r="A29912" s="6"/>
      <c r="B29912" s="6"/>
      <c r="H29912" s="13"/>
    </row>
    <row r="29913">
      <c r="A29913" s="6"/>
      <c r="B29913" s="6"/>
      <c r="H29913" s="13"/>
    </row>
    <row r="29914">
      <c r="A29914" s="6"/>
      <c r="B29914" s="6"/>
      <c r="H29914" s="13"/>
    </row>
    <row r="29915">
      <c r="A29915" s="6"/>
      <c r="B29915" s="6"/>
      <c r="H29915" s="13"/>
    </row>
    <row r="29916">
      <c r="A29916" s="6"/>
      <c r="B29916" s="6"/>
      <c r="H29916" s="13"/>
    </row>
    <row r="29917">
      <c r="A29917" s="6"/>
      <c r="B29917" s="6"/>
      <c r="H29917" s="13"/>
    </row>
    <row r="29918">
      <c r="A29918" s="6"/>
      <c r="B29918" s="6"/>
      <c r="H29918" s="13"/>
    </row>
    <row r="29919">
      <c r="A29919" s="6"/>
      <c r="B29919" s="6"/>
      <c r="H29919" s="13"/>
    </row>
    <row r="29920">
      <c r="A29920" s="6"/>
      <c r="B29920" s="6"/>
      <c r="H29920" s="13"/>
    </row>
    <row r="29921">
      <c r="A29921" s="6"/>
      <c r="B29921" s="6"/>
      <c r="H29921" s="13"/>
    </row>
    <row r="29922">
      <c r="A29922" s="6"/>
      <c r="B29922" s="6"/>
      <c r="H29922" s="13"/>
    </row>
    <row r="29923">
      <c r="A29923" s="6"/>
      <c r="B29923" s="6"/>
      <c r="H29923" s="13"/>
    </row>
    <row r="29924">
      <c r="A29924" s="6"/>
      <c r="B29924" s="6"/>
      <c r="H29924" s="13"/>
    </row>
    <row r="29925">
      <c r="A29925" s="6"/>
      <c r="B29925" s="6"/>
      <c r="H29925" s="13"/>
    </row>
    <row r="29926">
      <c r="A29926" s="6"/>
      <c r="B29926" s="6"/>
      <c r="H29926" s="13"/>
    </row>
    <row r="29927">
      <c r="A29927" s="6"/>
      <c r="B29927" s="6"/>
      <c r="H29927" s="13"/>
    </row>
    <row r="29928">
      <c r="A29928" s="6"/>
      <c r="B29928" s="6"/>
      <c r="H29928" s="13"/>
    </row>
    <row r="29929">
      <c r="A29929" s="6"/>
      <c r="B29929" s="6"/>
      <c r="H29929" s="13"/>
    </row>
    <row r="29930">
      <c r="A29930" s="6"/>
      <c r="B29930" s="6"/>
      <c r="H29930" s="13"/>
    </row>
    <row r="29931">
      <c r="A29931" s="6"/>
      <c r="B29931" s="6"/>
      <c r="H29931" s="13"/>
    </row>
    <row r="29932">
      <c r="A29932" s="6"/>
      <c r="B29932" s="6"/>
      <c r="H29932" s="13"/>
    </row>
    <row r="29933">
      <c r="A29933" s="6"/>
      <c r="B29933" s="6"/>
      <c r="H29933" s="13"/>
    </row>
    <row r="29934">
      <c r="A29934" s="6"/>
      <c r="B29934" s="6"/>
      <c r="H29934" s="13"/>
    </row>
    <row r="29935">
      <c r="A29935" s="6"/>
      <c r="B29935" s="6"/>
      <c r="H29935" s="13"/>
    </row>
    <row r="29936">
      <c r="A29936" s="6"/>
      <c r="B29936" s="6"/>
      <c r="H29936" s="13"/>
    </row>
    <row r="29937">
      <c r="A29937" s="6"/>
      <c r="B29937" s="6"/>
      <c r="H29937" s="13"/>
    </row>
    <row r="29938">
      <c r="A29938" s="6"/>
      <c r="B29938" s="6"/>
      <c r="H29938" s="13"/>
    </row>
    <row r="29939">
      <c r="A29939" s="6"/>
      <c r="B29939" s="6"/>
      <c r="H29939" s="13"/>
    </row>
    <row r="29940">
      <c r="A29940" s="6"/>
      <c r="B29940" s="6"/>
      <c r="H29940" s="13"/>
    </row>
    <row r="29941">
      <c r="A29941" s="6"/>
      <c r="B29941" s="6"/>
      <c r="H29941" s="13"/>
    </row>
    <row r="29942">
      <c r="A29942" s="6"/>
      <c r="B29942" s="6"/>
      <c r="H29942" s="13"/>
    </row>
    <row r="29943">
      <c r="A29943" s="6"/>
      <c r="B29943" s="6"/>
      <c r="H29943" s="13"/>
    </row>
    <row r="29944">
      <c r="A29944" s="6"/>
      <c r="B29944" s="6"/>
      <c r="H29944" s="13"/>
    </row>
    <row r="29945">
      <c r="A29945" s="6"/>
      <c r="B29945" s="6"/>
      <c r="H29945" s="13"/>
    </row>
    <row r="29946">
      <c r="A29946" s="6"/>
      <c r="B29946" s="6"/>
      <c r="H29946" s="13"/>
    </row>
    <row r="29947">
      <c r="A29947" s="6"/>
      <c r="B29947" s="6"/>
      <c r="H29947" s="13"/>
    </row>
    <row r="29948">
      <c r="A29948" s="6"/>
      <c r="B29948" s="6"/>
      <c r="H29948" s="13"/>
    </row>
    <row r="29949">
      <c r="A29949" s="6"/>
      <c r="B29949" s="6"/>
      <c r="H29949" s="13"/>
    </row>
    <row r="29950">
      <c r="A29950" s="6"/>
      <c r="B29950" s="6"/>
      <c r="H29950" s="13"/>
    </row>
    <row r="29951">
      <c r="A29951" s="6"/>
      <c r="B29951" s="6"/>
      <c r="H29951" s="13"/>
    </row>
    <row r="29952">
      <c r="A29952" s="6"/>
      <c r="B29952" s="6"/>
      <c r="H29952" s="13"/>
    </row>
    <row r="29953">
      <c r="A29953" s="6"/>
      <c r="B29953" s="6"/>
      <c r="H29953" s="13"/>
    </row>
    <row r="29954">
      <c r="A29954" s="6"/>
      <c r="B29954" s="6"/>
      <c r="H29954" s="13"/>
    </row>
    <row r="29955">
      <c r="A29955" s="6"/>
      <c r="B29955" s="6"/>
      <c r="H29955" s="13"/>
    </row>
    <row r="29956">
      <c r="A29956" s="6"/>
      <c r="B29956" s="6"/>
      <c r="H29956" s="13"/>
    </row>
    <row r="29957">
      <c r="A29957" s="6"/>
      <c r="B29957" s="6"/>
      <c r="H29957" s="13"/>
    </row>
    <row r="29958">
      <c r="A29958" s="6"/>
      <c r="B29958" s="6"/>
      <c r="H29958" s="13"/>
    </row>
    <row r="29959">
      <c r="A29959" s="6"/>
      <c r="B29959" s="6"/>
      <c r="H29959" s="13"/>
    </row>
    <row r="29960">
      <c r="A29960" s="6"/>
      <c r="B29960" s="6"/>
      <c r="H29960" s="13"/>
    </row>
    <row r="29961">
      <c r="A29961" s="6"/>
      <c r="B29961" s="6"/>
      <c r="H29961" s="13"/>
    </row>
    <row r="29962">
      <c r="A29962" s="6"/>
      <c r="B29962" s="6"/>
      <c r="H29962" s="13"/>
    </row>
    <row r="29963">
      <c r="A29963" s="6"/>
      <c r="B29963" s="6"/>
      <c r="H29963" s="13"/>
    </row>
    <row r="29964">
      <c r="A29964" s="6"/>
      <c r="B29964" s="6"/>
      <c r="H29964" s="13"/>
    </row>
    <row r="29965">
      <c r="A29965" s="6"/>
      <c r="B29965" s="6"/>
      <c r="H29965" s="13"/>
    </row>
    <row r="29966">
      <c r="A29966" s="6"/>
      <c r="B29966" s="6"/>
      <c r="H29966" s="13"/>
    </row>
    <row r="29967">
      <c r="A29967" s="6"/>
      <c r="B29967" s="6"/>
      <c r="H29967" s="13"/>
    </row>
    <row r="29968">
      <c r="A29968" s="6"/>
      <c r="B29968" s="6"/>
      <c r="H29968" s="13"/>
    </row>
    <row r="29969">
      <c r="A29969" s="6"/>
      <c r="B29969" s="6"/>
      <c r="H29969" s="13"/>
    </row>
    <row r="29970">
      <c r="A29970" s="6"/>
      <c r="B29970" s="6"/>
      <c r="H29970" s="13"/>
    </row>
    <row r="29971">
      <c r="A29971" s="6"/>
      <c r="B29971" s="6"/>
      <c r="H29971" s="13"/>
    </row>
    <row r="29972">
      <c r="A29972" s="6"/>
      <c r="B29972" s="6"/>
      <c r="H29972" s="13"/>
    </row>
    <row r="29973">
      <c r="A29973" s="6"/>
      <c r="B29973" s="6"/>
      <c r="H29973" s="13"/>
    </row>
    <row r="29974">
      <c r="A29974" s="6"/>
      <c r="B29974" s="6"/>
      <c r="H29974" s="13"/>
    </row>
    <row r="29975">
      <c r="A29975" s="6"/>
      <c r="B29975" s="6"/>
      <c r="H29975" s="13"/>
    </row>
    <row r="29976">
      <c r="A29976" s="6"/>
      <c r="B29976" s="6"/>
      <c r="H29976" s="13"/>
    </row>
    <row r="29977">
      <c r="A29977" s="6"/>
      <c r="B29977" s="6"/>
      <c r="H29977" s="13"/>
    </row>
    <row r="29978">
      <c r="A29978" s="6"/>
      <c r="B29978" s="6"/>
      <c r="H29978" s="13"/>
    </row>
    <row r="29979">
      <c r="A29979" s="6"/>
      <c r="B29979" s="6"/>
      <c r="H29979" s="13"/>
    </row>
    <row r="29980">
      <c r="A29980" s="6"/>
      <c r="B29980" s="6"/>
      <c r="H29980" s="13"/>
    </row>
    <row r="29981">
      <c r="A29981" s="6"/>
      <c r="B29981" s="6"/>
      <c r="H29981" s="13"/>
    </row>
    <row r="29982">
      <c r="A29982" s="6"/>
      <c r="B29982" s="6"/>
      <c r="H29982" s="13"/>
    </row>
    <row r="29983">
      <c r="A29983" s="6"/>
      <c r="B29983" s="6"/>
      <c r="H29983" s="13"/>
    </row>
    <row r="29984">
      <c r="A29984" s="6"/>
      <c r="B29984" s="6"/>
      <c r="H29984" s="13"/>
    </row>
    <row r="29985">
      <c r="A29985" s="6"/>
      <c r="B29985" s="6"/>
      <c r="H29985" s="13"/>
    </row>
    <row r="29986">
      <c r="A29986" s="6"/>
      <c r="B29986" s="6"/>
      <c r="H29986" s="13"/>
    </row>
    <row r="29987">
      <c r="A29987" s="6"/>
      <c r="B29987" s="6"/>
      <c r="H29987" s="13"/>
    </row>
    <row r="29988">
      <c r="A29988" s="6"/>
      <c r="B29988" s="6"/>
      <c r="H29988" s="13"/>
    </row>
    <row r="29989">
      <c r="A29989" s="6"/>
      <c r="B29989" s="6"/>
      <c r="H29989" s="13"/>
    </row>
    <row r="29990">
      <c r="A29990" s="6"/>
      <c r="B29990" s="6"/>
      <c r="H29990" s="13"/>
    </row>
    <row r="29991">
      <c r="A29991" s="6"/>
      <c r="B29991" s="6"/>
      <c r="H29991" s="13"/>
    </row>
    <row r="29992">
      <c r="A29992" s="6"/>
      <c r="B29992" s="6"/>
      <c r="H29992" s="13"/>
    </row>
    <row r="29993">
      <c r="A29993" s="6"/>
      <c r="B29993" s="6"/>
      <c r="H29993" s="13"/>
    </row>
    <row r="29994">
      <c r="A29994" s="6"/>
      <c r="B29994" s="6"/>
      <c r="H29994" s="13"/>
    </row>
    <row r="29995">
      <c r="A29995" s="6"/>
      <c r="B29995" s="6"/>
      <c r="H29995" s="13"/>
    </row>
    <row r="29996">
      <c r="A29996" s="6"/>
      <c r="B29996" s="6"/>
      <c r="H29996" s="13"/>
    </row>
    <row r="29997">
      <c r="A29997" s="6"/>
      <c r="B29997" s="6"/>
      <c r="H29997" s="13"/>
    </row>
    <row r="29998">
      <c r="A29998" s="6"/>
      <c r="B29998" s="6"/>
      <c r="H29998" s="13"/>
    </row>
    <row r="29999">
      <c r="A29999" s="6"/>
      <c r="B29999" s="6"/>
      <c r="H29999" s="13"/>
    </row>
    <row r="30000">
      <c r="A30000" s="6"/>
      <c r="B30000" s="6"/>
      <c r="H30000" s="13"/>
    </row>
    <row r="30001">
      <c r="A30001" s="6"/>
      <c r="B30001" s="6"/>
      <c r="H30001" s="13"/>
    </row>
    <row r="30002">
      <c r="A30002" s="6"/>
      <c r="B30002" s="6"/>
      <c r="H30002" s="13"/>
    </row>
    <row r="30003">
      <c r="A30003" s="6"/>
      <c r="B30003" s="6"/>
      <c r="H30003" s="13"/>
    </row>
    <row r="30004">
      <c r="A30004" s="6"/>
      <c r="B30004" s="6"/>
      <c r="H30004" s="13"/>
    </row>
    <row r="30005">
      <c r="A30005" s="6"/>
      <c r="B30005" s="6"/>
      <c r="H30005" s="13"/>
    </row>
    <row r="30006">
      <c r="A30006" s="6"/>
      <c r="B30006" s="6"/>
      <c r="H30006" s="13"/>
    </row>
    <row r="30007">
      <c r="A30007" s="6"/>
      <c r="B30007" s="6"/>
      <c r="H30007" s="13"/>
    </row>
    <row r="30008">
      <c r="A30008" s="6"/>
      <c r="B30008" s="6"/>
      <c r="H30008" s="13"/>
    </row>
    <row r="30009">
      <c r="A30009" s="6"/>
      <c r="B30009" s="6"/>
      <c r="H30009" s="13"/>
    </row>
    <row r="30010">
      <c r="A30010" s="6"/>
      <c r="B30010" s="6"/>
      <c r="H30010" s="13"/>
    </row>
    <row r="30011">
      <c r="A30011" s="6"/>
      <c r="B30011" s="6"/>
      <c r="H30011" s="13"/>
    </row>
    <row r="30012">
      <c r="A30012" s="6"/>
      <c r="B30012" s="6"/>
      <c r="H30012" s="13"/>
    </row>
    <row r="30013">
      <c r="A30013" s="6"/>
      <c r="B30013" s="6"/>
      <c r="H30013" s="13"/>
    </row>
    <row r="30014">
      <c r="A30014" s="6"/>
      <c r="B30014" s="6"/>
      <c r="H30014" s="13"/>
    </row>
    <row r="30015">
      <c r="A30015" s="6"/>
      <c r="B30015" s="6"/>
      <c r="H30015" s="13"/>
    </row>
    <row r="30016">
      <c r="A30016" s="6"/>
      <c r="B30016" s="6"/>
      <c r="H30016" s="13"/>
    </row>
    <row r="30017">
      <c r="A30017" s="6"/>
      <c r="B30017" s="6"/>
      <c r="H30017" s="13"/>
    </row>
    <row r="30018">
      <c r="A30018" s="6"/>
      <c r="B30018" s="6"/>
      <c r="H30018" s="13"/>
    </row>
    <row r="30019">
      <c r="A30019" s="6"/>
      <c r="B30019" s="6"/>
      <c r="H30019" s="13"/>
    </row>
    <row r="30020">
      <c r="A30020" s="6"/>
      <c r="B30020" s="6"/>
      <c r="H30020" s="13"/>
    </row>
    <row r="30021">
      <c r="A30021" s="6"/>
      <c r="B30021" s="6"/>
      <c r="H30021" s="13"/>
    </row>
    <row r="30022">
      <c r="A30022" s="6"/>
      <c r="B30022" s="6"/>
      <c r="H30022" s="13"/>
    </row>
    <row r="30023">
      <c r="A30023" s="6"/>
      <c r="B30023" s="6"/>
      <c r="H30023" s="13"/>
    </row>
    <row r="30024">
      <c r="A30024" s="6"/>
      <c r="B30024" s="6"/>
      <c r="H30024" s="13"/>
    </row>
    <row r="30025">
      <c r="A30025" s="6"/>
      <c r="B30025" s="6"/>
      <c r="H30025" s="13"/>
    </row>
    <row r="30026">
      <c r="A30026" s="6"/>
      <c r="B30026" s="6"/>
      <c r="H30026" s="13"/>
    </row>
    <row r="30027">
      <c r="A30027" s="6"/>
      <c r="B30027" s="6"/>
      <c r="H30027" s="13"/>
    </row>
    <row r="30028">
      <c r="A30028" s="6"/>
      <c r="B30028" s="6"/>
      <c r="H30028" s="13"/>
    </row>
    <row r="30029">
      <c r="A30029" s="6"/>
      <c r="B30029" s="6"/>
      <c r="H30029" s="13"/>
    </row>
    <row r="30030">
      <c r="A30030" s="6"/>
      <c r="B30030" s="6"/>
      <c r="H30030" s="13"/>
    </row>
    <row r="30031">
      <c r="A30031" s="6"/>
      <c r="B30031" s="6"/>
      <c r="H30031" s="13"/>
    </row>
    <row r="30032">
      <c r="A30032" s="6"/>
      <c r="B30032" s="6"/>
      <c r="H30032" s="13"/>
    </row>
    <row r="30033">
      <c r="A30033" s="6"/>
      <c r="B30033" s="6"/>
      <c r="H30033" s="13"/>
    </row>
    <row r="30034">
      <c r="A30034" s="6"/>
      <c r="B30034" s="6"/>
      <c r="H30034" s="13"/>
    </row>
    <row r="30035">
      <c r="A30035" s="6"/>
      <c r="B30035" s="6"/>
      <c r="H30035" s="13"/>
    </row>
    <row r="30036">
      <c r="A30036" s="6"/>
      <c r="B30036" s="6"/>
      <c r="H30036" s="13"/>
    </row>
    <row r="30037">
      <c r="A30037" s="6"/>
      <c r="B30037" s="6"/>
      <c r="H30037" s="13"/>
    </row>
    <row r="30038">
      <c r="A30038" s="6"/>
      <c r="B30038" s="6"/>
      <c r="H30038" s="13"/>
    </row>
    <row r="30039">
      <c r="A30039" s="6"/>
      <c r="B30039" s="6"/>
      <c r="H30039" s="13"/>
    </row>
    <row r="30040">
      <c r="A30040" s="6"/>
      <c r="B30040" s="6"/>
      <c r="H30040" s="13"/>
    </row>
    <row r="30041">
      <c r="A30041" s="6"/>
      <c r="B30041" s="6"/>
      <c r="H30041" s="13"/>
    </row>
    <row r="30042">
      <c r="A30042" s="6"/>
      <c r="B30042" s="6"/>
      <c r="H30042" s="13"/>
    </row>
    <row r="30043">
      <c r="A30043" s="6"/>
      <c r="B30043" s="6"/>
      <c r="H30043" s="13"/>
    </row>
    <row r="30044">
      <c r="A30044" s="6"/>
      <c r="B30044" s="6"/>
      <c r="H30044" s="13"/>
    </row>
    <row r="30045">
      <c r="A30045" s="6"/>
      <c r="B30045" s="6"/>
      <c r="H30045" s="13"/>
    </row>
    <row r="30046">
      <c r="A30046" s="6"/>
      <c r="B30046" s="6"/>
      <c r="H30046" s="13"/>
    </row>
    <row r="30047">
      <c r="A30047" s="6"/>
      <c r="B30047" s="6"/>
      <c r="H30047" s="13"/>
    </row>
    <row r="30048">
      <c r="A30048" s="6"/>
      <c r="B30048" s="6"/>
      <c r="H30048" s="13"/>
    </row>
    <row r="30049">
      <c r="A30049" s="6"/>
      <c r="B30049" s="6"/>
      <c r="H30049" s="13"/>
    </row>
    <row r="30050">
      <c r="A30050" s="6"/>
      <c r="B30050" s="6"/>
      <c r="H30050" s="13"/>
    </row>
    <row r="30051">
      <c r="A30051" s="6"/>
      <c r="B30051" s="6"/>
      <c r="H30051" s="13"/>
    </row>
    <row r="30052">
      <c r="A30052" s="6"/>
      <c r="B30052" s="6"/>
      <c r="H30052" s="13"/>
    </row>
    <row r="30053">
      <c r="A30053" s="6"/>
      <c r="B30053" s="6"/>
      <c r="H30053" s="13"/>
    </row>
    <row r="30054">
      <c r="A30054" s="6"/>
      <c r="B30054" s="6"/>
      <c r="H30054" s="13"/>
    </row>
    <row r="30055">
      <c r="A30055" s="6"/>
      <c r="B30055" s="6"/>
      <c r="H30055" s="13"/>
    </row>
    <row r="30056">
      <c r="A30056" s="6"/>
      <c r="B30056" s="6"/>
      <c r="H30056" s="13"/>
    </row>
    <row r="30057">
      <c r="A30057" s="6"/>
      <c r="B30057" s="6"/>
      <c r="H30057" s="13"/>
    </row>
    <row r="30058">
      <c r="A30058" s="6"/>
      <c r="B30058" s="6"/>
      <c r="H30058" s="13"/>
    </row>
    <row r="30059">
      <c r="A30059" s="6"/>
      <c r="B30059" s="6"/>
      <c r="H30059" s="13"/>
    </row>
    <row r="30060">
      <c r="A30060" s="6"/>
      <c r="B30060" s="6"/>
      <c r="H30060" s="13"/>
    </row>
    <row r="30061">
      <c r="A30061" s="6"/>
      <c r="B30061" s="6"/>
      <c r="H30061" s="13"/>
    </row>
    <row r="30062">
      <c r="A30062" s="6"/>
      <c r="B30062" s="6"/>
      <c r="H30062" s="13"/>
    </row>
    <row r="30063">
      <c r="A30063" s="6"/>
      <c r="B30063" s="6"/>
      <c r="H30063" s="13"/>
    </row>
    <row r="30064">
      <c r="A30064" s="6"/>
      <c r="B30064" s="6"/>
      <c r="H30064" s="13"/>
    </row>
    <row r="30065">
      <c r="A30065" s="6"/>
      <c r="B30065" s="6"/>
      <c r="H30065" s="13"/>
    </row>
    <row r="30066">
      <c r="A30066" s="6"/>
      <c r="B30066" s="6"/>
      <c r="H30066" s="13"/>
    </row>
    <row r="30067">
      <c r="A30067" s="6"/>
      <c r="B30067" s="6"/>
      <c r="H30067" s="13"/>
    </row>
    <row r="30068">
      <c r="A30068" s="6"/>
      <c r="B30068" s="6"/>
      <c r="H30068" s="13"/>
    </row>
    <row r="30069">
      <c r="A30069" s="6"/>
      <c r="B30069" s="6"/>
      <c r="H30069" s="13"/>
    </row>
    <row r="30070">
      <c r="A30070" s="6"/>
      <c r="B30070" s="6"/>
      <c r="H30070" s="13"/>
    </row>
    <row r="30071">
      <c r="A30071" s="6"/>
      <c r="B30071" s="6"/>
      <c r="H30071" s="13"/>
    </row>
    <row r="30072">
      <c r="A30072" s="6"/>
      <c r="B30072" s="6"/>
      <c r="H30072" s="13"/>
    </row>
    <row r="30073">
      <c r="A30073" s="6"/>
      <c r="B30073" s="6"/>
      <c r="H30073" s="13"/>
    </row>
    <row r="30074">
      <c r="A30074" s="6"/>
      <c r="B30074" s="6"/>
      <c r="H30074" s="13"/>
    </row>
    <row r="30075">
      <c r="A30075" s="6"/>
      <c r="B30075" s="6"/>
      <c r="H30075" s="13"/>
    </row>
    <row r="30076">
      <c r="A30076" s="6"/>
      <c r="B30076" s="6"/>
      <c r="H30076" s="13"/>
    </row>
    <row r="30077">
      <c r="A30077" s="6"/>
      <c r="B30077" s="6"/>
      <c r="H30077" s="13"/>
    </row>
    <row r="30078">
      <c r="A30078" s="6"/>
      <c r="B30078" s="6"/>
      <c r="H30078" s="13"/>
    </row>
    <row r="30079">
      <c r="A30079" s="6"/>
      <c r="B30079" s="6"/>
      <c r="H30079" s="13"/>
    </row>
    <row r="30080">
      <c r="A30080" s="6"/>
      <c r="B30080" s="6"/>
      <c r="H30080" s="13"/>
    </row>
    <row r="30081">
      <c r="A30081" s="6"/>
      <c r="B30081" s="6"/>
      <c r="H30081" s="13"/>
    </row>
    <row r="30082">
      <c r="A30082" s="6"/>
      <c r="B30082" s="6"/>
      <c r="H30082" s="13"/>
    </row>
    <row r="30083">
      <c r="A30083" s="6"/>
      <c r="B30083" s="6"/>
      <c r="H30083" s="13"/>
    </row>
    <row r="30084">
      <c r="A30084" s="6"/>
      <c r="B30084" s="6"/>
      <c r="H30084" s="13"/>
    </row>
    <row r="30085">
      <c r="A30085" s="6"/>
      <c r="B30085" s="6"/>
      <c r="H30085" s="13"/>
    </row>
    <row r="30086">
      <c r="A30086" s="6"/>
      <c r="B30086" s="6"/>
      <c r="H30086" s="13"/>
    </row>
    <row r="30087">
      <c r="A30087" s="6"/>
      <c r="B30087" s="6"/>
      <c r="H30087" s="13"/>
    </row>
    <row r="30088">
      <c r="A30088" s="6"/>
      <c r="B30088" s="6"/>
      <c r="H30088" s="13"/>
    </row>
    <row r="30089">
      <c r="A30089" s="6"/>
      <c r="B30089" s="6"/>
      <c r="H30089" s="13"/>
    </row>
    <row r="30090">
      <c r="A30090" s="6"/>
      <c r="B30090" s="6"/>
      <c r="H30090" s="13"/>
    </row>
    <row r="30091">
      <c r="A30091" s="6"/>
      <c r="B30091" s="6"/>
      <c r="H30091" s="13"/>
    </row>
    <row r="30092">
      <c r="A30092" s="6"/>
      <c r="B30092" s="6"/>
      <c r="H30092" s="13"/>
    </row>
    <row r="30093">
      <c r="A30093" s="6"/>
      <c r="B30093" s="6"/>
      <c r="H30093" s="13"/>
    </row>
    <row r="30094">
      <c r="A30094" s="6"/>
      <c r="B30094" s="6"/>
      <c r="H30094" s="13"/>
    </row>
    <row r="30095">
      <c r="A30095" s="6"/>
      <c r="B30095" s="6"/>
      <c r="H30095" s="13"/>
    </row>
    <row r="30096">
      <c r="A30096" s="6"/>
      <c r="B30096" s="6"/>
      <c r="H30096" s="13"/>
    </row>
    <row r="30097">
      <c r="A30097" s="6"/>
      <c r="B30097" s="6"/>
      <c r="H30097" s="13"/>
    </row>
    <row r="30098">
      <c r="A30098" s="6"/>
      <c r="B30098" s="6"/>
      <c r="H30098" s="13"/>
    </row>
    <row r="30099">
      <c r="A30099" s="6"/>
      <c r="B30099" s="6"/>
      <c r="H30099" s="13"/>
    </row>
    <row r="30100">
      <c r="A30100" s="6"/>
      <c r="B30100" s="6"/>
      <c r="H30100" s="13"/>
    </row>
    <row r="30101">
      <c r="A30101" s="6"/>
      <c r="B30101" s="6"/>
      <c r="H30101" s="13"/>
    </row>
    <row r="30102">
      <c r="A30102" s="6"/>
      <c r="B30102" s="6"/>
      <c r="H30102" s="13"/>
    </row>
    <row r="30103">
      <c r="A30103" s="6"/>
      <c r="B30103" s="6"/>
      <c r="H30103" s="13"/>
    </row>
    <row r="30104">
      <c r="A30104" s="6"/>
      <c r="B30104" s="6"/>
      <c r="H30104" s="13"/>
    </row>
    <row r="30105">
      <c r="A30105" s="6"/>
      <c r="B30105" s="6"/>
      <c r="H30105" s="13"/>
    </row>
    <row r="30106">
      <c r="A30106" s="6"/>
      <c r="B30106" s="6"/>
      <c r="H30106" s="13"/>
    </row>
    <row r="30107">
      <c r="A30107" s="6"/>
      <c r="B30107" s="6"/>
      <c r="H30107" s="13"/>
    </row>
    <row r="30108">
      <c r="A30108" s="6"/>
      <c r="B30108" s="6"/>
      <c r="H30108" s="13"/>
    </row>
    <row r="30109">
      <c r="A30109" s="6"/>
      <c r="B30109" s="6"/>
      <c r="H30109" s="13"/>
    </row>
    <row r="30110">
      <c r="A30110" s="6"/>
      <c r="B30110" s="6"/>
      <c r="H30110" s="13"/>
    </row>
    <row r="30111">
      <c r="A30111" s="6"/>
      <c r="B30111" s="6"/>
      <c r="H30111" s="13"/>
    </row>
    <row r="30112">
      <c r="A30112" s="6"/>
      <c r="B30112" s="6"/>
      <c r="H30112" s="13"/>
    </row>
    <row r="30113">
      <c r="A30113" s="6"/>
      <c r="B30113" s="6"/>
      <c r="H30113" s="13"/>
    </row>
    <row r="30114">
      <c r="A30114" s="6"/>
      <c r="B30114" s="6"/>
      <c r="H30114" s="13"/>
    </row>
    <row r="30115">
      <c r="A30115" s="6"/>
      <c r="B30115" s="6"/>
      <c r="H30115" s="13"/>
    </row>
    <row r="30116">
      <c r="A30116" s="6"/>
      <c r="B30116" s="6"/>
      <c r="H30116" s="13"/>
    </row>
    <row r="30117">
      <c r="A30117" s="6"/>
      <c r="B30117" s="6"/>
      <c r="H30117" s="13"/>
    </row>
    <row r="30118">
      <c r="A30118" s="6"/>
      <c r="B30118" s="6"/>
      <c r="H30118" s="13"/>
    </row>
    <row r="30119">
      <c r="A30119" s="6"/>
      <c r="B30119" s="6"/>
      <c r="H30119" s="13"/>
    </row>
    <row r="30120">
      <c r="A30120" s="6"/>
      <c r="B30120" s="6"/>
      <c r="H30120" s="13"/>
    </row>
    <row r="30121">
      <c r="A30121" s="6"/>
      <c r="B30121" s="6"/>
      <c r="H30121" s="13"/>
    </row>
    <row r="30122">
      <c r="A30122" s="6"/>
      <c r="B30122" s="6"/>
      <c r="H30122" s="13"/>
    </row>
    <row r="30123">
      <c r="A30123" s="6"/>
      <c r="B30123" s="6"/>
      <c r="H30123" s="13"/>
    </row>
    <row r="30124">
      <c r="A30124" s="6"/>
      <c r="B30124" s="6"/>
      <c r="H30124" s="13"/>
    </row>
    <row r="30125">
      <c r="A30125" s="6"/>
      <c r="B30125" s="6"/>
      <c r="H30125" s="13"/>
    </row>
    <row r="30126">
      <c r="A30126" s="6"/>
      <c r="B30126" s="6"/>
      <c r="H30126" s="13"/>
    </row>
    <row r="30127">
      <c r="A30127" s="6"/>
      <c r="B30127" s="6"/>
      <c r="H30127" s="13"/>
    </row>
    <row r="30128">
      <c r="A30128" s="6"/>
      <c r="B30128" s="6"/>
      <c r="H30128" s="13"/>
    </row>
    <row r="30129">
      <c r="A30129" s="6"/>
      <c r="B30129" s="6"/>
      <c r="H30129" s="13"/>
    </row>
    <row r="30130">
      <c r="A30130" s="6"/>
      <c r="B30130" s="6"/>
      <c r="H30130" s="13"/>
    </row>
    <row r="30131">
      <c r="A30131" s="6"/>
      <c r="B30131" s="6"/>
      <c r="H30131" s="13"/>
    </row>
    <row r="30132">
      <c r="A30132" s="6"/>
      <c r="B30132" s="6"/>
      <c r="H30132" s="13"/>
    </row>
    <row r="30133">
      <c r="A30133" s="6"/>
      <c r="B30133" s="6"/>
      <c r="H30133" s="13"/>
    </row>
    <row r="30134">
      <c r="A30134" s="6"/>
      <c r="B30134" s="6"/>
      <c r="H30134" s="13"/>
    </row>
    <row r="30135">
      <c r="A30135" s="6"/>
      <c r="B30135" s="6"/>
      <c r="H30135" s="13"/>
    </row>
    <row r="30136">
      <c r="A30136" s="6"/>
      <c r="B30136" s="6"/>
      <c r="H30136" s="13"/>
    </row>
    <row r="30137">
      <c r="A30137" s="6"/>
      <c r="B30137" s="6"/>
      <c r="H30137" s="13"/>
    </row>
    <row r="30138">
      <c r="A30138" s="6"/>
      <c r="B30138" s="6"/>
      <c r="H30138" s="13"/>
    </row>
    <row r="30139">
      <c r="A30139" s="6"/>
      <c r="B30139" s="6"/>
      <c r="H30139" s="13"/>
    </row>
    <row r="30140">
      <c r="A30140" s="6"/>
      <c r="B30140" s="6"/>
      <c r="H30140" s="13"/>
    </row>
    <row r="30141">
      <c r="A30141" s="6"/>
      <c r="B30141" s="6"/>
      <c r="H30141" s="13"/>
    </row>
    <row r="30142">
      <c r="A30142" s="6"/>
      <c r="B30142" s="6"/>
      <c r="H30142" s="13"/>
    </row>
    <row r="30143">
      <c r="A30143" s="6"/>
      <c r="B30143" s="6"/>
      <c r="H30143" s="13"/>
    </row>
    <row r="30144">
      <c r="A30144" s="6"/>
      <c r="B30144" s="6"/>
      <c r="H30144" s="13"/>
    </row>
    <row r="30145">
      <c r="A30145" s="6"/>
      <c r="B30145" s="6"/>
      <c r="H30145" s="13"/>
    </row>
    <row r="30146">
      <c r="A30146" s="6"/>
      <c r="B30146" s="6"/>
      <c r="H30146" s="13"/>
    </row>
    <row r="30147">
      <c r="A30147" s="6"/>
      <c r="B30147" s="6"/>
      <c r="H30147" s="13"/>
    </row>
    <row r="30148">
      <c r="A30148" s="6"/>
      <c r="B30148" s="6"/>
      <c r="H30148" s="13"/>
    </row>
    <row r="30149">
      <c r="A30149" s="6"/>
      <c r="B30149" s="6"/>
      <c r="H30149" s="13"/>
    </row>
    <row r="30150">
      <c r="A30150" s="6"/>
      <c r="B30150" s="6"/>
      <c r="H30150" s="13"/>
    </row>
    <row r="30151">
      <c r="A30151" s="6"/>
      <c r="B30151" s="6"/>
      <c r="H30151" s="13"/>
    </row>
    <row r="30152">
      <c r="A30152" s="6"/>
      <c r="B30152" s="6"/>
      <c r="H30152" s="13"/>
    </row>
    <row r="30153">
      <c r="A30153" s="6"/>
      <c r="B30153" s="6"/>
      <c r="H30153" s="13"/>
    </row>
    <row r="30154">
      <c r="A30154" s="6"/>
      <c r="B30154" s="6"/>
      <c r="H30154" s="13"/>
    </row>
    <row r="30155">
      <c r="A30155" s="6"/>
      <c r="B30155" s="6"/>
      <c r="H30155" s="13"/>
    </row>
    <row r="30156">
      <c r="A30156" s="6"/>
      <c r="B30156" s="6"/>
      <c r="H30156" s="13"/>
    </row>
    <row r="30157">
      <c r="A30157" s="6"/>
      <c r="B30157" s="6"/>
      <c r="H30157" s="13"/>
    </row>
    <row r="30158">
      <c r="A30158" s="6"/>
      <c r="B30158" s="6"/>
      <c r="H30158" s="13"/>
    </row>
    <row r="30159">
      <c r="A30159" s="6"/>
      <c r="B30159" s="6"/>
      <c r="H30159" s="13"/>
    </row>
    <row r="30160">
      <c r="A30160" s="6"/>
      <c r="B30160" s="6"/>
      <c r="H30160" s="13"/>
    </row>
    <row r="30161">
      <c r="A30161" s="6"/>
      <c r="B30161" s="6"/>
      <c r="H30161" s="13"/>
    </row>
    <row r="30162">
      <c r="A30162" s="6"/>
      <c r="B30162" s="6"/>
      <c r="H30162" s="13"/>
    </row>
    <row r="30163">
      <c r="A30163" s="6"/>
      <c r="B30163" s="6"/>
      <c r="H30163" s="13"/>
    </row>
    <row r="30164">
      <c r="A30164" s="6"/>
      <c r="B30164" s="6"/>
      <c r="H30164" s="13"/>
    </row>
    <row r="30165">
      <c r="A30165" s="6"/>
      <c r="B30165" s="6"/>
      <c r="H30165" s="13"/>
    </row>
    <row r="30166">
      <c r="A30166" s="6"/>
      <c r="B30166" s="6"/>
      <c r="H30166" s="13"/>
    </row>
    <row r="30167">
      <c r="A30167" s="6"/>
      <c r="B30167" s="6"/>
      <c r="H30167" s="13"/>
    </row>
    <row r="30168">
      <c r="A30168" s="6"/>
      <c r="B30168" s="6"/>
      <c r="H30168" s="13"/>
    </row>
    <row r="30169">
      <c r="A30169" s="6"/>
      <c r="B30169" s="6"/>
      <c r="H30169" s="13"/>
    </row>
    <row r="30170">
      <c r="A30170" s="6"/>
      <c r="B30170" s="6"/>
      <c r="H30170" s="13"/>
    </row>
    <row r="30171">
      <c r="A30171" s="6"/>
      <c r="B30171" s="6"/>
      <c r="H30171" s="13"/>
    </row>
    <row r="30172">
      <c r="A30172" s="6"/>
      <c r="B30172" s="6"/>
      <c r="H30172" s="13"/>
    </row>
    <row r="30173">
      <c r="A30173" s="6"/>
      <c r="B30173" s="6"/>
      <c r="H30173" s="13"/>
    </row>
    <row r="30174">
      <c r="A30174" s="6"/>
      <c r="B30174" s="6"/>
      <c r="H30174" s="13"/>
    </row>
    <row r="30175">
      <c r="A30175" s="6"/>
      <c r="B30175" s="6"/>
      <c r="H30175" s="13"/>
    </row>
    <row r="30176">
      <c r="A30176" s="6"/>
      <c r="B30176" s="6"/>
      <c r="H30176" s="13"/>
    </row>
    <row r="30177">
      <c r="A30177" s="6"/>
      <c r="B30177" s="6"/>
      <c r="H30177" s="13"/>
    </row>
    <row r="30178">
      <c r="A30178" s="6"/>
      <c r="B30178" s="6"/>
      <c r="H30178" s="13"/>
    </row>
    <row r="30179">
      <c r="A30179" s="6"/>
      <c r="B30179" s="6"/>
      <c r="H30179" s="13"/>
    </row>
    <row r="30180">
      <c r="A30180" s="6"/>
      <c r="B30180" s="6"/>
      <c r="H30180" s="13"/>
    </row>
    <row r="30181">
      <c r="A30181" s="6"/>
      <c r="B30181" s="6"/>
      <c r="H30181" s="13"/>
    </row>
    <row r="30182">
      <c r="A30182" s="6"/>
      <c r="B30182" s="6"/>
      <c r="H30182" s="13"/>
    </row>
    <row r="30183">
      <c r="A30183" s="6"/>
      <c r="B30183" s="6"/>
      <c r="H30183" s="13"/>
    </row>
    <row r="30184">
      <c r="A30184" s="6"/>
      <c r="B30184" s="6"/>
      <c r="H30184" s="13"/>
    </row>
    <row r="30185">
      <c r="A30185" s="6"/>
      <c r="B30185" s="6"/>
      <c r="H30185" s="13"/>
    </row>
    <row r="30186">
      <c r="A30186" s="6"/>
      <c r="B30186" s="6"/>
      <c r="H30186" s="13"/>
    </row>
    <row r="30187">
      <c r="A30187" s="6"/>
      <c r="B30187" s="6"/>
      <c r="H30187" s="13"/>
    </row>
    <row r="30188">
      <c r="A30188" s="6"/>
      <c r="B30188" s="6"/>
      <c r="H30188" s="13"/>
    </row>
    <row r="30189">
      <c r="A30189" s="6"/>
      <c r="B30189" s="6"/>
      <c r="H30189" s="13"/>
    </row>
    <row r="30190">
      <c r="A30190" s="6"/>
      <c r="B30190" s="6"/>
      <c r="H30190" s="13"/>
    </row>
    <row r="30191">
      <c r="A30191" s="6"/>
      <c r="B30191" s="6"/>
      <c r="H30191" s="13"/>
    </row>
    <row r="30192">
      <c r="A30192" s="6"/>
      <c r="B30192" s="6"/>
      <c r="H30192" s="13"/>
    </row>
    <row r="30193">
      <c r="A30193" s="6"/>
      <c r="B30193" s="6"/>
      <c r="H30193" s="13"/>
    </row>
    <row r="30194">
      <c r="A30194" s="6"/>
      <c r="B30194" s="6"/>
      <c r="H30194" s="13"/>
    </row>
    <row r="30195">
      <c r="A30195" s="6"/>
      <c r="B30195" s="6"/>
      <c r="H30195" s="13"/>
    </row>
    <row r="30196">
      <c r="A30196" s="6"/>
      <c r="B30196" s="6"/>
      <c r="H30196" s="13"/>
    </row>
    <row r="30197">
      <c r="A30197" s="6"/>
      <c r="B30197" s="6"/>
      <c r="H30197" s="13"/>
    </row>
    <row r="30198">
      <c r="A30198" s="6"/>
      <c r="B30198" s="6"/>
      <c r="H30198" s="13"/>
    </row>
    <row r="30199">
      <c r="A30199" s="6"/>
      <c r="B30199" s="6"/>
      <c r="H30199" s="13"/>
    </row>
    <row r="30200">
      <c r="A30200" s="6"/>
      <c r="B30200" s="6"/>
      <c r="H30200" s="13"/>
    </row>
    <row r="30201">
      <c r="A30201" s="6"/>
      <c r="B30201" s="6"/>
      <c r="H30201" s="13"/>
    </row>
    <row r="30202">
      <c r="A30202" s="6"/>
      <c r="B30202" s="6"/>
      <c r="H30202" s="13"/>
    </row>
    <row r="30203">
      <c r="A30203" s="6"/>
      <c r="B30203" s="6"/>
      <c r="H30203" s="13"/>
    </row>
    <row r="30204">
      <c r="A30204" s="6"/>
      <c r="B30204" s="6"/>
      <c r="H30204" s="13"/>
    </row>
    <row r="30205">
      <c r="A30205" s="6"/>
      <c r="B30205" s="6"/>
      <c r="H30205" s="13"/>
    </row>
    <row r="30206">
      <c r="A30206" s="6"/>
      <c r="B30206" s="6"/>
      <c r="H30206" s="13"/>
    </row>
    <row r="30207">
      <c r="A30207" s="6"/>
      <c r="B30207" s="6"/>
      <c r="H30207" s="13"/>
    </row>
    <row r="30208">
      <c r="A30208" s="6"/>
      <c r="B30208" s="6"/>
      <c r="H30208" s="13"/>
    </row>
    <row r="30209">
      <c r="A30209" s="6"/>
      <c r="B30209" s="6"/>
      <c r="H30209" s="13"/>
    </row>
    <row r="30210">
      <c r="A30210" s="6"/>
      <c r="B30210" s="6"/>
      <c r="H30210" s="13"/>
    </row>
    <row r="30211">
      <c r="A30211" s="6"/>
      <c r="B30211" s="6"/>
      <c r="H30211" s="13"/>
    </row>
    <row r="30212">
      <c r="A30212" s="6"/>
      <c r="B30212" s="6"/>
      <c r="H30212" s="13"/>
    </row>
    <row r="30213">
      <c r="A30213" s="6"/>
      <c r="B30213" s="6"/>
      <c r="H30213" s="13"/>
    </row>
    <row r="30214">
      <c r="A30214" s="6"/>
      <c r="B30214" s="6"/>
      <c r="H30214" s="13"/>
    </row>
    <row r="30215">
      <c r="A30215" s="6"/>
      <c r="B30215" s="6"/>
      <c r="H30215" s="13"/>
    </row>
    <row r="30216">
      <c r="A30216" s="6"/>
      <c r="B30216" s="6"/>
      <c r="H30216" s="13"/>
    </row>
    <row r="30217">
      <c r="A30217" s="6"/>
      <c r="B30217" s="6"/>
      <c r="H30217" s="13"/>
    </row>
    <row r="30218">
      <c r="A30218" s="6"/>
      <c r="B30218" s="6"/>
      <c r="H30218" s="13"/>
    </row>
    <row r="30219">
      <c r="A30219" s="6"/>
      <c r="B30219" s="6"/>
      <c r="H30219" s="13"/>
    </row>
    <row r="30220">
      <c r="A30220" s="6"/>
      <c r="B30220" s="6"/>
      <c r="H30220" s="13"/>
    </row>
    <row r="30221">
      <c r="A30221" s="6"/>
      <c r="B30221" s="6"/>
      <c r="H30221" s="13"/>
    </row>
    <row r="30222">
      <c r="A30222" s="6"/>
      <c r="B30222" s="6"/>
      <c r="H30222" s="13"/>
    </row>
    <row r="30223">
      <c r="A30223" s="6"/>
      <c r="B30223" s="6"/>
      <c r="H30223" s="13"/>
    </row>
    <row r="30224">
      <c r="A30224" s="6"/>
      <c r="B30224" s="6"/>
      <c r="H30224" s="13"/>
    </row>
    <row r="30225">
      <c r="A30225" s="6"/>
      <c r="B30225" s="6"/>
      <c r="H30225" s="13"/>
    </row>
    <row r="30226">
      <c r="A30226" s="6"/>
      <c r="B30226" s="6"/>
      <c r="H30226" s="13"/>
    </row>
    <row r="30227">
      <c r="A30227" s="6"/>
      <c r="B30227" s="6"/>
      <c r="H30227" s="13"/>
    </row>
    <row r="30228">
      <c r="A30228" s="6"/>
      <c r="B30228" s="6"/>
      <c r="H30228" s="13"/>
    </row>
    <row r="30229">
      <c r="A30229" s="6"/>
      <c r="B30229" s="6"/>
      <c r="H30229" s="13"/>
    </row>
    <row r="30230">
      <c r="A30230" s="6"/>
      <c r="B30230" s="6"/>
      <c r="H30230" s="13"/>
    </row>
    <row r="30231">
      <c r="A30231" s="6"/>
      <c r="B30231" s="6"/>
      <c r="H30231" s="13"/>
    </row>
    <row r="30232">
      <c r="A30232" s="6"/>
      <c r="B30232" s="6"/>
      <c r="H30232" s="13"/>
    </row>
    <row r="30233">
      <c r="A30233" s="6"/>
      <c r="B30233" s="6"/>
      <c r="H30233" s="13"/>
    </row>
    <row r="30234">
      <c r="A30234" s="6"/>
      <c r="B30234" s="6"/>
      <c r="H30234" s="13"/>
    </row>
    <row r="30235">
      <c r="A30235" s="6"/>
      <c r="B30235" s="6"/>
      <c r="H30235" s="13"/>
    </row>
    <row r="30236">
      <c r="A30236" s="6"/>
      <c r="B30236" s="6"/>
      <c r="H30236" s="13"/>
    </row>
    <row r="30237">
      <c r="A30237" s="6"/>
      <c r="B30237" s="6"/>
      <c r="H30237" s="13"/>
    </row>
    <row r="30238">
      <c r="A30238" s="6"/>
      <c r="B30238" s="6"/>
      <c r="H30238" s="13"/>
    </row>
    <row r="30239">
      <c r="A30239" s="6"/>
      <c r="B30239" s="6"/>
      <c r="H30239" s="13"/>
    </row>
    <row r="30240">
      <c r="A30240" s="6"/>
      <c r="B30240" s="6"/>
      <c r="H30240" s="13"/>
    </row>
    <row r="30241">
      <c r="A30241" s="6"/>
      <c r="B30241" s="6"/>
      <c r="H30241" s="13"/>
    </row>
    <row r="30242">
      <c r="A30242" s="6"/>
      <c r="B30242" s="6"/>
      <c r="H30242" s="13"/>
    </row>
    <row r="30243">
      <c r="A30243" s="6"/>
      <c r="B30243" s="6"/>
      <c r="H30243" s="13"/>
    </row>
    <row r="30244">
      <c r="A30244" s="6"/>
      <c r="B30244" s="6"/>
      <c r="H30244" s="13"/>
    </row>
    <row r="30245">
      <c r="A30245" s="6"/>
      <c r="B30245" s="6"/>
      <c r="H30245" s="13"/>
    </row>
    <row r="30246">
      <c r="A30246" s="6"/>
      <c r="B30246" s="6"/>
      <c r="H30246" s="13"/>
    </row>
    <row r="30247">
      <c r="A30247" s="6"/>
      <c r="B30247" s="6"/>
      <c r="H30247" s="13"/>
    </row>
    <row r="30248">
      <c r="A30248" s="6"/>
      <c r="B30248" s="6"/>
      <c r="H30248" s="13"/>
    </row>
    <row r="30249">
      <c r="A30249" s="6"/>
      <c r="B30249" s="6"/>
      <c r="H30249" s="13"/>
    </row>
    <row r="30250">
      <c r="A30250" s="6"/>
      <c r="B30250" s="6"/>
      <c r="H30250" s="13"/>
    </row>
    <row r="30251">
      <c r="A30251" s="6"/>
      <c r="B30251" s="6"/>
      <c r="H30251" s="13"/>
    </row>
    <row r="30252">
      <c r="A30252" s="6"/>
      <c r="B30252" s="6"/>
      <c r="H30252" s="13"/>
    </row>
    <row r="30253">
      <c r="A30253" s="6"/>
      <c r="B30253" s="6"/>
      <c r="H30253" s="13"/>
    </row>
    <row r="30254">
      <c r="A30254" s="6"/>
      <c r="B30254" s="6"/>
      <c r="H30254" s="13"/>
    </row>
    <row r="30255">
      <c r="A30255" s="6"/>
      <c r="B30255" s="6"/>
      <c r="H30255" s="13"/>
    </row>
    <row r="30256">
      <c r="A30256" s="6"/>
      <c r="B30256" s="6"/>
      <c r="H30256" s="13"/>
    </row>
    <row r="30257">
      <c r="A30257" s="6"/>
      <c r="B30257" s="6"/>
      <c r="H30257" s="13"/>
    </row>
    <row r="30258">
      <c r="A30258" s="6"/>
      <c r="B30258" s="6"/>
      <c r="H30258" s="13"/>
    </row>
    <row r="30259">
      <c r="A30259" s="6"/>
      <c r="B30259" s="6"/>
      <c r="H30259" s="13"/>
    </row>
    <row r="30260">
      <c r="A30260" s="6"/>
      <c r="B30260" s="6"/>
      <c r="H30260" s="13"/>
    </row>
    <row r="30261">
      <c r="A30261" s="6"/>
      <c r="B30261" s="6"/>
      <c r="H30261" s="13"/>
    </row>
    <row r="30262">
      <c r="A30262" s="6"/>
      <c r="B30262" s="6"/>
      <c r="H30262" s="13"/>
    </row>
    <row r="30263">
      <c r="A30263" s="6"/>
      <c r="B30263" s="6"/>
      <c r="H30263" s="13"/>
    </row>
    <row r="30264">
      <c r="A30264" s="6"/>
      <c r="B30264" s="6"/>
      <c r="H30264" s="13"/>
    </row>
    <row r="30265">
      <c r="A30265" s="6"/>
      <c r="B30265" s="6"/>
      <c r="H30265" s="13"/>
    </row>
    <row r="30266">
      <c r="A30266" s="6"/>
      <c r="B30266" s="6"/>
      <c r="H30266" s="13"/>
    </row>
    <row r="30267">
      <c r="A30267" s="6"/>
      <c r="B30267" s="6"/>
      <c r="H30267" s="13"/>
    </row>
    <row r="30268">
      <c r="A30268" s="6"/>
      <c r="B30268" s="6"/>
      <c r="H30268" s="13"/>
    </row>
    <row r="30269">
      <c r="A30269" s="6"/>
      <c r="B30269" s="6"/>
      <c r="H30269" s="13"/>
    </row>
    <row r="30270">
      <c r="A30270" s="6"/>
      <c r="B30270" s="6"/>
      <c r="H30270" s="13"/>
    </row>
    <row r="30271">
      <c r="A30271" s="6"/>
      <c r="B30271" s="6"/>
      <c r="H30271" s="13"/>
    </row>
    <row r="30272">
      <c r="A30272" s="6"/>
      <c r="B30272" s="6"/>
      <c r="H30272" s="13"/>
    </row>
    <row r="30273">
      <c r="A30273" s="6"/>
      <c r="B30273" s="6"/>
      <c r="H30273" s="13"/>
    </row>
    <row r="30274">
      <c r="A30274" s="6"/>
      <c r="B30274" s="6"/>
      <c r="H30274" s="13"/>
    </row>
    <row r="30275">
      <c r="A30275" s="6"/>
      <c r="B30275" s="6"/>
      <c r="H30275" s="13"/>
    </row>
    <row r="30276">
      <c r="A30276" s="6"/>
      <c r="B30276" s="6"/>
      <c r="H30276" s="13"/>
    </row>
    <row r="30277">
      <c r="A30277" s="6"/>
      <c r="B30277" s="6"/>
      <c r="H30277" s="13"/>
    </row>
    <row r="30278">
      <c r="A30278" s="6"/>
      <c r="B30278" s="6"/>
      <c r="H30278" s="13"/>
    </row>
    <row r="30279">
      <c r="A30279" s="6"/>
      <c r="B30279" s="6"/>
      <c r="H30279" s="13"/>
    </row>
    <row r="30280">
      <c r="A30280" s="6"/>
      <c r="B30280" s="6"/>
      <c r="H30280" s="13"/>
    </row>
    <row r="30281">
      <c r="A30281" s="6"/>
      <c r="B30281" s="6"/>
      <c r="H30281" s="13"/>
    </row>
    <row r="30282">
      <c r="A30282" s="6"/>
      <c r="B30282" s="6"/>
      <c r="H30282" s="13"/>
    </row>
    <row r="30283">
      <c r="A30283" s="6"/>
      <c r="B30283" s="6"/>
      <c r="H30283" s="13"/>
    </row>
    <row r="30284">
      <c r="A30284" s="6"/>
      <c r="B30284" s="6"/>
      <c r="H30284" s="13"/>
    </row>
    <row r="30285">
      <c r="A30285" s="6"/>
      <c r="B30285" s="6"/>
      <c r="H30285" s="13"/>
    </row>
    <row r="30286">
      <c r="A30286" s="6"/>
      <c r="B30286" s="6"/>
      <c r="H30286" s="13"/>
    </row>
    <row r="30287">
      <c r="A30287" s="6"/>
      <c r="B30287" s="6"/>
      <c r="H30287" s="13"/>
    </row>
    <row r="30288">
      <c r="A30288" s="6"/>
      <c r="B30288" s="6"/>
      <c r="H30288" s="13"/>
    </row>
    <row r="30289">
      <c r="A30289" s="6"/>
      <c r="B30289" s="6"/>
      <c r="H30289" s="13"/>
    </row>
    <row r="30290">
      <c r="A30290" s="6"/>
      <c r="B30290" s="6"/>
      <c r="H30290" s="13"/>
    </row>
    <row r="30291">
      <c r="A30291" s="6"/>
      <c r="B30291" s="6"/>
      <c r="H30291" s="13"/>
    </row>
    <row r="30292">
      <c r="A30292" s="6"/>
      <c r="B30292" s="6"/>
      <c r="H30292" s="13"/>
    </row>
    <row r="30293">
      <c r="A30293" s="6"/>
      <c r="B30293" s="6"/>
      <c r="H30293" s="13"/>
    </row>
    <row r="30294">
      <c r="A30294" s="6"/>
      <c r="B30294" s="6"/>
      <c r="H30294" s="13"/>
    </row>
    <row r="30295">
      <c r="A30295" s="6"/>
      <c r="B30295" s="6"/>
      <c r="H30295" s="13"/>
    </row>
    <row r="30296">
      <c r="A30296" s="6"/>
      <c r="B30296" s="6"/>
      <c r="H30296" s="13"/>
    </row>
    <row r="30297">
      <c r="A30297" s="6"/>
      <c r="B30297" s="6"/>
      <c r="H30297" s="13"/>
    </row>
    <row r="30298">
      <c r="A30298" s="6"/>
      <c r="B30298" s="6"/>
      <c r="H30298" s="13"/>
    </row>
    <row r="30299">
      <c r="A30299" s="6"/>
      <c r="B30299" s="6"/>
      <c r="H30299" s="13"/>
    </row>
    <row r="30300">
      <c r="A30300" s="6"/>
      <c r="B30300" s="6"/>
      <c r="H30300" s="13"/>
    </row>
    <row r="30301">
      <c r="A30301" s="6"/>
      <c r="B30301" s="6"/>
      <c r="H30301" s="13"/>
    </row>
    <row r="30302">
      <c r="A30302" s="6"/>
      <c r="B30302" s="6"/>
      <c r="H30302" s="13"/>
    </row>
    <row r="30303">
      <c r="A30303" s="6"/>
      <c r="B30303" s="6"/>
      <c r="H30303" s="13"/>
    </row>
    <row r="30304">
      <c r="A30304" s="6"/>
      <c r="B30304" s="6"/>
      <c r="H30304" s="13"/>
    </row>
    <row r="30305">
      <c r="A30305" s="6"/>
      <c r="B30305" s="6"/>
      <c r="H30305" s="13"/>
    </row>
    <row r="30306">
      <c r="A30306" s="6"/>
      <c r="B30306" s="6"/>
      <c r="H30306" s="13"/>
    </row>
    <row r="30307">
      <c r="A30307" s="6"/>
      <c r="B30307" s="6"/>
      <c r="H30307" s="13"/>
    </row>
    <row r="30308">
      <c r="A30308" s="6"/>
      <c r="B30308" s="6"/>
      <c r="H30308" s="13"/>
    </row>
    <row r="30309">
      <c r="A30309" s="6"/>
      <c r="B30309" s="6"/>
      <c r="H30309" s="13"/>
    </row>
    <row r="30310">
      <c r="A30310" s="6"/>
      <c r="B30310" s="6"/>
      <c r="H30310" s="13"/>
    </row>
    <row r="30311">
      <c r="A30311" s="6"/>
      <c r="B30311" s="6"/>
      <c r="H30311" s="13"/>
    </row>
    <row r="30312">
      <c r="A30312" s="6"/>
      <c r="B30312" s="6"/>
      <c r="H30312" s="13"/>
    </row>
    <row r="30313">
      <c r="A30313" s="6"/>
      <c r="B30313" s="6"/>
      <c r="H30313" s="13"/>
    </row>
    <row r="30314">
      <c r="A30314" s="6"/>
      <c r="B30314" s="6"/>
      <c r="H30314" s="13"/>
    </row>
    <row r="30315">
      <c r="A30315" s="6"/>
      <c r="B30315" s="6"/>
      <c r="H30315" s="13"/>
    </row>
    <row r="30316">
      <c r="A30316" s="6"/>
      <c r="B30316" s="6"/>
      <c r="H30316" s="13"/>
    </row>
    <row r="30317">
      <c r="A30317" s="6"/>
      <c r="B30317" s="6"/>
      <c r="H30317" s="13"/>
    </row>
    <row r="30318">
      <c r="A30318" s="6"/>
      <c r="B30318" s="6"/>
      <c r="H30318" s="13"/>
    </row>
    <row r="30319">
      <c r="A30319" s="6"/>
      <c r="B30319" s="6"/>
      <c r="H30319" s="13"/>
    </row>
    <row r="30320">
      <c r="A30320" s="6"/>
      <c r="B30320" s="6"/>
      <c r="H30320" s="13"/>
    </row>
    <row r="30321">
      <c r="A30321" s="6"/>
      <c r="B30321" s="6"/>
      <c r="H30321" s="13"/>
    </row>
    <row r="30322">
      <c r="A30322" s="6"/>
      <c r="B30322" s="6"/>
      <c r="H30322" s="13"/>
    </row>
    <row r="30323">
      <c r="A30323" s="6"/>
      <c r="B30323" s="6"/>
      <c r="H30323" s="13"/>
    </row>
    <row r="30324">
      <c r="A30324" s="6"/>
      <c r="B30324" s="6"/>
      <c r="H30324" s="13"/>
    </row>
    <row r="30325">
      <c r="A30325" s="6"/>
      <c r="B30325" s="6"/>
      <c r="H30325" s="13"/>
    </row>
    <row r="30326">
      <c r="A30326" s="6"/>
      <c r="B30326" s="6"/>
      <c r="H30326" s="13"/>
    </row>
    <row r="30327">
      <c r="A30327" s="6"/>
      <c r="B30327" s="6"/>
      <c r="H30327" s="13"/>
    </row>
    <row r="30328">
      <c r="A30328" s="6"/>
      <c r="B30328" s="6"/>
      <c r="H30328" s="13"/>
    </row>
    <row r="30329">
      <c r="A30329" s="6"/>
      <c r="B30329" s="6"/>
      <c r="H30329" s="13"/>
    </row>
    <row r="30330">
      <c r="A30330" s="6"/>
      <c r="B30330" s="6"/>
      <c r="H30330" s="13"/>
    </row>
    <row r="30331">
      <c r="A30331" s="6"/>
      <c r="B30331" s="6"/>
      <c r="H30331" s="13"/>
    </row>
    <row r="30332">
      <c r="A30332" s="6"/>
      <c r="B30332" s="6"/>
      <c r="H30332" s="13"/>
    </row>
    <row r="30333">
      <c r="A30333" s="6"/>
      <c r="B30333" s="6"/>
      <c r="H30333" s="13"/>
    </row>
    <row r="30334">
      <c r="A30334" s="6"/>
      <c r="B30334" s="6"/>
      <c r="H30334" s="13"/>
    </row>
    <row r="30335">
      <c r="A30335" s="6"/>
      <c r="B30335" s="6"/>
      <c r="H30335" s="13"/>
    </row>
    <row r="30336">
      <c r="A30336" s="6"/>
      <c r="B30336" s="6"/>
      <c r="H30336" s="13"/>
    </row>
    <row r="30337">
      <c r="A30337" s="6"/>
      <c r="B30337" s="6"/>
      <c r="H30337" s="13"/>
    </row>
    <row r="30338">
      <c r="A30338" s="6"/>
      <c r="B30338" s="6"/>
      <c r="H30338" s="13"/>
    </row>
    <row r="30339">
      <c r="A30339" s="6"/>
      <c r="B30339" s="6"/>
      <c r="H30339" s="13"/>
    </row>
    <row r="30340">
      <c r="A30340" s="6"/>
      <c r="B30340" s="6"/>
      <c r="H30340" s="13"/>
    </row>
    <row r="30341">
      <c r="A30341" s="6"/>
      <c r="B30341" s="6"/>
      <c r="H30341" s="13"/>
    </row>
    <row r="30342">
      <c r="A30342" s="6"/>
      <c r="B30342" s="6"/>
      <c r="H30342" s="13"/>
    </row>
    <row r="30343">
      <c r="A30343" s="6"/>
      <c r="B30343" s="6"/>
      <c r="H30343" s="13"/>
    </row>
    <row r="30344">
      <c r="A30344" s="6"/>
      <c r="B30344" s="6"/>
      <c r="H30344" s="13"/>
    </row>
    <row r="30345">
      <c r="A30345" s="6"/>
      <c r="B30345" s="6"/>
      <c r="H30345" s="13"/>
    </row>
    <row r="30346">
      <c r="A30346" s="6"/>
      <c r="B30346" s="6"/>
      <c r="H30346" s="13"/>
    </row>
    <row r="30347">
      <c r="A30347" s="6"/>
      <c r="B30347" s="6"/>
      <c r="H30347" s="13"/>
    </row>
    <row r="30348">
      <c r="A30348" s="6"/>
      <c r="B30348" s="6"/>
      <c r="H30348" s="13"/>
    </row>
    <row r="30349">
      <c r="A30349" s="6"/>
      <c r="B30349" s="6"/>
      <c r="H30349" s="13"/>
    </row>
    <row r="30350">
      <c r="A30350" s="6"/>
      <c r="B30350" s="6"/>
      <c r="H30350" s="13"/>
    </row>
    <row r="30351">
      <c r="A30351" s="6"/>
      <c r="B30351" s="6"/>
      <c r="H30351" s="13"/>
    </row>
    <row r="30352">
      <c r="A30352" s="6"/>
      <c r="B30352" s="6"/>
      <c r="H30352" s="13"/>
    </row>
    <row r="30353">
      <c r="A30353" s="6"/>
      <c r="B30353" s="6"/>
      <c r="H30353" s="13"/>
    </row>
    <row r="30354">
      <c r="A30354" s="6"/>
      <c r="B30354" s="6"/>
      <c r="H30354" s="13"/>
    </row>
    <row r="30355">
      <c r="A30355" s="6"/>
      <c r="B30355" s="6"/>
      <c r="H30355" s="13"/>
    </row>
    <row r="30356">
      <c r="A30356" s="6"/>
      <c r="B30356" s="6"/>
      <c r="H30356" s="13"/>
    </row>
    <row r="30357">
      <c r="A30357" s="6"/>
      <c r="B30357" s="6"/>
      <c r="H30357" s="13"/>
    </row>
    <row r="30358">
      <c r="A30358" s="6"/>
      <c r="B30358" s="6"/>
      <c r="H30358" s="13"/>
    </row>
    <row r="30359">
      <c r="A30359" s="6"/>
      <c r="B30359" s="6"/>
      <c r="H30359" s="13"/>
    </row>
    <row r="30360">
      <c r="A30360" s="6"/>
      <c r="B30360" s="6"/>
      <c r="H30360" s="13"/>
    </row>
    <row r="30361">
      <c r="A30361" s="6"/>
      <c r="B30361" s="6"/>
      <c r="H30361" s="13"/>
    </row>
    <row r="30362">
      <c r="A30362" s="6"/>
      <c r="B30362" s="6"/>
      <c r="H30362" s="13"/>
    </row>
    <row r="30363">
      <c r="A30363" s="6"/>
      <c r="B30363" s="6"/>
      <c r="H30363" s="13"/>
    </row>
    <row r="30364">
      <c r="A30364" s="6"/>
      <c r="B30364" s="6"/>
      <c r="H30364" s="13"/>
    </row>
    <row r="30365">
      <c r="A30365" s="6"/>
      <c r="B30365" s="6"/>
      <c r="H30365" s="13"/>
    </row>
    <row r="30366">
      <c r="A30366" s="6"/>
      <c r="B30366" s="6"/>
      <c r="H30366" s="13"/>
    </row>
    <row r="30367">
      <c r="A30367" s="6"/>
      <c r="B30367" s="6"/>
      <c r="H30367" s="13"/>
    </row>
    <row r="30368">
      <c r="A30368" s="6"/>
      <c r="B30368" s="6"/>
      <c r="H30368" s="13"/>
    </row>
    <row r="30369">
      <c r="A30369" s="6"/>
      <c r="B30369" s="6"/>
      <c r="H30369" s="13"/>
    </row>
    <row r="30370">
      <c r="A30370" s="6"/>
      <c r="B30370" s="6"/>
      <c r="H30370" s="13"/>
    </row>
    <row r="30371">
      <c r="A30371" s="6"/>
      <c r="B30371" s="6"/>
      <c r="H30371" s="13"/>
    </row>
    <row r="30372">
      <c r="A30372" s="6"/>
      <c r="B30372" s="6"/>
      <c r="H30372" s="13"/>
    </row>
    <row r="30373">
      <c r="A30373" s="6"/>
      <c r="B30373" s="6"/>
      <c r="H30373" s="13"/>
    </row>
    <row r="30374">
      <c r="A30374" s="6"/>
      <c r="B30374" s="6"/>
      <c r="H30374" s="13"/>
    </row>
    <row r="30375">
      <c r="A30375" s="6"/>
      <c r="B30375" s="6"/>
      <c r="H30375" s="13"/>
    </row>
    <row r="30376">
      <c r="A30376" s="6"/>
      <c r="B30376" s="6"/>
      <c r="H30376" s="13"/>
    </row>
    <row r="30377">
      <c r="A30377" s="6"/>
      <c r="B30377" s="6"/>
      <c r="H30377" s="13"/>
    </row>
    <row r="30378">
      <c r="A30378" s="6"/>
      <c r="B30378" s="6"/>
      <c r="H30378" s="13"/>
    </row>
    <row r="30379">
      <c r="A30379" s="6"/>
      <c r="B30379" s="6"/>
      <c r="H30379" s="13"/>
    </row>
    <row r="30380">
      <c r="A30380" s="6"/>
      <c r="B30380" s="6"/>
      <c r="H30380" s="13"/>
    </row>
    <row r="30381">
      <c r="A30381" s="6"/>
      <c r="B30381" s="6"/>
      <c r="H30381" s="13"/>
    </row>
    <row r="30382">
      <c r="A30382" s="6"/>
      <c r="B30382" s="6"/>
      <c r="H30382" s="13"/>
    </row>
    <row r="30383">
      <c r="A30383" s="6"/>
      <c r="B30383" s="6"/>
      <c r="H30383" s="13"/>
    </row>
    <row r="30384">
      <c r="A30384" s="6"/>
      <c r="B30384" s="6"/>
      <c r="H30384" s="13"/>
    </row>
    <row r="30385">
      <c r="A30385" s="6"/>
      <c r="B30385" s="6"/>
      <c r="H30385" s="13"/>
    </row>
    <row r="30386">
      <c r="A30386" s="6"/>
      <c r="B30386" s="6"/>
      <c r="H30386" s="13"/>
    </row>
    <row r="30387">
      <c r="A30387" s="6"/>
      <c r="B30387" s="6"/>
      <c r="H30387" s="13"/>
    </row>
    <row r="30388">
      <c r="A30388" s="6"/>
      <c r="B30388" s="6"/>
      <c r="H30388" s="13"/>
    </row>
    <row r="30389">
      <c r="A30389" s="6"/>
      <c r="B30389" s="6"/>
      <c r="H30389" s="13"/>
    </row>
    <row r="30390">
      <c r="A30390" s="6"/>
      <c r="B30390" s="6"/>
      <c r="H30390" s="13"/>
    </row>
    <row r="30391">
      <c r="A30391" s="6"/>
      <c r="B30391" s="6"/>
      <c r="H30391" s="13"/>
    </row>
    <row r="30392">
      <c r="A30392" s="6"/>
      <c r="B30392" s="6"/>
      <c r="H30392" s="13"/>
    </row>
    <row r="30393">
      <c r="A30393" s="6"/>
      <c r="B30393" s="6"/>
      <c r="H30393" s="13"/>
    </row>
    <row r="30394">
      <c r="A30394" s="6"/>
      <c r="B30394" s="6"/>
      <c r="H30394" s="13"/>
    </row>
    <row r="30395">
      <c r="A30395" s="6"/>
      <c r="B30395" s="6"/>
      <c r="H30395" s="13"/>
    </row>
    <row r="30396">
      <c r="A30396" s="6"/>
      <c r="B30396" s="6"/>
      <c r="H30396" s="13"/>
    </row>
    <row r="30397">
      <c r="A30397" s="6"/>
      <c r="B30397" s="6"/>
      <c r="H30397" s="13"/>
    </row>
    <row r="30398">
      <c r="A30398" s="6"/>
      <c r="B30398" s="6"/>
      <c r="H30398" s="13"/>
    </row>
    <row r="30399">
      <c r="A30399" s="6"/>
      <c r="B30399" s="6"/>
      <c r="H30399" s="13"/>
    </row>
    <row r="30400">
      <c r="A30400" s="6"/>
      <c r="B30400" s="6"/>
      <c r="H30400" s="13"/>
    </row>
    <row r="30401">
      <c r="A30401" s="6"/>
      <c r="B30401" s="6"/>
      <c r="H30401" s="13"/>
    </row>
    <row r="30402">
      <c r="A30402" s="6"/>
      <c r="B30402" s="6"/>
      <c r="H30402" s="13"/>
    </row>
    <row r="30403">
      <c r="A30403" s="6"/>
      <c r="B30403" s="6"/>
      <c r="H30403" s="13"/>
    </row>
    <row r="30404">
      <c r="A30404" s="6"/>
      <c r="B30404" s="6"/>
      <c r="H30404" s="13"/>
    </row>
    <row r="30405">
      <c r="A30405" s="6"/>
      <c r="B30405" s="6"/>
      <c r="H30405" s="13"/>
    </row>
    <row r="30406">
      <c r="A30406" s="6"/>
      <c r="B30406" s="6"/>
      <c r="H30406" s="13"/>
    </row>
    <row r="30407">
      <c r="A30407" s="6"/>
      <c r="B30407" s="6"/>
      <c r="H30407" s="13"/>
    </row>
    <row r="30408">
      <c r="A30408" s="6"/>
      <c r="B30408" s="6"/>
      <c r="H30408" s="13"/>
    </row>
    <row r="30409">
      <c r="A30409" s="6"/>
      <c r="B30409" s="6"/>
      <c r="H30409" s="13"/>
    </row>
    <row r="30410">
      <c r="A30410" s="6"/>
      <c r="B30410" s="6"/>
      <c r="H30410" s="13"/>
    </row>
    <row r="30411">
      <c r="A30411" s="6"/>
      <c r="B30411" s="6"/>
      <c r="H30411" s="13"/>
    </row>
    <row r="30412">
      <c r="A30412" s="6"/>
      <c r="B30412" s="6"/>
      <c r="H30412" s="13"/>
    </row>
    <row r="30413">
      <c r="A30413" s="6"/>
      <c r="B30413" s="6"/>
      <c r="H30413" s="13"/>
    </row>
    <row r="30414">
      <c r="A30414" s="6"/>
      <c r="B30414" s="6"/>
      <c r="H30414" s="13"/>
    </row>
    <row r="30415">
      <c r="A30415" s="6"/>
      <c r="B30415" s="6"/>
      <c r="H30415" s="13"/>
    </row>
    <row r="30416">
      <c r="A30416" s="6"/>
      <c r="B30416" s="6"/>
      <c r="H30416" s="13"/>
    </row>
    <row r="30417">
      <c r="A30417" s="6"/>
      <c r="B30417" s="6"/>
      <c r="H30417" s="13"/>
    </row>
    <row r="30418">
      <c r="A30418" s="6"/>
      <c r="B30418" s="6"/>
      <c r="H30418" s="13"/>
    </row>
    <row r="30419">
      <c r="A30419" s="6"/>
      <c r="B30419" s="6"/>
      <c r="H30419" s="13"/>
    </row>
    <row r="30420">
      <c r="A30420" s="6"/>
      <c r="B30420" s="6"/>
      <c r="H30420" s="13"/>
    </row>
    <row r="30421">
      <c r="A30421" s="6"/>
      <c r="B30421" s="6"/>
      <c r="H30421" s="13"/>
    </row>
    <row r="30422">
      <c r="A30422" s="6"/>
      <c r="B30422" s="6"/>
      <c r="H30422" s="13"/>
    </row>
    <row r="30423">
      <c r="A30423" s="6"/>
      <c r="B30423" s="6"/>
      <c r="H30423" s="13"/>
    </row>
    <row r="30424">
      <c r="A30424" s="6"/>
      <c r="B30424" s="6"/>
      <c r="H30424" s="13"/>
    </row>
    <row r="30425">
      <c r="A30425" s="6"/>
      <c r="B30425" s="6"/>
      <c r="H30425" s="13"/>
    </row>
    <row r="30426">
      <c r="A30426" s="6"/>
      <c r="B30426" s="6"/>
      <c r="H30426" s="13"/>
    </row>
    <row r="30427">
      <c r="A30427" s="6"/>
      <c r="B30427" s="6"/>
      <c r="H30427" s="13"/>
    </row>
    <row r="30428">
      <c r="A30428" s="6"/>
      <c r="B30428" s="6"/>
      <c r="H30428" s="13"/>
    </row>
    <row r="30429">
      <c r="A30429" s="6"/>
      <c r="B30429" s="6"/>
      <c r="H30429" s="13"/>
    </row>
    <row r="30430">
      <c r="A30430" s="6"/>
      <c r="B30430" s="6"/>
      <c r="H30430" s="13"/>
    </row>
    <row r="30431">
      <c r="A30431" s="6"/>
      <c r="B30431" s="6"/>
      <c r="H30431" s="13"/>
    </row>
    <row r="30432">
      <c r="A30432" s="6"/>
      <c r="B30432" s="6"/>
      <c r="H30432" s="13"/>
    </row>
    <row r="30433">
      <c r="A30433" s="6"/>
      <c r="B30433" s="6"/>
      <c r="H30433" s="13"/>
    </row>
    <row r="30434">
      <c r="A30434" s="6"/>
      <c r="B30434" s="6"/>
      <c r="H30434" s="13"/>
    </row>
    <row r="30435">
      <c r="A30435" s="6"/>
      <c r="B30435" s="6"/>
      <c r="H30435" s="13"/>
    </row>
    <row r="30436">
      <c r="A30436" s="6"/>
      <c r="B30436" s="6"/>
      <c r="H30436" s="13"/>
    </row>
    <row r="30437">
      <c r="A30437" s="6"/>
      <c r="B30437" s="6"/>
      <c r="H30437" s="13"/>
    </row>
    <row r="30438">
      <c r="A30438" s="6"/>
      <c r="B30438" s="6"/>
      <c r="H30438" s="13"/>
    </row>
    <row r="30439">
      <c r="A30439" s="6"/>
      <c r="B30439" s="6"/>
      <c r="H30439" s="13"/>
    </row>
    <row r="30440">
      <c r="A30440" s="6"/>
      <c r="B30440" s="6"/>
      <c r="H30440" s="13"/>
    </row>
    <row r="30441">
      <c r="A30441" s="6"/>
      <c r="B30441" s="6"/>
      <c r="H30441" s="13"/>
    </row>
    <row r="30442">
      <c r="A30442" s="6"/>
      <c r="B30442" s="6"/>
      <c r="H30442" s="13"/>
    </row>
    <row r="30443">
      <c r="A30443" s="6"/>
      <c r="B30443" s="6"/>
      <c r="H30443" s="13"/>
    </row>
    <row r="30444">
      <c r="A30444" s="6"/>
      <c r="B30444" s="6"/>
      <c r="H30444" s="13"/>
    </row>
    <row r="30445">
      <c r="A30445" s="6"/>
      <c r="B30445" s="6"/>
      <c r="H30445" s="13"/>
    </row>
    <row r="30446">
      <c r="A30446" s="6"/>
      <c r="B30446" s="6"/>
      <c r="H30446" s="13"/>
    </row>
    <row r="30447">
      <c r="A30447" s="6"/>
      <c r="B30447" s="6"/>
      <c r="H30447" s="13"/>
    </row>
    <row r="30448">
      <c r="A30448" s="6"/>
      <c r="B30448" s="6"/>
      <c r="H30448" s="13"/>
    </row>
    <row r="30449">
      <c r="A30449" s="6"/>
      <c r="B30449" s="6"/>
      <c r="H30449" s="13"/>
    </row>
    <row r="30450">
      <c r="A30450" s="6"/>
      <c r="B30450" s="6"/>
      <c r="H30450" s="13"/>
    </row>
    <row r="30451">
      <c r="A30451" s="6"/>
      <c r="B30451" s="6"/>
      <c r="H30451" s="13"/>
    </row>
    <row r="30452">
      <c r="A30452" s="6"/>
      <c r="B30452" s="6"/>
      <c r="H30452" s="13"/>
    </row>
    <row r="30453">
      <c r="A30453" s="6"/>
      <c r="B30453" s="6"/>
      <c r="H30453" s="13"/>
    </row>
    <row r="30454">
      <c r="A30454" s="6"/>
      <c r="B30454" s="6"/>
      <c r="H30454" s="13"/>
    </row>
    <row r="30455">
      <c r="A30455" s="6"/>
      <c r="B30455" s="6"/>
      <c r="H30455" s="13"/>
    </row>
    <row r="30456">
      <c r="A30456" s="6"/>
      <c r="B30456" s="6"/>
      <c r="H30456" s="13"/>
    </row>
    <row r="30457">
      <c r="A30457" s="6"/>
      <c r="B30457" s="6"/>
      <c r="H30457" s="13"/>
    </row>
    <row r="30458">
      <c r="A30458" s="6"/>
      <c r="B30458" s="6"/>
      <c r="H30458" s="13"/>
    </row>
    <row r="30459">
      <c r="A30459" s="6"/>
      <c r="B30459" s="6"/>
      <c r="H30459" s="13"/>
    </row>
    <row r="30460">
      <c r="A30460" s="6"/>
      <c r="B30460" s="6"/>
      <c r="H30460" s="13"/>
    </row>
    <row r="30461">
      <c r="A30461" s="6"/>
      <c r="B30461" s="6"/>
      <c r="H30461" s="13"/>
    </row>
    <row r="30462">
      <c r="A30462" s="6"/>
      <c r="B30462" s="6"/>
      <c r="H30462" s="13"/>
    </row>
    <row r="30463">
      <c r="A30463" s="6"/>
      <c r="B30463" s="6"/>
      <c r="H30463" s="13"/>
    </row>
    <row r="30464">
      <c r="A30464" s="6"/>
      <c r="B30464" s="6"/>
      <c r="H30464" s="13"/>
    </row>
    <row r="30465">
      <c r="A30465" s="6"/>
      <c r="B30465" s="6"/>
      <c r="H30465" s="13"/>
    </row>
    <row r="30466">
      <c r="A30466" s="6"/>
      <c r="B30466" s="6"/>
      <c r="H30466" s="13"/>
    </row>
    <row r="30467">
      <c r="A30467" s="6"/>
      <c r="B30467" s="6"/>
      <c r="H30467" s="13"/>
    </row>
    <row r="30468">
      <c r="A30468" s="6"/>
      <c r="B30468" s="6"/>
      <c r="H30468" s="13"/>
    </row>
    <row r="30469">
      <c r="A30469" s="6"/>
      <c r="B30469" s="6"/>
      <c r="H30469" s="13"/>
    </row>
    <row r="30470">
      <c r="A30470" s="6"/>
      <c r="B30470" s="6"/>
      <c r="H30470" s="13"/>
    </row>
    <row r="30471">
      <c r="A30471" s="6"/>
      <c r="B30471" s="6"/>
      <c r="H30471" s="13"/>
    </row>
    <row r="30472">
      <c r="A30472" s="6"/>
      <c r="B30472" s="6"/>
      <c r="H30472" s="13"/>
    </row>
    <row r="30473">
      <c r="A30473" s="6"/>
      <c r="B30473" s="6"/>
      <c r="H30473" s="13"/>
    </row>
    <row r="30474">
      <c r="A30474" s="6"/>
      <c r="B30474" s="6"/>
      <c r="H30474" s="13"/>
    </row>
    <row r="30475">
      <c r="A30475" s="6"/>
      <c r="B30475" s="6"/>
      <c r="H30475" s="13"/>
    </row>
    <row r="30476">
      <c r="A30476" s="6"/>
      <c r="B30476" s="6"/>
      <c r="H30476" s="13"/>
    </row>
    <row r="30477">
      <c r="A30477" s="6"/>
      <c r="B30477" s="6"/>
      <c r="H30477" s="13"/>
    </row>
    <row r="30478">
      <c r="A30478" s="6"/>
      <c r="B30478" s="6"/>
      <c r="H30478" s="13"/>
    </row>
    <row r="30479">
      <c r="A30479" s="6"/>
      <c r="B30479" s="6"/>
      <c r="H30479" s="13"/>
    </row>
    <row r="30480">
      <c r="A30480" s="6"/>
      <c r="B30480" s="6"/>
      <c r="H30480" s="13"/>
    </row>
    <row r="30481">
      <c r="A30481" s="6"/>
      <c r="B30481" s="6"/>
      <c r="H30481" s="13"/>
    </row>
    <row r="30482">
      <c r="A30482" s="6"/>
      <c r="B30482" s="6"/>
      <c r="H30482" s="13"/>
    </row>
    <row r="30483">
      <c r="A30483" s="6"/>
      <c r="B30483" s="6"/>
      <c r="H30483" s="13"/>
    </row>
    <row r="30484">
      <c r="A30484" s="6"/>
      <c r="B30484" s="6"/>
      <c r="H30484" s="13"/>
    </row>
    <row r="30485">
      <c r="A30485" s="6"/>
      <c r="B30485" s="6"/>
      <c r="H30485" s="13"/>
    </row>
    <row r="30486">
      <c r="A30486" s="6"/>
      <c r="B30486" s="6"/>
      <c r="H30486" s="13"/>
    </row>
    <row r="30487">
      <c r="A30487" s="6"/>
      <c r="B30487" s="6"/>
      <c r="H30487" s="13"/>
    </row>
    <row r="30488">
      <c r="A30488" s="6"/>
      <c r="B30488" s="6"/>
      <c r="H30488" s="13"/>
    </row>
    <row r="30489">
      <c r="A30489" s="6"/>
      <c r="B30489" s="6"/>
      <c r="H30489" s="13"/>
    </row>
    <row r="30490">
      <c r="A30490" s="6"/>
      <c r="B30490" s="6"/>
      <c r="H30490" s="13"/>
    </row>
    <row r="30491">
      <c r="A30491" s="6"/>
      <c r="B30491" s="6"/>
      <c r="H30491" s="13"/>
    </row>
    <row r="30492">
      <c r="A30492" s="6"/>
      <c r="B30492" s="6"/>
      <c r="H30492" s="13"/>
    </row>
    <row r="30493">
      <c r="A30493" s="6"/>
      <c r="B30493" s="6"/>
      <c r="H30493" s="13"/>
    </row>
    <row r="30494">
      <c r="A30494" s="6"/>
      <c r="B30494" s="6"/>
      <c r="H30494" s="13"/>
    </row>
    <row r="30495">
      <c r="A30495" s="6"/>
      <c r="B30495" s="6"/>
      <c r="H30495" s="13"/>
    </row>
    <row r="30496">
      <c r="A30496" s="6"/>
      <c r="B30496" s="6"/>
      <c r="H30496" s="13"/>
    </row>
    <row r="30497">
      <c r="A30497" s="6"/>
      <c r="B30497" s="6"/>
      <c r="H30497" s="13"/>
    </row>
    <row r="30498">
      <c r="A30498" s="6"/>
      <c r="B30498" s="6"/>
      <c r="H30498" s="13"/>
    </row>
    <row r="30499">
      <c r="A30499" s="6"/>
      <c r="B30499" s="6"/>
      <c r="H30499" s="13"/>
    </row>
    <row r="30500">
      <c r="A30500" s="6"/>
      <c r="B30500" s="6"/>
      <c r="H30500" s="13"/>
    </row>
    <row r="30501">
      <c r="A30501" s="6"/>
      <c r="B30501" s="6"/>
      <c r="H30501" s="13"/>
    </row>
    <row r="30502">
      <c r="A30502" s="6"/>
      <c r="B30502" s="6"/>
      <c r="H30502" s="13"/>
    </row>
    <row r="30503">
      <c r="A30503" s="6"/>
      <c r="B30503" s="6"/>
      <c r="H30503" s="13"/>
    </row>
    <row r="30504">
      <c r="A30504" s="6"/>
      <c r="B30504" s="6"/>
      <c r="H30504" s="13"/>
    </row>
    <row r="30505">
      <c r="A30505" s="6"/>
      <c r="B30505" s="6"/>
      <c r="H30505" s="13"/>
    </row>
    <row r="30506">
      <c r="A30506" s="6"/>
      <c r="B30506" s="6"/>
      <c r="H30506" s="13"/>
    </row>
    <row r="30507">
      <c r="A30507" s="6"/>
      <c r="B30507" s="6"/>
      <c r="H30507" s="13"/>
    </row>
    <row r="30508">
      <c r="A30508" s="6"/>
      <c r="B30508" s="6"/>
      <c r="H30508" s="13"/>
    </row>
    <row r="30509">
      <c r="A30509" s="6"/>
      <c r="B30509" s="6"/>
      <c r="H30509" s="13"/>
    </row>
    <row r="30510">
      <c r="A30510" s="6"/>
      <c r="B30510" s="6"/>
      <c r="H30510" s="13"/>
    </row>
    <row r="30511">
      <c r="A30511" s="6"/>
      <c r="B30511" s="6"/>
      <c r="H30511" s="13"/>
    </row>
    <row r="30512">
      <c r="A30512" s="6"/>
      <c r="B30512" s="6"/>
      <c r="H30512" s="13"/>
    </row>
    <row r="30513">
      <c r="A30513" s="6"/>
      <c r="B30513" s="6"/>
      <c r="H30513" s="13"/>
    </row>
    <row r="30514">
      <c r="A30514" s="6"/>
      <c r="B30514" s="6"/>
      <c r="H30514" s="13"/>
    </row>
    <row r="30515">
      <c r="A30515" s="6"/>
      <c r="B30515" s="6"/>
      <c r="H30515" s="13"/>
    </row>
    <row r="30516">
      <c r="A30516" s="6"/>
      <c r="B30516" s="6"/>
      <c r="H30516" s="13"/>
    </row>
    <row r="30517">
      <c r="A30517" s="6"/>
      <c r="B30517" s="6"/>
      <c r="H30517" s="13"/>
    </row>
    <row r="30518">
      <c r="A30518" s="6"/>
      <c r="B30518" s="6"/>
      <c r="H30518" s="13"/>
    </row>
    <row r="30519">
      <c r="A30519" s="6"/>
      <c r="B30519" s="6"/>
      <c r="H30519" s="13"/>
    </row>
    <row r="30520">
      <c r="A30520" s="6"/>
      <c r="B30520" s="6"/>
      <c r="H30520" s="13"/>
    </row>
    <row r="30521">
      <c r="A30521" s="6"/>
      <c r="B30521" s="6"/>
      <c r="H30521" s="13"/>
    </row>
    <row r="30522">
      <c r="A30522" s="6"/>
      <c r="B30522" s="6"/>
      <c r="H30522" s="13"/>
    </row>
    <row r="30523">
      <c r="A30523" s="6"/>
      <c r="B30523" s="6"/>
      <c r="H30523" s="13"/>
    </row>
    <row r="30524">
      <c r="A30524" s="6"/>
      <c r="B30524" s="6"/>
      <c r="H30524" s="13"/>
    </row>
    <row r="30525">
      <c r="A30525" s="6"/>
      <c r="B30525" s="6"/>
      <c r="H30525" s="13"/>
    </row>
    <row r="30526">
      <c r="A30526" s="6"/>
      <c r="B30526" s="6"/>
      <c r="H30526" s="13"/>
    </row>
    <row r="30527">
      <c r="A30527" s="6"/>
      <c r="B30527" s="6"/>
      <c r="H30527" s="13"/>
    </row>
    <row r="30528">
      <c r="A30528" s="6"/>
      <c r="B30528" s="6"/>
      <c r="H30528" s="13"/>
    </row>
    <row r="30529">
      <c r="A30529" s="6"/>
      <c r="B30529" s="6"/>
      <c r="H30529" s="13"/>
    </row>
    <row r="30530">
      <c r="A30530" s="6"/>
      <c r="B30530" s="6"/>
      <c r="H30530" s="13"/>
    </row>
    <row r="30531">
      <c r="A30531" s="6"/>
      <c r="B30531" s="6"/>
      <c r="H30531" s="13"/>
    </row>
    <row r="30532">
      <c r="A30532" s="6"/>
      <c r="B30532" s="6"/>
      <c r="H30532" s="13"/>
    </row>
    <row r="30533">
      <c r="A30533" s="6"/>
      <c r="B30533" s="6"/>
      <c r="H30533" s="13"/>
    </row>
    <row r="30534">
      <c r="A30534" s="6"/>
      <c r="B30534" s="6"/>
      <c r="H30534" s="13"/>
    </row>
    <row r="30535">
      <c r="A30535" s="6"/>
      <c r="B30535" s="6"/>
      <c r="H30535" s="13"/>
    </row>
    <row r="30536">
      <c r="A30536" s="6"/>
      <c r="B30536" s="6"/>
      <c r="H30536" s="13"/>
    </row>
    <row r="30537">
      <c r="A30537" s="6"/>
      <c r="B30537" s="6"/>
      <c r="H30537" s="13"/>
    </row>
    <row r="30538">
      <c r="A30538" s="6"/>
      <c r="B30538" s="6"/>
      <c r="H30538" s="13"/>
    </row>
    <row r="30539">
      <c r="A30539" s="6"/>
      <c r="B30539" s="6"/>
      <c r="H30539" s="13"/>
    </row>
    <row r="30540">
      <c r="A30540" s="6"/>
      <c r="B30540" s="6"/>
      <c r="H30540" s="13"/>
    </row>
    <row r="30541">
      <c r="A30541" s="6"/>
      <c r="B30541" s="6"/>
      <c r="H30541" s="13"/>
    </row>
    <row r="30542">
      <c r="A30542" s="6"/>
      <c r="B30542" s="6"/>
      <c r="H30542" s="13"/>
    </row>
    <row r="30543">
      <c r="A30543" s="6"/>
      <c r="B30543" s="6"/>
      <c r="H30543" s="13"/>
    </row>
    <row r="30544">
      <c r="A30544" s="6"/>
      <c r="B30544" s="6"/>
      <c r="H30544" s="13"/>
    </row>
    <row r="30545">
      <c r="A30545" s="6"/>
      <c r="B30545" s="6"/>
      <c r="H30545" s="13"/>
    </row>
    <row r="30546">
      <c r="A30546" s="6"/>
      <c r="B30546" s="6"/>
      <c r="H30546" s="13"/>
    </row>
    <row r="30547">
      <c r="A30547" s="6"/>
      <c r="B30547" s="6"/>
      <c r="H30547" s="13"/>
    </row>
    <row r="30548">
      <c r="A30548" s="6"/>
      <c r="B30548" s="6"/>
      <c r="H30548" s="13"/>
    </row>
    <row r="30549">
      <c r="A30549" s="6"/>
      <c r="B30549" s="6"/>
      <c r="H30549" s="13"/>
    </row>
    <row r="30550">
      <c r="A30550" s="6"/>
      <c r="B30550" s="6"/>
      <c r="H30550" s="13"/>
    </row>
    <row r="30551">
      <c r="A30551" s="6"/>
      <c r="B30551" s="6"/>
      <c r="H30551" s="13"/>
    </row>
    <row r="30552">
      <c r="A30552" s="6"/>
      <c r="B30552" s="6"/>
      <c r="H30552" s="13"/>
    </row>
    <row r="30553">
      <c r="A30553" s="6"/>
      <c r="B30553" s="6"/>
      <c r="H30553" s="13"/>
    </row>
    <row r="30554">
      <c r="A30554" s="6"/>
      <c r="B30554" s="6"/>
      <c r="H30554" s="13"/>
    </row>
    <row r="30555">
      <c r="A30555" s="6"/>
      <c r="B30555" s="6"/>
      <c r="H30555" s="13"/>
    </row>
    <row r="30556">
      <c r="A30556" s="6"/>
      <c r="B30556" s="6"/>
      <c r="H30556" s="13"/>
    </row>
    <row r="30557">
      <c r="A30557" s="6"/>
      <c r="B30557" s="6"/>
      <c r="H30557" s="13"/>
    </row>
    <row r="30558">
      <c r="A30558" s="6"/>
      <c r="B30558" s="6"/>
      <c r="H30558" s="13"/>
    </row>
    <row r="30559">
      <c r="A30559" s="6"/>
      <c r="B30559" s="6"/>
      <c r="H30559" s="13"/>
    </row>
    <row r="30560">
      <c r="A30560" s="6"/>
      <c r="B30560" s="6"/>
      <c r="H30560" s="13"/>
    </row>
    <row r="30561">
      <c r="A30561" s="6"/>
      <c r="B30561" s="6"/>
      <c r="H30561" s="13"/>
    </row>
    <row r="30562">
      <c r="A30562" s="6"/>
      <c r="B30562" s="6"/>
      <c r="H30562" s="13"/>
    </row>
    <row r="30563">
      <c r="A30563" s="6"/>
      <c r="B30563" s="6"/>
      <c r="H30563" s="13"/>
    </row>
    <row r="30564">
      <c r="A30564" s="6"/>
      <c r="B30564" s="6"/>
      <c r="H30564" s="13"/>
    </row>
    <row r="30565">
      <c r="A30565" s="6"/>
      <c r="B30565" s="6"/>
      <c r="H30565" s="13"/>
    </row>
    <row r="30566">
      <c r="A30566" s="6"/>
      <c r="B30566" s="6"/>
      <c r="H30566" s="13"/>
    </row>
    <row r="30567">
      <c r="A30567" s="6"/>
      <c r="B30567" s="6"/>
      <c r="H30567" s="13"/>
    </row>
    <row r="30568">
      <c r="A30568" s="6"/>
      <c r="B30568" s="6"/>
      <c r="H30568" s="13"/>
    </row>
    <row r="30569">
      <c r="A30569" s="6"/>
      <c r="B30569" s="6"/>
      <c r="H30569" s="13"/>
    </row>
    <row r="30570">
      <c r="A30570" s="6"/>
      <c r="B30570" s="6"/>
      <c r="H30570" s="13"/>
    </row>
    <row r="30571">
      <c r="A30571" s="6"/>
      <c r="B30571" s="6"/>
      <c r="H30571" s="13"/>
    </row>
    <row r="30572">
      <c r="A30572" s="6"/>
      <c r="B30572" s="6"/>
      <c r="H30572" s="13"/>
    </row>
    <row r="30573">
      <c r="A30573" s="6"/>
      <c r="B30573" s="6"/>
      <c r="H30573" s="13"/>
    </row>
    <row r="30574">
      <c r="A30574" s="6"/>
      <c r="B30574" s="6"/>
      <c r="H30574" s="13"/>
    </row>
    <row r="30575">
      <c r="A30575" s="6"/>
      <c r="B30575" s="6"/>
      <c r="H30575" s="13"/>
    </row>
    <row r="30576">
      <c r="A30576" s="6"/>
      <c r="B30576" s="6"/>
      <c r="H30576" s="13"/>
    </row>
    <row r="30577">
      <c r="A30577" s="6"/>
      <c r="B30577" s="6"/>
      <c r="H30577" s="13"/>
    </row>
    <row r="30578">
      <c r="A30578" s="6"/>
      <c r="B30578" s="6"/>
      <c r="H30578" s="13"/>
    </row>
    <row r="30579">
      <c r="A30579" s="6"/>
      <c r="B30579" s="6"/>
      <c r="H30579" s="13"/>
    </row>
    <row r="30580">
      <c r="A30580" s="6"/>
      <c r="B30580" s="6"/>
      <c r="H30580" s="13"/>
    </row>
    <row r="30581">
      <c r="A30581" s="6"/>
      <c r="B30581" s="6"/>
      <c r="H30581" s="13"/>
    </row>
    <row r="30582">
      <c r="A30582" s="6"/>
      <c r="B30582" s="6"/>
      <c r="H30582" s="13"/>
    </row>
    <row r="30583">
      <c r="A30583" s="6"/>
      <c r="B30583" s="6"/>
      <c r="H30583" s="13"/>
    </row>
    <row r="30584">
      <c r="A30584" s="6"/>
      <c r="B30584" s="6"/>
      <c r="H30584" s="13"/>
    </row>
    <row r="30585">
      <c r="A30585" s="6"/>
      <c r="B30585" s="6"/>
      <c r="H30585" s="13"/>
    </row>
    <row r="30586">
      <c r="A30586" s="6"/>
      <c r="B30586" s="6"/>
      <c r="H30586" s="13"/>
    </row>
    <row r="30587">
      <c r="A30587" s="6"/>
      <c r="B30587" s="6"/>
      <c r="H30587" s="13"/>
    </row>
    <row r="30588">
      <c r="A30588" s="6"/>
      <c r="B30588" s="6"/>
      <c r="H30588" s="13"/>
    </row>
    <row r="30589">
      <c r="A30589" s="6"/>
      <c r="B30589" s="6"/>
      <c r="H30589" s="13"/>
    </row>
    <row r="30590">
      <c r="A30590" s="6"/>
      <c r="B30590" s="6"/>
      <c r="H30590" s="13"/>
    </row>
    <row r="30591">
      <c r="A30591" s="6"/>
      <c r="B30591" s="6"/>
      <c r="H30591" s="13"/>
    </row>
    <row r="30592">
      <c r="A30592" s="6"/>
      <c r="B30592" s="6"/>
      <c r="H30592" s="13"/>
    </row>
    <row r="30593">
      <c r="A30593" s="6"/>
      <c r="B30593" s="6"/>
      <c r="H30593" s="13"/>
    </row>
    <row r="30594">
      <c r="A30594" s="6"/>
      <c r="B30594" s="6"/>
      <c r="H30594" s="13"/>
    </row>
    <row r="30595">
      <c r="A30595" s="6"/>
      <c r="B30595" s="6"/>
      <c r="H30595" s="13"/>
    </row>
    <row r="30596">
      <c r="A30596" s="6"/>
      <c r="B30596" s="6"/>
      <c r="H30596" s="13"/>
    </row>
    <row r="30597">
      <c r="A30597" s="6"/>
      <c r="B30597" s="6"/>
      <c r="H30597" s="13"/>
    </row>
    <row r="30598">
      <c r="A30598" s="6"/>
      <c r="B30598" s="6"/>
      <c r="H30598" s="13"/>
    </row>
    <row r="30599">
      <c r="A30599" s="6"/>
      <c r="B30599" s="6"/>
      <c r="H30599" s="13"/>
    </row>
    <row r="30600">
      <c r="A30600" s="6"/>
      <c r="B30600" s="6"/>
      <c r="H30600" s="13"/>
    </row>
    <row r="30601">
      <c r="A30601" s="6"/>
      <c r="B30601" s="6"/>
      <c r="H30601" s="13"/>
    </row>
    <row r="30602">
      <c r="A30602" s="6"/>
      <c r="B30602" s="6"/>
      <c r="H30602" s="13"/>
    </row>
    <row r="30603">
      <c r="A30603" s="6"/>
      <c r="B30603" s="6"/>
      <c r="H30603" s="13"/>
    </row>
    <row r="30604">
      <c r="A30604" s="6"/>
      <c r="B30604" s="6"/>
      <c r="H30604" s="13"/>
    </row>
    <row r="30605">
      <c r="A30605" s="6"/>
      <c r="B30605" s="6"/>
      <c r="H30605" s="13"/>
    </row>
    <row r="30606">
      <c r="A30606" s="6"/>
      <c r="B30606" s="6"/>
      <c r="H30606" s="13"/>
    </row>
    <row r="30607">
      <c r="A30607" s="6"/>
      <c r="B30607" s="6"/>
      <c r="H30607" s="13"/>
    </row>
    <row r="30608">
      <c r="A30608" s="6"/>
      <c r="B30608" s="6"/>
      <c r="H30608" s="13"/>
    </row>
    <row r="30609">
      <c r="A30609" s="6"/>
      <c r="B30609" s="6"/>
      <c r="H30609" s="13"/>
    </row>
    <row r="30610">
      <c r="A30610" s="6"/>
      <c r="B30610" s="6"/>
      <c r="H30610" s="13"/>
    </row>
    <row r="30611">
      <c r="A30611" s="6"/>
      <c r="B30611" s="6"/>
      <c r="H30611" s="13"/>
    </row>
    <row r="30612">
      <c r="A30612" s="6"/>
      <c r="B30612" s="6"/>
      <c r="H30612" s="13"/>
    </row>
    <row r="30613">
      <c r="A30613" s="6"/>
      <c r="B30613" s="6"/>
      <c r="H30613" s="13"/>
    </row>
    <row r="30614">
      <c r="A30614" s="6"/>
      <c r="B30614" s="6"/>
      <c r="H30614" s="13"/>
    </row>
    <row r="30615">
      <c r="A30615" s="6"/>
      <c r="B30615" s="6"/>
      <c r="H30615" s="13"/>
    </row>
    <row r="30616">
      <c r="A30616" s="6"/>
      <c r="B30616" s="6"/>
      <c r="H30616" s="13"/>
    </row>
    <row r="30617">
      <c r="A30617" s="6"/>
      <c r="B30617" s="6"/>
      <c r="H30617" s="13"/>
    </row>
    <row r="30618">
      <c r="A30618" s="6"/>
      <c r="B30618" s="6"/>
      <c r="H30618" s="13"/>
    </row>
    <row r="30619">
      <c r="A30619" s="6"/>
      <c r="B30619" s="6"/>
      <c r="H30619" s="13"/>
    </row>
    <row r="30620">
      <c r="A30620" s="6"/>
      <c r="B30620" s="6"/>
      <c r="H30620" s="13"/>
    </row>
    <row r="30621">
      <c r="A30621" s="6"/>
      <c r="B30621" s="6"/>
      <c r="H30621" s="13"/>
    </row>
    <row r="30622">
      <c r="A30622" s="6"/>
      <c r="B30622" s="6"/>
      <c r="H30622" s="13"/>
    </row>
    <row r="30623">
      <c r="A30623" s="6"/>
      <c r="B30623" s="6"/>
      <c r="H30623" s="13"/>
    </row>
    <row r="30624">
      <c r="A30624" s="6"/>
      <c r="B30624" s="6"/>
      <c r="H30624" s="13"/>
    </row>
    <row r="30625">
      <c r="A30625" s="6"/>
      <c r="B30625" s="6"/>
      <c r="H30625" s="13"/>
    </row>
    <row r="30626">
      <c r="A30626" s="6"/>
      <c r="B30626" s="6"/>
      <c r="H30626" s="13"/>
    </row>
    <row r="30627">
      <c r="A30627" s="6"/>
      <c r="B30627" s="6"/>
      <c r="H30627" s="13"/>
    </row>
    <row r="30628">
      <c r="A30628" s="6"/>
      <c r="B30628" s="6"/>
      <c r="H30628" s="13"/>
    </row>
    <row r="30629">
      <c r="A30629" s="6"/>
      <c r="B30629" s="6"/>
      <c r="H30629" s="13"/>
    </row>
    <row r="30630">
      <c r="A30630" s="6"/>
      <c r="B30630" s="6"/>
      <c r="H30630" s="13"/>
    </row>
    <row r="30631">
      <c r="A30631" s="6"/>
      <c r="B30631" s="6"/>
      <c r="H30631" s="13"/>
    </row>
    <row r="30632">
      <c r="A30632" s="6"/>
      <c r="B30632" s="6"/>
      <c r="H30632" s="13"/>
    </row>
    <row r="30633">
      <c r="A30633" s="6"/>
      <c r="B30633" s="6"/>
      <c r="H30633" s="13"/>
    </row>
    <row r="30634">
      <c r="A30634" s="6"/>
      <c r="B30634" s="6"/>
      <c r="H30634" s="13"/>
    </row>
    <row r="30635">
      <c r="A30635" s="6"/>
      <c r="B30635" s="6"/>
      <c r="H30635" s="13"/>
    </row>
    <row r="30636">
      <c r="A30636" s="6"/>
      <c r="B30636" s="6"/>
      <c r="H30636" s="13"/>
    </row>
    <row r="30637">
      <c r="A30637" s="6"/>
      <c r="B30637" s="6"/>
      <c r="H30637" s="13"/>
    </row>
    <row r="30638">
      <c r="A30638" s="6"/>
      <c r="B30638" s="6"/>
      <c r="H30638" s="13"/>
    </row>
    <row r="30639">
      <c r="A30639" s="6"/>
      <c r="B30639" s="6"/>
      <c r="H30639" s="13"/>
    </row>
    <row r="30640">
      <c r="A30640" s="6"/>
      <c r="B30640" s="6"/>
      <c r="H30640" s="13"/>
    </row>
    <row r="30641">
      <c r="A30641" s="6"/>
      <c r="B30641" s="6"/>
      <c r="H30641" s="13"/>
    </row>
    <row r="30642">
      <c r="A30642" s="6"/>
      <c r="B30642" s="6"/>
      <c r="H30642" s="13"/>
    </row>
    <row r="30643">
      <c r="A30643" s="6"/>
      <c r="B30643" s="6"/>
      <c r="H30643" s="13"/>
    </row>
    <row r="30644">
      <c r="A30644" s="6"/>
      <c r="B30644" s="6"/>
      <c r="H30644" s="13"/>
    </row>
    <row r="30645">
      <c r="A30645" s="6"/>
      <c r="B30645" s="6"/>
      <c r="H30645" s="13"/>
    </row>
    <row r="30646">
      <c r="A30646" s="6"/>
      <c r="B30646" s="6"/>
      <c r="H30646" s="13"/>
    </row>
    <row r="30647">
      <c r="A30647" s="6"/>
      <c r="B30647" s="6"/>
      <c r="H30647" s="13"/>
    </row>
    <row r="30648">
      <c r="A30648" s="6"/>
      <c r="B30648" s="6"/>
      <c r="H30648" s="13"/>
    </row>
    <row r="30649">
      <c r="A30649" s="6"/>
      <c r="B30649" s="6"/>
      <c r="H30649" s="13"/>
    </row>
    <row r="30650">
      <c r="A30650" s="6"/>
      <c r="B30650" s="6"/>
      <c r="H30650" s="13"/>
    </row>
    <row r="30651">
      <c r="A30651" s="6"/>
      <c r="B30651" s="6"/>
      <c r="H30651" s="13"/>
    </row>
    <row r="30652">
      <c r="A30652" s="6"/>
      <c r="B30652" s="6"/>
      <c r="H30652" s="13"/>
    </row>
    <row r="30653">
      <c r="A30653" s="6"/>
      <c r="B30653" s="6"/>
      <c r="H30653" s="13"/>
    </row>
    <row r="30654">
      <c r="A30654" s="6"/>
      <c r="B30654" s="6"/>
      <c r="H30654" s="13"/>
    </row>
    <row r="30655">
      <c r="A30655" s="6"/>
      <c r="B30655" s="6"/>
      <c r="H30655" s="13"/>
    </row>
    <row r="30656">
      <c r="A30656" s="6"/>
      <c r="B30656" s="6"/>
      <c r="H30656" s="13"/>
    </row>
    <row r="30657">
      <c r="A30657" s="6"/>
      <c r="B30657" s="6"/>
      <c r="H30657" s="13"/>
    </row>
    <row r="30658">
      <c r="A30658" s="6"/>
      <c r="B30658" s="6"/>
      <c r="H30658" s="13"/>
    </row>
    <row r="30659">
      <c r="A30659" s="6"/>
      <c r="B30659" s="6"/>
      <c r="H30659" s="13"/>
    </row>
    <row r="30660">
      <c r="A30660" s="6"/>
      <c r="B30660" s="6"/>
      <c r="H30660" s="13"/>
    </row>
    <row r="30661">
      <c r="A30661" s="6"/>
      <c r="B30661" s="6"/>
      <c r="H30661" s="13"/>
    </row>
    <row r="30662">
      <c r="A30662" s="6"/>
      <c r="B30662" s="6"/>
      <c r="H30662" s="13"/>
    </row>
    <row r="30663">
      <c r="A30663" s="6"/>
      <c r="B30663" s="6"/>
      <c r="H30663" s="13"/>
    </row>
    <row r="30664">
      <c r="A30664" s="6"/>
      <c r="B30664" s="6"/>
      <c r="H30664" s="13"/>
    </row>
    <row r="30665">
      <c r="A30665" s="6"/>
      <c r="B30665" s="6"/>
      <c r="H30665" s="13"/>
    </row>
    <row r="30666">
      <c r="A30666" s="6"/>
      <c r="B30666" s="6"/>
      <c r="H30666" s="13"/>
    </row>
    <row r="30667">
      <c r="A30667" s="6"/>
      <c r="B30667" s="6"/>
      <c r="H30667" s="13"/>
    </row>
    <row r="30668">
      <c r="A30668" s="6"/>
      <c r="B30668" s="6"/>
      <c r="H30668" s="13"/>
    </row>
    <row r="30669">
      <c r="A30669" s="6"/>
      <c r="B30669" s="6"/>
      <c r="H30669" s="13"/>
    </row>
    <row r="30670">
      <c r="A30670" s="6"/>
      <c r="B30670" s="6"/>
      <c r="H30670" s="13"/>
    </row>
    <row r="30671">
      <c r="A30671" s="6"/>
      <c r="B30671" s="6"/>
      <c r="H30671" s="13"/>
    </row>
    <row r="30672">
      <c r="A30672" s="6"/>
      <c r="B30672" s="6"/>
      <c r="H30672" s="13"/>
    </row>
    <row r="30673">
      <c r="A30673" s="6"/>
      <c r="B30673" s="6"/>
      <c r="H30673" s="13"/>
    </row>
    <row r="30674">
      <c r="A30674" s="6"/>
      <c r="B30674" s="6"/>
      <c r="H30674" s="13"/>
    </row>
    <row r="30675">
      <c r="A30675" s="6"/>
      <c r="B30675" s="6"/>
      <c r="H30675" s="13"/>
    </row>
    <row r="30676">
      <c r="A30676" s="6"/>
      <c r="B30676" s="6"/>
      <c r="H30676" s="13"/>
    </row>
    <row r="30677">
      <c r="A30677" s="6"/>
      <c r="B30677" s="6"/>
      <c r="H30677" s="13"/>
    </row>
    <row r="30678">
      <c r="A30678" s="6"/>
      <c r="B30678" s="6"/>
      <c r="H30678" s="13"/>
    </row>
    <row r="30679">
      <c r="A30679" s="6"/>
      <c r="B30679" s="6"/>
      <c r="H30679" s="13"/>
    </row>
    <row r="30680">
      <c r="A30680" s="6"/>
      <c r="B30680" s="6"/>
      <c r="H30680" s="13"/>
    </row>
    <row r="30681">
      <c r="A30681" s="6"/>
      <c r="B30681" s="6"/>
      <c r="H30681" s="13"/>
    </row>
    <row r="30682">
      <c r="A30682" s="6"/>
      <c r="B30682" s="6"/>
      <c r="H30682" s="13"/>
    </row>
    <row r="30683">
      <c r="A30683" s="6"/>
      <c r="B30683" s="6"/>
      <c r="H30683" s="13"/>
    </row>
    <row r="30684">
      <c r="A30684" s="6"/>
      <c r="B30684" s="6"/>
      <c r="H30684" s="13"/>
    </row>
    <row r="30685">
      <c r="A30685" s="6"/>
      <c r="B30685" s="6"/>
      <c r="H30685" s="13"/>
    </row>
    <row r="30686">
      <c r="A30686" s="6"/>
      <c r="B30686" s="6"/>
      <c r="H30686" s="13"/>
    </row>
    <row r="30687">
      <c r="A30687" s="6"/>
      <c r="B30687" s="6"/>
      <c r="H30687" s="13"/>
    </row>
    <row r="30688">
      <c r="A30688" s="6"/>
      <c r="B30688" s="6"/>
      <c r="H30688" s="13"/>
    </row>
    <row r="30689">
      <c r="A30689" s="6"/>
      <c r="B30689" s="6"/>
      <c r="H30689" s="13"/>
    </row>
    <row r="30690">
      <c r="A30690" s="6"/>
      <c r="B30690" s="6"/>
      <c r="H30690" s="13"/>
    </row>
    <row r="30691">
      <c r="A30691" s="6"/>
      <c r="B30691" s="6"/>
      <c r="H30691" s="13"/>
    </row>
    <row r="30692">
      <c r="A30692" s="6"/>
      <c r="B30692" s="6"/>
      <c r="H30692" s="13"/>
    </row>
    <row r="30693">
      <c r="A30693" s="6"/>
      <c r="B30693" s="6"/>
      <c r="H30693" s="13"/>
    </row>
    <row r="30694">
      <c r="A30694" s="6"/>
      <c r="B30694" s="6"/>
      <c r="H30694" s="13"/>
    </row>
    <row r="30695">
      <c r="A30695" s="6"/>
      <c r="B30695" s="6"/>
      <c r="H30695" s="13"/>
    </row>
    <row r="30696">
      <c r="A30696" s="6"/>
      <c r="B30696" s="6"/>
      <c r="H30696" s="13"/>
    </row>
    <row r="30697">
      <c r="A30697" s="6"/>
      <c r="B30697" s="6"/>
      <c r="H30697" s="13"/>
    </row>
    <row r="30698">
      <c r="A30698" s="6"/>
      <c r="B30698" s="6"/>
      <c r="H30698" s="13"/>
    </row>
    <row r="30699">
      <c r="A30699" s="6"/>
      <c r="B30699" s="6"/>
      <c r="H30699" s="13"/>
    </row>
    <row r="30700">
      <c r="A30700" s="6"/>
      <c r="B30700" s="6"/>
      <c r="H30700" s="13"/>
    </row>
    <row r="30701">
      <c r="A30701" s="6"/>
      <c r="B30701" s="6"/>
      <c r="H30701" s="13"/>
    </row>
    <row r="30702">
      <c r="A30702" s="6"/>
      <c r="B30702" s="6"/>
      <c r="H30702" s="13"/>
    </row>
    <row r="30703">
      <c r="A30703" s="6"/>
      <c r="B30703" s="6"/>
      <c r="H30703" s="13"/>
    </row>
    <row r="30704">
      <c r="A30704" s="6"/>
      <c r="B30704" s="6"/>
      <c r="H30704" s="13"/>
    </row>
    <row r="30705">
      <c r="A30705" s="6"/>
      <c r="B30705" s="6"/>
      <c r="H30705" s="13"/>
    </row>
    <row r="30706">
      <c r="A30706" s="6"/>
      <c r="B30706" s="6"/>
      <c r="H30706" s="13"/>
    </row>
    <row r="30707">
      <c r="A30707" s="6"/>
      <c r="B30707" s="6"/>
      <c r="H30707" s="13"/>
    </row>
    <row r="30708">
      <c r="A30708" s="6"/>
      <c r="B30708" s="6"/>
      <c r="H30708" s="13"/>
    </row>
    <row r="30709">
      <c r="A30709" s="6"/>
      <c r="B30709" s="6"/>
      <c r="H30709" s="13"/>
    </row>
    <row r="30710">
      <c r="A30710" s="6"/>
      <c r="B30710" s="6"/>
      <c r="H30710" s="13"/>
    </row>
    <row r="30711">
      <c r="A30711" s="6"/>
      <c r="B30711" s="6"/>
      <c r="H30711" s="13"/>
    </row>
    <row r="30712">
      <c r="A30712" s="6"/>
      <c r="B30712" s="6"/>
      <c r="H30712" s="13"/>
    </row>
    <row r="30713">
      <c r="A30713" s="6"/>
      <c r="B30713" s="6"/>
      <c r="H30713" s="13"/>
    </row>
    <row r="30714">
      <c r="A30714" s="6"/>
      <c r="B30714" s="6"/>
      <c r="H30714" s="13"/>
    </row>
    <row r="30715">
      <c r="A30715" s="6"/>
      <c r="B30715" s="6"/>
      <c r="H30715" s="13"/>
    </row>
    <row r="30716">
      <c r="A30716" s="6"/>
      <c r="B30716" s="6"/>
      <c r="H30716" s="13"/>
    </row>
    <row r="30717">
      <c r="A30717" s="6"/>
      <c r="B30717" s="6"/>
      <c r="H30717" s="13"/>
    </row>
    <row r="30718">
      <c r="A30718" s="6"/>
      <c r="B30718" s="6"/>
      <c r="H30718" s="13"/>
    </row>
    <row r="30719">
      <c r="A30719" s="6"/>
      <c r="B30719" s="6"/>
      <c r="H30719" s="13"/>
    </row>
    <row r="30720">
      <c r="A30720" s="6"/>
      <c r="B30720" s="6"/>
      <c r="H30720" s="13"/>
    </row>
    <row r="30721">
      <c r="A30721" s="6"/>
      <c r="B30721" s="6"/>
      <c r="H30721" s="13"/>
    </row>
    <row r="30722">
      <c r="A30722" s="6"/>
      <c r="B30722" s="6"/>
      <c r="H30722" s="13"/>
    </row>
    <row r="30723">
      <c r="A30723" s="6"/>
      <c r="B30723" s="6"/>
      <c r="H30723" s="13"/>
    </row>
    <row r="30724">
      <c r="A30724" s="6"/>
      <c r="B30724" s="6"/>
      <c r="H30724" s="13"/>
    </row>
    <row r="30725">
      <c r="A30725" s="6"/>
      <c r="B30725" s="6"/>
      <c r="H30725" s="13"/>
    </row>
    <row r="30726">
      <c r="A30726" s="6"/>
      <c r="B30726" s="6"/>
      <c r="H30726" s="13"/>
    </row>
    <row r="30727">
      <c r="A30727" s="6"/>
      <c r="B30727" s="6"/>
      <c r="H30727" s="13"/>
    </row>
    <row r="30728">
      <c r="A30728" s="6"/>
      <c r="B30728" s="6"/>
      <c r="H30728" s="13"/>
    </row>
    <row r="30729">
      <c r="A30729" s="6"/>
      <c r="B30729" s="6"/>
      <c r="H30729" s="13"/>
    </row>
    <row r="30730">
      <c r="A30730" s="6"/>
      <c r="B30730" s="6"/>
      <c r="H30730" s="13"/>
    </row>
    <row r="30731">
      <c r="A30731" s="6"/>
      <c r="B30731" s="6"/>
      <c r="H30731" s="13"/>
    </row>
    <row r="30732">
      <c r="A30732" s="6"/>
      <c r="B30732" s="6"/>
      <c r="H30732" s="13"/>
    </row>
    <row r="30733">
      <c r="A30733" s="6"/>
      <c r="B30733" s="6"/>
      <c r="H30733" s="13"/>
    </row>
    <row r="30734">
      <c r="A30734" s="6"/>
      <c r="B30734" s="6"/>
      <c r="H30734" s="13"/>
    </row>
    <row r="30735">
      <c r="A30735" s="6"/>
      <c r="B30735" s="6"/>
      <c r="H30735" s="13"/>
    </row>
    <row r="30736">
      <c r="A30736" s="6"/>
      <c r="B30736" s="6"/>
      <c r="H30736" s="13"/>
    </row>
    <row r="30737">
      <c r="A30737" s="6"/>
      <c r="B30737" s="6"/>
      <c r="H30737" s="13"/>
    </row>
    <row r="30738">
      <c r="A30738" s="6"/>
      <c r="B30738" s="6"/>
      <c r="H30738" s="13"/>
    </row>
    <row r="30739">
      <c r="A30739" s="6"/>
      <c r="B30739" s="6"/>
      <c r="H30739" s="13"/>
    </row>
    <row r="30740">
      <c r="A30740" s="6"/>
      <c r="B30740" s="6"/>
      <c r="H30740" s="13"/>
    </row>
    <row r="30741">
      <c r="A30741" s="6"/>
      <c r="B30741" s="6"/>
      <c r="H30741" s="13"/>
    </row>
    <row r="30742">
      <c r="A30742" s="6"/>
      <c r="B30742" s="6"/>
      <c r="H30742" s="13"/>
    </row>
    <row r="30743">
      <c r="A30743" s="6"/>
      <c r="B30743" s="6"/>
      <c r="H30743" s="13"/>
    </row>
    <row r="30744">
      <c r="A30744" s="6"/>
      <c r="B30744" s="6"/>
      <c r="H30744" s="13"/>
    </row>
    <row r="30745">
      <c r="A30745" s="6"/>
      <c r="B30745" s="6"/>
      <c r="H30745" s="13"/>
    </row>
    <row r="30746">
      <c r="A30746" s="6"/>
      <c r="B30746" s="6"/>
      <c r="H30746" s="13"/>
    </row>
    <row r="30747">
      <c r="A30747" s="6"/>
      <c r="B30747" s="6"/>
      <c r="H30747" s="13"/>
    </row>
    <row r="30748">
      <c r="A30748" s="6"/>
      <c r="B30748" s="6"/>
      <c r="H30748" s="13"/>
    </row>
    <row r="30749">
      <c r="A30749" s="6"/>
      <c r="B30749" s="6"/>
      <c r="H30749" s="13"/>
    </row>
    <row r="30750">
      <c r="A30750" s="6"/>
      <c r="B30750" s="6"/>
      <c r="H30750" s="13"/>
    </row>
    <row r="30751">
      <c r="A30751" s="6"/>
      <c r="B30751" s="6"/>
      <c r="H30751" s="13"/>
    </row>
    <row r="30752">
      <c r="A30752" s="6"/>
      <c r="B30752" s="6"/>
      <c r="H30752" s="13"/>
    </row>
    <row r="30753">
      <c r="A30753" s="6"/>
      <c r="B30753" s="6"/>
      <c r="H30753" s="13"/>
    </row>
    <row r="30754">
      <c r="A30754" s="6"/>
      <c r="B30754" s="6"/>
      <c r="H30754" s="13"/>
    </row>
    <row r="30755">
      <c r="A30755" s="6"/>
      <c r="B30755" s="6"/>
      <c r="H30755" s="13"/>
    </row>
    <row r="30756">
      <c r="A30756" s="6"/>
      <c r="B30756" s="6"/>
      <c r="H30756" s="13"/>
    </row>
    <row r="30757">
      <c r="A30757" s="6"/>
      <c r="B30757" s="6"/>
      <c r="H30757" s="13"/>
    </row>
    <row r="30758">
      <c r="A30758" s="6"/>
      <c r="B30758" s="6"/>
      <c r="H30758" s="13"/>
    </row>
    <row r="30759">
      <c r="A30759" s="6"/>
      <c r="B30759" s="6"/>
      <c r="H30759" s="13"/>
    </row>
    <row r="30760">
      <c r="A30760" s="6"/>
      <c r="B30760" s="6"/>
      <c r="H30760" s="13"/>
    </row>
    <row r="30761">
      <c r="A30761" s="6"/>
      <c r="B30761" s="6"/>
      <c r="H30761" s="13"/>
    </row>
    <row r="30762">
      <c r="A30762" s="6"/>
      <c r="B30762" s="6"/>
      <c r="H30762" s="13"/>
    </row>
    <row r="30763">
      <c r="A30763" s="6"/>
      <c r="B30763" s="6"/>
      <c r="H30763" s="13"/>
    </row>
    <row r="30764">
      <c r="A30764" s="6"/>
      <c r="B30764" s="6"/>
      <c r="H30764" s="13"/>
    </row>
    <row r="30765">
      <c r="A30765" s="6"/>
      <c r="B30765" s="6"/>
      <c r="H30765" s="13"/>
    </row>
    <row r="30766">
      <c r="A30766" s="6"/>
      <c r="B30766" s="6"/>
      <c r="H30766" s="13"/>
    </row>
    <row r="30767">
      <c r="A30767" s="6"/>
      <c r="B30767" s="6"/>
      <c r="H30767" s="13"/>
    </row>
    <row r="30768">
      <c r="A30768" s="6"/>
      <c r="B30768" s="6"/>
      <c r="H30768" s="13"/>
    </row>
    <row r="30769">
      <c r="A30769" s="6"/>
      <c r="B30769" s="6"/>
      <c r="H30769" s="13"/>
    </row>
    <row r="30770">
      <c r="A30770" s="6"/>
      <c r="B30770" s="6"/>
      <c r="H30770" s="13"/>
    </row>
    <row r="30771">
      <c r="A30771" s="6"/>
      <c r="B30771" s="6"/>
      <c r="H30771" s="13"/>
    </row>
    <row r="30772">
      <c r="A30772" s="6"/>
      <c r="B30772" s="6"/>
      <c r="H30772" s="13"/>
    </row>
    <row r="30773">
      <c r="A30773" s="6"/>
      <c r="B30773" s="6"/>
      <c r="H30773" s="13"/>
    </row>
    <row r="30774">
      <c r="A30774" s="6"/>
      <c r="B30774" s="6"/>
      <c r="H30774" s="13"/>
    </row>
    <row r="30775">
      <c r="A30775" s="6"/>
      <c r="B30775" s="6"/>
      <c r="H30775" s="13"/>
    </row>
    <row r="30776">
      <c r="A30776" s="6"/>
      <c r="B30776" s="6"/>
      <c r="H30776" s="13"/>
    </row>
    <row r="30777">
      <c r="A30777" s="6"/>
      <c r="B30777" s="6"/>
      <c r="H30777" s="13"/>
    </row>
    <row r="30778">
      <c r="A30778" s="6"/>
      <c r="B30778" s="6"/>
      <c r="H30778" s="13"/>
    </row>
    <row r="30779">
      <c r="A30779" s="6"/>
      <c r="B30779" s="6"/>
      <c r="H30779" s="13"/>
    </row>
    <row r="30780">
      <c r="A30780" s="6"/>
      <c r="B30780" s="6"/>
      <c r="H30780" s="13"/>
    </row>
    <row r="30781">
      <c r="A30781" s="6"/>
      <c r="B30781" s="6"/>
      <c r="H30781" s="13"/>
    </row>
    <row r="30782">
      <c r="A30782" s="6"/>
      <c r="B30782" s="6"/>
      <c r="H30782" s="13"/>
    </row>
    <row r="30783">
      <c r="A30783" s="6"/>
      <c r="B30783" s="6"/>
      <c r="H30783" s="13"/>
    </row>
    <row r="30784">
      <c r="A30784" s="6"/>
      <c r="B30784" s="6"/>
      <c r="H30784" s="13"/>
    </row>
    <row r="30785">
      <c r="A30785" s="6"/>
      <c r="B30785" s="6"/>
      <c r="H30785" s="13"/>
    </row>
    <row r="30786">
      <c r="A30786" s="6"/>
      <c r="B30786" s="6"/>
      <c r="H30786" s="13"/>
    </row>
    <row r="30787">
      <c r="A30787" s="6"/>
      <c r="B30787" s="6"/>
      <c r="H30787" s="13"/>
    </row>
    <row r="30788">
      <c r="A30788" s="6"/>
      <c r="B30788" s="6"/>
      <c r="H30788" s="13"/>
    </row>
    <row r="30789">
      <c r="A30789" s="6"/>
      <c r="B30789" s="6"/>
      <c r="H30789" s="13"/>
    </row>
    <row r="30790">
      <c r="A30790" s="6"/>
      <c r="B30790" s="6"/>
      <c r="H30790" s="13"/>
    </row>
    <row r="30791">
      <c r="A30791" s="6"/>
      <c r="B30791" s="6"/>
      <c r="H30791" s="13"/>
    </row>
    <row r="30792">
      <c r="A30792" s="6"/>
      <c r="B30792" s="6"/>
      <c r="H30792" s="13"/>
    </row>
    <row r="30793">
      <c r="A30793" s="6"/>
      <c r="B30793" s="6"/>
      <c r="H30793" s="13"/>
    </row>
    <row r="30794">
      <c r="A30794" s="6"/>
      <c r="B30794" s="6"/>
      <c r="H30794" s="13"/>
    </row>
    <row r="30795">
      <c r="A30795" s="6"/>
      <c r="B30795" s="6"/>
      <c r="H30795" s="13"/>
    </row>
    <row r="30796">
      <c r="A30796" s="6"/>
      <c r="B30796" s="6"/>
      <c r="H30796" s="13"/>
    </row>
    <row r="30797">
      <c r="A30797" s="6"/>
      <c r="B30797" s="6"/>
      <c r="H30797" s="13"/>
    </row>
    <row r="30798">
      <c r="A30798" s="6"/>
      <c r="B30798" s="6"/>
      <c r="H30798" s="13"/>
    </row>
    <row r="30799">
      <c r="A30799" s="6"/>
      <c r="B30799" s="6"/>
      <c r="H30799" s="13"/>
    </row>
    <row r="30800">
      <c r="A30800" s="6"/>
      <c r="B30800" s="6"/>
      <c r="H30800" s="13"/>
    </row>
    <row r="30801">
      <c r="A30801" s="6"/>
      <c r="B30801" s="6"/>
      <c r="H30801" s="13"/>
    </row>
    <row r="30802">
      <c r="A30802" s="6"/>
      <c r="B30802" s="6"/>
      <c r="H30802" s="13"/>
    </row>
    <row r="30803">
      <c r="A30803" s="6"/>
      <c r="B30803" s="6"/>
      <c r="H30803" s="13"/>
    </row>
    <row r="30804">
      <c r="A30804" s="6"/>
      <c r="B30804" s="6"/>
      <c r="H30804" s="13"/>
    </row>
    <row r="30805">
      <c r="A30805" s="6"/>
      <c r="B30805" s="6"/>
      <c r="H30805" s="13"/>
    </row>
    <row r="30806">
      <c r="A30806" s="6"/>
      <c r="B30806" s="6"/>
      <c r="H30806" s="13"/>
    </row>
    <row r="30807">
      <c r="A30807" s="6"/>
      <c r="B30807" s="6"/>
      <c r="H30807" s="13"/>
    </row>
    <row r="30808">
      <c r="A30808" s="6"/>
      <c r="B30808" s="6"/>
      <c r="H30808" s="13"/>
    </row>
    <row r="30809">
      <c r="A30809" s="6"/>
      <c r="B30809" s="6"/>
      <c r="H30809" s="13"/>
    </row>
    <row r="30810">
      <c r="A30810" s="6"/>
      <c r="B30810" s="6"/>
      <c r="H30810" s="13"/>
    </row>
    <row r="30811">
      <c r="A30811" s="6"/>
      <c r="B30811" s="6"/>
      <c r="H30811" s="13"/>
    </row>
    <row r="30812">
      <c r="A30812" s="6"/>
      <c r="B30812" s="6"/>
      <c r="H30812" s="13"/>
    </row>
    <row r="30813">
      <c r="A30813" s="6"/>
      <c r="B30813" s="6"/>
      <c r="H30813" s="13"/>
    </row>
    <row r="30814">
      <c r="A30814" s="6"/>
      <c r="B30814" s="6"/>
      <c r="H30814" s="13"/>
    </row>
    <row r="30815">
      <c r="A30815" s="6"/>
      <c r="B30815" s="6"/>
      <c r="H30815" s="13"/>
    </row>
    <row r="30816">
      <c r="A30816" s="6"/>
      <c r="B30816" s="6"/>
      <c r="H30816" s="13"/>
    </row>
    <row r="30817">
      <c r="A30817" s="6"/>
      <c r="B30817" s="6"/>
      <c r="H30817" s="13"/>
    </row>
    <row r="30818">
      <c r="A30818" s="6"/>
      <c r="B30818" s="6"/>
      <c r="H30818" s="13"/>
    </row>
    <row r="30819">
      <c r="A30819" s="6"/>
      <c r="B30819" s="6"/>
      <c r="H30819" s="13"/>
    </row>
    <row r="30820">
      <c r="A30820" s="6"/>
      <c r="B30820" s="6"/>
      <c r="H30820" s="13"/>
    </row>
    <row r="30821">
      <c r="A30821" s="6"/>
      <c r="B30821" s="6"/>
      <c r="H30821" s="13"/>
    </row>
    <row r="30822">
      <c r="A30822" s="6"/>
      <c r="B30822" s="6"/>
      <c r="H30822" s="13"/>
    </row>
    <row r="30823">
      <c r="A30823" s="6"/>
      <c r="B30823" s="6"/>
      <c r="H30823" s="13"/>
    </row>
    <row r="30824">
      <c r="A30824" s="6"/>
      <c r="B30824" s="6"/>
      <c r="H30824" s="13"/>
    </row>
    <row r="30825">
      <c r="A30825" s="6"/>
      <c r="B30825" s="6"/>
      <c r="H30825" s="13"/>
    </row>
    <row r="30826">
      <c r="A30826" s="6"/>
      <c r="B30826" s="6"/>
      <c r="H30826" s="13"/>
    </row>
    <row r="30827">
      <c r="A30827" s="6"/>
      <c r="B30827" s="6"/>
      <c r="H30827" s="13"/>
    </row>
    <row r="30828">
      <c r="A30828" s="6"/>
      <c r="B30828" s="6"/>
      <c r="H30828" s="13"/>
    </row>
    <row r="30829">
      <c r="A30829" s="6"/>
      <c r="B30829" s="6"/>
      <c r="H30829" s="13"/>
    </row>
    <row r="30830">
      <c r="A30830" s="6"/>
      <c r="B30830" s="6"/>
      <c r="H30830" s="13"/>
    </row>
    <row r="30831">
      <c r="A30831" s="6"/>
      <c r="B30831" s="6"/>
      <c r="H30831" s="13"/>
    </row>
    <row r="30832">
      <c r="A30832" s="6"/>
      <c r="B30832" s="6"/>
      <c r="H30832" s="13"/>
    </row>
    <row r="30833">
      <c r="A30833" s="6"/>
      <c r="B30833" s="6"/>
      <c r="H30833" s="13"/>
    </row>
    <row r="30834">
      <c r="A30834" s="6"/>
      <c r="B30834" s="6"/>
      <c r="H30834" s="13"/>
    </row>
    <row r="30835">
      <c r="A30835" s="6"/>
      <c r="B30835" s="6"/>
      <c r="H30835" s="13"/>
    </row>
    <row r="30836">
      <c r="A30836" s="6"/>
      <c r="B30836" s="6"/>
      <c r="H30836" s="13"/>
    </row>
    <row r="30837">
      <c r="A30837" s="6"/>
      <c r="B30837" s="6"/>
      <c r="H30837" s="13"/>
    </row>
    <row r="30838">
      <c r="A30838" s="6"/>
      <c r="B30838" s="6"/>
      <c r="H30838" s="13"/>
    </row>
    <row r="30839">
      <c r="A30839" s="6"/>
      <c r="B30839" s="6"/>
      <c r="H30839" s="13"/>
    </row>
    <row r="30840">
      <c r="A30840" s="6"/>
      <c r="B30840" s="6"/>
      <c r="H30840" s="13"/>
    </row>
    <row r="30841">
      <c r="A30841" s="6"/>
      <c r="B30841" s="6"/>
      <c r="H30841" s="13"/>
    </row>
    <row r="30842">
      <c r="A30842" s="6"/>
      <c r="B30842" s="6"/>
      <c r="H30842" s="13"/>
    </row>
    <row r="30843">
      <c r="A30843" s="6"/>
      <c r="B30843" s="6"/>
      <c r="H30843" s="13"/>
    </row>
    <row r="30844">
      <c r="A30844" s="6"/>
      <c r="B30844" s="6"/>
      <c r="H30844" s="13"/>
    </row>
    <row r="30845">
      <c r="A30845" s="6"/>
      <c r="B30845" s="6"/>
      <c r="H30845" s="13"/>
    </row>
    <row r="30846">
      <c r="A30846" s="6"/>
      <c r="B30846" s="6"/>
      <c r="H30846" s="13"/>
    </row>
    <row r="30847">
      <c r="A30847" s="6"/>
      <c r="B30847" s="6"/>
      <c r="H30847" s="13"/>
    </row>
    <row r="30848">
      <c r="A30848" s="6"/>
      <c r="B30848" s="6"/>
      <c r="H30848" s="13"/>
    </row>
    <row r="30849">
      <c r="A30849" s="6"/>
      <c r="B30849" s="6"/>
      <c r="H30849" s="13"/>
    </row>
    <row r="30850">
      <c r="A30850" s="6"/>
      <c r="B30850" s="6"/>
      <c r="H30850" s="13"/>
    </row>
    <row r="30851">
      <c r="A30851" s="6"/>
      <c r="B30851" s="6"/>
      <c r="H30851" s="13"/>
    </row>
    <row r="30852">
      <c r="A30852" s="6"/>
      <c r="B30852" s="6"/>
      <c r="H30852" s="13"/>
    </row>
    <row r="30853">
      <c r="A30853" s="6"/>
      <c r="B30853" s="6"/>
      <c r="H30853" s="13"/>
    </row>
    <row r="30854">
      <c r="A30854" s="6"/>
      <c r="B30854" s="6"/>
      <c r="H30854" s="13"/>
    </row>
    <row r="30855">
      <c r="A30855" s="6"/>
      <c r="B30855" s="6"/>
      <c r="H30855" s="13"/>
    </row>
    <row r="30856">
      <c r="A30856" s="6"/>
      <c r="B30856" s="6"/>
      <c r="H30856" s="13"/>
    </row>
    <row r="30857">
      <c r="A30857" s="6"/>
      <c r="B30857" s="6"/>
      <c r="H30857" s="13"/>
    </row>
    <row r="30858">
      <c r="A30858" s="6"/>
      <c r="B30858" s="6"/>
      <c r="H30858" s="13"/>
    </row>
    <row r="30859">
      <c r="A30859" s="6"/>
      <c r="B30859" s="6"/>
      <c r="H30859" s="13"/>
    </row>
    <row r="30860">
      <c r="A30860" s="6"/>
      <c r="B30860" s="6"/>
      <c r="H30860" s="13"/>
    </row>
    <row r="30861">
      <c r="A30861" s="6"/>
      <c r="B30861" s="6"/>
      <c r="H30861" s="13"/>
    </row>
    <row r="30862">
      <c r="A30862" s="6"/>
      <c r="B30862" s="6"/>
      <c r="H30862" s="13"/>
    </row>
    <row r="30863">
      <c r="A30863" s="6"/>
      <c r="B30863" s="6"/>
      <c r="H30863" s="13"/>
    </row>
    <row r="30864">
      <c r="A30864" s="6"/>
      <c r="B30864" s="6"/>
      <c r="H30864" s="13"/>
    </row>
    <row r="30865">
      <c r="A30865" s="6"/>
      <c r="B30865" s="6"/>
      <c r="H30865" s="13"/>
    </row>
    <row r="30866">
      <c r="A30866" s="6"/>
      <c r="B30866" s="6"/>
      <c r="H30866" s="13"/>
    </row>
    <row r="30867">
      <c r="A30867" s="6"/>
      <c r="B30867" s="6"/>
      <c r="H30867" s="13"/>
    </row>
    <row r="30868">
      <c r="A30868" s="6"/>
      <c r="B30868" s="6"/>
      <c r="H30868" s="13"/>
    </row>
    <row r="30869">
      <c r="A30869" s="6"/>
      <c r="B30869" s="6"/>
      <c r="H30869" s="13"/>
    </row>
    <row r="30870">
      <c r="A30870" s="6"/>
      <c r="B30870" s="6"/>
      <c r="H30870" s="13"/>
    </row>
    <row r="30871">
      <c r="A30871" s="6"/>
      <c r="B30871" s="6"/>
      <c r="H30871" s="13"/>
    </row>
    <row r="30872">
      <c r="A30872" s="6"/>
      <c r="B30872" s="6"/>
      <c r="H30872" s="13"/>
    </row>
    <row r="30873">
      <c r="A30873" s="6"/>
      <c r="B30873" s="6"/>
      <c r="H30873" s="13"/>
    </row>
    <row r="30874">
      <c r="A30874" s="6"/>
      <c r="B30874" s="6"/>
      <c r="H30874" s="13"/>
    </row>
    <row r="30875">
      <c r="A30875" s="6"/>
      <c r="B30875" s="6"/>
      <c r="H30875" s="13"/>
    </row>
    <row r="30876">
      <c r="A30876" s="6"/>
      <c r="B30876" s="6"/>
      <c r="H30876" s="13"/>
    </row>
    <row r="30877">
      <c r="A30877" s="6"/>
      <c r="B30877" s="6"/>
      <c r="H30877" s="13"/>
    </row>
    <row r="30878">
      <c r="A30878" s="6"/>
      <c r="B30878" s="6"/>
      <c r="H30878" s="13"/>
    </row>
    <row r="30879">
      <c r="A30879" s="6"/>
      <c r="B30879" s="6"/>
      <c r="H30879" s="13"/>
    </row>
    <row r="30880">
      <c r="A30880" s="6"/>
      <c r="B30880" s="6"/>
      <c r="H30880" s="13"/>
    </row>
    <row r="30881">
      <c r="A30881" s="6"/>
      <c r="B30881" s="6"/>
      <c r="H30881" s="13"/>
    </row>
    <row r="30882">
      <c r="A30882" s="6"/>
      <c r="B30882" s="6"/>
      <c r="H30882" s="13"/>
    </row>
    <row r="30883">
      <c r="A30883" s="6"/>
      <c r="B30883" s="6"/>
      <c r="H30883" s="13"/>
    </row>
    <row r="30884">
      <c r="A30884" s="6"/>
      <c r="B30884" s="6"/>
      <c r="H30884" s="13"/>
    </row>
    <row r="30885">
      <c r="A30885" s="6"/>
      <c r="B30885" s="6"/>
      <c r="H30885" s="13"/>
    </row>
    <row r="30886">
      <c r="A30886" s="6"/>
      <c r="B30886" s="6"/>
      <c r="H30886" s="13"/>
    </row>
    <row r="30887">
      <c r="A30887" s="6"/>
      <c r="B30887" s="6"/>
      <c r="H30887" s="13"/>
    </row>
    <row r="30888">
      <c r="A30888" s="6"/>
      <c r="B30888" s="6"/>
      <c r="H30888" s="13"/>
    </row>
    <row r="30889">
      <c r="A30889" s="6"/>
      <c r="B30889" s="6"/>
      <c r="H30889" s="13"/>
    </row>
    <row r="30890">
      <c r="A30890" s="6"/>
      <c r="B30890" s="6"/>
      <c r="H30890" s="13"/>
    </row>
    <row r="30891">
      <c r="A30891" s="6"/>
      <c r="B30891" s="6"/>
      <c r="H30891" s="13"/>
    </row>
    <row r="30892">
      <c r="A30892" s="6"/>
      <c r="B30892" s="6"/>
      <c r="H30892" s="13"/>
    </row>
    <row r="30893">
      <c r="A30893" s="6"/>
      <c r="B30893" s="6"/>
      <c r="H30893" s="13"/>
    </row>
    <row r="30894">
      <c r="A30894" s="6"/>
      <c r="B30894" s="6"/>
      <c r="H30894" s="13"/>
    </row>
    <row r="30895">
      <c r="A30895" s="6"/>
      <c r="B30895" s="6"/>
      <c r="H30895" s="13"/>
    </row>
    <row r="30896">
      <c r="A30896" s="6"/>
      <c r="B30896" s="6"/>
      <c r="H30896" s="13"/>
    </row>
    <row r="30897">
      <c r="A30897" s="6"/>
      <c r="B30897" s="6"/>
      <c r="H30897" s="13"/>
    </row>
    <row r="30898">
      <c r="A30898" s="6"/>
      <c r="B30898" s="6"/>
      <c r="H30898" s="13"/>
    </row>
    <row r="30899">
      <c r="A30899" s="6"/>
      <c r="B30899" s="6"/>
      <c r="H30899" s="13"/>
    </row>
    <row r="30900">
      <c r="A30900" s="6"/>
      <c r="B30900" s="6"/>
      <c r="H30900" s="13"/>
    </row>
    <row r="30901">
      <c r="A30901" s="6"/>
      <c r="B30901" s="6"/>
      <c r="H30901" s="13"/>
    </row>
    <row r="30902">
      <c r="A30902" s="6"/>
      <c r="B30902" s="6"/>
      <c r="H30902" s="13"/>
    </row>
    <row r="30903">
      <c r="A30903" s="6"/>
      <c r="B30903" s="6"/>
      <c r="H30903" s="13"/>
    </row>
    <row r="30904">
      <c r="A30904" s="6"/>
      <c r="B30904" s="6"/>
      <c r="H30904" s="13"/>
    </row>
    <row r="30905">
      <c r="A30905" s="6"/>
      <c r="B30905" s="6"/>
      <c r="H30905" s="13"/>
    </row>
    <row r="30906">
      <c r="A30906" s="6"/>
      <c r="B30906" s="6"/>
      <c r="H30906" s="13"/>
    </row>
    <row r="30907">
      <c r="A30907" s="6"/>
      <c r="B30907" s="6"/>
      <c r="H30907" s="13"/>
    </row>
    <row r="30908">
      <c r="A30908" s="6"/>
      <c r="B30908" s="6"/>
      <c r="H30908" s="13"/>
    </row>
    <row r="30909">
      <c r="A30909" s="6"/>
      <c r="B30909" s="6"/>
      <c r="H30909" s="13"/>
    </row>
    <row r="30910">
      <c r="A30910" s="6"/>
      <c r="B30910" s="6"/>
      <c r="H30910" s="13"/>
    </row>
    <row r="30911">
      <c r="A30911" s="6"/>
      <c r="B30911" s="6"/>
      <c r="H30911" s="13"/>
    </row>
    <row r="30912">
      <c r="A30912" s="6"/>
      <c r="B30912" s="6"/>
      <c r="H30912" s="13"/>
    </row>
    <row r="30913">
      <c r="A30913" s="6"/>
      <c r="B30913" s="6"/>
      <c r="H30913" s="13"/>
    </row>
    <row r="30914">
      <c r="A30914" s="6"/>
      <c r="B30914" s="6"/>
      <c r="H30914" s="13"/>
    </row>
    <row r="30915">
      <c r="A30915" s="6"/>
      <c r="B30915" s="6"/>
      <c r="H30915" s="13"/>
    </row>
    <row r="30916">
      <c r="A30916" s="6"/>
      <c r="B30916" s="6"/>
      <c r="H30916" s="13"/>
    </row>
    <row r="30917">
      <c r="A30917" s="6"/>
      <c r="B30917" s="6"/>
      <c r="H30917" s="13"/>
    </row>
    <row r="30918">
      <c r="A30918" s="6"/>
      <c r="B30918" s="6"/>
      <c r="H30918" s="13"/>
    </row>
    <row r="30919">
      <c r="A30919" s="6"/>
      <c r="B30919" s="6"/>
      <c r="H30919" s="13"/>
    </row>
    <row r="30920">
      <c r="A30920" s="6"/>
      <c r="B30920" s="6"/>
      <c r="H30920" s="13"/>
    </row>
    <row r="30921">
      <c r="A30921" s="6"/>
      <c r="B30921" s="6"/>
      <c r="H30921" s="13"/>
    </row>
    <row r="30922">
      <c r="A30922" s="6"/>
      <c r="B30922" s="6"/>
      <c r="H30922" s="13"/>
    </row>
    <row r="30923">
      <c r="A30923" s="6"/>
      <c r="B30923" s="6"/>
      <c r="H30923" s="13"/>
    </row>
    <row r="30924">
      <c r="A30924" s="6"/>
      <c r="B30924" s="6"/>
      <c r="H30924" s="13"/>
    </row>
    <row r="30925">
      <c r="A30925" s="6"/>
      <c r="B30925" s="6"/>
      <c r="H30925" s="13"/>
    </row>
    <row r="30926">
      <c r="A30926" s="6"/>
      <c r="B30926" s="6"/>
      <c r="H30926" s="13"/>
    </row>
    <row r="30927">
      <c r="A30927" s="6"/>
      <c r="B30927" s="6"/>
      <c r="H30927" s="13"/>
    </row>
    <row r="30928">
      <c r="A30928" s="6"/>
      <c r="B30928" s="6"/>
      <c r="H30928" s="13"/>
    </row>
    <row r="30929">
      <c r="A30929" s="6"/>
      <c r="B30929" s="6"/>
      <c r="H30929" s="13"/>
    </row>
    <row r="30930">
      <c r="A30930" s="6"/>
      <c r="B30930" s="6"/>
      <c r="H30930" s="13"/>
    </row>
    <row r="30931">
      <c r="A30931" s="6"/>
      <c r="B30931" s="6"/>
      <c r="H30931" s="13"/>
    </row>
    <row r="30932">
      <c r="A30932" s="6"/>
      <c r="B30932" s="6"/>
      <c r="H30932" s="13"/>
    </row>
    <row r="30933">
      <c r="A30933" s="6"/>
      <c r="B30933" s="6"/>
      <c r="H30933" s="13"/>
    </row>
    <row r="30934">
      <c r="A30934" s="6"/>
      <c r="B30934" s="6"/>
      <c r="H30934" s="13"/>
    </row>
    <row r="30935">
      <c r="A30935" s="6"/>
      <c r="B30935" s="6"/>
      <c r="H30935" s="13"/>
    </row>
    <row r="30936">
      <c r="A30936" s="6"/>
      <c r="B30936" s="6"/>
      <c r="H30936" s="13"/>
    </row>
    <row r="30937">
      <c r="A30937" s="6"/>
      <c r="B30937" s="6"/>
      <c r="H30937" s="13"/>
    </row>
    <row r="30938">
      <c r="A30938" s="6"/>
      <c r="B30938" s="6"/>
      <c r="H30938" s="13"/>
    </row>
    <row r="30939">
      <c r="A30939" s="6"/>
      <c r="B30939" s="6"/>
      <c r="H30939" s="13"/>
    </row>
    <row r="30940">
      <c r="A30940" s="6"/>
      <c r="B30940" s="6"/>
      <c r="H30940" s="13"/>
    </row>
    <row r="30941">
      <c r="A30941" s="6"/>
      <c r="B30941" s="6"/>
      <c r="H30941" s="13"/>
    </row>
    <row r="30942">
      <c r="A30942" s="6"/>
      <c r="B30942" s="6"/>
      <c r="H30942" s="13"/>
    </row>
    <row r="30943">
      <c r="A30943" s="6"/>
      <c r="B30943" s="6"/>
      <c r="H30943" s="13"/>
    </row>
    <row r="30944">
      <c r="A30944" s="6"/>
      <c r="B30944" s="6"/>
      <c r="H30944" s="13"/>
    </row>
    <row r="30945">
      <c r="A30945" s="6"/>
      <c r="B30945" s="6"/>
      <c r="H30945" s="13"/>
    </row>
    <row r="30946">
      <c r="A30946" s="6"/>
      <c r="B30946" s="6"/>
      <c r="H30946" s="13"/>
    </row>
    <row r="30947">
      <c r="A30947" s="6"/>
      <c r="B30947" s="6"/>
      <c r="H30947" s="13"/>
    </row>
    <row r="30948">
      <c r="A30948" s="6"/>
      <c r="B30948" s="6"/>
      <c r="H30948" s="13"/>
    </row>
    <row r="30949">
      <c r="A30949" s="6"/>
      <c r="B30949" s="6"/>
      <c r="H30949" s="13"/>
    </row>
    <row r="30950">
      <c r="A30950" s="6"/>
      <c r="B30950" s="6"/>
      <c r="H30950" s="13"/>
    </row>
    <row r="30951">
      <c r="A30951" s="6"/>
      <c r="B30951" s="6"/>
      <c r="H30951" s="13"/>
    </row>
    <row r="30952">
      <c r="A30952" s="6"/>
      <c r="B30952" s="6"/>
      <c r="H30952" s="13"/>
    </row>
    <row r="30953">
      <c r="A30953" s="6"/>
      <c r="B30953" s="6"/>
      <c r="H30953" s="13"/>
    </row>
    <row r="30954">
      <c r="A30954" s="6"/>
      <c r="B30954" s="6"/>
      <c r="H30954" s="13"/>
    </row>
    <row r="30955">
      <c r="A30955" s="6"/>
      <c r="B30955" s="6"/>
      <c r="H30955" s="13"/>
    </row>
    <row r="30956">
      <c r="A30956" s="6"/>
      <c r="B30956" s="6"/>
      <c r="H30956" s="13"/>
    </row>
    <row r="30957">
      <c r="A30957" s="6"/>
      <c r="B30957" s="6"/>
      <c r="H30957" s="13"/>
    </row>
    <row r="30958">
      <c r="A30958" s="6"/>
      <c r="B30958" s="6"/>
      <c r="H30958" s="13"/>
    </row>
    <row r="30959">
      <c r="A30959" s="6"/>
      <c r="B30959" s="6"/>
      <c r="H30959" s="13"/>
    </row>
    <row r="30960">
      <c r="A30960" s="6"/>
      <c r="B30960" s="6"/>
      <c r="H30960" s="13"/>
    </row>
    <row r="30961">
      <c r="A30961" s="6"/>
      <c r="B30961" s="6"/>
      <c r="H30961" s="13"/>
    </row>
    <row r="30962">
      <c r="A30962" s="6"/>
      <c r="B30962" s="6"/>
      <c r="H30962" s="13"/>
    </row>
    <row r="30963">
      <c r="A30963" s="6"/>
      <c r="B30963" s="6"/>
      <c r="H30963" s="13"/>
    </row>
    <row r="30964">
      <c r="A30964" s="6"/>
      <c r="B30964" s="6"/>
      <c r="H30964" s="13"/>
    </row>
    <row r="30965">
      <c r="A30965" s="6"/>
      <c r="B30965" s="6"/>
      <c r="H30965" s="13"/>
    </row>
    <row r="30966">
      <c r="A30966" s="6"/>
      <c r="B30966" s="6"/>
      <c r="H30966" s="13"/>
    </row>
    <row r="30967">
      <c r="A30967" s="6"/>
      <c r="B30967" s="6"/>
      <c r="H30967" s="13"/>
    </row>
    <row r="30968">
      <c r="A30968" s="6"/>
      <c r="B30968" s="6"/>
      <c r="H30968" s="13"/>
    </row>
    <row r="30969">
      <c r="A30969" s="6"/>
      <c r="B30969" s="6"/>
      <c r="H30969" s="13"/>
    </row>
    <row r="30970">
      <c r="A30970" s="6"/>
      <c r="B30970" s="6"/>
      <c r="H30970" s="13"/>
    </row>
    <row r="30971">
      <c r="A30971" s="6"/>
      <c r="B30971" s="6"/>
      <c r="H30971" s="13"/>
    </row>
    <row r="30972">
      <c r="A30972" s="6"/>
      <c r="B30972" s="6"/>
      <c r="H30972" s="13"/>
    </row>
    <row r="30973">
      <c r="A30973" s="6"/>
      <c r="B30973" s="6"/>
      <c r="H30973" s="13"/>
    </row>
    <row r="30974">
      <c r="A30974" s="6"/>
      <c r="B30974" s="6"/>
      <c r="H30974" s="13"/>
    </row>
    <row r="30975">
      <c r="A30975" s="6"/>
      <c r="B30975" s="6"/>
      <c r="H30975" s="13"/>
    </row>
    <row r="30976">
      <c r="A30976" s="6"/>
      <c r="B30976" s="6"/>
      <c r="H30976" s="13"/>
    </row>
    <row r="30977">
      <c r="A30977" s="6"/>
      <c r="B30977" s="6"/>
      <c r="H30977" s="13"/>
    </row>
    <row r="30978">
      <c r="A30978" s="6"/>
      <c r="B30978" s="6"/>
      <c r="H30978" s="13"/>
    </row>
    <row r="30979">
      <c r="A30979" s="6"/>
      <c r="B30979" s="6"/>
      <c r="H30979" s="13"/>
    </row>
    <row r="30980">
      <c r="A30980" s="6"/>
      <c r="B30980" s="6"/>
      <c r="H30980" s="13"/>
    </row>
    <row r="30981">
      <c r="A30981" s="6"/>
      <c r="B30981" s="6"/>
      <c r="H30981" s="13"/>
    </row>
    <row r="30982">
      <c r="A30982" s="6"/>
      <c r="B30982" s="6"/>
      <c r="H30982" s="13"/>
    </row>
    <row r="30983">
      <c r="A30983" s="6"/>
      <c r="B30983" s="6"/>
      <c r="H30983" s="13"/>
    </row>
    <row r="30984">
      <c r="A30984" s="6"/>
      <c r="B30984" s="6"/>
      <c r="H30984" s="13"/>
    </row>
    <row r="30985">
      <c r="A30985" s="6"/>
      <c r="B30985" s="6"/>
      <c r="H30985" s="13"/>
    </row>
    <row r="30986">
      <c r="A30986" s="6"/>
      <c r="B30986" s="6"/>
      <c r="H30986" s="13"/>
    </row>
    <row r="30987">
      <c r="A30987" s="6"/>
      <c r="B30987" s="6"/>
      <c r="H30987" s="13"/>
    </row>
    <row r="30988">
      <c r="A30988" s="6"/>
      <c r="B30988" s="6"/>
      <c r="H30988" s="13"/>
    </row>
    <row r="30989">
      <c r="A30989" s="6"/>
      <c r="B30989" s="6"/>
      <c r="H30989" s="13"/>
    </row>
    <row r="30990">
      <c r="A30990" s="6"/>
      <c r="B30990" s="6"/>
      <c r="H30990" s="13"/>
    </row>
    <row r="30991">
      <c r="A30991" s="6"/>
      <c r="B30991" s="6"/>
      <c r="H30991" s="13"/>
    </row>
    <row r="30992">
      <c r="A30992" s="6"/>
      <c r="B30992" s="6"/>
      <c r="H30992" s="13"/>
    </row>
    <row r="30993">
      <c r="A30993" s="6"/>
      <c r="B30993" s="6"/>
      <c r="H30993" s="13"/>
    </row>
    <row r="30994">
      <c r="A30994" s="6"/>
      <c r="B30994" s="6"/>
      <c r="H30994" s="13"/>
    </row>
    <row r="30995">
      <c r="A30995" s="6"/>
      <c r="B30995" s="6"/>
      <c r="H30995" s="13"/>
    </row>
    <row r="30996">
      <c r="A30996" s="6"/>
      <c r="B30996" s="6"/>
      <c r="H30996" s="13"/>
    </row>
    <row r="30997">
      <c r="A30997" s="6"/>
      <c r="B30997" s="6"/>
      <c r="H30997" s="13"/>
    </row>
    <row r="30998">
      <c r="A30998" s="6"/>
      <c r="B30998" s="6"/>
      <c r="H30998" s="13"/>
    </row>
    <row r="30999">
      <c r="A30999" s="6"/>
      <c r="B30999" s="6"/>
      <c r="H30999" s="13"/>
    </row>
    <row r="31000">
      <c r="A31000" s="6"/>
      <c r="B31000" s="6"/>
      <c r="H31000" s="13"/>
    </row>
    <row r="31001">
      <c r="A31001" s="6"/>
      <c r="B31001" s="6"/>
      <c r="H31001" s="13"/>
    </row>
    <row r="31002">
      <c r="A31002" s="6"/>
      <c r="B31002" s="6"/>
      <c r="H31002" s="13"/>
    </row>
    <row r="31003">
      <c r="A31003" s="6"/>
      <c r="B31003" s="6"/>
      <c r="H31003" s="13"/>
    </row>
    <row r="31004">
      <c r="A31004" s="6"/>
      <c r="B31004" s="6"/>
      <c r="H31004" s="13"/>
    </row>
    <row r="31005">
      <c r="A31005" s="6"/>
      <c r="B31005" s="6"/>
      <c r="H31005" s="13"/>
    </row>
    <row r="31006">
      <c r="A31006" s="6"/>
      <c r="B31006" s="6"/>
      <c r="H31006" s="13"/>
    </row>
    <row r="31007">
      <c r="A31007" s="6"/>
      <c r="B31007" s="6"/>
      <c r="H31007" s="13"/>
    </row>
    <row r="31008">
      <c r="A31008" s="6"/>
      <c r="B31008" s="6"/>
      <c r="H31008" s="13"/>
    </row>
    <row r="31009">
      <c r="A31009" s="6"/>
      <c r="B31009" s="6"/>
      <c r="H31009" s="13"/>
    </row>
    <row r="31010">
      <c r="A31010" s="6"/>
      <c r="B31010" s="6"/>
      <c r="H31010" s="13"/>
    </row>
    <row r="31011">
      <c r="A31011" s="6"/>
      <c r="B31011" s="6"/>
      <c r="H31011" s="13"/>
    </row>
    <row r="31012">
      <c r="A31012" s="6"/>
      <c r="B31012" s="6"/>
      <c r="H31012" s="13"/>
    </row>
    <row r="31013">
      <c r="A31013" s="6"/>
      <c r="B31013" s="6"/>
      <c r="H31013" s="13"/>
    </row>
    <row r="31014">
      <c r="A31014" s="6"/>
      <c r="B31014" s="6"/>
      <c r="H31014" s="13"/>
    </row>
    <row r="31015">
      <c r="A31015" s="6"/>
      <c r="B31015" s="6"/>
      <c r="H31015" s="13"/>
    </row>
    <row r="31016">
      <c r="A31016" s="6"/>
      <c r="B31016" s="6"/>
      <c r="H31016" s="13"/>
    </row>
    <row r="31017">
      <c r="A31017" s="6"/>
      <c r="B31017" s="6"/>
      <c r="H31017" s="13"/>
    </row>
    <row r="31018">
      <c r="A31018" s="6"/>
      <c r="B31018" s="6"/>
      <c r="H31018" s="13"/>
    </row>
    <row r="31019">
      <c r="A31019" s="6"/>
      <c r="B31019" s="6"/>
      <c r="H31019" s="13"/>
    </row>
    <row r="31020">
      <c r="A31020" s="6"/>
      <c r="B31020" s="6"/>
      <c r="H31020" s="13"/>
    </row>
    <row r="31021">
      <c r="A31021" s="6"/>
      <c r="B31021" s="6"/>
      <c r="H31021" s="13"/>
    </row>
    <row r="31022">
      <c r="A31022" s="6"/>
      <c r="B31022" s="6"/>
      <c r="H31022" s="13"/>
    </row>
    <row r="31023">
      <c r="A31023" s="6"/>
      <c r="B31023" s="6"/>
      <c r="H31023" s="13"/>
    </row>
    <row r="31024">
      <c r="A31024" s="6"/>
      <c r="B31024" s="6"/>
      <c r="H31024" s="13"/>
    </row>
    <row r="31025">
      <c r="A31025" s="6"/>
      <c r="B31025" s="6"/>
      <c r="H31025" s="13"/>
    </row>
    <row r="31026">
      <c r="A31026" s="6"/>
      <c r="B31026" s="6"/>
      <c r="H31026" s="13"/>
    </row>
    <row r="31027">
      <c r="A31027" s="6"/>
      <c r="B31027" s="6"/>
      <c r="H31027" s="13"/>
    </row>
    <row r="31028">
      <c r="A31028" s="6"/>
      <c r="B31028" s="6"/>
      <c r="H31028" s="13"/>
    </row>
    <row r="31029">
      <c r="A31029" s="6"/>
      <c r="B31029" s="6"/>
      <c r="H31029" s="13"/>
    </row>
    <row r="31030">
      <c r="A31030" s="6"/>
      <c r="B31030" s="6"/>
      <c r="H31030" s="13"/>
    </row>
    <row r="31031">
      <c r="A31031" s="6"/>
      <c r="B31031" s="6"/>
      <c r="H31031" s="13"/>
    </row>
    <row r="31032">
      <c r="A31032" s="6"/>
      <c r="B31032" s="6"/>
      <c r="H31032" s="13"/>
    </row>
    <row r="31033">
      <c r="A31033" s="6"/>
      <c r="B31033" s="6"/>
      <c r="H31033" s="13"/>
    </row>
    <row r="31034">
      <c r="A31034" s="6"/>
      <c r="B31034" s="6"/>
      <c r="H31034" s="13"/>
    </row>
    <row r="31035">
      <c r="A31035" s="6"/>
      <c r="B31035" s="6"/>
      <c r="H31035" s="13"/>
    </row>
    <row r="31036">
      <c r="A31036" s="6"/>
      <c r="B31036" s="6"/>
      <c r="H31036" s="13"/>
    </row>
    <row r="31037">
      <c r="A31037" s="6"/>
      <c r="B31037" s="6"/>
      <c r="H31037" s="13"/>
    </row>
    <row r="31038">
      <c r="A31038" s="6"/>
      <c r="B31038" s="6"/>
      <c r="H31038" s="13"/>
    </row>
    <row r="31039">
      <c r="A31039" s="6"/>
      <c r="B31039" s="6"/>
      <c r="H31039" s="13"/>
    </row>
    <row r="31040">
      <c r="A31040" s="6"/>
      <c r="B31040" s="6"/>
      <c r="H31040" s="13"/>
    </row>
    <row r="31041">
      <c r="A31041" s="6"/>
      <c r="B31041" s="6"/>
      <c r="H31041" s="13"/>
    </row>
    <row r="31042">
      <c r="A31042" s="6"/>
      <c r="B31042" s="6"/>
      <c r="H31042" s="13"/>
    </row>
    <row r="31043">
      <c r="A31043" s="6"/>
      <c r="B31043" s="6"/>
      <c r="H31043" s="13"/>
    </row>
    <row r="31044">
      <c r="A31044" s="6"/>
      <c r="B31044" s="6"/>
      <c r="H31044" s="13"/>
    </row>
    <row r="31045">
      <c r="A31045" s="6"/>
      <c r="B31045" s="6"/>
      <c r="H31045" s="13"/>
    </row>
    <row r="31046">
      <c r="A31046" s="6"/>
      <c r="B31046" s="6"/>
      <c r="H31046" s="13"/>
    </row>
    <row r="31047">
      <c r="A31047" s="6"/>
      <c r="B31047" s="6"/>
      <c r="H31047" s="13"/>
    </row>
    <row r="31048">
      <c r="A31048" s="6"/>
      <c r="B31048" s="6"/>
      <c r="H31048" s="13"/>
    </row>
    <row r="31049">
      <c r="A31049" s="6"/>
      <c r="B31049" s="6"/>
      <c r="H31049" s="13"/>
    </row>
    <row r="31050">
      <c r="A31050" s="6"/>
      <c r="B31050" s="6"/>
      <c r="H31050" s="13"/>
    </row>
    <row r="31051">
      <c r="A31051" s="6"/>
      <c r="B31051" s="6"/>
      <c r="H31051" s="13"/>
    </row>
    <row r="31052">
      <c r="A31052" s="6"/>
      <c r="B31052" s="6"/>
      <c r="H31052" s="13"/>
    </row>
    <row r="31053">
      <c r="A31053" s="6"/>
      <c r="B31053" s="6"/>
      <c r="H31053" s="13"/>
    </row>
    <row r="31054">
      <c r="A31054" s="6"/>
      <c r="B31054" s="6"/>
      <c r="H31054" s="13"/>
    </row>
    <row r="31055">
      <c r="A31055" s="6"/>
      <c r="B31055" s="6"/>
      <c r="H31055" s="13"/>
    </row>
    <row r="31056">
      <c r="A31056" s="6"/>
      <c r="B31056" s="6"/>
      <c r="H31056" s="13"/>
    </row>
    <row r="31057">
      <c r="A31057" s="6"/>
      <c r="B31057" s="6"/>
      <c r="H31057" s="13"/>
    </row>
    <row r="31058">
      <c r="A31058" s="6"/>
      <c r="B31058" s="6"/>
      <c r="H31058" s="13"/>
    </row>
    <row r="31059">
      <c r="A31059" s="6"/>
      <c r="B31059" s="6"/>
      <c r="H31059" s="13"/>
    </row>
    <row r="31060">
      <c r="A31060" s="6"/>
      <c r="B31060" s="6"/>
      <c r="H31060" s="13"/>
    </row>
    <row r="31061">
      <c r="A31061" s="6"/>
      <c r="B31061" s="6"/>
      <c r="H31061" s="13"/>
    </row>
    <row r="31062">
      <c r="A31062" s="6"/>
      <c r="B31062" s="6"/>
      <c r="H31062" s="13"/>
    </row>
    <row r="31063">
      <c r="A31063" s="6"/>
      <c r="B31063" s="6"/>
      <c r="H31063" s="13"/>
    </row>
    <row r="31064">
      <c r="A31064" s="6"/>
      <c r="B31064" s="6"/>
      <c r="H31064" s="13"/>
    </row>
    <row r="31065">
      <c r="A31065" s="6"/>
      <c r="B31065" s="6"/>
      <c r="H31065" s="13"/>
    </row>
    <row r="31066">
      <c r="A31066" s="6"/>
      <c r="B31066" s="6"/>
      <c r="H31066" s="13"/>
    </row>
    <row r="31067">
      <c r="A31067" s="6"/>
      <c r="B31067" s="6"/>
      <c r="H31067" s="13"/>
    </row>
    <row r="31068">
      <c r="A31068" s="6"/>
      <c r="B31068" s="6"/>
      <c r="H31068" s="13"/>
    </row>
    <row r="31069">
      <c r="A31069" s="6"/>
      <c r="B31069" s="6"/>
      <c r="H31069" s="13"/>
    </row>
    <row r="31070">
      <c r="A31070" s="6"/>
      <c r="B31070" s="6"/>
      <c r="H31070" s="13"/>
    </row>
    <row r="31071">
      <c r="A31071" s="6"/>
      <c r="B31071" s="6"/>
      <c r="H31071" s="13"/>
    </row>
    <row r="31072">
      <c r="A31072" s="6"/>
      <c r="B31072" s="6"/>
      <c r="H31072" s="13"/>
    </row>
    <row r="31073">
      <c r="A31073" s="6"/>
      <c r="B31073" s="6"/>
      <c r="H31073" s="13"/>
    </row>
    <row r="31074">
      <c r="A31074" s="6"/>
      <c r="B31074" s="6"/>
      <c r="H31074" s="13"/>
    </row>
    <row r="31075">
      <c r="A31075" s="6"/>
      <c r="B31075" s="6"/>
      <c r="H31075" s="13"/>
    </row>
    <row r="31076">
      <c r="A31076" s="6"/>
      <c r="B31076" s="6"/>
      <c r="H31076" s="13"/>
    </row>
    <row r="31077">
      <c r="A31077" s="6"/>
      <c r="B31077" s="6"/>
      <c r="H31077" s="13"/>
    </row>
    <row r="31078">
      <c r="A31078" s="6"/>
      <c r="B31078" s="6"/>
      <c r="H31078" s="13"/>
    </row>
    <row r="31079">
      <c r="A31079" s="6"/>
      <c r="B31079" s="6"/>
      <c r="H31079" s="13"/>
    </row>
    <row r="31080">
      <c r="A31080" s="6"/>
      <c r="B31080" s="6"/>
      <c r="H31080" s="13"/>
    </row>
    <row r="31081">
      <c r="A31081" s="6"/>
      <c r="B31081" s="6"/>
      <c r="H31081" s="13"/>
    </row>
    <row r="31082">
      <c r="A31082" s="6"/>
      <c r="B31082" s="6"/>
      <c r="H31082" s="13"/>
    </row>
    <row r="31083">
      <c r="A31083" s="6"/>
      <c r="B31083" s="6"/>
      <c r="H31083" s="13"/>
    </row>
    <row r="31084">
      <c r="A31084" s="6"/>
      <c r="B31084" s="6"/>
      <c r="H31084" s="13"/>
    </row>
    <row r="31085">
      <c r="A31085" s="6"/>
      <c r="B31085" s="6"/>
      <c r="H31085" s="13"/>
    </row>
    <row r="31086">
      <c r="A31086" s="6"/>
      <c r="B31086" s="6"/>
      <c r="H31086" s="13"/>
    </row>
    <row r="31087">
      <c r="A31087" s="6"/>
      <c r="B31087" s="6"/>
      <c r="H31087" s="13"/>
    </row>
    <row r="31088">
      <c r="A31088" s="6"/>
      <c r="B31088" s="6"/>
      <c r="H31088" s="13"/>
    </row>
    <row r="31089">
      <c r="A31089" s="6"/>
      <c r="B31089" s="6"/>
      <c r="H31089" s="13"/>
    </row>
    <row r="31090">
      <c r="A31090" s="6"/>
      <c r="B31090" s="6"/>
      <c r="H31090" s="13"/>
    </row>
    <row r="31091">
      <c r="A31091" s="6"/>
      <c r="B31091" s="6"/>
      <c r="H31091" s="13"/>
    </row>
    <row r="31092">
      <c r="A31092" s="6"/>
      <c r="B31092" s="6"/>
      <c r="H31092" s="13"/>
    </row>
    <row r="31093">
      <c r="A31093" s="6"/>
      <c r="B31093" s="6"/>
      <c r="H31093" s="13"/>
    </row>
    <row r="31094">
      <c r="A31094" s="6"/>
      <c r="B31094" s="6"/>
      <c r="H31094" s="13"/>
    </row>
    <row r="31095">
      <c r="A31095" s="6"/>
      <c r="B31095" s="6"/>
      <c r="H31095" s="13"/>
    </row>
    <row r="31096">
      <c r="A31096" s="6"/>
      <c r="B31096" s="6"/>
      <c r="H31096" s="13"/>
    </row>
    <row r="31097">
      <c r="A31097" s="6"/>
      <c r="B31097" s="6"/>
      <c r="H31097" s="13"/>
    </row>
    <row r="31098">
      <c r="A31098" s="6"/>
      <c r="B31098" s="6"/>
      <c r="H31098" s="13"/>
    </row>
    <row r="31099">
      <c r="A31099" s="6"/>
      <c r="B31099" s="6"/>
      <c r="H31099" s="13"/>
    </row>
    <row r="31100">
      <c r="A31100" s="6"/>
      <c r="B31100" s="6"/>
      <c r="H31100" s="13"/>
    </row>
    <row r="31101">
      <c r="A31101" s="6"/>
      <c r="B31101" s="6"/>
      <c r="H31101" s="13"/>
    </row>
    <row r="31102">
      <c r="A31102" s="6"/>
      <c r="B31102" s="6"/>
      <c r="H31102" s="13"/>
    </row>
    <row r="31103">
      <c r="A31103" s="6"/>
      <c r="B31103" s="6"/>
      <c r="H31103" s="13"/>
    </row>
    <row r="31104">
      <c r="A31104" s="6"/>
      <c r="B31104" s="6"/>
      <c r="H31104" s="13"/>
    </row>
    <row r="31105">
      <c r="A31105" s="6"/>
      <c r="B31105" s="6"/>
      <c r="H31105" s="13"/>
    </row>
    <row r="31106">
      <c r="A31106" s="6"/>
      <c r="B31106" s="6"/>
      <c r="H31106" s="13"/>
    </row>
    <row r="31107">
      <c r="A31107" s="6"/>
      <c r="B31107" s="6"/>
      <c r="H31107" s="13"/>
    </row>
    <row r="31108">
      <c r="A31108" s="6"/>
      <c r="B31108" s="6"/>
      <c r="H31108" s="13"/>
    </row>
    <row r="31109">
      <c r="A31109" s="6"/>
      <c r="B31109" s="6"/>
      <c r="H31109" s="13"/>
    </row>
    <row r="31110">
      <c r="A31110" s="6"/>
      <c r="B31110" s="6"/>
      <c r="H31110" s="13"/>
    </row>
    <row r="31111">
      <c r="A31111" s="6"/>
      <c r="B31111" s="6"/>
      <c r="H31111" s="13"/>
    </row>
    <row r="31112">
      <c r="A31112" s="6"/>
      <c r="B31112" s="6"/>
      <c r="H31112" s="13"/>
    </row>
    <row r="31113">
      <c r="A31113" s="6"/>
      <c r="B31113" s="6"/>
      <c r="H31113" s="13"/>
    </row>
    <row r="31114">
      <c r="A31114" s="6"/>
      <c r="B31114" s="6"/>
      <c r="H31114" s="13"/>
    </row>
    <row r="31115">
      <c r="A31115" s="6"/>
      <c r="B31115" s="6"/>
      <c r="H31115" s="13"/>
    </row>
    <row r="31116">
      <c r="A31116" s="6"/>
      <c r="B31116" s="6"/>
      <c r="H31116" s="13"/>
    </row>
    <row r="31117">
      <c r="A31117" s="6"/>
      <c r="B31117" s="6"/>
      <c r="H31117" s="13"/>
    </row>
    <row r="31118">
      <c r="A31118" s="6"/>
      <c r="B31118" s="6"/>
      <c r="H31118" s="13"/>
    </row>
    <row r="31119">
      <c r="A31119" s="6"/>
      <c r="B31119" s="6"/>
      <c r="H31119" s="13"/>
    </row>
    <row r="31120">
      <c r="A31120" s="6"/>
      <c r="B31120" s="6"/>
      <c r="H31120" s="13"/>
    </row>
    <row r="31121">
      <c r="A31121" s="6"/>
      <c r="B31121" s="6"/>
      <c r="H31121" s="13"/>
    </row>
    <row r="31122">
      <c r="A31122" s="6"/>
      <c r="B31122" s="6"/>
      <c r="H31122" s="13"/>
    </row>
    <row r="31123">
      <c r="A31123" s="6"/>
      <c r="B31123" s="6"/>
      <c r="H31123" s="13"/>
    </row>
    <row r="31124">
      <c r="A31124" s="6"/>
      <c r="B31124" s="6"/>
      <c r="H31124" s="13"/>
    </row>
    <row r="31125">
      <c r="A31125" s="6"/>
      <c r="B31125" s="6"/>
      <c r="H31125" s="13"/>
    </row>
    <row r="31126">
      <c r="A31126" s="6"/>
      <c r="B31126" s="6"/>
      <c r="H31126" s="13"/>
    </row>
    <row r="31127">
      <c r="A31127" s="6"/>
      <c r="B31127" s="6"/>
      <c r="H31127" s="13"/>
    </row>
    <row r="31128">
      <c r="A31128" s="6"/>
      <c r="B31128" s="6"/>
      <c r="H31128" s="13"/>
    </row>
    <row r="31129">
      <c r="A31129" s="6"/>
      <c r="B31129" s="6"/>
      <c r="H31129" s="13"/>
    </row>
    <row r="31130">
      <c r="A31130" s="6"/>
      <c r="B31130" s="6"/>
      <c r="H31130" s="13"/>
    </row>
    <row r="31131">
      <c r="A31131" s="6"/>
      <c r="B31131" s="6"/>
      <c r="H31131" s="13"/>
    </row>
    <row r="31132">
      <c r="A31132" s="6"/>
      <c r="B31132" s="6"/>
      <c r="H31132" s="13"/>
    </row>
    <row r="31133">
      <c r="A31133" s="6"/>
      <c r="B31133" s="6"/>
      <c r="H31133" s="13"/>
    </row>
    <row r="31134">
      <c r="A31134" s="6"/>
      <c r="B31134" s="6"/>
      <c r="H31134" s="13"/>
    </row>
    <row r="31135">
      <c r="A31135" s="6"/>
      <c r="B31135" s="6"/>
      <c r="H31135" s="13"/>
    </row>
    <row r="31136">
      <c r="A31136" s="6"/>
      <c r="B31136" s="6"/>
      <c r="H31136" s="13"/>
    </row>
    <row r="31137">
      <c r="A31137" s="6"/>
      <c r="B31137" s="6"/>
      <c r="H31137" s="13"/>
    </row>
    <row r="31138">
      <c r="A31138" s="6"/>
      <c r="B31138" s="6"/>
      <c r="H31138" s="13"/>
    </row>
    <row r="31139">
      <c r="A31139" s="6"/>
      <c r="B31139" s="6"/>
      <c r="H31139" s="13"/>
    </row>
    <row r="31140">
      <c r="A31140" s="6"/>
      <c r="B31140" s="6"/>
      <c r="H31140" s="13"/>
    </row>
    <row r="31141">
      <c r="A31141" s="6"/>
      <c r="B31141" s="6"/>
      <c r="H31141" s="13"/>
    </row>
    <row r="31142">
      <c r="A31142" s="6"/>
      <c r="B31142" s="6"/>
      <c r="H31142" s="13"/>
    </row>
    <row r="31143">
      <c r="A31143" s="6"/>
      <c r="B31143" s="6"/>
      <c r="H31143" s="13"/>
    </row>
    <row r="31144">
      <c r="A31144" s="6"/>
      <c r="B31144" s="6"/>
      <c r="H31144" s="13"/>
    </row>
    <row r="31145">
      <c r="A31145" s="6"/>
      <c r="B31145" s="6"/>
      <c r="H31145" s="13"/>
    </row>
    <row r="31146">
      <c r="A31146" s="6"/>
      <c r="B31146" s="6"/>
      <c r="H31146" s="13"/>
    </row>
    <row r="31147">
      <c r="A31147" s="6"/>
      <c r="B31147" s="6"/>
      <c r="H31147" s="13"/>
    </row>
    <row r="31148">
      <c r="A31148" s="6"/>
      <c r="B31148" s="6"/>
      <c r="H31148" s="13"/>
    </row>
    <row r="31149">
      <c r="A31149" s="6"/>
      <c r="B31149" s="6"/>
      <c r="H31149" s="13"/>
    </row>
    <row r="31150">
      <c r="A31150" s="6"/>
      <c r="B31150" s="6"/>
      <c r="H31150" s="13"/>
    </row>
    <row r="31151">
      <c r="A31151" s="6"/>
      <c r="B31151" s="6"/>
      <c r="H31151" s="13"/>
    </row>
    <row r="31152">
      <c r="A31152" s="6"/>
      <c r="B31152" s="6"/>
      <c r="H31152" s="13"/>
    </row>
    <row r="31153">
      <c r="A31153" s="6"/>
      <c r="B31153" s="6"/>
      <c r="H31153" s="13"/>
    </row>
    <row r="31154">
      <c r="A31154" s="6"/>
      <c r="B31154" s="6"/>
      <c r="H31154" s="13"/>
    </row>
    <row r="31155">
      <c r="A31155" s="6"/>
      <c r="B31155" s="6"/>
      <c r="H31155" s="13"/>
    </row>
    <row r="31156">
      <c r="A31156" s="6"/>
      <c r="B31156" s="6"/>
      <c r="H31156" s="13"/>
    </row>
    <row r="31157">
      <c r="A31157" s="6"/>
      <c r="B31157" s="6"/>
      <c r="H31157" s="13"/>
    </row>
    <row r="31158">
      <c r="A31158" s="6"/>
      <c r="B31158" s="6"/>
      <c r="H31158" s="13"/>
    </row>
    <row r="31159">
      <c r="A31159" s="6"/>
      <c r="B31159" s="6"/>
      <c r="H31159" s="13"/>
    </row>
    <row r="31160">
      <c r="A31160" s="6"/>
      <c r="B31160" s="6"/>
      <c r="H31160" s="13"/>
    </row>
    <row r="31161">
      <c r="A31161" s="6"/>
      <c r="B31161" s="6"/>
      <c r="H31161" s="13"/>
    </row>
    <row r="31162">
      <c r="A31162" s="6"/>
      <c r="B31162" s="6"/>
      <c r="H31162" s="13"/>
    </row>
    <row r="31163">
      <c r="A31163" s="6"/>
      <c r="B31163" s="6"/>
      <c r="H31163" s="13"/>
    </row>
    <row r="31164">
      <c r="A31164" s="6"/>
      <c r="B31164" s="6"/>
      <c r="H31164" s="13"/>
    </row>
    <row r="31165">
      <c r="A31165" s="6"/>
      <c r="B31165" s="6"/>
      <c r="H31165" s="13"/>
    </row>
    <row r="31166">
      <c r="A31166" s="6"/>
      <c r="B31166" s="6"/>
      <c r="H31166" s="13"/>
    </row>
    <row r="31167">
      <c r="A31167" s="6"/>
      <c r="B31167" s="6"/>
      <c r="H31167" s="13"/>
    </row>
    <row r="31168">
      <c r="A31168" s="6"/>
      <c r="B31168" s="6"/>
      <c r="H31168" s="13"/>
    </row>
    <row r="31169">
      <c r="A31169" s="6"/>
      <c r="B31169" s="6"/>
      <c r="H31169" s="13"/>
    </row>
    <row r="31170">
      <c r="A31170" s="6"/>
      <c r="B31170" s="6"/>
      <c r="H31170" s="13"/>
    </row>
    <row r="31171">
      <c r="A31171" s="6"/>
      <c r="B31171" s="6"/>
      <c r="H31171" s="13"/>
    </row>
    <row r="31172">
      <c r="A31172" s="6"/>
      <c r="B31172" s="6"/>
      <c r="H31172" s="13"/>
    </row>
    <row r="31173">
      <c r="A31173" s="6"/>
      <c r="B31173" s="6"/>
      <c r="H31173" s="13"/>
    </row>
    <row r="31174">
      <c r="A31174" s="6"/>
      <c r="B31174" s="6"/>
      <c r="H31174" s="13"/>
    </row>
    <row r="31175">
      <c r="A31175" s="6"/>
      <c r="B31175" s="6"/>
      <c r="H31175" s="13"/>
    </row>
    <row r="31176">
      <c r="A31176" s="6"/>
      <c r="B31176" s="6"/>
      <c r="H31176" s="13"/>
    </row>
    <row r="31177">
      <c r="A31177" s="6"/>
      <c r="B31177" s="6"/>
      <c r="H31177" s="13"/>
    </row>
    <row r="31178">
      <c r="A31178" s="6"/>
      <c r="B31178" s="6"/>
      <c r="H31178" s="13"/>
    </row>
    <row r="31179">
      <c r="A31179" s="6"/>
      <c r="B31179" s="6"/>
      <c r="H31179" s="13"/>
    </row>
    <row r="31180">
      <c r="A31180" s="6"/>
      <c r="B31180" s="6"/>
      <c r="H31180" s="13"/>
    </row>
    <row r="31181">
      <c r="A31181" s="6"/>
      <c r="B31181" s="6"/>
      <c r="H31181" s="13"/>
    </row>
    <row r="31182">
      <c r="A31182" s="6"/>
      <c r="B31182" s="6"/>
      <c r="H31182" s="13"/>
    </row>
    <row r="31183">
      <c r="A31183" s="6"/>
      <c r="B31183" s="6"/>
      <c r="H31183" s="13"/>
    </row>
    <row r="31184">
      <c r="A31184" s="6"/>
      <c r="B31184" s="6"/>
      <c r="H31184" s="13"/>
    </row>
    <row r="31185">
      <c r="A31185" s="6"/>
      <c r="B31185" s="6"/>
      <c r="H31185" s="13"/>
    </row>
    <row r="31186">
      <c r="A31186" s="6"/>
      <c r="B31186" s="6"/>
      <c r="H31186" s="13"/>
    </row>
    <row r="31187">
      <c r="A31187" s="6"/>
      <c r="B31187" s="6"/>
      <c r="H31187" s="13"/>
    </row>
    <row r="31188">
      <c r="A31188" s="6"/>
      <c r="B31188" s="6"/>
      <c r="H31188" s="13"/>
    </row>
    <row r="31189">
      <c r="A31189" s="6"/>
      <c r="B31189" s="6"/>
      <c r="H31189" s="13"/>
    </row>
    <row r="31190">
      <c r="A31190" s="6"/>
      <c r="B31190" s="6"/>
      <c r="H31190" s="13"/>
    </row>
    <row r="31191">
      <c r="A31191" s="6"/>
      <c r="B31191" s="6"/>
      <c r="H31191" s="13"/>
    </row>
    <row r="31192">
      <c r="A31192" s="6"/>
      <c r="B31192" s="6"/>
      <c r="H31192" s="13"/>
    </row>
    <row r="31193">
      <c r="A31193" s="6"/>
      <c r="B31193" s="6"/>
      <c r="H31193" s="13"/>
    </row>
    <row r="31194">
      <c r="A31194" s="6"/>
      <c r="B31194" s="6"/>
      <c r="H31194" s="13"/>
    </row>
    <row r="31195">
      <c r="A31195" s="6"/>
      <c r="B31195" s="6"/>
      <c r="H31195" s="13"/>
    </row>
    <row r="31196">
      <c r="A31196" s="6"/>
      <c r="B31196" s="6"/>
      <c r="H31196" s="13"/>
    </row>
    <row r="31197">
      <c r="A31197" s="6"/>
      <c r="B31197" s="6"/>
      <c r="H31197" s="13"/>
    </row>
    <row r="31198">
      <c r="A31198" s="6"/>
      <c r="B31198" s="6"/>
      <c r="H31198" s="13"/>
    </row>
    <row r="31199">
      <c r="A31199" s="6"/>
      <c r="B31199" s="6"/>
      <c r="H31199" s="13"/>
    </row>
    <row r="31200">
      <c r="A31200" s="6"/>
      <c r="B31200" s="6"/>
      <c r="H31200" s="13"/>
    </row>
    <row r="31201">
      <c r="A31201" s="6"/>
      <c r="B31201" s="6"/>
      <c r="H31201" s="13"/>
    </row>
    <row r="31202">
      <c r="A31202" s="6"/>
      <c r="B31202" s="6"/>
      <c r="H31202" s="13"/>
    </row>
    <row r="31203">
      <c r="A31203" s="6"/>
      <c r="B31203" s="6"/>
      <c r="H31203" s="13"/>
    </row>
    <row r="31204">
      <c r="A31204" s="6"/>
      <c r="B31204" s="6"/>
      <c r="H31204" s="13"/>
    </row>
    <row r="31205">
      <c r="A31205" s="6"/>
      <c r="B31205" s="6"/>
      <c r="H31205" s="13"/>
    </row>
    <row r="31206">
      <c r="A31206" s="6"/>
      <c r="B31206" s="6"/>
      <c r="H31206" s="13"/>
    </row>
    <row r="31207">
      <c r="A31207" s="6"/>
      <c r="B31207" s="6"/>
      <c r="H31207" s="13"/>
    </row>
    <row r="31208">
      <c r="A31208" s="6"/>
      <c r="B31208" s="6"/>
      <c r="H31208" s="13"/>
    </row>
    <row r="31209">
      <c r="A31209" s="6"/>
      <c r="B31209" s="6"/>
      <c r="H31209" s="13"/>
    </row>
    <row r="31210">
      <c r="A31210" s="6"/>
      <c r="B31210" s="6"/>
      <c r="H31210" s="13"/>
    </row>
    <row r="31211">
      <c r="A31211" s="6"/>
      <c r="B31211" s="6"/>
      <c r="H31211" s="13"/>
    </row>
    <row r="31212">
      <c r="A31212" s="6"/>
      <c r="B31212" s="6"/>
      <c r="H31212" s="13"/>
    </row>
    <row r="31213">
      <c r="A31213" s="6"/>
      <c r="B31213" s="6"/>
      <c r="H31213" s="13"/>
    </row>
    <row r="31214">
      <c r="A31214" s="6"/>
      <c r="B31214" s="6"/>
      <c r="H31214" s="13"/>
    </row>
    <row r="31215">
      <c r="A31215" s="6"/>
      <c r="B31215" s="6"/>
      <c r="H31215" s="13"/>
    </row>
    <row r="31216">
      <c r="A31216" s="6"/>
      <c r="B31216" s="6"/>
      <c r="H31216" s="13"/>
    </row>
    <row r="31217">
      <c r="A31217" s="6"/>
      <c r="B31217" s="6"/>
      <c r="H31217" s="13"/>
    </row>
    <row r="31218">
      <c r="A31218" s="6"/>
      <c r="B31218" s="6"/>
      <c r="H31218" s="13"/>
    </row>
    <row r="31219">
      <c r="A31219" s="6"/>
      <c r="B31219" s="6"/>
      <c r="H31219" s="13"/>
    </row>
    <row r="31220">
      <c r="A31220" s="6"/>
      <c r="B31220" s="6"/>
      <c r="H31220" s="13"/>
    </row>
    <row r="31221">
      <c r="A31221" s="6"/>
      <c r="B31221" s="6"/>
      <c r="H31221" s="13"/>
    </row>
    <row r="31222">
      <c r="A31222" s="6"/>
      <c r="B31222" s="6"/>
      <c r="H31222" s="13"/>
    </row>
    <row r="31223">
      <c r="A31223" s="6"/>
      <c r="B31223" s="6"/>
      <c r="H31223" s="13"/>
    </row>
    <row r="31224">
      <c r="A31224" s="6"/>
      <c r="B31224" s="6"/>
      <c r="H31224" s="13"/>
    </row>
    <row r="31225">
      <c r="A31225" s="6"/>
      <c r="B31225" s="6"/>
      <c r="H31225" s="13"/>
    </row>
    <row r="31226">
      <c r="A31226" s="6"/>
      <c r="B31226" s="6"/>
      <c r="H31226" s="13"/>
    </row>
    <row r="31227">
      <c r="A31227" s="6"/>
      <c r="B31227" s="6"/>
      <c r="H31227" s="13"/>
    </row>
    <row r="31228">
      <c r="A31228" s="6"/>
      <c r="B31228" s="6"/>
      <c r="H31228" s="13"/>
    </row>
    <row r="31229">
      <c r="A31229" s="6"/>
      <c r="B31229" s="6"/>
      <c r="H31229" s="13"/>
    </row>
    <row r="31230">
      <c r="A31230" s="6"/>
      <c r="B31230" s="6"/>
      <c r="H31230" s="13"/>
    </row>
    <row r="31231">
      <c r="A31231" s="6"/>
      <c r="B31231" s="6"/>
      <c r="H31231" s="13"/>
    </row>
    <row r="31232">
      <c r="A31232" s="6"/>
      <c r="B31232" s="6"/>
      <c r="H31232" s="13"/>
    </row>
    <row r="31233">
      <c r="A31233" s="6"/>
      <c r="B31233" s="6"/>
      <c r="H31233" s="13"/>
    </row>
    <row r="31234">
      <c r="A31234" s="6"/>
      <c r="B31234" s="6"/>
      <c r="H31234" s="13"/>
    </row>
    <row r="31235">
      <c r="A31235" s="6"/>
      <c r="B31235" s="6"/>
      <c r="H31235" s="13"/>
    </row>
    <row r="31236">
      <c r="A31236" s="6"/>
      <c r="B31236" s="6"/>
      <c r="H31236" s="13"/>
    </row>
    <row r="31237">
      <c r="A31237" s="6"/>
      <c r="B31237" s="6"/>
      <c r="H31237" s="13"/>
    </row>
    <row r="31238">
      <c r="A31238" s="6"/>
      <c r="B31238" s="6"/>
      <c r="H31238" s="13"/>
    </row>
    <row r="31239">
      <c r="A31239" s="6"/>
      <c r="B31239" s="6"/>
      <c r="H31239" s="13"/>
    </row>
    <row r="31240">
      <c r="A31240" s="6"/>
      <c r="B31240" s="6"/>
      <c r="H31240" s="13"/>
    </row>
    <row r="31241">
      <c r="A31241" s="6"/>
      <c r="B31241" s="6"/>
      <c r="H31241" s="13"/>
    </row>
    <row r="31242">
      <c r="A31242" s="6"/>
      <c r="B31242" s="6"/>
      <c r="H31242" s="13"/>
    </row>
    <row r="31243">
      <c r="A31243" s="6"/>
      <c r="B31243" s="6"/>
      <c r="H31243" s="13"/>
    </row>
    <row r="31244">
      <c r="A31244" s="6"/>
      <c r="B31244" s="6"/>
      <c r="H31244" s="13"/>
    </row>
    <row r="31245">
      <c r="A31245" s="6"/>
      <c r="B31245" s="6"/>
      <c r="H31245" s="13"/>
    </row>
    <row r="31246">
      <c r="A31246" s="6"/>
      <c r="B31246" s="6"/>
      <c r="H31246" s="13"/>
    </row>
    <row r="31247">
      <c r="A31247" s="6"/>
      <c r="B31247" s="6"/>
      <c r="H31247" s="13"/>
    </row>
    <row r="31248">
      <c r="A31248" s="6"/>
      <c r="B31248" s="6"/>
      <c r="H31248" s="13"/>
    </row>
    <row r="31249">
      <c r="A31249" s="6"/>
      <c r="B31249" s="6"/>
      <c r="H31249" s="13"/>
    </row>
    <row r="31250">
      <c r="A31250" s="6"/>
      <c r="B31250" s="6"/>
      <c r="H31250" s="13"/>
    </row>
    <row r="31251">
      <c r="A31251" s="6"/>
      <c r="B31251" s="6"/>
      <c r="H31251" s="13"/>
    </row>
    <row r="31252">
      <c r="A31252" s="6"/>
      <c r="B31252" s="6"/>
      <c r="H31252" s="13"/>
    </row>
    <row r="31253">
      <c r="A31253" s="6"/>
      <c r="B31253" s="6"/>
      <c r="H31253" s="13"/>
    </row>
    <row r="31254">
      <c r="A31254" s="6"/>
      <c r="B31254" s="6"/>
      <c r="H31254" s="13"/>
    </row>
    <row r="31255">
      <c r="A31255" s="6"/>
      <c r="B31255" s="6"/>
      <c r="H31255" s="13"/>
    </row>
    <row r="31256">
      <c r="A31256" s="6"/>
      <c r="B31256" s="6"/>
      <c r="H31256" s="13"/>
    </row>
    <row r="31257">
      <c r="A31257" s="6"/>
      <c r="B31257" s="6"/>
      <c r="H31257" s="13"/>
    </row>
    <row r="31258">
      <c r="A31258" s="6"/>
      <c r="B31258" s="6"/>
      <c r="H31258" s="13"/>
    </row>
    <row r="31259">
      <c r="A31259" s="6"/>
      <c r="B31259" s="6"/>
      <c r="H31259" s="13"/>
    </row>
    <row r="31260">
      <c r="A31260" s="6"/>
      <c r="B31260" s="6"/>
      <c r="H31260" s="13"/>
    </row>
    <row r="31261">
      <c r="A31261" s="6"/>
      <c r="B31261" s="6"/>
      <c r="H31261" s="13"/>
    </row>
    <row r="31262">
      <c r="A31262" s="6"/>
      <c r="B31262" s="6"/>
      <c r="H31262" s="13"/>
    </row>
    <row r="31263">
      <c r="A31263" s="6"/>
      <c r="B31263" s="6"/>
      <c r="H31263" s="13"/>
    </row>
    <row r="31264">
      <c r="A31264" s="6"/>
      <c r="B31264" s="6"/>
      <c r="H31264" s="13"/>
    </row>
    <row r="31265">
      <c r="A31265" s="6"/>
      <c r="B31265" s="6"/>
      <c r="H31265" s="13"/>
    </row>
    <row r="31266">
      <c r="A31266" s="6"/>
      <c r="B31266" s="6"/>
      <c r="H31266" s="13"/>
    </row>
    <row r="31267">
      <c r="A31267" s="6"/>
      <c r="B31267" s="6"/>
      <c r="H31267" s="13"/>
    </row>
    <row r="31268">
      <c r="A31268" s="6"/>
      <c r="B31268" s="6"/>
      <c r="H31268" s="13"/>
    </row>
    <row r="31269">
      <c r="A31269" s="6"/>
      <c r="B31269" s="6"/>
      <c r="H31269" s="13"/>
    </row>
    <row r="31270">
      <c r="A31270" s="6"/>
      <c r="B31270" s="6"/>
      <c r="H31270" s="13"/>
    </row>
    <row r="31271">
      <c r="A31271" s="6"/>
      <c r="B31271" s="6"/>
      <c r="H31271" s="13"/>
    </row>
    <row r="31272">
      <c r="A31272" s="6"/>
      <c r="B31272" s="6"/>
      <c r="H31272" s="13"/>
    </row>
    <row r="31273">
      <c r="A31273" s="6"/>
      <c r="B31273" s="6"/>
      <c r="H31273" s="13"/>
    </row>
    <row r="31274">
      <c r="A31274" s="6"/>
      <c r="B31274" s="6"/>
      <c r="H31274" s="13"/>
    </row>
    <row r="31275">
      <c r="A31275" s="6"/>
      <c r="B31275" s="6"/>
      <c r="H31275" s="13"/>
    </row>
    <row r="31276">
      <c r="A31276" s="6"/>
      <c r="B31276" s="6"/>
      <c r="H31276" s="13"/>
    </row>
    <row r="31277">
      <c r="A31277" s="6"/>
      <c r="B31277" s="6"/>
      <c r="H31277" s="13"/>
    </row>
    <row r="31278">
      <c r="A31278" s="6"/>
      <c r="B31278" s="6"/>
      <c r="H31278" s="13"/>
    </row>
    <row r="31279">
      <c r="A31279" s="6"/>
      <c r="B31279" s="6"/>
      <c r="H31279" s="13"/>
    </row>
    <row r="31280">
      <c r="A31280" s="6"/>
      <c r="B31280" s="6"/>
      <c r="H31280" s="13"/>
    </row>
    <row r="31281">
      <c r="A31281" s="6"/>
      <c r="B31281" s="6"/>
      <c r="H31281" s="13"/>
    </row>
    <row r="31282">
      <c r="A31282" s="6"/>
      <c r="B31282" s="6"/>
      <c r="H31282" s="13"/>
    </row>
    <row r="31283">
      <c r="A31283" s="6"/>
      <c r="B31283" s="6"/>
      <c r="H31283" s="13"/>
    </row>
    <row r="31284">
      <c r="A31284" s="6"/>
      <c r="B31284" s="6"/>
      <c r="H31284" s="13"/>
    </row>
    <row r="31285">
      <c r="A31285" s="6"/>
      <c r="B31285" s="6"/>
      <c r="H31285" s="13"/>
    </row>
    <row r="31286">
      <c r="A31286" s="6"/>
      <c r="B31286" s="6"/>
      <c r="H31286" s="13"/>
    </row>
    <row r="31287">
      <c r="A31287" s="6"/>
      <c r="B31287" s="6"/>
      <c r="H31287" s="13"/>
    </row>
    <row r="31288">
      <c r="A31288" s="6"/>
      <c r="B31288" s="6"/>
      <c r="H31288" s="13"/>
    </row>
    <row r="31289">
      <c r="A31289" s="6"/>
      <c r="B31289" s="6"/>
      <c r="H31289" s="13"/>
    </row>
    <row r="31290">
      <c r="A31290" s="6"/>
      <c r="B31290" s="6"/>
      <c r="H31290" s="13"/>
    </row>
    <row r="31291">
      <c r="A31291" s="6"/>
      <c r="B31291" s="6"/>
      <c r="H31291" s="13"/>
    </row>
    <row r="31292">
      <c r="A31292" s="6"/>
      <c r="B31292" s="6"/>
      <c r="H31292" s="13"/>
    </row>
    <row r="31293">
      <c r="A31293" s="6"/>
      <c r="B31293" s="6"/>
      <c r="H31293" s="13"/>
    </row>
    <row r="31294">
      <c r="A31294" s="6"/>
      <c r="B31294" s="6"/>
      <c r="H31294" s="13"/>
    </row>
    <row r="31295">
      <c r="A31295" s="6"/>
      <c r="B31295" s="6"/>
      <c r="H31295" s="13"/>
    </row>
    <row r="31296">
      <c r="A31296" s="6"/>
      <c r="B31296" s="6"/>
      <c r="H31296" s="13"/>
    </row>
    <row r="31297">
      <c r="A31297" s="6"/>
      <c r="B31297" s="6"/>
      <c r="H31297" s="13"/>
    </row>
    <row r="31298">
      <c r="A31298" s="6"/>
      <c r="B31298" s="6"/>
      <c r="H31298" s="13"/>
    </row>
    <row r="31299">
      <c r="A31299" s="6"/>
      <c r="B31299" s="6"/>
      <c r="H31299" s="13"/>
    </row>
    <row r="31300">
      <c r="A31300" s="6"/>
      <c r="B31300" s="6"/>
      <c r="H31300" s="13"/>
    </row>
    <row r="31301">
      <c r="A31301" s="6"/>
      <c r="B31301" s="6"/>
      <c r="H31301" s="13"/>
    </row>
    <row r="31302">
      <c r="A31302" s="6"/>
      <c r="B31302" s="6"/>
      <c r="H31302" s="13"/>
    </row>
    <row r="31303">
      <c r="A31303" s="6"/>
      <c r="B31303" s="6"/>
      <c r="H31303" s="13"/>
    </row>
    <row r="31304">
      <c r="A31304" s="6"/>
      <c r="B31304" s="6"/>
      <c r="H31304" s="13"/>
    </row>
    <row r="31305">
      <c r="A31305" s="6"/>
      <c r="B31305" s="6"/>
      <c r="H31305" s="13"/>
    </row>
    <row r="31306">
      <c r="A31306" s="6"/>
      <c r="B31306" s="6"/>
      <c r="H31306" s="13"/>
    </row>
    <row r="31307">
      <c r="A31307" s="6"/>
      <c r="B31307" s="6"/>
      <c r="H31307" s="13"/>
    </row>
    <row r="31308">
      <c r="A31308" s="6"/>
      <c r="B31308" s="6"/>
      <c r="H31308" s="13"/>
    </row>
    <row r="31309">
      <c r="A31309" s="6"/>
      <c r="B31309" s="6"/>
      <c r="H31309" s="13"/>
    </row>
    <row r="31310">
      <c r="A31310" s="6"/>
      <c r="B31310" s="6"/>
      <c r="H31310" s="13"/>
    </row>
    <row r="31311">
      <c r="A31311" s="6"/>
      <c r="B31311" s="6"/>
      <c r="H31311" s="13"/>
    </row>
    <row r="31312">
      <c r="A31312" s="6"/>
      <c r="B31312" s="6"/>
      <c r="H31312" s="13"/>
    </row>
    <row r="31313">
      <c r="A31313" s="6"/>
      <c r="B31313" s="6"/>
      <c r="H31313" s="13"/>
    </row>
    <row r="31314">
      <c r="A31314" s="6"/>
      <c r="B31314" s="6"/>
      <c r="H31314" s="13"/>
    </row>
    <row r="31315">
      <c r="A31315" s="6"/>
      <c r="B31315" s="6"/>
      <c r="H31315" s="13"/>
    </row>
    <row r="31316">
      <c r="A31316" s="6"/>
      <c r="B31316" s="6"/>
      <c r="H31316" s="13"/>
    </row>
    <row r="31317">
      <c r="A31317" s="6"/>
      <c r="B31317" s="6"/>
      <c r="H31317" s="13"/>
    </row>
    <row r="31318">
      <c r="A31318" s="6"/>
      <c r="B31318" s="6"/>
      <c r="H31318" s="13"/>
    </row>
    <row r="31319">
      <c r="A31319" s="6"/>
      <c r="B31319" s="6"/>
      <c r="H31319" s="13"/>
    </row>
    <row r="31320">
      <c r="A31320" s="6"/>
      <c r="B31320" s="6"/>
      <c r="H31320" s="13"/>
    </row>
    <row r="31321">
      <c r="A31321" s="6"/>
      <c r="B31321" s="6"/>
      <c r="H31321" s="13"/>
    </row>
    <row r="31322">
      <c r="A31322" s="6"/>
      <c r="B31322" s="6"/>
      <c r="H31322" s="13"/>
    </row>
    <row r="31323">
      <c r="A31323" s="6"/>
      <c r="B31323" s="6"/>
      <c r="H31323" s="13"/>
    </row>
    <row r="31324">
      <c r="A31324" s="6"/>
      <c r="B31324" s="6"/>
      <c r="H31324" s="13"/>
    </row>
    <row r="31325">
      <c r="A31325" s="6"/>
      <c r="B31325" s="6"/>
      <c r="H31325" s="13"/>
    </row>
    <row r="31326">
      <c r="A31326" s="6"/>
      <c r="B31326" s="6"/>
      <c r="H31326" s="13"/>
    </row>
    <row r="31327">
      <c r="A31327" s="6"/>
      <c r="B31327" s="6"/>
      <c r="H31327" s="13"/>
    </row>
    <row r="31328">
      <c r="A31328" s="6"/>
      <c r="B31328" s="6"/>
      <c r="H31328" s="13"/>
    </row>
    <row r="31329">
      <c r="A31329" s="6"/>
      <c r="B31329" s="6"/>
      <c r="H31329" s="13"/>
    </row>
    <row r="31330">
      <c r="A31330" s="6"/>
      <c r="B31330" s="6"/>
      <c r="H31330" s="13"/>
    </row>
    <row r="31331">
      <c r="A31331" s="6"/>
      <c r="B31331" s="6"/>
      <c r="H31331" s="13"/>
    </row>
    <row r="31332">
      <c r="A31332" s="6"/>
      <c r="B31332" s="6"/>
      <c r="H31332" s="13"/>
    </row>
    <row r="31333">
      <c r="A31333" s="6"/>
      <c r="B31333" s="6"/>
      <c r="H31333" s="13"/>
    </row>
    <row r="31334">
      <c r="A31334" s="6"/>
      <c r="B31334" s="6"/>
      <c r="H31334" s="13"/>
    </row>
    <row r="31335">
      <c r="A31335" s="6"/>
      <c r="B31335" s="6"/>
      <c r="H31335" s="13"/>
    </row>
    <row r="31336">
      <c r="A31336" s="6"/>
      <c r="B31336" s="6"/>
      <c r="H31336" s="13"/>
    </row>
    <row r="31337">
      <c r="A31337" s="6"/>
      <c r="B31337" s="6"/>
      <c r="H31337" s="13"/>
    </row>
    <row r="31338">
      <c r="A31338" s="6"/>
      <c r="B31338" s="6"/>
      <c r="H31338" s="13"/>
    </row>
    <row r="31339">
      <c r="A31339" s="6"/>
      <c r="B31339" s="6"/>
      <c r="H31339" s="13"/>
    </row>
    <row r="31340">
      <c r="A31340" s="6"/>
      <c r="B31340" s="6"/>
      <c r="H31340" s="13"/>
    </row>
    <row r="31341">
      <c r="A31341" s="6"/>
      <c r="B31341" s="6"/>
      <c r="H31341" s="13"/>
    </row>
    <row r="31342">
      <c r="A31342" s="6"/>
      <c r="B31342" s="6"/>
      <c r="H31342" s="13"/>
    </row>
    <row r="31343">
      <c r="A31343" s="6"/>
      <c r="B31343" s="6"/>
      <c r="H31343" s="13"/>
    </row>
    <row r="31344">
      <c r="A31344" s="6"/>
      <c r="B31344" s="6"/>
      <c r="H31344" s="13"/>
    </row>
    <row r="31345">
      <c r="A31345" s="6"/>
      <c r="B31345" s="6"/>
      <c r="H31345" s="13"/>
    </row>
    <row r="31346">
      <c r="A31346" s="6"/>
      <c r="B31346" s="6"/>
      <c r="H31346" s="13"/>
    </row>
    <row r="31347">
      <c r="A31347" s="6"/>
      <c r="B31347" s="6"/>
      <c r="H31347" s="13"/>
    </row>
    <row r="31348">
      <c r="A31348" s="6"/>
      <c r="B31348" s="6"/>
      <c r="H31348" s="13"/>
    </row>
    <row r="31349">
      <c r="A31349" s="6"/>
      <c r="B31349" s="6"/>
      <c r="H31349" s="13"/>
    </row>
    <row r="31350">
      <c r="A31350" s="6"/>
      <c r="B31350" s="6"/>
      <c r="H31350" s="13"/>
    </row>
    <row r="31351">
      <c r="A31351" s="6"/>
      <c r="B31351" s="6"/>
      <c r="H31351" s="13"/>
    </row>
    <row r="31352">
      <c r="A31352" s="6"/>
      <c r="B31352" s="6"/>
      <c r="H31352" s="13"/>
    </row>
    <row r="31353">
      <c r="A31353" s="6"/>
      <c r="B31353" s="6"/>
      <c r="H31353" s="13"/>
    </row>
    <row r="31354">
      <c r="A31354" s="6"/>
      <c r="B31354" s="6"/>
      <c r="H31354" s="13"/>
    </row>
    <row r="31355">
      <c r="A31355" s="6"/>
      <c r="B31355" s="6"/>
      <c r="H31355" s="13"/>
    </row>
    <row r="31356">
      <c r="A31356" s="6"/>
      <c r="B31356" s="6"/>
      <c r="H31356" s="13"/>
    </row>
    <row r="31357">
      <c r="A31357" s="6"/>
      <c r="B31357" s="6"/>
      <c r="H31357" s="13"/>
    </row>
    <row r="31358">
      <c r="A31358" s="6"/>
      <c r="B31358" s="6"/>
      <c r="H31358" s="13"/>
    </row>
    <row r="31359">
      <c r="A31359" s="6"/>
      <c r="B31359" s="6"/>
      <c r="H31359" s="13"/>
    </row>
    <row r="31360">
      <c r="A31360" s="6"/>
      <c r="B31360" s="6"/>
      <c r="H31360" s="13"/>
    </row>
    <row r="31361">
      <c r="A31361" s="6"/>
      <c r="B31361" s="6"/>
      <c r="H31361" s="13"/>
    </row>
    <row r="31362">
      <c r="A31362" s="6"/>
      <c r="B31362" s="6"/>
      <c r="H31362" s="13"/>
    </row>
    <row r="31363">
      <c r="A31363" s="6"/>
      <c r="B31363" s="6"/>
      <c r="H31363" s="13"/>
    </row>
    <row r="31364">
      <c r="A31364" s="6"/>
      <c r="B31364" s="6"/>
      <c r="H31364" s="13"/>
    </row>
    <row r="31365">
      <c r="A31365" s="6"/>
      <c r="B31365" s="6"/>
      <c r="H31365" s="13"/>
    </row>
    <row r="31366">
      <c r="A31366" s="6"/>
      <c r="B31366" s="6"/>
      <c r="H31366" s="13"/>
    </row>
    <row r="31367">
      <c r="A31367" s="6"/>
      <c r="B31367" s="6"/>
      <c r="H31367" s="13"/>
    </row>
    <row r="31368">
      <c r="A31368" s="6"/>
      <c r="B31368" s="6"/>
      <c r="H31368" s="13"/>
    </row>
    <row r="31369">
      <c r="A31369" s="6"/>
      <c r="B31369" s="6"/>
      <c r="H31369" s="13"/>
    </row>
    <row r="31370">
      <c r="A31370" s="6"/>
      <c r="B31370" s="6"/>
      <c r="H31370" s="13"/>
    </row>
    <row r="31371">
      <c r="A31371" s="6"/>
      <c r="B31371" s="6"/>
      <c r="H31371" s="13"/>
    </row>
    <row r="31372">
      <c r="A31372" s="6"/>
      <c r="B31372" s="6"/>
      <c r="H31372" s="13"/>
    </row>
    <row r="31373">
      <c r="A31373" s="6"/>
      <c r="B31373" s="6"/>
      <c r="H31373" s="13"/>
    </row>
    <row r="31374">
      <c r="A31374" s="6"/>
      <c r="B31374" s="6"/>
      <c r="H31374" s="13"/>
    </row>
    <row r="31375">
      <c r="A31375" s="6"/>
      <c r="B31375" s="6"/>
      <c r="H31375" s="13"/>
    </row>
    <row r="31376">
      <c r="A31376" s="6"/>
      <c r="B31376" s="6"/>
      <c r="H31376" s="13"/>
    </row>
    <row r="31377">
      <c r="A31377" s="6"/>
      <c r="B31377" s="6"/>
      <c r="H31377" s="13"/>
    </row>
    <row r="31378">
      <c r="A31378" s="6"/>
      <c r="B31378" s="6"/>
      <c r="H31378" s="13"/>
    </row>
    <row r="31379">
      <c r="A31379" s="6"/>
      <c r="B31379" s="6"/>
      <c r="H31379" s="13"/>
    </row>
    <row r="31380">
      <c r="A31380" s="6"/>
      <c r="B31380" s="6"/>
      <c r="H31380" s="13"/>
    </row>
    <row r="31381">
      <c r="A31381" s="6"/>
      <c r="B31381" s="6"/>
      <c r="H31381" s="13"/>
    </row>
    <row r="31382">
      <c r="A31382" s="6"/>
      <c r="B31382" s="6"/>
      <c r="H31382" s="13"/>
    </row>
    <row r="31383">
      <c r="A31383" s="6"/>
      <c r="B31383" s="6"/>
      <c r="H31383" s="13"/>
    </row>
    <row r="31384">
      <c r="A31384" s="6"/>
      <c r="B31384" s="6"/>
      <c r="H31384" s="13"/>
    </row>
    <row r="31385">
      <c r="A31385" s="6"/>
      <c r="B31385" s="6"/>
      <c r="H31385" s="13"/>
    </row>
    <row r="31386">
      <c r="A31386" s="6"/>
      <c r="B31386" s="6"/>
      <c r="H31386" s="13"/>
    </row>
    <row r="31387">
      <c r="A31387" s="6"/>
      <c r="B31387" s="6"/>
      <c r="H31387" s="13"/>
    </row>
    <row r="31388">
      <c r="A31388" s="6"/>
      <c r="B31388" s="6"/>
      <c r="H31388" s="13"/>
    </row>
    <row r="31389">
      <c r="A31389" s="6"/>
      <c r="B31389" s="6"/>
      <c r="H31389" s="13"/>
    </row>
    <row r="31390">
      <c r="A31390" s="6"/>
      <c r="B31390" s="6"/>
      <c r="H31390" s="13"/>
    </row>
    <row r="31391">
      <c r="A31391" s="6"/>
      <c r="B31391" s="6"/>
      <c r="H31391" s="13"/>
    </row>
    <row r="31392">
      <c r="A31392" s="6"/>
      <c r="B31392" s="6"/>
      <c r="H31392" s="13"/>
    </row>
    <row r="31393">
      <c r="A31393" s="6"/>
      <c r="B31393" s="6"/>
      <c r="H31393" s="13"/>
    </row>
    <row r="31394">
      <c r="A31394" s="6"/>
      <c r="B31394" s="6"/>
      <c r="H31394" s="13"/>
    </row>
    <row r="31395">
      <c r="A31395" s="6"/>
      <c r="B31395" s="6"/>
      <c r="H31395" s="13"/>
    </row>
    <row r="31396">
      <c r="A31396" s="6"/>
      <c r="B31396" s="6"/>
      <c r="H31396" s="13"/>
    </row>
    <row r="31397">
      <c r="A31397" s="6"/>
      <c r="B31397" s="6"/>
      <c r="H31397" s="13"/>
    </row>
    <row r="31398">
      <c r="A31398" s="6"/>
      <c r="B31398" s="6"/>
      <c r="H31398" s="13"/>
    </row>
    <row r="31399">
      <c r="A31399" s="6"/>
      <c r="B31399" s="6"/>
      <c r="H31399" s="13"/>
    </row>
    <row r="31400">
      <c r="A31400" s="6"/>
      <c r="B31400" s="6"/>
      <c r="H31400" s="13"/>
    </row>
    <row r="31401">
      <c r="A31401" s="6"/>
      <c r="B31401" s="6"/>
      <c r="H31401" s="13"/>
    </row>
    <row r="31402">
      <c r="A31402" s="6"/>
      <c r="B31402" s="6"/>
      <c r="H31402" s="13"/>
    </row>
    <row r="31403">
      <c r="A31403" s="6"/>
      <c r="B31403" s="6"/>
      <c r="H31403" s="13"/>
    </row>
    <row r="31404">
      <c r="A31404" s="6"/>
      <c r="B31404" s="6"/>
      <c r="H31404" s="13"/>
    </row>
    <row r="31405">
      <c r="A31405" s="6"/>
      <c r="B31405" s="6"/>
      <c r="H31405" s="13"/>
    </row>
    <row r="31406">
      <c r="A31406" s="6"/>
      <c r="B31406" s="6"/>
      <c r="H31406" s="13"/>
    </row>
    <row r="31407">
      <c r="A31407" s="6"/>
      <c r="B31407" s="6"/>
      <c r="H31407" s="13"/>
    </row>
    <row r="31408">
      <c r="A31408" s="6"/>
      <c r="B31408" s="6"/>
      <c r="H31408" s="13"/>
    </row>
    <row r="31409">
      <c r="A31409" s="6"/>
      <c r="B31409" s="6"/>
      <c r="H31409" s="13"/>
    </row>
    <row r="31410">
      <c r="A31410" s="6"/>
      <c r="B31410" s="6"/>
      <c r="H31410" s="13"/>
    </row>
    <row r="31411">
      <c r="A31411" s="6"/>
      <c r="B31411" s="6"/>
      <c r="H31411" s="13"/>
    </row>
    <row r="31412">
      <c r="A31412" s="6"/>
      <c r="B31412" s="6"/>
      <c r="H31412" s="13"/>
    </row>
    <row r="31413">
      <c r="A31413" s="6"/>
      <c r="B31413" s="6"/>
      <c r="H31413" s="13"/>
    </row>
    <row r="31414">
      <c r="A31414" s="6"/>
      <c r="B31414" s="6"/>
      <c r="H31414" s="13"/>
    </row>
    <row r="31415">
      <c r="A31415" s="6"/>
      <c r="B31415" s="6"/>
      <c r="H31415" s="13"/>
    </row>
    <row r="31416">
      <c r="A31416" s="6"/>
      <c r="B31416" s="6"/>
      <c r="H31416" s="13"/>
    </row>
    <row r="31417">
      <c r="A31417" s="6"/>
      <c r="B31417" s="6"/>
      <c r="H31417" s="13"/>
    </row>
    <row r="31418">
      <c r="A31418" s="6"/>
      <c r="B31418" s="6"/>
      <c r="H31418" s="13"/>
    </row>
    <row r="31419">
      <c r="A31419" s="6"/>
      <c r="B31419" s="6"/>
      <c r="H31419" s="13"/>
    </row>
    <row r="31420">
      <c r="A31420" s="6"/>
      <c r="B31420" s="6"/>
      <c r="H31420" s="13"/>
    </row>
    <row r="31421">
      <c r="A31421" s="6"/>
      <c r="B31421" s="6"/>
      <c r="H31421" s="13"/>
    </row>
    <row r="31422">
      <c r="A31422" s="6"/>
      <c r="B31422" s="6"/>
      <c r="H31422" s="13"/>
    </row>
    <row r="31423">
      <c r="A31423" s="6"/>
      <c r="B31423" s="6"/>
      <c r="H31423" s="13"/>
    </row>
    <row r="31424">
      <c r="A31424" s="6"/>
      <c r="B31424" s="6"/>
      <c r="H31424" s="13"/>
    </row>
    <row r="31425">
      <c r="A31425" s="6"/>
      <c r="B31425" s="6"/>
      <c r="H31425" s="13"/>
    </row>
    <row r="31426">
      <c r="A31426" s="6"/>
      <c r="B31426" s="6"/>
      <c r="H31426" s="13"/>
    </row>
    <row r="31427">
      <c r="A31427" s="6"/>
      <c r="B31427" s="6"/>
      <c r="H31427" s="13"/>
    </row>
    <row r="31428">
      <c r="A31428" s="6"/>
      <c r="B31428" s="6"/>
      <c r="H31428" s="13"/>
    </row>
    <row r="31429">
      <c r="A31429" s="6"/>
      <c r="B31429" s="6"/>
      <c r="H31429" s="13"/>
    </row>
    <row r="31430">
      <c r="A31430" s="6"/>
      <c r="B31430" s="6"/>
      <c r="H31430" s="13"/>
    </row>
    <row r="31431">
      <c r="A31431" s="6"/>
      <c r="B31431" s="6"/>
      <c r="H31431" s="13"/>
    </row>
    <row r="31432">
      <c r="A31432" s="6"/>
      <c r="B31432" s="6"/>
      <c r="H31432" s="13"/>
    </row>
    <row r="31433">
      <c r="A31433" s="6"/>
      <c r="B31433" s="6"/>
      <c r="H31433" s="13"/>
    </row>
    <row r="31434">
      <c r="A31434" s="6"/>
      <c r="B31434" s="6"/>
      <c r="H31434" s="13"/>
    </row>
    <row r="31435">
      <c r="A31435" s="6"/>
      <c r="B31435" s="6"/>
      <c r="H31435" s="13"/>
    </row>
    <row r="31436">
      <c r="A31436" s="6"/>
      <c r="B31436" s="6"/>
      <c r="H31436" s="13"/>
    </row>
    <row r="31437">
      <c r="A31437" s="6"/>
      <c r="B31437" s="6"/>
      <c r="H31437" s="13"/>
    </row>
    <row r="31438">
      <c r="A31438" s="6"/>
      <c r="B31438" s="6"/>
      <c r="H31438" s="13"/>
    </row>
    <row r="31439">
      <c r="A31439" s="6"/>
      <c r="B31439" s="6"/>
      <c r="H31439" s="13"/>
    </row>
    <row r="31440">
      <c r="A31440" s="6"/>
      <c r="B31440" s="6"/>
      <c r="H31440" s="13"/>
    </row>
    <row r="31441">
      <c r="A31441" s="6"/>
      <c r="B31441" s="6"/>
      <c r="H31441" s="13"/>
    </row>
    <row r="31442">
      <c r="A31442" s="6"/>
      <c r="B31442" s="6"/>
      <c r="H31442" s="13"/>
    </row>
    <row r="31443">
      <c r="A31443" s="6"/>
      <c r="B31443" s="6"/>
      <c r="H31443" s="13"/>
    </row>
    <row r="31444">
      <c r="A31444" s="6"/>
      <c r="B31444" s="6"/>
      <c r="H31444" s="13"/>
    </row>
    <row r="31445">
      <c r="A31445" s="6"/>
      <c r="B31445" s="6"/>
      <c r="H31445" s="13"/>
    </row>
    <row r="31446">
      <c r="A31446" s="6"/>
      <c r="B31446" s="6"/>
      <c r="H31446" s="13"/>
    </row>
    <row r="31447">
      <c r="A31447" s="6"/>
      <c r="B31447" s="6"/>
      <c r="H31447" s="13"/>
    </row>
    <row r="31448">
      <c r="A31448" s="6"/>
      <c r="B31448" s="6"/>
      <c r="H31448" s="13"/>
    </row>
    <row r="31449">
      <c r="A31449" s="6"/>
      <c r="B31449" s="6"/>
      <c r="H31449" s="13"/>
    </row>
    <row r="31450">
      <c r="A31450" s="6"/>
      <c r="B31450" s="6"/>
      <c r="H31450" s="13"/>
    </row>
    <row r="31451">
      <c r="A31451" s="6"/>
      <c r="B31451" s="6"/>
      <c r="H31451" s="13"/>
    </row>
    <row r="31452">
      <c r="A31452" s="6"/>
      <c r="B31452" s="6"/>
      <c r="H31452" s="13"/>
    </row>
    <row r="31453">
      <c r="A31453" s="6"/>
      <c r="B31453" s="6"/>
      <c r="H31453" s="13"/>
    </row>
    <row r="31454">
      <c r="A31454" s="6"/>
      <c r="B31454" s="6"/>
      <c r="H31454" s="13"/>
    </row>
    <row r="31455">
      <c r="A31455" s="6"/>
      <c r="B31455" s="6"/>
      <c r="H31455" s="13"/>
    </row>
    <row r="31456">
      <c r="A31456" s="6"/>
      <c r="B31456" s="6"/>
      <c r="H31456" s="13"/>
    </row>
    <row r="31457">
      <c r="A31457" s="6"/>
      <c r="B31457" s="6"/>
      <c r="H31457" s="13"/>
    </row>
    <row r="31458">
      <c r="A31458" s="6"/>
      <c r="B31458" s="6"/>
      <c r="H31458" s="13"/>
    </row>
    <row r="31459">
      <c r="A31459" s="6"/>
      <c r="B31459" s="6"/>
      <c r="H31459" s="13"/>
    </row>
    <row r="31460">
      <c r="A31460" s="6"/>
      <c r="B31460" s="6"/>
      <c r="H31460" s="13"/>
    </row>
    <row r="31461">
      <c r="A31461" s="6"/>
      <c r="B31461" s="6"/>
      <c r="H31461" s="13"/>
    </row>
    <row r="31462">
      <c r="A31462" s="6"/>
      <c r="B31462" s="6"/>
      <c r="H31462" s="13"/>
    </row>
    <row r="31463">
      <c r="A31463" s="6"/>
      <c r="B31463" s="6"/>
      <c r="H31463" s="13"/>
    </row>
    <row r="31464">
      <c r="A31464" s="6"/>
      <c r="B31464" s="6"/>
      <c r="H31464" s="13"/>
    </row>
    <row r="31465">
      <c r="A31465" s="6"/>
      <c r="B31465" s="6"/>
      <c r="H31465" s="13"/>
    </row>
    <row r="31466">
      <c r="A31466" s="6"/>
      <c r="B31466" s="6"/>
      <c r="H31466" s="13"/>
    </row>
    <row r="31467">
      <c r="A31467" s="6"/>
      <c r="B31467" s="6"/>
      <c r="H31467" s="13"/>
    </row>
    <row r="31468">
      <c r="A31468" s="6"/>
      <c r="B31468" s="6"/>
      <c r="H31468" s="13"/>
    </row>
    <row r="31469">
      <c r="A31469" s="6"/>
      <c r="B31469" s="6"/>
      <c r="H31469" s="13"/>
    </row>
    <row r="31470">
      <c r="A31470" s="6"/>
      <c r="B31470" s="6"/>
      <c r="H31470" s="13"/>
    </row>
    <row r="31471">
      <c r="A31471" s="6"/>
      <c r="B31471" s="6"/>
      <c r="H31471" s="13"/>
    </row>
    <row r="31472">
      <c r="A31472" s="6"/>
      <c r="B31472" s="6"/>
      <c r="H31472" s="13"/>
    </row>
    <row r="31473">
      <c r="A31473" s="6"/>
      <c r="B31473" s="6"/>
      <c r="H31473" s="13"/>
    </row>
    <row r="31474">
      <c r="A31474" s="6"/>
      <c r="B31474" s="6"/>
      <c r="H31474" s="13"/>
    </row>
    <row r="31475">
      <c r="A31475" s="6"/>
      <c r="B31475" s="6"/>
      <c r="H31475" s="13"/>
    </row>
    <row r="31476">
      <c r="A31476" s="6"/>
      <c r="B31476" s="6"/>
      <c r="H31476" s="13"/>
    </row>
    <row r="31477">
      <c r="A31477" s="6"/>
      <c r="B31477" s="6"/>
      <c r="H31477" s="13"/>
    </row>
    <row r="31478">
      <c r="A31478" s="6"/>
      <c r="B31478" s="6"/>
      <c r="H31478" s="13"/>
    </row>
    <row r="31479">
      <c r="A31479" s="6"/>
      <c r="B31479" s="6"/>
      <c r="H31479" s="13"/>
    </row>
    <row r="31480">
      <c r="A31480" s="6"/>
      <c r="B31480" s="6"/>
      <c r="H31480" s="13"/>
    </row>
    <row r="31481">
      <c r="A31481" s="6"/>
      <c r="B31481" s="6"/>
      <c r="H31481" s="13"/>
    </row>
    <row r="31482">
      <c r="A31482" s="6"/>
      <c r="B31482" s="6"/>
      <c r="H31482" s="13"/>
    </row>
    <row r="31483">
      <c r="A31483" s="6"/>
      <c r="B31483" s="6"/>
      <c r="H31483" s="13"/>
    </row>
    <row r="31484">
      <c r="A31484" s="6"/>
      <c r="B31484" s="6"/>
      <c r="H31484" s="13"/>
    </row>
    <row r="31485">
      <c r="A31485" s="6"/>
      <c r="B31485" s="6"/>
      <c r="H31485" s="13"/>
    </row>
    <row r="31486">
      <c r="A31486" s="6"/>
      <c r="B31486" s="6"/>
      <c r="H31486" s="13"/>
    </row>
    <row r="31487">
      <c r="A31487" s="6"/>
      <c r="B31487" s="6"/>
      <c r="H31487" s="13"/>
    </row>
    <row r="31488">
      <c r="A31488" s="6"/>
      <c r="B31488" s="6"/>
      <c r="H31488" s="13"/>
    </row>
    <row r="31489">
      <c r="A31489" s="6"/>
      <c r="B31489" s="6"/>
      <c r="H31489" s="13"/>
    </row>
    <row r="31490">
      <c r="A31490" s="6"/>
      <c r="B31490" s="6"/>
      <c r="H31490" s="13"/>
    </row>
    <row r="31491">
      <c r="A31491" s="6"/>
      <c r="B31491" s="6"/>
      <c r="H31491" s="13"/>
    </row>
    <row r="31492">
      <c r="A31492" s="6"/>
      <c r="B31492" s="6"/>
      <c r="H31492" s="13"/>
    </row>
    <row r="31493">
      <c r="A31493" s="6"/>
      <c r="B31493" s="6"/>
      <c r="H31493" s="13"/>
    </row>
    <row r="31494">
      <c r="A31494" s="6"/>
      <c r="B31494" s="6"/>
      <c r="H31494" s="13"/>
    </row>
    <row r="31495">
      <c r="A31495" s="6"/>
      <c r="B31495" s="6"/>
      <c r="H31495" s="13"/>
    </row>
    <row r="31496">
      <c r="A31496" s="6"/>
      <c r="B31496" s="6"/>
      <c r="H31496" s="13"/>
    </row>
    <row r="31497">
      <c r="A31497" s="6"/>
      <c r="B31497" s="6"/>
      <c r="H31497" s="13"/>
    </row>
    <row r="31498">
      <c r="A31498" s="6"/>
      <c r="B31498" s="6"/>
      <c r="H31498" s="13"/>
    </row>
    <row r="31499">
      <c r="A31499" s="6"/>
      <c r="B31499" s="6"/>
      <c r="H31499" s="13"/>
    </row>
    <row r="31500">
      <c r="A31500" s="6"/>
      <c r="B31500" s="6"/>
      <c r="H31500" s="13"/>
    </row>
    <row r="31501">
      <c r="A31501" s="6"/>
      <c r="B31501" s="6"/>
      <c r="H31501" s="13"/>
    </row>
    <row r="31502">
      <c r="A31502" s="6"/>
      <c r="B31502" s="6"/>
      <c r="H31502" s="13"/>
    </row>
    <row r="31503">
      <c r="A31503" s="6"/>
      <c r="B31503" s="6"/>
      <c r="H31503" s="13"/>
    </row>
    <row r="31504">
      <c r="A31504" s="6"/>
      <c r="B31504" s="6"/>
      <c r="H31504" s="13"/>
    </row>
    <row r="31505">
      <c r="A31505" s="6"/>
      <c r="B31505" s="6"/>
      <c r="H31505" s="13"/>
    </row>
    <row r="31506">
      <c r="A31506" s="6"/>
      <c r="B31506" s="6"/>
      <c r="H31506" s="13"/>
    </row>
    <row r="31507">
      <c r="A31507" s="6"/>
      <c r="B31507" s="6"/>
      <c r="H31507" s="13"/>
    </row>
    <row r="31508">
      <c r="A31508" s="6"/>
      <c r="B31508" s="6"/>
      <c r="H31508" s="13"/>
    </row>
    <row r="31509">
      <c r="A31509" s="6"/>
      <c r="B31509" s="6"/>
      <c r="H31509" s="13"/>
    </row>
    <row r="31510">
      <c r="A31510" s="6"/>
      <c r="B31510" s="6"/>
      <c r="H31510" s="13"/>
    </row>
    <row r="31511">
      <c r="A31511" s="6"/>
      <c r="B31511" s="6"/>
      <c r="H31511" s="13"/>
    </row>
    <row r="31512">
      <c r="A31512" s="6"/>
      <c r="B31512" s="6"/>
      <c r="H31512" s="13"/>
    </row>
    <row r="31513">
      <c r="A31513" s="6"/>
      <c r="B31513" s="6"/>
      <c r="H31513" s="13"/>
    </row>
    <row r="31514">
      <c r="A31514" s="6"/>
      <c r="B31514" s="6"/>
      <c r="H31514" s="13"/>
    </row>
    <row r="31515">
      <c r="A31515" s="6"/>
      <c r="B31515" s="6"/>
      <c r="H31515" s="13"/>
    </row>
    <row r="31516">
      <c r="A31516" s="6"/>
      <c r="B31516" s="6"/>
      <c r="H31516" s="13"/>
    </row>
    <row r="31517">
      <c r="A31517" s="6"/>
      <c r="B31517" s="6"/>
      <c r="H31517" s="13"/>
    </row>
    <row r="31518">
      <c r="A31518" s="6"/>
      <c r="B31518" s="6"/>
      <c r="H31518" s="13"/>
    </row>
    <row r="31519">
      <c r="A31519" s="6"/>
      <c r="B31519" s="6"/>
      <c r="H31519" s="13"/>
    </row>
    <row r="31520">
      <c r="A31520" s="6"/>
      <c r="B31520" s="6"/>
      <c r="H31520" s="13"/>
    </row>
    <row r="31521">
      <c r="A31521" s="6"/>
      <c r="B31521" s="6"/>
      <c r="H31521" s="13"/>
    </row>
    <row r="31522">
      <c r="A31522" s="6"/>
      <c r="B31522" s="6"/>
      <c r="H31522" s="13"/>
    </row>
    <row r="31523">
      <c r="A31523" s="6"/>
      <c r="B31523" s="6"/>
      <c r="H31523" s="13"/>
    </row>
    <row r="31524">
      <c r="A31524" s="6"/>
      <c r="B31524" s="6"/>
      <c r="H31524" s="13"/>
    </row>
    <row r="31525">
      <c r="A31525" s="6"/>
      <c r="B31525" s="6"/>
      <c r="H31525" s="13"/>
    </row>
    <row r="31526">
      <c r="A31526" s="6"/>
      <c r="B31526" s="6"/>
      <c r="H31526" s="13"/>
    </row>
    <row r="31527">
      <c r="A31527" s="6"/>
      <c r="B31527" s="6"/>
      <c r="H31527" s="13"/>
    </row>
    <row r="31528">
      <c r="A31528" s="6"/>
      <c r="B31528" s="6"/>
      <c r="H31528" s="13"/>
    </row>
    <row r="31529">
      <c r="A31529" s="6"/>
      <c r="B31529" s="6"/>
      <c r="H31529" s="13"/>
    </row>
    <row r="31530">
      <c r="A31530" s="6"/>
      <c r="B31530" s="6"/>
      <c r="H31530" s="13"/>
    </row>
    <row r="31531">
      <c r="A31531" s="6"/>
      <c r="B31531" s="6"/>
      <c r="H31531" s="13"/>
    </row>
    <row r="31532">
      <c r="A31532" s="6"/>
      <c r="B31532" s="6"/>
      <c r="H31532" s="13"/>
    </row>
    <row r="31533">
      <c r="A31533" s="6"/>
      <c r="B31533" s="6"/>
      <c r="H31533" s="13"/>
    </row>
    <row r="31534">
      <c r="A31534" s="6"/>
      <c r="B31534" s="6"/>
      <c r="H31534" s="13"/>
    </row>
    <row r="31535">
      <c r="A31535" s="6"/>
      <c r="B31535" s="6"/>
      <c r="H31535" s="13"/>
    </row>
    <row r="31536">
      <c r="A31536" s="6"/>
      <c r="B31536" s="6"/>
      <c r="H31536" s="13"/>
    </row>
    <row r="31537">
      <c r="A31537" s="6"/>
      <c r="B31537" s="6"/>
      <c r="H31537" s="13"/>
    </row>
    <row r="31538">
      <c r="A31538" s="6"/>
      <c r="B31538" s="6"/>
      <c r="H31538" s="13"/>
    </row>
    <row r="31539">
      <c r="A31539" s="6"/>
      <c r="B31539" s="6"/>
      <c r="H31539" s="13"/>
    </row>
    <row r="31540">
      <c r="A31540" s="6"/>
      <c r="B31540" s="6"/>
      <c r="H31540" s="13"/>
    </row>
    <row r="31541">
      <c r="A31541" s="6"/>
      <c r="B31541" s="6"/>
      <c r="H31541" s="13"/>
    </row>
    <row r="31542">
      <c r="A31542" s="6"/>
      <c r="B31542" s="6"/>
      <c r="H31542" s="13"/>
    </row>
    <row r="31543">
      <c r="A31543" s="6"/>
      <c r="B31543" s="6"/>
      <c r="H31543" s="13"/>
    </row>
    <row r="31544">
      <c r="A31544" s="6"/>
      <c r="B31544" s="6"/>
      <c r="H31544" s="13"/>
    </row>
    <row r="31545">
      <c r="A31545" s="6"/>
      <c r="B31545" s="6"/>
      <c r="H31545" s="13"/>
    </row>
    <row r="31546">
      <c r="A31546" s="6"/>
      <c r="B31546" s="6"/>
      <c r="H31546" s="13"/>
    </row>
    <row r="31547">
      <c r="A31547" s="6"/>
      <c r="B31547" s="6"/>
      <c r="H31547" s="13"/>
    </row>
    <row r="31548">
      <c r="A31548" s="6"/>
      <c r="B31548" s="6"/>
      <c r="H31548" s="13"/>
    </row>
    <row r="31549">
      <c r="A31549" s="6"/>
      <c r="B31549" s="6"/>
      <c r="H31549" s="13"/>
    </row>
    <row r="31550">
      <c r="A31550" s="6"/>
      <c r="B31550" s="6"/>
      <c r="H31550" s="13"/>
    </row>
    <row r="31551">
      <c r="A31551" s="6"/>
      <c r="B31551" s="6"/>
      <c r="H31551" s="13"/>
    </row>
    <row r="31552">
      <c r="A31552" s="6"/>
      <c r="B31552" s="6"/>
      <c r="H31552" s="13"/>
    </row>
    <row r="31553">
      <c r="A31553" s="6"/>
      <c r="B31553" s="6"/>
      <c r="H31553" s="13"/>
    </row>
    <row r="31554">
      <c r="A31554" s="6"/>
      <c r="B31554" s="6"/>
      <c r="H31554" s="13"/>
    </row>
    <row r="31555">
      <c r="A31555" s="6"/>
      <c r="B31555" s="6"/>
      <c r="H31555" s="13"/>
    </row>
    <row r="31556">
      <c r="A31556" s="6"/>
      <c r="B31556" s="6"/>
      <c r="H31556" s="13"/>
    </row>
    <row r="31557">
      <c r="A31557" s="6"/>
      <c r="B31557" s="6"/>
      <c r="H31557" s="13"/>
    </row>
    <row r="31558">
      <c r="A31558" s="6"/>
      <c r="B31558" s="6"/>
      <c r="H31558" s="13"/>
    </row>
    <row r="31559">
      <c r="A31559" s="6"/>
      <c r="B31559" s="6"/>
      <c r="H31559" s="13"/>
    </row>
    <row r="31560">
      <c r="A31560" s="6"/>
      <c r="B31560" s="6"/>
      <c r="H31560" s="13"/>
    </row>
    <row r="31561">
      <c r="A31561" s="6"/>
      <c r="B31561" s="6"/>
      <c r="H31561" s="13"/>
    </row>
    <row r="31562">
      <c r="A31562" s="6"/>
      <c r="B31562" s="6"/>
      <c r="H31562" s="13"/>
    </row>
    <row r="31563">
      <c r="A31563" s="6"/>
      <c r="B31563" s="6"/>
      <c r="H31563" s="13"/>
    </row>
    <row r="31564">
      <c r="A31564" s="6"/>
      <c r="B31564" s="6"/>
      <c r="H31564" s="13"/>
    </row>
    <row r="31565">
      <c r="A31565" s="6"/>
      <c r="B31565" s="6"/>
      <c r="H31565" s="13"/>
    </row>
    <row r="31566">
      <c r="A31566" s="6"/>
      <c r="B31566" s="6"/>
      <c r="H31566" s="13"/>
    </row>
    <row r="31567">
      <c r="A31567" s="6"/>
      <c r="B31567" s="6"/>
      <c r="H31567" s="13"/>
    </row>
    <row r="31568">
      <c r="A31568" s="6"/>
      <c r="B31568" s="6"/>
      <c r="H31568" s="13"/>
    </row>
    <row r="31569">
      <c r="A31569" s="6"/>
      <c r="B31569" s="6"/>
      <c r="H31569" s="13"/>
    </row>
    <row r="31570">
      <c r="A31570" s="6"/>
      <c r="B31570" s="6"/>
      <c r="H31570" s="13"/>
    </row>
    <row r="31571">
      <c r="A31571" s="6"/>
      <c r="B31571" s="6"/>
      <c r="H31571" s="13"/>
    </row>
    <row r="31572">
      <c r="A31572" s="6"/>
      <c r="B31572" s="6"/>
      <c r="H31572" s="13"/>
    </row>
    <row r="31573">
      <c r="A31573" s="6"/>
      <c r="B31573" s="6"/>
      <c r="H31573" s="13"/>
    </row>
    <row r="31574">
      <c r="A31574" s="6"/>
      <c r="B31574" s="6"/>
      <c r="H31574" s="13"/>
    </row>
    <row r="31575">
      <c r="A31575" s="6"/>
      <c r="B31575" s="6"/>
      <c r="H31575" s="13"/>
    </row>
    <row r="31576">
      <c r="A31576" s="6"/>
      <c r="B31576" s="6"/>
      <c r="H31576" s="13"/>
    </row>
    <row r="31577">
      <c r="A31577" s="6"/>
      <c r="B31577" s="6"/>
      <c r="H31577" s="13"/>
    </row>
    <row r="31578">
      <c r="A31578" s="6"/>
      <c r="B31578" s="6"/>
      <c r="H31578" s="13"/>
    </row>
    <row r="31579">
      <c r="A31579" s="6"/>
      <c r="B31579" s="6"/>
      <c r="H31579" s="13"/>
    </row>
    <row r="31580">
      <c r="A31580" s="6"/>
      <c r="B31580" s="6"/>
      <c r="H31580" s="13"/>
    </row>
    <row r="31581">
      <c r="A31581" s="6"/>
      <c r="B31581" s="6"/>
      <c r="H31581" s="13"/>
    </row>
    <row r="31582">
      <c r="A31582" s="6"/>
      <c r="B31582" s="6"/>
      <c r="H31582" s="13"/>
    </row>
    <row r="31583">
      <c r="A31583" s="6"/>
      <c r="B31583" s="6"/>
      <c r="H31583" s="13"/>
    </row>
    <row r="31584">
      <c r="A31584" s="6"/>
      <c r="B31584" s="6"/>
      <c r="H31584" s="13"/>
    </row>
    <row r="31585">
      <c r="A31585" s="6"/>
      <c r="B31585" s="6"/>
      <c r="H31585" s="13"/>
    </row>
    <row r="31586">
      <c r="A31586" s="6"/>
      <c r="B31586" s="6"/>
      <c r="H31586" s="13"/>
    </row>
    <row r="31587">
      <c r="A31587" s="6"/>
      <c r="B31587" s="6"/>
      <c r="H31587" s="13"/>
    </row>
    <row r="31588">
      <c r="A31588" s="6"/>
      <c r="B31588" s="6"/>
      <c r="H31588" s="13"/>
    </row>
    <row r="31589">
      <c r="A31589" s="6"/>
      <c r="B31589" s="6"/>
      <c r="H31589" s="13"/>
    </row>
    <row r="31590">
      <c r="A31590" s="6"/>
      <c r="B31590" s="6"/>
      <c r="H31590" s="13"/>
    </row>
    <row r="31591">
      <c r="A31591" s="6"/>
      <c r="B31591" s="6"/>
      <c r="H31591" s="13"/>
    </row>
    <row r="31592">
      <c r="A31592" s="6"/>
      <c r="B31592" s="6"/>
      <c r="H31592" s="13"/>
    </row>
    <row r="31593">
      <c r="A31593" s="6"/>
      <c r="B31593" s="6"/>
      <c r="H31593" s="13"/>
    </row>
    <row r="31594">
      <c r="A31594" s="6"/>
      <c r="B31594" s="6"/>
      <c r="H31594" s="13"/>
    </row>
    <row r="31595">
      <c r="A31595" s="6"/>
      <c r="B31595" s="6"/>
      <c r="H31595" s="13"/>
    </row>
    <row r="31596">
      <c r="A31596" s="6"/>
      <c r="B31596" s="6"/>
      <c r="H31596" s="13"/>
    </row>
    <row r="31597">
      <c r="A31597" s="6"/>
      <c r="B31597" s="6"/>
      <c r="H31597" s="13"/>
    </row>
    <row r="31598">
      <c r="A31598" s="6"/>
      <c r="B31598" s="6"/>
      <c r="H31598" s="13"/>
    </row>
    <row r="31599">
      <c r="A31599" s="6"/>
      <c r="B31599" s="6"/>
      <c r="H31599" s="13"/>
    </row>
    <row r="31600">
      <c r="A31600" s="6"/>
      <c r="B31600" s="6"/>
      <c r="H31600" s="13"/>
    </row>
    <row r="31601">
      <c r="A31601" s="6"/>
      <c r="B31601" s="6"/>
      <c r="H31601" s="13"/>
    </row>
    <row r="31602">
      <c r="A31602" s="6"/>
      <c r="B31602" s="6"/>
      <c r="H31602" s="13"/>
    </row>
    <row r="31603">
      <c r="A31603" s="6"/>
      <c r="B31603" s="6"/>
      <c r="H31603" s="13"/>
    </row>
    <row r="31604">
      <c r="A31604" s="6"/>
      <c r="B31604" s="6"/>
      <c r="H31604" s="13"/>
    </row>
    <row r="31605">
      <c r="A31605" s="6"/>
      <c r="B31605" s="6"/>
      <c r="H31605" s="13"/>
    </row>
    <row r="31606">
      <c r="A31606" s="6"/>
      <c r="B31606" s="6"/>
      <c r="H31606" s="13"/>
    </row>
    <row r="31607">
      <c r="A31607" s="6"/>
      <c r="B31607" s="6"/>
      <c r="H31607" s="13"/>
    </row>
    <row r="31608">
      <c r="A31608" s="6"/>
      <c r="B31608" s="6"/>
      <c r="H31608" s="13"/>
    </row>
    <row r="31609">
      <c r="A31609" s="6"/>
      <c r="B31609" s="6"/>
      <c r="H31609" s="13"/>
    </row>
    <row r="31610">
      <c r="A31610" s="6"/>
      <c r="B31610" s="6"/>
      <c r="H31610" s="13"/>
    </row>
    <row r="31611">
      <c r="A31611" s="6"/>
      <c r="B31611" s="6"/>
      <c r="H31611" s="13"/>
    </row>
    <row r="31612">
      <c r="A31612" s="6"/>
      <c r="B31612" s="6"/>
      <c r="H31612" s="13"/>
    </row>
    <row r="31613">
      <c r="A31613" s="6"/>
      <c r="B31613" s="6"/>
      <c r="H31613" s="13"/>
    </row>
    <row r="31614">
      <c r="A31614" s="6"/>
      <c r="B31614" s="6"/>
      <c r="H31614" s="13"/>
    </row>
    <row r="31615">
      <c r="A31615" s="6"/>
      <c r="B31615" s="6"/>
      <c r="H31615" s="13"/>
    </row>
    <row r="31616">
      <c r="A31616" s="6"/>
      <c r="B31616" s="6"/>
      <c r="H31616" s="13"/>
    </row>
    <row r="31617">
      <c r="A31617" s="6"/>
      <c r="B31617" s="6"/>
      <c r="H31617" s="13"/>
    </row>
    <row r="31618">
      <c r="A31618" s="6"/>
      <c r="B31618" s="6"/>
      <c r="H31618" s="13"/>
    </row>
    <row r="31619">
      <c r="A31619" s="6"/>
      <c r="B31619" s="6"/>
      <c r="H31619" s="13"/>
    </row>
    <row r="31620">
      <c r="A31620" s="6"/>
      <c r="B31620" s="6"/>
      <c r="H31620" s="13"/>
    </row>
    <row r="31621">
      <c r="A31621" s="6"/>
      <c r="B31621" s="6"/>
      <c r="H31621" s="13"/>
    </row>
    <row r="31622">
      <c r="A31622" s="6"/>
      <c r="B31622" s="6"/>
      <c r="H31622" s="13"/>
    </row>
    <row r="31623">
      <c r="A31623" s="6"/>
      <c r="B31623" s="6"/>
      <c r="H31623" s="13"/>
    </row>
    <row r="31624">
      <c r="A31624" s="6"/>
      <c r="B31624" s="6"/>
      <c r="H31624" s="13"/>
    </row>
    <row r="31625">
      <c r="A31625" s="6"/>
      <c r="B31625" s="6"/>
      <c r="H31625" s="13"/>
    </row>
    <row r="31626">
      <c r="A31626" s="6"/>
      <c r="B31626" s="6"/>
      <c r="H31626" s="13"/>
    </row>
    <row r="31627">
      <c r="A31627" s="6"/>
      <c r="B31627" s="6"/>
      <c r="H31627" s="13"/>
    </row>
    <row r="31628">
      <c r="A31628" s="6"/>
      <c r="B31628" s="6"/>
      <c r="H31628" s="13"/>
    </row>
    <row r="31629">
      <c r="A31629" s="6"/>
      <c r="B31629" s="6"/>
      <c r="H31629" s="13"/>
    </row>
    <row r="31630">
      <c r="A31630" s="6"/>
      <c r="B31630" s="6"/>
      <c r="H31630" s="13"/>
    </row>
    <row r="31631">
      <c r="A31631" s="6"/>
      <c r="B31631" s="6"/>
      <c r="H31631" s="13"/>
    </row>
    <row r="31632">
      <c r="A31632" s="6"/>
      <c r="B31632" s="6"/>
      <c r="H31632" s="13"/>
    </row>
    <row r="31633">
      <c r="A31633" s="6"/>
      <c r="B31633" s="6"/>
      <c r="H31633" s="13"/>
    </row>
    <row r="31634">
      <c r="A31634" s="6"/>
      <c r="B31634" s="6"/>
      <c r="H31634" s="13"/>
    </row>
    <row r="31635">
      <c r="A31635" s="6"/>
      <c r="B31635" s="6"/>
      <c r="H31635" s="13"/>
    </row>
    <row r="31636">
      <c r="A31636" s="6"/>
      <c r="B31636" s="6"/>
      <c r="H31636" s="13"/>
    </row>
    <row r="31637">
      <c r="A31637" s="6"/>
      <c r="B31637" s="6"/>
      <c r="H31637" s="13"/>
    </row>
    <row r="31638">
      <c r="A31638" s="6"/>
      <c r="B31638" s="6"/>
      <c r="H31638" s="13"/>
    </row>
    <row r="31639">
      <c r="A31639" s="6"/>
      <c r="B31639" s="6"/>
      <c r="H31639" s="13"/>
    </row>
    <row r="31640">
      <c r="A31640" s="6"/>
      <c r="B31640" s="6"/>
      <c r="H31640" s="13"/>
    </row>
    <row r="31641">
      <c r="A31641" s="6"/>
      <c r="B31641" s="6"/>
      <c r="H31641" s="13"/>
    </row>
    <row r="31642">
      <c r="A31642" s="6"/>
      <c r="B31642" s="6"/>
      <c r="H31642" s="13"/>
    </row>
    <row r="31643">
      <c r="A31643" s="6"/>
      <c r="B31643" s="6"/>
      <c r="H31643" s="13"/>
    </row>
    <row r="31644">
      <c r="A31644" s="6"/>
      <c r="B31644" s="6"/>
      <c r="H31644" s="13"/>
    </row>
    <row r="31645">
      <c r="A31645" s="6"/>
      <c r="B31645" s="6"/>
      <c r="H31645" s="13"/>
    </row>
    <row r="31646">
      <c r="A31646" s="6"/>
      <c r="B31646" s="6"/>
      <c r="H31646" s="13"/>
    </row>
    <row r="31647">
      <c r="A31647" s="6"/>
      <c r="B31647" s="6"/>
      <c r="H31647" s="13"/>
    </row>
    <row r="31648">
      <c r="A31648" s="6"/>
      <c r="B31648" s="6"/>
      <c r="H31648" s="13"/>
    </row>
    <row r="31649">
      <c r="A31649" s="6"/>
      <c r="B31649" s="6"/>
      <c r="H31649" s="13"/>
    </row>
    <row r="31650">
      <c r="A31650" s="6"/>
      <c r="B31650" s="6"/>
      <c r="H31650" s="13"/>
    </row>
    <row r="31651">
      <c r="A31651" s="6"/>
      <c r="B31651" s="6"/>
      <c r="H31651" s="13"/>
    </row>
    <row r="31652">
      <c r="A31652" s="6"/>
      <c r="B31652" s="6"/>
      <c r="H31652" s="13"/>
    </row>
    <row r="31653">
      <c r="A31653" s="6"/>
      <c r="B31653" s="6"/>
      <c r="H31653" s="13"/>
    </row>
    <row r="31654">
      <c r="A31654" s="6"/>
      <c r="B31654" s="6"/>
      <c r="H31654" s="13"/>
    </row>
    <row r="31655">
      <c r="A31655" s="6"/>
      <c r="B31655" s="6"/>
      <c r="H31655" s="13"/>
    </row>
    <row r="31656">
      <c r="A31656" s="6"/>
      <c r="B31656" s="6"/>
      <c r="H31656" s="13"/>
    </row>
    <row r="31657">
      <c r="A31657" s="6"/>
      <c r="B31657" s="6"/>
      <c r="H31657" s="13"/>
    </row>
    <row r="31658">
      <c r="A31658" s="6"/>
      <c r="B31658" s="6"/>
      <c r="H31658" s="13"/>
    </row>
    <row r="31659">
      <c r="A31659" s="6"/>
      <c r="B31659" s="6"/>
      <c r="H31659" s="13"/>
    </row>
    <row r="31660">
      <c r="A31660" s="6"/>
      <c r="B31660" s="6"/>
      <c r="H31660" s="13"/>
    </row>
    <row r="31661">
      <c r="A31661" s="6"/>
      <c r="B31661" s="6"/>
      <c r="H31661" s="13"/>
    </row>
    <row r="31662">
      <c r="A31662" s="6"/>
      <c r="B31662" s="6"/>
      <c r="H31662" s="13"/>
    </row>
    <row r="31663">
      <c r="A31663" s="6"/>
      <c r="B31663" s="6"/>
      <c r="H31663" s="13"/>
    </row>
    <row r="31664">
      <c r="A31664" s="6"/>
      <c r="B31664" s="6"/>
      <c r="H31664" s="13"/>
    </row>
    <row r="31665">
      <c r="A31665" s="6"/>
      <c r="B31665" s="6"/>
      <c r="H31665" s="13"/>
    </row>
    <row r="31666">
      <c r="A31666" s="6"/>
      <c r="B31666" s="6"/>
      <c r="H31666" s="13"/>
    </row>
    <row r="31667">
      <c r="A31667" s="6"/>
      <c r="B31667" s="6"/>
      <c r="H31667" s="13"/>
    </row>
    <row r="31668">
      <c r="A31668" s="6"/>
      <c r="B31668" s="6"/>
      <c r="H31668" s="13"/>
    </row>
    <row r="31669">
      <c r="A31669" s="6"/>
      <c r="B31669" s="6"/>
      <c r="H31669" s="13"/>
    </row>
    <row r="31670">
      <c r="A31670" s="6"/>
      <c r="B31670" s="6"/>
      <c r="H31670" s="13"/>
    </row>
    <row r="31671">
      <c r="A31671" s="6"/>
      <c r="B31671" s="6"/>
      <c r="H31671" s="13"/>
    </row>
    <row r="31672">
      <c r="A31672" s="6"/>
      <c r="B31672" s="6"/>
      <c r="H31672" s="13"/>
    </row>
    <row r="31673">
      <c r="A31673" s="6"/>
      <c r="B31673" s="6"/>
      <c r="H31673" s="13"/>
    </row>
    <row r="31674">
      <c r="A31674" s="6"/>
      <c r="B31674" s="6"/>
      <c r="H31674" s="13"/>
    </row>
    <row r="31675">
      <c r="A31675" s="6"/>
      <c r="B31675" s="6"/>
      <c r="H31675" s="13"/>
    </row>
    <row r="31676">
      <c r="A31676" s="6"/>
      <c r="B31676" s="6"/>
      <c r="H31676" s="13"/>
    </row>
    <row r="31677">
      <c r="A31677" s="6"/>
      <c r="B31677" s="6"/>
      <c r="H31677" s="13"/>
    </row>
    <row r="31678">
      <c r="A31678" s="6"/>
      <c r="B31678" s="6"/>
      <c r="H31678" s="13"/>
    </row>
    <row r="31679">
      <c r="A31679" s="6"/>
      <c r="B31679" s="6"/>
      <c r="H31679" s="13"/>
    </row>
    <row r="31680">
      <c r="A31680" s="6"/>
      <c r="B31680" s="6"/>
      <c r="H31680" s="13"/>
    </row>
    <row r="31681">
      <c r="A31681" s="6"/>
      <c r="B31681" s="6"/>
      <c r="H31681" s="13"/>
    </row>
    <row r="31682">
      <c r="A31682" s="6"/>
      <c r="B31682" s="6"/>
      <c r="H31682" s="13"/>
    </row>
    <row r="31683">
      <c r="A31683" s="6"/>
      <c r="B31683" s="6"/>
      <c r="H31683" s="13"/>
    </row>
    <row r="31684">
      <c r="A31684" s="6"/>
      <c r="B31684" s="6"/>
      <c r="H31684" s="13"/>
    </row>
    <row r="31685">
      <c r="A31685" s="6"/>
      <c r="B31685" s="6"/>
      <c r="H31685" s="13"/>
    </row>
    <row r="31686">
      <c r="A31686" s="6"/>
      <c r="B31686" s="6"/>
      <c r="H31686" s="13"/>
    </row>
    <row r="31687">
      <c r="A31687" s="6"/>
      <c r="B31687" s="6"/>
      <c r="H31687" s="13"/>
    </row>
    <row r="31688">
      <c r="A31688" s="6"/>
      <c r="B31688" s="6"/>
      <c r="H31688" s="13"/>
    </row>
    <row r="31689">
      <c r="A31689" s="6"/>
      <c r="B31689" s="6"/>
      <c r="H31689" s="13"/>
    </row>
    <row r="31690">
      <c r="A31690" s="6"/>
      <c r="B31690" s="6"/>
      <c r="H31690" s="13"/>
    </row>
    <row r="31691">
      <c r="A31691" s="6"/>
      <c r="B31691" s="6"/>
      <c r="H31691" s="13"/>
    </row>
    <row r="31692">
      <c r="A31692" s="6"/>
      <c r="B31692" s="6"/>
      <c r="H31692" s="13"/>
    </row>
    <row r="31693">
      <c r="A31693" s="6"/>
      <c r="B31693" s="6"/>
      <c r="H31693" s="13"/>
    </row>
    <row r="31694">
      <c r="A31694" s="6"/>
      <c r="B31694" s="6"/>
      <c r="H31694" s="13"/>
    </row>
    <row r="31695">
      <c r="A31695" s="6"/>
      <c r="B31695" s="6"/>
      <c r="H31695" s="13"/>
    </row>
    <row r="31696">
      <c r="A31696" s="6"/>
      <c r="B31696" s="6"/>
      <c r="H31696" s="13"/>
    </row>
    <row r="31697">
      <c r="A31697" s="6"/>
      <c r="B31697" s="6"/>
      <c r="H31697" s="13"/>
    </row>
    <row r="31698">
      <c r="A31698" s="6"/>
      <c r="B31698" s="6"/>
      <c r="H31698" s="13"/>
    </row>
    <row r="31699">
      <c r="A31699" s="6"/>
      <c r="B31699" s="6"/>
      <c r="H31699" s="13"/>
    </row>
    <row r="31700">
      <c r="A31700" s="6"/>
      <c r="B31700" s="6"/>
      <c r="H31700" s="13"/>
    </row>
    <row r="31701">
      <c r="A31701" s="6"/>
      <c r="B31701" s="6"/>
      <c r="H31701" s="13"/>
    </row>
    <row r="31702">
      <c r="A31702" s="6"/>
      <c r="B31702" s="6"/>
      <c r="H31702" s="13"/>
    </row>
    <row r="31703">
      <c r="A31703" s="6"/>
      <c r="B31703" s="6"/>
      <c r="H31703" s="13"/>
    </row>
    <row r="31704">
      <c r="A31704" s="6"/>
      <c r="B31704" s="6"/>
      <c r="H31704" s="13"/>
    </row>
    <row r="31705">
      <c r="A31705" s="6"/>
      <c r="B31705" s="6"/>
      <c r="H31705" s="13"/>
    </row>
    <row r="31706">
      <c r="A31706" s="6"/>
      <c r="B31706" s="6"/>
      <c r="H31706" s="13"/>
    </row>
    <row r="31707">
      <c r="A31707" s="6"/>
      <c r="B31707" s="6"/>
      <c r="H31707" s="13"/>
    </row>
    <row r="31708">
      <c r="A31708" s="6"/>
      <c r="B31708" s="6"/>
      <c r="H31708" s="13"/>
    </row>
    <row r="31709">
      <c r="A31709" s="6"/>
      <c r="B31709" s="6"/>
      <c r="H31709" s="13"/>
    </row>
    <row r="31710">
      <c r="A31710" s="6"/>
      <c r="B31710" s="6"/>
      <c r="H31710" s="13"/>
    </row>
    <row r="31711">
      <c r="A31711" s="6"/>
      <c r="B31711" s="6"/>
      <c r="H31711" s="13"/>
    </row>
    <row r="31712">
      <c r="A31712" s="6"/>
      <c r="B31712" s="6"/>
      <c r="H31712" s="13"/>
    </row>
    <row r="31713">
      <c r="A31713" s="6"/>
      <c r="B31713" s="6"/>
      <c r="H31713" s="13"/>
    </row>
    <row r="31714">
      <c r="A31714" s="6"/>
      <c r="B31714" s="6"/>
      <c r="H31714" s="13"/>
    </row>
    <row r="31715">
      <c r="A31715" s="6"/>
      <c r="B31715" s="6"/>
      <c r="H31715" s="13"/>
    </row>
    <row r="31716">
      <c r="A31716" s="6"/>
      <c r="B31716" s="6"/>
      <c r="H31716" s="13"/>
    </row>
    <row r="31717">
      <c r="A31717" s="6"/>
      <c r="B31717" s="6"/>
      <c r="H31717" s="13"/>
    </row>
    <row r="31718">
      <c r="A31718" s="6"/>
      <c r="B31718" s="6"/>
      <c r="H31718" s="13"/>
    </row>
    <row r="31719">
      <c r="A31719" s="6"/>
      <c r="B31719" s="6"/>
      <c r="H31719" s="13"/>
    </row>
    <row r="31720">
      <c r="A31720" s="6"/>
      <c r="B31720" s="6"/>
      <c r="H31720" s="13"/>
    </row>
    <row r="31721">
      <c r="A31721" s="6"/>
      <c r="B31721" s="6"/>
      <c r="H31721" s="13"/>
    </row>
    <row r="31722">
      <c r="A31722" s="6"/>
      <c r="B31722" s="6"/>
      <c r="H31722" s="13"/>
    </row>
    <row r="31723">
      <c r="A31723" s="6"/>
      <c r="B31723" s="6"/>
      <c r="H31723" s="13"/>
    </row>
    <row r="31724">
      <c r="A31724" s="6"/>
      <c r="B31724" s="6"/>
      <c r="H31724" s="13"/>
    </row>
    <row r="31725">
      <c r="A31725" s="6"/>
      <c r="B31725" s="6"/>
      <c r="H31725" s="13"/>
    </row>
    <row r="31726">
      <c r="A31726" s="6"/>
      <c r="B31726" s="6"/>
      <c r="H31726" s="13"/>
    </row>
    <row r="31727">
      <c r="A31727" s="6"/>
      <c r="B31727" s="6"/>
      <c r="H31727" s="13"/>
    </row>
    <row r="31728">
      <c r="A31728" s="6"/>
      <c r="B31728" s="6"/>
      <c r="H31728" s="13"/>
    </row>
    <row r="31729">
      <c r="A31729" s="6"/>
      <c r="B31729" s="6"/>
      <c r="H31729" s="13"/>
    </row>
    <row r="31730">
      <c r="A31730" s="6"/>
      <c r="B31730" s="6"/>
      <c r="H31730" s="13"/>
    </row>
    <row r="31731">
      <c r="A31731" s="6"/>
      <c r="B31731" s="6"/>
      <c r="H31731" s="13"/>
    </row>
    <row r="31732">
      <c r="A31732" s="6"/>
      <c r="B31732" s="6"/>
      <c r="H31732" s="13"/>
    </row>
    <row r="31733">
      <c r="A31733" s="6"/>
      <c r="B31733" s="6"/>
      <c r="H31733" s="13"/>
    </row>
    <row r="31734">
      <c r="A31734" s="6"/>
      <c r="B31734" s="6"/>
      <c r="H31734" s="13"/>
    </row>
    <row r="31735">
      <c r="A31735" s="6"/>
      <c r="B31735" s="6"/>
      <c r="H31735" s="13"/>
    </row>
    <row r="31736">
      <c r="A31736" s="6"/>
      <c r="B31736" s="6"/>
      <c r="H31736" s="13"/>
    </row>
    <row r="31737">
      <c r="A31737" s="6"/>
      <c r="B31737" s="6"/>
      <c r="H31737" s="13"/>
    </row>
    <row r="31738">
      <c r="A31738" s="6"/>
      <c r="B31738" s="6"/>
      <c r="H31738" s="13"/>
    </row>
    <row r="31739">
      <c r="A31739" s="6"/>
      <c r="B31739" s="6"/>
      <c r="H31739" s="13"/>
    </row>
    <row r="31740">
      <c r="A31740" s="6"/>
      <c r="B31740" s="6"/>
      <c r="H31740" s="13"/>
    </row>
    <row r="31741">
      <c r="A31741" s="6"/>
      <c r="B31741" s="6"/>
      <c r="H31741" s="13"/>
    </row>
    <row r="31742">
      <c r="A31742" s="6"/>
      <c r="B31742" s="6"/>
      <c r="H31742" s="13"/>
    </row>
    <row r="31743">
      <c r="A31743" s="6"/>
      <c r="B31743" s="6"/>
      <c r="H31743" s="13"/>
    </row>
    <row r="31744">
      <c r="A31744" s="6"/>
      <c r="B31744" s="6"/>
      <c r="H31744" s="13"/>
    </row>
    <row r="31745">
      <c r="A31745" s="6"/>
      <c r="B31745" s="6"/>
      <c r="H31745" s="13"/>
    </row>
    <row r="31746">
      <c r="A31746" s="6"/>
      <c r="B31746" s="6"/>
      <c r="H31746" s="13"/>
    </row>
    <row r="31747">
      <c r="A31747" s="6"/>
      <c r="B31747" s="6"/>
      <c r="H31747" s="13"/>
    </row>
    <row r="31748">
      <c r="A31748" s="6"/>
      <c r="B31748" s="6"/>
      <c r="H31748" s="13"/>
    </row>
    <row r="31749">
      <c r="A31749" s="6"/>
      <c r="B31749" s="6"/>
      <c r="H31749" s="13"/>
    </row>
    <row r="31750">
      <c r="A31750" s="6"/>
      <c r="B31750" s="6"/>
      <c r="H31750" s="13"/>
    </row>
    <row r="31751">
      <c r="A31751" s="6"/>
      <c r="B31751" s="6"/>
      <c r="H31751" s="13"/>
    </row>
    <row r="31752">
      <c r="A31752" s="6"/>
      <c r="B31752" s="6"/>
      <c r="H31752" s="13"/>
    </row>
    <row r="31753">
      <c r="A31753" s="6"/>
      <c r="B31753" s="6"/>
      <c r="H31753" s="13"/>
    </row>
    <row r="31754">
      <c r="A31754" s="6"/>
      <c r="B31754" s="6"/>
      <c r="H31754" s="13"/>
    </row>
    <row r="31755">
      <c r="A31755" s="6"/>
      <c r="B31755" s="6"/>
      <c r="H31755" s="13"/>
    </row>
    <row r="31756">
      <c r="A31756" s="6"/>
      <c r="B31756" s="6"/>
      <c r="H31756" s="13"/>
    </row>
    <row r="31757">
      <c r="A31757" s="6"/>
      <c r="B31757" s="6"/>
      <c r="H31757" s="13"/>
    </row>
    <row r="31758">
      <c r="A31758" s="6"/>
      <c r="B31758" s="6"/>
      <c r="H31758" s="13"/>
    </row>
    <row r="31759">
      <c r="A31759" s="6"/>
      <c r="B31759" s="6"/>
      <c r="H31759" s="13"/>
    </row>
    <row r="31760">
      <c r="A31760" s="6"/>
      <c r="B31760" s="6"/>
      <c r="H31760" s="13"/>
    </row>
    <row r="31761">
      <c r="A31761" s="6"/>
      <c r="B31761" s="6"/>
      <c r="H31761" s="13"/>
    </row>
    <row r="31762">
      <c r="A31762" s="6"/>
      <c r="B31762" s="6"/>
      <c r="H31762" s="13"/>
    </row>
    <row r="31763">
      <c r="A31763" s="6"/>
      <c r="B31763" s="6"/>
      <c r="H31763" s="13"/>
    </row>
    <row r="31764">
      <c r="A31764" s="6"/>
      <c r="B31764" s="6"/>
      <c r="H31764" s="13"/>
    </row>
    <row r="31765">
      <c r="A31765" s="6"/>
      <c r="B31765" s="6"/>
      <c r="H31765" s="13"/>
    </row>
    <row r="31766">
      <c r="A31766" s="6"/>
      <c r="B31766" s="6"/>
      <c r="H31766" s="13"/>
    </row>
    <row r="31767">
      <c r="A31767" s="6"/>
      <c r="B31767" s="6"/>
      <c r="H31767" s="13"/>
    </row>
    <row r="31768">
      <c r="A31768" s="6"/>
      <c r="B31768" s="6"/>
      <c r="H31768" s="13"/>
    </row>
    <row r="31769">
      <c r="A31769" s="6"/>
      <c r="B31769" s="6"/>
      <c r="H31769" s="13"/>
    </row>
    <row r="31770">
      <c r="A31770" s="6"/>
      <c r="B31770" s="6"/>
      <c r="H31770" s="13"/>
    </row>
    <row r="31771">
      <c r="A31771" s="6"/>
      <c r="B31771" s="6"/>
      <c r="H31771" s="13"/>
    </row>
    <row r="31772">
      <c r="A31772" s="6"/>
      <c r="B31772" s="6"/>
      <c r="H31772" s="13"/>
    </row>
    <row r="31773">
      <c r="A31773" s="6"/>
      <c r="B31773" s="6"/>
      <c r="H31773" s="13"/>
    </row>
    <row r="31774">
      <c r="A31774" s="6"/>
      <c r="B31774" s="6"/>
      <c r="H31774" s="13"/>
    </row>
    <row r="31775">
      <c r="A31775" s="6"/>
      <c r="B31775" s="6"/>
      <c r="H31775" s="13"/>
    </row>
    <row r="31776">
      <c r="A31776" s="6"/>
      <c r="B31776" s="6"/>
      <c r="H31776" s="13"/>
    </row>
    <row r="31777">
      <c r="A31777" s="6"/>
      <c r="B31777" s="6"/>
      <c r="H31777" s="13"/>
    </row>
    <row r="31778">
      <c r="A31778" s="6"/>
      <c r="B31778" s="6"/>
      <c r="H31778" s="13"/>
    </row>
    <row r="31779">
      <c r="A31779" s="6"/>
      <c r="B31779" s="6"/>
      <c r="H31779" s="13"/>
    </row>
    <row r="31780">
      <c r="A31780" s="6"/>
      <c r="B31780" s="6"/>
      <c r="H31780" s="13"/>
    </row>
    <row r="31781">
      <c r="A31781" s="6"/>
      <c r="B31781" s="6"/>
      <c r="H31781" s="13"/>
    </row>
    <row r="31782">
      <c r="A31782" s="6"/>
      <c r="B31782" s="6"/>
      <c r="H31782" s="13"/>
    </row>
    <row r="31783">
      <c r="A31783" s="6"/>
      <c r="B31783" s="6"/>
      <c r="H31783" s="13"/>
    </row>
    <row r="31784">
      <c r="A31784" s="6"/>
      <c r="B31784" s="6"/>
      <c r="H31784" s="13"/>
    </row>
    <row r="31785">
      <c r="A31785" s="6"/>
      <c r="B31785" s="6"/>
      <c r="H31785" s="13"/>
    </row>
    <row r="31786">
      <c r="A31786" s="6"/>
      <c r="B31786" s="6"/>
      <c r="H31786" s="13"/>
    </row>
    <row r="31787">
      <c r="A31787" s="6"/>
      <c r="B31787" s="6"/>
      <c r="H31787" s="13"/>
    </row>
    <row r="31788">
      <c r="A31788" s="6"/>
      <c r="B31788" s="6"/>
      <c r="H31788" s="13"/>
    </row>
    <row r="31789">
      <c r="A31789" s="6"/>
      <c r="B31789" s="6"/>
      <c r="H31789" s="13"/>
    </row>
    <row r="31790">
      <c r="A31790" s="6"/>
      <c r="B31790" s="6"/>
      <c r="H31790" s="13"/>
    </row>
    <row r="31791">
      <c r="A31791" s="6"/>
      <c r="B31791" s="6"/>
      <c r="H31791" s="13"/>
    </row>
    <row r="31792">
      <c r="A31792" s="6"/>
      <c r="B31792" s="6"/>
      <c r="H31792" s="13"/>
    </row>
    <row r="31793">
      <c r="A31793" s="6"/>
      <c r="B31793" s="6"/>
      <c r="H31793" s="13"/>
    </row>
    <row r="31794">
      <c r="A31794" s="6"/>
      <c r="B31794" s="6"/>
      <c r="H31794" s="13"/>
    </row>
    <row r="31795">
      <c r="A31795" s="6"/>
      <c r="B31795" s="6"/>
      <c r="H31795" s="13"/>
    </row>
    <row r="31796">
      <c r="A31796" s="6"/>
      <c r="B31796" s="6"/>
      <c r="H31796" s="13"/>
    </row>
    <row r="31797">
      <c r="A31797" s="6"/>
      <c r="B31797" s="6"/>
      <c r="H31797" s="13"/>
    </row>
    <row r="31798">
      <c r="A31798" s="6"/>
      <c r="B31798" s="6"/>
      <c r="H31798" s="13"/>
    </row>
    <row r="31799">
      <c r="A31799" s="6"/>
      <c r="B31799" s="6"/>
      <c r="H31799" s="13"/>
    </row>
    <row r="31800">
      <c r="A31800" s="6"/>
      <c r="B31800" s="6"/>
      <c r="H31800" s="13"/>
    </row>
    <row r="31801">
      <c r="A31801" s="6"/>
      <c r="B31801" s="6"/>
      <c r="H31801" s="13"/>
    </row>
    <row r="31802">
      <c r="A31802" s="6"/>
      <c r="B31802" s="6"/>
      <c r="H31802" s="13"/>
    </row>
    <row r="31803">
      <c r="A31803" s="6"/>
      <c r="B31803" s="6"/>
      <c r="H31803" s="13"/>
    </row>
    <row r="31804">
      <c r="A31804" s="6"/>
      <c r="B31804" s="6"/>
      <c r="H31804" s="13"/>
    </row>
    <row r="31805">
      <c r="A31805" s="6"/>
      <c r="B31805" s="6"/>
      <c r="H31805" s="13"/>
    </row>
    <row r="31806">
      <c r="A31806" s="6"/>
      <c r="B31806" s="6"/>
      <c r="H31806" s="13"/>
    </row>
    <row r="31807">
      <c r="A31807" s="6"/>
      <c r="B31807" s="6"/>
      <c r="H31807" s="13"/>
    </row>
    <row r="31808">
      <c r="A31808" s="6"/>
      <c r="B31808" s="6"/>
      <c r="H31808" s="13"/>
    </row>
    <row r="31809">
      <c r="A31809" s="6"/>
      <c r="B31809" s="6"/>
      <c r="H31809" s="13"/>
    </row>
    <row r="31810">
      <c r="A31810" s="6"/>
      <c r="B31810" s="6"/>
      <c r="H31810" s="13"/>
    </row>
    <row r="31811">
      <c r="A31811" s="6"/>
      <c r="B31811" s="6"/>
      <c r="H31811" s="13"/>
    </row>
    <row r="31812">
      <c r="A31812" s="6"/>
      <c r="B31812" s="6"/>
      <c r="H31812" s="13"/>
    </row>
    <row r="31813">
      <c r="A31813" s="6"/>
      <c r="B31813" s="6"/>
      <c r="H31813" s="13"/>
    </row>
    <row r="31814">
      <c r="A31814" s="6"/>
      <c r="B31814" s="6"/>
      <c r="H31814" s="13"/>
    </row>
    <row r="31815">
      <c r="A31815" s="6"/>
      <c r="B31815" s="6"/>
      <c r="H31815" s="13"/>
    </row>
    <row r="31816">
      <c r="A31816" s="6"/>
      <c r="B31816" s="6"/>
      <c r="H31816" s="13"/>
    </row>
    <row r="31817">
      <c r="A31817" s="6"/>
      <c r="B31817" s="6"/>
      <c r="H31817" s="13"/>
    </row>
    <row r="31818">
      <c r="A31818" s="6"/>
      <c r="B31818" s="6"/>
      <c r="H31818" s="13"/>
    </row>
    <row r="31819">
      <c r="A31819" s="6"/>
      <c r="B31819" s="6"/>
      <c r="H31819" s="13"/>
    </row>
    <row r="31820">
      <c r="A31820" s="6"/>
      <c r="B31820" s="6"/>
      <c r="H31820" s="13"/>
    </row>
    <row r="31821">
      <c r="A31821" s="6"/>
      <c r="B31821" s="6"/>
      <c r="H31821" s="13"/>
    </row>
    <row r="31822">
      <c r="A31822" s="6"/>
      <c r="B31822" s="6"/>
      <c r="H31822" s="13"/>
    </row>
    <row r="31823">
      <c r="A31823" s="6"/>
      <c r="B31823" s="6"/>
      <c r="H31823" s="13"/>
    </row>
    <row r="31824">
      <c r="A31824" s="6"/>
      <c r="B31824" s="6"/>
      <c r="H31824" s="13"/>
    </row>
    <row r="31825">
      <c r="A31825" s="6"/>
      <c r="B31825" s="6"/>
      <c r="H31825" s="13"/>
    </row>
    <row r="31826">
      <c r="A31826" s="6"/>
      <c r="B31826" s="6"/>
      <c r="H31826" s="13"/>
    </row>
    <row r="31827">
      <c r="A31827" s="6"/>
      <c r="B31827" s="6"/>
      <c r="H31827" s="13"/>
    </row>
    <row r="31828">
      <c r="A31828" s="6"/>
      <c r="B31828" s="6"/>
      <c r="H31828" s="13"/>
    </row>
    <row r="31829">
      <c r="A31829" s="6"/>
      <c r="B31829" s="6"/>
      <c r="H31829" s="13"/>
    </row>
    <row r="31830">
      <c r="A31830" s="6"/>
      <c r="B31830" s="6"/>
      <c r="H31830" s="13"/>
    </row>
    <row r="31831">
      <c r="A31831" s="6"/>
      <c r="B31831" s="6"/>
      <c r="H31831" s="13"/>
    </row>
    <row r="31832">
      <c r="A31832" s="6"/>
      <c r="B31832" s="6"/>
      <c r="H31832" s="13"/>
    </row>
    <row r="31833">
      <c r="A31833" s="6"/>
      <c r="B31833" s="6"/>
      <c r="H31833" s="13"/>
    </row>
    <row r="31834">
      <c r="A31834" s="6"/>
      <c r="B31834" s="6"/>
      <c r="H31834" s="13"/>
    </row>
    <row r="31835">
      <c r="A31835" s="6"/>
      <c r="B31835" s="6"/>
      <c r="H31835" s="13"/>
    </row>
    <row r="31836">
      <c r="A31836" s="6"/>
      <c r="B31836" s="6"/>
      <c r="H31836" s="13"/>
    </row>
    <row r="31837">
      <c r="A31837" s="6"/>
      <c r="B31837" s="6"/>
      <c r="H31837" s="13"/>
    </row>
    <row r="31838">
      <c r="A31838" s="6"/>
      <c r="B31838" s="6"/>
      <c r="H31838" s="13"/>
    </row>
    <row r="31839">
      <c r="A31839" s="6"/>
      <c r="B31839" s="6"/>
      <c r="H31839" s="13"/>
    </row>
    <row r="31840">
      <c r="A31840" s="6"/>
      <c r="B31840" s="6"/>
      <c r="H31840" s="13"/>
    </row>
    <row r="31841">
      <c r="A31841" s="6"/>
      <c r="B31841" s="6"/>
      <c r="H31841" s="13"/>
    </row>
    <row r="31842">
      <c r="A31842" s="6"/>
      <c r="B31842" s="6"/>
      <c r="H31842" s="13"/>
    </row>
    <row r="31843">
      <c r="A31843" s="6"/>
      <c r="B31843" s="6"/>
      <c r="H31843" s="13"/>
    </row>
    <row r="31844">
      <c r="A31844" s="6"/>
      <c r="B31844" s="6"/>
      <c r="H31844" s="13"/>
    </row>
    <row r="31845">
      <c r="A31845" s="6"/>
      <c r="B31845" s="6"/>
      <c r="H31845" s="13"/>
    </row>
    <row r="31846">
      <c r="A31846" s="6"/>
      <c r="B31846" s="6"/>
      <c r="H31846" s="13"/>
    </row>
    <row r="31847">
      <c r="A31847" s="6"/>
      <c r="B31847" s="6"/>
      <c r="H31847" s="13"/>
    </row>
    <row r="31848">
      <c r="A31848" s="6"/>
      <c r="B31848" s="6"/>
      <c r="H31848" s="13"/>
    </row>
    <row r="31849">
      <c r="A31849" s="6"/>
      <c r="B31849" s="6"/>
      <c r="H31849" s="13"/>
    </row>
    <row r="31850">
      <c r="A31850" s="6"/>
      <c r="B31850" s="6"/>
      <c r="H31850" s="13"/>
    </row>
    <row r="31851">
      <c r="A31851" s="6"/>
      <c r="B31851" s="6"/>
      <c r="H31851" s="13"/>
    </row>
    <row r="31852">
      <c r="A31852" s="6"/>
      <c r="B31852" s="6"/>
      <c r="H31852" s="13"/>
    </row>
    <row r="31853">
      <c r="A31853" s="6"/>
      <c r="B31853" s="6"/>
      <c r="H31853" s="13"/>
    </row>
    <row r="31854">
      <c r="A31854" s="6"/>
      <c r="B31854" s="6"/>
      <c r="H31854" s="13"/>
    </row>
    <row r="31855">
      <c r="A31855" s="6"/>
      <c r="B31855" s="6"/>
      <c r="H31855" s="13"/>
    </row>
    <row r="31856">
      <c r="A31856" s="6"/>
      <c r="B31856" s="6"/>
      <c r="H31856" s="13"/>
    </row>
    <row r="31857">
      <c r="A31857" s="6"/>
      <c r="B31857" s="6"/>
      <c r="H31857" s="13"/>
    </row>
    <row r="31858">
      <c r="A31858" s="6"/>
      <c r="B31858" s="6"/>
      <c r="H31858" s="13"/>
    </row>
    <row r="31859">
      <c r="A31859" s="6"/>
      <c r="B31859" s="6"/>
      <c r="H31859" s="13"/>
    </row>
    <row r="31860">
      <c r="A31860" s="6"/>
      <c r="B31860" s="6"/>
      <c r="H31860" s="13"/>
    </row>
    <row r="31861">
      <c r="A31861" s="6"/>
      <c r="B31861" s="6"/>
      <c r="H31861" s="13"/>
    </row>
    <row r="31862">
      <c r="A31862" s="6"/>
      <c r="B31862" s="6"/>
      <c r="H31862" s="13"/>
    </row>
    <row r="31863">
      <c r="A31863" s="6"/>
      <c r="B31863" s="6"/>
      <c r="H31863" s="13"/>
    </row>
    <row r="31864">
      <c r="A31864" s="6"/>
      <c r="B31864" s="6"/>
      <c r="H31864" s="13"/>
    </row>
    <row r="31865">
      <c r="A31865" s="6"/>
      <c r="B31865" s="6"/>
      <c r="H31865" s="13"/>
    </row>
    <row r="31866">
      <c r="A31866" s="6"/>
      <c r="B31866" s="6"/>
      <c r="H31866" s="13"/>
    </row>
    <row r="31867">
      <c r="A31867" s="6"/>
      <c r="B31867" s="6"/>
      <c r="H31867" s="13"/>
    </row>
    <row r="31868">
      <c r="A31868" s="6"/>
      <c r="B31868" s="6"/>
      <c r="H31868" s="13"/>
    </row>
    <row r="31869">
      <c r="A31869" s="6"/>
      <c r="B31869" s="6"/>
      <c r="H31869" s="13"/>
    </row>
    <row r="31870">
      <c r="A31870" s="6"/>
      <c r="B31870" s="6"/>
      <c r="H31870" s="13"/>
    </row>
    <row r="31871">
      <c r="A31871" s="6"/>
      <c r="B31871" s="6"/>
      <c r="H31871" s="13"/>
    </row>
    <row r="31872">
      <c r="A31872" s="6"/>
      <c r="B31872" s="6"/>
      <c r="H31872" s="13"/>
    </row>
    <row r="31873">
      <c r="A31873" s="6"/>
      <c r="B31873" s="6"/>
      <c r="H31873" s="13"/>
    </row>
    <row r="31874">
      <c r="A31874" s="6"/>
      <c r="B31874" s="6"/>
      <c r="H31874" s="13"/>
    </row>
    <row r="31875">
      <c r="A31875" s="6"/>
      <c r="B31875" s="6"/>
      <c r="H31875" s="13"/>
    </row>
    <row r="31876">
      <c r="A31876" s="6"/>
      <c r="B31876" s="6"/>
      <c r="H31876" s="13"/>
    </row>
    <row r="31877">
      <c r="A31877" s="6"/>
      <c r="B31877" s="6"/>
      <c r="H31877" s="13"/>
    </row>
    <row r="31878">
      <c r="A31878" s="6"/>
      <c r="B31878" s="6"/>
      <c r="H31878" s="13"/>
    </row>
    <row r="31879">
      <c r="A31879" s="6"/>
      <c r="B31879" s="6"/>
      <c r="H31879" s="13"/>
    </row>
    <row r="31880">
      <c r="A31880" s="6"/>
      <c r="B31880" s="6"/>
      <c r="H31880" s="13"/>
    </row>
    <row r="31881">
      <c r="A31881" s="6"/>
      <c r="B31881" s="6"/>
      <c r="H31881" s="13"/>
    </row>
    <row r="31882">
      <c r="A31882" s="6"/>
      <c r="B31882" s="6"/>
      <c r="H31882" s="13"/>
    </row>
    <row r="31883">
      <c r="A31883" s="6"/>
      <c r="B31883" s="6"/>
      <c r="H31883" s="13"/>
    </row>
    <row r="31884">
      <c r="A31884" s="6"/>
      <c r="B31884" s="6"/>
      <c r="H31884" s="13"/>
    </row>
    <row r="31885">
      <c r="A31885" s="6"/>
      <c r="B31885" s="6"/>
      <c r="H31885" s="13"/>
    </row>
    <row r="31886">
      <c r="A31886" s="6"/>
      <c r="B31886" s="6"/>
      <c r="H31886" s="13"/>
    </row>
    <row r="31887">
      <c r="A31887" s="6"/>
      <c r="B31887" s="6"/>
      <c r="H31887" s="13"/>
    </row>
    <row r="31888">
      <c r="A31888" s="6"/>
      <c r="B31888" s="6"/>
      <c r="H31888" s="13"/>
    </row>
    <row r="31889">
      <c r="A31889" s="6"/>
      <c r="B31889" s="6"/>
      <c r="H31889" s="13"/>
    </row>
    <row r="31890">
      <c r="A31890" s="6"/>
      <c r="B31890" s="6"/>
      <c r="H31890" s="13"/>
    </row>
    <row r="31891">
      <c r="A31891" s="6"/>
      <c r="B31891" s="6"/>
      <c r="H31891" s="13"/>
    </row>
    <row r="31892">
      <c r="A31892" s="6"/>
      <c r="B31892" s="6"/>
      <c r="H31892" s="13"/>
    </row>
    <row r="31893">
      <c r="A31893" s="6"/>
      <c r="B31893" s="6"/>
      <c r="H31893" s="13"/>
    </row>
    <row r="31894">
      <c r="A31894" s="6"/>
      <c r="B31894" s="6"/>
      <c r="H31894" s="13"/>
    </row>
    <row r="31895">
      <c r="A31895" s="6"/>
      <c r="B31895" s="6"/>
      <c r="H31895" s="13"/>
    </row>
    <row r="31896">
      <c r="A31896" s="6"/>
      <c r="B31896" s="6"/>
      <c r="H31896" s="13"/>
    </row>
    <row r="31897">
      <c r="A31897" s="6"/>
      <c r="B31897" s="6"/>
      <c r="H31897" s="13"/>
    </row>
    <row r="31898">
      <c r="A31898" s="6"/>
      <c r="B31898" s="6"/>
      <c r="H31898" s="13"/>
    </row>
    <row r="31899">
      <c r="A31899" s="6"/>
      <c r="B31899" s="6"/>
      <c r="H31899" s="13"/>
    </row>
    <row r="31900">
      <c r="A31900" s="6"/>
      <c r="B31900" s="6"/>
      <c r="H31900" s="13"/>
    </row>
    <row r="31901">
      <c r="A31901" s="6"/>
      <c r="B31901" s="6"/>
      <c r="H31901" s="13"/>
    </row>
    <row r="31902">
      <c r="A31902" s="6"/>
      <c r="B31902" s="6"/>
      <c r="H31902" s="13"/>
    </row>
    <row r="31903">
      <c r="A31903" s="6"/>
      <c r="B31903" s="6"/>
      <c r="H31903" s="13"/>
    </row>
    <row r="31904">
      <c r="A31904" s="6"/>
      <c r="B31904" s="6"/>
      <c r="H31904" s="13"/>
    </row>
    <row r="31905">
      <c r="A31905" s="6"/>
      <c r="B31905" s="6"/>
      <c r="H31905" s="13"/>
    </row>
    <row r="31906">
      <c r="A31906" s="6"/>
      <c r="B31906" s="6"/>
      <c r="H31906" s="13"/>
    </row>
    <row r="31907">
      <c r="A31907" s="6"/>
      <c r="B31907" s="6"/>
      <c r="H31907" s="13"/>
    </row>
    <row r="31908">
      <c r="A31908" s="6"/>
      <c r="B31908" s="6"/>
      <c r="H31908" s="13"/>
    </row>
    <row r="31909">
      <c r="A31909" s="6"/>
      <c r="B31909" s="6"/>
      <c r="H31909" s="13"/>
    </row>
    <row r="31910">
      <c r="A31910" s="6"/>
      <c r="B31910" s="6"/>
      <c r="H31910" s="13"/>
    </row>
    <row r="31911">
      <c r="A31911" s="6"/>
      <c r="B31911" s="6"/>
      <c r="H31911" s="13"/>
    </row>
    <row r="31912">
      <c r="A31912" s="6"/>
      <c r="B31912" s="6"/>
      <c r="H31912" s="13"/>
    </row>
    <row r="31913">
      <c r="A31913" s="6"/>
      <c r="B31913" s="6"/>
      <c r="H31913" s="13"/>
    </row>
    <row r="31914">
      <c r="A31914" s="6"/>
      <c r="B31914" s="6"/>
      <c r="H31914" s="13"/>
    </row>
    <row r="31915">
      <c r="A31915" s="6"/>
      <c r="B31915" s="6"/>
      <c r="H31915" s="13"/>
    </row>
    <row r="31916">
      <c r="A31916" s="6"/>
      <c r="B31916" s="6"/>
      <c r="H31916" s="13"/>
    </row>
    <row r="31917">
      <c r="A31917" s="6"/>
      <c r="B31917" s="6"/>
      <c r="H31917" s="13"/>
    </row>
    <row r="31918">
      <c r="A31918" s="6"/>
      <c r="B31918" s="6"/>
      <c r="H31918" s="13"/>
    </row>
    <row r="31919">
      <c r="A31919" s="6"/>
      <c r="B31919" s="6"/>
      <c r="H31919" s="13"/>
    </row>
    <row r="31920">
      <c r="A31920" s="6"/>
      <c r="B31920" s="6"/>
      <c r="H31920" s="13"/>
    </row>
    <row r="31921">
      <c r="A31921" s="6"/>
      <c r="B31921" s="6"/>
      <c r="H31921" s="13"/>
    </row>
    <row r="31922">
      <c r="A31922" s="6"/>
      <c r="B31922" s="6"/>
      <c r="H31922" s="13"/>
    </row>
    <row r="31923">
      <c r="A31923" s="6"/>
      <c r="B31923" s="6"/>
      <c r="H31923" s="13"/>
    </row>
    <row r="31924">
      <c r="A31924" s="6"/>
      <c r="B31924" s="6"/>
      <c r="H31924" s="13"/>
    </row>
    <row r="31925">
      <c r="A31925" s="6"/>
      <c r="B31925" s="6"/>
      <c r="H31925" s="13"/>
    </row>
    <row r="31926">
      <c r="A31926" s="6"/>
      <c r="B31926" s="6"/>
      <c r="H31926" s="13"/>
    </row>
    <row r="31927">
      <c r="A31927" s="6"/>
      <c r="B31927" s="6"/>
      <c r="H31927" s="13"/>
    </row>
    <row r="31928">
      <c r="A31928" s="6"/>
      <c r="B31928" s="6"/>
      <c r="H31928" s="13"/>
    </row>
    <row r="31929">
      <c r="A31929" s="6"/>
      <c r="B31929" s="6"/>
      <c r="H31929" s="13"/>
    </row>
    <row r="31930">
      <c r="A31930" s="6"/>
      <c r="B31930" s="6"/>
      <c r="H31930" s="13"/>
    </row>
    <row r="31931">
      <c r="A31931" s="6"/>
      <c r="B31931" s="6"/>
      <c r="H31931" s="13"/>
    </row>
    <row r="31932">
      <c r="A31932" s="6"/>
      <c r="B31932" s="6"/>
      <c r="H31932" s="13"/>
    </row>
    <row r="31933">
      <c r="A31933" s="6"/>
      <c r="B31933" s="6"/>
      <c r="H31933" s="13"/>
    </row>
    <row r="31934">
      <c r="A31934" s="6"/>
      <c r="B31934" s="6"/>
      <c r="H31934" s="13"/>
    </row>
    <row r="31935">
      <c r="A31935" s="6"/>
      <c r="B31935" s="6"/>
      <c r="H31935" s="13"/>
    </row>
    <row r="31936">
      <c r="A31936" s="6"/>
      <c r="B31936" s="6"/>
      <c r="H31936" s="13"/>
    </row>
    <row r="31937">
      <c r="A31937" s="6"/>
      <c r="B31937" s="6"/>
      <c r="H31937" s="13"/>
    </row>
    <row r="31938">
      <c r="A31938" s="6"/>
      <c r="B31938" s="6"/>
      <c r="H31938" s="13"/>
    </row>
    <row r="31939">
      <c r="A31939" s="6"/>
      <c r="B31939" s="6"/>
      <c r="H31939" s="13"/>
    </row>
    <row r="31940">
      <c r="A31940" s="6"/>
      <c r="B31940" s="6"/>
      <c r="H31940" s="13"/>
    </row>
    <row r="31941">
      <c r="A31941" s="6"/>
      <c r="B31941" s="6"/>
      <c r="H31941" s="13"/>
    </row>
    <row r="31942">
      <c r="A31942" s="6"/>
      <c r="B31942" s="6"/>
      <c r="H31942" s="13"/>
    </row>
    <row r="31943">
      <c r="A31943" s="6"/>
      <c r="B31943" s="6"/>
      <c r="H31943" s="13"/>
    </row>
    <row r="31944">
      <c r="A31944" s="6"/>
      <c r="B31944" s="6"/>
      <c r="H31944" s="13"/>
    </row>
    <row r="31945">
      <c r="A31945" s="6"/>
      <c r="B31945" s="6"/>
      <c r="H31945" s="13"/>
    </row>
    <row r="31946">
      <c r="A31946" s="6"/>
      <c r="B31946" s="6"/>
      <c r="H31946" s="13"/>
    </row>
    <row r="31947">
      <c r="A31947" s="6"/>
      <c r="B31947" s="6"/>
      <c r="H31947" s="13"/>
    </row>
    <row r="31948">
      <c r="A31948" s="6"/>
      <c r="B31948" s="6"/>
      <c r="H31948" s="13"/>
    </row>
    <row r="31949">
      <c r="A31949" s="6"/>
      <c r="B31949" s="6"/>
      <c r="H31949" s="13"/>
    </row>
    <row r="31950">
      <c r="A31950" s="6"/>
      <c r="B31950" s="6"/>
      <c r="H31950" s="13"/>
    </row>
    <row r="31951">
      <c r="A31951" s="6"/>
      <c r="B31951" s="6"/>
      <c r="H31951" s="13"/>
    </row>
    <row r="31952">
      <c r="A31952" s="6"/>
      <c r="B31952" s="6"/>
      <c r="H31952" s="13"/>
    </row>
    <row r="31953">
      <c r="A31953" s="6"/>
      <c r="B31953" s="6"/>
      <c r="H31953" s="13"/>
    </row>
    <row r="31954">
      <c r="A31954" s="6"/>
      <c r="B31954" s="6"/>
      <c r="H31954" s="13"/>
    </row>
    <row r="31955">
      <c r="A31955" s="6"/>
      <c r="B31955" s="6"/>
      <c r="H31955" s="13"/>
    </row>
    <row r="31956">
      <c r="A31956" s="6"/>
      <c r="B31956" s="6"/>
      <c r="H31956" s="13"/>
    </row>
    <row r="31957">
      <c r="A31957" s="6"/>
      <c r="B31957" s="6"/>
      <c r="H31957" s="13"/>
    </row>
    <row r="31958">
      <c r="A31958" s="6"/>
      <c r="B31958" s="6"/>
      <c r="H31958" s="13"/>
    </row>
    <row r="31959">
      <c r="A31959" s="6"/>
      <c r="B31959" s="6"/>
      <c r="H31959" s="13"/>
    </row>
    <row r="31960">
      <c r="A31960" s="6"/>
      <c r="B31960" s="6"/>
      <c r="H31960" s="13"/>
    </row>
    <row r="31961">
      <c r="A31961" s="6"/>
      <c r="B31961" s="6"/>
      <c r="H31961" s="13"/>
    </row>
    <row r="31962">
      <c r="A31962" s="6"/>
      <c r="B31962" s="6"/>
      <c r="H31962" s="13"/>
    </row>
    <row r="31963">
      <c r="A31963" s="6"/>
      <c r="B31963" s="6"/>
      <c r="H31963" s="13"/>
    </row>
    <row r="31964">
      <c r="A31964" s="6"/>
      <c r="B31964" s="6"/>
      <c r="H31964" s="13"/>
    </row>
    <row r="31965">
      <c r="A31965" s="6"/>
      <c r="B31965" s="6"/>
      <c r="H31965" s="13"/>
    </row>
    <row r="31966">
      <c r="A31966" s="6"/>
      <c r="B31966" s="6"/>
      <c r="H31966" s="13"/>
    </row>
    <row r="31967">
      <c r="A31967" s="6"/>
      <c r="B31967" s="6"/>
      <c r="H31967" s="13"/>
    </row>
    <row r="31968">
      <c r="A31968" s="6"/>
      <c r="B31968" s="6"/>
      <c r="H31968" s="13"/>
    </row>
    <row r="31969">
      <c r="A31969" s="6"/>
      <c r="B31969" s="6"/>
      <c r="H31969" s="13"/>
    </row>
    <row r="31970">
      <c r="A31970" s="6"/>
      <c r="B31970" s="6"/>
      <c r="H31970" s="13"/>
    </row>
    <row r="31971">
      <c r="A31971" s="6"/>
      <c r="B31971" s="6"/>
      <c r="H31971" s="13"/>
    </row>
    <row r="31972">
      <c r="A31972" s="6"/>
      <c r="B31972" s="6"/>
      <c r="H31972" s="13"/>
    </row>
    <row r="31973">
      <c r="A31973" s="6"/>
      <c r="B31973" s="6"/>
      <c r="H31973" s="13"/>
    </row>
    <row r="31974">
      <c r="A31974" s="6"/>
      <c r="B31974" s="6"/>
      <c r="H31974" s="13"/>
    </row>
    <row r="31975">
      <c r="A31975" s="6"/>
      <c r="B31975" s="6"/>
      <c r="H31975" s="13"/>
    </row>
    <row r="31976">
      <c r="A31976" s="6"/>
      <c r="B31976" s="6"/>
      <c r="H31976" s="13"/>
    </row>
    <row r="31977">
      <c r="A31977" s="6"/>
      <c r="B31977" s="6"/>
      <c r="H31977" s="13"/>
    </row>
    <row r="31978">
      <c r="A31978" s="6"/>
      <c r="B31978" s="6"/>
      <c r="H31978" s="13"/>
    </row>
    <row r="31979">
      <c r="A31979" s="6"/>
      <c r="B31979" s="6"/>
      <c r="H31979" s="13"/>
    </row>
    <row r="31980">
      <c r="A31980" s="6"/>
      <c r="B31980" s="6"/>
      <c r="H31980" s="13"/>
    </row>
    <row r="31981">
      <c r="A31981" s="6"/>
      <c r="B31981" s="6"/>
      <c r="H31981" s="13"/>
    </row>
    <row r="31982">
      <c r="A31982" s="6"/>
      <c r="B31982" s="6"/>
      <c r="H31982" s="13"/>
    </row>
    <row r="31983">
      <c r="A31983" s="6"/>
      <c r="B31983" s="6"/>
      <c r="H31983" s="13"/>
    </row>
    <row r="31984">
      <c r="A31984" s="6"/>
      <c r="B31984" s="6"/>
      <c r="H31984" s="13"/>
    </row>
    <row r="31985">
      <c r="A31985" s="6"/>
      <c r="B31985" s="6"/>
      <c r="H31985" s="13"/>
    </row>
    <row r="31986">
      <c r="A31986" s="6"/>
      <c r="B31986" s="6"/>
      <c r="H31986" s="13"/>
    </row>
    <row r="31987">
      <c r="A31987" s="6"/>
      <c r="B31987" s="6"/>
      <c r="H31987" s="13"/>
    </row>
    <row r="31988">
      <c r="A31988" s="6"/>
      <c r="B31988" s="6"/>
      <c r="H31988" s="13"/>
    </row>
    <row r="31989">
      <c r="A31989" s="6"/>
      <c r="B31989" s="6"/>
      <c r="H31989" s="13"/>
    </row>
    <row r="31990">
      <c r="A31990" s="6"/>
      <c r="B31990" s="6"/>
      <c r="H31990" s="13"/>
    </row>
    <row r="31991">
      <c r="A31991" s="6"/>
      <c r="B31991" s="6"/>
      <c r="H31991" s="13"/>
    </row>
    <row r="31992">
      <c r="A31992" s="6"/>
      <c r="B31992" s="6"/>
      <c r="H31992" s="13"/>
    </row>
    <row r="31993">
      <c r="A31993" s="6"/>
      <c r="B31993" s="6"/>
      <c r="H31993" s="13"/>
    </row>
    <row r="31994">
      <c r="A31994" s="6"/>
      <c r="B31994" s="6"/>
      <c r="H31994" s="13"/>
    </row>
    <row r="31995">
      <c r="A31995" s="6"/>
      <c r="B31995" s="6"/>
      <c r="H31995" s="13"/>
    </row>
    <row r="31996">
      <c r="A31996" s="6"/>
      <c r="B31996" s="6"/>
      <c r="H31996" s="13"/>
    </row>
    <row r="31997">
      <c r="A31997" s="6"/>
      <c r="B31997" s="6"/>
      <c r="H31997" s="13"/>
    </row>
    <row r="31998">
      <c r="A31998" s="6"/>
      <c r="B31998" s="6"/>
      <c r="H31998" s="13"/>
    </row>
    <row r="31999">
      <c r="A31999" s="6"/>
      <c r="B31999" s="6"/>
      <c r="H31999" s="13"/>
    </row>
    <row r="32000">
      <c r="A32000" s="6"/>
      <c r="B32000" s="6"/>
      <c r="H32000" s="13"/>
    </row>
    <row r="32001">
      <c r="A32001" s="6"/>
      <c r="B32001" s="6"/>
      <c r="H32001" s="13"/>
    </row>
    <row r="32002">
      <c r="A32002" s="6"/>
      <c r="B32002" s="6"/>
      <c r="H32002" s="13"/>
    </row>
    <row r="32003">
      <c r="A32003" s="6"/>
      <c r="B32003" s="6"/>
      <c r="H32003" s="13"/>
    </row>
    <row r="32004">
      <c r="A32004" s="6"/>
      <c r="B32004" s="6"/>
      <c r="H32004" s="13"/>
    </row>
    <row r="32005">
      <c r="A32005" s="6"/>
      <c r="B32005" s="6"/>
      <c r="H32005" s="13"/>
    </row>
    <row r="32006">
      <c r="A32006" s="6"/>
      <c r="B32006" s="6"/>
      <c r="H32006" s="13"/>
    </row>
    <row r="32007">
      <c r="A32007" s="6"/>
      <c r="B32007" s="6"/>
      <c r="H32007" s="13"/>
    </row>
    <row r="32008">
      <c r="A32008" s="6"/>
      <c r="B32008" s="6"/>
      <c r="H32008" s="13"/>
    </row>
    <row r="32009">
      <c r="A32009" s="6"/>
      <c r="B32009" s="6"/>
      <c r="H32009" s="13"/>
    </row>
    <row r="32010">
      <c r="A32010" s="6"/>
      <c r="B32010" s="6"/>
      <c r="H32010" s="13"/>
    </row>
    <row r="32011">
      <c r="A32011" s="6"/>
      <c r="B32011" s="6"/>
      <c r="H32011" s="13"/>
    </row>
    <row r="32012">
      <c r="A32012" s="6"/>
      <c r="B32012" s="6"/>
      <c r="H32012" s="13"/>
    </row>
    <row r="32013">
      <c r="A32013" s="6"/>
      <c r="B32013" s="6"/>
      <c r="H32013" s="13"/>
    </row>
    <row r="32014">
      <c r="A32014" s="6"/>
      <c r="B32014" s="6"/>
      <c r="H32014" s="13"/>
    </row>
    <row r="32015">
      <c r="A32015" s="6"/>
      <c r="B32015" s="6"/>
      <c r="H32015" s="13"/>
    </row>
    <row r="32016">
      <c r="A32016" s="6"/>
      <c r="B32016" s="6"/>
      <c r="H32016" s="13"/>
    </row>
    <row r="32017">
      <c r="A32017" s="6"/>
      <c r="B32017" s="6"/>
      <c r="H32017" s="13"/>
    </row>
    <row r="32018">
      <c r="A32018" s="6"/>
      <c r="B32018" s="6"/>
      <c r="H32018" s="13"/>
    </row>
    <row r="32019">
      <c r="A32019" s="6"/>
      <c r="B32019" s="6"/>
      <c r="H32019" s="13"/>
    </row>
    <row r="32020">
      <c r="A32020" s="6"/>
      <c r="B32020" s="6"/>
      <c r="H32020" s="13"/>
    </row>
    <row r="32021">
      <c r="A32021" s="6"/>
      <c r="B32021" s="6"/>
      <c r="H32021" s="13"/>
    </row>
    <row r="32022">
      <c r="A32022" s="6"/>
      <c r="B32022" s="6"/>
      <c r="H32022" s="13"/>
    </row>
    <row r="32023">
      <c r="A32023" s="6"/>
      <c r="B32023" s="6"/>
      <c r="H32023" s="13"/>
    </row>
    <row r="32024">
      <c r="A32024" s="6"/>
      <c r="B32024" s="6"/>
      <c r="H32024" s="13"/>
    </row>
    <row r="32025">
      <c r="A32025" s="6"/>
      <c r="B32025" s="6"/>
      <c r="H32025" s="13"/>
    </row>
    <row r="32026">
      <c r="A32026" s="6"/>
      <c r="B32026" s="6"/>
      <c r="H32026" s="13"/>
    </row>
    <row r="32027">
      <c r="A32027" s="6"/>
      <c r="B32027" s="6"/>
      <c r="H32027" s="13"/>
    </row>
    <row r="32028">
      <c r="A32028" s="6"/>
      <c r="B32028" s="6"/>
      <c r="H32028" s="13"/>
    </row>
    <row r="32029">
      <c r="A32029" s="6"/>
      <c r="B32029" s="6"/>
      <c r="H32029" s="13"/>
    </row>
    <row r="32030">
      <c r="A32030" s="6"/>
      <c r="B32030" s="6"/>
      <c r="H32030" s="13"/>
    </row>
    <row r="32031">
      <c r="A32031" s="6"/>
      <c r="B32031" s="6"/>
      <c r="H32031" s="13"/>
    </row>
    <row r="32032">
      <c r="A32032" s="6"/>
      <c r="B32032" s="6"/>
      <c r="H32032" s="13"/>
    </row>
    <row r="32033">
      <c r="A32033" s="6"/>
      <c r="B32033" s="6"/>
      <c r="H32033" s="13"/>
    </row>
    <row r="32034">
      <c r="A32034" s="6"/>
      <c r="B32034" s="6"/>
      <c r="H32034" s="13"/>
    </row>
    <row r="32035">
      <c r="A32035" s="6"/>
      <c r="B32035" s="6"/>
      <c r="H32035" s="13"/>
    </row>
    <row r="32036">
      <c r="A32036" s="6"/>
      <c r="B32036" s="6"/>
      <c r="H32036" s="13"/>
    </row>
    <row r="32037">
      <c r="A32037" s="6"/>
      <c r="B32037" s="6"/>
      <c r="H32037" s="13"/>
    </row>
    <row r="32038">
      <c r="A32038" s="6"/>
      <c r="B32038" s="6"/>
      <c r="H32038" s="13"/>
    </row>
    <row r="32039">
      <c r="A32039" s="6"/>
      <c r="B32039" s="6"/>
      <c r="H32039" s="13"/>
    </row>
    <row r="32040">
      <c r="A32040" s="6"/>
      <c r="B32040" s="6"/>
      <c r="H32040" s="13"/>
    </row>
    <row r="32041">
      <c r="A32041" s="6"/>
      <c r="B32041" s="6"/>
      <c r="H32041" s="13"/>
    </row>
    <row r="32042">
      <c r="A32042" s="6"/>
      <c r="B32042" s="6"/>
      <c r="H32042" s="13"/>
    </row>
    <row r="32043">
      <c r="A32043" s="6"/>
      <c r="B32043" s="6"/>
      <c r="H32043" s="13"/>
    </row>
    <row r="32044">
      <c r="A32044" s="6"/>
      <c r="B32044" s="6"/>
      <c r="H32044" s="13"/>
    </row>
    <row r="32045">
      <c r="A32045" s="6"/>
      <c r="B32045" s="6"/>
      <c r="H32045" s="13"/>
    </row>
    <row r="32046">
      <c r="A32046" s="6"/>
      <c r="B32046" s="6"/>
      <c r="H32046" s="13"/>
    </row>
    <row r="32047">
      <c r="A32047" s="6"/>
      <c r="B32047" s="6"/>
      <c r="H32047" s="13"/>
    </row>
    <row r="32048">
      <c r="A32048" s="6"/>
      <c r="B32048" s="6"/>
      <c r="H32048" s="13"/>
    </row>
    <row r="32049">
      <c r="A32049" s="6"/>
      <c r="B32049" s="6"/>
      <c r="H32049" s="13"/>
    </row>
    <row r="32050">
      <c r="A32050" s="6"/>
      <c r="B32050" s="6"/>
      <c r="H32050" s="13"/>
    </row>
    <row r="32051">
      <c r="A32051" s="6"/>
      <c r="B32051" s="6"/>
      <c r="H32051" s="13"/>
    </row>
    <row r="32052">
      <c r="A32052" s="6"/>
      <c r="B32052" s="6"/>
      <c r="H32052" s="13"/>
    </row>
    <row r="32053">
      <c r="A32053" s="6"/>
      <c r="B32053" s="6"/>
      <c r="H32053" s="13"/>
    </row>
    <row r="32054">
      <c r="A32054" s="6"/>
      <c r="B32054" s="6"/>
      <c r="H32054" s="13"/>
    </row>
    <row r="32055">
      <c r="A32055" s="6"/>
      <c r="B32055" s="6"/>
      <c r="H32055" s="13"/>
    </row>
    <row r="32056">
      <c r="A32056" s="6"/>
      <c r="B32056" s="6"/>
      <c r="H32056" s="13"/>
    </row>
    <row r="32057">
      <c r="A32057" s="6"/>
      <c r="B32057" s="6"/>
      <c r="H32057" s="13"/>
    </row>
    <row r="32058">
      <c r="A32058" s="6"/>
      <c r="B32058" s="6"/>
      <c r="H32058" s="13"/>
    </row>
    <row r="32059">
      <c r="A32059" s="6"/>
      <c r="B32059" s="6"/>
      <c r="H32059" s="13"/>
    </row>
    <row r="32060">
      <c r="A32060" s="6"/>
      <c r="B32060" s="6"/>
      <c r="H32060" s="13"/>
    </row>
    <row r="32061">
      <c r="A32061" s="6"/>
      <c r="B32061" s="6"/>
      <c r="H32061" s="13"/>
    </row>
    <row r="32062">
      <c r="A32062" s="6"/>
      <c r="B32062" s="6"/>
      <c r="H32062" s="13"/>
    </row>
    <row r="32063">
      <c r="A32063" s="6"/>
      <c r="B32063" s="6"/>
      <c r="H32063" s="13"/>
    </row>
    <row r="32064">
      <c r="A32064" s="6"/>
      <c r="B32064" s="6"/>
      <c r="H32064" s="13"/>
    </row>
    <row r="32065">
      <c r="A32065" s="6"/>
      <c r="B32065" s="6"/>
      <c r="H32065" s="13"/>
    </row>
    <row r="32066">
      <c r="A32066" s="6"/>
      <c r="B32066" s="6"/>
      <c r="H32066" s="13"/>
    </row>
    <row r="32067">
      <c r="A32067" s="6"/>
      <c r="B32067" s="6"/>
      <c r="H32067" s="13"/>
    </row>
    <row r="32068">
      <c r="A32068" s="6"/>
      <c r="B32068" s="6"/>
      <c r="H32068" s="13"/>
    </row>
    <row r="32069">
      <c r="A32069" s="6"/>
      <c r="B32069" s="6"/>
      <c r="H32069" s="13"/>
    </row>
    <row r="32070">
      <c r="A32070" s="6"/>
      <c r="B32070" s="6"/>
      <c r="H32070" s="13"/>
    </row>
    <row r="32071">
      <c r="A32071" s="6"/>
      <c r="B32071" s="6"/>
      <c r="H32071" s="13"/>
    </row>
    <row r="32072">
      <c r="A32072" s="6"/>
      <c r="B32072" s="6"/>
      <c r="H32072" s="13"/>
    </row>
    <row r="32073">
      <c r="A32073" s="6"/>
      <c r="B32073" s="6"/>
      <c r="H32073" s="13"/>
    </row>
    <row r="32074">
      <c r="A32074" s="6"/>
      <c r="B32074" s="6"/>
      <c r="H32074" s="13"/>
    </row>
    <row r="32075">
      <c r="A32075" s="6"/>
      <c r="B32075" s="6"/>
      <c r="H32075" s="13"/>
    </row>
    <row r="32076">
      <c r="A32076" s="6"/>
      <c r="B32076" s="6"/>
      <c r="H32076" s="13"/>
    </row>
    <row r="32077">
      <c r="A32077" s="6"/>
      <c r="B32077" s="6"/>
      <c r="H32077" s="13"/>
    </row>
    <row r="32078">
      <c r="A32078" s="6"/>
      <c r="B32078" s="6"/>
      <c r="H32078" s="13"/>
    </row>
    <row r="32079">
      <c r="A32079" s="6"/>
      <c r="B32079" s="6"/>
      <c r="H32079" s="13"/>
    </row>
    <row r="32080">
      <c r="A32080" s="6"/>
      <c r="B32080" s="6"/>
      <c r="H32080" s="13"/>
    </row>
    <row r="32081">
      <c r="A32081" s="6"/>
      <c r="B32081" s="6"/>
      <c r="H32081" s="13"/>
    </row>
    <row r="32082">
      <c r="A32082" s="6"/>
      <c r="B32082" s="6"/>
      <c r="H32082" s="13"/>
    </row>
    <row r="32083">
      <c r="A32083" s="6"/>
      <c r="B32083" s="6"/>
      <c r="H32083" s="13"/>
    </row>
    <row r="32084">
      <c r="A32084" s="6"/>
      <c r="B32084" s="6"/>
      <c r="H32084" s="13"/>
    </row>
    <row r="32085">
      <c r="A32085" s="6"/>
      <c r="B32085" s="6"/>
      <c r="H32085" s="13"/>
    </row>
    <row r="32086">
      <c r="A32086" s="6"/>
      <c r="B32086" s="6"/>
      <c r="H32086" s="13"/>
    </row>
    <row r="32087">
      <c r="A32087" s="6"/>
      <c r="B32087" s="6"/>
      <c r="H32087" s="13"/>
    </row>
    <row r="32088">
      <c r="A32088" s="6"/>
      <c r="B32088" s="6"/>
      <c r="H32088" s="13"/>
    </row>
    <row r="32089">
      <c r="A32089" s="6"/>
      <c r="B32089" s="6"/>
      <c r="H32089" s="13"/>
    </row>
    <row r="32090">
      <c r="A32090" s="6"/>
      <c r="B32090" s="6"/>
      <c r="H32090" s="13"/>
    </row>
    <row r="32091">
      <c r="A32091" s="6"/>
      <c r="B32091" s="6"/>
      <c r="H32091" s="13"/>
    </row>
    <row r="32092">
      <c r="A32092" s="6"/>
      <c r="B32092" s="6"/>
      <c r="H32092" s="13"/>
    </row>
    <row r="32093">
      <c r="A32093" s="6"/>
      <c r="B32093" s="6"/>
      <c r="H32093" s="13"/>
    </row>
    <row r="32094">
      <c r="A32094" s="6"/>
      <c r="B32094" s="6"/>
      <c r="H32094" s="13"/>
    </row>
    <row r="32095">
      <c r="A32095" s="6"/>
      <c r="B32095" s="6"/>
      <c r="H32095" s="13"/>
    </row>
    <row r="32096">
      <c r="A32096" s="6"/>
      <c r="B32096" s="6"/>
      <c r="H32096" s="13"/>
    </row>
    <row r="32097">
      <c r="A32097" s="6"/>
      <c r="B32097" s="6"/>
      <c r="H32097" s="13"/>
    </row>
    <row r="32098">
      <c r="A32098" s="6"/>
      <c r="B32098" s="6"/>
      <c r="H32098" s="13"/>
    </row>
    <row r="32099">
      <c r="A32099" s="6"/>
      <c r="B32099" s="6"/>
      <c r="H32099" s="13"/>
    </row>
    <row r="32100">
      <c r="A32100" s="6"/>
      <c r="B32100" s="6"/>
      <c r="H32100" s="13"/>
    </row>
    <row r="32101">
      <c r="A32101" s="6"/>
      <c r="B32101" s="6"/>
      <c r="H32101" s="13"/>
    </row>
    <row r="32102">
      <c r="A32102" s="6"/>
      <c r="B32102" s="6"/>
      <c r="H32102" s="13"/>
    </row>
    <row r="32103">
      <c r="A32103" s="6"/>
      <c r="B32103" s="6"/>
      <c r="H32103" s="13"/>
    </row>
    <row r="32104">
      <c r="A32104" s="6"/>
      <c r="B32104" s="6"/>
      <c r="H32104" s="13"/>
    </row>
    <row r="32105">
      <c r="A32105" s="6"/>
      <c r="B32105" s="6"/>
      <c r="H32105" s="13"/>
    </row>
    <row r="32106">
      <c r="A32106" s="6"/>
      <c r="B32106" s="6"/>
      <c r="H32106" s="13"/>
    </row>
    <row r="32107">
      <c r="A32107" s="6"/>
      <c r="B32107" s="6"/>
      <c r="H32107" s="13"/>
    </row>
    <row r="32108">
      <c r="A32108" s="6"/>
      <c r="B32108" s="6"/>
      <c r="H32108" s="13"/>
    </row>
    <row r="32109">
      <c r="A32109" s="6"/>
      <c r="B32109" s="6"/>
      <c r="H32109" s="13"/>
    </row>
    <row r="32110">
      <c r="A32110" s="6"/>
      <c r="B32110" s="6"/>
      <c r="H32110" s="13"/>
    </row>
    <row r="32111">
      <c r="A32111" s="6"/>
      <c r="B32111" s="6"/>
      <c r="H32111" s="13"/>
    </row>
    <row r="32112">
      <c r="A32112" s="6"/>
      <c r="B32112" s="6"/>
      <c r="H32112" s="13"/>
    </row>
    <row r="32113">
      <c r="A32113" s="6"/>
      <c r="B32113" s="6"/>
      <c r="H32113" s="13"/>
    </row>
    <row r="32114">
      <c r="A32114" s="6"/>
      <c r="B32114" s="6"/>
      <c r="H32114" s="13"/>
    </row>
    <row r="32115">
      <c r="A32115" s="6"/>
      <c r="B32115" s="6"/>
      <c r="H32115" s="13"/>
    </row>
    <row r="32116">
      <c r="A32116" s="6"/>
      <c r="B32116" s="6"/>
      <c r="H32116" s="13"/>
    </row>
    <row r="32117">
      <c r="A32117" s="6"/>
      <c r="B32117" s="6"/>
      <c r="H32117" s="13"/>
    </row>
    <row r="32118">
      <c r="A32118" s="6"/>
      <c r="B32118" s="6"/>
      <c r="H32118" s="13"/>
    </row>
    <row r="32119">
      <c r="A32119" s="6"/>
      <c r="B32119" s="6"/>
      <c r="H32119" s="13"/>
    </row>
    <row r="32120">
      <c r="A32120" s="6"/>
      <c r="B32120" s="6"/>
      <c r="H32120" s="13"/>
    </row>
    <row r="32121">
      <c r="A32121" s="6"/>
      <c r="B32121" s="6"/>
      <c r="H32121" s="13"/>
    </row>
    <row r="32122">
      <c r="A32122" s="6"/>
      <c r="B32122" s="6"/>
      <c r="H32122" s="13"/>
    </row>
    <row r="32123">
      <c r="A32123" s="6"/>
      <c r="B32123" s="6"/>
      <c r="H32123" s="13"/>
    </row>
    <row r="32124">
      <c r="A32124" s="6"/>
      <c r="B32124" s="6"/>
      <c r="H32124" s="13"/>
    </row>
    <row r="32125">
      <c r="A32125" s="6"/>
      <c r="B32125" s="6"/>
      <c r="H32125" s="13"/>
    </row>
    <row r="32126">
      <c r="A32126" s="6"/>
      <c r="B32126" s="6"/>
      <c r="H32126" s="13"/>
    </row>
    <row r="32127">
      <c r="A32127" s="6"/>
      <c r="B32127" s="6"/>
      <c r="H32127" s="13"/>
    </row>
    <row r="32128">
      <c r="A32128" s="6"/>
      <c r="B32128" s="6"/>
      <c r="H32128" s="13"/>
    </row>
    <row r="32129">
      <c r="A32129" s="6"/>
      <c r="B32129" s="6"/>
      <c r="H32129" s="13"/>
    </row>
    <row r="32130">
      <c r="A32130" s="6"/>
      <c r="B32130" s="6"/>
      <c r="H32130" s="13"/>
    </row>
    <row r="32131">
      <c r="A32131" s="6"/>
      <c r="B32131" s="6"/>
      <c r="H32131" s="13"/>
    </row>
    <row r="32132">
      <c r="A32132" s="6"/>
      <c r="B32132" s="6"/>
      <c r="H32132" s="13"/>
    </row>
    <row r="32133">
      <c r="A32133" s="6"/>
      <c r="B32133" s="6"/>
      <c r="H32133" s="13"/>
    </row>
    <row r="32134">
      <c r="A32134" s="6"/>
      <c r="B32134" s="6"/>
      <c r="H32134" s="13"/>
    </row>
    <row r="32135">
      <c r="A32135" s="6"/>
      <c r="B32135" s="6"/>
      <c r="H32135" s="13"/>
    </row>
    <row r="32136">
      <c r="A32136" s="6"/>
      <c r="B32136" s="6"/>
      <c r="H32136" s="13"/>
    </row>
    <row r="32137">
      <c r="A32137" s="6"/>
      <c r="B32137" s="6"/>
      <c r="H32137" s="13"/>
    </row>
    <row r="32138">
      <c r="A32138" s="6"/>
      <c r="B32138" s="6"/>
      <c r="H32138" s="13"/>
    </row>
    <row r="32139">
      <c r="A32139" s="6"/>
      <c r="B32139" s="6"/>
      <c r="H32139" s="13"/>
    </row>
    <row r="32140">
      <c r="A32140" s="6"/>
      <c r="B32140" s="6"/>
      <c r="H32140" s="13"/>
    </row>
    <row r="32141">
      <c r="A32141" s="6"/>
      <c r="B32141" s="6"/>
      <c r="H32141" s="13"/>
    </row>
    <row r="32142">
      <c r="A32142" s="6"/>
      <c r="B32142" s="6"/>
      <c r="H32142" s="13"/>
    </row>
    <row r="32143">
      <c r="A32143" s="6"/>
      <c r="B32143" s="6"/>
      <c r="H32143" s="13"/>
    </row>
    <row r="32144">
      <c r="A32144" s="6"/>
      <c r="B32144" s="6"/>
      <c r="H32144" s="13"/>
    </row>
    <row r="32145">
      <c r="A32145" s="6"/>
      <c r="B32145" s="6"/>
      <c r="H32145" s="13"/>
    </row>
    <row r="32146">
      <c r="A32146" s="6"/>
      <c r="B32146" s="6"/>
      <c r="H32146" s="13"/>
    </row>
    <row r="32147">
      <c r="A32147" s="6"/>
      <c r="B32147" s="6"/>
      <c r="H32147" s="13"/>
    </row>
    <row r="32148">
      <c r="A32148" s="6"/>
      <c r="B32148" s="6"/>
      <c r="H32148" s="13"/>
    </row>
    <row r="32149">
      <c r="A32149" s="6"/>
      <c r="B32149" s="6"/>
      <c r="H32149" s="13"/>
    </row>
    <row r="32150">
      <c r="A32150" s="6"/>
      <c r="B32150" s="6"/>
      <c r="H32150" s="13"/>
    </row>
    <row r="32151">
      <c r="A32151" s="6"/>
      <c r="B32151" s="6"/>
      <c r="H32151" s="13"/>
    </row>
    <row r="32152">
      <c r="A32152" s="6"/>
      <c r="B32152" s="6"/>
      <c r="H32152" s="13"/>
    </row>
    <row r="32153">
      <c r="A32153" s="6"/>
      <c r="B32153" s="6"/>
      <c r="H32153" s="13"/>
    </row>
    <row r="32154">
      <c r="A32154" s="6"/>
      <c r="B32154" s="6"/>
      <c r="H32154" s="13"/>
    </row>
    <row r="32155">
      <c r="A32155" s="6"/>
      <c r="B32155" s="6"/>
      <c r="H32155" s="13"/>
    </row>
    <row r="32156">
      <c r="A32156" s="6"/>
      <c r="B32156" s="6"/>
      <c r="H32156" s="13"/>
    </row>
    <row r="32157">
      <c r="A32157" s="6"/>
      <c r="B32157" s="6"/>
      <c r="H32157" s="13"/>
    </row>
    <row r="32158">
      <c r="A32158" s="6"/>
      <c r="B32158" s="6"/>
      <c r="H32158" s="13"/>
    </row>
    <row r="32159">
      <c r="A32159" s="6"/>
      <c r="B32159" s="6"/>
      <c r="H32159" s="13"/>
    </row>
    <row r="32160">
      <c r="A32160" s="6"/>
      <c r="B32160" s="6"/>
      <c r="H32160" s="13"/>
    </row>
    <row r="32161">
      <c r="A32161" s="6"/>
      <c r="B32161" s="6"/>
      <c r="H32161" s="13"/>
    </row>
    <row r="32162">
      <c r="A32162" s="6"/>
      <c r="B32162" s="6"/>
      <c r="H32162" s="13"/>
    </row>
    <row r="32163">
      <c r="A32163" s="6"/>
      <c r="B32163" s="6"/>
      <c r="H32163" s="13"/>
    </row>
    <row r="32164">
      <c r="A32164" s="6"/>
      <c r="B32164" s="6"/>
      <c r="H32164" s="13"/>
    </row>
    <row r="32165">
      <c r="A32165" s="6"/>
      <c r="B32165" s="6"/>
      <c r="H32165" s="13"/>
    </row>
    <row r="32166">
      <c r="A32166" s="6"/>
      <c r="B32166" s="6"/>
      <c r="H32166" s="13"/>
    </row>
    <row r="32167">
      <c r="A32167" s="6"/>
      <c r="B32167" s="6"/>
      <c r="H32167" s="13"/>
    </row>
    <row r="32168">
      <c r="A32168" s="6"/>
      <c r="B32168" s="6"/>
      <c r="H32168" s="13"/>
    </row>
    <row r="32169">
      <c r="A32169" s="6"/>
      <c r="B32169" s="6"/>
      <c r="H32169" s="13"/>
    </row>
    <row r="32170">
      <c r="A32170" s="6"/>
      <c r="B32170" s="6"/>
      <c r="H32170" s="13"/>
    </row>
    <row r="32171">
      <c r="A32171" s="6"/>
      <c r="B32171" s="6"/>
      <c r="H32171" s="13"/>
    </row>
    <row r="32172">
      <c r="A32172" s="6"/>
      <c r="B32172" s="6"/>
      <c r="H32172" s="13"/>
    </row>
    <row r="32173">
      <c r="A32173" s="6"/>
      <c r="B32173" s="6"/>
      <c r="H32173" s="13"/>
    </row>
    <row r="32174">
      <c r="A32174" s="6"/>
      <c r="B32174" s="6"/>
      <c r="H32174" s="13"/>
    </row>
    <row r="32175">
      <c r="A32175" s="6"/>
      <c r="B32175" s="6"/>
      <c r="H32175" s="13"/>
    </row>
    <row r="32176">
      <c r="A32176" s="6"/>
      <c r="B32176" s="6"/>
      <c r="H32176" s="13"/>
    </row>
    <row r="32177">
      <c r="A32177" s="6"/>
      <c r="B32177" s="6"/>
      <c r="H32177" s="13"/>
    </row>
    <row r="32178">
      <c r="A32178" s="6"/>
      <c r="B32178" s="6"/>
      <c r="H32178" s="13"/>
    </row>
    <row r="32179">
      <c r="A32179" s="6"/>
      <c r="B32179" s="6"/>
      <c r="H32179" s="13"/>
    </row>
    <row r="32180">
      <c r="A32180" s="6"/>
      <c r="B32180" s="6"/>
      <c r="H32180" s="13"/>
    </row>
    <row r="32181">
      <c r="A32181" s="6"/>
      <c r="B32181" s="6"/>
      <c r="H32181" s="13"/>
    </row>
    <row r="32182">
      <c r="A32182" s="6"/>
      <c r="B32182" s="6"/>
      <c r="H32182" s="13"/>
    </row>
    <row r="32183">
      <c r="A32183" s="6"/>
      <c r="B32183" s="6"/>
      <c r="H32183" s="13"/>
    </row>
    <row r="32184">
      <c r="A32184" s="6"/>
      <c r="B32184" s="6"/>
      <c r="H32184" s="13"/>
    </row>
    <row r="32185">
      <c r="A32185" s="6"/>
      <c r="B32185" s="6"/>
      <c r="H32185" s="13"/>
    </row>
    <row r="32186">
      <c r="A32186" s="6"/>
      <c r="B32186" s="6"/>
      <c r="H32186" s="13"/>
    </row>
    <row r="32187">
      <c r="A32187" s="6"/>
      <c r="B32187" s="6"/>
      <c r="H32187" s="13"/>
    </row>
    <row r="32188">
      <c r="A32188" s="6"/>
      <c r="B32188" s="6"/>
      <c r="H32188" s="13"/>
    </row>
    <row r="32189">
      <c r="A32189" s="6"/>
      <c r="B32189" s="6"/>
      <c r="H32189" s="13"/>
    </row>
    <row r="32190">
      <c r="A32190" s="6"/>
      <c r="B32190" s="6"/>
      <c r="H32190" s="13"/>
    </row>
    <row r="32191">
      <c r="A32191" s="6"/>
      <c r="B32191" s="6"/>
      <c r="H32191" s="13"/>
    </row>
    <row r="32192">
      <c r="A32192" s="6"/>
      <c r="B32192" s="6"/>
      <c r="H32192" s="13"/>
    </row>
    <row r="32193">
      <c r="A32193" s="6"/>
      <c r="B32193" s="6"/>
      <c r="H32193" s="13"/>
    </row>
    <row r="32194">
      <c r="A32194" s="6"/>
      <c r="B32194" s="6"/>
      <c r="H32194" s="13"/>
    </row>
    <row r="32195">
      <c r="A32195" s="6"/>
      <c r="B32195" s="6"/>
      <c r="H32195" s="13"/>
    </row>
    <row r="32196">
      <c r="A32196" s="6"/>
      <c r="B32196" s="6"/>
      <c r="H32196" s="13"/>
    </row>
    <row r="32197">
      <c r="A32197" s="6"/>
      <c r="B32197" s="6"/>
      <c r="H32197" s="13"/>
    </row>
    <row r="32198">
      <c r="A32198" s="6"/>
      <c r="B32198" s="6"/>
      <c r="H32198" s="13"/>
    </row>
    <row r="32199">
      <c r="A32199" s="6"/>
      <c r="B32199" s="6"/>
      <c r="H32199" s="13"/>
    </row>
    <row r="32200">
      <c r="A32200" s="6"/>
      <c r="B32200" s="6"/>
      <c r="H32200" s="13"/>
    </row>
    <row r="32201">
      <c r="A32201" s="6"/>
      <c r="B32201" s="6"/>
      <c r="H32201" s="13"/>
    </row>
    <row r="32202">
      <c r="A32202" s="6"/>
      <c r="B32202" s="6"/>
      <c r="H32202" s="13"/>
    </row>
    <row r="32203">
      <c r="A32203" s="6"/>
      <c r="B32203" s="6"/>
      <c r="H32203" s="13"/>
    </row>
    <row r="32204">
      <c r="A32204" s="6"/>
      <c r="B32204" s="6"/>
      <c r="H32204" s="13"/>
    </row>
    <row r="32205">
      <c r="A32205" s="6"/>
      <c r="B32205" s="6"/>
      <c r="H32205" s="13"/>
    </row>
    <row r="32206">
      <c r="A32206" s="6"/>
      <c r="B32206" s="6"/>
      <c r="H32206" s="13"/>
    </row>
    <row r="32207">
      <c r="A32207" s="6"/>
      <c r="B32207" s="6"/>
      <c r="H32207" s="13"/>
    </row>
    <row r="32208">
      <c r="A32208" s="6"/>
      <c r="B32208" s="6"/>
      <c r="H32208" s="13"/>
    </row>
    <row r="32209">
      <c r="A32209" s="6"/>
      <c r="B32209" s="6"/>
      <c r="H32209" s="13"/>
    </row>
    <row r="32210">
      <c r="A32210" s="6"/>
      <c r="B32210" s="6"/>
      <c r="H32210" s="13"/>
    </row>
    <row r="32211">
      <c r="A32211" s="6"/>
      <c r="B32211" s="6"/>
      <c r="H32211" s="13"/>
    </row>
    <row r="32212">
      <c r="A32212" s="6"/>
      <c r="B32212" s="6"/>
      <c r="H32212" s="13"/>
    </row>
    <row r="32213">
      <c r="A32213" s="6"/>
      <c r="B32213" s="6"/>
      <c r="H32213" s="13"/>
    </row>
    <row r="32214">
      <c r="A32214" s="6"/>
      <c r="B32214" s="6"/>
      <c r="H32214" s="13"/>
    </row>
    <row r="32215">
      <c r="A32215" s="6"/>
      <c r="B32215" s="6"/>
      <c r="H32215" s="13"/>
    </row>
    <row r="32216">
      <c r="A32216" s="6"/>
      <c r="B32216" s="6"/>
      <c r="H32216" s="13"/>
    </row>
    <row r="32217">
      <c r="A32217" s="6"/>
      <c r="B32217" s="6"/>
      <c r="H32217" s="13"/>
    </row>
    <row r="32218">
      <c r="A32218" s="6"/>
      <c r="B32218" s="6"/>
      <c r="H32218" s="13"/>
    </row>
    <row r="32219">
      <c r="A32219" s="6"/>
      <c r="B32219" s="6"/>
      <c r="H32219" s="13"/>
    </row>
    <row r="32220">
      <c r="A32220" s="6"/>
      <c r="B32220" s="6"/>
      <c r="H32220" s="13"/>
    </row>
    <row r="32221">
      <c r="A32221" s="6"/>
      <c r="B32221" s="6"/>
      <c r="H32221" s="13"/>
    </row>
    <row r="32222">
      <c r="A32222" s="6"/>
      <c r="B32222" s="6"/>
      <c r="H32222" s="13"/>
    </row>
    <row r="32223">
      <c r="A32223" s="6"/>
      <c r="B32223" s="6"/>
      <c r="H32223" s="13"/>
    </row>
    <row r="32224">
      <c r="A32224" s="6"/>
      <c r="B32224" s="6"/>
      <c r="H32224" s="13"/>
    </row>
    <row r="32225">
      <c r="A32225" s="6"/>
      <c r="B32225" s="6"/>
      <c r="H32225" s="13"/>
    </row>
    <row r="32226">
      <c r="A32226" s="6"/>
      <c r="B32226" s="6"/>
      <c r="H32226" s="13"/>
    </row>
    <row r="32227">
      <c r="A32227" s="6"/>
      <c r="B32227" s="6"/>
      <c r="H32227" s="13"/>
    </row>
    <row r="32228">
      <c r="A32228" s="6"/>
      <c r="B32228" s="6"/>
      <c r="H32228" s="13"/>
    </row>
    <row r="32229">
      <c r="A32229" s="6"/>
      <c r="B32229" s="6"/>
      <c r="H32229" s="13"/>
    </row>
    <row r="32230">
      <c r="A32230" s="6"/>
      <c r="B32230" s="6"/>
      <c r="H32230" s="13"/>
    </row>
    <row r="32231">
      <c r="A32231" s="6"/>
      <c r="B32231" s="6"/>
      <c r="H32231" s="13"/>
    </row>
    <row r="32232">
      <c r="A32232" s="6"/>
      <c r="B32232" s="6"/>
      <c r="H32232" s="13"/>
    </row>
    <row r="32233">
      <c r="A32233" s="6"/>
      <c r="B32233" s="6"/>
      <c r="H32233" s="13"/>
    </row>
    <row r="32234">
      <c r="A32234" s="6"/>
      <c r="B32234" s="6"/>
      <c r="H32234" s="13"/>
    </row>
    <row r="32235">
      <c r="A32235" s="6"/>
      <c r="B32235" s="6"/>
      <c r="H32235" s="13"/>
    </row>
    <row r="32236">
      <c r="A32236" s="6"/>
      <c r="B32236" s="6"/>
      <c r="H32236" s="13"/>
    </row>
    <row r="32237">
      <c r="A32237" s="6"/>
      <c r="B32237" s="6"/>
      <c r="H32237" s="13"/>
    </row>
    <row r="32238">
      <c r="A32238" s="6"/>
      <c r="B32238" s="6"/>
      <c r="H32238" s="13"/>
    </row>
    <row r="32239">
      <c r="A32239" s="6"/>
      <c r="B32239" s="6"/>
      <c r="H32239" s="13"/>
    </row>
    <row r="32240">
      <c r="A32240" s="6"/>
      <c r="B32240" s="6"/>
      <c r="H32240" s="13"/>
    </row>
    <row r="32241">
      <c r="A32241" s="6"/>
      <c r="B32241" s="6"/>
      <c r="H32241" s="13"/>
    </row>
    <row r="32242">
      <c r="A32242" s="6"/>
      <c r="B32242" s="6"/>
      <c r="H32242" s="13"/>
    </row>
    <row r="32243">
      <c r="A32243" s="6"/>
      <c r="B32243" s="6"/>
      <c r="H32243" s="13"/>
    </row>
    <row r="32244">
      <c r="A32244" s="6"/>
      <c r="B32244" s="6"/>
      <c r="H32244" s="13"/>
    </row>
    <row r="32245">
      <c r="A32245" s="6"/>
      <c r="B32245" s="6"/>
      <c r="H32245" s="13"/>
    </row>
    <row r="32246">
      <c r="A32246" s="6"/>
      <c r="B32246" s="6"/>
      <c r="H32246" s="13"/>
    </row>
    <row r="32247">
      <c r="A32247" s="6"/>
      <c r="B32247" s="6"/>
      <c r="H32247" s="13"/>
    </row>
    <row r="32248">
      <c r="A32248" s="6"/>
      <c r="B32248" s="6"/>
      <c r="H32248" s="13"/>
    </row>
    <row r="32249">
      <c r="A32249" s="6"/>
      <c r="B32249" s="6"/>
      <c r="H32249" s="13"/>
    </row>
    <row r="32250">
      <c r="A32250" s="6"/>
      <c r="B32250" s="6"/>
      <c r="H32250" s="13"/>
    </row>
    <row r="32251">
      <c r="A32251" s="6"/>
      <c r="B32251" s="6"/>
      <c r="H32251" s="13"/>
    </row>
    <row r="32252">
      <c r="A32252" s="6"/>
      <c r="B32252" s="6"/>
      <c r="H32252" s="13"/>
    </row>
    <row r="32253">
      <c r="A32253" s="6"/>
      <c r="B32253" s="6"/>
      <c r="H32253" s="13"/>
    </row>
    <row r="32254">
      <c r="A32254" s="6"/>
      <c r="B32254" s="6"/>
      <c r="H32254" s="13"/>
    </row>
    <row r="32255">
      <c r="A32255" s="6"/>
      <c r="B32255" s="6"/>
      <c r="H32255" s="13"/>
    </row>
    <row r="32256">
      <c r="A32256" s="6"/>
      <c r="B32256" s="6"/>
      <c r="H32256" s="13"/>
    </row>
    <row r="32257">
      <c r="A32257" s="6"/>
      <c r="B32257" s="6"/>
      <c r="H32257" s="13"/>
    </row>
    <row r="32258">
      <c r="A32258" s="6"/>
      <c r="B32258" s="6"/>
      <c r="H32258" s="13"/>
    </row>
    <row r="32259">
      <c r="A32259" s="6"/>
      <c r="B32259" s="6"/>
      <c r="H32259" s="13"/>
    </row>
    <row r="32260">
      <c r="A32260" s="6"/>
      <c r="B32260" s="6"/>
      <c r="H32260" s="13"/>
    </row>
    <row r="32261">
      <c r="A32261" s="6"/>
      <c r="B32261" s="6"/>
      <c r="H32261" s="13"/>
    </row>
    <row r="32262">
      <c r="A32262" s="6"/>
      <c r="B32262" s="6"/>
      <c r="H32262" s="13"/>
    </row>
    <row r="32263">
      <c r="A32263" s="6"/>
      <c r="B32263" s="6"/>
      <c r="H32263" s="13"/>
    </row>
    <row r="32264">
      <c r="A32264" s="6"/>
      <c r="B32264" s="6"/>
      <c r="H32264" s="13"/>
    </row>
    <row r="32265">
      <c r="A32265" s="6"/>
      <c r="B32265" s="6"/>
      <c r="H32265" s="13"/>
    </row>
    <row r="32266">
      <c r="A32266" s="6"/>
      <c r="B32266" s="6"/>
      <c r="H32266" s="13"/>
    </row>
    <row r="32267">
      <c r="A32267" s="6"/>
      <c r="B32267" s="6"/>
      <c r="H32267" s="13"/>
    </row>
    <row r="32268">
      <c r="A32268" s="6"/>
      <c r="B32268" s="6"/>
      <c r="H32268" s="13"/>
    </row>
    <row r="32269">
      <c r="A32269" s="6"/>
      <c r="B32269" s="6"/>
      <c r="H32269" s="13"/>
    </row>
    <row r="32270">
      <c r="A32270" s="6"/>
      <c r="B32270" s="6"/>
      <c r="H32270" s="13"/>
    </row>
    <row r="32271">
      <c r="A32271" s="6"/>
      <c r="B32271" s="6"/>
      <c r="H32271" s="13"/>
    </row>
    <row r="32272">
      <c r="A32272" s="6"/>
      <c r="B32272" s="6"/>
      <c r="H32272" s="13"/>
    </row>
    <row r="32273">
      <c r="A32273" s="6"/>
      <c r="B32273" s="6"/>
      <c r="H32273" s="13"/>
    </row>
    <row r="32274">
      <c r="A32274" s="6"/>
      <c r="B32274" s="6"/>
      <c r="H32274" s="13"/>
    </row>
    <row r="32275">
      <c r="A32275" s="6"/>
      <c r="B32275" s="6"/>
      <c r="H32275" s="13"/>
    </row>
    <row r="32276">
      <c r="A32276" s="6"/>
      <c r="B32276" s="6"/>
      <c r="H32276" s="13"/>
    </row>
    <row r="32277">
      <c r="A32277" s="6"/>
      <c r="B32277" s="6"/>
      <c r="H32277" s="13"/>
    </row>
    <row r="32278">
      <c r="A32278" s="6"/>
      <c r="B32278" s="6"/>
      <c r="H32278" s="13"/>
    </row>
    <row r="32279">
      <c r="A32279" s="6"/>
      <c r="B32279" s="6"/>
      <c r="H32279" s="13"/>
    </row>
    <row r="32280">
      <c r="A32280" s="6"/>
      <c r="B32280" s="6"/>
      <c r="H32280" s="13"/>
    </row>
    <row r="32281">
      <c r="A32281" s="6"/>
      <c r="B32281" s="6"/>
      <c r="H32281" s="13"/>
    </row>
    <row r="32282">
      <c r="A32282" s="6"/>
      <c r="B32282" s="6"/>
      <c r="H32282" s="13"/>
    </row>
    <row r="32283">
      <c r="A32283" s="6"/>
      <c r="B32283" s="6"/>
      <c r="H32283" s="13"/>
    </row>
    <row r="32284">
      <c r="A32284" s="6"/>
      <c r="B32284" s="6"/>
      <c r="H32284" s="13"/>
    </row>
    <row r="32285">
      <c r="A32285" s="6"/>
      <c r="B32285" s="6"/>
      <c r="H32285" s="13"/>
    </row>
    <row r="32286">
      <c r="A32286" s="6"/>
      <c r="B32286" s="6"/>
      <c r="H32286" s="13"/>
    </row>
    <row r="32287">
      <c r="A32287" s="6"/>
      <c r="B32287" s="6"/>
      <c r="H32287" s="13"/>
    </row>
    <row r="32288">
      <c r="A32288" s="6"/>
      <c r="B32288" s="6"/>
      <c r="H32288" s="13"/>
    </row>
    <row r="32289">
      <c r="A32289" s="6"/>
      <c r="B32289" s="6"/>
      <c r="H32289" s="13"/>
    </row>
    <row r="32290">
      <c r="A32290" s="6"/>
      <c r="B32290" s="6"/>
      <c r="H32290" s="13"/>
    </row>
    <row r="32291">
      <c r="A32291" s="6"/>
      <c r="B32291" s="6"/>
      <c r="H32291" s="13"/>
    </row>
    <row r="32292">
      <c r="A32292" s="6"/>
      <c r="B32292" s="6"/>
      <c r="H32292" s="13"/>
    </row>
    <row r="32293">
      <c r="A32293" s="6"/>
      <c r="B32293" s="6"/>
      <c r="H32293" s="13"/>
    </row>
    <row r="32294">
      <c r="A32294" s="6"/>
      <c r="B32294" s="6"/>
      <c r="H32294" s="13"/>
    </row>
    <row r="32295">
      <c r="A32295" s="6"/>
      <c r="B32295" s="6"/>
      <c r="H32295" s="13"/>
    </row>
    <row r="32296">
      <c r="A32296" s="6"/>
      <c r="B32296" s="6"/>
      <c r="H32296" s="13"/>
    </row>
    <row r="32297">
      <c r="A32297" s="6"/>
      <c r="B32297" s="6"/>
      <c r="H32297" s="13"/>
    </row>
    <row r="32298">
      <c r="A32298" s="6"/>
      <c r="B32298" s="6"/>
      <c r="H32298" s="13"/>
    </row>
    <row r="32299">
      <c r="A32299" s="6"/>
      <c r="B32299" s="6"/>
      <c r="H32299" s="13"/>
    </row>
    <row r="32300">
      <c r="A32300" s="6"/>
      <c r="B32300" s="6"/>
      <c r="H32300" s="13"/>
    </row>
    <row r="32301">
      <c r="A32301" s="6"/>
      <c r="B32301" s="6"/>
      <c r="H32301" s="13"/>
    </row>
    <row r="32302">
      <c r="A32302" s="6"/>
      <c r="B32302" s="6"/>
      <c r="H32302" s="13"/>
    </row>
    <row r="32303">
      <c r="A32303" s="6"/>
      <c r="B32303" s="6"/>
      <c r="H32303" s="13"/>
    </row>
    <row r="32304">
      <c r="A32304" s="6"/>
      <c r="B32304" s="6"/>
      <c r="H32304" s="13"/>
    </row>
    <row r="32305">
      <c r="A32305" s="6"/>
      <c r="B32305" s="6"/>
      <c r="H32305" s="13"/>
    </row>
    <row r="32306">
      <c r="A32306" s="6"/>
      <c r="B32306" s="6"/>
      <c r="H32306" s="13"/>
    </row>
    <row r="32307">
      <c r="A32307" s="6"/>
      <c r="B32307" s="6"/>
      <c r="H32307" s="13"/>
    </row>
    <row r="32308">
      <c r="A32308" s="6"/>
      <c r="B32308" s="6"/>
      <c r="H32308" s="13"/>
    </row>
    <row r="32309">
      <c r="A32309" s="6"/>
      <c r="B32309" s="6"/>
      <c r="H32309" s="13"/>
    </row>
    <row r="32310">
      <c r="A32310" s="6"/>
      <c r="B32310" s="6"/>
      <c r="H32310" s="13"/>
    </row>
    <row r="32311">
      <c r="A32311" s="6"/>
      <c r="B32311" s="6"/>
      <c r="H32311" s="13"/>
    </row>
    <row r="32312">
      <c r="A32312" s="6"/>
      <c r="B32312" s="6"/>
      <c r="H32312" s="13"/>
    </row>
    <row r="32313">
      <c r="A32313" s="6"/>
      <c r="B32313" s="6"/>
      <c r="H32313" s="13"/>
    </row>
    <row r="32314">
      <c r="A32314" s="6"/>
      <c r="B32314" s="6"/>
      <c r="H32314" s="13"/>
    </row>
    <row r="32315">
      <c r="A32315" s="6"/>
      <c r="B32315" s="6"/>
      <c r="H32315" s="13"/>
    </row>
    <row r="32316">
      <c r="A32316" s="6"/>
      <c r="B32316" s="6"/>
      <c r="H32316" s="13"/>
    </row>
    <row r="32317">
      <c r="A32317" s="6"/>
      <c r="B32317" s="6"/>
      <c r="H32317" s="13"/>
    </row>
    <row r="32318">
      <c r="A32318" s="6"/>
      <c r="B32318" s="6"/>
      <c r="H32318" s="13"/>
    </row>
    <row r="32319">
      <c r="A32319" s="6"/>
      <c r="B32319" s="6"/>
      <c r="H32319" s="13"/>
    </row>
    <row r="32320">
      <c r="A32320" s="6"/>
      <c r="B32320" s="6"/>
      <c r="H32320" s="13"/>
    </row>
    <row r="32321">
      <c r="A32321" s="6"/>
      <c r="B32321" s="6"/>
      <c r="H32321" s="13"/>
    </row>
    <row r="32322">
      <c r="A32322" s="6"/>
      <c r="B32322" s="6"/>
      <c r="H32322" s="13"/>
    </row>
    <row r="32323">
      <c r="A32323" s="6"/>
      <c r="B32323" s="6"/>
      <c r="H32323" s="13"/>
    </row>
    <row r="32324">
      <c r="A32324" s="6"/>
      <c r="B32324" s="6"/>
      <c r="H32324" s="13"/>
    </row>
    <row r="32325">
      <c r="A32325" s="6"/>
      <c r="B32325" s="6"/>
      <c r="H32325" s="13"/>
    </row>
    <row r="32326">
      <c r="A32326" s="6"/>
      <c r="B32326" s="6"/>
      <c r="H32326" s="13"/>
    </row>
    <row r="32327">
      <c r="A32327" s="6"/>
      <c r="B32327" s="6"/>
      <c r="H32327" s="13"/>
    </row>
    <row r="32328">
      <c r="A32328" s="6"/>
      <c r="B32328" s="6"/>
      <c r="H32328" s="13"/>
    </row>
    <row r="32329">
      <c r="A32329" s="6"/>
      <c r="B32329" s="6"/>
      <c r="H32329" s="13"/>
    </row>
    <row r="32330">
      <c r="A32330" s="6"/>
      <c r="B32330" s="6"/>
      <c r="H32330" s="13"/>
    </row>
    <row r="32331">
      <c r="A32331" s="6"/>
      <c r="B32331" s="6"/>
      <c r="H32331" s="13"/>
    </row>
    <row r="32332">
      <c r="A32332" s="6"/>
      <c r="B32332" s="6"/>
      <c r="H32332" s="13"/>
    </row>
    <row r="32333">
      <c r="A32333" s="6"/>
      <c r="B32333" s="6"/>
      <c r="H32333" s="13"/>
    </row>
    <row r="32334">
      <c r="A32334" s="6"/>
      <c r="B32334" s="6"/>
      <c r="H32334" s="13"/>
    </row>
    <row r="32335">
      <c r="A32335" s="6"/>
      <c r="B32335" s="6"/>
      <c r="H32335" s="13"/>
    </row>
    <row r="32336">
      <c r="A32336" s="6"/>
      <c r="B32336" s="6"/>
      <c r="H32336" s="13"/>
    </row>
    <row r="32337">
      <c r="A32337" s="6"/>
      <c r="B32337" s="6"/>
      <c r="H32337" s="13"/>
    </row>
    <row r="32338">
      <c r="A32338" s="6"/>
      <c r="B32338" s="6"/>
      <c r="H32338" s="13"/>
    </row>
    <row r="32339">
      <c r="A32339" s="6"/>
      <c r="B32339" s="6"/>
      <c r="H32339" s="13"/>
    </row>
    <row r="32340">
      <c r="A32340" s="6"/>
      <c r="B32340" s="6"/>
      <c r="H32340" s="13"/>
    </row>
    <row r="32341">
      <c r="A32341" s="6"/>
      <c r="B32341" s="6"/>
      <c r="H32341" s="13"/>
    </row>
    <row r="32342">
      <c r="A32342" s="6"/>
      <c r="B32342" s="6"/>
      <c r="H32342" s="13"/>
    </row>
    <row r="32343">
      <c r="A32343" s="6"/>
      <c r="B32343" s="6"/>
      <c r="H32343" s="13"/>
    </row>
    <row r="32344">
      <c r="A32344" s="6"/>
      <c r="B32344" s="6"/>
      <c r="H32344" s="13"/>
    </row>
    <row r="32345">
      <c r="A32345" s="6"/>
      <c r="B32345" s="6"/>
      <c r="H32345" s="13"/>
    </row>
    <row r="32346">
      <c r="A32346" s="6"/>
      <c r="B32346" s="6"/>
      <c r="H32346" s="13"/>
    </row>
    <row r="32347">
      <c r="A32347" s="6"/>
      <c r="B32347" s="6"/>
      <c r="H32347" s="13"/>
    </row>
    <row r="32348">
      <c r="A32348" s="6"/>
      <c r="B32348" s="6"/>
      <c r="H32348" s="13"/>
    </row>
    <row r="32349">
      <c r="A32349" s="6"/>
      <c r="B32349" s="6"/>
      <c r="H32349" s="13"/>
    </row>
    <row r="32350">
      <c r="A32350" s="6"/>
      <c r="B32350" s="6"/>
      <c r="H32350" s="13"/>
    </row>
    <row r="32351">
      <c r="A32351" s="6"/>
      <c r="B32351" s="6"/>
      <c r="H32351" s="13"/>
    </row>
    <row r="32352">
      <c r="A32352" s="6"/>
      <c r="B32352" s="6"/>
      <c r="H32352" s="13"/>
    </row>
    <row r="32353">
      <c r="A32353" s="6"/>
      <c r="B32353" s="6"/>
      <c r="H32353" s="13"/>
    </row>
    <row r="32354">
      <c r="A32354" s="6"/>
      <c r="B32354" s="6"/>
      <c r="H32354" s="13"/>
    </row>
    <row r="32355">
      <c r="A32355" s="6"/>
      <c r="B32355" s="6"/>
      <c r="H32355" s="13"/>
    </row>
    <row r="32356">
      <c r="A32356" s="6"/>
      <c r="B32356" s="6"/>
      <c r="H32356" s="13"/>
    </row>
    <row r="32357">
      <c r="A32357" s="6"/>
      <c r="B32357" s="6"/>
      <c r="H32357" s="13"/>
    </row>
    <row r="32358">
      <c r="A32358" s="6"/>
      <c r="B32358" s="6"/>
      <c r="H32358" s="13"/>
    </row>
    <row r="32359">
      <c r="A32359" s="6"/>
      <c r="B32359" s="6"/>
      <c r="H32359" s="13"/>
    </row>
    <row r="32360">
      <c r="A32360" s="6"/>
      <c r="B32360" s="6"/>
      <c r="H32360" s="13"/>
    </row>
    <row r="32361">
      <c r="A32361" s="6"/>
      <c r="B32361" s="6"/>
      <c r="H32361" s="13"/>
    </row>
    <row r="32362">
      <c r="A32362" s="6"/>
      <c r="B32362" s="6"/>
      <c r="H32362" s="13"/>
    </row>
    <row r="32363">
      <c r="A32363" s="6"/>
      <c r="B32363" s="6"/>
      <c r="H32363" s="13"/>
    </row>
    <row r="32364">
      <c r="A32364" s="6"/>
      <c r="B32364" s="6"/>
      <c r="H32364" s="13"/>
    </row>
    <row r="32365">
      <c r="A32365" s="6"/>
      <c r="B32365" s="6"/>
      <c r="H32365" s="13"/>
    </row>
    <row r="32366">
      <c r="A32366" s="6"/>
      <c r="B32366" s="6"/>
      <c r="H32366" s="13"/>
    </row>
    <row r="32367">
      <c r="A32367" s="6"/>
      <c r="B32367" s="6"/>
      <c r="H32367" s="13"/>
    </row>
    <row r="32368">
      <c r="A32368" s="6"/>
      <c r="B32368" s="6"/>
      <c r="H32368" s="13"/>
    </row>
    <row r="32369">
      <c r="A32369" s="6"/>
      <c r="B32369" s="6"/>
      <c r="H32369" s="13"/>
    </row>
    <row r="32370">
      <c r="A32370" s="6"/>
      <c r="B32370" s="6"/>
      <c r="H32370" s="13"/>
    </row>
    <row r="32371">
      <c r="A32371" s="6"/>
      <c r="B32371" s="6"/>
      <c r="H32371" s="13"/>
    </row>
    <row r="32372">
      <c r="A32372" s="6"/>
      <c r="B32372" s="6"/>
      <c r="H32372" s="13"/>
    </row>
    <row r="32373">
      <c r="A32373" s="6"/>
      <c r="B32373" s="6"/>
      <c r="H32373" s="13"/>
    </row>
    <row r="32374">
      <c r="A32374" s="6"/>
      <c r="B32374" s="6"/>
      <c r="H32374" s="13"/>
    </row>
    <row r="32375">
      <c r="A32375" s="6"/>
      <c r="B32375" s="6"/>
      <c r="H32375" s="13"/>
    </row>
    <row r="32376">
      <c r="A32376" s="6"/>
      <c r="B32376" s="6"/>
      <c r="H32376" s="13"/>
    </row>
    <row r="32377">
      <c r="A32377" s="6"/>
      <c r="B32377" s="6"/>
      <c r="H32377" s="13"/>
    </row>
    <row r="32378">
      <c r="A32378" s="6"/>
      <c r="B32378" s="6"/>
      <c r="H32378" s="13"/>
    </row>
    <row r="32379">
      <c r="A32379" s="6"/>
      <c r="B32379" s="6"/>
      <c r="H32379" s="13"/>
    </row>
    <row r="32380">
      <c r="A32380" s="6"/>
      <c r="B32380" s="6"/>
      <c r="H32380" s="13"/>
    </row>
    <row r="32381">
      <c r="A32381" s="6"/>
      <c r="B32381" s="6"/>
      <c r="H32381" s="13"/>
    </row>
    <row r="32382">
      <c r="A32382" s="6"/>
      <c r="B32382" s="6"/>
      <c r="H32382" s="13"/>
    </row>
    <row r="32383">
      <c r="A32383" s="6"/>
      <c r="B32383" s="6"/>
      <c r="H32383" s="13"/>
    </row>
    <row r="32384">
      <c r="A32384" s="6"/>
      <c r="B32384" s="6"/>
      <c r="H32384" s="13"/>
    </row>
    <row r="32385">
      <c r="A32385" s="6"/>
      <c r="B32385" s="6"/>
      <c r="H32385" s="13"/>
    </row>
    <row r="32386">
      <c r="A32386" s="6"/>
      <c r="B32386" s="6"/>
      <c r="H32386" s="13"/>
    </row>
    <row r="32387">
      <c r="A32387" s="6"/>
      <c r="B32387" s="6"/>
      <c r="H32387" s="13"/>
    </row>
    <row r="32388">
      <c r="A32388" s="6"/>
      <c r="B32388" s="6"/>
      <c r="H32388" s="13"/>
    </row>
    <row r="32389">
      <c r="A32389" s="6"/>
      <c r="B32389" s="6"/>
      <c r="H32389" s="13"/>
    </row>
    <row r="32390">
      <c r="A32390" s="6"/>
      <c r="B32390" s="6"/>
      <c r="H32390" s="13"/>
    </row>
    <row r="32391">
      <c r="A32391" s="6"/>
      <c r="B32391" s="6"/>
      <c r="H32391" s="13"/>
    </row>
    <row r="32392">
      <c r="A32392" s="6"/>
      <c r="B32392" s="6"/>
      <c r="H32392" s="13"/>
    </row>
    <row r="32393">
      <c r="A32393" s="6"/>
      <c r="B32393" s="6"/>
      <c r="H32393" s="13"/>
    </row>
    <row r="32394">
      <c r="A32394" s="6"/>
      <c r="B32394" s="6"/>
      <c r="H32394" s="13"/>
    </row>
    <row r="32395">
      <c r="A32395" s="6"/>
      <c r="B32395" s="6"/>
      <c r="H32395" s="13"/>
    </row>
    <row r="32396">
      <c r="A32396" s="6"/>
      <c r="B32396" s="6"/>
      <c r="H32396" s="13"/>
    </row>
    <row r="32397">
      <c r="A32397" s="6"/>
      <c r="B32397" s="6"/>
      <c r="H32397" s="13"/>
    </row>
    <row r="32398">
      <c r="A32398" s="6"/>
      <c r="B32398" s="6"/>
      <c r="H32398" s="13"/>
    </row>
    <row r="32399">
      <c r="A32399" s="6"/>
      <c r="B32399" s="6"/>
      <c r="H32399" s="13"/>
    </row>
    <row r="32400">
      <c r="A32400" s="6"/>
      <c r="B32400" s="6"/>
      <c r="H32400" s="13"/>
    </row>
    <row r="32401">
      <c r="A32401" s="6"/>
      <c r="B32401" s="6"/>
      <c r="H32401" s="13"/>
    </row>
    <row r="32402">
      <c r="A32402" s="6"/>
      <c r="B32402" s="6"/>
      <c r="H32402" s="13"/>
    </row>
    <row r="32403">
      <c r="A32403" s="6"/>
      <c r="B32403" s="6"/>
      <c r="H32403" s="13"/>
    </row>
    <row r="32404">
      <c r="A32404" s="6"/>
      <c r="B32404" s="6"/>
      <c r="H32404" s="13"/>
    </row>
    <row r="32405">
      <c r="A32405" s="6"/>
      <c r="B32405" s="6"/>
      <c r="H32405" s="13"/>
    </row>
    <row r="32406">
      <c r="A32406" s="6"/>
      <c r="B32406" s="6"/>
      <c r="H32406" s="13"/>
    </row>
    <row r="32407">
      <c r="A32407" s="6"/>
      <c r="B32407" s="6"/>
      <c r="H32407" s="13"/>
    </row>
    <row r="32408">
      <c r="A32408" s="6"/>
      <c r="B32408" s="6"/>
      <c r="H32408" s="13"/>
    </row>
    <row r="32409">
      <c r="A32409" s="6"/>
      <c r="B32409" s="6"/>
      <c r="H32409" s="13"/>
    </row>
    <row r="32410">
      <c r="A32410" s="6"/>
      <c r="B32410" s="6"/>
      <c r="H32410" s="13"/>
    </row>
    <row r="32411">
      <c r="A32411" s="6"/>
      <c r="B32411" s="6"/>
      <c r="H32411" s="13"/>
    </row>
    <row r="32412">
      <c r="A32412" s="6"/>
      <c r="B32412" s="6"/>
      <c r="H32412" s="13"/>
    </row>
    <row r="32413">
      <c r="A32413" s="6"/>
      <c r="B32413" s="6"/>
      <c r="H32413" s="13"/>
    </row>
    <row r="32414">
      <c r="A32414" s="6"/>
      <c r="B32414" s="6"/>
      <c r="H32414" s="13"/>
    </row>
    <row r="32415">
      <c r="A32415" s="6"/>
      <c r="B32415" s="6"/>
      <c r="H32415" s="13"/>
    </row>
    <row r="32416">
      <c r="A32416" s="6"/>
      <c r="B32416" s="6"/>
      <c r="H32416" s="13"/>
    </row>
    <row r="32417">
      <c r="A32417" s="6"/>
      <c r="B32417" s="6"/>
      <c r="H32417" s="13"/>
    </row>
    <row r="32418">
      <c r="A32418" s="6"/>
      <c r="B32418" s="6"/>
      <c r="H32418" s="13"/>
    </row>
    <row r="32419">
      <c r="A32419" s="6"/>
      <c r="B32419" s="6"/>
      <c r="H32419" s="13"/>
    </row>
    <row r="32420">
      <c r="A32420" s="6"/>
      <c r="B32420" s="6"/>
      <c r="H32420" s="13"/>
    </row>
    <row r="32421">
      <c r="A32421" s="6"/>
      <c r="B32421" s="6"/>
      <c r="H32421" s="13"/>
    </row>
    <row r="32422">
      <c r="A32422" s="6"/>
      <c r="B32422" s="6"/>
      <c r="H32422" s="13"/>
    </row>
    <row r="32423">
      <c r="A32423" s="6"/>
      <c r="B32423" s="6"/>
      <c r="H32423" s="13"/>
    </row>
    <row r="32424">
      <c r="A32424" s="6"/>
      <c r="B32424" s="6"/>
      <c r="H32424" s="13"/>
    </row>
    <row r="32425">
      <c r="A32425" s="6"/>
      <c r="B32425" s="6"/>
      <c r="H32425" s="13"/>
    </row>
    <row r="32426">
      <c r="A32426" s="6"/>
      <c r="B32426" s="6"/>
      <c r="H32426" s="13"/>
    </row>
    <row r="32427">
      <c r="A32427" s="6"/>
      <c r="B32427" s="6"/>
      <c r="H32427" s="13"/>
    </row>
    <row r="32428">
      <c r="A32428" s="6"/>
      <c r="B32428" s="6"/>
      <c r="H32428" s="13"/>
    </row>
    <row r="32429">
      <c r="A32429" s="6"/>
      <c r="B32429" s="6"/>
      <c r="H32429" s="13"/>
    </row>
    <row r="32430">
      <c r="A32430" s="6"/>
      <c r="B32430" s="6"/>
      <c r="H32430" s="13"/>
    </row>
    <row r="32431">
      <c r="A32431" s="6"/>
      <c r="B32431" s="6"/>
      <c r="H32431" s="13"/>
    </row>
    <row r="32432">
      <c r="A32432" s="6"/>
      <c r="B32432" s="6"/>
      <c r="H32432" s="13"/>
    </row>
    <row r="32433">
      <c r="A32433" s="6"/>
      <c r="B32433" s="6"/>
      <c r="H32433" s="13"/>
    </row>
    <row r="32434">
      <c r="A32434" s="6"/>
      <c r="B32434" s="6"/>
      <c r="H32434" s="13"/>
    </row>
    <row r="32435">
      <c r="A32435" s="6"/>
      <c r="B32435" s="6"/>
      <c r="H32435" s="13"/>
    </row>
    <row r="32436">
      <c r="A32436" s="6"/>
      <c r="B32436" s="6"/>
      <c r="H32436" s="13"/>
    </row>
    <row r="32437">
      <c r="A32437" s="6"/>
      <c r="B32437" s="6"/>
      <c r="H32437" s="13"/>
    </row>
    <row r="32438">
      <c r="A32438" s="6"/>
      <c r="B32438" s="6"/>
      <c r="H32438" s="13"/>
    </row>
    <row r="32439">
      <c r="A32439" s="6"/>
      <c r="B32439" s="6"/>
      <c r="H32439" s="13"/>
    </row>
    <row r="32440">
      <c r="A32440" s="6"/>
      <c r="B32440" s="6"/>
      <c r="H32440" s="13"/>
    </row>
    <row r="32441">
      <c r="A32441" s="6"/>
      <c r="B32441" s="6"/>
      <c r="H32441" s="13"/>
    </row>
    <row r="32442">
      <c r="A32442" s="6"/>
      <c r="B32442" s="6"/>
      <c r="H32442" s="13"/>
    </row>
    <row r="32443">
      <c r="A32443" s="6"/>
      <c r="B32443" s="6"/>
      <c r="H32443" s="13"/>
    </row>
    <row r="32444">
      <c r="A32444" s="6"/>
      <c r="B32444" s="6"/>
      <c r="H32444" s="13"/>
    </row>
    <row r="32445">
      <c r="A32445" s="6"/>
      <c r="B32445" s="6"/>
      <c r="H32445" s="13"/>
    </row>
    <row r="32446">
      <c r="A32446" s="6"/>
      <c r="B32446" s="6"/>
      <c r="H32446" s="13"/>
    </row>
    <row r="32447">
      <c r="A32447" s="6"/>
      <c r="B32447" s="6"/>
      <c r="H32447" s="13"/>
    </row>
    <row r="32448">
      <c r="A32448" s="6"/>
      <c r="B32448" s="6"/>
      <c r="H32448" s="13"/>
    </row>
    <row r="32449">
      <c r="A32449" s="6"/>
      <c r="B32449" s="6"/>
      <c r="H32449" s="13"/>
    </row>
    <row r="32450">
      <c r="A32450" s="6"/>
      <c r="B32450" s="6"/>
      <c r="H32450" s="13"/>
    </row>
    <row r="32451">
      <c r="A32451" s="6"/>
      <c r="B32451" s="6"/>
      <c r="H32451" s="13"/>
    </row>
    <row r="32452">
      <c r="A32452" s="6"/>
      <c r="B32452" s="6"/>
      <c r="H32452" s="13"/>
    </row>
    <row r="32453">
      <c r="A32453" s="6"/>
      <c r="B32453" s="6"/>
      <c r="H32453" s="13"/>
    </row>
    <row r="32454">
      <c r="A32454" s="6"/>
      <c r="B32454" s="6"/>
      <c r="H32454" s="13"/>
    </row>
    <row r="32455">
      <c r="A32455" s="6"/>
      <c r="B32455" s="6"/>
      <c r="H32455" s="13"/>
    </row>
    <row r="32456">
      <c r="A32456" s="6"/>
      <c r="B32456" s="6"/>
      <c r="H32456" s="13"/>
    </row>
    <row r="32457">
      <c r="A32457" s="6"/>
      <c r="B32457" s="6"/>
      <c r="H32457" s="13"/>
    </row>
    <row r="32458">
      <c r="A32458" s="6"/>
      <c r="B32458" s="6"/>
      <c r="H32458" s="13"/>
    </row>
    <row r="32459">
      <c r="A32459" s="6"/>
      <c r="B32459" s="6"/>
      <c r="H32459" s="13"/>
    </row>
    <row r="32460">
      <c r="A32460" s="6"/>
      <c r="B32460" s="6"/>
      <c r="H32460" s="13"/>
    </row>
    <row r="32461">
      <c r="A32461" s="6"/>
      <c r="B32461" s="6"/>
      <c r="H32461" s="13"/>
    </row>
    <row r="32462">
      <c r="A32462" s="6"/>
      <c r="B32462" s="6"/>
      <c r="H32462" s="13"/>
    </row>
    <row r="32463">
      <c r="A32463" s="6"/>
      <c r="B32463" s="6"/>
      <c r="H32463" s="13"/>
    </row>
    <row r="32464">
      <c r="A32464" s="6"/>
      <c r="B32464" s="6"/>
      <c r="H32464" s="13"/>
    </row>
    <row r="32465">
      <c r="A32465" s="6"/>
      <c r="B32465" s="6"/>
      <c r="H32465" s="13"/>
    </row>
    <row r="32466">
      <c r="A32466" s="6"/>
      <c r="B32466" s="6"/>
      <c r="H32466" s="13"/>
    </row>
    <row r="32467">
      <c r="A32467" s="6"/>
      <c r="B32467" s="6"/>
      <c r="H32467" s="13"/>
    </row>
    <row r="32468">
      <c r="A32468" s="6"/>
      <c r="B32468" s="6"/>
      <c r="H32468" s="13"/>
    </row>
    <row r="32469">
      <c r="A32469" s="6"/>
      <c r="B32469" s="6"/>
      <c r="H32469" s="13"/>
    </row>
    <row r="32470">
      <c r="A32470" s="6"/>
      <c r="B32470" s="6"/>
      <c r="H32470" s="13"/>
    </row>
    <row r="32471">
      <c r="A32471" s="6"/>
      <c r="B32471" s="6"/>
      <c r="H32471" s="13"/>
    </row>
    <row r="32472">
      <c r="A32472" s="6"/>
      <c r="B32472" s="6"/>
      <c r="H32472" s="13"/>
    </row>
    <row r="32473">
      <c r="A32473" s="6"/>
      <c r="B32473" s="6"/>
      <c r="H32473" s="13"/>
    </row>
    <row r="32474">
      <c r="A32474" s="6"/>
      <c r="B32474" s="6"/>
      <c r="H32474" s="13"/>
    </row>
    <row r="32475">
      <c r="A32475" s="6"/>
      <c r="B32475" s="6"/>
      <c r="H32475" s="13"/>
    </row>
    <row r="32476">
      <c r="A32476" s="6"/>
      <c r="B32476" s="6"/>
      <c r="H32476" s="13"/>
    </row>
    <row r="32477">
      <c r="A32477" s="6"/>
      <c r="B32477" s="6"/>
      <c r="H32477" s="13"/>
    </row>
    <row r="32478">
      <c r="A32478" s="6"/>
      <c r="B32478" s="6"/>
      <c r="H32478" s="13"/>
    </row>
    <row r="32479">
      <c r="A32479" s="6"/>
      <c r="B32479" s="6"/>
      <c r="H32479" s="13"/>
    </row>
    <row r="32480">
      <c r="A32480" s="6"/>
      <c r="B32480" s="6"/>
      <c r="H32480" s="13"/>
    </row>
    <row r="32481">
      <c r="A32481" s="6"/>
      <c r="B32481" s="6"/>
      <c r="H32481" s="13"/>
    </row>
    <row r="32482">
      <c r="A32482" s="6"/>
      <c r="B32482" s="6"/>
      <c r="H32482" s="13"/>
    </row>
    <row r="32483">
      <c r="A32483" s="6"/>
      <c r="B32483" s="6"/>
      <c r="H32483" s="13"/>
    </row>
    <row r="32484">
      <c r="A32484" s="6"/>
      <c r="B32484" s="6"/>
      <c r="H32484" s="13"/>
    </row>
    <row r="32485">
      <c r="A32485" s="6"/>
      <c r="B32485" s="6"/>
      <c r="H32485" s="13"/>
    </row>
    <row r="32486">
      <c r="A32486" s="6"/>
      <c r="B32486" s="6"/>
      <c r="H32486" s="13"/>
    </row>
    <row r="32487">
      <c r="A32487" s="6"/>
      <c r="B32487" s="6"/>
      <c r="H32487" s="13"/>
    </row>
    <row r="32488">
      <c r="A32488" s="6"/>
      <c r="B32488" s="6"/>
      <c r="H32488" s="13"/>
    </row>
    <row r="32489">
      <c r="A32489" s="6"/>
      <c r="B32489" s="6"/>
      <c r="H32489" s="13"/>
    </row>
    <row r="32490">
      <c r="A32490" s="6"/>
      <c r="B32490" s="6"/>
      <c r="H32490" s="13"/>
    </row>
    <row r="32491">
      <c r="A32491" s="6"/>
      <c r="B32491" s="6"/>
      <c r="H32491" s="13"/>
    </row>
    <row r="32492">
      <c r="A32492" s="6"/>
      <c r="B32492" s="6"/>
      <c r="H32492" s="13"/>
    </row>
    <row r="32493">
      <c r="A32493" s="6"/>
      <c r="B32493" s="6"/>
      <c r="H32493" s="13"/>
    </row>
    <row r="32494">
      <c r="A32494" s="6"/>
      <c r="B32494" s="6"/>
      <c r="H32494" s="13"/>
    </row>
    <row r="32495">
      <c r="A32495" s="6"/>
      <c r="B32495" s="6"/>
      <c r="H32495" s="13"/>
    </row>
    <row r="32496">
      <c r="A32496" s="6"/>
      <c r="B32496" s="6"/>
      <c r="H32496" s="13"/>
    </row>
    <row r="32497">
      <c r="A32497" s="6"/>
      <c r="B32497" s="6"/>
      <c r="H32497" s="13"/>
    </row>
    <row r="32498">
      <c r="A32498" s="6"/>
      <c r="B32498" s="6"/>
      <c r="H32498" s="13"/>
    </row>
    <row r="32499">
      <c r="A32499" s="6"/>
      <c r="B32499" s="6"/>
      <c r="H32499" s="13"/>
    </row>
    <row r="32500">
      <c r="A32500" s="6"/>
      <c r="B32500" s="6"/>
      <c r="H32500" s="13"/>
    </row>
    <row r="32501">
      <c r="A32501" s="6"/>
      <c r="B32501" s="6"/>
      <c r="H32501" s="13"/>
    </row>
    <row r="32502">
      <c r="A32502" s="6"/>
      <c r="B32502" s="6"/>
      <c r="H32502" s="13"/>
    </row>
    <row r="32503">
      <c r="A32503" s="6"/>
      <c r="B32503" s="6"/>
      <c r="H32503" s="13"/>
    </row>
    <row r="32504">
      <c r="A32504" s="6"/>
      <c r="B32504" s="6"/>
      <c r="H32504" s="13"/>
    </row>
    <row r="32505">
      <c r="A32505" s="6"/>
      <c r="B32505" s="6"/>
      <c r="H32505" s="13"/>
    </row>
    <row r="32506">
      <c r="A32506" s="6"/>
      <c r="B32506" s="6"/>
      <c r="H32506" s="13"/>
    </row>
    <row r="32507">
      <c r="A32507" s="6"/>
      <c r="B32507" s="6"/>
      <c r="H32507" s="13"/>
    </row>
    <row r="32508">
      <c r="A32508" s="6"/>
      <c r="B32508" s="6"/>
      <c r="H32508" s="13"/>
    </row>
    <row r="32509">
      <c r="A32509" s="6"/>
      <c r="B32509" s="6"/>
      <c r="H32509" s="13"/>
    </row>
    <row r="32510">
      <c r="A32510" s="6"/>
      <c r="B32510" s="6"/>
      <c r="H32510" s="13"/>
    </row>
    <row r="32511">
      <c r="A32511" s="6"/>
      <c r="B32511" s="6"/>
      <c r="H32511" s="13"/>
    </row>
    <row r="32512">
      <c r="A32512" s="6"/>
      <c r="B32512" s="6"/>
      <c r="H32512" s="13"/>
    </row>
    <row r="32513">
      <c r="A32513" s="6"/>
      <c r="B32513" s="6"/>
      <c r="H32513" s="13"/>
    </row>
    <row r="32514">
      <c r="A32514" s="6"/>
      <c r="B32514" s="6"/>
      <c r="H32514" s="13"/>
    </row>
    <row r="32515">
      <c r="A32515" s="6"/>
      <c r="B32515" s="6"/>
      <c r="H32515" s="13"/>
    </row>
    <row r="32516">
      <c r="A32516" s="6"/>
      <c r="B32516" s="6"/>
      <c r="H32516" s="13"/>
    </row>
    <row r="32517">
      <c r="A32517" s="6"/>
      <c r="B32517" s="6"/>
      <c r="H32517" s="13"/>
    </row>
    <row r="32518">
      <c r="A32518" s="6"/>
      <c r="B32518" s="6"/>
      <c r="H32518" s="13"/>
    </row>
    <row r="32519">
      <c r="A32519" s="6"/>
      <c r="B32519" s="6"/>
      <c r="H32519" s="13"/>
    </row>
    <row r="32520">
      <c r="A32520" s="6"/>
      <c r="B32520" s="6"/>
      <c r="H32520" s="13"/>
    </row>
    <row r="32521">
      <c r="A32521" s="6"/>
      <c r="B32521" s="6"/>
      <c r="H32521" s="13"/>
    </row>
    <row r="32522">
      <c r="A32522" s="6"/>
      <c r="B32522" s="6"/>
      <c r="H32522" s="13"/>
    </row>
    <row r="32523">
      <c r="A32523" s="6"/>
      <c r="B32523" s="6"/>
      <c r="H32523" s="13"/>
    </row>
    <row r="32524">
      <c r="A32524" s="6"/>
      <c r="B32524" s="6"/>
      <c r="H32524" s="13"/>
    </row>
    <row r="32525">
      <c r="A32525" s="6"/>
      <c r="B32525" s="6"/>
      <c r="H32525" s="13"/>
    </row>
    <row r="32526">
      <c r="A32526" s="6"/>
      <c r="B32526" s="6"/>
      <c r="H32526" s="13"/>
    </row>
    <row r="32527">
      <c r="A32527" s="6"/>
      <c r="B32527" s="6"/>
      <c r="H32527" s="13"/>
    </row>
    <row r="32528">
      <c r="A32528" s="6"/>
      <c r="B32528" s="6"/>
      <c r="H32528" s="13"/>
    </row>
    <row r="32529">
      <c r="A32529" s="6"/>
      <c r="B32529" s="6"/>
      <c r="H32529" s="13"/>
    </row>
    <row r="32530">
      <c r="A32530" s="6"/>
      <c r="B32530" s="6"/>
      <c r="H32530" s="13"/>
    </row>
    <row r="32531">
      <c r="A32531" s="6"/>
      <c r="B32531" s="6"/>
      <c r="H32531" s="13"/>
    </row>
    <row r="32532">
      <c r="A32532" s="6"/>
      <c r="B32532" s="6"/>
      <c r="H32532" s="13"/>
    </row>
    <row r="32533">
      <c r="A32533" s="6"/>
      <c r="B32533" s="6"/>
      <c r="H32533" s="13"/>
    </row>
    <row r="32534">
      <c r="A32534" s="6"/>
      <c r="B32534" s="6"/>
      <c r="H32534" s="13"/>
    </row>
    <row r="32535">
      <c r="A32535" s="6"/>
      <c r="B32535" s="6"/>
      <c r="H32535" s="13"/>
    </row>
    <row r="32536">
      <c r="A32536" s="6"/>
      <c r="B32536" s="6"/>
      <c r="H32536" s="13"/>
    </row>
    <row r="32537">
      <c r="A32537" s="6"/>
      <c r="B32537" s="6"/>
      <c r="H32537" s="13"/>
    </row>
    <row r="32538">
      <c r="A32538" s="6"/>
      <c r="B32538" s="6"/>
      <c r="H32538" s="13"/>
    </row>
    <row r="32539">
      <c r="A32539" s="6"/>
      <c r="B32539" s="6"/>
      <c r="H32539" s="13"/>
    </row>
    <row r="32540">
      <c r="A32540" s="6"/>
      <c r="B32540" s="6"/>
      <c r="H32540" s="13"/>
    </row>
    <row r="32541">
      <c r="A32541" s="6"/>
      <c r="B32541" s="6"/>
      <c r="H32541" s="13"/>
    </row>
    <row r="32542">
      <c r="A32542" s="6"/>
      <c r="B32542" s="6"/>
      <c r="H32542" s="13"/>
    </row>
    <row r="32543">
      <c r="A32543" s="6"/>
      <c r="B32543" s="6"/>
      <c r="H32543" s="13"/>
    </row>
    <row r="32544">
      <c r="A32544" s="6"/>
      <c r="B32544" s="6"/>
      <c r="H32544" s="13"/>
    </row>
    <row r="32545">
      <c r="A32545" s="6"/>
      <c r="B32545" s="6"/>
      <c r="H32545" s="13"/>
    </row>
    <row r="32546">
      <c r="A32546" s="6"/>
      <c r="B32546" s="6"/>
      <c r="H32546" s="13"/>
    </row>
    <row r="32547">
      <c r="A32547" s="6"/>
      <c r="B32547" s="6"/>
      <c r="H32547" s="13"/>
    </row>
    <row r="32548">
      <c r="A32548" s="6"/>
      <c r="B32548" s="6"/>
      <c r="H32548" s="13"/>
    </row>
    <row r="32549">
      <c r="A32549" s="6"/>
      <c r="B32549" s="6"/>
      <c r="H32549" s="13"/>
    </row>
    <row r="32550">
      <c r="A32550" s="6"/>
      <c r="B32550" s="6"/>
      <c r="H32550" s="13"/>
    </row>
    <row r="32551">
      <c r="A32551" s="6"/>
      <c r="B32551" s="6"/>
      <c r="H32551" s="13"/>
    </row>
    <row r="32552">
      <c r="A32552" s="6"/>
      <c r="B32552" s="6"/>
      <c r="H32552" s="13"/>
    </row>
    <row r="32553">
      <c r="A32553" s="6"/>
      <c r="B32553" s="6"/>
      <c r="H32553" s="13"/>
    </row>
    <row r="32554">
      <c r="A32554" s="6"/>
      <c r="B32554" s="6"/>
      <c r="H32554" s="13"/>
    </row>
    <row r="32555">
      <c r="A32555" s="6"/>
      <c r="B32555" s="6"/>
      <c r="H32555" s="13"/>
    </row>
    <row r="32556">
      <c r="A32556" s="6"/>
      <c r="B32556" s="6"/>
      <c r="H32556" s="13"/>
    </row>
    <row r="32557">
      <c r="A32557" s="6"/>
      <c r="B32557" s="6"/>
      <c r="H32557" s="13"/>
    </row>
    <row r="32558">
      <c r="A32558" s="6"/>
      <c r="B32558" s="6"/>
      <c r="H32558" s="13"/>
    </row>
    <row r="32559">
      <c r="A32559" s="6"/>
      <c r="B32559" s="6"/>
      <c r="H32559" s="13"/>
    </row>
    <row r="32560">
      <c r="A32560" s="6"/>
      <c r="B32560" s="6"/>
      <c r="H32560" s="13"/>
    </row>
    <row r="32561">
      <c r="A32561" s="6"/>
      <c r="B32561" s="6"/>
      <c r="H32561" s="13"/>
    </row>
    <row r="32562">
      <c r="A32562" s="6"/>
      <c r="B32562" s="6"/>
      <c r="H32562" s="13"/>
    </row>
    <row r="32563">
      <c r="A32563" s="6"/>
      <c r="B32563" s="6"/>
      <c r="H32563" s="13"/>
    </row>
    <row r="32564">
      <c r="A32564" s="6"/>
      <c r="B32564" s="6"/>
      <c r="H32564" s="13"/>
    </row>
    <row r="32565">
      <c r="A32565" s="6"/>
      <c r="B32565" s="6"/>
      <c r="H32565" s="13"/>
    </row>
    <row r="32566">
      <c r="A32566" s="6"/>
      <c r="B32566" s="6"/>
      <c r="H32566" s="13"/>
    </row>
    <row r="32567">
      <c r="A32567" s="6"/>
      <c r="B32567" s="6"/>
      <c r="H32567" s="13"/>
    </row>
    <row r="32568">
      <c r="A32568" s="6"/>
      <c r="B32568" s="6"/>
      <c r="H32568" s="13"/>
    </row>
    <row r="32569">
      <c r="A32569" s="6"/>
      <c r="B32569" s="6"/>
      <c r="H32569" s="13"/>
    </row>
    <row r="32570">
      <c r="A32570" s="6"/>
      <c r="B32570" s="6"/>
      <c r="H32570" s="13"/>
    </row>
    <row r="32571">
      <c r="A32571" s="6"/>
      <c r="B32571" s="6"/>
      <c r="H32571" s="13"/>
    </row>
    <row r="32572">
      <c r="A32572" s="6"/>
      <c r="B32572" s="6"/>
      <c r="H32572" s="13"/>
    </row>
    <row r="32573">
      <c r="A32573" s="6"/>
      <c r="B32573" s="6"/>
      <c r="H32573" s="13"/>
    </row>
    <row r="32574">
      <c r="A32574" s="6"/>
      <c r="B32574" s="6"/>
      <c r="H32574" s="13"/>
    </row>
    <row r="32575">
      <c r="A32575" s="6"/>
      <c r="B32575" s="6"/>
      <c r="H32575" s="13"/>
    </row>
    <row r="32576">
      <c r="A32576" s="6"/>
      <c r="B32576" s="6"/>
      <c r="H32576" s="13"/>
    </row>
    <row r="32577">
      <c r="A32577" s="6"/>
      <c r="B32577" s="6"/>
      <c r="H32577" s="13"/>
    </row>
    <row r="32578">
      <c r="A32578" s="6"/>
      <c r="B32578" s="6"/>
      <c r="H32578" s="13"/>
    </row>
    <row r="32579">
      <c r="A32579" s="6"/>
      <c r="B32579" s="6"/>
      <c r="H32579" s="13"/>
    </row>
    <row r="32580">
      <c r="A32580" s="6"/>
      <c r="B32580" s="6"/>
      <c r="H32580" s="13"/>
    </row>
    <row r="32581">
      <c r="A32581" s="6"/>
      <c r="B32581" s="6"/>
      <c r="H32581" s="13"/>
    </row>
    <row r="32582">
      <c r="A32582" s="6"/>
      <c r="B32582" s="6"/>
      <c r="H32582" s="13"/>
    </row>
    <row r="32583">
      <c r="A32583" s="6"/>
      <c r="B32583" s="6"/>
      <c r="H32583" s="13"/>
    </row>
    <row r="32584">
      <c r="A32584" s="6"/>
      <c r="B32584" s="6"/>
      <c r="H32584" s="13"/>
    </row>
    <row r="32585">
      <c r="A32585" s="6"/>
      <c r="B32585" s="6"/>
      <c r="H32585" s="13"/>
    </row>
    <row r="32586">
      <c r="A32586" s="6"/>
      <c r="B32586" s="6"/>
      <c r="H32586" s="13"/>
    </row>
    <row r="32587">
      <c r="A32587" s="6"/>
      <c r="B32587" s="6"/>
      <c r="H32587" s="13"/>
    </row>
    <row r="32588">
      <c r="A32588" s="6"/>
      <c r="B32588" s="6"/>
      <c r="H32588" s="13"/>
    </row>
    <row r="32589">
      <c r="A32589" s="6"/>
      <c r="B32589" s="6"/>
      <c r="H32589" s="13"/>
    </row>
    <row r="32590">
      <c r="A32590" s="6"/>
      <c r="B32590" s="6"/>
      <c r="H32590" s="13"/>
    </row>
    <row r="32591">
      <c r="A32591" s="6"/>
      <c r="B32591" s="6"/>
      <c r="H32591" s="13"/>
    </row>
    <row r="32592">
      <c r="A32592" s="6"/>
      <c r="B32592" s="6"/>
      <c r="H32592" s="13"/>
    </row>
    <row r="32593">
      <c r="A32593" s="6"/>
      <c r="B32593" s="6"/>
      <c r="H32593" s="13"/>
    </row>
    <row r="32594">
      <c r="A32594" s="6"/>
      <c r="B32594" s="6"/>
      <c r="H32594" s="13"/>
    </row>
    <row r="32595">
      <c r="A32595" s="6"/>
      <c r="B32595" s="6"/>
      <c r="H32595" s="13"/>
    </row>
    <row r="32596">
      <c r="A32596" s="6"/>
      <c r="B32596" s="6"/>
      <c r="H32596" s="13"/>
    </row>
    <row r="32597">
      <c r="A32597" s="6"/>
      <c r="B32597" s="6"/>
      <c r="H32597" s="13"/>
    </row>
    <row r="32598">
      <c r="A32598" s="6"/>
      <c r="B32598" s="6"/>
      <c r="H32598" s="13"/>
    </row>
    <row r="32599">
      <c r="A32599" s="6"/>
      <c r="B32599" s="6"/>
      <c r="H32599" s="13"/>
    </row>
    <row r="32600">
      <c r="A32600" s="6"/>
      <c r="B32600" s="6"/>
      <c r="H32600" s="13"/>
    </row>
    <row r="32601">
      <c r="A32601" s="6"/>
      <c r="B32601" s="6"/>
      <c r="H32601" s="13"/>
    </row>
    <row r="32602">
      <c r="A32602" s="6"/>
      <c r="B32602" s="6"/>
      <c r="H32602" s="13"/>
    </row>
    <row r="32603">
      <c r="A32603" s="6"/>
      <c r="B32603" s="6"/>
      <c r="H32603" s="13"/>
    </row>
    <row r="32604">
      <c r="A32604" s="6"/>
      <c r="B32604" s="6"/>
      <c r="H32604" s="13"/>
    </row>
    <row r="32605">
      <c r="A32605" s="6"/>
      <c r="B32605" s="6"/>
      <c r="H32605" s="13"/>
    </row>
    <row r="32606">
      <c r="A32606" s="6"/>
      <c r="B32606" s="6"/>
      <c r="H32606" s="13"/>
    </row>
    <row r="32607">
      <c r="A32607" s="6"/>
      <c r="B32607" s="6"/>
      <c r="H32607" s="13"/>
    </row>
    <row r="32608">
      <c r="A32608" s="6"/>
      <c r="B32608" s="6"/>
      <c r="H32608" s="13"/>
    </row>
    <row r="32609">
      <c r="A32609" s="6"/>
      <c r="B32609" s="6"/>
      <c r="H32609" s="13"/>
    </row>
    <row r="32610">
      <c r="A32610" s="6"/>
      <c r="B32610" s="6"/>
      <c r="H32610" s="13"/>
    </row>
    <row r="32611">
      <c r="A32611" s="6"/>
      <c r="B32611" s="6"/>
      <c r="H32611" s="13"/>
    </row>
    <row r="32612">
      <c r="A32612" s="6"/>
      <c r="B32612" s="6"/>
      <c r="H32612" s="13"/>
    </row>
    <row r="32613">
      <c r="A32613" s="6"/>
      <c r="B32613" s="6"/>
      <c r="H32613" s="13"/>
    </row>
    <row r="32614">
      <c r="A32614" s="6"/>
      <c r="B32614" s="6"/>
      <c r="H32614" s="13"/>
    </row>
    <row r="32615">
      <c r="A32615" s="6"/>
      <c r="B32615" s="6"/>
      <c r="H32615" s="13"/>
    </row>
    <row r="32616">
      <c r="A32616" s="6"/>
      <c r="B32616" s="6"/>
      <c r="H32616" s="13"/>
    </row>
    <row r="32617">
      <c r="A32617" s="6"/>
      <c r="B32617" s="6"/>
      <c r="H32617" s="13"/>
    </row>
    <row r="32618">
      <c r="A32618" s="6"/>
      <c r="B32618" s="6"/>
      <c r="H32618" s="13"/>
    </row>
    <row r="32619">
      <c r="A32619" s="6"/>
      <c r="B32619" s="6"/>
      <c r="H32619" s="13"/>
    </row>
    <row r="32620">
      <c r="A32620" s="6"/>
      <c r="B32620" s="6"/>
      <c r="H32620" s="13"/>
    </row>
    <row r="32621">
      <c r="A32621" s="6"/>
      <c r="B32621" s="6"/>
      <c r="H32621" s="13"/>
    </row>
    <row r="32622">
      <c r="A32622" s="6"/>
      <c r="B32622" s="6"/>
      <c r="H32622" s="13"/>
    </row>
    <row r="32623">
      <c r="A32623" s="6"/>
      <c r="B32623" s="6"/>
      <c r="H32623" s="13"/>
    </row>
    <row r="32624">
      <c r="A32624" s="6"/>
      <c r="B32624" s="6"/>
      <c r="H32624" s="13"/>
    </row>
    <row r="32625">
      <c r="A32625" s="6"/>
      <c r="B32625" s="6"/>
      <c r="H32625" s="13"/>
    </row>
    <row r="32626">
      <c r="A32626" s="6"/>
      <c r="B32626" s="6"/>
      <c r="H32626" s="13"/>
    </row>
    <row r="32627">
      <c r="A32627" s="6"/>
      <c r="B32627" s="6"/>
      <c r="H32627" s="13"/>
    </row>
    <row r="32628">
      <c r="A32628" s="6"/>
      <c r="B32628" s="6"/>
      <c r="H32628" s="13"/>
    </row>
    <row r="32629">
      <c r="A32629" s="6"/>
      <c r="B32629" s="6"/>
      <c r="H32629" s="13"/>
    </row>
    <row r="32630">
      <c r="A32630" s="6"/>
      <c r="B32630" s="6"/>
      <c r="H32630" s="13"/>
    </row>
    <row r="32631">
      <c r="A32631" s="6"/>
      <c r="B32631" s="6"/>
      <c r="H32631" s="13"/>
    </row>
    <row r="32632">
      <c r="A32632" s="6"/>
      <c r="B32632" s="6"/>
      <c r="H32632" s="13"/>
    </row>
    <row r="32633">
      <c r="A32633" s="6"/>
      <c r="B32633" s="6"/>
      <c r="H32633" s="13"/>
    </row>
    <row r="32634">
      <c r="A32634" s="6"/>
      <c r="B32634" s="6"/>
      <c r="H32634" s="13"/>
    </row>
    <row r="32635">
      <c r="A32635" s="6"/>
      <c r="B32635" s="6"/>
      <c r="H32635" s="13"/>
    </row>
    <row r="32636">
      <c r="A32636" s="6"/>
      <c r="B32636" s="6"/>
      <c r="H32636" s="13"/>
    </row>
    <row r="32637">
      <c r="A32637" s="6"/>
      <c r="B32637" s="6"/>
      <c r="H32637" s="13"/>
    </row>
    <row r="32638">
      <c r="A32638" s="6"/>
      <c r="B32638" s="6"/>
      <c r="H32638" s="13"/>
    </row>
    <row r="32639">
      <c r="A32639" s="6"/>
      <c r="B32639" s="6"/>
      <c r="H32639" s="13"/>
    </row>
    <row r="32640">
      <c r="A32640" s="6"/>
      <c r="B32640" s="6"/>
      <c r="H32640" s="13"/>
    </row>
    <row r="32641">
      <c r="A32641" s="6"/>
      <c r="B32641" s="6"/>
      <c r="H32641" s="13"/>
    </row>
    <row r="32642">
      <c r="A32642" s="6"/>
      <c r="B32642" s="6"/>
      <c r="H32642" s="13"/>
    </row>
    <row r="32643">
      <c r="A32643" s="6"/>
      <c r="B32643" s="6"/>
      <c r="H32643" s="13"/>
    </row>
    <row r="32644">
      <c r="A32644" s="6"/>
      <c r="B32644" s="6"/>
      <c r="H32644" s="13"/>
    </row>
    <row r="32645">
      <c r="A32645" s="6"/>
      <c r="B32645" s="6"/>
      <c r="H32645" s="13"/>
    </row>
    <row r="32646">
      <c r="A32646" s="6"/>
      <c r="B32646" s="6"/>
      <c r="H32646" s="13"/>
    </row>
    <row r="32647">
      <c r="A32647" s="6"/>
      <c r="B32647" s="6"/>
      <c r="H32647" s="13"/>
    </row>
    <row r="32648">
      <c r="A32648" s="6"/>
      <c r="B32648" s="6"/>
      <c r="H32648" s="13"/>
    </row>
    <row r="32649">
      <c r="A32649" s="6"/>
      <c r="B32649" s="6"/>
      <c r="H32649" s="13"/>
    </row>
    <row r="32650">
      <c r="A32650" s="6"/>
      <c r="B32650" s="6"/>
      <c r="H32650" s="13"/>
    </row>
    <row r="32651">
      <c r="A32651" s="6"/>
      <c r="B32651" s="6"/>
      <c r="H32651" s="13"/>
    </row>
    <row r="32652">
      <c r="A32652" s="6"/>
      <c r="B32652" s="6"/>
      <c r="H32652" s="13"/>
    </row>
    <row r="32653">
      <c r="A32653" s="6"/>
      <c r="B32653" s="6"/>
      <c r="H32653" s="13"/>
    </row>
    <row r="32654">
      <c r="A32654" s="6"/>
      <c r="B32654" s="6"/>
      <c r="H32654" s="13"/>
    </row>
    <row r="32655">
      <c r="A32655" s="6"/>
      <c r="B32655" s="6"/>
      <c r="H32655" s="13"/>
    </row>
    <row r="32656">
      <c r="A32656" s="6"/>
      <c r="B32656" s="6"/>
      <c r="H32656" s="13"/>
    </row>
    <row r="32657">
      <c r="A32657" s="6"/>
      <c r="B32657" s="6"/>
      <c r="H32657" s="13"/>
    </row>
    <row r="32658">
      <c r="A32658" s="6"/>
      <c r="B32658" s="6"/>
      <c r="H32658" s="13"/>
    </row>
    <row r="32659">
      <c r="A32659" s="6"/>
      <c r="B32659" s="6"/>
      <c r="H32659" s="13"/>
    </row>
    <row r="32660">
      <c r="A32660" s="6"/>
      <c r="B32660" s="6"/>
      <c r="H32660" s="13"/>
    </row>
    <row r="32661">
      <c r="A32661" s="6"/>
      <c r="B32661" s="6"/>
      <c r="H32661" s="13"/>
    </row>
    <row r="32662">
      <c r="A32662" s="6"/>
      <c r="B32662" s="6"/>
      <c r="H32662" s="13"/>
    </row>
    <row r="32663">
      <c r="A32663" s="6"/>
      <c r="B32663" s="6"/>
      <c r="H32663" s="13"/>
    </row>
    <row r="32664">
      <c r="A32664" s="6"/>
      <c r="B32664" s="6"/>
      <c r="H32664" s="13"/>
    </row>
    <row r="32665">
      <c r="A32665" s="6"/>
      <c r="B32665" s="6"/>
      <c r="H32665" s="13"/>
    </row>
    <row r="32666">
      <c r="A32666" s="6"/>
      <c r="B32666" s="6"/>
      <c r="H32666" s="13"/>
    </row>
    <row r="32667">
      <c r="A32667" s="6"/>
      <c r="B32667" s="6"/>
      <c r="H32667" s="13"/>
    </row>
    <row r="32668">
      <c r="A32668" s="6"/>
      <c r="B32668" s="6"/>
      <c r="H32668" s="13"/>
    </row>
    <row r="32669">
      <c r="A32669" s="6"/>
      <c r="B32669" s="6"/>
      <c r="H32669" s="13"/>
    </row>
    <row r="32670">
      <c r="A32670" s="6"/>
      <c r="B32670" s="6"/>
      <c r="H32670" s="13"/>
    </row>
    <row r="32671">
      <c r="A32671" s="6"/>
      <c r="B32671" s="6"/>
      <c r="H32671" s="13"/>
    </row>
    <row r="32672">
      <c r="A32672" s="6"/>
      <c r="B32672" s="6"/>
      <c r="H32672" s="13"/>
    </row>
    <row r="32673">
      <c r="A32673" s="6"/>
      <c r="B32673" s="6"/>
      <c r="H32673" s="13"/>
    </row>
    <row r="32674">
      <c r="A32674" s="6"/>
      <c r="B32674" s="6"/>
      <c r="H32674" s="13"/>
    </row>
    <row r="32675">
      <c r="A32675" s="6"/>
      <c r="B32675" s="6"/>
      <c r="H32675" s="13"/>
    </row>
    <row r="32676">
      <c r="A32676" s="6"/>
      <c r="B32676" s="6"/>
      <c r="H32676" s="13"/>
    </row>
    <row r="32677">
      <c r="A32677" s="6"/>
      <c r="B32677" s="6"/>
      <c r="H32677" s="13"/>
    </row>
    <row r="32678">
      <c r="A32678" s="6"/>
      <c r="B32678" s="6"/>
      <c r="H32678" s="13"/>
    </row>
    <row r="32679">
      <c r="A32679" s="6"/>
      <c r="B32679" s="6"/>
      <c r="H32679" s="13"/>
    </row>
    <row r="32680">
      <c r="A32680" s="6"/>
      <c r="B32680" s="6"/>
      <c r="H32680" s="13"/>
    </row>
    <row r="32681">
      <c r="A32681" s="6"/>
      <c r="B32681" s="6"/>
      <c r="H32681" s="13"/>
    </row>
    <row r="32682">
      <c r="A32682" s="6"/>
      <c r="B32682" s="6"/>
      <c r="H32682" s="13"/>
    </row>
    <row r="32683">
      <c r="A32683" s="6"/>
      <c r="B32683" s="6"/>
      <c r="H32683" s="13"/>
    </row>
    <row r="32684">
      <c r="A32684" s="6"/>
      <c r="B32684" s="6"/>
      <c r="H32684" s="13"/>
    </row>
    <row r="32685">
      <c r="A32685" s="6"/>
      <c r="B32685" s="6"/>
      <c r="H32685" s="13"/>
    </row>
    <row r="32686">
      <c r="A32686" s="6"/>
      <c r="B32686" s="6"/>
      <c r="H32686" s="13"/>
    </row>
    <row r="32687">
      <c r="A32687" s="6"/>
      <c r="B32687" s="6"/>
      <c r="H32687" s="13"/>
    </row>
    <row r="32688">
      <c r="A32688" s="6"/>
      <c r="B32688" s="6"/>
      <c r="H32688" s="13"/>
    </row>
    <row r="32689">
      <c r="A32689" s="6"/>
      <c r="B32689" s="6"/>
      <c r="H32689" s="13"/>
    </row>
    <row r="32690">
      <c r="A32690" s="6"/>
      <c r="B32690" s="6"/>
      <c r="H32690" s="13"/>
    </row>
    <row r="32691">
      <c r="A32691" s="6"/>
      <c r="B32691" s="6"/>
      <c r="H32691" s="13"/>
    </row>
    <row r="32692">
      <c r="A32692" s="6"/>
      <c r="B32692" s="6"/>
      <c r="H32692" s="13"/>
    </row>
    <row r="32693">
      <c r="A32693" s="6"/>
      <c r="B32693" s="6"/>
      <c r="H32693" s="13"/>
    </row>
    <row r="32694">
      <c r="A32694" s="6"/>
      <c r="B32694" s="6"/>
      <c r="H32694" s="13"/>
    </row>
    <row r="32695">
      <c r="A32695" s="6"/>
      <c r="B32695" s="6"/>
      <c r="H32695" s="13"/>
    </row>
    <row r="32696">
      <c r="A32696" s="6"/>
      <c r="B32696" s="6"/>
      <c r="H32696" s="13"/>
    </row>
    <row r="32697">
      <c r="A32697" s="6"/>
      <c r="B32697" s="6"/>
      <c r="H32697" s="13"/>
    </row>
    <row r="32698">
      <c r="A32698" s="6"/>
      <c r="B32698" s="6"/>
      <c r="H32698" s="13"/>
    </row>
    <row r="32699">
      <c r="A32699" s="6"/>
      <c r="B32699" s="6"/>
      <c r="H32699" s="13"/>
    </row>
    <row r="32700">
      <c r="A32700" s="6"/>
      <c r="B32700" s="6"/>
      <c r="H32700" s="13"/>
    </row>
    <row r="32701">
      <c r="A32701" s="6"/>
      <c r="B32701" s="6"/>
      <c r="H32701" s="13"/>
    </row>
    <row r="32702">
      <c r="A32702" s="6"/>
      <c r="B32702" s="6"/>
      <c r="H32702" s="13"/>
    </row>
    <row r="32703">
      <c r="A32703" s="6"/>
      <c r="B32703" s="6"/>
      <c r="H32703" s="13"/>
    </row>
    <row r="32704">
      <c r="A32704" s="6"/>
      <c r="B32704" s="6"/>
      <c r="H32704" s="13"/>
    </row>
    <row r="32705">
      <c r="A32705" s="6"/>
      <c r="B32705" s="6"/>
      <c r="H32705" s="13"/>
    </row>
    <row r="32706">
      <c r="A32706" s="6"/>
      <c r="B32706" s="6"/>
      <c r="H32706" s="13"/>
    </row>
    <row r="32707">
      <c r="A32707" s="6"/>
      <c r="B32707" s="6"/>
      <c r="H32707" s="13"/>
    </row>
    <row r="32708">
      <c r="A32708" s="6"/>
      <c r="B32708" s="6"/>
      <c r="H32708" s="13"/>
    </row>
    <row r="32709">
      <c r="A32709" s="6"/>
      <c r="B32709" s="6"/>
      <c r="H32709" s="13"/>
    </row>
    <row r="32710">
      <c r="A32710" s="6"/>
      <c r="B32710" s="6"/>
      <c r="H32710" s="13"/>
    </row>
    <row r="32711">
      <c r="A32711" s="6"/>
      <c r="B32711" s="6"/>
      <c r="H32711" s="13"/>
    </row>
    <row r="32712">
      <c r="A32712" s="6"/>
      <c r="B32712" s="6"/>
      <c r="H32712" s="13"/>
    </row>
    <row r="32713">
      <c r="A32713" s="6"/>
      <c r="B32713" s="6"/>
      <c r="H32713" s="13"/>
    </row>
    <row r="32714">
      <c r="A32714" s="6"/>
      <c r="B32714" s="6"/>
      <c r="H32714" s="13"/>
    </row>
    <row r="32715">
      <c r="A32715" s="6"/>
      <c r="B32715" s="6"/>
      <c r="H32715" s="13"/>
    </row>
    <row r="32716">
      <c r="A32716" s="6"/>
      <c r="B32716" s="6"/>
      <c r="H32716" s="13"/>
    </row>
    <row r="32717">
      <c r="A32717" s="6"/>
      <c r="B32717" s="6"/>
      <c r="H32717" s="13"/>
    </row>
    <row r="32718">
      <c r="A32718" s="6"/>
      <c r="B32718" s="6"/>
      <c r="H32718" s="13"/>
    </row>
    <row r="32719">
      <c r="A32719" s="6"/>
      <c r="B32719" s="6"/>
      <c r="H32719" s="13"/>
    </row>
    <row r="32720">
      <c r="A32720" s="6"/>
      <c r="B32720" s="6"/>
      <c r="H32720" s="13"/>
    </row>
    <row r="32721">
      <c r="A32721" s="6"/>
      <c r="B32721" s="6"/>
      <c r="H32721" s="13"/>
    </row>
    <row r="32722">
      <c r="A32722" s="6"/>
      <c r="B32722" s="6"/>
      <c r="H32722" s="13"/>
    </row>
    <row r="32723">
      <c r="A32723" s="6"/>
      <c r="B32723" s="6"/>
      <c r="H32723" s="13"/>
    </row>
    <row r="32724">
      <c r="A32724" s="6"/>
      <c r="B32724" s="6"/>
      <c r="H32724" s="13"/>
    </row>
    <row r="32725">
      <c r="A32725" s="6"/>
      <c r="B32725" s="6"/>
      <c r="H32725" s="13"/>
    </row>
    <row r="32726">
      <c r="A32726" s="6"/>
      <c r="B32726" s="6"/>
      <c r="H32726" s="13"/>
    </row>
    <row r="32727">
      <c r="A32727" s="6"/>
      <c r="B32727" s="6"/>
      <c r="H32727" s="13"/>
    </row>
    <row r="32728">
      <c r="A32728" s="6"/>
      <c r="B32728" s="6"/>
      <c r="H32728" s="13"/>
    </row>
    <row r="32729">
      <c r="A32729" s="6"/>
      <c r="B32729" s="6"/>
      <c r="H32729" s="13"/>
    </row>
    <row r="32730">
      <c r="A32730" s="6"/>
      <c r="B32730" s="6"/>
      <c r="H32730" s="13"/>
    </row>
    <row r="32731">
      <c r="A32731" s="6"/>
      <c r="B32731" s="6"/>
      <c r="H32731" s="13"/>
    </row>
    <row r="32732">
      <c r="A32732" s="6"/>
      <c r="B32732" s="6"/>
      <c r="H32732" s="13"/>
    </row>
    <row r="32733">
      <c r="A32733" s="6"/>
      <c r="B32733" s="6"/>
      <c r="H32733" s="13"/>
    </row>
    <row r="32734">
      <c r="A32734" s="6"/>
      <c r="B32734" s="6"/>
      <c r="H32734" s="13"/>
    </row>
    <row r="32735">
      <c r="A32735" s="6"/>
      <c r="B32735" s="6"/>
      <c r="H32735" s="13"/>
    </row>
    <row r="32736">
      <c r="A32736" s="6"/>
      <c r="B32736" s="6"/>
      <c r="H32736" s="13"/>
    </row>
    <row r="32737">
      <c r="A32737" s="6"/>
      <c r="B32737" s="6"/>
      <c r="H32737" s="13"/>
    </row>
    <row r="32738">
      <c r="A32738" s="6"/>
      <c r="B32738" s="6"/>
      <c r="H32738" s="13"/>
    </row>
    <row r="32739">
      <c r="A32739" s="6"/>
      <c r="B32739" s="6"/>
      <c r="H32739" s="13"/>
    </row>
    <row r="32740">
      <c r="A32740" s="6"/>
      <c r="B32740" s="6"/>
      <c r="H32740" s="13"/>
    </row>
    <row r="32741">
      <c r="A32741" s="6"/>
      <c r="B32741" s="6"/>
      <c r="H32741" s="13"/>
    </row>
    <row r="32742">
      <c r="A32742" s="6"/>
      <c r="B32742" s="6"/>
      <c r="H32742" s="13"/>
    </row>
    <row r="32743">
      <c r="A32743" s="6"/>
      <c r="B32743" s="6"/>
      <c r="H32743" s="13"/>
    </row>
    <row r="32744">
      <c r="A32744" s="6"/>
      <c r="B32744" s="6"/>
      <c r="H32744" s="13"/>
    </row>
    <row r="32745">
      <c r="A32745" s="6"/>
      <c r="B32745" s="6"/>
      <c r="H32745" s="13"/>
    </row>
    <row r="32746">
      <c r="A32746" s="6"/>
      <c r="B32746" s="6"/>
      <c r="H32746" s="13"/>
    </row>
    <row r="32747">
      <c r="A32747" s="6"/>
      <c r="B32747" s="6"/>
      <c r="H32747" s="13"/>
    </row>
    <row r="32748">
      <c r="A32748" s="6"/>
      <c r="B32748" s="6"/>
      <c r="H32748" s="13"/>
    </row>
    <row r="32749">
      <c r="A32749" s="6"/>
      <c r="B32749" s="6"/>
      <c r="H32749" s="13"/>
    </row>
    <row r="32750">
      <c r="A32750" s="6"/>
      <c r="B32750" s="6"/>
      <c r="H32750" s="13"/>
    </row>
    <row r="32751">
      <c r="A32751" s="6"/>
      <c r="B32751" s="6"/>
      <c r="H32751" s="13"/>
    </row>
    <row r="32752">
      <c r="A32752" s="6"/>
      <c r="B32752" s="6"/>
      <c r="H32752" s="13"/>
    </row>
    <row r="32753">
      <c r="A32753" s="6"/>
      <c r="B32753" s="6"/>
      <c r="H32753" s="13"/>
    </row>
    <row r="32754">
      <c r="A32754" s="6"/>
      <c r="B32754" s="6"/>
      <c r="H32754" s="13"/>
    </row>
    <row r="32755">
      <c r="A32755" s="6"/>
      <c r="B32755" s="6"/>
      <c r="H32755" s="13"/>
    </row>
    <row r="32756">
      <c r="A32756" s="6"/>
      <c r="B32756" s="6"/>
      <c r="H32756" s="13"/>
    </row>
    <row r="32757">
      <c r="A32757" s="6"/>
      <c r="B32757" s="6"/>
      <c r="H32757" s="13"/>
    </row>
    <row r="32758">
      <c r="A32758" s="6"/>
      <c r="B32758" s="6"/>
      <c r="H32758" s="13"/>
    </row>
    <row r="32759">
      <c r="A32759" s="6"/>
      <c r="B32759" s="6"/>
      <c r="H32759" s="13"/>
    </row>
    <row r="32760">
      <c r="A32760" s="6"/>
      <c r="B32760" s="6"/>
      <c r="H32760" s="13"/>
    </row>
    <row r="32761">
      <c r="A32761" s="6"/>
      <c r="B32761" s="6"/>
      <c r="H32761" s="13"/>
    </row>
    <row r="32762">
      <c r="A32762" s="6"/>
      <c r="B32762" s="6"/>
      <c r="H32762" s="13"/>
    </row>
    <row r="32763">
      <c r="A32763" s="6"/>
      <c r="B32763" s="6"/>
      <c r="H32763" s="13"/>
    </row>
    <row r="32764">
      <c r="A32764" s="6"/>
      <c r="B32764" s="6"/>
      <c r="H32764" s="13"/>
    </row>
    <row r="32765">
      <c r="A32765" s="6"/>
      <c r="B32765" s="6"/>
      <c r="H32765" s="13"/>
    </row>
    <row r="32766">
      <c r="A32766" s="6"/>
      <c r="B32766" s="6"/>
      <c r="H32766" s="13"/>
    </row>
    <row r="32767">
      <c r="A32767" s="6"/>
      <c r="B32767" s="6"/>
      <c r="H32767" s="13"/>
    </row>
    <row r="32768">
      <c r="A32768" s="6"/>
      <c r="B32768" s="6"/>
      <c r="H32768" s="13"/>
    </row>
    <row r="32769">
      <c r="A32769" s="6"/>
      <c r="B32769" s="6"/>
      <c r="H32769" s="13"/>
    </row>
    <row r="32770">
      <c r="A32770" s="6"/>
      <c r="B32770" s="6"/>
      <c r="H32770" s="13"/>
    </row>
    <row r="32771">
      <c r="A32771" s="6"/>
      <c r="B32771" s="6"/>
      <c r="H32771" s="13"/>
    </row>
    <row r="32772">
      <c r="A32772" s="6"/>
      <c r="B32772" s="6"/>
      <c r="H32772" s="13"/>
    </row>
    <row r="32773">
      <c r="A32773" s="6"/>
      <c r="B32773" s="6"/>
      <c r="H32773" s="13"/>
    </row>
    <row r="32774">
      <c r="A32774" s="6"/>
      <c r="B32774" s="6"/>
      <c r="H32774" s="13"/>
    </row>
    <row r="32775">
      <c r="A32775" s="6"/>
      <c r="B32775" s="6"/>
      <c r="H32775" s="13"/>
    </row>
    <row r="32776">
      <c r="A32776" s="6"/>
      <c r="B32776" s="6"/>
      <c r="H32776" s="13"/>
    </row>
    <row r="32777">
      <c r="A32777" s="6"/>
      <c r="B32777" s="6"/>
      <c r="H32777" s="13"/>
    </row>
    <row r="32778">
      <c r="A32778" s="6"/>
      <c r="B32778" s="6"/>
      <c r="H32778" s="13"/>
    </row>
    <row r="32779">
      <c r="A32779" s="6"/>
      <c r="B32779" s="6"/>
      <c r="H32779" s="13"/>
    </row>
    <row r="32780">
      <c r="A32780" s="6"/>
      <c r="B32780" s="6"/>
      <c r="H32780" s="13"/>
    </row>
    <row r="32781">
      <c r="A32781" s="6"/>
      <c r="B32781" s="6"/>
      <c r="H32781" s="13"/>
    </row>
    <row r="32782">
      <c r="A32782" s="6"/>
      <c r="B32782" s="6"/>
      <c r="H32782" s="13"/>
    </row>
    <row r="32783">
      <c r="A32783" s="6"/>
      <c r="B32783" s="6"/>
      <c r="H32783" s="13"/>
    </row>
    <row r="32784">
      <c r="A32784" s="6"/>
      <c r="B32784" s="6"/>
      <c r="H32784" s="13"/>
    </row>
    <row r="32785">
      <c r="A32785" s="6"/>
      <c r="B32785" s="6"/>
      <c r="H32785" s="13"/>
    </row>
    <row r="32786">
      <c r="A32786" s="6"/>
      <c r="B32786" s="6"/>
      <c r="H32786" s="13"/>
    </row>
    <row r="32787">
      <c r="A32787" s="6"/>
      <c r="B32787" s="6"/>
      <c r="H32787" s="13"/>
    </row>
    <row r="32788">
      <c r="A32788" s="6"/>
      <c r="B32788" s="6"/>
      <c r="H32788" s="13"/>
    </row>
    <row r="32789">
      <c r="A32789" s="6"/>
      <c r="B32789" s="6"/>
      <c r="H32789" s="13"/>
    </row>
    <row r="32790">
      <c r="A32790" s="6"/>
      <c r="B32790" s="6"/>
      <c r="H32790" s="13"/>
    </row>
    <row r="32791">
      <c r="A32791" s="6"/>
      <c r="B32791" s="6"/>
      <c r="H32791" s="13"/>
    </row>
    <row r="32792">
      <c r="A32792" s="6"/>
      <c r="B32792" s="6"/>
      <c r="H32792" s="13"/>
    </row>
    <row r="32793">
      <c r="A32793" s="6"/>
      <c r="B32793" s="6"/>
      <c r="H32793" s="13"/>
    </row>
    <row r="32794">
      <c r="A32794" s="6"/>
      <c r="B32794" s="6"/>
      <c r="H32794" s="13"/>
    </row>
    <row r="32795">
      <c r="A32795" s="6"/>
      <c r="B32795" s="6"/>
      <c r="H32795" s="13"/>
    </row>
    <row r="32796">
      <c r="A32796" s="6"/>
      <c r="B32796" s="6"/>
      <c r="H32796" s="13"/>
    </row>
    <row r="32797">
      <c r="A32797" s="6"/>
      <c r="B32797" s="6"/>
      <c r="H32797" s="13"/>
    </row>
    <row r="32798">
      <c r="A32798" s="6"/>
      <c r="B32798" s="6"/>
      <c r="H32798" s="13"/>
    </row>
    <row r="32799">
      <c r="A32799" s="6"/>
      <c r="B32799" s="6"/>
      <c r="H32799" s="13"/>
    </row>
    <row r="32800">
      <c r="A32800" s="6"/>
      <c r="B32800" s="6"/>
      <c r="H32800" s="13"/>
    </row>
    <row r="32801">
      <c r="A32801" s="6"/>
      <c r="B32801" s="6"/>
      <c r="H32801" s="13"/>
    </row>
    <row r="32802">
      <c r="A32802" s="6"/>
      <c r="B32802" s="6"/>
      <c r="H32802" s="13"/>
    </row>
    <row r="32803">
      <c r="A32803" s="6"/>
      <c r="B32803" s="6"/>
      <c r="H32803" s="13"/>
    </row>
    <row r="32804">
      <c r="A32804" s="6"/>
      <c r="B32804" s="6"/>
      <c r="H32804" s="13"/>
    </row>
    <row r="32805">
      <c r="A32805" s="6"/>
      <c r="B32805" s="6"/>
      <c r="H32805" s="13"/>
    </row>
    <row r="32806">
      <c r="A32806" s="6"/>
      <c r="B32806" s="6"/>
      <c r="H32806" s="13"/>
    </row>
    <row r="32807">
      <c r="A32807" s="6"/>
      <c r="B32807" s="6"/>
      <c r="H32807" s="13"/>
    </row>
    <row r="32808">
      <c r="A32808" s="6"/>
      <c r="B32808" s="6"/>
      <c r="H32808" s="13"/>
    </row>
    <row r="32809">
      <c r="A32809" s="6"/>
      <c r="B32809" s="6"/>
      <c r="H32809" s="13"/>
    </row>
    <row r="32810">
      <c r="A32810" s="6"/>
      <c r="B32810" s="6"/>
      <c r="H32810" s="13"/>
    </row>
    <row r="32811">
      <c r="A32811" s="6"/>
      <c r="B32811" s="6"/>
      <c r="H32811" s="13"/>
    </row>
    <row r="32812">
      <c r="A32812" s="6"/>
      <c r="B32812" s="6"/>
      <c r="H32812" s="13"/>
    </row>
    <row r="32813">
      <c r="A32813" s="6"/>
      <c r="B32813" s="6"/>
      <c r="H32813" s="13"/>
    </row>
    <row r="32814">
      <c r="A32814" s="6"/>
      <c r="B32814" s="6"/>
      <c r="H32814" s="13"/>
    </row>
    <row r="32815">
      <c r="A32815" s="6"/>
      <c r="B32815" s="6"/>
      <c r="H32815" s="13"/>
    </row>
    <row r="32816">
      <c r="A32816" s="6"/>
      <c r="B32816" s="6"/>
      <c r="H32816" s="13"/>
    </row>
    <row r="32817">
      <c r="A32817" s="6"/>
      <c r="B32817" s="6"/>
      <c r="H32817" s="13"/>
    </row>
    <row r="32818">
      <c r="A32818" s="6"/>
      <c r="B32818" s="6"/>
      <c r="H32818" s="13"/>
    </row>
    <row r="32819">
      <c r="A32819" s="6"/>
      <c r="B32819" s="6"/>
      <c r="H32819" s="13"/>
    </row>
    <row r="32820">
      <c r="A32820" s="6"/>
      <c r="B32820" s="6"/>
      <c r="H32820" s="13"/>
    </row>
    <row r="32821">
      <c r="A32821" s="6"/>
      <c r="B32821" s="6"/>
      <c r="H32821" s="13"/>
    </row>
    <row r="32822">
      <c r="A32822" s="6"/>
      <c r="B32822" s="6"/>
      <c r="H32822" s="13"/>
    </row>
    <row r="32823">
      <c r="A32823" s="6"/>
      <c r="B32823" s="6"/>
      <c r="H32823" s="13"/>
    </row>
    <row r="32824">
      <c r="A32824" s="6"/>
      <c r="B32824" s="6"/>
      <c r="H32824" s="13"/>
    </row>
    <row r="32825">
      <c r="A32825" s="6"/>
      <c r="B32825" s="6"/>
      <c r="H32825" s="13"/>
    </row>
    <row r="32826">
      <c r="A32826" s="6"/>
      <c r="B32826" s="6"/>
      <c r="H32826" s="13"/>
    </row>
    <row r="32827">
      <c r="A32827" s="6"/>
      <c r="B32827" s="6"/>
      <c r="H32827" s="13"/>
    </row>
    <row r="32828">
      <c r="A32828" s="6"/>
      <c r="B32828" s="6"/>
      <c r="H32828" s="13"/>
    </row>
    <row r="32829">
      <c r="A32829" s="6"/>
      <c r="B32829" s="6"/>
      <c r="H32829" s="13"/>
    </row>
    <row r="32830">
      <c r="A32830" s="6"/>
      <c r="B32830" s="6"/>
      <c r="H32830" s="13"/>
    </row>
    <row r="32831">
      <c r="A32831" s="6"/>
      <c r="B32831" s="6"/>
      <c r="H32831" s="13"/>
    </row>
    <row r="32832">
      <c r="A32832" s="6"/>
      <c r="B32832" s="6"/>
      <c r="H32832" s="13"/>
    </row>
    <row r="32833">
      <c r="A32833" s="6"/>
      <c r="B32833" s="6"/>
      <c r="H32833" s="13"/>
    </row>
    <row r="32834">
      <c r="A32834" s="6"/>
      <c r="B32834" s="6"/>
      <c r="H32834" s="13"/>
    </row>
    <row r="32835">
      <c r="A32835" s="6"/>
      <c r="B32835" s="6"/>
      <c r="H32835" s="13"/>
    </row>
    <row r="32836">
      <c r="A32836" s="6"/>
      <c r="B32836" s="6"/>
      <c r="H32836" s="13"/>
    </row>
    <row r="32837">
      <c r="A32837" s="6"/>
      <c r="B32837" s="6"/>
      <c r="H32837" s="13"/>
    </row>
    <row r="32838">
      <c r="A32838" s="6"/>
      <c r="B32838" s="6"/>
      <c r="H32838" s="13"/>
    </row>
    <row r="32839">
      <c r="A32839" s="6"/>
      <c r="B32839" s="6"/>
      <c r="H32839" s="13"/>
    </row>
    <row r="32840">
      <c r="A32840" s="6"/>
      <c r="B32840" s="6"/>
      <c r="H32840" s="13"/>
    </row>
    <row r="32841">
      <c r="A32841" s="6"/>
      <c r="B32841" s="6"/>
      <c r="H32841" s="13"/>
    </row>
    <row r="32842">
      <c r="A32842" s="6"/>
      <c r="B32842" s="6"/>
      <c r="H32842" s="13"/>
    </row>
    <row r="32843">
      <c r="A32843" s="6"/>
      <c r="B32843" s="6"/>
      <c r="H32843" s="13"/>
    </row>
    <row r="32844">
      <c r="A32844" s="6"/>
      <c r="B32844" s="6"/>
      <c r="H32844" s="13"/>
    </row>
    <row r="32845">
      <c r="A32845" s="6"/>
      <c r="B32845" s="6"/>
      <c r="H32845" s="13"/>
    </row>
    <row r="32846">
      <c r="A32846" s="6"/>
      <c r="B32846" s="6"/>
      <c r="H32846" s="13"/>
    </row>
    <row r="32847">
      <c r="A32847" s="6"/>
      <c r="B32847" s="6"/>
      <c r="H32847" s="13"/>
    </row>
    <row r="32848">
      <c r="A32848" s="6"/>
      <c r="B32848" s="6"/>
      <c r="H32848" s="13"/>
    </row>
    <row r="32849">
      <c r="A32849" s="6"/>
      <c r="B32849" s="6"/>
      <c r="H32849" s="13"/>
    </row>
    <row r="32850">
      <c r="A32850" s="6"/>
      <c r="B32850" s="6"/>
      <c r="H32850" s="13"/>
    </row>
    <row r="32851">
      <c r="A32851" s="6"/>
      <c r="B32851" s="6"/>
      <c r="H32851" s="13"/>
    </row>
    <row r="32852">
      <c r="A32852" s="6"/>
      <c r="B32852" s="6"/>
      <c r="H32852" s="13"/>
    </row>
    <row r="32853">
      <c r="A32853" s="6"/>
      <c r="B32853" s="6"/>
      <c r="H32853" s="13"/>
    </row>
    <row r="32854">
      <c r="A32854" s="6"/>
      <c r="B32854" s="6"/>
      <c r="H32854" s="13"/>
    </row>
    <row r="32855">
      <c r="A32855" s="6"/>
      <c r="B32855" s="6"/>
      <c r="H32855" s="13"/>
    </row>
    <row r="32856">
      <c r="A32856" s="6"/>
      <c r="B32856" s="6"/>
      <c r="H32856" s="13"/>
    </row>
    <row r="32857">
      <c r="A32857" s="6"/>
      <c r="B32857" s="6"/>
      <c r="H32857" s="13"/>
    </row>
    <row r="32858">
      <c r="A32858" s="6"/>
      <c r="B32858" s="6"/>
      <c r="H32858" s="13"/>
    </row>
    <row r="32859">
      <c r="A32859" s="6"/>
      <c r="B32859" s="6"/>
      <c r="H32859" s="13"/>
    </row>
    <row r="32860">
      <c r="A32860" s="6"/>
      <c r="B32860" s="6"/>
      <c r="H32860" s="13"/>
    </row>
    <row r="32861">
      <c r="A32861" s="6"/>
      <c r="B32861" s="6"/>
      <c r="H32861" s="13"/>
    </row>
    <row r="32862">
      <c r="A32862" s="6"/>
      <c r="B32862" s="6"/>
      <c r="H32862" s="13"/>
    </row>
    <row r="32863">
      <c r="A32863" s="6"/>
      <c r="B32863" s="6"/>
      <c r="H32863" s="13"/>
    </row>
    <row r="32864">
      <c r="A32864" s="6"/>
      <c r="B32864" s="6"/>
      <c r="H32864" s="13"/>
    </row>
    <row r="32865">
      <c r="A32865" s="6"/>
      <c r="B32865" s="6"/>
      <c r="H32865" s="13"/>
    </row>
    <row r="32866">
      <c r="A32866" s="6"/>
      <c r="B32866" s="6"/>
      <c r="H32866" s="13"/>
    </row>
    <row r="32867">
      <c r="A32867" s="6"/>
      <c r="B32867" s="6"/>
      <c r="H32867" s="13"/>
    </row>
    <row r="32868">
      <c r="A32868" s="6"/>
      <c r="B32868" s="6"/>
      <c r="H32868" s="13"/>
    </row>
    <row r="32869">
      <c r="A32869" s="6"/>
      <c r="B32869" s="6"/>
      <c r="H32869" s="13"/>
    </row>
    <row r="32870">
      <c r="A32870" s="6"/>
      <c r="B32870" s="6"/>
      <c r="H32870" s="13"/>
    </row>
    <row r="32871">
      <c r="A32871" s="6"/>
      <c r="B32871" s="6"/>
      <c r="H32871" s="13"/>
    </row>
    <row r="32872">
      <c r="A32872" s="6"/>
      <c r="B32872" s="6"/>
      <c r="H32872" s="13"/>
    </row>
    <row r="32873">
      <c r="A32873" s="6"/>
      <c r="B32873" s="6"/>
      <c r="H32873" s="13"/>
    </row>
    <row r="32874">
      <c r="A32874" s="6"/>
      <c r="B32874" s="6"/>
      <c r="H32874" s="13"/>
    </row>
    <row r="32875">
      <c r="A32875" s="6"/>
      <c r="B32875" s="6"/>
      <c r="H32875" s="13"/>
    </row>
    <row r="32876">
      <c r="A32876" s="6"/>
      <c r="B32876" s="6"/>
      <c r="H32876" s="13"/>
    </row>
    <row r="32877">
      <c r="A32877" s="6"/>
      <c r="B32877" s="6"/>
      <c r="H32877" s="13"/>
    </row>
    <row r="32878">
      <c r="A32878" s="6"/>
      <c r="B32878" s="6"/>
      <c r="H32878" s="13"/>
    </row>
    <row r="32879">
      <c r="A32879" s="6"/>
      <c r="B32879" s="6"/>
      <c r="H32879" s="13"/>
    </row>
    <row r="32880">
      <c r="A32880" s="6"/>
      <c r="B32880" s="6"/>
      <c r="H32880" s="13"/>
    </row>
    <row r="32881">
      <c r="A32881" s="6"/>
      <c r="B32881" s="6"/>
      <c r="H32881" s="13"/>
    </row>
    <row r="32882">
      <c r="A32882" s="6"/>
      <c r="B32882" s="6"/>
      <c r="H32882" s="13"/>
    </row>
    <row r="32883">
      <c r="A32883" s="6"/>
      <c r="B32883" s="6"/>
      <c r="H32883" s="13"/>
    </row>
    <row r="32884">
      <c r="A32884" s="6"/>
      <c r="B32884" s="6"/>
      <c r="H32884" s="13"/>
    </row>
    <row r="32885">
      <c r="A32885" s="6"/>
      <c r="B32885" s="6"/>
      <c r="H32885" s="13"/>
    </row>
    <row r="32886">
      <c r="A32886" s="6"/>
      <c r="B32886" s="6"/>
      <c r="H32886" s="13"/>
    </row>
    <row r="32887">
      <c r="A32887" s="6"/>
      <c r="B32887" s="6"/>
      <c r="H32887" s="13"/>
    </row>
    <row r="32888">
      <c r="A32888" s="6"/>
      <c r="B32888" s="6"/>
      <c r="H32888" s="13"/>
    </row>
    <row r="32889">
      <c r="A32889" s="6"/>
      <c r="B32889" s="6"/>
      <c r="H32889" s="13"/>
    </row>
    <row r="32890">
      <c r="A32890" s="6"/>
      <c r="B32890" s="6"/>
      <c r="H32890" s="13"/>
    </row>
    <row r="32891">
      <c r="A32891" s="6"/>
      <c r="B32891" s="6"/>
      <c r="H32891" s="13"/>
    </row>
    <row r="32892">
      <c r="A32892" s="6"/>
      <c r="B32892" s="6"/>
      <c r="H32892" s="13"/>
    </row>
    <row r="32893">
      <c r="A32893" s="6"/>
      <c r="B32893" s="6"/>
      <c r="H32893" s="13"/>
    </row>
    <row r="32894">
      <c r="A32894" s="6"/>
      <c r="B32894" s="6"/>
      <c r="H32894" s="13"/>
    </row>
    <row r="32895">
      <c r="A32895" s="6"/>
      <c r="B32895" s="6"/>
      <c r="H32895" s="13"/>
    </row>
    <row r="32896">
      <c r="A32896" s="6"/>
      <c r="B32896" s="6"/>
      <c r="H32896" s="13"/>
    </row>
    <row r="32897">
      <c r="A32897" s="6"/>
      <c r="B32897" s="6"/>
      <c r="H32897" s="13"/>
    </row>
    <row r="32898">
      <c r="A32898" s="6"/>
      <c r="B32898" s="6"/>
      <c r="H32898" s="13"/>
    </row>
    <row r="32899">
      <c r="A32899" s="6"/>
      <c r="B32899" s="6"/>
      <c r="H32899" s="13"/>
    </row>
    <row r="32900">
      <c r="A32900" s="6"/>
      <c r="B32900" s="6"/>
      <c r="H32900" s="13"/>
    </row>
    <row r="32901">
      <c r="A32901" s="6"/>
      <c r="B32901" s="6"/>
      <c r="H32901" s="13"/>
    </row>
    <row r="32902">
      <c r="A32902" s="6"/>
      <c r="B32902" s="6"/>
      <c r="H32902" s="13"/>
    </row>
    <row r="32903">
      <c r="A32903" s="6"/>
      <c r="B32903" s="6"/>
      <c r="H32903" s="13"/>
    </row>
    <row r="32904">
      <c r="A32904" s="6"/>
      <c r="B32904" s="6"/>
      <c r="H32904" s="13"/>
    </row>
    <row r="32905">
      <c r="A32905" s="6"/>
      <c r="B32905" s="6"/>
      <c r="H32905" s="13"/>
    </row>
    <row r="32906">
      <c r="A32906" s="6"/>
      <c r="B32906" s="6"/>
      <c r="H32906" s="13"/>
    </row>
    <row r="32907">
      <c r="A32907" s="6"/>
      <c r="B32907" s="6"/>
      <c r="H32907" s="13"/>
    </row>
    <row r="32908">
      <c r="A32908" s="6"/>
      <c r="B32908" s="6"/>
      <c r="H32908" s="13"/>
    </row>
    <row r="32909">
      <c r="A32909" s="6"/>
      <c r="B32909" s="6"/>
      <c r="H32909" s="13"/>
    </row>
    <row r="32910">
      <c r="A32910" s="6"/>
      <c r="B32910" s="6"/>
      <c r="H32910" s="13"/>
    </row>
    <row r="32911">
      <c r="A32911" s="6"/>
      <c r="B32911" s="6"/>
      <c r="H32911" s="13"/>
    </row>
    <row r="32912">
      <c r="A32912" s="6"/>
      <c r="B32912" s="6"/>
      <c r="H32912" s="13"/>
    </row>
    <row r="32913">
      <c r="A32913" s="6"/>
      <c r="B32913" s="6"/>
      <c r="H32913" s="13"/>
    </row>
    <row r="32914">
      <c r="A32914" s="6"/>
      <c r="B32914" s="6"/>
      <c r="H32914" s="13"/>
    </row>
    <row r="32915">
      <c r="A32915" s="6"/>
      <c r="B32915" s="6"/>
      <c r="H32915" s="13"/>
    </row>
    <row r="32916">
      <c r="A32916" s="6"/>
      <c r="B32916" s="6"/>
      <c r="H32916" s="13"/>
    </row>
    <row r="32917">
      <c r="A32917" s="6"/>
      <c r="B32917" s="6"/>
      <c r="H32917" s="13"/>
    </row>
    <row r="32918">
      <c r="A32918" s="6"/>
      <c r="B32918" s="6"/>
      <c r="H32918" s="13"/>
    </row>
    <row r="32919">
      <c r="A32919" s="6"/>
      <c r="B32919" s="6"/>
      <c r="H32919" s="13"/>
    </row>
    <row r="32920">
      <c r="A32920" s="6"/>
      <c r="B32920" s="6"/>
      <c r="H32920" s="13"/>
    </row>
    <row r="32921">
      <c r="A32921" s="6"/>
      <c r="B32921" s="6"/>
      <c r="H32921" s="13"/>
    </row>
    <row r="32922">
      <c r="A32922" s="6"/>
      <c r="B32922" s="6"/>
      <c r="H32922" s="13"/>
    </row>
    <row r="32923">
      <c r="A32923" s="6"/>
      <c r="B32923" s="6"/>
      <c r="H32923" s="13"/>
    </row>
    <row r="32924">
      <c r="A32924" s="6"/>
      <c r="B32924" s="6"/>
      <c r="H32924" s="13"/>
    </row>
    <row r="32925">
      <c r="A32925" s="6"/>
      <c r="B32925" s="6"/>
      <c r="H32925" s="13"/>
    </row>
    <row r="32926">
      <c r="A32926" s="6"/>
      <c r="B32926" s="6"/>
      <c r="H32926" s="13"/>
    </row>
    <row r="32927">
      <c r="A32927" s="6"/>
      <c r="B32927" s="6"/>
      <c r="H32927" s="13"/>
    </row>
    <row r="32928">
      <c r="A32928" s="6"/>
      <c r="B32928" s="6"/>
      <c r="H32928" s="13"/>
    </row>
    <row r="32929">
      <c r="A32929" s="6"/>
      <c r="B32929" s="6"/>
      <c r="H32929" s="13"/>
    </row>
    <row r="32930">
      <c r="A32930" s="6"/>
      <c r="B32930" s="6"/>
      <c r="H32930" s="13"/>
    </row>
    <row r="32931">
      <c r="A32931" s="6"/>
      <c r="B32931" s="6"/>
      <c r="H32931" s="13"/>
    </row>
    <row r="32932">
      <c r="A32932" s="6"/>
      <c r="B32932" s="6"/>
      <c r="H32932" s="13"/>
    </row>
    <row r="32933">
      <c r="A32933" s="6"/>
      <c r="B32933" s="6"/>
      <c r="H32933" s="13"/>
    </row>
    <row r="32934">
      <c r="A32934" s="6"/>
      <c r="B32934" s="6"/>
      <c r="H32934" s="13"/>
    </row>
    <row r="32935">
      <c r="A32935" s="6"/>
      <c r="B32935" s="6"/>
      <c r="H32935" s="13"/>
    </row>
    <row r="32936">
      <c r="A32936" s="6"/>
      <c r="B32936" s="6"/>
      <c r="H32936" s="13"/>
    </row>
    <row r="32937">
      <c r="A32937" s="6"/>
      <c r="B32937" s="6"/>
      <c r="H32937" s="13"/>
    </row>
    <row r="32938">
      <c r="A32938" s="6"/>
      <c r="B32938" s="6"/>
      <c r="H32938" s="13"/>
    </row>
    <row r="32939">
      <c r="A32939" s="6"/>
      <c r="B32939" s="6"/>
      <c r="H32939" s="13"/>
    </row>
    <row r="32940">
      <c r="A32940" s="6"/>
      <c r="B32940" s="6"/>
      <c r="H32940" s="13"/>
    </row>
    <row r="32941">
      <c r="A32941" s="6"/>
      <c r="B32941" s="6"/>
      <c r="H32941" s="13"/>
    </row>
    <row r="32942">
      <c r="A32942" s="6"/>
      <c r="B32942" s="6"/>
      <c r="H32942" s="13"/>
    </row>
    <row r="32943">
      <c r="A32943" s="6"/>
      <c r="B32943" s="6"/>
      <c r="H32943" s="13"/>
    </row>
    <row r="32944">
      <c r="A32944" s="6"/>
      <c r="B32944" s="6"/>
      <c r="H32944" s="13"/>
    </row>
    <row r="32945">
      <c r="A32945" s="6"/>
      <c r="B32945" s="6"/>
      <c r="H32945" s="13"/>
    </row>
    <row r="32946">
      <c r="A32946" s="6"/>
      <c r="B32946" s="6"/>
      <c r="H32946" s="13"/>
    </row>
    <row r="32947">
      <c r="A32947" s="6"/>
      <c r="B32947" s="6"/>
      <c r="H32947" s="13"/>
    </row>
    <row r="32948">
      <c r="A32948" s="6"/>
      <c r="B32948" s="6"/>
      <c r="H32948" s="13"/>
    </row>
    <row r="32949">
      <c r="A32949" s="6"/>
      <c r="B32949" s="6"/>
      <c r="H32949" s="13"/>
    </row>
    <row r="32950">
      <c r="A32950" s="6"/>
      <c r="B32950" s="6"/>
      <c r="H32950" s="13"/>
    </row>
    <row r="32951">
      <c r="A32951" s="6"/>
      <c r="B32951" s="6"/>
      <c r="H32951" s="13"/>
    </row>
    <row r="32952">
      <c r="A32952" s="6"/>
      <c r="B32952" s="6"/>
      <c r="H32952" s="13"/>
    </row>
    <row r="32953">
      <c r="A32953" s="6"/>
      <c r="B32953" s="6"/>
      <c r="H32953" s="13"/>
    </row>
    <row r="32954">
      <c r="A32954" s="6"/>
      <c r="B32954" s="6"/>
      <c r="H32954" s="13"/>
    </row>
    <row r="32955">
      <c r="A32955" s="6"/>
      <c r="B32955" s="6"/>
      <c r="H32955" s="13"/>
    </row>
    <row r="32956">
      <c r="A32956" s="6"/>
      <c r="B32956" s="6"/>
      <c r="H32956" s="13"/>
    </row>
    <row r="32957">
      <c r="A32957" s="6"/>
      <c r="B32957" s="6"/>
      <c r="H32957" s="13"/>
    </row>
    <row r="32958">
      <c r="A32958" s="6"/>
      <c r="B32958" s="6"/>
      <c r="H32958" s="13"/>
    </row>
    <row r="32959">
      <c r="A32959" s="6"/>
      <c r="B32959" s="6"/>
      <c r="H32959" s="13"/>
    </row>
    <row r="32960">
      <c r="A32960" s="6"/>
      <c r="B32960" s="6"/>
      <c r="H32960" s="13"/>
    </row>
    <row r="32961">
      <c r="A32961" s="6"/>
      <c r="B32961" s="6"/>
      <c r="H32961" s="13"/>
    </row>
    <row r="32962">
      <c r="A32962" s="6"/>
      <c r="B32962" s="6"/>
      <c r="H32962" s="13"/>
    </row>
    <row r="32963">
      <c r="A32963" s="6"/>
      <c r="B32963" s="6"/>
      <c r="H32963" s="13"/>
    </row>
    <row r="32964">
      <c r="A32964" s="6"/>
      <c r="B32964" s="6"/>
      <c r="H32964" s="13"/>
    </row>
    <row r="32965">
      <c r="A32965" s="6"/>
      <c r="B32965" s="6"/>
      <c r="H32965" s="13"/>
    </row>
    <row r="32966">
      <c r="A32966" s="6"/>
      <c r="B32966" s="6"/>
      <c r="H32966" s="13"/>
    </row>
    <row r="32967">
      <c r="A32967" s="6"/>
      <c r="B32967" s="6"/>
      <c r="H32967" s="13"/>
    </row>
    <row r="32968">
      <c r="A32968" s="6"/>
      <c r="B32968" s="6"/>
      <c r="H32968" s="13"/>
    </row>
    <row r="32969">
      <c r="A32969" s="6"/>
      <c r="B32969" s="6"/>
      <c r="H32969" s="13"/>
    </row>
    <row r="32970">
      <c r="A32970" s="6"/>
      <c r="B32970" s="6"/>
      <c r="H32970" s="13"/>
    </row>
    <row r="32971">
      <c r="A32971" s="6"/>
      <c r="B32971" s="6"/>
      <c r="H32971" s="13"/>
    </row>
    <row r="32972">
      <c r="A32972" s="6"/>
      <c r="B32972" s="6"/>
      <c r="H32972" s="13"/>
    </row>
    <row r="32973">
      <c r="A32973" s="6"/>
      <c r="B32973" s="6"/>
      <c r="H32973" s="13"/>
    </row>
    <row r="32974">
      <c r="A32974" s="6"/>
      <c r="B32974" s="6"/>
      <c r="H32974" s="13"/>
    </row>
    <row r="32975">
      <c r="A32975" s="6"/>
      <c r="B32975" s="6"/>
      <c r="H32975" s="13"/>
    </row>
    <row r="32976">
      <c r="A32976" s="6"/>
      <c r="B32976" s="6"/>
      <c r="H32976" s="13"/>
    </row>
    <row r="32977">
      <c r="A32977" s="6"/>
      <c r="B32977" s="6"/>
      <c r="H32977" s="13"/>
    </row>
    <row r="32978">
      <c r="A32978" s="6"/>
      <c r="B32978" s="6"/>
      <c r="H32978" s="13"/>
    </row>
    <row r="32979">
      <c r="A32979" s="6"/>
      <c r="B32979" s="6"/>
      <c r="H32979" s="13"/>
    </row>
    <row r="32980">
      <c r="A32980" s="6"/>
      <c r="B32980" s="6"/>
      <c r="H32980" s="13"/>
    </row>
    <row r="32981">
      <c r="A32981" s="6"/>
      <c r="B32981" s="6"/>
      <c r="H32981" s="13"/>
    </row>
    <row r="32982">
      <c r="A32982" s="6"/>
      <c r="B32982" s="6"/>
      <c r="H32982" s="13"/>
    </row>
    <row r="32983">
      <c r="A32983" s="6"/>
      <c r="B32983" s="6"/>
      <c r="H32983" s="13"/>
    </row>
    <row r="32984">
      <c r="A32984" s="6"/>
      <c r="B32984" s="6"/>
      <c r="H32984" s="13"/>
    </row>
    <row r="32985">
      <c r="A32985" s="6"/>
      <c r="B32985" s="6"/>
      <c r="H32985" s="13"/>
    </row>
    <row r="32986">
      <c r="A32986" s="6"/>
      <c r="B32986" s="6"/>
      <c r="H32986" s="13"/>
    </row>
    <row r="32987">
      <c r="A32987" s="6"/>
      <c r="B32987" s="6"/>
      <c r="H32987" s="13"/>
    </row>
    <row r="32988">
      <c r="A32988" s="6"/>
      <c r="B32988" s="6"/>
      <c r="H32988" s="13"/>
    </row>
    <row r="32989">
      <c r="A32989" s="6"/>
      <c r="B32989" s="6"/>
      <c r="H32989" s="13"/>
    </row>
    <row r="32990">
      <c r="A32990" s="6"/>
      <c r="B32990" s="6"/>
      <c r="H32990" s="13"/>
    </row>
    <row r="32991">
      <c r="A32991" s="6"/>
      <c r="B32991" s="6"/>
      <c r="H32991" s="13"/>
    </row>
    <row r="32992">
      <c r="A32992" s="6"/>
      <c r="B32992" s="6"/>
      <c r="H32992" s="13"/>
    </row>
    <row r="32993">
      <c r="A32993" s="6"/>
      <c r="B32993" s="6"/>
      <c r="H32993" s="13"/>
    </row>
    <row r="32994">
      <c r="A32994" s="6"/>
      <c r="B32994" s="6"/>
      <c r="H32994" s="13"/>
    </row>
    <row r="32995">
      <c r="A32995" s="6"/>
      <c r="B32995" s="6"/>
      <c r="H32995" s="13"/>
    </row>
    <row r="32996">
      <c r="A32996" s="6"/>
      <c r="B32996" s="6"/>
      <c r="H32996" s="13"/>
    </row>
    <row r="32997">
      <c r="A32997" s="6"/>
      <c r="B32997" s="6"/>
      <c r="H32997" s="13"/>
    </row>
    <row r="32998">
      <c r="A32998" s="6"/>
      <c r="B32998" s="6"/>
      <c r="H32998" s="13"/>
    </row>
    <row r="32999">
      <c r="A32999" s="6"/>
      <c r="B32999" s="6"/>
      <c r="H32999" s="13"/>
    </row>
    <row r="33000">
      <c r="A33000" s="6"/>
      <c r="B33000" s="6"/>
      <c r="H33000" s="13"/>
    </row>
    <row r="33001">
      <c r="A33001" s="6"/>
      <c r="B33001" s="6"/>
      <c r="H33001" s="13"/>
    </row>
    <row r="33002">
      <c r="A33002" s="6"/>
      <c r="B33002" s="6"/>
      <c r="H33002" s="13"/>
    </row>
    <row r="33003">
      <c r="A33003" s="6"/>
      <c r="B33003" s="6"/>
      <c r="H33003" s="13"/>
    </row>
    <row r="33004">
      <c r="A33004" s="6"/>
      <c r="B33004" s="6"/>
      <c r="H33004" s="13"/>
    </row>
    <row r="33005">
      <c r="A33005" s="6"/>
      <c r="B33005" s="6"/>
      <c r="H33005" s="13"/>
    </row>
    <row r="33006">
      <c r="A33006" s="6"/>
      <c r="B33006" s="6"/>
      <c r="H33006" s="13"/>
    </row>
    <row r="33007">
      <c r="A33007" s="6"/>
      <c r="B33007" s="6"/>
      <c r="H33007" s="13"/>
    </row>
    <row r="33008">
      <c r="A33008" s="6"/>
      <c r="B33008" s="6"/>
      <c r="H33008" s="13"/>
    </row>
    <row r="33009">
      <c r="A33009" s="6"/>
      <c r="B33009" s="6"/>
      <c r="H33009" s="13"/>
    </row>
    <row r="33010">
      <c r="A33010" s="6"/>
      <c r="B33010" s="6"/>
      <c r="H33010" s="13"/>
    </row>
    <row r="33011">
      <c r="A33011" s="6"/>
      <c r="B33011" s="6"/>
      <c r="H33011" s="13"/>
    </row>
    <row r="33012">
      <c r="A33012" s="6"/>
      <c r="B33012" s="6"/>
      <c r="H33012" s="13"/>
    </row>
    <row r="33013">
      <c r="A33013" s="6"/>
      <c r="B33013" s="6"/>
      <c r="H33013" s="13"/>
    </row>
    <row r="33014">
      <c r="A33014" s="6"/>
      <c r="B33014" s="6"/>
      <c r="H33014" s="13"/>
    </row>
    <row r="33015">
      <c r="A33015" s="6"/>
      <c r="B33015" s="6"/>
      <c r="H33015" s="13"/>
    </row>
    <row r="33016">
      <c r="A33016" s="6"/>
      <c r="B33016" s="6"/>
      <c r="H33016" s="13"/>
    </row>
    <row r="33017">
      <c r="A33017" s="6"/>
      <c r="B33017" s="6"/>
      <c r="H33017" s="13"/>
    </row>
    <row r="33018">
      <c r="A33018" s="6"/>
      <c r="B33018" s="6"/>
      <c r="H33018" s="13"/>
    </row>
    <row r="33019">
      <c r="A33019" s="6"/>
      <c r="B33019" s="6"/>
      <c r="H33019" s="13"/>
    </row>
    <row r="33020">
      <c r="A33020" s="6"/>
      <c r="B33020" s="6"/>
      <c r="H33020" s="13"/>
    </row>
    <row r="33021">
      <c r="A33021" s="6"/>
      <c r="B33021" s="6"/>
      <c r="H33021" s="13"/>
    </row>
    <row r="33022">
      <c r="A33022" s="6"/>
      <c r="B33022" s="6"/>
      <c r="H33022" s="13"/>
    </row>
    <row r="33023">
      <c r="A33023" s="6"/>
      <c r="B33023" s="6"/>
      <c r="H33023" s="13"/>
    </row>
    <row r="33024">
      <c r="A33024" s="6"/>
      <c r="B33024" s="6"/>
      <c r="H33024" s="13"/>
    </row>
    <row r="33025">
      <c r="A33025" s="6"/>
      <c r="B33025" s="6"/>
      <c r="H33025" s="13"/>
    </row>
    <row r="33026">
      <c r="A33026" s="6"/>
      <c r="B33026" s="6"/>
      <c r="H33026" s="13"/>
    </row>
    <row r="33027">
      <c r="A33027" s="6"/>
      <c r="B33027" s="6"/>
      <c r="H33027" s="13"/>
    </row>
    <row r="33028">
      <c r="A33028" s="6"/>
      <c r="B33028" s="6"/>
      <c r="H33028" s="13"/>
    </row>
    <row r="33029">
      <c r="A33029" s="6"/>
      <c r="B33029" s="6"/>
      <c r="H33029" s="13"/>
    </row>
    <row r="33030">
      <c r="A33030" s="6"/>
      <c r="B33030" s="6"/>
      <c r="H33030" s="13"/>
    </row>
    <row r="33031">
      <c r="A33031" s="6"/>
      <c r="B33031" s="6"/>
      <c r="H33031" s="13"/>
    </row>
    <row r="33032">
      <c r="A33032" s="6"/>
      <c r="B33032" s="6"/>
      <c r="H33032" s="13"/>
    </row>
    <row r="33033">
      <c r="A33033" s="6"/>
      <c r="B33033" s="6"/>
      <c r="H33033" s="13"/>
    </row>
    <row r="33034">
      <c r="A33034" s="6"/>
      <c r="B33034" s="6"/>
      <c r="H33034" s="13"/>
    </row>
    <row r="33035">
      <c r="A33035" s="6"/>
      <c r="B33035" s="6"/>
      <c r="H33035" s="13"/>
    </row>
    <row r="33036">
      <c r="A33036" s="6"/>
      <c r="B33036" s="6"/>
      <c r="H33036" s="13"/>
    </row>
    <row r="33037">
      <c r="A33037" s="6"/>
      <c r="B33037" s="6"/>
      <c r="H33037" s="13"/>
    </row>
    <row r="33038">
      <c r="A33038" s="6"/>
      <c r="B33038" s="6"/>
      <c r="H33038" s="13"/>
    </row>
    <row r="33039">
      <c r="A33039" s="6"/>
      <c r="B33039" s="6"/>
      <c r="H33039" s="13"/>
    </row>
    <row r="33040">
      <c r="A33040" s="6"/>
      <c r="B33040" s="6"/>
      <c r="H33040" s="13"/>
    </row>
    <row r="33041">
      <c r="A33041" s="6"/>
      <c r="B33041" s="6"/>
      <c r="H33041" s="13"/>
    </row>
    <row r="33042">
      <c r="A33042" s="6"/>
      <c r="B33042" s="6"/>
      <c r="H33042" s="13"/>
    </row>
    <row r="33043">
      <c r="A33043" s="6"/>
      <c r="B33043" s="6"/>
      <c r="H33043" s="13"/>
    </row>
    <row r="33044">
      <c r="A33044" s="6"/>
      <c r="B33044" s="6"/>
      <c r="H33044" s="13"/>
    </row>
    <row r="33045">
      <c r="A33045" s="6"/>
      <c r="B33045" s="6"/>
      <c r="H33045" s="13"/>
    </row>
    <row r="33046">
      <c r="A33046" s="6"/>
      <c r="B33046" s="6"/>
      <c r="H33046" s="13"/>
    </row>
    <row r="33047">
      <c r="A33047" s="6"/>
      <c r="B33047" s="6"/>
      <c r="H33047" s="13"/>
    </row>
    <row r="33048">
      <c r="A33048" s="6"/>
      <c r="B33048" s="6"/>
      <c r="H33048" s="13"/>
    </row>
    <row r="33049">
      <c r="A33049" s="6"/>
      <c r="B33049" s="6"/>
      <c r="H33049" s="13"/>
    </row>
    <row r="33050">
      <c r="A33050" s="6"/>
      <c r="B33050" s="6"/>
      <c r="H33050" s="13"/>
    </row>
    <row r="33051">
      <c r="A33051" s="6"/>
      <c r="B33051" s="6"/>
      <c r="H33051" s="13"/>
    </row>
    <row r="33052">
      <c r="A33052" s="6"/>
      <c r="B33052" s="6"/>
      <c r="H33052" s="13"/>
    </row>
    <row r="33053">
      <c r="A33053" s="6"/>
      <c r="B33053" s="6"/>
      <c r="H33053" s="13"/>
    </row>
    <row r="33054">
      <c r="A33054" s="6"/>
      <c r="B33054" s="6"/>
      <c r="H33054" s="13"/>
    </row>
    <row r="33055">
      <c r="A33055" s="6"/>
      <c r="B33055" s="6"/>
      <c r="H33055" s="13"/>
    </row>
    <row r="33056">
      <c r="A33056" s="6"/>
      <c r="B33056" s="6"/>
      <c r="H33056" s="13"/>
    </row>
    <row r="33057">
      <c r="A33057" s="6"/>
      <c r="B33057" s="6"/>
      <c r="H33057" s="13"/>
    </row>
    <row r="33058">
      <c r="A33058" s="6"/>
      <c r="B33058" s="6"/>
      <c r="H33058" s="13"/>
    </row>
    <row r="33059">
      <c r="A33059" s="6"/>
      <c r="B33059" s="6"/>
      <c r="H33059" s="13"/>
    </row>
    <row r="33060">
      <c r="A33060" s="6"/>
      <c r="B33060" s="6"/>
      <c r="H33060" s="13"/>
    </row>
    <row r="33061">
      <c r="A33061" s="6"/>
      <c r="B33061" s="6"/>
      <c r="H33061" s="13"/>
    </row>
    <row r="33062">
      <c r="A33062" s="6"/>
      <c r="B33062" s="6"/>
      <c r="H33062" s="13"/>
    </row>
    <row r="33063">
      <c r="A33063" s="6"/>
      <c r="B33063" s="6"/>
      <c r="H33063" s="13"/>
    </row>
    <row r="33064">
      <c r="A33064" s="6"/>
      <c r="B33064" s="6"/>
      <c r="H33064" s="13"/>
    </row>
    <row r="33065">
      <c r="A33065" s="6"/>
      <c r="B33065" s="6"/>
      <c r="H33065" s="13"/>
    </row>
    <row r="33066">
      <c r="A33066" s="6"/>
      <c r="B33066" s="6"/>
      <c r="H33066" s="13"/>
    </row>
    <row r="33067">
      <c r="A33067" s="6"/>
      <c r="B33067" s="6"/>
      <c r="H33067" s="13"/>
    </row>
    <row r="33068">
      <c r="A33068" s="6"/>
      <c r="B33068" s="6"/>
      <c r="H33068" s="13"/>
    </row>
    <row r="33069">
      <c r="A33069" s="6"/>
      <c r="B33069" s="6"/>
      <c r="H33069" s="13"/>
    </row>
    <row r="33070">
      <c r="A33070" s="6"/>
      <c r="B33070" s="6"/>
      <c r="H33070" s="13"/>
    </row>
    <row r="33071">
      <c r="A33071" s="6"/>
      <c r="B33071" s="6"/>
      <c r="H33071" s="13"/>
    </row>
    <row r="33072">
      <c r="A33072" s="6"/>
      <c r="B33072" s="6"/>
      <c r="H33072" s="13"/>
    </row>
    <row r="33073">
      <c r="A33073" s="6"/>
      <c r="B33073" s="6"/>
      <c r="H33073" s="13"/>
    </row>
    <row r="33074">
      <c r="A33074" s="6"/>
      <c r="B33074" s="6"/>
      <c r="H33074" s="13"/>
    </row>
    <row r="33075">
      <c r="A33075" s="6"/>
      <c r="B33075" s="6"/>
      <c r="H33075" s="13"/>
    </row>
    <row r="33076">
      <c r="A33076" s="6"/>
      <c r="B33076" s="6"/>
      <c r="H33076" s="13"/>
    </row>
    <row r="33077">
      <c r="A33077" s="6"/>
      <c r="B33077" s="6"/>
      <c r="H33077" s="13"/>
    </row>
    <row r="33078">
      <c r="A33078" s="6"/>
      <c r="B33078" s="6"/>
      <c r="H33078" s="13"/>
    </row>
    <row r="33079">
      <c r="A33079" s="6"/>
      <c r="B33079" s="6"/>
      <c r="H33079" s="13"/>
    </row>
    <row r="33080">
      <c r="A33080" s="6"/>
      <c r="B33080" s="6"/>
      <c r="H33080" s="13"/>
    </row>
    <row r="33081">
      <c r="A33081" s="6"/>
      <c r="B33081" s="6"/>
      <c r="H33081" s="13"/>
    </row>
    <row r="33082">
      <c r="A33082" s="6"/>
      <c r="B33082" s="6"/>
      <c r="H33082" s="13"/>
    </row>
    <row r="33083">
      <c r="A33083" s="6"/>
      <c r="B33083" s="6"/>
      <c r="H33083" s="13"/>
    </row>
    <row r="33084">
      <c r="A33084" s="6"/>
      <c r="B33084" s="6"/>
      <c r="H33084" s="13"/>
    </row>
    <row r="33085">
      <c r="A33085" s="6"/>
      <c r="B33085" s="6"/>
      <c r="H33085" s="13"/>
    </row>
    <row r="33086">
      <c r="A33086" s="6"/>
      <c r="B33086" s="6"/>
      <c r="H33086" s="13"/>
    </row>
    <row r="33087">
      <c r="A33087" s="6"/>
      <c r="B33087" s="6"/>
      <c r="H33087" s="13"/>
    </row>
    <row r="33088">
      <c r="A33088" s="6"/>
      <c r="B33088" s="6"/>
      <c r="H33088" s="13"/>
    </row>
    <row r="33089">
      <c r="A33089" s="6"/>
      <c r="B33089" s="6"/>
      <c r="H33089" s="13"/>
    </row>
    <row r="33090">
      <c r="A33090" s="6"/>
      <c r="B33090" s="6"/>
      <c r="H33090" s="13"/>
    </row>
    <row r="33091">
      <c r="A33091" s="6"/>
      <c r="B33091" s="6"/>
      <c r="H33091" s="13"/>
    </row>
    <row r="33092">
      <c r="A33092" s="6"/>
      <c r="B33092" s="6"/>
      <c r="H33092" s="13"/>
    </row>
    <row r="33093">
      <c r="A33093" s="6"/>
      <c r="B33093" s="6"/>
      <c r="H33093" s="13"/>
    </row>
    <row r="33094">
      <c r="A33094" s="6"/>
      <c r="B33094" s="6"/>
      <c r="H33094" s="13"/>
    </row>
    <row r="33095">
      <c r="A33095" s="6"/>
      <c r="B33095" s="6"/>
      <c r="H33095" s="13"/>
    </row>
    <row r="33096">
      <c r="A33096" s="6"/>
      <c r="B33096" s="6"/>
      <c r="H33096" s="13"/>
    </row>
    <row r="33097">
      <c r="A33097" s="6"/>
      <c r="B33097" s="6"/>
      <c r="H33097" s="13"/>
    </row>
    <row r="33098">
      <c r="A33098" s="6"/>
      <c r="B33098" s="6"/>
      <c r="H33098" s="13"/>
    </row>
    <row r="33099">
      <c r="A33099" s="6"/>
      <c r="B33099" s="6"/>
      <c r="H33099" s="13"/>
    </row>
    <row r="33100">
      <c r="A33100" s="6"/>
      <c r="B33100" s="6"/>
      <c r="H33100" s="13"/>
    </row>
    <row r="33101">
      <c r="A33101" s="6"/>
      <c r="B33101" s="6"/>
      <c r="H33101" s="13"/>
    </row>
    <row r="33102">
      <c r="A33102" s="6"/>
      <c r="B33102" s="6"/>
      <c r="H33102" s="13"/>
    </row>
    <row r="33103">
      <c r="A33103" s="6"/>
      <c r="B33103" s="6"/>
      <c r="H33103" s="13"/>
    </row>
    <row r="33104">
      <c r="A33104" s="6"/>
      <c r="B33104" s="6"/>
      <c r="H33104" s="13"/>
    </row>
    <row r="33105">
      <c r="A33105" s="6"/>
      <c r="B33105" s="6"/>
      <c r="H33105" s="13"/>
    </row>
    <row r="33106">
      <c r="A33106" s="6"/>
      <c r="B33106" s="6"/>
      <c r="H33106" s="13"/>
    </row>
    <row r="33107">
      <c r="A33107" s="6"/>
      <c r="B33107" s="6"/>
      <c r="H33107" s="13"/>
    </row>
    <row r="33108">
      <c r="A33108" s="6"/>
      <c r="B33108" s="6"/>
      <c r="H33108" s="13"/>
    </row>
    <row r="33109">
      <c r="A33109" s="6"/>
      <c r="B33109" s="6"/>
      <c r="H33109" s="13"/>
    </row>
    <row r="33110">
      <c r="A33110" s="6"/>
      <c r="B33110" s="6"/>
      <c r="H33110" s="13"/>
    </row>
    <row r="33111">
      <c r="A33111" s="6"/>
      <c r="B33111" s="6"/>
      <c r="H33111" s="13"/>
    </row>
    <row r="33112">
      <c r="A33112" s="6"/>
      <c r="B33112" s="6"/>
      <c r="H33112" s="13"/>
    </row>
    <row r="33113">
      <c r="A33113" s="6"/>
      <c r="B33113" s="6"/>
      <c r="H33113" s="13"/>
    </row>
    <row r="33114">
      <c r="A33114" s="6"/>
      <c r="B33114" s="6"/>
      <c r="H33114" s="13"/>
    </row>
    <row r="33115">
      <c r="A33115" s="6"/>
      <c r="B33115" s="6"/>
      <c r="H33115" s="13"/>
    </row>
    <row r="33116">
      <c r="A33116" s="6"/>
      <c r="B33116" s="6"/>
      <c r="H33116" s="13"/>
    </row>
    <row r="33117">
      <c r="A33117" s="6"/>
      <c r="B33117" s="6"/>
      <c r="H33117" s="13"/>
    </row>
    <row r="33118">
      <c r="A33118" s="6"/>
      <c r="B33118" s="6"/>
      <c r="H33118" s="13"/>
    </row>
    <row r="33119">
      <c r="A33119" s="6"/>
      <c r="B33119" s="6"/>
      <c r="H33119" s="13"/>
    </row>
    <row r="33120">
      <c r="A33120" s="6"/>
      <c r="B33120" s="6"/>
      <c r="H33120" s="13"/>
    </row>
    <row r="33121">
      <c r="A33121" s="6"/>
      <c r="B33121" s="6"/>
      <c r="H33121" s="13"/>
    </row>
    <row r="33122">
      <c r="A33122" s="6"/>
      <c r="B33122" s="6"/>
      <c r="H33122" s="13"/>
    </row>
    <row r="33123">
      <c r="A33123" s="6"/>
      <c r="B33123" s="6"/>
      <c r="H33123" s="13"/>
    </row>
    <row r="33124">
      <c r="A33124" s="6"/>
      <c r="B33124" s="6"/>
      <c r="H33124" s="13"/>
    </row>
    <row r="33125">
      <c r="A33125" s="6"/>
      <c r="B33125" s="6"/>
      <c r="H33125" s="13"/>
    </row>
    <row r="33126">
      <c r="A33126" s="6"/>
      <c r="B33126" s="6"/>
      <c r="H33126" s="13"/>
    </row>
    <row r="33127">
      <c r="A33127" s="6"/>
      <c r="B33127" s="6"/>
      <c r="H33127" s="13"/>
    </row>
    <row r="33128">
      <c r="A33128" s="6"/>
      <c r="B33128" s="6"/>
      <c r="H33128" s="13"/>
    </row>
    <row r="33129">
      <c r="A33129" s="6"/>
      <c r="B33129" s="6"/>
      <c r="H33129" s="13"/>
    </row>
    <row r="33130">
      <c r="A33130" s="6"/>
      <c r="B33130" s="6"/>
      <c r="H33130" s="13"/>
    </row>
    <row r="33131">
      <c r="A33131" s="6"/>
      <c r="B33131" s="6"/>
      <c r="H33131" s="13"/>
    </row>
    <row r="33132">
      <c r="A33132" s="6"/>
      <c r="B33132" s="6"/>
      <c r="H33132" s="13"/>
    </row>
    <row r="33133">
      <c r="A33133" s="6"/>
      <c r="B33133" s="6"/>
      <c r="H33133" s="13"/>
    </row>
    <row r="33134">
      <c r="A33134" s="6"/>
      <c r="B33134" s="6"/>
      <c r="H33134" s="13"/>
    </row>
    <row r="33135">
      <c r="A33135" s="6"/>
      <c r="B33135" s="6"/>
      <c r="H33135" s="13"/>
    </row>
    <row r="33136">
      <c r="A33136" s="6"/>
      <c r="B33136" s="6"/>
      <c r="H33136" s="13"/>
    </row>
    <row r="33137">
      <c r="A33137" s="6"/>
      <c r="B33137" s="6"/>
      <c r="H33137" s="13"/>
    </row>
    <row r="33138">
      <c r="A33138" s="6"/>
      <c r="B33138" s="6"/>
      <c r="H33138" s="13"/>
    </row>
    <row r="33139">
      <c r="A33139" s="6"/>
      <c r="B33139" s="6"/>
      <c r="H33139" s="13"/>
    </row>
    <row r="33140">
      <c r="A33140" s="6"/>
      <c r="B33140" s="6"/>
      <c r="H33140" s="13"/>
    </row>
    <row r="33141">
      <c r="A33141" s="6"/>
      <c r="B33141" s="6"/>
      <c r="H33141" s="13"/>
    </row>
    <row r="33142">
      <c r="A33142" s="6"/>
      <c r="B33142" s="6"/>
      <c r="H33142" s="13"/>
    </row>
    <row r="33143">
      <c r="A33143" s="6"/>
      <c r="B33143" s="6"/>
      <c r="H33143" s="13"/>
    </row>
    <row r="33144">
      <c r="A33144" s="6"/>
      <c r="B33144" s="6"/>
      <c r="H33144" s="13"/>
    </row>
    <row r="33145">
      <c r="A33145" s="6"/>
      <c r="B33145" s="6"/>
      <c r="H33145" s="13"/>
    </row>
    <row r="33146">
      <c r="A33146" s="6"/>
      <c r="B33146" s="6"/>
      <c r="H33146" s="13"/>
    </row>
    <row r="33147">
      <c r="A33147" s="6"/>
      <c r="B33147" s="6"/>
      <c r="H33147" s="13"/>
    </row>
    <row r="33148">
      <c r="A33148" s="6"/>
      <c r="B33148" s="6"/>
      <c r="H33148" s="13"/>
    </row>
    <row r="33149">
      <c r="A33149" s="6"/>
      <c r="B33149" s="6"/>
      <c r="H33149" s="13"/>
    </row>
    <row r="33150">
      <c r="A33150" s="6"/>
      <c r="B33150" s="6"/>
      <c r="H33150" s="13"/>
    </row>
    <row r="33151">
      <c r="A33151" s="6"/>
      <c r="B33151" s="6"/>
      <c r="H33151" s="13"/>
    </row>
    <row r="33152">
      <c r="A33152" s="6"/>
      <c r="B33152" s="6"/>
      <c r="H33152" s="13"/>
    </row>
    <row r="33153">
      <c r="A33153" s="6"/>
      <c r="B33153" s="6"/>
      <c r="H33153" s="13"/>
    </row>
    <row r="33154">
      <c r="A33154" s="6"/>
      <c r="B33154" s="6"/>
      <c r="H33154" s="13"/>
    </row>
    <row r="33155">
      <c r="A33155" s="6"/>
      <c r="B33155" s="6"/>
      <c r="H33155" s="13"/>
    </row>
    <row r="33156">
      <c r="A33156" s="6"/>
      <c r="B33156" s="6"/>
      <c r="H33156" s="13"/>
    </row>
    <row r="33157">
      <c r="A33157" s="6"/>
      <c r="B33157" s="6"/>
      <c r="H33157" s="13"/>
    </row>
    <row r="33158">
      <c r="A33158" s="6"/>
      <c r="B33158" s="6"/>
      <c r="H33158" s="13"/>
    </row>
    <row r="33159">
      <c r="A33159" s="6"/>
      <c r="B33159" s="6"/>
      <c r="H33159" s="13"/>
    </row>
    <row r="33160">
      <c r="A33160" s="6"/>
      <c r="B33160" s="6"/>
      <c r="H33160" s="13"/>
    </row>
    <row r="33161">
      <c r="A33161" s="6"/>
      <c r="B33161" s="6"/>
      <c r="H33161" s="13"/>
    </row>
    <row r="33162">
      <c r="A33162" s="6"/>
      <c r="B33162" s="6"/>
      <c r="H33162" s="13"/>
    </row>
    <row r="33163">
      <c r="A33163" s="6"/>
      <c r="B33163" s="6"/>
      <c r="H33163" s="13"/>
    </row>
    <row r="33164">
      <c r="A33164" s="6"/>
      <c r="B33164" s="6"/>
      <c r="H33164" s="13"/>
    </row>
    <row r="33165">
      <c r="A33165" s="6"/>
      <c r="B33165" s="6"/>
      <c r="H33165" s="13"/>
    </row>
    <row r="33166">
      <c r="A33166" s="6"/>
      <c r="B33166" s="6"/>
      <c r="H33166" s="13"/>
    </row>
    <row r="33167">
      <c r="A33167" s="6"/>
      <c r="B33167" s="6"/>
      <c r="H33167" s="13"/>
    </row>
    <row r="33168">
      <c r="A33168" s="6"/>
      <c r="B33168" s="6"/>
      <c r="H33168" s="13"/>
    </row>
    <row r="33169">
      <c r="A33169" s="6"/>
      <c r="B33169" s="6"/>
      <c r="H33169" s="13"/>
    </row>
    <row r="33170">
      <c r="A33170" s="6"/>
      <c r="B33170" s="6"/>
      <c r="H33170" s="13"/>
    </row>
    <row r="33171">
      <c r="A33171" s="6"/>
      <c r="B33171" s="6"/>
      <c r="H33171" s="13"/>
    </row>
    <row r="33172">
      <c r="A33172" s="6"/>
      <c r="B33172" s="6"/>
      <c r="H33172" s="13"/>
    </row>
    <row r="33173">
      <c r="A33173" s="6"/>
      <c r="B33173" s="6"/>
      <c r="H33173" s="13"/>
    </row>
    <row r="33174">
      <c r="A33174" s="6"/>
      <c r="B33174" s="6"/>
      <c r="H33174" s="13"/>
    </row>
    <row r="33175">
      <c r="A33175" s="6"/>
      <c r="B33175" s="6"/>
      <c r="H33175" s="13"/>
    </row>
    <row r="33176">
      <c r="A33176" s="6"/>
      <c r="B33176" s="6"/>
      <c r="H33176" s="13"/>
    </row>
    <row r="33177">
      <c r="A33177" s="6"/>
      <c r="B33177" s="6"/>
      <c r="H33177" s="13"/>
    </row>
    <row r="33178">
      <c r="A33178" s="6"/>
      <c r="B33178" s="6"/>
      <c r="H33178" s="13"/>
    </row>
    <row r="33179">
      <c r="A33179" s="6"/>
      <c r="B33179" s="6"/>
      <c r="H33179" s="13"/>
    </row>
    <row r="33180">
      <c r="A33180" s="6"/>
      <c r="B33180" s="6"/>
      <c r="H33180" s="13"/>
    </row>
    <row r="33181">
      <c r="A33181" s="6"/>
      <c r="B33181" s="6"/>
      <c r="H33181" s="13"/>
    </row>
    <row r="33182">
      <c r="A33182" s="6"/>
      <c r="B33182" s="6"/>
      <c r="H33182" s="13"/>
    </row>
    <row r="33183">
      <c r="A33183" s="6"/>
      <c r="B33183" s="6"/>
      <c r="H33183" s="13"/>
    </row>
    <row r="33184">
      <c r="A33184" s="6"/>
      <c r="B33184" s="6"/>
      <c r="H33184" s="13"/>
    </row>
    <row r="33185">
      <c r="A33185" s="6"/>
      <c r="B33185" s="6"/>
      <c r="H33185" s="13"/>
    </row>
    <row r="33186">
      <c r="A33186" s="6"/>
      <c r="B33186" s="6"/>
      <c r="H33186" s="13"/>
    </row>
    <row r="33187">
      <c r="A33187" s="6"/>
      <c r="B33187" s="6"/>
      <c r="H33187" s="13"/>
    </row>
    <row r="33188">
      <c r="A33188" s="6"/>
      <c r="B33188" s="6"/>
      <c r="H33188" s="13"/>
    </row>
    <row r="33189">
      <c r="A33189" s="6"/>
      <c r="B33189" s="6"/>
      <c r="H33189" s="13"/>
    </row>
    <row r="33190">
      <c r="A33190" s="6"/>
      <c r="B33190" s="6"/>
      <c r="H33190" s="13"/>
    </row>
    <row r="33191">
      <c r="A33191" s="6"/>
      <c r="B33191" s="6"/>
      <c r="H33191" s="13"/>
    </row>
    <row r="33192">
      <c r="A33192" s="6"/>
      <c r="B33192" s="6"/>
      <c r="H33192" s="13"/>
    </row>
    <row r="33193">
      <c r="A33193" s="6"/>
      <c r="B33193" s="6"/>
      <c r="H33193" s="13"/>
    </row>
    <row r="33194">
      <c r="A33194" s="6"/>
      <c r="B33194" s="6"/>
      <c r="H33194" s="13"/>
    </row>
    <row r="33195">
      <c r="A33195" s="6"/>
      <c r="B33195" s="6"/>
      <c r="H33195" s="13"/>
    </row>
    <row r="33196">
      <c r="A33196" s="6"/>
      <c r="B33196" s="6"/>
      <c r="H33196" s="13"/>
    </row>
    <row r="33197">
      <c r="A33197" s="6"/>
      <c r="B33197" s="6"/>
      <c r="H33197" s="13"/>
    </row>
    <row r="33198">
      <c r="A33198" s="6"/>
      <c r="B33198" s="6"/>
      <c r="H33198" s="13"/>
    </row>
    <row r="33199">
      <c r="A33199" s="6"/>
      <c r="B33199" s="6"/>
      <c r="H33199" s="13"/>
    </row>
    <row r="33200">
      <c r="A33200" s="6"/>
      <c r="B33200" s="6"/>
      <c r="H33200" s="13"/>
    </row>
    <row r="33201">
      <c r="A33201" s="6"/>
      <c r="B33201" s="6"/>
      <c r="H33201" s="13"/>
    </row>
    <row r="33202">
      <c r="A33202" s="6"/>
      <c r="B33202" s="6"/>
      <c r="H33202" s="13"/>
    </row>
    <row r="33203">
      <c r="A33203" s="6"/>
      <c r="B33203" s="6"/>
      <c r="H33203" s="13"/>
    </row>
    <row r="33204">
      <c r="A33204" s="6"/>
      <c r="B33204" s="6"/>
      <c r="H33204" s="13"/>
    </row>
    <row r="33205">
      <c r="A33205" s="6"/>
      <c r="B33205" s="6"/>
      <c r="H33205" s="13"/>
    </row>
    <row r="33206">
      <c r="A33206" s="6"/>
      <c r="B33206" s="6"/>
      <c r="H33206" s="13"/>
    </row>
    <row r="33207">
      <c r="A33207" s="6"/>
      <c r="B33207" s="6"/>
      <c r="H33207" s="13"/>
    </row>
    <row r="33208">
      <c r="A33208" s="6"/>
      <c r="B33208" s="6"/>
      <c r="H33208" s="13"/>
    </row>
    <row r="33209">
      <c r="A33209" s="6"/>
      <c r="B33209" s="6"/>
      <c r="H33209" s="13"/>
    </row>
    <row r="33210">
      <c r="A33210" s="6"/>
      <c r="B33210" s="6"/>
      <c r="H33210" s="13"/>
    </row>
    <row r="33211">
      <c r="A33211" s="6"/>
      <c r="B33211" s="6"/>
      <c r="H33211" s="13"/>
    </row>
    <row r="33212">
      <c r="A33212" s="6"/>
      <c r="B33212" s="6"/>
      <c r="H33212" s="13"/>
    </row>
    <row r="33213">
      <c r="A33213" s="6"/>
      <c r="B33213" s="6"/>
      <c r="H33213" s="13"/>
    </row>
    <row r="33214">
      <c r="A33214" s="6"/>
      <c r="B33214" s="6"/>
      <c r="H33214" s="13"/>
    </row>
    <row r="33215">
      <c r="A33215" s="6"/>
      <c r="B33215" s="6"/>
      <c r="H33215" s="13"/>
    </row>
    <row r="33216">
      <c r="A33216" s="6"/>
      <c r="B33216" s="6"/>
      <c r="H33216" s="13"/>
    </row>
    <row r="33217">
      <c r="A33217" s="6"/>
      <c r="B33217" s="6"/>
      <c r="H33217" s="13"/>
    </row>
    <row r="33218">
      <c r="A33218" s="6"/>
      <c r="B33218" s="6"/>
      <c r="H33218" s="13"/>
    </row>
    <row r="33219">
      <c r="A33219" s="6"/>
      <c r="B33219" s="6"/>
      <c r="H33219" s="13"/>
    </row>
    <row r="33220">
      <c r="A33220" s="6"/>
      <c r="B33220" s="6"/>
      <c r="H33220" s="13"/>
    </row>
    <row r="33221">
      <c r="A33221" s="6"/>
      <c r="B33221" s="6"/>
      <c r="H33221" s="13"/>
    </row>
    <row r="33222">
      <c r="A33222" s="6"/>
      <c r="B33222" s="6"/>
      <c r="H33222" s="13"/>
    </row>
    <row r="33223">
      <c r="A33223" s="6"/>
      <c r="B33223" s="6"/>
      <c r="H33223" s="13"/>
    </row>
    <row r="33224">
      <c r="A33224" s="6"/>
      <c r="B33224" s="6"/>
      <c r="H33224" s="13"/>
    </row>
    <row r="33225">
      <c r="A33225" s="6"/>
      <c r="B33225" s="6"/>
      <c r="H33225" s="13"/>
    </row>
    <row r="33226">
      <c r="A33226" s="6"/>
      <c r="B33226" s="6"/>
      <c r="H33226" s="13"/>
    </row>
    <row r="33227">
      <c r="A33227" s="6"/>
      <c r="B33227" s="6"/>
      <c r="H33227" s="13"/>
    </row>
    <row r="33228">
      <c r="A33228" s="6"/>
      <c r="B33228" s="6"/>
      <c r="H33228" s="13"/>
    </row>
    <row r="33229">
      <c r="A33229" s="6"/>
      <c r="B33229" s="6"/>
      <c r="H33229" s="13"/>
    </row>
    <row r="33230">
      <c r="A33230" s="6"/>
      <c r="B33230" s="6"/>
      <c r="H33230" s="13"/>
    </row>
    <row r="33231">
      <c r="A33231" s="6"/>
      <c r="B33231" s="6"/>
      <c r="H33231" s="13"/>
    </row>
    <row r="33232">
      <c r="A33232" s="6"/>
      <c r="B33232" s="6"/>
      <c r="H33232" s="13"/>
    </row>
    <row r="33233">
      <c r="A33233" s="6"/>
      <c r="B33233" s="6"/>
      <c r="H33233" s="13"/>
    </row>
    <row r="33234">
      <c r="A33234" s="6"/>
      <c r="B33234" s="6"/>
      <c r="H33234" s="13"/>
    </row>
    <row r="33235">
      <c r="A33235" s="6"/>
      <c r="B33235" s="6"/>
      <c r="H33235" s="13"/>
    </row>
    <row r="33236">
      <c r="A33236" s="6"/>
      <c r="B33236" s="6"/>
      <c r="H33236" s="13"/>
    </row>
    <row r="33237">
      <c r="A33237" s="6"/>
      <c r="B33237" s="6"/>
      <c r="H33237" s="13"/>
    </row>
    <row r="33238">
      <c r="A33238" s="6"/>
      <c r="B33238" s="6"/>
      <c r="H33238" s="13"/>
    </row>
    <row r="33239">
      <c r="A33239" s="6"/>
      <c r="B33239" s="6"/>
      <c r="H33239" s="13"/>
    </row>
    <row r="33240">
      <c r="A33240" s="6"/>
      <c r="B33240" s="6"/>
      <c r="H33240" s="13"/>
    </row>
    <row r="33241">
      <c r="A33241" s="6"/>
      <c r="B33241" s="6"/>
      <c r="H33241" s="13"/>
    </row>
    <row r="33242">
      <c r="A33242" s="6"/>
      <c r="B33242" s="6"/>
      <c r="H33242" s="13"/>
    </row>
    <row r="33243">
      <c r="A33243" s="6"/>
      <c r="B33243" s="6"/>
      <c r="H33243" s="13"/>
    </row>
    <row r="33244">
      <c r="A33244" s="6"/>
      <c r="B33244" s="6"/>
      <c r="H33244" s="13"/>
    </row>
    <row r="33245">
      <c r="A33245" s="6"/>
      <c r="B33245" s="6"/>
      <c r="H33245" s="13"/>
    </row>
    <row r="33246">
      <c r="A33246" s="6"/>
      <c r="B33246" s="6"/>
      <c r="H33246" s="13"/>
    </row>
    <row r="33247">
      <c r="A33247" s="6"/>
      <c r="B33247" s="6"/>
      <c r="H33247" s="13"/>
    </row>
    <row r="33248">
      <c r="A33248" s="6"/>
      <c r="B33248" s="6"/>
      <c r="H33248" s="13"/>
    </row>
    <row r="33249">
      <c r="A33249" s="6"/>
      <c r="B33249" s="6"/>
      <c r="H33249" s="13"/>
    </row>
    <row r="33250">
      <c r="A33250" s="6"/>
      <c r="B33250" s="6"/>
      <c r="H33250" s="13"/>
    </row>
    <row r="33251">
      <c r="A33251" s="6"/>
      <c r="B33251" s="6"/>
      <c r="H33251" s="13"/>
    </row>
    <row r="33252">
      <c r="A33252" s="6"/>
      <c r="B33252" s="6"/>
      <c r="H33252" s="13"/>
    </row>
    <row r="33253">
      <c r="A33253" s="6"/>
      <c r="B33253" s="6"/>
      <c r="H33253" s="13"/>
    </row>
    <row r="33254">
      <c r="A33254" s="6"/>
      <c r="B33254" s="6"/>
      <c r="H33254" s="13"/>
    </row>
    <row r="33255">
      <c r="A33255" s="6"/>
      <c r="B33255" s="6"/>
      <c r="H33255" s="13"/>
    </row>
    <row r="33256">
      <c r="A33256" s="6"/>
      <c r="B33256" s="6"/>
      <c r="H33256" s="13"/>
    </row>
    <row r="33257">
      <c r="A33257" s="6"/>
      <c r="B33257" s="6"/>
      <c r="H33257" s="13"/>
    </row>
    <row r="33258">
      <c r="A33258" s="6"/>
      <c r="B33258" s="6"/>
      <c r="H33258" s="13"/>
    </row>
    <row r="33259">
      <c r="A33259" s="6"/>
      <c r="B33259" s="6"/>
      <c r="H33259" s="13"/>
    </row>
    <row r="33260">
      <c r="A33260" s="6"/>
      <c r="B33260" s="6"/>
      <c r="H33260" s="13"/>
    </row>
    <row r="33261">
      <c r="A33261" s="6"/>
      <c r="B33261" s="6"/>
      <c r="H33261" s="13"/>
    </row>
    <row r="33262">
      <c r="A33262" s="6"/>
      <c r="B33262" s="6"/>
      <c r="H33262" s="13"/>
    </row>
    <row r="33263">
      <c r="A33263" s="6"/>
      <c r="B33263" s="6"/>
      <c r="H33263" s="13"/>
    </row>
    <row r="33264">
      <c r="A33264" s="6"/>
      <c r="B33264" s="6"/>
      <c r="H33264" s="13"/>
    </row>
    <row r="33265">
      <c r="A33265" s="6"/>
      <c r="B33265" s="6"/>
      <c r="H33265" s="13"/>
    </row>
    <row r="33266">
      <c r="A33266" s="6"/>
      <c r="B33266" s="6"/>
      <c r="H33266" s="13"/>
    </row>
    <row r="33267">
      <c r="A33267" s="6"/>
      <c r="B33267" s="6"/>
      <c r="H33267" s="13"/>
    </row>
    <row r="33268">
      <c r="A33268" s="6"/>
      <c r="B33268" s="6"/>
      <c r="H33268" s="13"/>
    </row>
    <row r="33269">
      <c r="A33269" s="6"/>
      <c r="B33269" s="6"/>
      <c r="H33269" s="13"/>
    </row>
    <row r="33270">
      <c r="A33270" s="6"/>
      <c r="B33270" s="6"/>
      <c r="H33270" s="13"/>
    </row>
    <row r="33271">
      <c r="A33271" s="6"/>
      <c r="B33271" s="6"/>
      <c r="H33271" s="13"/>
    </row>
    <row r="33272">
      <c r="A33272" s="6"/>
      <c r="B33272" s="6"/>
      <c r="H33272" s="13"/>
    </row>
    <row r="33273">
      <c r="A33273" s="6"/>
      <c r="B33273" s="6"/>
      <c r="H33273" s="13"/>
    </row>
    <row r="33274">
      <c r="A33274" s="6"/>
      <c r="B33274" s="6"/>
      <c r="H33274" s="13"/>
    </row>
    <row r="33275">
      <c r="A33275" s="6"/>
      <c r="B33275" s="6"/>
      <c r="H33275" s="13"/>
    </row>
    <row r="33276">
      <c r="A33276" s="6"/>
      <c r="B33276" s="6"/>
      <c r="H33276" s="13"/>
    </row>
    <row r="33277">
      <c r="A33277" s="6"/>
      <c r="B33277" s="6"/>
      <c r="H33277" s="13"/>
    </row>
    <row r="33278">
      <c r="A33278" s="6"/>
      <c r="B33278" s="6"/>
      <c r="H33278" s="13"/>
    </row>
    <row r="33279">
      <c r="A33279" s="6"/>
      <c r="B33279" s="6"/>
      <c r="H33279" s="13"/>
    </row>
    <row r="33280">
      <c r="A33280" s="6"/>
      <c r="B33280" s="6"/>
      <c r="H33280" s="13"/>
    </row>
    <row r="33281">
      <c r="A33281" s="6"/>
      <c r="B33281" s="6"/>
      <c r="H33281" s="13"/>
    </row>
    <row r="33282">
      <c r="A33282" s="6"/>
      <c r="B33282" s="6"/>
      <c r="H33282" s="13"/>
    </row>
    <row r="33283">
      <c r="A33283" s="6"/>
      <c r="B33283" s="6"/>
      <c r="H33283" s="13"/>
    </row>
    <row r="33284">
      <c r="A33284" s="6"/>
      <c r="B33284" s="6"/>
      <c r="H33284" s="13"/>
    </row>
    <row r="33285">
      <c r="A33285" s="6"/>
      <c r="B33285" s="6"/>
      <c r="H33285" s="13"/>
    </row>
    <row r="33286">
      <c r="A33286" s="6"/>
      <c r="B33286" s="6"/>
      <c r="H33286" s="13"/>
    </row>
    <row r="33287">
      <c r="A33287" s="6"/>
      <c r="B33287" s="6"/>
      <c r="H33287" s="13"/>
    </row>
    <row r="33288">
      <c r="A33288" s="6"/>
      <c r="B33288" s="6"/>
      <c r="H33288" s="13"/>
    </row>
    <row r="33289">
      <c r="A33289" s="6"/>
      <c r="B33289" s="6"/>
      <c r="H33289" s="13"/>
    </row>
    <row r="33290">
      <c r="A33290" s="6"/>
      <c r="B33290" s="6"/>
      <c r="H33290" s="13"/>
    </row>
    <row r="33291">
      <c r="A33291" s="6"/>
      <c r="B33291" s="6"/>
      <c r="H33291" s="13"/>
    </row>
    <row r="33292">
      <c r="A33292" s="6"/>
      <c r="B33292" s="6"/>
      <c r="H33292" s="13"/>
    </row>
    <row r="33293">
      <c r="A33293" s="6"/>
      <c r="B33293" s="6"/>
      <c r="H33293" s="13"/>
    </row>
    <row r="33294">
      <c r="A33294" s="6"/>
      <c r="B33294" s="6"/>
      <c r="H33294" s="13"/>
    </row>
    <row r="33295">
      <c r="A33295" s="6"/>
      <c r="B33295" s="6"/>
      <c r="H33295" s="13"/>
    </row>
    <row r="33296">
      <c r="A33296" s="6"/>
      <c r="B33296" s="6"/>
      <c r="H33296" s="13"/>
    </row>
    <row r="33297">
      <c r="A33297" s="6"/>
      <c r="B33297" s="6"/>
      <c r="H33297" s="13"/>
    </row>
    <row r="33298">
      <c r="A33298" s="6"/>
      <c r="B33298" s="6"/>
      <c r="H33298" s="13"/>
    </row>
    <row r="33299">
      <c r="A33299" s="6"/>
      <c r="B33299" s="6"/>
      <c r="H33299" s="13"/>
    </row>
    <row r="33300">
      <c r="A33300" s="6"/>
      <c r="B33300" s="6"/>
      <c r="H33300" s="13"/>
    </row>
    <row r="33301">
      <c r="A33301" s="6"/>
      <c r="B33301" s="6"/>
      <c r="H33301" s="13"/>
    </row>
    <row r="33302">
      <c r="A33302" s="6"/>
      <c r="B33302" s="6"/>
      <c r="H33302" s="13"/>
    </row>
    <row r="33303">
      <c r="A33303" s="6"/>
      <c r="B33303" s="6"/>
      <c r="H33303" s="13"/>
    </row>
    <row r="33304">
      <c r="A33304" s="6"/>
      <c r="B33304" s="6"/>
      <c r="H33304" s="13"/>
    </row>
    <row r="33305">
      <c r="A33305" s="6"/>
      <c r="B33305" s="6"/>
      <c r="H33305" s="13"/>
    </row>
    <row r="33306">
      <c r="A33306" s="6"/>
      <c r="B33306" s="6"/>
      <c r="H33306" s="13"/>
    </row>
    <row r="33307">
      <c r="A33307" s="6"/>
      <c r="B33307" s="6"/>
      <c r="H33307" s="13"/>
    </row>
    <row r="33308">
      <c r="A33308" s="6"/>
      <c r="B33308" s="6"/>
      <c r="H33308" s="13"/>
    </row>
    <row r="33309">
      <c r="A33309" s="6"/>
      <c r="B33309" s="6"/>
      <c r="H33309" s="13"/>
    </row>
    <row r="33310">
      <c r="A33310" s="6"/>
      <c r="B33310" s="6"/>
      <c r="H33310" s="13"/>
    </row>
    <row r="33311">
      <c r="A33311" s="6"/>
      <c r="B33311" s="6"/>
      <c r="H33311" s="13"/>
    </row>
    <row r="33312">
      <c r="A33312" s="6"/>
      <c r="B33312" s="6"/>
      <c r="H33312" s="13"/>
    </row>
    <row r="33313">
      <c r="A33313" s="6"/>
      <c r="B33313" s="6"/>
      <c r="H33313" s="13"/>
    </row>
    <row r="33314">
      <c r="A33314" s="6"/>
      <c r="B33314" s="6"/>
      <c r="H33314" s="13"/>
    </row>
    <row r="33315">
      <c r="A33315" s="6"/>
      <c r="B33315" s="6"/>
      <c r="H33315" s="13"/>
    </row>
    <row r="33316">
      <c r="A33316" s="6"/>
      <c r="B33316" s="6"/>
      <c r="H33316" s="13"/>
    </row>
    <row r="33317">
      <c r="A33317" s="6"/>
      <c r="B33317" s="6"/>
      <c r="H33317" s="13"/>
    </row>
    <row r="33318">
      <c r="A33318" s="6"/>
      <c r="B33318" s="6"/>
      <c r="H33318" s="13"/>
    </row>
    <row r="33319">
      <c r="A33319" s="6"/>
      <c r="B33319" s="6"/>
      <c r="H33319" s="13"/>
    </row>
    <row r="33320">
      <c r="A33320" s="6"/>
      <c r="B33320" s="6"/>
      <c r="H33320" s="13"/>
    </row>
    <row r="33321">
      <c r="A33321" s="6"/>
      <c r="B33321" s="6"/>
      <c r="H33321" s="13"/>
    </row>
    <row r="33322">
      <c r="A33322" s="6"/>
      <c r="B33322" s="6"/>
      <c r="H33322" s="13"/>
    </row>
    <row r="33323">
      <c r="A33323" s="6"/>
      <c r="B33323" s="6"/>
      <c r="H33323" s="13"/>
    </row>
    <row r="33324">
      <c r="A33324" s="6"/>
      <c r="B33324" s="6"/>
      <c r="H33324" s="13"/>
    </row>
    <row r="33325">
      <c r="A33325" s="6"/>
      <c r="B33325" s="6"/>
      <c r="H33325" s="13"/>
    </row>
    <row r="33326">
      <c r="A33326" s="6"/>
      <c r="B33326" s="6"/>
      <c r="H33326" s="13"/>
    </row>
    <row r="33327">
      <c r="A33327" s="6"/>
      <c r="B33327" s="6"/>
      <c r="H33327" s="13"/>
    </row>
    <row r="33328">
      <c r="A33328" s="6"/>
      <c r="B33328" s="6"/>
      <c r="H33328" s="13"/>
    </row>
    <row r="33329">
      <c r="A33329" s="6"/>
      <c r="B33329" s="6"/>
      <c r="H33329" s="13"/>
    </row>
    <row r="33330">
      <c r="A33330" s="6"/>
      <c r="B33330" s="6"/>
      <c r="H33330" s="13"/>
    </row>
    <row r="33331">
      <c r="A33331" s="6"/>
      <c r="B33331" s="6"/>
      <c r="H33331" s="13"/>
    </row>
    <row r="33332">
      <c r="A33332" s="6"/>
      <c r="B33332" s="6"/>
      <c r="H33332" s="13"/>
    </row>
    <row r="33333">
      <c r="A33333" s="6"/>
      <c r="B33333" s="6"/>
      <c r="H33333" s="13"/>
    </row>
    <row r="33334">
      <c r="A33334" s="6"/>
      <c r="B33334" s="6"/>
      <c r="H33334" s="13"/>
    </row>
    <row r="33335">
      <c r="A33335" s="6"/>
      <c r="B33335" s="6"/>
      <c r="H33335" s="13"/>
    </row>
    <row r="33336">
      <c r="A33336" s="6"/>
      <c r="B33336" s="6"/>
      <c r="H33336" s="13"/>
    </row>
    <row r="33337">
      <c r="A33337" s="6"/>
      <c r="B33337" s="6"/>
      <c r="H33337" s="13"/>
    </row>
    <row r="33338">
      <c r="A33338" s="6"/>
      <c r="B33338" s="6"/>
      <c r="H33338" s="13"/>
    </row>
    <row r="33339">
      <c r="A33339" s="6"/>
      <c r="B33339" s="6"/>
      <c r="H33339" s="13"/>
    </row>
    <row r="33340">
      <c r="A33340" s="6"/>
      <c r="B33340" s="6"/>
      <c r="H33340" s="13"/>
    </row>
    <row r="33341">
      <c r="A33341" s="6"/>
      <c r="B33341" s="6"/>
      <c r="H33341" s="13"/>
    </row>
    <row r="33342">
      <c r="A33342" s="6"/>
      <c r="B33342" s="6"/>
      <c r="H33342" s="13"/>
    </row>
    <row r="33343">
      <c r="A33343" s="6"/>
      <c r="B33343" s="6"/>
      <c r="H33343" s="13"/>
    </row>
    <row r="33344">
      <c r="A33344" s="6"/>
      <c r="B33344" s="6"/>
      <c r="H33344" s="13"/>
    </row>
    <row r="33345">
      <c r="A33345" s="6"/>
      <c r="B33345" s="6"/>
      <c r="H33345" s="13"/>
    </row>
    <row r="33346">
      <c r="A33346" s="6"/>
      <c r="B33346" s="6"/>
      <c r="H33346" s="13"/>
    </row>
    <row r="33347">
      <c r="A33347" s="6"/>
      <c r="B33347" s="6"/>
      <c r="H33347" s="13"/>
    </row>
    <row r="33348">
      <c r="A33348" s="6"/>
      <c r="B33348" s="6"/>
      <c r="H33348" s="13"/>
    </row>
    <row r="33349">
      <c r="A33349" s="6"/>
      <c r="B33349" s="6"/>
      <c r="H33349" s="13"/>
    </row>
    <row r="33350">
      <c r="A33350" s="6"/>
      <c r="B33350" s="6"/>
      <c r="H33350" s="13"/>
    </row>
    <row r="33351">
      <c r="A33351" s="6"/>
      <c r="B33351" s="6"/>
      <c r="H33351" s="13"/>
    </row>
    <row r="33352">
      <c r="A33352" s="6"/>
      <c r="B33352" s="6"/>
      <c r="H33352" s="13"/>
    </row>
    <row r="33353">
      <c r="A33353" s="6"/>
      <c r="B33353" s="6"/>
      <c r="H33353" s="13"/>
    </row>
    <row r="33354">
      <c r="A33354" s="6"/>
      <c r="B33354" s="6"/>
      <c r="H33354" s="13"/>
    </row>
    <row r="33355">
      <c r="A33355" s="6"/>
      <c r="B33355" s="6"/>
      <c r="H33355" s="13"/>
    </row>
    <row r="33356">
      <c r="A33356" s="6"/>
      <c r="B33356" s="6"/>
      <c r="H33356" s="13"/>
    </row>
    <row r="33357">
      <c r="A33357" s="6"/>
      <c r="B33357" s="6"/>
      <c r="H33357" s="13"/>
    </row>
    <row r="33358">
      <c r="A33358" s="6"/>
      <c r="B33358" s="6"/>
      <c r="H33358" s="13"/>
    </row>
    <row r="33359">
      <c r="A33359" s="6"/>
      <c r="B33359" s="6"/>
      <c r="H33359" s="13"/>
    </row>
    <row r="33360">
      <c r="A33360" s="6"/>
      <c r="B33360" s="6"/>
      <c r="H33360" s="13"/>
    </row>
    <row r="33361">
      <c r="A33361" s="6"/>
      <c r="B33361" s="6"/>
      <c r="H33361" s="13"/>
    </row>
    <row r="33362">
      <c r="A33362" s="6"/>
      <c r="B33362" s="6"/>
      <c r="H33362" s="13"/>
    </row>
    <row r="33363">
      <c r="A33363" s="6"/>
      <c r="B33363" s="6"/>
      <c r="H33363" s="13"/>
    </row>
    <row r="33364">
      <c r="A33364" s="6"/>
      <c r="B33364" s="6"/>
      <c r="H33364" s="13"/>
    </row>
    <row r="33365">
      <c r="A33365" s="6"/>
      <c r="B33365" s="6"/>
      <c r="H33365" s="13"/>
    </row>
    <row r="33366">
      <c r="A33366" s="6"/>
      <c r="B33366" s="6"/>
      <c r="H33366" s="13"/>
    </row>
    <row r="33367">
      <c r="A33367" s="6"/>
      <c r="B33367" s="6"/>
      <c r="H33367" s="13"/>
    </row>
    <row r="33368">
      <c r="A33368" s="6"/>
      <c r="B33368" s="6"/>
      <c r="H33368" s="13"/>
    </row>
    <row r="33369">
      <c r="A33369" s="6"/>
      <c r="B33369" s="6"/>
      <c r="H33369" s="13"/>
    </row>
    <row r="33370">
      <c r="A33370" s="6"/>
      <c r="B33370" s="6"/>
      <c r="H33370" s="13"/>
    </row>
    <row r="33371">
      <c r="A33371" s="6"/>
      <c r="B33371" s="6"/>
      <c r="H33371" s="13"/>
    </row>
    <row r="33372">
      <c r="A33372" s="6"/>
      <c r="B33372" s="6"/>
      <c r="H33372" s="13"/>
    </row>
    <row r="33373">
      <c r="A33373" s="6"/>
      <c r="B33373" s="6"/>
      <c r="H33373" s="13"/>
    </row>
    <row r="33374">
      <c r="A33374" s="6"/>
      <c r="B33374" s="6"/>
      <c r="H33374" s="13"/>
    </row>
    <row r="33375">
      <c r="A33375" s="6"/>
      <c r="B33375" s="6"/>
      <c r="H33375" s="13"/>
    </row>
    <row r="33376">
      <c r="A33376" s="6"/>
      <c r="B33376" s="6"/>
      <c r="H33376" s="13"/>
    </row>
    <row r="33377">
      <c r="A33377" s="6"/>
      <c r="B33377" s="6"/>
      <c r="H33377" s="13"/>
    </row>
    <row r="33378">
      <c r="A33378" s="6"/>
      <c r="B33378" s="6"/>
      <c r="H33378" s="13"/>
    </row>
    <row r="33379">
      <c r="A33379" s="6"/>
      <c r="B33379" s="6"/>
      <c r="H33379" s="13"/>
    </row>
    <row r="33380">
      <c r="A33380" s="6"/>
      <c r="B33380" s="6"/>
      <c r="H33380" s="13"/>
    </row>
    <row r="33381">
      <c r="A33381" s="6"/>
      <c r="B33381" s="6"/>
      <c r="H33381" s="13"/>
    </row>
    <row r="33382">
      <c r="A33382" s="6"/>
      <c r="B33382" s="6"/>
      <c r="H33382" s="13"/>
    </row>
    <row r="33383">
      <c r="A33383" s="6"/>
      <c r="B33383" s="6"/>
      <c r="H33383" s="13"/>
    </row>
    <row r="33384">
      <c r="A33384" s="6"/>
      <c r="B33384" s="6"/>
      <c r="H33384" s="13"/>
    </row>
    <row r="33385">
      <c r="A33385" s="6"/>
      <c r="B33385" s="6"/>
      <c r="H33385" s="13"/>
    </row>
    <row r="33386">
      <c r="A33386" s="6"/>
      <c r="B33386" s="6"/>
      <c r="H33386" s="13"/>
    </row>
    <row r="33387">
      <c r="A33387" s="6"/>
      <c r="B33387" s="6"/>
      <c r="H33387" s="13"/>
    </row>
    <row r="33388">
      <c r="A33388" s="6"/>
      <c r="B33388" s="6"/>
      <c r="H33388" s="13"/>
    </row>
    <row r="33389">
      <c r="A33389" s="6"/>
      <c r="B33389" s="6"/>
      <c r="H33389" s="13"/>
    </row>
    <row r="33390">
      <c r="A33390" s="6"/>
      <c r="B33390" s="6"/>
      <c r="H33390" s="13"/>
    </row>
    <row r="33391">
      <c r="A33391" s="6"/>
      <c r="B33391" s="6"/>
      <c r="H33391" s="13"/>
    </row>
    <row r="33392">
      <c r="A33392" s="6"/>
      <c r="B33392" s="6"/>
      <c r="H33392" s="13"/>
    </row>
    <row r="33393">
      <c r="A33393" s="6"/>
      <c r="B33393" s="6"/>
      <c r="H33393" s="13"/>
    </row>
    <row r="33394">
      <c r="A33394" s="6"/>
      <c r="B33394" s="6"/>
      <c r="H33394" s="13"/>
    </row>
    <row r="33395">
      <c r="A33395" s="6"/>
      <c r="B33395" s="6"/>
      <c r="H33395" s="13"/>
    </row>
    <row r="33396">
      <c r="A33396" s="6"/>
      <c r="B33396" s="6"/>
      <c r="H33396" s="13"/>
    </row>
    <row r="33397">
      <c r="A33397" s="6"/>
      <c r="B33397" s="6"/>
      <c r="H33397" s="13"/>
    </row>
    <row r="33398">
      <c r="A33398" s="6"/>
      <c r="B33398" s="6"/>
      <c r="H33398" s="13"/>
    </row>
    <row r="33399">
      <c r="A33399" s="6"/>
      <c r="B33399" s="6"/>
      <c r="H33399" s="13"/>
    </row>
    <row r="33400">
      <c r="A33400" s="6"/>
      <c r="B33400" s="6"/>
      <c r="H33400" s="13"/>
    </row>
    <row r="33401">
      <c r="A33401" s="6"/>
      <c r="B33401" s="6"/>
      <c r="H33401" s="13"/>
    </row>
    <row r="33402">
      <c r="A33402" s="6"/>
      <c r="B33402" s="6"/>
      <c r="H33402" s="13"/>
    </row>
    <row r="33403">
      <c r="A33403" s="6"/>
      <c r="B33403" s="6"/>
      <c r="H33403" s="13"/>
    </row>
    <row r="33404">
      <c r="A33404" s="6"/>
      <c r="B33404" s="6"/>
      <c r="H33404" s="13"/>
    </row>
    <row r="33405">
      <c r="A33405" s="6"/>
      <c r="B33405" s="6"/>
      <c r="H33405" s="13"/>
    </row>
    <row r="33406">
      <c r="A33406" s="6"/>
      <c r="B33406" s="6"/>
      <c r="H33406" s="13"/>
    </row>
    <row r="33407">
      <c r="A33407" s="6"/>
      <c r="B33407" s="6"/>
      <c r="H33407" s="13"/>
    </row>
    <row r="33408">
      <c r="A33408" s="6"/>
      <c r="B33408" s="6"/>
      <c r="H33408" s="13"/>
    </row>
    <row r="33409">
      <c r="A33409" s="6"/>
      <c r="B33409" s="6"/>
      <c r="H33409" s="13"/>
    </row>
    <row r="33410">
      <c r="A33410" s="6"/>
      <c r="B33410" s="6"/>
      <c r="H33410" s="13"/>
    </row>
    <row r="33411">
      <c r="A33411" s="6"/>
      <c r="B33411" s="6"/>
      <c r="H33411" s="13"/>
    </row>
    <row r="33412">
      <c r="A33412" s="6"/>
      <c r="B33412" s="6"/>
      <c r="H33412" s="13"/>
    </row>
    <row r="33413">
      <c r="A33413" s="6"/>
      <c r="B33413" s="6"/>
      <c r="H33413" s="13"/>
    </row>
    <row r="33414">
      <c r="A33414" s="6"/>
      <c r="B33414" s="6"/>
      <c r="H33414" s="13"/>
    </row>
    <row r="33415">
      <c r="A33415" s="6"/>
      <c r="B33415" s="6"/>
      <c r="H33415" s="13"/>
    </row>
    <row r="33416">
      <c r="A33416" s="6"/>
      <c r="B33416" s="6"/>
      <c r="H33416" s="13"/>
    </row>
    <row r="33417">
      <c r="A33417" s="6"/>
      <c r="B33417" s="6"/>
      <c r="H33417" s="13"/>
    </row>
    <row r="33418">
      <c r="A33418" s="6"/>
      <c r="B33418" s="6"/>
      <c r="H33418" s="13"/>
    </row>
    <row r="33419">
      <c r="A33419" s="6"/>
      <c r="B33419" s="6"/>
      <c r="H33419" s="13"/>
    </row>
    <row r="33420">
      <c r="A33420" s="6"/>
      <c r="B33420" s="6"/>
      <c r="H33420" s="13"/>
    </row>
    <row r="33421">
      <c r="A33421" s="6"/>
      <c r="B33421" s="6"/>
      <c r="H33421" s="13"/>
    </row>
    <row r="33422">
      <c r="A33422" s="6"/>
      <c r="B33422" s="6"/>
      <c r="H33422" s="13"/>
    </row>
    <row r="33423">
      <c r="A33423" s="6"/>
      <c r="B33423" s="6"/>
      <c r="H33423" s="13"/>
    </row>
    <row r="33424">
      <c r="A33424" s="6"/>
      <c r="B33424" s="6"/>
      <c r="H33424" s="13"/>
    </row>
    <row r="33425">
      <c r="A33425" s="6"/>
      <c r="B33425" s="6"/>
      <c r="H33425" s="13"/>
    </row>
    <row r="33426">
      <c r="A33426" s="6"/>
      <c r="B33426" s="6"/>
      <c r="H33426" s="13"/>
    </row>
    <row r="33427">
      <c r="A33427" s="6"/>
      <c r="B33427" s="6"/>
      <c r="H33427" s="13"/>
    </row>
    <row r="33428">
      <c r="A33428" s="6"/>
      <c r="B33428" s="6"/>
      <c r="H33428" s="13"/>
    </row>
    <row r="33429">
      <c r="A33429" s="6"/>
      <c r="B33429" s="6"/>
      <c r="H33429" s="13"/>
    </row>
    <row r="33430">
      <c r="A33430" s="6"/>
      <c r="B33430" s="6"/>
      <c r="H33430" s="13"/>
    </row>
    <row r="33431">
      <c r="A33431" s="6"/>
      <c r="B33431" s="6"/>
      <c r="H33431" s="13"/>
    </row>
    <row r="33432">
      <c r="A33432" s="6"/>
      <c r="B33432" s="6"/>
      <c r="H33432" s="13"/>
    </row>
    <row r="33433">
      <c r="A33433" s="6"/>
      <c r="B33433" s="6"/>
      <c r="H33433" s="13"/>
    </row>
    <row r="33434">
      <c r="A33434" s="6"/>
      <c r="B33434" s="6"/>
      <c r="H33434" s="13"/>
    </row>
    <row r="33435">
      <c r="A33435" s="6"/>
      <c r="B33435" s="6"/>
      <c r="H33435" s="13"/>
    </row>
    <row r="33436">
      <c r="A33436" s="6"/>
      <c r="B33436" s="6"/>
      <c r="H33436" s="13"/>
    </row>
    <row r="33437">
      <c r="A33437" s="6"/>
      <c r="B33437" s="6"/>
      <c r="H33437" s="13"/>
    </row>
    <row r="33438">
      <c r="A33438" s="6"/>
      <c r="B33438" s="6"/>
      <c r="H33438" s="13"/>
    </row>
    <row r="33439">
      <c r="A33439" s="6"/>
      <c r="B33439" s="6"/>
      <c r="H33439" s="13"/>
    </row>
    <row r="33440">
      <c r="A33440" s="6"/>
      <c r="B33440" s="6"/>
      <c r="H33440" s="13"/>
    </row>
    <row r="33441">
      <c r="A33441" s="6"/>
      <c r="B33441" s="6"/>
      <c r="H33441" s="13"/>
    </row>
    <row r="33442">
      <c r="A33442" s="6"/>
      <c r="B33442" s="6"/>
      <c r="H33442" s="13"/>
    </row>
    <row r="33443">
      <c r="A33443" s="6"/>
      <c r="B33443" s="6"/>
      <c r="H33443" s="13"/>
    </row>
    <row r="33444">
      <c r="A33444" s="6"/>
      <c r="B33444" s="6"/>
      <c r="H33444" s="13"/>
    </row>
    <row r="33445">
      <c r="A33445" s="6"/>
      <c r="B33445" s="6"/>
      <c r="H33445" s="13"/>
    </row>
    <row r="33446">
      <c r="A33446" s="6"/>
      <c r="B33446" s="6"/>
      <c r="H33446" s="13"/>
    </row>
    <row r="33447">
      <c r="A33447" s="6"/>
      <c r="B33447" s="6"/>
      <c r="H33447" s="13"/>
    </row>
    <row r="33448">
      <c r="A33448" s="6"/>
      <c r="B33448" s="6"/>
      <c r="H33448" s="13"/>
    </row>
    <row r="33449">
      <c r="A33449" s="6"/>
      <c r="B33449" s="6"/>
      <c r="H33449" s="13"/>
    </row>
    <row r="33450">
      <c r="A33450" s="6"/>
      <c r="B33450" s="6"/>
      <c r="H33450" s="13"/>
    </row>
    <row r="33451">
      <c r="A33451" s="6"/>
      <c r="B33451" s="6"/>
      <c r="H33451" s="13"/>
    </row>
    <row r="33452">
      <c r="A33452" s="6"/>
      <c r="B33452" s="6"/>
      <c r="H33452" s="13"/>
    </row>
    <row r="33453">
      <c r="A33453" s="6"/>
      <c r="B33453" s="6"/>
      <c r="H33453" s="13"/>
    </row>
    <row r="33454">
      <c r="A33454" s="6"/>
      <c r="B33454" s="6"/>
      <c r="H33454" s="13"/>
    </row>
    <row r="33455">
      <c r="A33455" s="6"/>
      <c r="B33455" s="6"/>
      <c r="H33455" s="13"/>
    </row>
    <row r="33456">
      <c r="A33456" s="6"/>
      <c r="B33456" s="6"/>
      <c r="H33456" s="13"/>
    </row>
    <row r="33457">
      <c r="A33457" s="6"/>
      <c r="B33457" s="6"/>
      <c r="H33457" s="13"/>
    </row>
    <row r="33458">
      <c r="A33458" s="6"/>
      <c r="B33458" s="6"/>
      <c r="H33458" s="13"/>
    </row>
    <row r="33459">
      <c r="A33459" s="6"/>
      <c r="B33459" s="6"/>
      <c r="H33459" s="13"/>
    </row>
    <row r="33460">
      <c r="A33460" s="6"/>
      <c r="B33460" s="6"/>
      <c r="H33460" s="13"/>
    </row>
    <row r="33461">
      <c r="A33461" s="6"/>
      <c r="B33461" s="6"/>
      <c r="H33461" s="13"/>
    </row>
    <row r="33462">
      <c r="A33462" s="6"/>
      <c r="B33462" s="6"/>
      <c r="H33462" s="13"/>
    </row>
    <row r="33463">
      <c r="A33463" s="6"/>
      <c r="B33463" s="6"/>
      <c r="H33463" s="13"/>
    </row>
    <row r="33464">
      <c r="A33464" s="6"/>
      <c r="B33464" s="6"/>
      <c r="H33464" s="13"/>
    </row>
    <row r="33465">
      <c r="A33465" s="6"/>
      <c r="B33465" s="6"/>
      <c r="H33465" s="13"/>
    </row>
    <row r="33466">
      <c r="A33466" s="6"/>
      <c r="B33466" s="6"/>
      <c r="H33466" s="13"/>
    </row>
    <row r="33467">
      <c r="A33467" s="6"/>
      <c r="B33467" s="6"/>
      <c r="H33467" s="13"/>
    </row>
    <row r="33468">
      <c r="A33468" s="6"/>
      <c r="B33468" s="6"/>
      <c r="H33468" s="13"/>
    </row>
    <row r="33469">
      <c r="A33469" s="6"/>
      <c r="B33469" s="6"/>
      <c r="H33469" s="13"/>
    </row>
    <row r="33470">
      <c r="A33470" s="6"/>
      <c r="B33470" s="6"/>
      <c r="H33470" s="13"/>
    </row>
    <row r="33471">
      <c r="A33471" s="6"/>
      <c r="B33471" s="6"/>
      <c r="H33471" s="13"/>
    </row>
    <row r="33472">
      <c r="A33472" s="6"/>
      <c r="B33472" s="6"/>
      <c r="H33472" s="13"/>
    </row>
    <row r="33473">
      <c r="A33473" s="6"/>
      <c r="B33473" s="6"/>
      <c r="H33473" s="13"/>
    </row>
    <row r="33474">
      <c r="A33474" s="6"/>
      <c r="B33474" s="6"/>
      <c r="H33474" s="13"/>
    </row>
    <row r="33475">
      <c r="A33475" s="6"/>
      <c r="B33475" s="6"/>
      <c r="H33475" s="13"/>
    </row>
    <row r="33476">
      <c r="A33476" s="6"/>
      <c r="B33476" s="6"/>
      <c r="H33476" s="13"/>
    </row>
    <row r="33477">
      <c r="A33477" s="6"/>
      <c r="B33477" s="6"/>
      <c r="H33477" s="13"/>
    </row>
    <row r="33478">
      <c r="A33478" s="6"/>
      <c r="B33478" s="6"/>
      <c r="H33478" s="13"/>
    </row>
    <row r="33479">
      <c r="A33479" s="6"/>
      <c r="B33479" s="6"/>
      <c r="H33479" s="13"/>
    </row>
    <row r="33480">
      <c r="A33480" s="6"/>
      <c r="B33480" s="6"/>
      <c r="H33480" s="13"/>
    </row>
    <row r="33481">
      <c r="A33481" s="6"/>
      <c r="B33481" s="6"/>
      <c r="H33481" s="13"/>
    </row>
    <row r="33482">
      <c r="A33482" s="6"/>
      <c r="B33482" s="6"/>
      <c r="H33482" s="13"/>
    </row>
    <row r="33483">
      <c r="A33483" s="6"/>
      <c r="B33483" s="6"/>
      <c r="H33483" s="13"/>
    </row>
    <row r="33484">
      <c r="A33484" s="6"/>
      <c r="B33484" s="6"/>
      <c r="H33484" s="13"/>
    </row>
    <row r="33485">
      <c r="A33485" s="6"/>
      <c r="B33485" s="6"/>
      <c r="H33485" s="13"/>
    </row>
    <row r="33486">
      <c r="A33486" s="6"/>
      <c r="B33486" s="6"/>
      <c r="H33486" s="13"/>
    </row>
    <row r="33487">
      <c r="A33487" s="6"/>
      <c r="B33487" s="6"/>
      <c r="H33487" s="13"/>
    </row>
    <row r="33488">
      <c r="A33488" s="6"/>
      <c r="B33488" s="6"/>
      <c r="H33488" s="13"/>
    </row>
    <row r="33489">
      <c r="A33489" s="6"/>
      <c r="B33489" s="6"/>
      <c r="H33489" s="13"/>
    </row>
    <row r="33490">
      <c r="A33490" s="6"/>
      <c r="B33490" s="6"/>
      <c r="H33490" s="13"/>
    </row>
    <row r="33491">
      <c r="A33491" s="6"/>
      <c r="B33491" s="6"/>
      <c r="H33491" s="13"/>
    </row>
    <row r="33492">
      <c r="A33492" s="6"/>
      <c r="B33492" s="6"/>
      <c r="H33492" s="13"/>
    </row>
    <row r="33493">
      <c r="A33493" s="6"/>
      <c r="B33493" s="6"/>
      <c r="H33493" s="13"/>
    </row>
    <row r="33494">
      <c r="A33494" s="6"/>
      <c r="B33494" s="6"/>
      <c r="H33494" s="13"/>
    </row>
    <row r="33495">
      <c r="A33495" s="6"/>
      <c r="B33495" s="6"/>
      <c r="H33495" s="13"/>
    </row>
    <row r="33496">
      <c r="A33496" s="6"/>
      <c r="B33496" s="6"/>
      <c r="H33496" s="13"/>
    </row>
    <row r="33497">
      <c r="A33497" s="6"/>
      <c r="B33497" s="6"/>
      <c r="H33497" s="13"/>
    </row>
    <row r="33498">
      <c r="A33498" s="6"/>
      <c r="B33498" s="6"/>
      <c r="H33498" s="13"/>
    </row>
    <row r="33499">
      <c r="A33499" s="6"/>
      <c r="B33499" s="6"/>
      <c r="H33499" s="13"/>
    </row>
    <row r="33500">
      <c r="A33500" s="6"/>
      <c r="B33500" s="6"/>
      <c r="H33500" s="13"/>
    </row>
    <row r="33501">
      <c r="A33501" s="6"/>
      <c r="B33501" s="6"/>
      <c r="H33501" s="13"/>
    </row>
    <row r="33502">
      <c r="A33502" s="6"/>
      <c r="B33502" s="6"/>
      <c r="H33502" s="13"/>
    </row>
    <row r="33503">
      <c r="A33503" s="6"/>
      <c r="B33503" s="6"/>
      <c r="H33503" s="13"/>
    </row>
    <row r="33504">
      <c r="A33504" s="6"/>
      <c r="B33504" s="6"/>
      <c r="H33504" s="13"/>
    </row>
    <row r="33505">
      <c r="A33505" s="6"/>
      <c r="B33505" s="6"/>
      <c r="H33505" s="13"/>
    </row>
    <row r="33506">
      <c r="A33506" s="6"/>
      <c r="B33506" s="6"/>
      <c r="H33506" s="13"/>
    </row>
    <row r="33507">
      <c r="A33507" s="6"/>
      <c r="B33507" s="6"/>
      <c r="H33507" s="13"/>
    </row>
    <row r="33508">
      <c r="A33508" s="6"/>
      <c r="B33508" s="6"/>
      <c r="H33508" s="13"/>
    </row>
    <row r="33509">
      <c r="A33509" s="6"/>
      <c r="B33509" s="6"/>
      <c r="H33509" s="13"/>
    </row>
    <row r="33510">
      <c r="A33510" s="6"/>
      <c r="B33510" s="6"/>
      <c r="H33510" s="13"/>
    </row>
    <row r="33511">
      <c r="A33511" s="6"/>
      <c r="B33511" s="6"/>
      <c r="H33511" s="13"/>
    </row>
    <row r="33512">
      <c r="A33512" s="6"/>
      <c r="B33512" s="6"/>
      <c r="H33512" s="13"/>
    </row>
    <row r="33513">
      <c r="A33513" s="6"/>
      <c r="B33513" s="6"/>
      <c r="H33513" s="13"/>
    </row>
    <row r="33514">
      <c r="A33514" s="6"/>
      <c r="B33514" s="6"/>
      <c r="H33514" s="13"/>
    </row>
    <row r="33515">
      <c r="A33515" s="6"/>
      <c r="B33515" s="6"/>
      <c r="H33515" s="13"/>
    </row>
    <row r="33516">
      <c r="A33516" s="6"/>
      <c r="B33516" s="6"/>
      <c r="H33516" s="13"/>
    </row>
    <row r="33517">
      <c r="A33517" s="6"/>
      <c r="B33517" s="6"/>
      <c r="H33517" s="13"/>
    </row>
    <row r="33518">
      <c r="A33518" s="6"/>
      <c r="B33518" s="6"/>
      <c r="H33518" s="13"/>
    </row>
    <row r="33519">
      <c r="A33519" s="6"/>
      <c r="B33519" s="6"/>
      <c r="H33519" s="13"/>
    </row>
    <row r="33520">
      <c r="A33520" s="6"/>
      <c r="B33520" s="6"/>
      <c r="H33520" s="13"/>
    </row>
    <row r="33521">
      <c r="A33521" s="6"/>
      <c r="B33521" s="6"/>
      <c r="H33521" s="13"/>
    </row>
    <row r="33522">
      <c r="A33522" s="6"/>
      <c r="B33522" s="6"/>
      <c r="H33522" s="13"/>
    </row>
    <row r="33523">
      <c r="A33523" s="6"/>
      <c r="B33523" s="6"/>
      <c r="H33523" s="13"/>
    </row>
    <row r="33524">
      <c r="A33524" s="6"/>
      <c r="B33524" s="6"/>
      <c r="H33524" s="13"/>
    </row>
    <row r="33525">
      <c r="A33525" s="6"/>
      <c r="B33525" s="6"/>
      <c r="H33525" s="13"/>
    </row>
    <row r="33526">
      <c r="A33526" s="6"/>
      <c r="B33526" s="6"/>
      <c r="H33526" s="13"/>
    </row>
    <row r="33527">
      <c r="A33527" s="6"/>
      <c r="B33527" s="6"/>
      <c r="H33527" s="13"/>
    </row>
    <row r="33528">
      <c r="A33528" s="6"/>
      <c r="B33528" s="6"/>
      <c r="H33528" s="13"/>
    </row>
    <row r="33529">
      <c r="A33529" s="6"/>
      <c r="B33529" s="6"/>
      <c r="H33529" s="13"/>
    </row>
    <row r="33530">
      <c r="A33530" s="6"/>
      <c r="B33530" s="6"/>
      <c r="H33530" s="13"/>
    </row>
    <row r="33531">
      <c r="A33531" s="6"/>
      <c r="B33531" s="6"/>
      <c r="H33531" s="13"/>
    </row>
    <row r="33532">
      <c r="A33532" s="6"/>
      <c r="B33532" s="6"/>
      <c r="H33532" s="13"/>
    </row>
    <row r="33533">
      <c r="A33533" s="6"/>
      <c r="B33533" s="6"/>
      <c r="H33533" s="13"/>
    </row>
    <row r="33534">
      <c r="A33534" s="6"/>
      <c r="B33534" s="6"/>
      <c r="H33534" s="13"/>
    </row>
    <row r="33535">
      <c r="A33535" s="6"/>
      <c r="B33535" s="6"/>
      <c r="H33535" s="13"/>
    </row>
    <row r="33536">
      <c r="A33536" s="6"/>
      <c r="B33536" s="6"/>
      <c r="H33536" s="13"/>
    </row>
    <row r="33537">
      <c r="A33537" s="6"/>
      <c r="B33537" s="6"/>
      <c r="H33537" s="13"/>
    </row>
    <row r="33538">
      <c r="A33538" s="6"/>
      <c r="B33538" s="6"/>
      <c r="H33538" s="13"/>
    </row>
    <row r="33539">
      <c r="A33539" s="6"/>
      <c r="B33539" s="6"/>
      <c r="H33539" s="13"/>
    </row>
    <row r="33540">
      <c r="A33540" s="6"/>
      <c r="B33540" s="6"/>
      <c r="H33540" s="13"/>
    </row>
    <row r="33541">
      <c r="A33541" s="6"/>
      <c r="B33541" s="6"/>
      <c r="H33541" s="13"/>
    </row>
    <row r="33542">
      <c r="A33542" s="6"/>
      <c r="B33542" s="6"/>
      <c r="H33542" s="13"/>
    </row>
    <row r="33543">
      <c r="A33543" s="6"/>
      <c r="B33543" s="6"/>
      <c r="H33543" s="13"/>
    </row>
    <row r="33544">
      <c r="A33544" s="6"/>
      <c r="B33544" s="6"/>
      <c r="H33544" s="13"/>
    </row>
    <row r="33545">
      <c r="A33545" s="6"/>
      <c r="B33545" s="6"/>
      <c r="H33545" s="13"/>
    </row>
    <row r="33546">
      <c r="A33546" s="6"/>
      <c r="B33546" s="6"/>
      <c r="H33546" s="13"/>
    </row>
    <row r="33547">
      <c r="A33547" s="6"/>
      <c r="B33547" s="6"/>
      <c r="H33547" s="13"/>
    </row>
    <row r="33548">
      <c r="A33548" s="6"/>
      <c r="B33548" s="6"/>
      <c r="H33548" s="13"/>
    </row>
    <row r="33549">
      <c r="A33549" s="6"/>
      <c r="B33549" s="6"/>
      <c r="H33549" s="13"/>
    </row>
    <row r="33550">
      <c r="A33550" s="6"/>
      <c r="B33550" s="6"/>
      <c r="H33550" s="13"/>
    </row>
    <row r="33551">
      <c r="A33551" s="6"/>
      <c r="B33551" s="6"/>
      <c r="H33551" s="13"/>
    </row>
    <row r="33552">
      <c r="A33552" s="6"/>
      <c r="B33552" s="6"/>
      <c r="H33552" s="13"/>
    </row>
    <row r="33553">
      <c r="A33553" s="6"/>
      <c r="B33553" s="6"/>
      <c r="H33553" s="13"/>
    </row>
    <row r="33554">
      <c r="A33554" s="6"/>
      <c r="B33554" s="6"/>
      <c r="H33554" s="13"/>
    </row>
    <row r="33555">
      <c r="A33555" s="6"/>
      <c r="B33555" s="6"/>
      <c r="H33555" s="13"/>
    </row>
    <row r="33556">
      <c r="A33556" s="6"/>
      <c r="B33556" s="6"/>
      <c r="H33556" s="13"/>
    </row>
    <row r="33557">
      <c r="A33557" s="6"/>
      <c r="B33557" s="6"/>
      <c r="H33557" s="13"/>
    </row>
    <row r="33558">
      <c r="A33558" s="6"/>
      <c r="B33558" s="6"/>
      <c r="H33558" s="13"/>
    </row>
    <row r="33559">
      <c r="A33559" s="6"/>
      <c r="B33559" s="6"/>
      <c r="H33559" s="13"/>
    </row>
    <row r="33560">
      <c r="A33560" s="6"/>
      <c r="B33560" s="6"/>
      <c r="H33560" s="13"/>
    </row>
    <row r="33561">
      <c r="A33561" s="6"/>
      <c r="B33561" s="6"/>
      <c r="H33561" s="13"/>
    </row>
    <row r="33562">
      <c r="A33562" s="6"/>
      <c r="B33562" s="6"/>
      <c r="H33562" s="13"/>
    </row>
    <row r="33563">
      <c r="A33563" s="6"/>
      <c r="B33563" s="6"/>
      <c r="H33563" s="13"/>
    </row>
    <row r="33564">
      <c r="A33564" s="6"/>
      <c r="B33564" s="6"/>
      <c r="H33564" s="13"/>
    </row>
    <row r="33565">
      <c r="A33565" s="6"/>
      <c r="B33565" s="6"/>
      <c r="H33565" s="13"/>
    </row>
    <row r="33566">
      <c r="A33566" s="6"/>
      <c r="B33566" s="6"/>
      <c r="H33566" s="13"/>
    </row>
    <row r="33567">
      <c r="A33567" s="6"/>
      <c r="B33567" s="6"/>
      <c r="H33567" s="13"/>
    </row>
    <row r="33568">
      <c r="A33568" s="6"/>
      <c r="B33568" s="6"/>
      <c r="H33568" s="13"/>
    </row>
    <row r="33569">
      <c r="A33569" s="6"/>
      <c r="B33569" s="6"/>
      <c r="H33569" s="13"/>
    </row>
    <row r="33570">
      <c r="A33570" s="6"/>
      <c r="B33570" s="6"/>
      <c r="H33570" s="13"/>
    </row>
    <row r="33571">
      <c r="A33571" s="6"/>
      <c r="B33571" s="6"/>
      <c r="H33571" s="13"/>
    </row>
    <row r="33572">
      <c r="A33572" s="6"/>
      <c r="B33572" s="6"/>
      <c r="H33572" s="13"/>
    </row>
    <row r="33573">
      <c r="A33573" s="6"/>
      <c r="B33573" s="6"/>
      <c r="H33573" s="13"/>
    </row>
    <row r="33574">
      <c r="A33574" s="6"/>
      <c r="B33574" s="6"/>
      <c r="H33574" s="13"/>
    </row>
    <row r="33575">
      <c r="A33575" s="6"/>
      <c r="B33575" s="6"/>
      <c r="H33575" s="13"/>
    </row>
    <row r="33576">
      <c r="A33576" s="6"/>
      <c r="B33576" s="6"/>
      <c r="H33576" s="13"/>
    </row>
    <row r="33577">
      <c r="A33577" s="6"/>
      <c r="B33577" s="6"/>
      <c r="H33577" s="13"/>
    </row>
    <row r="33578">
      <c r="A33578" s="6"/>
      <c r="B33578" s="6"/>
      <c r="H33578" s="13"/>
    </row>
    <row r="33579">
      <c r="A33579" s="6"/>
      <c r="B33579" s="6"/>
      <c r="H33579" s="13"/>
    </row>
    <row r="33580">
      <c r="A33580" s="6"/>
      <c r="B33580" s="6"/>
      <c r="H33580" s="13"/>
    </row>
    <row r="33581">
      <c r="A33581" s="6"/>
      <c r="B33581" s="6"/>
      <c r="H33581" s="13"/>
    </row>
    <row r="33582">
      <c r="A33582" s="6"/>
      <c r="B33582" s="6"/>
      <c r="H33582" s="13"/>
    </row>
    <row r="33583">
      <c r="A33583" s="6"/>
      <c r="B33583" s="6"/>
      <c r="H33583" s="13"/>
    </row>
    <row r="33584">
      <c r="A33584" s="6"/>
      <c r="B33584" s="6"/>
      <c r="H33584" s="13"/>
    </row>
    <row r="33585">
      <c r="A33585" s="6"/>
      <c r="B33585" s="6"/>
      <c r="H33585" s="13"/>
    </row>
    <row r="33586">
      <c r="A33586" s="6"/>
      <c r="B33586" s="6"/>
      <c r="H33586" s="13"/>
    </row>
    <row r="33587">
      <c r="A33587" s="6"/>
      <c r="B33587" s="6"/>
      <c r="H33587" s="13"/>
    </row>
    <row r="33588">
      <c r="A33588" s="6"/>
      <c r="B33588" s="6"/>
      <c r="H33588" s="13"/>
    </row>
    <row r="33589">
      <c r="A33589" s="6"/>
      <c r="B33589" s="6"/>
      <c r="H33589" s="13"/>
    </row>
    <row r="33590">
      <c r="A33590" s="6"/>
      <c r="B33590" s="6"/>
      <c r="H33590" s="13"/>
    </row>
    <row r="33591">
      <c r="A33591" s="6"/>
      <c r="B33591" s="6"/>
      <c r="H33591" s="13"/>
    </row>
    <row r="33592">
      <c r="A33592" s="6"/>
      <c r="B33592" s="6"/>
      <c r="H33592" s="13"/>
    </row>
    <row r="33593">
      <c r="A33593" s="6"/>
      <c r="B33593" s="6"/>
      <c r="H33593" s="13"/>
    </row>
    <row r="33594">
      <c r="A33594" s="6"/>
      <c r="B33594" s="6"/>
      <c r="H33594" s="13"/>
    </row>
    <row r="33595">
      <c r="A33595" s="6"/>
      <c r="B33595" s="6"/>
      <c r="H33595" s="13"/>
    </row>
    <row r="33596">
      <c r="A33596" s="6"/>
      <c r="B33596" s="6"/>
      <c r="H33596" s="13"/>
    </row>
    <row r="33597">
      <c r="A33597" s="6"/>
      <c r="B33597" s="6"/>
      <c r="H33597" s="13"/>
    </row>
    <row r="33598">
      <c r="A33598" s="6"/>
      <c r="B33598" s="6"/>
      <c r="H33598" s="13"/>
    </row>
    <row r="33599">
      <c r="A33599" s="6"/>
      <c r="B33599" s="6"/>
      <c r="H33599" s="13"/>
    </row>
    <row r="33600">
      <c r="A33600" s="6"/>
      <c r="B33600" s="6"/>
      <c r="H33600" s="13"/>
    </row>
    <row r="33601">
      <c r="A33601" s="6"/>
      <c r="B33601" s="6"/>
      <c r="H33601" s="13"/>
    </row>
    <row r="33602">
      <c r="A33602" s="6"/>
      <c r="B33602" s="6"/>
      <c r="H33602" s="13"/>
    </row>
    <row r="33603">
      <c r="A33603" s="6"/>
      <c r="B33603" s="6"/>
      <c r="H33603" s="13"/>
    </row>
    <row r="33604">
      <c r="A33604" s="6"/>
      <c r="B33604" s="6"/>
      <c r="H33604" s="13"/>
    </row>
    <row r="33605">
      <c r="A33605" s="6"/>
      <c r="B33605" s="6"/>
      <c r="H33605" s="13"/>
    </row>
    <row r="33606">
      <c r="A33606" s="6"/>
      <c r="B33606" s="6"/>
      <c r="H33606" s="13"/>
    </row>
    <row r="33607">
      <c r="A33607" s="6"/>
      <c r="B33607" s="6"/>
      <c r="H33607" s="13"/>
    </row>
    <row r="33608">
      <c r="A33608" s="6"/>
      <c r="B33608" s="6"/>
      <c r="H33608" s="13"/>
    </row>
    <row r="33609">
      <c r="A33609" s="6"/>
      <c r="B33609" s="6"/>
      <c r="H33609" s="13"/>
    </row>
    <row r="33610">
      <c r="A33610" s="6"/>
      <c r="B33610" s="6"/>
      <c r="H33610" s="13"/>
    </row>
    <row r="33611">
      <c r="A33611" s="6"/>
      <c r="B33611" s="6"/>
      <c r="H33611" s="13"/>
    </row>
    <row r="33612">
      <c r="A33612" s="6"/>
      <c r="B33612" s="6"/>
      <c r="H33612" s="13"/>
    </row>
    <row r="33613">
      <c r="A33613" s="6"/>
      <c r="B33613" s="6"/>
      <c r="H33613" s="13"/>
    </row>
    <row r="33614">
      <c r="A33614" s="6"/>
      <c r="B33614" s="6"/>
      <c r="H33614" s="13"/>
    </row>
    <row r="33615">
      <c r="A33615" s="6"/>
      <c r="B33615" s="6"/>
      <c r="H33615" s="13"/>
    </row>
    <row r="33616">
      <c r="A33616" s="6"/>
      <c r="B33616" s="6"/>
      <c r="H33616" s="13"/>
    </row>
    <row r="33617">
      <c r="A33617" s="6"/>
      <c r="B33617" s="6"/>
      <c r="H33617" s="13"/>
    </row>
    <row r="33618">
      <c r="A33618" s="6"/>
      <c r="B33618" s="6"/>
      <c r="H33618" s="13"/>
    </row>
    <row r="33619">
      <c r="A33619" s="6"/>
      <c r="B33619" s="6"/>
      <c r="H33619" s="13"/>
    </row>
    <row r="33620">
      <c r="A33620" s="6"/>
      <c r="B33620" s="6"/>
      <c r="H33620" s="13"/>
    </row>
    <row r="33621">
      <c r="A33621" s="6"/>
      <c r="B33621" s="6"/>
      <c r="H33621" s="13"/>
    </row>
    <row r="33622">
      <c r="A33622" s="6"/>
      <c r="B33622" s="6"/>
      <c r="H33622" s="13"/>
    </row>
    <row r="33623">
      <c r="A33623" s="6"/>
      <c r="B33623" s="6"/>
      <c r="H33623" s="13"/>
    </row>
    <row r="33624">
      <c r="A33624" s="6"/>
      <c r="B33624" s="6"/>
      <c r="H33624" s="13"/>
    </row>
    <row r="33625">
      <c r="A33625" s="6"/>
      <c r="B33625" s="6"/>
      <c r="H33625" s="13"/>
    </row>
    <row r="33626">
      <c r="A33626" s="6"/>
      <c r="B33626" s="6"/>
      <c r="H33626" s="13"/>
    </row>
    <row r="33627">
      <c r="A33627" s="6"/>
      <c r="B33627" s="6"/>
      <c r="H33627" s="13"/>
    </row>
    <row r="33628">
      <c r="A33628" s="6"/>
      <c r="B33628" s="6"/>
      <c r="H33628" s="13"/>
    </row>
    <row r="33629">
      <c r="A33629" s="6"/>
      <c r="B33629" s="6"/>
      <c r="H33629" s="13"/>
    </row>
    <row r="33630">
      <c r="A33630" s="6"/>
      <c r="B33630" s="6"/>
      <c r="H33630" s="13"/>
    </row>
    <row r="33631">
      <c r="A33631" s="6"/>
      <c r="B33631" s="6"/>
      <c r="H33631" s="13"/>
    </row>
    <row r="33632">
      <c r="A33632" s="6"/>
      <c r="B33632" s="6"/>
      <c r="H33632" s="13"/>
    </row>
    <row r="33633">
      <c r="A33633" s="6"/>
      <c r="B33633" s="6"/>
      <c r="H33633" s="13"/>
    </row>
    <row r="33634">
      <c r="A33634" s="6"/>
      <c r="B33634" s="6"/>
      <c r="H33634" s="13"/>
    </row>
    <row r="33635">
      <c r="A33635" s="6"/>
      <c r="B33635" s="6"/>
      <c r="H33635" s="13"/>
    </row>
    <row r="33636">
      <c r="A33636" s="6"/>
      <c r="B33636" s="6"/>
      <c r="H33636" s="13"/>
    </row>
    <row r="33637">
      <c r="A33637" s="6"/>
      <c r="B33637" s="6"/>
      <c r="H33637" s="13"/>
    </row>
    <row r="33638">
      <c r="A33638" s="6"/>
      <c r="B33638" s="6"/>
      <c r="H33638" s="13"/>
    </row>
    <row r="33639">
      <c r="A33639" s="6"/>
      <c r="B33639" s="6"/>
      <c r="H33639" s="13"/>
    </row>
    <row r="33640">
      <c r="A33640" s="6"/>
      <c r="B33640" s="6"/>
      <c r="H33640" s="13"/>
    </row>
    <row r="33641">
      <c r="A33641" s="6"/>
      <c r="B33641" s="6"/>
      <c r="H33641" s="13"/>
    </row>
    <row r="33642">
      <c r="A33642" s="6"/>
      <c r="B33642" s="6"/>
      <c r="H33642" s="13"/>
    </row>
    <row r="33643">
      <c r="A33643" s="6"/>
      <c r="B33643" s="6"/>
      <c r="H33643" s="13"/>
    </row>
    <row r="33644">
      <c r="A33644" s="6"/>
      <c r="B33644" s="6"/>
      <c r="H33644" s="13"/>
    </row>
    <row r="33645">
      <c r="A33645" s="6"/>
      <c r="B33645" s="6"/>
      <c r="H33645" s="13"/>
    </row>
    <row r="33646">
      <c r="A33646" s="6"/>
      <c r="B33646" s="6"/>
      <c r="H33646" s="13"/>
    </row>
    <row r="33647">
      <c r="A33647" s="6"/>
      <c r="B33647" s="6"/>
      <c r="H33647" s="13"/>
    </row>
    <row r="33648">
      <c r="A33648" s="6"/>
      <c r="B33648" s="6"/>
      <c r="H33648" s="13"/>
    </row>
    <row r="33649">
      <c r="A33649" s="6"/>
      <c r="B33649" s="6"/>
      <c r="H33649" s="13"/>
    </row>
    <row r="33650">
      <c r="A33650" s="6"/>
      <c r="B33650" s="6"/>
      <c r="H33650" s="13"/>
    </row>
    <row r="33651">
      <c r="A33651" s="6"/>
      <c r="B33651" s="6"/>
      <c r="H33651" s="13"/>
    </row>
    <row r="33652">
      <c r="A33652" s="6"/>
      <c r="B33652" s="6"/>
      <c r="H33652" s="13"/>
    </row>
    <row r="33653">
      <c r="A33653" s="6"/>
      <c r="B33653" s="6"/>
      <c r="H33653" s="13"/>
    </row>
    <row r="33654">
      <c r="A33654" s="6"/>
      <c r="B33654" s="6"/>
      <c r="H33654" s="13"/>
    </row>
    <row r="33655">
      <c r="A33655" s="6"/>
      <c r="B33655" s="6"/>
      <c r="H33655" s="13"/>
    </row>
    <row r="33656">
      <c r="A33656" s="6"/>
      <c r="B33656" s="6"/>
      <c r="H33656" s="13"/>
    </row>
    <row r="33657">
      <c r="A33657" s="6"/>
      <c r="B33657" s="6"/>
      <c r="H33657" s="13"/>
    </row>
    <row r="33658">
      <c r="A33658" s="6"/>
      <c r="B33658" s="6"/>
      <c r="H33658" s="13"/>
    </row>
    <row r="33659">
      <c r="A33659" s="6"/>
      <c r="B33659" s="6"/>
      <c r="H33659" s="13"/>
    </row>
    <row r="33660">
      <c r="A33660" s="6"/>
      <c r="B33660" s="6"/>
      <c r="H33660" s="13"/>
    </row>
    <row r="33661">
      <c r="A33661" s="6"/>
      <c r="B33661" s="6"/>
      <c r="H33661" s="13"/>
    </row>
    <row r="33662">
      <c r="A33662" s="6"/>
      <c r="B33662" s="6"/>
      <c r="H33662" s="13"/>
    </row>
    <row r="33663">
      <c r="A33663" s="6"/>
      <c r="B33663" s="6"/>
      <c r="H33663" s="13"/>
    </row>
    <row r="33664">
      <c r="A33664" s="6"/>
      <c r="B33664" s="6"/>
      <c r="H33664" s="13"/>
    </row>
    <row r="33665">
      <c r="A33665" s="6"/>
      <c r="B33665" s="6"/>
      <c r="H33665" s="13"/>
    </row>
    <row r="33666">
      <c r="A33666" s="6"/>
      <c r="B33666" s="6"/>
      <c r="H33666" s="13"/>
    </row>
    <row r="33667">
      <c r="A33667" s="6"/>
      <c r="B33667" s="6"/>
      <c r="H33667" s="13"/>
    </row>
    <row r="33668">
      <c r="A33668" s="6"/>
      <c r="B33668" s="6"/>
      <c r="H33668" s="13"/>
    </row>
    <row r="33669">
      <c r="A33669" s="6"/>
      <c r="B33669" s="6"/>
      <c r="H33669" s="13"/>
    </row>
    <row r="33670">
      <c r="A33670" s="6"/>
      <c r="B33670" s="6"/>
      <c r="H33670" s="13"/>
    </row>
    <row r="33671">
      <c r="A33671" s="6"/>
      <c r="B33671" s="6"/>
      <c r="H33671" s="13"/>
    </row>
    <row r="33672">
      <c r="A33672" s="6"/>
      <c r="B33672" s="6"/>
      <c r="H33672" s="13"/>
    </row>
    <row r="33673">
      <c r="A33673" s="6"/>
      <c r="B33673" s="6"/>
      <c r="H33673" s="13"/>
    </row>
    <row r="33674">
      <c r="A33674" s="6"/>
      <c r="B33674" s="6"/>
      <c r="H33674" s="13"/>
    </row>
    <row r="33675">
      <c r="A33675" s="6"/>
      <c r="B33675" s="6"/>
      <c r="H33675" s="13"/>
    </row>
    <row r="33676">
      <c r="A33676" s="6"/>
      <c r="B33676" s="6"/>
      <c r="H33676" s="13"/>
    </row>
    <row r="33677">
      <c r="A33677" s="6"/>
      <c r="B33677" s="6"/>
      <c r="H33677" s="13"/>
    </row>
    <row r="33678">
      <c r="A33678" s="6"/>
      <c r="B33678" s="6"/>
      <c r="H33678" s="13"/>
    </row>
    <row r="33679">
      <c r="A33679" s="6"/>
      <c r="B33679" s="6"/>
      <c r="H33679" s="13"/>
    </row>
    <row r="33680">
      <c r="A33680" s="6"/>
      <c r="B33680" s="6"/>
      <c r="H33680" s="13"/>
    </row>
    <row r="33681">
      <c r="A33681" s="6"/>
      <c r="B33681" s="6"/>
      <c r="H33681" s="13"/>
    </row>
    <row r="33682">
      <c r="A33682" s="6"/>
      <c r="B33682" s="6"/>
      <c r="H33682" s="13"/>
    </row>
    <row r="33683">
      <c r="A33683" s="6"/>
      <c r="B33683" s="6"/>
      <c r="H33683" s="13"/>
    </row>
    <row r="33684">
      <c r="A33684" s="6"/>
      <c r="B33684" s="6"/>
      <c r="H33684" s="13"/>
    </row>
    <row r="33685">
      <c r="A33685" s="6"/>
      <c r="B33685" s="6"/>
      <c r="H33685" s="13"/>
    </row>
    <row r="33686">
      <c r="A33686" s="6"/>
      <c r="B33686" s="6"/>
      <c r="H33686" s="13"/>
    </row>
    <row r="33687">
      <c r="A33687" s="6"/>
      <c r="B33687" s="6"/>
      <c r="H33687" s="13"/>
    </row>
    <row r="33688">
      <c r="A33688" s="6"/>
      <c r="B33688" s="6"/>
      <c r="H33688" s="13"/>
    </row>
    <row r="33689">
      <c r="A33689" s="6"/>
      <c r="B33689" s="6"/>
      <c r="H33689" s="13"/>
    </row>
    <row r="33690">
      <c r="A33690" s="6"/>
      <c r="B33690" s="6"/>
      <c r="H33690" s="13"/>
    </row>
    <row r="33691">
      <c r="A33691" s="6"/>
      <c r="B33691" s="6"/>
      <c r="H33691" s="13"/>
    </row>
    <row r="33692">
      <c r="A33692" s="6"/>
      <c r="B33692" s="6"/>
      <c r="H33692" s="13"/>
    </row>
    <row r="33693">
      <c r="A33693" s="6"/>
      <c r="B33693" s="6"/>
      <c r="H33693" s="13"/>
    </row>
    <row r="33694">
      <c r="A33694" s="6"/>
      <c r="B33694" s="6"/>
      <c r="H33694" s="13"/>
    </row>
    <row r="33695">
      <c r="A33695" s="6"/>
      <c r="B33695" s="6"/>
      <c r="H33695" s="13"/>
    </row>
    <row r="33696">
      <c r="A33696" s="6"/>
      <c r="B33696" s="6"/>
      <c r="H33696" s="13"/>
    </row>
    <row r="33697">
      <c r="A33697" s="6"/>
      <c r="B33697" s="6"/>
      <c r="H33697" s="13"/>
    </row>
    <row r="33698">
      <c r="A33698" s="6"/>
      <c r="B33698" s="6"/>
      <c r="H33698" s="13"/>
    </row>
    <row r="33699">
      <c r="A33699" s="6"/>
      <c r="B33699" s="6"/>
      <c r="H33699" s="13"/>
    </row>
    <row r="33700">
      <c r="A33700" s="6"/>
      <c r="B33700" s="6"/>
      <c r="H33700" s="13"/>
    </row>
    <row r="33701">
      <c r="A33701" s="6"/>
      <c r="B33701" s="6"/>
      <c r="H33701" s="13"/>
    </row>
    <row r="33702">
      <c r="A33702" s="6"/>
      <c r="B33702" s="6"/>
      <c r="H33702" s="13"/>
    </row>
    <row r="33703">
      <c r="A33703" s="6"/>
      <c r="B33703" s="6"/>
      <c r="H33703" s="13"/>
    </row>
    <row r="33704">
      <c r="A33704" s="6"/>
      <c r="B33704" s="6"/>
      <c r="H33704" s="13"/>
    </row>
    <row r="33705">
      <c r="A33705" s="6"/>
      <c r="B33705" s="6"/>
      <c r="H33705" s="13"/>
    </row>
    <row r="33706">
      <c r="A33706" s="6"/>
      <c r="B33706" s="6"/>
      <c r="H33706" s="13"/>
    </row>
    <row r="33707">
      <c r="A33707" s="6"/>
      <c r="B33707" s="6"/>
      <c r="H33707" s="13"/>
    </row>
    <row r="33708">
      <c r="A33708" s="6"/>
      <c r="B33708" s="6"/>
      <c r="H33708" s="13"/>
    </row>
    <row r="33709">
      <c r="A33709" s="6"/>
      <c r="B33709" s="6"/>
      <c r="H33709" s="13"/>
    </row>
    <row r="33710">
      <c r="A33710" s="6"/>
      <c r="B33710" s="6"/>
      <c r="H33710" s="13"/>
    </row>
    <row r="33711">
      <c r="A33711" s="6"/>
      <c r="B33711" s="6"/>
      <c r="H33711" s="13"/>
    </row>
    <row r="33712">
      <c r="A33712" s="6"/>
      <c r="B33712" s="6"/>
      <c r="H33712" s="13"/>
    </row>
    <row r="33713">
      <c r="A33713" s="6"/>
      <c r="B33713" s="6"/>
      <c r="H33713" s="13"/>
    </row>
    <row r="33714">
      <c r="A33714" s="6"/>
      <c r="B33714" s="6"/>
      <c r="H33714" s="13"/>
    </row>
    <row r="33715">
      <c r="A33715" s="6"/>
      <c r="B33715" s="6"/>
      <c r="H33715" s="13"/>
    </row>
    <row r="33716">
      <c r="A33716" s="6"/>
      <c r="B33716" s="6"/>
      <c r="H33716" s="13"/>
    </row>
    <row r="33717">
      <c r="A33717" s="6"/>
      <c r="B33717" s="6"/>
      <c r="H33717" s="13"/>
    </row>
    <row r="33718">
      <c r="A33718" s="6"/>
      <c r="B33718" s="6"/>
      <c r="H33718" s="13"/>
    </row>
    <row r="33719">
      <c r="A33719" s="6"/>
      <c r="B33719" s="6"/>
      <c r="H33719" s="13"/>
    </row>
    <row r="33720">
      <c r="A33720" s="6"/>
      <c r="B33720" s="6"/>
      <c r="H33720" s="13"/>
    </row>
    <row r="33721">
      <c r="A33721" s="6"/>
      <c r="B33721" s="6"/>
      <c r="H33721" s="13"/>
    </row>
    <row r="33722">
      <c r="A33722" s="6"/>
      <c r="B33722" s="6"/>
      <c r="H33722" s="13"/>
    </row>
    <row r="33723">
      <c r="A33723" s="6"/>
      <c r="B33723" s="6"/>
      <c r="H33723" s="13"/>
    </row>
    <row r="33724">
      <c r="A33724" s="6"/>
      <c r="B33724" s="6"/>
      <c r="H33724" s="13"/>
    </row>
    <row r="33725">
      <c r="A33725" s="6"/>
      <c r="B33725" s="6"/>
      <c r="H33725" s="13"/>
    </row>
    <row r="33726">
      <c r="A33726" s="6"/>
      <c r="B33726" s="6"/>
      <c r="H33726" s="13"/>
    </row>
    <row r="33727">
      <c r="A33727" s="6"/>
      <c r="B33727" s="6"/>
      <c r="H33727" s="13"/>
    </row>
    <row r="33728">
      <c r="A33728" s="6"/>
      <c r="B33728" s="6"/>
      <c r="H33728" s="13"/>
    </row>
    <row r="33729">
      <c r="A33729" s="6"/>
      <c r="B33729" s="6"/>
      <c r="H33729" s="13"/>
    </row>
    <row r="33730">
      <c r="A33730" s="6"/>
      <c r="B33730" s="6"/>
      <c r="H33730" s="13"/>
    </row>
    <row r="33731">
      <c r="A33731" s="6"/>
      <c r="B33731" s="6"/>
      <c r="H33731" s="13"/>
    </row>
    <row r="33732">
      <c r="A33732" s="6"/>
      <c r="B33732" s="6"/>
      <c r="H33732" s="13"/>
    </row>
    <row r="33733">
      <c r="A33733" s="6"/>
      <c r="B33733" s="6"/>
      <c r="H33733" s="13"/>
    </row>
    <row r="33734">
      <c r="A33734" s="6"/>
      <c r="B33734" s="6"/>
      <c r="H33734" s="13"/>
    </row>
    <row r="33735">
      <c r="A33735" s="6"/>
      <c r="B33735" s="6"/>
      <c r="H33735" s="13"/>
    </row>
    <row r="33736">
      <c r="A33736" s="6"/>
      <c r="B33736" s="6"/>
      <c r="H33736" s="13"/>
    </row>
    <row r="33737">
      <c r="A33737" s="6"/>
      <c r="B33737" s="6"/>
      <c r="H33737" s="13"/>
    </row>
    <row r="33738">
      <c r="A33738" s="6"/>
      <c r="B33738" s="6"/>
      <c r="H33738" s="13"/>
    </row>
    <row r="33739">
      <c r="A33739" s="6"/>
      <c r="B33739" s="6"/>
      <c r="H33739" s="13"/>
    </row>
    <row r="33740">
      <c r="A33740" s="6"/>
      <c r="B33740" s="6"/>
      <c r="H33740" s="13"/>
    </row>
    <row r="33741">
      <c r="A33741" s="6"/>
      <c r="B33741" s="6"/>
      <c r="H33741" s="13"/>
    </row>
    <row r="33742">
      <c r="A33742" s="6"/>
      <c r="B33742" s="6"/>
      <c r="H33742" s="13"/>
    </row>
    <row r="33743">
      <c r="A33743" s="6"/>
      <c r="B33743" s="6"/>
      <c r="H33743" s="13"/>
    </row>
    <row r="33744">
      <c r="A33744" s="6"/>
      <c r="B33744" s="6"/>
      <c r="H33744" s="13"/>
    </row>
    <row r="33745">
      <c r="A33745" s="6"/>
      <c r="B33745" s="6"/>
      <c r="H33745" s="13"/>
    </row>
    <row r="33746">
      <c r="A33746" s="6"/>
      <c r="B33746" s="6"/>
      <c r="H33746" s="13"/>
    </row>
    <row r="33747">
      <c r="A33747" s="6"/>
      <c r="B33747" s="6"/>
      <c r="H33747" s="13"/>
    </row>
    <row r="33748">
      <c r="A33748" s="6"/>
      <c r="B33748" s="6"/>
      <c r="H33748" s="13"/>
    </row>
    <row r="33749">
      <c r="A33749" s="6"/>
      <c r="B33749" s="6"/>
      <c r="H33749" s="13"/>
    </row>
    <row r="33750">
      <c r="A33750" s="6"/>
      <c r="B33750" s="6"/>
      <c r="H33750" s="13"/>
    </row>
    <row r="33751">
      <c r="A33751" s="6"/>
      <c r="B33751" s="6"/>
      <c r="H33751" s="13"/>
    </row>
    <row r="33752">
      <c r="A33752" s="6"/>
      <c r="B33752" s="6"/>
      <c r="H33752" s="13"/>
    </row>
    <row r="33753">
      <c r="A33753" s="6"/>
      <c r="B33753" s="6"/>
      <c r="H33753" s="13"/>
    </row>
    <row r="33754">
      <c r="A33754" s="6"/>
      <c r="B33754" s="6"/>
      <c r="H33754" s="13"/>
    </row>
    <row r="33755">
      <c r="A33755" s="6"/>
      <c r="B33755" s="6"/>
      <c r="H33755" s="13"/>
    </row>
    <row r="33756">
      <c r="A33756" s="6"/>
      <c r="B33756" s="6"/>
      <c r="H33756" s="13"/>
    </row>
    <row r="33757">
      <c r="A33757" s="6"/>
      <c r="B33757" s="6"/>
      <c r="H33757" s="13"/>
    </row>
    <row r="33758">
      <c r="A33758" s="6"/>
      <c r="B33758" s="6"/>
      <c r="H33758" s="13"/>
    </row>
    <row r="33759">
      <c r="A33759" s="6"/>
      <c r="B33759" s="6"/>
      <c r="H33759" s="13"/>
    </row>
    <row r="33760">
      <c r="A33760" s="6"/>
      <c r="B33760" s="6"/>
      <c r="H33760" s="13"/>
    </row>
    <row r="33761">
      <c r="A33761" s="6"/>
      <c r="B33761" s="6"/>
      <c r="H33761" s="13"/>
    </row>
    <row r="33762">
      <c r="A33762" s="6"/>
      <c r="B33762" s="6"/>
      <c r="H33762" s="13"/>
    </row>
    <row r="33763">
      <c r="A33763" s="6"/>
      <c r="B33763" s="6"/>
      <c r="H33763" s="13"/>
    </row>
    <row r="33764">
      <c r="A33764" s="6"/>
      <c r="B33764" s="6"/>
      <c r="H33764" s="13"/>
    </row>
    <row r="33765">
      <c r="A33765" s="6"/>
      <c r="B33765" s="6"/>
      <c r="H33765" s="13"/>
    </row>
    <row r="33766">
      <c r="A33766" s="6"/>
      <c r="B33766" s="6"/>
      <c r="H33766" s="13"/>
    </row>
    <row r="33767">
      <c r="A33767" s="6"/>
      <c r="B33767" s="6"/>
      <c r="H33767" s="13"/>
    </row>
    <row r="33768">
      <c r="A33768" s="6"/>
      <c r="B33768" s="6"/>
      <c r="H33768" s="13"/>
    </row>
    <row r="33769">
      <c r="A33769" s="6"/>
      <c r="B33769" s="6"/>
      <c r="H33769" s="13"/>
    </row>
    <row r="33770">
      <c r="A33770" s="6"/>
      <c r="B33770" s="6"/>
      <c r="H33770" s="13"/>
    </row>
    <row r="33771">
      <c r="A33771" s="6"/>
      <c r="B33771" s="6"/>
      <c r="H33771" s="13"/>
    </row>
    <row r="33772">
      <c r="A33772" s="6"/>
      <c r="B33772" s="6"/>
      <c r="H33772" s="13"/>
    </row>
    <row r="33773">
      <c r="A33773" s="6"/>
      <c r="B33773" s="6"/>
      <c r="H33773" s="13"/>
    </row>
    <row r="33774">
      <c r="A33774" s="6"/>
      <c r="B33774" s="6"/>
      <c r="H33774" s="13"/>
    </row>
    <row r="33775">
      <c r="A33775" s="6"/>
      <c r="B33775" s="6"/>
      <c r="H33775" s="13"/>
    </row>
    <row r="33776">
      <c r="A33776" s="6"/>
      <c r="B33776" s="6"/>
      <c r="H33776" s="13"/>
    </row>
    <row r="33777">
      <c r="A33777" s="6"/>
      <c r="B33777" s="6"/>
      <c r="H33777" s="13"/>
    </row>
    <row r="33778">
      <c r="A33778" s="6"/>
      <c r="B33778" s="6"/>
      <c r="H33778" s="13"/>
    </row>
    <row r="33779">
      <c r="A33779" s="6"/>
      <c r="B33779" s="6"/>
      <c r="H33779" s="13"/>
    </row>
    <row r="33780">
      <c r="A33780" s="6"/>
      <c r="B33780" s="6"/>
      <c r="H33780" s="13"/>
    </row>
    <row r="33781">
      <c r="A33781" s="6"/>
      <c r="B33781" s="6"/>
      <c r="H33781" s="13"/>
    </row>
    <row r="33782">
      <c r="A33782" s="6"/>
      <c r="B33782" s="6"/>
      <c r="H33782" s="13"/>
    </row>
    <row r="33783">
      <c r="A33783" s="6"/>
      <c r="B33783" s="6"/>
      <c r="H33783" s="13"/>
    </row>
    <row r="33784">
      <c r="A33784" s="6"/>
      <c r="B33784" s="6"/>
      <c r="H33784" s="13"/>
    </row>
    <row r="33785">
      <c r="A33785" s="6"/>
      <c r="B33785" s="6"/>
      <c r="H33785" s="13"/>
    </row>
    <row r="33786">
      <c r="A33786" s="6"/>
      <c r="B33786" s="6"/>
      <c r="H33786" s="13"/>
    </row>
    <row r="33787">
      <c r="A33787" s="6"/>
      <c r="B33787" s="6"/>
      <c r="H33787" s="13"/>
    </row>
    <row r="33788">
      <c r="A33788" s="6"/>
      <c r="B33788" s="6"/>
      <c r="H33788" s="13"/>
    </row>
    <row r="33789">
      <c r="A33789" s="6"/>
      <c r="B33789" s="6"/>
      <c r="H33789" s="13"/>
    </row>
    <row r="33790">
      <c r="A33790" s="6"/>
      <c r="B33790" s="6"/>
      <c r="H33790" s="13"/>
    </row>
    <row r="33791">
      <c r="A33791" s="6"/>
      <c r="B33791" s="6"/>
      <c r="H33791" s="13"/>
    </row>
    <row r="33792">
      <c r="A33792" s="6"/>
      <c r="B33792" s="6"/>
      <c r="H33792" s="13"/>
    </row>
    <row r="33793">
      <c r="A33793" s="6"/>
      <c r="B33793" s="6"/>
      <c r="H33793" s="13"/>
    </row>
    <row r="33794">
      <c r="A33794" s="6"/>
      <c r="B33794" s="6"/>
      <c r="H33794" s="13"/>
    </row>
    <row r="33795">
      <c r="A33795" s="6"/>
      <c r="B33795" s="6"/>
      <c r="H33795" s="13"/>
    </row>
    <row r="33796">
      <c r="A33796" s="6"/>
      <c r="B33796" s="6"/>
      <c r="H33796" s="13"/>
    </row>
    <row r="33797">
      <c r="A33797" s="6"/>
      <c r="B33797" s="6"/>
      <c r="H33797" s="13"/>
    </row>
    <row r="33798">
      <c r="A33798" s="6"/>
      <c r="B33798" s="6"/>
      <c r="H33798" s="13"/>
    </row>
    <row r="33799">
      <c r="A33799" s="6"/>
      <c r="B33799" s="6"/>
      <c r="H33799" s="13"/>
    </row>
    <row r="33800">
      <c r="A33800" s="6"/>
      <c r="B33800" s="6"/>
      <c r="H33800" s="13"/>
    </row>
    <row r="33801">
      <c r="A33801" s="6"/>
      <c r="B33801" s="6"/>
      <c r="H33801" s="13"/>
    </row>
    <row r="33802">
      <c r="A33802" s="6"/>
      <c r="B33802" s="6"/>
      <c r="H33802" s="13"/>
    </row>
    <row r="33803">
      <c r="A33803" s="6"/>
      <c r="B33803" s="6"/>
      <c r="H33803" s="13"/>
    </row>
    <row r="33804">
      <c r="A33804" s="6"/>
      <c r="B33804" s="6"/>
      <c r="H33804" s="13"/>
    </row>
    <row r="33805">
      <c r="A33805" s="6"/>
      <c r="B33805" s="6"/>
      <c r="H33805" s="13"/>
    </row>
    <row r="33806">
      <c r="A33806" s="6"/>
      <c r="B33806" s="6"/>
      <c r="H33806" s="13"/>
    </row>
    <row r="33807">
      <c r="A33807" s="6"/>
      <c r="B33807" s="6"/>
      <c r="H33807" s="13"/>
    </row>
    <row r="33808">
      <c r="A33808" s="6"/>
      <c r="B33808" s="6"/>
      <c r="H33808" s="13"/>
    </row>
    <row r="33809">
      <c r="A33809" s="6"/>
      <c r="B33809" s="6"/>
      <c r="H33809" s="13"/>
    </row>
    <row r="33810">
      <c r="A33810" s="6"/>
      <c r="B33810" s="6"/>
      <c r="H33810" s="13"/>
    </row>
    <row r="33811">
      <c r="A33811" s="6"/>
      <c r="B33811" s="6"/>
      <c r="H33811" s="13"/>
    </row>
    <row r="33812">
      <c r="A33812" s="6"/>
      <c r="B33812" s="6"/>
      <c r="H33812" s="13"/>
    </row>
    <row r="33813">
      <c r="A33813" s="6"/>
      <c r="B33813" s="6"/>
      <c r="H33813" s="13"/>
    </row>
    <row r="33814">
      <c r="A33814" s="6"/>
      <c r="B33814" s="6"/>
      <c r="H33814" s="13"/>
    </row>
    <row r="33815">
      <c r="A33815" s="6"/>
      <c r="B33815" s="6"/>
      <c r="H33815" s="13"/>
    </row>
    <row r="33816">
      <c r="A33816" s="6"/>
      <c r="B33816" s="6"/>
      <c r="H33816" s="13"/>
    </row>
    <row r="33817">
      <c r="A33817" s="6"/>
      <c r="B33817" s="6"/>
      <c r="H33817" s="13"/>
    </row>
    <row r="33818">
      <c r="A33818" s="6"/>
      <c r="B33818" s="6"/>
      <c r="H33818" s="13"/>
    </row>
    <row r="33819">
      <c r="A33819" s="6"/>
      <c r="B33819" s="6"/>
      <c r="H33819" s="13"/>
    </row>
    <row r="33820">
      <c r="A33820" s="6"/>
      <c r="B33820" s="6"/>
      <c r="H33820" s="13"/>
    </row>
    <row r="33821">
      <c r="A33821" s="6"/>
      <c r="B33821" s="6"/>
      <c r="H33821" s="13"/>
    </row>
    <row r="33822">
      <c r="A33822" s="6"/>
      <c r="B33822" s="6"/>
      <c r="H33822" s="13"/>
    </row>
    <row r="33823">
      <c r="A33823" s="6"/>
      <c r="B33823" s="6"/>
      <c r="H33823" s="13"/>
    </row>
    <row r="33824">
      <c r="A33824" s="6"/>
      <c r="B33824" s="6"/>
      <c r="H33824" s="13"/>
    </row>
    <row r="33825">
      <c r="A33825" s="6"/>
      <c r="B33825" s="6"/>
      <c r="H33825" s="13"/>
    </row>
    <row r="33826">
      <c r="A33826" s="6"/>
      <c r="B33826" s="6"/>
      <c r="H33826" s="13"/>
    </row>
    <row r="33827">
      <c r="A33827" s="6"/>
      <c r="B33827" s="6"/>
      <c r="H33827" s="13"/>
    </row>
    <row r="33828">
      <c r="A33828" s="6"/>
      <c r="B33828" s="6"/>
      <c r="H33828" s="13"/>
    </row>
    <row r="33829">
      <c r="A33829" s="6"/>
      <c r="B33829" s="6"/>
      <c r="H33829" s="13"/>
    </row>
    <row r="33830">
      <c r="A33830" s="6"/>
      <c r="B33830" s="6"/>
      <c r="H33830" s="13"/>
    </row>
    <row r="33831">
      <c r="A33831" s="6"/>
      <c r="B33831" s="6"/>
      <c r="H33831" s="13"/>
    </row>
    <row r="33832">
      <c r="A33832" s="6"/>
      <c r="B33832" s="6"/>
      <c r="H33832" s="13"/>
    </row>
    <row r="33833">
      <c r="A33833" s="6"/>
      <c r="B33833" s="6"/>
      <c r="H33833" s="13"/>
    </row>
    <row r="33834">
      <c r="A33834" s="6"/>
      <c r="B33834" s="6"/>
      <c r="H33834" s="13"/>
    </row>
    <row r="33835">
      <c r="A33835" s="6"/>
      <c r="B33835" s="6"/>
      <c r="H33835" s="13"/>
    </row>
    <row r="33836">
      <c r="A33836" s="6"/>
      <c r="B33836" s="6"/>
      <c r="H33836" s="13"/>
    </row>
    <row r="33837">
      <c r="A33837" s="6"/>
      <c r="B33837" s="6"/>
      <c r="H33837" s="13"/>
    </row>
    <row r="33838">
      <c r="A33838" s="6"/>
      <c r="B33838" s="6"/>
      <c r="H33838" s="13"/>
    </row>
    <row r="33839">
      <c r="A33839" s="6"/>
      <c r="B33839" s="6"/>
      <c r="H33839" s="13"/>
    </row>
    <row r="33840">
      <c r="A33840" s="6"/>
      <c r="B33840" s="6"/>
      <c r="H33840" s="13"/>
    </row>
    <row r="33841">
      <c r="A33841" s="6"/>
      <c r="B33841" s="6"/>
      <c r="H33841" s="13"/>
    </row>
    <row r="33842">
      <c r="A33842" s="6"/>
      <c r="B33842" s="6"/>
      <c r="H33842" s="13"/>
    </row>
    <row r="33843">
      <c r="A33843" s="6"/>
      <c r="B33843" s="6"/>
      <c r="H33843" s="13"/>
    </row>
    <row r="33844">
      <c r="A33844" s="6"/>
      <c r="B33844" s="6"/>
      <c r="H33844" s="13"/>
    </row>
    <row r="33845">
      <c r="A33845" s="6"/>
      <c r="B33845" s="6"/>
      <c r="H33845" s="13"/>
    </row>
    <row r="33846">
      <c r="A33846" s="6"/>
      <c r="B33846" s="6"/>
      <c r="H33846" s="13"/>
    </row>
    <row r="33847">
      <c r="A33847" s="6"/>
      <c r="B33847" s="6"/>
      <c r="H33847" s="13"/>
    </row>
    <row r="33848">
      <c r="A33848" s="6"/>
      <c r="B33848" s="6"/>
      <c r="H33848" s="13"/>
    </row>
    <row r="33849">
      <c r="A33849" s="6"/>
      <c r="B33849" s="6"/>
      <c r="H33849" s="13"/>
    </row>
    <row r="33850">
      <c r="A33850" s="6"/>
      <c r="B33850" s="6"/>
      <c r="H33850" s="13"/>
    </row>
    <row r="33851">
      <c r="A33851" s="6"/>
      <c r="B33851" s="6"/>
      <c r="H33851" s="13"/>
    </row>
    <row r="33852">
      <c r="A33852" s="6"/>
      <c r="B33852" s="6"/>
      <c r="H33852" s="13"/>
    </row>
    <row r="33853">
      <c r="A33853" s="6"/>
      <c r="B33853" s="6"/>
      <c r="H33853" s="13"/>
    </row>
    <row r="33854">
      <c r="A33854" s="6"/>
      <c r="B33854" s="6"/>
      <c r="H33854" s="13"/>
    </row>
    <row r="33855">
      <c r="A33855" s="6"/>
      <c r="B33855" s="6"/>
      <c r="H33855" s="13"/>
    </row>
    <row r="33856">
      <c r="A33856" s="6"/>
      <c r="B33856" s="6"/>
      <c r="H33856" s="13"/>
    </row>
    <row r="33857">
      <c r="A33857" s="6"/>
      <c r="B33857" s="6"/>
      <c r="H33857" s="13"/>
    </row>
    <row r="33858">
      <c r="A33858" s="6"/>
      <c r="B33858" s="6"/>
      <c r="H33858" s="13"/>
    </row>
    <row r="33859">
      <c r="A33859" s="6"/>
      <c r="B33859" s="6"/>
      <c r="H33859" s="13"/>
    </row>
    <row r="33860">
      <c r="A33860" s="6"/>
      <c r="B33860" s="6"/>
      <c r="H33860" s="13"/>
    </row>
    <row r="33861">
      <c r="A33861" s="6"/>
      <c r="B33861" s="6"/>
      <c r="H33861" s="13"/>
    </row>
    <row r="33862">
      <c r="A33862" s="6"/>
      <c r="B33862" s="6"/>
      <c r="H33862" s="13"/>
    </row>
    <row r="33863">
      <c r="A33863" s="6"/>
      <c r="B33863" s="6"/>
      <c r="H33863" s="13"/>
    </row>
    <row r="33864">
      <c r="A33864" s="6"/>
      <c r="B33864" s="6"/>
      <c r="H33864" s="13"/>
    </row>
    <row r="33865">
      <c r="A33865" s="6"/>
      <c r="B33865" s="6"/>
      <c r="H33865" s="13"/>
    </row>
    <row r="33866">
      <c r="A33866" s="6"/>
      <c r="B33866" s="6"/>
      <c r="H33866" s="13"/>
    </row>
    <row r="33867">
      <c r="A33867" s="6"/>
      <c r="B33867" s="6"/>
      <c r="H33867" s="13"/>
    </row>
    <row r="33868">
      <c r="A33868" s="6"/>
      <c r="B33868" s="6"/>
      <c r="H33868" s="13"/>
    </row>
    <row r="33869">
      <c r="A33869" s="6"/>
      <c r="B33869" s="6"/>
      <c r="H33869" s="13"/>
    </row>
    <row r="33870">
      <c r="A33870" s="6"/>
      <c r="B33870" s="6"/>
      <c r="H33870" s="13"/>
    </row>
    <row r="33871">
      <c r="A33871" s="6"/>
      <c r="B33871" s="6"/>
      <c r="H33871" s="13"/>
    </row>
    <row r="33872">
      <c r="A33872" s="6"/>
      <c r="B33872" s="6"/>
      <c r="H33872" s="13"/>
    </row>
    <row r="33873">
      <c r="A33873" s="6"/>
      <c r="B33873" s="6"/>
      <c r="H33873" s="13"/>
    </row>
    <row r="33874">
      <c r="A33874" s="6"/>
      <c r="B33874" s="6"/>
      <c r="H33874" s="13"/>
    </row>
    <row r="33875">
      <c r="A33875" s="6"/>
      <c r="B33875" s="6"/>
      <c r="H33875" s="13"/>
    </row>
    <row r="33876">
      <c r="A33876" s="6"/>
      <c r="B33876" s="6"/>
      <c r="H33876" s="13"/>
    </row>
    <row r="33877">
      <c r="A33877" s="6"/>
      <c r="B33877" s="6"/>
      <c r="H33877" s="13"/>
    </row>
    <row r="33878">
      <c r="A33878" s="6"/>
      <c r="B33878" s="6"/>
      <c r="H33878" s="13"/>
    </row>
    <row r="33879">
      <c r="A33879" s="6"/>
      <c r="B33879" s="6"/>
      <c r="H33879" s="13"/>
    </row>
    <row r="33880">
      <c r="A33880" s="6"/>
      <c r="B33880" s="6"/>
      <c r="H33880" s="13"/>
    </row>
    <row r="33881">
      <c r="A33881" s="6"/>
      <c r="B33881" s="6"/>
      <c r="H33881" s="13"/>
    </row>
    <row r="33882">
      <c r="A33882" s="6"/>
      <c r="B33882" s="6"/>
      <c r="H33882" s="13"/>
    </row>
    <row r="33883">
      <c r="A33883" s="6"/>
      <c r="B33883" s="6"/>
      <c r="H33883" s="13"/>
    </row>
    <row r="33884">
      <c r="A33884" s="6"/>
      <c r="B33884" s="6"/>
      <c r="H33884" s="13"/>
    </row>
    <row r="33885">
      <c r="A33885" s="6"/>
      <c r="B33885" s="6"/>
      <c r="H33885" s="13"/>
    </row>
    <row r="33886">
      <c r="A33886" s="6"/>
      <c r="B33886" s="6"/>
      <c r="H33886" s="13"/>
    </row>
    <row r="33887">
      <c r="A33887" s="6"/>
      <c r="B33887" s="6"/>
      <c r="H33887" s="13"/>
    </row>
    <row r="33888">
      <c r="A33888" s="6"/>
      <c r="B33888" s="6"/>
      <c r="H33888" s="13"/>
    </row>
    <row r="33889">
      <c r="A33889" s="6"/>
      <c r="B33889" s="6"/>
      <c r="H33889" s="13"/>
    </row>
    <row r="33890">
      <c r="A33890" s="6"/>
      <c r="B33890" s="6"/>
      <c r="H33890" s="13"/>
    </row>
    <row r="33891">
      <c r="A33891" s="6"/>
      <c r="B33891" s="6"/>
      <c r="H33891" s="13"/>
    </row>
    <row r="33892">
      <c r="A33892" s="6"/>
      <c r="B33892" s="6"/>
      <c r="H33892" s="13"/>
    </row>
    <row r="33893">
      <c r="A33893" s="6"/>
      <c r="B33893" s="6"/>
      <c r="H33893" s="13"/>
    </row>
    <row r="33894">
      <c r="A33894" s="6"/>
      <c r="B33894" s="6"/>
      <c r="H33894" s="13"/>
    </row>
    <row r="33895">
      <c r="A33895" s="6"/>
      <c r="B33895" s="6"/>
      <c r="H33895" s="13"/>
    </row>
    <row r="33896">
      <c r="A33896" s="6"/>
      <c r="B33896" s="6"/>
      <c r="H33896" s="13"/>
    </row>
    <row r="33897">
      <c r="A33897" s="6"/>
      <c r="B33897" s="6"/>
      <c r="H33897" s="13"/>
    </row>
    <row r="33898">
      <c r="A33898" s="6"/>
      <c r="B33898" s="6"/>
      <c r="H33898" s="13"/>
    </row>
    <row r="33899">
      <c r="A33899" s="6"/>
      <c r="B33899" s="6"/>
      <c r="H33899" s="13"/>
    </row>
    <row r="33900">
      <c r="A33900" s="6"/>
      <c r="B33900" s="6"/>
      <c r="H33900" s="13"/>
    </row>
    <row r="33901">
      <c r="A33901" s="6"/>
      <c r="B33901" s="6"/>
      <c r="H33901" s="13"/>
    </row>
    <row r="33902">
      <c r="A33902" s="6"/>
      <c r="B33902" s="6"/>
      <c r="H33902" s="13"/>
    </row>
    <row r="33903">
      <c r="A33903" s="6"/>
      <c r="B33903" s="6"/>
      <c r="H33903" s="13"/>
    </row>
    <row r="33904">
      <c r="A33904" s="6"/>
      <c r="B33904" s="6"/>
      <c r="H33904" s="13"/>
    </row>
    <row r="33905">
      <c r="A33905" s="6"/>
      <c r="B33905" s="6"/>
      <c r="H33905" s="13"/>
    </row>
    <row r="33906">
      <c r="A33906" s="6"/>
      <c r="B33906" s="6"/>
      <c r="H33906" s="13"/>
    </row>
    <row r="33907">
      <c r="A33907" s="6"/>
      <c r="B33907" s="6"/>
      <c r="H33907" s="13"/>
    </row>
    <row r="33908">
      <c r="A33908" s="6"/>
      <c r="B33908" s="6"/>
      <c r="H33908" s="13"/>
    </row>
    <row r="33909">
      <c r="A33909" s="6"/>
      <c r="B33909" s="6"/>
      <c r="H33909" s="13"/>
    </row>
    <row r="33910">
      <c r="A33910" s="6"/>
      <c r="B33910" s="6"/>
      <c r="H33910" s="13"/>
    </row>
    <row r="33911">
      <c r="A33911" s="6"/>
      <c r="B33911" s="6"/>
      <c r="H33911" s="13"/>
    </row>
    <row r="33912">
      <c r="A33912" s="6"/>
      <c r="B33912" s="6"/>
      <c r="H33912" s="13"/>
    </row>
    <row r="33913">
      <c r="A33913" s="6"/>
      <c r="B33913" s="6"/>
      <c r="H33913" s="13"/>
    </row>
    <row r="33914">
      <c r="A33914" s="6"/>
      <c r="B33914" s="6"/>
      <c r="H33914" s="13"/>
    </row>
    <row r="33915">
      <c r="A33915" s="6"/>
      <c r="B33915" s="6"/>
      <c r="H33915" s="13"/>
    </row>
    <row r="33916">
      <c r="A33916" s="6"/>
      <c r="B33916" s="6"/>
      <c r="H33916" s="13"/>
    </row>
    <row r="33917">
      <c r="A33917" s="6"/>
      <c r="B33917" s="6"/>
      <c r="H33917" s="13"/>
    </row>
    <row r="33918">
      <c r="A33918" s="6"/>
      <c r="B33918" s="6"/>
      <c r="H33918" s="13"/>
    </row>
    <row r="33919">
      <c r="A33919" s="6"/>
      <c r="B33919" s="6"/>
      <c r="H33919" s="13"/>
    </row>
    <row r="33920">
      <c r="A33920" s="6"/>
      <c r="B33920" s="6"/>
      <c r="H33920" s="13"/>
    </row>
    <row r="33921">
      <c r="A33921" s="6"/>
      <c r="B33921" s="6"/>
      <c r="H33921" s="13"/>
    </row>
    <row r="33922">
      <c r="A33922" s="6"/>
      <c r="B33922" s="6"/>
      <c r="H33922" s="13"/>
    </row>
    <row r="33923">
      <c r="A33923" s="6"/>
      <c r="B33923" s="6"/>
      <c r="H33923" s="13"/>
    </row>
    <row r="33924">
      <c r="A33924" s="6"/>
      <c r="B33924" s="6"/>
      <c r="H33924" s="13"/>
    </row>
    <row r="33925">
      <c r="A33925" s="6"/>
      <c r="B33925" s="6"/>
      <c r="H33925" s="13"/>
    </row>
    <row r="33926">
      <c r="A33926" s="6"/>
      <c r="B33926" s="6"/>
      <c r="H33926" s="13"/>
    </row>
    <row r="33927">
      <c r="A33927" s="6"/>
      <c r="B33927" s="6"/>
      <c r="H33927" s="13"/>
    </row>
    <row r="33928">
      <c r="A33928" s="6"/>
      <c r="B33928" s="6"/>
      <c r="H33928" s="13"/>
    </row>
    <row r="33929">
      <c r="A33929" s="6"/>
      <c r="B33929" s="6"/>
      <c r="H33929" s="13"/>
    </row>
    <row r="33930">
      <c r="A33930" s="6"/>
      <c r="B33930" s="6"/>
      <c r="H33930" s="13"/>
    </row>
    <row r="33931">
      <c r="A33931" s="6"/>
      <c r="B33931" s="6"/>
      <c r="H33931" s="13"/>
    </row>
    <row r="33932">
      <c r="A33932" s="6"/>
      <c r="B33932" s="6"/>
      <c r="H33932" s="13"/>
    </row>
    <row r="33933">
      <c r="A33933" s="6"/>
      <c r="B33933" s="6"/>
      <c r="H33933" s="13"/>
    </row>
    <row r="33934">
      <c r="A33934" s="6"/>
      <c r="B33934" s="6"/>
      <c r="H33934" s="13"/>
    </row>
    <row r="33935">
      <c r="A33935" s="6"/>
      <c r="B33935" s="6"/>
      <c r="H33935" s="13"/>
    </row>
    <row r="33936">
      <c r="A33936" s="6"/>
      <c r="B33936" s="6"/>
      <c r="H33936" s="13"/>
    </row>
    <row r="33937">
      <c r="A33937" s="6"/>
      <c r="B33937" s="6"/>
      <c r="H33937" s="13"/>
    </row>
    <row r="33938">
      <c r="A33938" s="6"/>
      <c r="B33938" s="6"/>
      <c r="H33938" s="13"/>
    </row>
    <row r="33939">
      <c r="A33939" s="6"/>
      <c r="B33939" s="6"/>
      <c r="H33939" s="13"/>
    </row>
    <row r="33940">
      <c r="A33940" s="6"/>
      <c r="B33940" s="6"/>
      <c r="H33940" s="13"/>
    </row>
    <row r="33941">
      <c r="A33941" s="6"/>
      <c r="B33941" s="6"/>
      <c r="H33941" s="13"/>
    </row>
    <row r="33942">
      <c r="A33942" s="6"/>
      <c r="B33942" s="6"/>
      <c r="H33942" s="13"/>
    </row>
    <row r="33943">
      <c r="A33943" s="6"/>
      <c r="B33943" s="6"/>
      <c r="H33943" s="13"/>
    </row>
    <row r="33944">
      <c r="A33944" s="6"/>
      <c r="B33944" s="6"/>
      <c r="H33944" s="13"/>
    </row>
    <row r="33945">
      <c r="A33945" s="6"/>
      <c r="B33945" s="6"/>
      <c r="H33945" s="13"/>
    </row>
    <row r="33946">
      <c r="A33946" s="6"/>
      <c r="B33946" s="6"/>
      <c r="H33946" s="13"/>
    </row>
    <row r="33947">
      <c r="A33947" s="6"/>
      <c r="B33947" s="6"/>
      <c r="H33947" s="13"/>
    </row>
    <row r="33948">
      <c r="A33948" s="6"/>
      <c r="B33948" s="6"/>
      <c r="H33948" s="13"/>
    </row>
    <row r="33949">
      <c r="A33949" s="6"/>
      <c r="B33949" s="6"/>
      <c r="H33949" s="13"/>
    </row>
    <row r="33950">
      <c r="A33950" s="6"/>
      <c r="B33950" s="6"/>
      <c r="H33950" s="13"/>
    </row>
    <row r="33951">
      <c r="A33951" s="6"/>
      <c r="B33951" s="6"/>
      <c r="H33951" s="13"/>
    </row>
    <row r="33952">
      <c r="A33952" s="6"/>
      <c r="B33952" s="6"/>
      <c r="H33952" s="13"/>
    </row>
    <row r="33953">
      <c r="A33953" s="6"/>
      <c r="B33953" s="6"/>
      <c r="H33953" s="13"/>
    </row>
    <row r="33954">
      <c r="A33954" s="6"/>
      <c r="B33954" s="6"/>
      <c r="H33954" s="13"/>
    </row>
    <row r="33955">
      <c r="A33955" s="6"/>
      <c r="B33955" s="6"/>
      <c r="H33955" s="13"/>
    </row>
    <row r="33956">
      <c r="A33956" s="6"/>
      <c r="B33956" s="6"/>
      <c r="H33956" s="13"/>
    </row>
    <row r="33957">
      <c r="A33957" s="6"/>
      <c r="B33957" s="6"/>
      <c r="H33957" s="13"/>
    </row>
    <row r="33958">
      <c r="A33958" s="6"/>
      <c r="B33958" s="6"/>
      <c r="H33958" s="13"/>
    </row>
    <row r="33959">
      <c r="A33959" s="6"/>
      <c r="B33959" s="6"/>
      <c r="H33959" s="13"/>
    </row>
    <row r="33960">
      <c r="A33960" s="6"/>
      <c r="B33960" s="6"/>
      <c r="H33960" s="13"/>
    </row>
    <row r="33961">
      <c r="A33961" s="6"/>
      <c r="B33961" s="6"/>
      <c r="H33961" s="13"/>
    </row>
    <row r="33962">
      <c r="A33962" s="6"/>
      <c r="B33962" s="6"/>
      <c r="H33962" s="13"/>
    </row>
    <row r="33963">
      <c r="A33963" s="6"/>
      <c r="B33963" s="6"/>
      <c r="H33963" s="13"/>
    </row>
    <row r="33964">
      <c r="A33964" s="6"/>
      <c r="B33964" s="6"/>
      <c r="H33964" s="13"/>
    </row>
    <row r="33965">
      <c r="A33965" s="6"/>
      <c r="B33965" s="6"/>
      <c r="H33965" s="13"/>
    </row>
    <row r="33966">
      <c r="A33966" s="6"/>
      <c r="B33966" s="6"/>
      <c r="H33966" s="13"/>
    </row>
    <row r="33967">
      <c r="A33967" s="6"/>
      <c r="B33967" s="6"/>
      <c r="H33967" s="13"/>
    </row>
    <row r="33968">
      <c r="A33968" s="6"/>
      <c r="B33968" s="6"/>
      <c r="H33968" s="13"/>
    </row>
    <row r="33969">
      <c r="A33969" s="6"/>
      <c r="B33969" s="6"/>
      <c r="H33969" s="13"/>
    </row>
    <row r="33970">
      <c r="A33970" s="6"/>
      <c r="B33970" s="6"/>
      <c r="H33970" s="13"/>
    </row>
    <row r="33971">
      <c r="A33971" s="6"/>
      <c r="B33971" s="6"/>
      <c r="H33971" s="13"/>
    </row>
    <row r="33972">
      <c r="A33972" s="6"/>
      <c r="B33972" s="6"/>
      <c r="H33972" s="13"/>
    </row>
    <row r="33973">
      <c r="A33973" s="6"/>
      <c r="B33973" s="6"/>
      <c r="H33973" s="13"/>
    </row>
    <row r="33974">
      <c r="A33974" s="6"/>
      <c r="B33974" s="6"/>
      <c r="H33974" s="13"/>
    </row>
    <row r="33975">
      <c r="A33975" s="6"/>
      <c r="B33975" s="6"/>
      <c r="H33975" s="13"/>
    </row>
    <row r="33976">
      <c r="A33976" s="6"/>
      <c r="B33976" s="6"/>
      <c r="H33976" s="13"/>
    </row>
    <row r="33977">
      <c r="A33977" s="6"/>
      <c r="B33977" s="6"/>
      <c r="H33977" s="13"/>
    </row>
    <row r="33978">
      <c r="A33978" s="6"/>
      <c r="B33978" s="6"/>
      <c r="H33978" s="13"/>
    </row>
    <row r="33979">
      <c r="A33979" s="6"/>
      <c r="B33979" s="6"/>
      <c r="H33979" s="13"/>
    </row>
    <row r="33980">
      <c r="A33980" s="6"/>
      <c r="B33980" s="6"/>
      <c r="H33980" s="13"/>
    </row>
    <row r="33981">
      <c r="A33981" s="6"/>
      <c r="B33981" s="6"/>
      <c r="H33981" s="13"/>
    </row>
    <row r="33982">
      <c r="A33982" s="6"/>
      <c r="B33982" s="6"/>
      <c r="H33982" s="13"/>
    </row>
    <row r="33983">
      <c r="A33983" s="6"/>
      <c r="B33983" s="6"/>
      <c r="H33983" s="13"/>
    </row>
    <row r="33984">
      <c r="A33984" s="6"/>
      <c r="B33984" s="6"/>
      <c r="H33984" s="13"/>
    </row>
    <row r="33985">
      <c r="A33985" s="6"/>
      <c r="B33985" s="6"/>
      <c r="H33985" s="13"/>
    </row>
    <row r="33986">
      <c r="A33986" s="6"/>
      <c r="B33986" s="6"/>
      <c r="H33986" s="13"/>
    </row>
    <row r="33987">
      <c r="A33987" s="6"/>
      <c r="B33987" s="6"/>
      <c r="H33987" s="13"/>
    </row>
    <row r="33988">
      <c r="A33988" s="6"/>
      <c r="B33988" s="6"/>
      <c r="H33988" s="13"/>
    </row>
    <row r="33989">
      <c r="A33989" s="6"/>
      <c r="B33989" s="6"/>
      <c r="H33989" s="13"/>
    </row>
    <row r="33990">
      <c r="A33990" s="6"/>
      <c r="B33990" s="6"/>
      <c r="H33990" s="13"/>
    </row>
    <row r="33991">
      <c r="A33991" s="6"/>
      <c r="B33991" s="6"/>
      <c r="H33991" s="13"/>
    </row>
    <row r="33992">
      <c r="A33992" s="6"/>
      <c r="B33992" s="6"/>
      <c r="H33992" s="13"/>
    </row>
    <row r="33993">
      <c r="A33993" s="6"/>
      <c r="B33993" s="6"/>
      <c r="H33993" s="13"/>
    </row>
    <row r="33994">
      <c r="A33994" s="6"/>
      <c r="B33994" s="6"/>
      <c r="H33994" s="13"/>
    </row>
    <row r="33995">
      <c r="A33995" s="6"/>
      <c r="B33995" s="6"/>
      <c r="H33995" s="13"/>
    </row>
    <row r="33996">
      <c r="A33996" s="6"/>
      <c r="B33996" s="6"/>
      <c r="H33996" s="13"/>
    </row>
    <row r="33997">
      <c r="A33997" s="6"/>
      <c r="B33997" s="6"/>
      <c r="H33997" s="13"/>
    </row>
    <row r="33998">
      <c r="A33998" s="6"/>
      <c r="B33998" s="6"/>
      <c r="H33998" s="13"/>
    </row>
    <row r="33999">
      <c r="A33999" s="6"/>
      <c r="B33999" s="6"/>
      <c r="H33999" s="13"/>
    </row>
    <row r="34000">
      <c r="A34000" s="6"/>
      <c r="B34000" s="6"/>
      <c r="H34000" s="13"/>
    </row>
    <row r="34001">
      <c r="A34001" s="6"/>
      <c r="B34001" s="6"/>
      <c r="H34001" s="13"/>
    </row>
    <row r="34002">
      <c r="A34002" s="6"/>
      <c r="B34002" s="6"/>
      <c r="H34002" s="13"/>
    </row>
    <row r="34003">
      <c r="A34003" s="6"/>
      <c r="B34003" s="6"/>
      <c r="H34003" s="13"/>
    </row>
    <row r="34004">
      <c r="A34004" s="6"/>
      <c r="B34004" s="6"/>
      <c r="H34004" s="13"/>
    </row>
    <row r="34005">
      <c r="A34005" s="6"/>
      <c r="B34005" s="6"/>
      <c r="H34005" s="13"/>
    </row>
    <row r="34006">
      <c r="A34006" s="6"/>
      <c r="B34006" s="6"/>
      <c r="H34006" s="13"/>
    </row>
    <row r="34007">
      <c r="A34007" s="6"/>
      <c r="B34007" s="6"/>
      <c r="H34007" s="13"/>
    </row>
    <row r="34008">
      <c r="A34008" s="6"/>
      <c r="B34008" s="6"/>
      <c r="H34008" s="13"/>
    </row>
    <row r="34009">
      <c r="A34009" s="6"/>
      <c r="B34009" s="6"/>
      <c r="H34009" s="13"/>
    </row>
    <row r="34010">
      <c r="A34010" s="6"/>
      <c r="B34010" s="6"/>
      <c r="H34010" s="13"/>
    </row>
    <row r="34011">
      <c r="A34011" s="6"/>
      <c r="B34011" s="6"/>
      <c r="H34011" s="13"/>
    </row>
    <row r="34012">
      <c r="A34012" s="6"/>
      <c r="B34012" s="6"/>
      <c r="H34012" s="13"/>
    </row>
    <row r="34013">
      <c r="A34013" s="6"/>
      <c r="B34013" s="6"/>
      <c r="H34013" s="13"/>
    </row>
    <row r="34014">
      <c r="A34014" s="6"/>
      <c r="B34014" s="6"/>
      <c r="H34014" s="13"/>
    </row>
    <row r="34015">
      <c r="A34015" s="6"/>
      <c r="B34015" s="6"/>
      <c r="H34015" s="13"/>
    </row>
    <row r="34016">
      <c r="A34016" s="6"/>
      <c r="B34016" s="6"/>
      <c r="H34016" s="13"/>
    </row>
    <row r="34017">
      <c r="A34017" s="6"/>
      <c r="B34017" s="6"/>
      <c r="H34017" s="13"/>
    </row>
    <row r="34018">
      <c r="A34018" s="6"/>
      <c r="B34018" s="6"/>
      <c r="H34018" s="13"/>
    </row>
    <row r="34019">
      <c r="A34019" s="6"/>
      <c r="B34019" s="6"/>
      <c r="H34019" s="13"/>
    </row>
    <row r="34020">
      <c r="A34020" s="6"/>
      <c r="B34020" s="6"/>
      <c r="H34020" s="13"/>
    </row>
    <row r="34021">
      <c r="A34021" s="6"/>
      <c r="B34021" s="6"/>
      <c r="H34021" s="13"/>
    </row>
    <row r="34022">
      <c r="A34022" s="6"/>
      <c r="B34022" s="6"/>
      <c r="H34022" s="13"/>
    </row>
    <row r="34023">
      <c r="A34023" s="6"/>
      <c r="B34023" s="6"/>
      <c r="H34023" s="13"/>
    </row>
    <row r="34024">
      <c r="A34024" s="6"/>
      <c r="B34024" s="6"/>
      <c r="H34024" s="13"/>
    </row>
    <row r="34025">
      <c r="A34025" s="6"/>
      <c r="B34025" s="6"/>
      <c r="H34025" s="13"/>
    </row>
    <row r="34026">
      <c r="A34026" s="6"/>
      <c r="B34026" s="6"/>
      <c r="H34026" s="13"/>
    </row>
    <row r="34027">
      <c r="A34027" s="6"/>
      <c r="B34027" s="6"/>
      <c r="H34027" s="13"/>
    </row>
    <row r="34028">
      <c r="A34028" s="6"/>
      <c r="B34028" s="6"/>
      <c r="H34028" s="13"/>
    </row>
    <row r="34029">
      <c r="A34029" s="6"/>
      <c r="B34029" s="6"/>
      <c r="H34029" s="13"/>
    </row>
    <row r="34030">
      <c r="A34030" s="6"/>
      <c r="B34030" s="6"/>
      <c r="H34030" s="13"/>
    </row>
    <row r="34031">
      <c r="A34031" s="6"/>
      <c r="B34031" s="6"/>
      <c r="H34031" s="13"/>
    </row>
    <row r="34032">
      <c r="A34032" s="6"/>
      <c r="B34032" s="6"/>
      <c r="H34032" s="13"/>
    </row>
    <row r="34033">
      <c r="A34033" s="6"/>
      <c r="B34033" s="6"/>
      <c r="H34033" s="13"/>
    </row>
    <row r="34034">
      <c r="A34034" s="6"/>
      <c r="B34034" s="6"/>
      <c r="H34034" s="13"/>
    </row>
    <row r="34035">
      <c r="A34035" s="6"/>
      <c r="B34035" s="6"/>
      <c r="H34035" s="13"/>
    </row>
    <row r="34036">
      <c r="A34036" s="6"/>
      <c r="B34036" s="6"/>
      <c r="H34036" s="13"/>
    </row>
    <row r="34037">
      <c r="A34037" s="6"/>
      <c r="B34037" s="6"/>
      <c r="H34037" s="13"/>
    </row>
    <row r="34038">
      <c r="A34038" s="6"/>
      <c r="B34038" s="6"/>
      <c r="H34038" s="13"/>
    </row>
    <row r="34039">
      <c r="A34039" s="6"/>
      <c r="B34039" s="6"/>
      <c r="H34039" s="13"/>
    </row>
    <row r="34040">
      <c r="A34040" s="6"/>
      <c r="B34040" s="6"/>
      <c r="H34040" s="13"/>
    </row>
    <row r="34041">
      <c r="A34041" s="6"/>
      <c r="B34041" s="6"/>
      <c r="H34041" s="13"/>
    </row>
    <row r="34042">
      <c r="A34042" s="6"/>
      <c r="B34042" s="6"/>
      <c r="H34042" s="13"/>
    </row>
    <row r="34043">
      <c r="A34043" s="6"/>
      <c r="B34043" s="6"/>
      <c r="H34043" s="13"/>
    </row>
    <row r="34044">
      <c r="A34044" s="6"/>
      <c r="B34044" s="6"/>
      <c r="H34044" s="13"/>
    </row>
    <row r="34045">
      <c r="A34045" s="6"/>
      <c r="B34045" s="6"/>
      <c r="H34045" s="13"/>
    </row>
    <row r="34046">
      <c r="A34046" s="6"/>
      <c r="B34046" s="6"/>
      <c r="H34046" s="13"/>
    </row>
    <row r="34047">
      <c r="A34047" s="6"/>
      <c r="B34047" s="6"/>
      <c r="H34047" s="13"/>
    </row>
    <row r="34048">
      <c r="A34048" s="6"/>
      <c r="B34048" s="6"/>
      <c r="H34048" s="13"/>
    </row>
    <row r="34049">
      <c r="A34049" s="6"/>
      <c r="B34049" s="6"/>
      <c r="H34049" s="13"/>
    </row>
    <row r="34050">
      <c r="A34050" s="6"/>
      <c r="B34050" s="6"/>
      <c r="H34050" s="13"/>
    </row>
    <row r="34051">
      <c r="A34051" s="6"/>
      <c r="B34051" s="6"/>
      <c r="H34051" s="13"/>
    </row>
    <row r="34052">
      <c r="A34052" s="6"/>
      <c r="B34052" s="6"/>
      <c r="H34052" s="13"/>
    </row>
    <row r="34053">
      <c r="A34053" s="6"/>
      <c r="B34053" s="6"/>
      <c r="H34053" s="13"/>
    </row>
    <row r="34054">
      <c r="A34054" s="6"/>
      <c r="B34054" s="6"/>
      <c r="H34054" s="13"/>
    </row>
    <row r="34055">
      <c r="A34055" s="6"/>
      <c r="B34055" s="6"/>
      <c r="H34055" s="13"/>
    </row>
    <row r="34056">
      <c r="A34056" s="6"/>
      <c r="B34056" s="6"/>
      <c r="H34056" s="13"/>
    </row>
    <row r="34057">
      <c r="A34057" s="6"/>
      <c r="B34057" s="6"/>
      <c r="H34057" s="13"/>
    </row>
    <row r="34058">
      <c r="A34058" s="6"/>
      <c r="B34058" s="6"/>
      <c r="H34058" s="13"/>
    </row>
    <row r="34059">
      <c r="A34059" s="6"/>
      <c r="B34059" s="6"/>
      <c r="H34059" s="13"/>
    </row>
    <row r="34060">
      <c r="A34060" s="6"/>
      <c r="B34060" s="6"/>
      <c r="H34060" s="13"/>
    </row>
    <row r="34061">
      <c r="A34061" s="6"/>
      <c r="B34061" s="6"/>
      <c r="H34061" s="13"/>
    </row>
    <row r="34062">
      <c r="A34062" s="6"/>
      <c r="B34062" s="6"/>
      <c r="H34062" s="13"/>
    </row>
    <row r="34063">
      <c r="A34063" s="6"/>
      <c r="B34063" s="6"/>
      <c r="H34063" s="13"/>
    </row>
    <row r="34064">
      <c r="A34064" s="6"/>
      <c r="B34064" s="6"/>
      <c r="H34064" s="13"/>
    </row>
    <row r="34065">
      <c r="A34065" s="6"/>
      <c r="B34065" s="6"/>
      <c r="H34065" s="13"/>
    </row>
    <row r="34066">
      <c r="A34066" s="6"/>
      <c r="B34066" s="6"/>
      <c r="H34066" s="13"/>
    </row>
    <row r="34067">
      <c r="A34067" s="6"/>
      <c r="B34067" s="6"/>
      <c r="H34067" s="13"/>
    </row>
    <row r="34068">
      <c r="A34068" s="6"/>
      <c r="B34068" s="6"/>
      <c r="H34068" s="13"/>
    </row>
    <row r="34069">
      <c r="A34069" s="6"/>
      <c r="B34069" s="6"/>
      <c r="H34069" s="13"/>
    </row>
    <row r="34070">
      <c r="A34070" s="6"/>
      <c r="B34070" s="6"/>
      <c r="H34070" s="13"/>
    </row>
    <row r="34071">
      <c r="A34071" s="6"/>
      <c r="B34071" s="6"/>
      <c r="H34071" s="13"/>
    </row>
    <row r="34072">
      <c r="A34072" s="6"/>
      <c r="B34072" s="6"/>
      <c r="H34072" s="13"/>
    </row>
    <row r="34073">
      <c r="A34073" s="6"/>
      <c r="B34073" s="6"/>
      <c r="H34073" s="13"/>
    </row>
    <row r="34074">
      <c r="A34074" s="6"/>
      <c r="B34074" s="6"/>
      <c r="H34074" s="13"/>
    </row>
    <row r="34075">
      <c r="A34075" s="6"/>
      <c r="B34075" s="6"/>
      <c r="H34075" s="13"/>
    </row>
    <row r="34076">
      <c r="A34076" s="6"/>
      <c r="B34076" s="6"/>
      <c r="H34076" s="13"/>
    </row>
    <row r="34077">
      <c r="A34077" s="6"/>
      <c r="B34077" s="6"/>
      <c r="H34077" s="13"/>
    </row>
    <row r="34078">
      <c r="A34078" s="6"/>
      <c r="B34078" s="6"/>
      <c r="H34078" s="13"/>
    </row>
    <row r="34079">
      <c r="A34079" s="6"/>
      <c r="B34079" s="6"/>
      <c r="H34079" s="13"/>
    </row>
    <row r="34080">
      <c r="A34080" s="6"/>
      <c r="B34080" s="6"/>
      <c r="H34080" s="13"/>
    </row>
    <row r="34081">
      <c r="A34081" s="6"/>
      <c r="B34081" s="6"/>
      <c r="H34081" s="13"/>
    </row>
    <row r="34082">
      <c r="A34082" s="6"/>
      <c r="B34082" s="6"/>
      <c r="H34082" s="13"/>
    </row>
    <row r="34083">
      <c r="A34083" s="6"/>
      <c r="B34083" s="6"/>
      <c r="H34083" s="13"/>
    </row>
    <row r="34084">
      <c r="A34084" s="6"/>
      <c r="B34084" s="6"/>
      <c r="H34084" s="13"/>
    </row>
    <row r="34085">
      <c r="A34085" s="6"/>
      <c r="B34085" s="6"/>
      <c r="H34085" s="13"/>
    </row>
    <row r="34086">
      <c r="A34086" s="6"/>
      <c r="B34086" s="6"/>
      <c r="H34086" s="13"/>
    </row>
    <row r="34087">
      <c r="A34087" s="6"/>
      <c r="B34087" s="6"/>
      <c r="H34087" s="13"/>
    </row>
    <row r="34088">
      <c r="A34088" s="6"/>
      <c r="B34088" s="6"/>
      <c r="H34088" s="13"/>
    </row>
    <row r="34089">
      <c r="A34089" s="6"/>
      <c r="B34089" s="6"/>
      <c r="H34089" s="13"/>
    </row>
    <row r="34090">
      <c r="A34090" s="6"/>
      <c r="B34090" s="6"/>
      <c r="H34090" s="13"/>
    </row>
    <row r="34091">
      <c r="A34091" s="6"/>
      <c r="B34091" s="6"/>
      <c r="H34091" s="13"/>
    </row>
    <row r="34092">
      <c r="A34092" s="6"/>
      <c r="B34092" s="6"/>
      <c r="H34092" s="13"/>
    </row>
    <row r="34093">
      <c r="A34093" s="6"/>
      <c r="B34093" s="6"/>
      <c r="H34093" s="13"/>
    </row>
    <row r="34094">
      <c r="A34094" s="6"/>
      <c r="B34094" s="6"/>
      <c r="H34094" s="13"/>
    </row>
    <row r="34095">
      <c r="A34095" s="6"/>
      <c r="B34095" s="6"/>
      <c r="H34095" s="13"/>
    </row>
    <row r="34096">
      <c r="A34096" s="6"/>
      <c r="B34096" s="6"/>
      <c r="H34096" s="13"/>
    </row>
    <row r="34097">
      <c r="A34097" s="6"/>
      <c r="B34097" s="6"/>
      <c r="H34097" s="13"/>
    </row>
    <row r="34098">
      <c r="A34098" s="6"/>
      <c r="B34098" s="6"/>
      <c r="H34098" s="13"/>
    </row>
    <row r="34099">
      <c r="A34099" s="6"/>
      <c r="B34099" s="6"/>
      <c r="H34099" s="13"/>
    </row>
    <row r="34100">
      <c r="A34100" s="6"/>
      <c r="B34100" s="6"/>
      <c r="H34100" s="13"/>
    </row>
    <row r="34101">
      <c r="A34101" s="6"/>
      <c r="B34101" s="6"/>
      <c r="H34101" s="13"/>
    </row>
    <row r="34102">
      <c r="A34102" s="6"/>
      <c r="B34102" s="6"/>
      <c r="H34102" s="13"/>
    </row>
    <row r="34103">
      <c r="A34103" s="6"/>
      <c r="B34103" s="6"/>
      <c r="H34103" s="13"/>
    </row>
    <row r="34104">
      <c r="A34104" s="6"/>
      <c r="B34104" s="6"/>
      <c r="H34104" s="13"/>
    </row>
    <row r="34105">
      <c r="A34105" s="6"/>
      <c r="B34105" s="6"/>
      <c r="H34105" s="13"/>
    </row>
    <row r="34106">
      <c r="A34106" s="6"/>
      <c r="B34106" s="6"/>
      <c r="H34106" s="13"/>
    </row>
    <row r="34107">
      <c r="A34107" s="6"/>
      <c r="B34107" s="6"/>
      <c r="H34107" s="13"/>
    </row>
    <row r="34108">
      <c r="A34108" s="6"/>
      <c r="B34108" s="6"/>
      <c r="H34108" s="13"/>
    </row>
    <row r="34109">
      <c r="A34109" s="6"/>
      <c r="B34109" s="6"/>
      <c r="H34109" s="13"/>
    </row>
    <row r="34110">
      <c r="A34110" s="6"/>
      <c r="B34110" s="6"/>
      <c r="H34110" s="13"/>
    </row>
    <row r="34111">
      <c r="A34111" s="6"/>
      <c r="B34111" s="6"/>
      <c r="H34111" s="13"/>
    </row>
    <row r="34112">
      <c r="A34112" s="6"/>
      <c r="B34112" s="6"/>
      <c r="H34112" s="13"/>
    </row>
    <row r="34113">
      <c r="A34113" s="6"/>
      <c r="B34113" s="6"/>
      <c r="H34113" s="13"/>
    </row>
    <row r="34114">
      <c r="A34114" s="6"/>
      <c r="B34114" s="6"/>
      <c r="H34114" s="13"/>
    </row>
    <row r="34115">
      <c r="A34115" s="6"/>
      <c r="B34115" s="6"/>
      <c r="H34115" s="13"/>
    </row>
    <row r="34116">
      <c r="A34116" s="6"/>
      <c r="B34116" s="6"/>
      <c r="H34116" s="13"/>
    </row>
    <row r="34117">
      <c r="A34117" s="6"/>
      <c r="B34117" s="6"/>
      <c r="H34117" s="13"/>
    </row>
    <row r="34118">
      <c r="A34118" s="6"/>
      <c r="B34118" s="6"/>
      <c r="H34118" s="13"/>
    </row>
    <row r="34119">
      <c r="A34119" s="6"/>
      <c r="B34119" s="6"/>
      <c r="H34119" s="13"/>
    </row>
    <row r="34120">
      <c r="A34120" s="6"/>
      <c r="B34120" s="6"/>
      <c r="H34120" s="13"/>
    </row>
    <row r="34121">
      <c r="A34121" s="6"/>
      <c r="B34121" s="6"/>
      <c r="H34121" s="13"/>
    </row>
    <row r="34122">
      <c r="A34122" s="6"/>
      <c r="B34122" s="6"/>
      <c r="H34122" s="13"/>
    </row>
    <row r="34123">
      <c r="A34123" s="6"/>
      <c r="B34123" s="6"/>
      <c r="H34123" s="13"/>
    </row>
    <row r="34124">
      <c r="A34124" s="6"/>
      <c r="B34124" s="6"/>
      <c r="H34124" s="13"/>
    </row>
    <row r="34125">
      <c r="A34125" s="6"/>
      <c r="B34125" s="6"/>
      <c r="H34125" s="13"/>
    </row>
    <row r="34126">
      <c r="A34126" s="6"/>
      <c r="B34126" s="6"/>
      <c r="H34126" s="13"/>
    </row>
    <row r="34127">
      <c r="A34127" s="6"/>
      <c r="B34127" s="6"/>
      <c r="H34127" s="13"/>
    </row>
    <row r="34128">
      <c r="A34128" s="6"/>
      <c r="B34128" s="6"/>
      <c r="H34128" s="13"/>
    </row>
    <row r="34129">
      <c r="A34129" s="6"/>
      <c r="B34129" s="6"/>
      <c r="H34129" s="13"/>
    </row>
    <row r="34130">
      <c r="A34130" s="6"/>
      <c r="B34130" s="6"/>
      <c r="H34130" s="13"/>
    </row>
    <row r="34131">
      <c r="A34131" s="6"/>
      <c r="B34131" s="6"/>
      <c r="H34131" s="13"/>
    </row>
    <row r="34132">
      <c r="A34132" s="6"/>
      <c r="B34132" s="6"/>
      <c r="H34132" s="13"/>
    </row>
    <row r="34133">
      <c r="A34133" s="6"/>
      <c r="B34133" s="6"/>
      <c r="H34133" s="13"/>
    </row>
    <row r="34134">
      <c r="A34134" s="6"/>
      <c r="B34134" s="6"/>
      <c r="H34134" s="13"/>
    </row>
    <row r="34135">
      <c r="A34135" s="6"/>
      <c r="B34135" s="6"/>
      <c r="H34135" s="13"/>
    </row>
    <row r="34136">
      <c r="A34136" s="6"/>
      <c r="B34136" s="6"/>
      <c r="H34136" s="13"/>
    </row>
    <row r="34137">
      <c r="A34137" s="6"/>
      <c r="B34137" s="6"/>
      <c r="H34137" s="13"/>
    </row>
    <row r="34138">
      <c r="A34138" s="6"/>
      <c r="B34138" s="6"/>
      <c r="H34138" s="13"/>
    </row>
    <row r="34139">
      <c r="A34139" s="6"/>
      <c r="B34139" s="6"/>
      <c r="H34139" s="13"/>
    </row>
    <row r="34140">
      <c r="A34140" s="6"/>
      <c r="B34140" s="6"/>
      <c r="H34140" s="13"/>
    </row>
    <row r="34141">
      <c r="A34141" s="6"/>
      <c r="B34141" s="6"/>
      <c r="H34141" s="13"/>
    </row>
    <row r="34142">
      <c r="A34142" s="6"/>
      <c r="B34142" s="6"/>
      <c r="H34142" s="13"/>
    </row>
    <row r="34143">
      <c r="A34143" s="6"/>
      <c r="B34143" s="6"/>
      <c r="H34143" s="13"/>
    </row>
    <row r="34144">
      <c r="A34144" s="6"/>
      <c r="B34144" s="6"/>
      <c r="H34144" s="13"/>
    </row>
    <row r="34145">
      <c r="A34145" s="6"/>
      <c r="B34145" s="6"/>
      <c r="H34145" s="13"/>
    </row>
    <row r="34146">
      <c r="A34146" s="6"/>
      <c r="B34146" s="6"/>
      <c r="H34146" s="13"/>
    </row>
    <row r="34147">
      <c r="A34147" s="6"/>
      <c r="B34147" s="6"/>
      <c r="H34147" s="13"/>
    </row>
    <row r="34148">
      <c r="A34148" s="6"/>
      <c r="B34148" s="6"/>
      <c r="H34148" s="13"/>
    </row>
    <row r="34149">
      <c r="A34149" s="6"/>
      <c r="B34149" s="6"/>
      <c r="H34149" s="13"/>
    </row>
    <row r="34150">
      <c r="A34150" s="6"/>
      <c r="B34150" s="6"/>
      <c r="H34150" s="13"/>
    </row>
    <row r="34151">
      <c r="A34151" s="6"/>
      <c r="B34151" s="6"/>
      <c r="H34151" s="13"/>
    </row>
    <row r="34152">
      <c r="A34152" s="6"/>
      <c r="B34152" s="6"/>
      <c r="H34152" s="13"/>
    </row>
    <row r="34153">
      <c r="A34153" s="6"/>
      <c r="B34153" s="6"/>
      <c r="H34153" s="13"/>
    </row>
    <row r="34154">
      <c r="A34154" s="6"/>
      <c r="B34154" s="6"/>
      <c r="H34154" s="13"/>
    </row>
    <row r="34155">
      <c r="A34155" s="6"/>
      <c r="B34155" s="6"/>
      <c r="H34155" s="13"/>
    </row>
    <row r="34156">
      <c r="A34156" s="6"/>
      <c r="B34156" s="6"/>
      <c r="H34156" s="13"/>
    </row>
    <row r="34157">
      <c r="A34157" s="6"/>
      <c r="B34157" s="6"/>
      <c r="H34157" s="13"/>
    </row>
    <row r="34158">
      <c r="A34158" s="6"/>
      <c r="B34158" s="6"/>
      <c r="H34158" s="13"/>
    </row>
    <row r="34159">
      <c r="A34159" s="6"/>
      <c r="B34159" s="6"/>
      <c r="H34159" s="13"/>
    </row>
    <row r="34160">
      <c r="A34160" s="6"/>
      <c r="B34160" s="6"/>
      <c r="H34160" s="13"/>
    </row>
    <row r="34161">
      <c r="A34161" s="6"/>
      <c r="B34161" s="6"/>
      <c r="H34161" s="13"/>
    </row>
    <row r="34162">
      <c r="A34162" s="6"/>
      <c r="B34162" s="6"/>
      <c r="H34162" s="13"/>
    </row>
    <row r="34163">
      <c r="A34163" s="6"/>
      <c r="B34163" s="6"/>
      <c r="H34163" s="13"/>
    </row>
    <row r="34164">
      <c r="A34164" s="6"/>
      <c r="B34164" s="6"/>
      <c r="H34164" s="13"/>
    </row>
    <row r="34165">
      <c r="A34165" s="6"/>
      <c r="B34165" s="6"/>
      <c r="H34165" s="13"/>
    </row>
    <row r="34166">
      <c r="A34166" s="6"/>
      <c r="B34166" s="6"/>
      <c r="H34166" s="13"/>
    </row>
    <row r="34167">
      <c r="A34167" s="6"/>
      <c r="B34167" s="6"/>
      <c r="H34167" s="13"/>
    </row>
    <row r="34168">
      <c r="A34168" s="6"/>
      <c r="B34168" s="6"/>
      <c r="H34168" s="13"/>
    </row>
    <row r="34169">
      <c r="A34169" s="6"/>
      <c r="B34169" s="6"/>
      <c r="H34169" s="13"/>
    </row>
    <row r="34170">
      <c r="A34170" s="6"/>
      <c r="B34170" s="6"/>
      <c r="H34170" s="13"/>
    </row>
    <row r="34171">
      <c r="A34171" s="6"/>
      <c r="B34171" s="6"/>
      <c r="H34171" s="13"/>
    </row>
    <row r="34172">
      <c r="A34172" s="6"/>
      <c r="B34172" s="6"/>
      <c r="H34172" s="13"/>
    </row>
    <row r="34173">
      <c r="A34173" s="6"/>
      <c r="B34173" s="6"/>
      <c r="H34173" s="13"/>
    </row>
    <row r="34174">
      <c r="A34174" s="6"/>
      <c r="B34174" s="6"/>
      <c r="H34174" s="13"/>
    </row>
    <row r="34175">
      <c r="A34175" s="6"/>
      <c r="B34175" s="6"/>
      <c r="H34175" s="13"/>
    </row>
    <row r="34176">
      <c r="A34176" s="6"/>
      <c r="B34176" s="6"/>
      <c r="H34176" s="13"/>
    </row>
    <row r="34177">
      <c r="A34177" s="6"/>
      <c r="B34177" s="6"/>
      <c r="H34177" s="13"/>
    </row>
    <row r="34178">
      <c r="A34178" s="6"/>
      <c r="B34178" s="6"/>
      <c r="H34178" s="13"/>
    </row>
    <row r="34179">
      <c r="A34179" s="6"/>
      <c r="B34179" s="6"/>
      <c r="H34179" s="13"/>
    </row>
    <row r="34180">
      <c r="A34180" s="6"/>
      <c r="B34180" s="6"/>
      <c r="H34180" s="13"/>
    </row>
    <row r="34181">
      <c r="A34181" s="6"/>
      <c r="B34181" s="6"/>
      <c r="H34181" s="13"/>
    </row>
    <row r="34182">
      <c r="A34182" s="6"/>
      <c r="B34182" s="6"/>
      <c r="H34182" s="13"/>
    </row>
    <row r="34183">
      <c r="A34183" s="6"/>
      <c r="B34183" s="6"/>
      <c r="H34183" s="13"/>
    </row>
    <row r="34184">
      <c r="A34184" s="6"/>
      <c r="B34184" s="6"/>
      <c r="H34184" s="13"/>
    </row>
    <row r="34185">
      <c r="A34185" s="6"/>
      <c r="B34185" s="6"/>
      <c r="H34185" s="13"/>
    </row>
    <row r="34186">
      <c r="A34186" s="6"/>
      <c r="B34186" s="6"/>
      <c r="H34186" s="13"/>
    </row>
    <row r="34187">
      <c r="A34187" s="6"/>
      <c r="B34187" s="6"/>
      <c r="H34187" s="13"/>
    </row>
    <row r="34188">
      <c r="A34188" s="6"/>
      <c r="B34188" s="6"/>
      <c r="H34188" s="13"/>
    </row>
    <row r="34189">
      <c r="A34189" s="6"/>
      <c r="B34189" s="6"/>
      <c r="H34189" s="13"/>
    </row>
    <row r="34190">
      <c r="A34190" s="6"/>
      <c r="B34190" s="6"/>
      <c r="H34190" s="13"/>
    </row>
    <row r="34191">
      <c r="A34191" s="6"/>
      <c r="B34191" s="6"/>
      <c r="H34191" s="13"/>
    </row>
    <row r="34192">
      <c r="A34192" s="6"/>
      <c r="B34192" s="6"/>
      <c r="H34192" s="13"/>
    </row>
    <row r="34193">
      <c r="A34193" s="6"/>
      <c r="B34193" s="6"/>
      <c r="H34193" s="13"/>
    </row>
    <row r="34194">
      <c r="A34194" s="6"/>
      <c r="B34194" s="6"/>
      <c r="H34194" s="13"/>
    </row>
    <row r="34195">
      <c r="A34195" s="6"/>
      <c r="B34195" s="6"/>
      <c r="H34195" s="13"/>
    </row>
    <row r="34196">
      <c r="A34196" s="6"/>
      <c r="B34196" s="6"/>
      <c r="H34196" s="13"/>
    </row>
    <row r="34197">
      <c r="A34197" s="6"/>
      <c r="B34197" s="6"/>
      <c r="H34197" s="13"/>
    </row>
    <row r="34198">
      <c r="A34198" s="6"/>
      <c r="B34198" s="6"/>
      <c r="H34198" s="13"/>
    </row>
    <row r="34199">
      <c r="A34199" s="6"/>
      <c r="B34199" s="6"/>
      <c r="H34199" s="13"/>
    </row>
    <row r="34200">
      <c r="A34200" s="6"/>
      <c r="B34200" s="6"/>
      <c r="H34200" s="13"/>
    </row>
    <row r="34201">
      <c r="A34201" s="6"/>
      <c r="B34201" s="6"/>
      <c r="H34201" s="13"/>
    </row>
    <row r="34202">
      <c r="A34202" s="6"/>
      <c r="B34202" s="6"/>
      <c r="H34202" s="13"/>
    </row>
    <row r="34203">
      <c r="A34203" s="6"/>
      <c r="B34203" s="6"/>
      <c r="H34203" s="13"/>
    </row>
    <row r="34204">
      <c r="A34204" s="6"/>
      <c r="B34204" s="6"/>
      <c r="H34204" s="13"/>
    </row>
    <row r="34205">
      <c r="A34205" s="6"/>
      <c r="B34205" s="6"/>
      <c r="H34205" s="13"/>
    </row>
    <row r="34206">
      <c r="A34206" s="6"/>
      <c r="B34206" s="6"/>
      <c r="H34206" s="13"/>
    </row>
    <row r="34207">
      <c r="A34207" s="6"/>
      <c r="B34207" s="6"/>
      <c r="H34207" s="13"/>
    </row>
    <row r="34208">
      <c r="A34208" s="6"/>
      <c r="B34208" s="6"/>
      <c r="H34208" s="13"/>
    </row>
    <row r="34209">
      <c r="A34209" s="6"/>
      <c r="B34209" s="6"/>
      <c r="H34209" s="13"/>
    </row>
    <row r="34210">
      <c r="A34210" s="6"/>
      <c r="B34210" s="6"/>
      <c r="H34210" s="13"/>
    </row>
    <row r="34211">
      <c r="A34211" s="6"/>
      <c r="B34211" s="6"/>
      <c r="H34211" s="13"/>
    </row>
    <row r="34212">
      <c r="A34212" s="6"/>
      <c r="B34212" s="6"/>
      <c r="H34212" s="13"/>
    </row>
    <row r="34213">
      <c r="A34213" s="6"/>
      <c r="B34213" s="6"/>
      <c r="H34213" s="13"/>
    </row>
    <row r="34214">
      <c r="A34214" s="6"/>
      <c r="B34214" s="6"/>
      <c r="H34214" s="13"/>
    </row>
    <row r="34215">
      <c r="A34215" s="6"/>
      <c r="B34215" s="6"/>
      <c r="H34215" s="13"/>
    </row>
    <row r="34216">
      <c r="A34216" s="6"/>
      <c r="B34216" s="6"/>
      <c r="H34216" s="13"/>
    </row>
    <row r="34217">
      <c r="A34217" s="6"/>
      <c r="B34217" s="6"/>
      <c r="H34217" s="13"/>
    </row>
    <row r="34218">
      <c r="A34218" s="6"/>
      <c r="B34218" s="6"/>
      <c r="H34218" s="13"/>
    </row>
    <row r="34219">
      <c r="A34219" s="6"/>
      <c r="B34219" s="6"/>
      <c r="H34219" s="13"/>
    </row>
    <row r="34220">
      <c r="A34220" s="6"/>
      <c r="B34220" s="6"/>
      <c r="H34220" s="13"/>
    </row>
    <row r="34221">
      <c r="A34221" s="6"/>
      <c r="B34221" s="6"/>
      <c r="H34221" s="13"/>
    </row>
    <row r="34222">
      <c r="A34222" s="6"/>
      <c r="B34222" s="6"/>
      <c r="H34222" s="13"/>
    </row>
    <row r="34223">
      <c r="A34223" s="6"/>
      <c r="B34223" s="6"/>
      <c r="H34223" s="13"/>
    </row>
    <row r="34224">
      <c r="A34224" s="6"/>
      <c r="B34224" s="6"/>
      <c r="H34224" s="13"/>
    </row>
    <row r="34225">
      <c r="A34225" s="6"/>
      <c r="B34225" s="6"/>
      <c r="H34225" s="13"/>
    </row>
    <row r="34226">
      <c r="A34226" s="6"/>
      <c r="B34226" s="6"/>
      <c r="H34226" s="13"/>
    </row>
    <row r="34227">
      <c r="A34227" s="6"/>
      <c r="B34227" s="6"/>
      <c r="H34227" s="13"/>
    </row>
    <row r="34228">
      <c r="A34228" s="6"/>
      <c r="B34228" s="6"/>
      <c r="H34228" s="13"/>
    </row>
    <row r="34229">
      <c r="A34229" s="6"/>
      <c r="B34229" s="6"/>
      <c r="H34229" s="13"/>
    </row>
    <row r="34230">
      <c r="A34230" s="6"/>
      <c r="B34230" s="6"/>
      <c r="H34230" s="13"/>
    </row>
    <row r="34231">
      <c r="A34231" s="6"/>
      <c r="B34231" s="6"/>
      <c r="H34231" s="13"/>
    </row>
    <row r="34232">
      <c r="A34232" s="6"/>
      <c r="B34232" s="6"/>
      <c r="H34232" s="13"/>
    </row>
    <row r="34233">
      <c r="A34233" s="6"/>
      <c r="B34233" s="6"/>
      <c r="H34233" s="13"/>
    </row>
    <row r="34234">
      <c r="A34234" s="6"/>
      <c r="B34234" s="6"/>
      <c r="H34234" s="13"/>
    </row>
    <row r="34235">
      <c r="A34235" s="6"/>
      <c r="B34235" s="6"/>
      <c r="H34235" s="13"/>
    </row>
    <row r="34236">
      <c r="A34236" s="6"/>
      <c r="B34236" s="6"/>
      <c r="H34236" s="13"/>
    </row>
    <row r="34237">
      <c r="A34237" s="6"/>
      <c r="B34237" s="6"/>
      <c r="H34237" s="13"/>
    </row>
    <row r="34238">
      <c r="A34238" s="6"/>
      <c r="B34238" s="6"/>
      <c r="H34238" s="13"/>
    </row>
    <row r="34239">
      <c r="A34239" s="6"/>
      <c r="B34239" s="6"/>
      <c r="H34239" s="13"/>
    </row>
    <row r="34240">
      <c r="A34240" s="6"/>
      <c r="B34240" s="6"/>
      <c r="H34240" s="13"/>
    </row>
    <row r="34241">
      <c r="A34241" s="6"/>
      <c r="B34241" s="6"/>
      <c r="H34241" s="13"/>
    </row>
    <row r="34242">
      <c r="A34242" s="6"/>
      <c r="B34242" s="6"/>
      <c r="H34242" s="13"/>
    </row>
    <row r="34243">
      <c r="A34243" s="6"/>
      <c r="B34243" s="6"/>
      <c r="H34243" s="13"/>
    </row>
    <row r="34244">
      <c r="A34244" s="6"/>
      <c r="B34244" s="6"/>
      <c r="H34244" s="13"/>
    </row>
    <row r="34245">
      <c r="A34245" s="6"/>
      <c r="B34245" s="6"/>
      <c r="H34245" s="13"/>
    </row>
    <row r="34246">
      <c r="A34246" s="6"/>
      <c r="B34246" s="6"/>
      <c r="H34246" s="13"/>
    </row>
    <row r="34247">
      <c r="A34247" s="6"/>
      <c r="B34247" s="6"/>
      <c r="H34247" s="13"/>
    </row>
    <row r="34248">
      <c r="A34248" s="6"/>
      <c r="B34248" s="6"/>
      <c r="H34248" s="13"/>
    </row>
    <row r="34249">
      <c r="A34249" s="6"/>
      <c r="B34249" s="6"/>
      <c r="H34249" s="13"/>
    </row>
    <row r="34250">
      <c r="A34250" s="6"/>
      <c r="B34250" s="6"/>
      <c r="H34250" s="13"/>
    </row>
    <row r="34251">
      <c r="A34251" s="6"/>
      <c r="B34251" s="6"/>
      <c r="H34251" s="13"/>
    </row>
    <row r="34252">
      <c r="A34252" s="6"/>
      <c r="B34252" s="6"/>
      <c r="H34252" s="13"/>
    </row>
    <row r="34253">
      <c r="A34253" s="6"/>
      <c r="B34253" s="6"/>
      <c r="H34253" s="13"/>
    </row>
    <row r="34254">
      <c r="A34254" s="6"/>
      <c r="B34254" s="6"/>
      <c r="H34254" s="13"/>
    </row>
    <row r="34255">
      <c r="A34255" s="6"/>
      <c r="B34255" s="6"/>
      <c r="H34255" s="13"/>
    </row>
    <row r="34256">
      <c r="A34256" s="6"/>
      <c r="B34256" s="6"/>
      <c r="H34256" s="13"/>
    </row>
    <row r="34257">
      <c r="A34257" s="6"/>
      <c r="B34257" s="6"/>
      <c r="H34257" s="13"/>
    </row>
    <row r="34258">
      <c r="A34258" s="6"/>
      <c r="B34258" s="6"/>
      <c r="H34258" s="13"/>
    </row>
    <row r="34259">
      <c r="A34259" s="6"/>
      <c r="B34259" s="6"/>
      <c r="H34259" s="13"/>
    </row>
    <row r="34260">
      <c r="A34260" s="6"/>
      <c r="B34260" s="6"/>
      <c r="H34260" s="13"/>
    </row>
    <row r="34261">
      <c r="A34261" s="6"/>
      <c r="B34261" s="6"/>
      <c r="H34261" s="13"/>
    </row>
    <row r="34262">
      <c r="A34262" s="6"/>
      <c r="B34262" s="6"/>
      <c r="H34262" s="13"/>
    </row>
    <row r="34263">
      <c r="A34263" s="6"/>
      <c r="B34263" s="6"/>
      <c r="H34263" s="13"/>
    </row>
    <row r="34264">
      <c r="A34264" s="6"/>
      <c r="B34264" s="6"/>
      <c r="H34264" s="13"/>
    </row>
    <row r="34265">
      <c r="A34265" s="6"/>
      <c r="B34265" s="6"/>
      <c r="H34265" s="13"/>
    </row>
    <row r="34266">
      <c r="A34266" s="6"/>
      <c r="B34266" s="6"/>
      <c r="H34266" s="13"/>
    </row>
    <row r="34267">
      <c r="A34267" s="6"/>
      <c r="B34267" s="6"/>
      <c r="H34267" s="13"/>
    </row>
    <row r="34268">
      <c r="A34268" s="6"/>
      <c r="B34268" s="6"/>
      <c r="H34268" s="13"/>
    </row>
    <row r="34269">
      <c r="A34269" s="6"/>
      <c r="B34269" s="6"/>
      <c r="H34269" s="13"/>
    </row>
    <row r="34270">
      <c r="A34270" s="6"/>
      <c r="B34270" s="6"/>
      <c r="H34270" s="13"/>
    </row>
    <row r="34271">
      <c r="A34271" s="6"/>
      <c r="B34271" s="6"/>
      <c r="H34271" s="13"/>
    </row>
    <row r="34272">
      <c r="A34272" s="6"/>
      <c r="B34272" s="6"/>
      <c r="H34272" s="13"/>
    </row>
    <row r="34273">
      <c r="A34273" s="6"/>
      <c r="B34273" s="6"/>
      <c r="H34273" s="13"/>
    </row>
    <row r="34274">
      <c r="A34274" s="6"/>
      <c r="B34274" s="6"/>
      <c r="H34274" s="13"/>
    </row>
    <row r="34275">
      <c r="A34275" s="6"/>
      <c r="B34275" s="6"/>
      <c r="H34275" s="13"/>
    </row>
    <row r="34276">
      <c r="A34276" s="6"/>
      <c r="B34276" s="6"/>
      <c r="H34276" s="13"/>
    </row>
    <row r="34277">
      <c r="A34277" s="6"/>
      <c r="B34277" s="6"/>
      <c r="H34277" s="13"/>
    </row>
    <row r="34278">
      <c r="A34278" s="6"/>
      <c r="B34278" s="6"/>
      <c r="H34278" s="13"/>
    </row>
    <row r="34279">
      <c r="A34279" s="6"/>
      <c r="B34279" s="6"/>
      <c r="H34279" s="13"/>
    </row>
    <row r="34280">
      <c r="A34280" s="6"/>
      <c r="B34280" s="6"/>
      <c r="H34280" s="13"/>
    </row>
    <row r="34281">
      <c r="A34281" s="6"/>
      <c r="B34281" s="6"/>
      <c r="H34281" s="13"/>
    </row>
    <row r="34282">
      <c r="A34282" s="6"/>
      <c r="B34282" s="6"/>
      <c r="H34282" s="13"/>
    </row>
    <row r="34283">
      <c r="A34283" s="6"/>
      <c r="B34283" s="6"/>
      <c r="H34283" s="13"/>
    </row>
    <row r="34284">
      <c r="A34284" s="6"/>
      <c r="B34284" s="6"/>
      <c r="H34284" s="13"/>
    </row>
    <row r="34285">
      <c r="A34285" s="6"/>
      <c r="B34285" s="6"/>
      <c r="H34285" s="13"/>
    </row>
    <row r="34286">
      <c r="A34286" s="6"/>
      <c r="B34286" s="6"/>
      <c r="H34286" s="13"/>
    </row>
    <row r="34287">
      <c r="A34287" s="6"/>
      <c r="B34287" s="6"/>
      <c r="H34287" s="13"/>
    </row>
    <row r="34288">
      <c r="A34288" s="6"/>
      <c r="B34288" s="6"/>
      <c r="H34288" s="13"/>
    </row>
    <row r="34289">
      <c r="A34289" s="6"/>
      <c r="B34289" s="6"/>
      <c r="H34289" s="13"/>
    </row>
    <row r="34290">
      <c r="A34290" s="6"/>
      <c r="B34290" s="6"/>
      <c r="H34290" s="13"/>
    </row>
    <row r="34291">
      <c r="A34291" s="6"/>
      <c r="B34291" s="6"/>
      <c r="H34291" s="13"/>
    </row>
    <row r="34292">
      <c r="A34292" s="6"/>
      <c r="B34292" s="6"/>
      <c r="H34292" s="13"/>
    </row>
    <row r="34293">
      <c r="A34293" s="6"/>
      <c r="B34293" s="6"/>
      <c r="H34293" s="13"/>
    </row>
    <row r="34294">
      <c r="A34294" s="6"/>
      <c r="B34294" s="6"/>
      <c r="H34294" s="13"/>
    </row>
    <row r="34295">
      <c r="A34295" s="6"/>
      <c r="B34295" s="6"/>
      <c r="H34295" s="13"/>
    </row>
    <row r="34296">
      <c r="A34296" s="6"/>
      <c r="B34296" s="6"/>
      <c r="H34296" s="13"/>
    </row>
    <row r="34297">
      <c r="A34297" s="6"/>
      <c r="B34297" s="6"/>
      <c r="H34297" s="13"/>
    </row>
    <row r="34298">
      <c r="A34298" s="6"/>
      <c r="B34298" s="6"/>
      <c r="H34298" s="13"/>
    </row>
    <row r="34299">
      <c r="A34299" s="6"/>
      <c r="B34299" s="6"/>
      <c r="H34299" s="13"/>
    </row>
    <row r="34300">
      <c r="A34300" s="6"/>
      <c r="B34300" s="6"/>
      <c r="H34300" s="13"/>
    </row>
    <row r="34301">
      <c r="A34301" s="6"/>
      <c r="B34301" s="6"/>
      <c r="H34301" s="13"/>
    </row>
    <row r="34302">
      <c r="A34302" s="6"/>
      <c r="B34302" s="6"/>
      <c r="H34302" s="13"/>
    </row>
    <row r="34303">
      <c r="A34303" s="6"/>
      <c r="B34303" s="6"/>
      <c r="H34303" s="13"/>
    </row>
    <row r="34304">
      <c r="A34304" s="6"/>
      <c r="B34304" s="6"/>
      <c r="H34304" s="13"/>
    </row>
    <row r="34305">
      <c r="A34305" s="6"/>
      <c r="B34305" s="6"/>
      <c r="H34305" s="13"/>
    </row>
    <row r="34306">
      <c r="A34306" s="6"/>
      <c r="B34306" s="6"/>
      <c r="H34306" s="13"/>
    </row>
    <row r="34307">
      <c r="A34307" s="6"/>
      <c r="B34307" s="6"/>
      <c r="H34307" s="13"/>
    </row>
    <row r="34308">
      <c r="A34308" s="6"/>
      <c r="B34308" s="6"/>
      <c r="H34308" s="13"/>
    </row>
    <row r="34309">
      <c r="A34309" s="6"/>
      <c r="B34309" s="6"/>
      <c r="H34309" s="13"/>
    </row>
    <row r="34310">
      <c r="A34310" s="6"/>
      <c r="B34310" s="6"/>
      <c r="H34310" s="13"/>
    </row>
    <row r="34311">
      <c r="A34311" s="6"/>
      <c r="B34311" s="6"/>
      <c r="H34311" s="13"/>
    </row>
    <row r="34312">
      <c r="A34312" s="6"/>
      <c r="B34312" s="6"/>
      <c r="H34312" s="13"/>
    </row>
    <row r="34313">
      <c r="A34313" s="6"/>
      <c r="B34313" s="6"/>
      <c r="H34313" s="13"/>
    </row>
    <row r="34314">
      <c r="A34314" s="6"/>
      <c r="B34314" s="6"/>
      <c r="H34314" s="13"/>
    </row>
    <row r="34315">
      <c r="A34315" s="6"/>
      <c r="B34315" s="6"/>
      <c r="H34315" s="13"/>
    </row>
    <row r="34316">
      <c r="A34316" s="6"/>
      <c r="B34316" s="6"/>
      <c r="H34316" s="13"/>
    </row>
    <row r="34317">
      <c r="A34317" s="6"/>
      <c r="B34317" s="6"/>
      <c r="H34317" s="13"/>
    </row>
    <row r="34318">
      <c r="A34318" s="6"/>
      <c r="B34318" s="6"/>
      <c r="H34318" s="13"/>
    </row>
    <row r="34319">
      <c r="A34319" s="6"/>
      <c r="B34319" s="6"/>
      <c r="H34319" s="13"/>
    </row>
    <row r="34320">
      <c r="A34320" s="6"/>
      <c r="B34320" s="6"/>
      <c r="H34320" s="13"/>
    </row>
    <row r="34321">
      <c r="A34321" s="6"/>
      <c r="B34321" s="6"/>
      <c r="H34321" s="13"/>
    </row>
    <row r="34322">
      <c r="A34322" s="6"/>
      <c r="B34322" s="6"/>
      <c r="H34322" s="13"/>
    </row>
    <row r="34323">
      <c r="A34323" s="6"/>
      <c r="B34323" s="6"/>
      <c r="H34323" s="13"/>
    </row>
    <row r="34324">
      <c r="A34324" s="6"/>
      <c r="B34324" s="6"/>
      <c r="H34324" s="13"/>
    </row>
    <row r="34325">
      <c r="A34325" s="6"/>
      <c r="B34325" s="6"/>
      <c r="H34325" s="13"/>
    </row>
    <row r="34326">
      <c r="A34326" s="6"/>
      <c r="B34326" s="6"/>
      <c r="H34326" s="13"/>
    </row>
    <row r="34327">
      <c r="A34327" s="6"/>
      <c r="B34327" s="6"/>
      <c r="H34327" s="13"/>
    </row>
    <row r="34328">
      <c r="A34328" s="6"/>
      <c r="B34328" s="6"/>
      <c r="H34328" s="13"/>
    </row>
    <row r="34329">
      <c r="A34329" s="6"/>
      <c r="B34329" s="6"/>
      <c r="H34329" s="13"/>
    </row>
    <row r="34330">
      <c r="A34330" s="6"/>
      <c r="B34330" s="6"/>
      <c r="H34330" s="13"/>
    </row>
    <row r="34331">
      <c r="A34331" s="6"/>
      <c r="B34331" s="6"/>
      <c r="H34331" s="13"/>
    </row>
    <row r="34332">
      <c r="A34332" s="6"/>
      <c r="B34332" s="6"/>
      <c r="H34332" s="13"/>
    </row>
    <row r="34333">
      <c r="A34333" s="6"/>
      <c r="B34333" s="6"/>
      <c r="H34333" s="13"/>
    </row>
    <row r="34334">
      <c r="A34334" s="6"/>
      <c r="B34334" s="6"/>
      <c r="H34334" s="13"/>
    </row>
    <row r="34335">
      <c r="A34335" s="6"/>
      <c r="B34335" s="6"/>
      <c r="H34335" s="13"/>
    </row>
    <row r="34336">
      <c r="A34336" s="6"/>
      <c r="B34336" s="6"/>
      <c r="H34336" s="13"/>
    </row>
    <row r="34337">
      <c r="A34337" s="6"/>
      <c r="B34337" s="6"/>
      <c r="H34337" s="13"/>
    </row>
    <row r="34338">
      <c r="A34338" s="6"/>
      <c r="B34338" s="6"/>
      <c r="H34338" s="13"/>
    </row>
    <row r="34339">
      <c r="A34339" s="6"/>
      <c r="B34339" s="6"/>
      <c r="H34339" s="13"/>
    </row>
    <row r="34340">
      <c r="A34340" s="6"/>
      <c r="B34340" s="6"/>
      <c r="H34340" s="13"/>
    </row>
    <row r="34341">
      <c r="A34341" s="6"/>
      <c r="B34341" s="6"/>
      <c r="H34341" s="13"/>
    </row>
    <row r="34342">
      <c r="A34342" s="6"/>
      <c r="B34342" s="6"/>
      <c r="H34342" s="13"/>
    </row>
    <row r="34343">
      <c r="A34343" s="6"/>
      <c r="B34343" s="6"/>
      <c r="H34343" s="13"/>
    </row>
    <row r="34344">
      <c r="A34344" s="6"/>
      <c r="B34344" s="6"/>
      <c r="H34344" s="13"/>
    </row>
    <row r="34345">
      <c r="A34345" s="6"/>
      <c r="B34345" s="6"/>
      <c r="H34345" s="13"/>
    </row>
    <row r="34346">
      <c r="A34346" s="6"/>
      <c r="B34346" s="6"/>
      <c r="H34346" s="13"/>
    </row>
    <row r="34347">
      <c r="A34347" s="6"/>
      <c r="B34347" s="6"/>
      <c r="H34347" s="13"/>
    </row>
    <row r="34348">
      <c r="A34348" s="6"/>
      <c r="B34348" s="6"/>
      <c r="H34348" s="13"/>
    </row>
    <row r="34349">
      <c r="A34349" s="6"/>
      <c r="B34349" s="6"/>
      <c r="H34349" s="13"/>
    </row>
    <row r="34350">
      <c r="A34350" s="6"/>
      <c r="B34350" s="6"/>
      <c r="H34350" s="13"/>
    </row>
    <row r="34351">
      <c r="A34351" s="6"/>
      <c r="B34351" s="6"/>
      <c r="H34351" s="13"/>
    </row>
    <row r="34352">
      <c r="A34352" s="6"/>
      <c r="B34352" s="6"/>
      <c r="H34352" s="13"/>
    </row>
    <row r="34353">
      <c r="A34353" s="6"/>
      <c r="B34353" s="6"/>
      <c r="H34353" s="13"/>
    </row>
    <row r="34354">
      <c r="A34354" s="6"/>
      <c r="B34354" s="6"/>
      <c r="H34354" s="13"/>
    </row>
    <row r="34355">
      <c r="A34355" s="6"/>
      <c r="B34355" s="6"/>
      <c r="H34355" s="13"/>
    </row>
    <row r="34356">
      <c r="A34356" s="6"/>
      <c r="B34356" s="6"/>
      <c r="H34356" s="13"/>
    </row>
    <row r="34357">
      <c r="A34357" s="6"/>
      <c r="B34357" s="6"/>
      <c r="H34357" s="13"/>
    </row>
    <row r="34358">
      <c r="A34358" s="6"/>
      <c r="B34358" s="6"/>
      <c r="H34358" s="13"/>
    </row>
    <row r="34359">
      <c r="A34359" s="6"/>
      <c r="B34359" s="6"/>
      <c r="H34359" s="13"/>
    </row>
    <row r="34360">
      <c r="A34360" s="6"/>
      <c r="B34360" s="6"/>
      <c r="H34360" s="13"/>
    </row>
    <row r="34361">
      <c r="A34361" s="6"/>
      <c r="B34361" s="6"/>
      <c r="H34361" s="13"/>
    </row>
    <row r="34362">
      <c r="A34362" s="6"/>
      <c r="B34362" s="6"/>
      <c r="H34362" s="13"/>
    </row>
    <row r="34363">
      <c r="A34363" s="6"/>
      <c r="B34363" s="6"/>
      <c r="H34363" s="13"/>
    </row>
    <row r="34364">
      <c r="A34364" s="6"/>
      <c r="B34364" s="6"/>
      <c r="H34364" s="13"/>
    </row>
    <row r="34365">
      <c r="A34365" s="6"/>
      <c r="B34365" s="6"/>
      <c r="H34365" s="13"/>
    </row>
    <row r="34366">
      <c r="A34366" s="6"/>
      <c r="B34366" s="6"/>
      <c r="H34366" s="13"/>
    </row>
    <row r="34367">
      <c r="A34367" s="6"/>
      <c r="B34367" s="6"/>
      <c r="H34367" s="13"/>
    </row>
    <row r="34368">
      <c r="A34368" s="6"/>
      <c r="B34368" s="6"/>
      <c r="H34368" s="13"/>
    </row>
    <row r="34369">
      <c r="A34369" s="6"/>
      <c r="B34369" s="6"/>
      <c r="H34369" s="13"/>
    </row>
    <row r="34370">
      <c r="A34370" s="6"/>
      <c r="B34370" s="6"/>
      <c r="H34370" s="13"/>
    </row>
    <row r="34371">
      <c r="A34371" s="6"/>
      <c r="B34371" s="6"/>
      <c r="H34371" s="13"/>
    </row>
    <row r="34372">
      <c r="A34372" s="6"/>
      <c r="B34372" s="6"/>
      <c r="H34372" s="13"/>
    </row>
    <row r="34373">
      <c r="A34373" s="6"/>
      <c r="B34373" s="6"/>
      <c r="H34373" s="13"/>
    </row>
    <row r="34374">
      <c r="A34374" s="6"/>
      <c r="B34374" s="6"/>
      <c r="H34374" s="13"/>
    </row>
    <row r="34375">
      <c r="A34375" s="6"/>
      <c r="B34375" s="6"/>
      <c r="H34375" s="13"/>
    </row>
    <row r="34376">
      <c r="A34376" s="6"/>
      <c r="B34376" s="6"/>
      <c r="H34376" s="13"/>
    </row>
    <row r="34377">
      <c r="A34377" s="6"/>
      <c r="B34377" s="6"/>
      <c r="H34377" s="13"/>
    </row>
    <row r="34378">
      <c r="A34378" s="6"/>
      <c r="B34378" s="6"/>
      <c r="H34378" s="13"/>
    </row>
    <row r="34379">
      <c r="A34379" s="6"/>
      <c r="B34379" s="6"/>
      <c r="H34379" s="13"/>
    </row>
    <row r="34380">
      <c r="A34380" s="6"/>
      <c r="B34380" s="6"/>
      <c r="H34380" s="13"/>
    </row>
    <row r="34381">
      <c r="A34381" s="6"/>
      <c r="B34381" s="6"/>
      <c r="H34381" s="13"/>
    </row>
    <row r="34382">
      <c r="A34382" s="6"/>
      <c r="B34382" s="6"/>
      <c r="H34382" s="13"/>
    </row>
    <row r="34383">
      <c r="A34383" s="6"/>
      <c r="B34383" s="6"/>
      <c r="H34383" s="13"/>
    </row>
    <row r="34384">
      <c r="A34384" s="6"/>
      <c r="B34384" s="6"/>
      <c r="H34384" s="13"/>
    </row>
    <row r="34385">
      <c r="A34385" s="6"/>
      <c r="B34385" s="6"/>
      <c r="H34385" s="13"/>
    </row>
    <row r="34386">
      <c r="A34386" s="6"/>
      <c r="B34386" s="6"/>
      <c r="H34386" s="13"/>
    </row>
    <row r="34387">
      <c r="A34387" s="6"/>
      <c r="B34387" s="6"/>
      <c r="H34387" s="13"/>
    </row>
    <row r="34388">
      <c r="A34388" s="6"/>
      <c r="B34388" s="6"/>
      <c r="H34388" s="13"/>
    </row>
    <row r="34389">
      <c r="A34389" s="6"/>
      <c r="B34389" s="6"/>
      <c r="H34389" s="13"/>
    </row>
    <row r="34390">
      <c r="A34390" s="6"/>
      <c r="B34390" s="6"/>
      <c r="H34390" s="13"/>
    </row>
    <row r="34391">
      <c r="A34391" s="6"/>
      <c r="B34391" s="6"/>
      <c r="H34391" s="13"/>
    </row>
    <row r="34392">
      <c r="A34392" s="6"/>
      <c r="B34392" s="6"/>
      <c r="H34392" s="13"/>
    </row>
    <row r="34393">
      <c r="A34393" s="6"/>
      <c r="B34393" s="6"/>
      <c r="H34393" s="13"/>
    </row>
    <row r="34394">
      <c r="A34394" s="6"/>
      <c r="B34394" s="6"/>
      <c r="H34394" s="13"/>
    </row>
    <row r="34395">
      <c r="A34395" s="6"/>
      <c r="B34395" s="6"/>
      <c r="H34395" s="13"/>
    </row>
    <row r="34396">
      <c r="A34396" s="6"/>
      <c r="B34396" s="6"/>
      <c r="H34396" s="13"/>
    </row>
    <row r="34397">
      <c r="A34397" s="6"/>
      <c r="B34397" s="6"/>
      <c r="H34397" s="13"/>
    </row>
    <row r="34398">
      <c r="A34398" s="6"/>
      <c r="B34398" s="6"/>
      <c r="H34398" s="13"/>
    </row>
    <row r="34399">
      <c r="A34399" s="6"/>
      <c r="B34399" s="6"/>
      <c r="H34399" s="13"/>
    </row>
    <row r="34400">
      <c r="A34400" s="6"/>
      <c r="B34400" s="6"/>
      <c r="H34400" s="13"/>
    </row>
    <row r="34401">
      <c r="A34401" s="6"/>
      <c r="B34401" s="6"/>
      <c r="H34401" s="13"/>
    </row>
    <row r="34402">
      <c r="A34402" s="6"/>
      <c r="B34402" s="6"/>
      <c r="H34402" s="13"/>
    </row>
    <row r="34403">
      <c r="A34403" s="6"/>
      <c r="B34403" s="6"/>
      <c r="H34403" s="13"/>
    </row>
    <row r="34404">
      <c r="A34404" s="6"/>
      <c r="B34404" s="6"/>
      <c r="H34404" s="13"/>
    </row>
    <row r="34405">
      <c r="A34405" s="6"/>
      <c r="B34405" s="6"/>
      <c r="H34405" s="13"/>
    </row>
    <row r="34406">
      <c r="A34406" s="6"/>
      <c r="B34406" s="6"/>
      <c r="H34406" s="13"/>
    </row>
    <row r="34407">
      <c r="A34407" s="6"/>
      <c r="B34407" s="6"/>
      <c r="H34407" s="13"/>
    </row>
    <row r="34408">
      <c r="A34408" s="6"/>
      <c r="B34408" s="6"/>
      <c r="H34408" s="13"/>
    </row>
    <row r="34409">
      <c r="A34409" s="6"/>
      <c r="B34409" s="6"/>
      <c r="H34409" s="13"/>
    </row>
    <row r="34410">
      <c r="A34410" s="6"/>
      <c r="B34410" s="6"/>
      <c r="H34410" s="13"/>
    </row>
    <row r="34411">
      <c r="A34411" s="6"/>
      <c r="B34411" s="6"/>
      <c r="H34411" s="13"/>
    </row>
    <row r="34412">
      <c r="A34412" s="6"/>
      <c r="B34412" s="6"/>
      <c r="H34412" s="13"/>
    </row>
    <row r="34413">
      <c r="A34413" s="6"/>
      <c r="B34413" s="6"/>
      <c r="H34413" s="13"/>
    </row>
    <row r="34414">
      <c r="A34414" s="6"/>
      <c r="B34414" s="6"/>
      <c r="H34414" s="13"/>
    </row>
    <row r="34415">
      <c r="A34415" s="6"/>
      <c r="B34415" s="6"/>
      <c r="H34415" s="13"/>
    </row>
    <row r="34416">
      <c r="A34416" s="6"/>
      <c r="B34416" s="6"/>
      <c r="H34416" s="13"/>
    </row>
    <row r="34417">
      <c r="A34417" s="6"/>
      <c r="B34417" s="6"/>
      <c r="H34417" s="13"/>
    </row>
    <row r="34418">
      <c r="A34418" s="6"/>
      <c r="B34418" s="6"/>
      <c r="H34418" s="13"/>
    </row>
    <row r="34419">
      <c r="A34419" s="6"/>
      <c r="B34419" s="6"/>
      <c r="H34419" s="13"/>
    </row>
    <row r="34420">
      <c r="A34420" s="6"/>
      <c r="B34420" s="6"/>
      <c r="H34420" s="13"/>
    </row>
    <row r="34421">
      <c r="A34421" s="6"/>
      <c r="B34421" s="6"/>
      <c r="H34421" s="13"/>
    </row>
    <row r="34422">
      <c r="A34422" s="6"/>
      <c r="B34422" s="6"/>
      <c r="H34422" s="13"/>
    </row>
    <row r="34423">
      <c r="A34423" s="6"/>
      <c r="B34423" s="6"/>
      <c r="H34423" s="13"/>
    </row>
    <row r="34424">
      <c r="A34424" s="6"/>
      <c r="B34424" s="6"/>
      <c r="H34424" s="13"/>
    </row>
    <row r="34425">
      <c r="A34425" s="6"/>
      <c r="B34425" s="6"/>
      <c r="H34425" s="13"/>
    </row>
    <row r="34426">
      <c r="A34426" s="6"/>
      <c r="B34426" s="6"/>
      <c r="H34426" s="13"/>
    </row>
    <row r="34427">
      <c r="A34427" s="6"/>
      <c r="B34427" s="6"/>
      <c r="H34427" s="13"/>
    </row>
    <row r="34428">
      <c r="A34428" s="6"/>
      <c r="B34428" s="6"/>
      <c r="H34428" s="13"/>
    </row>
    <row r="34429">
      <c r="A34429" s="6"/>
      <c r="B34429" s="6"/>
      <c r="H34429" s="13"/>
    </row>
    <row r="34430">
      <c r="A34430" s="6"/>
      <c r="B34430" s="6"/>
      <c r="H34430" s="13"/>
    </row>
    <row r="34431">
      <c r="A34431" s="6"/>
      <c r="B34431" s="6"/>
      <c r="H34431" s="13"/>
    </row>
    <row r="34432">
      <c r="A34432" s="6"/>
      <c r="B34432" s="6"/>
      <c r="H34432" s="13"/>
    </row>
    <row r="34433">
      <c r="A34433" s="6"/>
      <c r="B34433" s="6"/>
      <c r="H34433" s="13"/>
    </row>
    <row r="34434">
      <c r="A34434" s="6"/>
      <c r="B34434" s="6"/>
      <c r="H34434" s="13"/>
    </row>
    <row r="34435">
      <c r="A34435" s="6"/>
      <c r="B34435" s="6"/>
      <c r="H34435" s="13"/>
    </row>
    <row r="34436">
      <c r="A34436" s="6"/>
      <c r="B34436" s="6"/>
      <c r="H34436" s="13"/>
    </row>
    <row r="34437">
      <c r="A34437" s="6"/>
      <c r="B34437" s="6"/>
      <c r="H34437" s="13"/>
    </row>
    <row r="34438">
      <c r="A34438" s="6"/>
      <c r="B34438" s="6"/>
      <c r="H34438" s="13"/>
    </row>
    <row r="34439">
      <c r="A34439" s="6"/>
      <c r="B34439" s="6"/>
      <c r="H34439" s="13"/>
    </row>
    <row r="34440">
      <c r="A34440" s="6"/>
      <c r="B34440" s="6"/>
      <c r="H34440" s="13"/>
    </row>
    <row r="34441">
      <c r="A34441" s="6"/>
      <c r="B34441" s="6"/>
      <c r="H34441" s="13"/>
    </row>
    <row r="34442">
      <c r="A34442" s="6"/>
      <c r="B34442" s="6"/>
      <c r="H34442" s="13"/>
    </row>
    <row r="34443">
      <c r="A34443" s="6"/>
      <c r="B34443" s="6"/>
      <c r="H34443" s="13"/>
    </row>
    <row r="34444">
      <c r="A34444" s="6"/>
      <c r="B34444" s="6"/>
      <c r="H34444" s="13"/>
    </row>
    <row r="34445">
      <c r="A34445" s="6"/>
      <c r="B34445" s="6"/>
      <c r="H34445" s="13"/>
    </row>
    <row r="34446">
      <c r="A34446" s="6"/>
      <c r="B34446" s="6"/>
      <c r="H34446" s="13"/>
    </row>
    <row r="34447">
      <c r="A34447" s="6"/>
      <c r="B34447" s="6"/>
      <c r="H34447" s="13"/>
    </row>
    <row r="34448">
      <c r="A34448" s="6"/>
      <c r="B34448" s="6"/>
      <c r="H34448" s="13"/>
    </row>
    <row r="34449">
      <c r="A34449" s="6"/>
      <c r="B34449" s="6"/>
      <c r="H34449" s="13"/>
    </row>
    <row r="34450">
      <c r="A34450" s="6"/>
      <c r="B34450" s="6"/>
      <c r="H34450" s="13"/>
    </row>
    <row r="34451">
      <c r="A34451" s="6"/>
      <c r="B34451" s="6"/>
      <c r="H34451" s="13"/>
    </row>
    <row r="34452">
      <c r="A34452" s="6"/>
      <c r="B34452" s="6"/>
      <c r="H34452" s="13"/>
    </row>
    <row r="34453">
      <c r="A34453" s="6"/>
      <c r="B34453" s="6"/>
      <c r="H34453" s="13"/>
    </row>
    <row r="34454">
      <c r="A34454" s="6"/>
      <c r="B34454" s="6"/>
      <c r="H34454" s="13"/>
    </row>
    <row r="34455">
      <c r="A34455" s="6"/>
      <c r="B34455" s="6"/>
      <c r="H34455" s="13"/>
    </row>
    <row r="34456">
      <c r="A34456" s="6"/>
      <c r="B34456" s="6"/>
      <c r="H34456" s="13"/>
    </row>
    <row r="34457">
      <c r="A34457" s="6"/>
      <c r="B34457" s="6"/>
      <c r="H34457" s="13"/>
    </row>
    <row r="34458">
      <c r="A34458" s="6"/>
      <c r="B34458" s="6"/>
      <c r="H34458" s="13"/>
    </row>
    <row r="34459">
      <c r="A34459" s="6"/>
      <c r="B34459" s="6"/>
      <c r="H34459" s="13"/>
    </row>
    <row r="34460">
      <c r="A34460" s="6"/>
      <c r="B34460" s="6"/>
      <c r="H34460" s="13"/>
    </row>
    <row r="34461">
      <c r="A34461" s="6"/>
      <c r="B34461" s="6"/>
      <c r="H34461" s="13"/>
    </row>
    <row r="34462">
      <c r="A34462" s="6"/>
      <c r="B34462" s="6"/>
      <c r="H34462" s="13"/>
    </row>
    <row r="34463">
      <c r="A34463" s="6"/>
      <c r="B34463" s="6"/>
      <c r="H34463" s="13"/>
    </row>
    <row r="34464">
      <c r="A34464" s="6"/>
      <c r="B34464" s="6"/>
      <c r="H34464" s="13"/>
    </row>
    <row r="34465">
      <c r="A34465" s="6"/>
      <c r="B34465" s="6"/>
      <c r="H34465" s="13"/>
    </row>
    <row r="34466">
      <c r="A34466" s="6"/>
      <c r="B34466" s="6"/>
      <c r="H34466" s="13"/>
    </row>
    <row r="34467">
      <c r="A34467" s="6"/>
      <c r="B34467" s="6"/>
      <c r="H34467" s="13"/>
    </row>
    <row r="34468">
      <c r="A34468" s="6"/>
      <c r="B34468" s="6"/>
      <c r="H34468" s="13"/>
    </row>
    <row r="34469">
      <c r="A34469" s="6"/>
      <c r="B34469" s="6"/>
      <c r="H34469" s="13"/>
    </row>
    <row r="34470">
      <c r="A34470" s="6"/>
      <c r="B34470" s="6"/>
      <c r="H34470" s="13"/>
    </row>
    <row r="34471">
      <c r="A34471" s="6"/>
      <c r="B34471" s="6"/>
      <c r="H34471" s="13"/>
    </row>
    <row r="34472">
      <c r="A34472" s="6"/>
      <c r="B34472" s="6"/>
      <c r="H34472" s="13"/>
    </row>
    <row r="34473">
      <c r="A34473" s="6"/>
      <c r="B34473" s="6"/>
      <c r="H34473" s="13"/>
    </row>
    <row r="34474">
      <c r="A34474" s="6"/>
      <c r="B34474" s="6"/>
      <c r="H34474" s="13"/>
    </row>
    <row r="34475">
      <c r="A34475" s="6"/>
      <c r="B34475" s="6"/>
      <c r="H34475" s="13"/>
    </row>
    <row r="34476">
      <c r="A34476" s="6"/>
      <c r="B34476" s="6"/>
      <c r="H34476" s="13"/>
    </row>
    <row r="34477">
      <c r="A34477" s="6"/>
      <c r="B34477" s="6"/>
      <c r="H34477" s="13"/>
    </row>
    <row r="34478">
      <c r="A34478" s="6"/>
      <c r="B34478" s="6"/>
      <c r="H34478" s="13"/>
    </row>
    <row r="34479">
      <c r="A34479" s="6"/>
      <c r="B34479" s="6"/>
      <c r="H34479" s="13"/>
    </row>
    <row r="34480">
      <c r="A34480" s="6"/>
      <c r="B34480" s="6"/>
      <c r="H34480" s="13"/>
    </row>
    <row r="34481">
      <c r="A34481" s="6"/>
      <c r="B34481" s="6"/>
      <c r="H34481" s="13"/>
    </row>
    <row r="34482">
      <c r="A34482" s="6"/>
      <c r="B34482" s="6"/>
      <c r="H34482" s="13"/>
    </row>
    <row r="34483">
      <c r="A34483" s="6"/>
      <c r="B34483" s="6"/>
      <c r="H34483" s="13"/>
    </row>
    <row r="34484">
      <c r="A34484" s="6"/>
      <c r="B34484" s="6"/>
      <c r="H34484" s="13"/>
    </row>
    <row r="34485">
      <c r="A34485" s="6"/>
      <c r="B34485" s="6"/>
      <c r="H34485" s="13"/>
    </row>
    <row r="34486">
      <c r="A34486" s="6"/>
      <c r="B34486" s="6"/>
      <c r="H34486" s="13"/>
    </row>
    <row r="34487">
      <c r="A34487" s="6"/>
      <c r="B34487" s="6"/>
      <c r="H34487" s="13"/>
    </row>
    <row r="34488">
      <c r="A34488" s="6"/>
      <c r="B34488" s="6"/>
      <c r="H34488" s="13"/>
    </row>
    <row r="34489">
      <c r="A34489" s="6"/>
      <c r="B34489" s="6"/>
      <c r="H34489" s="13"/>
    </row>
    <row r="34490">
      <c r="A34490" s="6"/>
      <c r="B34490" s="6"/>
      <c r="H34490" s="13"/>
    </row>
    <row r="34491">
      <c r="A34491" s="6"/>
      <c r="B34491" s="6"/>
      <c r="H34491" s="13"/>
    </row>
    <row r="34492">
      <c r="A34492" s="6"/>
      <c r="B34492" s="6"/>
      <c r="H34492" s="13"/>
    </row>
    <row r="34493">
      <c r="A34493" s="6"/>
      <c r="B34493" s="6"/>
      <c r="H34493" s="13"/>
    </row>
    <row r="34494">
      <c r="A34494" s="6"/>
      <c r="B34494" s="6"/>
      <c r="H34494" s="13"/>
    </row>
    <row r="34495">
      <c r="A34495" s="6"/>
      <c r="B34495" s="6"/>
      <c r="H34495" s="13"/>
    </row>
    <row r="34496">
      <c r="A34496" s="6"/>
      <c r="B34496" s="6"/>
      <c r="H34496" s="13"/>
    </row>
    <row r="34497">
      <c r="A34497" s="6"/>
      <c r="B34497" s="6"/>
      <c r="H34497" s="13"/>
    </row>
    <row r="34498">
      <c r="A34498" s="6"/>
      <c r="B34498" s="6"/>
      <c r="H34498" s="13"/>
    </row>
    <row r="34499">
      <c r="A34499" s="6"/>
      <c r="B34499" s="6"/>
      <c r="H34499" s="13"/>
    </row>
    <row r="34500">
      <c r="A34500" s="6"/>
      <c r="B34500" s="6"/>
      <c r="H34500" s="13"/>
    </row>
    <row r="34501">
      <c r="A34501" s="6"/>
      <c r="B34501" s="6"/>
      <c r="H34501" s="13"/>
    </row>
    <row r="34502">
      <c r="A34502" s="6"/>
      <c r="B34502" s="6"/>
      <c r="H34502" s="13"/>
    </row>
    <row r="34503">
      <c r="A34503" s="6"/>
      <c r="B34503" s="6"/>
      <c r="H34503" s="13"/>
    </row>
    <row r="34504">
      <c r="A34504" s="6"/>
      <c r="B34504" s="6"/>
      <c r="H34504" s="13"/>
    </row>
    <row r="34505">
      <c r="A34505" s="6"/>
      <c r="B34505" s="6"/>
      <c r="H34505" s="13"/>
    </row>
    <row r="34506">
      <c r="A34506" s="6"/>
      <c r="B34506" s="6"/>
      <c r="H34506" s="13"/>
    </row>
    <row r="34507">
      <c r="A34507" s="6"/>
      <c r="B34507" s="6"/>
      <c r="H34507" s="13"/>
    </row>
    <row r="34508">
      <c r="A34508" s="6"/>
      <c r="B34508" s="6"/>
      <c r="H34508" s="13"/>
    </row>
    <row r="34509">
      <c r="A34509" s="6"/>
      <c r="B34509" s="6"/>
      <c r="H34509" s="13"/>
    </row>
    <row r="34510">
      <c r="A34510" s="6"/>
      <c r="B34510" s="6"/>
      <c r="H34510" s="13"/>
    </row>
    <row r="34511">
      <c r="A34511" s="6"/>
      <c r="B34511" s="6"/>
      <c r="H34511" s="13"/>
    </row>
    <row r="34512">
      <c r="A34512" s="6"/>
      <c r="B34512" s="6"/>
      <c r="H34512" s="13"/>
    </row>
    <row r="34513">
      <c r="A34513" s="6"/>
      <c r="B34513" s="6"/>
      <c r="H34513" s="13"/>
    </row>
    <row r="34514">
      <c r="A34514" s="6"/>
      <c r="B34514" s="6"/>
      <c r="H34514" s="13"/>
    </row>
    <row r="34515">
      <c r="A34515" s="6"/>
      <c r="B34515" s="6"/>
      <c r="H34515" s="13"/>
    </row>
    <row r="34516">
      <c r="A34516" s="6"/>
      <c r="B34516" s="6"/>
      <c r="H34516" s="13"/>
    </row>
    <row r="34517">
      <c r="A34517" s="6"/>
      <c r="B34517" s="6"/>
      <c r="H34517" s="13"/>
    </row>
    <row r="34518">
      <c r="A34518" s="6"/>
      <c r="B34518" s="6"/>
      <c r="H34518" s="13"/>
    </row>
    <row r="34519">
      <c r="A34519" s="6"/>
      <c r="B34519" s="6"/>
      <c r="H34519" s="13"/>
    </row>
    <row r="34520">
      <c r="A34520" s="6"/>
      <c r="B34520" s="6"/>
      <c r="H34520" s="13"/>
    </row>
    <row r="34521">
      <c r="A34521" s="6"/>
      <c r="B34521" s="6"/>
      <c r="H34521" s="13"/>
    </row>
    <row r="34522">
      <c r="A34522" s="6"/>
      <c r="B34522" s="6"/>
      <c r="H34522" s="13"/>
    </row>
    <row r="34523">
      <c r="A34523" s="6"/>
      <c r="B34523" s="6"/>
      <c r="H34523" s="13"/>
    </row>
    <row r="34524">
      <c r="A34524" s="6"/>
      <c r="B34524" s="6"/>
      <c r="H34524" s="13"/>
    </row>
    <row r="34525">
      <c r="A34525" s="6"/>
      <c r="B34525" s="6"/>
      <c r="H34525" s="13"/>
    </row>
    <row r="34526">
      <c r="A34526" s="6"/>
      <c r="B34526" s="6"/>
      <c r="H34526" s="13"/>
    </row>
    <row r="34527">
      <c r="A34527" s="6"/>
      <c r="B34527" s="6"/>
      <c r="H34527" s="13"/>
    </row>
    <row r="34528">
      <c r="A34528" s="6"/>
      <c r="B34528" s="6"/>
      <c r="H34528" s="13"/>
    </row>
    <row r="34529">
      <c r="A34529" s="6"/>
      <c r="B34529" s="6"/>
      <c r="H34529" s="13"/>
    </row>
    <row r="34530">
      <c r="A34530" s="6"/>
      <c r="B34530" s="6"/>
      <c r="H34530" s="13"/>
    </row>
    <row r="34531">
      <c r="A34531" s="6"/>
      <c r="B34531" s="6"/>
      <c r="H34531" s="13"/>
    </row>
    <row r="34532">
      <c r="A34532" s="6"/>
      <c r="B34532" s="6"/>
      <c r="H34532" s="13"/>
    </row>
    <row r="34533">
      <c r="A34533" s="6"/>
      <c r="B34533" s="6"/>
      <c r="H34533" s="13"/>
    </row>
    <row r="34534">
      <c r="A34534" s="6"/>
      <c r="B34534" s="6"/>
      <c r="H34534" s="13"/>
    </row>
    <row r="34535">
      <c r="A34535" s="6"/>
      <c r="B34535" s="6"/>
      <c r="H34535" s="13"/>
    </row>
    <row r="34536">
      <c r="A34536" s="6"/>
      <c r="B34536" s="6"/>
      <c r="H34536" s="13"/>
    </row>
    <row r="34537">
      <c r="A34537" s="6"/>
      <c r="B34537" s="6"/>
      <c r="H34537" s="13"/>
    </row>
    <row r="34538">
      <c r="A34538" s="6"/>
      <c r="B34538" s="6"/>
      <c r="H34538" s="13"/>
    </row>
    <row r="34539">
      <c r="A34539" s="6"/>
      <c r="B34539" s="6"/>
      <c r="H34539" s="13"/>
    </row>
    <row r="34540">
      <c r="A34540" s="6"/>
      <c r="B34540" s="6"/>
      <c r="H34540" s="13"/>
    </row>
    <row r="34541">
      <c r="A34541" s="6"/>
      <c r="B34541" s="6"/>
      <c r="H34541" s="13"/>
    </row>
    <row r="34542">
      <c r="A34542" s="6"/>
      <c r="B34542" s="6"/>
      <c r="H34542" s="13"/>
    </row>
    <row r="34543">
      <c r="A34543" s="6"/>
      <c r="B34543" s="6"/>
      <c r="H34543" s="13"/>
    </row>
    <row r="34544">
      <c r="A34544" s="6"/>
      <c r="B34544" s="6"/>
      <c r="H34544" s="13"/>
    </row>
    <row r="34545">
      <c r="A34545" s="6"/>
      <c r="B34545" s="6"/>
      <c r="H34545" s="13"/>
    </row>
    <row r="34546">
      <c r="A34546" s="6"/>
      <c r="B34546" s="6"/>
      <c r="H34546" s="13"/>
    </row>
    <row r="34547">
      <c r="A34547" s="6"/>
      <c r="B34547" s="6"/>
      <c r="H34547" s="13"/>
    </row>
    <row r="34548">
      <c r="A34548" s="6"/>
      <c r="B34548" s="6"/>
      <c r="H34548" s="13"/>
    </row>
    <row r="34549">
      <c r="A34549" s="6"/>
      <c r="B34549" s="6"/>
      <c r="H34549" s="13"/>
    </row>
    <row r="34550">
      <c r="A34550" s="6"/>
      <c r="B34550" s="6"/>
      <c r="H34550" s="13"/>
    </row>
    <row r="34551">
      <c r="A34551" s="6"/>
      <c r="B34551" s="6"/>
      <c r="H34551" s="13"/>
    </row>
    <row r="34552">
      <c r="A34552" s="6"/>
      <c r="B34552" s="6"/>
      <c r="H34552" s="13"/>
    </row>
    <row r="34553">
      <c r="A34553" s="6"/>
      <c r="B34553" s="6"/>
      <c r="H34553" s="13"/>
    </row>
    <row r="34554">
      <c r="A34554" s="6"/>
      <c r="B34554" s="6"/>
      <c r="H34554" s="13"/>
    </row>
    <row r="34555">
      <c r="A34555" s="6"/>
      <c r="B34555" s="6"/>
      <c r="H34555" s="13"/>
    </row>
    <row r="34556">
      <c r="A34556" s="6"/>
      <c r="B34556" s="6"/>
      <c r="H34556" s="13"/>
    </row>
    <row r="34557">
      <c r="A34557" s="6"/>
      <c r="B34557" s="6"/>
      <c r="H34557" s="13"/>
    </row>
    <row r="34558">
      <c r="A34558" s="6"/>
      <c r="B34558" s="6"/>
      <c r="H34558" s="13"/>
    </row>
    <row r="34559">
      <c r="A34559" s="6"/>
      <c r="B34559" s="6"/>
      <c r="H34559" s="13"/>
    </row>
    <row r="34560">
      <c r="A34560" s="6"/>
      <c r="B34560" s="6"/>
      <c r="H34560" s="13"/>
    </row>
    <row r="34561">
      <c r="A34561" s="6"/>
      <c r="B34561" s="6"/>
      <c r="H34561" s="13"/>
    </row>
    <row r="34562">
      <c r="A34562" s="6"/>
      <c r="B34562" s="6"/>
      <c r="H34562" s="13"/>
    </row>
    <row r="34563">
      <c r="A34563" s="6"/>
      <c r="B34563" s="6"/>
      <c r="H34563" s="13"/>
    </row>
    <row r="34564">
      <c r="A34564" s="6"/>
      <c r="B34564" s="6"/>
      <c r="H34564" s="13"/>
    </row>
    <row r="34565">
      <c r="A34565" s="6"/>
      <c r="B34565" s="6"/>
      <c r="H34565" s="13"/>
    </row>
    <row r="34566">
      <c r="A34566" s="6"/>
      <c r="B34566" s="6"/>
      <c r="H34566" s="13"/>
    </row>
    <row r="34567">
      <c r="A34567" s="6"/>
      <c r="B34567" s="6"/>
      <c r="H34567" s="13"/>
    </row>
    <row r="34568">
      <c r="A34568" s="6"/>
      <c r="B34568" s="6"/>
      <c r="H34568" s="13"/>
    </row>
    <row r="34569">
      <c r="A34569" s="6"/>
      <c r="B34569" s="6"/>
      <c r="H34569" s="13"/>
    </row>
    <row r="34570">
      <c r="A34570" s="6"/>
      <c r="B34570" s="6"/>
      <c r="H34570" s="13"/>
    </row>
    <row r="34571">
      <c r="A34571" s="6"/>
      <c r="B34571" s="6"/>
      <c r="H34571" s="13"/>
    </row>
    <row r="34572">
      <c r="A34572" s="6"/>
      <c r="B34572" s="6"/>
      <c r="H34572" s="13"/>
    </row>
    <row r="34573">
      <c r="A34573" s="6"/>
      <c r="B34573" s="6"/>
      <c r="H34573" s="13"/>
    </row>
    <row r="34574">
      <c r="A34574" s="6"/>
      <c r="B34574" s="6"/>
      <c r="H34574" s="13"/>
    </row>
    <row r="34575">
      <c r="A34575" s="6"/>
      <c r="B34575" s="6"/>
      <c r="H34575" s="13"/>
    </row>
    <row r="34576">
      <c r="A34576" s="6"/>
      <c r="B34576" s="6"/>
      <c r="H34576" s="13"/>
    </row>
    <row r="34577">
      <c r="A34577" s="6"/>
      <c r="B34577" s="6"/>
      <c r="H34577" s="13"/>
    </row>
    <row r="34578">
      <c r="A34578" s="6"/>
      <c r="B34578" s="6"/>
      <c r="H34578" s="13"/>
    </row>
    <row r="34579">
      <c r="A34579" s="6"/>
      <c r="B34579" s="6"/>
      <c r="H34579" s="13"/>
    </row>
    <row r="34580">
      <c r="A34580" s="6"/>
      <c r="B34580" s="6"/>
      <c r="H34580" s="13"/>
    </row>
    <row r="34581">
      <c r="A34581" s="6"/>
      <c r="B34581" s="6"/>
      <c r="H34581" s="13"/>
    </row>
    <row r="34582">
      <c r="A34582" s="6"/>
      <c r="B34582" s="6"/>
      <c r="H34582" s="13"/>
    </row>
    <row r="34583">
      <c r="A34583" s="6"/>
      <c r="B34583" s="6"/>
      <c r="H34583" s="13"/>
    </row>
    <row r="34584">
      <c r="A34584" s="6"/>
      <c r="B34584" s="6"/>
      <c r="H34584" s="13"/>
    </row>
    <row r="34585">
      <c r="A34585" s="6"/>
      <c r="B34585" s="6"/>
      <c r="H34585" s="13"/>
    </row>
    <row r="34586">
      <c r="A34586" s="6"/>
      <c r="B34586" s="6"/>
      <c r="H34586" s="13"/>
    </row>
    <row r="34587">
      <c r="A34587" s="6"/>
      <c r="B34587" s="6"/>
      <c r="H34587" s="13"/>
    </row>
    <row r="34588">
      <c r="A34588" s="6"/>
      <c r="B34588" s="6"/>
      <c r="H34588" s="13"/>
    </row>
    <row r="34589">
      <c r="A34589" s="6"/>
      <c r="B34589" s="6"/>
      <c r="H34589" s="13"/>
    </row>
    <row r="34590">
      <c r="A34590" s="6"/>
      <c r="B34590" s="6"/>
      <c r="H34590" s="13"/>
    </row>
    <row r="34591">
      <c r="A34591" s="6"/>
      <c r="B34591" s="6"/>
      <c r="H34591" s="13"/>
    </row>
    <row r="34592">
      <c r="A34592" s="6"/>
      <c r="B34592" s="6"/>
      <c r="H34592" s="13"/>
    </row>
    <row r="34593">
      <c r="A34593" s="6"/>
      <c r="B34593" s="6"/>
      <c r="H34593" s="13"/>
    </row>
    <row r="34594">
      <c r="A34594" s="6"/>
      <c r="B34594" s="6"/>
      <c r="H34594" s="13"/>
    </row>
    <row r="34595">
      <c r="A34595" s="6"/>
      <c r="B34595" s="6"/>
      <c r="H34595" s="13"/>
    </row>
    <row r="34596">
      <c r="A34596" s="6"/>
      <c r="B34596" s="6"/>
      <c r="H34596" s="13"/>
    </row>
    <row r="34597">
      <c r="A34597" s="6"/>
      <c r="B34597" s="6"/>
      <c r="H34597" s="13"/>
    </row>
    <row r="34598">
      <c r="A34598" s="6"/>
      <c r="B34598" s="6"/>
      <c r="H34598" s="13"/>
    </row>
    <row r="34599">
      <c r="A34599" s="6"/>
      <c r="B34599" s="6"/>
      <c r="H34599" s="13"/>
    </row>
    <row r="34600">
      <c r="A34600" s="6"/>
      <c r="B34600" s="6"/>
      <c r="H34600" s="13"/>
    </row>
    <row r="34601">
      <c r="A34601" s="6"/>
      <c r="B34601" s="6"/>
      <c r="H34601" s="13"/>
    </row>
    <row r="34602">
      <c r="A34602" s="6"/>
      <c r="B34602" s="6"/>
      <c r="H34602" s="13"/>
    </row>
    <row r="34603">
      <c r="A34603" s="6"/>
      <c r="B34603" s="6"/>
      <c r="H34603" s="13"/>
    </row>
    <row r="34604">
      <c r="A34604" s="6"/>
      <c r="B34604" s="6"/>
      <c r="H34604" s="13"/>
    </row>
    <row r="34605">
      <c r="A34605" s="6"/>
      <c r="B34605" s="6"/>
      <c r="H34605" s="13"/>
    </row>
    <row r="34606">
      <c r="A34606" s="6"/>
      <c r="B34606" s="6"/>
      <c r="H34606" s="13"/>
    </row>
    <row r="34607">
      <c r="A34607" s="6"/>
      <c r="B34607" s="6"/>
      <c r="H34607" s="13"/>
    </row>
    <row r="34608">
      <c r="A34608" s="6"/>
      <c r="B34608" s="6"/>
      <c r="H34608" s="13"/>
    </row>
    <row r="34609">
      <c r="A34609" s="6"/>
      <c r="B34609" s="6"/>
      <c r="H34609" s="13"/>
    </row>
    <row r="34610">
      <c r="A34610" s="6"/>
      <c r="B34610" s="6"/>
      <c r="H34610" s="13"/>
    </row>
    <row r="34611">
      <c r="A34611" s="6"/>
      <c r="B34611" s="6"/>
      <c r="H34611" s="13"/>
    </row>
    <row r="34612">
      <c r="A34612" s="6"/>
      <c r="B34612" s="6"/>
      <c r="H34612" s="13"/>
    </row>
    <row r="34613">
      <c r="A34613" s="6"/>
      <c r="B34613" s="6"/>
      <c r="H34613" s="13"/>
    </row>
    <row r="34614">
      <c r="A34614" s="6"/>
      <c r="B34614" s="6"/>
      <c r="H34614" s="13"/>
    </row>
    <row r="34615">
      <c r="A34615" s="6"/>
      <c r="B34615" s="6"/>
      <c r="H34615" s="13"/>
    </row>
    <row r="34616">
      <c r="A34616" s="6"/>
      <c r="B34616" s="6"/>
      <c r="H34616" s="13"/>
    </row>
    <row r="34617">
      <c r="A34617" s="6"/>
      <c r="B34617" s="6"/>
      <c r="H34617" s="13"/>
    </row>
    <row r="34618">
      <c r="A34618" s="6"/>
      <c r="B34618" s="6"/>
      <c r="H34618" s="13"/>
    </row>
    <row r="34619">
      <c r="A34619" s="6"/>
      <c r="B34619" s="6"/>
      <c r="H34619" s="13"/>
    </row>
    <row r="34620">
      <c r="A34620" s="6"/>
      <c r="B34620" s="6"/>
      <c r="H34620" s="13"/>
    </row>
    <row r="34621">
      <c r="A34621" s="6"/>
      <c r="B34621" s="6"/>
      <c r="H34621" s="13"/>
    </row>
    <row r="34622">
      <c r="A34622" s="6"/>
      <c r="B34622" s="6"/>
      <c r="H34622" s="13"/>
    </row>
    <row r="34623">
      <c r="A34623" s="6"/>
      <c r="B34623" s="6"/>
      <c r="H34623" s="13"/>
    </row>
    <row r="34624">
      <c r="A34624" s="6"/>
      <c r="B34624" s="6"/>
      <c r="H34624" s="13"/>
    </row>
    <row r="34625">
      <c r="A34625" s="6"/>
      <c r="B34625" s="6"/>
      <c r="H34625" s="13"/>
    </row>
    <row r="34626">
      <c r="A34626" s="6"/>
      <c r="B34626" s="6"/>
      <c r="H34626" s="13"/>
    </row>
    <row r="34627">
      <c r="A34627" s="6"/>
      <c r="B34627" s="6"/>
      <c r="H34627" s="13"/>
    </row>
    <row r="34628">
      <c r="A34628" s="6"/>
      <c r="B34628" s="6"/>
      <c r="H34628" s="13"/>
    </row>
    <row r="34629">
      <c r="A34629" s="6"/>
      <c r="B34629" s="6"/>
      <c r="H34629" s="13"/>
    </row>
    <row r="34630">
      <c r="A34630" s="6"/>
      <c r="B34630" s="6"/>
      <c r="H34630" s="13"/>
    </row>
    <row r="34631">
      <c r="A34631" s="6"/>
      <c r="B34631" s="6"/>
      <c r="H34631" s="13"/>
    </row>
    <row r="34632">
      <c r="A34632" s="6"/>
      <c r="B34632" s="6"/>
      <c r="H34632" s="13"/>
    </row>
    <row r="34633">
      <c r="A34633" s="6"/>
      <c r="B34633" s="6"/>
      <c r="H34633" s="13"/>
    </row>
    <row r="34634">
      <c r="A34634" s="6"/>
      <c r="B34634" s="6"/>
      <c r="H34634" s="13"/>
    </row>
    <row r="34635">
      <c r="A34635" s="6"/>
      <c r="B34635" s="6"/>
      <c r="H34635" s="13"/>
    </row>
    <row r="34636">
      <c r="A34636" s="6"/>
      <c r="B34636" s="6"/>
      <c r="H34636" s="13"/>
    </row>
    <row r="34637">
      <c r="A34637" s="6"/>
      <c r="B34637" s="6"/>
      <c r="H34637" s="13"/>
    </row>
    <row r="34638">
      <c r="A34638" s="6"/>
      <c r="B34638" s="6"/>
      <c r="H34638" s="13"/>
    </row>
    <row r="34639">
      <c r="A34639" s="6"/>
      <c r="B34639" s="6"/>
      <c r="H34639" s="13"/>
    </row>
    <row r="34640">
      <c r="A34640" s="6"/>
      <c r="B34640" s="6"/>
      <c r="H34640" s="13"/>
    </row>
    <row r="34641">
      <c r="A34641" s="6"/>
      <c r="B34641" s="6"/>
      <c r="H34641" s="13"/>
    </row>
    <row r="34642">
      <c r="A34642" s="6"/>
      <c r="B34642" s="6"/>
      <c r="H34642" s="13"/>
    </row>
    <row r="34643">
      <c r="A34643" s="6"/>
      <c r="B34643" s="6"/>
      <c r="H34643" s="13"/>
    </row>
    <row r="34644">
      <c r="A34644" s="6"/>
      <c r="B34644" s="6"/>
      <c r="H34644" s="13"/>
    </row>
    <row r="34645">
      <c r="A34645" s="6"/>
      <c r="B34645" s="6"/>
      <c r="H34645" s="13"/>
    </row>
    <row r="34646">
      <c r="A34646" s="6"/>
      <c r="B34646" s="6"/>
      <c r="H34646" s="13"/>
    </row>
    <row r="34647">
      <c r="A34647" s="6"/>
      <c r="B34647" s="6"/>
      <c r="H34647" s="13"/>
    </row>
    <row r="34648">
      <c r="A34648" s="6"/>
      <c r="B34648" s="6"/>
      <c r="H34648" s="13"/>
    </row>
    <row r="34649">
      <c r="A34649" s="6"/>
      <c r="B34649" s="6"/>
      <c r="H34649" s="13"/>
    </row>
    <row r="34650">
      <c r="A34650" s="6"/>
      <c r="B34650" s="6"/>
      <c r="H34650" s="13"/>
    </row>
    <row r="34651">
      <c r="A34651" s="6"/>
      <c r="B34651" s="6"/>
      <c r="H34651" s="13"/>
    </row>
    <row r="34652">
      <c r="A34652" s="6"/>
      <c r="B34652" s="6"/>
      <c r="H34652" s="13"/>
    </row>
    <row r="34653">
      <c r="A34653" s="6"/>
      <c r="B34653" s="6"/>
      <c r="H34653" s="13"/>
    </row>
    <row r="34654">
      <c r="A34654" s="6"/>
      <c r="B34654" s="6"/>
      <c r="H34654" s="13"/>
    </row>
    <row r="34655">
      <c r="A34655" s="6"/>
      <c r="B34655" s="6"/>
      <c r="H34655" s="13"/>
    </row>
    <row r="34656">
      <c r="A34656" s="6"/>
      <c r="B34656" s="6"/>
      <c r="H34656" s="13"/>
    </row>
    <row r="34657">
      <c r="A34657" s="6"/>
      <c r="B34657" s="6"/>
      <c r="H34657" s="13"/>
    </row>
    <row r="34658">
      <c r="A34658" s="6"/>
      <c r="B34658" s="6"/>
      <c r="H34658" s="13"/>
    </row>
    <row r="34659">
      <c r="A34659" s="6"/>
      <c r="B34659" s="6"/>
      <c r="H34659" s="13"/>
    </row>
    <row r="34660">
      <c r="A34660" s="6"/>
      <c r="B34660" s="6"/>
      <c r="H34660" s="13"/>
    </row>
    <row r="34661">
      <c r="A34661" s="6"/>
      <c r="B34661" s="6"/>
      <c r="H34661" s="13"/>
    </row>
    <row r="34662">
      <c r="A34662" s="6"/>
      <c r="B34662" s="6"/>
      <c r="H34662" s="13"/>
    </row>
    <row r="34663">
      <c r="A34663" s="6"/>
      <c r="B34663" s="6"/>
      <c r="H34663" s="13"/>
    </row>
    <row r="34664">
      <c r="A34664" s="6"/>
      <c r="B34664" s="6"/>
      <c r="H34664" s="13"/>
    </row>
    <row r="34665">
      <c r="A34665" s="6"/>
      <c r="B34665" s="6"/>
      <c r="H34665" s="13"/>
    </row>
    <row r="34666">
      <c r="A34666" s="6"/>
      <c r="B34666" s="6"/>
      <c r="H34666" s="13"/>
    </row>
    <row r="34667">
      <c r="A34667" s="6"/>
      <c r="B34667" s="6"/>
      <c r="H34667" s="13"/>
    </row>
    <row r="34668">
      <c r="A34668" s="6"/>
      <c r="B34668" s="6"/>
      <c r="H34668" s="13"/>
    </row>
    <row r="34669">
      <c r="A34669" s="6"/>
      <c r="B34669" s="6"/>
      <c r="H34669" s="13"/>
    </row>
    <row r="34670">
      <c r="A34670" s="6"/>
      <c r="B34670" s="6"/>
      <c r="H34670" s="13"/>
    </row>
    <row r="34671">
      <c r="A34671" s="6"/>
      <c r="B34671" s="6"/>
      <c r="H34671" s="13"/>
    </row>
    <row r="34672">
      <c r="A34672" s="6"/>
      <c r="B34672" s="6"/>
      <c r="H34672" s="13"/>
    </row>
    <row r="34673">
      <c r="A34673" s="6"/>
      <c r="B34673" s="6"/>
      <c r="H34673" s="13"/>
    </row>
    <row r="34674">
      <c r="A34674" s="6"/>
      <c r="B34674" s="6"/>
      <c r="H34674" s="13"/>
    </row>
    <row r="34675">
      <c r="A34675" s="6"/>
      <c r="B34675" s="6"/>
      <c r="H34675" s="13"/>
    </row>
    <row r="34676">
      <c r="A34676" s="6"/>
      <c r="B34676" s="6"/>
      <c r="H34676" s="13"/>
    </row>
    <row r="34677">
      <c r="A34677" s="6"/>
      <c r="B34677" s="6"/>
      <c r="H34677" s="13"/>
    </row>
    <row r="34678">
      <c r="A34678" s="6"/>
      <c r="B34678" s="6"/>
      <c r="H34678" s="13"/>
    </row>
    <row r="34679">
      <c r="A34679" s="6"/>
      <c r="B34679" s="6"/>
      <c r="H34679" s="13"/>
    </row>
    <row r="34680">
      <c r="A34680" s="6"/>
      <c r="B34680" s="6"/>
      <c r="H34680" s="13"/>
    </row>
    <row r="34681">
      <c r="A34681" s="6"/>
      <c r="B34681" s="6"/>
      <c r="H34681" s="13"/>
    </row>
    <row r="34682">
      <c r="A34682" s="6"/>
      <c r="B34682" s="6"/>
      <c r="H34682" s="13"/>
    </row>
    <row r="34683">
      <c r="A34683" s="6"/>
      <c r="B34683" s="6"/>
      <c r="H34683" s="13"/>
    </row>
    <row r="34684">
      <c r="A34684" s="6"/>
      <c r="B34684" s="6"/>
      <c r="H34684" s="13"/>
    </row>
    <row r="34685">
      <c r="A34685" s="6"/>
      <c r="B34685" s="6"/>
      <c r="H34685" s="13"/>
    </row>
    <row r="34686">
      <c r="A34686" s="6"/>
      <c r="B34686" s="6"/>
      <c r="H34686" s="13"/>
    </row>
    <row r="34687">
      <c r="A34687" s="6"/>
      <c r="B34687" s="6"/>
      <c r="H34687" s="13"/>
    </row>
    <row r="34688">
      <c r="A34688" s="6"/>
      <c r="B34688" s="6"/>
      <c r="H34688" s="13"/>
    </row>
    <row r="34689">
      <c r="A34689" s="6"/>
      <c r="B34689" s="6"/>
      <c r="H34689" s="13"/>
    </row>
    <row r="34690">
      <c r="A34690" s="6"/>
      <c r="B34690" s="6"/>
      <c r="H34690" s="13"/>
    </row>
    <row r="34691">
      <c r="A34691" s="6"/>
      <c r="B34691" s="6"/>
      <c r="H34691" s="13"/>
    </row>
    <row r="34692">
      <c r="A34692" s="6"/>
      <c r="B34692" s="6"/>
      <c r="H34692" s="13"/>
    </row>
    <row r="34693">
      <c r="A34693" s="6"/>
      <c r="B34693" s="6"/>
      <c r="H34693" s="13"/>
    </row>
    <row r="34694">
      <c r="A34694" s="6"/>
      <c r="B34694" s="6"/>
      <c r="H34694" s="13"/>
    </row>
    <row r="34695">
      <c r="A34695" s="6"/>
      <c r="B34695" s="6"/>
      <c r="H34695" s="13"/>
    </row>
    <row r="34696">
      <c r="A34696" s="6"/>
      <c r="B34696" s="6"/>
      <c r="H34696" s="13"/>
    </row>
    <row r="34697">
      <c r="A34697" s="6"/>
      <c r="B34697" s="6"/>
      <c r="H34697" s="13"/>
    </row>
    <row r="34698">
      <c r="A34698" s="6"/>
      <c r="B34698" s="6"/>
      <c r="H34698" s="13"/>
    </row>
    <row r="34699">
      <c r="A34699" s="6"/>
      <c r="B34699" s="6"/>
      <c r="H34699" s="13"/>
    </row>
    <row r="34700">
      <c r="A34700" s="6"/>
      <c r="B34700" s="6"/>
      <c r="H34700" s="13"/>
    </row>
    <row r="34701">
      <c r="A34701" s="6"/>
      <c r="B34701" s="6"/>
      <c r="H34701" s="13"/>
    </row>
    <row r="34702">
      <c r="A34702" s="6"/>
      <c r="B34702" s="6"/>
      <c r="H34702" s="13"/>
    </row>
    <row r="34703">
      <c r="A34703" s="6"/>
      <c r="B34703" s="6"/>
      <c r="H34703" s="13"/>
    </row>
    <row r="34704">
      <c r="A34704" s="6"/>
      <c r="B34704" s="6"/>
      <c r="H34704" s="13"/>
    </row>
    <row r="34705">
      <c r="A34705" s="6"/>
      <c r="B34705" s="6"/>
      <c r="H34705" s="13"/>
    </row>
    <row r="34706">
      <c r="A34706" s="6"/>
      <c r="B34706" s="6"/>
      <c r="H34706" s="13"/>
    </row>
    <row r="34707">
      <c r="A34707" s="6"/>
      <c r="B34707" s="6"/>
      <c r="H34707" s="13"/>
    </row>
    <row r="34708">
      <c r="A34708" s="6"/>
      <c r="B34708" s="6"/>
      <c r="H34708" s="13"/>
    </row>
    <row r="34709">
      <c r="A34709" s="6"/>
      <c r="B34709" s="6"/>
      <c r="H34709" s="13"/>
    </row>
    <row r="34710">
      <c r="A34710" s="6"/>
      <c r="B34710" s="6"/>
      <c r="H34710" s="13"/>
    </row>
    <row r="34711">
      <c r="A34711" s="6"/>
      <c r="B34711" s="6"/>
      <c r="H34711" s="13"/>
    </row>
    <row r="34712">
      <c r="A34712" s="6"/>
      <c r="B34712" s="6"/>
      <c r="H34712" s="13"/>
    </row>
    <row r="34713">
      <c r="A34713" s="6"/>
      <c r="B34713" s="6"/>
      <c r="H34713" s="13"/>
    </row>
    <row r="34714">
      <c r="A34714" s="6"/>
      <c r="B34714" s="6"/>
      <c r="H34714" s="13"/>
    </row>
    <row r="34715">
      <c r="A34715" s="6"/>
      <c r="B34715" s="6"/>
      <c r="H34715" s="13"/>
    </row>
    <row r="34716">
      <c r="A34716" s="6"/>
      <c r="B34716" s="6"/>
      <c r="H34716" s="13"/>
    </row>
    <row r="34717">
      <c r="A34717" s="6"/>
      <c r="B34717" s="6"/>
      <c r="H34717" s="13"/>
    </row>
    <row r="34718">
      <c r="A34718" s="6"/>
      <c r="B34718" s="6"/>
      <c r="H34718" s="13"/>
    </row>
    <row r="34719">
      <c r="A34719" s="6"/>
      <c r="B34719" s="6"/>
      <c r="H34719" s="13"/>
    </row>
    <row r="34720">
      <c r="A34720" s="6"/>
      <c r="B34720" s="6"/>
      <c r="H34720" s="13"/>
    </row>
    <row r="34721">
      <c r="A34721" s="6"/>
      <c r="B34721" s="6"/>
      <c r="H34721" s="13"/>
    </row>
    <row r="34722">
      <c r="A34722" s="6"/>
      <c r="B34722" s="6"/>
      <c r="H34722" s="13"/>
    </row>
    <row r="34723">
      <c r="A34723" s="6"/>
      <c r="B34723" s="6"/>
      <c r="H34723" s="13"/>
    </row>
    <row r="34724">
      <c r="A34724" s="6"/>
      <c r="B34724" s="6"/>
      <c r="H34724" s="13"/>
    </row>
    <row r="34725">
      <c r="A34725" s="6"/>
      <c r="B34725" s="6"/>
      <c r="H34725" s="13"/>
    </row>
    <row r="34726">
      <c r="A34726" s="6"/>
      <c r="B34726" s="6"/>
      <c r="H34726" s="13"/>
    </row>
    <row r="34727">
      <c r="A34727" s="6"/>
      <c r="B34727" s="6"/>
      <c r="H34727" s="13"/>
    </row>
    <row r="34728">
      <c r="A34728" s="6"/>
      <c r="B34728" s="6"/>
      <c r="H34728" s="13"/>
    </row>
    <row r="34729">
      <c r="A34729" s="6"/>
      <c r="B34729" s="6"/>
      <c r="H34729" s="13"/>
    </row>
    <row r="34730">
      <c r="A34730" s="6"/>
      <c r="B34730" s="6"/>
      <c r="H34730" s="13"/>
    </row>
    <row r="34731">
      <c r="A34731" s="6"/>
      <c r="B34731" s="6"/>
      <c r="H34731" s="13"/>
    </row>
    <row r="34732">
      <c r="A34732" s="6"/>
      <c r="B34732" s="6"/>
      <c r="H34732" s="13"/>
    </row>
    <row r="34733">
      <c r="A34733" s="6"/>
      <c r="B34733" s="6"/>
      <c r="H34733" s="13"/>
    </row>
    <row r="34734">
      <c r="A34734" s="6"/>
      <c r="B34734" s="6"/>
      <c r="H34734" s="13"/>
    </row>
    <row r="34735">
      <c r="A34735" s="6"/>
      <c r="B34735" s="6"/>
      <c r="H34735" s="13"/>
    </row>
    <row r="34736">
      <c r="A34736" s="6"/>
      <c r="B34736" s="6"/>
      <c r="H34736" s="13"/>
    </row>
    <row r="34737">
      <c r="A34737" s="6"/>
      <c r="B34737" s="6"/>
      <c r="H34737" s="13"/>
    </row>
    <row r="34738">
      <c r="A34738" s="6"/>
      <c r="B34738" s="6"/>
      <c r="H34738" s="13"/>
    </row>
    <row r="34739">
      <c r="A34739" s="6"/>
      <c r="B34739" s="6"/>
      <c r="H34739" s="13"/>
    </row>
    <row r="34740">
      <c r="A34740" s="6"/>
      <c r="B34740" s="6"/>
      <c r="H34740" s="13"/>
    </row>
    <row r="34741">
      <c r="A34741" s="6"/>
      <c r="B34741" s="6"/>
      <c r="H34741" s="13"/>
    </row>
    <row r="34742">
      <c r="A34742" s="6"/>
      <c r="B34742" s="6"/>
      <c r="H34742" s="13"/>
    </row>
    <row r="34743">
      <c r="A34743" s="6"/>
      <c r="B34743" s="6"/>
      <c r="H34743" s="13"/>
    </row>
    <row r="34744">
      <c r="A34744" s="6"/>
      <c r="B34744" s="6"/>
      <c r="H34744" s="13"/>
    </row>
    <row r="34745">
      <c r="A34745" s="6"/>
      <c r="B34745" s="6"/>
      <c r="H34745" s="13"/>
    </row>
    <row r="34746">
      <c r="A34746" s="6"/>
      <c r="B34746" s="6"/>
      <c r="H34746" s="13"/>
    </row>
    <row r="34747">
      <c r="A34747" s="6"/>
      <c r="B34747" s="6"/>
      <c r="H34747" s="13"/>
    </row>
    <row r="34748">
      <c r="A34748" s="6"/>
      <c r="B34748" s="6"/>
      <c r="H34748" s="13"/>
    </row>
    <row r="34749">
      <c r="A34749" s="6"/>
      <c r="B34749" s="6"/>
      <c r="H34749" s="13"/>
    </row>
    <row r="34750">
      <c r="A34750" s="6"/>
      <c r="B34750" s="6"/>
      <c r="H34750" s="13"/>
    </row>
    <row r="34751">
      <c r="A34751" s="6"/>
      <c r="B34751" s="6"/>
      <c r="H34751" s="13"/>
    </row>
    <row r="34752">
      <c r="A34752" s="6"/>
      <c r="B34752" s="6"/>
      <c r="H34752" s="13"/>
    </row>
    <row r="34753">
      <c r="A34753" s="6"/>
      <c r="B34753" s="6"/>
      <c r="H34753" s="13"/>
    </row>
    <row r="34754">
      <c r="A34754" s="6"/>
      <c r="B34754" s="6"/>
      <c r="H34754" s="13"/>
    </row>
    <row r="34755">
      <c r="A34755" s="6"/>
      <c r="B34755" s="6"/>
      <c r="H34755" s="13"/>
    </row>
    <row r="34756">
      <c r="A34756" s="6"/>
      <c r="B34756" s="6"/>
      <c r="H34756" s="13"/>
    </row>
    <row r="34757">
      <c r="A34757" s="6"/>
      <c r="B34757" s="6"/>
      <c r="H34757" s="13"/>
    </row>
    <row r="34758">
      <c r="A34758" s="6"/>
      <c r="B34758" s="6"/>
      <c r="H34758" s="13"/>
    </row>
    <row r="34759">
      <c r="A34759" s="6"/>
      <c r="B34759" s="6"/>
      <c r="H34759" s="13"/>
    </row>
    <row r="34760">
      <c r="A34760" s="6"/>
      <c r="B34760" s="6"/>
      <c r="H34760" s="13"/>
    </row>
    <row r="34761">
      <c r="A34761" s="6"/>
      <c r="B34761" s="6"/>
      <c r="H34761" s="13"/>
    </row>
    <row r="34762">
      <c r="A34762" s="6"/>
      <c r="B34762" s="6"/>
      <c r="H34762" s="13"/>
    </row>
    <row r="34763">
      <c r="A34763" s="6"/>
      <c r="B34763" s="6"/>
      <c r="H34763" s="13"/>
    </row>
    <row r="34764">
      <c r="A34764" s="6"/>
      <c r="B34764" s="6"/>
      <c r="H34764" s="13"/>
    </row>
    <row r="34765">
      <c r="A34765" s="6"/>
      <c r="B34765" s="6"/>
      <c r="H34765" s="13"/>
    </row>
    <row r="34766">
      <c r="A34766" s="6"/>
      <c r="B34766" s="6"/>
      <c r="H34766" s="13"/>
    </row>
    <row r="34767">
      <c r="A34767" s="6"/>
      <c r="B34767" s="6"/>
      <c r="H34767" s="13"/>
    </row>
    <row r="34768">
      <c r="A34768" s="6"/>
      <c r="B34768" s="6"/>
      <c r="H34768" s="13"/>
    </row>
    <row r="34769">
      <c r="A34769" s="6"/>
      <c r="B34769" s="6"/>
      <c r="H34769" s="13"/>
    </row>
    <row r="34770">
      <c r="A34770" s="6"/>
      <c r="B34770" s="6"/>
      <c r="H34770" s="13"/>
    </row>
    <row r="34771">
      <c r="A34771" s="6"/>
      <c r="B34771" s="6"/>
      <c r="H34771" s="13"/>
    </row>
    <row r="34772">
      <c r="A34772" s="6"/>
      <c r="B34772" s="6"/>
      <c r="H34772" s="13"/>
    </row>
    <row r="34773">
      <c r="A34773" s="6"/>
      <c r="B34773" s="6"/>
      <c r="H34773" s="13"/>
    </row>
    <row r="34774">
      <c r="A34774" s="6"/>
      <c r="B34774" s="6"/>
      <c r="H34774" s="13"/>
    </row>
    <row r="34775">
      <c r="A34775" s="6"/>
      <c r="B34775" s="6"/>
      <c r="H34775" s="13"/>
    </row>
    <row r="34776">
      <c r="A34776" s="6"/>
      <c r="B34776" s="6"/>
      <c r="H34776" s="13"/>
    </row>
    <row r="34777">
      <c r="A34777" s="6"/>
      <c r="B34777" s="6"/>
      <c r="H34777" s="13"/>
    </row>
    <row r="34778">
      <c r="A34778" s="6"/>
      <c r="B34778" s="6"/>
      <c r="H34778" s="13"/>
    </row>
    <row r="34779">
      <c r="A34779" s="6"/>
      <c r="B34779" s="6"/>
      <c r="H34779" s="13"/>
    </row>
    <row r="34780">
      <c r="A34780" s="6"/>
      <c r="B34780" s="6"/>
      <c r="H34780" s="13"/>
    </row>
    <row r="34781">
      <c r="A34781" s="6"/>
      <c r="B34781" s="6"/>
      <c r="H34781" s="13"/>
    </row>
    <row r="34782">
      <c r="A34782" s="6"/>
      <c r="B34782" s="6"/>
      <c r="H34782" s="13"/>
    </row>
    <row r="34783">
      <c r="A34783" s="6"/>
      <c r="B34783" s="6"/>
      <c r="H34783" s="13"/>
    </row>
    <row r="34784">
      <c r="A34784" s="6"/>
      <c r="B34784" s="6"/>
      <c r="H34784" s="13"/>
    </row>
    <row r="34785">
      <c r="A34785" s="6"/>
      <c r="B34785" s="6"/>
      <c r="H34785" s="13"/>
    </row>
    <row r="34786">
      <c r="A34786" s="6"/>
      <c r="B34786" s="6"/>
      <c r="H34786" s="13"/>
    </row>
    <row r="34787">
      <c r="A34787" s="6"/>
      <c r="B34787" s="6"/>
      <c r="H34787" s="13"/>
    </row>
    <row r="34788">
      <c r="A34788" s="6"/>
      <c r="B34788" s="6"/>
      <c r="H34788" s="13"/>
    </row>
    <row r="34789">
      <c r="A34789" s="6"/>
      <c r="B34789" s="6"/>
      <c r="H34789" s="13"/>
    </row>
    <row r="34790">
      <c r="A34790" s="6"/>
      <c r="B34790" s="6"/>
      <c r="H34790" s="13"/>
    </row>
    <row r="34791">
      <c r="A34791" s="6"/>
      <c r="B34791" s="6"/>
      <c r="H34791" s="13"/>
    </row>
    <row r="34792">
      <c r="A34792" s="6"/>
      <c r="B34792" s="6"/>
      <c r="H34792" s="13"/>
    </row>
    <row r="34793">
      <c r="A34793" s="6"/>
      <c r="B34793" s="6"/>
      <c r="H34793" s="13"/>
    </row>
    <row r="34794">
      <c r="A34794" s="6"/>
      <c r="B34794" s="6"/>
      <c r="H34794" s="13"/>
    </row>
    <row r="34795">
      <c r="A34795" s="6"/>
      <c r="B34795" s="6"/>
      <c r="H34795" s="13"/>
    </row>
    <row r="34796">
      <c r="A34796" s="6"/>
      <c r="B34796" s="6"/>
      <c r="H34796" s="13"/>
    </row>
    <row r="34797">
      <c r="A34797" s="6"/>
      <c r="B34797" s="6"/>
      <c r="H34797" s="13"/>
    </row>
    <row r="34798">
      <c r="A34798" s="6"/>
      <c r="B34798" s="6"/>
      <c r="H34798" s="13"/>
    </row>
    <row r="34799">
      <c r="A34799" s="6"/>
      <c r="B34799" s="6"/>
      <c r="H34799" s="13"/>
    </row>
    <row r="34800">
      <c r="A34800" s="6"/>
      <c r="B34800" s="6"/>
      <c r="H34800" s="13"/>
    </row>
    <row r="34801">
      <c r="A34801" s="6"/>
      <c r="B34801" s="6"/>
      <c r="H34801" s="13"/>
    </row>
    <row r="34802">
      <c r="A34802" s="6"/>
      <c r="B34802" s="6"/>
      <c r="H34802" s="13"/>
    </row>
    <row r="34803">
      <c r="A34803" s="6"/>
      <c r="B34803" s="6"/>
      <c r="H34803" s="13"/>
    </row>
    <row r="34804">
      <c r="A34804" s="6"/>
      <c r="B34804" s="6"/>
      <c r="H34804" s="13"/>
    </row>
    <row r="34805">
      <c r="A34805" s="6"/>
      <c r="B34805" s="6"/>
      <c r="H34805" s="13"/>
    </row>
    <row r="34806">
      <c r="A34806" s="6"/>
      <c r="B34806" s="6"/>
      <c r="H34806" s="13"/>
    </row>
    <row r="34807">
      <c r="A34807" s="6"/>
      <c r="B34807" s="6"/>
      <c r="H34807" s="13"/>
    </row>
    <row r="34808">
      <c r="A34808" s="6"/>
      <c r="B34808" s="6"/>
      <c r="H34808" s="13"/>
    </row>
    <row r="34809">
      <c r="A34809" s="6"/>
      <c r="B34809" s="6"/>
      <c r="H34809" s="13"/>
    </row>
    <row r="34810">
      <c r="A34810" s="6"/>
      <c r="B34810" s="6"/>
      <c r="H34810" s="13"/>
    </row>
    <row r="34811">
      <c r="A34811" s="6"/>
      <c r="B34811" s="6"/>
      <c r="H34811" s="13"/>
    </row>
    <row r="34812">
      <c r="A34812" s="6"/>
      <c r="B34812" s="6"/>
      <c r="H34812" s="13"/>
    </row>
    <row r="34813">
      <c r="A34813" s="6"/>
      <c r="B34813" s="6"/>
      <c r="H34813" s="13"/>
    </row>
    <row r="34814">
      <c r="A34814" s="6"/>
      <c r="B34814" s="6"/>
      <c r="H34814" s="13"/>
    </row>
    <row r="34815">
      <c r="A34815" s="6"/>
      <c r="B34815" s="6"/>
      <c r="H34815" s="13"/>
    </row>
    <row r="34816">
      <c r="A34816" s="6"/>
      <c r="B34816" s="6"/>
      <c r="H34816" s="13"/>
    </row>
    <row r="34817">
      <c r="A34817" s="6"/>
      <c r="B34817" s="6"/>
      <c r="H34817" s="13"/>
    </row>
    <row r="34818">
      <c r="A34818" s="6"/>
      <c r="B34818" s="6"/>
      <c r="H34818" s="13"/>
    </row>
    <row r="34819">
      <c r="A34819" s="6"/>
      <c r="B34819" s="6"/>
      <c r="H34819" s="13"/>
    </row>
    <row r="34820">
      <c r="A34820" s="6"/>
      <c r="B34820" s="6"/>
      <c r="H34820" s="13"/>
    </row>
    <row r="34821">
      <c r="A34821" s="6"/>
      <c r="B34821" s="6"/>
      <c r="H34821" s="13"/>
    </row>
    <row r="34822">
      <c r="A34822" s="6"/>
      <c r="B34822" s="6"/>
      <c r="H34822" s="13"/>
    </row>
    <row r="34823">
      <c r="A34823" s="6"/>
      <c r="B34823" s="6"/>
      <c r="H34823" s="13"/>
    </row>
    <row r="34824">
      <c r="A34824" s="6"/>
      <c r="B34824" s="6"/>
      <c r="H34824" s="13"/>
    </row>
    <row r="34825">
      <c r="A34825" s="6"/>
      <c r="B34825" s="6"/>
      <c r="H34825" s="13"/>
    </row>
    <row r="34826">
      <c r="A34826" s="6"/>
      <c r="B34826" s="6"/>
      <c r="H34826" s="13"/>
    </row>
    <row r="34827">
      <c r="A34827" s="6"/>
      <c r="B34827" s="6"/>
      <c r="H34827" s="13"/>
    </row>
    <row r="34828">
      <c r="A34828" s="6"/>
      <c r="B34828" s="6"/>
      <c r="H34828" s="13"/>
    </row>
    <row r="34829">
      <c r="A34829" s="6"/>
      <c r="B34829" s="6"/>
      <c r="H34829" s="13"/>
    </row>
    <row r="34830">
      <c r="A34830" s="6"/>
      <c r="B34830" s="6"/>
      <c r="H34830" s="13"/>
    </row>
    <row r="34831">
      <c r="A34831" s="6"/>
      <c r="B34831" s="6"/>
      <c r="H34831" s="13"/>
    </row>
    <row r="34832">
      <c r="A34832" s="6"/>
      <c r="B34832" s="6"/>
      <c r="H34832" s="13"/>
    </row>
    <row r="34833">
      <c r="A34833" s="6"/>
      <c r="B34833" s="6"/>
      <c r="H34833" s="13"/>
    </row>
    <row r="34834">
      <c r="A34834" s="6"/>
      <c r="B34834" s="6"/>
      <c r="H34834" s="13"/>
    </row>
    <row r="34835">
      <c r="A34835" s="6"/>
      <c r="B34835" s="6"/>
      <c r="H34835" s="13"/>
    </row>
    <row r="34836">
      <c r="A34836" s="6"/>
      <c r="B34836" s="6"/>
      <c r="H34836" s="13"/>
    </row>
    <row r="34837">
      <c r="A34837" s="6"/>
      <c r="B34837" s="6"/>
      <c r="H34837" s="13"/>
    </row>
    <row r="34838">
      <c r="A34838" s="6"/>
      <c r="B34838" s="6"/>
      <c r="H34838" s="13"/>
    </row>
    <row r="34839">
      <c r="A34839" s="6"/>
      <c r="B34839" s="6"/>
      <c r="H34839" s="13"/>
    </row>
    <row r="34840">
      <c r="A34840" s="6"/>
      <c r="B34840" s="6"/>
      <c r="H34840" s="13"/>
    </row>
    <row r="34841">
      <c r="A34841" s="6"/>
      <c r="B34841" s="6"/>
      <c r="H34841" s="13"/>
    </row>
    <row r="34842">
      <c r="A34842" s="6"/>
      <c r="B34842" s="6"/>
      <c r="H34842" s="13"/>
    </row>
    <row r="34843">
      <c r="A34843" s="6"/>
      <c r="B34843" s="6"/>
      <c r="H34843" s="13"/>
    </row>
    <row r="34844">
      <c r="A34844" s="6"/>
      <c r="B34844" s="6"/>
      <c r="H34844" s="13"/>
    </row>
    <row r="34845">
      <c r="A34845" s="6"/>
      <c r="B34845" s="6"/>
      <c r="H34845" s="13"/>
    </row>
    <row r="34846">
      <c r="A34846" s="6"/>
      <c r="B34846" s="6"/>
      <c r="H34846" s="13"/>
    </row>
    <row r="34847">
      <c r="A34847" s="6"/>
      <c r="B34847" s="6"/>
      <c r="H34847" s="13"/>
    </row>
    <row r="34848">
      <c r="A34848" s="6"/>
      <c r="B34848" s="6"/>
      <c r="H34848" s="13"/>
    </row>
    <row r="34849">
      <c r="A34849" s="6"/>
      <c r="B34849" s="6"/>
      <c r="H34849" s="13"/>
    </row>
    <row r="34850">
      <c r="A34850" s="6"/>
      <c r="B34850" s="6"/>
      <c r="H34850" s="13"/>
    </row>
    <row r="34851">
      <c r="A34851" s="6"/>
      <c r="B34851" s="6"/>
      <c r="H34851" s="13"/>
    </row>
    <row r="34852">
      <c r="A34852" s="6"/>
      <c r="B34852" s="6"/>
      <c r="H34852" s="13"/>
    </row>
    <row r="34853">
      <c r="A34853" s="6"/>
      <c r="B34853" s="6"/>
      <c r="H34853" s="13"/>
    </row>
    <row r="34854">
      <c r="A34854" s="6"/>
      <c r="B34854" s="6"/>
      <c r="H34854" s="13"/>
    </row>
    <row r="34855">
      <c r="A34855" s="6"/>
      <c r="B34855" s="6"/>
      <c r="H34855" s="13"/>
    </row>
    <row r="34856">
      <c r="A34856" s="6"/>
      <c r="B34856" s="6"/>
      <c r="H34856" s="13"/>
    </row>
    <row r="34857">
      <c r="A34857" s="6"/>
      <c r="B34857" s="6"/>
      <c r="H34857" s="13"/>
    </row>
    <row r="34858">
      <c r="A34858" s="6"/>
      <c r="B34858" s="6"/>
      <c r="H34858" s="13"/>
    </row>
    <row r="34859">
      <c r="A34859" s="6"/>
      <c r="B34859" s="6"/>
      <c r="H34859" s="13"/>
    </row>
    <row r="34860">
      <c r="A34860" s="6"/>
      <c r="B34860" s="6"/>
      <c r="H34860" s="13"/>
    </row>
    <row r="34861">
      <c r="A34861" s="6"/>
      <c r="B34861" s="6"/>
      <c r="H34861" s="13"/>
    </row>
    <row r="34862">
      <c r="A34862" s="6"/>
      <c r="B34862" s="6"/>
      <c r="H34862" s="13"/>
    </row>
    <row r="34863">
      <c r="A34863" s="6"/>
      <c r="B34863" s="6"/>
      <c r="H34863" s="13"/>
    </row>
    <row r="34864">
      <c r="A34864" s="6"/>
      <c r="B34864" s="6"/>
      <c r="H34864" s="13"/>
    </row>
    <row r="34865">
      <c r="A34865" s="6"/>
      <c r="B34865" s="6"/>
      <c r="H34865" s="13"/>
    </row>
    <row r="34866">
      <c r="A34866" s="6"/>
      <c r="B34866" s="6"/>
      <c r="H34866" s="13"/>
    </row>
    <row r="34867">
      <c r="A34867" s="6"/>
      <c r="B34867" s="6"/>
      <c r="H34867" s="13"/>
    </row>
    <row r="34868">
      <c r="A34868" s="6"/>
      <c r="B34868" s="6"/>
      <c r="H34868" s="13"/>
    </row>
    <row r="34869">
      <c r="A34869" s="6"/>
      <c r="B34869" s="6"/>
      <c r="H34869" s="13"/>
    </row>
    <row r="34870">
      <c r="A34870" s="6"/>
      <c r="B34870" s="6"/>
      <c r="H34870" s="13"/>
    </row>
    <row r="34871">
      <c r="A34871" s="6"/>
      <c r="B34871" s="6"/>
      <c r="H34871" s="13"/>
    </row>
    <row r="34872">
      <c r="A34872" s="6"/>
      <c r="B34872" s="6"/>
      <c r="H34872" s="13"/>
    </row>
    <row r="34873">
      <c r="A34873" s="6"/>
      <c r="B34873" s="6"/>
      <c r="H34873" s="13"/>
    </row>
    <row r="34874">
      <c r="A34874" s="6"/>
      <c r="B34874" s="6"/>
      <c r="H34874" s="13"/>
    </row>
    <row r="34875">
      <c r="A34875" s="6"/>
      <c r="B34875" s="6"/>
      <c r="H34875" s="13"/>
    </row>
    <row r="34876">
      <c r="A34876" s="6"/>
      <c r="B34876" s="6"/>
      <c r="H34876" s="13"/>
    </row>
    <row r="34877">
      <c r="A34877" s="6"/>
      <c r="B34877" s="6"/>
      <c r="H34877" s="13"/>
    </row>
    <row r="34878">
      <c r="A34878" s="6"/>
      <c r="B34878" s="6"/>
      <c r="H34878" s="13"/>
    </row>
    <row r="34879">
      <c r="A34879" s="6"/>
      <c r="B34879" s="6"/>
      <c r="H34879" s="13"/>
    </row>
    <row r="34880">
      <c r="A34880" s="6"/>
      <c r="B34880" s="6"/>
      <c r="H34880" s="13"/>
    </row>
    <row r="34881">
      <c r="A34881" s="6"/>
      <c r="B34881" s="6"/>
      <c r="H34881" s="13"/>
    </row>
    <row r="34882">
      <c r="A34882" s="6"/>
      <c r="B34882" s="6"/>
      <c r="H34882" s="13"/>
    </row>
    <row r="34883">
      <c r="A34883" s="6"/>
      <c r="B34883" s="6"/>
      <c r="H34883" s="13"/>
    </row>
    <row r="34884">
      <c r="A34884" s="6"/>
      <c r="B34884" s="6"/>
      <c r="H34884" s="13"/>
    </row>
    <row r="34885">
      <c r="A34885" s="6"/>
      <c r="B34885" s="6"/>
      <c r="H34885" s="13"/>
    </row>
    <row r="34886">
      <c r="A34886" s="6"/>
      <c r="B34886" s="6"/>
      <c r="H34886" s="13"/>
    </row>
    <row r="34887">
      <c r="A34887" s="6"/>
      <c r="B34887" s="6"/>
      <c r="H34887" s="13"/>
    </row>
    <row r="34888">
      <c r="A34888" s="6"/>
      <c r="B34888" s="6"/>
      <c r="H34888" s="13"/>
    </row>
    <row r="34889">
      <c r="A34889" s="6"/>
      <c r="B34889" s="6"/>
      <c r="H34889" s="13"/>
    </row>
    <row r="34890">
      <c r="A34890" s="6"/>
      <c r="B34890" s="6"/>
      <c r="H34890" s="13"/>
    </row>
    <row r="34891">
      <c r="A34891" s="6"/>
      <c r="B34891" s="6"/>
      <c r="H34891" s="13"/>
    </row>
    <row r="34892">
      <c r="A34892" s="6"/>
      <c r="B34892" s="6"/>
      <c r="H34892" s="13"/>
    </row>
    <row r="34893">
      <c r="A34893" s="6"/>
      <c r="B34893" s="6"/>
      <c r="H34893" s="13"/>
    </row>
    <row r="34894">
      <c r="A34894" s="6"/>
      <c r="B34894" s="6"/>
      <c r="H34894" s="13"/>
    </row>
    <row r="34895">
      <c r="A34895" s="6"/>
      <c r="B34895" s="6"/>
      <c r="H34895" s="13"/>
    </row>
    <row r="34896">
      <c r="A34896" s="6"/>
      <c r="B34896" s="6"/>
      <c r="H34896" s="13"/>
    </row>
    <row r="34897">
      <c r="A34897" s="6"/>
      <c r="B34897" s="6"/>
      <c r="H34897" s="13"/>
    </row>
    <row r="34898">
      <c r="A34898" s="6"/>
      <c r="B34898" s="6"/>
      <c r="H34898" s="13"/>
    </row>
    <row r="34899">
      <c r="A34899" s="6"/>
      <c r="B34899" s="6"/>
      <c r="H34899" s="13"/>
    </row>
    <row r="34900">
      <c r="A34900" s="6"/>
      <c r="B34900" s="6"/>
      <c r="H34900" s="13"/>
    </row>
    <row r="34901">
      <c r="A34901" s="6"/>
      <c r="B34901" s="6"/>
      <c r="H34901" s="13"/>
    </row>
    <row r="34902">
      <c r="A34902" s="6"/>
      <c r="B34902" s="6"/>
      <c r="H34902" s="13"/>
    </row>
    <row r="34903">
      <c r="A34903" s="6"/>
      <c r="B34903" s="6"/>
      <c r="H34903" s="13"/>
    </row>
    <row r="34904">
      <c r="A34904" s="6"/>
      <c r="B34904" s="6"/>
      <c r="H34904" s="13"/>
    </row>
    <row r="34905">
      <c r="A34905" s="6"/>
      <c r="B34905" s="6"/>
      <c r="H34905" s="13"/>
    </row>
    <row r="34906">
      <c r="A34906" s="6"/>
      <c r="B34906" s="6"/>
      <c r="H34906" s="13"/>
    </row>
    <row r="34907">
      <c r="A34907" s="6"/>
      <c r="B34907" s="6"/>
      <c r="H34907" s="13"/>
    </row>
    <row r="34908">
      <c r="A34908" s="6"/>
      <c r="B34908" s="6"/>
      <c r="H34908" s="13"/>
    </row>
    <row r="34909">
      <c r="A34909" s="6"/>
      <c r="B34909" s="6"/>
      <c r="H34909" s="13"/>
    </row>
    <row r="34910">
      <c r="A34910" s="6"/>
      <c r="B34910" s="6"/>
      <c r="H34910" s="13"/>
    </row>
    <row r="34911">
      <c r="A34911" s="6"/>
      <c r="B34911" s="6"/>
      <c r="H34911" s="13"/>
    </row>
    <row r="34912">
      <c r="A34912" s="6"/>
      <c r="B34912" s="6"/>
      <c r="H34912" s="13"/>
    </row>
    <row r="34913">
      <c r="A34913" s="6"/>
      <c r="B34913" s="6"/>
      <c r="H34913" s="13"/>
    </row>
    <row r="34914">
      <c r="A34914" s="6"/>
      <c r="B34914" s="6"/>
      <c r="H34914" s="13"/>
    </row>
    <row r="34915">
      <c r="A34915" s="6"/>
      <c r="B34915" s="6"/>
      <c r="H34915" s="13"/>
    </row>
    <row r="34916">
      <c r="A34916" s="6"/>
      <c r="B34916" s="6"/>
      <c r="H34916" s="13"/>
    </row>
    <row r="34917">
      <c r="A34917" s="6"/>
      <c r="B34917" s="6"/>
      <c r="H34917" s="13"/>
    </row>
    <row r="34918">
      <c r="A34918" s="6"/>
      <c r="B34918" s="6"/>
      <c r="H34918" s="13"/>
    </row>
    <row r="34919">
      <c r="A34919" s="6"/>
      <c r="B34919" s="6"/>
      <c r="H34919" s="13"/>
    </row>
    <row r="34920">
      <c r="A34920" s="6"/>
      <c r="B34920" s="6"/>
      <c r="H34920" s="13"/>
    </row>
    <row r="34921">
      <c r="A34921" s="6"/>
      <c r="B34921" s="6"/>
      <c r="H34921" s="13"/>
    </row>
    <row r="34922">
      <c r="A34922" s="6"/>
      <c r="B34922" s="6"/>
      <c r="H34922" s="13"/>
    </row>
    <row r="34923">
      <c r="A34923" s="6"/>
      <c r="B34923" s="6"/>
      <c r="H34923" s="13"/>
    </row>
    <row r="34924">
      <c r="A34924" s="6"/>
      <c r="B34924" s="6"/>
      <c r="H34924" s="13"/>
    </row>
    <row r="34925">
      <c r="A34925" s="6"/>
      <c r="B34925" s="6"/>
      <c r="H34925" s="13"/>
    </row>
    <row r="34926">
      <c r="A34926" s="6"/>
      <c r="B34926" s="6"/>
      <c r="H34926" s="13"/>
    </row>
    <row r="34927">
      <c r="A34927" s="6"/>
      <c r="B34927" s="6"/>
      <c r="H34927" s="13"/>
    </row>
    <row r="34928">
      <c r="A34928" s="6"/>
      <c r="B34928" s="6"/>
      <c r="H34928" s="13"/>
    </row>
    <row r="34929">
      <c r="A34929" s="6"/>
      <c r="B34929" s="6"/>
      <c r="H34929" s="13"/>
    </row>
    <row r="34930">
      <c r="A34930" s="6"/>
      <c r="B34930" s="6"/>
      <c r="H34930" s="13"/>
    </row>
    <row r="34931">
      <c r="A34931" s="6"/>
      <c r="B34931" s="6"/>
      <c r="H34931" s="13"/>
    </row>
    <row r="34932">
      <c r="A34932" s="6"/>
      <c r="B34932" s="6"/>
      <c r="H34932" s="13"/>
    </row>
    <row r="34933">
      <c r="A34933" s="6"/>
      <c r="B34933" s="6"/>
      <c r="H34933" s="13"/>
    </row>
    <row r="34934">
      <c r="A34934" s="6"/>
      <c r="B34934" s="6"/>
      <c r="H34934" s="13"/>
    </row>
    <row r="34935">
      <c r="A34935" s="6"/>
      <c r="B34935" s="6"/>
      <c r="H34935" s="13"/>
    </row>
    <row r="34936">
      <c r="A34936" s="6"/>
      <c r="B34936" s="6"/>
      <c r="H34936" s="13"/>
    </row>
    <row r="34937">
      <c r="A34937" s="6"/>
      <c r="B34937" s="6"/>
      <c r="H34937" s="13"/>
    </row>
    <row r="34938">
      <c r="A34938" s="6"/>
      <c r="B34938" s="6"/>
      <c r="H34938" s="13"/>
    </row>
    <row r="34939">
      <c r="A34939" s="6"/>
      <c r="B34939" s="6"/>
      <c r="H34939" s="13"/>
    </row>
    <row r="34940">
      <c r="A34940" s="6"/>
      <c r="B34940" s="6"/>
      <c r="H34940" s="13"/>
    </row>
    <row r="34941">
      <c r="A34941" s="6"/>
      <c r="B34941" s="6"/>
      <c r="H34941" s="13"/>
    </row>
    <row r="34942">
      <c r="A34942" s="6"/>
      <c r="B34942" s="6"/>
      <c r="H34942" s="13"/>
    </row>
    <row r="34943">
      <c r="A34943" s="6"/>
      <c r="B34943" s="6"/>
      <c r="H34943" s="13"/>
    </row>
    <row r="34944">
      <c r="A34944" s="6"/>
      <c r="B34944" s="6"/>
      <c r="H34944" s="13"/>
    </row>
    <row r="34945">
      <c r="A34945" s="6"/>
      <c r="B34945" s="6"/>
      <c r="H34945" s="13"/>
    </row>
    <row r="34946">
      <c r="A34946" s="6"/>
      <c r="B34946" s="6"/>
      <c r="H34946" s="13"/>
    </row>
    <row r="34947">
      <c r="A34947" s="6"/>
      <c r="B34947" s="6"/>
      <c r="H34947" s="13"/>
    </row>
    <row r="34948">
      <c r="A34948" s="6"/>
      <c r="B34948" s="6"/>
      <c r="H34948" s="13"/>
    </row>
    <row r="34949">
      <c r="A34949" s="6"/>
      <c r="B34949" s="6"/>
      <c r="H34949" s="13"/>
    </row>
    <row r="34950">
      <c r="A34950" s="6"/>
      <c r="B34950" s="6"/>
      <c r="H34950" s="13"/>
    </row>
    <row r="34951">
      <c r="A34951" s="6"/>
      <c r="B34951" s="6"/>
      <c r="H34951" s="13"/>
    </row>
    <row r="34952">
      <c r="A34952" s="6"/>
      <c r="B34952" s="6"/>
      <c r="H34952" s="13"/>
    </row>
    <row r="34953">
      <c r="A34953" s="6"/>
      <c r="B34953" s="6"/>
      <c r="H34953" s="13"/>
    </row>
    <row r="34954">
      <c r="A34954" s="6"/>
      <c r="B34954" s="6"/>
      <c r="H34954" s="13"/>
    </row>
    <row r="34955">
      <c r="A34955" s="6"/>
      <c r="B34955" s="6"/>
      <c r="H34955" s="13"/>
    </row>
    <row r="34956">
      <c r="A34956" s="6"/>
      <c r="B34956" s="6"/>
      <c r="H34956" s="13"/>
    </row>
    <row r="34957">
      <c r="A34957" s="6"/>
      <c r="B34957" s="6"/>
      <c r="H34957" s="13"/>
    </row>
    <row r="34958">
      <c r="A34958" s="6"/>
      <c r="B34958" s="6"/>
      <c r="H34958" s="13"/>
    </row>
    <row r="34959">
      <c r="A34959" s="6"/>
      <c r="B34959" s="6"/>
      <c r="H34959" s="13"/>
    </row>
    <row r="34960">
      <c r="A34960" s="6"/>
      <c r="B34960" s="6"/>
      <c r="H34960" s="13"/>
    </row>
    <row r="34961">
      <c r="A34961" s="6"/>
      <c r="B34961" s="6"/>
      <c r="H34961" s="13"/>
    </row>
    <row r="34962">
      <c r="A34962" s="6"/>
      <c r="B34962" s="6"/>
      <c r="H34962" s="13"/>
    </row>
    <row r="34963">
      <c r="A34963" s="6"/>
      <c r="B34963" s="6"/>
      <c r="H34963" s="13"/>
    </row>
    <row r="34964">
      <c r="A34964" s="6"/>
      <c r="B34964" s="6"/>
      <c r="H34964" s="13"/>
    </row>
    <row r="34965">
      <c r="A34965" s="6"/>
      <c r="B34965" s="6"/>
      <c r="H34965" s="13"/>
    </row>
    <row r="34966">
      <c r="A34966" s="6"/>
      <c r="B34966" s="6"/>
      <c r="H34966" s="13"/>
    </row>
    <row r="34967">
      <c r="A34967" s="6"/>
      <c r="B34967" s="6"/>
      <c r="H34967" s="13"/>
    </row>
    <row r="34968">
      <c r="A34968" s="6"/>
      <c r="B34968" s="6"/>
      <c r="H34968" s="13"/>
    </row>
    <row r="34969">
      <c r="A34969" s="6"/>
      <c r="B34969" s="6"/>
      <c r="H34969" s="13"/>
    </row>
    <row r="34970">
      <c r="A34970" s="6"/>
      <c r="B34970" s="6"/>
      <c r="H34970" s="13"/>
    </row>
    <row r="34971">
      <c r="A34971" s="6"/>
      <c r="B34971" s="6"/>
      <c r="H34971" s="13"/>
    </row>
    <row r="34972">
      <c r="A34972" s="6"/>
      <c r="B34972" s="6"/>
      <c r="H34972" s="13"/>
    </row>
    <row r="34973">
      <c r="A34973" s="6"/>
      <c r="B34973" s="6"/>
      <c r="H34973" s="13"/>
    </row>
    <row r="34974">
      <c r="A34974" s="6"/>
      <c r="B34974" s="6"/>
      <c r="H34974" s="13"/>
    </row>
    <row r="34975">
      <c r="A34975" s="6"/>
      <c r="B34975" s="6"/>
      <c r="H34975" s="13"/>
    </row>
    <row r="34976">
      <c r="A34976" s="6"/>
      <c r="B34976" s="6"/>
      <c r="H34976" s="13"/>
    </row>
    <row r="34977">
      <c r="A34977" s="6"/>
      <c r="B34977" s="6"/>
      <c r="H34977" s="13"/>
    </row>
    <row r="34978">
      <c r="A34978" s="6"/>
      <c r="B34978" s="6"/>
      <c r="H34978" s="13"/>
    </row>
    <row r="34979">
      <c r="A34979" s="6"/>
      <c r="B34979" s="6"/>
      <c r="H34979" s="13"/>
    </row>
    <row r="34980">
      <c r="A34980" s="6"/>
      <c r="B34980" s="6"/>
      <c r="H34980" s="13"/>
    </row>
    <row r="34981">
      <c r="A34981" s="6"/>
      <c r="B34981" s="6"/>
      <c r="H34981" s="13"/>
    </row>
    <row r="34982">
      <c r="A34982" s="6"/>
      <c r="B34982" s="6"/>
      <c r="H34982" s="13"/>
    </row>
    <row r="34983">
      <c r="A34983" s="6"/>
      <c r="B34983" s="6"/>
      <c r="H34983" s="13"/>
    </row>
    <row r="34984">
      <c r="A34984" s="6"/>
      <c r="B34984" s="6"/>
      <c r="H34984" s="13"/>
    </row>
    <row r="34985">
      <c r="A34985" s="6"/>
      <c r="B34985" s="6"/>
      <c r="H34985" s="13"/>
    </row>
    <row r="34986">
      <c r="A34986" s="6"/>
      <c r="B34986" s="6"/>
      <c r="H34986" s="13"/>
    </row>
    <row r="34987">
      <c r="A34987" s="6"/>
      <c r="B34987" s="6"/>
      <c r="H34987" s="13"/>
    </row>
    <row r="34988">
      <c r="A34988" s="6"/>
      <c r="B34988" s="6"/>
      <c r="H34988" s="13"/>
    </row>
    <row r="34989">
      <c r="A34989" s="6"/>
      <c r="B34989" s="6"/>
      <c r="H34989" s="13"/>
    </row>
    <row r="34990">
      <c r="A34990" s="6"/>
      <c r="B34990" s="6"/>
      <c r="H34990" s="13"/>
    </row>
    <row r="34991">
      <c r="A34991" s="6"/>
      <c r="B34991" s="6"/>
      <c r="H34991" s="13"/>
    </row>
    <row r="34992">
      <c r="A34992" s="6"/>
      <c r="B34992" s="6"/>
      <c r="H34992" s="13"/>
    </row>
    <row r="34993">
      <c r="A34993" s="6"/>
      <c r="B34993" s="6"/>
      <c r="H34993" s="13"/>
    </row>
    <row r="34994">
      <c r="A34994" s="6"/>
      <c r="B34994" s="6"/>
      <c r="H34994" s="13"/>
    </row>
    <row r="34995">
      <c r="A34995" s="6"/>
      <c r="B34995" s="6"/>
      <c r="H34995" s="13"/>
    </row>
    <row r="34996">
      <c r="A34996" s="6"/>
      <c r="B34996" s="6"/>
      <c r="H34996" s="13"/>
    </row>
    <row r="34997">
      <c r="A34997" s="6"/>
      <c r="B34997" s="6"/>
      <c r="H34997" s="13"/>
    </row>
    <row r="34998">
      <c r="A34998" s="6"/>
      <c r="B34998" s="6"/>
      <c r="H34998" s="13"/>
    </row>
    <row r="34999">
      <c r="A34999" s="6"/>
      <c r="B34999" s="6"/>
      <c r="H34999" s="13"/>
    </row>
    <row r="35000">
      <c r="A35000" s="6"/>
      <c r="B35000" s="6"/>
      <c r="H35000" s="13"/>
    </row>
    <row r="35001">
      <c r="A35001" s="6"/>
      <c r="B35001" s="6"/>
      <c r="H35001" s="13"/>
    </row>
    <row r="35002">
      <c r="A35002" s="6"/>
      <c r="B35002" s="6"/>
      <c r="H35002" s="13"/>
    </row>
    <row r="35003">
      <c r="A35003" s="6"/>
      <c r="B35003" s="6"/>
      <c r="H35003" s="13"/>
    </row>
    <row r="35004">
      <c r="A35004" s="6"/>
      <c r="B35004" s="6"/>
      <c r="H35004" s="13"/>
    </row>
    <row r="35005">
      <c r="A35005" s="6"/>
      <c r="B35005" s="6"/>
      <c r="H35005" s="13"/>
    </row>
    <row r="35006">
      <c r="A35006" s="6"/>
      <c r="B35006" s="6"/>
      <c r="H35006" s="13"/>
    </row>
    <row r="35007">
      <c r="A35007" s="6"/>
      <c r="B35007" s="6"/>
      <c r="H35007" s="13"/>
    </row>
    <row r="35008">
      <c r="A35008" s="6"/>
      <c r="B35008" s="6"/>
      <c r="H35008" s="13"/>
    </row>
    <row r="35009">
      <c r="A35009" s="6"/>
      <c r="B35009" s="6"/>
      <c r="H35009" s="13"/>
    </row>
    <row r="35010">
      <c r="A35010" s="6"/>
      <c r="B35010" s="6"/>
      <c r="H35010" s="13"/>
    </row>
    <row r="35011">
      <c r="A35011" s="6"/>
      <c r="B35011" s="6"/>
      <c r="H35011" s="13"/>
    </row>
    <row r="35012">
      <c r="A35012" s="6"/>
      <c r="B35012" s="6"/>
      <c r="H35012" s="13"/>
    </row>
    <row r="35013">
      <c r="A35013" s="6"/>
      <c r="B35013" s="6"/>
      <c r="H35013" s="13"/>
    </row>
    <row r="35014">
      <c r="A35014" s="6"/>
      <c r="B35014" s="6"/>
      <c r="H35014" s="13"/>
    </row>
    <row r="35015">
      <c r="A35015" s="6"/>
      <c r="B35015" s="6"/>
      <c r="H35015" s="13"/>
    </row>
    <row r="35016">
      <c r="A35016" s="6"/>
      <c r="B35016" s="6"/>
      <c r="H35016" s="13"/>
    </row>
    <row r="35017">
      <c r="A35017" s="6"/>
      <c r="B35017" s="6"/>
      <c r="H35017" s="13"/>
    </row>
    <row r="35018">
      <c r="A35018" s="6"/>
      <c r="B35018" s="6"/>
      <c r="H35018" s="13"/>
    </row>
    <row r="35019">
      <c r="A35019" s="6"/>
      <c r="B35019" s="6"/>
      <c r="H35019" s="13"/>
    </row>
    <row r="35020">
      <c r="A35020" s="6"/>
      <c r="B35020" s="6"/>
      <c r="H35020" s="13"/>
    </row>
    <row r="35021">
      <c r="A35021" s="6"/>
      <c r="B35021" s="6"/>
      <c r="H35021" s="13"/>
    </row>
    <row r="35022">
      <c r="A35022" s="6"/>
      <c r="B35022" s="6"/>
      <c r="H35022" s="13"/>
    </row>
    <row r="35023">
      <c r="A35023" s="6"/>
      <c r="B35023" s="6"/>
      <c r="H35023" s="13"/>
    </row>
    <row r="35024">
      <c r="A35024" s="6"/>
      <c r="B35024" s="6"/>
      <c r="H35024" s="13"/>
    </row>
    <row r="35025">
      <c r="A35025" s="6"/>
      <c r="B35025" s="6"/>
      <c r="H35025" s="13"/>
    </row>
    <row r="35026">
      <c r="A35026" s="6"/>
      <c r="B35026" s="6"/>
      <c r="H35026" s="13"/>
    </row>
    <row r="35027">
      <c r="A35027" s="6"/>
      <c r="B35027" s="6"/>
      <c r="H35027" s="13"/>
    </row>
    <row r="35028">
      <c r="A35028" s="6"/>
      <c r="B35028" s="6"/>
      <c r="H35028" s="13"/>
    </row>
    <row r="35029">
      <c r="A35029" s="6"/>
      <c r="B35029" s="6"/>
      <c r="H35029" s="13"/>
    </row>
    <row r="35030">
      <c r="A35030" s="6"/>
      <c r="B35030" s="6"/>
      <c r="H35030" s="13"/>
    </row>
    <row r="35031">
      <c r="A35031" s="6"/>
      <c r="B35031" s="6"/>
      <c r="H35031" s="13"/>
    </row>
    <row r="35032">
      <c r="A35032" s="6"/>
      <c r="B35032" s="6"/>
      <c r="H35032" s="13"/>
    </row>
    <row r="35033">
      <c r="A35033" s="6"/>
      <c r="B35033" s="6"/>
      <c r="H35033" s="13"/>
    </row>
    <row r="35034">
      <c r="A35034" s="6"/>
      <c r="B35034" s="6"/>
      <c r="H35034" s="13"/>
    </row>
    <row r="35035">
      <c r="A35035" s="6"/>
      <c r="B35035" s="6"/>
      <c r="H35035" s="13"/>
    </row>
    <row r="35036">
      <c r="A35036" s="6"/>
      <c r="B35036" s="6"/>
      <c r="H35036" s="13"/>
    </row>
    <row r="35037">
      <c r="A35037" s="6"/>
      <c r="B35037" s="6"/>
      <c r="H35037" s="13"/>
    </row>
    <row r="35038">
      <c r="A35038" s="6"/>
      <c r="B35038" s="6"/>
      <c r="H35038" s="13"/>
    </row>
    <row r="35039">
      <c r="A35039" s="6"/>
      <c r="B35039" s="6"/>
      <c r="H35039" s="13"/>
    </row>
    <row r="35040">
      <c r="A35040" s="6"/>
      <c r="B35040" s="6"/>
      <c r="H35040" s="13"/>
    </row>
    <row r="35041">
      <c r="A35041" s="6"/>
      <c r="B35041" s="6"/>
      <c r="H35041" s="13"/>
    </row>
    <row r="35042">
      <c r="A35042" s="6"/>
      <c r="B35042" s="6"/>
      <c r="H35042" s="13"/>
    </row>
    <row r="35043">
      <c r="A35043" s="6"/>
      <c r="B35043" s="6"/>
      <c r="H35043" s="13"/>
    </row>
    <row r="35044">
      <c r="A35044" s="6"/>
      <c r="B35044" s="6"/>
      <c r="H35044" s="13"/>
    </row>
    <row r="35045">
      <c r="A35045" s="6"/>
      <c r="B35045" s="6"/>
      <c r="H35045" s="13"/>
    </row>
    <row r="35046">
      <c r="A35046" s="6"/>
      <c r="B35046" s="6"/>
      <c r="H35046" s="13"/>
    </row>
    <row r="35047">
      <c r="A35047" s="6"/>
      <c r="B35047" s="6"/>
      <c r="H35047" s="13"/>
    </row>
    <row r="35048">
      <c r="A35048" s="6"/>
      <c r="B35048" s="6"/>
      <c r="H35048" s="13"/>
    </row>
    <row r="35049">
      <c r="A35049" s="6"/>
      <c r="B35049" s="6"/>
      <c r="H35049" s="13"/>
    </row>
    <row r="35050">
      <c r="A35050" s="6"/>
      <c r="B35050" s="6"/>
      <c r="H35050" s="13"/>
    </row>
    <row r="35051">
      <c r="A35051" s="6"/>
      <c r="B35051" s="6"/>
      <c r="H35051" s="13"/>
    </row>
    <row r="35052">
      <c r="A35052" s="6"/>
      <c r="B35052" s="6"/>
      <c r="H35052" s="13"/>
    </row>
    <row r="35053">
      <c r="A35053" s="6"/>
      <c r="B35053" s="6"/>
      <c r="H35053" s="13"/>
    </row>
    <row r="35054">
      <c r="A35054" s="6"/>
      <c r="B35054" s="6"/>
      <c r="H35054" s="13"/>
    </row>
    <row r="35055">
      <c r="A35055" s="6"/>
      <c r="B35055" s="6"/>
      <c r="H35055" s="13"/>
    </row>
    <row r="35056">
      <c r="A35056" s="6"/>
      <c r="B35056" s="6"/>
      <c r="H35056" s="13"/>
    </row>
    <row r="35057">
      <c r="A35057" s="6"/>
      <c r="B35057" s="6"/>
      <c r="H35057" s="13"/>
    </row>
    <row r="35058">
      <c r="A35058" s="6"/>
      <c r="B35058" s="6"/>
      <c r="H35058" s="13"/>
    </row>
    <row r="35059">
      <c r="A35059" s="6"/>
      <c r="B35059" s="6"/>
      <c r="H35059" s="13"/>
    </row>
    <row r="35060">
      <c r="A35060" s="6"/>
      <c r="B35060" s="6"/>
      <c r="H35060" s="13"/>
    </row>
    <row r="35061">
      <c r="A35061" s="6"/>
      <c r="B35061" s="6"/>
      <c r="H35061" s="13"/>
    </row>
    <row r="35062">
      <c r="A35062" s="6"/>
      <c r="B35062" s="6"/>
      <c r="H35062" s="13"/>
    </row>
    <row r="35063">
      <c r="A35063" s="6"/>
      <c r="B35063" s="6"/>
      <c r="H35063" s="13"/>
    </row>
    <row r="35064">
      <c r="A35064" s="6"/>
      <c r="B35064" s="6"/>
      <c r="H35064" s="13"/>
    </row>
    <row r="35065">
      <c r="A35065" s="6"/>
      <c r="B35065" s="6"/>
      <c r="H35065" s="13"/>
    </row>
    <row r="35066">
      <c r="A35066" s="6"/>
      <c r="B35066" s="6"/>
      <c r="H35066" s="13"/>
    </row>
    <row r="35067">
      <c r="A35067" s="6"/>
      <c r="B35067" s="6"/>
      <c r="H35067" s="13"/>
    </row>
    <row r="35068">
      <c r="A35068" s="6"/>
      <c r="B35068" s="6"/>
      <c r="H35068" s="13"/>
    </row>
    <row r="35069">
      <c r="A35069" s="6"/>
      <c r="B35069" s="6"/>
      <c r="H35069" s="13"/>
    </row>
    <row r="35070">
      <c r="A35070" s="6"/>
      <c r="B35070" s="6"/>
      <c r="H35070" s="13"/>
    </row>
    <row r="35071">
      <c r="A35071" s="6"/>
      <c r="B35071" s="6"/>
      <c r="H35071" s="13"/>
    </row>
    <row r="35072">
      <c r="A35072" s="6"/>
      <c r="B35072" s="6"/>
      <c r="H35072" s="13"/>
    </row>
    <row r="35073">
      <c r="A35073" s="6"/>
      <c r="B35073" s="6"/>
      <c r="H35073" s="13"/>
    </row>
    <row r="35074">
      <c r="A35074" s="6"/>
      <c r="B35074" s="6"/>
      <c r="H35074" s="13"/>
    </row>
    <row r="35075">
      <c r="A35075" s="6"/>
      <c r="B35075" s="6"/>
      <c r="H35075" s="13"/>
    </row>
    <row r="35076">
      <c r="A35076" s="6"/>
      <c r="B35076" s="6"/>
      <c r="H35076" s="13"/>
    </row>
    <row r="35077">
      <c r="A35077" s="6"/>
      <c r="B35077" s="6"/>
      <c r="H35077" s="13"/>
    </row>
    <row r="35078">
      <c r="A35078" s="6"/>
      <c r="B35078" s="6"/>
      <c r="H35078" s="13"/>
    </row>
    <row r="35079">
      <c r="A35079" s="6"/>
      <c r="B35079" s="6"/>
      <c r="H35079" s="13"/>
    </row>
    <row r="35080">
      <c r="A35080" s="6"/>
      <c r="B35080" s="6"/>
      <c r="H35080" s="13"/>
    </row>
    <row r="35081">
      <c r="A35081" s="6"/>
      <c r="B35081" s="6"/>
      <c r="H35081" s="13"/>
    </row>
    <row r="35082">
      <c r="A35082" s="6"/>
      <c r="B35082" s="6"/>
      <c r="H35082" s="13"/>
    </row>
    <row r="35083">
      <c r="A35083" s="6"/>
      <c r="B35083" s="6"/>
      <c r="H35083" s="13"/>
    </row>
    <row r="35084">
      <c r="A35084" s="6"/>
      <c r="B35084" s="6"/>
      <c r="H35084" s="13"/>
    </row>
    <row r="35085">
      <c r="A35085" s="6"/>
      <c r="B35085" s="6"/>
      <c r="H35085" s="13"/>
    </row>
    <row r="35086">
      <c r="A35086" s="6"/>
      <c r="B35086" s="6"/>
      <c r="H35086" s="13"/>
    </row>
    <row r="35087">
      <c r="A35087" s="6"/>
      <c r="B35087" s="6"/>
      <c r="H35087" s="13"/>
    </row>
    <row r="35088">
      <c r="A35088" s="6"/>
      <c r="B35088" s="6"/>
      <c r="H35088" s="13"/>
    </row>
    <row r="35089">
      <c r="A35089" s="6"/>
      <c r="B35089" s="6"/>
      <c r="H35089" s="13"/>
    </row>
    <row r="35090">
      <c r="A35090" s="6"/>
      <c r="B35090" s="6"/>
      <c r="H35090" s="13"/>
    </row>
    <row r="35091">
      <c r="A35091" s="6"/>
      <c r="B35091" s="6"/>
      <c r="H35091" s="13"/>
    </row>
    <row r="35092">
      <c r="A35092" s="6"/>
      <c r="B35092" s="6"/>
      <c r="H35092" s="13"/>
    </row>
    <row r="35093">
      <c r="A35093" s="6"/>
      <c r="B35093" s="6"/>
      <c r="H35093" s="13"/>
    </row>
    <row r="35094">
      <c r="A35094" s="6"/>
      <c r="B35094" s="6"/>
      <c r="H35094" s="13"/>
    </row>
    <row r="35095">
      <c r="A35095" s="6"/>
      <c r="B35095" s="6"/>
      <c r="H35095" s="13"/>
    </row>
    <row r="35096">
      <c r="A35096" s="6"/>
      <c r="B35096" s="6"/>
      <c r="H35096" s="13"/>
    </row>
    <row r="35097">
      <c r="A35097" s="6"/>
      <c r="B35097" s="6"/>
      <c r="H35097" s="13"/>
    </row>
    <row r="35098">
      <c r="A35098" s="6"/>
      <c r="B35098" s="6"/>
      <c r="H35098" s="13"/>
    </row>
    <row r="35099">
      <c r="A35099" s="6"/>
      <c r="B35099" s="6"/>
      <c r="H35099" s="13"/>
    </row>
    <row r="35100">
      <c r="A35100" s="6"/>
      <c r="B35100" s="6"/>
      <c r="H35100" s="13"/>
    </row>
    <row r="35101">
      <c r="A35101" s="6"/>
      <c r="B35101" s="6"/>
      <c r="H35101" s="13"/>
    </row>
    <row r="35102">
      <c r="A35102" s="6"/>
      <c r="B35102" s="6"/>
      <c r="H35102" s="13"/>
    </row>
    <row r="35103">
      <c r="A35103" s="6"/>
      <c r="B35103" s="6"/>
      <c r="H35103" s="13"/>
    </row>
    <row r="35104">
      <c r="A35104" s="6"/>
      <c r="B35104" s="6"/>
      <c r="H35104" s="13"/>
    </row>
    <row r="35105">
      <c r="A35105" s="6"/>
      <c r="B35105" s="6"/>
      <c r="H35105" s="13"/>
    </row>
    <row r="35106">
      <c r="A35106" s="6"/>
      <c r="B35106" s="6"/>
      <c r="H35106" s="13"/>
    </row>
    <row r="35107">
      <c r="A35107" s="6"/>
      <c r="B35107" s="6"/>
      <c r="H35107" s="13"/>
    </row>
    <row r="35108">
      <c r="A35108" s="6"/>
      <c r="B35108" s="6"/>
      <c r="H35108" s="13"/>
    </row>
    <row r="35109">
      <c r="A35109" s="6"/>
      <c r="B35109" s="6"/>
      <c r="H35109" s="13"/>
    </row>
    <row r="35110">
      <c r="A35110" s="6"/>
      <c r="B35110" s="6"/>
      <c r="H35110" s="13"/>
    </row>
    <row r="35111">
      <c r="A35111" s="6"/>
      <c r="B35111" s="6"/>
      <c r="H35111" s="13"/>
    </row>
    <row r="35112">
      <c r="A35112" s="6"/>
      <c r="B35112" s="6"/>
      <c r="H35112" s="13"/>
    </row>
    <row r="35113">
      <c r="A35113" s="6"/>
      <c r="B35113" s="6"/>
      <c r="H35113" s="13"/>
    </row>
    <row r="35114">
      <c r="A35114" s="6"/>
      <c r="B35114" s="6"/>
      <c r="H35114" s="13"/>
    </row>
    <row r="35115">
      <c r="A35115" s="6"/>
      <c r="B35115" s="6"/>
      <c r="H35115" s="13"/>
    </row>
    <row r="35116">
      <c r="A35116" s="6"/>
      <c r="B35116" s="6"/>
      <c r="H35116" s="13"/>
    </row>
    <row r="35117">
      <c r="A35117" s="6"/>
      <c r="B35117" s="6"/>
      <c r="H35117" s="13"/>
    </row>
    <row r="35118">
      <c r="A35118" s="6"/>
      <c r="B35118" s="6"/>
      <c r="H35118" s="13"/>
    </row>
    <row r="35119">
      <c r="A35119" s="6"/>
      <c r="B35119" s="6"/>
      <c r="H35119" s="13"/>
    </row>
    <row r="35120">
      <c r="A35120" s="6"/>
      <c r="B35120" s="6"/>
      <c r="H35120" s="13"/>
    </row>
    <row r="35121">
      <c r="A35121" s="6"/>
      <c r="B35121" s="6"/>
      <c r="H35121" s="13"/>
    </row>
    <row r="35122">
      <c r="A35122" s="6"/>
      <c r="B35122" s="6"/>
      <c r="H35122" s="13"/>
    </row>
    <row r="35123">
      <c r="A35123" s="6"/>
      <c r="B35123" s="6"/>
      <c r="H35123" s="13"/>
    </row>
    <row r="35124">
      <c r="A35124" s="6"/>
      <c r="B35124" s="6"/>
      <c r="H35124" s="13"/>
    </row>
    <row r="35125">
      <c r="A35125" s="6"/>
      <c r="B35125" s="6"/>
      <c r="H35125" s="13"/>
    </row>
    <row r="35126">
      <c r="A35126" s="6"/>
      <c r="B35126" s="6"/>
      <c r="H35126" s="13"/>
    </row>
    <row r="35127">
      <c r="A35127" s="6"/>
      <c r="B35127" s="6"/>
      <c r="H35127" s="13"/>
    </row>
    <row r="35128">
      <c r="A35128" s="6"/>
      <c r="B35128" s="6"/>
      <c r="H35128" s="13"/>
    </row>
    <row r="35129">
      <c r="A35129" s="6"/>
      <c r="B35129" s="6"/>
      <c r="H35129" s="13"/>
    </row>
    <row r="35130">
      <c r="A35130" s="6"/>
      <c r="B35130" s="6"/>
      <c r="H35130" s="13"/>
    </row>
    <row r="35131">
      <c r="A35131" s="6"/>
      <c r="B35131" s="6"/>
      <c r="H35131" s="13"/>
    </row>
    <row r="35132">
      <c r="A35132" s="6"/>
      <c r="B35132" s="6"/>
      <c r="H35132" s="13"/>
    </row>
    <row r="35133">
      <c r="A35133" s="6"/>
      <c r="B35133" s="6"/>
      <c r="H35133" s="13"/>
    </row>
    <row r="35134">
      <c r="A35134" s="6"/>
      <c r="B35134" s="6"/>
      <c r="H35134" s="13"/>
    </row>
    <row r="35135">
      <c r="A35135" s="6"/>
      <c r="B35135" s="6"/>
      <c r="H35135" s="13"/>
    </row>
    <row r="35136">
      <c r="A35136" s="6"/>
      <c r="B35136" s="6"/>
      <c r="H35136" s="13"/>
    </row>
    <row r="35137">
      <c r="A35137" s="6"/>
      <c r="B35137" s="6"/>
      <c r="H35137" s="13"/>
    </row>
    <row r="35138">
      <c r="A35138" s="6"/>
      <c r="B35138" s="6"/>
      <c r="H35138" s="13"/>
    </row>
    <row r="35139">
      <c r="A35139" s="6"/>
      <c r="B35139" s="6"/>
      <c r="H35139" s="13"/>
    </row>
    <row r="35140">
      <c r="A35140" s="6"/>
      <c r="B35140" s="6"/>
      <c r="H35140" s="13"/>
    </row>
    <row r="35141">
      <c r="A35141" s="6"/>
      <c r="B35141" s="6"/>
      <c r="H35141" s="13"/>
    </row>
    <row r="35142">
      <c r="A35142" s="6"/>
      <c r="B35142" s="6"/>
      <c r="H35142" s="13"/>
    </row>
    <row r="35143">
      <c r="A35143" s="6"/>
      <c r="B35143" s="6"/>
      <c r="H35143" s="13"/>
    </row>
    <row r="35144">
      <c r="A35144" s="6"/>
      <c r="B35144" s="6"/>
      <c r="H35144" s="13"/>
    </row>
    <row r="35145">
      <c r="A35145" s="6"/>
      <c r="B35145" s="6"/>
      <c r="H35145" s="13"/>
    </row>
    <row r="35146">
      <c r="A35146" s="6"/>
      <c r="B35146" s="6"/>
      <c r="H35146" s="13"/>
    </row>
    <row r="35147">
      <c r="A35147" s="6"/>
      <c r="B35147" s="6"/>
      <c r="H35147" s="13"/>
    </row>
    <row r="35148">
      <c r="A35148" s="6"/>
      <c r="B35148" s="6"/>
      <c r="H35148" s="13"/>
    </row>
    <row r="35149">
      <c r="A35149" s="6"/>
      <c r="B35149" s="6"/>
      <c r="H35149" s="13"/>
    </row>
    <row r="35150">
      <c r="A35150" s="6"/>
      <c r="B35150" s="6"/>
      <c r="H35150" s="13"/>
    </row>
    <row r="35151">
      <c r="A35151" s="6"/>
      <c r="B35151" s="6"/>
      <c r="H35151" s="13"/>
    </row>
    <row r="35152">
      <c r="A35152" s="6"/>
      <c r="B35152" s="6"/>
      <c r="H35152" s="13"/>
    </row>
    <row r="35153">
      <c r="A35153" s="6"/>
      <c r="B35153" s="6"/>
      <c r="H35153" s="13"/>
    </row>
    <row r="35154">
      <c r="A35154" s="6"/>
      <c r="B35154" s="6"/>
      <c r="H35154" s="13"/>
    </row>
    <row r="35155">
      <c r="A35155" s="6"/>
      <c r="B35155" s="6"/>
      <c r="H35155" s="13"/>
    </row>
    <row r="35156">
      <c r="A35156" s="6"/>
      <c r="B35156" s="6"/>
      <c r="H35156" s="13"/>
    </row>
    <row r="35157">
      <c r="A35157" s="6"/>
      <c r="B35157" s="6"/>
      <c r="H35157" s="13"/>
    </row>
    <row r="35158">
      <c r="A35158" s="6"/>
      <c r="B35158" s="6"/>
      <c r="H35158" s="13"/>
    </row>
    <row r="35159">
      <c r="A35159" s="6"/>
      <c r="B35159" s="6"/>
      <c r="H35159" s="13"/>
    </row>
    <row r="35160">
      <c r="A35160" s="6"/>
      <c r="B35160" s="6"/>
      <c r="H35160" s="13"/>
    </row>
    <row r="35161">
      <c r="A35161" s="6"/>
      <c r="B35161" s="6"/>
      <c r="H35161" s="13"/>
    </row>
    <row r="35162">
      <c r="A35162" s="6"/>
      <c r="B35162" s="6"/>
      <c r="H35162" s="13"/>
    </row>
    <row r="35163">
      <c r="A35163" s="6"/>
      <c r="B35163" s="6"/>
      <c r="H35163" s="13"/>
    </row>
    <row r="35164">
      <c r="A35164" s="6"/>
      <c r="B35164" s="6"/>
      <c r="H35164" s="13"/>
    </row>
    <row r="35165">
      <c r="A35165" s="6"/>
      <c r="B35165" s="6"/>
      <c r="H35165" s="13"/>
    </row>
    <row r="35166">
      <c r="A35166" s="6"/>
      <c r="B35166" s="6"/>
      <c r="H35166" s="13"/>
    </row>
    <row r="35167">
      <c r="A35167" s="6"/>
      <c r="B35167" s="6"/>
      <c r="H35167" s="13"/>
    </row>
    <row r="35168">
      <c r="A35168" s="6"/>
      <c r="B35168" s="6"/>
      <c r="H35168" s="13"/>
    </row>
    <row r="35169">
      <c r="A35169" s="6"/>
      <c r="B35169" s="6"/>
      <c r="H35169" s="13"/>
    </row>
    <row r="35170">
      <c r="A35170" s="6"/>
      <c r="B35170" s="6"/>
      <c r="H35170" s="13"/>
    </row>
    <row r="35171">
      <c r="A35171" s="6"/>
      <c r="B35171" s="6"/>
      <c r="H35171" s="13"/>
    </row>
    <row r="35172">
      <c r="A35172" s="6"/>
      <c r="B35172" s="6"/>
      <c r="H35172" s="13"/>
    </row>
    <row r="35173">
      <c r="A35173" s="6"/>
      <c r="B35173" s="6"/>
      <c r="H35173" s="13"/>
    </row>
    <row r="35174">
      <c r="A35174" s="6"/>
      <c r="B35174" s="6"/>
      <c r="H35174" s="13"/>
    </row>
    <row r="35175">
      <c r="A35175" s="6"/>
      <c r="B35175" s="6"/>
      <c r="H35175" s="13"/>
    </row>
    <row r="35176">
      <c r="A35176" s="6"/>
      <c r="B35176" s="6"/>
      <c r="H35176" s="13"/>
    </row>
    <row r="35177">
      <c r="A35177" s="6"/>
      <c r="B35177" s="6"/>
      <c r="H35177" s="13"/>
    </row>
    <row r="35178">
      <c r="A35178" s="6"/>
      <c r="B35178" s="6"/>
      <c r="H35178" s="13"/>
    </row>
    <row r="35179">
      <c r="A35179" s="6"/>
      <c r="B35179" s="6"/>
      <c r="H35179" s="13"/>
    </row>
    <row r="35180">
      <c r="A35180" s="6"/>
      <c r="B35180" s="6"/>
      <c r="H35180" s="13"/>
    </row>
    <row r="35181">
      <c r="A35181" s="6"/>
      <c r="B35181" s="6"/>
      <c r="H35181" s="13"/>
    </row>
    <row r="35182">
      <c r="A35182" s="6"/>
      <c r="B35182" s="6"/>
      <c r="H35182" s="13"/>
    </row>
    <row r="35183">
      <c r="A35183" s="6"/>
      <c r="B35183" s="6"/>
      <c r="H35183" s="13"/>
    </row>
    <row r="35184">
      <c r="A35184" s="6"/>
      <c r="B35184" s="6"/>
      <c r="H35184" s="13"/>
    </row>
    <row r="35185">
      <c r="A35185" s="6"/>
      <c r="B35185" s="6"/>
      <c r="H35185" s="13"/>
    </row>
    <row r="35186">
      <c r="A35186" s="6"/>
      <c r="B35186" s="6"/>
      <c r="H35186" s="13"/>
    </row>
    <row r="35187">
      <c r="A35187" s="6"/>
      <c r="B35187" s="6"/>
      <c r="H35187" s="13"/>
    </row>
    <row r="35188">
      <c r="A35188" s="6"/>
      <c r="B35188" s="6"/>
      <c r="H35188" s="13"/>
    </row>
    <row r="35189">
      <c r="A35189" s="6"/>
      <c r="B35189" s="6"/>
      <c r="H35189" s="13"/>
    </row>
    <row r="35190">
      <c r="A35190" s="6"/>
      <c r="B35190" s="6"/>
      <c r="H35190" s="13"/>
    </row>
    <row r="35191">
      <c r="A35191" s="6"/>
      <c r="B35191" s="6"/>
      <c r="H35191" s="13"/>
    </row>
    <row r="35192">
      <c r="A35192" s="6"/>
      <c r="B35192" s="6"/>
      <c r="H35192" s="13"/>
    </row>
    <row r="35193">
      <c r="A35193" s="6"/>
      <c r="B35193" s="6"/>
      <c r="H35193" s="13"/>
    </row>
    <row r="35194">
      <c r="A35194" s="6"/>
      <c r="B35194" s="6"/>
      <c r="H35194" s="13"/>
    </row>
    <row r="35195">
      <c r="A35195" s="6"/>
      <c r="B35195" s="6"/>
      <c r="H35195" s="13"/>
    </row>
    <row r="35196">
      <c r="A35196" s="6"/>
      <c r="B35196" s="6"/>
      <c r="H35196" s="13"/>
    </row>
    <row r="35197">
      <c r="A35197" s="6"/>
      <c r="B35197" s="6"/>
      <c r="H35197" s="13"/>
    </row>
    <row r="35198">
      <c r="A35198" s="6"/>
      <c r="B35198" s="6"/>
      <c r="H35198" s="13"/>
    </row>
    <row r="35199">
      <c r="A35199" s="6"/>
      <c r="B35199" s="6"/>
      <c r="H35199" s="13"/>
    </row>
    <row r="35200">
      <c r="A35200" s="6"/>
      <c r="B35200" s="6"/>
      <c r="H35200" s="13"/>
    </row>
    <row r="35201">
      <c r="A35201" s="6"/>
      <c r="B35201" s="6"/>
      <c r="H35201" s="13"/>
    </row>
    <row r="35202">
      <c r="A35202" s="6"/>
      <c r="B35202" s="6"/>
      <c r="H35202" s="13"/>
    </row>
    <row r="35203">
      <c r="A35203" s="6"/>
      <c r="B35203" s="6"/>
      <c r="H35203" s="13"/>
    </row>
    <row r="35204">
      <c r="A35204" s="6"/>
      <c r="B35204" s="6"/>
      <c r="H35204" s="13"/>
    </row>
    <row r="35205">
      <c r="A35205" s="6"/>
      <c r="B35205" s="6"/>
      <c r="H35205" s="13"/>
    </row>
    <row r="35206">
      <c r="A35206" s="6"/>
      <c r="B35206" s="6"/>
      <c r="H35206" s="13"/>
    </row>
    <row r="35207">
      <c r="A35207" s="6"/>
      <c r="B35207" s="6"/>
      <c r="H35207" s="13"/>
    </row>
    <row r="35208">
      <c r="A35208" s="6"/>
      <c r="B35208" s="6"/>
      <c r="H35208" s="13"/>
    </row>
    <row r="35209">
      <c r="A35209" s="6"/>
      <c r="B35209" s="6"/>
      <c r="H35209" s="13"/>
    </row>
    <row r="35210">
      <c r="A35210" s="6"/>
      <c r="B35210" s="6"/>
      <c r="H35210" s="13"/>
    </row>
    <row r="35211">
      <c r="A35211" s="6"/>
      <c r="B35211" s="6"/>
      <c r="H35211" s="13"/>
    </row>
    <row r="35212">
      <c r="A35212" s="6"/>
      <c r="B35212" s="6"/>
      <c r="H35212" s="13"/>
    </row>
    <row r="35213">
      <c r="A35213" s="6"/>
      <c r="B35213" s="6"/>
      <c r="H35213" s="13"/>
    </row>
    <row r="35214">
      <c r="A35214" s="6"/>
      <c r="B35214" s="6"/>
      <c r="H35214" s="13"/>
    </row>
    <row r="35215">
      <c r="A35215" s="6"/>
      <c r="B35215" s="6"/>
      <c r="H35215" s="13"/>
    </row>
    <row r="35216">
      <c r="A35216" s="6"/>
      <c r="B35216" s="6"/>
      <c r="H35216" s="13"/>
    </row>
    <row r="35217">
      <c r="A35217" s="6"/>
      <c r="B35217" s="6"/>
      <c r="H35217" s="13"/>
    </row>
    <row r="35218">
      <c r="A35218" s="6"/>
      <c r="B35218" s="6"/>
      <c r="H35218" s="13"/>
    </row>
    <row r="35219">
      <c r="A35219" s="6"/>
      <c r="B35219" s="6"/>
      <c r="H35219" s="13"/>
    </row>
    <row r="35220">
      <c r="A35220" s="6"/>
      <c r="B35220" s="6"/>
      <c r="H35220" s="13"/>
    </row>
    <row r="35221">
      <c r="A35221" s="6"/>
      <c r="B35221" s="6"/>
      <c r="H35221" s="13"/>
    </row>
    <row r="35222">
      <c r="A35222" s="6"/>
      <c r="B35222" s="6"/>
      <c r="H35222" s="13"/>
    </row>
    <row r="35223">
      <c r="A35223" s="6"/>
      <c r="B35223" s="6"/>
      <c r="H35223" s="13"/>
    </row>
    <row r="35224">
      <c r="A35224" s="6"/>
      <c r="B35224" s="6"/>
      <c r="H35224" s="13"/>
    </row>
    <row r="35225">
      <c r="A35225" s="6"/>
      <c r="B35225" s="6"/>
      <c r="H35225" s="13"/>
    </row>
    <row r="35226">
      <c r="A35226" s="6"/>
      <c r="B35226" s="6"/>
      <c r="H35226" s="13"/>
    </row>
    <row r="35227">
      <c r="A35227" s="6"/>
      <c r="B35227" s="6"/>
      <c r="H35227" s="13"/>
    </row>
    <row r="35228">
      <c r="A35228" s="6"/>
      <c r="B35228" s="6"/>
      <c r="H35228" s="13"/>
    </row>
    <row r="35229">
      <c r="A35229" s="6"/>
      <c r="B35229" s="6"/>
      <c r="H35229" s="13"/>
    </row>
    <row r="35230">
      <c r="A35230" s="6"/>
      <c r="B35230" s="6"/>
      <c r="H35230" s="13"/>
    </row>
    <row r="35231">
      <c r="A35231" s="6"/>
      <c r="B35231" s="6"/>
      <c r="H35231" s="13"/>
    </row>
    <row r="35232">
      <c r="A35232" s="6"/>
      <c r="B35232" s="6"/>
      <c r="H35232" s="13"/>
    </row>
    <row r="35233">
      <c r="A35233" s="6"/>
      <c r="B35233" s="6"/>
      <c r="H35233" s="13"/>
    </row>
    <row r="35234">
      <c r="A35234" s="6"/>
      <c r="B35234" s="6"/>
      <c r="H35234" s="13"/>
    </row>
    <row r="35235">
      <c r="A35235" s="6"/>
      <c r="B35235" s="6"/>
      <c r="H35235" s="13"/>
    </row>
    <row r="35236">
      <c r="A35236" s="6"/>
      <c r="B35236" s="6"/>
      <c r="H35236" s="13"/>
    </row>
    <row r="35237">
      <c r="A35237" s="6"/>
      <c r="B35237" s="6"/>
      <c r="H35237" s="13"/>
    </row>
    <row r="35238">
      <c r="A35238" s="6"/>
      <c r="B35238" s="6"/>
      <c r="H35238" s="13"/>
    </row>
    <row r="35239">
      <c r="A35239" s="6"/>
      <c r="B35239" s="6"/>
      <c r="H35239" s="13"/>
    </row>
    <row r="35240">
      <c r="A35240" s="6"/>
      <c r="B35240" s="6"/>
      <c r="H35240" s="13"/>
    </row>
    <row r="35241">
      <c r="A35241" s="6"/>
      <c r="B35241" s="6"/>
      <c r="H35241" s="13"/>
    </row>
    <row r="35242">
      <c r="A35242" s="6"/>
      <c r="B35242" s="6"/>
      <c r="H35242" s="13"/>
    </row>
    <row r="35243">
      <c r="A35243" s="6"/>
      <c r="B35243" s="6"/>
      <c r="H35243" s="13"/>
    </row>
    <row r="35244">
      <c r="A35244" s="6"/>
      <c r="B35244" s="6"/>
      <c r="H35244" s="13"/>
    </row>
    <row r="35245">
      <c r="A35245" s="6"/>
      <c r="B35245" s="6"/>
      <c r="H35245" s="13"/>
    </row>
    <row r="35246">
      <c r="A35246" s="6"/>
      <c r="B35246" s="6"/>
      <c r="H35246" s="13"/>
    </row>
    <row r="35247">
      <c r="A35247" s="6"/>
      <c r="B35247" s="6"/>
      <c r="H35247" s="13"/>
    </row>
    <row r="35248">
      <c r="A35248" s="6"/>
      <c r="B35248" s="6"/>
      <c r="H35248" s="13"/>
    </row>
    <row r="35249">
      <c r="A35249" s="6"/>
      <c r="B35249" s="6"/>
      <c r="H35249" s="13"/>
    </row>
    <row r="35250">
      <c r="A35250" s="6"/>
      <c r="B35250" s="6"/>
      <c r="H35250" s="13"/>
    </row>
    <row r="35251">
      <c r="A35251" s="6"/>
      <c r="B35251" s="6"/>
      <c r="H35251" s="13"/>
    </row>
    <row r="35252">
      <c r="A35252" s="6"/>
      <c r="B35252" s="6"/>
      <c r="H35252" s="13"/>
    </row>
    <row r="35253">
      <c r="A35253" s="6"/>
      <c r="B35253" s="6"/>
      <c r="H35253" s="13"/>
    </row>
    <row r="35254">
      <c r="A35254" s="6"/>
      <c r="B35254" s="6"/>
      <c r="H35254" s="13"/>
    </row>
    <row r="35255">
      <c r="A35255" s="6"/>
      <c r="B35255" s="6"/>
      <c r="H35255" s="13"/>
    </row>
    <row r="35256">
      <c r="A35256" s="6"/>
      <c r="B35256" s="6"/>
      <c r="H35256" s="13"/>
    </row>
    <row r="35257">
      <c r="A35257" s="6"/>
      <c r="B35257" s="6"/>
      <c r="H35257" s="13"/>
    </row>
    <row r="35258">
      <c r="A35258" s="6"/>
      <c r="B35258" s="6"/>
      <c r="H35258" s="13"/>
    </row>
    <row r="35259">
      <c r="A35259" s="6"/>
      <c r="B35259" s="6"/>
      <c r="H35259" s="13"/>
    </row>
    <row r="35260">
      <c r="A35260" s="6"/>
      <c r="B35260" s="6"/>
      <c r="H35260" s="13"/>
    </row>
    <row r="35261">
      <c r="A35261" s="6"/>
      <c r="B35261" s="6"/>
      <c r="H35261" s="13"/>
    </row>
    <row r="35262">
      <c r="A35262" s="6"/>
      <c r="B35262" s="6"/>
      <c r="H35262" s="13"/>
    </row>
    <row r="35263">
      <c r="A35263" s="6"/>
      <c r="B35263" s="6"/>
      <c r="H35263" s="13"/>
    </row>
    <row r="35264">
      <c r="A35264" s="6"/>
      <c r="B35264" s="6"/>
      <c r="H35264" s="13"/>
    </row>
    <row r="35265">
      <c r="A35265" s="6"/>
      <c r="B35265" s="6"/>
      <c r="H35265" s="13"/>
    </row>
    <row r="35266">
      <c r="A35266" s="6"/>
      <c r="B35266" s="6"/>
      <c r="H35266" s="13"/>
    </row>
    <row r="35267">
      <c r="A35267" s="6"/>
      <c r="B35267" s="6"/>
      <c r="H35267" s="13"/>
    </row>
    <row r="35268">
      <c r="A35268" s="6"/>
      <c r="B35268" s="6"/>
      <c r="H35268" s="13"/>
    </row>
    <row r="35269">
      <c r="A35269" s="6"/>
      <c r="B35269" s="6"/>
      <c r="H35269" s="13"/>
    </row>
    <row r="35270">
      <c r="A35270" s="6"/>
      <c r="B35270" s="6"/>
      <c r="H35270" s="13"/>
    </row>
    <row r="35271">
      <c r="A35271" s="6"/>
      <c r="B35271" s="6"/>
      <c r="H35271" s="13"/>
    </row>
    <row r="35272">
      <c r="A35272" s="6"/>
      <c r="B35272" s="6"/>
      <c r="H35272" s="13"/>
    </row>
    <row r="35273">
      <c r="A35273" s="6"/>
      <c r="B35273" s="6"/>
      <c r="H35273" s="13"/>
    </row>
    <row r="35274">
      <c r="A35274" s="6"/>
      <c r="B35274" s="6"/>
      <c r="H35274" s="13"/>
    </row>
    <row r="35275">
      <c r="A35275" s="6"/>
      <c r="B35275" s="6"/>
      <c r="H35275" s="13"/>
    </row>
    <row r="35276">
      <c r="A35276" s="6"/>
      <c r="B35276" s="6"/>
      <c r="H35276" s="13"/>
    </row>
    <row r="35277">
      <c r="A35277" s="6"/>
      <c r="B35277" s="6"/>
      <c r="H35277" s="13"/>
    </row>
    <row r="35278">
      <c r="A35278" s="6"/>
      <c r="B35278" s="6"/>
      <c r="H35278" s="13"/>
    </row>
    <row r="35279">
      <c r="A35279" s="6"/>
      <c r="B35279" s="6"/>
      <c r="H35279" s="13"/>
    </row>
    <row r="35280">
      <c r="A35280" s="6"/>
      <c r="B35280" s="6"/>
      <c r="H35280" s="13"/>
    </row>
    <row r="35281">
      <c r="A35281" s="6"/>
      <c r="B35281" s="6"/>
      <c r="H35281" s="13"/>
    </row>
    <row r="35282">
      <c r="A35282" s="6"/>
      <c r="B35282" s="6"/>
      <c r="H35282" s="13"/>
    </row>
    <row r="35283">
      <c r="A35283" s="6"/>
      <c r="B35283" s="6"/>
      <c r="H35283" s="13"/>
    </row>
    <row r="35284">
      <c r="A35284" s="6"/>
      <c r="B35284" s="6"/>
      <c r="H35284" s="13"/>
    </row>
    <row r="35285">
      <c r="A35285" s="6"/>
      <c r="B35285" s="6"/>
      <c r="H35285" s="13"/>
    </row>
    <row r="35286">
      <c r="A35286" s="6"/>
      <c r="B35286" s="6"/>
      <c r="H35286" s="13"/>
    </row>
    <row r="35287">
      <c r="A35287" s="6"/>
      <c r="B35287" s="6"/>
      <c r="H35287" s="13"/>
    </row>
    <row r="35288">
      <c r="A35288" s="6"/>
      <c r="B35288" s="6"/>
      <c r="H35288" s="13"/>
    </row>
    <row r="35289">
      <c r="A35289" s="6"/>
      <c r="B35289" s="6"/>
      <c r="H35289" s="13"/>
    </row>
    <row r="35290">
      <c r="A35290" s="6"/>
      <c r="B35290" s="6"/>
      <c r="H35290" s="13"/>
    </row>
    <row r="35291">
      <c r="A35291" s="6"/>
      <c r="B35291" s="6"/>
      <c r="H35291" s="13"/>
    </row>
    <row r="35292">
      <c r="A35292" s="6"/>
      <c r="B35292" s="6"/>
      <c r="H35292" s="13"/>
    </row>
    <row r="35293">
      <c r="A35293" s="6"/>
      <c r="B35293" s="6"/>
      <c r="H35293" s="13"/>
    </row>
    <row r="35294">
      <c r="A35294" s="6"/>
      <c r="B35294" s="6"/>
      <c r="H35294" s="13"/>
    </row>
    <row r="35295">
      <c r="A35295" s="6"/>
      <c r="B35295" s="6"/>
      <c r="H35295" s="13"/>
    </row>
    <row r="35296">
      <c r="A35296" s="6"/>
      <c r="B35296" s="6"/>
      <c r="H35296" s="13"/>
    </row>
    <row r="35297">
      <c r="A35297" s="6"/>
      <c r="B35297" s="6"/>
      <c r="H35297" s="13"/>
    </row>
    <row r="35298">
      <c r="A35298" s="6"/>
      <c r="B35298" s="6"/>
      <c r="H35298" s="13"/>
    </row>
    <row r="35299">
      <c r="A35299" s="6"/>
      <c r="B35299" s="6"/>
      <c r="H35299" s="13"/>
    </row>
    <row r="35300">
      <c r="A35300" s="6"/>
      <c r="B35300" s="6"/>
      <c r="H35300" s="13"/>
    </row>
    <row r="35301">
      <c r="A35301" s="6"/>
      <c r="B35301" s="6"/>
      <c r="H35301" s="13"/>
    </row>
    <row r="35302">
      <c r="A35302" s="6"/>
      <c r="B35302" s="6"/>
      <c r="H35302" s="13"/>
    </row>
    <row r="35303">
      <c r="A35303" s="6"/>
      <c r="B35303" s="6"/>
      <c r="H35303" s="13"/>
    </row>
    <row r="35304">
      <c r="A35304" s="6"/>
      <c r="B35304" s="6"/>
      <c r="H35304" s="13"/>
    </row>
    <row r="35305">
      <c r="A35305" s="6"/>
      <c r="B35305" s="6"/>
      <c r="H35305" s="13"/>
    </row>
    <row r="35306">
      <c r="A35306" s="6"/>
      <c r="B35306" s="6"/>
      <c r="H35306" s="13"/>
    </row>
    <row r="35307">
      <c r="A35307" s="6"/>
      <c r="B35307" s="6"/>
      <c r="H35307" s="13"/>
    </row>
    <row r="35308">
      <c r="A35308" s="6"/>
      <c r="B35308" s="6"/>
      <c r="H35308" s="13"/>
    </row>
    <row r="35309">
      <c r="A35309" s="6"/>
      <c r="B35309" s="6"/>
      <c r="H35309" s="13"/>
    </row>
    <row r="35310">
      <c r="A35310" s="6"/>
      <c r="B35310" s="6"/>
      <c r="H35310" s="13"/>
    </row>
    <row r="35311">
      <c r="A35311" s="6"/>
      <c r="B35311" s="6"/>
      <c r="H35311" s="13"/>
    </row>
    <row r="35312">
      <c r="A35312" s="6"/>
      <c r="B35312" s="6"/>
      <c r="H35312" s="13"/>
    </row>
    <row r="35313">
      <c r="A35313" s="6"/>
      <c r="B35313" s="6"/>
      <c r="H35313" s="13"/>
    </row>
    <row r="35314">
      <c r="A35314" s="6"/>
      <c r="B35314" s="6"/>
      <c r="H35314" s="13"/>
    </row>
    <row r="35315">
      <c r="A35315" s="6"/>
      <c r="B35315" s="6"/>
      <c r="H35315" s="13"/>
    </row>
    <row r="35316">
      <c r="A35316" s="6"/>
      <c r="B35316" s="6"/>
      <c r="H35316" s="13"/>
    </row>
    <row r="35317">
      <c r="A35317" s="6"/>
      <c r="B35317" s="6"/>
      <c r="H35317" s="13"/>
    </row>
    <row r="35318">
      <c r="A35318" s="6"/>
      <c r="B35318" s="6"/>
      <c r="H35318" s="13"/>
    </row>
    <row r="35319">
      <c r="A35319" s="6"/>
      <c r="B35319" s="6"/>
      <c r="H35319" s="13"/>
    </row>
    <row r="35320">
      <c r="A35320" s="6"/>
      <c r="B35320" s="6"/>
      <c r="H35320" s="13"/>
    </row>
    <row r="35321">
      <c r="A35321" s="6"/>
      <c r="B35321" s="6"/>
      <c r="H35321" s="13"/>
    </row>
    <row r="35322">
      <c r="A35322" s="6"/>
      <c r="B35322" s="6"/>
      <c r="H35322" s="13"/>
    </row>
    <row r="35323">
      <c r="A35323" s="6"/>
      <c r="B35323" s="6"/>
      <c r="H35323" s="13"/>
    </row>
    <row r="35324">
      <c r="A35324" s="6"/>
      <c r="B35324" s="6"/>
      <c r="H35324" s="13"/>
    </row>
    <row r="35325">
      <c r="A35325" s="6"/>
      <c r="B35325" s="6"/>
      <c r="H35325" s="13"/>
    </row>
    <row r="35326">
      <c r="A35326" s="6"/>
      <c r="B35326" s="6"/>
      <c r="H35326" s="13"/>
    </row>
    <row r="35327">
      <c r="A35327" s="6"/>
      <c r="B35327" s="6"/>
      <c r="H35327" s="13"/>
    </row>
    <row r="35328">
      <c r="A35328" s="6"/>
      <c r="B35328" s="6"/>
      <c r="H35328" s="13"/>
    </row>
    <row r="35329">
      <c r="A35329" s="6"/>
      <c r="B35329" s="6"/>
      <c r="H35329" s="13"/>
    </row>
    <row r="35330">
      <c r="A35330" s="6"/>
      <c r="B35330" s="6"/>
      <c r="H35330" s="13"/>
    </row>
    <row r="35331">
      <c r="A35331" s="6"/>
      <c r="B35331" s="6"/>
      <c r="H35331" s="13"/>
    </row>
    <row r="35332">
      <c r="A35332" s="6"/>
      <c r="B35332" s="6"/>
      <c r="H35332" s="13"/>
    </row>
    <row r="35333">
      <c r="A35333" s="6"/>
      <c r="B35333" s="6"/>
      <c r="H35333" s="13"/>
    </row>
    <row r="35334">
      <c r="A35334" s="6"/>
      <c r="B35334" s="6"/>
      <c r="H35334" s="13"/>
    </row>
    <row r="35335">
      <c r="A35335" s="6"/>
      <c r="B35335" s="6"/>
      <c r="H35335" s="13"/>
    </row>
    <row r="35336">
      <c r="A35336" s="6"/>
      <c r="B35336" s="6"/>
      <c r="H35336" s="13"/>
    </row>
    <row r="35337">
      <c r="A35337" s="6"/>
      <c r="B35337" s="6"/>
      <c r="H35337" s="13"/>
    </row>
    <row r="35338">
      <c r="A35338" s="6"/>
      <c r="B35338" s="6"/>
      <c r="H35338" s="13"/>
    </row>
    <row r="35339">
      <c r="A35339" s="6"/>
      <c r="B35339" s="6"/>
      <c r="H35339" s="13"/>
    </row>
    <row r="35340">
      <c r="A35340" s="6"/>
      <c r="B35340" s="6"/>
      <c r="H35340" s="13"/>
    </row>
    <row r="35341">
      <c r="A35341" s="6"/>
      <c r="B35341" s="6"/>
      <c r="H35341" s="13"/>
    </row>
    <row r="35342">
      <c r="A35342" s="6"/>
      <c r="B35342" s="6"/>
      <c r="H35342" s="13"/>
    </row>
    <row r="35343">
      <c r="A35343" s="6"/>
      <c r="B35343" s="6"/>
      <c r="H35343" s="13"/>
    </row>
    <row r="35344">
      <c r="A35344" s="6"/>
      <c r="B35344" s="6"/>
      <c r="H35344" s="13"/>
    </row>
    <row r="35345">
      <c r="A35345" s="6"/>
      <c r="B35345" s="6"/>
      <c r="H35345" s="13"/>
    </row>
    <row r="35346">
      <c r="A35346" s="6"/>
      <c r="B35346" s="6"/>
      <c r="H35346" s="13"/>
    </row>
    <row r="35347">
      <c r="A35347" s="6"/>
      <c r="B35347" s="6"/>
      <c r="H35347" s="13"/>
    </row>
    <row r="35348">
      <c r="A35348" s="6"/>
      <c r="B35348" s="6"/>
      <c r="H35348" s="13"/>
    </row>
    <row r="35349">
      <c r="A35349" s="6"/>
      <c r="B35349" s="6"/>
      <c r="H35349" s="13"/>
    </row>
    <row r="35350">
      <c r="A35350" s="6"/>
      <c r="B35350" s="6"/>
      <c r="H35350" s="13"/>
    </row>
    <row r="35351">
      <c r="A35351" s="6"/>
      <c r="B35351" s="6"/>
      <c r="H35351" s="13"/>
    </row>
    <row r="35352">
      <c r="A35352" s="6"/>
      <c r="B35352" s="6"/>
      <c r="H35352" s="13"/>
    </row>
    <row r="35353">
      <c r="A35353" s="6"/>
      <c r="B35353" s="6"/>
      <c r="H35353" s="13"/>
    </row>
    <row r="35354">
      <c r="A35354" s="6"/>
      <c r="B35354" s="6"/>
      <c r="H35354" s="13"/>
    </row>
    <row r="35355">
      <c r="A35355" s="6"/>
      <c r="B35355" s="6"/>
      <c r="H35355" s="13"/>
    </row>
    <row r="35356">
      <c r="A35356" s="6"/>
      <c r="B35356" s="6"/>
      <c r="H35356" s="13"/>
    </row>
    <row r="35357">
      <c r="A35357" s="6"/>
      <c r="B35357" s="6"/>
      <c r="H35357" s="13"/>
    </row>
    <row r="35358">
      <c r="A35358" s="6"/>
      <c r="B35358" s="6"/>
      <c r="H35358" s="13"/>
    </row>
    <row r="35359">
      <c r="A35359" s="6"/>
      <c r="B35359" s="6"/>
      <c r="H35359" s="13"/>
    </row>
    <row r="35360">
      <c r="A35360" s="6"/>
      <c r="B35360" s="6"/>
      <c r="H35360" s="13"/>
    </row>
    <row r="35361">
      <c r="A35361" s="6"/>
      <c r="B35361" s="6"/>
      <c r="H35361" s="13"/>
    </row>
    <row r="35362">
      <c r="A35362" s="6"/>
      <c r="B35362" s="6"/>
      <c r="H35362" s="13"/>
    </row>
    <row r="35363">
      <c r="A35363" s="6"/>
      <c r="B35363" s="6"/>
      <c r="H35363" s="13"/>
    </row>
    <row r="35364">
      <c r="A35364" s="6"/>
      <c r="B35364" s="6"/>
      <c r="H35364" s="13"/>
    </row>
    <row r="35365">
      <c r="A35365" s="6"/>
      <c r="B35365" s="6"/>
      <c r="H35365" s="13"/>
    </row>
    <row r="35366">
      <c r="A35366" s="6"/>
      <c r="B35366" s="6"/>
      <c r="H35366" s="13"/>
    </row>
    <row r="35367">
      <c r="A35367" s="6"/>
      <c r="B35367" s="6"/>
      <c r="H35367" s="13"/>
    </row>
    <row r="35368">
      <c r="A35368" s="6"/>
      <c r="B35368" s="6"/>
      <c r="H35368" s="13"/>
    </row>
    <row r="35369">
      <c r="A35369" s="6"/>
      <c r="B35369" s="6"/>
      <c r="H35369" s="13"/>
    </row>
    <row r="35370">
      <c r="A35370" s="6"/>
      <c r="B35370" s="6"/>
      <c r="H35370" s="13"/>
    </row>
    <row r="35371">
      <c r="A35371" s="6"/>
      <c r="B35371" s="6"/>
      <c r="H35371" s="13"/>
    </row>
    <row r="35372">
      <c r="A35372" s="6"/>
      <c r="B35372" s="6"/>
      <c r="H35372" s="13"/>
    </row>
    <row r="35373">
      <c r="A35373" s="6"/>
      <c r="B35373" s="6"/>
      <c r="H35373" s="13"/>
    </row>
    <row r="35374">
      <c r="A35374" s="6"/>
      <c r="B35374" s="6"/>
      <c r="H35374" s="13"/>
    </row>
    <row r="35375">
      <c r="A35375" s="6"/>
      <c r="B35375" s="6"/>
      <c r="H35375" s="13"/>
    </row>
    <row r="35376">
      <c r="A35376" s="6"/>
      <c r="B35376" s="6"/>
      <c r="H35376" s="13"/>
    </row>
    <row r="35377">
      <c r="A35377" s="6"/>
      <c r="B35377" s="6"/>
      <c r="H35377" s="13"/>
    </row>
    <row r="35378">
      <c r="A35378" s="6"/>
      <c r="B35378" s="6"/>
      <c r="H35378" s="13"/>
    </row>
    <row r="35379">
      <c r="A35379" s="6"/>
      <c r="B35379" s="6"/>
      <c r="H35379" s="13"/>
    </row>
    <row r="35380">
      <c r="A35380" s="6"/>
      <c r="B35380" s="6"/>
      <c r="H35380" s="13"/>
    </row>
    <row r="35381">
      <c r="A35381" s="6"/>
      <c r="B35381" s="6"/>
      <c r="H35381" s="13"/>
    </row>
    <row r="35382">
      <c r="A35382" s="6"/>
      <c r="B35382" s="6"/>
      <c r="H35382" s="13"/>
    </row>
    <row r="35383">
      <c r="A35383" s="6"/>
      <c r="B35383" s="6"/>
      <c r="H35383" s="13"/>
    </row>
    <row r="35384">
      <c r="A35384" s="6"/>
      <c r="B35384" s="6"/>
      <c r="H35384" s="13"/>
    </row>
    <row r="35385">
      <c r="A35385" s="6"/>
      <c r="B35385" s="6"/>
      <c r="H35385" s="13"/>
    </row>
    <row r="35386">
      <c r="A35386" s="6"/>
      <c r="B35386" s="6"/>
      <c r="H35386" s="13"/>
    </row>
    <row r="35387">
      <c r="A35387" s="6"/>
      <c r="B35387" s="6"/>
      <c r="H35387" s="13"/>
    </row>
    <row r="35388">
      <c r="A35388" s="6"/>
      <c r="B35388" s="6"/>
      <c r="H35388" s="13"/>
    </row>
    <row r="35389">
      <c r="A35389" s="6"/>
      <c r="B35389" s="6"/>
      <c r="H35389" s="13"/>
    </row>
    <row r="35390">
      <c r="A35390" s="6"/>
      <c r="B35390" s="6"/>
      <c r="H35390" s="13"/>
    </row>
    <row r="35391">
      <c r="A35391" s="6"/>
      <c r="B35391" s="6"/>
      <c r="H35391" s="13"/>
    </row>
    <row r="35392">
      <c r="A35392" s="6"/>
      <c r="B35392" s="6"/>
      <c r="H35392" s="13"/>
    </row>
    <row r="35393">
      <c r="A35393" s="6"/>
      <c r="B35393" s="6"/>
      <c r="H35393" s="13"/>
    </row>
    <row r="35394">
      <c r="A35394" s="6"/>
      <c r="B35394" s="6"/>
      <c r="H35394" s="13"/>
    </row>
    <row r="35395">
      <c r="A35395" s="6"/>
      <c r="B35395" s="6"/>
      <c r="H35395" s="13"/>
    </row>
    <row r="35396">
      <c r="A35396" s="6"/>
      <c r="B35396" s="6"/>
      <c r="H35396" s="13"/>
    </row>
    <row r="35397">
      <c r="A35397" s="6"/>
      <c r="B35397" s="6"/>
      <c r="H35397" s="13"/>
    </row>
    <row r="35398">
      <c r="A35398" s="6"/>
      <c r="B35398" s="6"/>
      <c r="H35398" s="13"/>
    </row>
    <row r="35399">
      <c r="A35399" s="6"/>
      <c r="B35399" s="6"/>
      <c r="H35399" s="13"/>
    </row>
    <row r="35400">
      <c r="A35400" s="6"/>
      <c r="B35400" s="6"/>
      <c r="H35400" s="13"/>
    </row>
    <row r="35401">
      <c r="A35401" s="6"/>
      <c r="B35401" s="6"/>
      <c r="H35401" s="13"/>
    </row>
    <row r="35402">
      <c r="A35402" s="6"/>
      <c r="B35402" s="6"/>
      <c r="H35402" s="13"/>
    </row>
    <row r="35403">
      <c r="A35403" s="6"/>
      <c r="B35403" s="6"/>
      <c r="H35403" s="13"/>
    </row>
    <row r="35404">
      <c r="A35404" s="6"/>
      <c r="B35404" s="6"/>
      <c r="H35404" s="13"/>
    </row>
    <row r="35405">
      <c r="A35405" s="6"/>
      <c r="B35405" s="6"/>
      <c r="H35405" s="13"/>
    </row>
    <row r="35406">
      <c r="A35406" s="6"/>
      <c r="B35406" s="6"/>
      <c r="H35406" s="13"/>
    </row>
    <row r="35407">
      <c r="A35407" s="6"/>
      <c r="B35407" s="6"/>
      <c r="H35407" s="13"/>
    </row>
    <row r="35408">
      <c r="A35408" s="6"/>
      <c r="B35408" s="6"/>
      <c r="H35408" s="13"/>
    </row>
    <row r="35409">
      <c r="A35409" s="6"/>
      <c r="B35409" s="6"/>
      <c r="H35409" s="13"/>
    </row>
    <row r="35410">
      <c r="A35410" s="6"/>
      <c r="B35410" s="6"/>
      <c r="H35410" s="13"/>
    </row>
    <row r="35411">
      <c r="A35411" s="6"/>
      <c r="B35411" s="6"/>
      <c r="H35411" s="13"/>
    </row>
    <row r="35412">
      <c r="A35412" s="6"/>
      <c r="B35412" s="6"/>
      <c r="H35412" s="13"/>
    </row>
    <row r="35413">
      <c r="A35413" s="6"/>
      <c r="B35413" s="6"/>
      <c r="H35413" s="13"/>
    </row>
    <row r="35414">
      <c r="A35414" s="6"/>
      <c r="B35414" s="6"/>
      <c r="H35414" s="13"/>
    </row>
    <row r="35415">
      <c r="A35415" s="6"/>
      <c r="B35415" s="6"/>
      <c r="H35415" s="13"/>
    </row>
    <row r="35416">
      <c r="A35416" s="6"/>
      <c r="B35416" s="6"/>
      <c r="H35416" s="13"/>
    </row>
    <row r="35417">
      <c r="A35417" s="6"/>
      <c r="B35417" s="6"/>
      <c r="H35417" s="13"/>
    </row>
    <row r="35418">
      <c r="A35418" s="6"/>
      <c r="B35418" s="6"/>
      <c r="H35418" s="13"/>
    </row>
    <row r="35419">
      <c r="A35419" s="6"/>
      <c r="B35419" s="6"/>
      <c r="H35419" s="13"/>
    </row>
    <row r="35420">
      <c r="A35420" s="6"/>
      <c r="B35420" s="6"/>
      <c r="H35420" s="13"/>
    </row>
    <row r="35421">
      <c r="A35421" s="6"/>
      <c r="B35421" s="6"/>
      <c r="H35421" s="13"/>
    </row>
    <row r="35422">
      <c r="A35422" s="6"/>
      <c r="B35422" s="6"/>
      <c r="H35422" s="13"/>
    </row>
    <row r="35423">
      <c r="A35423" s="6"/>
      <c r="B35423" s="6"/>
      <c r="H35423" s="13"/>
    </row>
    <row r="35424">
      <c r="A35424" s="6"/>
      <c r="B35424" s="6"/>
      <c r="H35424" s="13"/>
    </row>
    <row r="35425">
      <c r="A35425" s="6"/>
      <c r="B35425" s="6"/>
      <c r="H35425" s="13"/>
    </row>
    <row r="35426">
      <c r="A35426" s="6"/>
      <c r="B35426" s="6"/>
      <c r="H35426" s="13"/>
    </row>
    <row r="35427">
      <c r="A35427" s="6"/>
      <c r="B35427" s="6"/>
      <c r="H35427" s="13"/>
    </row>
    <row r="35428">
      <c r="A35428" s="6"/>
      <c r="B35428" s="6"/>
      <c r="H35428" s="13"/>
    </row>
    <row r="35429">
      <c r="A35429" s="6"/>
      <c r="B35429" s="6"/>
      <c r="H35429" s="13"/>
    </row>
    <row r="35430">
      <c r="A35430" s="6"/>
      <c r="B35430" s="6"/>
      <c r="H35430" s="13"/>
    </row>
    <row r="35431">
      <c r="A35431" s="6"/>
      <c r="B35431" s="6"/>
      <c r="H35431" s="13"/>
    </row>
    <row r="35432">
      <c r="A35432" s="6"/>
      <c r="B35432" s="6"/>
      <c r="H35432" s="13"/>
    </row>
    <row r="35433">
      <c r="A35433" s="6"/>
      <c r="B35433" s="6"/>
      <c r="H35433" s="13"/>
    </row>
    <row r="35434">
      <c r="A35434" s="6"/>
      <c r="B35434" s="6"/>
      <c r="H35434" s="13"/>
    </row>
    <row r="35435">
      <c r="A35435" s="6"/>
      <c r="B35435" s="6"/>
      <c r="H35435" s="13"/>
    </row>
    <row r="35436">
      <c r="A35436" s="6"/>
      <c r="B35436" s="6"/>
      <c r="H35436" s="13"/>
    </row>
    <row r="35437">
      <c r="A35437" s="6"/>
      <c r="B35437" s="6"/>
      <c r="H35437" s="13"/>
    </row>
    <row r="35438">
      <c r="A35438" s="6"/>
      <c r="B35438" s="6"/>
      <c r="H35438" s="13"/>
    </row>
    <row r="35439">
      <c r="A35439" s="6"/>
      <c r="B35439" s="6"/>
      <c r="H35439" s="13"/>
    </row>
    <row r="35440">
      <c r="A35440" s="6"/>
      <c r="B35440" s="6"/>
      <c r="H35440" s="13"/>
    </row>
    <row r="35441">
      <c r="A35441" s="6"/>
      <c r="B35441" s="6"/>
      <c r="H35441" s="13"/>
    </row>
    <row r="35442">
      <c r="A35442" s="6"/>
      <c r="B35442" s="6"/>
      <c r="H35442" s="13"/>
    </row>
    <row r="35443">
      <c r="A35443" s="6"/>
      <c r="B35443" s="6"/>
      <c r="H35443" s="13"/>
    </row>
    <row r="35444">
      <c r="A35444" s="6"/>
      <c r="B35444" s="6"/>
      <c r="H35444" s="13"/>
    </row>
    <row r="35445">
      <c r="A35445" s="6"/>
      <c r="B35445" s="6"/>
      <c r="H35445" s="13"/>
    </row>
    <row r="35446">
      <c r="A35446" s="6"/>
      <c r="B35446" s="6"/>
      <c r="H35446" s="13"/>
    </row>
    <row r="35447">
      <c r="A35447" s="6"/>
      <c r="B35447" s="6"/>
      <c r="H35447" s="13"/>
    </row>
    <row r="35448">
      <c r="A35448" s="6"/>
      <c r="B35448" s="6"/>
      <c r="H35448" s="13"/>
    </row>
    <row r="35449">
      <c r="A35449" s="6"/>
      <c r="B35449" s="6"/>
      <c r="H35449" s="13"/>
    </row>
    <row r="35450">
      <c r="A35450" s="6"/>
      <c r="B35450" s="6"/>
      <c r="H35450" s="13"/>
    </row>
    <row r="35451">
      <c r="A35451" s="6"/>
      <c r="B35451" s="6"/>
      <c r="H35451" s="13"/>
    </row>
    <row r="35452">
      <c r="A35452" s="6"/>
      <c r="B35452" s="6"/>
      <c r="H35452" s="13"/>
    </row>
    <row r="35453">
      <c r="A35453" s="6"/>
      <c r="B35453" s="6"/>
      <c r="H35453" s="13"/>
    </row>
    <row r="35454">
      <c r="A35454" s="6"/>
      <c r="B35454" s="6"/>
      <c r="H35454" s="13"/>
    </row>
    <row r="35455">
      <c r="A35455" s="6"/>
      <c r="B35455" s="6"/>
      <c r="H35455" s="13"/>
    </row>
    <row r="35456">
      <c r="A35456" s="6"/>
      <c r="B35456" s="6"/>
      <c r="H35456" s="13"/>
    </row>
    <row r="35457">
      <c r="A35457" s="6"/>
      <c r="B35457" s="6"/>
      <c r="H35457" s="13"/>
    </row>
    <row r="35458">
      <c r="A35458" s="6"/>
      <c r="B35458" s="6"/>
      <c r="H35458" s="13"/>
    </row>
    <row r="35459">
      <c r="A35459" s="6"/>
      <c r="B35459" s="6"/>
      <c r="H35459" s="13"/>
    </row>
    <row r="35460">
      <c r="A35460" s="6"/>
      <c r="B35460" s="6"/>
      <c r="H35460" s="13"/>
    </row>
    <row r="35461">
      <c r="A35461" s="6"/>
      <c r="B35461" s="6"/>
      <c r="H35461" s="13"/>
    </row>
    <row r="35462">
      <c r="A35462" s="6"/>
      <c r="B35462" s="6"/>
      <c r="H35462" s="13"/>
    </row>
    <row r="35463">
      <c r="A35463" s="6"/>
      <c r="B35463" s="6"/>
      <c r="H35463" s="13"/>
    </row>
    <row r="35464">
      <c r="A35464" s="6"/>
      <c r="B35464" s="6"/>
      <c r="H35464" s="13"/>
    </row>
    <row r="35465">
      <c r="A35465" s="6"/>
      <c r="B35465" s="6"/>
      <c r="H35465" s="13"/>
    </row>
    <row r="35466">
      <c r="A35466" s="6"/>
      <c r="B35466" s="6"/>
      <c r="H35466" s="13"/>
    </row>
    <row r="35467">
      <c r="A35467" s="6"/>
      <c r="B35467" s="6"/>
      <c r="H35467" s="13"/>
    </row>
    <row r="35468">
      <c r="A35468" s="6"/>
      <c r="B35468" s="6"/>
      <c r="H35468" s="13"/>
    </row>
    <row r="35469">
      <c r="A35469" s="6"/>
      <c r="B35469" s="6"/>
      <c r="H35469" s="13"/>
    </row>
    <row r="35470">
      <c r="A35470" s="6"/>
      <c r="B35470" s="6"/>
      <c r="H35470" s="13"/>
    </row>
    <row r="35471">
      <c r="A35471" s="6"/>
      <c r="B35471" s="6"/>
      <c r="H35471" s="13"/>
    </row>
    <row r="35472">
      <c r="A35472" s="6"/>
      <c r="B35472" s="6"/>
      <c r="H35472" s="13"/>
    </row>
    <row r="35473">
      <c r="A35473" s="6"/>
      <c r="B35473" s="6"/>
      <c r="H35473" s="13"/>
    </row>
    <row r="35474">
      <c r="A35474" s="6"/>
      <c r="B35474" s="6"/>
      <c r="H35474" s="13"/>
    </row>
    <row r="35475">
      <c r="A35475" s="6"/>
      <c r="B35475" s="6"/>
      <c r="H35475" s="13"/>
    </row>
    <row r="35476">
      <c r="A35476" s="6"/>
      <c r="B35476" s="6"/>
      <c r="H35476" s="13"/>
    </row>
    <row r="35477">
      <c r="A35477" s="6"/>
      <c r="B35477" s="6"/>
      <c r="H35477" s="13"/>
    </row>
    <row r="35478">
      <c r="A35478" s="6"/>
      <c r="B35478" s="6"/>
      <c r="H35478" s="13"/>
    </row>
    <row r="35479">
      <c r="A35479" s="6"/>
      <c r="B35479" s="6"/>
      <c r="H35479" s="13"/>
    </row>
    <row r="35480">
      <c r="A35480" s="6"/>
      <c r="B35480" s="6"/>
      <c r="H35480" s="13"/>
    </row>
    <row r="35481">
      <c r="A35481" s="6"/>
      <c r="B35481" s="6"/>
      <c r="H35481" s="13"/>
    </row>
    <row r="35482">
      <c r="A35482" s="6"/>
      <c r="B35482" s="6"/>
      <c r="H35482" s="13"/>
    </row>
    <row r="35483">
      <c r="A35483" s="6"/>
      <c r="B35483" s="6"/>
      <c r="H35483" s="13"/>
    </row>
    <row r="35484">
      <c r="A35484" s="6"/>
      <c r="B35484" s="6"/>
      <c r="H35484" s="13"/>
    </row>
    <row r="35485">
      <c r="A35485" s="6"/>
      <c r="B35485" s="6"/>
      <c r="H35485" s="13"/>
    </row>
    <row r="35486">
      <c r="A35486" s="6"/>
      <c r="B35486" s="6"/>
      <c r="H35486" s="13"/>
    </row>
    <row r="35487">
      <c r="A35487" s="6"/>
      <c r="B35487" s="6"/>
      <c r="H35487" s="13"/>
    </row>
    <row r="35488">
      <c r="A35488" s="6"/>
      <c r="B35488" s="6"/>
      <c r="H35488" s="13"/>
    </row>
    <row r="35489">
      <c r="A35489" s="6"/>
      <c r="B35489" s="6"/>
      <c r="H35489" s="13"/>
    </row>
    <row r="35490">
      <c r="A35490" s="6"/>
      <c r="B35490" s="6"/>
      <c r="H35490" s="13"/>
    </row>
    <row r="35491">
      <c r="A35491" s="6"/>
      <c r="B35491" s="6"/>
      <c r="H35491" s="13"/>
    </row>
    <row r="35492">
      <c r="A35492" s="6"/>
      <c r="B35492" s="6"/>
      <c r="H35492" s="13"/>
    </row>
    <row r="35493">
      <c r="A35493" s="6"/>
      <c r="B35493" s="6"/>
      <c r="H35493" s="13"/>
    </row>
    <row r="35494">
      <c r="A35494" s="6"/>
      <c r="B35494" s="6"/>
      <c r="H35494" s="13"/>
    </row>
    <row r="35495">
      <c r="A35495" s="6"/>
      <c r="B35495" s="6"/>
      <c r="H35495" s="13"/>
    </row>
    <row r="35496">
      <c r="A35496" s="6"/>
      <c r="B35496" s="6"/>
      <c r="H35496" s="13"/>
    </row>
    <row r="35497">
      <c r="A35497" s="6"/>
      <c r="B35497" s="6"/>
      <c r="H35497" s="13"/>
    </row>
    <row r="35498">
      <c r="A35498" s="6"/>
      <c r="B35498" s="6"/>
      <c r="H35498" s="13"/>
    </row>
    <row r="35499">
      <c r="A35499" s="6"/>
      <c r="B35499" s="6"/>
      <c r="H35499" s="13"/>
    </row>
    <row r="35500">
      <c r="A35500" s="6"/>
      <c r="B35500" s="6"/>
      <c r="H35500" s="13"/>
    </row>
    <row r="35501">
      <c r="A35501" s="6"/>
      <c r="B35501" s="6"/>
      <c r="H35501" s="13"/>
    </row>
    <row r="35502">
      <c r="A35502" s="6"/>
      <c r="B35502" s="6"/>
      <c r="H35502" s="13"/>
    </row>
    <row r="35503">
      <c r="A35503" s="6"/>
      <c r="B35503" s="6"/>
      <c r="H35503" s="13"/>
    </row>
    <row r="35504">
      <c r="A35504" s="6"/>
      <c r="B35504" s="6"/>
      <c r="H35504" s="13"/>
    </row>
    <row r="35505">
      <c r="A35505" s="6"/>
      <c r="B35505" s="6"/>
      <c r="H35505" s="13"/>
    </row>
    <row r="35506">
      <c r="A35506" s="6"/>
      <c r="B35506" s="6"/>
      <c r="H35506" s="13"/>
    </row>
    <row r="35507">
      <c r="A35507" s="6"/>
      <c r="B35507" s="6"/>
      <c r="H35507" s="13"/>
    </row>
    <row r="35508">
      <c r="A35508" s="6"/>
      <c r="B35508" s="6"/>
      <c r="H35508" s="13"/>
    </row>
    <row r="35509">
      <c r="A35509" s="6"/>
      <c r="B35509" s="6"/>
      <c r="H35509" s="13"/>
    </row>
    <row r="35510">
      <c r="A35510" s="6"/>
      <c r="B35510" s="6"/>
      <c r="H35510" s="13"/>
    </row>
    <row r="35511">
      <c r="A35511" s="6"/>
      <c r="B35511" s="6"/>
      <c r="H35511" s="13"/>
    </row>
    <row r="35512">
      <c r="A35512" s="6"/>
      <c r="B35512" s="6"/>
      <c r="H35512" s="13"/>
    </row>
    <row r="35513">
      <c r="A35513" s="6"/>
      <c r="B35513" s="6"/>
      <c r="H35513" s="13"/>
    </row>
    <row r="35514">
      <c r="A35514" s="6"/>
      <c r="B35514" s="6"/>
      <c r="H35514" s="13"/>
    </row>
    <row r="35515">
      <c r="A35515" s="6"/>
      <c r="B35515" s="6"/>
      <c r="H35515" s="13"/>
    </row>
    <row r="35516">
      <c r="A35516" s="6"/>
      <c r="B35516" s="6"/>
      <c r="H35516" s="13"/>
    </row>
    <row r="35517">
      <c r="A35517" s="6"/>
      <c r="B35517" s="6"/>
      <c r="H35517" s="13"/>
    </row>
    <row r="35518">
      <c r="A35518" s="6"/>
      <c r="B35518" s="6"/>
      <c r="H35518" s="13"/>
    </row>
    <row r="35519">
      <c r="A35519" s="6"/>
      <c r="B35519" s="6"/>
      <c r="H35519" s="13"/>
    </row>
    <row r="35520">
      <c r="A35520" s="6"/>
      <c r="B35520" s="6"/>
      <c r="H35520" s="13"/>
    </row>
    <row r="35521">
      <c r="A35521" s="6"/>
      <c r="B35521" s="6"/>
      <c r="H35521" s="13"/>
    </row>
    <row r="35522">
      <c r="A35522" s="6"/>
      <c r="B35522" s="6"/>
      <c r="H35522" s="13"/>
    </row>
    <row r="35523">
      <c r="A35523" s="6"/>
      <c r="B35523" s="6"/>
      <c r="H35523" s="13"/>
    </row>
    <row r="35524">
      <c r="A35524" s="6"/>
      <c r="B35524" s="6"/>
      <c r="H35524" s="13"/>
    </row>
    <row r="35525">
      <c r="A35525" s="6"/>
      <c r="B35525" s="6"/>
      <c r="H35525" s="13"/>
    </row>
    <row r="35526">
      <c r="A35526" s="6"/>
      <c r="B35526" s="6"/>
      <c r="H35526" s="13"/>
    </row>
    <row r="35527">
      <c r="A35527" s="6"/>
      <c r="B35527" s="6"/>
      <c r="H35527" s="13"/>
    </row>
    <row r="35528">
      <c r="A35528" s="6"/>
      <c r="B35528" s="6"/>
      <c r="H35528" s="13"/>
    </row>
    <row r="35529">
      <c r="A35529" s="6"/>
      <c r="B35529" s="6"/>
      <c r="H35529" s="13"/>
    </row>
    <row r="35530">
      <c r="A35530" s="6"/>
      <c r="B35530" s="6"/>
      <c r="H35530" s="13"/>
    </row>
    <row r="35531">
      <c r="A35531" s="6"/>
      <c r="B35531" s="6"/>
      <c r="H35531" s="13"/>
    </row>
    <row r="35532">
      <c r="A35532" s="6"/>
      <c r="B35532" s="6"/>
      <c r="H35532" s="13"/>
    </row>
    <row r="35533">
      <c r="A35533" s="6"/>
      <c r="B35533" s="6"/>
      <c r="H35533" s="13"/>
    </row>
    <row r="35534">
      <c r="A35534" s="6"/>
      <c r="B35534" s="6"/>
      <c r="H35534" s="13"/>
    </row>
    <row r="35535">
      <c r="A35535" s="6"/>
      <c r="B35535" s="6"/>
      <c r="H35535" s="13"/>
    </row>
    <row r="35536">
      <c r="A35536" s="6"/>
      <c r="B35536" s="6"/>
      <c r="H35536" s="13"/>
    </row>
    <row r="35537">
      <c r="A35537" s="6"/>
      <c r="B35537" s="6"/>
      <c r="H35537" s="13"/>
    </row>
    <row r="35538">
      <c r="A35538" s="6"/>
      <c r="B35538" s="6"/>
      <c r="H35538" s="13"/>
    </row>
    <row r="35539">
      <c r="A35539" s="6"/>
      <c r="B35539" s="6"/>
      <c r="H35539" s="13"/>
    </row>
    <row r="35540">
      <c r="A35540" s="6"/>
      <c r="B35540" s="6"/>
      <c r="H35540" s="13"/>
    </row>
    <row r="35541">
      <c r="A35541" s="6"/>
      <c r="B35541" s="6"/>
      <c r="H35541" s="13"/>
    </row>
    <row r="35542">
      <c r="A35542" s="6"/>
      <c r="B35542" s="6"/>
      <c r="H35542" s="13"/>
    </row>
    <row r="35543">
      <c r="A35543" s="6"/>
      <c r="B35543" s="6"/>
      <c r="H35543" s="13"/>
    </row>
    <row r="35544">
      <c r="A35544" s="6"/>
      <c r="B35544" s="6"/>
      <c r="H35544" s="13"/>
    </row>
    <row r="35545">
      <c r="A35545" s="6"/>
      <c r="B35545" s="6"/>
      <c r="H35545" s="13"/>
    </row>
    <row r="35546">
      <c r="A35546" s="6"/>
      <c r="B35546" s="6"/>
      <c r="H35546" s="13"/>
    </row>
    <row r="35547">
      <c r="A35547" s="6"/>
      <c r="B35547" s="6"/>
      <c r="H35547" s="13"/>
    </row>
    <row r="35548">
      <c r="A35548" s="6"/>
      <c r="B35548" s="6"/>
      <c r="H35548" s="13"/>
    </row>
    <row r="35549">
      <c r="A35549" s="6"/>
      <c r="B35549" s="6"/>
      <c r="H35549" s="13"/>
    </row>
    <row r="35550">
      <c r="A35550" s="6"/>
      <c r="B35550" s="6"/>
      <c r="H35550" s="13"/>
    </row>
    <row r="35551">
      <c r="A35551" s="6"/>
      <c r="B35551" s="6"/>
      <c r="H35551" s="13"/>
    </row>
    <row r="35552">
      <c r="A35552" s="6"/>
      <c r="B35552" s="6"/>
      <c r="H35552" s="13"/>
    </row>
    <row r="35553">
      <c r="A35553" s="6"/>
      <c r="B35553" s="6"/>
      <c r="H35553" s="13"/>
    </row>
    <row r="35554">
      <c r="A35554" s="6"/>
      <c r="B35554" s="6"/>
      <c r="H35554" s="13"/>
    </row>
    <row r="35555">
      <c r="A35555" s="6"/>
      <c r="B35555" s="6"/>
      <c r="H35555" s="13"/>
    </row>
    <row r="35556">
      <c r="A35556" s="6"/>
      <c r="B35556" s="6"/>
      <c r="H35556" s="13"/>
    </row>
    <row r="35557">
      <c r="A35557" s="6"/>
      <c r="B35557" s="6"/>
      <c r="H35557" s="13"/>
    </row>
    <row r="35558">
      <c r="A35558" s="6"/>
      <c r="B35558" s="6"/>
      <c r="H35558" s="13"/>
    </row>
    <row r="35559">
      <c r="A35559" s="6"/>
      <c r="B35559" s="6"/>
      <c r="H35559" s="13"/>
    </row>
    <row r="35560">
      <c r="A35560" s="6"/>
      <c r="B35560" s="6"/>
      <c r="H35560" s="13"/>
    </row>
    <row r="35561">
      <c r="A35561" s="6"/>
      <c r="B35561" s="6"/>
      <c r="H35561" s="13"/>
    </row>
    <row r="35562">
      <c r="A35562" s="6"/>
      <c r="B35562" s="6"/>
      <c r="H35562" s="13"/>
    </row>
    <row r="35563">
      <c r="A35563" s="6"/>
      <c r="B35563" s="6"/>
      <c r="H35563" s="13"/>
    </row>
    <row r="35564">
      <c r="A35564" s="6"/>
      <c r="B35564" s="6"/>
      <c r="H35564" s="13"/>
    </row>
    <row r="35565">
      <c r="A35565" s="6"/>
      <c r="B35565" s="6"/>
      <c r="H35565" s="13"/>
    </row>
    <row r="35566">
      <c r="A35566" s="6"/>
      <c r="B35566" s="6"/>
      <c r="H35566" s="13"/>
    </row>
    <row r="35567">
      <c r="A35567" s="6"/>
      <c r="B35567" s="6"/>
      <c r="H35567" s="13"/>
    </row>
    <row r="35568">
      <c r="A35568" s="6"/>
      <c r="B35568" s="6"/>
      <c r="H35568" s="13"/>
    </row>
    <row r="35569">
      <c r="A35569" s="6"/>
      <c r="B35569" s="6"/>
      <c r="H35569" s="13"/>
    </row>
    <row r="35570">
      <c r="A35570" s="6"/>
      <c r="B35570" s="6"/>
      <c r="H35570" s="13"/>
    </row>
    <row r="35571">
      <c r="A35571" s="6"/>
      <c r="B35571" s="6"/>
      <c r="H35571" s="13"/>
    </row>
    <row r="35572">
      <c r="A35572" s="6"/>
      <c r="B35572" s="6"/>
      <c r="H35572" s="13"/>
    </row>
    <row r="35573">
      <c r="A35573" s="6"/>
      <c r="B35573" s="6"/>
      <c r="H35573" s="13"/>
    </row>
    <row r="35574">
      <c r="A35574" s="6"/>
      <c r="B35574" s="6"/>
      <c r="H35574" s="13"/>
    </row>
    <row r="35575">
      <c r="A35575" s="6"/>
      <c r="B35575" s="6"/>
      <c r="H35575" s="13"/>
    </row>
    <row r="35576">
      <c r="A35576" s="6"/>
      <c r="B35576" s="6"/>
      <c r="H35576" s="13"/>
    </row>
    <row r="35577">
      <c r="A35577" s="6"/>
      <c r="B35577" s="6"/>
      <c r="H35577" s="13"/>
    </row>
    <row r="35578">
      <c r="A35578" s="6"/>
      <c r="B35578" s="6"/>
      <c r="H35578" s="13"/>
    </row>
    <row r="35579">
      <c r="A35579" s="6"/>
      <c r="B35579" s="6"/>
      <c r="H35579" s="13"/>
    </row>
    <row r="35580">
      <c r="A35580" s="6"/>
      <c r="B35580" s="6"/>
      <c r="H35580" s="13"/>
    </row>
    <row r="35581">
      <c r="A35581" s="6"/>
      <c r="B35581" s="6"/>
      <c r="H35581" s="13"/>
    </row>
    <row r="35582">
      <c r="A35582" s="6"/>
      <c r="B35582" s="6"/>
      <c r="H35582" s="13"/>
    </row>
    <row r="35583">
      <c r="A35583" s="6"/>
      <c r="B35583" s="6"/>
      <c r="H35583" s="13"/>
    </row>
    <row r="35584">
      <c r="A35584" s="6"/>
      <c r="B35584" s="6"/>
      <c r="H35584" s="13"/>
    </row>
    <row r="35585">
      <c r="A35585" s="6"/>
      <c r="B35585" s="6"/>
      <c r="H35585" s="13"/>
    </row>
    <row r="35586">
      <c r="A35586" s="6"/>
      <c r="B35586" s="6"/>
      <c r="H35586" s="13"/>
    </row>
    <row r="35587">
      <c r="A35587" s="6"/>
      <c r="B35587" s="6"/>
      <c r="H35587" s="13"/>
    </row>
    <row r="35588">
      <c r="A35588" s="6"/>
      <c r="B35588" s="6"/>
      <c r="H35588" s="13"/>
    </row>
    <row r="35589">
      <c r="A35589" s="6"/>
      <c r="B35589" s="6"/>
      <c r="H35589" s="13"/>
    </row>
    <row r="35590">
      <c r="A35590" s="6"/>
      <c r="B35590" s="6"/>
      <c r="H35590" s="13"/>
    </row>
    <row r="35591">
      <c r="A35591" s="6"/>
      <c r="B35591" s="6"/>
      <c r="H35591" s="13"/>
    </row>
    <row r="35592">
      <c r="A35592" s="6"/>
      <c r="B35592" s="6"/>
      <c r="H35592" s="13"/>
    </row>
    <row r="35593">
      <c r="A35593" s="6"/>
      <c r="B35593" s="6"/>
      <c r="H35593" s="13"/>
    </row>
    <row r="35594">
      <c r="A35594" s="6"/>
      <c r="B35594" s="6"/>
      <c r="H35594" s="13"/>
    </row>
    <row r="35595">
      <c r="A35595" s="6"/>
      <c r="B35595" s="6"/>
      <c r="H35595" s="13"/>
    </row>
    <row r="35596">
      <c r="A35596" s="6"/>
      <c r="B35596" s="6"/>
      <c r="H35596" s="13"/>
    </row>
    <row r="35597">
      <c r="A35597" s="6"/>
      <c r="B35597" s="6"/>
      <c r="H35597" s="13"/>
    </row>
    <row r="35598">
      <c r="A35598" s="6"/>
      <c r="B35598" s="6"/>
      <c r="H35598" s="13"/>
    </row>
    <row r="35599">
      <c r="A35599" s="6"/>
      <c r="B35599" s="6"/>
      <c r="H35599" s="13"/>
    </row>
    <row r="35600">
      <c r="A35600" s="6"/>
      <c r="B35600" s="6"/>
      <c r="H35600" s="13"/>
    </row>
    <row r="35601">
      <c r="A35601" s="6"/>
      <c r="B35601" s="6"/>
      <c r="H35601" s="13"/>
    </row>
    <row r="35602">
      <c r="A35602" s="6"/>
      <c r="B35602" s="6"/>
      <c r="H35602" s="13"/>
    </row>
    <row r="35603">
      <c r="A35603" s="6"/>
      <c r="B35603" s="6"/>
      <c r="H35603" s="13"/>
    </row>
    <row r="35604">
      <c r="A35604" s="6"/>
      <c r="B35604" s="6"/>
      <c r="H35604" s="13"/>
    </row>
    <row r="35605">
      <c r="A35605" s="6"/>
      <c r="B35605" s="6"/>
      <c r="H35605" s="13"/>
    </row>
    <row r="35606">
      <c r="A35606" s="6"/>
      <c r="B35606" s="6"/>
      <c r="H35606" s="13"/>
    </row>
    <row r="35607">
      <c r="A35607" s="6"/>
      <c r="B35607" s="6"/>
      <c r="H35607" s="13"/>
    </row>
    <row r="35608">
      <c r="A35608" s="6"/>
      <c r="B35608" s="6"/>
      <c r="H35608" s="13"/>
    </row>
    <row r="35609">
      <c r="A35609" s="6"/>
      <c r="B35609" s="6"/>
      <c r="H35609" s="13"/>
    </row>
    <row r="35610">
      <c r="A35610" s="6"/>
      <c r="B35610" s="6"/>
      <c r="H35610" s="13"/>
    </row>
    <row r="35611">
      <c r="A35611" s="6"/>
      <c r="B35611" s="6"/>
      <c r="H35611" s="13"/>
    </row>
    <row r="35612">
      <c r="A35612" s="6"/>
      <c r="B35612" s="6"/>
      <c r="H35612" s="13"/>
    </row>
    <row r="35613">
      <c r="A35613" s="6"/>
      <c r="B35613" s="6"/>
      <c r="H35613" s="13"/>
    </row>
    <row r="35614">
      <c r="A35614" s="6"/>
      <c r="B35614" s="6"/>
      <c r="H35614" s="13"/>
    </row>
    <row r="35615">
      <c r="A35615" s="6"/>
      <c r="B35615" s="6"/>
      <c r="H35615" s="13"/>
    </row>
    <row r="35616">
      <c r="A35616" s="6"/>
      <c r="B35616" s="6"/>
      <c r="H35616" s="13"/>
    </row>
    <row r="35617">
      <c r="A35617" s="6"/>
      <c r="B35617" s="6"/>
      <c r="H35617" s="13"/>
    </row>
    <row r="35618">
      <c r="A35618" s="6"/>
      <c r="B35618" s="6"/>
      <c r="H35618" s="13"/>
    </row>
    <row r="35619">
      <c r="A35619" s="6"/>
      <c r="B35619" s="6"/>
      <c r="H35619" s="13"/>
    </row>
    <row r="35620">
      <c r="A35620" s="6"/>
      <c r="B35620" s="6"/>
      <c r="H35620" s="13"/>
    </row>
    <row r="35621">
      <c r="A35621" s="6"/>
      <c r="B35621" s="6"/>
      <c r="H35621" s="13"/>
    </row>
    <row r="35622">
      <c r="A35622" s="6"/>
      <c r="B35622" s="6"/>
      <c r="H35622" s="13"/>
    </row>
    <row r="35623">
      <c r="A35623" s="6"/>
      <c r="B35623" s="6"/>
      <c r="H35623" s="13"/>
    </row>
    <row r="35624">
      <c r="A35624" s="6"/>
      <c r="B35624" s="6"/>
      <c r="H35624" s="13"/>
    </row>
    <row r="35625">
      <c r="A35625" s="6"/>
      <c r="B35625" s="6"/>
      <c r="H35625" s="13"/>
    </row>
    <row r="35626">
      <c r="A35626" s="6"/>
      <c r="B35626" s="6"/>
      <c r="H35626" s="13"/>
    </row>
    <row r="35627">
      <c r="A35627" s="6"/>
      <c r="B35627" s="6"/>
      <c r="H35627" s="13"/>
    </row>
    <row r="35628">
      <c r="A35628" s="6"/>
      <c r="B35628" s="6"/>
      <c r="H35628" s="13"/>
    </row>
    <row r="35629">
      <c r="A35629" s="6"/>
      <c r="B35629" s="6"/>
      <c r="H35629" s="13"/>
    </row>
    <row r="35630">
      <c r="A35630" s="6"/>
      <c r="B35630" s="6"/>
      <c r="H35630" s="13"/>
    </row>
    <row r="35631">
      <c r="A35631" s="6"/>
      <c r="B35631" s="6"/>
      <c r="H35631" s="13"/>
    </row>
    <row r="35632">
      <c r="A35632" s="6"/>
      <c r="B35632" s="6"/>
      <c r="H35632" s="13"/>
    </row>
    <row r="35633">
      <c r="A35633" s="6"/>
      <c r="B35633" s="6"/>
      <c r="H35633" s="13"/>
    </row>
    <row r="35634">
      <c r="A35634" s="6"/>
      <c r="B35634" s="6"/>
      <c r="H35634" s="13"/>
    </row>
    <row r="35635">
      <c r="A35635" s="6"/>
      <c r="B35635" s="6"/>
      <c r="H35635" s="13"/>
    </row>
    <row r="35636">
      <c r="A35636" s="6"/>
      <c r="B35636" s="6"/>
      <c r="H35636" s="13"/>
    </row>
    <row r="35637">
      <c r="A35637" s="6"/>
      <c r="B35637" s="6"/>
      <c r="H35637" s="13"/>
    </row>
    <row r="35638">
      <c r="A35638" s="6"/>
      <c r="B35638" s="6"/>
      <c r="H35638" s="13"/>
    </row>
    <row r="35639">
      <c r="A35639" s="6"/>
      <c r="B35639" s="6"/>
      <c r="H35639" s="13"/>
    </row>
    <row r="35640">
      <c r="A35640" s="6"/>
      <c r="B35640" s="6"/>
      <c r="H35640" s="13"/>
    </row>
    <row r="35641">
      <c r="A35641" s="6"/>
      <c r="B35641" s="6"/>
      <c r="H35641" s="13"/>
    </row>
    <row r="35642">
      <c r="A35642" s="6"/>
      <c r="B35642" s="6"/>
      <c r="H35642" s="13"/>
    </row>
    <row r="35643">
      <c r="A35643" s="6"/>
      <c r="B35643" s="6"/>
      <c r="H35643" s="13"/>
    </row>
    <row r="35644">
      <c r="A35644" s="6"/>
      <c r="B35644" s="6"/>
      <c r="H35644" s="13"/>
    </row>
    <row r="35645">
      <c r="A35645" s="6"/>
      <c r="B35645" s="6"/>
      <c r="H35645" s="13"/>
    </row>
    <row r="35646">
      <c r="A35646" s="6"/>
      <c r="B35646" s="6"/>
      <c r="H35646" s="13"/>
    </row>
    <row r="35647">
      <c r="A35647" s="6"/>
      <c r="B35647" s="6"/>
      <c r="H35647" s="13"/>
    </row>
    <row r="35648">
      <c r="A35648" s="6"/>
      <c r="B35648" s="6"/>
      <c r="H35648" s="13"/>
    </row>
    <row r="35649">
      <c r="A35649" s="6"/>
      <c r="B35649" s="6"/>
      <c r="H35649" s="13"/>
    </row>
    <row r="35650">
      <c r="A35650" s="6"/>
      <c r="B35650" s="6"/>
      <c r="H35650" s="13"/>
    </row>
    <row r="35651">
      <c r="A35651" s="6"/>
      <c r="B35651" s="6"/>
      <c r="H35651" s="13"/>
    </row>
    <row r="35652">
      <c r="A35652" s="6"/>
      <c r="B35652" s="6"/>
      <c r="H35652" s="13"/>
    </row>
    <row r="35653">
      <c r="A35653" s="6"/>
      <c r="B35653" s="6"/>
      <c r="H35653" s="13"/>
    </row>
    <row r="35654">
      <c r="A35654" s="6"/>
      <c r="B35654" s="6"/>
      <c r="H35654" s="13"/>
    </row>
    <row r="35655">
      <c r="A35655" s="6"/>
      <c r="B35655" s="6"/>
      <c r="H35655" s="13"/>
    </row>
    <row r="35656">
      <c r="A35656" s="6"/>
      <c r="B35656" s="6"/>
      <c r="H35656" s="13"/>
    </row>
    <row r="35657">
      <c r="A35657" s="6"/>
      <c r="B35657" s="6"/>
      <c r="H35657" s="13"/>
    </row>
    <row r="35658">
      <c r="A35658" s="6"/>
      <c r="B35658" s="6"/>
      <c r="H35658" s="13"/>
    </row>
    <row r="35659">
      <c r="A35659" s="6"/>
      <c r="B35659" s="6"/>
      <c r="H35659" s="13"/>
    </row>
    <row r="35660">
      <c r="A35660" s="6"/>
      <c r="B35660" s="6"/>
      <c r="H35660" s="13"/>
    </row>
    <row r="35661">
      <c r="A35661" s="6"/>
      <c r="B35661" s="6"/>
      <c r="H35661" s="13"/>
    </row>
    <row r="35662">
      <c r="A35662" s="6"/>
      <c r="B35662" s="6"/>
      <c r="H35662" s="13"/>
    </row>
    <row r="35663">
      <c r="A35663" s="6"/>
      <c r="B35663" s="6"/>
      <c r="H35663" s="13"/>
    </row>
    <row r="35664">
      <c r="A35664" s="6"/>
      <c r="B35664" s="6"/>
      <c r="H35664" s="13"/>
    </row>
    <row r="35665">
      <c r="A35665" s="6"/>
      <c r="B35665" s="6"/>
      <c r="H35665" s="13"/>
    </row>
    <row r="35666">
      <c r="A35666" s="6"/>
      <c r="B35666" s="6"/>
      <c r="H35666" s="13"/>
    </row>
    <row r="35667">
      <c r="A35667" s="6"/>
      <c r="B35667" s="6"/>
      <c r="H35667" s="13"/>
    </row>
    <row r="35668">
      <c r="A35668" s="6"/>
      <c r="B35668" s="6"/>
      <c r="H35668" s="13"/>
    </row>
    <row r="35669">
      <c r="A35669" s="6"/>
      <c r="B35669" s="6"/>
      <c r="H35669" s="13"/>
    </row>
    <row r="35670">
      <c r="A35670" s="6"/>
      <c r="B35670" s="6"/>
      <c r="H35670" s="13"/>
    </row>
    <row r="35671">
      <c r="A35671" s="6"/>
      <c r="B35671" s="6"/>
      <c r="H35671" s="13"/>
    </row>
    <row r="35672">
      <c r="A35672" s="6"/>
      <c r="B35672" s="6"/>
      <c r="H35672" s="13"/>
    </row>
    <row r="35673">
      <c r="A35673" s="6"/>
      <c r="B35673" s="6"/>
      <c r="H35673" s="13"/>
    </row>
    <row r="35674">
      <c r="A35674" s="6"/>
      <c r="B35674" s="6"/>
      <c r="H35674" s="13"/>
    </row>
    <row r="35675">
      <c r="A35675" s="6"/>
      <c r="B35675" s="6"/>
      <c r="H35675" s="13"/>
    </row>
    <row r="35676">
      <c r="A35676" s="6"/>
      <c r="B35676" s="6"/>
      <c r="H35676" s="13"/>
    </row>
    <row r="35677">
      <c r="A35677" s="6"/>
      <c r="B35677" s="6"/>
      <c r="H35677" s="13"/>
    </row>
    <row r="35678">
      <c r="A35678" s="6"/>
      <c r="B35678" s="6"/>
      <c r="H35678" s="13"/>
    </row>
    <row r="35679">
      <c r="A35679" s="6"/>
      <c r="B35679" s="6"/>
      <c r="H35679" s="13"/>
    </row>
    <row r="35680">
      <c r="A35680" s="6"/>
      <c r="B35680" s="6"/>
      <c r="H35680" s="13"/>
    </row>
    <row r="35681">
      <c r="A35681" s="6"/>
      <c r="B35681" s="6"/>
      <c r="H35681" s="13"/>
    </row>
    <row r="35682">
      <c r="A35682" s="6"/>
      <c r="B35682" s="6"/>
      <c r="H35682" s="13"/>
    </row>
    <row r="35683">
      <c r="A35683" s="6"/>
      <c r="B35683" s="6"/>
      <c r="H35683" s="13"/>
    </row>
    <row r="35684">
      <c r="A35684" s="6"/>
      <c r="B35684" s="6"/>
      <c r="H35684" s="13"/>
    </row>
    <row r="35685">
      <c r="A35685" s="6"/>
      <c r="B35685" s="6"/>
      <c r="H35685" s="13"/>
    </row>
    <row r="35686">
      <c r="A35686" s="6"/>
      <c r="B35686" s="6"/>
      <c r="H35686" s="13"/>
    </row>
    <row r="35687">
      <c r="A35687" s="6"/>
      <c r="B35687" s="6"/>
      <c r="H35687" s="13"/>
    </row>
    <row r="35688">
      <c r="A35688" s="6"/>
      <c r="B35688" s="6"/>
      <c r="H35688" s="13"/>
    </row>
    <row r="35689">
      <c r="A35689" s="6"/>
      <c r="B35689" s="6"/>
      <c r="H35689" s="13"/>
    </row>
    <row r="35690">
      <c r="A35690" s="6"/>
      <c r="B35690" s="6"/>
      <c r="H35690" s="13"/>
    </row>
    <row r="35691">
      <c r="A35691" s="6"/>
      <c r="B35691" s="6"/>
      <c r="H35691" s="13"/>
    </row>
    <row r="35692">
      <c r="A35692" s="6"/>
      <c r="B35692" s="6"/>
      <c r="H35692" s="13"/>
    </row>
    <row r="35693">
      <c r="A35693" s="6"/>
      <c r="B35693" s="6"/>
      <c r="H35693" s="13"/>
    </row>
    <row r="35694">
      <c r="A35694" s="6"/>
      <c r="B35694" s="6"/>
      <c r="H35694" s="13"/>
    </row>
    <row r="35695">
      <c r="A35695" s="6"/>
      <c r="B35695" s="6"/>
      <c r="H35695" s="13"/>
    </row>
    <row r="35696">
      <c r="A35696" s="6"/>
      <c r="B35696" s="6"/>
      <c r="H35696" s="13"/>
    </row>
    <row r="35697">
      <c r="A35697" s="6"/>
      <c r="B35697" s="6"/>
      <c r="H35697" s="13"/>
    </row>
    <row r="35698">
      <c r="A35698" s="6"/>
      <c r="B35698" s="6"/>
      <c r="H35698" s="13"/>
    </row>
    <row r="35699">
      <c r="A35699" s="6"/>
      <c r="B35699" s="6"/>
      <c r="H35699" s="13"/>
    </row>
    <row r="35700">
      <c r="A35700" s="6"/>
      <c r="B35700" s="6"/>
      <c r="H35700" s="13"/>
    </row>
    <row r="35701">
      <c r="A35701" s="6"/>
      <c r="B35701" s="6"/>
      <c r="H35701" s="13"/>
    </row>
    <row r="35702">
      <c r="A35702" s="6"/>
      <c r="B35702" s="6"/>
      <c r="H35702" s="13"/>
    </row>
    <row r="35703">
      <c r="A35703" s="6"/>
      <c r="B35703" s="6"/>
      <c r="H35703" s="13"/>
    </row>
    <row r="35704">
      <c r="A35704" s="6"/>
      <c r="B35704" s="6"/>
      <c r="H35704" s="13"/>
    </row>
    <row r="35705">
      <c r="A35705" s="6"/>
      <c r="B35705" s="6"/>
      <c r="H35705" s="13"/>
    </row>
    <row r="35706">
      <c r="A35706" s="6"/>
      <c r="B35706" s="6"/>
      <c r="H35706" s="13"/>
    </row>
    <row r="35707">
      <c r="A35707" s="6"/>
      <c r="B35707" s="6"/>
      <c r="H35707" s="13"/>
    </row>
    <row r="35708">
      <c r="A35708" s="6"/>
      <c r="B35708" s="6"/>
      <c r="H35708" s="13"/>
    </row>
    <row r="35709">
      <c r="A35709" s="6"/>
      <c r="B35709" s="6"/>
      <c r="H35709" s="13"/>
    </row>
    <row r="35710">
      <c r="A35710" s="6"/>
      <c r="B35710" s="6"/>
      <c r="H35710" s="13"/>
    </row>
    <row r="35711">
      <c r="A35711" s="6"/>
      <c r="B35711" s="6"/>
      <c r="H35711" s="13"/>
    </row>
    <row r="35712">
      <c r="A35712" s="6"/>
      <c r="B35712" s="6"/>
      <c r="H35712" s="13"/>
    </row>
    <row r="35713">
      <c r="A35713" s="6"/>
      <c r="B35713" s="6"/>
      <c r="H35713" s="13"/>
    </row>
    <row r="35714">
      <c r="A35714" s="6"/>
      <c r="B35714" s="6"/>
      <c r="H35714" s="13"/>
    </row>
    <row r="35715">
      <c r="A35715" s="6"/>
      <c r="B35715" s="6"/>
      <c r="H35715" s="13"/>
    </row>
    <row r="35716">
      <c r="A35716" s="6"/>
      <c r="B35716" s="6"/>
      <c r="H35716" s="13"/>
    </row>
    <row r="35717">
      <c r="A35717" s="6"/>
      <c r="B35717" s="6"/>
      <c r="H35717" s="13"/>
    </row>
    <row r="35718">
      <c r="A35718" s="6"/>
      <c r="B35718" s="6"/>
      <c r="H35718" s="13"/>
    </row>
    <row r="35719">
      <c r="A35719" s="6"/>
      <c r="B35719" s="6"/>
      <c r="H35719" s="13"/>
    </row>
    <row r="35720">
      <c r="A35720" s="6"/>
      <c r="B35720" s="6"/>
      <c r="H35720" s="13"/>
    </row>
    <row r="35721">
      <c r="A35721" s="6"/>
      <c r="B35721" s="6"/>
      <c r="H35721" s="13"/>
    </row>
    <row r="35722">
      <c r="A35722" s="6"/>
      <c r="B35722" s="6"/>
      <c r="H35722" s="13"/>
    </row>
    <row r="35723">
      <c r="A35723" s="6"/>
      <c r="B35723" s="6"/>
      <c r="H35723" s="13"/>
    </row>
    <row r="35724">
      <c r="A35724" s="6"/>
      <c r="B35724" s="6"/>
      <c r="H35724" s="13"/>
    </row>
    <row r="35725">
      <c r="A35725" s="6"/>
      <c r="B35725" s="6"/>
      <c r="H35725" s="13"/>
    </row>
    <row r="35726">
      <c r="A35726" s="6"/>
      <c r="B35726" s="6"/>
      <c r="H35726" s="13"/>
    </row>
    <row r="35727">
      <c r="A35727" s="6"/>
      <c r="B35727" s="6"/>
      <c r="H35727" s="13"/>
    </row>
    <row r="35728">
      <c r="A35728" s="6"/>
      <c r="B35728" s="6"/>
      <c r="H35728" s="13"/>
    </row>
    <row r="35729">
      <c r="A35729" s="6"/>
      <c r="B35729" s="6"/>
      <c r="H35729" s="13"/>
    </row>
    <row r="35730">
      <c r="A35730" s="6"/>
      <c r="B35730" s="6"/>
      <c r="H35730" s="13"/>
    </row>
    <row r="35731">
      <c r="A35731" s="6"/>
      <c r="B35731" s="6"/>
      <c r="H35731" s="13"/>
    </row>
    <row r="35732">
      <c r="A35732" s="6"/>
      <c r="B35732" s="6"/>
      <c r="H35732" s="13"/>
    </row>
    <row r="35733">
      <c r="A35733" s="6"/>
      <c r="B35733" s="6"/>
      <c r="H35733" s="13"/>
    </row>
    <row r="35734">
      <c r="A35734" s="6"/>
      <c r="B35734" s="6"/>
      <c r="H35734" s="13"/>
    </row>
    <row r="35735">
      <c r="A35735" s="6"/>
      <c r="B35735" s="6"/>
      <c r="H35735" s="13"/>
    </row>
    <row r="35736">
      <c r="A35736" s="6"/>
      <c r="B35736" s="6"/>
      <c r="H35736" s="13"/>
    </row>
    <row r="35737">
      <c r="A35737" s="6"/>
      <c r="B35737" s="6"/>
      <c r="H35737" s="13"/>
    </row>
    <row r="35738">
      <c r="A35738" s="6"/>
      <c r="B35738" s="6"/>
      <c r="H35738" s="13"/>
    </row>
    <row r="35739">
      <c r="A35739" s="6"/>
      <c r="B35739" s="6"/>
      <c r="H35739" s="13"/>
    </row>
    <row r="35740">
      <c r="A35740" s="6"/>
      <c r="B35740" s="6"/>
      <c r="H35740" s="13"/>
    </row>
    <row r="35741">
      <c r="A35741" s="6"/>
      <c r="B35741" s="6"/>
      <c r="H35741" s="13"/>
    </row>
    <row r="35742">
      <c r="A35742" s="6"/>
      <c r="B35742" s="6"/>
      <c r="H35742" s="13"/>
    </row>
    <row r="35743">
      <c r="A35743" s="6"/>
      <c r="B35743" s="6"/>
      <c r="H35743" s="13"/>
    </row>
    <row r="35744">
      <c r="A35744" s="6"/>
      <c r="B35744" s="6"/>
      <c r="H35744" s="13"/>
    </row>
    <row r="35745">
      <c r="A35745" s="6"/>
      <c r="B35745" s="6"/>
      <c r="H35745" s="13"/>
    </row>
    <row r="35746">
      <c r="A35746" s="6"/>
      <c r="B35746" s="6"/>
      <c r="H35746" s="13"/>
    </row>
    <row r="35747">
      <c r="A35747" s="6"/>
      <c r="B35747" s="6"/>
      <c r="H35747" s="13"/>
    </row>
    <row r="35748">
      <c r="A35748" s="6"/>
      <c r="B35748" s="6"/>
      <c r="H35748" s="13"/>
    </row>
    <row r="35749">
      <c r="A35749" s="6"/>
      <c r="B35749" s="6"/>
      <c r="H35749" s="13"/>
    </row>
    <row r="35750">
      <c r="A35750" s="6"/>
      <c r="B35750" s="6"/>
      <c r="H35750" s="13"/>
    </row>
    <row r="35751">
      <c r="A35751" s="6"/>
      <c r="B35751" s="6"/>
      <c r="H35751" s="13"/>
    </row>
    <row r="35752">
      <c r="A35752" s="6"/>
      <c r="B35752" s="6"/>
      <c r="H35752" s="13"/>
    </row>
    <row r="35753">
      <c r="A35753" s="6"/>
      <c r="B35753" s="6"/>
      <c r="H35753" s="13"/>
    </row>
    <row r="35754">
      <c r="A35754" s="6"/>
      <c r="B35754" s="6"/>
      <c r="H35754" s="13"/>
    </row>
    <row r="35755">
      <c r="A35755" s="6"/>
      <c r="B35755" s="6"/>
      <c r="H35755" s="13"/>
    </row>
    <row r="35756">
      <c r="A35756" s="6"/>
      <c r="B35756" s="6"/>
      <c r="H35756" s="13"/>
    </row>
    <row r="35757">
      <c r="A35757" s="6"/>
      <c r="B35757" s="6"/>
      <c r="H35757" s="13"/>
    </row>
    <row r="35758">
      <c r="A35758" s="6"/>
      <c r="B35758" s="6"/>
      <c r="H35758" s="13"/>
    </row>
    <row r="35759">
      <c r="A35759" s="6"/>
      <c r="B35759" s="6"/>
      <c r="H35759" s="13"/>
    </row>
    <row r="35760">
      <c r="A35760" s="6"/>
      <c r="B35760" s="6"/>
      <c r="H35760" s="13"/>
    </row>
    <row r="35761">
      <c r="A35761" s="6"/>
      <c r="B35761" s="6"/>
      <c r="H35761" s="13"/>
    </row>
    <row r="35762">
      <c r="A35762" s="6"/>
      <c r="B35762" s="6"/>
      <c r="H35762" s="13"/>
    </row>
    <row r="35763">
      <c r="A35763" s="6"/>
      <c r="B35763" s="6"/>
      <c r="H35763" s="13"/>
    </row>
    <row r="35764">
      <c r="A35764" s="6"/>
      <c r="B35764" s="6"/>
      <c r="H35764" s="13"/>
    </row>
    <row r="35765">
      <c r="A35765" s="6"/>
      <c r="B35765" s="6"/>
      <c r="H35765" s="13"/>
    </row>
    <row r="35766">
      <c r="A35766" s="6"/>
      <c r="B35766" s="6"/>
      <c r="H35766" s="13"/>
    </row>
    <row r="35767">
      <c r="A35767" s="6"/>
      <c r="B35767" s="6"/>
      <c r="H35767" s="13"/>
    </row>
    <row r="35768">
      <c r="A35768" s="6"/>
      <c r="B35768" s="6"/>
      <c r="H35768" s="13"/>
    </row>
    <row r="35769">
      <c r="A35769" s="6"/>
      <c r="B35769" s="6"/>
      <c r="H35769" s="13"/>
    </row>
    <row r="35770">
      <c r="A35770" s="6"/>
      <c r="B35770" s="6"/>
      <c r="H35770" s="13"/>
    </row>
    <row r="35771">
      <c r="A35771" s="6"/>
      <c r="B35771" s="6"/>
      <c r="H35771" s="13"/>
    </row>
    <row r="35772">
      <c r="A35772" s="6"/>
      <c r="B35772" s="6"/>
      <c r="H35772" s="13"/>
    </row>
    <row r="35773">
      <c r="A35773" s="6"/>
      <c r="B35773" s="6"/>
      <c r="H35773" s="13"/>
    </row>
    <row r="35774">
      <c r="A35774" s="6"/>
      <c r="B35774" s="6"/>
      <c r="H35774" s="13"/>
    </row>
    <row r="35775">
      <c r="A35775" s="6"/>
      <c r="B35775" s="6"/>
      <c r="H35775" s="13"/>
    </row>
    <row r="35776">
      <c r="A35776" s="6"/>
      <c r="B35776" s="6"/>
      <c r="H35776" s="13"/>
    </row>
    <row r="35777">
      <c r="A35777" s="6"/>
      <c r="B35777" s="6"/>
      <c r="H35777" s="13"/>
    </row>
    <row r="35778">
      <c r="A35778" s="6"/>
      <c r="B35778" s="6"/>
      <c r="H35778" s="13"/>
    </row>
    <row r="35779">
      <c r="A35779" s="6"/>
      <c r="B35779" s="6"/>
      <c r="H35779" s="13"/>
    </row>
    <row r="35780">
      <c r="A35780" s="6"/>
      <c r="B35780" s="6"/>
      <c r="H35780" s="13"/>
    </row>
    <row r="35781">
      <c r="A35781" s="6"/>
      <c r="B35781" s="6"/>
      <c r="H35781" s="13"/>
    </row>
    <row r="35782">
      <c r="A35782" s="6"/>
      <c r="B35782" s="6"/>
      <c r="H35782" s="13"/>
    </row>
    <row r="35783">
      <c r="A35783" s="6"/>
      <c r="B35783" s="6"/>
      <c r="H35783" s="13"/>
    </row>
    <row r="35784">
      <c r="A35784" s="6"/>
      <c r="B35784" s="6"/>
      <c r="H35784" s="13"/>
    </row>
    <row r="35785">
      <c r="A35785" s="6"/>
      <c r="B35785" s="6"/>
      <c r="H35785" s="13"/>
    </row>
    <row r="35786">
      <c r="A35786" s="6"/>
      <c r="B35786" s="6"/>
      <c r="H35786" s="13"/>
    </row>
    <row r="35787">
      <c r="A35787" s="6"/>
      <c r="B35787" s="6"/>
      <c r="H35787" s="13"/>
    </row>
    <row r="35788">
      <c r="A35788" s="6"/>
      <c r="B35788" s="6"/>
      <c r="H35788" s="13"/>
    </row>
    <row r="35789">
      <c r="A35789" s="6"/>
      <c r="B35789" s="6"/>
      <c r="H35789" s="13"/>
    </row>
    <row r="35790">
      <c r="A35790" s="6"/>
      <c r="B35790" s="6"/>
      <c r="H35790" s="13"/>
    </row>
    <row r="35791">
      <c r="A35791" s="6"/>
      <c r="B35791" s="6"/>
      <c r="H35791" s="13"/>
    </row>
    <row r="35792">
      <c r="A35792" s="6"/>
      <c r="B35792" s="6"/>
      <c r="H35792" s="13"/>
    </row>
    <row r="35793">
      <c r="A35793" s="6"/>
      <c r="B35793" s="6"/>
      <c r="H35793" s="13"/>
    </row>
    <row r="35794">
      <c r="A35794" s="6"/>
      <c r="B35794" s="6"/>
      <c r="H35794" s="13"/>
    </row>
    <row r="35795">
      <c r="A35795" s="6"/>
      <c r="B35795" s="6"/>
      <c r="H35795" s="13"/>
    </row>
    <row r="35796">
      <c r="A35796" s="6"/>
      <c r="B35796" s="6"/>
      <c r="H35796" s="13"/>
    </row>
    <row r="35797">
      <c r="A35797" s="6"/>
      <c r="B35797" s="6"/>
      <c r="H35797" s="13"/>
    </row>
    <row r="35798">
      <c r="A35798" s="6"/>
      <c r="B35798" s="6"/>
      <c r="H35798" s="13"/>
    </row>
    <row r="35799">
      <c r="A35799" s="6"/>
      <c r="B35799" s="6"/>
      <c r="H35799" s="13"/>
    </row>
    <row r="35800">
      <c r="A35800" s="6"/>
      <c r="B35800" s="6"/>
      <c r="H35800" s="13"/>
    </row>
    <row r="35801">
      <c r="A35801" s="6"/>
      <c r="B35801" s="6"/>
      <c r="H35801" s="13"/>
    </row>
    <row r="35802">
      <c r="A35802" s="6"/>
      <c r="B35802" s="6"/>
      <c r="H35802" s="13"/>
    </row>
    <row r="35803">
      <c r="A35803" s="6"/>
      <c r="B35803" s="6"/>
      <c r="H35803" s="13"/>
    </row>
    <row r="35804">
      <c r="A35804" s="6"/>
      <c r="B35804" s="6"/>
      <c r="H35804" s="13"/>
    </row>
    <row r="35805">
      <c r="A35805" s="6"/>
      <c r="B35805" s="6"/>
      <c r="H35805" s="13"/>
    </row>
    <row r="35806">
      <c r="A35806" s="6"/>
      <c r="B35806" s="6"/>
      <c r="H35806" s="13"/>
    </row>
    <row r="35807">
      <c r="A35807" s="6"/>
      <c r="B35807" s="6"/>
      <c r="H35807" s="13"/>
    </row>
    <row r="35808">
      <c r="A35808" s="6"/>
      <c r="B35808" s="6"/>
      <c r="H35808" s="13"/>
    </row>
    <row r="35809">
      <c r="A35809" s="6"/>
      <c r="B35809" s="6"/>
      <c r="H35809" s="13"/>
    </row>
    <row r="35810">
      <c r="A35810" s="6"/>
      <c r="B35810" s="6"/>
      <c r="H35810" s="13"/>
    </row>
    <row r="35811">
      <c r="A35811" s="6"/>
      <c r="B35811" s="6"/>
      <c r="H35811" s="13"/>
    </row>
    <row r="35812">
      <c r="A35812" s="6"/>
      <c r="B35812" s="6"/>
      <c r="H35812" s="13"/>
    </row>
    <row r="35813">
      <c r="A35813" s="6"/>
      <c r="B35813" s="6"/>
      <c r="H35813" s="13"/>
    </row>
    <row r="35814">
      <c r="A35814" s="6"/>
      <c r="B35814" s="6"/>
      <c r="H35814" s="13"/>
    </row>
    <row r="35815">
      <c r="A35815" s="6"/>
      <c r="B35815" s="6"/>
      <c r="H35815" s="13"/>
    </row>
    <row r="35816">
      <c r="A35816" s="6"/>
      <c r="B35816" s="6"/>
      <c r="H35816" s="13"/>
    </row>
    <row r="35817">
      <c r="A35817" s="6"/>
      <c r="B35817" s="6"/>
      <c r="H35817" s="13"/>
    </row>
    <row r="35818">
      <c r="A35818" s="6"/>
      <c r="B35818" s="6"/>
      <c r="H35818" s="13"/>
    </row>
    <row r="35819">
      <c r="A35819" s="6"/>
      <c r="B35819" s="6"/>
      <c r="H35819" s="13"/>
    </row>
    <row r="35820">
      <c r="A35820" s="6"/>
      <c r="B35820" s="6"/>
      <c r="H35820" s="13"/>
    </row>
    <row r="35821">
      <c r="A35821" s="6"/>
      <c r="B35821" s="6"/>
      <c r="H35821" s="13"/>
    </row>
    <row r="35822">
      <c r="A35822" s="6"/>
      <c r="B35822" s="6"/>
      <c r="H35822" s="13"/>
    </row>
    <row r="35823">
      <c r="A35823" s="6"/>
      <c r="B35823" s="6"/>
      <c r="H35823" s="13"/>
    </row>
    <row r="35824">
      <c r="A35824" s="6"/>
      <c r="B35824" s="6"/>
      <c r="H35824" s="13"/>
    </row>
    <row r="35825">
      <c r="A35825" s="6"/>
      <c r="B35825" s="6"/>
      <c r="H35825" s="13"/>
    </row>
    <row r="35826">
      <c r="A35826" s="6"/>
      <c r="B35826" s="6"/>
      <c r="H35826" s="13"/>
    </row>
    <row r="35827">
      <c r="A35827" s="6"/>
      <c r="B35827" s="6"/>
      <c r="H35827" s="13"/>
    </row>
    <row r="35828">
      <c r="A35828" s="6"/>
      <c r="B35828" s="6"/>
      <c r="H35828" s="13"/>
    </row>
    <row r="35829">
      <c r="A35829" s="6"/>
      <c r="B35829" s="6"/>
      <c r="H35829" s="13"/>
    </row>
    <row r="35830">
      <c r="A35830" s="6"/>
      <c r="B35830" s="6"/>
      <c r="H35830" s="13"/>
    </row>
    <row r="35831">
      <c r="A35831" s="6"/>
      <c r="B35831" s="6"/>
      <c r="H35831" s="13"/>
    </row>
    <row r="35832">
      <c r="A35832" s="6"/>
      <c r="B35832" s="6"/>
      <c r="H35832" s="13"/>
    </row>
    <row r="35833">
      <c r="A35833" s="6"/>
      <c r="B35833" s="6"/>
      <c r="H35833" s="13"/>
    </row>
    <row r="35834">
      <c r="A35834" s="6"/>
      <c r="B35834" s="6"/>
      <c r="H35834" s="13"/>
    </row>
    <row r="35835">
      <c r="A35835" s="6"/>
      <c r="B35835" s="6"/>
      <c r="H35835" s="13"/>
    </row>
    <row r="35836">
      <c r="A35836" s="6"/>
      <c r="B35836" s="6"/>
      <c r="H35836" s="13"/>
    </row>
    <row r="35837">
      <c r="A35837" s="6"/>
      <c r="B35837" s="6"/>
      <c r="H35837" s="13"/>
    </row>
    <row r="35838">
      <c r="A35838" s="6"/>
      <c r="B35838" s="6"/>
      <c r="H35838" s="13"/>
    </row>
    <row r="35839">
      <c r="A35839" s="6"/>
      <c r="B35839" s="6"/>
      <c r="H35839" s="13"/>
    </row>
    <row r="35840">
      <c r="A35840" s="6"/>
      <c r="B35840" s="6"/>
      <c r="H35840" s="13"/>
    </row>
    <row r="35841">
      <c r="A35841" s="6"/>
      <c r="B35841" s="6"/>
      <c r="H35841" s="13"/>
    </row>
    <row r="35842">
      <c r="A35842" s="6"/>
      <c r="B35842" s="6"/>
      <c r="H35842" s="13"/>
    </row>
    <row r="35843">
      <c r="A35843" s="6"/>
      <c r="B35843" s="6"/>
      <c r="H35843" s="13"/>
    </row>
    <row r="35844">
      <c r="A35844" s="6"/>
      <c r="B35844" s="6"/>
      <c r="H35844" s="13"/>
    </row>
    <row r="35845">
      <c r="A35845" s="6"/>
      <c r="B35845" s="6"/>
      <c r="H35845" s="13"/>
    </row>
    <row r="35846">
      <c r="A35846" s="6"/>
      <c r="B35846" s="6"/>
      <c r="H35846" s="13"/>
    </row>
    <row r="35847">
      <c r="A35847" s="6"/>
      <c r="B35847" s="6"/>
      <c r="H35847" s="13"/>
    </row>
    <row r="35848">
      <c r="A35848" s="6"/>
      <c r="B35848" s="6"/>
      <c r="H35848" s="13"/>
    </row>
    <row r="35849">
      <c r="A35849" s="6"/>
      <c r="B35849" s="6"/>
      <c r="H35849" s="13"/>
    </row>
    <row r="35850">
      <c r="A35850" s="6"/>
      <c r="B35850" s="6"/>
      <c r="H35850" s="13"/>
    </row>
    <row r="35851">
      <c r="A35851" s="6"/>
      <c r="B35851" s="6"/>
      <c r="H35851" s="13"/>
    </row>
    <row r="35852">
      <c r="A35852" s="6"/>
      <c r="B35852" s="6"/>
      <c r="H35852" s="13"/>
    </row>
    <row r="35853">
      <c r="A35853" s="6"/>
      <c r="B35853" s="6"/>
      <c r="H35853" s="13"/>
    </row>
    <row r="35854">
      <c r="A35854" s="6"/>
      <c r="B35854" s="6"/>
      <c r="H35854" s="13"/>
    </row>
    <row r="35855">
      <c r="A35855" s="6"/>
      <c r="B35855" s="6"/>
      <c r="H35855" s="13"/>
    </row>
    <row r="35856">
      <c r="A35856" s="6"/>
      <c r="B35856" s="6"/>
      <c r="H35856" s="13"/>
    </row>
    <row r="35857">
      <c r="A35857" s="6"/>
      <c r="B35857" s="6"/>
      <c r="H35857" s="13"/>
    </row>
    <row r="35858">
      <c r="A35858" s="6"/>
      <c r="B35858" s="6"/>
      <c r="H35858" s="13"/>
    </row>
    <row r="35859">
      <c r="A35859" s="6"/>
      <c r="B35859" s="6"/>
      <c r="H35859" s="13"/>
    </row>
    <row r="35860">
      <c r="A35860" s="6"/>
      <c r="B35860" s="6"/>
      <c r="H35860" s="13"/>
    </row>
    <row r="35861">
      <c r="A35861" s="6"/>
      <c r="B35861" s="6"/>
      <c r="H35861" s="13"/>
    </row>
    <row r="35862">
      <c r="A35862" s="6"/>
      <c r="B35862" s="6"/>
      <c r="H35862" s="13"/>
    </row>
    <row r="35863">
      <c r="A35863" s="6"/>
      <c r="B35863" s="6"/>
      <c r="H35863" s="13"/>
    </row>
    <row r="35864">
      <c r="A35864" s="6"/>
      <c r="B35864" s="6"/>
      <c r="H35864" s="13"/>
    </row>
    <row r="35865">
      <c r="A35865" s="6"/>
      <c r="B35865" s="6"/>
      <c r="H35865" s="13"/>
    </row>
    <row r="35866">
      <c r="A35866" s="6"/>
      <c r="B35866" s="6"/>
      <c r="H35866" s="13"/>
    </row>
    <row r="35867">
      <c r="A35867" s="6"/>
      <c r="B35867" s="6"/>
      <c r="H35867" s="13"/>
    </row>
    <row r="35868">
      <c r="A35868" s="6"/>
      <c r="B35868" s="6"/>
      <c r="H35868" s="13"/>
    </row>
    <row r="35869">
      <c r="A35869" s="6"/>
      <c r="B35869" s="6"/>
      <c r="H35869" s="13"/>
    </row>
    <row r="35870">
      <c r="A35870" s="6"/>
      <c r="B35870" s="6"/>
      <c r="H35870" s="13"/>
    </row>
    <row r="35871">
      <c r="A35871" s="6"/>
      <c r="B35871" s="6"/>
      <c r="H35871" s="13"/>
    </row>
    <row r="35872">
      <c r="A35872" s="6"/>
      <c r="B35872" s="6"/>
      <c r="H35872" s="13"/>
    </row>
    <row r="35873">
      <c r="A35873" s="6"/>
      <c r="B35873" s="6"/>
      <c r="H35873" s="13"/>
    </row>
    <row r="35874">
      <c r="A35874" s="6"/>
      <c r="B35874" s="6"/>
      <c r="H35874" s="13"/>
    </row>
    <row r="35875">
      <c r="A35875" s="6"/>
      <c r="B35875" s="6"/>
      <c r="H35875" s="13"/>
    </row>
    <row r="35876">
      <c r="A35876" s="6"/>
      <c r="B35876" s="6"/>
      <c r="H35876" s="13"/>
    </row>
    <row r="35877">
      <c r="A35877" s="6"/>
      <c r="B35877" s="6"/>
      <c r="H35877" s="13"/>
    </row>
    <row r="35878">
      <c r="A35878" s="6"/>
      <c r="B35878" s="6"/>
      <c r="H35878" s="13"/>
    </row>
    <row r="35879">
      <c r="A35879" s="6"/>
      <c r="B35879" s="6"/>
      <c r="H35879" s="13"/>
    </row>
    <row r="35880">
      <c r="A35880" s="6"/>
      <c r="B35880" s="6"/>
      <c r="H35880" s="13"/>
    </row>
    <row r="35881">
      <c r="A35881" s="6"/>
      <c r="B35881" s="6"/>
      <c r="H35881" s="13"/>
    </row>
    <row r="35882">
      <c r="A35882" s="6"/>
      <c r="B35882" s="6"/>
      <c r="H35882" s="13"/>
    </row>
    <row r="35883">
      <c r="A35883" s="6"/>
      <c r="B35883" s="6"/>
      <c r="H35883" s="13"/>
    </row>
    <row r="35884">
      <c r="A35884" s="6"/>
      <c r="B35884" s="6"/>
      <c r="H35884" s="13"/>
    </row>
    <row r="35885">
      <c r="A35885" s="6"/>
      <c r="B35885" s="6"/>
      <c r="H35885" s="13"/>
    </row>
    <row r="35886">
      <c r="A35886" s="6"/>
      <c r="B35886" s="6"/>
      <c r="H35886" s="13"/>
    </row>
    <row r="35887">
      <c r="A35887" s="6"/>
      <c r="B35887" s="6"/>
      <c r="H35887" s="13"/>
    </row>
    <row r="35888">
      <c r="A35888" s="6"/>
      <c r="B35888" s="6"/>
      <c r="H35888" s="13"/>
    </row>
    <row r="35889">
      <c r="A35889" s="6"/>
      <c r="B35889" s="6"/>
      <c r="H35889" s="13"/>
    </row>
    <row r="35890">
      <c r="A35890" s="6"/>
      <c r="B35890" s="6"/>
      <c r="H35890" s="13"/>
    </row>
    <row r="35891">
      <c r="A35891" s="6"/>
      <c r="B35891" s="6"/>
      <c r="H35891" s="13"/>
    </row>
    <row r="35892">
      <c r="A35892" s="6"/>
      <c r="B35892" s="6"/>
      <c r="H35892" s="13"/>
    </row>
    <row r="35893">
      <c r="A35893" s="6"/>
      <c r="B35893" s="6"/>
      <c r="H35893" s="13"/>
    </row>
    <row r="35894">
      <c r="A35894" s="6"/>
      <c r="B35894" s="6"/>
      <c r="H35894" s="13"/>
    </row>
    <row r="35895">
      <c r="A35895" s="6"/>
      <c r="B35895" s="6"/>
      <c r="H35895" s="13"/>
    </row>
    <row r="35896">
      <c r="A35896" s="6"/>
      <c r="B35896" s="6"/>
      <c r="H35896" s="13"/>
    </row>
    <row r="35897">
      <c r="A35897" s="6"/>
      <c r="B35897" s="6"/>
      <c r="H35897" s="13"/>
    </row>
    <row r="35898">
      <c r="A35898" s="6"/>
      <c r="B35898" s="6"/>
      <c r="H35898" s="13"/>
    </row>
    <row r="35899">
      <c r="A35899" s="6"/>
      <c r="B35899" s="6"/>
      <c r="H35899" s="13"/>
    </row>
    <row r="35900">
      <c r="A35900" s="6"/>
      <c r="B35900" s="6"/>
      <c r="H35900" s="13"/>
    </row>
    <row r="35901">
      <c r="A35901" s="6"/>
      <c r="B35901" s="6"/>
      <c r="H35901" s="13"/>
    </row>
    <row r="35902">
      <c r="A35902" s="6"/>
      <c r="B35902" s="6"/>
      <c r="H35902" s="13"/>
    </row>
    <row r="35903">
      <c r="A35903" s="6"/>
      <c r="B35903" s="6"/>
      <c r="H35903" s="13"/>
    </row>
    <row r="35904">
      <c r="A35904" s="6"/>
      <c r="B35904" s="6"/>
      <c r="H35904" s="13"/>
    </row>
    <row r="35905">
      <c r="A35905" s="6"/>
      <c r="B35905" s="6"/>
      <c r="H35905" s="13"/>
    </row>
    <row r="35906">
      <c r="A35906" s="6"/>
      <c r="B35906" s="6"/>
      <c r="H35906" s="13"/>
    </row>
    <row r="35907">
      <c r="A35907" s="6"/>
      <c r="B35907" s="6"/>
      <c r="H35907" s="13"/>
    </row>
    <row r="35908">
      <c r="A35908" s="6"/>
      <c r="B35908" s="6"/>
      <c r="H35908" s="13"/>
    </row>
    <row r="35909">
      <c r="A35909" s="6"/>
      <c r="B35909" s="6"/>
      <c r="H35909" s="13"/>
    </row>
    <row r="35910">
      <c r="A35910" s="6"/>
      <c r="B35910" s="6"/>
      <c r="H35910" s="13"/>
    </row>
    <row r="35911">
      <c r="A35911" s="6"/>
      <c r="B35911" s="6"/>
      <c r="H35911" s="13"/>
    </row>
    <row r="35912">
      <c r="A35912" s="6"/>
      <c r="B35912" s="6"/>
      <c r="H35912" s="13"/>
    </row>
    <row r="35913">
      <c r="A35913" s="6"/>
      <c r="B35913" s="6"/>
      <c r="H35913" s="13"/>
    </row>
    <row r="35914">
      <c r="A35914" s="6"/>
      <c r="B35914" s="6"/>
      <c r="H35914" s="13"/>
    </row>
    <row r="35915">
      <c r="A35915" s="6"/>
      <c r="B35915" s="6"/>
      <c r="H35915" s="13"/>
    </row>
    <row r="35916">
      <c r="A35916" s="6"/>
      <c r="B35916" s="6"/>
      <c r="H35916" s="13"/>
    </row>
    <row r="35917">
      <c r="A35917" s="6"/>
      <c r="B35917" s="6"/>
      <c r="H35917" s="13"/>
    </row>
    <row r="35918">
      <c r="A35918" s="6"/>
      <c r="B35918" s="6"/>
      <c r="H35918" s="13"/>
    </row>
    <row r="35919">
      <c r="A35919" s="6"/>
      <c r="B35919" s="6"/>
      <c r="H35919" s="13"/>
    </row>
    <row r="35920">
      <c r="A35920" s="6"/>
      <c r="B35920" s="6"/>
      <c r="H35920" s="13"/>
    </row>
    <row r="35921">
      <c r="A35921" s="6"/>
      <c r="B35921" s="6"/>
      <c r="H35921" s="13"/>
    </row>
    <row r="35922">
      <c r="A35922" s="6"/>
      <c r="B35922" s="6"/>
      <c r="H35922" s="13"/>
    </row>
    <row r="35923">
      <c r="A35923" s="6"/>
      <c r="B35923" s="6"/>
      <c r="H35923" s="13"/>
    </row>
    <row r="35924">
      <c r="A35924" s="6"/>
      <c r="B35924" s="6"/>
      <c r="H35924" s="13"/>
    </row>
    <row r="35925">
      <c r="A35925" s="6"/>
      <c r="B35925" s="6"/>
      <c r="H35925" s="13"/>
    </row>
    <row r="35926">
      <c r="A35926" s="6"/>
      <c r="B35926" s="6"/>
      <c r="H35926" s="13"/>
    </row>
    <row r="35927">
      <c r="A35927" s="6"/>
      <c r="B35927" s="6"/>
      <c r="H35927" s="13"/>
    </row>
    <row r="35928">
      <c r="A35928" s="6"/>
      <c r="B35928" s="6"/>
      <c r="H35928" s="13"/>
    </row>
    <row r="35929">
      <c r="A35929" s="6"/>
      <c r="B35929" s="6"/>
      <c r="H35929" s="13"/>
    </row>
    <row r="35930">
      <c r="A35930" s="6"/>
      <c r="B35930" s="6"/>
      <c r="H35930" s="13"/>
    </row>
    <row r="35931">
      <c r="A35931" s="6"/>
      <c r="B35931" s="6"/>
      <c r="H35931" s="13"/>
    </row>
    <row r="35932">
      <c r="A35932" s="6"/>
      <c r="B35932" s="6"/>
      <c r="H35932" s="13"/>
    </row>
    <row r="35933">
      <c r="A35933" s="6"/>
      <c r="B35933" s="6"/>
      <c r="H35933" s="13"/>
    </row>
    <row r="35934">
      <c r="A35934" s="6"/>
      <c r="B35934" s="6"/>
      <c r="H35934" s="13"/>
    </row>
    <row r="35935">
      <c r="A35935" s="6"/>
      <c r="B35935" s="6"/>
      <c r="H35935" s="13"/>
    </row>
    <row r="35936">
      <c r="A35936" s="6"/>
      <c r="B35936" s="6"/>
      <c r="H35936" s="13"/>
    </row>
    <row r="35937">
      <c r="A35937" s="6"/>
      <c r="B35937" s="6"/>
      <c r="H35937" s="13"/>
    </row>
    <row r="35938">
      <c r="A35938" s="6"/>
      <c r="B35938" s="6"/>
      <c r="H35938" s="13"/>
    </row>
    <row r="35939">
      <c r="A35939" s="6"/>
      <c r="B35939" s="6"/>
      <c r="H35939" s="13"/>
    </row>
    <row r="35940">
      <c r="A35940" s="6"/>
      <c r="B35940" s="6"/>
      <c r="H35940" s="13"/>
    </row>
    <row r="35941">
      <c r="A35941" s="6"/>
      <c r="B35941" s="6"/>
      <c r="H35941" s="13"/>
    </row>
    <row r="35942">
      <c r="A35942" s="6"/>
      <c r="B35942" s="6"/>
      <c r="H35942" s="13"/>
    </row>
    <row r="35943">
      <c r="A35943" s="6"/>
      <c r="B35943" s="6"/>
      <c r="H35943" s="13"/>
    </row>
    <row r="35944">
      <c r="A35944" s="6"/>
      <c r="B35944" s="6"/>
      <c r="H35944" s="13"/>
    </row>
    <row r="35945">
      <c r="A35945" s="6"/>
      <c r="B35945" s="6"/>
      <c r="H35945" s="13"/>
    </row>
    <row r="35946">
      <c r="A35946" s="6"/>
      <c r="B35946" s="6"/>
      <c r="H35946" s="13"/>
    </row>
    <row r="35947">
      <c r="A35947" s="6"/>
      <c r="B35947" s="6"/>
      <c r="H35947" s="13"/>
    </row>
    <row r="35948">
      <c r="A35948" s="6"/>
      <c r="B35948" s="6"/>
      <c r="H35948" s="13"/>
    </row>
    <row r="35949">
      <c r="A35949" s="6"/>
      <c r="B35949" s="6"/>
      <c r="H35949" s="13"/>
    </row>
    <row r="35950">
      <c r="A35950" s="6"/>
      <c r="B35950" s="6"/>
      <c r="H35950" s="13"/>
    </row>
    <row r="35951">
      <c r="A35951" s="6"/>
      <c r="B35951" s="6"/>
      <c r="H35951" s="13"/>
    </row>
    <row r="35952">
      <c r="A35952" s="6"/>
      <c r="B35952" s="6"/>
      <c r="H35952" s="13"/>
    </row>
    <row r="35953">
      <c r="A35953" s="6"/>
      <c r="B35953" s="6"/>
      <c r="H35953" s="13"/>
    </row>
    <row r="35954">
      <c r="A35954" s="6"/>
      <c r="B35954" s="6"/>
      <c r="H35954" s="13"/>
    </row>
    <row r="35955">
      <c r="A35955" s="6"/>
      <c r="B35955" s="6"/>
      <c r="H35955" s="13"/>
    </row>
    <row r="35956">
      <c r="A35956" s="6"/>
      <c r="B35956" s="6"/>
      <c r="H35956" s="13"/>
    </row>
    <row r="35957">
      <c r="A35957" s="6"/>
      <c r="B35957" s="6"/>
      <c r="H35957" s="13"/>
    </row>
    <row r="35958">
      <c r="A35958" s="6"/>
      <c r="B35958" s="6"/>
      <c r="H35958" s="13"/>
    </row>
    <row r="35959">
      <c r="A35959" s="6"/>
      <c r="B35959" s="6"/>
      <c r="H35959" s="13"/>
    </row>
    <row r="35960">
      <c r="A35960" s="6"/>
      <c r="B35960" s="6"/>
      <c r="H35960" s="13"/>
    </row>
    <row r="35961">
      <c r="A35961" s="6"/>
      <c r="B35961" s="6"/>
      <c r="H35961" s="13"/>
    </row>
    <row r="35962">
      <c r="A35962" s="6"/>
      <c r="B35962" s="6"/>
      <c r="H35962" s="13"/>
    </row>
    <row r="35963">
      <c r="A35963" s="6"/>
      <c r="B35963" s="6"/>
      <c r="H35963" s="13"/>
    </row>
    <row r="35964">
      <c r="A35964" s="6"/>
      <c r="B35964" s="6"/>
      <c r="H35964" s="13"/>
    </row>
    <row r="35965">
      <c r="A35965" s="6"/>
      <c r="B35965" s="6"/>
      <c r="H35965" s="13"/>
    </row>
    <row r="35966">
      <c r="A35966" s="6"/>
      <c r="B35966" s="6"/>
      <c r="H35966" s="13"/>
    </row>
    <row r="35967">
      <c r="A35967" s="6"/>
      <c r="B35967" s="6"/>
      <c r="H35967" s="13"/>
    </row>
    <row r="35968">
      <c r="A35968" s="6"/>
      <c r="B35968" s="6"/>
      <c r="H35968" s="13"/>
    </row>
    <row r="35969">
      <c r="A35969" s="6"/>
      <c r="B35969" s="6"/>
      <c r="H35969" s="13"/>
    </row>
    <row r="35970">
      <c r="A35970" s="6"/>
      <c r="B35970" s="6"/>
      <c r="H35970" s="13"/>
    </row>
    <row r="35971">
      <c r="A35971" s="6"/>
      <c r="B35971" s="6"/>
      <c r="H35971" s="13"/>
    </row>
    <row r="35972">
      <c r="A35972" s="6"/>
      <c r="B35972" s="6"/>
      <c r="H35972" s="13"/>
    </row>
    <row r="35973">
      <c r="A35973" s="6"/>
      <c r="B35973" s="6"/>
      <c r="H35973" s="13"/>
    </row>
    <row r="35974">
      <c r="A35974" s="6"/>
      <c r="B35974" s="6"/>
      <c r="H35974" s="13"/>
    </row>
    <row r="35975">
      <c r="A35975" s="6"/>
      <c r="B35975" s="6"/>
      <c r="H35975" s="13"/>
    </row>
    <row r="35976">
      <c r="A35976" s="6"/>
      <c r="B35976" s="6"/>
      <c r="H35976" s="13"/>
    </row>
    <row r="35977">
      <c r="A35977" s="6"/>
      <c r="B35977" s="6"/>
      <c r="H35977" s="13"/>
    </row>
    <row r="35978">
      <c r="A35978" s="6"/>
      <c r="B35978" s="6"/>
      <c r="H35978" s="13"/>
    </row>
    <row r="35979">
      <c r="A35979" s="6"/>
      <c r="B35979" s="6"/>
      <c r="H35979" s="13"/>
    </row>
    <row r="35980">
      <c r="A35980" s="6"/>
      <c r="B35980" s="6"/>
      <c r="H35980" s="13"/>
    </row>
    <row r="35981">
      <c r="A35981" s="6"/>
      <c r="B35981" s="6"/>
      <c r="H35981" s="13"/>
    </row>
    <row r="35982">
      <c r="A35982" s="6"/>
      <c r="B35982" s="6"/>
      <c r="H35982" s="13"/>
    </row>
    <row r="35983">
      <c r="A35983" s="6"/>
      <c r="B35983" s="6"/>
      <c r="H35983" s="13"/>
    </row>
    <row r="35984">
      <c r="A35984" s="6"/>
      <c r="B35984" s="6"/>
      <c r="H35984" s="13"/>
    </row>
    <row r="35985">
      <c r="A35985" s="6"/>
      <c r="B35985" s="6"/>
      <c r="H35985" s="13"/>
    </row>
    <row r="35986">
      <c r="A35986" s="6"/>
      <c r="B35986" s="6"/>
      <c r="H35986" s="13"/>
    </row>
    <row r="35987">
      <c r="A35987" s="6"/>
      <c r="B35987" s="6"/>
      <c r="H35987" s="13"/>
    </row>
    <row r="35988">
      <c r="A35988" s="6"/>
      <c r="B35988" s="6"/>
      <c r="H35988" s="13"/>
    </row>
    <row r="35989">
      <c r="A35989" s="6"/>
      <c r="B35989" s="6"/>
      <c r="H35989" s="13"/>
    </row>
    <row r="35990">
      <c r="A35990" s="6"/>
      <c r="B35990" s="6"/>
      <c r="H35990" s="13"/>
    </row>
    <row r="35991">
      <c r="A35991" s="6"/>
      <c r="B35991" s="6"/>
      <c r="H35991" s="13"/>
    </row>
    <row r="35992">
      <c r="A35992" s="6"/>
      <c r="B35992" s="6"/>
      <c r="H35992" s="13"/>
    </row>
    <row r="35993">
      <c r="A35993" s="6"/>
      <c r="B35993" s="6"/>
      <c r="H35993" s="13"/>
    </row>
    <row r="35994">
      <c r="A35994" s="6"/>
      <c r="B35994" s="6"/>
      <c r="H35994" s="13"/>
    </row>
    <row r="35995">
      <c r="A35995" s="6"/>
      <c r="B35995" s="6"/>
      <c r="H35995" s="13"/>
    </row>
    <row r="35996">
      <c r="A35996" s="6"/>
      <c r="B35996" s="6"/>
      <c r="H35996" s="13"/>
    </row>
    <row r="35997">
      <c r="A35997" s="6"/>
      <c r="B35997" s="6"/>
      <c r="H35997" s="13"/>
    </row>
    <row r="35998">
      <c r="A35998" s="6"/>
      <c r="B35998" s="6"/>
      <c r="H35998" s="13"/>
    </row>
    <row r="35999">
      <c r="A35999" s="6"/>
      <c r="B35999" s="6"/>
      <c r="H35999" s="13"/>
    </row>
    <row r="36000">
      <c r="A36000" s="6"/>
      <c r="B36000" s="6"/>
      <c r="H36000" s="13"/>
    </row>
    <row r="36001">
      <c r="A36001" s="6"/>
      <c r="B36001" s="6"/>
      <c r="H36001" s="13"/>
    </row>
    <row r="36002">
      <c r="A36002" s="6"/>
      <c r="B36002" s="6"/>
      <c r="H36002" s="13"/>
    </row>
    <row r="36003">
      <c r="A36003" s="6"/>
      <c r="B36003" s="6"/>
      <c r="H36003" s="13"/>
    </row>
    <row r="36004">
      <c r="A36004" s="6"/>
      <c r="B36004" s="6"/>
      <c r="H36004" s="13"/>
    </row>
    <row r="36005">
      <c r="A36005" s="6"/>
      <c r="B36005" s="6"/>
      <c r="H36005" s="13"/>
    </row>
    <row r="36006">
      <c r="A36006" s="6"/>
      <c r="B36006" s="6"/>
      <c r="H36006" s="13"/>
    </row>
    <row r="36007">
      <c r="A36007" s="6"/>
      <c r="B36007" s="6"/>
      <c r="H36007" s="13"/>
    </row>
    <row r="36008">
      <c r="A36008" s="6"/>
      <c r="B36008" s="6"/>
      <c r="H36008" s="13"/>
    </row>
    <row r="36009">
      <c r="A36009" s="6"/>
      <c r="B36009" s="6"/>
      <c r="H36009" s="13"/>
    </row>
    <row r="36010">
      <c r="A36010" s="6"/>
      <c r="B36010" s="6"/>
      <c r="H36010" s="13"/>
    </row>
    <row r="36011">
      <c r="A36011" s="6"/>
      <c r="B36011" s="6"/>
      <c r="H36011" s="13"/>
    </row>
    <row r="36012">
      <c r="A36012" s="6"/>
      <c r="B36012" s="6"/>
      <c r="H36012" s="13"/>
    </row>
    <row r="36013">
      <c r="A36013" s="6"/>
      <c r="B36013" s="6"/>
      <c r="H36013" s="13"/>
    </row>
    <row r="36014">
      <c r="A36014" s="6"/>
      <c r="B36014" s="6"/>
      <c r="H36014" s="13"/>
    </row>
    <row r="36015">
      <c r="A36015" s="6"/>
      <c r="B36015" s="6"/>
      <c r="H36015" s="13"/>
    </row>
    <row r="36016">
      <c r="A36016" s="6"/>
      <c r="B36016" s="6"/>
      <c r="H36016" s="13"/>
    </row>
    <row r="36017">
      <c r="A36017" s="6"/>
      <c r="B36017" s="6"/>
      <c r="H36017" s="13"/>
    </row>
    <row r="36018">
      <c r="A36018" s="6"/>
      <c r="B36018" s="6"/>
      <c r="H36018" s="13"/>
    </row>
    <row r="36019">
      <c r="A36019" s="6"/>
      <c r="B36019" s="6"/>
      <c r="H36019" s="13"/>
    </row>
    <row r="36020">
      <c r="A36020" s="6"/>
      <c r="B36020" s="6"/>
      <c r="H36020" s="13"/>
    </row>
    <row r="36021">
      <c r="A36021" s="6"/>
      <c r="B36021" s="6"/>
      <c r="H36021" s="13"/>
    </row>
    <row r="36022">
      <c r="A36022" s="6"/>
      <c r="B36022" s="6"/>
      <c r="H36022" s="13"/>
    </row>
    <row r="36023">
      <c r="A36023" s="6"/>
      <c r="B36023" s="6"/>
      <c r="H36023" s="13"/>
    </row>
    <row r="36024">
      <c r="A36024" s="6"/>
      <c r="B36024" s="6"/>
      <c r="H36024" s="13"/>
    </row>
    <row r="36025">
      <c r="A36025" s="6"/>
      <c r="B36025" s="6"/>
      <c r="H36025" s="13"/>
    </row>
    <row r="36026">
      <c r="A36026" s="6"/>
      <c r="B36026" s="6"/>
      <c r="H36026" s="13"/>
    </row>
    <row r="36027">
      <c r="A36027" s="6"/>
      <c r="B36027" s="6"/>
      <c r="H36027" s="13"/>
    </row>
    <row r="36028">
      <c r="A36028" s="6"/>
      <c r="B36028" s="6"/>
      <c r="H36028" s="13"/>
    </row>
    <row r="36029">
      <c r="A36029" s="6"/>
      <c r="B36029" s="6"/>
      <c r="H36029" s="13"/>
    </row>
    <row r="36030">
      <c r="A36030" s="6"/>
      <c r="B36030" s="6"/>
      <c r="H36030" s="13"/>
    </row>
    <row r="36031">
      <c r="A36031" s="6"/>
      <c r="B36031" s="6"/>
      <c r="H36031" s="13"/>
    </row>
    <row r="36032">
      <c r="A36032" s="6"/>
      <c r="B36032" s="6"/>
      <c r="H36032" s="13"/>
    </row>
    <row r="36033">
      <c r="A36033" s="6"/>
      <c r="B36033" s="6"/>
      <c r="H36033" s="13"/>
    </row>
    <row r="36034">
      <c r="A36034" s="6"/>
      <c r="B36034" s="6"/>
      <c r="H36034" s="13"/>
    </row>
    <row r="36035">
      <c r="A36035" s="6"/>
      <c r="B36035" s="6"/>
      <c r="H36035" s="13"/>
    </row>
    <row r="36036">
      <c r="A36036" s="6"/>
      <c r="B36036" s="6"/>
      <c r="H36036" s="13"/>
    </row>
    <row r="36037">
      <c r="A36037" s="6"/>
      <c r="B36037" s="6"/>
      <c r="H36037" s="13"/>
    </row>
    <row r="36038">
      <c r="A36038" s="6"/>
      <c r="B36038" s="6"/>
      <c r="H36038" s="13"/>
    </row>
    <row r="36039">
      <c r="A36039" s="6"/>
      <c r="B36039" s="6"/>
      <c r="H36039" s="13"/>
    </row>
    <row r="36040">
      <c r="A36040" s="6"/>
      <c r="B36040" s="6"/>
      <c r="H36040" s="13"/>
    </row>
    <row r="36041">
      <c r="A36041" s="6"/>
      <c r="B36041" s="6"/>
      <c r="H36041" s="13"/>
    </row>
    <row r="36042">
      <c r="A36042" s="6"/>
      <c r="B36042" s="6"/>
      <c r="H36042" s="13"/>
    </row>
    <row r="36043">
      <c r="A36043" s="6"/>
      <c r="B36043" s="6"/>
      <c r="H36043" s="13"/>
    </row>
    <row r="36044">
      <c r="A36044" s="6"/>
      <c r="B36044" s="6"/>
      <c r="H36044" s="13"/>
    </row>
    <row r="36045">
      <c r="A36045" s="6"/>
      <c r="B36045" s="6"/>
      <c r="H36045" s="13"/>
    </row>
    <row r="36046">
      <c r="A36046" s="6"/>
      <c r="B36046" s="6"/>
      <c r="H36046" s="13"/>
    </row>
    <row r="36047">
      <c r="A36047" s="6"/>
      <c r="B36047" s="6"/>
      <c r="H36047" s="13"/>
    </row>
    <row r="36048">
      <c r="A36048" s="6"/>
      <c r="B36048" s="6"/>
      <c r="H36048" s="13"/>
    </row>
    <row r="36049">
      <c r="A36049" s="6"/>
      <c r="B36049" s="6"/>
      <c r="H36049" s="13"/>
    </row>
    <row r="36050">
      <c r="A36050" s="6"/>
      <c r="B36050" s="6"/>
      <c r="H36050" s="13"/>
    </row>
    <row r="36051">
      <c r="A36051" s="6"/>
      <c r="B36051" s="6"/>
      <c r="H36051" s="13"/>
    </row>
    <row r="36052">
      <c r="A36052" s="6"/>
      <c r="B36052" s="6"/>
      <c r="H36052" s="13"/>
    </row>
    <row r="36053">
      <c r="A36053" s="6"/>
      <c r="B36053" s="6"/>
      <c r="H36053" s="13"/>
    </row>
    <row r="36054">
      <c r="A36054" s="6"/>
      <c r="B36054" s="6"/>
      <c r="H36054" s="13"/>
    </row>
    <row r="36055">
      <c r="A36055" s="6"/>
      <c r="B36055" s="6"/>
      <c r="H36055" s="13"/>
    </row>
    <row r="36056">
      <c r="A36056" s="6"/>
      <c r="B36056" s="6"/>
      <c r="H36056" s="13"/>
    </row>
    <row r="36057">
      <c r="A36057" s="6"/>
      <c r="B36057" s="6"/>
      <c r="H36057" s="13"/>
    </row>
    <row r="36058">
      <c r="A36058" s="6"/>
      <c r="B36058" s="6"/>
      <c r="H36058" s="13"/>
    </row>
    <row r="36059">
      <c r="A36059" s="6"/>
      <c r="B36059" s="6"/>
      <c r="H36059" s="13"/>
    </row>
    <row r="36060">
      <c r="A36060" s="6"/>
      <c r="B36060" s="6"/>
      <c r="H36060" s="13"/>
    </row>
    <row r="36061">
      <c r="A36061" s="6"/>
      <c r="B36061" s="6"/>
      <c r="H36061" s="13"/>
    </row>
    <row r="36062">
      <c r="A36062" s="6"/>
      <c r="B36062" s="6"/>
      <c r="H36062" s="13"/>
    </row>
    <row r="36063">
      <c r="A36063" s="6"/>
      <c r="B36063" s="6"/>
      <c r="H36063" s="13"/>
    </row>
    <row r="36064">
      <c r="A36064" s="6"/>
      <c r="B36064" s="6"/>
      <c r="H36064" s="13"/>
    </row>
    <row r="36065">
      <c r="A36065" s="6"/>
      <c r="B36065" s="6"/>
      <c r="H36065" s="13"/>
    </row>
    <row r="36066">
      <c r="A36066" s="6"/>
      <c r="B36066" s="6"/>
      <c r="H36066" s="13"/>
    </row>
    <row r="36067">
      <c r="A36067" s="6"/>
      <c r="B36067" s="6"/>
      <c r="H36067" s="13"/>
    </row>
    <row r="36068">
      <c r="A36068" s="6"/>
      <c r="B36068" s="6"/>
      <c r="H36068" s="13"/>
    </row>
    <row r="36069">
      <c r="A36069" s="6"/>
      <c r="B36069" s="6"/>
      <c r="H36069" s="13"/>
    </row>
    <row r="36070">
      <c r="A36070" s="6"/>
      <c r="B36070" s="6"/>
      <c r="H36070" s="13"/>
    </row>
    <row r="36071">
      <c r="A36071" s="6"/>
      <c r="B36071" s="6"/>
      <c r="H36071" s="13"/>
    </row>
    <row r="36072">
      <c r="A36072" s="6"/>
      <c r="B36072" s="6"/>
      <c r="H36072" s="13"/>
    </row>
    <row r="36073">
      <c r="A36073" s="6"/>
      <c r="B36073" s="6"/>
      <c r="H36073" s="13"/>
    </row>
    <row r="36074">
      <c r="A36074" s="6"/>
      <c r="B36074" s="6"/>
      <c r="H36074" s="13"/>
    </row>
    <row r="36075">
      <c r="A36075" s="6"/>
      <c r="B36075" s="6"/>
      <c r="H36075" s="13"/>
    </row>
    <row r="36076">
      <c r="A36076" s="6"/>
      <c r="B36076" s="6"/>
      <c r="H36076" s="13"/>
    </row>
    <row r="36077">
      <c r="A36077" s="6"/>
      <c r="B36077" s="6"/>
      <c r="H36077" s="13"/>
    </row>
    <row r="36078">
      <c r="A36078" s="6"/>
      <c r="B36078" s="6"/>
      <c r="H36078" s="13"/>
    </row>
    <row r="36079">
      <c r="A36079" s="6"/>
      <c r="B36079" s="6"/>
      <c r="H36079" s="13"/>
    </row>
    <row r="36080">
      <c r="A36080" s="6"/>
      <c r="B36080" s="6"/>
      <c r="H36080" s="13"/>
    </row>
    <row r="36081">
      <c r="A36081" s="6"/>
      <c r="B36081" s="6"/>
      <c r="H36081" s="13"/>
    </row>
    <row r="36082">
      <c r="A36082" s="6"/>
      <c r="B36082" s="6"/>
      <c r="H36082" s="13"/>
    </row>
    <row r="36083">
      <c r="A36083" s="6"/>
      <c r="B36083" s="6"/>
      <c r="H36083" s="13"/>
    </row>
    <row r="36084">
      <c r="A36084" s="6"/>
      <c r="B36084" s="6"/>
      <c r="H36084" s="13"/>
    </row>
    <row r="36085">
      <c r="A36085" s="6"/>
      <c r="B36085" s="6"/>
      <c r="H36085" s="13"/>
    </row>
    <row r="36086">
      <c r="A36086" s="6"/>
      <c r="B36086" s="6"/>
      <c r="H36086" s="13"/>
    </row>
    <row r="36087">
      <c r="A36087" s="6"/>
      <c r="B36087" s="6"/>
      <c r="H36087" s="13"/>
    </row>
    <row r="36088">
      <c r="A36088" s="6"/>
      <c r="B36088" s="6"/>
      <c r="H36088" s="13"/>
    </row>
    <row r="36089">
      <c r="A36089" s="6"/>
      <c r="B36089" s="6"/>
      <c r="H36089" s="13"/>
    </row>
    <row r="36090">
      <c r="A36090" s="6"/>
      <c r="B36090" s="6"/>
      <c r="H36090" s="13"/>
    </row>
    <row r="36091">
      <c r="A36091" s="6"/>
      <c r="B36091" s="6"/>
      <c r="H36091" s="13"/>
    </row>
    <row r="36092">
      <c r="A36092" s="6"/>
      <c r="B36092" s="6"/>
      <c r="H36092" s="13"/>
    </row>
    <row r="36093">
      <c r="A36093" s="6"/>
      <c r="B36093" s="6"/>
      <c r="H36093" s="13"/>
    </row>
    <row r="36094">
      <c r="A36094" s="6"/>
      <c r="B36094" s="6"/>
      <c r="H36094" s="13"/>
    </row>
    <row r="36095">
      <c r="A36095" s="6"/>
      <c r="B36095" s="6"/>
      <c r="H36095" s="13"/>
    </row>
    <row r="36096">
      <c r="A36096" s="6"/>
      <c r="B36096" s="6"/>
      <c r="H36096" s="13"/>
    </row>
    <row r="36097">
      <c r="A36097" s="6"/>
      <c r="B36097" s="6"/>
      <c r="H36097" s="13"/>
    </row>
    <row r="36098">
      <c r="A36098" s="6"/>
      <c r="B36098" s="6"/>
      <c r="H36098" s="13"/>
    </row>
    <row r="36099">
      <c r="A36099" s="6"/>
      <c r="B36099" s="6"/>
      <c r="H36099" s="13"/>
    </row>
    <row r="36100">
      <c r="A36100" s="6"/>
      <c r="B36100" s="6"/>
      <c r="H36100" s="13"/>
    </row>
    <row r="36101">
      <c r="A36101" s="6"/>
      <c r="B36101" s="6"/>
      <c r="H36101" s="13"/>
    </row>
    <row r="36102">
      <c r="A36102" s="6"/>
      <c r="B36102" s="6"/>
      <c r="H36102" s="13"/>
    </row>
    <row r="36103">
      <c r="A36103" s="6"/>
      <c r="B36103" s="6"/>
      <c r="H36103" s="13"/>
    </row>
    <row r="36104">
      <c r="A36104" s="6"/>
      <c r="B36104" s="6"/>
      <c r="H36104" s="13"/>
    </row>
    <row r="36105">
      <c r="A36105" s="6"/>
      <c r="B36105" s="6"/>
      <c r="H36105" s="13"/>
    </row>
    <row r="36106">
      <c r="A36106" s="6"/>
      <c r="B36106" s="6"/>
      <c r="H36106" s="13"/>
    </row>
    <row r="36107">
      <c r="A36107" s="6"/>
      <c r="B36107" s="6"/>
      <c r="H36107" s="13"/>
    </row>
    <row r="36108">
      <c r="A36108" s="6"/>
      <c r="B36108" s="6"/>
      <c r="H36108" s="13"/>
    </row>
    <row r="36109">
      <c r="A36109" s="6"/>
      <c r="B36109" s="6"/>
      <c r="H36109" s="13"/>
    </row>
    <row r="36110">
      <c r="A36110" s="6"/>
      <c r="B36110" s="6"/>
      <c r="H36110" s="13"/>
    </row>
    <row r="36111">
      <c r="A36111" s="6"/>
      <c r="B36111" s="6"/>
      <c r="H36111" s="13"/>
    </row>
    <row r="36112">
      <c r="A36112" s="6"/>
      <c r="B36112" s="6"/>
      <c r="H36112" s="13"/>
    </row>
    <row r="36113">
      <c r="A36113" s="6"/>
      <c r="B36113" s="6"/>
      <c r="H36113" s="13"/>
    </row>
    <row r="36114">
      <c r="A36114" s="6"/>
      <c r="B36114" s="6"/>
      <c r="H36114" s="13"/>
    </row>
    <row r="36115">
      <c r="A36115" s="6"/>
      <c r="B36115" s="6"/>
      <c r="H36115" s="13"/>
    </row>
    <row r="36116">
      <c r="A36116" s="6"/>
      <c r="B36116" s="6"/>
      <c r="H36116" s="13"/>
    </row>
    <row r="36117">
      <c r="A36117" s="6"/>
      <c r="B36117" s="6"/>
      <c r="H36117" s="13"/>
    </row>
    <row r="36118">
      <c r="A36118" s="6"/>
      <c r="B36118" s="6"/>
      <c r="H36118" s="13"/>
    </row>
    <row r="36119">
      <c r="A36119" s="6"/>
      <c r="B36119" s="6"/>
      <c r="H36119" s="13"/>
    </row>
    <row r="36120">
      <c r="A36120" s="6"/>
      <c r="B36120" s="6"/>
      <c r="H36120" s="13"/>
    </row>
    <row r="36121">
      <c r="A36121" s="6"/>
      <c r="B36121" s="6"/>
      <c r="H36121" s="13"/>
    </row>
    <row r="36122">
      <c r="A36122" s="6"/>
      <c r="B36122" s="6"/>
      <c r="H36122" s="13"/>
    </row>
    <row r="36123">
      <c r="A36123" s="6"/>
      <c r="B36123" s="6"/>
      <c r="H36123" s="13"/>
    </row>
    <row r="36124">
      <c r="A36124" s="6"/>
      <c r="B36124" s="6"/>
      <c r="H36124" s="13"/>
    </row>
    <row r="36125">
      <c r="A36125" s="6"/>
      <c r="B36125" s="6"/>
      <c r="H36125" s="13"/>
    </row>
    <row r="36126">
      <c r="A36126" s="6"/>
      <c r="B36126" s="6"/>
      <c r="H36126" s="13"/>
    </row>
    <row r="36127">
      <c r="A36127" s="6"/>
      <c r="B36127" s="6"/>
      <c r="H36127" s="13"/>
    </row>
    <row r="36128">
      <c r="A36128" s="6"/>
      <c r="B36128" s="6"/>
      <c r="H36128" s="13"/>
    </row>
    <row r="36129">
      <c r="A36129" s="6"/>
      <c r="B36129" s="6"/>
      <c r="H36129" s="13"/>
    </row>
    <row r="36130">
      <c r="A36130" s="6"/>
      <c r="B36130" s="6"/>
      <c r="H36130" s="13"/>
    </row>
    <row r="36131">
      <c r="A36131" s="6"/>
      <c r="B36131" s="6"/>
      <c r="H36131" s="13"/>
    </row>
    <row r="36132">
      <c r="A36132" s="6"/>
      <c r="B36132" s="6"/>
      <c r="H36132" s="13"/>
    </row>
    <row r="36133">
      <c r="A36133" s="6"/>
      <c r="B36133" s="6"/>
      <c r="H36133" s="13"/>
    </row>
    <row r="36134">
      <c r="A36134" s="6"/>
      <c r="B36134" s="6"/>
      <c r="H36134" s="13"/>
    </row>
    <row r="36135">
      <c r="A36135" s="6"/>
      <c r="B36135" s="6"/>
      <c r="H36135" s="13"/>
    </row>
    <row r="36136">
      <c r="A36136" s="6"/>
      <c r="B36136" s="6"/>
      <c r="H36136" s="13"/>
    </row>
    <row r="36137">
      <c r="A36137" s="6"/>
      <c r="B36137" s="6"/>
      <c r="H36137" s="13"/>
    </row>
    <row r="36138">
      <c r="A36138" s="6"/>
      <c r="B36138" s="6"/>
      <c r="H36138" s="13"/>
    </row>
    <row r="36139">
      <c r="A36139" s="6"/>
      <c r="B36139" s="6"/>
      <c r="H36139" s="13"/>
    </row>
    <row r="36140">
      <c r="A36140" s="6"/>
      <c r="B36140" s="6"/>
      <c r="H36140" s="13"/>
    </row>
    <row r="36141">
      <c r="A36141" s="6"/>
      <c r="B36141" s="6"/>
      <c r="H36141" s="13"/>
    </row>
    <row r="36142">
      <c r="A36142" s="6"/>
      <c r="B36142" s="6"/>
      <c r="H36142" s="13"/>
    </row>
    <row r="36143">
      <c r="A36143" s="6"/>
      <c r="B36143" s="6"/>
      <c r="H36143" s="13"/>
    </row>
    <row r="36144">
      <c r="A36144" s="6"/>
      <c r="B36144" s="6"/>
      <c r="H36144" s="13"/>
    </row>
    <row r="36145">
      <c r="A36145" s="6"/>
      <c r="B36145" s="6"/>
      <c r="H36145" s="13"/>
    </row>
    <row r="36146">
      <c r="A36146" s="6"/>
      <c r="B36146" s="6"/>
      <c r="H36146" s="13"/>
    </row>
    <row r="36147">
      <c r="A36147" s="6"/>
      <c r="B36147" s="6"/>
      <c r="H36147" s="13"/>
    </row>
    <row r="36148">
      <c r="A36148" s="6"/>
      <c r="B36148" s="6"/>
      <c r="H36148" s="13"/>
    </row>
    <row r="36149">
      <c r="A36149" s="6"/>
      <c r="B36149" s="6"/>
      <c r="H36149" s="13"/>
    </row>
    <row r="36150">
      <c r="A36150" s="6"/>
      <c r="B36150" s="6"/>
      <c r="H36150" s="13"/>
    </row>
    <row r="36151">
      <c r="A36151" s="6"/>
      <c r="B36151" s="6"/>
      <c r="H36151" s="13"/>
    </row>
    <row r="36152">
      <c r="A36152" s="6"/>
      <c r="B36152" s="6"/>
      <c r="H36152" s="13"/>
    </row>
    <row r="36153">
      <c r="A36153" s="6"/>
      <c r="B36153" s="6"/>
      <c r="H36153" s="13"/>
    </row>
    <row r="36154">
      <c r="A36154" s="6"/>
      <c r="B36154" s="6"/>
      <c r="H36154" s="13"/>
    </row>
    <row r="36155">
      <c r="A36155" s="6"/>
      <c r="B36155" s="6"/>
      <c r="H36155" s="13"/>
    </row>
    <row r="36156">
      <c r="A36156" s="6"/>
      <c r="B36156" s="6"/>
      <c r="H36156" s="13"/>
    </row>
    <row r="36157">
      <c r="A36157" s="6"/>
      <c r="B36157" s="6"/>
      <c r="H36157" s="13"/>
    </row>
    <row r="36158">
      <c r="A36158" s="6"/>
      <c r="B36158" s="6"/>
      <c r="H36158" s="13"/>
    </row>
    <row r="36159">
      <c r="A36159" s="6"/>
      <c r="B36159" s="6"/>
      <c r="H36159" s="13"/>
    </row>
    <row r="36160">
      <c r="A36160" s="6"/>
      <c r="B36160" s="6"/>
      <c r="H36160" s="13"/>
    </row>
    <row r="36161">
      <c r="A36161" s="6"/>
      <c r="B36161" s="6"/>
      <c r="H36161" s="13"/>
    </row>
    <row r="36162">
      <c r="A36162" s="6"/>
      <c r="B36162" s="6"/>
      <c r="H36162" s="13"/>
    </row>
    <row r="36163">
      <c r="A36163" s="6"/>
      <c r="B36163" s="6"/>
      <c r="H36163" s="13"/>
    </row>
    <row r="36164">
      <c r="A36164" s="6"/>
      <c r="B36164" s="6"/>
      <c r="H36164" s="13"/>
    </row>
    <row r="36165">
      <c r="A36165" s="6"/>
      <c r="B36165" s="6"/>
      <c r="H36165" s="13"/>
    </row>
    <row r="36166">
      <c r="A36166" s="6"/>
      <c r="B36166" s="6"/>
      <c r="H36166" s="13"/>
    </row>
    <row r="36167">
      <c r="A36167" s="6"/>
      <c r="B36167" s="6"/>
      <c r="H36167" s="13"/>
    </row>
    <row r="36168">
      <c r="A36168" s="6"/>
      <c r="B36168" s="6"/>
      <c r="H36168" s="13"/>
    </row>
    <row r="36169">
      <c r="A36169" s="6"/>
      <c r="B36169" s="6"/>
      <c r="H36169" s="13"/>
    </row>
    <row r="36170">
      <c r="A36170" s="6"/>
      <c r="B36170" s="6"/>
      <c r="H36170" s="13"/>
    </row>
    <row r="36171">
      <c r="A36171" s="6"/>
      <c r="B36171" s="6"/>
      <c r="H36171" s="13"/>
    </row>
    <row r="36172">
      <c r="A36172" s="6"/>
      <c r="B36172" s="6"/>
      <c r="H36172" s="13"/>
    </row>
    <row r="36173">
      <c r="A36173" s="6"/>
      <c r="B36173" s="6"/>
      <c r="H36173" s="13"/>
    </row>
    <row r="36174">
      <c r="A36174" s="6"/>
      <c r="B36174" s="6"/>
      <c r="H36174" s="13"/>
    </row>
    <row r="36175">
      <c r="A36175" s="6"/>
      <c r="B36175" s="6"/>
      <c r="H36175" s="13"/>
    </row>
    <row r="36176">
      <c r="A36176" s="6"/>
      <c r="B36176" s="6"/>
      <c r="H36176" s="13"/>
    </row>
    <row r="36177">
      <c r="A36177" s="6"/>
      <c r="B36177" s="6"/>
      <c r="H36177" s="13"/>
    </row>
    <row r="36178">
      <c r="A36178" s="6"/>
      <c r="B36178" s="6"/>
      <c r="H36178" s="13"/>
    </row>
    <row r="36179">
      <c r="A36179" s="6"/>
      <c r="B36179" s="6"/>
      <c r="H36179" s="13"/>
    </row>
    <row r="36180">
      <c r="A36180" s="6"/>
      <c r="B36180" s="6"/>
      <c r="H36180" s="13"/>
    </row>
    <row r="36181">
      <c r="A36181" s="6"/>
      <c r="B36181" s="6"/>
      <c r="H36181" s="13"/>
    </row>
    <row r="36182">
      <c r="A36182" s="6"/>
      <c r="B36182" s="6"/>
      <c r="H36182" s="13"/>
    </row>
    <row r="36183">
      <c r="A36183" s="6"/>
      <c r="B36183" s="6"/>
      <c r="H36183" s="13"/>
    </row>
    <row r="36184">
      <c r="A36184" s="6"/>
      <c r="B36184" s="6"/>
      <c r="H36184" s="13"/>
    </row>
    <row r="36185">
      <c r="A36185" s="6"/>
      <c r="B36185" s="6"/>
      <c r="H36185" s="13"/>
    </row>
    <row r="36186">
      <c r="A36186" s="6"/>
      <c r="B36186" s="6"/>
      <c r="H36186" s="13"/>
    </row>
    <row r="36187">
      <c r="A36187" s="6"/>
      <c r="B36187" s="6"/>
      <c r="H36187" s="13"/>
    </row>
    <row r="36188">
      <c r="A36188" s="6"/>
      <c r="B36188" s="6"/>
      <c r="H36188" s="13"/>
    </row>
    <row r="36189">
      <c r="A36189" s="6"/>
      <c r="B36189" s="6"/>
      <c r="H36189" s="13"/>
    </row>
    <row r="36190">
      <c r="A36190" s="6"/>
      <c r="B36190" s="6"/>
      <c r="H36190" s="13"/>
    </row>
    <row r="36191">
      <c r="A36191" s="6"/>
      <c r="B36191" s="6"/>
      <c r="H36191" s="13"/>
    </row>
    <row r="36192">
      <c r="A36192" s="6"/>
      <c r="B36192" s="6"/>
      <c r="H36192" s="13"/>
    </row>
    <row r="36193">
      <c r="A36193" s="6"/>
      <c r="B36193" s="6"/>
      <c r="H36193" s="13"/>
    </row>
    <row r="36194">
      <c r="A36194" s="6"/>
      <c r="B36194" s="6"/>
      <c r="H36194" s="13"/>
    </row>
    <row r="36195">
      <c r="A36195" s="6"/>
      <c r="B36195" s="6"/>
      <c r="H36195" s="13"/>
    </row>
    <row r="36196">
      <c r="A36196" s="6"/>
      <c r="B36196" s="6"/>
      <c r="H36196" s="13"/>
    </row>
    <row r="36197">
      <c r="A36197" s="6"/>
      <c r="B36197" s="6"/>
      <c r="H36197" s="13"/>
    </row>
    <row r="36198">
      <c r="A36198" s="6"/>
      <c r="B36198" s="6"/>
      <c r="H36198" s="13"/>
    </row>
    <row r="36199">
      <c r="A36199" s="6"/>
      <c r="B36199" s="6"/>
      <c r="H36199" s="13"/>
    </row>
    <row r="36200">
      <c r="A36200" s="6"/>
      <c r="B36200" s="6"/>
      <c r="H36200" s="13"/>
    </row>
    <row r="36201">
      <c r="A36201" s="6"/>
      <c r="B36201" s="6"/>
      <c r="H36201" s="13"/>
    </row>
    <row r="36202">
      <c r="A36202" s="6"/>
      <c r="B36202" s="6"/>
      <c r="H36202" s="13"/>
    </row>
    <row r="36203">
      <c r="A36203" s="6"/>
      <c r="B36203" s="6"/>
      <c r="H36203" s="13"/>
    </row>
    <row r="36204">
      <c r="A36204" s="6"/>
      <c r="B36204" s="6"/>
      <c r="H36204" s="13"/>
    </row>
    <row r="36205">
      <c r="A36205" s="6"/>
      <c r="B36205" s="6"/>
      <c r="H36205" s="13"/>
    </row>
    <row r="36206">
      <c r="A36206" s="6"/>
      <c r="B36206" s="6"/>
      <c r="H36206" s="13"/>
    </row>
    <row r="36207">
      <c r="A36207" s="6"/>
      <c r="B36207" s="6"/>
      <c r="H36207" s="13"/>
    </row>
    <row r="36208">
      <c r="A36208" s="6"/>
      <c r="B36208" s="6"/>
      <c r="H36208" s="13"/>
    </row>
    <row r="36209">
      <c r="A36209" s="6"/>
      <c r="B36209" s="6"/>
      <c r="H36209" s="13"/>
    </row>
    <row r="36210">
      <c r="A36210" s="6"/>
      <c r="B36210" s="6"/>
      <c r="H36210" s="13"/>
    </row>
    <row r="36211">
      <c r="A36211" s="6"/>
      <c r="B36211" s="6"/>
      <c r="H36211" s="13"/>
    </row>
    <row r="36212">
      <c r="A36212" s="6"/>
      <c r="B36212" s="6"/>
      <c r="H36212" s="13"/>
    </row>
    <row r="36213">
      <c r="A36213" s="6"/>
      <c r="B36213" s="6"/>
      <c r="H36213" s="13"/>
    </row>
    <row r="36214">
      <c r="A36214" s="6"/>
      <c r="B36214" s="6"/>
      <c r="H36214" s="13"/>
    </row>
    <row r="36215">
      <c r="A36215" s="6"/>
      <c r="B36215" s="6"/>
      <c r="H36215" s="13"/>
    </row>
    <row r="36216">
      <c r="A36216" s="6"/>
      <c r="B36216" s="6"/>
      <c r="H36216" s="13"/>
    </row>
    <row r="36217">
      <c r="A36217" s="6"/>
      <c r="B36217" s="6"/>
      <c r="H36217" s="13"/>
    </row>
    <row r="36218">
      <c r="A36218" s="6"/>
      <c r="B36218" s="6"/>
      <c r="H36218" s="13"/>
    </row>
    <row r="36219">
      <c r="A36219" s="6"/>
      <c r="B36219" s="6"/>
      <c r="H36219" s="13"/>
    </row>
    <row r="36220">
      <c r="A36220" s="6"/>
      <c r="B36220" s="6"/>
      <c r="H36220" s="13"/>
    </row>
    <row r="36221">
      <c r="A36221" s="6"/>
      <c r="B36221" s="6"/>
      <c r="H36221" s="13"/>
    </row>
    <row r="36222">
      <c r="A36222" s="6"/>
      <c r="B36222" s="6"/>
      <c r="H36222" s="13"/>
    </row>
    <row r="36223">
      <c r="A36223" s="6"/>
      <c r="B36223" s="6"/>
      <c r="H36223" s="13"/>
    </row>
    <row r="36224">
      <c r="A36224" s="6"/>
      <c r="B36224" s="6"/>
      <c r="H36224" s="13"/>
    </row>
    <row r="36225">
      <c r="A36225" s="6"/>
      <c r="B36225" s="6"/>
      <c r="H36225" s="13"/>
    </row>
    <row r="36226">
      <c r="A36226" s="6"/>
      <c r="B36226" s="6"/>
      <c r="H36226" s="13"/>
    </row>
    <row r="36227">
      <c r="A36227" s="6"/>
      <c r="B36227" s="6"/>
      <c r="H36227" s="13"/>
    </row>
    <row r="36228">
      <c r="A36228" s="6"/>
      <c r="B36228" s="6"/>
      <c r="H36228" s="13"/>
    </row>
    <row r="36229">
      <c r="A36229" s="6"/>
      <c r="B36229" s="6"/>
      <c r="H36229" s="13"/>
    </row>
    <row r="36230">
      <c r="A36230" s="6"/>
      <c r="B36230" s="6"/>
      <c r="H36230" s="13"/>
    </row>
    <row r="36231">
      <c r="A36231" s="6"/>
      <c r="B36231" s="6"/>
      <c r="H36231" s="13"/>
    </row>
    <row r="36232">
      <c r="A36232" s="6"/>
      <c r="B36232" s="6"/>
      <c r="H36232" s="13"/>
    </row>
    <row r="36233">
      <c r="A36233" s="6"/>
      <c r="B36233" s="6"/>
      <c r="H36233" s="13"/>
    </row>
    <row r="36234">
      <c r="A36234" s="6"/>
      <c r="B36234" s="6"/>
      <c r="H36234" s="13"/>
    </row>
    <row r="36235">
      <c r="A36235" s="6"/>
      <c r="B36235" s="6"/>
      <c r="H36235" s="13"/>
    </row>
    <row r="36236">
      <c r="A36236" s="6"/>
      <c r="B36236" s="6"/>
      <c r="H36236" s="13"/>
    </row>
    <row r="36237">
      <c r="A36237" s="6"/>
      <c r="B36237" s="6"/>
      <c r="H36237" s="13"/>
    </row>
    <row r="36238">
      <c r="A36238" s="6"/>
      <c r="B36238" s="6"/>
      <c r="H36238" s="13"/>
    </row>
    <row r="36239">
      <c r="A36239" s="6"/>
      <c r="B36239" s="6"/>
      <c r="H36239" s="13"/>
    </row>
    <row r="36240">
      <c r="A36240" s="6"/>
      <c r="B36240" s="6"/>
      <c r="H36240" s="13"/>
    </row>
    <row r="36241">
      <c r="A36241" s="6"/>
      <c r="B36241" s="6"/>
      <c r="H36241" s="13"/>
    </row>
    <row r="36242">
      <c r="A36242" s="6"/>
      <c r="B36242" s="6"/>
      <c r="H36242" s="13"/>
    </row>
    <row r="36243">
      <c r="A36243" s="6"/>
      <c r="B36243" s="6"/>
      <c r="H36243" s="13"/>
    </row>
    <row r="36244">
      <c r="A36244" s="6"/>
      <c r="B36244" s="6"/>
      <c r="H36244" s="13"/>
    </row>
    <row r="36245">
      <c r="A36245" s="6"/>
      <c r="B36245" s="6"/>
      <c r="H36245" s="13"/>
    </row>
    <row r="36246">
      <c r="A36246" s="6"/>
      <c r="B36246" s="6"/>
      <c r="H36246" s="13"/>
    </row>
    <row r="36247">
      <c r="A36247" s="6"/>
      <c r="B36247" s="6"/>
      <c r="H36247" s="13"/>
    </row>
    <row r="36248">
      <c r="A36248" s="6"/>
      <c r="B36248" s="6"/>
      <c r="H36248" s="13"/>
    </row>
    <row r="36249">
      <c r="A36249" s="6"/>
      <c r="B36249" s="6"/>
      <c r="H36249" s="13"/>
    </row>
    <row r="36250">
      <c r="A36250" s="6"/>
      <c r="B36250" s="6"/>
      <c r="H36250" s="13"/>
    </row>
    <row r="36251">
      <c r="A36251" s="6"/>
      <c r="B36251" s="6"/>
      <c r="H36251" s="13"/>
    </row>
    <row r="36252">
      <c r="A36252" s="6"/>
      <c r="B36252" s="6"/>
      <c r="H36252" s="13"/>
    </row>
    <row r="36253">
      <c r="A36253" s="6"/>
      <c r="B36253" s="6"/>
      <c r="H36253" s="13"/>
    </row>
    <row r="36254">
      <c r="A36254" s="6"/>
      <c r="B36254" s="6"/>
      <c r="H36254" s="13"/>
    </row>
    <row r="36255">
      <c r="A36255" s="6"/>
      <c r="B36255" s="6"/>
      <c r="H36255" s="13"/>
    </row>
    <row r="36256">
      <c r="A36256" s="6"/>
      <c r="B36256" s="6"/>
      <c r="H36256" s="13"/>
    </row>
    <row r="36257">
      <c r="A36257" s="6"/>
      <c r="B36257" s="6"/>
      <c r="H36257" s="13"/>
    </row>
    <row r="36258">
      <c r="A36258" s="6"/>
      <c r="B36258" s="6"/>
      <c r="H36258" s="13"/>
    </row>
    <row r="36259">
      <c r="A36259" s="6"/>
      <c r="B36259" s="6"/>
      <c r="H36259" s="13"/>
    </row>
    <row r="36260">
      <c r="A36260" s="6"/>
      <c r="B36260" s="6"/>
      <c r="H36260" s="13"/>
    </row>
    <row r="36261">
      <c r="A36261" s="6"/>
      <c r="B36261" s="6"/>
      <c r="H36261" s="13"/>
    </row>
    <row r="36262">
      <c r="A36262" s="6"/>
      <c r="B36262" s="6"/>
      <c r="H36262" s="13"/>
    </row>
    <row r="36263">
      <c r="A36263" s="6"/>
      <c r="B36263" s="6"/>
      <c r="H36263" s="13"/>
    </row>
    <row r="36264">
      <c r="A36264" s="6"/>
      <c r="B36264" s="6"/>
      <c r="H36264" s="13"/>
    </row>
    <row r="36265">
      <c r="A36265" s="6"/>
      <c r="B36265" s="6"/>
      <c r="H36265" s="13"/>
    </row>
    <row r="36266">
      <c r="A36266" s="6"/>
      <c r="B36266" s="6"/>
      <c r="H36266" s="13"/>
    </row>
    <row r="36267">
      <c r="A36267" s="6"/>
      <c r="B36267" s="6"/>
      <c r="H36267" s="13"/>
    </row>
    <row r="36268">
      <c r="A36268" s="6"/>
      <c r="B36268" s="6"/>
      <c r="H36268" s="13"/>
    </row>
    <row r="36269">
      <c r="A36269" s="6"/>
      <c r="B36269" s="6"/>
      <c r="H36269" s="13"/>
    </row>
    <row r="36270">
      <c r="A36270" s="6"/>
      <c r="B36270" s="6"/>
      <c r="H36270" s="13"/>
    </row>
    <row r="36271">
      <c r="A36271" s="6"/>
      <c r="B36271" s="6"/>
      <c r="H36271" s="13"/>
    </row>
    <row r="36272">
      <c r="A36272" s="6"/>
      <c r="B36272" s="6"/>
      <c r="H36272" s="13"/>
    </row>
    <row r="36273">
      <c r="A36273" s="6"/>
      <c r="B36273" s="6"/>
      <c r="H36273" s="13"/>
    </row>
    <row r="36274">
      <c r="A36274" s="6"/>
      <c r="B36274" s="6"/>
      <c r="H36274" s="13"/>
    </row>
    <row r="36275">
      <c r="A36275" s="6"/>
      <c r="B36275" s="6"/>
      <c r="H36275" s="13"/>
    </row>
    <row r="36276">
      <c r="A36276" s="6"/>
      <c r="B36276" s="6"/>
      <c r="H36276" s="13"/>
    </row>
    <row r="36277">
      <c r="A36277" s="6"/>
      <c r="B36277" s="6"/>
      <c r="H36277" s="13"/>
    </row>
    <row r="36278">
      <c r="A36278" s="6"/>
      <c r="B36278" s="6"/>
      <c r="H36278" s="13"/>
    </row>
    <row r="36279">
      <c r="A36279" s="6"/>
      <c r="B36279" s="6"/>
      <c r="H36279" s="13"/>
    </row>
    <row r="36280">
      <c r="A36280" s="6"/>
      <c r="B36280" s="6"/>
      <c r="H36280" s="13"/>
    </row>
    <row r="36281">
      <c r="A36281" s="6"/>
      <c r="B36281" s="6"/>
      <c r="H36281" s="13"/>
    </row>
    <row r="36282">
      <c r="A36282" s="6"/>
      <c r="B36282" s="6"/>
      <c r="H36282" s="13"/>
    </row>
    <row r="36283">
      <c r="A36283" s="6"/>
      <c r="B36283" s="6"/>
      <c r="H36283" s="13"/>
    </row>
    <row r="36284">
      <c r="A36284" s="6"/>
      <c r="B36284" s="6"/>
      <c r="H36284" s="13"/>
    </row>
    <row r="36285">
      <c r="A36285" s="6"/>
      <c r="B36285" s="6"/>
      <c r="H36285" s="13"/>
    </row>
    <row r="36286">
      <c r="A36286" s="6"/>
      <c r="B36286" s="6"/>
      <c r="H36286" s="13"/>
    </row>
    <row r="36287">
      <c r="A36287" s="6"/>
      <c r="B36287" s="6"/>
      <c r="H36287" s="13"/>
    </row>
    <row r="36288">
      <c r="A36288" s="6"/>
      <c r="B36288" s="6"/>
      <c r="H36288" s="13"/>
    </row>
    <row r="36289">
      <c r="A36289" s="6"/>
      <c r="B36289" s="6"/>
      <c r="H36289" s="13"/>
    </row>
    <row r="36290">
      <c r="A36290" s="6"/>
      <c r="B36290" s="6"/>
      <c r="H36290" s="13"/>
    </row>
    <row r="36291">
      <c r="A36291" s="6"/>
      <c r="B36291" s="6"/>
      <c r="H36291" s="13"/>
    </row>
    <row r="36292">
      <c r="A36292" s="6"/>
      <c r="B36292" s="6"/>
      <c r="H36292" s="13"/>
    </row>
    <row r="36293">
      <c r="A36293" s="6"/>
      <c r="B36293" s="6"/>
      <c r="H36293" s="13"/>
    </row>
    <row r="36294">
      <c r="A36294" s="6"/>
      <c r="B36294" s="6"/>
      <c r="H36294" s="13"/>
    </row>
    <row r="36295">
      <c r="A36295" s="6"/>
      <c r="B36295" s="6"/>
      <c r="H36295" s="13"/>
    </row>
    <row r="36296">
      <c r="A36296" s="6"/>
      <c r="B36296" s="6"/>
      <c r="H36296" s="13"/>
    </row>
    <row r="36297">
      <c r="A36297" s="6"/>
      <c r="B36297" s="6"/>
      <c r="H36297" s="13"/>
    </row>
    <row r="36298">
      <c r="A36298" s="6"/>
      <c r="B36298" s="6"/>
      <c r="H36298" s="13"/>
    </row>
    <row r="36299">
      <c r="A36299" s="6"/>
      <c r="B36299" s="6"/>
      <c r="H36299" s="13"/>
    </row>
    <row r="36300">
      <c r="A36300" s="6"/>
      <c r="B36300" s="6"/>
      <c r="H36300" s="13"/>
    </row>
    <row r="36301">
      <c r="A36301" s="6"/>
      <c r="B36301" s="6"/>
      <c r="H36301" s="13"/>
    </row>
    <row r="36302">
      <c r="A36302" s="6"/>
      <c r="B36302" s="6"/>
      <c r="H36302" s="13"/>
    </row>
    <row r="36303">
      <c r="A36303" s="6"/>
      <c r="B36303" s="6"/>
      <c r="H36303" s="13"/>
    </row>
    <row r="36304">
      <c r="A36304" s="6"/>
      <c r="B36304" s="6"/>
      <c r="H36304" s="13"/>
    </row>
    <row r="36305">
      <c r="A36305" s="6"/>
      <c r="B36305" s="6"/>
      <c r="H36305" s="13"/>
    </row>
    <row r="36306">
      <c r="A36306" s="6"/>
      <c r="B36306" s="6"/>
      <c r="H36306" s="13"/>
    </row>
    <row r="36307">
      <c r="A36307" s="6"/>
      <c r="B36307" s="6"/>
      <c r="H36307" s="13"/>
    </row>
    <row r="36308">
      <c r="A36308" s="6"/>
      <c r="B36308" s="6"/>
      <c r="H36308" s="13"/>
    </row>
    <row r="36309">
      <c r="A36309" s="6"/>
      <c r="B36309" s="6"/>
      <c r="H36309" s="13"/>
    </row>
    <row r="36310">
      <c r="A36310" s="6"/>
      <c r="B36310" s="6"/>
      <c r="H36310" s="13"/>
    </row>
    <row r="36311">
      <c r="A36311" s="6"/>
      <c r="B36311" s="6"/>
      <c r="H36311" s="13"/>
    </row>
    <row r="36312">
      <c r="A36312" s="6"/>
      <c r="B36312" s="6"/>
      <c r="H36312" s="13"/>
    </row>
    <row r="36313">
      <c r="A36313" s="6"/>
      <c r="B36313" s="6"/>
      <c r="H36313" s="13"/>
    </row>
    <row r="36314">
      <c r="A36314" s="6"/>
      <c r="B36314" s="6"/>
      <c r="H36314" s="13"/>
    </row>
    <row r="36315">
      <c r="A36315" s="6"/>
      <c r="B36315" s="6"/>
      <c r="H36315" s="13"/>
    </row>
    <row r="36316">
      <c r="A36316" s="6"/>
      <c r="B36316" s="6"/>
      <c r="H36316" s="13"/>
    </row>
    <row r="36317">
      <c r="A36317" s="6"/>
      <c r="B36317" s="6"/>
      <c r="H36317" s="13"/>
    </row>
    <row r="36318">
      <c r="A36318" s="6"/>
      <c r="B36318" s="6"/>
      <c r="H36318" s="13"/>
    </row>
    <row r="36319">
      <c r="A36319" s="6"/>
      <c r="B36319" s="6"/>
      <c r="H36319" s="13"/>
    </row>
    <row r="36320">
      <c r="A36320" s="6"/>
      <c r="B36320" s="6"/>
      <c r="H36320" s="13"/>
    </row>
    <row r="36321">
      <c r="A36321" s="6"/>
      <c r="B36321" s="6"/>
      <c r="H36321" s="13"/>
    </row>
    <row r="36322">
      <c r="A36322" s="6"/>
      <c r="B36322" s="6"/>
      <c r="H36322" s="13"/>
    </row>
    <row r="36323">
      <c r="A36323" s="6"/>
      <c r="B36323" s="6"/>
      <c r="H36323" s="13"/>
    </row>
    <row r="36324">
      <c r="A36324" s="6"/>
      <c r="B36324" s="6"/>
      <c r="H36324" s="13"/>
    </row>
    <row r="36325">
      <c r="A36325" s="6"/>
      <c r="B36325" s="6"/>
      <c r="H36325" s="13"/>
    </row>
    <row r="36326">
      <c r="A36326" s="6"/>
      <c r="B36326" s="6"/>
      <c r="H36326" s="13"/>
    </row>
    <row r="36327">
      <c r="A36327" s="6"/>
      <c r="B36327" s="6"/>
      <c r="H36327" s="13"/>
    </row>
    <row r="36328">
      <c r="A36328" s="6"/>
      <c r="B36328" s="6"/>
      <c r="H36328" s="13"/>
    </row>
    <row r="36329">
      <c r="A36329" s="6"/>
      <c r="B36329" s="6"/>
      <c r="H36329" s="13"/>
    </row>
    <row r="36330">
      <c r="A36330" s="6"/>
      <c r="B36330" s="6"/>
      <c r="H36330" s="13"/>
    </row>
    <row r="36331">
      <c r="A36331" s="6"/>
      <c r="B36331" s="6"/>
      <c r="H36331" s="13"/>
    </row>
    <row r="36332">
      <c r="A36332" s="6"/>
      <c r="B36332" s="6"/>
      <c r="H36332" s="13"/>
    </row>
    <row r="36333">
      <c r="A36333" s="6"/>
      <c r="B36333" s="6"/>
      <c r="H36333" s="13"/>
    </row>
    <row r="36334">
      <c r="A36334" s="6"/>
      <c r="B36334" s="6"/>
      <c r="H36334" s="13"/>
    </row>
    <row r="36335">
      <c r="A36335" s="6"/>
      <c r="B36335" s="6"/>
      <c r="H36335" s="13"/>
    </row>
    <row r="36336">
      <c r="A36336" s="6"/>
      <c r="B36336" s="6"/>
      <c r="H36336" s="13"/>
    </row>
    <row r="36337">
      <c r="A36337" s="6"/>
      <c r="B36337" s="6"/>
      <c r="H36337" s="13"/>
    </row>
    <row r="36338">
      <c r="A36338" s="6"/>
      <c r="B36338" s="6"/>
      <c r="H36338" s="13"/>
    </row>
    <row r="36339">
      <c r="A36339" s="6"/>
      <c r="B36339" s="6"/>
      <c r="H36339" s="13"/>
    </row>
    <row r="36340">
      <c r="A36340" s="6"/>
      <c r="B36340" s="6"/>
      <c r="H36340" s="13"/>
    </row>
    <row r="36341">
      <c r="A36341" s="6"/>
      <c r="B36341" s="6"/>
      <c r="H36341" s="13"/>
    </row>
    <row r="36342">
      <c r="A36342" s="6"/>
      <c r="B36342" s="6"/>
      <c r="H36342" s="13"/>
    </row>
    <row r="36343">
      <c r="A36343" s="6"/>
      <c r="B36343" s="6"/>
      <c r="H36343" s="13"/>
    </row>
    <row r="36344">
      <c r="A36344" s="6"/>
      <c r="B36344" s="6"/>
      <c r="H36344" s="13"/>
    </row>
    <row r="36345">
      <c r="A36345" s="6"/>
      <c r="B36345" s="6"/>
      <c r="H36345" s="13"/>
    </row>
    <row r="36346">
      <c r="A36346" s="6"/>
      <c r="B36346" s="6"/>
      <c r="H36346" s="13"/>
    </row>
    <row r="36347">
      <c r="A36347" s="6"/>
      <c r="B36347" s="6"/>
      <c r="H36347" s="13"/>
    </row>
    <row r="36348">
      <c r="A36348" s="6"/>
      <c r="B36348" s="6"/>
      <c r="H36348" s="13"/>
    </row>
    <row r="36349">
      <c r="A36349" s="6"/>
      <c r="B36349" s="6"/>
      <c r="H36349" s="13"/>
    </row>
    <row r="36350">
      <c r="A36350" s="6"/>
      <c r="B36350" s="6"/>
      <c r="H36350" s="13"/>
    </row>
    <row r="36351">
      <c r="A36351" s="6"/>
      <c r="B36351" s="6"/>
      <c r="H36351" s="13"/>
    </row>
    <row r="36352">
      <c r="A36352" s="6"/>
      <c r="B36352" s="6"/>
      <c r="H36352" s="13"/>
    </row>
    <row r="36353">
      <c r="A36353" s="6"/>
      <c r="B36353" s="6"/>
      <c r="H36353" s="13"/>
    </row>
    <row r="36354">
      <c r="A36354" s="6"/>
      <c r="B36354" s="6"/>
      <c r="H36354" s="13"/>
    </row>
    <row r="36355">
      <c r="A36355" s="6"/>
      <c r="B36355" s="6"/>
      <c r="H36355" s="13"/>
    </row>
    <row r="36356">
      <c r="A36356" s="6"/>
      <c r="B36356" s="6"/>
      <c r="H36356" s="13"/>
    </row>
    <row r="36357">
      <c r="A36357" s="6"/>
      <c r="B36357" s="6"/>
      <c r="H36357" s="13"/>
    </row>
    <row r="36358">
      <c r="A36358" s="6"/>
      <c r="B36358" s="6"/>
      <c r="H36358" s="13"/>
    </row>
    <row r="36359">
      <c r="A36359" s="6"/>
      <c r="B36359" s="6"/>
      <c r="H36359" s="13"/>
    </row>
    <row r="36360">
      <c r="A36360" s="6"/>
      <c r="B36360" s="6"/>
      <c r="H36360" s="13"/>
    </row>
    <row r="36361">
      <c r="A36361" s="6"/>
      <c r="B36361" s="6"/>
      <c r="H36361" s="13"/>
    </row>
    <row r="36362">
      <c r="A36362" s="6"/>
      <c r="B36362" s="6"/>
      <c r="H36362" s="13"/>
    </row>
    <row r="36363">
      <c r="A36363" s="6"/>
      <c r="B36363" s="6"/>
      <c r="H36363" s="13"/>
    </row>
    <row r="36364">
      <c r="A36364" s="6"/>
      <c r="B36364" s="6"/>
      <c r="H36364" s="13"/>
    </row>
    <row r="36365">
      <c r="A36365" s="6"/>
      <c r="B36365" s="6"/>
      <c r="H36365" s="13"/>
    </row>
    <row r="36366">
      <c r="A36366" s="6"/>
      <c r="B36366" s="6"/>
      <c r="H36366" s="13"/>
    </row>
    <row r="36367">
      <c r="A36367" s="6"/>
      <c r="B36367" s="6"/>
      <c r="H36367" s="13"/>
    </row>
    <row r="36368">
      <c r="A36368" s="6"/>
      <c r="B36368" s="6"/>
      <c r="H36368" s="13"/>
    </row>
    <row r="36369">
      <c r="A36369" s="6"/>
      <c r="B36369" s="6"/>
      <c r="H36369" s="13"/>
    </row>
    <row r="36370">
      <c r="A36370" s="6"/>
      <c r="B36370" s="6"/>
      <c r="H36370" s="13"/>
    </row>
    <row r="36371">
      <c r="A36371" s="6"/>
      <c r="B36371" s="6"/>
      <c r="H36371" s="13"/>
    </row>
    <row r="36372">
      <c r="A36372" s="6"/>
      <c r="B36372" s="6"/>
      <c r="H36372" s="13"/>
    </row>
    <row r="36373">
      <c r="A36373" s="6"/>
      <c r="B36373" s="6"/>
      <c r="H36373" s="13"/>
    </row>
    <row r="36374">
      <c r="A36374" s="6"/>
      <c r="B36374" s="6"/>
      <c r="H36374" s="13"/>
    </row>
    <row r="36375">
      <c r="A36375" s="6"/>
      <c r="B36375" s="6"/>
      <c r="H36375" s="13"/>
    </row>
    <row r="36376">
      <c r="A36376" s="6"/>
      <c r="B36376" s="6"/>
      <c r="H36376" s="13"/>
    </row>
    <row r="36377">
      <c r="A36377" s="6"/>
      <c r="B36377" s="6"/>
      <c r="H36377" s="13"/>
    </row>
    <row r="36378">
      <c r="A36378" s="6"/>
      <c r="B36378" s="6"/>
      <c r="H36378" s="13"/>
    </row>
    <row r="36379">
      <c r="A36379" s="6"/>
      <c r="B36379" s="6"/>
      <c r="H36379" s="13"/>
    </row>
    <row r="36380">
      <c r="A36380" s="6"/>
      <c r="B36380" s="6"/>
      <c r="H36380" s="13"/>
    </row>
    <row r="36381">
      <c r="A36381" s="6"/>
      <c r="B36381" s="6"/>
      <c r="H36381" s="13"/>
    </row>
    <row r="36382">
      <c r="A36382" s="6"/>
      <c r="B36382" s="6"/>
      <c r="H36382" s="13"/>
    </row>
    <row r="36383">
      <c r="A36383" s="6"/>
      <c r="B36383" s="6"/>
      <c r="H36383" s="13"/>
    </row>
    <row r="36384">
      <c r="A36384" s="6"/>
      <c r="B36384" s="6"/>
      <c r="H36384" s="13"/>
    </row>
    <row r="36385">
      <c r="A36385" s="6"/>
      <c r="B36385" s="6"/>
      <c r="H36385" s="13"/>
    </row>
    <row r="36386">
      <c r="A36386" s="6"/>
      <c r="B36386" s="6"/>
      <c r="H36386" s="13"/>
    </row>
    <row r="36387">
      <c r="A36387" s="6"/>
      <c r="B36387" s="6"/>
      <c r="H36387" s="13"/>
    </row>
    <row r="36388">
      <c r="A36388" s="6"/>
      <c r="B36388" s="6"/>
      <c r="H36388" s="13"/>
    </row>
    <row r="36389">
      <c r="A36389" s="6"/>
      <c r="B36389" s="6"/>
      <c r="H36389" s="13"/>
    </row>
    <row r="36390">
      <c r="A36390" s="6"/>
      <c r="B36390" s="6"/>
      <c r="H36390" s="13"/>
    </row>
    <row r="36391">
      <c r="A36391" s="6"/>
      <c r="B36391" s="6"/>
      <c r="H36391" s="13"/>
    </row>
    <row r="36392">
      <c r="A36392" s="6"/>
      <c r="B36392" s="6"/>
      <c r="H36392" s="13"/>
    </row>
    <row r="36393">
      <c r="A36393" s="6"/>
      <c r="B36393" s="6"/>
      <c r="H36393" s="13"/>
    </row>
    <row r="36394">
      <c r="A36394" s="6"/>
      <c r="B36394" s="6"/>
      <c r="H36394" s="13"/>
    </row>
    <row r="36395">
      <c r="A36395" s="6"/>
      <c r="B36395" s="6"/>
      <c r="H36395" s="13"/>
    </row>
    <row r="36396">
      <c r="A36396" s="6"/>
      <c r="B36396" s="6"/>
      <c r="H36396" s="13"/>
    </row>
    <row r="36397">
      <c r="A36397" s="6"/>
      <c r="B36397" s="6"/>
      <c r="H36397" s="13"/>
    </row>
    <row r="36398">
      <c r="A36398" s="6"/>
      <c r="B36398" s="6"/>
      <c r="H36398" s="13"/>
    </row>
    <row r="36399">
      <c r="A36399" s="6"/>
      <c r="B36399" s="6"/>
      <c r="H36399" s="13"/>
    </row>
    <row r="36400">
      <c r="A36400" s="6"/>
      <c r="B36400" s="6"/>
      <c r="H36400" s="13"/>
    </row>
    <row r="36401">
      <c r="A36401" s="6"/>
      <c r="B36401" s="6"/>
      <c r="H36401" s="13"/>
    </row>
    <row r="36402">
      <c r="A36402" s="6"/>
      <c r="B36402" s="6"/>
      <c r="H36402" s="13"/>
    </row>
    <row r="36403">
      <c r="A36403" s="6"/>
      <c r="B36403" s="6"/>
      <c r="H36403" s="13"/>
    </row>
    <row r="36404">
      <c r="A36404" s="6"/>
      <c r="B36404" s="6"/>
      <c r="H36404" s="13"/>
    </row>
    <row r="36405">
      <c r="A36405" s="6"/>
      <c r="B36405" s="6"/>
      <c r="H36405" s="13"/>
    </row>
    <row r="36406">
      <c r="A36406" s="6"/>
      <c r="B36406" s="6"/>
      <c r="H36406" s="13"/>
    </row>
    <row r="36407">
      <c r="A36407" s="6"/>
      <c r="B36407" s="6"/>
      <c r="H36407" s="13"/>
    </row>
    <row r="36408">
      <c r="A36408" s="6"/>
      <c r="B36408" s="6"/>
      <c r="H36408" s="13"/>
    </row>
    <row r="36409">
      <c r="A36409" s="6"/>
      <c r="B36409" s="6"/>
      <c r="H36409" s="13"/>
    </row>
    <row r="36410">
      <c r="A36410" s="6"/>
      <c r="B36410" s="6"/>
      <c r="H36410" s="13"/>
    </row>
    <row r="36411">
      <c r="A36411" s="6"/>
      <c r="B36411" s="6"/>
      <c r="H36411" s="13"/>
    </row>
    <row r="36412">
      <c r="A36412" s="6"/>
      <c r="B36412" s="6"/>
      <c r="H36412" s="13"/>
    </row>
    <row r="36413">
      <c r="A36413" s="6"/>
      <c r="B36413" s="6"/>
      <c r="H36413" s="13"/>
    </row>
    <row r="36414">
      <c r="A36414" s="6"/>
      <c r="B36414" s="6"/>
      <c r="H36414" s="13"/>
    </row>
    <row r="36415">
      <c r="A36415" s="6"/>
      <c r="B36415" s="6"/>
      <c r="H36415" s="13"/>
    </row>
    <row r="36416">
      <c r="A36416" s="6"/>
      <c r="B36416" s="6"/>
      <c r="H36416" s="13"/>
    </row>
    <row r="36417">
      <c r="A36417" s="6"/>
      <c r="B36417" s="6"/>
      <c r="H36417" s="13"/>
    </row>
    <row r="36418">
      <c r="A36418" s="6"/>
      <c r="B36418" s="6"/>
      <c r="H36418" s="13"/>
    </row>
    <row r="36419">
      <c r="A36419" s="6"/>
      <c r="B36419" s="6"/>
      <c r="H36419" s="13"/>
    </row>
    <row r="36420">
      <c r="A36420" s="6"/>
      <c r="B36420" s="6"/>
      <c r="H36420" s="13"/>
    </row>
    <row r="36421">
      <c r="A36421" s="6"/>
      <c r="B36421" s="6"/>
      <c r="H36421" s="13"/>
    </row>
    <row r="36422">
      <c r="A36422" s="6"/>
      <c r="B36422" s="6"/>
      <c r="H36422" s="13"/>
    </row>
    <row r="36423">
      <c r="A36423" s="6"/>
      <c r="B36423" s="6"/>
      <c r="H36423" s="13"/>
    </row>
    <row r="36424">
      <c r="A36424" s="6"/>
      <c r="B36424" s="6"/>
      <c r="H36424" s="13"/>
    </row>
    <row r="36425">
      <c r="A36425" s="6"/>
      <c r="B36425" s="6"/>
      <c r="H36425" s="13"/>
    </row>
    <row r="36426">
      <c r="A36426" s="6"/>
      <c r="B36426" s="6"/>
      <c r="H36426" s="13"/>
    </row>
    <row r="36427">
      <c r="A36427" s="6"/>
      <c r="B36427" s="6"/>
      <c r="H36427" s="13"/>
    </row>
    <row r="36428">
      <c r="A36428" s="6"/>
      <c r="B36428" s="6"/>
      <c r="H36428" s="13"/>
    </row>
    <row r="36429">
      <c r="A36429" s="6"/>
      <c r="B36429" s="6"/>
      <c r="H36429" s="13"/>
    </row>
    <row r="36430">
      <c r="A36430" s="6"/>
      <c r="B36430" s="6"/>
      <c r="H36430" s="13"/>
    </row>
    <row r="36431">
      <c r="A36431" s="6"/>
      <c r="B36431" s="6"/>
      <c r="H36431" s="13"/>
    </row>
    <row r="36432">
      <c r="A36432" s="6"/>
      <c r="B36432" s="6"/>
      <c r="H36432" s="13"/>
    </row>
    <row r="36433">
      <c r="A36433" s="6"/>
      <c r="B36433" s="6"/>
      <c r="H36433" s="13"/>
    </row>
    <row r="36434">
      <c r="A36434" s="6"/>
      <c r="B36434" s="6"/>
      <c r="H36434" s="13"/>
    </row>
    <row r="36435">
      <c r="A36435" s="6"/>
      <c r="B36435" s="6"/>
      <c r="H36435" s="13"/>
    </row>
    <row r="36436">
      <c r="A36436" s="6"/>
      <c r="B36436" s="6"/>
      <c r="H36436" s="13"/>
    </row>
    <row r="36437">
      <c r="A36437" s="6"/>
      <c r="B36437" s="6"/>
      <c r="H36437" s="13"/>
    </row>
    <row r="36438">
      <c r="A36438" s="6"/>
      <c r="B36438" s="6"/>
      <c r="H36438" s="13"/>
    </row>
    <row r="36439">
      <c r="A36439" s="6"/>
      <c r="B36439" s="6"/>
      <c r="H36439" s="13"/>
    </row>
    <row r="36440">
      <c r="A36440" s="6"/>
      <c r="B36440" s="6"/>
      <c r="H36440" s="13"/>
    </row>
    <row r="36441">
      <c r="A36441" s="6"/>
      <c r="B36441" s="6"/>
      <c r="H36441" s="13"/>
    </row>
    <row r="36442">
      <c r="A36442" s="6"/>
      <c r="B36442" s="6"/>
      <c r="H36442" s="13"/>
    </row>
    <row r="36443">
      <c r="A36443" s="6"/>
      <c r="B36443" s="6"/>
      <c r="H36443" s="13"/>
    </row>
    <row r="36444">
      <c r="A36444" s="6"/>
      <c r="B36444" s="6"/>
      <c r="H36444" s="13"/>
    </row>
    <row r="36445">
      <c r="A36445" s="6"/>
      <c r="B36445" s="6"/>
      <c r="H36445" s="13"/>
    </row>
    <row r="36446">
      <c r="A36446" s="6"/>
      <c r="B36446" s="6"/>
      <c r="H36446" s="13"/>
    </row>
    <row r="36447">
      <c r="A36447" s="6"/>
      <c r="B36447" s="6"/>
      <c r="H36447" s="13"/>
    </row>
    <row r="36448">
      <c r="A36448" s="6"/>
      <c r="B36448" s="6"/>
      <c r="H36448" s="13"/>
    </row>
    <row r="36449">
      <c r="A36449" s="6"/>
      <c r="B36449" s="6"/>
      <c r="H36449" s="13"/>
    </row>
    <row r="36450">
      <c r="A36450" s="6"/>
      <c r="B36450" s="6"/>
      <c r="H36450" s="13"/>
    </row>
    <row r="36451">
      <c r="A36451" s="6"/>
      <c r="B36451" s="6"/>
      <c r="H36451" s="13"/>
    </row>
    <row r="36452">
      <c r="A36452" s="6"/>
      <c r="B36452" s="6"/>
      <c r="H36452" s="13"/>
    </row>
    <row r="36453">
      <c r="A36453" s="6"/>
      <c r="B36453" s="6"/>
      <c r="H36453" s="13"/>
    </row>
    <row r="36454">
      <c r="A36454" s="6"/>
      <c r="B36454" s="6"/>
      <c r="H36454" s="13"/>
    </row>
    <row r="36455">
      <c r="A36455" s="6"/>
      <c r="B36455" s="6"/>
      <c r="H36455" s="13"/>
    </row>
    <row r="36456">
      <c r="A36456" s="6"/>
      <c r="B36456" s="6"/>
      <c r="H36456" s="13"/>
    </row>
    <row r="36457">
      <c r="A36457" s="6"/>
      <c r="B36457" s="6"/>
      <c r="H36457" s="13"/>
    </row>
    <row r="36458">
      <c r="A36458" s="6"/>
      <c r="B36458" s="6"/>
      <c r="H36458" s="13"/>
    </row>
    <row r="36459">
      <c r="A36459" s="6"/>
      <c r="B36459" s="6"/>
      <c r="H36459" s="13"/>
    </row>
    <row r="36460">
      <c r="A36460" s="6"/>
      <c r="B36460" s="6"/>
      <c r="H36460" s="13"/>
    </row>
    <row r="36461">
      <c r="A36461" s="6"/>
      <c r="B36461" s="6"/>
      <c r="H36461" s="13"/>
    </row>
    <row r="36462">
      <c r="A36462" s="6"/>
      <c r="B36462" s="6"/>
      <c r="H36462" s="13"/>
    </row>
    <row r="36463">
      <c r="A36463" s="6"/>
      <c r="B36463" s="6"/>
      <c r="H36463" s="13"/>
    </row>
    <row r="36464">
      <c r="A36464" s="6"/>
      <c r="B36464" s="6"/>
      <c r="H36464" s="13"/>
    </row>
    <row r="36465">
      <c r="A36465" s="6"/>
      <c r="B36465" s="6"/>
      <c r="H36465" s="13"/>
    </row>
    <row r="36466">
      <c r="A36466" s="6"/>
      <c r="B36466" s="6"/>
      <c r="H36466" s="13"/>
    </row>
    <row r="36467">
      <c r="A36467" s="6"/>
      <c r="B36467" s="6"/>
      <c r="H36467" s="13"/>
    </row>
    <row r="36468">
      <c r="A36468" s="6"/>
      <c r="B36468" s="6"/>
      <c r="H36468" s="13"/>
    </row>
    <row r="36469">
      <c r="A36469" s="6"/>
      <c r="B36469" s="6"/>
      <c r="H36469" s="13"/>
    </row>
    <row r="36470">
      <c r="A36470" s="6"/>
      <c r="B36470" s="6"/>
      <c r="H36470" s="13"/>
    </row>
    <row r="36471">
      <c r="A36471" s="6"/>
      <c r="B36471" s="6"/>
      <c r="H36471" s="13"/>
    </row>
    <row r="36472">
      <c r="A36472" s="6"/>
      <c r="B36472" s="6"/>
      <c r="H36472" s="13"/>
    </row>
    <row r="36473">
      <c r="A36473" s="6"/>
      <c r="B36473" s="6"/>
      <c r="H36473" s="13"/>
    </row>
    <row r="36474">
      <c r="A36474" s="6"/>
      <c r="B36474" s="6"/>
      <c r="H36474" s="13"/>
    </row>
    <row r="36475">
      <c r="A36475" s="6"/>
      <c r="B36475" s="6"/>
      <c r="H36475" s="13"/>
    </row>
    <row r="36476">
      <c r="A36476" s="6"/>
      <c r="B36476" s="6"/>
      <c r="H36476" s="13"/>
    </row>
    <row r="36477">
      <c r="A36477" s="6"/>
      <c r="B36477" s="6"/>
      <c r="H36477" s="13"/>
    </row>
    <row r="36478">
      <c r="A36478" s="6"/>
      <c r="B36478" s="6"/>
      <c r="H36478" s="13"/>
    </row>
    <row r="36479">
      <c r="A36479" s="6"/>
      <c r="B36479" s="6"/>
      <c r="H36479" s="13"/>
    </row>
    <row r="36480">
      <c r="A36480" s="6"/>
      <c r="B36480" s="6"/>
      <c r="H36480" s="13"/>
    </row>
    <row r="36481">
      <c r="A36481" s="6"/>
      <c r="B36481" s="6"/>
      <c r="H36481" s="13"/>
    </row>
    <row r="36482">
      <c r="A36482" s="6"/>
      <c r="B36482" s="6"/>
      <c r="H36482" s="13"/>
    </row>
    <row r="36483">
      <c r="A36483" s="6"/>
      <c r="B36483" s="6"/>
      <c r="H36483" s="13"/>
    </row>
    <row r="36484">
      <c r="A36484" s="6"/>
      <c r="B36484" s="6"/>
      <c r="H36484" s="13"/>
    </row>
    <row r="36485">
      <c r="A36485" s="6"/>
      <c r="B36485" s="6"/>
      <c r="H36485" s="13"/>
    </row>
    <row r="36486">
      <c r="A36486" s="6"/>
      <c r="B36486" s="6"/>
      <c r="H36486" s="13"/>
    </row>
    <row r="36487">
      <c r="A36487" s="6"/>
      <c r="B36487" s="6"/>
      <c r="H36487" s="13"/>
    </row>
    <row r="36488">
      <c r="A36488" s="6"/>
      <c r="B36488" s="6"/>
      <c r="H36488" s="13"/>
    </row>
    <row r="36489">
      <c r="A36489" s="6"/>
      <c r="B36489" s="6"/>
      <c r="H36489" s="13"/>
    </row>
    <row r="36490">
      <c r="A36490" s="6"/>
      <c r="B36490" s="6"/>
      <c r="H36490" s="13"/>
    </row>
    <row r="36491">
      <c r="A36491" s="6"/>
      <c r="B36491" s="6"/>
      <c r="H36491" s="13"/>
    </row>
    <row r="36492">
      <c r="A36492" s="6"/>
      <c r="B36492" s="6"/>
      <c r="H36492" s="13"/>
    </row>
    <row r="36493">
      <c r="A36493" s="6"/>
      <c r="B36493" s="6"/>
      <c r="H36493" s="13"/>
    </row>
    <row r="36494">
      <c r="A36494" s="6"/>
      <c r="B36494" s="6"/>
      <c r="H36494" s="13"/>
    </row>
    <row r="36495">
      <c r="A36495" s="6"/>
      <c r="B36495" s="6"/>
      <c r="H36495" s="13"/>
    </row>
    <row r="36496">
      <c r="A36496" s="6"/>
      <c r="B36496" s="6"/>
      <c r="H36496" s="13"/>
    </row>
    <row r="36497">
      <c r="A36497" s="6"/>
      <c r="B36497" s="6"/>
      <c r="H36497" s="13"/>
    </row>
    <row r="36498">
      <c r="A36498" s="6"/>
      <c r="B36498" s="6"/>
      <c r="H36498" s="13"/>
    </row>
    <row r="36499">
      <c r="A36499" s="6"/>
      <c r="B36499" s="6"/>
      <c r="H36499" s="13"/>
    </row>
    <row r="36500">
      <c r="A36500" s="6"/>
      <c r="B36500" s="6"/>
      <c r="H36500" s="13"/>
    </row>
    <row r="36501">
      <c r="A36501" s="6"/>
      <c r="B36501" s="6"/>
      <c r="H36501" s="13"/>
    </row>
    <row r="36502">
      <c r="A36502" s="6"/>
      <c r="B36502" s="6"/>
      <c r="H36502" s="13"/>
    </row>
    <row r="36503">
      <c r="A36503" s="6"/>
      <c r="B36503" s="6"/>
      <c r="H36503" s="13"/>
    </row>
    <row r="36504">
      <c r="A36504" s="6"/>
      <c r="B36504" s="6"/>
      <c r="H36504" s="13"/>
    </row>
    <row r="36505">
      <c r="A36505" s="6"/>
      <c r="B36505" s="6"/>
      <c r="H36505" s="13"/>
    </row>
    <row r="36506">
      <c r="A36506" s="6"/>
      <c r="B36506" s="6"/>
      <c r="H36506" s="13"/>
    </row>
    <row r="36507">
      <c r="A36507" s="6"/>
      <c r="B36507" s="6"/>
      <c r="H36507" s="13"/>
    </row>
    <row r="36508">
      <c r="A36508" s="6"/>
      <c r="B36508" s="6"/>
      <c r="H36508" s="13"/>
    </row>
    <row r="36509">
      <c r="A36509" s="6"/>
      <c r="B36509" s="6"/>
      <c r="H36509" s="13"/>
    </row>
    <row r="36510">
      <c r="A36510" s="6"/>
      <c r="B36510" s="6"/>
      <c r="H36510" s="13"/>
    </row>
    <row r="36511">
      <c r="A36511" s="6"/>
      <c r="B36511" s="6"/>
      <c r="H36511" s="13"/>
    </row>
    <row r="36512">
      <c r="A36512" s="6"/>
      <c r="B36512" s="6"/>
      <c r="H36512" s="13"/>
    </row>
    <row r="36513">
      <c r="A36513" s="6"/>
      <c r="B36513" s="6"/>
      <c r="H36513" s="13"/>
    </row>
    <row r="36514">
      <c r="A36514" s="6"/>
      <c r="B36514" s="6"/>
      <c r="H36514" s="13"/>
    </row>
    <row r="36515">
      <c r="A36515" s="6"/>
      <c r="B36515" s="6"/>
      <c r="H36515" s="13"/>
    </row>
    <row r="36516">
      <c r="A36516" s="6"/>
      <c r="B36516" s="6"/>
      <c r="H36516" s="13"/>
    </row>
    <row r="36517">
      <c r="A36517" s="6"/>
      <c r="B36517" s="6"/>
      <c r="H36517" s="13"/>
    </row>
    <row r="36518">
      <c r="A36518" s="6"/>
      <c r="B36518" s="6"/>
      <c r="H36518" s="13"/>
    </row>
    <row r="36519">
      <c r="A36519" s="6"/>
      <c r="B36519" s="6"/>
      <c r="H36519" s="13"/>
    </row>
    <row r="36520">
      <c r="A36520" s="6"/>
      <c r="B36520" s="6"/>
      <c r="H36520" s="13"/>
    </row>
    <row r="36521">
      <c r="A36521" s="6"/>
      <c r="B36521" s="6"/>
      <c r="H36521" s="13"/>
    </row>
    <row r="36522">
      <c r="A36522" s="6"/>
      <c r="B36522" s="6"/>
      <c r="H36522" s="13"/>
    </row>
    <row r="36523">
      <c r="A36523" s="6"/>
      <c r="B36523" s="6"/>
      <c r="H36523" s="13"/>
    </row>
    <row r="36524">
      <c r="A36524" s="6"/>
      <c r="B36524" s="6"/>
      <c r="H36524" s="13"/>
    </row>
    <row r="36525">
      <c r="A36525" s="6"/>
      <c r="B36525" s="6"/>
      <c r="H36525" s="13"/>
    </row>
    <row r="36526">
      <c r="A36526" s="6"/>
      <c r="B36526" s="6"/>
      <c r="H36526" s="13"/>
    </row>
    <row r="36527">
      <c r="A36527" s="6"/>
      <c r="B36527" s="6"/>
      <c r="H36527" s="13"/>
    </row>
    <row r="36528">
      <c r="A36528" s="6"/>
      <c r="B36528" s="6"/>
      <c r="H36528" s="13"/>
    </row>
    <row r="36529">
      <c r="A36529" s="6"/>
      <c r="B36529" s="6"/>
      <c r="H36529" s="13"/>
    </row>
    <row r="36530">
      <c r="A36530" s="6"/>
      <c r="B36530" s="6"/>
      <c r="H36530" s="13"/>
    </row>
    <row r="36531">
      <c r="A36531" s="6"/>
      <c r="B36531" s="6"/>
      <c r="H36531" s="13"/>
    </row>
    <row r="36532">
      <c r="A36532" s="6"/>
      <c r="B36532" s="6"/>
      <c r="H36532" s="13"/>
    </row>
    <row r="36533">
      <c r="A36533" s="6"/>
      <c r="B36533" s="6"/>
      <c r="H36533" s="13"/>
    </row>
    <row r="36534">
      <c r="A36534" s="6"/>
      <c r="B36534" s="6"/>
      <c r="H36534" s="13"/>
    </row>
    <row r="36535">
      <c r="A36535" s="6"/>
      <c r="B36535" s="6"/>
      <c r="H36535" s="13"/>
    </row>
    <row r="36536">
      <c r="A36536" s="6"/>
      <c r="B36536" s="6"/>
      <c r="H36536" s="13"/>
    </row>
    <row r="36537">
      <c r="A36537" s="6"/>
      <c r="B36537" s="6"/>
      <c r="H36537" s="13"/>
    </row>
    <row r="36538">
      <c r="A36538" s="6"/>
      <c r="B36538" s="6"/>
      <c r="H36538" s="13"/>
    </row>
    <row r="36539">
      <c r="A36539" s="6"/>
      <c r="B36539" s="6"/>
      <c r="H36539" s="13"/>
    </row>
    <row r="36540">
      <c r="A36540" s="6"/>
      <c r="B36540" s="6"/>
      <c r="H36540" s="13"/>
    </row>
    <row r="36541">
      <c r="A36541" s="6"/>
      <c r="B36541" s="6"/>
      <c r="H36541" s="13"/>
    </row>
    <row r="36542">
      <c r="A36542" s="6"/>
      <c r="B36542" s="6"/>
      <c r="H36542" s="13"/>
    </row>
    <row r="36543">
      <c r="A36543" s="6"/>
      <c r="B36543" s="6"/>
      <c r="H36543" s="13"/>
    </row>
    <row r="36544">
      <c r="A36544" s="6"/>
      <c r="B36544" s="6"/>
      <c r="H36544" s="13"/>
    </row>
    <row r="36545">
      <c r="A36545" s="6"/>
      <c r="B36545" s="6"/>
      <c r="H36545" s="13"/>
    </row>
    <row r="36546">
      <c r="A36546" s="6"/>
      <c r="B36546" s="6"/>
      <c r="H36546" s="13"/>
    </row>
    <row r="36547">
      <c r="A36547" s="6"/>
      <c r="B36547" s="6"/>
      <c r="H36547" s="13"/>
    </row>
    <row r="36548">
      <c r="A36548" s="6"/>
      <c r="B36548" s="6"/>
      <c r="H36548" s="13"/>
    </row>
    <row r="36549">
      <c r="A36549" s="6"/>
      <c r="B36549" s="6"/>
      <c r="H36549" s="13"/>
    </row>
    <row r="36550">
      <c r="A36550" s="6"/>
      <c r="B36550" s="6"/>
      <c r="H36550" s="13"/>
    </row>
    <row r="36551">
      <c r="A36551" s="6"/>
      <c r="B36551" s="6"/>
      <c r="H36551" s="13"/>
    </row>
    <row r="36552">
      <c r="A36552" s="6"/>
      <c r="B36552" s="6"/>
      <c r="H36552" s="13"/>
    </row>
    <row r="36553">
      <c r="A36553" s="6"/>
      <c r="B36553" s="6"/>
      <c r="H36553" s="13"/>
    </row>
    <row r="36554">
      <c r="A36554" s="6"/>
      <c r="B36554" s="6"/>
      <c r="H36554" s="13"/>
    </row>
    <row r="36555">
      <c r="A36555" s="6"/>
      <c r="B36555" s="6"/>
      <c r="H36555" s="13"/>
    </row>
    <row r="36556">
      <c r="A36556" s="6"/>
      <c r="B36556" s="6"/>
      <c r="H36556" s="13"/>
    </row>
    <row r="36557">
      <c r="A36557" s="6"/>
      <c r="B36557" s="6"/>
      <c r="H36557" s="13"/>
    </row>
    <row r="36558">
      <c r="A36558" s="6"/>
      <c r="B36558" s="6"/>
      <c r="H36558" s="13"/>
    </row>
    <row r="36559">
      <c r="A36559" s="6"/>
      <c r="B36559" s="6"/>
      <c r="H36559" s="13"/>
    </row>
    <row r="36560">
      <c r="A36560" s="6"/>
      <c r="B36560" s="6"/>
      <c r="H36560" s="13"/>
    </row>
    <row r="36561">
      <c r="A36561" s="6"/>
      <c r="B36561" s="6"/>
      <c r="H36561" s="13"/>
    </row>
    <row r="36562">
      <c r="A36562" s="6"/>
      <c r="B36562" s="6"/>
      <c r="H36562" s="13"/>
    </row>
    <row r="36563">
      <c r="A36563" s="6"/>
      <c r="B36563" s="6"/>
      <c r="H36563" s="13"/>
    </row>
    <row r="36564">
      <c r="A36564" s="6"/>
      <c r="B36564" s="6"/>
      <c r="H36564" s="13"/>
    </row>
    <row r="36565">
      <c r="A36565" s="6"/>
      <c r="B36565" s="6"/>
      <c r="H36565" s="13"/>
    </row>
    <row r="36566">
      <c r="A36566" s="6"/>
      <c r="B36566" s="6"/>
      <c r="H36566" s="13"/>
    </row>
    <row r="36567">
      <c r="A36567" s="6"/>
      <c r="B36567" s="6"/>
      <c r="H36567" s="13"/>
    </row>
    <row r="36568">
      <c r="A36568" s="6"/>
      <c r="B36568" s="6"/>
      <c r="H36568" s="13"/>
    </row>
    <row r="36569">
      <c r="A36569" s="6"/>
      <c r="B36569" s="6"/>
      <c r="H36569" s="13"/>
    </row>
    <row r="36570">
      <c r="A36570" s="6"/>
      <c r="B36570" s="6"/>
      <c r="H36570" s="13"/>
    </row>
    <row r="36571">
      <c r="A36571" s="6"/>
      <c r="B36571" s="6"/>
      <c r="H36571" s="13"/>
    </row>
    <row r="36572">
      <c r="A36572" s="6"/>
      <c r="B36572" s="6"/>
      <c r="H36572" s="13"/>
    </row>
    <row r="36573">
      <c r="A36573" s="6"/>
      <c r="B36573" s="6"/>
      <c r="H36573" s="13"/>
    </row>
    <row r="36574">
      <c r="A36574" s="6"/>
      <c r="B36574" s="6"/>
      <c r="H36574" s="13"/>
    </row>
    <row r="36575">
      <c r="A36575" s="6"/>
      <c r="B36575" s="6"/>
      <c r="H36575" s="13"/>
    </row>
    <row r="36576">
      <c r="A36576" s="6"/>
      <c r="B36576" s="6"/>
      <c r="H36576" s="13"/>
    </row>
    <row r="36577">
      <c r="A36577" s="6"/>
      <c r="B36577" s="6"/>
      <c r="H36577" s="13"/>
    </row>
    <row r="36578">
      <c r="A36578" s="6"/>
      <c r="B36578" s="6"/>
      <c r="H36578" s="13"/>
    </row>
    <row r="36579">
      <c r="A36579" s="6"/>
      <c r="B36579" s="6"/>
      <c r="H36579" s="13"/>
    </row>
    <row r="36580">
      <c r="A36580" s="6"/>
      <c r="B36580" s="6"/>
      <c r="H36580" s="13"/>
    </row>
    <row r="36581">
      <c r="A36581" s="6"/>
      <c r="B36581" s="6"/>
      <c r="H36581" s="13"/>
    </row>
    <row r="36582">
      <c r="A36582" s="6"/>
      <c r="B36582" s="6"/>
      <c r="H36582" s="13"/>
    </row>
    <row r="36583">
      <c r="A36583" s="6"/>
      <c r="B36583" s="6"/>
      <c r="H36583" s="13"/>
    </row>
    <row r="36584">
      <c r="A36584" s="6"/>
      <c r="B36584" s="6"/>
      <c r="H36584" s="13"/>
    </row>
    <row r="36585">
      <c r="A36585" s="6"/>
      <c r="B36585" s="6"/>
      <c r="H36585" s="13"/>
    </row>
    <row r="36586">
      <c r="A36586" s="6"/>
      <c r="B36586" s="6"/>
      <c r="H36586" s="13"/>
    </row>
    <row r="36587">
      <c r="A36587" s="6"/>
      <c r="B36587" s="6"/>
      <c r="H36587" s="13"/>
    </row>
    <row r="36588">
      <c r="A36588" s="6"/>
      <c r="B36588" s="6"/>
      <c r="H36588" s="13"/>
    </row>
    <row r="36589">
      <c r="A36589" s="6"/>
      <c r="B36589" s="6"/>
      <c r="H36589" s="13"/>
    </row>
    <row r="36590">
      <c r="A36590" s="6"/>
      <c r="B36590" s="6"/>
      <c r="H36590" s="13"/>
    </row>
    <row r="36591">
      <c r="A36591" s="6"/>
      <c r="B36591" s="6"/>
      <c r="H36591" s="13"/>
    </row>
    <row r="36592">
      <c r="A36592" s="6"/>
      <c r="B36592" s="6"/>
      <c r="H36592" s="13"/>
    </row>
    <row r="36593">
      <c r="A36593" s="6"/>
      <c r="B36593" s="6"/>
      <c r="H36593" s="13"/>
    </row>
    <row r="36594">
      <c r="A36594" s="6"/>
      <c r="B36594" s="6"/>
      <c r="H36594" s="13"/>
    </row>
    <row r="36595">
      <c r="A36595" s="6"/>
      <c r="B36595" s="6"/>
      <c r="H36595" s="13"/>
    </row>
    <row r="36596">
      <c r="A36596" s="6"/>
      <c r="B36596" s="6"/>
      <c r="H36596" s="13"/>
    </row>
    <row r="36597">
      <c r="A36597" s="6"/>
      <c r="B36597" s="6"/>
      <c r="H36597" s="13"/>
    </row>
    <row r="36598">
      <c r="A36598" s="6"/>
      <c r="B36598" s="6"/>
      <c r="H36598" s="13"/>
    </row>
    <row r="36599">
      <c r="A36599" s="6"/>
      <c r="B36599" s="6"/>
      <c r="H36599" s="13"/>
    </row>
    <row r="36600">
      <c r="A36600" s="6"/>
      <c r="B36600" s="6"/>
      <c r="H36600" s="13"/>
    </row>
    <row r="36601">
      <c r="A36601" s="6"/>
      <c r="B36601" s="6"/>
      <c r="H36601" s="13"/>
    </row>
    <row r="36602">
      <c r="A36602" s="6"/>
      <c r="B36602" s="6"/>
      <c r="H36602" s="13"/>
    </row>
    <row r="36603">
      <c r="A36603" s="6"/>
      <c r="B36603" s="6"/>
      <c r="H36603" s="13"/>
    </row>
    <row r="36604">
      <c r="A36604" s="6"/>
      <c r="B36604" s="6"/>
      <c r="H36604" s="13"/>
    </row>
    <row r="36605">
      <c r="A36605" s="6"/>
      <c r="B36605" s="6"/>
      <c r="H36605" s="13"/>
    </row>
    <row r="36606">
      <c r="A36606" s="6"/>
      <c r="B36606" s="6"/>
      <c r="H36606" s="13"/>
    </row>
    <row r="36607">
      <c r="A36607" s="6"/>
      <c r="B36607" s="6"/>
      <c r="H36607" s="13"/>
    </row>
    <row r="36608">
      <c r="A36608" s="6"/>
      <c r="B36608" s="6"/>
      <c r="H36608" s="13"/>
    </row>
    <row r="36609">
      <c r="A36609" s="6"/>
      <c r="B36609" s="6"/>
      <c r="H36609" s="13"/>
    </row>
    <row r="36610">
      <c r="A36610" s="6"/>
      <c r="B36610" s="6"/>
      <c r="H36610" s="13"/>
    </row>
    <row r="36611">
      <c r="A36611" s="6"/>
      <c r="B36611" s="6"/>
      <c r="H36611" s="13"/>
    </row>
    <row r="36612">
      <c r="A36612" s="6"/>
      <c r="B36612" s="6"/>
      <c r="H36612" s="13"/>
    </row>
    <row r="36613">
      <c r="A36613" s="6"/>
      <c r="B36613" s="6"/>
      <c r="H36613" s="13"/>
    </row>
    <row r="36614">
      <c r="A36614" s="6"/>
      <c r="B36614" s="6"/>
      <c r="H36614" s="13"/>
    </row>
    <row r="36615">
      <c r="A36615" s="6"/>
      <c r="B36615" s="6"/>
      <c r="H36615" s="13"/>
    </row>
    <row r="36616">
      <c r="A36616" s="6"/>
      <c r="B36616" s="6"/>
      <c r="H36616" s="13"/>
    </row>
    <row r="36617">
      <c r="A36617" s="6"/>
      <c r="B36617" s="6"/>
      <c r="H36617" s="13"/>
    </row>
    <row r="36618">
      <c r="A36618" s="6"/>
      <c r="B36618" s="6"/>
      <c r="H36618" s="13"/>
    </row>
    <row r="36619">
      <c r="A36619" s="6"/>
      <c r="B36619" s="6"/>
      <c r="H36619" s="13"/>
    </row>
    <row r="36620">
      <c r="A36620" s="6"/>
      <c r="B36620" s="6"/>
      <c r="H36620" s="13"/>
    </row>
    <row r="36621">
      <c r="A36621" s="6"/>
      <c r="B36621" s="6"/>
      <c r="H36621" s="13"/>
    </row>
    <row r="36622">
      <c r="A36622" s="6"/>
      <c r="B36622" s="6"/>
      <c r="H36622" s="13"/>
    </row>
    <row r="36623">
      <c r="A36623" s="6"/>
      <c r="B36623" s="6"/>
      <c r="H36623" s="13"/>
    </row>
    <row r="36624">
      <c r="A36624" s="6"/>
      <c r="B36624" s="6"/>
      <c r="H36624" s="13"/>
    </row>
    <row r="36625">
      <c r="A36625" s="6"/>
      <c r="B36625" s="6"/>
      <c r="H36625" s="13"/>
    </row>
    <row r="36626">
      <c r="A36626" s="6"/>
      <c r="B36626" s="6"/>
      <c r="H36626" s="13"/>
    </row>
    <row r="36627">
      <c r="A36627" s="6"/>
      <c r="B36627" s="6"/>
      <c r="H36627" s="13"/>
    </row>
    <row r="36628">
      <c r="A36628" s="6"/>
      <c r="B36628" s="6"/>
      <c r="H36628" s="13"/>
    </row>
    <row r="36629">
      <c r="A36629" s="6"/>
      <c r="B36629" s="6"/>
      <c r="H36629" s="13"/>
    </row>
    <row r="36630">
      <c r="A36630" s="6"/>
      <c r="B36630" s="6"/>
      <c r="H36630" s="13"/>
    </row>
    <row r="36631">
      <c r="A36631" s="6"/>
      <c r="B36631" s="6"/>
      <c r="H36631" s="13"/>
    </row>
    <row r="36632">
      <c r="A36632" s="6"/>
      <c r="B36632" s="6"/>
      <c r="H36632" s="13"/>
    </row>
    <row r="36633">
      <c r="A36633" s="6"/>
      <c r="B36633" s="6"/>
      <c r="H36633" s="13"/>
    </row>
    <row r="36634">
      <c r="A36634" s="6"/>
      <c r="B36634" s="6"/>
      <c r="H36634" s="13"/>
    </row>
    <row r="36635">
      <c r="A36635" s="6"/>
      <c r="B36635" s="6"/>
      <c r="H36635" s="13"/>
    </row>
    <row r="36636">
      <c r="A36636" s="6"/>
      <c r="B36636" s="6"/>
      <c r="H36636" s="13"/>
    </row>
    <row r="36637">
      <c r="A36637" s="6"/>
      <c r="B36637" s="6"/>
      <c r="H36637" s="13"/>
    </row>
    <row r="36638">
      <c r="A36638" s="6"/>
      <c r="B36638" s="6"/>
      <c r="H36638" s="13"/>
    </row>
    <row r="36639">
      <c r="A36639" s="6"/>
      <c r="B36639" s="6"/>
      <c r="H36639" s="13"/>
    </row>
    <row r="36640">
      <c r="A36640" s="6"/>
      <c r="B36640" s="6"/>
      <c r="H36640" s="13"/>
    </row>
    <row r="36641">
      <c r="A36641" s="6"/>
      <c r="B36641" s="6"/>
      <c r="H36641" s="13"/>
    </row>
    <row r="36642">
      <c r="A36642" s="6"/>
      <c r="B36642" s="6"/>
      <c r="H36642" s="13"/>
    </row>
    <row r="36643">
      <c r="A36643" s="6"/>
      <c r="B36643" s="6"/>
      <c r="H36643" s="13"/>
    </row>
    <row r="36644">
      <c r="A36644" s="6"/>
      <c r="B36644" s="6"/>
      <c r="H36644" s="13"/>
    </row>
    <row r="36645">
      <c r="A36645" s="6"/>
      <c r="B36645" s="6"/>
      <c r="H36645" s="13"/>
    </row>
    <row r="36646">
      <c r="A36646" s="6"/>
      <c r="B36646" s="6"/>
      <c r="H36646" s="13"/>
    </row>
    <row r="36647">
      <c r="A36647" s="6"/>
      <c r="B36647" s="6"/>
      <c r="H36647" s="13"/>
    </row>
    <row r="36648">
      <c r="A36648" s="6"/>
      <c r="B36648" s="6"/>
      <c r="H36648" s="13"/>
    </row>
    <row r="36649">
      <c r="A36649" s="6"/>
      <c r="B36649" s="6"/>
      <c r="H36649" s="13"/>
    </row>
    <row r="36650">
      <c r="A36650" s="6"/>
      <c r="B36650" s="6"/>
      <c r="H36650" s="13"/>
    </row>
    <row r="36651">
      <c r="A36651" s="6"/>
      <c r="B36651" s="6"/>
      <c r="H36651" s="13"/>
    </row>
    <row r="36652">
      <c r="A36652" s="6"/>
      <c r="B36652" s="6"/>
      <c r="H36652" s="13"/>
    </row>
    <row r="36653">
      <c r="A36653" s="6"/>
      <c r="B36653" s="6"/>
      <c r="H36653" s="13"/>
    </row>
    <row r="36654">
      <c r="A36654" s="6"/>
      <c r="B36654" s="6"/>
      <c r="H36654" s="13"/>
    </row>
    <row r="36655">
      <c r="A36655" s="6"/>
      <c r="B36655" s="6"/>
      <c r="H36655" s="13"/>
    </row>
    <row r="36656">
      <c r="A36656" s="6"/>
      <c r="B36656" s="6"/>
      <c r="H36656" s="13"/>
    </row>
    <row r="36657">
      <c r="A36657" s="6"/>
      <c r="B36657" s="6"/>
      <c r="H36657" s="13"/>
    </row>
    <row r="36658">
      <c r="A36658" s="6"/>
      <c r="B36658" s="6"/>
      <c r="H36658" s="13"/>
    </row>
    <row r="36659">
      <c r="A36659" s="6"/>
      <c r="B36659" s="6"/>
      <c r="H36659" s="13"/>
    </row>
    <row r="36660">
      <c r="A36660" s="6"/>
      <c r="B36660" s="6"/>
      <c r="H36660" s="13"/>
    </row>
    <row r="36661">
      <c r="A36661" s="6"/>
      <c r="B36661" s="6"/>
      <c r="H36661" s="13"/>
    </row>
    <row r="36662">
      <c r="A36662" s="6"/>
      <c r="B36662" s="6"/>
      <c r="H36662" s="13"/>
    </row>
    <row r="36663">
      <c r="A36663" s="6"/>
      <c r="B36663" s="6"/>
      <c r="H36663" s="13"/>
    </row>
    <row r="36664">
      <c r="A36664" s="6"/>
      <c r="B36664" s="6"/>
      <c r="H36664" s="13"/>
    </row>
    <row r="36665">
      <c r="A36665" s="6"/>
      <c r="B36665" s="6"/>
      <c r="H36665" s="13"/>
    </row>
    <row r="36666">
      <c r="A36666" s="6"/>
      <c r="B36666" s="6"/>
      <c r="H36666" s="13"/>
    </row>
    <row r="36667">
      <c r="A36667" s="6"/>
      <c r="B36667" s="6"/>
      <c r="H36667" s="13"/>
    </row>
    <row r="36668">
      <c r="A36668" s="6"/>
      <c r="B36668" s="6"/>
      <c r="H36668" s="13"/>
    </row>
    <row r="36669">
      <c r="A36669" s="6"/>
      <c r="B36669" s="6"/>
      <c r="H36669" s="13"/>
    </row>
    <row r="36670">
      <c r="A36670" s="6"/>
      <c r="B36670" s="6"/>
      <c r="H36670" s="13"/>
    </row>
    <row r="36671">
      <c r="A36671" s="6"/>
      <c r="B36671" s="6"/>
      <c r="H36671" s="13"/>
    </row>
    <row r="36672">
      <c r="A36672" s="6"/>
      <c r="B36672" s="6"/>
      <c r="H36672" s="13"/>
    </row>
    <row r="36673">
      <c r="A36673" s="6"/>
      <c r="B36673" s="6"/>
      <c r="H36673" s="13"/>
    </row>
    <row r="36674">
      <c r="A36674" s="6"/>
      <c r="B36674" s="6"/>
      <c r="H36674" s="13"/>
    </row>
    <row r="36675">
      <c r="A36675" s="6"/>
      <c r="B36675" s="6"/>
      <c r="H36675" s="13"/>
    </row>
    <row r="36676">
      <c r="A36676" s="6"/>
      <c r="B36676" s="6"/>
      <c r="H36676" s="13"/>
    </row>
    <row r="36677">
      <c r="A36677" s="6"/>
      <c r="B36677" s="6"/>
      <c r="H36677" s="13"/>
    </row>
    <row r="36678">
      <c r="A36678" s="6"/>
      <c r="B36678" s="6"/>
      <c r="H36678" s="13"/>
    </row>
    <row r="36679">
      <c r="A36679" s="6"/>
      <c r="B36679" s="6"/>
      <c r="H36679" s="13"/>
    </row>
    <row r="36680">
      <c r="A36680" s="6"/>
      <c r="B36680" s="6"/>
      <c r="H36680" s="13"/>
    </row>
    <row r="36681">
      <c r="A36681" s="6"/>
      <c r="B36681" s="6"/>
      <c r="H36681" s="13"/>
    </row>
    <row r="36682">
      <c r="A36682" s="6"/>
      <c r="B36682" s="6"/>
      <c r="H36682" s="13"/>
    </row>
    <row r="36683">
      <c r="A36683" s="6"/>
      <c r="B36683" s="6"/>
      <c r="H36683" s="13"/>
    </row>
    <row r="36684">
      <c r="A36684" s="6"/>
      <c r="B36684" s="6"/>
      <c r="H36684" s="13"/>
    </row>
    <row r="36685">
      <c r="A36685" s="6"/>
      <c r="B36685" s="6"/>
      <c r="H36685" s="13"/>
    </row>
    <row r="36686">
      <c r="A36686" s="6"/>
      <c r="B36686" s="6"/>
      <c r="H36686" s="13"/>
    </row>
    <row r="36687">
      <c r="A36687" s="6"/>
      <c r="B36687" s="6"/>
      <c r="H36687" s="13"/>
    </row>
    <row r="36688">
      <c r="A36688" s="6"/>
      <c r="B36688" s="6"/>
      <c r="H36688" s="13"/>
    </row>
    <row r="36689">
      <c r="A36689" s="6"/>
      <c r="B36689" s="6"/>
      <c r="H36689" s="13"/>
    </row>
    <row r="36690">
      <c r="A36690" s="6"/>
      <c r="B36690" s="6"/>
      <c r="H36690" s="13"/>
    </row>
    <row r="36691">
      <c r="A36691" s="6"/>
      <c r="B36691" s="6"/>
      <c r="H36691" s="13"/>
    </row>
    <row r="36692">
      <c r="A36692" s="6"/>
      <c r="B36692" s="6"/>
      <c r="H36692" s="13"/>
    </row>
    <row r="36693">
      <c r="A36693" s="6"/>
      <c r="B36693" s="6"/>
      <c r="H36693" s="13"/>
    </row>
    <row r="36694">
      <c r="A36694" s="6"/>
      <c r="B36694" s="6"/>
      <c r="H36694" s="13"/>
    </row>
    <row r="36695">
      <c r="A36695" s="6"/>
      <c r="B36695" s="6"/>
      <c r="H36695" s="13"/>
    </row>
    <row r="36696">
      <c r="A36696" s="6"/>
      <c r="B36696" s="6"/>
      <c r="H36696" s="13"/>
    </row>
    <row r="36697">
      <c r="A36697" s="6"/>
      <c r="B36697" s="6"/>
      <c r="H36697" s="13"/>
    </row>
    <row r="36698">
      <c r="A36698" s="6"/>
      <c r="B36698" s="6"/>
      <c r="H36698" s="13"/>
    </row>
    <row r="36699">
      <c r="A36699" s="6"/>
      <c r="B36699" s="6"/>
      <c r="H36699" s="13"/>
    </row>
    <row r="36700">
      <c r="A36700" s="6"/>
      <c r="B36700" s="6"/>
      <c r="H36700" s="13"/>
    </row>
    <row r="36701">
      <c r="A36701" s="6"/>
      <c r="B36701" s="6"/>
      <c r="H36701" s="13"/>
    </row>
    <row r="36702">
      <c r="A36702" s="6"/>
      <c r="B36702" s="6"/>
      <c r="H36702" s="13"/>
    </row>
    <row r="36703">
      <c r="A36703" s="6"/>
      <c r="B36703" s="6"/>
      <c r="H36703" s="13"/>
    </row>
    <row r="36704">
      <c r="A36704" s="6"/>
      <c r="B36704" s="6"/>
      <c r="H36704" s="13"/>
    </row>
    <row r="36705">
      <c r="A36705" s="6"/>
      <c r="B36705" s="6"/>
      <c r="H36705" s="13"/>
    </row>
    <row r="36706">
      <c r="A36706" s="6"/>
      <c r="B36706" s="6"/>
      <c r="H36706" s="13"/>
    </row>
    <row r="36707">
      <c r="A36707" s="6"/>
      <c r="B36707" s="6"/>
      <c r="H36707" s="13"/>
    </row>
    <row r="36708">
      <c r="A36708" s="6"/>
      <c r="B36708" s="6"/>
      <c r="H36708" s="13"/>
    </row>
    <row r="36709">
      <c r="A36709" s="6"/>
      <c r="B36709" s="6"/>
      <c r="H36709" s="13"/>
    </row>
    <row r="36710">
      <c r="A36710" s="6"/>
      <c r="B36710" s="6"/>
      <c r="H36710" s="13"/>
    </row>
    <row r="36711">
      <c r="A36711" s="6"/>
      <c r="B36711" s="6"/>
      <c r="H36711" s="13"/>
    </row>
    <row r="36712">
      <c r="A36712" s="6"/>
      <c r="B36712" s="6"/>
      <c r="H36712" s="13"/>
    </row>
    <row r="36713">
      <c r="A36713" s="6"/>
      <c r="B36713" s="6"/>
      <c r="H36713" s="13"/>
    </row>
    <row r="36714">
      <c r="A36714" s="6"/>
      <c r="B36714" s="6"/>
      <c r="H36714" s="13"/>
    </row>
    <row r="36715">
      <c r="A36715" s="6"/>
      <c r="B36715" s="6"/>
      <c r="H36715" s="13"/>
    </row>
    <row r="36716">
      <c r="A36716" s="6"/>
      <c r="B36716" s="6"/>
      <c r="H36716" s="13"/>
    </row>
    <row r="36717">
      <c r="A36717" s="6"/>
      <c r="B36717" s="6"/>
      <c r="H36717" s="13"/>
    </row>
    <row r="36718">
      <c r="A36718" s="6"/>
      <c r="B36718" s="6"/>
      <c r="H36718" s="13"/>
    </row>
    <row r="36719">
      <c r="A36719" s="6"/>
      <c r="B36719" s="6"/>
      <c r="H36719" s="13"/>
    </row>
    <row r="36720">
      <c r="A36720" s="6"/>
      <c r="B36720" s="6"/>
      <c r="H36720" s="13"/>
    </row>
    <row r="36721">
      <c r="A36721" s="6"/>
      <c r="B36721" s="6"/>
      <c r="H36721" s="13"/>
    </row>
    <row r="36722">
      <c r="A36722" s="6"/>
      <c r="B36722" s="6"/>
      <c r="H36722" s="13"/>
    </row>
    <row r="36723">
      <c r="A36723" s="6"/>
      <c r="B36723" s="6"/>
      <c r="H36723" s="13"/>
    </row>
    <row r="36724">
      <c r="A36724" s="6"/>
      <c r="B36724" s="6"/>
      <c r="H36724" s="13"/>
    </row>
    <row r="36725">
      <c r="A36725" s="6"/>
      <c r="B36725" s="6"/>
      <c r="H36725" s="13"/>
    </row>
    <row r="36726">
      <c r="A36726" s="6"/>
      <c r="B36726" s="6"/>
      <c r="H36726" s="13"/>
    </row>
    <row r="36727">
      <c r="A36727" s="6"/>
      <c r="B36727" s="6"/>
      <c r="H36727" s="13"/>
    </row>
    <row r="36728">
      <c r="A36728" s="6"/>
      <c r="B36728" s="6"/>
      <c r="H36728" s="13"/>
    </row>
    <row r="36729">
      <c r="A36729" s="6"/>
      <c r="B36729" s="6"/>
      <c r="H36729" s="13"/>
    </row>
    <row r="36730">
      <c r="A36730" s="6"/>
      <c r="B36730" s="6"/>
      <c r="H36730" s="13"/>
    </row>
    <row r="36731">
      <c r="A36731" s="6"/>
      <c r="B36731" s="6"/>
      <c r="H36731" s="13"/>
    </row>
    <row r="36732">
      <c r="A36732" s="6"/>
      <c r="B36732" s="6"/>
      <c r="H36732" s="13"/>
    </row>
    <row r="36733">
      <c r="A36733" s="6"/>
      <c r="B36733" s="6"/>
      <c r="H36733" s="13"/>
    </row>
    <row r="36734">
      <c r="A36734" s="6"/>
      <c r="B36734" s="6"/>
      <c r="H36734" s="13"/>
    </row>
    <row r="36735">
      <c r="A36735" s="6"/>
      <c r="B36735" s="6"/>
      <c r="H36735" s="13"/>
    </row>
    <row r="36736">
      <c r="A36736" s="6"/>
      <c r="B36736" s="6"/>
      <c r="H36736" s="13"/>
    </row>
    <row r="36737">
      <c r="A36737" s="6"/>
      <c r="B36737" s="6"/>
      <c r="H36737" s="13"/>
    </row>
    <row r="36738">
      <c r="A36738" s="6"/>
      <c r="B36738" s="6"/>
      <c r="H36738" s="13"/>
    </row>
    <row r="36739">
      <c r="A36739" s="6"/>
      <c r="B36739" s="6"/>
      <c r="H36739" s="13"/>
    </row>
    <row r="36740">
      <c r="A36740" s="6"/>
      <c r="B36740" s="6"/>
      <c r="H36740" s="13"/>
    </row>
    <row r="36741">
      <c r="A36741" s="6"/>
      <c r="B36741" s="6"/>
      <c r="H36741" s="13"/>
    </row>
    <row r="36742">
      <c r="A36742" s="6"/>
      <c r="B36742" s="6"/>
      <c r="H36742" s="13"/>
    </row>
    <row r="36743">
      <c r="A36743" s="6"/>
      <c r="B36743" s="6"/>
      <c r="H36743" s="13"/>
    </row>
    <row r="36744">
      <c r="A36744" s="6"/>
      <c r="B36744" s="6"/>
      <c r="H36744" s="13"/>
    </row>
    <row r="36745">
      <c r="A36745" s="6"/>
      <c r="B36745" s="6"/>
      <c r="H36745" s="13"/>
    </row>
    <row r="36746">
      <c r="A36746" s="6"/>
      <c r="B36746" s="6"/>
      <c r="H36746" s="13"/>
    </row>
    <row r="36747">
      <c r="A36747" s="6"/>
      <c r="B36747" s="6"/>
      <c r="H36747" s="13"/>
    </row>
    <row r="36748">
      <c r="A36748" s="6"/>
      <c r="B36748" s="6"/>
      <c r="H36748" s="13"/>
    </row>
    <row r="36749">
      <c r="A36749" s="6"/>
      <c r="B36749" s="6"/>
      <c r="H36749" s="13"/>
    </row>
    <row r="36750">
      <c r="A36750" s="6"/>
      <c r="B36750" s="6"/>
      <c r="H36750" s="13"/>
    </row>
    <row r="36751">
      <c r="A36751" s="6"/>
      <c r="B36751" s="6"/>
      <c r="H36751" s="13"/>
    </row>
    <row r="36752">
      <c r="A36752" s="6"/>
      <c r="B36752" s="6"/>
      <c r="H36752" s="13"/>
    </row>
    <row r="36753">
      <c r="A36753" s="6"/>
      <c r="B36753" s="6"/>
      <c r="H36753" s="13"/>
    </row>
    <row r="36754">
      <c r="A36754" s="6"/>
      <c r="B36754" s="6"/>
      <c r="H36754" s="13"/>
    </row>
    <row r="36755">
      <c r="A36755" s="6"/>
      <c r="B36755" s="6"/>
      <c r="H36755" s="13"/>
    </row>
    <row r="36756">
      <c r="A36756" s="6"/>
      <c r="B36756" s="6"/>
      <c r="H36756" s="13"/>
    </row>
    <row r="36757">
      <c r="A36757" s="6"/>
      <c r="B36757" s="6"/>
      <c r="H36757" s="13"/>
    </row>
    <row r="36758">
      <c r="A36758" s="6"/>
      <c r="B36758" s="6"/>
      <c r="H36758" s="13"/>
    </row>
    <row r="36759">
      <c r="A36759" s="6"/>
      <c r="B36759" s="6"/>
      <c r="H36759" s="13"/>
    </row>
    <row r="36760">
      <c r="A36760" s="6"/>
      <c r="B36760" s="6"/>
      <c r="H36760" s="13"/>
    </row>
    <row r="36761">
      <c r="A36761" s="6"/>
      <c r="B36761" s="6"/>
      <c r="H36761" s="13"/>
    </row>
    <row r="36762">
      <c r="A36762" s="6"/>
      <c r="B36762" s="6"/>
      <c r="H36762" s="13"/>
    </row>
    <row r="36763">
      <c r="A36763" s="6"/>
      <c r="B36763" s="6"/>
      <c r="H36763" s="13"/>
    </row>
    <row r="36764">
      <c r="A36764" s="6"/>
      <c r="B36764" s="6"/>
      <c r="H36764" s="13"/>
    </row>
    <row r="36765">
      <c r="A36765" s="6"/>
      <c r="B36765" s="6"/>
      <c r="H36765" s="13"/>
    </row>
    <row r="36766">
      <c r="A36766" s="6"/>
      <c r="B36766" s="6"/>
      <c r="H36766" s="13"/>
    </row>
    <row r="36767">
      <c r="A36767" s="6"/>
      <c r="B36767" s="6"/>
      <c r="H36767" s="13"/>
    </row>
    <row r="36768">
      <c r="A36768" s="6"/>
      <c r="B36768" s="6"/>
      <c r="H36768" s="13"/>
    </row>
    <row r="36769">
      <c r="A36769" s="6"/>
      <c r="B36769" s="6"/>
      <c r="H36769" s="13"/>
    </row>
    <row r="36770">
      <c r="A36770" s="6"/>
      <c r="B36770" s="6"/>
      <c r="H36770" s="13"/>
    </row>
    <row r="36771">
      <c r="A36771" s="6"/>
      <c r="B36771" s="6"/>
      <c r="H36771" s="13"/>
    </row>
    <row r="36772">
      <c r="A36772" s="6"/>
      <c r="B36772" s="6"/>
      <c r="H36772" s="13"/>
    </row>
    <row r="36773">
      <c r="A36773" s="6"/>
      <c r="B36773" s="6"/>
      <c r="H36773" s="13"/>
    </row>
    <row r="36774">
      <c r="A36774" s="6"/>
      <c r="B36774" s="6"/>
      <c r="H36774" s="13"/>
    </row>
    <row r="36775">
      <c r="A36775" s="6"/>
      <c r="B36775" s="6"/>
      <c r="H36775" s="13"/>
    </row>
    <row r="36776">
      <c r="A36776" s="6"/>
      <c r="B36776" s="6"/>
      <c r="H36776" s="13"/>
    </row>
    <row r="36777">
      <c r="A36777" s="6"/>
      <c r="B36777" s="6"/>
      <c r="H36777" s="13"/>
    </row>
    <row r="36778">
      <c r="A36778" s="6"/>
      <c r="B36778" s="6"/>
      <c r="H36778" s="13"/>
    </row>
    <row r="36779">
      <c r="A36779" s="6"/>
      <c r="B36779" s="6"/>
      <c r="H36779" s="13"/>
    </row>
    <row r="36780">
      <c r="A36780" s="6"/>
      <c r="B36780" s="6"/>
      <c r="H36780" s="13"/>
    </row>
    <row r="36781">
      <c r="A36781" s="6"/>
      <c r="B36781" s="6"/>
      <c r="H36781" s="13"/>
    </row>
    <row r="36782">
      <c r="A36782" s="6"/>
      <c r="B36782" s="6"/>
      <c r="H36782" s="13"/>
    </row>
    <row r="36783">
      <c r="A36783" s="6"/>
      <c r="B36783" s="6"/>
      <c r="H36783" s="13"/>
    </row>
    <row r="36784">
      <c r="A36784" s="6"/>
      <c r="B36784" s="6"/>
      <c r="H36784" s="13"/>
    </row>
    <row r="36785">
      <c r="A36785" s="6"/>
      <c r="B36785" s="6"/>
      <c r="H36785" s="13"/>
    </row>
    <row r="36786">
      <c r="A36786" s="6"/>
      <c r="B36786" s="6"/>
      <c r="H36786" s="13"/>
    </row>
    <row r="36787">
      <c r="A36787" s="6"/>
      <c r="B36787" s="6"/>
      <c r="H36787" s="13"/>
    </row>
    <row r="36788">
      <c r="A36788" s="6"/>
      <c r="B36788" s="6"/>
      <c r="H36788" s="13"/>
    </row>
    <row r="36789">
      <c r="A36789" s="6"/>
      <c r="B36789" s="6"/>
      <c r="H36789" s="13"/>
    </row>
    <row r="36790">
      <c r="A36790" s="6"/>
      <c r="B36790" s="6"/>
      <c r="H36790" s="13"/>
    </row>
    <row r="36791">
      <c r="A36791" s="6"/>
      <c r="B36791" s="6"/>
      <c r="H36791" s="13"/>
    </row>
    <row r="36792">
      <c r="A36792" s="6"/>
      <c r="B36792" s="6"/>
      <c r="H36792" s="13"/>
    </row>
    <row r="36793">
      <c r="A36793" s="6"/>
      <c r="B36793" s="6"/>
      <c r="H36793" s="13"/>
    </row>
    <row r="36794">
      <c r="A36794" s="6"/>
      <c r="B36794" s="6"/>
      <c r="H36794" s="13"/>
    </row>
    <row r="36795">
      <c r="A36795" s="6"/>
      <c r="B36795" s="6"/>
      <c r="H36795" s="13"/>
    </row>
    <row r="36796">
      <c r="A36796" s="6"/>
      <c r="B36796" s="6"/>
      <c r="H36796" s="13"/>
    </row>
    <row r="36797">
      <c r="A36797" s="6"/>
      <c r="B36797" s="6"/>
      <c r="H36797" s="13"/>
    </row>
    <row r="36798">
      <c r="A36798" s="6"/>
      <c r="B36798" s="6"/>
      <c r="H36798" s="13"/>
    </row>
    <row r="36799">
      <c r="A36799" s="6"/>
      <c r="B36799" s="6"/>
      <c r="H36799" s="13"/>
    </row>
    <row r="36800">
      <c r="A36800" s="6"/>
      <c r="B36800" s="6"/>
      <c r="H36800" s="13"/>
    </row>
    <row r="36801">
      <c r="A36801" s="6"/>
      <c r="B36801" s="6"/>
      <c r="H36801" s="13"/>
    </row>
    <row r="36802">
      <c r="A36802" s="6"/>
      <c r="B36802" s="6"/>
      <c r="H36802" s="13"/>
    </row>
    <row r="36803">
      <c r="A36803" s="6"/>
      <c r="B36803" s="6"/>
      <c r="H36803" s="13"/>
    </row>
    <row r="36804">
      <c r="A36804" s="6"/>
      <c r="B36804" s="6"/>
      <c r="H36804" s="13"/>
    </row>
    <row r="36805">
      <c r="A36805" s="6"/>
      <c r="B36805" s="6"/>
      <c r="H36805" s="13"/>
    </row>
    <row r="36806">
      <c r="A36806" s="6"/>
      <c r="B36806" s="6"/>
      <c r="H36806" s="13"/>
    </row>
    <row r="36807">
      <c r="A36807" s="6"/>
      <c r="B36807" s="6"/>
      <c r="H36807" s="13"/>
    </row>
    <row r="36808">
      <c r="A36808" s="6"/>
      <c r="B36808" s="6"/>
      <c r="H36808" s="13"/>
    </row>
    <row r="36809">
      <c r="A36809" s="6"/>
      <c r="B36809" s="6"/>
      <c r="H36809" s="13"/>
    </row>
    <row r="36810">
      <c r="A36810" s="6"/>
      <c r="B36810" s="6"/>
      <c r="H36810" s="13"/>
    </row>
    <row r="36811">
      <c r="A36811" s="6"/>
      <c r="B36811" s="6"/>
      <c r="H36811" s="13"/>
    </row>
    <row r="36812">
      <c r="A36812" s="6"/>
      <c r="B36812" s="6"/>
      <c r="H36812" s="13"/>
    </row>
    <row r="36813">
      <c r="A36813" s="6"/>
      <c r="B36813" s="6"/>
      <c r="H36813" s="13"/>
    </row>
    <row r="36814">
      <c r="A36814" s="6"/>
      <c r="B36814" s="6"/>
      <c r="H36814" s="13"/>
    </row>
    <row r="36815">
      <c r="A36815" s="6"/>
      <c r="B36815" s="6"/>
      <c r="H36815" s="13"/>
    </row>
    <row r="36816">
      <c r="A36816" s="6"/>
      <c r="B36816" s="6"/>
      <c r="H36816" s="13"/>
    </row>
    <row r="36817">
      <c r="A36817" s="6"/>
      <c r="B36817" s="6"/>
      <c r="H36817" s="13"/>
    </row>
    <row r="36818">
      <c r="A36818" s="6"/>
      <c r="B36818" s="6"/>
      <c r="H36818" s="13"/>
    </row>
    <row r="36819">
      <c r="A36819" s="6"/>
      <c r="B36819" s="6"/>
      <c r="H36819" s="13"/>
    </row>
    <row r="36820">
      <c r="A36820" s="6"/>
      <c r="B36820" s="6"/>
      <c r="H36820" s="13"/>
    </row>
    <row r="36821">
      <c r="A36821" s="6"/>
      <c r="B36821" s="6"/>
      <c r="H36821" s="13"/>
    </row>
    <row r="36822">
      <c r="A36822" s="6"/>
      <c r="B36822" s="6"/>
      <c r="H36822" s="13"/>
    </row>
    <row r="36823">
      <c r="A36823" s="6"/>
      <c r="B36823" s="6"/>
      <c r="H36823" s="13"/>
    </row>
    <row r="36824">
      <c r="A36824" s="6"/>
      <c r="B36824" s="6"/>
      <c r="H36824" s="13"/>
    </row>
    <row r="36825">
      <c r="A36825" s="6"/>
      <c r="B36825" s="6"/>
      <c r="H36825" s="13"/>
    </row>
    <row r="36826">
      <c r="A36826" s="6"/>
      <c r="B36826" s="6"/>
      <c r="H36826" s="13"/>
    </row>
    <row r="36827">
      <c r="A36827" s="6"/>
      <c r="B36827" s="6"/>
      <c r="H36827" s="13"/>
    </row>
    <row r="36828">
      <c r="A36828" s="6"/>
      <c r="B36828" s="6"/>
      <c r="H36828" s="13"/>
    </row>
    <row r="36829">
      <c r="A36829" s="6"/>
      <c r="B36829" s="6"/>
      <c r="H36829" s="13"/>
    </row>
    <row r="36830">
      <c r="A36830" s="6"/>
      <c r="B36830" s="6"/>
      <c r="H36830" s="13"/>
    </row>
    <row r="36831">
      <c r="A36831" s="6"/>
      <c r="B36831" s="6"/>
      <c r="H36831" s="13"/>
    </row>
    <row r="36832">
      <c r="A36832" s="6"/>
      <c r="B36832" s="6"/>
      <c r="H36832" s="13"/>
    </row>
    <row r="36833">
      <c r="A36833" s="6"/>
      <c r="B36833" s="6"/>
      <c r="H36833" s="13"/>
    </row>
    <row r="36834">
      <c r="A36834" s="6"/>
      <c r="B36834" s="6"/>
      <c r="H36834" s="13"/>
    </row>
    <row r="36835">
      <c r="A36835" s="6"/>
      <c r="B36835" s="6"/>
      <c r="H36835" s="13"/>
    </row>
    <row r="36836">
      <c r="A36836" s="6"/>
      <c r="B36836" s="6"/>
      <c r="H36836" s="13"/>
    </row>
    <row r="36837">
      <c r="A36837" s="6"/>
      <c r="B36837" s="6"/>
      <c r="H36837" s="13"/>
    </row>
    <row r="36838">
      <c r="A36838" s="6"/>
      <c r="B36838" s="6"/>
      <c r="H36838" s="13"/>
    </row>
    <row r="36839">
      <c r="A36839" s="6"/>
      <c r="B36839" s="6"/>
      <c r="H36839" s="13"/>
    </row>
    <row r="36840">
      <c r="A36840" s="6"/>
      <c r="B36840" s="6"/>
      <c r="H36840" s="13"/>
    </row>
    <row r="36841">
      <c r="A36841" s="6"/>
      <c r="B36841" s="6"/>
      <c r="H36841" s="13"/>
    </row>
    <row r="36842">
      <c r="A36842" s="6"/>
      <c r="B36842" s="6"/>
      <c r="H36842" s="13"/>
    </row>
    <row r="36843">
      <c r="A36843" s="6"/>
      <c r="B36843" s="6"/>
      <c r="H36843" s="13"/>
    </row>
    <row r="36844">
      <c r="A36844" s="6"/>
      <c r="B36844" s="6"/>
      <c r="H36844" s="13"/>
    </row>
    <row r="36845">
      <c r="A36845" s="6"/>
      <c r="B36845" s="6"/>
      <c r="H36845" s="13"/>
    </row>
    <row r="36846">
      <c r="A36846" s="6"/>
      <c r="B36846" s="6"/>
      <c r="H36846" s="13"/>
    </row>
    <row r="36847">
      <c r="A36847" s="6"/>
      <c r="B36847" s="6"/>
      <c r="H36847" s="13"/>
    </row>
    <row r="36848">
      <c r="A36848" s="6"/>
      <c r="B36848" s="6"/>
      <c r="H36848" s="13"/>
    </row>
    <row r="36849">
      <c r="A36849" s="6"/>
      <c r="B36849" s="6"/>
      <c r="H36849" s="13"/>
    </row>
    <row r="36850">
      <c r="A36850" s="6"/>
      <c r="B36850" s="6"/>
      <c r="H36850" s="13"/>
    </row>
    <row r="36851">
      <c r="A36851" s="6"/>
      <c r="B36851" s="6"/>
      <c r="H36851" s="13"/>
    </row>
    <row r="36852">
      <c r="A36852" s="6"/>
      <c r="B36852" s="6"/>
      <c r="H36852" s="13"/>
    </row>
    <row r="36853">
      <c r="A36853" s="6"/>
      <c r="B36853" s="6"/>
      <c r="H36853" s="13"/>
    </row>
    <row r="36854">
      <c r="A36854" s="6"/>
      <c r="B36854" s="6"/>
      <c r="H36854" s="13"/>
    </row>
    <row r="36855">
      <c r="A36855" s="6"/>
      <c r="B36855" s="6"/>
      <c r="H36855" s="13"/>
    </row>
    <row r="36856">
      <c r="A36856" s="6"/>
      <c r="B36856" s="6"/>
      <c r="H36856" s="13"/>
    </row>
    <row r="36857">
      <c r="A36857" s="6"/>
      <c r="B36857" s="6"/>
      <c r="H36857" s="13"/>
    </row>
    <row r="36858">
      <c r="A36858" s="6"/>
      <c r="B36858" s="6"/>
      <c r="H36858" s="13"/>
    </row>
    <row r="36859">
      <c r="A36859" s="6"/>
      <c r="B36859" s="6"/>
      <c r="H36859" s="13"/>
    </row>
    <row r="36860">
      <c r="A36860" s="6"/>
      <c r="B36860" s="6"/>
      <c r="H36860" s="13"/>
    </row>
    <row r="36861">
      <c r="A36861" s="6"/>
      <c r="B36861" s="6"/>
      <c r="H36861" s="13"/>
    </row>
    <row r="36862">
      <c r="A36862" s="6"/>
      <c r="B36862" s="6"/>
      <c r="H36862" s="13"/>
    </row>
    <row r="36863">
      <c r="A36863" s="6"/>
      <c r="B36863" s="6"/>
      <c r="H36863" s="13"/>
    </row>
    <row r="36864">
      <c r="A36864" s="6"/>
      <c r="B36864" s="6"/>
      <c r="H36864" s="13"/>
    </row>
    <row r="36865">
      <c r="A36865" s="6"/>
      <c r="B36865" s="6"/>
      <c r="H36865" s="13"/>
    </row>
    <row r="36866">
      <c r="A36866" s="6"/>
      <c r="B36866" s="6"/>
      <c r="H36866" s="13"/>
    </row>
    <row r="36867">
      <c r="A36867" s="6"/>
      <c r="B36867" s="6"/>
      <c r="H36867" s="13"/>
    </row>
    <row r="36868">
      <c r="A36868" s="6"/>
      <c r="B36868" s="6"/>
      <c r="H36868" s="13"/>
    </row>
    <row r="36869">
      <c r="A36869" s="6"/>
      <c r="B36869" s="6"/>
      <c r="H36869" s="13"/>
    </row>
    <row r="36870">
      <c r="A36870" s="6"/>
      <c r="B36870" s="6"/>
      <c r="H36870" s="13"/>
    </row>
    <row r="36871">
      <c r="A36871" s="6"/>
      <c r="B36871" s="6"/>
      <c r="H36871" s="13"/>
    </row>
    <row r="36872">
      <c r="A36872" s="6"/>
      <c r="B36872" s="6"/>
      <c r="H36872" s="13"/>
    </row>
    <row r="36873">
      <c r="A36873" s="6"/>
      <c r="B36873" s="6"/>
      <c r="H36873" s="13"/>
    </row>
    <row r="36874">
      <c r="A36874" s="6"/>
      <c r="B36874" s="6"/>
      <c r="H36874" s="13"/>
    </row>
    <row r="36875">
      <c r="A36875" s="6"/>
      <c r="B36875" s="6"/>
      <c r="H36875" s="13"/>
    </row>
    <row r="36876">
      <c r="A36876" s="6"/>
      <c r="B36876" s="6"/>
      <c r="H36876" s="13"/>
    </row>
    <row r="36877">
      <c r="A36877" s="6"/>
      <c r="B36877" s="6"/>
      <c r="H36877" s="13"/>
    </row>
    <row r="36878">
      <c r="A36878" s="6"/>
      <c r="B36878" s="6"/>
      <c r="H36878" s="13"/>
    </row>
    <row r="36879">
      <c r="A36879" s="6"/>
      <c r="B36879" s="6"/>
      <c r="H36879" s="13"/>
    </row>
    <row r="36880">
      <c r="A36880" s="6"/>
      <c r="B36880" s="6"/>
      <c r="H36880" s="13"/>
    </row>
    <row r="36881">
      <c r="A36881" s="6"/>
      <c r="B36881" s="6"/>
      <c r="H36881" s="13"/>
    </row>
    <row r="36882">
      <c r="A36882" s="6"/>
      <c r="B36882" s="6"/>
      <c r="H36882" s="13"/>
    </row>
    <row r="36883">
      <c r="A36883" s="6"/>
      <c r="B36883" s="6"/>
      <c r="H36883" s="13"/>
    </row>
    <row r="36884">
      <c r="A36884" s="6"/>
      <c r="B36884" s="6"/>
      <c r="H36884" s="13"/>
    </row>
    <row r="36885">
      <c r="A36885" s="6"/>
      <c r="B36885" s="6"/>
      <c r="H36885" s="13"/>
    </row>
    <row r="36886">
      <c r="A36886" s="6"/>
      <c r="B36886" s="6"/>
      <c r="H36886" s="13"/>
    </row>
    <row r="36887">
      <c r="A36887" s="6"/>
      <c r="B36887" s="6"/>
      <c r="H36887" s="13"/>
    </row>
    <row r="36888">
      <c r="A36888" s="6"/>
      <c r="B36888" s="6"/>
      <c r="H36888" s="13"/>
    </row>
    <row r="36889">
      <c r="A36889" s="6"/>
      <c r="B36889" s="6"/>
      <c r="H36889" s="13"/>
    </row>
    <row r="36890">
      <c r="A36890" s="6"/>
      <c r="B36890" s="6"/>
      <c r="H36890" s="13"/>
    </row>
    <row r="36891">
      <c r="A36891" s="6"/>
      <c r="B36891" s="6"/>
      <c r="H36891" s="13"/>
    </row>
    <row r="36892">
      <c r="A36892" s="6"/>
      <c r="B36892" s="6"/>
      <c r="H36892" s="13"/>
    </row>
    <row r="36893">
      <c r="A36893" s="6"/>
      <c r="B36893" s="6"/>
      <c r="H36893" s="13"/>
    </row>
    <row r="36894">
      <c r="A36894" s="6"/>
      <c r="B36894" s="6"/>
      <c r="H36894" s="13"/>
    </row>
    <row r="36895">
      <c r="A36895" s="6"/>
      <c r="B36895" s="6"/>
      <c r="H36895" s="13"/>
    </row>
    <row r="36896">
      <c r="A36896" s="6"/>
      <c r="B36896" s="6"/>
      <c r="H36896" s="13"/>
    </row>
    <row r="36897">
      <c r="A36897" s="6"/>
      <c r="B36897" s="6"/>
      <c r="H36897" s="13"/>
    </row>
    <row r="36898">
      <c r="A36898" s="6"/>
      <c r="B36898" s="6"/>
      <c r="H36898" s="13"/>
    </row>
    <row r="36899">
      <c r="A36899" s="6"/>
      <c r="B36899" s="6"/>
      <c r="H36899" s="13"/>
    </row>
    <row r="36900">
      <c r="A36900" s="6"/>
      <c r="B36900" s="6"/>
      <c r="H36900" s="13"/>
    </row>
    <row r="36901">
      <c r="A36901" s="6"/>
      <c r="B36901" s="6"/>
      <c r="H36901" s="13"/>
    </row>
    <row r="36902">
      <c r="A36902" s="6"/>
      <c r="B36902" s="6"/>
      <c r="H36902" s="13"/>
    </row>
    <row r="36903">
      <c r="A36903" s="6"/>
      <c r="B36903" s="6"/>
      <c r="H36903" s="13"/>
    </row>
    <row r="36904">
      <c r="A36904" s="6"/>
      <c r="B36904" s="6"/>
      <c r="H36904" s="13"/>
    </row>
    <row r="36905">
      <c r="A36905" s="6"/>
      <c r="B36905" s="6"/>
      <c r="H36905" s="13"/>
    </row>
    <row r="36906">
      <c r="A36906" s="6"/>
      <c r="B36906" s="6"/>
      <c r="H36906" s="13"/>
    </row>
    <row r="36907">
      <c r="A36907" s="6"/>
      <c r="B36907" s="6"/>
      <c r="H36907" s="13"/>
    </row>
    <row r="36908">
      <c r="A36908" s="6"/>
      <c r="B36908" s="6"/>
      <c r="H36908" s="13"/>
    </row>
    <row r="36909">
      <c r="A36909" s="6"/>
      <c r="B36909" s="6"/>
      <c r="H36909" s="13"/>
    </row>
    <row r="36910">
      <c r="A36910" s="6"/>
      <c r="B36910" s="6"/>
      <c r="H36910" s="13"/>
    </row>
    <row r="36911">
      <c r="A36911" s="6"/>
      <c r="B36911" s="6"/>
      <c r="H36911" s="13"/>
    </row>
    <row r="36912">
      <c r="A36912" s="6"/>
      <c r="B36912" s="6"/>
      <c r="H36912" s="13"/>
    </row>
    <row r="36913">
      <c r="A36913" s="6"/>
      <c r="B36913" s="6"/>
      <c r="H36913" s="13"/>
    </row>
    <row r="36914">
      <c r="A36914" s="6"/>
      <c r="B36914" s="6"/>
      <c r="H36914" s="13"/>
    </row>
    <row r="36915">
      <c r="A36915" s="6"/>
      <c r="B36915" s="6"/>
      <c r="H36915" s="13"/>
    </row>
    <row r="36916">
      <c r="A36916" s="6"/>
      <c r="B36916" s="6"/>
      <c r="H36916" s="13"/>
    </row>
    <row r="36917">
      <c r="A36917" s="6"/>
      <c r="B36917" s="6"/>
      <c r="H36917" s="13"/>
    </row>
    <row r="36918">
      <c r="A36918" s="6"/>
      <c r="B36918" s="6"/>
      <c r="H36918" s="13"/>
    </row>
    <row r="36919">
      <c r="A36919" s="6"/>
      <c r="B36919" s="6"/>
      <c r="H36919" s="13"/>
    </row>
    <row r="36920">
      <c r="A36920" s="6"/>
      <c r="B36920" s="6"/>
      <c r="H36920" s="13"/>
    </row>
    <row r="36921">
      <c r="A36921" s="6"/>
      <c r="B36921" s="6"/>
      <c r="H36921" s="13"/>
    </row>
    <row r="36922">
      <c r="A36922" s="6"/>
      <c r="B36922" s="6"/>
      <c r="H36922" s="13"/>
    </row>
    <row r="36923">
      <c r="A36923" s="6"/>
      <c r="B36923" s="6"/>
      <c r="H36923" s="13"/>
    </row>
    <row r="36924">
      <c r="A36924" s="6"/>
      <c r="B36924" s="6"/>
      <c r="H36924" s="13"/>
    </row>
    <row r="36925">
      <c r="A36925" s="6"/>
      <c r="B36925" s="6"/>
      <c r="H36925" s="13"/>
    </row>
    <row r="36926">
      <c r="A36926" s="6"/>
      <c r="B36926" s="6"/>
      <c r="H36926" s="13"/>
    </row>
    <row r="36927">
      <c r="A36927" s="6"/>
      <c r="B36927" s="6"/>
      <c r="H36927" s="13"/>
    </row>
    <row r="36928">
      <c r="A36928" s="6"/>
      <c r="B36928" s="6"/>
      <c r="H36928" s="13"/>
    </row>
    <row r="36929">
      <c r="A36929" s="6"/>
      <c r="B36929" s="6"/>
      <c r="H36929" s="13"/>
    </row>
    <row r="36930">
      <c r="A36930" s="6"/>
      <c r="B36930" s="6"/>
      <c r="H36930" s="13"/>
    </row>
    <row r="36931">
      <c r="A36931" s="6"/>
      <c r="B36931" s="6"/>
      <c r="H36931" s="13"/>
    </row>
    <row r="36932">
      <c r="A36932" s="6"/>
      <c r="B36932" s="6"/>
      <c r="H36932" s="13"/>
    </row>
    <row r="36933">
      <c r="A36933" s="6"/>
      <c r="B36933" s="6"/>
      <c r="H36933" s="13"/>
    </row>
    <row r="36934">
      <c r="A36934" s="6"/>
      <c r="B36934" s="6"/>
      <c r="H36934" s="13"/>
    </row>
    <row r="36935">
      <c r="A36935" s="6"/>
      <c r="B36935" s="6"/>
      <c r="H36935" s="13"/>
    </row>
    <row r="36936">
      <c r="A36936" s="6"/>
      <c r="B36936" s="6"/>
      <c r="H36936" s="13"/>
    </row>
    <row r="36937">
      <c r="A36937" s="6"/>
      <c r="B36937" s="6"/>
      <c r="H36937" s="13"/>
    </row>
    <row r="36938">
      <c r="A36938" s="6"/>
      <c r="B36938" s="6"/>
      <c r="H36938" s="13"/>
    </row>
    <row r="36939">
      <c r="A36939" s="6"/>
      <c r="B36939" s="6"/>
      <c r="H36939" s="13"/>
    </row>
    <row r="36940">
      <c r="A36940" s="6"/>
      <c r="B36940" s="6"/>
      <c r="H36940" s="13"/>
    </row>
    <row r="36941">
      <c r="A36941" s="6"/>
      <c r="B36941" s="6"/>
      <c r="H36941" s="13"/>
    </row>
    <row r="36942">
      <c r="A36942" s="6"/>
      <c r="B36942" s="6"/>
      <c r="H36942" s="13"/>
    </row>
    <row r="36943">
      <c r="A36943" s="6"/>
      <c r="B36943" s="6"/>
      <c r="H36943" s="13"/>
    </row>
    <row r="36944">
      <c r="A36944" s="6"/>
      <c r="B36944" s="6"/>
      <c r="H36944" s="13"/>
    </row>
    <row r="36945">
      <c r="A36945" s="6"/>
      <c r="B36945" s="6"/>
      <c r="H36945" s="13"/>
    </row>
    <row r="36946">
      <c r="A36946" s="6"/>
      <c r="B36946" s="6"/>
      <c r="H36946" s="13"/>
    </row>
    <row r="36947">
      <c r="A36947" s="6"/>
      <c r="B36947" s="6"/>
      <c r="H36947" s="13"/>
    </row>
    <row r="36948">
      <c r="A36948" s="6"/>
      <c r="B36948" s="6"/>
      <c r="H36948" s="13"/>
    </row>
    <row r="36949">
      <c r="A36949" s="6"/>
      <c r="B36949" s="6"/>
      <c r="H36949" s="13"/>
    </row>
    <row r="36950">
      <c r="A36950" s="6"/>
      <c r="B36950" s="6"/>
      <c r="H36950" s="13"/>
    </row>
    <row r="36951">
      <c r="A36951" s="6"/>
      <c r="B36951" s="6"/>
      <c r="H36951" s="13"/>
    </row>
    <row r="36952">
      <c r="A36952" s="6"/>
      <c r="B36952" s="6"/>
      <c r="H36952" s="13"/>
    </row>
    <row r="36953">
      <c r="A36953" s="6"/>
      <c r="B36953" s="6"/>
      <c r="H36953" s="13"/>
    </row>
    <row r="36954">
      <c r="A36954" s="6"/>
      <c r="B36954" s="6"/>
      <c r="H36954" s="13"/>
    </row>
    <row r="36955">
      <c r="A36955" s="6"/>
      <c r="B36955" s="6"/>
      <c r="H36955" s="13"/>
    </row>
    <row r="36956">
      <c r="A36956" s="6"/>
      <c r="B36956" s="6"/>
      <c r="H36956" s="13"/>
    </row>
    <row r="36957">
      <c r="A36957" s="6"/>
      <c r="B36957" s="6"/>
      <c r="H36957" s="13"/>
    </row>
    <row r="36958">
      <c r="A36958" s="6"/>
      <c r="B36958" s="6"/>
      <c r="H36958" s="13"/>
    </row>
    <row r="36959">
      <c r="A36959" s="6"/>
      <c r="B36959" s="6"/>
      <c r="H36959" s="13"/>
    </row>
    <row r="36960">
      <c r="A36960" s="6"/>
      <c r="B36960" s="6"/>
      <c r="H36960" s="13"/>
    </row>
    <row r="36961">
      <c r="A36961" s="6"/>
      <c r="B36961" s="6"/>
      <c r="H36961" s="13"/>
    </row>
    <row r="36962">
      <c r="A36962" s="6"/>
      <c r="B36962" s="6"/>
      <c r="H36962" s="13"/>
    </row>
    <row r="36963">
      <c r="A36963" s="6"/>
      <c r="B36963" s="6"/>
      <c r="H36963" s="13"/>
    </row>
    <row r="36964">
      <c r="A36964" s="6"/>
      <c r="B36964" s="6"/>
      <c r="H36964" s="13"/>
    </row>
    <row r="36965">
      <c r="A36965" s="6"/>
      <c r="B36965" s="6"/>
      <c r="H36965" s="13"/>
    </row>
    <row r="36966">
      <c r="A36966" s="6"/>
      <c r="B36966" s="6"/>
      <c r="H36966" s="13"/>
    </row>
    <row r="36967">
      <c r="A36967" s="6"/>
      <c r="B36967" s="6"/>
      <c r="H36967" s="13"/>
    </row>
    <row r="36968">
      <c r="A36968" s="6"/>
      <c r="B36968" s="6"/>
      <c r="H36968" s="13"/>
    </row>
    <row r="36969">
      <c r="A36969" s="6"/>
      <c r="B36969" s="6"/>
      <c r="H36969" s="13"/>
    </row>
    <row r="36970">
      <c r="A36970" s="6"/>
      <c r="B36970" s="6"/>
      <c r="H36970" s="13"/>
    </row>
    <row r="36971">
      <c r="A36971" s="6"/>
      <c r="B36971" s="6"/>
      <c r="H36971" s="13"/>
    </row>
    <row r="36972">
      <c r="A36972" s="6"/>
      <c r="B36972" s="6"/>
      <c r="H36972" s="13"/>
    </row>
    <row r="36973">
      <c r="A36973" s="6"/>
      <c r="B36973" s="6"/>
      <c r="H36973" s="13"/>
    </row>
    <row r="36974">
      <c r="A36974" s="6"/>
      <c r="B36974" s="6"/>
      <c r="H36974" s="13"/>
    </row>
    <row r="36975">
      <c r="A36975" s="6"/>
      <c r="B36975" s="6"/>
      <c r="H36975" s="13"/>
    </row>
    <row r="36976">
      <c r="A36976" s="6"/>
      <c r="B36976" s="6"/>
      <c r="H36976" s="13"/>
    </row>
    <row r="36977">
      <c r="A36977" s="6"/>
      <c r="B36977" s="6"/>
      <c r="H36977" s="13"/>
    </row>
    <row r="36978">
      <c r="A36978" s="6"/>
      <c r="B36978" s="6"/>
      <c r="H36978" s="13"/>
    </row>
    <row r="36979">
      <c r="A36979" s="6"/>
      <c r="B36979" s="6"/>
      <c r="H36979" s="13"/>
    </row>
    <row r="36980">
      <c r="A36980" s="6"/>
      <c r="B36980" s="6"/>
      <c r="H36980" s="13"/>
    </row>
    <row r="36981">
      <c r="A36981" s="6"/>
      <c r="B36981" s="6"/>
      <c r="H36981" s="13"/>
    </row>
    <row r="36982">
      <c r="A36982" s="6"/>
      <c r="B36982" s="6"/>
      <c r="H36982" s="13"/>
    </row>
    <row r="36983">
      <c r="A36983" s="6"/>
      <c r="B36983" s="6"/>
      <c r="H36983" s="13"/>
    </row>
    <row r="36984">
      <c r="A36984" s="6"/>
      <c r="B36984" s="6"/>
      <c r="H36984" s="13"/>
    </row>
    <row r="36985">
      <c r="A36985" s="6"/>
      <c r="B36985" s="6"/>
      <c r="H36985" s="13"/>
    </row>
    <row r="36986">
      <c r="A36986" s="6"/>
      <c r="B36986" s="6"/>
      <c r="H36986" s="13"/>
    </row>
    <row r="36987">
      <c r="A36987" s="6"/>
      <c r="B36987" s="6"/>
      <c r="H36987" s="13"/>
    </row>
    <row r="36988">
      <c r="A36988" s="6"/>
      <c r="B36988" s="6"/>
      <c r="H36988" s="13"/>
    </row>
    <row r="36989">
      <c r="A36989" s="6"/>
      <c r="B36989" s="6"/>
      <c r="H36989" s="13"/>
    </row>
    <row r="36990">
      <c r="A36990" s="6"/>
      <c r="B36990" s="6"/>
      <c r="H36990" s="13"/>
    </row>
    <row r="36991">
      <c r="A36991" s="6"/>
      <c r="B36991" s="6"/>
      <c r="H36991" s="13"/>
    </row>
    <row r="36992">
      <c r="A36992" s="6"/>
      <c r="B36992" s="6"/>
      <c r="H36992" s="13"/>
    </row>
    <row r="36993">
      <c r="A36993" s="6"/>
      <c r="B36993" s="6"/>
      <c r="H36993" s="13"/>
    </row>
    <row r="36994">
      <c r="A36994" s="6"/>
      <c r="B36994" s="6"/>
      <c r="H36994" s="13"/>
    </row>
    <row r="36995">
      <c r="A36995" s="6"/>
      <c r="B36995" s="6"/>
      <c r="H36995" s="13"/>
    </row>
    <row r="36996">
      <c r="A36996" s="6"/>
      <c r="B36996" s="6"/>
      <c r="H36996" s="13"/>
    </row>
    <row r="36997">
      <c r="A36997" s="6"/>
      <c r="B36997" s="6"/>
      <c r="H36997" s="13"/>
    </row>
    <row r="36998">
      <c r="A36998" s="6"/>
      <c r="B36998" s="6"/>
      <c r="H36998" s="13"/>
    </row>
    <row r="36999">
      <c r="A36999" s="6"/>
      <c r="B36999" s="6"/>
      <c r="H36999" s="13"/>
    </row>
    <row r="37000">
      <c r="A37000" s="6"/>
      <c r="B37000" s="6"/>
      <c r="H37000" s="13"/>
    </row>
    <row r="37001">
      <c r="A37001" s="6"/>
      <c r="B37001" s="6"/>
      <c r="H37001" s="13"/>
    </row>
    <row r="37002">
      <c r="A37002" s="6"/>
      <c r="B37002" s="6"/>
      <c r="H37002" s="13"/>
    </row>
    <row r="37003">
      <c r="A37003" s="6"/>
      <c r="B37003" s="6"/>
      <c r="H37003" s="13"/>
    </row>
    <row r="37004">
      <c r="A37004" s="6"/>
      <c r="B37004" s="6"/>
      <c r="H37004" s="13"/>
    </row>
    <row r="37005">
      <c r="A37005" s="6"/>
      <c r="B37005" s="6"/>
      <c r="H37005" s="13"/>
    </row>
    <row r="37006">
      <c r="A37006" s="6"/>
      <c r="B37006" s="6"/>
      <c r="H37006" s="13"/>
    </row>
    <row r="37007">
      <c r="A37007" s="6"/>
      <c r="B37007" s="6"/>
      <c r="H37007" s="13"/>
    </row>
    <row r="37008">
      <c r="A37008" s="6"/>
      <c r="B37008" s="6"/>
      <c r="H37008" s="13"/>
    </row>
    <row r="37009">
      <c r="A37009" s="6"/>
      <c r="B37009" s="6"/>
      <c r="H37009" s="13"/>
    </row>
    <row r="37010">
      <c r="A37010" s="6"/>
      <c r="B37010" s="6"/>
      <c r="H37010" s="13"/>
    </row>
    <row r="37011">
      <c r="A37011" s="6"/>
      <c r="B37011" s="6"/>
      <c r="H37011" s="13"/>
    </row>
    <row r="37012">
      <c r="A37012" s="6"/>
      <c r="B37012" s="6"/>
      <c r="H37012" s="13"/>
    </row>
    <row r="37013">
      <c r="A37013" s="6"/>
      <c r="B37013" s="6"/>
      <c r="H37013" s="13"/>
    </row>
    <row r="37014">
      <c r="A37014" s="6"/>
      <c r="B37014" s="6"/>
      <c r="H37014" s="13"/>
    </row>
    <row r="37015">
      <c r="A37015" s="6"/>
      <c r="B37015" s="6"/>
      <c r="H37015" s="13"/>
    </row>
    <row r="37016">
      <c r="A37016" s="6"/>
      <c r="B37016" s="6"/>
      <c r="H37016" s="13"/>
    </row>
    <row r="37017">
      <c r="A37017" s="6"/>
      <c r="B37017" s="6"/>
      <c r="H37017" s="13"/>
    </row>
    <row r="37018">
      <c r="A37018" s="6"/>
      <c r="B37018" s="6"/>
      <c r="H37018" s="13"/>
    </row>
    <row r="37019">
      <c r="A37019" s="6"/>
      <c r="B37019" s="6"/>
      <c r="H37019" s="13"/>
    </row>
    <row r="37020">
      <c r="A37020" s="6"/>
      <c r="B37020" s="6"/>
      <c r="H37020" s="13"/>
    </row>
    <row r="37021">
      <c r="A37021" s="6"/>
      <c r="B37021" s="6"/>
      <c r="H37021" s="13"/>
    </row>
    <row r="37022">
      <c r="A37022" s="6"/>
      <c r="B37022" s="6"/>
      <c r="H37022" s="13"/>
    </row>
    <row r="37023">
      <c r="A37023" s="6"/>
      <c r="B37023" s="6"/>
      <c r="H37023" s="13"/>
    </row>
    <row r="37024">
      <c r="A37024" s="6"/>
      <c r="B37024" s="6"/>
      <c r="H37024" s="13"/>
    </row>
    <row r="37025">
      <c r="A37025" s="6"/>
      <c r="B37025" s="6"/>
      <c r="H37025" s="13"/>
    </row>
    <row r="37026">
      <c r="A37026" s="6"/>
      <c r="B37026" s="6"/>
      <c r="H37026" s="13"/>
    </row>
    <row r="37027">
      <c r="A37027" s="6"/>
      <c r="B37027" s="6"/>
      <c r="H37027" s="13"/>
    </row>
    <row r="37028">
      <c r="A37028" s="6"/>
      <c r="B37028" s="6"/>
      <c r="H37028" s="13"/>
    </row>
    <row r="37029">
      <c r="A37029" s="6"/>
      <c r="B37029" s="6"/>
      <c r="H37029" s="13"/>
    </row>
    <row r="37030">
      <c r="A37030" s="6"/>
      <c r="B37030" s="6"/>
      <c r="H37030" s="13"/>
    </row>
    <row r="37031">
      <c r="A37031" s="6"/>
      <c r="B37031" s="6"/>
      <c r="H37031" s="13"/>
    </row>
    <row r="37032">
      <c r="A37032" s="6"/>
      <c r="B37032" s="6"/>
      <c r="H37032" s="13"/>
    </row>
    <row r="37033">
      <c r="A37033" s="6"/>
      <c r="B37033" s="6"/>
      <c r="H37033" s="13"/>
    </row>
    <row r="37034">
      <c r="A37034" s="6"/>
      <c r="B37034" s="6"/>
      <c r="H37034" s="13"/>
    </row>
    <row r="37035">
      <c r="A37035" s="6"/>
      <c r="B37035" s="6"/>
      <c r="H37035" s="13"/>
    </row>
    <row r="37036">
      <c r="A37036" s="6"/>
      <c r="B37036" s="6"/>
      <c r="H37036" s="13"/>
    </row>
    <row r="37037">
      <c r="A37037" s="6"/>
      <c r="B37037" s="6"/>
      <c r="H37037" s="13"/>
    </row>
    <row r="37038">
      <c r="A37038" s="6"/>
      <c r="B37038" s="6"/>
      <c r="H37038" s="13"/>
    </row>
    <row r="37039">
      <c r="A37039" s="6"/>
      <c r="B37039" s="6"/>
      <c r="H37039" s="13"/>
    </row>
    <row r="37040">
      <c r="A37040" s="6"/>
      <c r="B37040" s="6"/>
      <c r="H37040" s="13"/>
    </row>
    <row r="37041">
      <c r="A37041" s="6"/>
      <c r="B37041" s="6"/>
      <c r="H37041" s="13"/>
    </row>
    <row r="37042">
      <c r="A37042" s="6"/>
      <c r="B37042" s="6"/>
      <c r="H37042" s="13"/>
    </row>
    <row r="37043">
      <c r="A37043" s="6"/>
      <c r="B37043" s="6"/>
      <c r="H37043" s="13"/>
    </row>
    <row r="37044">
      <c r="A37044" s="6"/>
      <c r="B37044" s="6"/>
      <c r="H37044" s="13"/>
    </row>
    <row r="37045">
      <c r="A37045" s="6"/>
      <c r="B37045" s="6"/>
      <c r="H37045" s="13"/>
    </row>
    <row r="37046">
      <c r="A37046" s="6"/>
      <c r="B37046" s="6"/>
      <c r="H37046" s="13"/>
    </row>
    <row r="37047">
      <c r="A37047" s="6"/>
      <c r="B37047" s="6"/>
      <c r="H37047" s="13"/>
    </row>
    <row r="37048">
      <c r="A37048" s="6"/>
      <c r="B37048" s="6"/>
      <c r="H37048" s="13"/>
    </row>
    <row r="37049">
      <c r="A37049" s="6"/>
      <c r="B37049" s="6"/>
      <c r="H37049" s="13"/>
    </row>
    <row r="37050">
      <c r="A37050" s="6"/>
      <c r="B37050" s="6"/>
      <c r="H37050" s="13"/>
    </row>
    <row r="37051">
      <c r="A37051" s="6"/>
      <c r="B37051" s="6"/>
      <c r="H37051" s="13"/>
    </row>
    <row r="37052">
      <c r="A37052" s="6"/>
      <c r="B37052" s="6"/>
      <c r="H37052" s="13"/>
    </row>
    <row r="37053">
      <c r="A37053" s="6"/>
      <c r="B37053" s="6"/>
      <c r="H37053" s="13"/>
    </row>
    <row r="37054">
      <c r="A37054" s="6"/>
      <c r="B37054" s="6"/>
      <c r="H37054" s="13"/>
    </row>
    <row r="37055">
      <c r="A37055" s="6"/>
      <c r="B37055" s="6"/>
      <c r="H37055" s="13"/>
    </row>
    <row r="37056">
      <c r="A37056" s="6"/>
      <c r="B37056" s="6"/>
      <c r="H37056" s="13"/>
    </row>
    <row r="37057">
      <c r="A37057" s="6"/>
      <c r="B37057" s="6"/>
      <c r="H37057" s="13"/>
    </row>
    <row r="37058">
      <c r="A37058" s="6"/>
      <c r="B37058" s="6"/>
      <c r="H37058" s="13"/>
    </row>
    <row r="37059">
      <c r="A37059" s="6"/>
      <c r="B37059" s="6"/>
      <c r="H37059" s="13"/>
    </row>
    <row r="37060">
      <c r="A37060" s="6"/>
      <c r="B37060" s="6"/>
      <c r="H37060" s="13"/>
    </row>
    <row r="37061">
      <c r="A37061" s="6"/>
      <c r="B37061" s="6"/>
      <c r="H37061" s="13"/>
    </row>
    <row r="37062">
      <c r="A37062" s="6"/>
      <c r="B37062" s="6"/>
      <c r="H37062" s="13"/>
    </row>
    <row r="37063">
      <c r="A37063" s="6"/>
      <c r="B37063" s="6"/>
      <c r="H37063" s="13"/>
    </row>
    <row r="37064">
      <c r="A37064" s="6"/>
      <c r="B37064" s="6"/>
      <c r="H37064" s="13"/>
    </row>
    <row r="37065">
      <c r="A37065" s="6"/>
      <c r="B37065" s="6"/>
      <c r="H37065" s="13"/>
    </row>
    <row r="37066">
      <c r="A37066" s="6"/>
      <c r="B37066" s="6"/>
      <c r="H37066" s="13"/>
    </row>
    <row r="37067">
      <c r="A37067" s="6"/>
      <c r="B37067" s="6"/>
      <c r="H37067" s="13"/>
    </row>
    <row r="37068">
      <c r="A37068" s="6"/>
      <c r="B37068" s="6"/>
      <c r="H37068" s="13"/>
    </row>
    <row r="37069">
      <c r="A37069" s="6"/>
      <c r="B37069" s="6"/>
      <c r="H37069" s="13"/>
    </row>
    <row r="37070">
      <c r="A37070" s="6"/>
      <c r="B37070" s="6"/>
      <c r="H37070" s="13"/>
    </row>
    <row r="37071">
      <c r="A37071" s="6"/>
      <c r="B37071" s="6"/>
      <c r="H37071" s="13"/>
    </row>
    <row r="37072">
      <c r="A37072" s="6"/>
      <c r="B37072" s="6"/>
      <c r="H37072" s="13"/>
    </row>
    <row r="37073">
      <c r="A37073" s="6"/>
      <c r="B37073" s="6"/>
      <c r="H37073" s="13"/>
    </row>
    <row r="37074">
      <c r="A37074" s="6"/>
      <c r="B37074" s="6"/>
      <c r="H37074" s="13"/>
    </row>
    <row r="37075">
      <c r="A37075" s="6"/>
      <c r="B37075" s="6"/>
      <c r="H37075" s="13"/>
    </row>
    <row r="37076">
      <c r="A37076" s="6"/>
      <c r="B37076" s="6"/>
      <c r="H37076" s="13"/>
    </row>
    <row r="37077">
      <c r="A37077" s="6"/>
      <c r="B37077" s="6"/>
      <c r="H37077" s="13"/>
    </row>
    <row r="37078">
      <c r="A37078" s="6"/>
      <c r="B37078" s="6"/>
      <c r="H37078" s="13"/>
    </row>
    <row r="37079">
      <c r="A37079" s="6"/>
      <c r="B37079" s="6"/>
      <c r="H37079" s="13"/>
    </row>
    <row r="37080">
      <c r="A37080" s="6"/>
      <c r="B37080" s="6"/>
      <c r="H37080" s="13"/>
    </row>
    <row r="37081">
      <c r="A37081" s="6"/>
      <c r="B37081" s="6"/>
      <c r="H37081" s="13"/>
    </row>
    <row r="37082">
      <c r="A37082" s="6"/>
      <c r="B37082" s="6"/>
      <c r="H37082" s="13"/>
    </row>
    <row r="37083">
      <c r="A37083" s="6"/>
      <c r="B37083" s="6"/>
      <c r="H37083" s="13"/>
    </row>
    <row r="37084">
      <c r="A37084" s="6"/>
      <c r="B37084" s="6"/>
      <c r="H37084" s="13"/>
    </row>
    <row r="37085">
      <c r="A37085" s="6"/>
      <c r="B37085" s="6"/>
      <c r="H37085" s="13"/>
    </row>
    <row r="37086">
      <c r="A37086" s="6"/>
      <c r="B37086" s="6"/>
      <c r="H37086" s="13"/>
    </row>
    <row r="37087">
      <c r="A37087" s="6"/>
      <c r="B37087" s="6"/>
      <c r="H37087" s="13"/>
    </row>
    <row r="37088">
      <c r="A37088" s="6"/>
      <c r="B37088" s="6"/>
      <c r="H37088" s="13"/>
    </row>
    <row r="37089">
      <c r="A37089" s="6"/>
      <c r="B37089" s="6"/>
      <c r="H37089" s="13"/>
    </row>
    <row r="37090">
      <c r="A37090" s="6"/>
      <c r="B37090" s="6"/>
      <c r="H37090" s="13"/>
    </row>
    <row r="37091">
      <c r="A37091" s="6"/>
      <c r="B37091" s="6"/>
      <c r="H37091" s="13"/>
    </row>
    <row r="37092">
      <c r="A37092" s="6"/>
      <c r="B37092" s="6"/>
      <c r="H37092" s="13"/>
    </row>
    <row r="37093">
      <c r="A37093" s="6"/>
      <c r="B37093" s="6"/>
      <c r="H37093" s="13"/>
    </row>
    <row r="37094">
      <c r="A37094" s="6"/>
      <c r="B37094" s="6"/>
      <c r="H37094" s="13"/>
    </row>
    <row r="37095">
      <c r="A37095" s="6"/>
      <c r="B37095" s="6"/>
      <c r="H37095" s="13"/>
    </row>
    <row r="37096">
      <c r="A37096" s="6"/>
      <c r="B37096" s="6"/>
      <c r="H37096" s="13"/>
    </row>
    <row r="37097">
      <c r="A37097" s="6"/>
      <c r="B37097" s="6"/>
      <c r="H37097" s="13"/>
    </row>
    <row r="37098">
      <c r="A37098" s="6"/>
      <c r="B37098" s="6"/>
      <c r="H37098" s="13"/>
    </row>
    <row r="37099">
      <c r="A37099" s="6"/>
      <c r="B37099" s="6"/>
      <c r="H37099" s="13"/>
    </row>
    <row r="37100">
      <c r="A37100" s="6"/>
      <c r="B37100" s="6"/>
      <c r="H37100" s="13"/>
    </row>
    <row r="37101">
      <c r="A37101" s="6"/>
      <c r="B37101" s="6"/>
      <c r="H37101" s="13"/>
    </row>
    <row r="37102">
      <c r="A37102" s="6"/>
      <c r="B37102" s="6"/>
      <c r="H37102" s="13"/>
    </row>
    <row r="37103">
      <c r="A37103" s="6"/>
      <c r="B37103" s="6"/>
      <c r="H37103" s="13"/>
    </row>
    <row r="37104">
      <c r="A37104" s="6"/>
      <c r="B37104" s="6"/>
      <c r="H37104" s="13"/>
    </row>
    <row r="37105">
      <c r="A37105" s="6"/>
      <c r="B37105" s="6"/>
      <c r="H37105" s="13"/>
    </row>
    <row r="37106">
      <c r="A37106" s="6"/>
      <c r="B37106" s="6"/>
      <c r="H37106" s="13"/>
    </row>
    <row r="37107">
      <c r="A37107" s="6"/>
      <c r="B37107" s="6"/>
      <c r="H37107" s="13"/>
    </row>
    <row r="37108">
      <c r="A37108" s="6"/>
      <c r="B37108" s="6"/>
      <c r="H37108" s="13"/>
    </row>
    <row r="37109">
      <c r="A37109" s="6"/>
      <c r="B37109" s="6"/>
      <c r="H37109" s="13"/>
    </row>
    <row r="37110">
      <c r="A37110" s="6"/>
      <c r="B37110" s="6"/>
      <c r="H37110" s="13"/>
    </row>
    <row r="37111">
      <c r="A37111" s="6"/>
      <c r="B37111" s="6"/>
      <c r="H37111" s="13"/>
    </row>
    <row r="37112">
      <c r="A37112" s="6"/>
      <c r="B37112" s="6"/>
      <c r="H37112" s="13"/>
    </row>
    <row r="37113">
      <c r="A37113" s="6"/>
      <c r="B37113" s="6"/>
      <c r="H37113" s="13"/>
    </row>
    <row r="37114">
      <c r="A37114" s="6"/>
      <c r="B37114" s="6"/>
      <c r="H37114" s="13"/>
    </row>
    <row r="37115">
      <c r="A37115" s="6"/>
      <c r="B37115" s="6"/>
      <c r="H37115" s="13"/>
    </row>
    <row r="37116">
      <c r="A37116" s="6"/>
      <c r="B37116" s="6"/>
      <c r="H37116" s="13"/>
    </row>
    <row r="37117">
      <c r="A37117" s="6"/>
      <c r="B37117" s="6"/>
      <c r="H37117" s="13"/>
    </row>
    <row r="37118">
      <c r="A37118" s="6"/>
      <c r="B37118" s="6"/>
      <c r="H37118" s="13"/>
    </row>
    <row r="37119">
      <c r="A37119" s="6"/>
      <c r="B37119" s="6"/>
      <c r="H37119" s="13"/>
    </row>
    <row r="37120">
      <c r="A37120" s="6"/>
      <c r="B37120" s="6"/>
      <c r="H37120" s="13"/>
    </row>
    <row r="37121">
      <c r="A37121" s="6"/>
      <c r="B37121" s="6"/>
      <c r="H37121" s="13"/>
    </row>
    <row r="37122">
      <c r="A37122" s="6"/>
      <c r="B37122" s="6"/>
      <c r="H37122" s="13"/>
    </row>
    <row r="37123">
      <c r="A37123" s="6"/>
      <c r="B37123" s="6"/>
      <c r="H37123" s="13"/>
    </row>
    <row r="37124">
      <c r="A37124" s="6"/>
      <c r="B37124" s="6"/>
      <c r="H37124" s="13"/>
    </row>
    <row r="37125">
      <c r="A37125" s="6"/>
      <c r="B37125" s="6"/>
      <c r="H37125" s="13"/>
    </row>
    <row r="37126">
      <c r="A37126" s="6"/>
      <c r="B37126" s="6"/>
      <c r="H37126" s="13"/>
    </row>
    <row r="37127">
      <c r="A37127" s="6"/>
      <c r="B37127" s="6"/>
      <c r="H37127" s="13"/>
    </row>
    <row r="37128">
      <c r="A37128" s="6"/>
      <c r="B37128" s="6"/>
      <c r="H37128" s="13"/>
    </row>
    <row r="37129">
      <c r="A37129" s="6"/>
      <c r="B37129" s="6"/>
      <c r="H37129" s="13"/>
    </row>
    <row r="37130">
      <c r="A37130" s="6"/>
      <c r="B37130" s="6"/>
      <c r="H37130" s="13"/>
    </row>
    <row r="37131">
      <c r="A37131" s="6"/>
      <c r="B37131" s="6"/>
      <c r="H37131" s="13"/>
    </row>
    <row r="37132">
      <c r="A37132" s="6"/>
      <c r="B37132" s="6"/>
      <c r="H37132" s="13"/>
    </row>
    <row r="37133">
      <c r="A37133" s="6"/>
      <c r="B37133" s="6"/>
      <c r="H37133" s="13"/>
    </row>
    <row r="37134">
      <c r="A37134" s="6"/>
      <c r="B37134" s="6"/>
      <c r="H37134" s="13"/>
    </row>
    <row r="37135">
      <c r="A37135" s="6"/>
      <c r="B37135" s="6"/>
      <c r="H37135" s="13"/>
    </row>
    <row r="37136">
      <c r="A37136" s="6"/>
      <c r="B37136" s="6"/>
      <c r="H37136" s="13"/>
    </row>
    <row r="37137">
      <c r="A37137" s="6"/>
      <c r="B37137" s="6"/>
      <c r="H37137" s="13"/>
    </row>
    <row r="37138">
      <c r="A37138" s="6"/>
      <c r="B37138" s="6"/>
      <c r="H37138" s="13"/>
    </row>
    <row r="37139">
      <c r="A37139" s="6"/>
      <c r="B37139" s="6"/>
      <c r="H37139" s="13"/>
    </row>
    <row r="37140">
      <c r="A37140" s="6"/>
      <c r="B37140" s="6"/>
      <c r="H37140" s="13"/>
    </row>
    <row r="37141">
      <c r="A37141" s="6"/>
      <c r="B37141" s="6"/>
      <c r="H37141" s="13"/>
    </row>
    <row r="37142">
      <c r="A37142" s="6"/>
      <c r="B37142" s="6"/>
      <c r="H37142" s="13"/>
    </row>
    <row r="37143">
      <c r="A37143" s="6"/>
      <c r="B37143" s="6"/>
      <c r="H37143" s="13"/>
    </row>
    <row r="37144">
      <c r="A37144" s="6"/>
      <c r="B37144" s="6"/>
      <c r="H37144" s="13"/>
    </row>
    <row r="37145">
      <c r="A37145" s="6"/>
      <c r="B37145" s="6"/>
      <c r="H37145" s="13"/>
    </row>
    <row r="37146">
      <c r="A37146" s="6"/>
      <c r="B37146" s="6"/>
      <c r="H37146" s="13"/>
    </row>
    <row r="37147">
      <c r="A37147" s="6"/>
      <c r="B37147" s="6"/>
      <c r="H37147" s="13"/>
    </row>
    <row r="37148">
      <c r="A37148" s="6"/>
      <c r="B37148" s="6"/>
      <c r="H37148" s="13"/>
    </row>
    <row r="37149">
      <c r="A37149" s="6"/>
      <c r="B37149" s="6"/>
      <c r="H37149" s="13"/>
    </row>
    <row r="37150">
      <c r="A37150" s="6"/>
      <c r="B37150" s="6"/>
      <c r="H37150" s="13"/>
    </row>
    <row r="37151">
      <c r="A37151" s="6"/>
      <c r="B37151" s="6"/>
      <c r="H37151" s="13"/>
    </row>
    <row r="37152">
      <c r="A37152" s="6"/>
      <c r="B37152" s="6"/>
      <c r="H37152" s="13"/>
    </row>
    <row r="37153">
      <c r="A37153" s="6"/>
      <c r="B37153" s="6"/>
      <c r="H37153" s="13"/>
    </row>
    <row r="37154">
      <c r="A37154" s="6"/>
      <c r="B37154" s="6"/>
      <c r="H37154" s="13"/>
    </row>
    <row r="37155">
      <c r="A37155" s="6"/>
      <c r="B37155" s="6"/>
      <c r="H37155" s="13"/>
    </row>
    <row r="37156">
      <c r="A37156" s="6"/>
      <c r="B37156" s="6"/>
      <c r="H37156" s="13"/>
    </row>
    <row r="37157">
      <c r="A37157" s="6"/>
      <c r="B37157" s="6"/>
      <c r="H37157" s="13"/>
    </row>
    <row r="37158">
      <c r="A37158" s="6"/>
      <c r="B37158" s="6"/>
      <c r="H37158" s="13"/>
    </row>
    <row r="37159">
      <c r="A37159" s="6"/>
      <c r="B37159" s="6"/>
      <c r="H37159" s="13"/>
    </row>
    <row r="37160">
      <c r="A37160" s="6"/>
      <c r="B37160" s="6"/>
      <c r="H37160" s="13"/>
    </row>
    <row r="37161">
      <c r="A37161" s="6"/>
      <c r="B37161" s="6"/>
      <c r="H37161" s="13"/>
    </row>
    <row r="37162">
      <c r="A37162" s="6"/>
      <c r="B37162" s="6"/>
      <c r="H37162" s="13"/>
    </row>
    <row r="37163">
      <c r="A37163" s="6"/>
      <c r="B37163" s="6"/>
      <c r="H37163" s="13"/>
    </row>
    <row r="37164">
      <c r="A37164" s="6"/>
      <c r="B37164" s="6"/>
      <c r="H37164" s="13"/>
    </row>
    <row r="37165">
      <c r="A37165" s="6"/>
      <c r="B37165" s="6"/>
      <c r="H37165" s="13"/>
    </row>
    <row r="37166">
      <c r="A37166" s="6"/>
      <c r="B37166" s="6"/>
      <c r="H37166" s="13"/>
    </row>
    <row r="37167">
      <c r="A37167" s="6"/>
      <c r="B37167" s="6"/>
      <c r="H37167" s="13"/>
    </row>
    <row r="37168">
      <c r="A37168" s="6"/>
      <c r="B37168" s="6"/>
      <c r="H37168" s="13"/>
    </row>
    <row r="37169">
      <c r="A37169" s="6"/>
      <c r="B37169" s="6"/>
      <c r="H37169" s="13"/>
    </row>
    <row r="37170">
      <c r="A37170" s="6"/>
      <c r="B37170" s="6"/>
      <c r="H37170" s="13"/>
    </row>
    <row r="37171">
      <c r="A37171" s="6"/>
      <c r="B37171" s="6"/>
      <c r="H37171" s="13"/>
    </row>
    <row r="37172">
      <c r="A37172" s="6"/>
      <c r="B37172" s="6"/>
      <c r="H37172" s="13"/>
    </row>
    <row r="37173">
      <c r="A37173" s="6"/>
      <c r="B37173" s="6"/>
      <c r="H37173" s="13"/>
    </row>
    <row r="37174">
      <c r="A37174" s="6"/>
      <c r="B37174" s="6"/>
      <c r="H37174" s="13"/>
    </row>
    <row r="37175">
      <c r="A37175" s="6"/>
      <c r="B37175" s="6"/>
      <c r="H37175" s="13"/>
    </row>
    <row r="37176">
      <c r="A37176" s="6"/>
      <c r="B37176" s="6"/>
      <c r="H37176" s="13"/>
    </row>
    <row r="37177">
      <c r="A37177" s="6"/>
      <c r="B37177" s="6"/>
      <c r="H37177" s="13"/>
    </row>
    <row r="37178">
      <c r="A37178" s="6"/>
      <c r="B37178" s="6"/>
      <c r="H37178" s="13"/>
    </row>
    <row r="37179">
      <c r="A37179" s="6"/>
      <c r="B37179" s="6"/>
      <c r="H37179" s="13"/>
    </row>
    <row r="37180">
      <c r="A37180" s="6"/>
      <c r="B37180" s="6"/>
      <c r="H37180" s="13"/>
    </row>
    <row r="37181">
      <c r="A37181" s="6"/>
      <c r="B37181" s="6"/>
      <c r="H37181" s="13"/>
    </row>
    <row r="37182">
      <c r="A37182" s="6"/>
      <c r="B37182" s="6"/>
      <c r="H37182" s="13"/>
    </row>
    <row r="37183">
      <c r="A37183" s="6"/>
      <c r="B37183" s="6"/>
      <c r="H37183" s="13"/>
    </row>
    <row r="37184">
      <c r="A37184" s="6"/>
      <c r="B37184" s="6"/>
      <c r="H37184" s="13"/>
    </row>
    <row r="37185">
      <c r="A37185" s="6"/>
      <c r="B37185" s="6"/>
      <c r="H37185" s="13"/>
    </row>
    <row r="37186">
      <c r="A37186" s="6"/>
      <c r="B37186" s="6"/>
      <c r="H37186" s="13"/>
    </row>
    <row r="37187">
      <c r="A37187" s="6"/>
      <c r="B37187" s="6"/>
      <c r="H37187" s="13"/>
    </row>
    <row r="37188">
      <c r="A37188" s="6"/>
      <c r="B37188" s="6"/>
      <c r="H37188" s="13"/>
    </row>
    <row r="37189">
      <c r="A37189" s="6"/>
      <c r="B37189" s="6"/>
      <c r="H37189" s="13"/>
    </row>
    <row r="37190">
      <c r="A37190" s="6"/>
      <c r="B37190" s="6"/>
      <c r="H37190" s="13"/>
    </row>
    <row r="37191">
      <c r="A37191" s="6"/>
      <c r="B37191" s="6"/>
      <c r="H37191" s="13"/>
    </row>
    <row r="37192">
      <c r="A37192" s="6"/>
      <c r="B37192" s="6"/>
      <c r="H37192" s="13"/>
    </row>
    <row r="37193">
      <c r="A37193" s="6"/>
      <c r="B37193" s="6"/>
      <c r="H37193" s="13"/>
    </row>
    <row r="37194">
      <c r="A37194" s="6"/>
      <c r="B37194" s="6"/>
      <c r="H37194" s="13"/>
    </row>
    <row r="37195">
      <c r="A37195" s="6"/>
      <c r="B37195" s="6"/>
      <c r="H37195" s="13"/>
    </row>
    <row r="37196">
      <c r="A37196" s="6"/>
      <c r="B37196" s="6"/>
      <c r="H37196" s="13"/>
    </row>
    <row r="37197">
      <c r="A37197" s="6"/>
      <c r="B37197" s="6"/>
      <c r="H37197" s="13"/>
    </row>
    <row r="37198">
      <c r="A37198" s="6"/>
      <c r="B37198" s="6"/>
      <c r="H37198" s="13"/>
    </row>
    <row r="37199">
      <c r="A37199" s="6"/>
      <c r="B37199" s="6"/>
      <c r="H37199" s="13"/>
    </row>
    <row r="37200">
      <c r="A37200" s="6"/>
      <c r="B37200" s="6"/>
      <c r="H37200" s="13"/>
    </row>
    <row r="37201">
      <c r="A37201" s="6"/>
      <c r="B37201" s="6"/>
      <c r="H37201" s="13"/>
    </row>
    <row r="37202">
      <c r="A37202" s="6"/>
      <c r="B37202" s="6"/>
      <c r="H37202" s="13"/>
    </row>
    <row r="37203">
      <c r="A37203" s="6"/>
      <c r="B37203" s="6"/>
      <c r="H37203" s="13"/>
    </row>
    <row r="37204">
      <c r="A37204" s="6"/>
      <c r="B37204" s="6"/>
      <c r="H37204" s="13"/>
    </row>
    <row r="37205">
      <c r="A37205" s="6"/>
      <c r="B37205" s="6"/>
      <c r="H37205" s="13"/>
    </row>
    <row r="37206">
      <c r="A37206" s="6"/>
      <c r="B37206" s="6"/>
      <c r="H37206" s="13"/>
    </row>
    <row r="37207">
      <c r="A37207" s="6"/>
      <c r="B37207" s="6"/>
      <c r="H37207" s="13"/>
    </row>
    <row r="37208">
      <c r="A37208" s="6"/>
      <c r="B37208" s="6"/>
      <c r="H37208" s="13"/>
    </row>
    <row r="37209">
      <c r="A37209" s="6"/>
      <c r="B37209" s="6"/>
      <c r="H37209" s="13"/>
    </row>
    <row r="37210">
      <c r="A37210" s="6"/>
      <c r="B37210" s="6"/>
      <c r="H37210" s="13"/>
    </row>
    <row r="37211">
      <c r="A37211" s="6"/>
      <c r="B37211" s="6"/>
      <c r="H37211" s="13"/>
    </row>
    <row r="37212">
      <c r="A37212" s="6"/>
      <c r="B37212" s="6"/>
      <c r="H37212" s="13"/>
    </row>
    <row r="37213">
      <c r="A37213" s="6"/>
      <c r="B37213" s="6"/>
      <c r="H37213" s="13"/>
    </row>
    <row r="37214">
      <c r="A37214" s="6"/>
      <c r="B37214" s="6"/>
      <c r="H37214" s="13"/>
    </row>
    <row r="37215">
      <c r="A37215" s="6"/>
      <c r="B37215" s="6"/>
      <c r="H37215" s="13"/>
    </row>
    <row r="37216">
      <c r="A37216" s="6"/>
      <c r="B37216" s="6"/>
      <c r="H37216" s="13"/>
    </row>
    <row r="37217">
      <c r="A37217" s="6"/>
      <c r="B37217" s="6"/>
      <c r="H37217" s="13"/>
    </row>
    <row r="37218">
      <c r="A37218" s="6"/>
      <c r="B37218" s="6"/>
      <c r="H37218" s="13"/>
    </row>
    <row r="37219">
      <c r="A37219" s="6"/>
      <c r="B37219" s="6"/>
      <c r="H37219" s="13"/>
    </row>
    <row r="37220">
      <c r="A37220" s="6"/>
      <c r="B37220" s="6"/>
      <c r="H37220" s="13"/>
    </row>
    <row r="37221">
      <c r="A37221" s="6"/>
      <c r="B37221" s="6"/>
      <c r="H37221" s="13"/>
    </row>
    <row r="37222">
      <c r="A37222" s="6"/>
      <c r="B37222" s="6"/>
      <c r="H37222" s="13"/>
    </row>
    <row r="37223">
      <c r="A37223" s="6"/>
      <c r="B37223" s="6"/>
      <c r="H37223" s="13"/>
    </row>
    <row r="37224">
      <c r="A37224" s="6"/>
      <c r="B37224" s="6"/>
      <c r="H37224" s="13"/>
    </row>
    <row r="37225">
      <c r="A37225" s="6"/>
      <c r="B37225" s="6"/>
      <c r="H37225" s="13"/>
    </row>
    <row r="37226">
      <c r="A37226" s="6"/>
      <c r="B37226" s="6"/>
      <c r="H37226" s="13"/>
    </row>
    <row r="37227">
      <c r="A37227" s="6"/>
      <c r="B37227" s="6"/>
      <c r="H37227" s="13"/>
    </row>
    <row r="37228">
      <c r="A37228" s="6"/>
      <c r="B37228" s="6"/>
      <c r="H37228" s="13"/>
    </row>
    <row r="37229">
      <c r="A37229" s="6"/>
      <c r="B37229" s="6"/>
      <c r="H37229" s="13"/>
    </row>
    <row r="37230">
      <c r="A37230" s="6"/>
      <c r="B37230" s="6"/>
      <c r="H37230" s="13"/>
    </row>
    <row r="37231">
      <c r="A37231" s="6"/>
      <c r="B37231" s="6"/>
      <c r="H37231" s="13"/>
    </row>
    <row r="37232">
      <c r="A37232" s="6"/>
      <c r="B37232" s="6"/>
      <c r="H37232" s="13"/>
    </row>
    <row r="37233">
      <c r="A37233" s="6"/>
      <c r="B37233" s="6"/>
      <c r="H37233" s="13"/>
    </row>
    <row r="37234">
      <c r="A37234" s="6"/>
      <c r="B37234" s="6"/>
      <c r="H37234" s="13"/>
    </row>
    <row r="37235">
      <c r="A37235" s="6"/>
      <c r="B37235" s="6"/>
      <c r="H37235" s="13"/>
    </row>
    <row r="37236">
      <c r="A37236" s="6"/>
      <c r="B37236" s="6"/>
      <c r="H37236" s="13"/>
    </row>
    <row r="37237">
      <c r="A37237" s="6"/>
      <c r="B37237" s="6"/>
      <c r="H37237" s="13"/>
    </row>
    <row r="37238">
      <c r="A37238" s="6"/>
      <c r="B37238" s="6"/>
      <c r="H37238" s="13"/>
    </row>
    <row r="37239">
      <c r="A37239" s="6"/>
      <c r="B37239" s="6"/>
      <c r="H37239" s="13"/>
    </row>
    <row r="37240">
      <c r="A37240" s="6"/>
      <c r="B37240" s="6"/>
      <c r="H37240" s="13"/>
    </row>
    <row r="37241">
      <c r="A37241" s="6"/>
      <c r="B37241" s="6"/>
      <c r="H37241" s="13"/>
    </row>
    <row r="37242">
      <c r="A37242" s="6"/>
      <c r="B37242" s="6"/>
      <c r="H37242" s="13"/>
    </row>
    <row r="37243">
      <c r="A37243" s="6"/>
      <c r="B37243" s="6"/>
      <c r="H37243" s="13"/>
    </row>
    <row r="37244">
      <c r="A37244" s="6"/>
      <c r="B37244" s="6"/>
      <c r="H37244" s="13"/>
    </row>
    <row r="37245">
      <c r="A37245" s="6"/>
      <c r="B37245" s="6"/>
      <c r="H37245" s="13"/>
    </row>
    <row r="37246">
      <c r="A37246" s="6"/>
      <c r="B37246" s="6"/>
      <c r="H37246" s="13"/>
    </row>
    <row r="37247">
      <c r="A37247" s="6"/>
      <c r="B37247" s="6"/>
      <c r="H37247" s="13"/>
    </row>
    <row r="37248">
      <c r="A37248" s="6"/>
      <c r="B37248" s="6"/>
      <c r="H37248" s="13"/>
    </row>
    <row r="37249">
      <c r="A37249" s="6"/>
      <c r="B37249" s="6"/>
      <c r="H37249" s="13"/>
    </row>
    <row r="37250">
      <c r="A37250" s="6"/>
      <c r="B37250" s="6"/>
      <c r="H37250" s="13"/>
    </row>
    <row r="37251">
      <c r="A37251" s="6"/>
      <c r="B37251" s="6"/>
      <c r="H37251" s="13"/>
    </row>
    <row r="37252">
      <c r="A37252" s="6"/>
      <c r="B37252" s="6"/>
      <c r="H37252" s="13"/>
    </row>
    <row r="37253">
      <c r="A37253" s="6"/>
      <c r="B37253" s="6"/>
      <c r="H37253" s="13"/>
    </row>
    <row r="37254">
      <c r="A37254" s="6"/>
      <c r="B37254" s="6"/>
      <c r="H37254" s="13"/>
    </row>
    <row r="37255">
      <c r="A37255" s="6"/>
      <c r="B37255" s="6"/>
      <c r="H37255" s="13"/>
    </row>
    <row r="37256">
      <c r="A37256" s="6"/>
      <c r="B37256" s="6"/>
      <c r="H37256" s="13"/>
    </row>
    <row r="37257">
      <c r="A37257" s="6"/>
      <c r="B37257" s="6"/>
      <c r="H37257" s="13"/>
    </row>
    <row r="37258">
      <c r="A37258" s="6"/>
      <c r="B37258" s="6"/>
      <c r="H37258" s="13"/>
    </row>
    <row r="37259">
      <c r="A37259" s="6"/>
      <c r="B37259" s="6"/>
      <c r="H37259" s="13"/>
    </row>
    <row r="37260">
      <c r="A37260" s="6"/>
      <c r="B37260" s="6"/>
      <c r="H37260" s="13"/>
    </row>
    <row r="37261">
      <c r="A37261" s="6"/>
      <c r="B37261" s="6"/>
      <c r="H37261" s="13"/>
    </row>
    <row r="37262">
      <c r="A37262" s="6"/>
      <c r="B37262" s="6"/>
      <c r="H37262" s="13"/>
    </row>
    <row r="37263">
      <c r="A37263" s="6"/>
      <c r="B37263" s="6"/>
      <c r="H37263" s="13"/>
    </row>
    <row r="37264">
      <c r="A37264" s="6"/>
      <c r="B37264" s="6"/>
      <c r="H37264" s="13"/>
    </row>
    <row r="37265">
      <c r="A37265" s="6"/>
      <c r="B37265" s="6"/>
      <c r="H37265" s="13"/>
    </row>
    <row r="37266">
      <c r="A37266" s="6"/>
      <c r="B37266" s="6"/>
      <c r="H37266" s="13"/>
    </row>
    <row r="37267">
      <c r="A37267" s="6"/>
      <c r="B37267" s="6"/>
      <c r="H37267" s="13"/>
    </row>
    <row r="37268">
      <c r="A37268" s="6"/>
      <c r="B37268" s="6"/>
      <c r="H37268" s="13"/>
    </row>
    <row r="37269">
      <c r="A37269" s="6"/>
      <c r="B37269" s="6"/>
      <c r="H37269" s="13"/>
    </row>
    <row r="37270">
      <c r="A37270" s="6"/>
      <c r="B37270" s="6"/>
      <c r="H37270" s="13"/>
    </row>
    <row r="37271">
      <c r="A37271" s="6"/>
      <c r="B37271" s="6"/>
      <c r="H37271" s="13"/>
    </row>
    <row r="37272">
      <c r="A37272" s="6"/>
      <c r="B37272" s="6"/>
      <c r="H37272" s="13"/>
    </row>
    <row r="37273">
      <c r="A37273" s="6"/>
      <c r="B37273" s="6"/>
      <c r="H37273" s="13"/>
    </row>
    <row r="37274">
      <c r="A37274" s="6"/>
      <c r="B37274" s="6"/>
      <c r="H37274" s="13"/>
    </row>
    <row r="37275">
      <c r="A37275" s="6"/>
      <c r="B37275" s="6"/>
      <c r="H37275" s="13"/>
    </row>
    <row r="37276">
      <c r="A37276" s="6"/>
      <c r="B37276" s="6"/>
      <c r="H37276" s="13"/>
    </row>
    <row r="37277">
      <c r="A37277" s="6"/>
      <c r="B37277" s="6"/>
      <c r="H37277" s="13"/>
    </row>
    <row r="37278">
      <c r="A37278" s="6"/>
      <c r="B37278" s="6"/>
      <c r="H37278" s="13"/>
    </row>
    <row r="37279">
      <c r="A37279" s="6"/>
      <c r="B37279" s="6"/>
      <c r="H37279" s="13"/>
    </row>
    <row r="37280">
      <c r="A37280" s="6"/>
      <c r="B37280" s="6"/>
      <c r="H37280" s="13"/>
    </row>
    <row r="37281">
      <c r="A37281" s="6"/>
      <c r="B37281" s="6"/>
      <c r="H37281" s="13"/>
    </row>
    <row r="37282">
      <c r="A37282" s="6"/>
      <c r="B37282" s="6"/>
      <c r="H37282" s="13"/>
    </row>
    <row r="37283">
      <c r="A37283" s="6"/>
      <c r="B37283" s="6"/>
      <c r="H37283" s="13"/>
    </row>
    <row r="37284">
      <c r="A37284" s="6"/>
      <c r="B37284" s="6"/>
      <c r="H37284" s="13"/>
    </row>
    <row r="37285">
      <c r="A37285" s="6"/>
      <c r="B37285" s="6"/>
      <c r="H37285" s="13"/>
    </row>
    <row r="37286">
      <c r="A37286" s="6"/>
      <c r="B37286" s="6"/>
      <c r="H37286" s="13"/>
    </row>
    <row r="37287">
      <c r="A37287" s="6"/>
      <c r="B37287" s="6"/>
      <c r="H37287" s="13"/>
    </row>
    <row r="37288">
      <c r="A37288" s="6"/>
      <c r="B37288" s="6"/>
      <c r="H37288" s="13"/>
    </row>
    <row r="37289">
      <c r="A37289" s="6"/>
      <c r="B37289" s="6"/>
      <c r="H37289" s="13"/>
    </row>
    <row r="37290">
      <c r="A37290" s="6"/>
      <c r="B37290" s="6"/>
      <c r="H37290" s="13"/>
    </row>
    <row r="37291">
      <c r="A37291" s="6"/>
      <c r="B37291" s="6"/>
      <c r="H37291" s="13"/>
    </row>
    <row r="37292">
      <c r="A37292" s="6"/>
      <c r="B37292" s="6"/>
      <c r="H37292" s="13"/>
    </row>
    <row r="37293">
      <c r="A37293" s="6"/>
      <c r="B37293" s="6"/>
      <c r="H37293" s="13"/>
    </row>
    <row r="37294">
      <c r="A37294" s="6"/>
      <c r="B37294" s="6"/>
      <c r="H37294" s="13"/>
    </row>
    <row r="37295">
      <c r="A37295" s="6"/>
      <c r="B37295" s="6"/>
      <c r="H37295" s="13"/>
    </row>
    <row r="37296">
      <c r="A37296" s="6"/>
      <c r="B37296" s="6"/>
      <c r="H37296" s="13"/>
    </row>
    <row r="37297">
      <c r="A37297" s="6"/>
      <c r="B37297" s="6"/>
      <c r="H37297" s="13"/>
    </row>
    <row r="37298">
      <c r="A37298" s="6"/>
      <c r="B37298" s="6"/>
      <c r="H37298" s="13"/>
    </row>
    <row r="37299">
      <c r="A37299" s="6"/>
      <c r="B37299" s="6"/>
      <c r="H37299" s="13"/>
    </row>
    <row r="37300">
      <c r="A37300" s="6"/>
      <c r="B37300" s="6"/>
      <c r="H37300" s="13"/>
    </row>
    <row r="37301">
      <c r="A37301" s="6"/>
      <c r="B37301" s="6"/>
      <c r="H37301" s="13"/>
    </row>
    <row r="37302">
      <c r="A37302" s="6"/>
      <c r="B37302" s="6"/>
      <c r="H37302" s="13"/>
    </row>
    <row r="37303">
      <c r="A37303" s="6"/>
      <c r="B37303" s="6"/>
      <c r="H37303" s="13"/>
    </row>
    <row r="37304">
      <c r="A37304" s="6"/>
      <c r="B37304" s="6"/>
      <c r="H37304" s="13"/>
    </row>
    <row r="37305">
      <c r="A37305" s="6"/>
      <c r="B37305" s="6"/>
      <c r="H37305" s="13"/>
    </row>
    <row r="37306">
      <c r="A37306" s="6"/>
      <c r="B37306" s="6"/>
      <c r="H37306" s="13"/>
    </row>
    <row r="37307">
      <c r="A37307" s="6"/>
      <c r="B37307" s="6"/>
      <c r="H37307" s="13"/>
    </row>
    <row r="37308">
      <c r="A37308" s="6"/>
      <c r="B37308" s="6"/>
      <c r="H37308" s="13"/>
    </row>
    <row r="37309">
      <c r="A37309" s="6"/>
      <c r="B37309" s="6"/>
      <c r="H37309" s="13"/>
    </row>
    <row r="37310">
      <c r="A37310" s="6"/>
      <c r="B37310" s="6"/>
      <c r="H37310" s="13"/>
    </row>
    <row r="37311">
      <c r="A37311" s="6"/>
      <c r="B37311" s="6"/>
      <c r="H37311" s="13"/>
    </row>
    <row r="37312">
      <c r="A37312" s="6"/>
      <c r="B37312" s="6"/>
      <c r="H37312" s="13"/>
    </row>
    <row r="37313">
      <c r="A37313" s="6"/>
      <c r="B37313" s="6"/>
      <c r="H37313" s="13"/>
    </row>
    <row r="37314">
      <c r="A37314" s="6"/>
      <c r="B37314" s="6"/>
      <c r="H37314" s="13"/>
    </row>
    <row r="37315">
      <c r="A37315" s="6"/>
      <c r="B37315" s="6"/>
      <c r="H37315" s="13"/>
    </row>
    <row r="37316">
      <c r="A37316" s="6"/>
      <c r="B37316" s="6"/>
      <c r="H37316" s="13"/>
    </row>
    <row r="37317">
      <c r="A37317" s="6"/>
      <c r="B37317" s="6"/>
      <c r="H37317" s="13"/>
    </row>
    <row r="37318">
      <c r="A37318" s="6"/>
      <c r="B37318" s="6"/>
      <c r="H37318" s="13"/>
    </row>
    <row r="37319">
      <c r="A37319" s="6"/>
      <c r="B37319" s="6"/>
      <c r="H37319" s="13"/>
    </row>
    <row r="37320">
      <c r="A37320" s="6"/>
      <c r="B37320" s="6"/>
      <c r="H37320" s="13"/>
    </row>
    <row r="37321">
      <c r="A37321" s="6"/>
      <c r="B37321" s="6"/>
      <c r="H37321" s="13"/>
    </row>
    <row r="37322">
      <c r="A37322" s="6"/>
      <c r="B37322" s="6"/>
      <c r="H37322" s="13"/>
    </row>
    <row r="37323">
      <c r="A37323" s="6"/>
      <c r="B37323" s="6"/>
      <c r="H37323" s="13"/>
    </row>
    <row r="37324">
      <c r="A37324" s="6"/>
      <c r="B37324" s="6"/>
      <c r="H37324" s="13"/>
    </row>
    <row r="37325">
      <c r="A37325" s="6"/>
      <c r="B37325" s="6"/>
      <c r="H37325" s="13"/>
    </row>
    <row r="37326">
      <c r="A37326" s="6"/>
      <c r="B37326" s="6"/>
      <c r="H37326" s="13"/>
    </row>
    <row r="37327">
      <c r="A37327" s="6"/>
      <c r="B37327" s="6"/>
      <c r="H37327" s="13"/>
    </row>
    <row r="37328">
      <c r="A37328" s="6"/>
      <c r="B37328" s="6"/>
      <c r="H37328" s="13"/>
    </row>
    <row r="37329">
      <c r="A37329" s="6"/>
      <c r="B37329" s="6"/>
      <c r="H37329" s="13"/>
    </row>
    <row r="37330">
      <c r="A37330" s="6"/>
      <c r="B37330" s="6"/>
      <c r="H37330" s="13"/>
    </row>
    <row r="37331">
      <c r="A37331" s="6"/>
      <c r="B37331" s="6"/>
      <c r="H37331" s="13"/>
    </row>
    <row r="37332">
      <c r="A37332" s="6"/>
      <c r="B37332" s="6"/>
      <c r="H37332" s="13"/>
    </row>
    <row r="37333">
      <c r="A37333" s="6"/>
      <c r="B37333" s="6"/>
      <c r="H37333" s="13"/>
    </row>
    <row r="37334">
      <c r="A37334" s="6"/>
      <c r="B37334" s="6"/>
      <c r="H37334" s="13"/>
    </row>
    <row r="37335">
      <c r="A37335" s="6"/>
      <c r="B37335" s="6"/>
      <c r="H37335" s="13"/>
    </row>
    <row r="37336">
      <c r="A37336" s="6"/>
      <c r="B37336" s="6"/>
      <c r="H37336" s="13"/>
    </row>
    <row r="37337">
      <c r="A37337" s="6"/>
      <c r="B37337" s="6"/>
      <c r="H37337" s="13"/>
    </row>
    <row r="37338">
      <c r="A37338" s="6"/>
      <c r="B37338" s="6"/>
      <c r="H37338" s="13"/>
    </row>
    <row r="37339">
      <c r="A37339" s="6"/>
      <c r="B37339" s="6"/>
      <c r="H37339" s="13"/>
    </row>
    <row r="37340">
      <c r="A37340" s="6"/>
      <c r="B37340" s="6"/>
      <c r="H37340" s="13"/>
    </row>
    <row r="37341">
      <c r="A37341" s="6"/>
      <c r="B37341" s="6"/>
      <c r="H37341" s="13"/>
    </row>
    <row r="37342">
      <c r="A37342" s="6"/>
      <c r="B37342" s="6"/>
      <c r="H37342" s="13"/>
    </row>
    <row r="37343">
      <c r="A37343" s="6"/>
      <c r="B37343" s="6"/>
      <c r="H37343" s="13"/>
    </row>
    <row r="37344">
      <c r="A37344" s="6"/>
      <c r="B37344" s="6"/>
      <c r="H37344" s="13"/>
    </row>
    <row r="37345">
      <c r="A37345" s="6"/>
      <c r="B37345" s="6"/>
      <c r="H37345" s="13"/>
    </row>
    <row r="37346">
      <c r="A37346" s="6"/>
      <c r="B37346" s="6"/>
      <c r="H37346" s="13"/>
    </row>
    <row r="37347">
      <c r="A37347" s="6"/>
      <c r="B37347" s="6"/>
      <c r="H37347" s="13"/>
    </row>
    <row r="37348">
      <c r="A37348" s="6"/>
      <c r="B37348" s="6"/>
      <c r="H37348" s="13"/>
    </row>
    <row r="37349">
      <c r="A37349" s="6"/>
      <c r="B37349" s="6"/>
      <c r="H37349" s="13"/>
    </row>
    <row r="37350">
      <c r="A37350" s="6"/>
      <c r="B37350" s="6"/>
      <c r="H37350" s="13"/>
    </row>
    <row r="37351">
      <c r="A37351" s="6"/>
      <c r="B37351" s="6"/>
      <c r="H37351" s="13"/>
    </row>
    <row r="37352">
      <c r="A37352" s="6"/>
      <c r="B37352" s="6"/>
      <c r="H37352" s="13"/>
    </row>
    <row r="37353">
      <c r="A37353" s="6"/>
      <c r="B37353" s="6"/>
      <c r="H37353" s="13"/>
    </row>
    <row r="37354">
      <c r="A37354" s="6"/>
      <c r="B37354" s="6"/>
      <c r="H37354" s="13"/>
    </row>
    <row r="37355">
      <c r="A37355" s="6"/>
      <c r="B37355" s="6"/>
      <c r="H37355" s="13"/>
    </row>
    <row r="37356">
      <c r="A37356" s="6"/>
      <c r="B37356" s="6"/>
      <c r="H37356" s="13"/>
    </row>
    <row r="37357">
      <c r="A37357" s="6"/>
      <c r="B37357" s="6"/>
      <c r="H37357" s="13"/>
    </row>
    <row r="37358">
      <c r="A37358" s="6"/>
      <c r="B37358" s="6"/>
      <c r="H37358" s="13"/>
    </row>
    <row r="37359">
      <c r="A37359" s="6"/>
      <c r="B37359" s="6"/>
      <c r="H37359" s="13"/>
    </row>
    <row r="37360">
      <c r="A37360" s="6"/>
      <c r="B37360" s="6"/>
      <c r="H37360" s="13"/>
    </row>
    <row r="37361">
      <c r="A37361" s="6"/>
      <c r="B37361" s="6"/>
      <c r="H37361" s="13"/>
    </row>
    <row r="37362">
      <c r="A37362" s="6"/>
      <c r="B37362" s="6"/>
      <c r="H37362" s="13"/>
    </row>
    <row r="37363">
      <c r="A37363" s="6"/>
      <c r="B37363" s="6"/>
      <c r="H37363" s="13"/>
    </row>
    <row r="37364">
      <c r="A37364" s="6"/>
      <c r="B37364" s="6"/>
      <c r="H37364" s="13"/>
    </row>
    <row r="37365">
      <c r="A37365" s="6"/>
      <c r="B37365" s="6"/>
      <c r="H37365" s="13"/>
    </row>
    <row r="37366">
      <c r="A37366" s="6"/>
      <c r="B37366" s="6"/>
      <c r="H37366" s="13"/>
    </row>
    <row r="37367">
      <c r="A37367" s="6"/>
      <c r="B37367" s="6"/>
      <c r="H37367" s="13"/>
    </row>
    <row r="37368">
      <c r="A37368" s="6"/>
      <c r="B37368" s="6"/>
      <c r="H37368" s="13"/>
    </row>
    <row r="37369">
      <c r="A37369" s="6"/>
      <c r="B37369" s="6"/>
      <c r="H37369" s="13"/>
    </row>
    <row r="37370">
      <c r="A37370" s="6"/>
      <c r="B37370" s="6"/>
      <c r="H37370" s="13"/>
    </row>
    <row r="37371">
      <c r="A37371" s="6"/>
      <c r="B37371" s="6"/>
      <c r="H37371" s="13"/>
    </row>
    <row r="37372">
      <c r="A37372" s="6"/>
      <c r="B37372" s="6"/>
      <c r="H37372" s="13"/>
    </row>
    <row r="37373">
      <c r="A37373" s="6"/>
      <c r="B37373" s="6"/>
      <c r="H37373" s="13"/>
    </row>
    <row r="37374">
      <c r="A37374" s="6"/>
      <c r="B37374" s="6"/>
      <c r="H37374" s="13"/>
    </row>
    <row r="37375">
      <c r="A37375" s="6"/>
      <c r="B37375" s="6"/>
      <c r="H37375" s="13"/>
    </row>
    <row r="37376">
      <c r="A37376" s="6"/>
      <c r="B37376" s="6"/>
      <c r="H37376" s="13"/>
    </row>
    <row r="37377">
      <c r="A37377" s="6"/>
      <c r="B37377" s="6"/>
      <c r="H37377" s="13"/>
    </row>
    <row r="37378">
      <c r="A37378" s="6"/>
      <c r="B37378" s="6"/>
      <c r="H37378" s="13"/>
    </row>
    <row r="37379">
      <c r="A37379" s="6"/>
      <c r="B37379" s="6"/>
      <c r="H37379" s="13"/>
    </row>
    <row r="37380">
      <c r="A37380" s="6"/>
      <c r="B37380" s="6"/>
      <c r="H37380" s="13"/>
    </row>
    <row r="37381">
      <c r="A37381" s="6"/>
      <c r="B37381" s="6"/>
      <c r="H37381" s="13"/>
    </row>
    <row r="37382">
      <c r="A37382" s="6"/>
      <c r="B37382" s="6"/>
      <c r="H37382" s="13"/>
    </row>
    <row r="37383">
      <c r="A37383" s="6"/>
      <c r="B37383" s="6"/>
      <c r="H37383" s="13"/>
    </row>
    <row r="37384">
      <c r="A37384" s="6"/>
      <c r="B37384" s="6"/>
      <c r="H37384" s="13"/>
    </row>
    <row r="37385">
      <c r="A37385" s="6"/>
      <c r="B37385" s="6"/>
      <c r="H37385" s="13"/>
    </row>
    <row r="37386">
      <c r="A37386" s="6"/>
      <c r="B37386" s="6"/>
      <c r="H37386" s="13"/>
    </row>
    <row r="37387">
      <c r="A37387" s="6"/>
      <c r="B37387" s="6"/>
      <c r="H37387" s="13"/>
    </row>
    <row r="37388">
      <c r="A37388" s="6"/>
      <c r="B37388" s="6"/>
      <c r="H37388" s="13"/>
    </row>
    <row r="37389">
      <c r="A37389" s="6"/>
      <c r="B37389" s="6"/>
      <c r="H37389" s="13"/>
    </row>
    <row r="37390">
      <c r="A37390" s="6"/>
      <c r="B37390" s="6"/>
      <c r="H37390" s="13"/>
    </row>
    <row r="37391">
      <c r="A37391" s="6"/>
      <c r="B37391" s="6"/>
      <c r="H37391" s="13"/>
    </row>
    <row r="37392">
      <c r="A37392" s="6"/>
      <c r="B37392" s="6"/>
      <c r="H37392" s="13"/>
    </row>
    <row r="37393">
      <c r="A37393" s="6"/>
      <c r="B37393" s="6"/>
      <c r="H37393" s="13"/>
    </row>
    <row r="37394">
      <c r="A37394" s="6"/>
      <c r="B37394" s="6"/>
      <c r="H37394" s="13"/>
    </row>
    <row r="37395">
      <c r="A37395" s="6"/>
      <c r="B37395" s="6"/>
      <c r="H37395" s="13"/>
    </row>
    <row r="37396">
      <c r="A37396" s="6"/>
      <c r="B37396" s="6"/>
      <c r="H37396" s="13"/>
    </row>
    <row r="37397">
      <c r="A37397" s="6"/>
      <c r="B37397" s="6"/>
      <c r="H37397" s="13"/>
    </row>
    <row r="37398">
      <c r="A37398" s="6"/>
      <c r="B37398" s="6"/>
      <c r="H37398" s="13"/>
    </row>
    <row r="37399">
      <c r="A37399" s="6"/>
      <c r="B37399" s="6"/>
      <c r="H37399" s="13"/>
    </row>
    <row r="37400">
      <c r="A37400" s="6"/>
      <c r="B37400" s="6"/>
      <c r="H37400" s="13"/>
    </row>
    <row r="37401">
      <c r="A37401" s="6"/>
      <c r="B37401" s="6"/>
      <c r="H37401" s="13"/>
    </row>
    <row r="37402">
      <c r="A37402" s="6"/>
      <c r="B37402" s="6"/>
      <c r="H37402" s="13"/>
    </row>
    <row r="37403">
      <c r="A37403" s="6"/>
      <c r="B37403" s="6"/>
      <c r="H37403" s="13"/>
    </row>
    <row r="37404">
      <c r="A37404" s="6"/>
      <c r="B37404" s="6"/>
      <c r="H37404" s="13"/>
    </row>
    <row r="37405">
      <c r="A37405" s="6"/>
      <c r="B37405" s="6"/>
      <c r="H37405" s="13"/>
    </row>
    <row r="37406">
      <c r="A37406" s="6"/>
      <c r="B37406" s="6"/>
      <c r="H37406" s="13"/>
    </row>
    <row r="37407">
      <c r="A37407" s="6"/>
      <c r="B37407" s="6"/>
      <c r="H37407" s="13"/>
    </row>
    <row r="37408">
      <c r="A37408" s="6"/>
      <c r="B37408" s="6"/>
      <c r="H37408" s="13"/>
    </row>
    <row r="37409">
      <c r="A37409" s="6"/>
      <c r="B37409" s="6"/>
      <c r="H37409" s="13"/>
    </row>
    <row r="37410">
      <c r="A37410" s="6"/>
      <c r="B37410" s="6"/>
      <c r="H37410" s="13"/>
    </row>
    <row r="37411">
      <c r="A37411" s="6"/>
      <c r="B37411" s="6"/>
      <c r="H37411" s="13"/>
    </row>
    <row r="37412">
      <c r="A37412" s="6"/>
      <c r="B37412" s="6"/>
      <c r="H37412" s="13"/>
    </row>
    <row r="37413">
      <c r="A37413" s="6"/>
      <c r="B37413" s="6"/>
      <c r="H37413" s="13"/>
    </row>
    <row r="37414">
      <c r="A37414" s="6"/>
      <c r="B37414" s="6"/>
      <c r="H37414" s="13"/>
    </row>
    <row r="37415">
      <c r="A37415" s="6"/>
      <c r="B37415" s="6"/>
      <c r="H37415" s="13"/>
    </row>
    <row r="37416">
      <c r="A37416" s="6"/>
      <c r="B37416" s="6"/>
      <c r="H37416" s="13"/>
    </row>
    <row r="37417">
      <c r="A37417" s="6"/>
      <c r="B37417" s="6"/>
      <c r="H37417" s="13"/>
    </row>
    <row r="37418">
      <c r="A37418" s="6"/>
      <c r="B37418" s="6"/>
      <c r="H37418" s="13"/>
    </row>
    <row r="37419">
      <c r="A37419" s="6"/>
      <c r="B37419" s="6"/>
      <c r="H37419" s="13"/>
    </row>
    <row r="37420">
      <c r="A37420" s="6"/>
      <c r="B37420" s="6"/>
      <c r="H37420" s="13"/>
    </row>
    <row r="37421">
      <c r="A37421" s="6"/>
      <c r="B37421" s="6"/>
      <c r="H37421" s="13"/>
    </row>
    <row r="37422">
      <c r="A37422" s="6"/>
      <c r="B37422" s="6"/>
      <c r="H37422" s="13"/>
    </row>
    <row r="37423">
      <c r="A37423" s="6"/>
      <c r="B37423" s="6"/>
      <c r="H37423" s="13"/>
    </row>
    <row r="37424">
      <c r="A37424" s="6"/>
      <c r="B37424" s="6"/>
      <c r="H37424" s="13"/>
    </row>
    <row r="37425">
      <c r="A37425" s="6"/>
      <c r="B37425" s="6"/>
      <c r="H37425" s="13"/>
    </row>
    <row r="37426">
      <c r="A37426" s="6"/>
      <c r="B37426" s="6"/>
      <c r="H37426" s="13"/>
    </row>
    <row r="37427">
      <c r="A37427" s="6"/>
      <c r="B37427" s="6"/>
      <c r="H37427" s="13"/>
    </row>
    <row r="37428">
      <c r="A37428" s="6"/>
      <c r="B37428" s="6"/>
      <c r="H37428" s="13"/>
    </row>
    <row r="37429">
      <c r="A37429" s="6"/>
      <c r="B37429" s="6"/>
      <c r="H37429" s="13"/>
    </row>
    <row r="37430">
      <c r="A37430" s="6"/>
      <c r="B37430" s="6"/>
      <c r="H37430" s="13"/>
    </row>
    <row r="37431">
      <c r="A37431" s="6"/>
      <c r="B37431" s="6"/>
      <c r="H37431" s="13"/>
    </row>
    <row r="37432">
      <c r="A37432" s="6"/>
      <c r="B37432" s="6"/>
      <c r="H37432" s="13"/>
    </row>
    <row r="37433">
      <c r="A37433" s="6"/>
      <c r="B37433" s="6"/>
      <c r="H37433" s="13"/>
    </row>
    <row r="37434">
      <c r="A37434" s="6"/>
      <c r="B37434" s="6"/>
      <c r="H37434" s="13"/>
    </row>
    <row r="37435">
      <c r="A37435" s="6"/>
      <c r="B37435" s="6"/>
      <c r="H37435" s="13"/>
    </row>
    <row r="37436">
      <c r="A37436" s="6"/>
      <c r="B37436" s="6"/>
      <c r="H37436" s="13"/>
    </row>
    <row r="37437">
      <c r="A37437" s="6"/>
      <c r="B37437" s="6"/>
      <c r="H37437" s="13"/>
    </row>
    <row r="37438">
      <c r="A37438" s="6"/>
      <c r="B37438" s="6"/>
      <c r="H37438" s="13"/>
    </row>
    <row r="37439">
      <c r="A37439" s="6"/>
      <c r="B37439" s="6"/>
      <c r="H37439" s="13"/>
    </row>
    <row r="37440">
      <c r="A37440" s="6"/>
      <c r="B37440" s="6"/>
      <c r="H37440" s="13"/>
    </row>
    <row r="37441">
      <c r="A37441" s="6"/>
      <c r="B37441" s="6"/>
      <c r="H37441" s="13"/>
    </row>
    <row r="37442">
      <c r="A37442" s="6"/>
      <c r="B37442" s="6"/>
      <c r="H37442" s="13"/>
    </row>
    <row r="37443">
      <c r="A37443" s="6"/>
      <c r="B37443" s="6"/>
      <c r="H37443" s="13"/>
    </row>
    <row r="37444">
      <c r="A37444" s="6"/>
      <c r="B37444" s="6"/>
      <c r="H37444" s="13"/>
    </row>
    <row r="37445">
      <c r="A37445" s="6"/>
      <c r="B37445" s="6"/>
      <c r="H37445" s="13"/>
    </row>
    <row r="37446">
      <c r="A37446" s="6"/>
      <c r="B37446" s="6"/>
      <c r="H37446" s="13"/>
    </row>
    <row r="37447">
      <c r="A37447" s="6"/>
      <c r="B37447" s="6"/>
      <c r="H37447" s="13"/>
    </row>
    <row r="37448">
      <c r="A37448" s="6"/>
      <c r="B37448" s="6"/>
      <c r="H37448" s="13"/>
    </row>
    <row r="37449">
      <c r="A37449" s="6"/>
      <c r="B37449" s="6"/>
      <c r="H37449" s="13"/>
    </row>
    <row r="37450">
      <c r="A37450" s="6"/>
      <c r="B37450" s="6"/>
      <c r="H37450" s="13"/>
    </row>
    <row r="37451">
      <c r="A37451" s="6"/>
      <c r="B37451" s="6"/>
      <c r="H37451" s="13"/>
    </row>
    <row r="37452">
      <c r="A37452" s="6"/>
      <c r="B37452" s="6"/>
      <c r="H37452" s="13"/>
    </row>
    <row r="37453">
      <c r="A37453" s="6"/>
      <c r="B37453" s="6"/>
      <c r="H37453" s="13"/>
    </row>
    <row r="37454">
      <c r="A37454" s="6"/>
      <c r="B37454" s="6"/>
      <c r="H37454" s="13"/>
    </row>
    <row r="37455">
      <c r="A37455" s="6"/>
      <c r="B37455" s="6"/>
      <c r="H37455" s="13"/>
    </row>
    <row r="37456">
      <c r="A37456" s="6"/>
      <c r="B37456" s="6"/>
      <c r="H37456" s="13"/>
    </row>
    <row r="37457">
      <c r="A37457" s="6"/>
      <c r="B37457" s="6"/>
      <c r="H37457" s="13"/>
    </row>
    <row r="37458">
      <c r="A37458" s="6"/>
      <c r="B37458" s="6"/>
      <c r="H37458" s="13"/>
    </row>
    <row r="37459">
      <c r="A37459" s="6"/>
      <c r="B37459" s="6"/>
      <c r="H37459" s="13"/>
    </row>
    <row r="37460">
      <c r="A37460" s="6"/>
      <c r="B37460" s="6"/>
      <c r="H37460" s="13"/>
    </row>
    <row r="37461">
      <c r="A37461" s="6"/>
      <c r="B37461" s="6"/>
      <c r="H37461" s="13"/>
    </row>
    <row r="37462">
      <c r="A37462" s="6"/>
      <c r="B37462" s="6"/>
      <c r="H37462" s="13"/>
    </row>
    <row r="37463">
      <c r="A37463" s="6"/>
      <c r="B37463" s="6"/>
      <c r="H37463" s="13"/>
    </row>
    <row r="37464">
      <c r="A37464" s="6"/>
      <c r="B37464" s="6"/>
      <c r="H37464" s="13"/>
    </row>
    <row r="37465">
      <c r="A37465" s="6"/>
      <c r="B37465" s="6"/>
      <c r="H37465" s="13"/>
    </row>
    <row r="37466">
      <c r="A37466" s="6"/>
      <c r="B37466" s="6"/>
      <c r="H37466" s="13"/>
    </row>
    <row r="37467">
      <c r="A37467" s="6"/>
      <c r="B37467" s="6"/>
      <c r="H37467" s="13"/>
    </row>
    <row r="37468">
      <c r="A37468" s="6"/>
      <c r="B37468" s="6"/>
      <c r="H37468" s="13"/>
    </row>
    <row r="37469">
      <c r="A37469" s="6"/>
      <c r="B37469" s="6"/>
      <c r="H37469" s="13"/>
    </row>
    <row r="37470">
      <c r="A37470" s="6"/>
      <c r="B37470" s="6"/>
      <c r="H37470" s="13"/>
    </row>
    <row r="37471">
      <c r="A37471" s="6"/>
      <c r="B37471" s="6"/>
      <c r="H37471" s="13"/>
    </row>
    <row r="37472">
      <c r="A37472" s="6"/>
      <c r="B37472" s="6"/>
      <c r="H37472" s="13"/>
    </row>
    <row r="37473">
      <c r="A37473" s="6"/>
      <c r="B37473" s="6"/>
      <c r="H37473" s="13"/>
    </row>
    <row r="37474">
      <c r="A37474" s="6"/>
      <c r="B37474" s="6"/>
      <c r="H37474" s="13"/>
    </row>
    <row r="37475">
      <c r="A37475" s="6"/>
      <c r="B37475" s="6"/>
      <c r="H37475" s="13"/>
    </row>
    <row r="37476">
      <c r="A37476" s="6"/>
      <c r="B37476" s="6"/>
      <c r="H37476" s="13"/>
    </row>
    <row r="37477">
      <c r="A37477" s="6"/>
      <c r="B37477" s="6"/>
      <c r="H37477" s="13"/>
    </row>
    <row r="37478">
      <c r="A37478" s="6"/>
      <c r="B37478" s="6"/>
      <c r="H37478" s="13"/>
    </row>
    <row r="37479">
      <c r="A37479" s="6"/>
      <c r="B37479" s="6"/>
      <c r="H37479" s="13"/>
    </row>
    <row r="37480">
      <c r="A37480" s="6"/>
      <c r="B37480" s="6"/>
      <c r="H37480" s="13"/>
    </row>
    <row r="37481">
      <c r="A37481" s="6"/>
      <c r="B37481" s="6"/>
      <c r="H37481" s="13"/>
    </row>
    <row r="37482">
      <c r="A37482" s="6"/>
      <c r="B37482" s="6"/>
      <c r="H37482" s="13"/>
    </row>
    <row r="37483">
      <c r="A37483" s="6"/>
      <c r="B37483" s="6"/>
      <c r="H37483" s="13"/>
    </row>
    <row r="37484">
      <c r="A37484" s="6"/>
      <c r="B37484" s="6"/>
      <c r="H37484" s="13"/>
    </row>
    <row r="37485">
      <c r="A37485" s="6"/>
      <c r="B37485" s="6"/>
      <c r="H37485" s="13"/>
    </row>
    <row r="37486">
      <c r="A37486" s="6"/>
      <c r="B37486" s="6"/>
      <c r="H37486" s="13"/>
    </row>
    <row r="37487">
      <c r="A37487" s="6"/>
      <c r="B37487" s="6"/>
      <c r="H37487" s="13"/>
    </row>
    <row r="37488">
      <c r="A37488" s="6"/>
      <c r="B37488" s="6"/>
      <c r="H37488" s="13"/>
    </row>
    <row r="37489">
      <c r="A37489" s="6"/>
      <c r="B37489" s="6"/>
      <c r="H37489" s="13"/>
    </row>
    <row r="37490">
      <c r="A37490" s="6"/>
      <c r="B37490" s="6"/>
      <c r="H37490" s="13"/>
    </row>
    <row r="37491">
      <c r="A37491" s="6"/>
      <c r="B37491" s="6"/>
      <c r="H37491" s="13"/>
    </row>
    <row r="37492">
      <c r="A37492" s="6"/>
      <c r="B37492" s="6"/>
      <c r="H37492" s="13"/>
    </row>
    <row r="37493">
      <c r="A37493" s="6"/>
      <c r="B37493" s="6"/>
      <c r="H37493" s="13"/>
    </row>
    <row r="37494">
      <c r="A37494" s="6"/>
      <c r="B37494" s="6"/>
      <c r="H37494" s="13"/>
    </row>
    <row r="37495">
      <c r="A37495" s="6"/>
      <c r="B37495" s="6"/>
      <c r="H37495" s="13"/>
    </row>
    <row r="37496">
      <c r="A37496" s="6"/>
      <c r="B37496" s="6"/>
      <c r="H37496" s="13"/>
    </row>
    <row r="37497">
      <c r="A37497" s="6"/>
      <c r="B37497" s="6"/>
      <c r="H37497" s="13"/>
    </row>
    <row r="37498">
      <c r="A37498" s="6"/>
      <c r="B37498" s="6"/>
      <c r="H37498" s="13"/>
    </row>
    <row r="37499">
      <c r="A37499" s="6"/>
      <c r="B37499" s="6"/>
      <c r="H37499" s="13"/>
    </row>
    <row r="37500">
      <c r="A37500" s="6"/>
      <c r="B37500" s="6"/>
      <c r="H37500" s="13"/>
    </row>
    <row r="37501">
      <c r="A37501" s="6"/>
      <c r="B37501" s="6"/>
      <c r="H37501" s="13"/>
    </row>
    <row r="37502">
      <c r="A37502" s="6"/>
      <c r="B37502" s="6"/>
      <c r="H37502" s="13"/>
    </row>
    <row r="37503">
      <c r="A37503" s="6"/>
      <c r="B37503" s="6"/>
      <c r="H37503" s="13"/>
    </row>
    <row r="37504">
      <c r="A37504" s="6"/>
      <c r="B37504" s="6"/>
      <c r="H37504" s="13"/>
    </row>
    <row r="37505">
      <c r="A37505" s="6"/>
      <c r="B37505" s="6"/>
      <c r="H37505" s="13"/>
    </row>
    <row r="37506">
      <c r="A37506" s="6"/>
      <c r="B37506" s="6"/>
      <c r="H37506" s="13"/>
    </row>
    <row r="37507">
      <c r="A37507" s="6"/>
      <c r="B37507" s="6"/>
      <c r="H37507" s="13"/>
    </row>
    <row r="37508">
      <c r="A37508" s="6"/>
      <c r="B37508" s="6"/>
      <c r="H37508" s="13"/>
    </row>
    <row r="37509">
      <c r="A37509" s="6"/>
      <c r="B37509" s="6"/>
      <c r="H37509" s="13"/>
    </row>
    <row r="37510">
      <c r="A37510" s="6"/>
      <c r="B37510" s="6"/>
      <c r="H37510" s="13"/>
    </row>
    <row r="37511">
      <c r="A37511" s="6"/>
      <c r="B37511" s="6"/>
      <c r="H37511" s="13"/>
    </row>
    <row r="37512">
      <c r="A37512" s="6"/>
      <c r="B37512" s="6"/>
      <c r="H37512" s="13"/>
    </row>
    <row r="37513">
      <c r="A37513" s="6"/>
      <c r="B37513" s="6"/>
      <c r="H37513" s="13"/>
    </row>
    <row r="37514">
      <c r="A37514" s="6"/>
      <c r="B37514" s="6"/>
      <c r="H37514" s="13"/>
    </row>
    <row r="37515">
      <c r="A37515" s="6"/>
      <c r="B37515" s="6"/>
      <c r="H37515" s="13"/>
    </row>
    <row r="37516">
      <c r="A37516" s="6"/>
      <c r="B37516" s="6"/>
      <c r="H37516" s="13"/>
    </row>
    <row r="37517">
      <c r="A37517" s="6"/>
      <c r="B37517" s="6"/>
      <c r="H37517" s="13"/>
    </row>
    <row r="37518">
      <c r="A37518" s="6"/>
      <c r="B37518" s="6"/>
      <c r="H37518" s="13"/>
    </row>
    <row r="37519">
      <c r="A37519" s="6"/>
      <c r="B37519" s="6"/>
      <c r="H37519" s="13"/>
    </row>
    <row r="37520">
      <c r="A37520" s="6"/>
      <c r="B37520" s="6"/>
      <c r="H37520" s="13"/>
    </row>
    <row r="37521">
      <c r="A37521" s="6"/>
      <c r="B37521" s="6"/>
      <c r="H37521" s="13"/>
    </row>
    <row r="37522">
      <c r="A37522" s="6"/>
      <c r="B37522" s="6"/>
      <c r="H37522" s="13"/>
    </row>
    <row r="37523">
      <c r="A37523" s="6"/>
      <c r="B37523" s="6"/>
      <c r="H37523" s="13"/>
    </row>
    <row r="37524">
      <c r="A37524" s="6"/>
      <c r="B37524" s="6"/>
      <c r="H37524" s="13"/>
    </row>
    <row r="37525">
      <c r="A37525" s="6"/>
      <c r="B37525" s="6"/>
      <c r="H37525" s="13"/>
    </row>
    <row r="37526">
      <c r="A37526" s="6"/>
      <c r="B37526" s="6"/>
      <c r="H37526" s="13"/>
    </row>
    <row r="37527">
      <c r="A37527" s="6"/>
      <c r="B37527" s="6"/>
      <c r="H37527" s="13"/>
    </row>
    <row r="37528">
      <c r="A37528" s="6"/>
      <c r="B37528" s="6"/>
      <c r="H37528" s="13"/>
    </row>
    <row r="37529">
      <c r="A37529" s="6"/>
      <c r="B37529" s="6"/>
      <c r="H37529" s="13"/>
    </row>
    <row r="37530">
      <c r="A37530" s="6"/>
      <c r="B37530" s="6"/>
      <c r="H37530" s="13"/>
    </row>
    <row r="37531">
      <c r="A37531" s="6"/>
      <c r="B37531" s="6"/>
      <c r="H37531" s="13"/>
    </row>
    <row r="37532">
      <c r="A37532" s="6"/>
      <c r="B37532" s="6"/>
      <c r="H37532" s="13"/>
    </row>
    <row r="37533">
      <c r="A37533" s="6"/>
      <c r="B37533" s="6"/>
      <c r="H37533" s="13"/>
    </row>
    <row r="37534">
      <c r="A37534" s="6"/>
      <c r="B37534" s="6"/>
      <c r="H37534" s="13"/>
    </row>
    <row r="37535">
      <c r="A37535" s="6"/>
      <c r="B37535" s="6"/>
      <c r="H37535" s="13"/>
    </row>
    <row r="37536">
      <c r="A37536" s="6"/>
      <c r="B37536" s="6"/>
      <c r="H37536" s="13"/>
    </row>
    <row r="37537">
      <c r="A37537" s="6"/>
      <c r="B37537" s="6"/>
      <c r="H37537" s="13"/>
    </row>
    <row r="37538">
      <c r="A37538" s="6"/>
      <c r="B37538" s="6"/>
      <c r="H37538" s="13"/>
    </row>
    <row r="37539">
      <c r="A37539" s="6"/>
      <c r="B37539" s="6"/>
      <c r="H37539" s="13"/>
    </row>
    <row r="37540">
      <c r="A37540" s="6"/>
      <c r="B37540" s="6"/>
      <c r="H37540" s="13"/>
    </row>
    <row r="37541">
      <c r="A37541" s="6"/>
      <c r="B37541" s="6"/>
      <c r="H37541" s="13"/>
    </row>
    <row r="37542">
      <c r="A37542" s="6"/>
      <c r="B37542" s="6"/>
      <c r="H37542" s="13"/>
    </row>
    <row r="37543">
      <c r="A37543" s="6"/>
      <c r="B37543" s="6"/>
      <c r="H37543" s="13"/>
    </row>
    <row r="37544">
      <c r="A37544" s="6"/>
      <c r="B37544" s="6"/>
      <c r="H37544" s="13"/>
    </row>
    <row r="37545">
      <c r="A37545" s="6"/>
      <c r="B37545" s="6"/>
      <c r="H37545" s="13"/>
    </row>
    <row r="37546">
      <c r="A37546" s="6"/>
      <c r="B37546" s="6"/>
      <c r="H37546" s="13"/>
    </row>
    <row r="37547">
      <c r="A37547" s="6"/>
      <c r="B37547" s="6"/>
      <c r="H37547" s="13"/>
    </row>
    <row r="37548">
      <c r="A37548" s="6"/>
      <c r="B37548" s="6"/>
      <c r="H37548" s="13"/>
    </row>
    <row r="37549">
      <c r="A37549" s="6"/>
      <c r="B37549" s="6"/>
      <c r="H37549" s="13"/>
    </row>
    <row r="37550">
      <c r="A37550" s="6"/>
      <c r="B37550" s="6"/>
      <c r="H37550" s="13"/>
    </row>
    <row r="37551">
      <c r="A37551" s="6"/>
      <c r="B37551" s="6"/>
      <c r="H37551" s="13"/>
    </row>
    <row r="37552">
      <c r="A37552" s="6"/>
      <c r="B37552" s="6"/>
      <c r="H37552" s="13"/>
    </row>
    <row r="37553">
      <c r="A37553" s="6"/>
      <c r="B37553" s="6"/>
      <c r="H37553" s="13"/>
    </row>
    <row r="37554">
      <c r="A37554" s="6"/>
      <c r="B37554" s="6"/>
      <c r="H37554" s="13"/>
    </row>
    <row r="37555">
      <c r="A37555" s="6"/>
      <c r="B37555" s="6"/>
      <c r="H37555" s="13"/>
    </row>
    <row r="37556">
      <c r="A37556" s="6"/>
      <c r="B37556" s="6"/>
      <c r="H37556" s="13"/>
    </row>
    <row r="37557">
      <c r="A37557" s="6"/>
      <c r="B37557" s="6"/>
      <c r="H37557" s="13"/>
    </row>
    <row r="37558">
      <c r="A37558" s="6"/>
      <c r="B37558" s="6"/>
      <c r="H37558" s="13"/>
    </row>
    <row r="37559">
      <c r="A37559" s="6"/>
      <c r="B37559" s="6"/>
      <c r="H37559" s="13"/>
    </row>
    <row r="37560">
      <c r="A37560" s="6"/>
      <c r="B37560" s="6"/>
      <c r="H37560" s="13"/>
    </row>
    <row r="37561">
      <c r="A37561" s="6"/>
      <c r="B37561" s="6"/>
      <c r="H37561" s="13"/>
    </row>
    <row r="37562">
      <c r="A37562" s="6"/>
      <c r="B37562" s="6"/>
      <c r="H37562" s="13"/>
    </row>
    <row r="37563">
      <c r="A37563" s="6"/>
      <c r="B37563" s="6"/>
      <c r="H37563" s="13"/>
    </row>
    <row r="37564">
      <c r="A37564" s="6"/>
      <c r="B37564" s="6"/>
      <c r="H37564" s="13"/>
    </row>
    <row r="37565">
      <c r="A37565" s="6"/>
      <c r="B37565" s="6"/>
      <c r="H37565" s="13"/>
    </row>
    <row r="37566">
      <c r="A37566" s="6"/>
      <c r="B37566" s="6"/>
      <c r="H37566" s="13"/>
    </row>
    <row r="37567">
      <c r="A37567" s="6"/>
      <c r="B37567" s="6"/>
      <c r="H37567" s="13"/>
    </row>
    <row r="37568">
      <c r="A37568" s="6"/>
      <c r="B37568" s="6"/>
      <c r="H37568" s="13"/>
    </row>
    <row r="37569">
      <c r="A37569" s="6"/>
      <c r="B37569" s="6"/>
      <c r="H37569" s="13"/>
    </row>
    <row r="37570">
      <c r="A37570" s="6"/>
      <c r="B37570" s="6"/>
      <c r="H37570" s="13"/>
    </row>
    <row r="37571">
      <c r="A37571" s="6"/>
      <c r="B37571" s="6"/>
      <c r="H37571" s="13"/>
    </row>
    <row r="37572">
      <c r="A37572" s="6"/>
      <c r="B37572" s="6"/>
      <c r="H37572" s="13"/>
    </row>
    <row r="37573">
      <c r="A37573" s="6"/>
      <c r="B37573" s="6"/>
      <c r="H37573" s="13"/>
    </row>
    <row r="37574">
      <c r="A37574" s="6"/>
      <c r="B37574" s="6"/>
      <c r="H37574" s="13"/>
    </row>
    <row r="37575">
      <c r="A37575" s="6"/>
      <c r="B37575" s="6"/>
      <c r="H37575" s="13"/>
    </row>
    <row r="37576">
      <c r="A37576" s="6"/>
      <c r="B37576" s="6"/>
      <c r="H37576" s="13"/>
    </row>
    <row r="37577">
      <c r="A37577" s="6"/>
      <c r="B37577" s="6"/>
      <c r="H37577" s="13"/>
    </row>
    <row r="37578">
      <c r="A37578" s="6"/>
      <c r="B37578" s="6"/>
      <c r="H37578" s="13"/>
    </row>
    <row r="37579">
      <c r="A37579" s="6"/>
      <c r="B37579" s="6"/>
      <c r="H37579" s="13"/>
    </row>
    <row r="37580">
      <c r="A37580" s="6"/>
      <c r="B37580" s="6"/>
      <c r="H37580" s="13"/>
    </row>
    <row r="37581">
      <c r="A37581" s="6"/>
      <c r="B37581" s="6"/>
      <c r="H37581" s="13"/>
    </row>
    <row r="37582">
      <c r="A37582" s="6"/>
      <c r="B37582" s="6"/>
      <c r="H37582" s="13"/>
    </row>
    <row r="37583">
      <c r="A37583" s="6"/>
      <c r="B37583" s="6"/>
      <c r="H37583" s="13"/>
    </row>
    <row r="37584">
      <c r="A37584" s="6"/>
      <c r="B37584" s="6"/>
      <c r="H37584" s="13"/>
    </row>
    <row r="37585">
      <c r="A37585" s="6"/>
      <c r="B37585" s="6"/>
      <c r="H37585" s="13"/>
    </row>
    <row r="37586">
      <c r="A37586" s="6"/>
      <c r="B37586" s="6"/>
      <c r="H37586" s="13"/>
    </row>
    <row r="37587">
      <c r="A37587" s="6"/>
      <c r="B37587" s="6"/>
      <c r="H37587" s="13"/>
    </row>
    <row r="37588">
      <c r="A37588" s="6"/>
      <c r="B37588" s="6"/>
      <c r="H37588" s="13"/>
    </row>
    <row r="37589">
      <c r="A37589" s="6"/>
      <c r="B37589" s="6"/>
      <c r="H37589" s="13"/>
    </row>
    <row r="37590">
      <c r="A37590" s="6"/>
      <c r="B37590" s="6"/>
      <c r="H37590" s="13"/>
    </row>
    <row r="37591">
      <c r="A37591" s="6"/>
      <c r="B37591" s="6"/>
      <c r="H37591" s="13"/>
    </row>
    <row r="37592">
      <c r="A37592" s="6"/>
      <c r="B37592" s="6"/>
      <c r="H37592" s="13"/>
    </row>
    <row r="37593">
      <c r="A37593" s="6"/>
      <c r="B37593" s="6"/>
      <c r="H37593" s="13"/>
    </row>
    <row r="37594">
      <c r="A37594" s="6"/>
      <c r="B37594" s="6"/>
      <c r="H37594" s="13"/>
    </row>
    <row r="37595">
      <c r="A37595" s="6"/>
      <c r="B37595" s="6"/>
      <c r="H37595" s="13"/>
    </row>
    <row r="37596">
      <c r="A37596" s="6"/>
      <c r="B37596" s="6"/>
      <c r="H37596" s="13"/>
    </row>
    <row r="37597">
      <c r="A37597" s="6"/>
      <c r="B37597" s="6"/>
      <c r="H37597" s="13"/>
    </row>
    <row r="37598">
      <c r="A37598" s="6"/>
      <c r="B37598" s="6"/>
      <c r="H37598" s="13"/>
    </row>
    <row r="37599">
      <c r="A37599" s="6"/>
      <c r="B37599" s="6"/>
      <c r="H37599" s="13"/>
    </row>
    <row r="37600">
      <c r="A37600" s="6"/>
      <c r="B37600" s="6"/>
      <c r="H37600" s="13"/>
    </row>
    <row r="37601">
      <c r="A37601" s="6"/>
      <c r="B37601" s="6"/>
      <c r="H37601" s="13"/>
    </row>
    <row r="37602">
      <c r="A37602" s="6"/>
      <c r="B37602" s="6"/>
      <c r="H37602" s="13"/>
    </row>
    <row r="37603">
      <c r="A37603" s="6"/>
      <c r="B37603" s="6"/>
      <c r="H37603" s="13"/>
    </row>
    <row r="37604">
      <c r="A37604" s="6"/>
      <c r="B37604" s="6"/>
      <c r="H37604" s="13"/>
    </row>
    <row r="37605">
      <c r="A37605" s="6"/>
      <c r="B37605" s="6"/>
      <c r="H37605" s="13"/>
    </row>
    <row r="37606">
      <c r="A37606" s="6"/>
      <c r="B37606" s="6"/>
      <c r="H37606" s="13"/>
    </row>
    <row r="37607">
      <c r="A37607" s="6"/>
      <c r="B37607" s="6"/>
      <c r="H37607" s="13"/>
    </row>
    <row r="37608">
      <c r="A37608" s="6"/>
      <c r="B37608" s="6"/>
      <c r="H37608" s="13"/>
    </row>
    <row r="37609">
      <c r="A37609" s="6"/>
      <c r="B37609" s="6"/>
      <c r="H37609" s="13"/>
    </row>
    <row r="37610">
      <c r="A37610" s="6"/>
      <c r="B37610" s="6"/>
      <c r="H37610" s="13"/>
    </row>
    <row r="37611">
      <c r="A37611" s="6"/>
      <c r="B37611" s="6"/>
      <c r="H37611" s="13"/>
    </row>
    <row r="37612">
      <c r="A37612" s="6"/>
      <c r="B37612" s="6"/>
      <c r="H37612" s="13"/>
    </row>
    <row r="37613">
      <c r="A37613" s="6"/>
      <c r="B37613" s="6"/>
      <c r="H37613" s="13"/>
    </row>
    <row r="37614">
      <c r="A37614" s="6"/>
      <c r="B37614" s="6"/>
      <c r="H37614" s="13"/>
    </row>
    <row r="37615">
      <c r="A37615" s="6"/>
      <c r="B37615" s="6"/>
      <c r="H37615" s="13"/>
    </row>
    <row r="37616">
      <c r="A37616" s="6"/>
      <c r="B37616" s="6"/>
      <c r="H37616" s="13"/>
    </row>
    <row r="37617">
      <c r="A37617" s="6"/>
      <c r="B37617" s="6"/>
      <c r="H37617" s="13"/>
    </row>
    <row r="37618">
      <c r="A37618" s="6"/>
      <c r="B37618" s="6"/>
      <c r="H37618" s="13"/>
    </row>
    <row r="37619">
      <c r="A37619" s="6"/>
      <c r="B37619" s="6"/>
      <c r="H37619" s="13"/>
    </row>
    <row r="37620">
      <c r="A37620" s="6"/>
      <c r="B37620" s="6"/>
      <c r="H37620" s="13"/>
    </row>
    <row r="37621">
      <c r="A37621" s="6"/>
      <c r="B37621" s="6"/>
      <c r="H37621" s="13"/>
    </row>
    <row r="37622">
      <c r="A37622" s="6"/>
      <c r="B37622" s="6"/>
      <c r="H37622" s="13"/>
    </row>
    <row r="37623">
      <c r="A37623" s="6"/>
      <c r="B37623" s="6"/>
      <c r="H37623" s="13"/>
    </row>
    <row r="37624">
      <c r="A37624" s="6"/>
      <c r="B37624" s="6"/>
      <c r="H37624" s="13"/>
    </row>
    <row r="37625">
      <c r="A37625" s="6"/>
      <c r="B37625" s="6"/>
      <c r="H37625" s="13"/>
    </row>
    <row r="37626">
      <c r="A37626" s="6"/>
      <c r="B37626" s="6"/>
      <c r="H37626" s="13"/>
    </row>
    <row r="37627">
      <c r="A37627" s="6"/>
      <c r="B37627" s="6"/>
      <c r="H37627" s="13"/>
    </row>
    <row r="37628">
      <c r="A37628" s="6"/>
      <c r="B37628" s="6"/>
      <c r="H37628" s="13"/>
    </row>
    <row r="37629">
      <c r="A37629" s="6"/>
      <c r="B37629" s="6"/>
      <c r="H37629" s="13"/>
    </row>
    <row r="37630">
      <c r="A37630" s="6"/>
      <c r="B37630" s="6"/>
      <c r="H37630" s="13"/>
    </row>
    <row r="37631">
      <c r="A37631" s="6"/>
      <c r="B37631" s="6"/>
      <c r="H37631" s="13"/>
    </row>
    <row r="37632">
      <c r="A37632" s="6"/>
      <c r="B37632" s="6"/>
      <c r="H37632" s="13"/>
    </row>
    <row r="37633">
      <c r="A37633" s="6"/>
      <c r="B37633" s="6"/>
      <c r="H37633" s="13"/>
    </row>
    <row r="37634">
      <c r="A37634" s="6"/>
      <c r="B37634" s="6"/>
      <c r="H37634" s="13"/>
    </row>
    <row r="37635">
      <c r="A37635" s="6"/>
      <c r="B37635" s="6"/>
      <c r="H37635" s="13"/>
    </row>
    <row r="37636">
      <c r="A37636" s="6"/>
      <c r="B37636" s="6"/>
      <c r="H37636" s="13"/>
    </row>
    <row r="37637">
      <c r="A37637" s="6"/>
      <c r="B37637" s="6"/>
      <c r="H37637" s="13"/>
    </row>
    <row r="37638">
      <c r="A37638" s="6"/>
      <c r="B37638" s="6"/>
      <c r="H37638" s="13"/>
    </row>
    <row r="37639">
      <c r="A37639" s="6"/>
      <c r="B37639" s="6"/>
      <c r="H37639" s="13"/>
    </row>
    <row r="37640">
      <c r="A37640" s="6"/>
      <c r="B37640" s="6"/>
      <c r="H37640" s="13"/>
    </row>
    <row r="37641">
      <c r="A37641" s="6"/>
      <c r="B37641" s="6"/>
      <c r="H37641" s="13"/>
    </row>
    <row r="37642">
      <c r="A37642" s="6"/>
      <c r="B37642" s="6"/>
      <c r="H37642" s="13"/>
    </row>
    <row r="37643">
      <c r="A37643" s="6"/>
      <c r="B37643" s="6"/>
      <c r="H37643" s="13"/>
    </row>
    <row r="37644">
      <c r="A37644" s="6"/>
      <c r="B37644" s="6"/>
      <c r="H37644" s="13"/>
    </row>
    <row r="37645">
      <c r="A37645" s="6"/>
      <c r="B37645" s="6"/>
      <c r="H37645" s="13"/>
    </row>
    <row r="37646">
      <c r="A37646" s="6"/>
      <c r="B37646" s="6"/>
      <c r="H37646" s="13"/>
    </row>
    <row r="37647">
      <c r="A37647" s="6"/>
      <c r="B37647" s="6"/>
      <c r="H37647" s="13"/>
    </row>
    <row r="37648">
      <c r="A37648" s="6"/>
      <c r="B37648" s="6"/>
      <c r="H37648" s="13"/>
    </row>
    <row r="37649">
      <c r="A37649" s="6"/>
      <c r="B37649" s="6"/>
      <c r="H37649" s="13"/>
    </row>
    <row r="37650">
      <c r="A37650" s="6"/>
      <c r="B37650" s="6"/>
      <c r="H37650" s="13"/>
    </row>
    <row r="37651">
      <c r="A37651" s="6"/>
      <c r="B37651" s="6"/>
      <c r="H37651" s="13"/>
    </row>
    <row r="37652">
      <c r="A37652" s="6"/>
      <c r="B37652" s="6"/>
      <c r="H37652" s="13"/>
    </row>
    <row r="37653">
      <c r="A37653" s="6"/>
      <c r="B37653" s="6"/>
      <c r="H37653" s="13"/>
    </row>
    <row r="37654">
      <c r="A37654" s="6"/>
      <c r="B37654" s="6"/>
      <c r="H37654" s="13"/>
    </row>
    <row r="37655">
      <c r="A37655" s="6"/>
      <c r="B37655" s="6"/>
      <c r="H37655" s="13"/>
    </row>
    <row r="37656">
      <c r="A37656" s="6"/>
      <c r="B37656" s="6"/>
      <c r="H37656" s="13"/>
    </row>
    <row r="37657">
      <c r="A37657" s="6"/>
      <c r="B37657" s="6"/>
      <c r="H37657" s="13"/>
    </row>
    <row r="37658">
      <c r="A37658" s="6"/>
      <c r="B37658" s="6"/>
      <c r="H37658" s="13"/>
    </row>
    <row r="37659">
      <c r="A37659" s="6"/>
      <c r="B37659" s="6"/>
      <c r="H37659" s="13"/>
    </row>
    <row r="37660">
      <c r="A37660" s="6"/>
      <c r="B37660" s="6"/>
      <c r="H37660" s="13"/>
    </row>
    <row r="37661">
      <c r="A37661" s="6"/>
      <c r="B37661" s="6"/>
      <c r="H37661" s="13"/>
    </row>
    <row r="37662">
      <c r="A37662" s="6"/>
      <c r="B37662" s="6"/>
      <c r="H37662" s="13"/>
    </row>
    <row r="37663">
      <c r="A37663" s="6"/>
      <c r="B37663" s="6"/>
      <c r="H37663" s="13"/>
    </row>
    <row r="37664">
      <c r="A37664" s="6"/>
      <c r="B37664" s="6"/>
      <c r="H37664" s="13"/>
    </row>
    <row r="37665">
      <c r="A37665" s="6"/>
      <c r="B37665" s="6"/>
      <c r="H37665" s="13"/>
    </row>
    <row r="37666">
      <c r="A37666" s="6"/>
      <c r="B37666" s="6"/>
      <c r="H37666" s="13"/>
    </row>
    <row r="37667">
      <c r="A37667" s="6"/>
      <c r="B37667" s="6"/>
      <c r="H37667" s="13"/>
    </row>
    <row r="37668">
      <c r="A37668" s="6"/>
      <c r="B37668" s="6"/>
      <c r="H37668" s="13"/>
    </row>
    <row r="37669">
      <c r="A37669" s="6"/>
      <c r="B37669" s="6"/>
      <c r="H37669" s="13"/>
    </row>
    <row r="37670">
      <c r="A37670" s="6"/>
      <c r="B37670" s="6"/>
      <c r="H37670" s="13"/>
    </row>
    <row r="37671">
      <c r="A37671" s="6"/>
      <c r="B37671" s="6"/>
      <c r="H37671" s="13"/>
    </row>
    <row r="37672">
      <c r="A37672" s="6"/>
      <c r="B37672" s="6"/>
      <c r="H37672" s="13"/>
    </row>
    <row r="37673">
      <c r="A37673" s="6"/>
      <c r="B37673" s="6"/>
      <c r="H37673" s="13"/>
    </row>
    <row r="37674">
      <c r="A37674" s="6"/>
      <c r="B37674" s="6"/>
      <c r="H37674" s="13"/>
    </row>
    <row r="37675">
      <c r="A37675" s="6"/>
      <c r="B37675" s="6"/>
      <c r="H37675" s="13"/>
    </row>
    <row r="37676">
      <c r="A37676" s="6"/>
      <c r="B37676" s="6"/>
      <c r="H37676" s="13"/>
    </row>
    <row r="37677">
      <c r="A37677" s="6"/>
      <c r="B37677" s="6"/>
      <c r="H37677" s="13"/>
    </row>
    <row r="37678">
      <c r="A37678" s="6"/>
      <c r="B37678" s="6"/>
      <c r="H37678" s="13"/>
    </row>
    <row r="37679">
      <c r="A37679" s="6"/>
      <c r="B37679" s="6"/>
      <c r="H37679" s="13"/>
    </row>
    <row r="37680">
      <c r="A37680" s="6"/>
      <c r="B37680" s="6"/>
      <c r="H37680" s="13"/>
    </row>
    <row r="37681">
      <c r="A37681" s="6"/>
      <c r="B37681" s="6"/>
      <c r="H37681" s="13"/>
    </row>
    <row r="37682">
      <c r="A37682" s="6"/>
      <c r="B37682" s="6"/>
      <c r="H37682" s="13"/>
    </row>
    <row r="37683">
      <c r="A37683" s="6"/>
      <c r="B37683" s="6"/>
      <c r="H37683" s="13"/>
    </row>
    <row r="37684">
      <c r="A37684" s="6"/>
      <c r="B37684" s="6"/>
      <c r="H37684" s="13"/>
    </row>
    <row r="37685">
      <c r="A37685" s="6"/>
      <c r="B37685" s="6"/>
      <c r="H37685" s="13"/>
    </row>
    <row r="37686">
      <c r="A37686" s="6"/>
      <c r="B37686" s="6"/>
      <c r="H37686" s="13"/>
    </row>
    <row r="37687">
      <c r="A37687" s="6"/>
      <c r="B37687" s="6"/>
      <c r="H37687" s="13"/>
    </row>
    <row r="37688">
      <c r="A37688" s="6"/>
      <c r="B37688" s="6"/>
      <c r="H37688" s="13"/>
    </row>
    <row r="37689">
      <c r="A37689" s="6"/>
      <c r="B37689" s="6"/>
      <c r="H37689" s="13"/>
    </row>
    <row r="37690">
      <c r="A37690" s="6"/>
      <c r="B37690" s="6"/>
      <c r="H37690" s="13"/>
    </row>
    <row r="37691">
      <c r="A37691" s="6"/>
      <c r="B37691" s="6"/>
      <c r="H37691" s="13"/>
    </row>
    <row r="37692">
      <c r="A37692" s="6"/>
      <c r="B37692" s="6"/>
      <c r="H37692" s="13"/>
    </row>
    <row r="37693">
      <c r="A37693" s="6"/>
      <c r="B37693" s="6"/>
      <c r="H37693" s="13"/>
    </row>
    <row r="37694">
      <c r="A37694" s="6"/>
      <c r="B37694" s="6"/>
      <c r="H37694" s="13"/>
    </row>
    <row r="37695">
      <c r="A37695" s="6"/>
      <c r="B37695" s="6"/>
      <c r="H37695" s="13"/>
    </row>
    <row r="37696">
      <c r="A37696" s="6"/>
      <c r="B37696" s="6"/>
      <c r="H37696" s="13"/>
    </row>
    <row r="37697">
      <c r="A37697" s="6"/>
      <c r="B37697" s="6"/>
      <c r="H37697" s="13"/>
    </row>
    <row r="37698">
      <c r="A37698" s="6"/>
      <c r="B37698" s="6"/>
      <c r="H37698" s="13"/>
    </row>
    <row r="37699">
      <c r="A37699" s="6"/>
      <c r="B37699" s="6"/>
      <c r="H37699" s="13"/>
    </row>
    <row r="37700">
      <c r="A37700" s="6"/>
      <c r="B37700" s="6"/>
      <c r="H37700" s="13"/>
    </row>
    <row r="37701">
      <c r="A37701" s="6"/>
      <c r="B37701" s="6"/>
      <c r="H37701" s="13"/>
    </row>
    <row r="37702">
      <c r="A37702" s="6"/>
      <c r="B37702" s="6"/>
      <c r="H37702" s="13"/>
    </row>
    <row r="37703">
      <c r="A37703" s="6"/>
      <c r="B37703" s="6"/>
      <c r="H37703" s="13"/>
    </row>
    <row r="37704">
      <c r="A37704" s="6"/>
      <c r="B37704" s="6"/>
      <c r="H37704" s="13"/>
    </row>
    <row r="37705">
      <c r="A37705" s="6"/>
      <c r="B37705" s="6"/>
      <c r="H37705" s="13"/>
    </row>
    <row r="37706">
      <c r="A37706" s="6"/>
      <c r="B37706" s="6"/>
      <c r="H37706" s="13"/>
    </row>
    <row r="37707">
      <c r="A37707" s="6"/>
      <c r="B37707" s="6"/>
      <c r="H37707" s="13"/>
    </row>
    <row r="37708">
      <c r="A37708" s="6"/>
      <c r="B37708" s="6"/>
      <c r="H37708" s="13"/>
    </row>
    <row r="37709">
      <c r="A37709" s="6"/>
      <c r="B37709" s="6"/>
      <c r="H37709" s="13"/>
    </row>
    <row r="37710">
      <c r="A37710" s="6"/>
      <c r="B37710" s="6"/>
      <c r="H37710" s="13"/>
    </row>
    <row r="37711">
      <c r="A37711" s="6"/>
      <c r="B37711" s="6"/>
      <c r="H37711" s="13"/>
    </row>
    <row r="37712">
      <c r="A37712" s="6"/>
      <c r="B37712" s="6"/>
      <c r="H37712" s="13"/>
    </row>
    <row r="37713">
      <c r="A37713" s="6"/>
      <c r="B37713" s="6"/>
      <c r="H37713" s="13"/>
    </row>
    <row r="37714">
      <c r="A37714" s="6"/>
      <c r="B37714" s="6"/>
      <c r="H37714" s="13"/>
    </row>
    <row r="37715">
      <c r="A37715" s="6"/>
      <c r="B37715" s="6"/>
      <c r="H37715" s="13"/>
    </row>
    <row r="37716">
      <c r="A37716" s="6"/>
      <c r="B37716" s="6"/>
      <c r="H37716" s="13"/>
    </row>
    <row r="37717">
      <c r="A37717" s="6"/>
      <c r="B37717" s="6"/>
      <c r="H37717" s="13"/>
    </row>
    <row r="37718">
      <c r="A37718" s="6"/>
      <c r="B37718" s="6"/>
      <c r="H37718" s="13"/>
    </row>
    <row r="37719">
      <c r="A37719" s="6"/>
      <c r="B37719" s="6"/>
      <c r="H37719" s="13"/>
    </row>
    <row r="37720">
      <c r="A37720" s="6"/>
      <c r="B37720" s="6"/>
      <c r="H37720" s="13"/>
    </row>
    <row r="37721">
      <c r="A37721" s="6"/>
      <c r="B37721" s="6"/>
      <c r="H37721" s="13"/>
    </row>
    <row r="37722">
      <c r="A37722" s="6"/>
      <c r="B37722" s="6"/>
      <c r="H37722" s="13"/>
    </row>
    <row r="37723">
      <c r="A37723" s="6"/>
      <c r="B37723" s="6"/>
      <c r="H37723" s="13"/>
    </row>
    <row r="37724">
      <c r="A37724" s="6"/>
      <c r="B37724" s="6"/>
      <c r="H37724" s="13"/>
    </row>
    <row r="37725">
      <c r="A37725" s="6"/>
      <c r="B37725" s="6"/>
      <c r="H37725" s="13"/>
    </row>
    <row r="37726">
      <c r="A37726" s="6"/>
      <c r="B37726" s="6"/>
      <c r="H37726" s="13"/>
    </row>
    <row r="37727">
      <c r="A37727" s="6"/>
      <c r="B37727" s="6"/>
      <c r="H37727" s="13"/>
    </row>
    <row r="37728">
      <c r="A37728" s="6"/>
      <c r="B37728" s="6"/>
      <c r="H37728" s="13"/>
    </row>
    <row r="37729">
      <c r="A37729" s="6"/>
      <c r="B37729" s="6"/>
      <c r="H37729" s="13"/>
    </row>
    <row r="37730">
      <c r="A37730" s="6"/>
      <c r="B37730" s="6"/>
      <c r="H37730" s="13"/>
    </row>
    <row r="37731">
      <c r="A37731" s="6"/>
      <c r="B37731" s="6"/>
      <c r="H37731" s="13"/>
    </row>
    <row r="37732">
      <c r="A37732" s="6"/>
      <c r="B37732" s="6"/>
      <c r="H37732" s="13"/>
    </row>
    <row r="37733">
      <c r="A37733" s="6"/>
      <c r="B37733" s="6"/>
      <c r="H37733" s="13"/>
    </row>
    <row r="37734">
      <c r="A37734" s="6"/>
      <c r="B37734" s="6"/>
      <c r="H37734" s="13"/>
    </row>
    <row r="37735">
      <c r="A37735" s="6"/>
      <c r="B37735" s="6"/>
      <c r="H37735" s="13"/>
    </row>
    <row r="37736">
      <c r="A37736" s="6"/>
      <c r="B37736" s="6"/>
      <c r="H37736" s="13"/>
    </row>
    <row r="37737">
      <c r="A37737" s="6"/>
      <c r="B37737" s="6"/>
      <c r="H37737" s="13"/>
    </row>
    <row r="37738">
      <c r="A37738" s="6"/>
      <c r="B37738" s="6"/>
      <c r="H37738" s="13"/>
    </row>
    <row r="37739">
      <c r="A37739" s="6"/>
      <c r="B37739" s="6"/>
      <c r="H37739" s="13"/>
    </row>
    <row r="37740">
      <c r="A37740" s="6"/>
      <c r="B37740" s="6"/>
      <c r="H37740" s="13"/>
    </row>
    <row r="37741">
      <c r="A37741" s="6"/>
      <c r="B37741" s="6"/>
      <c r="H37741" s="13"/>
    </row>
    <row r="37742">
      <c r="A37742" s="6"/>
      <c r="B37742" s="6"/>
      <c r="H37742" s="13"/>
    </row>
    <row r="37743">
      <c r="A37743" s="6"/>
      <c r="B37743" s="6"/>
      <c r="H37743" s="13"/>
    </row>
    <row r="37744">
      <c r="A37744" s="6"/>
      <c r="B37744" s="6"/>
      <c r="H37744" s="13"/>
    </row>
    <row r="37745">
      <c r="A37745" s="6"/>
      <c r="B37745" s="6"/>
      <c r="H37745" s="13"/>
    </row>
    <row r="37746">
      <c r="A37746" s="6"/>
      <c r="B37746" s="6"/>
      <c r="H37746" s="13"/>
    </row>
    <row r="37747">
      <c r="A37747" s="6"/>
      <c r="B37747" s="6"/>
      <c r="H37747" s="13"/>
    </row>
    <row r="37748">
      <c r="A37748" s="6"/>
      <c r="B37748" s="6"/>
      <c r="H37748" s="13"/>
    </row>
    <row r="37749">
      <c r="A37749" s="6"/>
      <c r="B37749" s="6"/>
      <c r="H37749" s="13"/>
    </row>
    <row r="37750">
      <c r="A37750" s="6"/>
      <c r="B37750" s="6"/>
      <c r="H37750" s="13"/>
    </row>
    <row r="37751">
      <c r="A37751" s="6"/>
      <c r="B37751" s="6"/>
      <c r="H37751" s="13"/>
    </row>
    <row r="37752">
      <c r="A37752" s="6"/>
      <c r="B37752" s="6"/>
      <c r="H37752" s="13"/>
    </row>
    <row r="37753">
      <c r="A37753" s="6"/>
      <c r="B37753" s="6"/>
      <c r="H37753" s="13"/>
    </row>
    <row r="37754">
      <c r="A37754" s="6"/>
      <c r="B37754" s="6"/>
      <c r="H37754" s="13"/>
    </row>
    <row r="37755">
      <c r="A37755" s="6"/>
      <c r="B37755" s="6"/>
      <c r="H37755" s="13"/>
    </row>
    <row r="37756">
      <c r="A37756" s="6"/>
      <c r="B37756" s="6"/>
      <c r="H37756" s="13"/>
    </row>
    <row r="37757">
      <c r="A37757" s="6"/>
      <c r="B37757" s="6"/>
      <c r="H37757" s="13"/>
    </row>
    <row r="37758">
      <c r="A37758" s="6"/>
      <c r="B37758" s="6"/>
      <c r="H37758" s="13"/>
    </row>
    <row r="37759">
      <c r="A37759" s="6"/>
      <c r="B37759" s="6"/>
      <c r="H37759" s="13"/>
    </row>
    <row r="37760">
      <c r="A37760" s="6"/>
      <c r="B37760" s="6"/>
      <c r="H37760" s="13"/>
    </row>
    <row r="37761">
      <c r="A37761" s="6"/>
      <c r="B37761" s="6"/>
      <c r="H37761" s="13"/>
    </row>
    <row r="37762">
      <c r="A37762" s="6"/>
      <c r="B37762" s="6"/>
      <c r="H37762" s="13"/>
    </row>
    <row r="37763">
      <c r="A37763" s="6"/>
      <c r="B37763" s="6"/>
      <c r="H37763" s="13"/>
    </row>
    <row r="37764">
      <c r="A37764" s="6"/>
      <c r="B37764" s="6"/>
      <c r="H37764" s="13"/>
    </row>
    <row r="37765">
      <c r="A37765" s="6"/>
      <c r="B37765" s="6"/>
      <c r="H37765" s="13"/>
    </row>
    <row r="37766">
      <c r="A37766" s="6"/>
      <c r="B37766" s="6"/>
      <c r="H37766" s="13"/>
    </row>
    <row r="37767">
      <c r="A37767" s="6"/>
      <c r="B37767" s="6"/>
      <c r="H37767" s="13"/>
    </row>
    <row r="37768">
      <c r="A37768" s="6"/>
      <c r="B37768" s="6"/>
      <c r="H37768" s="13"/>
    </row>
    <row r="37769">
      <c r="A37769" s="6"/>
      <c r="B37769" s="6"/>
      <c r="H37769" s="13"/>
    </row>
    <row r="37770">
      <c r="A37770" s="6"/>
      <c r="B37770" s="6"/>
      <c r="H37770" s="13"/>
    </row>
    <row r="37771">
      <c r="A37771" s="6"/>
      <c r="B37771" s="6"/>
      <c r="H37771" s="13"/>
    </row>
    <row r="37772">
      <c r="A37772" s="6"/>
      <c r="B37772" s="6"/>
      <c r="H37772" s="13"/>
    </row>
    <row r="37773">
      <c r="A37773" s="6"/>
      <c r="B37773" s="6"/>
      <c r="H37773" s="13"/>
    </row>
    <row r="37774">
      <c r="A37774" s="6"/>
      <c r="B37774" s="6"/>
      <c r="H37774" s="13"/>
    </row>
    <row r="37775">
      <c r="A37775" s="6"/>
      <c r="B37775" s="6"/>
      <c r="H37775" s="13"/>
    </row>
    <row r="37776">
      <c r="A37776" s="6"/>
      <c r="B37776" s="6"/>
      <c r="H37776" s="13"/>
    </row>
    <row r="37777">
      <c r="A37777" s="6"/>
      <c r="B37777" s="6"/>
      <c r="H37777" s="13"/>
    </row>
    <row r="37778">
      <c r="A37778" s="6"/>
      <c r="B37778" s="6"/>
      <c r="H37778" s="13"/>
    </row>
    <row r="37779">
      <c r="A37779" s="6"/>
      <c r="B37779" s="6"/>
      <c r="H37779" s="13"/>
    </row>
    <row r="37780">
      <c r="A37780" s="6"/>
      <c r="B37780" s="6"/>
      <c r="H37780" s="13"/>
    </row>
    <row r="37781">
      <c r="A37781" s="6"/>
      <c r="B37781" s="6"/>
      <c r="H37781" s="13"/>
    </row>
    <row r="37782">
      <c r="A37782" s="6"/>
      <c r="B37782" s="6"/>
      <c r="H37782" s="13"/>
    </row>
    <row r="37783">
      <c r="A37783" s="6"/>
      <c r="B37783" s="6"/>
      <c r="H37783" s="13"/>
    </row>
    <row r="37784">
      <c r="A37784" s="6"/>
      <c r="B37784" s="6"/>
      <c r="H37784" s="13"/>
    </row>
    <row r="37785">
      <c r="A37785" s="6"/>
      <c r="B37785" s="6"/>
      <c r="H37785" s="13"/>
    </row>
    <row r="37786">
      <c r="A37786" s="6"/>
      <c r="B37786" s="6"/>
      <c r="H37786" s="13"/>
    </row>
    <row r="37787">
      <c r="A37787" s="6"/>
      <c r="B37787" s="6"/>
      <c r="H37787" s="13"/>
    </row>
    <row r="37788">
      <c r="A37788" s="6"/>
      <c r="B37788" s="6"/>
      <c r="H37788" s="13"/>
    </row>
    <row r="37789">
      <c r="A37789" s="6"/>
      <c r="B37789" s="6"/>
      <c r="H37789" s="13"/>
    </row>
    <row r="37790">
      <c r="A37790" s="6"/>
      <c r="B37790" s="6"/>
      <c r="H37790" s="13"/>
    </row>
    <row r="37791">
      <c r="A37791" s="6"/>
      <c r="B37791" s="6"/>
      <c r="H37791" s="13"/>
    </row>
    <row r="37792">
      <c r="A37792" s="6"/>
      <c r="B37792" s="6"/>
      <c r="H37792" s="13"/>
    </row>
    <row r="37793">
      <c r="A37793" s="6"/>
      <c r="B37793" s="6"/>
      <c r="H37793" s="13"/>
    </row>
    <row r="37794">
      <c r="A37794" s="6"/>
      <c r="B37794" s="6"/>
      <c r="H37794" s="13"/>
    </row>
    <row r="37795">
      <c r="A37795" s="6"/>
      <c r="B37795" s="6"/>
      <c r="H37795" s="13"/>
    </row>
    <row r="37796">
      <c r="A37796" s="6"/>
      <c r="B37796" s="6"/>
      <c r="H37796" s="13"/>
    </row>
    <row r="37797">
      <c r="A37797" s="6"/>
      <c r="B37797" s="6"/>
      <c r="H37797" s="13"/>
    </row>
    <row r="37798">
      <c r="A37798" s="6"/>
      <c r="B37798" s="6"/>
      <c r="H37798" s="13"/>
    </row>
    <row r="37799">
      <c r="A37799" s="6"/>
      <c r="B37799" s="6"/>
      <c r="H37799" s="13"/>
    </row>
    <row r="37800">
      <c r="A37800" s="6"/>
      <c r="B37800" s="6"/>
      <c r="H37800" s="13"/>
    </row>
    <row r="37801">
      <c r="A37801" s="6"/>
      <c r="B37801" s="6"/>
      <c r="H37801" s="13"/>
    </row>
    <row r="37802">
      <c r="A37802" s="6"/>
      <c r="B37802" s="6"/>
      <c r="H37802" s="13"/>
    </row>
    <row r="37803">
      <c r="A37803" s="6"/>
      <c r="B37803" s="6"/>
      <c r="H37803" s="13"/>
    </row>
    <row r="37804">
      <c r="A37804" s="6"/>
      <c r="B37804" s="6"/>
      <c r="H37804" s="13"/>
    </row>
    <row r="37805">
      <c r="A37805" s="6"/>
      <c r="B37805" s="6"/>
      <c r="H37805" s="13"/>
    </row>
    <row r="37806">
      <c r="A37806" s="6"/>
      <c r="B37806" s="6"/>
      <c r="H37806" s="13"/>
    </row>
    <row r="37807">
      <c r="A37807" s="6"/>
      <c r="B37807" s="6"/>
      <c r="H37807" s="13"/>
    </row>
    <row r="37808">
      <c r="A37808" s="6"/>
      <c r="B37808" s="6"/>
      <c r="H37808" s="13"/>
    </row>
    <row r="37809">
      <c r="A37809" s="6"/>
      <c r="B37809" s="6"/>
      <c r="H37809" s="13"/>
    </row>
    <row r="37810">
      <c r="A37810" s="6"/>
      <c r="B37810" s="6"/>
      <c r="H37810" s="13"/>
    </row>
    <row r="37811">
      <c r="A37811" s="6"/>
      <c r="B37811" s="6"/>
      <c r="H37811" s="13"/>
    </row>
    <row r="37812">
      <c r="A37812" s="6"/>
      <c r="B37812" s="6"/>
      <c r="H37812" s="13"/>
    </row>
    <row r="37813">
      <c r="A37813" s="6"/>
      <c r="B37813" s="6"/>
      <c r="H37813" s="13"/>
    </row>
    <row r="37814">
      <c r="A37814" s="6"/>
      <c r="B37814" s="6"/>
      <c r="H37814" s="13"/>
    </row>
    <row r="37815">
      <c r="A37815" s="6"/>
      <c r="B37815" s="6"/>
      <c r="H37815" s="13"/>
    </row>
    <row r="37816">
      <c r="A37816" s="6"/>
      <c r="B37816" s="6"/>
      <c r="H37816" s="13"/>
    </row>
    <row r="37817">
      <c r="A37817" s="6"/>
      <c r="B37817" s="6"/>
      <c r="H37817" s="13"/>
    </row>
    <row r="37818">
      <c r="A37818" s="6"/>
      <c r="B37818" s="6"/>
      <c r="H37818" s="13"/>
    </row>
    <row r="37819">
      <c r="A37819" s="6"/>
      <c r="B37819" s="6"/>
      <c r="H37819" s="13"/>
    </row>
    <row r="37820">
      <c r="A37820" s="6"/>
      <c r="B37820" s="6"/>
      <c r="H37820" s="13"/>
    </row>
    <row r="37821">
      <c r="A37821" s="6"/>
      <c r="B37821" s="6"/>
      <c r="H37821" s="13"/>
    </row>
    <row r="37822">
      <c r="A37822" s="6"/>
      <c r="B37822" s="6"/>
      <c r="H37822" s="13"/>
    </row>
    <row r="37823">
      <c r="A37823" s="6"/>
      <c r="B37823" s="6"/>
      <c r="H37823" s="13"/>
    </row>
    <row r="37824">
      <c r="A37824" s="6"/>
      <c r="B37824" s="6"/>
      <c r="H37824" s="13"/>
    </row>
    <row r="37825">
      <c r="A37825" s="6"/>
      <c r="B37825" s="6"/>
      <c r="H37825" s="13"/>
    </row>
    <row r="37826">
      <c r="A37826" s="6"/>
      <c r="B37826" s="6"/>
      <c r="H37826" s="13"/>
    </row>
    <row r="37827">
      <c r="A37827" s="6"/>
      <c r="B37827" s="6"/>
      <c r="H37827" s="13"/>
    </row>
    <row r="37828">
      <c r="A37828" s="6"/>
      <c r="B37828" s="6"/>
      <c r="H37828" s="13"/>
    </row>
    <row r="37829">
      <c r="A37829" s="6"/>
      <c r="B37829" s="6"/>
      <c r="H37829" s="13"/>
    </row>
    <row r="37830">
      <c r="A37830" s="6"/>
      <c r="B37830" s="6"/>
      <c r="H37830" s="13"/>
    </row>
    <row r="37831">
      <c r="A37831" s="6"/>
      <c r="B37831" s="6"/>
      <c r="H37831" s="13"/>
    </row>
    <row r="37832">
      <c r="A37832" s="6"/>
      <c r="B37832" s="6"/>
      <c r="H37832" s="13"/>
    </row>
    <row r="37833">
      <c r="A37833" s="6"/>
      <c r="B37833" s="6"/>
      <c r="H37833" s="13"/>
    </row>
    <row r="37834">
      <c r="A37834" s="6"/>
      <c r="B37834" s="6"/>
      <c r="H37834" s="13"/>
    </row>
    <row r="37835">
      <c r="A37835" s="6"/>
      <c r="B37835" s="6"/>
      <c r="H37835" s="13"/>
    </row>
    <row r="37836">
      <c r="A37836" s="6"/>
      <c r="B37836" s="6"/>
      <c r="H37836" s="13"/>
    </row>
    <row r="37837">
      <c r="A37837" s="6"/>
      <c r="B37837" s="6"/>
      <c r="H37837" s="13"/>
    </row>
    <row r="37838">
      <c r="A37838" s="6"/>
      <c r="B37838" s="6"/>
      <c r="H37838" s="13"/>
    </row>
    <row r="37839">
      <c r="A37839" s="6"/>
      <c r="B37839" s="6"/>
      <c r="H37839" s="13"/>
    </row>
    <row r="37840">
      <c r="A37840" s="6"/>
      <c r="B37840" s="6"/>
      <c r="H37840" s="13"/>
    </row>
    <row r="37841">
      <c r="A37841" s="6"/>
      <c r="B37841" s="6"/>
      <c r="H37841" s="13"/>
    </row>
    <row r="37842">
      <c r="A37842" s="6"/>
      <c r="B37842" s="6"/>
      <c r="H37842" s="13"/>
    </row>
    <row r="37843">
      <c r="A37843" s="6"/>
      <c r="B37843" s="6"/>
      <c r="H37843" s="13"/>
    </row>
    <row r="37844">
      <c r="A37844" s="6"/>
      <c r="B37844" s="6"/>
      <c r="H37844" s="13"/>
    </row>
    <row r="37845">
      <c r="A37845" s="6"/>
      <c r="B37845" s="6"/>
      <c r="H37845" s="13"/>
    </row>
    <row r="37846">
      <c r="A37846" s="6"/>
      <c r="B37846" s="6"/>
      <c r="H37846" s="13"/>
    </row>
    <row r="37847">
      <c r="A37847" s="6"/>
      <c r="B37847" s="6"/>
      <c r="H37847" s="13"/>
    </row>
    <row r="37848">
      <c r="A37848" s="6"/>
      <c r="B37848" s="6"/>
      <c r="H37848" s="13"/>
    </row>
    <row r="37849">
      <c r="A37849" s="6"/>
      <c r="B37849" s="6"/>
      <c r="H37849" s="13"/>
    </row>
    <row r="37850">
      <c r="A37850" s="6"/>
      <c r="B37850" s="6"/>
      <c r="H37850" s="13"/>
    </row>
    <row r="37851">
      <c r="A37851" s="6"/>
      <c r="B37851" s="6"/>
      <c r="H37851" s="13"/>
    </row>
    <row r="37852">
      <c r="A37852" s="6"/>
      <c r="B37852" s="6"/>
      <c r="H37852" s="13"/>
    </row>
    <row r="37853">
      <c r="A37853" s="6"/>
      <c r="B37853" s="6"/>
      <c r="H37853" s="13"/>
    </row>
    <row r="37854">
      <c r="A37854" s="6"/>
      <c r="B37854" s="6"/>
      <c r="H37854" s="13"/>
    </row>
    <row r="37855">
      <c r="A37855" s="6"/>
      <c r="B37855" s="6"/>
      <c r="H37855" s="13"/>
    </row>
    <row r="37856">
      <c r="A37856" s="6"/>
      <c r="B37856" s="6"/>
      <c r="H37856" s="13"/>
    </row>
    <row r="37857">
      <c r="A37857" s="6"/>
      <c r="B37857" s="6"/>
      <c r="H37857" s="13"/>
    </row>
    <row r="37858">
      <c r="A37858" s="6"/>
      <c r="B37858" s="6"/>
      <c r="H37858" s="13"/>
    </row>
    <row r="37859">
      <c r="A37859" s="6"/>
      <c r="B37859" s="6"/>
      <c r="H37859" s="13"/>
    </row>
    <row r="37860">
      <c r="A37860" s="6"/>
      <c r="B37860" s="6"/>
      <c r="H37860" s="13"/>
    </row>
    <row r="37861">
      <c r="A37861" s="6"/>
      <c r="B37861" s="6"/>
      <c r="H37861" s="13"/>
    </row>
    <row r="37862">
      <c r="A37862" s="6"/>
      <c r="B37862" s="6"/>
      <c r="H37862" s="13"/>
    </row>
    <row r="37863">
      <c r="A37863" s="6"/>
      <c r="B37863" s="6"/>
      <c r="H37863" s="13"/>
    </row>
    <row r="37864">
      <c r="A37864" s="6"/>
      <c r="B37864" s="6"/>
      <c r="H37864" s="13"/>
    </row>
    <row r="37865">
      <c r="A37865" s="6"/>
      <c r="B37865" s="6"/>
      <c r="H37865" s="13"/>
    </row>
    <row r="37866">
      <c r="A37866" s="6"/>
      <c r="B37866" s="6"/>
      <c r="H37866" s="13"/>
    </row>
    <row r="37867">
      <c r="A37867" s="6"/>
      <c r="B37867" s="6"/>
      <c r="H37867" s="13"/>
    </row>
    <row r="37868">
      <c r="A37868" s="6"/>
      <c r="B37868" s="6"/>
      <c r="H37868" s="13"/>
    </row>
    <row r="37869">
      <c r="A37869" s="6"/>
      <c r="B37869" s="6"/>
      <c r="H37869" s="13"/>
    </row>
    <row r="37870">
      <c r="A37870" s="6"/>
      <c r="B37870" s="6"/>
      <c r="H37870" s="13"/>
    </row>
    <row r="37871">
      <c r="A37871" s="6"/>
      <c r="B37871" s="6"/>
      <c r="H37871" s="13"/>
    </row>
    <row r="37872">
      <c r="A37872" s="6"/>
      <c r="B37872" s="6"/>
      <c r="H37872" s="13"/>
    </row>
    <row r="37873">
      <c r="A37873" s="6"/>
      <c r="B37873" s="6"/>
      <c r="H37873" s="13"/>
    </row>
    <row r="37874">
      <c r="A37874" s="6"/>
      <c r="B37874" s="6"/>
      <c r="H37874" s="13"/>
    </row>
    <row r="37875">
      <c r="A37875" s="6"/>
      <c r="B37875" s="6"/>
      <c r="H37875" s="13"/>
    </row>
    <row r="37876">
      <c r="A37876" s="6"/>
      <c r="B37876" s="6"/>
      <c r="H37876" s="13"/>
    </row>
    <row r="37877">
      <c r="A37877" s="6"/>
      <c r="B37877" s="6"/>
      <c r="H37877" s="13"/>
    </row>
    <row r="37878">
      <c r="A37878" s="6"/>
      <c r="B37878" s="6"/>
      <c r="H37878" s="13"/>
    </row>
    <row r="37879">
      <c r="A37879" s="6"/>
      <c r="B37879" s="6"/>
      <c r="H37879" s="13"/>
    </row>
    <row r="37880">
      <c r="A37880" s="6"/>
      <c r="B37880" s="6"/>
      <c r="H37880" s="13"/>
    </row>
    <row r="37881">
      <c r="A37881" s="6"/>
      <c r="B37881" s="6"/>
      <c r="H37881" s="13"/>
    </row>
    <row r="37882">
      <c r="A37882" s="6"/>
      <c r="B37882" s="6"/>
      <c r="H37882" s="13"/>
    </row>
    <row r="37883">
      <c r="A37883" s="6"/>
      <c r="B37883" s="6"/>
      <c r="H37883" s="13"/>
    </row>
    <row r="37884">
      <c r="A37884" s="6"/>
      <c r="B37884" s="6"/>
      <c r="H37884" s="13"/>
    </row>
    <row r="37885">
      <c r="A37885" s="6"/>
      <c r="B37885" s="6"/>
      <c r="H37885" s="13"/>
    </row>
    <row r="37886">
      <c r="A37886" s="6"/>
      <c r="B37886" s="6"/>
      <c r="H37886" s="13"/>
    </row>
    <row r="37887">
      <c r="A37887" s="6"/>
      <c r="B37887" s="6"/>
      <c r="H37887" s="13"/>
    </row>
    <row r="37888">
      <c r="A37888" s="6"/>
      <c r="B37888" s="6"/>
      <c r="H37888" s="13"/>
    </row>
    <row r="37889">
      <c r="A37889" s="6"/>
      <c r="B37889" s="6"/>
      <c r="H37889" s="13"/>
    </row>
    <row r="37890">
      <c r="A37890" s="6"/>
      <c r="B37890" s="6"/>
      <c r="H37890" s="13"/>
    </row>
    <row r="37891">
      <c r="A37891" s="6"/>
      <c r="B37891" s="6"/>
      <c r="H37891" s="13"/>
    </row>
    <row r="37892">
      <c r="A37892" s="6"/>
      <c r="B37892" s="6"/>
      <c r="H37892" s="13"/>
    </row>
    <row r="37893">
      <c r="A37893" s="6"/>
      <c r="B37893" s="6"/>
      <c r="H37893" s="13"/>
    </row>
    <row r="37894">
      <c r="A37894" s="6"/>
      <c r="B37894" s="6"/>
      <c r="H37894" s="13"/>
    </row>
    <row r="37895">
      <c r="A37895" s="6"/>
      <c r="B37895" s="6"/>
      <c r="H37895" s="13"/>
    </row>
    <row r="37896">
      <c r="A37896" s="6"/>
      <c r="B37896" s="6"/>
      <c r="H37896" s="13"/>
    </row>
    <row r="37897">
      <c r="A37897" s="6"/>
      <c r="B37897" s="6"/>
      <c r="H37897" s="13"/>
    </row>
    <row r="37898">
      <c r="A37898" s="6"/>
      <c r="B37898" s="6"/>
      <c r="H37898" s="13"/>
    </row>
    <row r="37899">
      <c r="A37899" s="6"/>
      <c r="B37899" s="6"/>
      <c r="H37899" s="13"/>
    </row>
    <row r="37900">
      <c r="A37900" s="6"/>
      <c r="B37900" s="6"/>
      <c r="H37900" s="13"/>
    </row>
    <row r="37901">
      <c r="A37901" s="6"/>
      <c r="B37901" s="6"/>
      <c r="H37901" s="13"/>
    </row>
    <row r="37902">
      <c r="A37902" s="6"/>
      <c r="B37902" s="6"/>
      <c r="H37902" s="13"/>
    </row>
    <row r="37903">
      <c r="A37903" s="6"/>
      <c r="B37903" s="6"/>
      <c r="H37903" s="13"/>
    </row>
    <row r="37904">
      <c r="A37904" s="6"/>
      <c r="B37904" s="6"/>
      <c r="H37904" s="13"/>
    </row>
    <row r="37905">
      <c r="A37905" s="6"/>
      <c r="B37905" s="6"/>
      <c r="H37905" s="13"/>
    </row>
    <row r="37906">
      <c r="A37906" s="6"/>
      <c r="B37906" s="6"/>
      <c r="H37906" s="13"/>
    </row>
    <row r="37907">
      <c r="A37907" s="6"/>
      <c r="B37907" s="6"/>
      <c r="H37907" s="13"/>
    </row>
    <row r="37908">
      <c r="A37908" s="6"/>
      <c r="B37908" s="6"/>
      <c r="H37908" s="13"/>
    </row>
    <row r="37909">
      <c r="A37909" s="6"/>
      <c r="B37909" s="6"/>
      <c r="H37909" s="13"/>
    </row>
    <row r="37910">
      <c r="A37910" s="6"/>
      <c r="B37910" s="6"/>
      <c r="H37910" s="13"/>
    </row>
    <row r="37911">
      <c r="A37911" s="6"/>
      <c r="B37911" s="6"/>
      <c r="H37911" s="13"/>
    </row>
    <row r="37912">
      <c r="A37912" s="6"/>
      <c r="B37912" s="6"/>
      <c r="H37912" s="13"/>
    </row>
    <row r="37913">
      <c r="A37913" s="6"/>
      <c r="B37913" s="6"/>
      <c r="H37913" s="13"/>
    </row>
    <row r="37914">
      <c r="A37914" s="6"/>
      <c r="B37914" s="6"/>
      <c r="H37914" s="13"/>
    </row>
    <row r="37915">
      <c r="A37915" s="6"/>
      <c r="B37915" s="6"/>
      <c r="H37915" s="13"/>
    </row>
    <row r="37916">
      <c r="A37916" s="6"/>
      <c r="B37916" s="6"/>
      <c r="H37916" s="13"/>
    </row>
    <row r="37917">
      <c r="A37917" s="6"/>
      <c r="B37917" s="6"/>
      <c r="H37917" s="13"/>
    </row>
    <row r="37918">
      <c r="A37918" s="6"/>
      <c r="B37918" s="6"/>
      <c r="H37918" s="13"/>
    </row>
    <row r="37919">
      <c r="A37919" s="6"/>
      <c r="B37919" s="6"/>
      <c r="H37919" s="13"/>
    </row>
    <row r="37920">
      <c r="A37920" s="6"/>
      <c r="B37920" s="6"/>
      <c r="H37920" s="13"/>
    </row>
    <row r="37921">
      <c r="A37921" s="6"/>
      <c r="B37921" s="6"/>
      <c r="H37921" s="13"/>
    </row>
    <row r="37922">
      <c r="A37922" s="6"/>
      <c r="B37922" s="6"/>
      <c r="H37922" s="13"/>
    </row>
    <row r="37923">
      <c r="A37923" s="6"/>
      <c r="B37923" s="6"/>
      <c r="H37923" s="13"/>
    </row>
    <row r="37924">
      <c r="A37924" s="6"/>
      <c r="B37924" s="6"/>
      <c r="H37924" s="13"/>
    </row>
    <row r="37925">
      <c r="A37925" s="6"/>
      <c r="B37925" s="6"/>
      <c r="H37925" s="13"/>
    </row>
    <row r="37926">
      <c r="A37926" s="6"/>
      <c r="B37926" s="6"/>
      <c r="H37926" s="13"/>
    </row>
    <row r="37927">
      <c r="A37927" s="6"/>
      <c r="B37927" s="6"/>
      <c r="H37927" s="13"/>
    </row>
    <row r="37928">
      <c r="A37928" s="6"/>
      <c r="B37928" s="6"/>
      <c r="H37928" s="13"/>
    </row>
    <row r="37929">
      <c r="A37929" s="6"/>
      <c r="B37929" s="6"/>
      <c r="H37929" s="13"/>
    </row>
    <row r="37930">
      <c r="A37930" s="6"/>
      <c r="B37930" s="6"/>
      <c r="H37930" s="13"/>
    </row>
    <row r="37931">
      <c r="A37931" s="6"/>
      <c r="B37931" s="6"/>
      <c r="H37931" s="13"/>
    </row>
    <row r="37932">
      <c r="A37932" s="6"/>
      <c r="B37932" s="6"/>
      <c r="H37932" s="13"/>
    </row>
    <row r="37933">
      <c r="A37933" s="6"/>
      <c r="B37933" s="6"/>
      <c r="H37933" s="13"/>
    </row>
    <row r="37934">
      <c r="A37934" s="6"/>
      <c r="B37934" s="6"/>
      <c r="H37934" s="13"/>
    </row>
    <row r="37935">
      <c r="A37935" s="6"/>
      <c r="B37935" s="6"/>
      <c r="H37935" s="13"/>
    </row>
    <row r="37936">
      <c r="A37936" s="6"/>
      <c r="B37936" s="6"/>
      <c r="H37936" s="13"/>
    </row>
    <row r="37937">
      <c r="A37937" s="6"/>
      <c r="B37937" s="6"/>
      <c r="H37937" s="13"/>
    </row>
    <row r="37938">
      <c r="A37938" s="6"/>
      <c r="B37938" s="6"/>
      <c r="H37938" s="13"/>
    </row>
    <row r="37939">
      <c r="A37939" s="6"/>
      <c r="B37939" s="6"/>
      <c r="H37939" s="13"/>
    </row>
    <row r="37940">
      <c r="A37940" s="6"/>
      <c r="B37940" s="6"/>
      <c r="H37940" s="13"/>
    </row>
    <row r="37941">
      <c r="A37941" s="6"/>
      <c r="B37941" s="6"/>
      <c r="H37941" s="13"/>
    </row>
    <row r="37942">
      <c r="A37942" s="6"/>
      <c r="B37942" s="6"/>
      <c r="H37942" s="13"/>
    </row>
    <row r="37943">
      <c r="A37943" s="6"/>
      <c r="B37943" s="6"/>
      <c r="H37943" s="13"/>
    </row>
    <row r="37944">
      <c r="A37944" s="6"/>
      <c r="B37944" s="6"/>
      <c r="H37944" s="13"/>
    </row>
    <row r="37945">
      <c r="A37945" s="6"/>
      <c r="B37945" s="6"/>
      <c r="H37945" s="13"/>
    </row>
    <row r="37946">
      <c r="A37946" s="6"/>
      <c r="B37946" s="6"/>
      <c r="H37946" s="13"/>
    </row>
    <row r="37947">
      <c r="A37947" s="6"/>
      <c r="B37947" s="6"/>
      <c r="H37947" s="13"/>
    </row>
    <row r="37948">
      <c r="A37948" s="6"/>
      <c r="B37948" s="6"/>
      <c r="H37948" s="13"/>
    </row>
    <row r="37949">
      <c r="A37949" s="6"/>
      <c r="B37949" s="6"/>
      <c r="H37949" s="13"/>
    </row>
    <row r="37950">
      <c r="A37950" s="6"/>
      <c r="B37950" s="6"/>
      <c r="H37950" s="13"/>
    </row>
    <row r="37951">
      <c r="A37951" s="6"/>
      <c r="B37951" s="6"/>
      <c r="H37951" s="13"/>
    </row>
    <row r="37952">
      <c r="A37952" s="6"/>
      <c r="B37952" s="6"/>
      <c r="H37952" s="13"/>
    </row>
    <row r="37953">
      <c r="A37953" s="6"/>
      <c r="B37953" s="6"/>
      <c r="H37953" s="13"/>
    </row>
    <row r="37954">
      <c r="A37954" s="6"/>
      <c r="B37954" s="6"/>
      <c r="H37954" s="13"/>
    </row>
    <row r="37955">
      <c r="A37955" s="6"/>
      <c r="B37955" s="6"/>
      <c r="H37955" s="13"/>
    </row>
    <row r="37956">
      <c r="A37956" s="6"/>
      <c r="B37956" s="6"/>
      <c r="H37956" s="13"/>
    </row>
    <row r="37957">
      <c r="A37957" s="6"/>
      <c r="B37957" s="6"/>
      <c r="H37957" s="13"/>
    </row>
    <row r="37958">
      <c r="A37958" s="6"/>
      <c r="B37958" s="6"/>
      <c r="H37958" s="13"/>
    </row>
    <row r="37959">
      <c r="A37959" s="6"/>
      <c r="B37959" s="6"/>
      <c r="H37959" s="13"/>
    </row>
    <row r="37960">
      <c r="A37960" s="6"/>
      <c r="B37960" s="6"/>
      <c r="H37960" s="13"/>
    </row>
    <row r="37961">
      <c r="A37961" s="6"/>
      <c r="B37961" s="6"/>
      <c r="H37961" s="13"/>
    </row>
    <row r="37962">
      <c r="A37962" s="6"/>
      <c r="B37962" s="6"/>
      <c r="H37962" s="13"/>
    </row>
    <row r="37963">
      <c r="A37963" s="6"/>
      <c r="B37963" s="6"/>
      <c r="H37963" s="13"/>
    </row>
    <row r="37964">
      <c r="A37964" s="6"/>
      <c r="B37964" s="6"/>
      <c r="H37964" s="13"/>
    </row>
    <row r="37965">
      <c r="A37965" s="6"/>
      <c r="B37965" s="6"/>
      <c r="H37965" s="13"/>
    </row>
    <row r="37966">
      <c r="A37966" s="6"/>
      <c r="B37966" s="6"/>
      <c r="H37966" s="13"/>
    </row>
    <row r="37967">
      <c r="A37967" s="6"/>
      <c r="B37967" s="6"/>
      <c r="H37967" s="13"/>
    </row>
    <row r="37968">
      <c r="A37968" s="6"/>
      <c r="B37968" s="6"/>
      <c r="H37968" s="13"/>
    </row>
    <row r="37969">
      <c r="A37969" s="6"/>
      <c r="B37969" s="6"/>
      <c r="H37969" s="13"/>
    </row>
    <row r="37970">
      <c r="A37970" s="6"/>
      <c r="B37970" s="6"/>
      <c r="H37970" s="13"/>
    </row>
    <row r="37971">
      <c r="A37971" s="6"/>
      <c r="B37971" s="6"/>
      <c r="H37971" s="13"/>
    </row>
    <row r="37972">
      <c r="A37972" s="6"/>
      <c r="B37972" s="6"/>
      <c r="H37972" s="13"/>
    </row>
    <row r="37973">
      <c r="A37973" s="6"/>
      <c r="B37973" s="6"/>
      <c r="H37973" s="13"/>
    </row>
    <row r="37974">
      <c r="A37974" s="6"/>
      <c r="B37974" s="6"/>
      <c r="H37974" s="13"/>
    </row>
    <row r="37975">
      <c r="A37975" s="6"/>
      <c r="B37975" s="6"/>
      <c r="H37975" s="13"/>
    </row>
    <row r="37976">
      <c r="A37976" s="6"/>
      <c r="B37976" s="6"/>
      <c r="H37976" s="13"/>
    </row>
    <row r="37977">
      <c r="A37977" s="6"/>
      <c r="B37977" s="6"/>
      <c r="H37977" s="13"/>
    </row>
    <row r="37978">
      <c r="A37978" s="6"/>
      <c r="B37978" s="6"/>
      <c r="H37978" s="13"/>
    </row>
    <row r="37979">
      <c r="A37979" s="6"/>
      <c r="B37979" s="6"/>
      <c r="H37979" s="13"/>
    </row>
    <row r="37980">
      <c r="A37980" s="6"/>
      <c r="B37980" s="6"/>
      <c r="H37980" s="13"/>
    </row>
    <row r="37981">
      <c r="A37981" s="6"/>
      <c r="B37981" s="6"/>
      <c r="H37981" s="13"/>
    </row>
    <row r="37982">
      <c r="A37982" s="6"/>
      <c r="B37982" s="6"/>
      <c r="H37982" s="13"/>
    </row>
    <row r="37983">
      <c r="A37983" s="6"/>
      <c r="B37983" s="6"/>
      <c r="H37983" s="13"/>
    </row>
    <row r="37984">
      <c r="A37984" s="6"/>
      <c r="B37984" s="6"/>
      <c r="H37984" s="13"/>
    </row>
    <row r="37985">
      <c r="A37985" s="6"/>
      <c r="B37985" s="6"/>
      <c r="H37985" s="13"/>
    </row>
    <row r="37986">
      <c r="A37986" s="6"/>
      <c r="B37986" s="6"/>
      <c r="H37986" s="13"/>
    </row>
    <row r="37987">
      <c r="A37987" s="6"/>
      <c r="B37987" s="6"/>
      <c r="H37987" s="13"/>
    </row>
    <row r="37988">
      <c r="A37988" s="6"/>
      <c r="B37988" s="6"/>
      <c r="H37988" s="13"/>
    </row>
    <row r="37989">
      <c r="A37989" s="6"/>
      <c r="B37989" s="6"/>
      <c r="H37989" s="13"/>
    </row>
    <row r="37990">
      <c r="A37990" s="6"/>
      <c r="B37990" s="6"/>
      <c r="H37990" s="13"/>
    </row>
    <row r="37991">
      <c r="A37991" s="6"/>
      <c r="B37991" s="6"/>
      <c r="H37991" s="13"/>
    </row>
    <row r="37992">
      <c r="A37992" s="6"/>
      <c r="B37992" s="6"/>
      <c r="H37992" s="13"/>
    </row>
    <row r="37993">
      <c r="A37993" s="6"/>
      <c r="B37993" s="6"/>
      <c r="H37993" s="13"/>
    </row>
    <row r="37994">
      <c r="A37994" s="6"/>
      <c r="B37994" s="6"/>
      <c r="H37994" s="13"/>
    </row>
    <row r="37995">
      <c r="A37995" s="6"/>
      <c r="B37995" s="6"/>
      <c r="H37995" s="13"/>
    </row>
    <row r="37996">
      <c r="A37996" s="6"/>
      <c r="B37996" s="6"/>
      <c r="H37996" s="13"/>
    </row>
    <row r="37997">
      <c r="A37997" s="6"/>
      <c r="B37997" s="6"/>
      <c r="H37997" s="13"/>
    </row>
    <row r="37998">
      <c r="A37998" s="6"/>
      <c r="B37998" s="6"/>
      <c r="H37998" s="13"/>
    </row>
    <row r="37999">
      <c r="A37999" s="6"/>
      <c r="B37999" s="6"/>
      <c r="H37999" s="13"/>
    </row>
    <row r="38000">
      <c r="A38000" s="6"/>
      <c r="B38000" s="6"/>
      <c r="H38000" s="13"/>
    </row>
    <row r="38001">
      <c r="A38001" s="6"/>
      <c r="B38001" s="6"/>
      <c r="H38001" s="13"/>
    </row>
    <row r="38002">
      <c r="A38002" s="6"/>
      <c r="B38002" s="6"/>
      <c r="H38002" s="13"/>
    </row>
    <row r="38003">
      <c r="A38003" s="6"/>
      <c r="B38003" s="6"/>
      <c r="H38003" s="13"/>
    </row>
    <row r="38004">
      <c r="A38004" s="6"/>
      <c r="B38004" s="6"/>
      <c r="H38004" s="13"/>
    </row>
    <row r="38005">
      <c r="A38005" s="6"/>
      <c r="B38005" s="6"/>
      <c r="H38005" s="13"/>
    </row>
    <row r="38006">
      <c r="A38006" s="6"/>
      <c r="B38006" s="6"/>
      <c r="H38006" s="13"/>
    </row>
    <row r="38007">
      <c r="A38007" s="6"/>
      <c r="B38007" s="6"/>
      <c r="H38007" s="13"/>
    </row>
    <row r="38008">
      <c r="A38008" s="6"/>
      <c r="B38008" s="6"/>
      <c r="H38008" s="13"/>
    </row>
    <row r="38009">
      <c r="A38009" s="6"/>
      <c r="B38009" s="6"/>
      <c r="H38009" s="13"/>
    </row>
    <row r="38010">
      <c r="A38010" s="6"/>
      <c r="B38010" s="6"/>
      <c r="H38010" s="13"/>
    </row>
    <row r="38011">
      <c r="A38011" s="6"/>
      <c r="B38011" s="6"/>
      <c r="H38011" s="13"/>
    </row>
    <row r="38012">
      <c r="A38012" s="6"/>
      <c r="B38012" s="6"/>
      <c r="H38012" s="13"/>
    </row>
    <row r="38013">
      <c r="A38013" s="6"/>
      <c r="B38013" s="6"/>
      <c r="H38013" s="13"/>
    </row>
    <row r="38014">
      <c r="A38014" s="6"/>
      <c r="B38014" s="6"/>
      <c r="H38014" s="13"/>
    </row>
    <row r="38015">
      <c r="A38015" s="6"/>
      <c r="B38015" s="6"/>
      <c r="H38015" s="13"/>
    </row>
    <row r="38016">
      <c r="A38016" s="6"/>
      <c r="B38016" s="6"/>
      <c r="H38016" s="13"/>
    </row>
    <row r="38017">
      <c r="A38017" s="6"/>
      <c r="B38017" s="6"/>
      <c r="H38017" s="13"/>
    </row>
    <row r="38018">
      <c r="A38018" s="6"/>
      <c r="B38018" s="6"/>
      <c r="H38018" s="13"/>
    </row>
    <row r="38019">
      <c r="A38019" s="6"/>
      <c r="B38019" s="6"/>
      <c r="H38019" s="13"/>
    </row>
    <row r="38020">
      <c r="A38020" s="6"/>
      <c r="B38020" s="6"/>
      <c r="H38020" s="13"/>
    </row>
    <row r="38021">
      <c r="A38021" s="6"/>
      <c r="B38021" s="6"/>
      <c r="H38021" s="13"/>
    </row>
    <row r="38022">
      <c r="A38022" s="6"/>
      <c r="B38022" s="6"/>
      <c r="H38022" s="13"/>
    </row>
    <row r="38023">
      <c r="A38023" s="6"/>
      <c r="B38023" s="6"/>
      <c r="H38023" s="13"/>
    </row>
    <row r="38024">
      <c r="A38024" s="6"/>
      <c r="B38024" s="6"/>
      <c r="H38024" s="13"/>
    </row>
    <row r="38025">
      <c r="A38025" s="6"/>
      <c r="B38025" s="6"/>
      <c r="H38025" s="13"/>
    </row>
    <row r="38026">
      <c r="A38026" s="6"/>
      <c r="B38026" s="6"/>
      <c r="H38026" s="13"/>
    </row>
    <row r="38027">
      <c r="A38027" s="6"/>
      <c r="B38027" s="6"/>
      <c r="H38027" s="13"/>
    </row>
    <row r="38028">
      <c r="A38028" s="6"/>
      <c r="B38028" s="6"/>
      <c r="H38028" s="13"/>
    </row>
    <row r="38029">
      <c r="A38029" s="6"/>
      <c r="B38029" s="6"/>
      <c r="H38029" s="13"/>
    </row>
    <row r="38030">
      <c r="A38030" s="6"/>
      <c r="B38030" s="6"/>
      <c r="H38030" s="13"/>
    </row>
    <row r="38031">
      <c r="A38031" s="6"/>
      <c r="B38031" s="6"/>
      <c r="H38031" s="13"/>
    </row>
    <row r="38032">
      <c r="A38032" s="6"/>
      <c r="B38032" s="6"/>
      <c r="H38032" s="13"/>
    </row>
    <row r="38033">
      <c r="A38033" s="6"/>
      <c r="B38033" s="6"/>
      <c r="H38033" s="13"/>
    </row>
    <row r="38034">
      <c r="A38034" s="6"/>
      <c r="B38034" s="6"/>
      <c r="H38034" s="13"/>
    </row>
    <row r="38035">
      <c r="A38035" s="6"/>
      <c r="B38035" s="6"/>
      <c r="H38035" s="13"/>
    </row>
    <row r="38036">
      <c r="A38036" s="6"/>
      <c r="B38036" s="6"/>
      <c r="H38036" s="13"/>
    </row>
    <row r="38037">
      <c r="A38037" s="6"/>
      <c r="B38037" s="6"/>
      <c r="H38037" s="13"/>
    </row>
    <row r="38038">
      <c r="A38038" s="6"/>
      <c r="B38038" s="6"/>
      <c r="H38038" s="13"/>
    </row>
    <row r="38039">
      <c r="A38039" s="6"/>
      <c r="B38039" s="6"/>
      <c r="H38039" s="13"/>
    </row>
    <row r="38040">
      <c r="A38040" s="6"/>
      <c r="B38040" s="6"/>
      <c r="H38040" s="13"/>
    </row>
    <row r="38041">
      <c r="A38041" s="6"/>
      <c r="B38041" s="6"/>
      <c r="H38041" s="13"/>
    </row>
    <row r="38042">
      <c r="A38042" s="6"/>
      <c r="B38042" s="6"/>
      <c r="H38042" s="13"/>
    </row>
    <row r="38043">
      <c r="A38043" s="6"/>
      <c r="B38043" s="6"/>
      <c r="H38043" s="13"/>
    </row>
    <row r="38044">
      <c r="A38044" s="6"/>
      <c r="B38044" s="6"/>
      <c r="H38044" s="13"/>
    </row>
    <row r="38045">
      <c r="A38045" s="6"/>
      <c r="B38045" s="6"/>
      <c r="H38045" s="13"/>
    </row>
    <row r="38046">
      <c r="A38046" s="6"/>
      <c r="B38046" s="6"/>
      <c r="H38046" s="13"/>
    </row>
    <row r="38047">
      <c r="A38047" s="6"/>
      <c r="B38047" s="6"/>
      <c r="H38047" s="13"/>
    </row>
    <row r="38048">
      <c r="A38048" s="6"/>
      <c r="B38048" s="6"/>
      <c r="H38048" s="13"/>
    </row>
    <row r="38049">
      <c r="A38049" s="6"/>
      <c r="B38049" s="6"/>
      <c r="H38049" s="13"/>
    </row>
    <row r="38050">
      <c r="A38050" s="6"/>
      <c r="B38050" s="6"/>
      <c r="H38050" s="13"/>
    </row>
    <row r="38051">
      <c r="A38051" s="6"/>
      <c r="B38051" s="6"/>
      <c r="H38051" s="13"/>
    </row>
    <row r="38052">
      <c r="A38052" s="6"/>
      <c r="B38052" s="6"/>
      <c r="H38052" s="13"/>
    </row>
    <row r="38053">
      <c r="A38053" s="6"/>
      <c r="B38053" s="6"/>
      <c r="H38053" s="13"/>
    </row>
    <row r="38054">
      <c r="A38054" s="6"/>
      <c r="B38054" s="6"/>
      <c r="H38054" s="13"/>
    </row>
    <row r="38055">
      <c r="A38055" s="6"/>
      <c r="B38055" s="6"/>
      <c r="H38055" s="13"/>
    </row>
    <row r="38056">
      <c r="A38056" s="6"/>
      <c r="B38056" s="6"/>
      <c r="H38056" s="13"/>
    </row>
    <row r="38057">
      <c r="A38057" s="6"/>
      <c r="B38057" s="6"/>
      <c r="H38057" s="13"/>
    </row>
    <row r="38058">
      <c r="A38058" s="6"/>
      <c r="B38058" s="6"/>
      <c r="H38058" s="13"/>
    </row>
    <row r="38059">
      <c r="A38059" s="6"/>
      <c r="B38059" s="6"/>
      <c r="H38059" s="13"/>
    </row>
    <row r="38060">
      <c r="A38060" s="6"/>
      <c r="B38060" s="6"/>
      <c r="H38060" s="13"/>
    </row>
    <row r="38061">
      <c r="A38061" s="6"/>
      <c r="B38061" s="6"/>
      <c r="H38061" s="13"/>
    </row>
    <row r="38062">
      <c r="A38062" s="6"/>
      <c r="B38062" s="6"/>
      <c r="H38062" s="13"/>
    </row>
    <row r="38063">
      <c r="A38063" s="6"/>
      <c r="B38063" s="6"/>
      <c r="H38063" s="13"/>
    </row>
    <row r="38064">
      <c r="A38064" s="6"/>
      <c r="B38064" s="6"/>
      <c r="H38064" s="13"/>
    </row>
    <row r="38065">
      <c r="A38065" s="6"/>
      <c r="B38065" s="6"/>
      <c r="H38065" s="13"/>
    </row>
    <row r="38066">
      <c r="A38066" s="6"/>
      <c r="B38066" s="6"/>
      <c r="H38066" s="13"/>
    </row>
    <row r="38067">
      <c r="A38067" s="6"/>
      <c r="B38067" s="6"/>
      <c r="H38067" s="13"/>
    </row>
    <row r="38068">
      <c r="A38068" s="6"/>
      <c r="B38068" s="6"/>
      <c r="H38068" s="13"/>
    </row>
    <row r="38069">
      <c r="A38069" s="6"/>
      <c r="B38069" s="6"/>
      <c r="H38069" s="13"/>
    </row>
    <row r="38070">
      <c r="A38070" s="6"/>
      <c r="B38070" s="6"/>
      <c r="H38070" s="13"/>
    </row>
    <row r="38071">
      <c r="A38071" s="6"/>
      <c r="B38071" s="6"/>
      <c r="H38071" s="13"/>
    </row>
    <row r="38072">
      <c r="A38072" s="6"/>
      <c r="B38072" s="6"/>
      <c r="H38072" s="13"/>
    </row>
    <row r="38073">
      <c r="A38073" s="6"/>
      <c r="B38073" s="6"/>
      <c r="H38073" s="13"/>
    </row>
    <row r="38074">
      <c r="A38074" s="6"/>
      <c r="B38074" s="6"/>
      <c r="H38074" s="13"/>
    </row>
    <row r="38075">
      <c r="A38075" s="6"/>
      <c r="B38075" s="6"/>
      <c r="H38075" s="13"/>
    </row>
    <row r="38076">
      <c r="A38076" s="6"/>
      <c r="B38076" s="6"/>
      <c r="H38076" s="13"/>
    </row>
    <row r="38077">
      <c r="A38077" s="6"/>
      <c r="B38077" s="6"/>
      <c r="H38077" s="13"/>
    </row>
    <row r="38078">
      <c r="A38078" s="6"/>
      <c r="B38078" s="6"/>
      <c r="H38078" s="13"/>
    </row>
    <row r="38079">
      <c r="A38079" s="6"/>
      <c r="B38079" s="6"/>
      <c r="H38079" s="13"/>
    </row>
    <row r="38080">
      <c r="A38080" s="6"/>
      <c r="B38080" s="6"/>
      <c r="H38080" s="13"/>
    </row>
    <row r="38081">
      <c r="A38081" s="6"/>
      <c r="B38081" s="6"/>
      <c r="H38081" s="13"/>
    </row>
    <row r="38082">
      <c r="A38082" s="6"/>
      <c r="B38082" s="6"/>
      <c r="H38082" s="13"/>
    </row>
    <row r="38083">
      <c r="A38083" s="6"/>
      <c r="B38083" s="6"/>
      <c r="H38083" s="13"/>
    </row>
    <row r="38084">
      <c r="A38084" s="6"/>
      <c r="B38084" s="6"/>
      <c r="H38084" s="13"/>
    </row>
    <row r="38085">
      <c r="A38085" s="6"/>
      <c r="B38085" s="6"/>
      <c r="H38085" s="13"/>
    </row>
    <row r="38086">
      <c r="A38086" s="6"/>
      <c r="B38086" s="6"/>
      <c r="H38086" s="13"/>
    </row>
    <row r="38087">
      <c r="A38087" s="6"/>
      <c r="B38087" s="6"/>
      <c r="H38087" s="13"/>
    </row>
    <row r="38088">
      <c r="A38088" s="6"/>
      <c r="B38088" s="6"/>
      <c r="H38088" s="13"/>
    </row>
    <row r="38089">
      <c r="A38089" s="6"/>
      <c r="B38089" s="6"/>
      <c r="H38089" s="13"/>
    </row>
    <row r="38090">
      <c r="A38090" s="6"/>
      <c r="B38090" s="6"/>
      <c r="H38090" s="13"/>
    </row>
    <row r="38091">
      <c r="A38091" s="6"/>
      <c r="B38091" s="6"/>
      <c r="H38091" s="13"/>
    </row>
    <row r="38092">
      <c r="A38092" s="6"/>
      <c r="B38092" s="6"/>
      <c r="H38092" s="13"/>
    </row>
    <row r="38093">
      <c r="A38093" s="6"/>
      <c r="B38093" s="6"/>
      <c r="H38093" s="13"/>
    </row>
    <row r="38094">
      <c r="A38094" s="6"/>
      <c r="B38094" s="6"/>
      <c r="H38094" s="13"/>
    </row>
    <row r="38095">
      <c r="A38095" s="6"/>
      <c r="B38095" s="6"/>
      <c r="H38095" s="13"/>
    </row>
    <row r="38096">
      <c r="A38096" s="6"/>
      <c r="B38096" s="6"/>
      <c r="H38096" s="13"/>
    </row>
    <row r="38097">
      <c r="A38097" s="6"/>
      <c r="B38097" s="6"/>
      <c r="H38097" s="13"/>
    </row>
    <row r="38098">
      <c r="A38098" s="6"/>
      <c r="B38098" s="6"/>
      <c r="H38098" s="13"/>
    </row>
    <row r="38099">
      <c r="A38099" s="6"/>
      <c r="B38099" s="6"/>
      <c r="H38099" s="13"/>
    </row>
    <row r="38100">
      <c r="A38100" s="6"/>
      <c r="B38100" s="6"/>
      <c r="H38100" s="13"/>
    </row>
    <row r="38101">
      <c r="A38101" s="6"/>
      <c r="B38101" s="6"/>
      <c r="H38101" s="13"/>
    </row>
    <row r="38102">
      <c r="A38102" s="6"/>
      <c r="B38102" s="6"/>
      <c r="H38102" s="13"/>
    </row>
    <row r="38103">
      <c r="A38103" s="6"/>
      <c r="B38103" s="6"/>
      <c r="H38103" s="13"/>
    </row>
    <row r="38104">
      <c r="A38104" s="6"/>
      <c r="B38104" s="6"/>
      <c r="H38104" s="13"/>
    </row>
    <row r="38105">
      <c r="A38105" s="6"/>
      <c r="B38105" s="6"/>
      <c r="H38105" s="13"/>
    </row>
    <row r="38106">
      <c r="A38106" s="6"/>
      <c r="B38106" s="6"/>
      <c r="H38106" s="13"/>
    </row>
    <row r="38107">
      <c r="A38107" s="6"/>
      <c r="B38107" s="6"/>
      <c r="H38107" s="13"/>
    </row>
    <row r="38108">
      <c r="A38108" s="6"/>
      <c r="B38108" s="6"/>
      <c r="H38108" s="13"/>
    </row>
    <row r="38109">
      <c r="A38109" s="6"/>
      <c r="B38109" s="6"/>
      <c r="H38109" s="13"/>
    </row>
    <row r="38110">
      <c r="A38110" s="6"/>
      <c r="B38110" s="6"/>
      <c r="H38110" s="13"/>
    </row>
    <row r="38111">
      <c r="A38111" s="6"/>
      <c r="B38111" s="6"/>
      <c r="H38111" s="13"/>
    </row>
    <row r="38112">
      <c r="A38112" s="6"/>
      <c r="B38112" s="6"/>
      <c r="H38112" s="13"/>
    </row>
    <row r="38113">
      <c r="A38113" s="6"/>
      <c r="B38113" s="6"/>
      <c r="H38113" s="13"/>
    </row>
    <row r="38114">
      <c r="A38114" s="6"/>
      <c r="B38114" s="6"/>
      <c r="H38114" s="13"/>
    </row>
    <row r="38115">
      <c r="A38115" s="6"/>
      <c r="B38115" s="6"/>
      <c r="H38115" s="13"/>
    </row>
    <row r="38116">
      <c r="A38116" s="6"/>
      <c r="B38116" s="6"/>
      <c r="H38116" s="13"/>
    </row>
    <row r="38117">
      <c r="A38117" s="6"/>
      <c r="B38117" s="6"/>
      <c r="H38117" s="13"/>
    </row>
    <row r="38118">
      <c r="A38118" s="6"/>
      <c r="B38118" s="6"/>
      <c r="H38118" s="13"/>
    </row>
    <row r="38119">
      <c r="A38119" s="6"/>
      <c r="B38119" s="6"/>
      <c r="H38119" s="13"/>
    </row>
    <row r="38120">
      <c r="A38120" s="6"/>
      <c r="B38120" s="6"/>
      <c r="H38120" s="13"/>
    </row>
    <row r="38121">
      <c r="A38121" s="6"/>
      <c r="B38121" s="6"/>
      <c r="H38121" s="13"/>
    </row>
    <row r="38122">
      <c r="A38122" s="6"/>
      <c r="B38122" s="6"/>
      <c r="H38122" s="13"/>
    </row>
    <row r="38123">
      <c r="A38123" s="6"/>
      <c r="B38123" s="6"/>
      <c r="H38123" s="13"/>
    </row>
    <row r="38124">
      <c r="A38124" s="6"/>
      <c r="B38124" s="6"/>
      <c r="H38124" s="13"/>
    </row>
    <row r="38125">
      <c r="A38125" s="6"/>
      <c r="B38125" s="6"/>
      <c r="H38125" s="13"/>
    </row>
    <row r="38126">
      <c r="A38126" s="6"/>
      <c r="B38126" s="6"/>
      <c r="H38126" s="13"/>
    </row>
    <row r="38127">
      <c r="A38127" s="6"/>
      <c r="B38127" s="6"/>
      <c r="H38127" s="13"/>
    </row>
    <row r="38128">
      <c r="A38128" s="6"/>
      <c r="B38128" s="6"/>
      <c r="H38128" s="13"/>
    </row>
    <row r="38129">
      <c r="A38129" s="6"/>
      <c r="B38129" s="6"/>
      <c r="H38129" s="13"/>
    </row>
    <row r="38130">
      <c r="A38130" s="6"/>
      <c r="B38130" s="6"/>
      <c r="H38130" s="13"/>
    </row>
    <row r="38131">
      <c r="A38131" s="6"/>
      <c r="B38131" s="6"/>
      <c r="H38131" s="13"/>
    </row>
    <row r="38132">
      <c r="A38132" s="6"/>
      <c r="B38132" s="6"/>
      <c r="H38132" s="13"/>
    </row>
    <row r="38133">
      <c r="A38133" s="6"/>
      <c r="B38133" s="6"/>
      <c r="H38133" s="13"/>
    </row>
    <row r="38134">
      <c r="A38134" s="6"/>
      <c r="B38134" s="6"/>
      <c r="H38134" s="13"/>
    </row>
    <row r="38135">
      <c r="A38135" s="6"/>
      <c r="B38135" s="6"/>
      <c r="H38135" s="13"/>
    </row>
    <row r="38136">
      <c r="A38136" s="6"/>
      <c r="B38136" s="6"/>
      <c r="H38136" s="13"/>
    </row>
    <row r="38137">
      <c r="A38137" s="6"/>
      <c r="B38137" s="6"/>
      <c r="H38137" s="13"/>
    </row>
    <row r="38138">
      <c r="A38138" s="6"/>
      <c r="B38138" s="6"/>
      <c r="H38138" s="13"/>
    </row>
    <row r="38139">
      <c r="A38139" s="6"/>
      <c r="B38139" s="6"/>
      <c r="H38139" s="13"/>
    </row>
    <row r="38140">
      <c r="A38140" s="6"/>
      <c r="B38140" s="6"/>
      <c r="H38140" s="13"/>
    </row>
    <row r="38141">
      <c r="A38141" s="6"/>
      <c r="B38141" s="6"/>
      <c r="H38141" s="13"/>
    </row>
    <row r="38142">
      <c r="A38142" s="6"/>
      <c r="B38142" s="6"/>
      <c r="H38142" s="13"/>
    </row>
    <row r="38143">
      <c r="A38143" s="6"/>
      <c r="B38143" s="6"/>
      <c r="H38143" s="13"/>
    </row>
    <row r="38144">
      <c r="A38144" s="6"/>
      <c r="B38144" s="6"/>
      <c r="H38144" s="13"/>
    </row>
    <row r="38145">
      <c r="A38145" s="6"/>
      <c r="B38145" s="6"/>
      <c r="H38145" s="13"/>
    </row>
    <row r="38146">
      <c r="A38146" s="6"/>
      <c r="B38146" s="6"/>
      <c r="H38146" s="13"/>
    </row>
    <row r="38147">
      <c r="A38147" s="6"/>
      <c r="B38147" s="6"/>
      <c r="H38147" s="13"/>
    </row>
    <row r="38148">
      <c r="A38148" s="6"/>
      <c r="B38148" s="6"/>
      <c r="H38148" s="13"/>
    </row>
    <row r="38149">
      <c r="A38149" s="6"/>
      <c r="B38149" s="6"/>
      <c r="H38149" s="13"/>
    </row>
    <row r="38150">
      <c r="A38150" s="6"/>
      <c r="B38150" s="6"/>
      <c r="H38150" s="13"/>
    </row>
    <row r="38151">
      <c r="A38151" s="6"/>
      <c r="B38151" s="6"/>
      <c r="H38151" s="13"/>
    </row>
    <row r="38152">
      <c r="A38152" s="6"/>
      <c r="B38152" s="6"/>
      <c r="H38152" s="13"/>
    </row>
    <row r="38153">
      <c r="A38153" s="6"/>
      <c r="B38153" s="6"/>
      <c r="H38153" s="13"/>
    </row>
    <row r="38154">
      <c r="A38154" s="6"/>
      <c r="B38154" s="6"/>
      <c r="H38154" s="13"/>
    </row>
    <row r="38155">
      <c r="A38155" s="6"/>
      <c r="B38155" s="6"/>
      <c r="H38155" s="13"/>
    </row>
    <row r="38156">
      <c r="A38156" s="6"/>
      <c r="B38156" s="6"/>
      <c r="H38156" s="13"/>
    </row>
    <row r="38157">
      <c r="A38157" s="6"/>
      <c r="B38157" s="6"/>
      <c r="H38157" s="13"/>
    </row>
    <row r="38158">
      <c r="A38158" s="6"/>
      <c r="B38158" s="6"/>
      <c r="H38158" s="13"/>
    </row>
    <row r="38159">
      <c r="A38159" s="6"/>
      <c r="B38159" s="6"/>
      <c r="H38159" s="13"/>
    </row>
    <row r="38160">
      <c r="A38160" s="6"/>
      <c r="B38160" s="6"/>
      <c r="H38160" s="13"/>
    </row>
    <row r="38161">
      <c r="A38161" s="6"/>
      <c r="B38161" s="6"/>
      <c r="H38161" s="13"/>
    </row>
    <row r="38162">
      <c r="A38162" s="6"/>
      <c r="B38162" s="6"/>
      <c r="H38162" s="13"/>
    </row>
    <row r="38163">
      <c r="A38163" s="6"/>
      <c r="B38163" s="6"/>
      <c r="H38163" s="13"/>
    </row>
    <row r="38164">
      <c r="A38164" s="6"/>
      <c r="B38164" s="6"/>
      <c r="H38164" s="13"/>
    </row>
    <row r="38165">
      <c r="A38165" s="6"/>
      <c r="B38165" s="6"/>
      <c r="H38165" s="13"/>
    </row>
    <row r="38166">
      <c r="A38166" s="6"/>
      <c r="B38166" s="6"/>
      <c r="H38166" s="13"/>
    </row>
    <row r="38167">
      <c r="A38167" s="6"/>
      <c r="B38167" s="6"/>
      <c r="H38167" s="13"/>
    </row>
    <row r="38168">
      <c r="A38168" s="6"/>
      <c r="B38168" s="6"/>
      <c r="H38168" s="13"/>
    </row>
    <row r="38169">
      <c r="A38169" s="6"/>
      <c r="B38169" s="6"/>
      <c r="H38169" s="13"/>
    </row>
    <row r="38170">
      <c r="A38170" s="6"/>
      <c r="B38170" s="6"/>
      <c r="H38170" s="13"/>
    </row>
    <row r="38171">
      <c r="A38171" s="6"/>
      <c r="B38171" s="6"/>
      <c r="H38171" s="13"/>
    </row>
    <row r="38172">
      <c r="A38172" s="6"/>
      <c r="B38172" s="6"/>
      <c r="H38172" s="13"/>
    </row>
    <row r="38173">
      <c r="A38173" s="6"/>
      <c r="B38173" s="6"/>
      <c r="H38173" s="13"/>
    </row>
    <row r="38174">
      <c r="A38174" s="6"/>
      <c r="B38174" s="6"/>
      <c r="H38174" s="13"/>
    </row>
    <row r="38175">
      <c r="A38175" s="6"/>
      <c r="B38175" s="6"/>
      <c r="H38175" s="13"/>
    </row>
    <row r="38176">
      <c r="A38176" s="6"/>
      <c r="B38176" s="6"/>
      <c r="H38176" s="13"/>
    </row>
    <row r="38177">
      <c r="A38177" s="6"/>
      <c r="B38177" s="6"/>
      <c r="H38177" s="13"/>
    </row>
    <row r="38178">
      <c r="A38178" s="6"/>
      <c r="B38178" s="6"/>
      <c r="H38178" s="13"/>
    </row>
    <row r="38179">
      <c r="A38179" s="6"/>
      <c r="B38179" s="6"/>
      <c r="H38179" s="13"/>
    </row>
    <row r="38180">
      <c r="A38180" s="6"/>
      <c r="B38180" s="6"/>
      <c r="H38180" s="13"/>
    </row>
    <row r="38181">
      <c r="A38181" s="6"/>
      <c r="B38181" s="6"/>
      <c r="H38181" s="13"/>
    </row>
    <row r="38182">
      <c r="A38182" s="6"/>
      <c r="B38182" s="6"/>
      <c r="H38182" s="13"/>
    </row>
    <row r="38183">
      <c r="A38183" s="6"/>
      <c r="B38183" s="6"/>
      <c r="H38183" s="13"/>
    </row>
    <row r="38184">
      <c r="A38184" s="6"/>
      <c r="B38184" s="6"/>
      <c r="H38184" s="13"/>
    </row>
    <row r="38185">
      <c r="A38185" s="6"/>
      <c r="B38185" s="6"/>
      <c r="H38185" s="13"/>
    </row>
    <row r="38186">
      <c r="A38186" s="6"/>
      <c r="B38186" s="6"/>
      <c r="H38186" s="13"/>
    </row>
    <row r="38187">
      <c r="A38187" s="6"/>
      <c r="B38187" s="6"/>
      <c r="H38187" s="13"/>
    </row>
    <row r="38188">
      <c r="A38188" s="6"/>
      <c r="B38188" s="6"/>
      <c r="H38188" s="13"/>
    </row>
    <row r="38189">
      <c r="A38189" s="6"/>
      <c r="B38189" s="6"/>
      <c r="H38189" s="13"/>
    </row>
    <row r="38190">
      <c r="A38190" s="6"/>
      <c r="B38190" s="6"/>
      <c r="H38190" s="13"/>
    </row>
    <row r="38191">
      <c r="A38191" s="6"/>
      <c r="B38191" s="6"/>
      <c r="H38191" s="13"/>
    </row>
    <row r="38192">
      <c r="A38192" s="6"/>
      <c r="B38192" s="6"/>
      <c r="H38192" s="13"/>
    </row>
    <row r="38193">
      <c r="A38193" s="6"/>
      <c r="B38193" s="6"/>
      <c r="H38193" s="13"/>
    </row>
    <row r="38194">
      <c r="A38194" s="6"/>
      <c r="B38194" s="6"/>
      <c r="H38194" s="13"/>
    </row>
    <row r="38195">
      <c r="A38195" s="6"/>
      <c r="B38195" s="6"/>
      <c r="H38195" s="13"/>
    </row>
    <row r="38196">
      <c r="A38196" s="6"/>
      <c r="B38196" s="6"/>
      <c r="H38196" s="13"/>
    </row>
    <row r="38197">
      <c r="A38197" s="6"/>
      <c r="B38197" s="6"/>
      <c r="H38197" s="13"/>
    </row>
    <row r="38198">
      <c r="A38198" s="6"/>
      <c r="B38198" s="6"/>
      <c r="H38198" s="13"/>
    </row>
    <row r="38199">
      <c r="A38199" s="6"/>
      <c r="B38199" s="6"/>
      <c r="H38199" s="13"/>
    </row>
    <row r="38200">
      <c r="A38200" s="6"/>
      <c r="B38200" s="6"/>
      <c r="H38200" s="13"/>
    </row>
    <row r="38201">
      <c r="A38201" s="6"/>
      <c r="B38201" s="6"/>
      <c r="H38201" s="13"/>
    </row>
    <row r="38202">
      <c r="A38202" s="6"/>
      <c r="B38202" s="6"/>
      <c r="H38202" s="13"/>
    </row>
    <row r="38203">
      <c r="A38203" s="6"/>
      <c r="B38203" s="6"/>
      <c r="H38203" s="13"/>
    </row>
    <row r="38204">
      <c r="A38204" s="6"/>
      <c r="B38204" s="6"/>
      <c r="H38204" s="13"/>
    </row>
    <row r="38205">
      <c r="A38205" s="6"/>
      <c r="B38205" s="6"/>
      <c r="H38205" s="13"/>
    </row>
    <row r="38206">
      <c r="A38206" s="6"/>
      <c r="B38206" s="6"/>
      <c r="H38206" s="13"/>
    </row>
    <row r="38207">
      <c r="A38207" s="6"/>
      <c r="B38207" s="6"/>
      <c r="H38207" s="13"/>
    </row>
    <row r="38208">
      <c r="A38208" s="6"/>
      <c r="B38208" s="6"/>
      <c r="H38208" s="13"/>
    </row>
    <row r="38209">
      <c r="A38209" s="6"/>
      <c r="B38209" s="6"/>
      <c r="H38209" s="13"/>
    </row>
    <row r="38210">
      <c r="A38210" s="6"/>
      <c r="B38210" s="6"/>
      <c r="H38210" s="13"/>
    </row>
    <row r="38211">
      <c r="A38211" s="6"/>
      <c r="B38211" s="6"/>
      <c r="H38211" s="13"/>
    </row>
    <row r="38212">
      <c r="A38212" s="6"/>
      <c r="B38212" s="6"/>
      <c r="H38212" s="13"/>
    </row>
    <row r="38213">
      <c r="A38213" s="6"/>
      <c r="B38213" s="6"/>
      <c r="H38213" s="13"/>
    </row>
    <row r="38214">
      <c r="A38214" s="6"/>
      <c r="B38214" s="6"/>
      <c r="H38214" s="13"/>
    </row>
    <row r="38215">
      <c r="A38215" s="6"/>
      <c r="B38215" s="6"/>
      <c r="H38215" s="13"/>
    </row>
    <row r="38216">
      <c r="A38216" s="6"/>
      <c r="B38216" s="6"/>
      <c r="H38216" s="13"/>
    </row>
    <row r="38217">
      <c r="A38217" s="6"/>
      <c r="B38217" s="6"/>
      <c r="H38217" s="13"/>
    </row>
    <row r="38218">
      <c r="A38218" s="6"/>
      <c r="B38218" s="6"/>
      <c r="H38218" s="13"/>
    </row>
    <row r="38219">
      <c r="A38219" s="6"/>
      <c r="B38219" s="6"/>
      <c r="H38219" s="13"/>
    </row>
    <row r="38220">
      <c r="A38220" s="6"/>
      <c r="B38220" s="6"/>
      <c r="H38220" s="13"/>
    </row>
    <row r="38221">
      <c r="A38221" s="6"/>
      <c r="B38221" s="6"/>
      <c r="H38221" s="13"/>
    </row>
    <row r="38222">
      <c r="A38222" s="6"/>
      <c r="B38222" s="6"/>
      <c r="H38222" s="13"/>
    </row>
    <row r="38223">
      <c r="A38223" s="6"/>
      <c r="B38223" s="6"/>
      <c r="H38223" s="13"/>
    </row>
    <row r="38224">
      <c r="A38224" s="6"/>
      <c r="B38224" s="6"/>
      <c r="H38224" s="13"/>
    </row>
    <row r="38225">
      <c r="A38225" s="6"/>
      <c r="B38225" s="6"/>
      <c r="H38225" s="13"/>
    </row>
    <row r="38226">
      <c r="A38226" s="6"/>
      <c r="B38226" s="6"/>
      <c r="H38226" s="13"/>
    </row>
    <row r="38227">
      <c r="A38227" s="6"/>
      <c r="B38227" s="6"/>
      <c r="H38227" s="13"/>
    </row>
    <row r="38228">
      <c r="A38228" s="6"/>
      <c r="B38228" s="6"/>
      <c r="H38228" s="13"/>
    </row>
    <row r="38229">
      <c r="A38229" s="6"/>
      <c r="B38229" s="6"/>
      <c r="H38229" s="13"/>
    </row>
    <row r="38230">
      <c r="A38230" s="6"/>
      <c r="B38230" s="6"/>
      <c r="H38230" s="13"/>
    </row>
    <row r="38231">
      <c r="A38231" s="6"/>
      <c r="B38231" s="6"/>
      <c r="H38231" s="13"/>
    </row>
    <row r="38232">
      <c r="A38232" s="6"/>
      <c r="B38232" s="6"/>
      <c r="H38232" s="13"/>
    </row>
    <row r="38233">
      <c r="A38233" s="6"/>
      <c r="B38233" s="6"/>
      <c r="H38233" s="13"/>
    </row>
    <row r="38234">
      <c r="A38234" s="6"/>
      <c r="B38234" s="6"/>
      <c r="H38234" s="13"/>
    </row>
    <row r="38235">
      <c r="A38235" s="6"/>
      <c r="B38235" s="6"/>
      <c r="H38235" s="13"/>
    </row>
    <row r="38236">
      <c r="A38236" s="6"/>
      <c r="B38236" s="6"/>
      <c r="H38236" s="13"/>
    </row>
    <row r="38237">
      <c r="A38237" s="6"/>
      <c r="B38237" s="6"/>
      <c r="H38237" s="13"/>
    </row>
    <row r="38238">
      <c r="A38238" s="6"/>
      <c r="B38238" s="6"/>
      <c r="H38238" s="13"/>
    </row>
    <row r="38239">
      <c r="A38239" s="6"/>
      <c r="B38239" s="6"/>
      <c r="H38239" s="13"/>
    </row>
    <row r="38240">
      <c r="A38240" s="6"/>
      <c r="B38240" s="6"/>
      <c r="H38240" s="13"/>
    </row>
    <row r="38241">
      <c r="A38241" s="6"/>
      <c r="B38241" s="6"/>
      <c r="H38241" s="13"/>
    </row>
    <row r="38242">
      <c r="A38242" s="6"/>
      <c r="B38242" s="6"/>
      <c r="H38242" s="13"/>
    </row>
    <row r="38243">
      <c r="A38243" s="6"/>
      <c r="B38243" s="6"/>
      <c r="H38243" s="13"/>
    </row>
    <row r="38244">
      <c r="A38244" s="6"/>
      <c r="B38244" s="6"/>
      <c r="H38244" s="13"/>
    </row>
    <row r="38245">
      <c r="A38245" s="6"/>
      <c r="B38245" s="6"/>
      <c r="H38245" s="13"/>
    </row>
    <row r="38246">
      <c r="A38246" s="6"/>
      <c r="B38246" s="6"/>
      <c r="H38246" s="13"/>
    </row>
    <row r="38247">
      <c r="A38247" s="6"/>
      <c r="B38247" s="6"/>
      <c r="H38247" s="13"/>
    </row>
    <row r="38248">
      <c r="A38248" s="6"/>
      <c r="B38248" s="6"/>
      <c r="H38248" s="13"/>
    </row>
    <row r="38249">
      <c r="A38249" s="6"/>
      <c r="B38249" s="6"/>
      <c r="H38249" s="13"/>
    </row>
    <row r="38250">
      <c r="A38250" s="6"/>
      <c r="B38250" s="6"/>
      <c r="H38250" s="13"/>
    </row>
    <row r="38251">
      <c r="A38251" s="6"/>
      <c r="B38251" s="6"/>
      <c r="H38251" s="13"/>
    </row>
    <row r="38252">
      <c r="A38252" s="6"/>
      <c r="B38252" s="6"/>
      <c r="H38252" s="13"/>
    </row>
    <row r="38253">
      <c r="A38253" s="6"/>
      <c r="B38253" s="6"/>
      <c r="H38253" s="13"/>
    </row>
    <row r="38254">
      <c r="A38254" s="6"/>
      <c r="B38254" s="6"/>
      <c r="H38254" s="13"/>
    </row>
    <row r="38255">
      <c r="A38255" s="6"/>
      <c r="B38255" s="6"/>
      <c r="H38255" s="13"/>
    </row>
    <row r="38256">
      <c r="A38256" s="6"/>
      <c r="B38256" s="6"/>
      <c r="H38256" s="13"/>
    </row>
    <row r="38257">
      <c r="A38257" s="6"/>
      <c r="B38257" s="6"/>
      <c r="H38257" s="13"/>
    </row>
    <row r="38258">
      <c r="A38258" s="6"/>
      <c r="B38258" s="6"/>
      <c r="H38258" s="13"/>
    </row>
    <row r="38259">
      <c r="A38259" s="6"/>
      <c r="B38259" s="6"/>
      <c r="H38259" s="13"/>
    </row>
    <row r="38260">
      <c r="A38260" s="6"/>
      <c r="B38260" s="6"/>
      <c r="H38260" s="13"/>
    </row>
    <row r="38261">
      <c r="A38261" s="6"/>
      <c r="B38261" s="6"/>
      <c r="H38261" s="13"/>
    </row>
    <row r="38262">
      <c r="A38262" s="6"/>
      <c r="B38262" s="6"/>
      <c r="H38262" s="13"/>
    </row>
    <row r="38263">
      <c r="A38263" s="6"/>
      <c r="B38263" s="6"/>
      <c r="H38263" s="13"/>
    </row>
    <row r="38264">
      <c r="A38264" s="6"/>
      <c r="B38264" s="6"/>
      <c r="H38264" s="13"/>
    </row>
    <row r="38265">
      <c r="A38265" s="6"/>
      <c r="B38265" s="6"/>
      <c r="H38265" s="13"/>
    </row>
    <row r="38266">
      <c r="A38266" s="6"/>
      <c r="B38266" s="6"/>
      <c r="H38266" s="13"/>
    </row>
    <row r="38267">
      <c r="A38267" s="6"/>
      <c r="B38267" s="6"/>
      <c r="H38267" s="13"/>
    </row>
    <row r="38268">
      <c r="A38268" s="6"/>
      <c r="B38268" s="6"/>
      <c r="H38268" s="13"/>
    </row>
    <row r="38269">
      <c r="A38269" s="6"/>
      <c r="B38269" s="6"/>
      <c r="H38269" s="13"/>
    </row>
    <row r="38270">
      <c r="A38270" s="6"/>
      <c r="B38270" s="6"/>
      <c r="H38270" s="13"/>
    </row>
    <row r="38271">
      <c r="A38271" s="6"/>
      <c r="B38271" s="6"/>
      <c r="H38271" s="13"/>
    </row>
    <row r="38272">
      <c r="A38272" s="6"/>
      <c r="B38272" s="6"/>
      <c r="H38272" s="13"/>
    </row>
    <row r="38273">
      <c r="A38273" s="6"/>
      <c r="B38273" s="6"/>
      <c r="H38273" s="13"/>
    </row>
    <row r="38274">
      <c r="A38274" s="6"/>
      <c r="B38274" s="6"/>
      <c r="H38274" s="13"/>
    </row>
    <row r="38275">
      <c r="A38275" s="6"/>
      <c r="B38275" s="6"/>
      <c r="H38275" s="13"/>
    </row>
    <row r="38276">
      <c r="A38276" s="6"/>
      <c r="B38276" s="6"/>
      <c r="H38276" s="13"/>
    </row>
    <row r="38277">
      <c r="A38277" s="6"/>
      <c r="B38277" s="6"/>
      <c r="H38277" s="13"/>
    </row>
    <row r="38278">
      <c r="A38278" s="6"/>
      <c r="B38278" s="6"/>
      <c r="H38278" s="13"/>
    </row>
    <row r="38279">
      <c r="A38279" s="6"/>
      <c r="B38279" s="6"/>
      <c r="H38279" s="13"/>
    </row>
    <row r="38280">
      <c r="A38280" s="6"/>
      <c r="B38280" s="6"/>
      <c r="H38280" s="13"/>
    </row>
    <row r="38281">
      <c r="A38281" s="6"/>
      <c r="B38281" s="6"/>
      <c r="H38281" s="13"/>
    </row>
    <row r="38282">
      <c r="A38282" s="6"/>
      <c r="B38282" s="6"/>
      <c r="H38282" s="13"/>
    </row>
    <row r="38283">
      <c r="A38283" s="6"/>
      <c r="B38283" s="6"/>
      <c r="H38283" s="13"/>
    </row>
    <row r="38284">
      <c r="A38284" s="6"/>
      <c r="B38284" s="6"/>
      <c r="H38284" s="13"/>
    </row>
    <row r="38285">
      <c r="A38285" s="6"/>
      <c r="B38285" s="6"/>
      <c r="H38285" s="13"/>
    </row>
    <row r="38286">
      <c r="A38286" s="6"/>
      <c r="B38286" s="6"/>
      <c r="H38286" s="13"/>
    </row>
    <row r="38287">
      <c r="A38287" s="6"/>
      <c r="B38287" s="6"/>
      <c r="H38287" s="13"/>
    </row>
    <row r="38288">
      <c r="A38288" s="6"/>
      <c r="B38288" s="6"/>
      <c r="H38288" s="13"/>
    </row>
    <row r="38289">
      <c r="A38289" s="6"/>
      <c r="B38289" s="6"/>
      <c r="H38289" s="13"/>
    </row>
    <row r="38290">
      <c r="A38290" s="6"/>
      <c r="B38290" s="6"/>
      <c r="H38290" s="13"/>
    </row>
    <row r="38291">
      <c r="A38291" s="6"/>
      <c r="B38291" s="6"/>
      <c r="H38291" s="13"/>
    </row>
    <row r="38292">
      <c r="A38292" s="6"/>
      <c r="B38292" s="6"/>
      <c r="H38292" s="13"/>
    </row>
    <row r="38293">
      <c r="A38293" s="6"/>
      <c r="B38293" s="6"/>
      <c r="H38293" s="13"/>
    </row>
    <row r="38294">
      <c r="A38294" s="6"/>
      <c r="B38294" s="6"/>
      <c r="H38294" s="13"/>
    </row>
    <row r="38295">
      <c r="A38295" s="6"/>
      <c r="B38295" s="6"/>
      <c r="H38295" s="13"/>
    </row>
    <row r="38296">
      <c r="A38296" s="6"/>
      <c r="B38296" s="6"/>
      <c r="H38296" s="13"/>
    </row>
    <row r="38297">
      <c r="A38297" s="6"/>
      <c r="B38297" s="6"/>
      <c r="H38297" s="13"/>
    </row>
    <row r="38298">
      <c r="A38298" s="6"/>
      <c r="B38298" s="6"/>
      <c r="H38298" s="13"/>
    </row>
    <row r="38299">
      <c r="A38299" s="6"/>
      <c r="B38299" s="6"/>
      <c r="H38299" s="13"/>
    </row>
    <row r="38300">
      <c r="A38300" s="6"/>
      <c r="B38300" s="6"/>
      <c r="H38300" s="13"/>
    </row>
    <row r="38301">
      <c r="A38301" s="6"/>
      <c r="B38301" s="6"/>
      <c r="H38301" s="13"/>
    </row>
    <row r="38302">
      <c r="A38302" s="6"/>
      <c r="B38302" s="6"/>
      <c r="H38302" s="13"/>
    </row>
    <row r="38303">
      <c r="A38303" s="6"/>
      <c r="B38303" s="6"/>
      <c r="H38303" s="13"/>
    </row>
    <row r="38304">
      <c r="A38304" s="6"/>
      <c r="B38304" s="6"/>
      <c r="H38304" s="13"/>
    </row>
    <row r="38305">
      <c r="A38305" s="6"/>
      <c r="B38305" s="6"/>
      <c r="H38305" s="13"/>
    </row>
    <row r="38306">
      <c r="A38306" s="6"/>
      <c r="B38306" s="6"/>
      <c r="H38306" s="13"/>
    </row>
    <row r="38307">
      <c r="A38307" s="6"/>
      <c r="B38307" s="6"/>
      <c r="H38307" s="13"/>
    </row>
    <row r="38308">
      <c r="A38308" s="6"/>
      <c r="B38308" s="6"/>
      <c r="H38308" s="13"/>
    </row>
    <row r="38309">
      <c r="A38309" s="6"/>
      <c r="B38309" s="6"/>
      <c r="H38309" s="13"/>
    </row>
    <row r="38310">
      <c r="A38310" s="6"/>
      <c r="B38310" s="6"/>
      <c r="H38310" s="13"/>
    </row>
    <row r="38311">
      <c r="A38311" s="6"/>
      <c r="B38311" s="6"/>
      <c r="H38311" s="13"/>
    </row>
    <row r="38312">
      <c r="A38312" s="6"/>
      <c r="B38312" s="6"/>
      <c r="H38312" s="13"/>
    </row>
    <row r="38313">
      <c r="A38313" s="6"/>
      <c r="B38313" s="6"/>
      <c r="H38313" s="13"/>
    </row>
    <row r="38314">
      <c r="A38314" s="6"/>
      <c r="B38314" s="6"/>
      <c r="H38314" s="13"/>
    </row>
    <row r="38315">
      <c r="A38315" s="6"/>
      <c r="B38315" s="6"/>
      <c r="H38315" s="13"/>
    </row>
    <row r="38316">
      <c r="A38316" s="6"/>
      <c r="B38316" s="6"/>
      <c r="H38316" s="13"/>
    </row>
    <row r="38317">
      <c r="A38317" s="6"/>
      <c r="B38317" s="6"/>
      <c r="H38317" s="13"/>
    </row>
    <row r="38318">
      <c r="A38318" s="6"/>
      <c r="B38318" s="6"/>
      <c r="H38318" s="13"/>
    </row>
    <row r="38319">
      <c r="A38319" s="6"/>
      <c r="B38319" s="6"/>
      <c r="H38319" s="13"/>
    </row>
    <row r="38320">
      <c r="A38320" s="6"/>
      <c r="B38320" s="6"/>
      <c r="H38320" s="13"/>
    </row>
    <row r="38321">
      <c r="A38321" s="6"/>
      <c r="B38321" s="6"/>
      <c r="H38321" s="13"/>
    </row>
    <row r="38322">
      <c r="A38322" s="6"/>
      <c r="B38322" s="6"/>
      <c r="H38322" s="13"/>
    </row>
    <row r="38323">
      <c r="A38323" s="6"/>
      <c r="B38323" s="6"/>
      <c r="H38323" s="13"/>
    </row>
    <row r="38324">
      <c r="A38324" s="6"/>
      <c r="B38324" s="6"/>
      <c r="H38324" s="13"/>
    </row>
    <row r="38325">
      <c r="A38325" s="6"/>
      <c r="B38325" s="6"/>
      <c r="H38325" s="13"/>
    </row>
    <row r="38326">
      <c r="A38326" s="6"/>
      <c r="B38326" s="6"/>
      <c r="H38326" s="13"/>
    </row>
    <row r="38327">
      <c r="A38327" s="6"/>
      <c r="B38327" s="6"/>
      <c r="H38327" s="13"/>
    </row>
    <row r="38328">
      <c r="A38328" s="6"/>
      <c r="B38328" s="6"/>
      <c r="H38328" s="13"/>
    </row>
    <row r="38329">
      <c r="A38329" s="6"/>
      <c r="B38329" s="6"/>
      <c r="H38329" s="13"/>
    </row>
    <row r="38330">
      <c r="A38330" s="6"/>
      <c r="B38330" s="6"/>
      <c r="H38330" s="13"/>
    </row>
    <row r="38331">
      <c r="A38331" s="6"/>
      <c r="B38331" s="6"/>
      <c r="H38331" s="13"/>
    </row>
    <row r="38332">
      <c r="A38332" s="6"/>
      <c r="B38332" s="6"/>
      <c r="H38332" s="13"/>
    </row>
    <row r="38333">
      <c r="A38333" s="6"/>
      <c r="B38333" s="6"/>
      <c r="H38333" s="13"/>
    </row>
    <row r="38334">
      <c r="A38334" s="6"/>
      <c r="B38334" s="6"/>
      <c r="H38334" s="13"/>
    </row>
    <row r="38335">
      <c r="A38335" s="6"/>
      <c r="B38335" s="6"/>
      <c r="H38335" s="13"/>
    </row>
    <row r="38336">
      <c r="A38336" s="6"/>
      <c r="B38336" s="6"/>
      <c r="H38336" s="13"/>
    </row>
    <row r="38337">
      <c r="A38337" s="6"/>
      <c r="B38337" s="6"/>
      <c r="H38337" s="13"/>
    </row>
    <row r="38338">
      <c r="A38338" s="6"/>
      <c r="B38338" s="6"/>
      <c r="H38338" s="13"/>
    </row>
    <row r="38339">
      <c r="A38339" s="6"/>
      <c r="B38339" s="6"/>
      <c r="H38339" s="13"/>
    </row>
    <row r="38340">
      <c r="A38340" s="6"/>
      <c r="B38340" s="6"/>
      <c r="H38340" s="13"/>
    </row>
    <row r="38341">
      <c r="A38341" s="6"/>
      <c r="B38341" s="6"/>
      <c r="H38341" s="13"/>
    </row>
    <row r="38342">
      <c r="A38342" s="6"/>
      <c r="B38342" s="6"/>
      <c r="H38342" s="13"/>
    </row>
    <row r="38343">
      <c r="A38343" s="6"/>
      <c r="B38343" s="6"/>
      <c r="H38343" s="13"/>
    </row>
    <row r="38344">
      <c r="A38344" s="6"/>
      <c r="B38344" s="6"/>
      <c r="H38344" s="13"/>
    </row>
    <row r="38345">
      <c r="A38345" s="6"/>
      <c r="B38345" s="6"/>
      <c r="H38345" s="13"/>
    </row>
    <row r="38346">
      <c r="A38346" s="6"/>
      <c r="B38346" s="6"/>
      <c r="H38346" s="13"/>
    </row>
    <row r="38347">
      <c r="A38347" s="6"/>
      <c r="B38347" s="6"/>
      <c r="H38347" s="13"/>
    </row>
    <row r="38348">
      <c r="A38348" s="6"/>
      <c r="B38348" s="6"/>
      <c r="H38348" s="13"/>
    </row>
    <row r="38349">
      <c r="A38349" s="6"/>
      <c r="B38349" s="6"/>
      <c r="H38349" s="13"/>
    </row>
    <row r="38350">
      <c r="A38350" s="6"/>
      <c r="B38350" s="6"/>
      <c r="H38350" s="13"/>
    </row>
    <row r="38351">
      <c r="A38351" s="6"/>
      <c r="B38351" s="6"/>
      <c r="H38351" s="13"/>
    </row>
    <row r="38352">
      <c r="A38352" s="6"/>
      <c r="B38352" s="6"/>
      <c r="H38352" s="13"/>
    </row>
    <row r="38353">
      <c r="A38353" s="6"/>
      <c r="B38353" s="6"/>
      <c r="H38353" s="13"/>
    </row>
    <row r="38354">
      <c r="A38354" s="6"/>
      <c r="B38354" s="6"/>
      <c r="H38354" s="13"/>
    </row>
    <row r="38355">
      <c r="A38355" s="6"/>
      <c r="B38355" s="6"/>
      <c r="H38355" s="13"/>
    </row>
    <row r="38356">
      <c r="A38356" s="6"/>
      <c r="B38356" s="6"/>
      <c r="H38356" s="13"/>
    </row>
    <row r="38357">
      <c r="A38357" s="6"/>
      <c r="B38357" s="6"/>
      <c r="H38357" s="13"/>
    </row>
    <row r="38358">
      <c r="A38358" s="6"/>
      <c r="B38358" s="6"/>
      <c r="H38358" s="13"/>
    </row>
    <row r="38359">
      <c r="A38359" s="6"/>
      <c r="B38359" s="6"/>
      <c r="H38359" s="13"/>
    </row>
    <row r="38360">
      <c r="A38360" s="6"/>
      <c r="B38360" s="6"/>
      <c r="H38360" s="13"/>
    </row>
    <row r="38361">
      <c r="A38361" s="6"/>
      <c r="B38361" s="6"/>
      <c r="H38361" s="13"/>
    </row>
    <row r="38362">
      <c r="A38362" s="6"/>
      <c r="B38362" s="6"/>
      <c r="H38362" s="13"/>
    </row>
    <row r="38363">
      <c r="A38363" s="6"/>
      <c r="B38363" s="6"/>
      <c r="H38363" s="13"/>
    </row>
    <row r="38364">
      <c r="A38364" s="6"/>
      <c r="B38364" s="6"/>
      <c r="H38364" s="13"/>
    </row>
    <row r="38365">
      <c r="A38365" s="6"/>
      <c r="B38365" s="6"/>
      <c r="H38365" s="13"/>
    </row>
    <row r="38366">
      <c r="A38366" s="6"/>
      <c r="B38366" s="6"/>
      <c r="H38366" s="13"/>
    </row>
    <row r="38367">
      <c r="A38367" s="6"/>
      <c r="B38367" s="6"/>
      <c r="H38367" s="13"/>
    </row>
    <row r="38368">
      <c r="A38368" s="6"/>
      <c r="B38368" s="6"/>
      <c r="H38368" s="13"/>
    </row>
    <row r="38369">
      <c r="A38369" s="6"/>
      <c r="B38369" s="6"/>
      <c r="H38369" s="13"/>
    </row>
    <row r="38370">
      <c r="A38370" s="6"/>
      <c r="B38370" s="6"/>
      <c r="H38370" s="13"/>
    </row>
    <row r="38371">
      <c r="A38371" s="6"/>
      <c r="B38371" s="6"/>
      <c r="H38371" s="13"/>
    </row>
    <row r="38372">
      <c r="A38372" s="6"/>
      <c r="B38372" s="6"/>
      <c r="H38372" s="13"/>
    </row>
    <row r="38373">
      <c r="A38373" s="6"/>
      <c r="B38373" s="6"/>
      <c r="H38373" s="13"/>
    </row>
    <row r="38374">
      <c r="A38374" s="6"/>
      <c r="B38374" s="6"/>
      <c r="H38374" s="13"/>
    </row>
    <row r="38375">
      <c r="A38375" s="6"/>
      <c r="B38375" s="6"/>
      <c r="H38375" s="13"/>
    </row>
    <row r="38376">
      <c r="A38376" s="6"/>
      <c r="B38376" s="6"/>
      <c r="H38376" s="13"/>
    </row>
    <row r="38377">
      <c r="A38377" s="6"/>
      <c r="B38377" s="6"/>
      <c r="H38377" s="13"/>
    </row>
    <row r="38378">
      <c r="A38378" s="6"/>
      <c r="B38378" s="6"/>
      <c r="H38378" s="13"/>
    </row>
    <row r="38379">
      <c r="A38379" s="6"/>
      <c r="B38379" s="6"/>
      <c r="H38379" s="13"/>
    </row>
    <row r="38380">
      <c r="A38380" s="6"/>
      <c r="B38380" s="6"/>
      <c r="H38380" s="13"/>
    </row>
    <row r="38381">
      <c r="A38381" s="6"/>
      <c r="B38381" s="6"/>
      <c r="H38381" s="13"/>
    </row>
    <row r="38382">
      <c r="A38382" s="6"/>
      <c r="B38382" s="6"/>
      <c r="H38382" s="13"/>
    </row>
    <row r="38383">
      <c r="A38383" s="6"/>
      <c r="B38383" s="6"/>
      <c r="H38383" s="13"/>
    </row>
    <row r="38384">
      <c r="A38384" s="6"/>
      <c r="B38384" s="6"/>
      <c r="H38384" s="13"/>
    </row>
    <row r="38385">
      <c r="A38385" s="6"/>
      <c r="B38385" s="6"/>
      <c r="H38385" s="13"/>
    </row>
    <row r="38386">
      <c r="A38386" s="6"/>
      <c r="B38386" s="6"/>
      <c r="H38386" s="13"/>
    </row>
    <row r="38387">
      <c r="A38387" s="6"/>
      <c r="B38387" s="6"/>
      <c r="H38387" s="13"/>
    </row>
    <row r="38388">
      <c r="A38388" s="6"/>
      <c r="B38388" s="6"/>
      <c r="H38388" s="13"/>
    </row>
    <row r="38389">
      <c r="A38389" s="6"/>
      <c r="B38389" s="6"/>
      <c r="H38389" s="13"/>
    </row>
    <row r="38390">
      <c r="A38390" s="6"/>
      <c r="B38390" s="6"/>
      <c r="H38390" s="13"/>
    </row>
    <row r="38391">
      <c r="A38391" s="6"/>
      <c r="B38391" s="6"/>
      <c r="H38391" s="13"/>
    </row>
    <row r="38392">
      <c r="A38392" s="6"/>
      <c r="B38392" s="6"/>
      <c r="H38392" s="13"/>
    </row>
    <row r="38393">
      <c r="A38393" s="6"/>
      <c r="B38393" s="6"/>
      <c r="H38393" s="13"/>
    </row>
    <row r="38394">
      <c r="A38394" s="6"/>
      <c r="B38394" s="6"/>
      <c r="H38394" s="13"/>
    </row>
    <row r="38395">
      <c r="A38395" s="6"/>
      <c r="B38395" s="6"/>
      <c r="H38395" s="13"/>
    </row>
    <row r="38396">
      <c r="A38396" s="6"/>
      <c r="B38396" s="6"/>
      <c r="H38396" s="13"/>
    </row>
    <row r="38397">
      <c r="A38397" s="6"/>
      <c r="B38397" s="6"/>
      <c r="H38397" s="13"/>
    </row>
    <row r="38398">
      <c r="A38398" s="6"/>
      <c r="B38398" s="6"/>
      <c r="H38398" s="13"/>
    </row>
    <row r="38399">
      <c r="A38399" s="6"/>
      <c r="B38399" s="6"/>
      <c r="H38399" s="13"/>
    </row>
    <row r="38400">
      <c r="A38400" s="6"/>
      <c r="B38400" s="6"/>
      <c r="H38400" s="13"/>
    </row>
    <row r="38401">
      <c r="A38401" s="6"/>
      <c r="B38401" s="6"/>
      <c r="H38401" s="13"/>
    </row>
    <row r="38402">
      <c r="A38402" s="6"/>
      <c r="B38402" s="6"/>
      <c r="H38402" s="13"/>
    </row>
    <row r="38403">
      <c r="A38403" s="6"/>
      <c r="B38403" s="6"/>
      <c r="H38403" s="13"/>
    </row>
    <row r="38404">
      <c r="A38404" s="6"/>
      <c r="B38404" s="6"/>
      <c r="H38404" s="13"/>
    </row>
    <row r="38405">
      <c r="A38405" s="6"/>
      <c r="B38405" s="6"/>
      <c r="H38405" s="13"/>
    </row>
    <row r="38406">
      <c r="A38406" s="6"/>
      <c r="B38406" s="6"/>
      <c r="H38406" s="13"/>
    </row>
    <row r="38407">
      <c r="A38407" s="6"/>
      <c r="B38407" s="6"/>
      <c r="H38407" s="13"/>
    </row>
    <row r="38408">
      <c r="A38408" s="6"/>
      <c r="B38408" s="6"/>
      <c r="H38408" s="13"/>
    </row>
    <row r="38409">
      <c r="A38409" s="6"/>
      <c r="B38409" s="6"/>
      <c r="H38409" s="13"/>
    </row>
    <row r="38410">
      <c r="A38410" s="6"/>
      <c r="B38410" s="6"/>
      <c r="H38410" s="13"/>
    </row>
    <row r="38411">
      <c r="A38411" s="6"/>
      <c r="B38411" s="6"/>
      <c r="H38411" s="13"/>
    </row>
    <row r="38412">
      <c r="A38412" s="6"/>
      <c r="B38412" s="6"/>
      <c r="H38412" s="13"/>
    </row>
    <row r="38413">
      <c r="A38413" s="6"/>
      <c r="B38413" s="6"/>
      <c r="H38413" s="13"/>
    </row>
    <row r="38414">
      <c r="A38414" s="6"/>
      <c r="B38414" s="6"/>
      <c r="H38414" s="13"/>
    </row>
    <row r="38415">
      <c r="A38415" s="6"/>
      <c r="B38415" s="6"/>
      <c r="H38415" s="13"/>
    </row>
    <row r="38416">
      <c r="A38416" s="6"/>
      <c r="B38416" s="6"/>
      <c r="H38416" s="13"/>
    </row>
    <row r="38417">
      <c r="A38417" s="6"/>
      <c r="B38417" s="6"/>
      <c r="H38417" s="13"/>
    </row>
    <row r="38418">
      <c r="A38418" s="6"/>
      <c r="B38418" s="6"/>
      <c r="H38418" s="13"/>
    </row>
    <row r="38419">
      <c r="A38419" s="6"/>
      <c r="B38419" s="6"/>
      <c r="H38419" s="13"/>
    </row>
    <row r="38420">
      <c r="A38420" s="6"/>
      <c r="B38420" s="6"/>
      <c r="H38420" s="13"/>
    </row>
    <row r="38421">
      <c r="A38421" s="6"/>
      <c r="B38421" s="6"/>
      <c r="H38421" s="13"/>
    </row>
    <row r="38422">
      <c r="A38422" s="6"/>
      <c r="B38422" s="6"/>
      <c r="H38422" s="13"/>
    </row>
    <row r="38423">
      <c r="A38423" s="6"/>
      <c r="B38423" s="6"/>
      <c r="H38423" s="13"/>
    </row>
    <row r="38424">
      <c r="A38424" s="6"/>
      <c r="B38424" s="6"/>
      <c r="H38424" s="13"/>
    </row>
    <row r="38425">
      <c r="A38425" s="6"/>
      <c r="B38425" s="6"/>
      <c r="H38425" s="13"/>
    </row>
    <row r="38426">
      <c r="A38426" s="6"/>
      <c r="B38426" s="6"/>
      <c r="H38426" s="13"/>
    </row>
    <row r="38427">
      <c r="A38427" s="6"/>
      <c r="B38427" s="6"/>
      <c r="H38427" s="13"/>
    </row>
    <row r="38428">
      <c r="A38428" s="6"/>
      <c r="B38428" s="6"/>
      <c r="H38428" s="13"/>
    </row>
    <row r="38429">
      <c r="A38429" s="6"/>
      <c r="B38429" s="6"/>
      <c r="H38429" s="13"/>
    </row>
    <row r="38430">
      <c r="A38430" s="6"/>
      <c r="B38430" s="6"/>
      <c r="H38430" s="13"/>
    </row>
    <row r="38431">
      <c r="A38431" s="6"/>
      <c r="B38431" s="6"/>
      <c r="H38431" s="13"/>
    </row>
    <row r="38432">
      <c r="A38432" s="6"/>
      <c r="B38432" s="6"/>
      <c r="H38432" s="13"/>
    </row>
    <row r="38433">
      <c r="A38433" s="6"/>
      <c r="B38433" s="6"/>
      <c r="H38433" s="13"/>
    </row>
    <row r="38434">
      <c r="A38434" s="6"/>
      <c r="B38434" s="6"/>
      <c r="H38434" s="13"/>
    </row>
    <row r="38435">
      <c r="A38435" s="6"/>
      <c r="B38435" s="6"/>
      <c r="H38435" s="13"/>
    </row>
    <row r="38436">
      <c r="A38436" s="6"/>
      <c r="B38436" s="6"/>
      <c r="H38436" s="13"/>
    </row>
    <row r="38437">
      <c r="A38437" s="6"/>
      <c r="B38437" s="6"/>
      <c r="H38437" s="13"/>
    </row>
    <row r="38438">
      <c r="A38438" s="6"/>
      <c r="B38438" s="6"/>
      <c r="H38438" s="13"/>
    </row>
    <row r="38439">
      <c r="A38439" s="6"/>
      <c r="B38439" s="6"/>
      <c r="H38439" s="13"/>
    </row>
    <row r="38440">
      <c r="A38440" s="6"/>
      <c r="B38440" s="6"/>
      <c r="H38440" s="13"/>
    </row>
    <row r="38441">
      <c r="A38441" s="6"/>
      <c r="B38441" s="6"/>
      <c r="H38441" s="13"/>
    </row>
    <row r="38442">
      <c r="A38442" s="6"/>
      <c r="B38442" s="6"/>
      <c r="H38442" s="13"/>
    </row>
    <row r="38443">
      <c r="A38443" s="6"/>
      <c r="B38443" s="6"/>
      <c r="H38443" s="13"/>
    </row>
    <row r="38444">
      <c r="A38444" s="6"/>
      <c r="B38444" s="6"/>
      <c r="H38444" s="13"/>
    </row>
    <row r="38445">
      <c r="A38445" s="6"/>
      <c r="B38445" s="6"/>
      <c r="H38445" s="13"/>
    </row>
    <row r="38446">
      <c r="A38446" s="6"/>
      <c r="B38446" s="6"/>
      <c r="H38446" s="13"/>
    </row>
    <row r="38447">
      <c r="A38447" s="6"/>
      <c r="B38447" s="6"/>
      <c r="H38447" s="13"/>
    </row>
    <row r="38448">
      <c r="A38448" s="6"/>
      <c r="B38448" s="6"/>
      <c r="H38448" s="13"/>
    </row>
    <row r="38449">
      <c r="A38449" s="6"/>
      <c r="B38449" s="6"/>
      <c r="H38449" s="13"/>
    </row>
    <row r="38450">
      <c r="A38450" s="6"/>
      <c r="B38450" s="6"/>
      <c r="H38450" s="13"/>
    </row>
    <row r="38451">
      <c r="A38451" s="6"/>
      <c r="B38451" s="6"/>
      <c r="H38451" s="13"/>
    </row>
    <row r="38452">
      <c r="A38452" s="6"/>
      <c r="B38452" s="6"/>
      <c r="H38452" s="13"/>
    </row>
    <row r="38453">
      <c r="A38453" s="6"/>
      <c r="B38453" s="6"/>
      <c r="H38453" s="13"/>
    </row>
    <row r="38454">
      <c r="A38454" s="6"/>
      <c r="B38454" s="6"/>
      <c r="H38454" s="13"/>
    </row>
    <row r="38455">
      <c r="A38455" s="6"/>
      <c r="B38455" s="6"/>
      <c r="H38455" s="13"/>
    </row>
    <row r="38456">
      <c r="A38456" s="6"/>
      <c r="B38456" s="6"/>
      <c r="H38456" s="13"/>
    </row>
    <row r="38457">
      <c r="A38457" s="6"/>
      <c r="B38457" s="6"/>
      <c r="H38457" s="13"/>
    </row>
    <row r="38458">
      <c r="A38458" s="6"/>
      <c r="B38458" s="6"/>
      <c r="H38458" s="13"/>
    </row>
    <row r="38459">
      <c r="A38459" s="6"/>
      <c r="B38459" s="6"/>
      <c r="H38459" s="13"/>
    </row>
    <row r="38460">
      <c r="A38460" s="6"/>
      <c r="B38460" s="6"/>
      <c r="H38460" s="13"/>
    </row>
    <row r="38461">
      <c r="A38461" s="6"/>
      <c r="B38461" s="6"/>
      <c r="H38461" s="13"/>
    </row>
    <row r="38462">
      <c r="A38462" s="6"/>
      <c r="B38462" s="6"/>
      <c r="H38462" s="13"/>
    </row>
    <row r="38463">
      <c r="A38463" s="6"/>
      <c r="B38463" s="6"/>
      <c r="H38463" s="13"/>
    </row>
    <row r="38464">
      <c r="A38464" s="6"/>
      <c r="B38464" s="6"/>
      <c r="H38464" s="13"/>
    </row>
    <row r="38465">
      <c r="A38465" s="6"/>
      <c r="B38465" s="6"/>
      <c r="H38465" s="13"/>
    </row>
    <row r="38466">
      <c r="A38466" s="6"/>
      <c r="B38466" s="6"/>
      <c r="H38466" s="13"/>
    </row>
    <row r="38467">
      <c r="A38467" s="6"/>
      <c r="B38467" s="6"/>
      <c r="H38467" s="13"/>
    </row>
    <row r="38468">
      <c r="A38468" s="6"/>
      <c r="B38468" s="6"/>
      <c r="H38468" s="13"/>
    </row>
    <row r="38469">
      <c r="A38469" s="6"/>
      <c r="B38469" s="6"/>
      <c r="H38469" s="13"/>
    </row>
    <row r="38470">
      <c r="A38470" s="6"/>
      <c r="B38470" s="6"/>
      <c r="H38470" s="13"/>
    </row>
    <row r="38471">
      <c r="A38471" s="6"/>
      <c r="B38471" s="6"/>
      <c r="H38471" s="13"/>
    </row>
    <row r="38472">
      <c r="A38472" s="6"/>
      <c r="B38472" s="6"/>
      <c r="H38472" s="13"/>
    </row>
    <row r="38473">
      <c r="A38473" s="6"/>
      <c r="B38473" s="6"/>
      <c r="H38473" s="13"/>
    </row>
    <row r="38474">
      <c r="A38474" s="6"/>
      <c r="B38474" s="6"/>
      <c r="H38474" s="13"/>
    </row>
    <row r="38475">
      <c r="A38475" s="6"/>
      <c r="B38475" s="6"/>
      <c r="H38475" s="13"/>
    </row>
    <row r="38476">
      <c r="A38476" s="6"/>
      <c r="B38476" s="6"/>
      <c r="H38476" s="13"/>
    </row>
    <row r="38477">
      <c r="A38477" s="6"/>
      <c r="B38477" s="6"/>
      <c r="H38477" s="13"/>
    </row>
    <row r="38478">
      <c r="A38478" s="6"/>
      <c r="B38478" s="6"/>
      <c r="H38478" s="13"/>
    </row>
    <row r="38479">
      <c r="A38479" s="6"/>
      <c r="B38479" s="6"/>
      <c r="H38479" s="13"/>
    </row>
    <row r="38480">
      <c r="A38480" s="6"/>
      <c r="B38480" s="6"/>
      <c r="H38480" s="13"/>
    </row>
    <row r="38481">
      <c r="A38481" s="6"/>
      <c r="B38481" s="6"/>
      <c r="H38481" s="13"/>
    </row>
    <row r="38482">
      <c r="A38482" s="6"/>
      <c r="B38482" s="6"/>
      <c r="H38482" s="13"/>
    </row>
    <row r="38483">
      <c r="A38483" s="6"/>
      <c r="B38483" s="6"/>
      <c r="H38483" s="13"/>
    </row>
    <row r="38484">
      <c r="A38484" s="6"/>
      <c r="B38484" s="6"/>
      <c r="H38484" s="13"/>
    </row>
    <row r="38485">
      <c r="A38485" s="6"/>
      <c r="B38485" s="6"/>
      <c r="H38485" s="13"/>
    </row>
    <row r="38486">
      <c r="A38486" s="6"/>
      <c r="B38486" s="6"/>
      <c r="H38486" s="13"/>
    </row>
    <row r="38487">
      <c r="A38487" s="6"/>
      <c r="B38487" s="6"/>
      <c r="H38487" s="13"/>
    </row>
    <row r="38488">
      <c r="A38488" s="6"/>
      <c r="B38488" s="6"/>
      <c r="H38488" s="13"/>
    </row>
    <row r="38489">
      <c r="A38489" s="6"/>
      <c r="B38489" s="6"/>
      <c r="H38489" s="13"/>
    </row>
    <row r="38490">
      <c r="A38490" s="6"/>
      <c r="B38490" s="6"/>
      <c r="H38490" s="13"/>
    </row>
    <row r="38491">
      <c r="A38491" s="6"/>
      <c r="B38491" s="6"/>
      <c r="H38491" s="13"/>
    </row>
    <row r="38492">
      <c r="A38492" s="6"/>
      <c r="B38492" s="6"/>
      <c r="H38492" s="13"/>
    </row>
    <row r="38493">
      <c r="A38493" s="6"/>
      <c r="B38493" s="6"/>
      <c r="H38493" s="13"/>
    </row>
    <row r="38494">
      <c r="A38494" s="6"/>
      <c r="B38494" s="6"/>
      <c r="H38494" s="13"/>
    </row>
    <row r="38495">
      <c r="A38495" s="6"/>
      <c r="B38495" s="6"/>
      <c r="H38495" s="13"/>
    </row>
    <row r="38496">
      <c r="A38496" s="6"/>
      <c r="B38496" s="6"/>
      <c r="H38496" s="13"/>
    </row>
    <row r="38497">
      <c r="A38497" s="6"/>
      <c r="B38497" s="6"/>
      <c r="H38497" s="13"/>
    </row>
    <row r="38498">
      <c r="A38498" s="6"/>
      <c r="B38498" s="6"/>
      <c r="H38498" s="13"/>
    </row>
    <row r="38499">
      <c r="A38499" s="6"/>
      <c r="B38499" s="6"/>
      <c r="H38499" s="13"/>
    </row>
    <row r="38500">
      <c r="A38500" s="6"/>
      <c r="B38500" s="6"/>
      <c r="H38500" s="13"/>
    </row>
    <row r="38501">
      <c r="A38501" s="6"/>
      <c r="B38501" s="6"/>
      <c r="H38501" s="13"/>
    </row>
    <row r="38502">
      <c r="A38502" s="6"/>
      <c r="B38502" s="6"/>
      <c r="H38502" s="13"/>
    </row>
    <row r="38503">
      <c r="A38503" s="6"/>
      <c r="B38503" s="6"/>
      <c r="H38503" s="13"/>
    </row>
    <row r="38504">
      <c r="A38504" s="6"/>
      <c r="B38504" s="6"/>
      <c r="H38504" s="13"/>
    </row>
    <row r="38505">
      <c r="A38505" s="6"/>
      <c r="B38505" s="6"/>
      <c r="H38505" s="13"/>
    </row>
    <row r="38506">
      <c r="A38506" s="6"/>
      <c r="B38506" s="6"/>
      <c r="H38506" s="13"/>
    </row>
    <row r="38507">
      <c r="A38507" s="6"/>
      <c r="B38507" s="6"/>
      <c r="H38507" s="13"/>
    </row>
    <row r="38508">
      <c r="A38508" s="6"/>
      <c r="B38508" s="6"/>
      <c r="H38508" s="13"/>
    </row>
    <row r="38509">
      <c r="A38509" s="6"/>
      <c r="B38509" s="6"/>
      <c r="H38509" s="13"/>
    </row>
    <row r="38510">
      <c r="A38510" s="6"/>
      <c r="B38510" s="6"/>
      <c r="H38510" s="13"/>
    </row>
    <row r="38511">
      <c r="A38511" s="6"/>
      <c r="B38511" s="6"/>
      <c r="H38511" s="13"/>
    </row>
    <row r="38512">
      <c r="A38512" s="6"/>
      <c r="B38512" s="6"/>
      <c r="H38512" s="13"/>
    </row>
    <row r="38513">
      <c r="A38513" s="6"/>
      <c r="B38513" s="6"/>
      <c r="H38513" s="13"/>
    </row>
    <row r="38514">
      <c r="A38514" s="6"/>
      <c r="B38514" s="6"/>
      <c r="H38514" s="13"/>
    </row>
    <row r="38515">
      <c r="A38515" s="6"/>
      <c r="B38515" s="6"/>
      <c r="H38515" s="13"/>
    </row>
    <row r="38516">
      <c r="A38516" s="6"/>
      <c r="B38516" s="6"/>
      <c r="H38516" s="13"/>
    </row>
    <row r="38517">
      <c r="A38517" s="6"/>
      <c r="B38517" s="6"/>
      <c r="H38517" s="13"/>
    </row>
    <row r="38518">
      <c r="A38518" s="6"/>
      <c r="B38518" s="6"/>
      <c r="H38518" s="13"/>
    </row>
    <row r="38519">
      <c r="A38519" s="6"/>
      <c r="B38519" s="6"/>
      <c r="H38519" s="13"/>
    </row>
    <row r="38520">
      <c r="A38520" s="6"/>
      <c r="B38520" s="6"/>
      <c r="H38520" s="13"/>
    </row>
    <row r="38521">
      <c r="A38521" s="6"/>
      <c r="B38521" s="6"/>
      <c r="H38521" s="13"/>
    </row>
    <row r="38522">
      <c r="A38522" s="6"/>
      <c r="B38522" s="6"/>
      <c r="H38522" s="13"/>
    </row>
    <row r="38523">
      <c r="A38523" s="6"/>
      <c r="B38523" s="6"/>
      <c r="H38523" s="13"/>
    </row>
    <row r="38524">
      <c r="A38524" s="6"/>
      <c r="B38524" s="6"/>
      <c r="H38524" s="13"/>
    </row>
    <row r="38525">
      <c r="A38525" s="6"/>
      <c r="B38525" s="6"/>
      <c r="H38525" s="13"/>
    </row>
    <row r="38526">
      <c r="A38526" s="6"/>
      <c r="B38526" s="6"/>
      <c r="H38526" s="13"/>
    </row>
    <row r="38527">
      <c r="A38527" s="6"/>
      <c r="B38527" s="6"/>
      <c r="H38527" s="13"/>
    </row>
    <row r="38528">
      <c r="A38528" s="6"/>
      <c r="B38528" s="6"/>
      <c r="H38528" s="13"/>
    </row>
    <row r="38529">
      <c r="A38529" s="6"/>
      <c r="B38529" s="6"/>
      <c r="H38529" s="13"/>
    </row>
    <row r="38530">
      <c r="A38530" s="6"/>
      <c r="B38530" s="6"/>
      <c r="H38530" s="13"/>
    </row>
    <row r="38531">
      <c r="A38531" s="6"/>
      <c r="B38531" s="6"/>
      <c r="H38531" s="13"/>
    </row>
    <row r="38532">
      <c r="A38532" s="6"/>
      <c r="B38532" s="6"/>
      <c r="H38532" s="13"/>
    </row>
    <row r="38533">
      <c r="A38533" s="6"/>
      <c r="B38533" s="6"/>
      <c r="H38533" s="13"/>
    </row>
    <row r="38534">
      <c r="A38534" s="6"/>
      <c r="B38534" s="6"/>
      <c r="H38534" s="13"/>
    </row>
    <row r="38535">
      <c r="A38535" s="6"/>
      <c r="B38535" s="6"/>
      <c r="H38535" s="13"/>
    </row>
    <row r="38536">
      <c r="A38536" s="6"/>
      <c r="B38536" s="6"/>
      <c r="H38536" s="13"/>
    </row>
    <row r="38537">
      <c r="A38537" s="6"/>
      <c r="B38537" s="6"/>
      <c r="H38537" s="13"/>
    </row>
    <row r="38538">
      <c r="A38538" s="6"/>
      <c r="B38538" s="6"/>
      <c r="H38538" s="13"/>
    </row>
    <row r="38539">
      <c r="A38539" s="6"/>
      <c r="B38539" s="6"/>
      <c r="H38539" s="13"/>
    </row>
    <row r="38540">
      <c r="A38540" s="6"/>
      <c r="B38540" s="6"/>
      <c r="H38540" s="13"/>
    </row>
    <row r="38541">
      <c r="A38541" s="6"/>
      <c r="B38541" s="6"/>
      <c r="H38541" s="13"/>
    </row>
    <row r="38542">
      <c r="A38542" s="6"/>
      <c r="B38542" s="6"/>
      <c r="H38542" s="13"/>
    </row>
    <row r="38543">
      <c r="A38543" s="6"/>
      <c r="B38543" s="6"/>
      <c r="H38543" s="13"/>
    </row>
    <row r="38544">
      <c r="A38544" s="6"/>
      <c r="B38544" s="6"/>
      <c r="H38544" s="13"/>
    </row>
    <row r="38545">
      <c r="A38545" s="6"/>
      <c r="B38545" s="6"/>
      <c r="H38545" s="13"/>
    </row>
    <row r="38546">
      <c r="A38546" s="6"/>
      <c r="B38546" s="6"/>
      <c r="H38546" s="13"/>
    </row>
    <row r="38547">
      <c r="A38547" s="6"/>
      <c r="B38547" s="6"/>
      <c r="H38547" s="13"/>
    </row>
    <row r="38548">
      <c r="A38548" s="6"/>
      <c r="B38548" s="6"/>
      <c r="H38548" s="13"/>
    </row>
    <row r="38549">
      <c r="A38549" s="6"/>
      <c r="B38549" s="6"/>
      <c r="H38549" s="13"/>
    </row>
    <row r="38550">
      <c r="A38550" s="6"/>
      <c r="B38550" s="6"/>
      <c r="H38550" s="13"/>
    </row>
    <row r="38551">
      <c r="A38551" s="6"/>
      <c r="B38551" s="6"/>
      <c r="H38551" s="13"/>
    </row>
    <row r="38552">
      <c r="A38552" s="6"/>
      <c r="B38552" s="6"/>
      <c r="H38552" s="13"/>
    </row>
    <row r="38553">
      <c r="A38553" s="6"/>
      <c r="B38553" s="6"/>
      <c r="H38553" s="13"/>
    </row>
    <row r="38554">
      <c r="A38554" s="6"/>
      <c r="B38554" s="6"/>
      <c r="H38554" s="13"/>
    </row>
    <row r="38555">
      <c r="A38555" s="6"/>
      <c r="B38555" s="6"/>
      <c r="H38555" s="13"/>
    </row>
    <row r="38556">
      <c r="A38556" s="6"/>
      <c r="B38556" s="6"/>
      <c r="H38556" s="13"/>
    </row>
    <row r="38557">
      <c r="A38557" s="6"/>
      <c r="B38557" s="6"/>
      <c r="H38557" s="13"/>
    </row>
    <row r="38558">
      <c r="A38558" s="6"/>
      <c r="B38558" s="6"/>
      <c r="H38558" s="13"/>
    </row>
    <row r="38559">
      <c r="A38559" s="6"/>
      <c r="B38559" s="6"/>
      <c r="H38559" s="13"/>
    </row>
    <row r="38560">
      <c r="A38560" s="6"/>
      <c r="B38560" s="6"/>
      <c r="H38560" s="13"/>
    </row>
    <row r="38561">
      <c r="A38561" s="6"/>
      <c r="B38561" s="6"/>
      <c r="H38561" s="13"/>
    </row>
    <row r="38562">
      <c r="A38562" s="6"/>
      <c r="B38562" s="6"/>
      <c r="H38562" s="13"/>
    </row>
    <row r="38563">
      <c r="A38563" s="6"/>
      <c r="B38563" s="6"/>
      <c r="H38563" s="13"/>
    </row>
    <row r="38564">
      <c r="A38564" s="6"/>
      <c r="B38564" s="6"/>
      <c r="H38564" s="13"/>
    </row>
    <row r="38565">
      <c r="A38565" s="6"/>
      <c r="B38565" s="6"/>
      <c r="H38565" s="13"/>
    </row>
    <row r="38566">
      <c r="A38566" s="6"/>
      <c r="B38566" s="6"/>
      <c r="H38566" s="13"/>
    </row>
    <row r="38567">
      <c r="A38567" s="6"/>
      <c r="B38567" s="6"/>
      <c r="H38567" s="13"/>
    </row>
    <row r="38568">
      <c r="A38568" s="6"/>
      <c r="B38568" s="6"/>
      <c r="H38568" s="13"/>
    </row>
    <row r="38569">
      <c r="A38569" s="6"/>
      <c r="B38569" s="6"/>
      <c r="H38569" s="13"/>
    </row>
    <row r="38570">
      <c r="A38570" s="6"/>
      <c r="B38570" s="6"/>
      <c r="H38570" s="13"/>
    </row>
    <row r="38571">
      <c r="A38571" s="6"/>
      <c r="B38571" s="6"/>
      <c r="H38571" s="13"/>
    </row>
    <row r="38572">
      <c r="A38572" s="6"/>
      <c r="B38572" s="6"/>
      <c r="H38572" s="13"/>
    </row>
    <row r="38573">
      <c r="A38573" s="6"/>
      <c r="B38573" s="6"/>
      <c r="H38573" s="13"/>
    </row>
    <row r="38574">
      <c r="A38574" s="6"/>
      <c r="B38574" s="6"/>
      <c r="H38574" s="13"/>
    </row>
    <row r="38575">
      <c r="A38575" s="6"/>
      <c r="B38575" s="6"/>
      <c r="H38575" s="13"/>
    </row>
    <row r="38576">
      <c r="A38576" s="6"/>
      <c r="B38576" s="6"/>
      <c r="H38576" s="13"/>
    </row>
    <row r="38577">
      <c r="A38577" s="6"/>
      <c r="B38577" s="6"/>
      <c r="H38577" s="13"/>
    </row>
    <row r="38578">
      <c r="A38578" s="6"/>
      <c r="B38578" s="6"/>
      <c r="H38578" s="13"/>
    </row>
    <row r="38579">
      <c r="A38579" s="6"/>
      <c r="B38579" s="6"/>
      <c r="H38579" s="13"/>
    </row>
    <row r="38580">
      <c r="A38580" s="6"/>
      <c r="B38580" s="6"/>
      <c r="H38580" s="13"/>
    </row>
    <row r="38581">
      <c r="A38581" s="6"/>
      <c r="B38581" s="6"/>
      <c r="H38581" s="13"/>
    </row>
    <row r="38582">
      <c r="A38582" s="6"/>
      <c r="B38582" s="6"/>
      <c r="H38582" s="13"/>
    </row>
    <row r="38583">
      <c r="A38583" s="6"/>
      <c r="B38583" s="6"/>
      <c r="H38583" s="13"/>
    </row>
    <row r="38584">
      <c r="A38584" s="6"/>
      <c r="B38584" s="6"/>
      <c r="H38584" s="13"/>
    </row>
    <row r="38585">
      <c r="A38585" s="6"/>
      <c r="B38585" s="6"/>
      <c r="H38585" s="13"/>
    </row>
    <row r="38586">
      <c r="A38586" s="6"/>
      <c r="B38586" s="6"/>
      <c r="H38586" s="13"/>
    </row>
    <row r="38587">
      <c r="A38587" s="6"/>
      <c r="B38587" s="6"/>
      <c r="H38587" s="13"/>
    </row>
    <row r="38588">
      <c r="A38588" s="6"/>
      <c r="B38588" s="6"/>
      <c r="H38588" s="13"/>
    </row>
    <row r="38589">
      <c r="A38589" s="6"/>
      <c r="B38589" s="6"/>
      <c r="H38589" s="13"/>
    </row>
    <row r="38590">
      <c r="A38590" s="6"/>
      <c r="B38590" s="6"/>
      <c r="H38590" s="13"/>
    </row>
    <row r="38591">
      <c r="A38591" s="6"/>
      <c r="B38591" s="6"/>
      <c r="H38591" s="13"/>
    </row>
    <row r="38592">
      <c r="A38592" s="6"/>
      <c r="B38592" s="6"/>
      <c r="H38592" s="13"/>
    </row>
    <row r="38593">
      <c r="A38593" s="6"/>
      <c r="B38593" s="6"/>
      <c r="H38593" s="13"/>
    </row>
    <row r="38594">
      <c r="A38594" s="6"/>
      <c r="B38594" s="6"/>
      <c r="H38594" s="13"/>
    </row>
    <row r="38595">
      <c r="A38595" s="6"/>
      <c r="B38595" s="6"/>
      <c r="H38595" s="13"/>
    </row>
    <row r="38596">
      <c r="A38596" s="6"/>
      <c r="B38596" s="6"/>
      <c r="H38596" s="13"/>
    </row>
    <row r="38597">
      <c r="A38597" s="6"/>
      <c r="B38597" s="6"/>
      <c r="H38597" s="13"/>
    </row>
    <row r="38598">
      <c r="A38598" s="6"/>
      <c r="B38598" s="6"/>
      <c r="H38598" s="13"/>
    </row>
    <row r="38599">
      <c r="A38599" s="6"/>
      <c r="B38599" s="6"/>
      <c r="H38599" s="13"/>
    </row>
    <row r="38600">
      <c r="A38600" s="6"/>
      <c r="B38600" s="6"/>
      <c r="H38600" s="13"/>
    </row>
    <row r="38601">
      <c r="A38601" s="6"/>
      <c r="B38601" s="6"/>
      <c r="H38601" s="13"/>
    </row>
    <row r="38602">
      <c r="A38602" s="6"/>
      <c r="B38602" s="6"/>
      <c r="H38602" s="13"/>
    </row>
    <row r="38603">
      <c r="A38603" s="6"/>
      <c r="B38603" s="6"/>
      <c r="H38603" s="13"/>
    </row>
    <row r="38604">
      <c r="A38604" s="6"/>
      <c r="B38604" s="6"/>
      <c r="H38604" s="13"/>
    </row>
    <row r="38605">
      <c r="A38605" s="6"/>
      <c r="B38605" s="6"/>
      <c r="H38605" s="13"/>
    </row>
    <row r="38606">
      <c r="A38606" s="6"/>
      <c r="B38606" s="6"/>
      <c r="H38606" s="13"/>
    </row>
    <row r="38607">
      <c r="A38607" s="6"/>
      <c r="B38607" s="6"/>
      <c r="H38607" s="13"/>
    </row>
    <row r="38608">
      <c r="A38608" s="6"/>
      <c r="B38608" s="6"/>
      <c r="H38608" s="13"/>
    </row>
    <row r="38609">
      <c r="A38609" s="6"/>
      <c r="B38609" s="6"/>
      <c r="H38609" s="13"/>
    </row>
    <row r="38610">
      <c r="A38610" s="6"/>
      <c r="B38610" s="6"/>
      <c r="H38610" s="13"/>
    </row>
    <row r="38611">
      <c r="A38611" s="6"/>
      <c r="B38611" s="6"/>
      <c r="H38611" s="13"/>
    </row>
    <row r="38612">
      <c r="A38612" s="6"/>
      <c r="B38612" s="6"/>
      <c r="H38612" s="13"/>
    </row>
    <row r="38613">
      <c r="A38613" s="6"/>
      <c r="B38613" s="6"/>
      <c r="H38613" s="13"/>
    </row>
    <row r="38614">
      <c r="A38614" s="6"/>
      <c r="B38614" s="6"/>
      <c r="H38614" s="13"/>
    </row>
    <row r="38615">
      <c r="A38615" s="6"/>
      <c r="B38615" s="6"/>
      <c r="H38615" s="13"/>
    </row>
    <row r="38616">
      <c r="A38616" s="6"/>
      <c r="B38616" s="6"/>
      <c r="H38616" s="13"/>
    </row>
    <row r="38617">
      <c r="A38617" s="6"/>
      <c r="B38617" s="6"/>
      <c r="H38617" s="13"/>
    </row>
    <row r="38618">
      <c r="A38618" s="6"/>
      <c r="B38618" s="6"/>
      <c r="H38618" s="13"/>
    </row>
    <row r="38619">
      <c r="A38619" s="6"/>
      <c r="B38619" s="6"/>
      <c r="H38619" s="13"/>
    </row>
    <row r="38620">
      <c r="A38620" s="6"/>
      <c r="B38620" s="6"/>
      <c r="H38620" s="13"/>
    </row>
    <row r="38621">
      <c r="A38621" s="6"/>
      <c r="B38621" s="6"/>
      <c r="H38621" s="13"/>
    </row>
    <row r="38622">
      <c r="A38622" s="6"/>
      <c r="B38622" s="6"/>
      <c r="H38622" s="13"/>
    </row>
    <row r="38623">
      <c r="A38623" s="6"/>
      <c r="B38623" s="6"/>
      <c r="H38623" s="13"/>
    </row>
    <row r="38624">
      <c r="A38624" s="6"/>
      <c r="B38624" s="6"/>
      <c r="H38624" s="13"/>
    </row>
    <row r="38625">
      <c r="A38625" s="6"/>
      <c r="B38625" s="6"/>
      <c r="H38625" s="13"/>
    </row>
    <row r="38626">
      <c r="A38626" s="6"/>
      <c r="B38626" s="6"/>
      <c r="H38626" s="13"/>
    </row>
    <row r="38627">
      <c r="A38627" s="6"/>
      <c r="B38627" s="6"/>
      <c r="H38627" s="13"/>
    </row>
    <row r="38628">
      <c r="A38628" s="6"/>
      <c r="B38628" s="6"/>
      <c r="H38628" s="13"/>
    </row>
    <row r="38629">
      <c r="A38629" s="6"/>
      <c r="B38629" s="6"/>
      <c r="H38629" s="13"/>
    </row>
    <row r="38630">
      <c r="A38630" s="6"/>
      <c r="B38630" s="6"/>
      <c r="H38630" s="13"/>
    </row>
    <row r="38631">
      <c r="A38631" s="6"/>
      <c r="B38631" s="6"/>
      <c r="H38631" s="13"/>
    </row>
    <row r="38632">
      <c r="A38632" s="6"/>
      <c r="B38632" s="6"/>
      <c r="H38632" s="13"/>
    </row>
    <row r="38633">
      <c r="A38633" s="6"/>
      <c r="B38633" s="6"/>
      <c r="H38633" s="13"/>
    </row>
    <row r="38634">
      <c r="A38634" s="6"/>
      <c r="B38634" s="6"/>
      <c r="H38634" s="13"/>
    </row>
    <row r="38635">
      <c r="A38635" s="6"/>
      <c r="B38635" s="6"/>
      <c r="H38635" s="13"/>
    </row>
    <row r="38636">
      <c r="A38636" s="6"/>
      <c r="B38636" s="6"/>
      <c r="H38636" s="13"/>
    </row>
    <row r="38637">
      <c r="A38637" s="6"/>
      <c r="B38637" s="6"/>
      <c r="H38637" s="13"/>
    </row>
    <row r="38638">
      <c r="A38638" s="6"/>
      <c r="B38638" s="6"/>
      <c r="H38638" s="13"/>
    </row>
    <row r="38639">
      <c r="A38639" s="6"/>
      <c r="B38639" s="6"/>
      <c r="H38639" s="13"/>
    </row>
    <row r="38640">
      <c r="A38640" s="6"/>
      <c r="B38640" s="6"/>
      <c r="H38640" s="13"/>
    </row>
    <row r="38641">
      <c r="A38641" s="6"/>
      <c r="B38641" s="6"/>
      <c r="H38641" s="13"/>
    </row>
    <row r="38642">
      <c r="A38642" s="6"/>
      <c r="B38642" s="6"/>
      <c r="H38642" s="13"/>
    </row>
    <row r="38643">
      <c r="A38643" s="6"/>
      <c r="B38643" s="6"/>
      <c r="H38643" s="13"/>
    </row>
    <row r="38644">
      <c r="A38644" s="6"/>
      <c r="B38644" s="6"/>
      <c r="H38644" s="13"/>
    </row>
    <row r="38645">
      <c r="A38645" s="6"/>
      <c r="B38645" s="6"/>
      <c r="H38645" s="13"/>
    </row>
    <row r="38646">
      <c r="A38646" s="6"/>
      <c r="B38646" s="6"/>
      <c r="H38646" s="13"/>
    </row>
    <row r="38647">
      <c r="A38647" s="6"/>
      <c r="B38647" s="6"/>
      <c r="H38647" s="13"/>
    </row>
    <row r="38648">
      <c r="A38648" s="6"/>
      <c r="B38648" s="6"/>
      <c r="H38648" s="13"/>
    </row>
    <row r="38649">
      <c r="A38649" s="6"/>
      <c r="B38649" s="6"/>
      <c r="H38649" s="13"/>
    </row>
    <row r="38650">
      <c r="A38650" s="6"/>
      <c r="B38650" s="6"/>
      <c r="H38650" s="13"/>
    </row>
    <row r="38651">
      <c r="A38651" s="6"/>
      <c r="B38651" s="6"/>
      <c r="H38651" s="13"/>
    </row>
    <row r="38652">
      <c r="A38652" s="6"/>
      <c r="B38652" s="6"/>
      <c r="H38652" s="13"/>
    </row>
    <row r="38653">
      <c r="A38653" s="6"/>
      <c r="B38653" s="6"/>
      <c r="H38653" s="13"/>
    </row>
    <row r="38654">
      <c r="A38654" s="6"/>
      <c r="B38654" s="6"/>
      <c r="H38654" s="13"/>
    </row>
    <row r="38655">
      <c r="A38655" s="6"/>
      <c r="B38655" s="6"/>
      <c r="H38655" s="13"/>
    </row>
    <row r="38656">
      <c r="A38656" s="6"/>
      <c r="B38656" s="6"/>
      <c r="H38656" s="13"/>
    </row>
    <row r="38657">
      <c r="A38657" s="6"/>
      <c r="B38657" s="6"/>
      <c r="H38657" s="13"/>
    </row>
    <row r="38658">
      <c r="A38658" s="6"/>
      <c r="B38658" s="6"/>
      <c r="H38658" s="13"/>
    </row>
    <row r="38659">
      <c r="A38659" s="6"/>
      <c r="B38659" s="6"/>
      <c r="H38659" s="13"/>
    </row>
    <row r="38660">
      <c r="A38660" s="6"/>
      <c r="B38660" s="6"/>
      <c r="H38660" s="13"/>
    </row>
    <row r="38661">
      <c r="A38661" s="6"/>
      <c r="B38661" s="6"/>
      <c r="H38661" s="13"/>
    </row>
    <row r="38662">
      <c r="A38662" s="6"/>
      <c r="B38662" s="6"/>
      <c r="H38662" s="13"/>
    </row>
    <row r="38663">
      <c r="A38663" s="6"/>
      <c r="B38663" s="6"/>
      <c r="H38663" s="13"/>
    </row>
    <row r="38664">
      <c r="A38664" s="6"/>
      <c r="B38664" s="6"/>
      <c r="H38664" s="13"/>
    </row>
    <row r="38665">
      <c r="A38665" s="6"/>
      <c r="B38665" s="6"/>
      <c r="H38665" s="13"/>
    </row>
    <row r="38666">
      <c r="A38666" s="6"/>
      <c r="B38666" s="6"/>
      <c r="H38666" s="13"/>
    </row>
    <row r="38667">
      <c r="A38667" s="6"/>
      <c r="B38667" s="6"/>
      <c r="H38667" s="13"/>
    </row>
    <row r="38668">
      <c r="A38668" s="6"/>
      <c r="B38668" s="6"/>
      <c r="H38668" s="13"/>
    </row>
    <row r="38669">
      <c r="A38669" s="6"/>
      <c r="B38669" s="6"/>
      <c r="H38669" s="13"/>
    </row>
    <row r="38670">
      <c r="A38670" s="6"/>
      <c r="B38670" s="6"/>
      <c r="H38670" s="13"/>
    </row>
    <row r="38671">
      <c r="A38671" s="6"/>
      <c r="B38671" s="6"/>
      <c r="H38671" s="13"/>
    </row>
    <row r="38672">
      <c r="A38672" s="6"/>
      <c r="B38672" s="6"/>
      <c r="H38672" s="13"/>
    </row>
    <row r="38673">
      <c r="A38673" s="6"/>
      <c r="B38673" s="6"/>
      <c r="H38673" s="13"/>
    </row>
    <row r="38674">
      <c r="A38674" s="6"/>
      <c r="B38674" s="6"/>
      <c r="H38674" s="13"/>
    </row>
    <row r="38675">
      <c r="A38675" s="6"/>
      <c r="B38675" s="6"/>
      <c r="H38675" s="13"/>
    </row>
    <row r="38676">
      <c r="A38676" s="6"/>
      <c r="B38676" s="6"/>
      <c r="H38676" s="13"/>
    </row>
    <row r="38677">
      <c r="A38677" s="6"/>
      <c r="B38677" s="6"/>
      <c r="H38677" s="13"/>
    </row>
    <row r="38678">
      <c r="A38678" s="6"/>
      <c r="B38678" s="6"/>
      <c r="H38678" s="13"/>
    </row>
    <row r="38679">
      <c r="A38679" s="6"/>
      <c r="B38679" s="6"/>
      <c r="H38679" s="13"/>
    </row>
    <row r="38680">
      <c r="A38680" s="6"/>
      <c r="B38680" s="6"/>
      <c r="H38680" s="13"/>
    </row>
    <row r="38681">
      <c r="A38681" s="6"/>
      <c r="B38681" s="6"/>
      <c r="H38681" s="13"/>
    </row>
    <row r="38682">
      <c r="A38682" s="6"/>
      <c r="B38682" s="6"/>
      <c r="H38682" s="13"/>
    </row>
    <row r="38683">
      <c r="A38683" s="6"/>
      <c r="B38683" s="6"/>
      <c r="H38683" s="13"/>
    </row>
    <row r="38684">
      <c r="A38684" s="6"/>
      <c r="B38684" s="6"/>
      <c r="H38684" s="13"/>
    </row>
    <row r="38685">
      <c r="A38685" s="6"/>
      <c r="B38685" s="6"/>
      <c r="H38685" s="13"/>
    </row>
    <row r="38686">
      <c r="A38686" s="6"/>
      <c r="B38686" s="6"/>
      <c r="H38686" s="13"/>
    </row>
    <row r="38687">
      <c r="A38687" s="6"/>
      <c r="B38687" s="6"/>
      <c r="H38687" s="13"/>
    </row>
    <row r="38688">
      <c r="A38688" s="6"/>
      <c r="B38688" s="6"/>
      <c r="H38688" s="13"/>
    </row>
    <row r="38689">
      <c r="A38689" s="6"/>
      <c r="B38689" s="6"/>
      <c r="H38689" s="13"/>
    </row>
    <row r="38690">
      <c r="A38690" s="6"/>
      <c r="B38690" s="6"/>
      <c r="H38690" s="13"/>
    </row>
    <row r="38691">
      <c r="A38691" s="6"/>
      <c r="B38691" s="6"/>
      <c r="H38691" s="13"/>
    </row>
    <row r="38692">
      <c r="A38692" s="6"/>
      <c r="B38692" s="6"/>
      <c r="H38692" s="13"/>
    </row>
    <row r="38693">
      <c r="A38693" s="6"/>
      <c r="B38693" s="6"/>
      <c r="H38693" s="13"/>
    </row>
    <row r="38694">
      <c r="A38694" s="6"/>
      <c r="B38694" s="6"/>
      <c r="H38694" s="13"/>
    </row>
    <row r="38695">
      <c r="A38695" s="6"/>
      <c r="B38695" s="6"/>
      <c r="H38695" s="13"/>
    </row>
    <row r="38696">
      <c r="A38696" s="6"/>
      <c r="B38696" s="6"/>
      <c r="H38696" s="13"/>
    </row>
    <row r="38697">
      <c r="A38697" s="6"/>
      <c r="B38697" s="6"/>
      <c r="H38697" s="13"/>
    </row>
    <row r="38698">
      <c r="A38698" s="6"/>
      <c r="B38698" s="6"/>
      <c r="H38698" s="13"/>
    </row>
    <row r="38699">
      <c r="A38699" s="6"/>
      <c r="B38699" s="6"/>
      <c r="H38699" s="13"/>
    </row>
    <row r="38700">
      <c r="A38700" s="6"/>
      <c r="B38700" s="6"/>
      <c r="H38700" s="13"/>
    </row>
    <row r="38701">
      <c r="A38701" s="6"/>
      <c r="B38701" s="6"/>
      <c r="H38701" s="13"/>
    </row>
    <row r="38702">
      <c r="A38702" s="6"/>
      <c r="B38702" s="6"/>
      <c r="H38702" s="13"/>
    </row>
    <row r="38703">
      <c r="A38703" s="6"/>
      <c r="B38703" s="6"/>
      <c r="H38703" s="13"/>
    </row>
    <row r="38704">
      <c r="A38704" s="6"/>
      <c r="B38704" s="6"/>
      <c r="H38704" s="13"/>
    </row>
    <row r="38705">
      <c r="A38705" s="6"/>
      <c r="B38705" s="6"/>
      <c r="H38705" s="13"/>
    </row>
    <row r="38706">
      <c r="A38706" s="6"/>
      <c r="B38706" s="6"/>
      <c r="H38706" s="13"/>
    </row>
    <row r="38707">
      <c r="A38707" s="6"/>
      <c r="B38707" s="6"/>
      <c r="H38707" s="13"/>
    </row>
    <row r="38708">
      <c r="A38708" s="6"/>
      <c r="B38708" s="6"/>
      <c r="H38708" s="13"/>
    </row>
    <row r="38709">
      <c r="A38709" s="6"/>
      <c r="B38709" s="6"/>
      <c r="H38709" s="13"/>
    </row>
    <row r="38710">
      <c r="A38710" s="6"/>
      <c r="B38710" s="6"/>
      <c r="H38710" s="13"/>
    </row>
    <row r="38711">
      <c r="A38711" s="6"/>
      <c r="B38711" s="6"/>
      <c r="H38711" s="13"/>
    </row>
    <row r="38712">
      <c r="A38712" s="6"/>
      <c r="B38712" s="6"/>
      <c r="H38712" s="13"/>
    </row>
    <row r="38713">
      <c r="A38713" s="6"/>
      <c r="B38713" s="6"/>
      <c r="H38713" s="13"/>
    </row>
    <row r="38714">
      <c r="A38714" s="6"/>
      <c r="B38714" s="6"/>
      <c r="H38714" s="13"/>
    </row>
    <row r="38715">
      <c r="A38715" s="6"/>
      <c r="B38715" s="6"/>
      <c r="H38715" s="13"/>
    </row>
    <row r="38716">
      <c r="A38716" s="6"/>
      <c r="B38716" s="6"/>
      <c r="H38716" s="13"/>
    </row>
    <row r="38717">
      <c r="A38717" s="6"/>
      <c r="B38717" s="6"/>
      <c r="H38717" s="13"/>
    </row>
    <row r="38718">
      <c r="A38718" s="6"/>
      <c r="B38718" s="6"/>
      <c r="H38718" s="13"/>
    </row>
    <row r="38719">
      <c r="A38719" s="6"/>
      <c r="B38719" s="6"/>
      <c r="H38719" s="13"/>
    </row>
    <row r="38720">
      <c r="A38720" s="6"/>
      <c r="B38720" s="6"/>
      <c r="H38720" s="13"/>
    </row>
    <row r="38721">
      <c r="A38721" s="6"/>
      <c r="B38721" s="6"/>
      <c r="H38721" s="13"/>
    </row>
    <row r="38722">
      <c r="A38722" s="6"/>
      <c r="B38722" s="6"/>
      <c r="H38722" s="13"/>
    </row>
    <row r="38723">
      <c r="A38723" s="6"/>
      <c r="B38723" s="6"/>
      <c r="H38723" s="13"/>
    </row>
    <row r="38724">
      <c r="A38724" s="6"/>
      <c r="B38724" s="6"/>
      <c r="H38724" s="13"/>
    </row>
    <row r="38725">
      <c r="A38725" s="6"/>
      <c r="B38725" s="6"/>
      <c r="H38725" s="13"/>
    </row>
    <row r="38726">
      <c r="A38726" s="6"/>
      <c r="B38726" s="6"/>
      <c r="H38726" s="13"/>
    </row>
    <row r="38727">
      <c r="A38727" s="6"/>
      <c r="B38727" s="6"/>
      <c r="H38727" s="13"/>
    </row>
    <row r="38728">
      <c r="A38728" s="6"/>
      <c r="B38728" s="6"/>
      <c r="H38728" s="13"/>
    </row>
    <row r="38729">
      <c r="A38729" s="6"/>
      <c r="B38729" s="6"/>
      <c r="H38729" s="13"/>
    </row>
    <row r="38730">
      <c r="A38730" s="6"/>
      <c r="B38730" s="6"/>
      <c r="H38730" s="13"/>
    </row>
    <row r="38731">
      <c r="A38731" s="6"/>
      <c r="B38731" s="6"/>
      <c r="H38731" s="13"/>
    </row>
    <row r="38732">
      <c r="A38732" s="6"/>
      <c r="B38732" s="6"/>
      <c r="H38732" s="13"/>
    </row>
    <row r="38733">
      <c r="A38733" s="6"/>
      <c r="B38733" s="6"/>
      <c r="H38733" s="13"/>
    </row>
    <row r="38734">
      <c r="A38734" s="6"/>
      <c r="B38734" s="6"/>
      <c r="H38734" s="13"/>
    </row>
    <row r="38735">
      <c r="A38735" s="6"/>
      <c r="B38735" s="6"/>
      <c r="H38735" s="13"/>
    </row>
    <row r="38736">
      <c r="A38736" s="6"/>
      <c r="B38736" s="6"/>
      <c r="H38736" s="13"/>
    </row>
    <row r="38737">
      <c r="A38737" s="6"/>
      <c r="B38737" s="6"/>
      <c r="H38737" s="13"/>
    </row>
    <row r="38738">
      <c r="A38738" s="6"/>
      <c r="B38738" s="6"/>
      <c r="H38738" s="13"/>
    </row>
    <row r="38739">
      <c r="A38739" s="6"/>
      <c r="B38739" s="6"/>
      <c r="H38739" s="13"/>
    </row>
    <row r="38740">
      <c r="A38740" s="6"/>
      <c r="B38740" s="6"/>
      <c r="H38740" s="13"/>
    </row>
    <row r="38741">
      <c r="A38741" s="6"/>
      <c r="B38741" s="6"/>
      <c r="H38741" s="13"/>
    </row>
    <row r="38742">
      <c r="A38742" s="6"/>
      <c r="B38742" s="6"/>
      <c r="H38742" s="13"/>
    </row>
    <row r="38743">
      <c r="A38743" s="6"/>
      <c r="B38743" s="6"/>
      <c r="H38743" s="13"/>
    </row>
    <row r="38744">
      <c r="A38744" s="6"/>
      <c r="B38744" s="6"/>
      <c r="H38744" s="13"/>
    </row>
    <row r="38745">
      <c r="A38745" s="6"/>
      <c r="B38745" s="6"/>
      <c r="H38745" s="13"/>
    </row>
    <row r="38746">
      <c r="A38746" s="6"/>
      <c r="B38746" s="6"/>
      <c r="H38746" s="13"/>
    </row>
    <row r="38747">
      <c r="A38747" s="6"/>
      <c r="B38747" s="6"/>
      <c r="H38747" s="13"/>
    </row>
    <row r="38748">
      <c r="A38748" s="6"/>
      <c r="B38748" s="6"/>
      <c r="H38748" s="13"/>
    </row>
    <row r="38749">
      <c r="A38749" s="6"/>
      <c r="B38749" s="6"/>
      <c r="H38749" s="13"/>
    </row>
    <row r="38750">
      <c r="A38750" s="6"/>
      <c r="B38750" s="6"/>
      <c r="H38750" s="13"/>
    </row>
    <row r="38751">
      <c r="A38751" s="6"/>
      <c r="B38751" s="6"/>
      <c r="H38751" s="13"/>
    </row>
    <row r="38752">
      <c r="A38752" s="6"/>
      <c r="B38752" s="6"/>
      <c r="H38752" s="13"/>
    </row>
    <row r="38753">
      <c r="A38753" s="6"/>
      <c r="B38753" s="6"/>
      <c r="H38753" s="13"/>
    </row>
    <row r="38754">
      <c r="A38754" s="6"/>
      <c r="B38754" s="6"/>
      <c r="H38754" s="13"/>
    </row>
    <row r="38755">
      <c r="A38755" s="6"/>
      <c r="B38755" s="6"/>
      <c r="H38755" s="13"/>
    </row>
    <row r="38756">
      <c r="A38756" s="6"/>
      <c r="B38756" s="6"/>
      <c r="H38756" s="13"/>
    </row>
    <row r="38757">
      <c r="A38757" s="6"/>
      <c r="B38757" s="6"/>
      <c r="H38757" s="13"/>
    </row>
    <row r="38758">
      <c r="A38758" s="6"/>
      <c r="B38758" s="6"/>
      <c r="H38758" s="13"/>
    </row>
    <row r="38759">
      <c r="A38759" s="6"/>
      <c r="B38759" s="6"/>
      <c r="H38759" s="13"/>
    </row>
    <row r="38760">
      <c r="A38760" s="6"/>
      <c r="B38760" s="6"/>
      <c r="H38760" s="13"/>
    </row>
    <row r="38761">
      <c r="A38761" s="6"/>
      <c r="B38761" s="6"/>
      <c r="H38761" s="13"/>
    </row>
    <row r="38762">
      <c r="A38762" s="6"/>
      <c r="B38762" s="6"/>
      <c r="H38762" s="13"/>
    </row>
    <row r="38763">
      <c r="A38763" s="6"/>
      <c r="B38763" s="6"/>
      <c r="H38763" s="13"/>
    </row>
    <row r="38764">
      <c r="A38764" s="6"/>
      <c r="B38764" s="6"/>
      <c r="H38764" s="13"/>
    </row>
    <row r="38765">
      <c r="A38765" s="6"/>
      <c r="B38765" s="6"/>
      <c r="H38765" s="13"/>
    </row>
    <row r="38766">
      <c r="A38766" s="6"/>
      <c r="B38766" s="6"/>
      <c r="H38766" s="13"/>
    </row>
    <row r="38767">
      <c r="A38767" s="6"/>
      <c r="B38767" s="6"/>
      <c r="H38767" s="13"/>
    </row>
    <row r="38768">
      <c r="A38768" s="6"/>
      <c r="B38768" s="6"/>
      <c r="H38768" s="13"/>
    </row>
    <row r="38769">
      <c r="A38769" s="6"/>
      <c r="B38769" s="6"/>
      <c r="H38769" s="13"/>
    </row>
    <row r="38770">
      <c r="A38770" s="6"/>
      <c r="B38770" s="6"/>
      <c r="H38770" s="13"/>
    </row>
    <row r="38771">
      <c r="A38771" s="6"/>
      <c r="B38771" s="6"/>
      <c r="H38771" s="13"/>
    </row>
    <row r="38772">
      <c r="A38772" s="6"/>
      <c r="B38772" s="6"/>
      <c r="H38772" s="13"/>
    </row>
    <row r="38773">
      <c r="A38773" s="6"/>
      <c r="B38773" s="6"/>
      <c r="H38773" s="13"/>
    </row>
    <row r="38774">
      <c r="A38774" s="6"/>
      <c r="B38774" s="6"/>
      <c r="H38774" s="13"/>
    </row>
    <row r="38775">
      <c r="A38775" s="6"/>
      <c r="B38775" s="6"/>
      <c r="H38775" s="13"/>
    </row>
    <row r="38776">
      <c r="A38776" s="6"/>
      <c r="B38776" s="6"/>
      <c r="H38776" s="13"/>
    </row>
    <row r="38777">
      <c r="A38777" s="6"/>
      <c r="B38777" s="6"/>
      <c r="H38777" s="13"/>
    </row>
    <row r="38778">
      <c r="A38778" s="6"/>
      <c r="B38778" s="6"/>
      <c r="H38778" s="13"/>
    </row>
    <row r="38779">
      <c r="A38779" s="6"/>
      <c r="B38779" s="6"/>
      <c r="H38779" s="13"/>
    </row>
    <row r="38780">
      <c r="A38780" s="6"/>
      <c r="B38780" s="6"/>
      <c r="H38780" s="13"/>
    </row>
    <row r="38781">
      <c r="A38781" s="6"/>
      <c r="B38781" s="6"/>
      <c r="H38781" s="13"/>
    </row>
    <row r="38782">
      <c r="A38782" s="6"/>
      <c r="B38782" s="6"/>
      <c r="H38782" s="13"/>
    </row>
    <row r="38783">
      <c r="A38783" s="6"/>
      <c r="B38783" s="6"/>
      <c r="H38783" s="13"/>
    </row>
    <row r="38784">
      <c r="A38784" s="6"/>
      <c r="B38784" s="6"/>
      <c r="H38784" s="13"/>
    </row>
    <row r="38785">
      <c r="A38785" s="6"/>
      <c r="B38785" s="6"/>
      <c r="H38785" s="13"/>
    </row>
    <row r="38786">
      <c r="A38786" s="6"/>
      <c r="B38786" s="6"/>
      <c r="H38786" s="13"/>
    </row>
    <row r="38787">
      <c r="A38787" s="6"/>
      <c r="B38787" s="6"/>
      <c r="H38787" s="13"/>
    </row>
    <row r="38788">
      <c r="A38788" s="6"/>
      <c r="B38788" s="6"/>
      <c r="H38788" s="13"/>
    </row>
    <row r="38789">
      <c r="A38789" s="6"/>
      <c r="B38789" s="6"/>
      <c r="H38789" s="13"/>
    </row>
    <row r="38790">
      <c r="A38790" s="6"/>
      <c r="B38790" s="6"/>
      <c r="H38790" s="13"/>
    </row>
    <row r="38791">
      <c r="A38791" s="6"/>
      <c r="B38791" s="6"/>
      <c r="H38791" s="13"/>
    </row>
    <row r="38792">
      <c r="A38792" s="6"/>
      <c r="B38792" s="6"/>
      <c r="H38792" s="13"/>
    </row>
    <row r="38793">
      <c r="A38793" s="6"/>
      <c r="B38793" s="6"/>
      <c r="H38793" s="13"/>
    </row>
    <row r="38794">
      <c r="A38794" s="6"/>
      <c r="B38794" s="6"/>
      <c r="H38794" s="13"/>
    </row>
    <row r="38795">
      <c r="A38795" s="6"/>
      <c r="B38795" s="6"/>
      <c r="H38795" s="13"/>
    </row>
    <row r="38796">
      <c r="A38796" s="6"/>
      <c r="B38796" s="6"/>
      <c r="H38796" s="13"/>
    </row>
    <row r="38797">
      <c r="A38797" s="6"/>
      <c r="B38797" s="6"/>
      <c r="H38797" s="13"/>
    </row>
    <row r="38798">
      <c r="A38798" s="6"/>
      <c r="B38798" s="6"/>
      <c r="H38798" s="13"/>
    </row>
    <row r="38799">
      <c r="A38799" s="6"/>
      <c r="B38799" s="6"/>
      <c r="H38799" s="13"/>
    </row>
    <row r="38800">
      <c r="A38800" s="6"/>
      <c r="B38800" s="6"/>
      <c r="H38800" s="13"/>
    </row>
    <row r="38801">
      <c r="A38801" s="6"/>
      <c r="B38801" s="6"/>
      <c r="H38801" s="13"/>
    </row>
    <row r="38802">
      <c r="A38802" s="6"/>
      <c r="B38802" s="6"/>
      <c r="H38802" s="13"/>
    </row>
    <row r="38803">
      <c r="A38803" s="6"/>
      <c r="B38803" s="6"/>
      <c r="H38803" s="13"/>
    </row>
    <row r="38804">
      <c r="A38804" s="6"/>
      <c r="B38804" s="6"/>
      <c r="H38804" s="13"/>
    </row>
    <row r="38805">
      <c r="A38805" s="6"/>
      <c r="B38805" s="6"/>
      <c r="H38805" s="13"/>
    </row>
    <row r="38806">
      <c r="A38806" s="6"/>
      <c r="B38806" s="6"/>
      <c r="H38806" s="13"/>
    </row>
    <row r="38807">
      <c r="A38807" s="6"/>
      <c r="B38807" s="6"/>
      <c r="H38807" s="13"/>
    </row>
    <row r="38808">
      <c r="A38808" s="6"/>
      <c r="B38808" s="6"/>
      <c r="H38808" s="13"/>
    </row>
    <row r="38809">
      <c r="A38809" s="6"/>
      <c r="B38809" s="6"/>
      <c r="H38809" s="13"/>
    </row>
    <row r="38810">
      <c r="A38810" s="6"/>
      <c r="B38810" s="6"/>
      <c r="H38810" s="13"/>
    </row>
    <row r="38811">
      <c r="A38811" s="6"/>
      <c r="B38811" s="6"/>
      <c r="H38811" s="13"/>
    </row>
    <row r="38812">
      <c r="A38812" s="6"/>
      <c r="B38812" s="6"/>
      <c r="H38812" s="13"/>
    </row>
    <row r="38813">
      <c r="A38813" s="6"/>
      <c r="B38813" s="6"/>
      <c r="H38813" s="13"/>
    </row>
    <row r="38814">
      <c r="A38814" s="6"/>
      <c r="B38814" s="6"/>
      <c r="H38814" s="13"/>
    </row>
    <row r="38815">
      <c r="A38815" s="6"/>
      <c r="B38815" s="6"/>
      <c r="H38815" s="13"/>
    </row>
    <row r="38816">
      <c r="A38816" s="6"/>
      <c r="B38816" s="6"/>
      <c r="H38816" s="13"/>
    </row>
    <row r="38817">
      <c r="A38817" s="6"/>
      <c r="B38817" s="6"/>
      <c r="H38817" s="13"/>
    </row>
    <row r="38818">
      <c r="A38818" s="6"/>
      <c r="B38818" s="6"/>
      <c r="H38818" s="13"/>
    </row>
    <row r="38819">
      <c r="A38819" s="6"/>
      <c r="B38819" s="6"/>
      <c r="H38819" s="13"/>
    </row>
    <row r="38820">
      <c r="A38820" s="6"/>
      <c r="B38820" s="6"/>
      <c r="H38820" s="13"/>
    </row>
    <row r="38821">
      <c r="A38821" s="6"/>
      <c r="B38821" s="6"/>
      <c r="H38821" s="13"/>
    </row>
    <row r="38822">
      <c r="A38822" s="6"/>
      <c r="B38822" s="6"/>
      <c r="H38822" s="13"/>
    </row>
    <row r="38823">
      <c r="A38823" s="6"/>
      <c r="B38823" s="6"/>
      <c r="H38823" s="13"/>
    </row>
    <row r="38824">
      <c r="A38824" s="6"/>
      <c r="B38824" s="6"/>
      <c r="H38824" s="13"/>
    </row>
    <row r="38825">
      <c r="A38825" s="6"/>
      <c r="B38825" s="6"/>
      <c r="H38825" s="13"/>
    </row>
    <row r="38826">
      <c r="A38826" s="6"/>
      <c r="B38826" s="6"/>
      <c r="H38826" s="13"/>
    </row>
    <row r="38827">
      <c r="A38827" s="6"/>
      <c r="B38827" s="6"/>
      <c r="H38827" s="13"/>
    </row>
    <row r="38828">
      <c r="A38828" s="6"/>
      <c r="B38828" s="6"/>
      <c r="H38828" s="13"/>
    </row>
    <row r="38829">
      <c r="A38829" s="6"/>
      <c r="B38829" s="6"/>
      <c r="H38829" s="13"/>
    </row>
    <row r="38830">
      <c r="A38830" s="6"/>
      <c r="B38830" s="6"/>
      <c r="H38830" s="13"/>
    </row>
    <row r="38831">
      <c r="A38831" s="6"/>
      <c r="B38831" s="6"/>
      <c r="H38831" s="13"/>
    </row>
    <row r="38832">
      <c r="A38832" s="6"/>
      <c r="B38832" s="6"/>
      <c r="H38832" s="13"/>
    </row>
    <row r="38833">
      <c r="A38833" s="6"/>
      <c r="B38833" s="6"/>
      <c r="H38833" s="13"/>
    </row>
    <row r="38834">
      <c r="A38834" s="6"/>
      <c r="B38834" s="6"/>
      <c r="H38834" s="13"/>
    </row>
    <row r="38835">
      <c r="A38835" s="6"/>
      <c r="B38835" s="6"/>
      <c r="H38835" s="13"/>
    </row>
    <row r="38836">
      <c r="A38836" s="6"/>
      <c r="B38836" s="6"/>
      <c r="H38836" s="13"/>
    </row>
    <row r="38837">
      <c r="A38837" s="6"/>
      <c r="B38837" s="6"/>
      <c r="H38837" s="13"/>
    </row>
    <row r="38838">
      <c r="A38838" s="6"/>
      <c r="B38838" s="6"/>
      <c r="H38838" s="13"/>
    </row>
    <row r="38839">
      <c r="A38839" s="6"/>
      <c r="B38839" s="6"/>
      <c r="H38839" s="13"/>
    </row>
    <row r="38840">
      <c r="A38840" s="6"/>
      <c r="B38840" s="6"/>
      <c r="H38840" s="13"/>
    </row>
    <row r="38841">
      <c r="A38841" s="6"/>
      <c r="B38841" s="6"/>
      <c r="H38841" s="13"/>
    </row>
    <row r="38842">
      <c r="A38842" s="6"/>
      <c r="B38842" s="6"/>
      <c r="H38842" s="13"/>
    </row>
    <row r="38843">
      <c r="A38843" s="6"/>
      <c r="B38843" s="6"/>
      <c r="H38843" s="13"/>
    </row>
    <row r="38844">
      <c r="A38844" s="6"/>
      <c r="B38844" s="6"/>
      <c r="H38844" s="13"/>
    </row>
    <row r="38845">
      <c r="A38845" s="6"/>
      <c r="B38845" s="6"/>
      <c r="H38845" s="13"/>
    </row>
    <row r="38846">
      <c r="A38846" s="6"/>
      <c r="B38846" s="6"/>
      <c r="H38846" s="13"/>
    </row>
    <row r="38847">
      <c r="A38847" s="6"/>
      <c r="B38847" s="6"/>
      <c r="H38847" s="13"/>
    </row>
    <row r="38848">
      <c r="A38848" s="6"/>
      <c r="B38848" s="6"/>
      <c r="H38848" s="13"/>
    </row>
    <row r="38849">
      <c r="A38849" s="6"/>
      <c r="B38849" s="6"/>
      <c r="H38849" s="13"/>
    </row>
    <row r="38850">
      <c r="A38850" s="6"/>
      <c r="B38850" s="6"/>
      <c r="H38850" s="13"/>
    </row>
    <row r="38851">
      <c r="A38851" s="6"/>
      <c r="B38851" s="6"/>
      <c r="H38851" s="13"/>
    </row>
    <row r="38852">
      <c r="A38852" s="6"/>
      <c r="B38852" s="6"/>
      <c r="H38852" s="13"/>
    </row>
    <row r="38853">
      <c r="A38853" s="6"/>
      <c r="B38853" s="6"/>
      <c r="H38853" s="13"/>
    </row>
    <row r="38854">
      <c r="A38854" s="6"/>
      <c r="B38854" s="6"/>
      <c r="H38854" s="13"/>
    </row>
    <row r="38855">
      <c r="A38855" s="6"/>
      <c r="B38855" s="6"/>
      <c r="H38855" s="13"/>
    </row>
    <row r="38856">
      <c r="A38856" s="6"/>
      <c r="B38856" s="6"/>
      <c r="H38856" s="13"/>
    </row>
    <row r="38857">
      <c r="A38857" s="6"/>
      <c r="B38857" s="6"/>
      <c r="H38857" s="13"/>
    </row>
    <row r="38858">
      <c r="A38858" s="6"/>
      <c r="B38858" s="6"/>
      <c r="H38858" s="13"/>
    </row>
    <row r="38859">
      <c r="A38859" s="6"/>
      <c r="B38859" s="6"/>
      <c r="H38859" s="13"/>
    </row>
    <row r="38860">
      <c r="A38860" s="6"/>
      <c r="B38860" s="6"/>
      <c r="H38860" s="13"/>
    </row>
    <row r="38861">
      <c r="A38861" s="6"/>
      <c r="B38861" s="6"/>
      <c r="H38861" s="13"/>
    </row>
    <row r="38862">
      <c r="A38862" s="6"/>
      <c r="B38862" s="6"/>
      <c r="H38862" s="13"/>
    </row>
    <row r="38863">
      <c r="A38863" s="6"/>
      <c r="B38863" s="6"/>
      <c r="H38863" s="13"/>
    </row>
    <row r="38864">
      <c r="A38864" s="6"/>
      <c r="B38864" s="6"/>
      <c r="H38864" s="13"/>
    </row>
    <row r="38865">
      <c r="A38865" s="6"/>
      <c r="B38865" s="6"/>
      <c r="H38865" s="13"/>
    </row>
    <row r="38866">
      <c r="A38866" s="6"/>
      <c r="B38866" s="6"/>
      <c r="H38866" s="13"/>
    </row>
    <row r="38867">
      <c r="A38867" s="6"/>
      <c r="B38867" s="6"/>
      <c r="H38867" s="13"/>
    </row>
    <row r="38868">
      <c r="A38868" s="6"/>
      <c r="B38868" s="6"/>
      <c r="H38868" s="13"/>
    </row>
    <row r="38869">
      <c r="A38869" s="6"/>
      <c r="B38869" s="6"/>
      <c r="H38869" s="13"/>
    </row>
    <row r="38870">
      <c r="A38870" s="6"/>
      <c r="B38870" s="6"/>
      <c r="H38870" s="13"/>
    </row>
    <row r="38871">
      <c r="A38871" s="6"/>
      <c r="B38871" s="6"/>
      <c r="H38871" s="13"/>
    </row>
    <row r="38872">
      <c r="A38872" s="6"/>
      <c r="B38872" s="6"/>
      <c r="H38872" s="13"/>
    </row>
    <row r="38873">
      <c r="A38873" s="6"/>
      <c r="B38873" s="6"/>
      <c r="H38873" s="13"/>
    </row>
    <row r="38874">
      <c r="A38874" s="6"/>
      <c r="B38874" s="6"/>
      <c r="H38874" s="13"/>
    </row>
    <row r="38875">
      <c r="A38875" s="6"/>
      <c r="B38875" s="6"/>
      <c r="H38875" s="13"/>
    </row>
    <row r="38876">
      <c r="A38876" s="6"/>
      <c r="B38876" s="6"/>
      <c r="H38876" s="13"/>
    </row>
    <row r="38877">
      <c r="A38877" s="6"/>
      <c r="B38877" s="6"/>
      <c r="H38877" s="13"/>
    </row>
    <row r="38878">
      <c r="A38878" s="6"/>
      <c r="B38878" s="6"/>
      <c r="H38878" s="13"/>
    </row>
    <row r="38879">
      <c r="A38879" s="6"/>
      <c r="B38879" s="6"/>
      <c r="H38879" s="13"/>
    </row>
    <row r="38880">
      <c r="A38880" s="6"/>
      <c r="B38880" s="6"/>
      <c r="H38880" s="13"/>
    </row>
    <row r="38881">
      <c r="A38881" s="6"/>
      <c r="B38881" s="6"/>
      <c r="H38881" s="13"/>
    </row>
    <row r="38882">
      <c r="A38882" s="6"/>
      <c r="B38882" s="6"/>
      <c r="H38882" s="13"/>
    </row>
    <row r="38883">
      <c r="A38883" s="6"/>
      <c r="B38883" s="6"/>
      <c r="H38883" s="13"/>
    </row>
    <row r="38884">
      <c r="A38884" s="6"/>
      <c r="B38884" s="6"/>
      <c r="H38884" s="13"/>
    </row>
    <row r="38885">
      <c r="A38885" s="6"/>
      <c r="B38885" s="6"/>
      <c r="H38885" s="13"/>
    </row>
    <row r="38886">
      <c r="A38886" s="6"/>
      <c r="B38886" s="6"/>
      <c r="H38886" s="13"/>
    </row>
    <row r="38887">
      <c r="A38887" s="6"/>
      <c r="B38887" s="6"/>
      <c r="H38887" s="13"/>
    </row>
    <row r="38888">
      <c r="A38888" s="6"/>
      <c r="B38888" s="6"/>
      <c r="H38888" s="13"/>
    </row>
    <row r="38889">
      <c r="A38889" s="6"/>
      <c r="B38889" s="6"/>
      <c r="H38889" s="13"/>
    </row>
    <row r="38890">
      <c r="A38890" s="6"/>
      <c r="B38890" s="6"/>
      <c r="H38890" s="13"/>
    </row>
    <row r="38891">
      <c r="A38891" s="6"/>
      <c r="B38891" s="6"/>
      <c r="H38891" s="13"/>
    </row>
    <row r="38892">
      <c r="A38892" s="6"/>
      <c r="B38892" s="6"/>
      <c r="H38892" s="13"/>
    </row>
    <row r="38893">
      <c r="A38893" s="6"/>
      <c r="B38893" s="6"/>
      <c r="H38893" s="13"/>
    </row>
    <row r="38894">
      <c r="A38894" s="6"/>
      <c r="B38894" s="6"/>
      <c r="H38894" s="13"/>
    </row>
    <row r="38895">
      <c r="A38895" s="6"/>
      <c r="B38895" s="6"/>
      <c r="H38895" s="13"/>
    </row>
    <row r="38896">
      <c r="A38896" s="6"/>
      <c r="B38896" s="6"/>
      <c r="H38896" s="13"/>
    </row>
    <row r="38897">
      <c r="A38897" s="6"/>
      <c r="B38897" s="6"/>
      <c r="H38897" s="13"/>
    </row>
    <row r="38898">
      <c r="A38898" s="6"/>
      <c r="B38898" s="6"/>
      <c r="H38898" s="13"/>
    </row>
    <row r="38899">
      <c r="A38899" s="6"/>
      <c r="B38899" s="6"/>
      <c r="H38899" s="13"/>
    </row>
    <row r="38900">
      <c r="A38900" s="6"/>
      <c r="B38900" s="6"/>
      <c r="H38900" s="13"/>
    </row>
    <row r="38901">
      <c r="A38901" s="6"/>
      <c r="B38901" s="6"/>
      <c r="H38901" s="13"/>
    </row>
    <row r="38902">
      <c r="A38902" s="6"/>
      <c r="B38902" s="6"/>
      <c r="H38902" s="13"/>
    </row>
    <row r="38903">
      <c r="A38903" s="6"/>
      <c r="B38903" s="6"/>
      <c r="H38903" s="13"/>
    </row>
    <row r="38904">
      <c r="A38904" s="6"/>
      <c r="B38904" s="6"/>
      <c r="H38904" s="13"/>
    </row>
    <row r="38905">
      <c r="A38905" s="6"/>
      <c r="B38905" s="6"/>
      <c r="H38905" s="13"/>
    </row>
    <row r="38906">
      <c r="A38906" s="6"/>
      <c r="B38906" s="6"/>
      <c r="H38906" s="13"/>
    </row>
    <row r="38907">
      <c r="A38907" s="6"/>
      <c r="B38907" s="6"/>
      <c r="H38907" s="13"/>
    </row>
    <row r="38908">
      <c r="A38908" s="6"/>
      <c r="B38908" s="6"/>
      <c r="H38908" s="13"/>
    </row>
    <row r="38909">
      <c r="A38909" s="6"/>
      <c r="B38909" s="6"/>
      <c r="H38909" s="13"/>
    </row>
    <row r="38910">
      <c r="A38910" s="6"/>
      <c r="B38910" s="6"/>
      <c r="H38910" s="13"/>
    </row>
    <row r="38911">
      <c r="A38911" s="6"/>
      <c r="B38911" s="6"/>
      <c r="H38911" s="13"/>
    </row>
    <row r="38912">
      <c r="A38912" s="6"/>
      <c r="B38912" s="6"/>
      <c r="H38912" s="13"/>
    </row>
    <row r="38913">
      <c r="A38913" s="6"/>
      <c r="B38913" s="6"/>
      <c r="H38913" s="13"/>
    </row>
    <row r="38914">
      <c r="A38914" s="6"/>
      <c r="B38914" s="6"/>
      <c r="H38914" s="13"/>
    </row>
    <row r="38915">
      <c r="A38915" s="6"/>
      <c r="B38915" s="6"/>
      <c r="H38915" s="13"/>
    </row>
    <row r="38916">
      <c r="A38916" s="6"/>
      <c r="B38916" s="6"/>
      <c r="H38916" s="13"/>
    </row>
    <row r="38917">
      <c r="A38917" s="6"/>
      <c r="B38917" s="6"/>
      <c r="H38917" s="13"/>
    </row>
    <row r="38918">
      <c r="A38918" s="6"/>
      <c r="B38918" s="6"/>
      <c r="H38918" s="13"/>
    </row>
    <row r="38919">
      <c r="A38919" s="6"/>
      <c r="B38919" s="6"/>
      <c r="H38919" s="13"/>
    </row>
    <row r="38920">
      <c r="A38920" s="6"/>
      <c r="B38920" s="6"/>
      <c r="H38920" s="13"/>
    </row>
    <row r="38921">
      <c r="A38921" s="6"/>
      <c r="B38921" s="6"/>
      <c r="H38921" s="13"/>
    </row>
    <row r="38922">
      <c r="A38922" s="6"/>
      <c r="B38922" s="6"/>
      <c r="H38922" s="13"/>
    </row>
    <row r="38923">
      <c r="A38923" s="6"/>
      <c r="B38923" s="6"/>
      <c r="H38923" s="13"/>
    </row>
    <row r="38924">
      <c r="A38924" s="6"/>
      <c r="B38924" s="6"/>
      <c r="H38924" s="13"/>
    </row>
    <row r="38925">
      <c r="A38925" s="6"/>
      <c r="B38925" s="6"/>
      <c r="H38925" s="13"/>
    </row>
    <row r="38926">
      <c r="A38926" s="6"/>
      <c r="B38926" s="6"/>
      <c r="H38926" s="13"/>
    </row>
    <row r="38927">
      <c r="A38927" s="6"/>
      <c r="B38927" s="6"/>
      <c r="H38927" s="13"/>
    </row>
    <row r="38928">
      <c r="A38928" s="6"/>
      <c r="B38928" s="6"/>
      <c r="H38928" s="13"/>
    </row>
    <row r="38929">
      <c r="A38929" s="6"/>
      <c r="B38929" s="6"/>
      <c r="H38929" s="13"/>
    </row>
    <row r="38930">
      <c r="A38930" s="6"/>
      <c r="B38930" s="6"/>
      <c r="H38930" s="13"/>
    </row>
    <row r="38931">
      <c r="A38931" s="6"/>
      <c r="B38931" s="6"/>
      <c r="H38931" s="13"/>
    </row>
    <row r="38932">
      <c r="A38932" s="6"/>
      <c r="B38932" s="6"/>
      <c r="H38932" s="13"/>
    </row>
    <row r="38933">
      <c r="A38933" s="6"/>
      <c r="B38933" s="6"/>
      <c r="H38933" s="13"/>
    </row>
    <row r="38934">
      <c r="A38934" s="6"/>
      <c r="B38934" s="6"/>
      <c r="H38934" s="13"/>
    </row>
    <row r="38935">
      <c r="A38935" s="6"/>
      <c r="B38935" s="6"/>
      <c r="H38935" s="13"/>
    </row>
    <row r="38936">
      <c r="A38936" s="6"/>
      <c r="B38936" s="6"/>
      <c r="H38936" s="13"/>
    </row>
    <row r="38937">
      <c r="A38937" s="6"/>
      <c r="B38937" s="6"/>
      <c r="H38937" s="13"/>
    </row>
    <row r="38938">
      <c r="A38938" s="6"/>
      <c r="B38938" s="6"/>
      <c r="H38938" s="13"/>
    </row>
    <row r="38939">
      <c r="A38939" s="6"/>
      <c r="B38939" s="6"/>
      <c r="H38939" s="13"/>
    </row>
    <row r="38940">
      <c r="A38940" s="6"/>
      <c r="B38940" s="6"/>
      <c r="H38940" s="13"/>
    </row>
    <row r="38941">
      <c r="A38941" s="6"/>
      <c r="B38941" s="6"/>
      <c r="H38941" s="13"/>
    </row>
    <row r="38942">
      <c r="A38942" s="6"/>
      <c r="B38942" s="6"/>
      <c r="H38942" s="13"/>
    </row>
    <row r="38943">
      <c r="A38943" s="6"/>
      <c r="B38943" s="6"/>
      <c r="H38943" s="13"/>
    </row>
    <row r="38944">
      <c r="A38944" s="6"/>
      <c r="B38944" s="6"/>
      <c r="H38944" s="13"/>
    </row>
    <row r="38945">
      <c r="A38945" s="6"/>
      <c r="B38945" s="6"/>
      <c r="H38945" s="13"/>
    </row>
    <row r="38946">
      <c r="A38946" s="6"/>
      <c r="B38946" s="6"/>
      <c r="H38946" s="13"/>
    </row>
    <row r="38947">
      <c r="A38947" s="6"/>
      <c r="B38947" s="6"/>
      <c r="H38947" s="13"/>
    </row>
    <row r="38948">
      <c r="A38948" s="6"/>
      <c r="B38948" s="6"/>
      <c r="H38948" s="13"/>
    </row>
    <row r="38949">
      <c r="A38949" s="6"/>
      <c r="B38949" s="6"/>
      <c r="H38949" s="13"/>
    </row>
    <row r="38950">
      <c r="A38950" s="6"/>
      <c r="B38950" s="6"/>
      <c r="H38950" s="13"/>
    </row>
    <row r="38951">
      <c r="A38951" s="6"/>
      <c r="B38951" s="6"/>
      <c r="H38951" s="13"/>
    </row>
    <row r="38952">
      <c r="A38952" s="6"/>
      <c r="B38952" s="6"/>
      <c r="H38952" s="13"/>
    </row>
    <row r="38953">
      <c r="A38953" s="6"/>
      <c r="B38953" s="6"/>
      <c r="H38953" s="13"/>
    </row>
    <row r="38954">
      <c r="A38954" s="6"/>
      <c r="B38954" s="6"/>
      <c r="H38954" s="13"/>
    </row>
    <row r="38955">
      <c r="A38955" s="6"/>
      <c r="B38955" s="6"/>
      <c r="H38955" s="13"/>
    </row>
    <row r="38956">
      <c r="A38956" s="6"/>
      <c r="B38956" s="6"/>
      <c r="H38956" s="13"/>
    </row>
    <row r="38957">
      <c r="A38957" s="6"/>
      <c r="B38957" s="6"/>
      <c r="H38957" s="13"/>
    </row>
    <row r="38958">
      <c r="A38958" s="6"/>
      <c r="B38958" s="6"/>
      <c r="H38958" s="13"/>
    </row>
    <row r="38959">
      <c r="A38959" s="6"/>
      <c r="B38959" s="6"/>
      <c r="H38959" s="13"/>
    </row>
    <row r="38960">
      <c r="A38960" s="6"/>
      <c r="B38960" s="6"/>
      <c r="H38960" s="13"/>
    </row>
    <row r="38961">
      <c r="A38961" s="6"/>
      <c r="B38961" s="6"/>
      <c r="H38961" s="13"/>
    </row>
    <row r="38962">
      <c r="A38962" s="6"/>
      <c r="B38962" s="6"/>
      <c r="H38962" s="13"/>
    </row>
    <row r="38963">
      <c r="A38963" s="6"/>
      <c r="B38963" s="6"/>
      <c r="H38963" s="13"/>
    </row>
    <row r="38964">
      <c r="A38964" s="6"/>
      <c r="B38964" s="6"/>
      <c r="H38964" s="13"/>
    </row>
    <row r="38965">
      <c r="A38965" s="6"/>
      <c r="B38965" s="6"/>
      <c r="H38965" s="13"/>
    </row>
    <row r="38966">
      <c r="A38966" s="6"/>
      <c r="B38966" s="6"/>
      <c r="H38966" s="13"/>
    </row>
    <row r="38967">
      <c r="A38967" s="6"/>
      <c r="B38967" s="6"/>
      <c r="H38967" s="13"/>
    </row>
    <row r="38968">
      <c r="A38968" s="6"/>
      <c r="B38968" s="6"/>
      <c r="H38968" s="13"/>
    </row>
    <row r="38969">
      <c r="A38969" s="6"/>
      <c r="B38969" s="6"/>
      <c r="H38969" s="13"/>
    </row>
    <row r="38970">
      <c r="A38970" s="6"/>
      <c r="B38970" s="6"/>
      <c r="H38970" s="13"/>
    </row>
    <row r="38971">
      <c r="A38971" s="6"/>
      <c r="B38971" s="6"/>
      <c r="H38971" s="13"/>
    </row>
    <row r="38972">
      <c r="A38972" s="6"/>
      <c r="B38972" s="6"/>
      <c r="H38972" s="13"/>
    </row>
    <row r="38973">
      <c r="A38973" s="6"/>
      <c r="B38973" s="6"/>
      <c r="H38973" s="13"/>
    </row>
    <row r="38974">
      <c r="A38974" s="6"/>
      <c r="B38974" s="6"/>
      <c r="H38974" s="13"/>
    </row>
    <row r="38975">
      <c r="A38975" s="6"/>
      <c r="B38975" s="6"/>
      <c r="H38975" s="13"/>
    </row>
    <row r="38976">
      <c r="A38976" s="6"/>
      <c r="B38976" s="6"/>
      <c r="H38976" s="13"/>
    </row>
    <row r="38977">
      <c r="A38977" s="6"/>
      <c r="B38977" s="6"/>
      <c r="H38977" s="13"/>
    </row>
    <row r="38978">
      <c r="A38978" s="6"/>
      <c r="B38978" s="6"/>
      <c r="H38978" s="13"/>
    </row>
    <row r="38979">
      <c r="A38979" s="6"/>
      <c r="B38979" s="6"/>
      <c r="H38979" s="13"/>
    </row>
    <row r="38980">
      <c r="A38980" s="6"/>
      <c r="B38980" s="6"/>
      <c r="H38980" s="13"/>
    </row>
    <row r="38981">
      <c r="A38981" s="6"/>
      <c r="B38981" s="6"/>
      <c r="H38981" s="13"/>
    </row>
    <row r="38982">
      <c r="A38982" s="6"/>
      <c r="B38982" s="6"/>
      <c r="H38982" s="13"/>
    </row>
    <row r="38983">
      <c r="A38983" s="6"/>
      <c r="B38983" s="6"/>
      <c r="H38983" s="13"/>
    </row>
    <row r="38984">
      <c r="A38984" s="6"/>
      <c r="B38984" s="6"/>
      <c r="H38984" s="13"/>
    </row>
    <row r="38985">
      <c r="A38985" s="6"/>
      <c r="B38985" s="6"/>
      <c r="H38985" s="13"/>
    </row>
    <row r="38986">
      <c r="A38986" s="6"/>
      <c r="B38986" s="6"/>
      <c r="H38986" s="13"/>
    </row>
    <row r="38987">
      <c r="A38987" s="6"/>
      <c r="B38987" s="6"/>
      <c r="H38987" s="13"/>
    </row>
    <row r="38988">
      <c r="A38988" s="6"/>
      <c r="B38988" s="6"/>
      <c r="H38988" s="13"/>
    </row>
    <row r="38989">
      <c r="A38989" s="6"/>
      <c r="B38989" s="6"/>
      <c r="H38989" s="13"/>
    </row>
    <row r="38990">
      <c r="A38990" s="6"/>
      <c r="B38990" s="6"/>
      <c r="H38990" s="13"/>
    </row>
    <row r="38991">
      <c r="A38991" s="6"/>
      <c r="B38991" s="6"/>
      <c r="H38991" s="13"/>
    </row>
    <row r="38992">
      <c r="A38992" s="6"/>
      <c r="B38992" s="6"/>
      <c r="H38992" s="13"/>
    </row>
    <row r="38993">
      <c r="A38993" s="6"/>
      <c r="B38993" s="6"/>
      <c r="H38993" s="13"/>
    </row>
    <row r="38994">
      <c r="A38994" s="6"/>
      <c r="B38994" s="6"/>
      <c r="H38994" s="13"/>
    </row>
    <row r="38995">
      <c r="A38995" s="6"/>
      <c r="B38995" s="6"/>
      <c r="H38995" s="13"/>
    </row>
    <row r="38996">
      <c r="A38996" s="6"/>
      <c r="B38996" s="6"/>
      <c r="H38996" s="13"/>
    </row>
    <row r="38997">
      <c r="A38997" s="6"/>
      <c r="B38997" s="6"/>
      <c r="H38997" s="13"/>
    </row>
    <row r="38998">
      <c r="A38998" s="6"/>
      <c r="B38998" s="6"/>
      <c r="H38998" s="13"/>
    </row>
    <row r="38999">
      <c r="A38999" s="6"/>
      <c r="B38999" s="6"/>
      <c r="H38999" s="13"/>
    </row>
    <row r="39000">
      <c r="A39000" s="6"/>
      <c r="B39000" s="6"/>
      <c r="H39000" s="13"/>
    </row>
    <row r="39001">
      <c r="A39001" s="6"/>
      <c r="B39001" s="6"/>
      <c r="H39001" s="13"/>
    </row>
    <row r="39002">
      <c r="A39002" s="6"/>
      <c r="B39002" s="6"/>
      <c r="H39002" s="13"/>
    </row>
    <row r="39003">
      <c r="A39003" s="6"/>
      <c r="B39003" s="6"/>
      <c r="H39003" s="13"/>
    </row>
    <row r="39004">
      <c r="A39004" s="6"/>
      <c r="B39004" s="6"/>
      <c r="H39004" s="13"/>
    </row>
    <row r="39005">
      <c r="A39005" s="6"/>
      <c r="B39005" s="6"/>
      <c r="H39005" s="13"/>
    </row>
    <row r="39006">
      <c r="A39006" s="6"/>
      <c r="B39006" s="6"/>
      <c r="H39006" s="13"/>
    </row>
    <row r="39007">
      <c r="A39007" s="6"/>
      <c r="B39007" s="6"/>
      <c r="H39007" s="13"/>
    </row>
    <row r="39008">
      <c r="A39008" s="6"/>
      <c r="B39008" s="6"/>
      <c r="H39008" s="13"/>
    </row>
    <row r="39009">
      <c r="A39009" s="6"/>
      <c r="B39009" s="6"/>
      <c r="H39009" s="13"/>
    </row>
    <row r="39010">
      <c r="A39010" s="6"/>
      <c r="B39010" s="6"/>
      <c r="H39010" s="13"/>
    </row>
    <row r="39011">
      <c r="A39011" s="6"/>
      <c r="B39011" s="6"/>
      <c r="H39011" s="13"/>
    </row>
    <row r="39012">
      <c r="A39012" s="6"/>
      <c r="B39012" s="6"/>
      <c r="H39012" s="13"/>
    </row>
    <row r="39013">
      <c r="A39013" s="6"/>
      <c r="B39013" s="6"/>
      <c r="H39013" s="13"/>
    </row>
    <row r="39014">
      <c r="A39014" s="6"/>
      <c r="B39014" s="6"/>
      <c r="H39014" s="13"/>
    </row>
    <row r="39015">
      <c r="A39015" s="6"/>
      <c r="B39015" s="6"/>
      <c r="H39015" s="13"/>
    </row>
    <row r="39016">
      <c r="A39016" s="6"/>
      <c r="B39016" s="6"/>
      <c r="H39016" s="13"/>
    </row>
    <row r="39017">
      <c r="A39017" s="6"/>
      <c r="B39017" s="6"/>
      <c r="H39017" s="13"/>
    </row>
    <row r="39018">
      <c r="A39018" s="6"/>
      <c r="B39018" s="6"/>
      <c r="H39018" s="13"/>
    </row>
    <row r="39019">
      <c r="A39019" s="6"/>
      <c r="B39019" s="6"/>
      <c r="H39019" s="13"/>
    </row>
    <row r="39020">
      <c r="A39020" s="6"/>
      <c r="B39020" s="6"/>
      <c r="H39020" s="13"/>
    </row>
    <row r="39021">
      <c r="A39021" s="6"/>
      <c r="B39021" s="6"/>
      <c r="H39021" s="13"/>
    </row>
    <row r="39022">
      <c r="A39022" s="6"/>
      <c r="B39022" s="6"/>
      <c r="H39022" s="13"/>
    </row>
    <row r="39023">
      <c r="A39023" s="6"/>
      <c r="B39023" s="6"/>
      <c r="H39023" s="13"/>
    </row>
    <row r="39024">
      <c r="A39024" s="6"/>
      <c r="B39024" s="6"/>
      <c r="H39024" s="13"/>
    </row>
    <row r="39025">
      <c r="A39025" s="6"/>
      <c r="B39025" s="6"/>
      <c r="H39025" s="13"/>
    </row>
    <row r="39026">
      <c r="A39026" s="6"/>
      <c r="B39026" s="6"/>
      <c r="H39026" s="13"/>
    </row>
    <row r="39027">
      <c r="A39027" s="6"/>
      <c r="B39027" s="6"/>
      <c r="H39027" s="13"/>
    </row>
    <row r="39028">
      <c r="A39028" s="6"/>
      <c r="B39028" s="6"/>
      <c r="H39028" s="13"/>
    </row>
    <row r="39029">
      <c r="A39029" s="6"/>
      <c r="B39029" s="6"/>
      <c r="H39029" s="13"/>
    </row>
    <row r="39030">
      <c r="A39030" s="6"/>
      <c r="B39030" s="6"/>
      <c r="H39030" s="13"/>
    </row>
    <row r="39031">
      <c r="A39031" s="6"/>
      <c r="B39031" s="6"/>
      <c r="H39031" s="13"/>
    </row>
    <row r="39032">
      <c r="A39032" s="6"/>
      <c r="B39032" s="6"/>
      <c r="H39032" s="13"/>
    </row>
    <row r="39033">
      <c r="A39033" s="6"/>
      <c r="B39033" s="6"/>
      <c r="H39033" s="13"/>
    </row>
    <row r="39034">
      <c r="A39034" s="6"/>
      <c r="B39034" s="6"/>
      <c r="H39034" s="13"/>
    </row>
    <row r="39035">
      <c r="A39035" s="6"/>
      <c r="B39035" s="6"/>
      <c r="H39035" s="13"/>
    </row>
    <row r="39036">
      <c r="A39036" s="6"/>
      <c r="B39036" s="6"/>
      <c r="H39036" s="13"/>
    </row>
    <row r="39037">
      <c r="A39037" s="6"/>
      <c r="B39037" s="6"/>
      <c r="H39037" s="13"/>
    </row>
    <row r="39038">
      <c r="A39038" s="6"/>
      <c r="B39038" s="6"/>
      <c r="H39038" s="13"/>
    </row>
    <row r="39039">
      <c r="A39039" s="6"/>
      <c r="B39039" s="6"/>
      <c r="H39039" s="13"/>
    </row>
    <row r="39040">
      <c r="A39040" s="6"/>
      <c r="B39040" s="6"/>
      <c r="H39040" s="13"/>
    </row>
    <row r="39041">
      <c r="A39041" s="6"/>
      <c r="B39041" s="6"/>
      <c r="H39041" s="13"/>
    </row>
    <row r="39042">
      <c r="A39042" s="6"/>
      <c r="B39042" s="6"/>
      <c r="H39042" s="13"/>
    </row>
    <row r="39043">
      <c r="A39043" s="6"/>
      <c r="B39043" s="6"/>
      <c r="H39043" s="13"/>
    </row>
    <row r="39044">
      <c r="A39044" s="6"/>
      <c r="B39044" s="6"/>
      <c r="H39044" s="13"/>
    </row>
    <row r="39045">
      <c r="A39045" s="6"/>
      <c r="B39045" s="6"/>
      <c r="H39045" s="13"/>
    </row>
    <row r="39046">
      <c r="A39046" s="6"/>
      <c r="B39046" s="6"/>
      <c r="H39046" s="13"/>
    </row>
    <row r="39047">
      <c r="A39047" s="6"/>
      <c r="B39047" s="6"/>
      <c r="H39047" s="13"/>
    </row>
    <row r="39048">
      <c r="A39048" s="6"/>
      <c r="B39048" s="6"/>
      <c r="H39048" s="13"/>
    </row>
    <row r="39049">
      <c r="A39049" s="6"/>
      <c r="B39049" s="6"/>
      <c r="H39049" s="13"/>
    </row>
    <row r="39050">
      <c r="A39050" s="6"/>
      <c r="B39050" s="6"/>
      <c r="H39050" s="13"/>
    </row>
    <row r="39051">
      <c r="A39051" s="6"/>
      <c r="B39051" s="6"/>
      <c r="H39051" s="13"/>
    </row>
    <row r="39052">
      <c r="A39052" s="6"/>
      <c r="B39052" s="6"/>
      <c r="H39052" s="13"/>
    </row>
    <row r="39053">
      <c r="A39053" s="6"/>
      <c r="B39053" s="6"/>
      <c r="H39053" s="13"/>
    </row>
    <row r="39054">
      <c r="A39054" s="6"/>
      <c r="B39054" s="6"/>
      <c r="H39054" s="13"/>
    </row>
    <row r="39055">
      <c r="A39055" s="6"/>
      <c r="B39055" s="6"/>
      <c r="H39055" s="13"/>
    </row>
    <row r="39056">
      <c r="A39056" s="6"/>
      <c r="B39056" s="6"/>
      <c r="H39056" s="13"/>
    </row>
    <row r="39057">
      <c r="A39057" s="6"/>
      <c r="B39057" s="6"/>
      <c r="H39057" s="13"/>
    </row>
    <row r="39058">
      <c r="A39058" s="6"/>
      <c r="B39058" s="6"/>
      <c r="H39058" s="13"/>
    </row>
    <row r="39059">
      <c r="A39059" s="6"/>
      <c r="B39059" s="6"/>
      <c r="H39059" s="13"/>
    </row>
    <row r="39060">
      <c r="A39060" s="6"/>
      <c r="B39060" s="6"/>
      <c r="H39060" s="13"/>
    </row>
    <row r="39061">
      <c r="A39061" s="6"/>
      <c r="B39061" s="6"/>
      <c r="H39061" s="13"/>
    </row>
    <row r="39062">
      <c r="A39062" s="6"/>
      <c r="B39062" s="6"/>
      <c r="H39062" s="13"/>
    </row>
    <row r="39063">
      <c r="A39063" s="6"/>
      <c r="B39063" s="6"/>
      <c r="H39063" s="13"/>
    </row>
    <row r="39064">
      <c r="A39064" s="6"/>
      <c r="B39064" s="6"/>
      <c r="H39064" s="13"/>
    </row>
    <row r="39065">
      <c r="A39065" s="6"/>
      <c r="B39065" s="6"/>
      <c r="H39065" s="13"/>
    </row>
    <row r="39066">
      <c r="A39066" s="6"/>
      <c r="B39066" s="6"/>
      <c r="H39066" s="13"/>
    </row>
    <row r="39067">
      <c r="A39067" s="6"/>
      <c r="B39067" s="6"/>
      <c r="H39067" s="13"/>
    </row>
    <row r="39068">
      <c r="A39068" s="6"/>
      <c r="B39068" s="6"/>
      <c r="H39068" s="13"/>
    </row>
    <row r="39069">
      <c r="A39069" s="6"/>
      <c r="B39069" s="6"/>
      <c r="H39069" s="13"/>
    </row>
    <row r="39070">
      <c r="A39070" s="6"/>
      <c r="B39070" s="6"/>
      <c r="H39070" s="13"/>
    </row>
    <row r="39071">
      <c r="A39071" s="6"/>
      <c r="B39071" s="6"/>
      <c r="H39071" s="13"/>
    </row>
    <row r="39072">
      <c r="A39072" s="6"/>
      <c r="B39072" s="6"/>
      <c r="H39072" s="13"/>
    </row>
    <row r="39073">
      <c r="A39073" s="6"/>
      <c r="B39073" s="6"/>
      <c r="H39073" s="13"/>
    </row>
    <row r="39074">
      <c r="A39074" s="6"/>
      <c r="B39074" s="6"/>
      <c r="H39074" s="13"/>
    </row>
    <row r="39075">
      <c r="A39075" s="6"/>
      <c r="B39075" s="6"/>
      <c r="H39075" s="13"/>
    </row>
    <row r="39076">
      <c r="A39076" s="6"/>
      <c r="B39076" s="6"/>
      <c r="H39076" s="13"/>
    </row>
    <row r="39077">
      <c r="A39077" s="6"/>
      <c r="B39077" s="6"/>
      <c r="H39077" s="13"/>
    </row>
    <row r="39078">
      <c r="A39078" s="6"/>
      <c r="B39078" s="6"/>
      <c r="H39078" s="13"/>
    </row>
    <row r="39079">
      <c r="A39079" s="6"/>
      <c r="B39079" s="6"/>
      <c r="H39079" s="13"/>
    </row>
    <row r="39080">
      <c r="A39080" s="6"/>
      <c r="B39080" s="6"/>
      <c r="H39080" s="13"/>
    </row>
    <row r="39081">
      <c r="A39081" s="6"/>
      <c r="B39081" s="6"/>
      <c r="H39081" s="13"/>
    </row>
    <row r="39082">
      <c r="A39082" s="6"/>
      <c r="B39082" s="6"/>
      <c r="H39082" s="13"/>
    </row>
    <row r="39083">
      <c r="A39083" s="6"/>
      <c r="B39083" s="6"/>
      <c r="H39083" s="13"/>
    </row>
    <row r="39084">
      <c r="A39084" s="6"/>
      <c r="B39084" s="6"/>
      <c r="H39084" s="13"/>
    </row>
    <row r="39085">
      <c r="A39085" s="6"/>
      <c r="B39085" s="6"/>
      <c r="H39085" s="13"/>
    </row>
    <row r="39086">
      <c r="A39086" s="6"/>
      <c r="B39086" s="6"/>
      <c r="H39086" s="13"/>
    </row>
    <row r="39087">
      <c r="A39087" s="6"/>
      <c r="B39087" s="6"/>
      <c r="H39087" s="13"/>
    </row>
    <row r="39088">
      <c r="A39088" s="6"/>
      <c r="B39088" s="6"/>
      <c r="H39088" s="13"/>
    </row>
    <row r="39089">
      <c r="A39089" s="6"/>
      <c r="B39089" s="6"/>
      <c r="H39089" s="13"/>
    </row>
    <row r="39090">
      <c r="A39090" s="6"/>
      <c r="B39090" s="6"/>
      <c r="H39090" s="13"/>
    </row>
    <row r="39091">
      <c r="A39091" s="6"/>
      <c r="B39091" s="6"/>
      <c r="H39091" s="13"/>
    </row>
    <row r="39092">
      <c r="A39092" s="6"/>
      <c r="B39092" s="6"/>
      <c r="H39092" s="13"/>
    </row>
    <row r="39093">
      <c r="A39093" s="6"/>
      <c r="B39093" s="6"/>
      <c r="H39093" s="13"/>
    </row>
    <row r="39094">
      <c r="A39094" s="6"/>
      <c r="B39094" s="6"/>
      <c r="H39094" s="13"/>
    </row>
    <row r="39095">
      <c r="A39095" s="6"/>
      <c r="B39095" s="6"/>
      <c r="H39095" s="13"/>
    </row>
    <row r="39096">
      <c r="A39096" s="6"/>
      <c r="B39096" s="6"/>
      <c r="H39096" s="13"/>
    </row>
    <row r="39097">
      <c r="A39097" s="6"/>
      <c r="B39097" s="6"/>
      <c r="H39097" s="13"/>
    </row>
    <row r="39098">
      <c r="A39098" s="6"/>
      <c r="B39098" s="6"/>
      <c r="H39098" s="13"/>
    </row>
    <row r="39099">
      <c r="A39099" s="6"/>
      <c r="B39099" s="6"/>
      <c r="H39099" s="13"/>
    </row>
    <row r="39100">
      <c r="A39100" s="6"/>
      <c r="B39100" s="6"/>
      <c r="H39100" s="13"/>
    </row>
    <row r="39101">
      <c r="A39101" s="6"/>
      <c r="B39101" s="6"/>
      <c r="H39101" s="13"/>
    </row>
    <row r="39102">
      <c r="A39102" s="6"/>
      <c r="B39102" s="6"/>
      <c r="H39102" s="13"/>
    </row>
    <row r="39103">
      <c r="A39103" s="6"/>
      <c r="B39103" s="6"/>
      <c r="H39103" s="13"/>
    </row>
    <row r="39104">
      <c r="A39104" s="6"/>
      <c r="B39104" s="6"/>
      <c r="H39104" s="13"/>
    </row>
    <row r="39105">
      <c r="A39105" s="6"/>
      <c r="B39105" s="6"/>
      <c r="H39105" s="13"/>
    </row>
    <row r="39106">
      <c r="A39106" s="6"/>
      <c r="B39106" s="6"/>
      <c r="H39106" s="13"/>
    </row>
    <row r="39107">
      <c r="A39107" s="6"/>
      <c r="B39107" s="6"/>
      <c r="H39107" s="13"/>
    </row>
    <row r="39108">
      <c r="A39108" s="6"/>
      <c r="B39108" s="6"/>
      <c r="H39108" s="13"/>
    </row>
    <row r="39109">
      <c r="A39109" s="6"/>
      <c r="B39109" s="6"/>
      <c r="H39109" s="13"/>
    </row>
    <row r="39110">
      <c r="A39110" s="6"/>
      <c r="B39110" s="6"/>
      <c r="H39110" s="13"/>
    </row>
    <row r="39111">
      <c r="A39111" s="6"/>
      <c r="B39111" s="6"/>
      <c r="H39111" s="13"/>
    </row>
    <row r="39112">
      <c r="A39112" s="6"/>
      <c r="B39112" s="6"/>
      <c r="H39112" s="13"/>
    </row>
    <row r="39113">
      <c r="A39113" s="6"/>
      <c r="B39113" s="6"/>
      <c r="H39113" s="13"/>
    </row>
    <row r="39114">
      <c r="A39114" s="6"/>
      <c r="B39114" s="6"/>
      <c r="H39114" s="13"/>
    </row>
    <row r="39115">
      <c r="A39115" s="6"/>
      <c r="B39115" s="6"/>
      <c r="H39115" s="13"/>
    </row>
    <row r="39116">
      <c r="A39116" s="6"/>
      <c r="B39116" s="6"/>
      <c r="H39116" s="13"/>
    </row>
    <row r="39117">
      <c r="A39117" s="6"/>
      <c r="B39117" s="6"/>
      <c r="H39117" s="13"/>
    </row>
    <row r="39118">
      <c r="A39118" s="6"/>
      <c r="B39118" s="6"/>
      <c r="H39118" s="13"/>
    </row>
    <row r="39119">
      <c r="A39119" s="6"/>
      <c r="B39119" s="6"/>
      <c r="H39119" s="13"/>
    </row>
    <row r="39120">
      <c r="A39120" s="6"/>
      <c r="B39120" s="6"/>
      <c r="H39120" s="13"/>
    </row>
    <row r="39121">
      <c r="A39121" s="6"/>
      <c r="B39121" s="6"/>
      <c r="H39121" s="13"/>
    </row>
    <row r="39122">
      <c r="A39122" s="6"/>
      <c r="B39122" s="6"/>
      <c r="H39122" s="13"/>
    </row>
    <row r="39123">
      <c r="A39123" s="6"/>
      <c r="B39123" s="6"/>
      <c r="H39123" s="13"/>
    </row>
    <row r="39124">
      <c r="A39124" s="6"/>
      <c r="B39124" s="6"/>
      <c r="H39124" s="13"/>
    </row>
    <row r="39125">
      <c r="A39125" s="6"/>
      <c r="B39125" s="6"/>
      <c r="H39125" s="13"/>
    </row>
    <row r="39126">
      <c r="A39126" s="6"/>
      <c r="B39126" s="6"/>
      <c r="H39126" s="13"/>
    </row>
    <row r="39127">
      <c r="A39127" s="6"/>
      <c r="B39127" s="6"/>
      <c r="H39127" s="13"/>
    </row>
    <row r="39128">
      <c r="A39128" s="6"/>
      <c r="B39128" s="6"/>
      <c r="H39128" s="13"/>
    </row>
    <row r="39129">
      <c r="A39129" s="6"/>
      <c r="B39129" s="6"/>
      <c r="H39129" s="13"/>
    </row>
    <row r="39130">
      <c r="A39130" s="6"/>
      <c r="B39130" s="6"/>
      <c r="H39130" s="13"/>
    </row>
    <row r="39131">
      <c r="A39131" s="6"/>
      <c r="B39131" s="6"/>
      <c r="H39131" s="13"/>
    </row>
    <row r="39132">
      <c r="A39132" s="6"/>
      <c r="B39132" s="6"/>
      <c r="H39132" s="13"/>
    </row>
    <row r="39133">
      <c r="A39133" s="6"/>
      <c r="B39133" s="6"/>
      <c r="H39133" s="13"/>
    </row>
    <row r="39134">
      <c r="A39134" s="6"/>
      <c r="B39134" s="6"/>
      <c r="H39134" s="13"/>
    </row>
    <row r="39135">
      <c r="A39135" s="6"/>
      <c r="B39135" s="6"/>
      <c r="H39135" s="13"/>
    </row>
    <row r="39136">
      <c r="A39136" s="6"/>
      <c r="B39136" s="6"/>
      <c r="H39136" s="13"/>
    </row>
    <row r="39137">
      <c r="A39137" s="6"/>
      <c r="B39137" s="6"/>
      <c r="H39137" s="13"/>
    </row>
    <row r="39138">
      <c r="A39138" s="6"/>
      <c r="B39138" s="6"/>
      <c r="H39138" s="13"/>
    </row>
    <row r="39139">
      <c r="A39139" s="6"/>
      <c r="B39139" s="6"/>
      <c r="H39139" s="13"/>
    </row>
    <row r="39140">
      <c r="A39140" s="6"/>
      <c r="B39140" s="6"/>
      <c r="H39140" s="13"/>
    </row>
    <row r="39141">
      <c r="A39141" s="6"/>
      <c r="B39141" s="6"/>
      <c r="H39141" s="13"/>
    </row>
    <row r="39142">
      <c r="A39142" s="6"/>
      <c r="B39142" s="6"/>
      <c r="H39142" s="13"/>
    </row>
    <row r="39143">
      <c r="A39143" s="6"/>
      <c r="B39143" s="6"/>
      <c r="H39143" s="13"/>
    </row>
    <row r="39144">
      <c r="A39144" s="6"/>
      <c r="B39144" s="6"/>
      <c r="H39144" s="13"/>
    </row>
    <row r="39145">
      <c r="A39145" s="6"/>
      <c r="B39145" s="6"/>
      <c r="H39145" s="13"/>
    </row>
    <row r="39146">
      <c r="A39146" s="6"/>
      <c r="B39146" s="6"/>
      <c r="H39146" s="13"/>
    </row>
    <row r="39147">
      <c r="A39147" s="6"/>
      <c r="B39147" s="6"/>
      <c r="H39147" s="13"/>
    </row>
    <row r="39148">
      <c r="A39148" s="6"/>
      <c r="B39148" s="6"/>
      <c r="H39148" s="13"/>
    </row>
    <row r="39149">
      <c r="A39149" s="6"/>
      <c r="B39149" s="6"/>
      <c r="H39149" s="13"/>
    </row>
    <row r="39150">
      <c r="A39150" s="6"/>
      <c r="B39150" s="6"/>
      <c r="H39150" s="13"/>
    </row>
    <row r="39151">
      <c r="A39151" s="6"/>
      <c r="B39151" s="6"/>
      <c r="H39151" s="13"/>
    </row>
    <row r="39152">
      <c r="A39152" s="6"/>
      <c r="B39152" s="6"/>
      <c r="H39152" s="13"/>
    </row>
    <row r="39153">
      <c r="A39153" s="6"/>
      <c r="B39153" s="6"/>
      <c r="H39153" s="13"/>
    </row>
    <row r="39154">
      <c r="A39154" s="6"/>
      <c r="B39154" s="6"/>
      <c r="H39154" s="13"/>
    </row>
    <row r="39155">
      <c r="A39155" s="6"/>
      <c r="B39155" s="6"/>
      <c r="H39155" s="13"/>
    </row>
    <row r="39156">
      <c r="A39156" s="6"/>
      <c r="B39156" s="6"/>
      <c r="H39156" s="13"/>
    </row>
    <row r="39157">
      <c r="A39157" s="6"/>
      <c r="B39157" s="6"/>
      <c r="H39157" s="13"/>
    </row>
    <row r="39158">
      <c r="A39158" s="6"/>
      <c r="B39158" s="6"/>
      <c r="H39158" s="13"/>
    </row>
    <row r="39159">
      <c r="A39159" s="6"/>
      <c r="B39159" s="6"/>
      <c r="H39159" s="13"/>
    </row>
    <row r="39160">
      <c r="A39160" s="6"/>
      <c r="B39160" s="6"/>
      <c r="H39160" s="13"/>
    </row>
    <row r="39161">
      <c r="A39161" s="6"/>
      <c r="B39161" s="6"/>
      <c r="H39161" s="13"/>
    </row>
    <row r="39162">
      <c r="A39162" s="6"/>
      <c r="B39162" s="6"/>
      <c r="H39162" s="13"/>
    </row>
    <row r="39163">
      <c r="A39163" s="6"/>
      <c r="B39163" s="6"/>
      <c r="H39163" s="13"/>
    </row>
    <row r="39164">
      <c r="A39164" s="6"/>
      <c r="B39164" s="6"/>
      <c r="H39164" s="13"/>
    </row>
    <row r="39165">
      <c r="A39165" s="6"/>
      <c r="B39165" s="6"/>
      <c r="H39165" s="13"/>
    </row>
    <row r="39166">
      <c r="A39166" s="6"/>
      <c r="B39166" s="6"/>
      <c r="H39166" s="13"/>
    </row>
    <row r="39167">
      <c r="A39167" s="6"/>
      <c r="B39167" s="6"/>
      <c r="H39167" s="13"/>
    </row>
    <row r="39168">
      <c r="A39168" s="6"/>
      <c r="B39168" s="6"/>
      <c r="H39168" s="13"/>
    </row>
    <row r="39169">
      <c r="A39169" s="6"/>
      <c r="B39169" s="6"/>
      <c r="H39169" s="13"/>
    </row>
    <row r="39170">
      <c r="A39170" s="6"/>
      <c r="B39170" s="6"/>
      <c r="H39170" s="13"/>
    </row>
    <row r="39171">
      <c r="A39171" s="6"/>
      <c r="B39171" s="6"/>
      <c r="H39171" s="13"/>
    </row>
    <row r="39172">
      <c r="A39172" s="6"/>
      <c r="B39172" s="6"/>
      <c r="H39172" s="13"/>
    </row>
    <row r="39173">
      <c r="A39173" s="6"/>
      <c r="B39173" s="6"/>
      <c r="H39173" s="13"/>
    </row>
    <row r="39174">
      <c r="A39174" s="6"/>
      <c r="B39174" s="6"/>
      <c r="H39174" s="13"/>
    </row>
    <row r="39175">
      <c r="A39175" s="6"/>
      <c r="B39175" s="6"/>
      <c r="H39175" s="13"/>
    </row>
    <row r="39176">
      <c r="A39176" s="6"/>
      <c r="B39176" s="6"/>
      <c r="H39176" s="13"/>
    </row>
    <row r="39177">
      <c r="A39177" s="6"/>
      <c r="B39177" s="6"/>
      <c r="H39177" s="13"/>
    </row>
    <row r="39178">
      <c r="A39178" s="6"/>
      <c r="B39178" s="6"/>
      <c r="H39178" s="13"/>
    </row>
    <row r="39179">
      <c r="A39179" s="6"/>
      <c r="B39179" s="6"/>
      <c r="H39179" s="13"/>
    </row>
    <row r="39180">
      <c r="A39180" s="6"/>
      <c r="B39180" s="6"/>
      <c r="H39180" s="13"/>
    </row>
    <row r="39181">
      <c r="A39181" s="6"/>
      <c r="B39181" s="6"/>
      <c r="H39181" s="13"/>
    </row>
    <row r="39182">
      <c r="A39182" s="6"/>
      <c r="B39182" s="6"/>
      <c r="H39182" s="13"/>
    </row>
    <row r="39183">
      <c r="A39183" s="6"/>
      <c r="B39183" s="6"/>
      <c r="H39183" s="13"/>
    </row>
    <row r="39184">
      <c r="A39184" s="6"/>
      <c r="B39184" s="6"/>
      <c r="H39184" s="13"/>
    </row>
    <row r="39185">
      <c r="A39185" s="6"/>
      <c r="B39185" s="6"/>
      <c r="H39185" s="13"/>
    </row>
    <row r="39186">
      <c r="A39186" s="6"/>
      <c r="B39186" s="6"/>
      <c r="H39186" s="13"/>
    </row>
    <row r="39187">
      <c r="A39187" s="6"/>
      <c r="B39187" s="6"/>
      <c r="H39187" s="13"/>
    </row>
    <row r="39188">
      <c r="A39188" s="6"/>
      <c r="B39188" s="6"/>
      <c r="H39188" s="13"/>
    </row>
    <row r="39189">
      <c r="A39189" s="6"/>
      <c r="B39189" s="6"/>
      <c r="H39189" s="13"/>
    </row>
    <row r="39190">
      <c r="A39190" s="6"/>
      <c r="B39190" s="6"/>
      <c r="H39190" s="13"/>
    </row>
    <row r="39191">
      <c r="A39191" s="6"/>
      <c r="B39191" s="6"/>
      <c r="H39191" s="13"/>
    </row>
    <row r="39192">
      <c r="A39192" s="6"/>
      <c r="B39192" s="6"/>
      <c r="H39192" s="13"/>
    </row>
    <row r="39193">
      <c r="A39193" s="6"/>
      <c r="B39193" s="6"/>
      <c r="H39193" s="13"/>
    </row>
    <row r="39194">
      <c r="A39194" s="6"/>
      <c r="B39194" s="6"/>
      <c r="H39194" s="13"/>
    </row>
    <row r="39195">
      <c r="A39195" s="6"/>
      <c r="B39195" s="6"/>
      <c r="H39195" s="13"/>
    </row>
    <row r="39196">
      <c r="A39196" s="6"/>
      <c r="B39196" s="6"/>
      <c r="H39196" s="13"/>
    </row>
    <row r="39197">
      <c r="A39197" s="6"/>
      <c r="B39197" s="6"/>
      <c r="H39197" s="13"/>
    </row>
    <row r="39198">
      <c r="A39198" s="6"/>
      <c r="B39198" s="6"/>
      <c r="H39198" s="13"/>
    </row>
    <row r="39199">
      <c r="A39199" s="6"/>
      <c r="B39199" s="6"/>
      <c r="H39199" s="13"/>
    </row>
    <row r="39200">
      <c r="A39200" s="6"/>
      <c r="B39200" s="6"/>
      <c r="H39200" s="13"/>
    </row>
    <row r="39201">
      <c r="A39201" s="6"/>
      <c r="B39201" s="6"/>
      <c r="H39201" s="13"/>
    </row>
    <row r="39202">
      <c r="A39202" s="6"/>
      <c r="B39202" s="6"/>
      <c r="H39202" s="13"/>
    </row>
    <row r="39203">
      <c r="A39203" s="6"/>
      <c r="B39203" s="6"/>
      <c r="H39203" s="13"/>
    </row>
    <row r="39204">
      <c r="A39204" s="6"/>
      <c r="B39204" s="6"/>
      <c r="H39204" s="13"/>
    </row>
    <row r="39205">
      <c r="A39205" s="6"/>
      <c r="B39205" s="6"/>
      <c r="H39205" s="13"/>
    </row>
    <row r="39206">
      <c r="A39206" s="6"/>
      <c r="B39206" s="6"/>
      <c r="H39206" s="13"/>
    </row>
    <row r="39207">
      <c r="A39207" s="6"/>
      <c r="B39207" s="6"/>
      <c r="H39207" s="13"/>
    </row>
    <row r="39208">
      <c r="A39208" s="6"/>
      <c r="B39208" s="6"/>
      <c r="H39208" s="13"/>
    </row>
    <row r="39209">
      <c r="A39209" s="6"/>
      <c r="B39209" s="6"/>
      <c r="H39209" s="13"/>
    </row>
    <row r="39210">
      <c r="A39210" s="6"/>
      <c r="B39210" s="6"/>
      <c r="H39210" s="13"/>
    </row>
    <row r="39211">
      <c r="A39211" s="6"/>
      <c r="B39211" s="6"/>
      <c r="H39211" s="13"/>
    </row>
    <row r="39212">
      <c r="A39212" s="6"/>
      <c r="B39212" s="6"/>
      <c r="H39212" s="13"/>
    </row>
    <row r="39213">
      <c r="A39213" s="6"/>
      <c r="B39213" s="6"/>
      <c r="H39213" s="13"/>
    </row>
    <row r="39214">
      <c r="A39214" s="6"/>
      <c r="B39214" s="6"/>
      <c r="H39214" s="13"/>
    </row>
    <row r="39215">
      <c r="A39215" s="6"/>
      <c r="B39215" s="6"/>
      <c r="H39215" s="13"/>
    </row>
    <row r="39216">
      <c r="A39216" s="6"/>
      <c r="B39216" s="6"/>
      <c r="H39216" s="13"/>
    </row>
    <row r="39217">
      <c r="A39217" s="6"/>
      <c r="B39217" s="6"/>
      <c r="H39217" s="13"/>
    </row>
    <row r="39218">
      <c r="A39218" s="6"/>
      <c r="B39218" s="6"/>
      <c r="H39218" s="13"/>
    </row>
    <row r="39219">
      <c r="A39219" s="6"/>
      <c r="B39219" s="6"/>
      <c r="H39219" s="13"/>
    </row>
    <row r="39220">
      <c r="A39220" s="6"/>
      <c r="B39220" s="6"/>
      <c r="H39220" s="13"/>
    </row>
    <row r="39221">
      <c r="A39221" s="6"/>
      <c r="B39221" s="6"/>
      <c r="H39221" s="13"/>
    </row>
    <row r="39222">
      <c r="A39222" s="6"/>
      <c r="B39222" s="6"/>
      <c r="H39222" s="13"/>
    </row>
    <row r="39223">
      <c r="A39223" s="6"/>
      <c r="B39223" s="6"/>
      <c r="H39223" s="13"/>
    </row>
    <row r="39224">
      <c r="A39224" s="6"/>
      <c r="B39224" s="6"/>
      <c r="H39224" s="13"/>
    </row>
    <row r="39225">
      <c r="A39225" s="6"/>
      <c r="B39225" s="6"/>
      <c r="H39225" s="13"/>
    </row>
    <row r="39226">
      <c r="A39226" s="6"/>
      <c r="B39226" s="6"/>
      <c r="H39226" s="13"/>
    </row>
    <row r="39227">
      <c r="A39227" s="6"/>
      <c r="B39227" s="6"/>
      <c r="H39227" s="13"/>
    </row>
    <row r="39228">
      <c r="A39228" s="6"/>
      <c r="B39228" s="6"/>
      <c r="H39228" s="13"/>
    </row>
    <row r="39229">
      <c r="A39229" s="6"/>
      <c r="B39229" s="6"/>
      <c r="H39229" s="13"/>
    </row>
    <row r="39230">
      <c r="A39230" s="6"/>
      <c r="B39230" s="6"/>
      <c r="H39230" s="13"/>
    </row>
    <row r="39231">
      <c r="A39231" s="6"/>
      <c r="B39231" s="6"/>
      <c r="H39231" s="13"/>
    </row>
    <row r="39232">
      <c r="A39232" s="6"/>
      <c r="B39232" s="6"/>
      <c r="H39232" s="13"/>
    </row>
    <row r="39233">
      <c r="A39233" s="6"/>
      <c r="B39233" s="6"/>
      <c r="H39233" s="13"/>
    </row>
    <row r="39234">
      <c r="A39234" s="6"/>
      <c r="B39234" s="6"/>
      <c r="H39234" s="13"/>
    </row>
    <row r="39235">
      <c r="A39235" s="6"/>
      <c r="B39235" s="6"/>
      <c r="H39235" s="13"/>
    </row>
    <row r="39236">
      <c r="A39236" s="6"/>
      <c r="B39236" s="6"/>
      <c r="H39236" s="13"/>
    </row>
    <row r="39237">
      <c r="A39237" s="6"/>
      <c r="B39237" s="6"/>
      <c r="H39237" s="13"/>
    </row>
    <row r="39238">
      <c r="A39238" s="6"/>
      <c r="B39238" s="6"/>
      <c r="H39238" s="13"/>
    </row>
    <row r="39239">
      <c r="A39239" s="6"/>
      <c r="B39239" s="6"/>
      <c r="H39239" s="13"/>
    </row>
    <row r="39240">
      <c r="A39240" s="6"/>
      <c r="B39240" s="6"/>
      <c r="H39240" s="13"/>
    </row>
    <row r="39241">
      <c r="A39241" s="6"/>
      <c r="B39241" s="6"/>
      <c r="H39241" s="13"/>
    </row>
    <row r="39242">
      <c r="A39242" s="6"/>
      <c r="B39242" s="6"/>
      <c r="H39242" s="13"/>
    </row>
    <row r="39243">
      <c r="A39243" s="6"/>
      <c r="B39243" s="6"/>
      <c r="H39243" s="13"/>
    </row>
    <row r="39244">
      <c r="A39244" s="6"/>
      <c r="B39244" s="6"/>
      <c r="H39244" s="13"/>
    </row>
    <row r="39245">
      <c r="A39245" s="6"/>
      <c r="B39245" s="6"/>
      <c r="H39245" s="13"/>
    </row>
    <row r="39246">
      <c r="A39246" s="6"/>
      <c r="B39246" s="6"/>
      <c r="H39246" s="13"/>
    </row>
    <row r="39247">
      <c r="A39247" s="6"/>
      <c r="B39247" s="6"/>
      <c r="H39247" s="13"/>
    </row>
    <row r="39248">
      <c r="A39248" s="6"/>
      <c r="B39248" s="6"/>
      <c r="H39248" s="13"/>
    </row>
    <row r="39249">
      <c r="A39249" s="6"/>
      <c r="B39249" s="6"/>
      <c r="H39249" s="13"/>
    </row>
    <row r="39250">
      <c r="A39250" s="6"/>
      <c r="B39250" s="6"/>
      <c r="H39250" s="13"/>
    </row>
    <row r="39251">
      <c r="A39251" s="6"/>
      <c r="B39251" s="6"/>
      <c r="H39251" s="13"/>
    </row>
    <row r="39252">
      <c r="A39252" s="6"/>
      <c r="B39252" s="6"/>
      <c r="H39252" s="13"/>
    </row>
    <row r="39253">
      <c r="A39253" s="6"/>
      <c r="B39253" s="6"/>
      <c r="H39253" s="13"/>
    </row>
    <row r="39254">
      <c r="A39254" s="6"/>
      <c r="B39254" s="6"/>
      <c r="H39254" s="13"/>
    </row>
    <row r="39255">
      <c r="A39255" s="6"/>
      <c r="B39255" s="6"/>
      <c r="H39255" s="13"/>
    </row>
    <row r="39256">
      <c r="A39256" s="6"/>
      <c r="B39256" s="6"/>
      <c r="H39256" s="13"/>
    </row>
    <row r="39257">
      <c r="A39257" s="6"/>
      <c r="B39257" s="6"/>
      <c r="H39257" s="13"/>
    </row>
    <row r="39258">
      <c r="A39258" s="6"/>
      <c r="B39258" s="6"/>
      <c r="H39258" s="13"/>
    </row>
    <row r="39259">
      <c r="A39259" s="6"/>
      <c r="B39259" s="6"/>
      <c r="H39259" s="13"/>
    </row>
    <row r="39260">
      <c r="A39260" s="6"/>
      <c r="B39260" s="6"/>
      <c r="H39260" s="13"/>
    </row>
    <row r="39261">
      <c r="A39261" s="6"/>
      <c r="B39261" s="6"/>
      <c r="H39261" s="13"/>
    </row>
    <row r="39262">
      <c r="A39262" s="6"/>
      <c r="B39262" s="6"/>
      <c r="H39262" s="13"/>
    </row>
    <row r="39263">
      <c r="A39263" s="6"/>
      <c r="B39263" s="6"/>
      <c r="H39263" s="13"/>
    </row>
    <row r="39264">
      <c r="A39264" s="6"/>
      <c r="B39264" s="6"/>
      <c r="H39264" s="13"/>
    </row>
    <row r="39265">
      <c r="A39265" s="6"/>
      <c r="B39265" s="6"/>
      <c r="H39265" s="13"/>
    </row>
    <row r="39266">
      <c r="A39266" s="6"/>
      <c r="B39266" s="6"/>
      <c r="H39266" s="13"/>
    </row>
    <row r="39267">
      <c r="A39267" s="6"/>
      <c r="B39267" s="6"/>
      <c r="H39267" s="13"/>
    </row>
    <row r="39268">
      <c r="A39268" s="6"/>
      <c r="B39268" s="6"/>
      <c r="H39268" s="13"/>
    </row>
    <row r="39269">
      <c r="A39269" s="6"/>
      <c r="B39269" s="6"/>
      <c r="H39269" s="13"/>
    </row>
    <row r="39270">
      <c r="A39270" s="6"/>
      <c r="B39270" s="6"/>
      <c r="H39270" s="13"/>
    </row>
    <row r="39271">
      <c r="A39271" s="6"/>
      <c r="B39271" s="6"/>
      <c r="H39271" s="13"/>
    </row>
    <row r="39272">
      <c r="A39272" s="6"/>
      <c r="B39272" s="6"/>
      <c r="H39272" s="13"/>
    </row>
    <row r="39273">
      <c r="A39273" s="6"/>
      <c r="B39273" s="6"/>
      <c r="H39273" s="13"/>
    </row>
    <row r="39274">
      <c r="A39274" s="6"/>
      <c r="B39274" s="6"/>
      <c r="H39274" s="13"/>
    </row>
    <row r="39275">
      <c r="A39275" s="6"/>
      <c r="B39275" s="6"/>
      <c r="H39275" s="13"/>
    </row>
    <row r="39276">
      <c r="A39276" s="6"/>
      <c r="B39276" s="6"/>
      <c r="H39276" s="13"/>
    </row>
    <row r="39277">
      <c r="A39277" s="6"/>
      <c r="B39277" s="6"/>
      <c r="H39277" s="13"/>
    </row>
    <row r="39278">
      <c r="A39278" s="6"/>
      <c r="B39278" s="6"/>
      <c r="H39278" s="13"/>
    </row>
    <row r="39279">
      <c r="A39279" s="6"/>
      <c r="B39279" s="6"/>
      <c r="H39279" s="13"/>
    </row>
    <row r="39280">
      <c r="A39280" s="6"/>
      <c r="B39280" s="6"/>
      <c r="H39280" s="13"/>
    </row>
    <row r="39281">
      <c r="A39281" s="6"/>
      <c r="B39281" s="6"/>
      <c r="H39281" s="13"/>
    </row>
    <row r="39282">
      <c r="A39282" s="6"/>
      <c r="B39282" s="6"/>
      <c r="H39282" s="13"/>
    </row>
    <row r="39283">
      <c r="A39283" s="6"/>
      <c r="B39283" s="6"/>
      <c r="H39283" s="13"/>
    </row>
    <row r="39284">
      <c r="A39284" s="6"/>
      <c r="B39284" s="6"/>
      <c r="H39284" s="13"/>
    </row>
    <row r="39285">
      <c r="A39285" s="6"/>
      <c r="B39285" s="6"/>
      <c r="H39285" s="13"/>
    </row>
    <row r="39286">
      <c r="A39286" s="6"/>
      <c r="B39286" s="6"/>
      <c r="H39286" s="13"/>
    </row>
    <row r="39287">
      <c r="A39287" s="6"/>
      <c r="B39287" s="6"/>
      <c r="H39287" s="13"/>
    </row>
    <row r="39288">
      <c r="A39288" s="6"/>
      <c r="B39288" s="6"/>
      <c r="H39288" s="13"/>
    </row>
    <row r="39289">
      <c r="A39289" s="6"/>
      <c r="B39289" s="6"/>
      <c r="H39289" s="13"/>
    </row>
    <row r="39290">
      <c r="A39290" s="6"/>
      <c r="B39290" s="6"/>
      <c r="H39290" s="13"/>
    </row>
    <row r="39291">
      <c r="A39291" s="6"/>
      <c r="B39291" s="6"/>
      <c r="H39291" s="13"/>
    </row>
    <row r="39292">
      <c r="A39292" s="6"/>
      <c r="B39292" s="6"/>
      <c r="H39292" s="13"/>
    </row>
    <row r="39293">
      <c r="A39293" s="6"/>
      <c r="B39293" s="6"/>
      <c r="H39293" s="13"/>
    </row>
    <row r="39294">
      <c r="A39294" s="6"/>
      <c r="B39294" s="6"/>
      <c r="H39294" s="13"/>
    </row>
    <row r="39295">
      <c r="A39295" s="6"/>
      <c r="B39295" s="6"/>
      <c r="H39295" s="13"/>
    </row>
    <row r="39296">
      <c r="A39296" s="6"/>
      <c r="B39296" s="6"/>
      <c r="H39296" s="13"/>
    </row>
    <row r="39297">
      <c r="A39297" s="6"/>
      <c r="B39297" s="6"/>
      <c r="H39297" s="13"/>
    </row>
    <row r="39298">
      <c r="A39298" s="6"/>
      <c r="B39298" s="6"/>
      <c r="H39298" s="13"/>
    </row>
    <row r="39299">
      <c r="A39299" s="6"/>
      <c r="B39299" s="6"/>
      <c r="H39299" s="13"/>
    </row>
    <row r="39300">
      <c r="A39300" s="6"/>
      <c r="B39300" s="6"/>
      <c r="H39300" s="13"/>
    </row>
    <row r="39301">
      <c r="A39301" s="6"/>
      <c r="B39301" s="6"/>
      <c r="H39301" s="13"/>
    </row>
    <row r="39302">
      <c r="A39302" s="6"/>
      <c r="B39302" s="6"/>
      <c r="H39302" s="13"/>
    </row>
    <row r="39303">
      <c r="A39303" s="6"/>
      <c r="B39303" s="6"/>
      <c r="H39303" s="13"/>
    </row>
    <row r="39304">
      <c r="A39304" s="6"/>
      <c r="B39304" s="6"/>
      <c r="H39304" s="13"/>
    </row>
    <row r="39305">
      <c r="A39305" s="6"/>
      <c r="B39305" s="6"/>
      <c r="H39305" s="13"/>
    </row>
    <row r="39306">
      <c r="A39306" s="6"/>
      <c r="B39306" s="6"/>
      <c r="H39306" s="13"/>
    </row>
    <row r="39307">
      <c r="A39307" s="6"/>
      <c r="B39307" s="6"/>
      <c r="H39307" s="13"/>
    </row>
    <row r="39308">
      <c r="A39308" s="6"/>
      <c r="B39308" s="6"/>
      <c r="H39308" s="13"/>
    </row>
    <row r="39309">
      <c r="A39309" s="6"/>
      <c r="B39309" s="6"/>
      <c r="H39309" s="13"/>
    </row>
    <row r="39310">
      <c r="A39310" s="6"/>
      <c r="B39310" s="6"/>
      <c r="H39310" s="13"/>
    </row>
    <row r="39311">
      <c r="A39311" s="6"/>
      <c r="B39311" s="6"/>
      <c r="H39311" s="13"/>
    </row>
    <row r="39312">
      <c r="A39312" s="6"/>
      <c r="B39312" s="6"/>
      <c r="H39312" s="13"/>
    </row>
    <row r="39313">
      <c r="A39313" s="6"/>
      <c r="B39313" s="6"/>
      <c r="H39313" s="13"/>
    </row>
    <row r="39314">
      <c r="A39314" s="6"/>
      <c r="B39314" s="6"/>
      <c r="H39314" s="13"/>
    </row>
    <row r="39315">
      <c r="A39315" s="6"/>
      <c r="B39315" s="6"/>
      <c r="H39315" s="13"/>
    </row>
    <row r="39316">
      <c r="A39316" s="6"/>
      <c r="B39316" s="6"/>
      <c r="H39316" s="13"/>
    </row>
    <row r="39317">
      <c r="A39317" s="6"/>
      <c r="B39317" s="6"/>
      <c r="H39317" s="13"/>
    </row>
    <row r="39318">
      <c r="A39318" s="6"/>
      <c r="B39318" s="6"/>
      <c r="H39318" s="13"/>
    </row>
    <row r="39319">
      <c r="A39319" s="6"/>
      <c r="B39319" s="6"/>
      <c r="H39319" s="13"/>
    </row>
    <row r="39320">
      <c r="A39320" s="6"/>
      <c r="B39320" s="6"/>
      <c r="H39320" s="13"/>
    </row>
    <row r="39321">
      <c r="A39321" s="6"/>
      <c r="B39321" s="6"/>
      <c r="H39321" s="13"/>
    </row>
    <row r="39322">
      <c r="A39322" s="6"/>
      <c r="B39322" s="6"/>
      <c r="H39322" s="13"/>
    </row>
    <row r="39323">
      <c r="A39323" s="6"/>
      <c r="B39323" s="6"/>
      <c r="H39323" s="13"/>
    </row>
    <row r="39324">
      <c r="A39324" s="6"/>
      <c r="B39324" s="6"/>
      <c r="H39324" s="13"/>
    </row>
    <row r="39325">
      <c r="A39325" s="6"/>
      <c r="B39325" s="6"/>
      <c r="H39325" s="13"/>
    </row>
    <row r="39326">
      <c r="A39326" s="6"/>
      <c r="B39326" s="6"/>
      <c r="H39326" s="13"/>
    </row>
    <row r="39327">
      <c r="A39327" s="6"/>
      <c r="B39327" s="6"/>
      <c r="H39327" s="13"/>
    </row>
    <row r="39328">
      <c r="A39328" s="6"/>
      <c r="B39328" s="6"/>
      <c r="H39328" s="13"/>
    </row>
    <row r="39329">
      <c r="A39329" s="6"/>
      <c r="B39329" s="6"/>
      <c r="H39329" s="13"/>
    </row>
    <row r="39330">
      <c r="A39330" s="6"/>
      <c r="B39330" s="6"/>
      <c r="H39330" s="13"/>
    </row>
    <row r="39331">
      <c r="A39331" s="6"/>
      <c r="B39331" s="6"/>
      <c r="H39331" s="13"/>
    </row>
    <row r="39332">
      <c r="A39332" s="6"/>
      <c r="B39332" s="6"/>
      <c r="H39332" s="13"/>
    </row>
    <row r="39333">
      <c r="A39333" s="6"/>
      <c r="B39333" s="6"/>
      <c r="H39333" s="13"/>
    </row>
    <row r="39334">
      <c r="A39334" s="6"/>
      <c r="B39334" s="6"/>
      <c r="H39334" s="13"/>
    </row>
    <row r="39335">
      <c r="A39335" s="6"/>
      <c r="B39335" s="6"/>
      <c r="H39335" s="13"/>
    </row>
    <row r="39336">
      <c r="A39336" s="6"/>
      <c r="B39336" s="6"/>
      <c r="H39336" s="13"/>
    </row>
    <row r="39337">
      <c r="A39337" s="6"/>
      <c r="B39337" s="6"/>
      <c r="H39337" s="13"/>
    </row>
    <row r="39338">
      <c r="A39338" s="6"/>
      <c r="B39338" s="6"/>
      <c r="H39338" s="13"/>
    </row>
    <row r="39339">
      <c r="A39339" s="6"/>
      <c r="B39339" s="6"/>
      <c r="H39339" s="13"/>
    </row>
    <row r="39340">
      <c r="A39340" s="6"/>
      <c r="B39340" s="6"/>
      <c r="H39340" s="13"/>
    </row>
    <row r="39341">
      <c r="A39341" s="6"/>
      <c r="B39341" s="6"/>
      <c r="H39341" s="13"/>
    </row>
    <row r="39342">
      <c r="A39342" s="6"/>
      <c r="B39342" s="6"/>
      <c r="H39342" s="13"/>
    </row>
    <row r="39343">
      <c r="A39343" s="6"/>
      <c r="B39343" s="6"/>
      <c r="H39343" s="13"/>
    </row>
    <row r="39344">
      <c r="A39344" s="6"/>
      <c r="B39344" s="6"/>
      <c r="H39344" s="13"/>
    </row>
    <row r="39345">
      <c r="A39345" s="6"/>
      <c r="B39345" s="6"/>
      <c r="H39345" s="13"/>
    </row>
    <row r="39346">
      <c r="A39346" s="6"/>
      <c r="B39346" s="6"/>
      <c r="H39346" s="13"/>
    </row>
    <row r="39347">
      <c r="A39347" s="6"/>
      <c r="B39347" s="6"/>
      <c r="H39347" s="13"/>
    </row>
    <row r="39348">
      <c r="A39348" s="6"/>
      <c r="B39348" s="6"/>
      <c r="H39348" s="13"/>
    </row>
    <row r="39349">
      <c r="A39349" s="6"/>
      <c r="B39349" s="6"/>
      <c r="H39349" s="13"/>
    </row>
    <row r="39350">
      <c r="A39350" s="6"/>
      <c r="B39350" s="6"/>
      <c r="H39350" s="13"/>
    </row>
    <row r="39351">
      <c r="A39351" s="6"/>
      <c r="B39351" s="6"/>
      <c r="H39351" s="13"/>
    </row>
    <row r="39352">
      <c r="A39352" s="6"/>
      <c r="B39352" s="6"/>
      <c r="H39352" s="13"/>
    </row>
    <row r="39353">
      <c r="A39353" s="6"/>
      <c r="B39353" s="6"/>
      <c r="H39353" s="13"/>
    </row>
    <row r="39354">
      <c r="A39354" s="6"/>
      <c r="B39354" s="6"/>
      <c r="H39354" s="13"/>
    </row>
    <row r="39355">
      <c r="A39355" s="6"/>
      <c r="B39355" s="6"/>
      <c r="H39355" s="13"/>
    </row>
    <row r="39356">
      <c r="A39356" s="6"/>
      <c r="B39356" s="6"/>
      <c r="H39356" s="13"/>
    </row>
    <row r="39357">
      <c r="A39357" s="6"/>
      <c r="B39357" s="6"/>
      <c r="H39357" s="13"/>
    </row>
    <row r="39358">
      <c r="A39358" s="6"/>
      <c r="B39358" s="6"/>
      <c r="H39358" s="13"/>
    </row>
    <row r="39359">
      <c r="A39359" s="6"/>
      <c r="B39359" s="6"/>
      <c r="H39359" s="13"/>
    </row>
    <row r="39360">
      <c r="A39360" s="6"/>
      <c r="B39360" s="6"/>
      <c r="H39360" s="13"/>
    </row>
    <row r="39361">
      <c r="A39361" s="6"/>
      <c r="B39361" s="6"/>
      <c r="H39361" s="13"/>
    </row>
    <row r="39362">
      <c r="A39362" s="6"/>
      <c r="B39362" s="6"/>
      <c r="H39362" s="13"/>
    </row>
    <row r="39363">
      <c r="A39363" s="6"/>
      <c r="B39363" s="6"/>
      <c r="H39363" s="13"/>
    </row>
    <row r="39364">
      <c r="A39364" s="6"/>
      <c r="B39364" s="6"/>
      <c r="H39364" s="13"/>
    </row>
    <row r="39365">
      <c r="A39365" s="6"/>
      <c r="B39365" s="6"/>
      <c r="H39365" s="13"/>
    </row>
    <row r="39366">
      <c r="A39366" s="6"/>
      <c r="B39366" s="6"/>
      <c r="H39366" s="13"/>
    </row>
    <row r="39367">
      <c r="A39367" s="6"/>
      <c r="B39367" s="6"/>
      <c r="H39367" s="13"/>
    </row>
    <row r="39368">
      <c r="A39368" s="6"/>
      <c r="B39368" s="6"/>
      <c r="H39368" s="13"/>
    </row>
    <row r="39369">
      <c r="A39369" s="6"/>
      <c r="B39369" s="6"/>
      <c r="H39369" s="13"/>
    </row>
    <row r="39370">
      <c r="A39370" s="6"/>
      <c r="B39370" s="6"/>
      <c r="H39370" s="13"/>
    </row>
    <row r="39371">
      <c r="A39371" s="6"/>
      <c r="B39371" s="6"/>
      <c r="H39371" s="13"/>
    </row>
    <row r="39372">
      <c r="A39372" s="6"/>
      <c r="B39372" s="6"/>
      <c r="H39372" s="13"/>
    </row>
    <row r="39373">
      <c r="A39373" s="6"/>
      <c r="B39373" s="6"/>
      <c r="H39373" s="13"/>
    </row>
    <row r="39374">
      <c r="A39374" s="6"/>
      <c r="B39374" s="6"/>
      <c r="H39374" s="13"/>
    </row>
    <row r="39375">
      <c r="A39375" s="6"/>
      <c r="B39375" s="6"/>
      <c r="H39375" s="13"/>
    </row>
    <row r="39376">
      <c r="A39376" s="6"/>
      <c r="B39376" s="6"/>
      <c r="H39376" s="13"/>
    </row>
    <row r="39377">
      <c r="A39377" s="6"/>
      <c r="B39377" s="6"/>
      <c r="H39377" s="13"/>
    </row>
    <row r="39378">
      <c r="A39378" s="6"/>
      <c r="B39378" s="6"/>
      <c r="H39378" s="13"/>
    </row>
    <row r="39379">
      <c r="A39379" s="6"/>
      <c r="B39379" s="6"/>
      <c r="H39379" s="13"/>
    </row>
    <row r="39380">
      <c r="A39380" s="6"/>
      <c r="B39380" s="6"/>
      <c r="H39380" s="13"/>
    </row>
    <row r="39381">
      <c r="A39381" s="6"/>
      <c r="B39381" s="6"/>
      <c r="H39381" s="13"/>
    </row>
    <row r="39382">
      <c r="A39382" s="6"/>
      <c r="B39382" s="6"/>
      <c r="H39382" s="13"/>
    </row>
    <row r="39383">
      <c r="A39383" s="6"/>
      <c r="B39383" s="6"/>
      <c r="H39383" s="13"/>
    </row>
    <row r="39384">
      <c r="A39384" s="6"/>
      <c r="B39384" s="6"/>
      <c r="H39384" s="13"/>
    </row>
    <row r="39385">
      <c r="A39385" s="6"/>
      <c r="B39385" s="6"/>
      <c r="H39385" s="13"/>
    </row>
    <row r="39386">
      <c r="A39386" s="6"/>
      <c r="B39386" s="6"/>
      <c r="H39386" s="13"/>
    </row>
    <row r="39387">
      <c r="A39387" s="6"/>
      <c r="B39387" s="6"/>
      <c r="H39387" s="13"/>
    </row>
    <row r="39388">
      <c r="A39388" s="6"/>
      <c r="B39388" s="6"/>
      <c r="H39388" s="13"/>
    </row>
    <row r="39389">
      <c r="A39389" s="6"/>
      <c r="B39389" s="6"/>
      <c r="H39389" s="13"/>
    </row>
    <row r="39390">
      <c r="A39390" s="6"/>
      <c r="B39390" s="6"/>
      <c r="H39390" s="13"/>
    </row>
    <row r="39391">
      <c r="A39391" s="6"/>
      <c r="B39391" s="6"/>
      <c r="H39391" s="13"/>
    </row>
    <row r="39392">
      <c r="A39392" s="6"/>
      <c r="B39392" s="6"/>
      <c r="H39392" s="13"/>
    </row>
    <row r="39393">
      <c r="A39393" s="6"/>
      <c r="B39393" s="6"/>
      <c r="H39393" s="13"/>
    </row>
    <row r="39394">
      <c r="A39394" s="6"/>
      <c r="B39394" s="6"/>
      <c r="H39394" s="13"/>
    </row>
    <row r="39395">
      <c r="A39395" s="6"/>
      <c r="B39395" s="6"/>
      <c r="H39395" s="13"/>
    </row>
    <row r="39396">
      <c r="A39396" s="6"/>
      <c r="B39396" s="6"/>
      <c r="H39396" s="13"/>
    </row>
    <row r="39397">
      <c r="A39397" s="6"/>
      <c r="B39397" s="6"/>
      <c r="H39397" s="13"/>
    </row>
    <row r="39398">
      <c r="A39398" s="6"/>
      <c r="B39398" s="6"/>
      <c r="H39398" s="13"/>
    </row>
    <row r="39399">
      <c r="A39399" s="6"/>
      <c r="B39399" s="6"/>
      <c r="H39399" s="13"/>
    </row>
    <row r="39400">
      <c r="A39400" s="6"/>
      <c r="B39400" s="6"/>
      <c r="H39400" s="13"/>
    </row>
    <row r="39401">
      <c r="A39401" s="6"/>
      <c r="B39401" s="6"/>
      <c r="H39401" s="13"/>
    </row>
    <row r="39402">
      <c r="A39402" s="6"/>
      <c r="B39402" s="6"/>
      <c r="H39402" s="13"/>
    </row>
    <row r="39403">
      <c r="A39403" s="6"/>
      <c r="B39403" s="6"/>
      <c r="H39403" s="13"/>
    </row>
    <row r="39404">
      <c r="A39404" s="6"/>
      <c r="B39404" s="6"/>
      <c r="H39404" s="13"/>
    </row>
    <row r="39405">
      <c r="A39405" s="6"/>
      <c r="B39405" s="6"/>
      <c r="H39405" s="13"/>
    </row>
    <row r="39406">
      <c r="A39406" s="6"/>
      <c r="B39406" s="6"/>
      <c r="H39406" s="13"/>
    </row>
    <row r="39407">
      <c r="A39407" s="6"/>
      <c r="B39407" s="6"/>
      <c r="H39407" s="13"/>
    </row>
    <row r="39408">
      <c r="A39408" s="6"/>
      <c r="B39408" s="6"/>
      <c r="H39408" s="13"/>
    </row>
    <row r="39409">
      <c r="A39409" s="6"/>
      <c r="B39409" s="6"/>
      <c r="H39409" s="13"/>
    </row>
    <row r="39410">
      <c r="A39410" s="6"/>
      <c r="B39410" s="6"/>
      <c r="H39410" s="13"/>
    </row>
    <row r="39411">
      <c r="A39411" s="6"/>
      <c r="B39411" s="6"/>
      <c r="H39411" s="13"/>
    </row>
    <row r="39412">
      <c r="A39412" s="6"/>
      <c r="B39412" s="6"/>
      <c r="H39412" s="13"/>
    </row>
    <row r="39413">
      <c r="A39413" s="6"/>
      <c r="B39413" s="6"/>
      <c r="H39413" s="13"/>
    </row>
    <row r="39414">
      <c r="A39414" s="6"/>
      <c r="B39414" s="6"/>
      <c r="H39414" s="13"/>
    </row>
    <row r="39415">
      <c r="A39415" s="6"/>
      <c r="B39415" s="6"/>
      <c r="H39415" s="13"/>
    </row>
    <row r="39416">
      <c r="A39416" s="6"/>
      <c r="B39416" s="6"/>
      <c r="H39416" s="13"/>
    </row>
    <row r="39417">
      <c r="A39417" s="6"/>
      <c r="B39417" s="6"/>
      <c r="H39417" s="13"/>
    </row>
    <row r="39418">
      <c r="A39418" s="6"/>
      <c r="B39418" s="6"/>
      <c r="H39418" s="13"/>
    </row>
    <row r="39419">
      <c r="A39419" s="6"/>
      <c r="B39419" s="6"/>
      <c r="H39419" s="13"/>
    </row>
    <row r="39420">
      <c r="A39420" s="6"/>
      <c r="B39420" s="6"/>
      <c r="H39420" s="13"/>
    </row>
    <row r="39421">
      <c r="A39421" s="6"/>
      <c r="B39421" s="6"/>
      <c r="H39421" s="13"/>
    </row>
    <row r="39422">
      <c r="A39422" s="6"/>
      <c r="B39422" s="6"/>
      <c r="H39422" s="13"/>
    </row>
    <row r="39423">
      <c r="A39423" s="6"/>
      <c r="B39423" s="6"/>
      <c r="H39423" s="13"/>
    </row>
    <row r="39424">
      <c r="A39424" s="6"/>
      <c r="B39424" s="6"/>
      <c r="H39424" s="13"/>
    </row>
    <row r="39425">
      <c r="A39425" s="6"/>
      <c r="B39425" s="6"/>
      <c r="H39425" s="13"/>
    </row>
    <row r="39426">
      <c r="A39426" s="6"/>
      <c r="B39426" s="6"/>
      <c r="H39426" s="13"/>
    </row>
    <row r="39427">
      <c r="A39427" s="6"/>
      <c r="B39427" s="6"/>
      <c r="H39427" s="13"/>
    </row>
    <row r="39428">
      <c r="A39428" s="6"/>
      <c r="B39428" s="6"/>
      <c r="H39428" s="13"/>
    </row>
    <row r="39429">
      <c r="A39429" s="6"/>
      <c r="B39429" s="6"/>
      <c r="H39429" s="13"/>
    </row>
    <row r="39430">
      <c r="A39430" s="6"/>
      <c r="B39430" s="6"/>
      <c r="H39430" s="13"/>
    </row>
    <row r="39431">
      <c r="A39431" s="6"/>
      <c r="B39431" s="6"/>
      <c r="H39431" s="13"/>
    </row>
    <row r="39432">
      <c r="A39432" s="6"/>
      <c r="B39432" s="6"/>
      <c r="H39432" s="13"/>
    </row>
    <row r="39433">
      <c r="A39433" s="6"/>
      <c r="B39433" s="6"/>
      <c r="H39433" s="13"/>
    </row>
    <row r="39434">
      <c r="A39434" s="6"/>
      <c r="B39434" s="6"/>
      <c r="H39434" s="13"/>
    </row>
    <row r="39435">
      <c r="A39435" s="6"/>
      <c r="B39435" s="6"/>
      <c r="H39435" s="13"/>
    </row>
    <row r="39436">
      <c r="A39436" s="6"/>
      <c r="B39436" s="6"/>
      <c r="H39436" s="13"/>
    </row>
    <row r="39437">
      <c r="A39437" s="6"/>
      <c r="B39437" s="6"/>
      <c r="H39437" s="13"/>
    </row>
    <row r="39438">
      <c r="A39438" s="6"/>
      <c r="B39438" s="6"/>
      <c r="H39438" s="13"/>
    </row>
    <row r="39439">
      <c r="A39439" s="6"/>
      <c r="B39439" s="6"/>
      <c r="H39439" s="13"/>
    </row>
    <row r="39440">
      <c r="A39440" s="6"/>
      <c r="B39440" s="6"/>
      <c r="H39440" s="13"/>
    </row>
    <row r="39441">
      <c r="A39441" s="6"/>
      <c r="B39441" s="6"/>
      <c r="H39441" s="13"/>
    </row>
    <row r="39442">
      <c r="A39442" s="6"/>
      <c r="B39442" s="6"/>
      <c r="H39442" s="13"/>
    </row>
    <row r="39443">
      <c r="A39443" s="6"/>
      <c r="B39443" s="6"/>
      <c r="H39443" s="13"/>
    </row>
    <row r="39444">
      <c r="A39444" s="6"/>
      <c r="B39444" s="6"/>
      <c r="H39444" s="13"/>
    </row>
    <row r="39445">
      <c r="A39445" s="6"/>
      <c r="B39445" s="6"/>
      <c r="H39445" s="13"/>
    </row>
    <row r="39446">
      <c r="A39446" s="6"/>
      <c r="B39446" s="6"/>
      <c r="H39446" s="13"/>
    </row>
    <row r="39447">
      <c r="A39447" s="6"/>
      <c r="B39447" s="6"/>
      <c r="H39447" s="13"/>
    </row>
    <row r="39448">
      <c r="A39448" s="6"/>
      <c r="B39448" s="6"/>
      <c r="H39448" s="13"/>
    </row>
    <row r="39449">
      <c r="A39449" s="6"/>
      <c r="B39449" s="6"/>
      <c r="H39449" s="13"/>
    </row>
    <row r="39450">
      <c r="A39450" s="6"/>
      <c r="B39450" s="6"/>
      <c r="H39450" s="13"/>
    </row>
    <row r="39451">
      <c r="A39451" s="6"/>
      <c r="B39451" s="6"/>
      <c r="H39451" s="13"/>
    </row>
    <row r="39452">
      <c r="A39452" s="6"/>
      <c r="B39452" s="6"/>
      <c r="H39452" s="13"/>
    </row>
    <row r="39453">
      <c r="A39453" s="6"/>
      <c r="B39453" s="6"/>
      <c r="H39453" s="13"/>
    </row>
    <row r="39454">
      <c r="A39454" s="6"/>
      <c r="B39454" s="6"/>
      <c r="H39454" s="13"/>
    </row>
    <row r="39455">
      <c r="A39455" s="6"/>
      <c r="B39455" s="6"/>
      <c r="H39455" s="13"/>
    </row>
    <row r="39456">
      <c r="A39456" s="6"/>
      <c r="B39456" s="6"/>
      <c r="H39456" s="13"/>
    </row>
    <row r="39457">
      <c r="A39457" s="6"/>
      <c r="B39457" s="6"/>
      <c r="H39457" s="13"/>
    </row>
    <row r="39458">
      <c r="A39458" s="6"/>
      <c r="B39458" s="6"/>
      <c r="H39458" s="13"/>
    </row>
    <row r="39459">
      <c r="A39459" s="6"/>
      <c r="B39459" s="6"/>
      <c r="H39459" s="13"/>
    </row>
    <row r="39460">
      <c r="A39460" s="6"/>
      <c r="B39460" s="6"/>
      <c r="H39460" s="13"/>
    </row>
    <row r="39461">
      <c r="A39461" s="6"/>
      <c r="B39461" s="6"/>
      <c r="H39461" s="13"/>
    </row>
    <row r="39462">
      <c r="A39462" s="6"/>
      <c r="B39462" s="6"/>
      <c r="H39462" s="13"/>
    </row>
    <row r="39463">
      <c r="A39463" s="6"/>
      <c r="B39463" s="6"/>
      <c r="H39463" s="13"/>
    </row>
    <row r="39464">
      <c r="A39464" s="6"/>
      <c r="B39464" s="6"/>
      <c r="H39464" s="13"/>
    </row>
    <row r="39465">
      <c r="A39465" s="6"/>
      <c r="B39465" s="6"/>
      <c r="H39465" s="13"/>
    </row>
    <row r="39466">
      <c r="A39466" s="6"/>
      <c r="B39466" s="6"/>
      <c r="H39466" s="13"/>
    </row>
    <row r="39467">
      <c r="A39467" s="6"/>
      <c r="B39467" s="6"/>
      <c r="H39467" s="13"/>
    </row>
    <row r="39468">
      <c r="A39468" s="6"/>
      <c r="B39468" s="6"/>
      <c r="H39468" s="13"/>
    </row>
    <row r="39469">
      <c r="A39469" s="6"/>
      <c r="B39469" s="6"/>
      <c r="H39469" s="13"/>
    </row>
    <row r="39470">
      <c r="A39470" s="6"/>
      <c r="B39470" s="6"/>
      <c r="H39470" s="13"/>
    </row>
    <row r="39471">
      <c r="A39471" s="6"/>
      <c r="B39471" s="6"/>
      <c r="H39471" s="13"/>
    </row>
    <row r="39472">
      <c r="A39472" s="6"/>
      <c r="B39472" s="6"/>
      <c r="H39472" s="13"/>
    </row>
    <row r="39473">
      <c r="A39473" s="6"/>
      <c r="B39473" s="6"/>
      <c r="H39473" s="13"/>
    </row>
    <row r="39474">
      <c r="A39474" s="6"/>
      <c r="B39474" s="6"/>
      <c r="H39474" s="13"/>
    </row>
    <row r="39475">
      <c r="A39475" s="6"/>
      <c r="B39475" s="6"/>
      <c r="H39475" s="13"/>
    </row>
    <row r="39476">
      <c r="A39476" s="6"/>
      <c r="B39476" s="6"/>
      <c r="H39476" s="13"/>
    </row>
    <row r="39477">
      <c r="A39477" s="6"/>
      <c r="B39477" s="6"/>
      <c r="H39477" s="13"/>
    </row>
    <row r="39478">
      <c r="A39478" s="6"/>
      <c r="B39478" s="6"/>
      <c r="H39478" s="13"/>
    </row>
    <row r="39479">
      <c r="A39479" s="6"/>
      <c r="B39479" s="6"/>
      <c r="H39479" s="13"/>
    </row>
    <row r="39480">
      <c r="A39480" s="6"/>
      <c r="B39480" s="6"/>
      <c r="H39480" s="13"/>
    </row>
    <row r="39481">
      <c r="A39481" s="6"/>
      <c r="B39481" s="6"/>
      <c r="H39481" s="13"/>
    </row>
    <row r="39482">
      <c r="A39482" s="6"/>
      <c r="B39482" s="6"/>
      <c r="H39482" s="13"/>
    </row>
    <row r="39483">
      <c r="A39483" s="6"/>
      <c r="B39483" s="6"/>
      <c r="H39483" s="13"/>
    </row>
    <row r="39484">
      <c r="A39484" s="6"/>
      <c r="B39484" s="6"/>
      <c r="H39484" s="13"/>
    </row>
    <row r="39485">
      <c r="A39485" s="6"/>
      <c r="B39485" s="6"/>
      <c r="H39485" s="13"/>
    </row>
    <row r="39486">
      <c r="A39486" s="6"/>
      <c r="B39486" s="6"/>
      <c r="H39486" s="13"/>
    </row>
    <row r="39487">
      <c r="A39487" s="6"/>
      <c r="B39487" s="6"/>
      <c r="H39487" s="13"/>
    </row>
    <row r="39488">
      <c r="A39488" s="6"/>
      <c r="B39488" s="6"/>
      <c r="H39488" s="13"/>
    </row>
    <row r="39489">
      <c r="A39489" s="6"/>
      <c r="B39489" s="6"/>
      <c r="H39489" s="13"/>
    </row>
    <row r="39490">
      <c r="A39490" s="6"/>
      <c r="B39490" s="6"/>
      <c r="H39490" s="13"/>
    </row>
    <row r="39491">
      <c r="A39491" s="6"/>
      <c r="B39491" s="6"/>
      <c r="H39491" s="13"/>
    </row>
    <row r="39492">
      <c r="A39492" s="6"/>
      <c r="B39492" s="6"/>
      <c r="H39492" s="13"/>
    </row>
    <row r="39493">
      <c r="A39493" s="6"/>
      <c r="B39493" s="6"/>
      <c r="H39493" s="13"/>
    </row>
    <row r="39494">
      <c r="A39494" s="6"/>
      <c r="B39494" s="6"/>
      <c r="H39494" s="13"/>
    </row>
    <row r="39495">
      <c r="A39495" s="6"/>
      <c r="B39495" s="6"/>
      <c r="H39495" s="13"/>
    </row>
    <row r="39496">
      <c r="A39496" s="6"/>
      <c r="B39496" s="6"/>
      <c r="H39496" s="13"/>
    </row>
    <row r="39497">
      <c r="A39497" s="6"/>
      <c r="B39497" s="6"/>
      <c r="H39497" s="13"/>
    </row>
    <row r="39498">
      <c r="A39498" s="6"/>
      <c r="B39498" s="6"/>
      <c r="H39498" s="13"/>
    </row>
    <row r="39499">
      <c r="A39499" s="6"/>
      <c r="B39499" s="6"/>
      <c r="H39499" s="13"/>
    </row>
    <row r="39500">
      <c r="A39500" s="6"/>
      <c r="B39500" s="6"/>
      <c r="H39500" s="13"/>
    </row>
    <row r="39501">
      <c r="A39501" s="6"/>
      <c r="B39501" s="6"/>
      <c r="H39501" s="13"/>
    </row>
    <row r="39502">
      <c r="A39502" s="6"/>
      <c r="B39502" s="6"/>
      <c r="H39502" s="13"/>
    </row>
    <row r="39503">
      <c r="A39503" s="6"/>
      <c r="B39503" s="6"/>
      <c r="H39503" s="13"/>
    </row>
    <row r="39504">
      <c r="A39504" s="6"/>
      <c r="B39504" s="6"/>
      <c r="H39504" s="13"/>
    </row>
    <row r="39505">
      <c r="A39505" s="6"/>
      <c r="B39505" s="6"/>
      <c r="H39505" s="13"/>
    </row>
    <row r="39506">
      <c r="A39506" s="6"/>
      <c r="B39506" s="6"/>
      <c r="H39506" s="13"/>
    </row>
    <row r="39507">
      <c r="A39507" s="6"/>
      <c r="B39507" s="6"/>
      <c r="H39507" s="13"/>
    </row>
    <row r="39508">
      <c r="A39508" s="6"/>
      <c r="B39508" s="6"/>
      <c r="H39508" s="13"/>
    </row>
    <row r="39509">
      <c r="A39509" s="6"/>
      <c r="B39509" s="6"/>
      <c r="H39509" s="13"/>
    </row>
    <row r="39510">
      <c r="A39510" s="6"/>
      <c r="B39510" s="6"/>
      <c r="H39510" s="13"/>
    </row>
    <row r="39511">
      <c r="A39511" s="6"/>
      <c r="B39511" s="6"/>
      <c r="H39511" s="13"/>
    </row>
    <row r="39512">
      <c r="A39512" s="6"/>
      <c r="B39512" s="6"/>
      <c r="H39512" s="13"/>
    </row>
    <row r="39513">
      <c r="A39513" s="6"/>
      <c r="B39513" s="6"/>
      <c r="H39513" s="13"/>
    </row>
    <row r="39514">
      <c r="A39514" s="6"/>
      <c r="B39514" s="6"/>
      <c r="H39514" s="13"/>
    </row>
    <row r="39515">
      <c r="A39515" s="6"/>
      <c r="B39515" s="6"/>
      <c r="H39515" s="13"/>
    </row>
    <row r="39516">
      <c r="A39516" s="6"/>
      <c r="B39516" s="6"/>
      <c r="H39516" s="13"/>
    </row>
    <row r="39517">
      <c r="A39517" s="6"/>
      <c r="B39517" s="6"/>
      <c r="H39517" s="13"/>
    </row>
    <row r="39518">
      <c r="A39518" s="6"/>
      <c r="B39518" s="6"/>
      <c r="H39518" s="13"/>
    </row>
    <row r="39519">
      <c r="A39519" s="6"/>
      <c r="B39519" s="6"/>
      <c r="H39519" s="13"/>
    </row>
    <row r="39520">
      <c r="A39520" s="6"/>
      <c r="B39520" s="6"/>
      <c r="H39520" s="13"/>
    </row>
    <row r="39521">
      <c r="A39521" s="6"/>
      <c r="B39521" s="6"/>
      <c r="H39521" s="13"/>
    </row>
    <row r="39522">
      <c r="A39522" s="6"/>
      <c r="B39522" s="6"/>
      <c r="H39522" s="13"/>
    </row>
    <row r="39523">
      <c r="A39523" s="6"/>
      <c r="B39523" s="6"/>
      <c r="H39523" s="13"/>
    </row>
    <row r="39524">
      <c r="A39524" s="6"/>
      <c r="B39524" s="6"/>
      <c r="H39524" s="13"/>
    </row>
    <row r="39525">
      <c r="A39525" s="6"/>
      <c r="B39525" s="6"/>
      <c r="H39525" s="13"/>
    </row>
    <row r="39526">
      <c r="A39526" s="6"/>
      <c r="B39526" s="6"/>
      <c r="H39526" s="13"/>
    </row>
    <row r="39527">
      <c r="A39527" s="6"/>
      <c r="B39527" s="6"/>
      <c r="H39527" s="13"/>
    </row>
    <row r="39528">
      <c r="A39528" s="6"/>
      <c r="B39528" s="6"/>
      <c r="H39528" s="13"/>
    </row>
    <row r="39529">
      <c r="A39529" s="6"/>
      <c r="B39529" s="6"/>
      <c r="H39529" s="13"/>
    </row>
    <row r="39530">
      <c r="A39530" s="6"/>
      <c r="B39530" s="6"/>
      <c r="H39530" s="13"/>
    </row>
    <row r="39531">
      <c r="A39531" s="6"/>
      <c r="B39531" s="6"/>
      <c r="H39531" s="13"/>
    </row>
    <row r="39532">
      <c r="A39532" s="6"/>
      <c r="B39532" s="6"/>
      <c r="H39532" s="13"/>
    </row>
    <row r="39533">
      <c r="A39533" s="6"/>
      <c r="B39533" s="6"/>
      <c r="H39533" s="13"/>
    </row>
    <row r="39534">
      <c r="A39534" s="6"/>
      <c r="B39534" s="6"/>
      <c r="H39534" s="13"/>
    </row>
    <row r="39535">
      <c r="A39535" s="6"/>
      <c r="B39535" s="6"/>
      <c r="H39535" s="13"/>
    </row>
    <row r="39536">
      <c r="A39536" s="6"/>
      <c r="B39536" s="6"/>
      <c r="H39536" s="13"/>
    </row>
    <row r="39537">
      <c r="A39537" s="6"/>
      <c r="B39537" s="6"/>
      <c r="H39537" s="13"/>
    </row>
    <row r="39538">
      <c r="A39538" s="6"/>
      <c r="B39538" s="6"/>
      <c r="H39538" s="13"/>
    </row>
    <row r="39539">
      <c r="A39539" s="6"/>
      <c r="B39539" s="6"/>
      <c r="H39539" s="13"/>
    </row>
    <row r="39540">
      <c r="A39540" s="6"/>
      <c r="B39540" s="6"/>
      <c r="H39540" s="13"/>
    </row>
    <row r="39541">
      <c r="A39541" s="6"/>
      <c r="B39541" s="6"/>
      <c r="H39541" s="13"/>
    </row>
    <row r="39542">
      <c r="A39542" s="6"/>
      <c r="B39542" s="6"/>
      <c r="H39542" s="13"/>
    </row>
    <row r="39543">
      <c r="A39543" s="6"/>
      <c r="B39543" s="6"/>
      <c r="H39543" s="13"/>
    </row>
    <row r="39544">
      <c r="A39544" s="6"/>
      <c r="B39544" s="6"/>
      <c r="H39544" s="13"/>
    </row>
    <row r="39545">
      <c r="A39545" s="6"/>
      <c r="B39545" s="6"/>
      <c r="H39545" s="13"/>
    </row>
    <row r="39546">
      <c r="A39546" s="6"/>
      <c r="B39546" s="6"/>
      <c r="H39546" s="13"/>
    </row>
    <row r="39547">
      <c r="A39547" s="6"/>
      <c r="B39547" s="6"/>
      <c r="H39547" s="13"/>
    </row>
    <row r="39548">
      <c r="A39548" s="6"/>
      <c r="B39548" s="6"/>
      <c r="H39548" s="13"/>
    </row>
    <row r="39549">
      <c r="A39549" s="6"/>
      <c r="B39549" s="6"/>
      <c r="H39549" s="13"/>
    </row>
    <row r="39550">
      <c r="A39550" s="6"/>
      <c r="B39550" s="6"/>
      <c r="H39550" s="13"/>
    </row>
    <row r="39551">
      <c r="A39551" s="6"/>
      <c r="B39551" s="6"/>
      <c r="H39551" s="13"/>
    </row>
    <row r="39552">
      <c r="A39552" s="6"/>
      <c r="B39552" s="6"/>
      <c r="H39552" s="13"/>
    </row>
    <row r="39553">
      <c r="A39553" s="6"/>
      <c r="B39553" s="6"/>
      <c r="H39553" s="13"/>
    </row>
    <row r="39554">
      <c r="A39554" s="6"/>
      <c r="B39554" s="6"/>
      <c r="H39554" s="13"/>
    </row>
    <row r="39555">
      <c r="A39555" s="6"/>
      <c r="B39555" s="6"/>
      <c r="H39555" s="13"/>
    </row>
    <row r="39556">
      <c r="A39556" s="6"/>
      <c r="B39556" s="6"/>
      <c r="H39556" s="13"/>
    </row>
    <row r="39557">
      <c r="A39557" s="6"/>
      <c r="B39557" s="6"/>
      <c r="H39557" s="13"/>
    </row>
    <row r="39558">
      <c r="A39558" s="6"/>
      <c r="B39558" s="6"/>
      <c r="H39558" s="13"/>
    </row>
    <row r="39559">
      <c r="A39559" s="6"/>
      <c r="B39559" s="6"/>
      <c r="H39559" s="13"/>
    </row>
    <row r="39560">
      <c r="A39560" s="6"/>
      <c r="B39560" s="6"/>
      <c r="H39560" s="13"/>
    </row>
    <row r="39561">
      <c r="A39561" s="6"/>
      <c r="B39561" s="6"/>
      <c r="H39561" s="13"/>
    </row>
    <row r="39562">
      <c r="A39562" s="6"/>
      <c r="B39562" s="6"/>
      <c r="H39562" s="13"/>
    </row>
    <row r="39563">
      <c r="A39563" s="6"/>
      <c r="B39563" s="6"/>
      <c r="H39563" s="13"/>
    </row>
    <row r="39564">
      <c r="A39564" s="6"/>
      <c r="B39564" s="6"/>
      <c r="H39564" s="13"/>
    </row>
    <row r="39565">
      <c r="A39565" s="6"/>
      <c r="B39565" s="6"/>
      <c r="H39565" s="13"/>
    </row>
    <row r="39566">
      <c r="A39566" s="6"/>
      <c r="B39566" s="6"/>
      <c r="H39566" s="13"/>
    </row>
    <row r="39567">
      <c r="A39567" s="6"/>
      <c r="B39567" s="6"/>
      <c r="H39567" s="13"/>
    </row>
    <row r="39568">
      <c r="A39568" s="6"/>
      <c r="B39568" s="6"/>
      <c r="H39568" s="13"/>
    </row>
    <row r="39569">
      <c r="A39569" s="6"/>
      <c r="B39569" s="6"/>
      <c r="H39569" s="13"/>
    </row>
    <row r="39570">
      <c r="A39570" s="6"/>
      <c r="B39570" s="6"/>
      <c r="H39570" s="13"/>
    </row>
    <row r="39571">
      <c r="A39571" s="6"/>
      <c r="B39571" s="6"/>
      <c r="H39571" s="13"/>
    </row>
    <row r="39572">
      <c r="A39572" s="6"/>
      <c r="B39572" s="6"/>
      <c r="H39572" s="13"/>
    </row>
    <row r="39573">
      <c r="A39573" s="6"/>
      <c r="B39573" s="6"/>
      <c r="H39573" s="13"/>
    </row>
    <row r="39574">
      <c r="A39574" s="6"/>
      <c r="B39574" s="6"/>
      <c r="H39574" s="13"/>
    </row>
    <row r="39575">
      <c r="A39575" s="6"/>
      <c r="B39575" s="6"/>
      <c r="H39575" s="13"/>
    </row>
    <row r="39576">
      <c r="A39576" s="6"/>
      <c r="B39576" s="6"/>
      <c r="H39576" s="13"/>
    </row>
    <row r="39577">
      <c r="A39577" s="6"/>
      <c r="B39577" s="6"/>
      <c r="H39577" s="13"/>
    </row>
    <row r="39578">
      <c r="A39578" s="6"/>
      <c r="B39578" s="6"/>
      <c r="H39578" s="13"/>
    </row>
    <row r="39579">
      <c r="A39579" s="6"/>
      <c r="B39579" s="6"/>
      <c r="H39579" s="13"/>
    </row>
    <row r="39580">
      <c r="A39580" s="6"/>
      <c r="B39580" s="6"/>
      <c r="H39580" s="13"/>
    </row>
    <row r="39581">
      <c r="A39581" s="6"/>
      <c r="B39581" s="6"/>
      <c r="H39581" s="13"/>
    </row>
    <row r="39582">
      <c r="A39582" s="6"/>
      <c r="B39582" s="6"/>
      <c r="H39582" s="13"/>
    </row>
    <row r="39583">
      <c r="A39583" s="6"/>
      <c r="B39583" s="6"/>
      <c r="H39583" s="13"/>
    </row>
    <row r="39584">
      <c r="A39584" s="6"/>
      <c r="B39584" s="6"/>
      <c r="H39584" s="13"/>
    </row>
    <row r="39585">
      <c r="A39585" s="6"/>
      <c r="B39585" s="6"/>
      <c r="H39585" s="13"/>
    </row>
    <row r="39586">
      <c r="A39586" s="6"/>
      <c r="B39586" s="6"/>
      <c r="H39586" s="13"/>
    </row>
    <row r="39587">
      <c r="A39587" s="6"/>
      <c r="B39587" s="6"/>
      <c r="H39587" s="13"/>
    </row>
    <row r="39588">
      <c r="A39588" s="6"/>
      <c r="B39588" s="6"/>
      <c r="H39588" s="13"/>
    </row>
    <row r="39589">
      <c r="A39589" s="6"/>
      <c r="B39589" s="6"/>
      <c r="H39589" s="13"/>
    </row>
    <row r="39590">
      <c r="A39590" s="6"/>
      <c r="B39590" s="6"/>
      <c r="H39590" s="13"/>
    </row>
    <row r="39591">
      <c r="A39591" s="6"/>
      <c r="B39591" s="6"/>
      <c r="H39591" s="13"/>
    </row>
    <row r="39592">
      <c r="A39592" s="6"/>
      <c r="B39592" s="6"/>
      <c r="H39592" s="13"/>
    </row>
    <row r="39593">
      <c r="A39593" s="6"/>
      <c r="B39593" s="6"/>
      <c r="H39593" s="13"/>
    </row>
    <row r="39594">
      <c r="A39594" s="6"/>
      <c r="B39594" s="6"/>
      <c r="H39594" s="13"/>
    </row>
    <row r="39595">
      <c r="A39595" s="6"/>
      <c r="B39595" s="6"/>
      <c r="H39595" s="13"/>
    </row>
    <row r="39596">
      <c r="A39596" s="6"/>
      <c r="B39596" s="6"/>
      <c r="H39596" s="13"/>
    </row>
    <row r="39597">
      <c r="A39597" s="6"/>
      <c r="B39597" s="6"/>
      <c r="H39597" s="13"/>
    </row>
    <row r="39598">
      <c r="A39598" s="6"/>
      <c r="B39598" s="6"/>
      <c r="H39598" s="13"/>
    </row>
    <row r="39599">
      <c r="A39599" s="6"/>
      <c r="B39599" s="6"/>
      <c r="H39599" s="13"/>
    </row>
    <row r="39600">
      <c r="A39600" s="6"/>
      <c r="B39600" s="6"/>
      <c r="H39600" s="13"/>
    </row>
    <row r="39601">
      <c r="A39601" s="6"/>
      <c r="B39601" s="6"/>
      <c r="H39601" s="13"/>
    </row>
    <row r="39602">
      <c r="A39602" s="6"/>
      <c r="B39602" s="6"/>
      <c r="H39602" s="13"/>
    </row>
    <row r="39603">
      <c r="A39603" s="6"/>
      <c r="B39603" s="6"/>
      <c r="H39603" s="13"/>
    </row>
    <row r="39604">
      <c r="A39604" s="6"/>
      <c r="B39604" s="6"/>
      <c r="H39604" s="13"/>
    </row>
    <row r="39605">
      <c r="A39605" s="6"/>
      <c r="B39605" s="6"/>
      <c r="H39605" s="13"/>
    </row>
    <row r="39606">
      <c r="A39606" s="6"/>
      <c r="B39606" s="6"/>
      <c r="H39606" s="13"/>
    </row>
    <row r="39607">
      <c r="A39607" s="6"/>
      <c r="B39607" s="6"/>
      <c r="H39607" s="13"/>
    </row>
    <row r="39608">
      <c r="A39608" s="6"/>
      <c r="B39608" s="6"/>
      <c r="H39608" s="13"/>
    </row>
    <row r="39609">
      <c r="A39609" s="6"/>
      <c r="B39609" s="6"/>
      <c r="H39609" s="13"/>
    </row>
    <row r="39610">
      <c r="A39610" s="6"/>
      <c r="B39610" s="6"/>
      <c r="H39610" s="13"/>
    </row>
    <row r="39611">
      <c r="A39611" s="6"/>
      <c r="B39611" s="6"/>
      <c r="H39611" s="13"/>
    </row>
    <row r="39612">
      <c r="A39612" s="6"/>
      <c r="B39612" s="6"/>
      <c r="H39612" s="13"/>
    </row>
    <row r="39613">
      <c r="A39613" s="6"/>
      <c r="B39613" s="6"/>
      <c r="H39613" s="13"/>
    </row>
    <row r="39614">
      <c r="A39614" s="6"/>
      <c r="B39614" s="6"/>
      <c r="H39614" s="13"/>
    </row>
    <row r="39615">
      <c r="A39615" s="6"/>
      <c r="B39615" s="6"/>
      <c r="H39615" s="13"/>
    </row>
    <row r="39616">
      <c r="A39616" s="6"/>
      <c r="B39616" s="6"/>
      <c r="H39616" s="13"/>
    </row>
    <row r="39617">
      <c r="A39617" s="6"/>
      <c r="B39617" s="6"/>
      <c r="H39617" s="13"/>
    </row>
    <row r="39618">
      <c r="A39618" s="6"/>
      <c r="B39618" s="6"/>
      <c r="H39618" s="13"/>
    </row>
    <row r="39619">
      <c r="A39619" s="6"/>
      <c r="B39619" s="6"/>
      <c r="H39619" s="13"/>
    </row>
    <row r="39620">
      <c r="A39620" s="6"/>
      <c r="B39620" s="6"/>
      <c r="H39620" s="13"/>
    </row>
    <row r="39621">
      <c r="A39621" s="6"/>
      <c r="B39621" s="6"/>
      <c r="H39621" s="13"/>
    </row>
    <row r="39622">
      <c r="A39622" s="6"/>
      <c r="B39622" s="6"/>
      <c r="H39622" s="13"/>
    </row>
    <row r="39623">
      <c r="A39623" s="6"/>
      <c r="B39623" s="6"/>
      <c r="H39623" s="13"/>
    </row>
    <row r="39624">
      <c r="A39624" s="6"/>
      <c r="B39624" s="6"/>
      <c r="H39624" s="13"/>
    </row>
    <row r="39625">
      <c r="A39625" s="6"/>
      <c r="B39625" s="6"/>
      <c r="H39625" s="13"/>
    </row>
    <row r="39626">
      <c r="A39626" s="6"/>
      <c r="B39626" s="6"/>
      <c r="H39626" s="13"/>
    </row>
    <row r="39627">
      <c r="A39627" s="6"/>
      <c r="B39627" s="6"/>
      <c r="H39627" s="13"/>
    </row>
    <row r="39628">
      <c r="A39628" s="6"/>
      <c r="B39628" s="6"/>
      <c r="H39628" s="13"/>
    </row>
    <row r="39629">
      <c r="A39629" s="6"/>
      <c r="B39629" s="6"/>
      <c r="H39629" s="13"/>
    </row>
    <row r="39630">
      <c r="A39630" s="6"/>
      <c r="B39630" s="6"/>
      <c r="H39630" s="13"/>
    </row>
    <row r="39631">
      <c r="A39631" s="6"/>
      <c r="B39631" s="6"/>
      <c r="H39631" s="13"/>
    </row>
    <row r="39632">
      <c r="A39632" s="6"/>
      <c r="B39632" s="6"/>
      <c r="H39632" s="13"/>
    </row>
    <row r="39633">
      <c r="A39633" s="6"/>
      <c r="B39633" s="6"/>
      <c r="H39633" s="13"/>
    </row>
    <row r="39634">
      <c r="A39634" s="6"/>
      <c r="B39634" s="6"/>
      <c r="H39634" s="13"/>
    </row>
    <row r="39635">
      <c r="A39635" s="6"/>
      <c r="B39635" s="6"/>
      <c r="H39635" s="13"/>
    </row>
    <row r="39636">
      <c r="A39636" s="6"/>
      <c r="B39636" s="6"/>
      <c r="H39636" s="13"/>
    </row>
    <row r="39637">
      <c r="A39637" s="6"/>
      <c r="B39637" s="6"/>
      <c r="H39637" s="13"/>
    </row>
    <row r="39638">
      <c r="A39638" s="6"/>
      <c r="B39638" s="6"/>
      <c r="H39638" s="13"/>
    </row>
    <row r="39639">
      <c r="A39639" s="6"/>
      <c r="B39639" s="6"/>
      <c r="H39639" s="13"/>
    </row>
    <row r="39640">
      <c r="A39640" s="6"/>
      <c r="B39640" s="6"/>
      <c r="H39640" s="13"/>
    </row>
    <row r="39641">
      <c r="A39641" s="6"/>
      <c r="B39641" s="6"/>
      <c r="H39641" s="13"/>
    </row>
    <row r="39642">
      <c r="A39642" s="6"/>
      <c r="B39642" s="6"/>
      <c r="H39642" s="13"/>
    </row>
    <row r="39643">
      <c r="A39643" s="6"/>
      <c r="B39643" s="6"/>
      <c r="H39643" s="13"/>
    </row>
    <row r="39644">
      <c r="A39644" s="6"/>
      <c r="B39644" s="6"/>
      <c r="H39644" s="13"/>
    </row>
    <row r="39645">
      <c r="A39645" s="6"/>
      <c r="B39645" s="6"/>
      <c r="H39645" s="13"/>
    </row>
    <row r="39646">
      <c r="A39646" s="6"/>
      <c r="B39646" s="6"/>
      <c r="H39646" s="13"/>
    </row>
    <row r="39647">
      <c r="A39647" s="6"/>
      <c r="B39647" s="6"/>
      <c r="H39647" s="13"/>
    </row>
    <row r="39648">
      <c r="A39648" s="6"/>
      <c r="B39648" s="6"/>
      <c r="H39648" s="13"/>
    </row>
    <row r="39649">
      <c r="A39649" s="6"/>
      <c r="B39649" s="6"/>
      <c r="H39649" s="13"/>
    </row>
    <row r="39650">
      <c r="A39650" s="6"/>
      <c r="B39650" s="6"/>
      <c r="H39650" s="13"/>
    </row>
    <row r="39651">
      <c r="A39651" s="6"/>
      <c r="B39651" s="6"/>
      <c r="H39651" s="13"/>
    </row>
    <row r="39652">
      <c r="A39652" s="6"/>
      <c r="B39652" s="6"/>
      <c r="H39652" s="13"/>
    </row>
    <row r="39653">
      <c r="A39653" s="6"/>
      <c r="B39653" s="6"/>
      <c r="H39653" s="13"/>
    </row>
    <row r="39654">
      <c r="A39654" s="6"/>
      <c r="B39654" s="6"/>
      <c r="H39654" s="13"/>
    </row>
    <row r="39655">
      <c r="A39655" s="6"/>
      <c r="B39655" s="6"/>
      <c r="H39655" s="13"/>
    </row>
    <row r="39656">
      <c r="A39656" s="6"/>
      <c r="B39656" s="6"/>
      <c r="H39656" s="13"/>
    </row>
    <row r="39657">
      <c r="A39657" s="6"/>
      <c r="B39657" s="6"/>
      <c r="H39657" s="13"/>
    </row>
    <row r="39658">
      <c r="A39658" s="6"/>
      <c r="B39658" s="6"/>
      <c r="H39658" s="13"/>
    </row>
    <row r="39659">
      <c r="A39659" s="6"/>
      <c r="B39659" s="6"/>
      <c r="H39659" s="13"/>
    </row>
    <row r="39660">
      <c r="A39660" s="6"/>
      <c r="B39660" s="6"/>
      <c r="H39660" s="13"/>
    </row>
    <row r="39661">
      <c r="A39661" s="6"/>
      <c r="B39661" s="6"/>
      <c r="H39661" s="13"/>
    </row>
    <row r="39662">
      <c r="A39662" s="6"/>
      <c r="B39662" s="6"/>
      <c r="H39662" s="13"/>
    </row>
    <row r="39663">
      <c r="A39663" s="6"/>
      <c r="B39663" s="6"/>
      <c r="H39663" s="13"/>
    </row>
    <row r="39664">
      <c r="A39664" s="6"/>
      <c r="B39664" s="6"/>
      <c r="H39664" s="13"/>
    </row>
    <row r="39665">
      <c r="A39665" s="6"/>
      <c r="B39665" s="6"/>
      <c r="H39665" s="13"/>
    </row>
    <row r="39666">
      <c r="A39666" s="6"/>
      <c r="B39666" s="6"/>
      <c r="H39666" s="13"/>
    </row>
    <row r="39667">
      <c r="A39667" s="6"/>
      <c r="B39667" s="6"/>
      <c r="H39667" s="13"/>
    </row>
    <row r="39668">
      <c r="A39668" s="6"/>
      <c r="B39668" s="6"/>
      <c r="H39668" s="13"/>
    </row>
    <row r="39669">
      <c r="A39669" s="6"/>
      <c r="B39669" s="6"/>
      <c r="H39669" s="13"/>
    </row>
    <row r="39670">
      <c r="A39670" s="6"/>
      <c r="B39670" s="6"/>
      <c r="H39670" s="13"/>
    </row>
    <row r="39671">
      <c r="A39671" s="6"/>
      <c r="B39671" s="6"/>
      <c r="H39671" s="13"/>
    </row>
    <row r="39672">
      <c r="A39672" s="6"/>
      <c r="B39672" s="6"/>
      <c r="H39672" s="13"/>
    </row>
    <row r="39673">
      <c r="A39673" s="6"/>
      <c r="B39673" s="6"/>
      <c r="H39673" s="13"/>
    </row>
    <row r="39674">
      <c r="A39674" s="6"/>
      <c r="B39674" s="6"/>
      <c r="H39674" s="13"/>
    </row>
    <row r="39675">
      <c r="A39675" s="6"/>
      <c r="B39675" s="6"/>
      <c r="H39675" s="13"/>
    </row>
    <row r="39676">
      <c r="A39676" s="6"/>
      <c r="B39676" s="6"/>
      <c r="H39676" s="13"/>
    </row>
    <row r="39677">
      <c r="A39677" s="6"/>
      <c r="B39677" s="6"/>
      <c r="H39677" s="13"/>
    </row>
    <row r="39678">
      <c r="A39678" s="6"/>
      <c r="B39678" s="6"/>
      <c r="H39678" s="13"/>
    </row>
    <row r="39679">
      <c r="A39679" s="6"/>
      <c r="B39679" s="6"/>
      <c r="H39679" s="13"/>
    </row>
    <row r="39680">
      <c r="A39680" s="6"/>
      <c r="B39680" s="6"/>
      <c r="H39680" s="13"/>
    </row>
    <row r="39681">
      <c r="A39681" s="6"/>
      <c r="B39681" s="6"/>
      <c r="H39681" s="13"/>
    </row>
    <row r="39682">
      <c r="A39682" s="6"/>
      <c r="B39682" s="6"/>
      <c r="H39682" s="13"/>
    </row>
    <row r="39683">
      <c r="A39683" s="6"/>
      <c r="B39683" s="6"/>
      <c r="H39683" s="13"/>
    </row>
    <row r="39684">
      <c r="A39684" s="6"/>
      <c r="B39684" s="6"/>
      <c r="H39684" s="13"/>
    </row>
    <row r="39685">
      <c r="A39685" s="6"/>
      <c r="B39685" s="6"/>
      <c r="H39685" s="13"/>
    </row>
    <row r="39686">
      <c r="A39686" s="6"/>
      <c r="B39686" s="6"/>
      <c r="H39686" s="13"/>
    </row>
    <row r="39687">
      <c r="A39687" s="6"/>
      <c r="B39687" s="6"/>
      <c r="H39687" s="13"/>
    </row>
    <row r="39688">
      <c r="A39688" s="6"/>
      <c r="B39688" s="6"/>
      <c r="H39688" s="13"/>
    </row>
    <row r="39689">
      <c r="A39689" s="6"/>
      <c r="B39689" s="6"/>
      <c r="H39689" s="13"/>
    </row>
    <row r="39690">
      <c r="A39690" s="6"/>
      <c r="B39690" s="6"/>
      <c r="H39690" s="13"/>
    </row>
    <row r="39691">
      <c r="A39691" s="6"/>
      <c r="B39691" s="6"/>
      <c r="H39691" s="13"/>
    </row>
    <row r="39692">
      <c r="A39692" s="6"/>
      <c r="B39692" s="6"/>
      <c r="H39692" s="13"/>
    </row>
    <row r="39693">
      <c r="A39693" s="6"/>
      <c r="B39693" s="6"/>
      <c r="H39693" s="13"/>
    </row>
    <row r="39694">
      <c r="A39694" s="6"/>
      <c r="B39694" s="6"/>
      <c r="H39694" s="13"/>
    </row>
    <row r="39695">
      <c r="A39695" s="6"/>
      <c r="B39695" s="6"/>
      <c r="H39695" s="13"/>
    </row>
    <row r="39696">
      <c r="A39696" s="6"/>
      <c r="B39696" s="6"/>
      <c r="H39696" s="13"/>
    </row>
    <row r="39697">
      <c r="A39697" s="6"/>
      <c r="B39697" s="6"/>
      <c r="H39697" s="13"/>
    </row>
    <row r="39698">
      <c r="A39698" s="6"/>
      <c r="B39698" s="6"/>
      <c r="H39698" s="13"/>
    </row>
    <row r="39699">
      <c r="A39699" s="6"/>
      <c r="B39699" s="6"/>
      <c r="H39699" s="13"/>
    </row>
    <row r="39700">
      <c r="A39700" s="6"/>
      <c r="B39700" s="6"/>
      <c r="H39700" s="13"/>
    </row>
    <row r="39701">
      <c r="A39701" s="6"/>
      <c r="B39701" s="6"/>
      <c r="H39701" s="13"/>
    </row>
    <row r="39702">
      <c r="A39702" s="6"/>
      <c r="B39702" s="6"/>
      <c r="H39702" s="13"/>
    </row>
    <row r="39703">
      <c r="A39703" s="6"/>
      <c r="B39703" s="6"/>
      <c r="H39703" s="13"/>
    </row>
    <row r="39704">
      <c r="A39704" s="6"/>
      <c r="B39704" s="6"/>
      <c r="H39704" s="13"/>
    </row>
    <row r="39705">
      <c r="A39705" s="6"/>
      <c r="B39705" s="6"/>
      <c r="H39705" s="13"/>
    </row>
    <row r="39706">
      <c r="A39706" s="6"/>
      <c r="B39706" s="6"/>
      <c r="H39706" s="13"/>
    </row>
    <row r="39707">
      <c r="A39707" s="6"/>
      <c r="B39707" s="6"/>
      <c r="H39707" s="13"/>
    </row>
    <row r="39708">
      <c r="A39708" s="6"/>
      <c r="B39708" s="6"/>
      <c r="H39708" s="13"/>
    </row>
    <row r="39709">
      <c r="A39709" s="6"/>
      <c r="B39709" s="6"/>
      <c r="H39709" s="13"/>
    </row>
    <row r="39710">
      <c r="A39710" s="6"/>
      <c r="B39710" s="6"/>
      <c r="H39710" s="13"/>
    </row>
    <row r="39711">
      <c r="A39711" s="6"/>
      <c r="B39711" s="6"/>
      <c r="H39711" s="13"/>
    </row>
    <row r="39712">
      <c r="A39712" s="6"/>
      <c r="B39712" s="6"/>
      <c r="H39712" s="13"/>
    </row>
    <row r="39713">
      <c r="A39713" s="6"/>
      <c r="B39713" s="6"/>
      <c r="H39713" s="13"/>
    </row>
    <row r="39714">
      <c r="A39714" s="6"/>
      <c r="B39714" s="6"/>
      <c r="H39714" s="13"/>
    </row>
    <row r="39715">
      <c r="A39715" s="6"/>
      <c r="B39715" s="6"/>
      <c r="H39715" s="13"/>
    </row>
    <row r="39716">
      <c r="A39716" s="6"/>
      <c r="B39716" s="6"/>
      <c r="H39716" s="13"/>
    </row>
    <row r="39717">
      <c r="A39717" s="6"/>
      <c r="B39717" s="6"/>
      <c r="H39717" s="13"/>
    </row>
    <row r="39718">
      <c r="A39718" s="6"/>
      <c r="B39718" s="6"/>
      <c r="H39718" s="13"/>
    </row>
    <row r="39719">
      <c r="A39719" s="6"/>
      <c r="B39719" s="6"/>
      <c r="H39719" s="13"/>
    </row>
    <row r="39720">
      <c r="A39720" s="6"/>
      <c r="B39720" s="6"/>
      <c r="H39720" s="13"/>
    </row>
    <row r="39721">
      <c r="A39721" s="6"/>
      <c r="B39721" s="6"/>
      <c r="H39721" s="13"/>
    </row>
    <row r="39722">
      <c r="A39722" s="6"/>
      <c r="B39722" s="6"/>
      <c r="H39722" s="13"/>
    </row>
    <row r="39723">
      <c r="A39723" s="6"/>
      <c r="B39723" s="6"/>
      <c r="H39723" s="13"/>
    </row>
    <row r="39724">
      <c r="A39724" s="6"/>
      <c r="B39724" s="6"/>
      <c r="H39724" s="13"/>
    </row>
    <row r="39725">
      <c r="A39725" s="6"/>
      <c r="B39725" s="6"/>
      <c r="H39725" s="13"/>
    </row>
    <row r="39726">
      <c r="A39726" s="6"/>
      <c r="B39726" s="6"/>
      <c r="H39726" s="13"/>
    </row>
    <row r="39727">
      <c r="A39727" s="6"/>
      <c r="B39727" s="6"/>
      <c r="H39727" s="13"/>
    </row>
    <row r="39728">
      <c r="A39728" s="6"/>
      <c r="B39728" s="6"/>
      <c r="H39728" s="13"/>
    </row>
    <row r="39729">
      <c r="A39729" s="6"/>
      <c r="B39729" s="6"/>
      <c r="H39729" s="13"/>
    </row>
    <row r="39730">
      <c r="A39730" s="6"/>
      <c r="B39730" s="6"/>
      <c r="H39730" s="13"/>
    </row>
    <row r="39731">
      <c r="A39731" s="6"/>
      <c r="B39731" s="6"/>
      <c r="H39731" s="13"/>
    </row>
    <row r="39732">
      <c r="A39732" s="6"/>
      <c r="B39732" s="6"/>
      <c r="H39732" s="13"/>
    </row>
    <row r="39733">
      <c r="A39733" s="6"/>
      <c r="B39733" s="6"/>
      <c r="H39733" s="13"/>
    </row>
    <row r="39734">
      <c r="A39734" s="6"/>
      <c r="B39734" s="6"/>
      <c r="H39734" s="13"/>
    </row>
    <row r="39735">
      <c r="A39735" s="6"/>
      <c r="B39735" s="6"/>
      <c r="H39735" s="13"/>
    </row>
    <row r="39736">
      <c r="A39736" s="6"/>
      <c r="B39736" s="6"/>
      <c r="H39736" s="13"/>
    </row>
    <row r="39737">
      <c r="A39737" s="6"/>
      <c r="B39737" s="6"/>
      <c r="H39737" s="13"/>
    </row>
    <row r="39738">
      <c r="A39738" s="6"/>
      <c r="B39738" s="6"/>
      <c r="H39738" s="13"/>
    </row>
    <row r="39739">
      <c r="A39739" s="6"/>
      <c r="B39739" s="6"/>
      <c r="H39739" s="13"/>
    </row>
    <row r="39740">
      <c r="A39740" s="6"/>
      <c r="B39740" s="6"/>
      <c r="H39740" s="13"/>
    </row>
    <row r="39741">
      <c r="A39741" s="6"/>
      <c r="B39741" s="6"/>
      <c r="H39741" s="13"/>
    </row>
    <row r="39742">
      <c r="A39742" s="6"/>
      <c r="B39742" s="6"/>
      <c r="H39742" s="13"/>
    </row>
    <row r="39743">
      <c r="A39743" s="6"/>
      <c r="B39743" s="6"/>
      <c r="H39743" s="13"/>
    </row>
    <row r="39744">
      <c r="A39744" s="6"/>
      <c r="B39744" s="6"/>
      <c r="H39744" s="13"/>
    </row>
    <row r="39745">
      <c r="A39745" s="6"/>
      <c r="B39745" s="6"/>
      <c r="H39745" s="13"/>
    </row>
    <row r="39746">
      <c r="A39746" s="6"/>
      <c r="B39746" s="6"/>
      <c r="H39746" s="13"/>
    </row>
    <row r="39747">
      <c r="A39747" s="6"/>
      <c r="B39747" s="6"/>
      <c r="H39747" s="13"/>
    </row>
    <row r="39748">
      <c r="A39748" s="6"/>
      <c r="B39748" s="6"/>
      <c r="H39748" s="13"/>
    </row>
    <row r="39749">
      <c r="A39749" s="6"/>
      <c r="B39749" s="6"/>
      <c r="H39749" s="13"/>
    </row>
    <row r="39750">
      <c r="A39750" s="6"/>
      <c r="B39750" s="6"/>
      <c r="H39750" s="13"/>
    </row>
    <row r="39751">
      <c r="A39751" s="6"/>
      <c r="B39751" s="6"/>
      <c r="H39751" s="13"/>
    </row>
    <row r="39752">
      <c r="A39752" s="6"/>
      <c r="B39752" s="6"/>
      <c r="H39752" s="13"/>
    </row>
    <row r="39753">
      <c r="A39753" s="6"/>
      <c r="B39753" s="6"/>
      <c r="H39753" s="13"/>
    </row>
    <row r="39754">
      <c r="A39754" s="6"/>
      <c r="B39754" s="6"/>
      <c r="H39754" s="13"/>
    </row>
    <row r="39755">
      <c r="A39755" s="6"/>
      <c r="B39755" s="6"/>
      <c r="H39755" s="13"/>
    </row>
    <row r="39756">
      <c r="A39756" s="6"/>
      <c r="B39756" s="6"/>
      <c r="H39756" s="13"/>
    </row>
    <row r="39757">
      <c r="A39757" s="6"/>
      <c r="B39757" s="6"/>
      <c r="H39757" s="13"/>
    </row>
    <row r="39758">
      <c r="A39758" s="6"/>
      <c r="B39758" s="6"/>
      <c r="H39758" s="13"/>
    </row>
    <row r="39759">
      <c r="A39759" s="6"/>
      <c r="B39759" s="6"/>
      <c r="H39759" s="13"/>
    </row>
    <row r="39760">
      <c r="A39760" s="6"/>
      <c r="B39760" s="6"/>
      <c r="H39760" s="13"/>
    </row>
    <row r="39761">
      <c r="A39761" s="6"/>
      <c r="B39761" s="6"/>
      <c r="H39761" s="13"/>
    </row>
    <row r="39762">
      <c r="A39762" s="6"/>
      <c r="B39762" s="6"/>
      <c r="H39762" s="13"/>
    </row>
    <row r="39763">
      <c r="A39763" s="6"/>
      <c r="B39763" s="6"/>
      <c r="H39763" s="13"/>
    </row>
    <row r="39764">
      <c r="A39764" s="6"/>
      <c r="B39764" s="6"/>
      <c r="H39764" s="13"/>
    </row>
    <row r="39765">
      <c r="A39765" s="6"/>
      <c r="B39765" s="6"/>
      <c r="H39765" s="13"/>
    </row>
    <row r="39766">
      <c r="A39766" s="6"/>
      <c r="B39766" s="6"/>
      <c r="H39766" s="13"/>
    </row>
    <row r="39767">
      <c r="A39767" s="6"/>
      <c r="B39767" s="6"/>
      <c r="H39767" s="13"/>
    </row>
    <row r="39768">
      <c r="A39768" s="6"/>
      <c r="B39768" s="6"/>
      <c r="H39768" s="13"/>
    </row>
    <row r="39769">
      <c r="A39769" s="6"/>
      <c r="B39769" s="6"/>
      <c r="H39769" s="13"/>
    </row>
    <row r="39770">
      <c r="A39770" s="6"/>
      <c r="B39770" s="6"/>
      <c r="H39770" s="13"/>
    </row>
    <row r="39771">
      <c r="A39771" s="6"/>
      <c r="B39771" s="6"/>
      <c r="H39771" s="13"/>
    </row>
    <row r="39772">
      <c r="A39772" s="6"/>
      <c r="B39772" s="6"/>
      <c r="H39772" s="13"/>
    </row>
    <row r="39773">
      <c r="A39773" s="6"/>
      <c r="B39773" s="6"/>
      <c r="H39773" s="13"/>
    </row>
    <row r="39774">
      <c r="A39774" s="6"/>
      <c r="B39774" s="6"/>
      <c r="H39774" s="13"/>
    </row>
    <row r="39775">
      <c r="A39775" s="6"/>
      <c r="B39775" s="6"/>
      <c r="H39775" s="13"/>
    </row>
    <row r="39776">
      <c r="A39776" s="6"/>
      <c r="B39776" s="6"/>
      <c r="H39776" s="13"/>
    </row>
    <row r="39777">
      <c r="A39777" s="6"/>
      <c r="B39777" s="6"/>
      <c r="H39777" s="13"/>
    </row>
    <row r="39778">
      <c r="A39778" s="6"/>
      <c r="B39778" s="6"/>
      <c r="H39778" s="13"/>
    </row>
    <row r="39779">
      <c r="A39779" s="6"/>
      <c r="B39779" s="6"/>
      <c r="H39779" s="13"/>
    </row>
    <row r="39780">
      <c r="A39780" s="6"/>
      <c r="B39780" s="6"/>
      <c r="H39780" s="13"/>
    </row>
    <row r="39781">
      <c r="A39781" s="6"/>
      <c r="B39781" s="6"/>
      <c r="H39781" s="13"/>
    </row>
    <row r="39782">
      <c r="A39782" s="6"/>
      <c r="B39782" s="6"/>
      <c r="H39782" s="13"/>
    </row>
    <row r="39783">
      <c r="A39783" s="6"/>
      <c r="B39783" s="6"/>
      <c r="H39783" s="13"/>
    </row>
    <row r="39784">
      <c r="A39784" s="6"/>
      <c r="B39784" s="6"/>
      <c r="H39784" s="13"/>
    </row>
    <row r="39785">
      <c r="A39785" s="6"/>
      <c r="B39785" s="6"/>
      <c r="H39785" s="13"/>
    </row>
    <row r="39786">
      <c r="A39786" s="6"/>
      <c r="B39786" s="6"/>
      <c r="H39786" s="13"/>
    </row>
    <row r="39787">
      <c r="A39787" s="6"/>
      <c r="B39787" s="6"/>
      <c r="H39787" s="13"/>
    </row>
    <row r="39788">
      <c r="A39788" s="6"/>
      <c r="B39788" s="6"/>
      <c r="H39788" s="13"/>
    </row>
    <row r="39789">
      <c r="A39789" s="6"/>
      <c r="B39789" s="6"/>
      <c r="H39789" s="13"/>
    </row>
    <row r="39790">
      <c r="A39790" s="6"/>
      <c r="B39790" s="6"/>
      <c r="H39790" s="13"/>
    </row>
    <row r="39791">
      <c r="A39791" s="6"/>
      <c r="B39791" s="6"/>
      <c r="H39791" s="13"/>
    </row>
    <row r="39792">
      <c r="A39792" s="6"/>
      <c r="B39792" s="6"/>
      <c r="H39792" s="13"/>
    </row>
    <row r="39793">
      <c r="A39793" s="6"/>
      <c r="B39793" s="6"/>
      <c r="H39793" s="13"/>
    </row>
    <row r="39794">
      <c r="A39794" s="6"/>
      <c r="B39794" s="6"/>
      <c r="H39794" s="13"/>
    </row>
    <row r="39795">
      <c r="A39795" s="6"/>
      <c r="B39795" s="6"/>
      <c r="H39795" s="13"/>
    </row>
    <row r="39796">
      <c r="A39796" s="6"/>
      <c r="B39796" s="6"/>
      <c r="H39796" s="13"/>
    </row>
    <row r="39797">
      <c r="A39797" s="6"/>
      <c r="B39797" s="6"/>
      <c r="H39797" s="13"/>
    </row>
    <row r="39798">
      <c r="A39798" s="6"/>
      <c r="B39798" s="6"/>
      <c r="H39798" s="13"/>
    </row>
    <row r="39799">
      <c r="A39799" s="6"/>
      <c r="B39799" s="6"/>
      <c r="H39799" s="13"/>
    </row>
    <row r="39800">
      <c r="A39800" s="6"/>
      <c r="B39800" s="6"/>
      <c r="H39800" s="13"/>
    </row>
    <row r="39801">
      <c r="A39801" s="6"/>
      <c r="B39801" s="6"/>
      <c r="H39801" s="13"/>
    </row>
    <row r="39802">
      <c r="A39802" s="6"/>
      <c r="B39802" s="6"/>
      <c r="H39802" s="13"/>
    </row>
    <row r="39803">
      <c r="A39803" s="6"/>
      <c r="B39803" s="6"/>
      <c r="H39803" s="13"/>
    </row>
    <row r="39804">
      <c r="A39804" s="6"/>
      <c r="B39804" s="6"/>
      <c r="H39804" s="13"/>
    </row>
    <row r="39805">
      <c r="A39805" s="6"/>
      <c r="B39805" s="6"/>
      <c r="H39805" s="13"/>
    </row>
    <row r="39806">
      <c r="A39806" s="6"/>
      <c r="B39806" s="6"/>
      <c r="H39806" s="13"/>
    </row>
    <row r="39807">
      <c r="A39807" s="6"/>
      <c r="B39807" s="6"/>
      <c r="H39807" s="13"/>
    </row>
    <row r="39808">
      <c r="A39808" s="6"/>
      <c r="B39808" s="6"/>
      <c r="H39808" s="13"/>
    </row>
    <row r="39809">
      <c r="A39809" s="6"/>
      <c r="B39809" s="6"/>
      <c r="H39809" s="13"/>
    </row>
    <row r="39810">
      <c r="A39810" s="6"/>
      <c r="B39810" s="6"/>
      <c r="H39810" s="13"/>
    </row>
    <row r="39811">
      <c r="A39811" s="6"/>
      <c r="B39811" s="6"/>
      <c r="H39811" s="13"/>
    </row>
    <row r="39812">
      <c r="A39812" s="6"/>
      <c r="B39812" s="6"/>
      <c r="H39812" s="13"/>
    </row>
    <row r="39813">
      <c r="A39813" s="6"/>
      <c r="B39813" s="6"/>
      <c r="H39813" s="13"/>
    </row>
    <row r="39814">
      <c r="A39814" s="6"/>
      <c r="B39814" s="6"/>
      <c r="H39814" s="13"/>
    </row>
    <row r="39815">
      <c r="A39815" s="6"/>
      <c r="B39815" s="6"/>
      <c r="H39815" s="13"/>
    </row>
    <row r="39816">
      <c r="A39816" s="6"/>
      <c r="B39816" s="6"/>
      <c r="H39816" s="13"/>
    </row>
    <row r="39817">
      <c r="A39817" s="6"/>
      <c r="B39817" s="6"/>
      <c r="H39817" s="13"/>
    </row>
    <row r="39818">
      <c r="A39818" s="6"/>
      <c r="B39818" s="6"/>
      <c r="H39818" s="13"/>
    </row>
    <row r="39819">
      <c r="A39819" s="6"/>
      <c r="B39819" s="6"/>
      <c r="H39819" s="13"/>
    </row>
    <row r="39820">
      <c r="A39820" s="6"/>
      <c r="B39820" s="6"/>
      <c r="H39820" s="13"/>
    </row>
    <row r="39821">
      <c r="A39821" s="6"/>
      <c r="B39821" s="6"/>
      <c r="H39821" s="13"/>
    </row>
    <row r="39822">
      <c r="A39822" s="6"/>
      <c r="B39822" s="6"/>
      <c r="H39822" s="13"/>
    </row>
    <row r="39823">
      <c r="A39823" s="6"/>
      <c r="B39823" s="6"/>
      <c r="H39823" s="13"/>
    </row>
    <row r="39824">
      <c r="A39824" s="6"/>
      <c r="B39824" s="6"/>
      <c r="H39824" s="13"/>
    </row>
    <row r="39825">
      <c r="A39825" s="6"/>
      <c r="B39825" s="6"/>
      <c r="H39825" s="13"/>
    </row>
    <row r="39826">
      <c r="A39826" s="6"/>
      <c r="B39826" s="6"/>
      <c r="H39826" s="13"/>
    </row>
    <row r="39827">
      <c r="A39827" s="6"/>
      <c r="B39827" s="6"/>
      <c r="H39827" s="13"/>
    </row>
    <row r="39828">
      <c r="A39828" s="6"/>
      <c r="B39828" s="6"/>
      <c r="H39828" s="13"/>
    </row>
    <row r="39829">
      <c r="A39829" s="6"/>
      <c r="B39829" s="6"/>
      <c r="H39829" s="13"/>
    </row>
    <row r="39830">
      <c r="A39830" s="6"/>
      <c r="B39830" s="6"/>
      <c r="H39830" s="13"/>
    </row>
    <row r="39831">
      <c r="A39831" s="6"/>
      <c r="B39831" s="6"/>
      <c r="H39831" s="13"/>
    </row>
    <row r="39832">
      <c r="A39832" s="6"/>
      <c r="B39832" s="6"/>
      <c r="H39832" s="13"/>
    </row>
    <row r="39833">
      <c r="A39833" s="6"/>
      <c r="B39833" s="6"/>
      <c r="H39833" s="13"/>
    </row>
    <row r="39834">
      <c r="A39834" s="6"/>
      <c r="B39834" s="6"/>
      <c r="H39834" s="13"/>
    </row>
    <row r="39835">
      <c r="A39835" s="6"/>
      <c r="B39835" s="6"/>
      <c r="H39835" s="13"/>
    </row>
    <row r="39836">
      <c r="A39836" s="6"/>
      <c r="B39836" s="6"/>
      <c r="H39836" s="13"/>
    </row>
    <row r="39837">
      <c r="A39837" s="6"/>
      <c r="B39837" s="6"/>
      <c r="H39837" s="13"/>
    </row>
    <row r="39838">
      <c r="A39838" s="6"/>
      <c r="B39838" s="6"/>
      <c r="H39838" s="13"/>
    </row>
    <row r="39839">
      <c r="A39839" s="6"/>
      <c r="B39839" s="6"/>
      <c r="H39839" s="13"/>
    </row>
    <row r="39840">
      <c r="A39840" s="6"/>
      <c r="B39840" s="6"/>
      <c r="H39840" s="13"/>
    </row>
    <row r="39841">
      <c r="A39841" s="6"/>
      <c r="B39841" s="6"/>
      <c r="H39841" s="13"/>
    </row>
    <row r="39842">
      <c r="A39842" s="6"/>
      <c r="B39842" s="6"/>
      <c r="H39842" s="13"/>
    </row>
    <row r="39843">
      <c r="A39843" s="6"/>
      <c r="B39843" s="6"/>
      <c r="H39843" s="13"/>
    </row>
    <row r="39844">
      <c r="A39844" s="6"/>
      <c r="B39844" s="6"/>
      <c r="H39844" s="13"/>
    </row>
    <row r="39845">
      <c r="A39845" s="6"/>
      <c r="B39845" s="6"/>
      <c r="H39845" s="13"/>
    </row>
    <row r="39846">
      <c r="A39846" s="6"/>
      <c r="B39846" s="6"/>
      <c r="H39846" s="13"/>
    </row>
    <row r="39847">
      <c r="A39847" s="6"/>
      <c r="B39847" s="6"/>
      <c r="H39847" s="13"/>
    </row>
    <row r="39848">
      <c r="A39848" s="6"/>
      <c r="B39848" s="6"/>
      <c r="H39848" s="13"/>
    </row>
    <row r="39849">
      <c r="A39849" s="6"/>
      <c r="B39849" s="6"/>
      <c r="H39849" s="13"/>
    </row>
    <row r="39850">
      <c r="A39850" s="6"/>
      <c r="B39850" s="6"/>
      <c r="H39850" s="13"/>
    </row>
    <row r="39851">
      <c r="A39851" s="6"/>
      <c r="B39851" s="6"/>
      <c r="H39851" s="13"/>
    </row>
    <row r="39852">
      <c r="A39852" s="6"/>
      <c r="B39852" s="6"/>
      <c r="H39852" s="13"/>
    </row>
    <row r="39853">
      <c r="A39853" s="6"/>
      <c r="B39853" s="6"/>
      <c r="H39853" s="13"/>
    </row>
    <row r="39854">
      <c r="A39854" s="6"/>
      <c r="B39854" s="6"/>
      <c r="H39854" s="13"/>
    </row>
    <row r="39855">
      <c r="A39855" s="6"/>
      <c r="B39855" s="6"/>
      <c r="H39855" s="13"/>
    </row>
    <row r="39856">
      <c r="A39856" s="6"/>
      <c r="B39856" s="6"/>
      <c r="H39856" s="13"/>
    </row>
    <row r="39857">
      <c r="A39857" s="6"/>
      <c r="B39857" s="6"/>
      <c r="H39857" s="13"/>
    </row>
    <row r="39858">
      <c r="A39858" s="6"/>
      <c r="B39858" s="6"/>
      <c r="H39858" s="13"/>
    </row>
    <row r="39859">
      <c r="A39859" s="6"/>
      <c r="B39859" s="6"/>
      <c r="H39859" s="13"/>
    </row>
    <row r="39860">
      <c r="A39860" s="6"/>
      <c r="B39860" s="6"/>
      <c r="H39860" s="13"/>
    </row>
    <row r="39861">
      <c r="A39861" s="6"/>
      <c r="B39861" s="6"/>
      <c r="H39861" s="13"/>
    </row>
    <row r="39862">
      <c r="A39862" s="6"/>
      <c r="B39862" s="6"/>
      <c r="H39862" s="13"/>
    </row>
    <row r="39863">
      <c r="A39863" s="6"/>
      <c r="B39863" s="6"/>
      <c r="H39863" s="13"/>
    </row>
    <row r="39864">
      <c r="A39864" s="6"/>
      <c r="B39864" s="6"/>
      <c r="H39864" s="13"/>
    </row>
    <row r="39865">
      <c r="A39865" s="6"/>
      <c r="B39865" s="6"/>
      <c r="H39865" s="13"/>
    </row>
    <row r="39866">
      <c r="A39866" s="6"/>
      <c r="B39866" s="6"/>
      <c r="H39866" s="13"/>
    </row>
    <row r="39867">
      <c r="A39867" s="6"/>
      <c r="B39867" s="6"/>
      <c r="H39867" s="13"/>
    </row>
    <row r="39868">
      <c r="A39868" s="6"/>
      <c r="B39868" s="6"/>
      <c r="H39868" s="13"/>
    </row>
    <row r="39869">
      <c r="A39869" s="6"/>
      <c r="B39869" s="6"/>
      <c r="H39869" s="13"/>
    </row>
    <row r="39870">
      <c r="A39870" s="6"/>
      <c r="B39870" s="6"/>
      <c r="H39870" s="13"/>
    </row>
    <row r="39871">
      <c r="A39871" s="6"/>
      <c r="B39871" s="6"/>
      <c r="H39871" s="13"/>
    </row>
    <row r="39872">
      <c r="A39872" s="6"/>
      <c r="B39872" s="6"/>
      <c r="H39872" s="13"/>
    </row>
    <row r="39873">
      <c r="A39873" s="6"/>
      <c r="B39873" s="6"/>
      <c r="H39873" s="13"/>
    </row>
    <row r="39874">
      <c r="A39874" s="6"/>
      <c r="B39874" s="6"/>
      <c r="H39874" s="13"/>
    </row>
    <row r="39875">
      <c r="A39875" s="6"/>
      <c r="B39875" s="6"/>
      <c r="H39875" s="13"/>
    </row>
    <row r="39876">
      <c r="A39876" s="6"/>
      <c r="B39876" s="6"/>
      <c r="H39876" s="13"/>
    </row>
    <row r="39877">
      <c r="A39877" s="6"/>
      <c r="B39877" s="6"/>
      <c r="H39877" s="13"/>
    </row>
    <row r="39878">
      <c r="A39878" s="6"/>
      <c r="B39878" s="6"/>
      <c r="H39878" s="13"/>
    </row>
    <row r="39879">
      <c r="A39879" s="6"/>
      <c r="B39879" s="6"/>
      <c r="H39879" s="13"/>
    </row>
    <row r="39880">
      <c r="A39880" s="6"/>
      <c r="B39880" s="6"/>
      <c r="H39880" s="13"/>
    </row>
    <row r="39881">
      <c r="A39881" s="6"/>
      <c r="B39881" s="6"/>
      <c r="H39881" s="13"/>
    </row>
    <row r="39882">
      <c r="A39882" s="6"/>
      <c r="B39882" s="6"/>
      <c r="H39882" s="13"/>
    </row>
    <row r="39883">
      <c r="A39883" s="6"/>
      <c r="B39883" s="6"/>
      <c r="H39883" s="13"/>
    </row>
    <row r="39884">
      <c r="A39884" s="6"/>
      <c r="B39884" s="6"/>
      <c r="H39884" s="13"/>
    </row>
    <row r="39885">
      <c r="A39885" s="6"/>
      <c r="B39885" s="6"/>
      <c r="H39885" s="13"/>
    </row>
    <row r="39886">
      <c r="A39886" s="6"/>
      <c r="B39886" s="6"/>
      <c r="H39886" s="13"/>
    </row>
    <row r="39887">
      <c r="A39887" s="6"/>
      <c r="B39887" s="6"/>
      <c r="H39887" s="13"/>
    </row>
    <row r="39888">
      <c r="A39888" s="6"/>
      <c r="B39888" s="6"/>
      <c r="H39888" s="13"/>
    </row>
    <row r="39889">
      <c r="A39889" s="6"/>
      <c r="B39889" s="6"/>
      <c r="H39889" s="13"/>
    </row>
    <row r="39890">
      <c r="A39890" s="6"/>
      <c r="B39890" s="6"/>
      <c r="H39890" s="13"/>
    </row>
    <row r="39891">
      <c r="A39891" s="6"/>
      <c r="B39891" s="6"/>
      <c r="H39891" s="13"/>
    </row>
    <row r="39892">
      <c r="A39892" s="6"/>
      <c r="B39892" s="6"/>
      <c r="H39892" s="13"/>
    </row>
    <row r="39893">
      <c r="A39893" s="6"/>
      <c r="B39893" s="6"/>
      <c r="H39893" s="13"/>
    </row>
    <row r="39894">
      <c r="A39894" s="6"/>
      <c r="B39894" s="6"/>
      <c r="H39894" s="13"/>
    </row>
    <row r="39895">
      <c r="A39895" s="6"/>
      <c r="B39895" s="6"/>
      <c r="H39895" s="13"/>
    </row>
    <row r="39896">
      <c r="A39896" s="6"/>
      <c r="B39896" s="6"/>
      <c r="H39896" s="13"/>
    </row>
    <row r="39897">
      <c r="A39897" s="6"/>
      <c r="B39897" s="6"/>
      <c r="H39897" s="13"/>
    </row>
    <row r="39898">
      <c r="A39898" s="6"/>
      <c r="B39898" s="6"/>
      <c r="H39898" s="13"/>
    </row>
    <row r="39899">
      <c r="A39899" s="6"/>
      <c r="B39899" s="6"/>
      <c r="H39899" s="13"/>
    </row>
    <row r="39900">
      <c r="A39900" s="6"/>
      <c r="B39900" s="6"/>
      <c r="H39900" s="13"/>
    </row>
    <row r="39901">
      <c r="A39901" s="6"/>
      <c r="B39901" s="6"/>
      <c r="H39901" s="13"/>
    </row>
    <row r="39902">
      <c r="A39902" s="6"/>
      <c r="B39902" s="6"/>
      <c r="H39902" s="13"/>
    </row>
    <row r="39903">
      <c r="A39903" s="6"/>
      <c r="B39903" s="6"/>
      <c r="H39903" s="13"/>
    </row>
    <row r="39904">
      <c r="A39904" s="6"/>
      <c r="B39904" s="6"/>
      <c r="H39904" s="13"/>
    </row>
    <row r="39905">
      <c r="A39905" s="6"/>
      <c r="B39905" s="6"/>
      <c r="H39905" s="13"/>
    </row>
    <row r="39906">
      <c r="A39906" s="6"/>
      <c r="B39906" s="6"/>
      <c r="H39906" s="13"/>
    </row>
    <row r="39907">
      <c r="A39907" s="6"/>
      <c r="B39907" s="6"/>
      <c r="H39907" s="13"/>
    </row>
    <row r="39908">
      <c r="A39908" s="6"/>
      <c r="B39908" s="6"/>
      <c r="H39908" s="13"/>
    </row>
    <row r="39909">
      <c r="A39909" s="6"/>
      <c r="B39909" s="6"/>
      <c r="H39909" s="13"/>
    </row>
    <row r="39910">
      <c r="A39910" s="6"/>
      <c r="B39910" s="6"/>
      <c r="H39910" s="13"/>
    </row>
    <row r="39911">
      <c r="A39911" s="6"/>
      <c r="B39911" s="6"/>
      <c r="H39911" s="13"/>
    </row>
    <row r="39912">
      <c r="A39912" s="6"/>
      <c r="B39912" s="6"/>
      <c r="H39912" s="13"/>
    </row>
    <row r="39913">
      <c r="A39913" s="6"/>
      <c r="B39913" s="6"/>
      <c r="H39913" s="13"/>
    </row>
    <row r="39914">
      <c r="A39914" s="6"/>
      <c r="B39914" s="6"/>
      <c r="H39914" s="13"/>
    </row>
    <row r="39915">
      <c r="A39915" s="6"/>
      <c r="B39915" s="6"/>
      <c r="H39915" s="13"/>
    </row>
    <row r="39916">
      <c r="A39916" s="6"/>
      <c r="B39916" s="6"/>
      <c r="H39916" s="13"/>
    </row>
    <row r="39917">
      <c r="A39917" s="6"/>
      <c r="B39917" s="6"/>
      <c r="H39917" s="13"/>
    </row>
    <row r="39918">
      <c r="A39918" s="6"/>
      <c r="B39918" s="6"/>
      <c r="H39918" s="13"/>
    </row>
    <row r="39919">
      <c r="A39919" s="6"/>
      <c r="B39919" s="6"/>
      <c r="H39919" s="13"/>
    </row>
    <row r="39920">
      <c r="A39920" s="6"/>
      <c r="B39920" s="6"/>
      <c r="H39920" s="13"/>
    </row>
    <row r="39921">
      <c r="A39921" s="6"/>
      <c r="B39921" s="6"/>
      <c r="H39921" s="13"/>
    </row>
    <row r="39922">
      <c r="A39922" s="6"/>
      <c r="B39922" s="6"/>
      <c r="H39922" s="13"/>
    </row>
    <row r="39923">
      <c r="A39923" s="6"/>
      <c r="B39923" s="6"/>
      <c r="H39923" s="13"/>
    </row>
    <row r="39924">
      <c r="A39924" s="6"/>
      <c r="B39924" s="6"/>
      <c r="H39924" s="13"/>
    </row>
    <row r="39925">
      <c r="A39925" s="6"/>
      <c r="B39925" s="6"/>
      <c r="H39925" s="13"/>
    </row>
    <row r="39926">
      <c r="A39926" s="6"/>
      <c r="B39926" s="6"/>
      <c r="H39926" s="13"/>
    </row>
    <row r="39927">
      <c r="A39927" s="6"/>
      <c r="B39927" s="6"/>
      <c r="H39927" s="13"/>
    </row>
    <row r="39928">
      <c r="A39928" s="6"/>
      <c r="B39928" s="6"/>
      <c r="H39928" s="13"/>
    </row>
    <row r="39929">
      <c r="A39929" s="6"/>
      <c r="B39929" s="6"/>
      <c r="H39929" s="13"/>
    </row>
    <row r="39930">
      <c r="A39930" s="6"/>
      <c r="B39930" s="6"/>
      <c r="H39930" s="13"/>
    </row>
    <row r="39931">
      <c r="A39931" s="6"/>
      <c r="B39931" s="6"/>
      <c r="H39931" s="13"/>
    </row>
    <row r="39932">
      <c r="A39932" s="6"/>
      <c r="B39932" s="6"/>
      <c r="H39932" s="13"/>
    </row>
    <row r="39933">
      <c r="A39933" s="6"/>
      <c r="B39933" s="6"/>
      <c r="H39933" s="13"/>
    </row>
    <row r="39934">
      <c r="A39934" s="6"/>
      <c r="B39934" s="6"/>
      <c r="H39934" s="13"/>
    </row>
    <row r="39935">
      <c r="A39935" s="6"/>
      <c r="B39935" s="6"/>
      <c r="H39935" s="13"/>
    </row>
    <row r="39936">
      <c r="A39936" s="6"/>
      <c r="B39936" s="6"/>
      <c r="H39936" s="13"/>
    </row>
    <row r="39937">
      <c r="A39937" s="6"/>
      <c r="B39937" s="6"/>
      <c r="H39937" s="13"/>
    </row>
    <row r="39938">
      <c r="A39938" s="6"/>
      <c r="B39938" s="6"/>
      <c r="H39938" s="13"/>
    </row>
    <row r="39939">
      <c r="A39939" s="6"/>
      <c r="B39939" s="6"/>
      <c r="H39939" s="13"/>
    </row>
    <row r="39940">
      <c r="A39940" s="6"/>
      <c r="B39940" s="6"/>
      <c r="H39940" s="13"/>
    </row>
    <row r="39941">
      <c r="A39941" s="6"/>
      <c r="B39941" s="6"/>
      <c r="H39941" s="13"/>
    </row>
    <row r="39942">
      <c r="A39942" s="6"/>
      <c r="B39942" s="6"/>
      <c r="H39942" s="13"/>
    </row>
    <row r="39943">
      <c r="A39943" s="6"/>
      <c r="B39943" s="6"/>
      <c r="H39943" s="13"/>
    </row>
    <row r="39944">
      <c r="A39944" s="6"/>
      <c r="B39944" s="6"/>
      <c r="H39944" s="13"/>
    </row>
    <row r="39945">
      <c r="A39945" s="6"/>
      <c r="B39945" s="6"/>
      <c r="H39945" s="13"/>
    </row>
    <row r="39946">
      <c r="A39946" s="6"/>
      <c r="B39946" s="6"/>
      <c r="H39946" s="13"/>
    </row>
    <row r="39947">
      <c r="A39947" s="6"/>
      <c r="B39947" s="6"/>
      <c r="H39947" s="13"/>
    </row>
    <row r="39948">
      <c r="A39948" s="6"/>
      <c r="B39948" s="6"/>
      <c r="H39948" s="13"/>
    </row>
    <row r="39949">
      <c r="A39949" s="6"/>
      <c r="B39949" s="6"/>
      <c r="H39949" s="13"/>
    </row>
    <row r="39950">
      <c r="A39950" s="6"/>
      <c r="B39950" s="6"/>
      <c r="H39950" s="13"/>
    </row>
    <row r="39951">
      <c r="A39951" s="6"/>
      <c r="B39951" s="6"/>
      <c r="H39951" s="13"/>
    </row>
    <row r="39952">
      <c r="A39952" s="6"/>
      <c r="B39952" s="6"/>
      <c r="H39952" s="13"/>
    </row>
    <row r="39953">
      <c r="A39953" s="6"/>
      <c r="B39953" s="6"/>
      <c r="H39953" s="13"/>
    </row>
    <row r="39954">
      <c r="A39954" s="6"/>
      <c r="B39954" s="6"/>
      <c r="H39954" s="13"/>
    </row>
    <row r="39955">
      <c r="A39955" s="6"/>
      <c r="B39955" s="6"/>
      <c r="H39955" s="13"/>
    </row>
    <row r="39956">
      <c r="A39956" s="6"/>
      <c r="B39956" s="6"/>
      <c r="H39956" s="13"/>
    </row>
    <row r="39957">
      <c r="A39957" s="6"/>
      <c r="B39957" s="6"/>
      <c r="H39957" s="13"/>
    </row>
    <row r="39958">
      <c r="A39958" s="6"/>
      <c r="B39958" s="6"/>
      <c r="H39958" s="13"/>
    </row>
    <row r="39959">
      <c r="A39959" s="6"/>
      <c r="B39959" s="6"/>
      <c r="H39959" s="13"/>
    </row>
    <row r="39960">
      <c r="A39960" s="6"/>
      <c r="B39960" s="6"/>
      <c r="H39960" s="13"/>
    </row>
    <row r="39961">
      <c r="A39961" s="6"/>
      <c r="B39961" s="6"/>
      <c r="H39961" s="13"/>
    </row>
    <row r="39962">
      <c r="A39962" s="6"/>
      <c r="B39962" s="6"/>
      <c r="H39962" s="13"/>
    </row>
    <row r="39963">
      <c r="A39963" s="6"/>
      <c r="B39963" s="6"/>
      <c r="H39963" s="13"/>
    </row>
    <row r="39964">
      <c r="A39964" s="6"/>
      <c r="B39964" s="6"/>
      <c r="H39964" s="13"/>
    </row>
    <row r="39965">
      <c r="A39965" s="6"/>
      <c r="B39965" s="6"/>
      <c r="H39965" s="13"/>
    </row>
    <row r="39966">
      <c r="A39966" s="6"/>
      <c r="B39966" s="6"/>
      <c r="H39966" s="13"/>
    </row>
    <row r="39967">
      <c r="A39967" s="6"/>
      <c r="B39967" s="6"/>
      <c r="H39967" s="13"/>
    </row>
    <row r="39968">
      <c r="A39968" s="6"/>
      <c r="B39968" s="6"/>
      <c r="H39968" s="13"/>
    </row>
    <row r="39969">
      <c r="A39969" s="6"/>
      <c r="B39969" s="6"/>
      <c r="H39969" s="13"/>
    </row>
    <row r="39970">
      <c r="A39970" s="6"/>
      <c r="B39970" s="6"/>
      <c r="H39970" s="13"/>
    </row>
    <row r="39971">
      <c r="A39971" s="6"/>
      <c r="B39971" s="6"/>
      <c r="H39971" s="13"/>
    </row>
    <row r="39972">
      <c r="A39972" s="6"/>
      <c r="B39972" s="6"/>
      <c r="H39972" s="13"/>
    </row>
    <row r="39973">
      <c r="A39973" s="6"/>
      <c r="B39973" s="6"/>
      <c r="H39973" s="13"/>
    </row>
    <row r="39974">
      <c r="A39974" s="6"/>
      <c r="B39974" s="6"/>
      <c r="H39974" s="13"/>
    </row>
    <row r="39975">
      <c r="A39975" s="6"/>
      <c r="B39975" s="6"/>
      <c r="H39975" s="13"/>
    </row>
    <row r="39976">
      <c r="A39976" s="6"/>
      <c r="B39976" s="6"/>
      <c r="H39976" s="13"/>
    </row>
    <row r="39977">
      <c r="A39977" s="6"/>
      <c r="B39977" s="6"/>
      <c r="H39977" s="13"/>
    </row>
    <row r="39978">
      <c r="A39978" s="6"/>
      <c r="B39978" s="6"/>
      <c r="H39978" s="13"/>
    </row>
    <row r="39979">
      <c r="A39979" s="6"/>
      <c r="B39979" s="6"/>
      <c r="H39979" s="13"/>
    </row>
    <row r="39980">
      <c r="A39980" s="6"/>
      <c r="B39980" s="6"/>
      <c r="H39980" s="13"/>
    </row>
    <row r="39981">
      <c r="A39981" s="6"/>
      <c r="B39981" s="6"/>
      <c r="H39981" s="13"/>
    </row>
    <row r="39982">
      <c r="A39982" s="6"/>
      <c r="B39982" s="6"/>
      <c r="H39982" s="13"/>
    </row>
    <row r="39983">
      <c r="A39983" s="6"/>
      <c r="B39983" s="6"/>
      <c r="H39983" s="13"/>
    </row>
    <row r="39984">
      <c r="A39984" s="6"/>
      <c r="B39984" s="6"/>
      <c r="H39984" s="13"/>
    </row>
    <row r="39985">
      <c r="A39985" s="6"/>
      <c r="B39985" s="6"/>
      <c r="H39985" s="13"/>
    </row>
    <row r="39986">
      <c r="A39986" s="6"/>
      <c r="B39986" s="6"/>
      <c r="H39986" s="13"/>
    </row>
    <row r="39987">
      <c r="A39987" s="6"/>
      <c r="B39987" s="6"/>
      <c r="H39987" s="13"/>
    </row>
    <row r="39988">
      <c r="A39988" s="6"/>
      <c r="B39988" s="6"/>
      <c r="H39988" s="13"/>
    </row>
    <row r="39989">
      <c r="A39989" s="6"/>
      <c r="B39989" s="6"/>
      <c r="H39989" s="13"/>
    </row>
    <row r="39990">
      <c r="A39990" s="6"/>
      <c r="B39990" s="6"/>
      <c r="H39990" s="13"/>
    </row>
    <row r="39991">
      <c r="A39991" s="6"/>
      <c r="B39991" s="6"/>
      <c r="H39991" s="13"/>
    </row>
    <row r="39992">
      <c r="A39992" s="6"/>
      <c r="B39992" s="6"/>
      <c r="H39992" s="13"/>
    </row>
    <row r="39993">
      <c r="A39993" s="6"/>
      <c r="B39993" s="6"/>
      <c r="H39993" s="13"/>
    </row>
    <row r="39994">
      <c r="A39994" s="6"/>
      <c r="B39994" s="6"/>
      <c r="H39994" s="13"/>
    </row>
    <row r="39995">
      <c r="A39995" s="6"/>
      <c r="B39995" s="6"/>
      <c r="H39995" s="13"/>
    </row>
    <row r="39996">
      <c r="A39996" s="6"/>
      <c r="B39996" s="6"/>
      <c r="H39996" s="13"/>
    </row>
    <row r="39997">
      <c r="A39997" s="6"/>
      <c r="B39997" s="6"/>
      <c r="H39997" s="13"/>
    </row>
    <row r="39998">
      <c r="A39998" s="6"/>
      <c r="B39998" s="6"/>
      <c r="H39998" s="13"/>
    </row>
    <row r="39999">
      <c r="A39999" s="6"/>
      <c r="B39999" s="6"/>
      <c r="H39999" s="13"/>
    </row>
    <row r="40000">
      <c r="A40000" s="6"/>
      <c r="B40000" s="6"/>
      <c r="H40000" s="13"/>
    </row>
    <row r="40001">
      <c r="A40001" s="6"/>
      <c r="B40001" s="6"/>
      <c r="H40001" s="13"/>
    </row>
    <row r="40002">
      <c r="A40002" s="6"/>
      <c r="B40002" s="6"/>
      <c r="H40002" s="13"/>
    </row>
    <row r="40003">
      <c r="A40003" s="6"/>
      <c r="B40003" s="6"/>
      <c r="H40003" s="13"/>
    </row>
    <row r="40004">
      <c r="A40004" s="6"/>
      <c r="B40004" s="6"/>
      <c r="H40004" s="13"/>
    </row>
    <row r="40005">
      <c r="A40005" s="6"/>
      <c r="B40005" s="6"/>
      <c r="H40005" s="13"/>
    </row>
    <row r="40006">
      <c r="A40006" s="6"/>
      <c r="B40006" s="6"/>
      <c r="H40006" s="13"/>
    </row>
    <row r="40007">
      <c r="A40007" s="6"/>
      <c r="B40007" s="6"/>
      <c r="H40007" s="13"/>
    </row>
    <row r="40008">
      <c r="A40008" s="6"/>
      <c r="B40008" s="6"/>
      <c r="H40008" s="13"/>
    </row>
    <row r="40009">
      <c r="A40009" s="6"/>
      <c r="B40009" s="6"/>
      <c r="H40009" s="13"/>
    </row>
    <row r="40010">
      <c r="A40010" s="6"/>
      <c r="B40010" s="6"/>
      <c r="H40010" s="13"/>
    </row>
    <row r="40011">
      <c r="A40011" s="6"/>
      <c r="B40011" s="6"/>
      <c r="H40011" s="13"/>
    </row>
    <row r="40012">
      <c r="A40012" s="6"/>
      <c r="B40012" s="6"/>
      <c r="H40012" s="13"/>
    </row>
    <row r="40013">
      <c r="A40013" s="6"/>
      <c r="B40013" s="6"/>
      <c r="H40013" s="13"/>
    </row>
    <row r="40014">
      <c r="A40014" s="6"/>
      <c r="B40014" s="6"/>
      <c r="H40014" s="13"/>
    </row>
    <row r="40015">
      <c r="A40015" s="6"/>
      <c r="B40015" s="6"/>
      <c r="H40015" s="13"/>
    </row>
    <row r="40016">
      <c r="A40016" s="6"/>
      <c r="B40016" s="6"/>
      <c r="H40016" s="13"/>
    </row>
    <row r="40017">
      <c r="A40017" s="6"/>
      <c r="B40017" s="6"/>
      <c r="H40017" s="13"/>
    </row>
    <row r="40018">
      <c r="A40018" s="6"/>
      <c r="B40018" s="6"/>
      <c r="H40018" s="13"/>
    </row>
    <row r="40019">
      <c r="A40019" s="6"/>
      <c r="B40019" s="6"/>
      <c r="H40019" s="13"/>
    </row>
    <row r="40020">
      <c r="A40020" s="6"/>
      <c r="B40020" s="6"/>
      <c r="H40020" s="13"/>
    </row>
    <row r="40021">
      <c r="A40021" s="6"/>
      <c r="B40021" s="6"/>
      <c r="H40021" s="13"/>
    </row>
    <row r="40022">
      <c r="A40022" s="6"/>
      <c r="B40022" s="6"/>
      <c r="H40022" s="13"/>
    </row>
    <row r="40023">
      <c r="A40023" s="6"/>
      <c r="B40023" s="6"/>
      <c r="H40023" s="13"/>
    </row>
    <row r="40024">
      <c r="A40024" s="6"/>
      <c r="B40024" s="6"/>
      <c r="H40024" s="13"/>
    </row>
    <row r="40025">
      <c r="A40025" s="6"/>
      <c r="B40025" s="6"/>
      <c r="H40025" s="13"/>
    </row>
    <row r="40026">
      <c r="A40026" s="6"/>
      <c r="B40026" s="6"/>
      <c r="H40026" s="13"/>
    </row>
    <row r="40027">
      <c r="A40027" s="6"/>
      <c r="B40027" s="6"/>
      <c r="H40027" s="13"/>
    </row>
    <row r="40028">
      <c r="A40028" s="6"/>
      <c r="B40028" s="6"/>
      <c r="H40028" s="13"/>
    </row>
    <row r="40029">
      <c r="A40029" s="6"/>
      <c r="B40029" s="6"/>
      <c r="H40029" s="13"/>
    </row>
    <row r="40030">
      <c r="A40030" s="6"/>
      <c r="B40030" s="6"/>
      <c r="H40030" s="13"/>
    </row>
    <row r="40031">
      <c r="A40031" s="6"/>
      <c r="B40031" s="6"/>
      <c r="H40031" s="13"/>
    </row>
    <row r="40032">
      <c r="A40032" s="6"/>
      <c r="B40032" s="6"/>
      <c r="H40032" s="13"/>
    </row>
    <row r="40033">
      <c r="A40033" s="6"/>
      <c r="B40033" s="6"/>
      <c r="H40033" s="13"/>
    </row>
    <row r="40034">
      <c r="A40034" s="6"/>
      <c r="B40034" s="6"/>
      <c r="H40034" s="13"/>
    </row>
    <row r="40035">
      <c r="A40035" s="6"/>
      <c r="B40035" s="6"/>
      <c r="H40035" s="13"/>
    </row>
    <row r="40036">
      <c r="A40036" s="6"/>
      <c r="B40036" s="6"/>
      <c r="H40036" s="13"/>
    </row>
    <row r="40037">
      <c r="A40037" s="6"/>
      <c r="B40037" s="6"/>
      <c r="H40037" s="13"/>
    </row>
    <row r="40038">
      <c r="A40038" s="6"/>
      <c r="B40038" s="6"/>
      <c r="H40038" s="13"/>
    </row>
    <row r="40039">
      <c r="A40039" s="6"/>
      <c r="B40039" s="6"/>
      <c r="H40039" s="13"/>
    </row>
    <row r="40040">
      <c r="A40040" s="6"/>
      <c r="B40040" s="6"/>
      <c r="H40040" s="13"/>
    </row>
    <row r="40041">
      <c r="A40041" s="6"/>
      <c r="B40041" s="6"/>
      <c r="H40041" s="13"/>
    </row>
    <row r="40042">
      <c r="A40042" s="6"/>
      <c r="B40042" s="6"/>
      <c r="H40042" s="13"/>
    </row>
    <row r="40043">
      <c r="A40043" s="6"/>
      <c r="B40043" s="6"/>
      <c r="H40043" s="13"/>
    </row>
    <row r="40044">
      <c r="A40044" s="6"/>
      <c r="B40044" s="6"/>
      <c r="H40044" s="13"/>
    </row>
    <row r="40045">
      <c r="A40045" s="6"/>
      <c r="B40045" s="6"/>
      <c r="H40045" s="13"/>
    </row>
    <row r="40046">
      <c r="A40046" s="6"/>
      <c r="B40046" s="6"/>
      <c r="H40046" s="13"/>
    </row>
    <row r="40047">
      <c r="A40047" s="6"/>
      <c r="B40047" s="6"/>
      <c r="H40047" s="13"/>
    </row>
    <row r="40048">
      <c r="A40048" s="6"/>
      <c r="B40048" s="6"/>
      <c r="H40048" s="13"/>
    </row>
    <row r="40049">
      <c r="A40049" s="6"/>
      <c r="B40049" s="6"/>
      <c r="H40049" s="13"/>
    </row>
    <row r="40050">
      <c r="A40050" s="6"/>
      <c r="B40050" s="6"/>
      <c r="H40050" s="13"/>
    </row>
    <row r="40051">
      <c r="A40051" s="6"/>
      <c r="B40051" s="6"/>
      <c r="H40051" s="13"/>
    </row>
    <row r="40052">
      <c r="A40052" s="6"/>
      <c r="B40052" s="6"/>
      <c r="H40052" s="13"/>
    </row>
    <row r="40053">
      <c r="A40053" s="6"/>
      <c r="B40053" s="6"/>
      <c r="H40053" s="13"/>
    </row>
    <row r="40054">
      <c r="A40054" s="6"/>
      <c r="B40054" s="6"/>
      <c r="H40054" s="13"/>
    </row>
    <row r="40055">
      <c r="A40055" s="6"/>
      <c r="B40055" s="6"/>
      <c r="H40055" s="13"/>
    </row>
    <row r="40056">
      <c r="A40056" s="6"/>
      <c r="B40056" s="6"/>
      <c r="H40056" s="13"/>
    </row>
    <row r="40057">
      <c r="A40057" s="6"/>
      <c r="B40057" s="6"/>
      <c r="H40057" s="13"/>
    </row>
    <row r="40058">
      <c r="A40058" s="6"/>
      <c r="B40058" s="6"/>
      <c r="H40058" s="13"/>
    </row>
    <row r="40059">
      <c r="A40059" s="6"/>
      <c r="B40059" s="6"/>
      <c r="H40059" s="13"/>
    </row>
    <row r="40060">
      <c r="A40060" s="6"/>
      <c r="B40060" s="6"/>
      <c r="H40060" s="13"/>
    </row>
    <row r="40061">
      <c r="A40061" s="6"/>
      <c r="B40061" s="6"/>
      <c r="H40061" s="13"/>
    </row>
    <row r="40062">
      <c r="A40062" s="6"/>
      <c r="B40062" s="6"/>
      <c r="H40062" s="13"/>
    </row>
    <row r="40063">
      <c r="A40063" s="6"/>
      <c r="B40063" s="6"/>
      <c r="H40063" s="13"/>
    </row>
    <row r="40064">
      <c r="A40064" s="6"/>
      <c r="B40064" s="6"/>
      <c r="H40064" s="13"/>
    </row>
    <row r="40065">
      <c r="A40065" s="6"/>
      <c r="B40065" s="6"/>
      <c r="H40065" s="13"/>
    </row>
    <row r="40066">
      <c r="A40066" s="6"/>
      <c r="B40066" s="6"/>
      <c r="H40066" s="13"/>
    </row>
    <row r="40067">
      <c r="A40067" s="6"/>
      <c r="B40067" s="6"/>
      <c r="H40067" s="13"/>
    </row>
    <row r="40068">
      <c r="A40068" s="6"/>
      <c r="B40068" s="6"/>
      <c r="H40068" s="13"/>
    </row>
    <row r="40069">
      <c r="A40069" s="6"/>
      <c r="B40069" s="6"/>
      <c r="H40069" s="13"/>
    </row>
    <row r="40070">
      <c r="A40070" s="6"/>
      <c r="B40070" s="6"/>
      <c r="H40070" s="13"/>
    </row>
    <row r="40071">
      <c r="A40071" s="6"/>
      <c r="B40071" s="6"/>
      <c r="H40071" s="13"/>
    </row>
    <row r="40072">
      <c r="A40072" s="6"/>
      <c r="B40072" s="6"/>
      <c r="H40072" s="13"/>
    </row>
    <row r="40073">
      <c r="A40073" s="6"/>
      <c r="B40073" s="6"/>
      <c r="H40073" s="13"/>
    </row>
    <row r="40074">
      <c r="A40074" s="6"/>
      <c r="B40074" s="6"/>
      <c r="H40074" s="13"/>
    </row>
    <row r="40075">
      <c r="A40075" s="6"/>
      <c r="B40075" s="6"/>
      <c r="H40075" s="13"/>
    </row>
    <row r="40076">
      <c r="A40076" s="6"/>
      <c r="B40076" s="6"/>
      <c r="H40076" s="13"/>
    </row>
    <row r="40077">
      <c r="A40077" s="6"/>
      <c r="B40077" s="6"/>
      <c r="H40077" s="13"/>
    </row>
    <row r="40078">
      <c r="A40078" s="6"/>
      <c r="B40078" s="6"/>
      <c r="H40078" s="13"/>
    </row>
    <row r="40079">
      <c r="A40079" s="6"/>
      <c r="B40079" s="6"/>
      <c r="H40079" s="13"/>
    </row>
    <row r="40080">
      <c r="A40080" s="6"/>
      <c r="B40080" s="6"/>
      <c r="H40080" s="13"/>
    </row>
    <row r="40081">
      <c r="A40081" s="6"/>
      <c r="B40081" s="6"/>
      <c r="H40081" s="13"/>
    </row>
    <row r="40082">
      <c r="A40082" s="6"/>
      <c r="B40082" s="6"/>
      <c r="H40082" s="13"/>
    </row>
    <row r="40083">
      <c r="A40083" s="6"/>
      <c r="B40083" s="6"/>
      <c r="H40083" s="13"/>
    </row>
    <row r="40084">
      <c r="A40084" s="6"/>
      <c r="B40084" s="6"/>
      <c r="H40084" s="13"/>
    </row>
    <row r="40085">
      <c r="A40085" s="6"/>
      <c r="B40085" s="6"/>
      <c r="H40085" s="13"/>
    </row>
    <row r="40086">
      <c r="A40086" s="6"/>
      <c r="B40086" s="6"/>
      <c r="H40086" s="13"/>
    </row>
    <row r="40087">
      <c r="A40087" s="6"/>
      <c r="B40087" s="6"/>
      <c r="H40087" s="13"/>
    </row>
    <row r="40088">
      <c r="A40088" s="6"/>
      <c r="B40088" s="6"/>
      <c r="H40088" s="13"/>
    </row>
    <row r="40089">
      <c r="A40089" s="6"/>
      <c r="B40089" s="6"/>
      <c r="H40089" s="13"/>
    </row>
    <row r="40090">
      <c r="A40090" s="6"/>
      <c r="B40090" s="6"/>
      <c r="H40090" s="13"/>
    </row>
    <row r="40091">
      <c r="A40091" s="6"/>
      <c r="B40091" s="6"/>
      <c r="H40091" s="13"/>
    </row>
    <row r="40092">
      <c r="A40092" s="6"/>
      <c r="B40092" s="6"/>
      <c r="H40092" s="13"/>
    </row>
    <row r="40093">
      <c r="A40093" s="6"/>
      <c r="B40093" s="6"/>
      <c r="H40093" s="13"/>
    </row>
    <row r="40094">
      <c r="A40094" s="6"/>
      <c r="B40094" s="6"/>
      <c r="H40094" s="13"/>
    </row>
    <row r="40095">
      <c r="A40095" s="6"/>
      <c r="B40095" s="6"/>
      <c r="H40095" s="13"/>
    </row>
    <row r="40096">
      <c r="A40096" s="6"/>
      <c r="B40096" s="6"/>
      <c r="H40096" s="13"/>
    </row>
    <row r="40097">
      <c r="A40097" s="6"/>
      <c r="B40097" s="6"/>
      <c r="H40097" s="13"/>
    </row>
    <row r="40098">
      <c r="A40098" s="6"/>
      <c r="B40098" s="6"/>
      <c r="H40098" s="13"/>
    </row>
    <row r="40099">
      <c r="A40099" s="6"/>
      <c r="B40099" s="6"/>
      <c r="H40099" s="13"/>
    </row>
    <row r="40100">
      <c r="A40100" s="6"/>
      <c r="B40100" s="6"/>
      <c r="H40100" s="13"/>
    </row>
    <row r="40101">
      <c r="A40101" s="6"/>
      <c r="B40101" s="6"/>
      <c r="H40101" s="13"/>
    </row>
    <row r="40102">
      <c r="A40102" s="6"/>
      <c r="B40102" s="6"/>
      <c r="H40102" s="13"/>
    </row>
    <row r="40103">
      <c r="A40103" s="6"/>
      <c r="B40103" s="6"/>
      <c r="H40103" s="13"/>
    </row>
    <row r="40104">
      <c r="A40104" s="6"/>
      <c r="B40104" s="6"/>
      <c r="H40104" s="13"/>
    </row>
    <row r="40105">
      <c r="A40105" s="6"/>
      <c r="B40105" s="6"/>
      <c r="H40105" s="13"/>
    </row>
    <row r="40106">
      <c r="A40106" s="6"/>
      <c r="B40106" s="6"/>
      <c r="H40106" s="13"/>
    </row>
    <row r="40107">
      <c r="A40107" s="6"/>
      <c r="B40107" s="6"/>
      <c r="H40107" s="13"/>
    </row>
    <row r="40108">
      <c r="A40108" s="6"/>
      <c r="B40108" s="6"/>
      <c r="H40108" s="13"/>
    </row>
    <row r="40109">
      <c r="A40109" s="6"/>
      <c r="B40109" s="6"/>
      <c r="H40109" s="13"/>
    </row>
    <row r="40110">
      <c r="A40110" s="6"/>
      <c r="B40110" s="6"/>
      <c r="H40110" s="13"/>
    </row>
    <row r="40111">
      <c r="A40111" s="6"/>
      <c r="B40111" s="6"/>
      <c r="H40111" s="13"/>
    </row>
    <row r="40112">
      <c r="A40112" s="6"/>
      <c r="B40112" s="6"/>
      <c r="H40112" s="13"/>
    </row>
    <row r="40113">
      <c r="A40113" s="6"/>
      <c r="B40113" s="6"/>
      <c r="H40113" s="13"/>
    </row>
    <row r="40114">
      <c r="A40114" s="6"/>
      <c r="B40114" s="6"/>
      <c r="H40114" s="13"/>
    </row>
    <row r="40115">
      <c r="A40115" s="6"/>
      <c r="B40115" s="6"/>
      <c r="H40115" s="13"/>
    </row>
    <row r="40116">
      <c r="A40116" s="6"/>
      <c r="B40116" s="6"/>
      <c r="H40116" s="13"/>
    </row>
    <row r="40117">
      <c r="A40117" s="6"/>
      <c r="B40117" s="6"/>
      <c r="H40117" s="13"/>
    </row>
    <row r="40118">
      <c r="A40118" s="6"/>
      <c r="B40118" s="6"/>
      <c r="H40118" s="13"/>
    </row>
    <row r="40119">
      <c r="A40119" s="6"/>
      <c r="B40119" s="6"/>
      <c r="H40119" s="13"/>
    </row>
    <row r="40120">
      <c r="A40120" s="6"/>
      <c r="B40120" s="6"/>
      <c r="H40120" s="13"/>
    </row>
    <row r="40121">
      <c r="A40121" s="6"/>
      <c r="B40121" s="6"/>
      <c r="H40121" s="13"/>
    </row>
    <row r="40122">
      <c r="A40122" s="6"/>
      <c r="B40122" s="6"/>
      <c r="H40122" s="13"/>
    </row>
    <row r="40123">
      <c r="A40123" s="6"/>
      <c r="B40123" s="6"/>
      <c r="H40123" s="13"/>
    </row>
    <row r="40124">
      <c r="A40124" s="6"/>
      <c r="B40124" s="6"/>
      <c r="H40124" s="13"/>
    </row>
    <row r="40125">
      <c r="A40125" s="6"/>
      <c r="B40125" s="6"/>
      <c r="H40125" s="13"/>
    </row>
    <row r="40126">
      <c r="A40126" s="6"/>
      <c r="B40126" s="6"/>
      <c r="H40126" s="13"/>
    </row>
    <row r="40127">
      <c r="A40127" s="6"/>
      <c r="B40127" s="6"/>
      <c r="H40127" s="13"/>
    </row>
    <row r="40128">
      <c r="A40128" s="6"/>
      <c r="B40128" s="6"/>
      <c r="H40128" s="13"/>
    </row>
    <row r="40129">
      <c r="A40129" s="6"/>
      <c r="B40129" s="6"/>
      <c r="H40129" s="13"/>
    </row>
    <row r="40130">
      <c r="A40130" s="6"/>
      <c r="B40130" s="6"/>
      <c r="H40130" s="13"/>
    </row>
    <row r="40131">
      <c r="A40131" s="6"/>
      <c r="B40131" s="6"/>
      <c r="H40131" s="13"/>
    </row>
    <row r="40132">
      <c r="A40132" s="6"/>
      <c r="B40132" s="6"/>
      <c r="H40132" s="13"/>
    </row>
    <row r="40133">
      <c r="A40133" s="6"/>
      <c r="B40133" s="6"/>
      <c r="H40133" s="13"/>
    </row>
    <row r="40134">
      <c r="A40134" s="6"/>
      <c r="B40134" s="6"/>
      <c r="H40134" s="13"/>
    </row>
    <row r="40135">
      <c r="A40135" s="6"/>
      <c r="B40135" s="6"/>
      <c r="H40135" s="13"/>
    </row>
    <row r="40136">
      <c r="A40136" s="6"/>
      <c r="B40136" s="6"/>
      <c r="H40136" s="13"/>
    </row>
    <row r="40137">
      <c r="A40137" s="6"/>
      <c r="B40137" s="6"/>
      <c r="H40137" s="13"/>
    </row>
    <row r="40138">
      <c r="A40138" s="6"/>
      <c r="B40138" s="6"/>
      <c r="H40138" s="13"/>
    </row>
    <row r="40139">
      <c r="A40139" s="6"/>
      <c r="B40139" s="6"/>
      <c r="H40139" s="13"/>
    </row>
    <row r="40140">
      <c r="A40140" s="6"/>
      <c r="B40140" s="6"/>
      <c r="H40140" s="13"/>
    </row>
    <row r="40141">
      <c r="A40141" s="6"/>
      <c r="B40141" s="6"/>
      <c r="H40141" s="13"/>
    </row>
    <row r="40142">
      <c r="A40142" s="6"/>
      <c r="B40142" s="6"/>
      <c r="H40142" s="13"/>
    </row>
    <row r="40143">
      <c r="A40143" s="6"/>
      <c r="B40143" s="6"/>
      <c r="H40143" s="13"/>
    </row>
    <row r="40144">
      <c r="A40144" s="6"/>
      <c r="B40144" s="6"/>
      <c r="H40144" s="13"/>
    </row>
    <row r="40145">
      <c r="A40145" s="6"/>
      <c r="B40145" s="6"/>
      <c r="H40145" s="13"/>
    </row>
    <row r="40146">
      <c r="A40146" s="6"/>
      <c r="B40146" s="6"/>
      <c r="H40146" s="13"/>
    </row>
    <row r="40147">
      <c r="A40147" s="6"/>
      <c r="B40147" s="6"/>
      <c r="H40147" s="13"/>
    </row>
    <row r="40148">
      <c r="A40148" s="6"/>
      <c r="B40148" s="6"/>
      <c r="H40148" s="13"/>
    </row>
    <row r="40149">
      <c r="A40149" s="6"/>
      <c r="B40149" s="6"/>
      <c r="H40149" s="13"/>
    </row>
    <row r="40150">
      <c r="A40150" s="6"/>
      <c r="B40150" s="6"/>
      <c r="H40150" s="13"/>
    </row>
    <row r="40151">
      <c r="A40151" s="6"/>
      <c r="B40151" s="6"/>
      <c r="H40151" s="13"/>
    </row>
    <row r="40152">
      <c r="A40152" s="6"/>
      <c r="B40152" s="6"/>
      <c r="H40152" s="13"/>
    </row>
    <row r="40153">
      <c r="A40153" s="6"/>
      <c r="B40153" s="6"/>
      <c r="H40153" s="13"/>
    </row>
    <row r="40154">
      <c r="A40154" s="6"/>
      <c r="B40154" s="6"/>
      <c r="H40154" s="13"/>
    </row>
    <row r="40155">
      <c r="A40155" s="6"/>
      <c r="B40155" s="6"/>
      <c r="H40155" s="13"/>
    </row>
    <row r="40156">
      <c r="A40156" s="6"/>
      <c r="B40156" s="6"/>
      <c r="H40156" s="13"/>
    </row>
    <row r="40157">
      <c r="A40157" s="6"/>
      <c r="B40157" s="6"/>
      <c r="H40157" s="13"/>
    </row>
    <row r="40158">
      <c r="A40158" s="6"/>
      <c r="B40158" s="6"/>
      <c r="H40158" s="13"/>
    </row>
    <row r="40159">
      <c r="A40159" s="6"/>
      <c r="B40159" s="6"/>
      <c r="H40159" s="13"/>
    </row>
    <row r="40160">
      <c r="A40160" s="6"/>
      <c r="B40160" s="6"/>
      <c r="H40160" s="13"/>
    </row>
    <row r="40161">
      <c r="A40161" s="6"/>
      <c r="B40161" s="6"/>
      <c r="H40161" s="13"/>
    </row>
    <row r="40162">
      <c r="A40162" s="6"/>
      <c r="B40162" s="6"/>
      <c r="H40162" s="13"/>
    </row>
    <row r="40163">
      <c r="A40163" s="6"/>
      <c r="B40163" s="6"/>
      <c r="H40163" s="13"/>
    </row>
    <row r="40164">
      <c r="A40164" s="6"/>
      <c r="B40164" s="6"/>
      <c r="H40164" s="13"/>
    </row>
    <row r="40165">
      <c r="A40165" s="6"/>
      <c r="B40165" s="6"/>
      <c r="H40165" s="13"/>
    </row>
    <row r="40166">
      <c r="A40166" s="6"/>
      <c r="B40166" s="6"/>
      <c r="H40166" s="13"/>
    </row>
    <row r="40167">
      <c r="A40167" s="6"/>
      <c r="B40167" s="6"/>
      <c r="H40167" s="13"/>
    </row>
    <row r="40168">
      <c r="A40168" s="6"/>
      <c r="B40168" s="6"/>
      <c r="H40168" s="13"/>
    </row>
    <row r="40169">
      <c r="A40169" s="6"/>
      <c r="B40169" s="6"/>
      <c r="H40169" s="13"/>
    </row>
    <row r="40170">
      <c r="A40170" s="6"/>
      <c r="B40170" s="6"/>
      <c r="H40170" s="13"/>
    </row>
    <row r="40171">
      <c r="A40171" s="6"/>
      <c r="B40171" s="6"/>
      <c r="H40171" s="13"/>
    </row>
    <row r="40172">
      <c r="A40172" s="6"/>
      <c r="B40172" s="6"/>
      <c r="H40172" s="13"/>
    </row>
    <row r="40173">
      <c r="A40173" s="6"/>
      <c r="B40173" s="6"/>
      <c r="H40173" s="13"/>
    </row>
    <row r="40174">
      <c r="A40174" s="6"/>
      <c r="B40174" s="6"/>
      <c r="H40174" s="13"/>
    </row>
    <row r="40175">
      <c r="A40175" s="6"/>
      <c r="B40175" s="6"/>
      <c r="H40175" s="13"/>
    </row>
    <row r="40176">
      <c r="A40176" s="6"/>
      <c r="B40176" s="6"/>
      <c r="H40176" s="13"/>
    </row>
    <row r="40177">
      <c r="A40177" s="6"/>
      <c r="B40177" s="6"/>
      <c r="H40177" s="13"/>
    </row>
    <row r="40178">
      <c r="A40178" s="6"/>
      <c r="B40178" s="6"/>
      <c r="H40178" s="13"/>
    </row>
    <row r="40179">
      <c r="A40179" s="6"/>
      <c r="B40179" s="6"/>
      <c r="H40179" s="13"/>
    </row>
    <row r="40180">
      <c r="A40180" s="6"/>
      <c r="B40180" s="6"/>
      <c r="H40180" s="13"/>
    </row>
    <row r="40181">
      <c r="A40181" s="6"/>
      <c r="B40181" s="6"/>
      <c r="H40181" s="13"/>
    </row>
    <row r="40182">
      <c r="A40182" s="6"/>
      <c r="B40182" s="6"/>
      <c r="H40182" s="13"/>
    </row>
    <row r="40183">
      <c r="A40183" s="6"/>
      <c r="B40183" s="6"/>
      <c r="H40183" s="13"/>
    </row>
    <row r="40184">
      <c r="A40184" s="6"/>
      <c r="B40184" s="6"/>
      <c r="H40184" s="13"/>
    </row>
    <row r="40185">
      <c r="A40185" s="6"/>
      <c r="B40185" s="6"/>
      <c r="H40185" s="13"/>
    </row>
    <row r="40186">
      <c r="A40186" s="6"/>
      <c r="B40186" s="6"/>
      <c r="H40186" s="13"/>
    </row>
    <row r="40187">
      <c r="A40187" s="6"/>
      <c r="B40187" s="6"/>
      <c r="H40187" s="13"/>
    </row>
    <row r="40188">
      <c r="A40188" s="6"/>
      <c r="B40188" s="6"/>
      <c r="H40188" s="13"/>
    </row>
    <row r="40189">
      <c r="A40189" s="6"/>
      <c r="B40189" s="6"/>
      <c r="H40189" s="13"/>
    </row>
    <row r="40190">
      <c r="A40190" s="6"/>
      <c r="B40190" s="6"/>
      <c r="H40190" s="13"/>
    </row>
    <row r="40191">
      <c r="A40191" s="6"/>
      <c r="B40191" s="6"/>
      <c r="H40191" s="13"/>
    </row>
    <row r="40192">
      <c r="A40192" s="6"/>
      <c r="B40192" s="6"/>
      <c r="H40192" s="13"/>
    </row>
    <row r="40193">
      <c r="A40193" s="6"/>
      <c r="B40193" s="6"/>
      <c r="H40193" s="13"/>
    </row>
    <row r="40194">
      <c r="A40194" s="6"/>
      <c r="B40194" s="6"/>
      <c r="H40194" s="13"/>
    </row>
    <row r="40195">
      <c r="A40195" s="6"/>
      <c r="B40195" s="6"/>
      <c r="H40195" s="13"/>
    </row>
    <row r="40196">
      <c r="A40196" s="6"/>
      <c r="B40196" s="6"/>
      <c r="H40196" s="13"/>
    </row>
    <row r="40197">
      <c r="A40197" s="6"/>
      <c r="B40197" s="6"/>
      <c r="H40197" s="13"/>
    </row>
    <row r="40198">
      <c r="A40198" s="6"/>
      <c r="B40198" s="6"/>
      <c r="H40198" s="13"/>
    </row>
    <row r="40199">
      <c r="A40199" s="6"/>
      <c r="B40199" s="6"/>
      <c r="H40199" s="13"/>
    </row>
    <row r="40200">
      <c r="A40200" s="6"/>
      <c r="B40200" s="6"/>
      <c r="H40200" s="13"/>
    </row>
    <row r="40201">
      <c r="A40201" s="6"/>
      <c r="B40201" s="6"/>
      <c r="H40201" s="13"/>
    </row>
    <row r="40202">
      <c r="A40202" s="6"/>
      <c r="B40202" s="6"/>
      <c r="H40202" s="13"/>
    </row>
    <row r="40203">
      <c r="A40203" s="6"/>
      <c r="B40203" s="6"/>
      <c r="H40203" s="13"/>
    </row>
    <row r="40204">
      <c r="A40204" s="6"/>
      <c r="B40204" s="6"/>
      <c r="H40204" s="13"/>
    </row>
    <row r="40205">
      <c r="A40205" s="6"/>
      <c r="B40205" s="6"/>
      <c r="H40205" s="13"/>
    </row>
    <row r="40206">
      <c r="A40206" s="6"/>
      <c r="B40206" s="6"/>
      <c r="H40206" s="13"/>
    </row>
    <row r="40207">
      <c r="A40207" s="6"/>
      <c r="B40207" s="6"/>
      <c r="H40207" s="13"/>
    </row>
    <row r="40208">
      <c r="A40208" s="6"/>
      <c r="B40208" s="6"/>
      <c r="H40208" s="13"/>
    </row>
    <row r="40209">
      <c r="A40209" s="6"/>
      <c r="B40209" s="6"/>
      <c r="H40209" s="13"/>
    </row>
    <row r="40210">
      <c r="A40210" s="6"/>
      <c r="B40210" s="6"/>
      <c r="H40210" s="13"/>
    </row>
    <row r="40211">
      <c r="A40211" s="6"/>
      <c r="B40211" s="6"/>
      <c r="H40211" s="13"/>
    </row>
    <row r="40212">
      <c r="A40212" s="6"/>
      <c r="B40212" s="6"/>
      <c r="H40212" s="13"/>
    </row>
    <row r="40213">
      <c r="A40213" s="6"/>
      <c r="B40213" s="6"/>
      <c r="H40213" s="13"/>
    </row>
    <row r="40214">
      <c r="A40214" s="6"/>
      <c r="B40214" s="6"/>
      <c r="H40214" s="13"/>
    </row>
    <row r="40215">
      <c r="A40215" s="6"/>
      <c r="B40215" s="6"/>
      <c r="H40215" s="13"/>
    </row>
    <row r="40216">
      <c r="A40216" s="6"/>
      <c r="B40216" s="6"/>
      <c r="H40216" s="13"/>
    </row>
    <row r="40217">
      <c r="A40217" s="6"/>
      <c r="B40217" s="6"/>
      <c r="H40217" s="13"/>
    </row>
    <row r="40218">
      <c r="A40218" s="6"/>
      <c r="B40218" s="6"/>
      <c r="H40218" s="13"/>
    </row>
    <row r="40219">
      <c r="A40219" s="6"/>
      <c r="B40219" s="6"/>
      <c r="H40219" s="13"/>
    </row>
    <row r="40220">
      <c r="A40220" s="6"/>
      <c r="B40220" s="6"/>
      <c r="H40220" s="13"/>
    </row>
    <row r="40221">
      <c r="A40221" s="6"/>
      <c r="B40221" s="6"/>
      <c r="H40221" s="13"/>
    </row>
    <row r="40222">
      <c r="A40222" s="6"/>
      <c r="B40222" s="6"/>
      <c r="H40222" s="13"/>
    </row>
    <row r="40223">
      <c r="A40223" s="6"/>
      <c r="B40223" s="6"/>
      <c r="H40223" s="13"/>
    </row>
    <row r="40224">
      <c r="A40224" s="6"/>
      <c r="B40224" s="6"/>
      <c r="H40224" s="13"/>
    </row>
    <row r="40225">
      <c r="A40225" s="6"/>
      <c r="B40225" s="6"/>
      <c r="H40225" s="13"/>
    </row>
    <row r="40226">
      <c r="A40226" s="6"/>
      <c r="B40226" s="6"/>
      <c r="H40226" s="13"/>
    </row>
    <row r="40227">
      <c r="A40227" s="6"/>
      <c r="B40227" s="6"/>
      <c r="H40227" s="13"/>
    </row>
    <row r="40228">
      <c r="A40228" s="6"/>
      <c r="B40228" s="6"/>
      <c r="H40228" s="13"/>
    </row>
    <row r="40229">
      <c r="A40229" s="6"/>
      <c r="B40229" s="6"/>
      <c r="H40229" s="13"/>
    </row>
    <row r="40230">
      <c r="A40230" s="6"/>
      <c r="B40230" s="6"/>
      <c r="H40230" s="13"/>
    </row>
    <row r="40231">
      <c r="A40231" s="6"/>
      <c r="B40231" s="6"/>
      <c r="H40231" s="13"/>
    </row>
    <row r="40232">
      <c r="A40232" s="6"/>
      <c r="B40232" s="6"/>
      <c r="H40232" s="13"/>
    </row>
    <row r="40233">
      <c r="A40233" s="6"/>
      <c r="B40233" s="6"/>
      <c r="H40233" s="13"/>
    </row>
    <row r="40234">
      <c r="A40234" s="6"/>
      <c r="B40234" s="6"/>
      <c r="H40234" s="13"/>
    </row>
    <row r="40235">
      <c r="A40235" s="6"/>
      <c r="B40235" s="6"/>
      <c r="H40235" s="13"/>
    </row>
    <row r="40236">
      <c r="A40236" s="6"/>
      <c r="B40236" s="6"/>
      <c r="H40236" s="13"/>
    </row>
    <row r="40237">
      <c r="A40237" s="6"/>
      <c r="B40237" s="6"/>
      <c r="H40237" s="13"/>
    </row>
    <row r="40238">
      <c r="A40238" s="6"/>
      <c r="B40238" s="6"/>
      <c r="H40238" s="13"/>
    </row>
    <row r="40239">
      <c r="A40239" s="6"/>
      <c r="B40239" s="6"/>
      <c r="H40239" s="13"/>
    </row>
    <row r="40240">
      <c r="A40240" s="6"/>
      <c r="B40240" s="6"/>
      <c r="H40240" s="13"/>
    </row>
    <row r="40241">
      <c r="A40241" s="6"/>
      <c r="B40241" s="6"/>
      <c r="H40241" s="13"/>
    </row>
    <row r="40242">
      <c r="A40242" s="6"/>
      <c r="B40242" s="6"/>
      <c r="H40242" s="13"/>
    </row>
    <row r="40243">
      <c r="A40243" s="6"/>
      <c r="B40243" s="6"/>
      <c r="H40243" s="13"/>
    </row>
    <row r="40244">
      <c r="A40244" s="6"/>
      <c r="B40244" s="6"/>
      <c r="H40244" s="13"/>
    </row>
    <row r="40245">
      <c r="A40245" s="6"/>
      <c r="B40245" s="6"/>
      <c r="H40245" s="13"/>
    </row>
    <row r="40246">
      <c r="A40246" s="6"/>
      <c r="B40246" s="6"/>
      <c r="H40246" s="13"/>
    </row>
    <row r="40247">
      <c r="A40247" s="6"/>
      <c r="B40247" s="6"/>
      <c r="H40247" s="13"/>
    </row>
    <row r="40248">
      <c r="A40248" s="6"/>
      <c r="B40248" s="6"/>
      <c r="H40248" s="13"/>
    </row>
    <row r="40249">
      <c r="A40249" s="6"/>
      <c r="B40249" s="6"/>
      <c r="H40249" s="13"/>
    </row>
    <row r="40250">
      <c r="A40250" s="6"/>
      <c r="B40250" s="6"/>
      <c r="H40250" s="13"/>
    </row>
    <row r="40251">
      <c r="A40251" s="6"/>
      <c r="B40251" s="6"/>
      <c r="H40251" s="13"/>
    </row>
    <row r="40252">
      <c r="A40252" s="6"/>
      <c r="B40252" s="6"/>
      <c r="H40252" s="13"/>
    </row>
    <row r="40253">
      <c r="A40253" s="6"/>
      <c r="B40253" s="6"/>
      <c r="H40253" s="13"/>
    </row>
    <row r="40254">
      <c r="A40254" s="6"/>
      <c r="B40254" s="6"/>
      <c r="H40254" s="13"/>
    </row>
    <row r="40255">
      <c r="A40255" s="6"/>
      <c r="B40255" s="6"/>
      <c r="H40255" s="13"/>
    </row>
    <row r="40256">
      <c r="A40256" s="6"/>
      <c r="B40256" s="6"/>
      <c r="H40256" s="13"/>
    </row>
    <row r="40257">
      <c r="A40257" s="6"/>
      <c r="B40257" s="6"/>
      <c r="H40257" s="13"/>
    </row>
    <row r="40258">
      <c r="A40258" s="6"/>
      <c r="B40258" s="6"/>
      <c r="H40258" s="13"/>
    </row>
    <row r="40259">
      <c r="A40259" s="6"/>
      <c r="B40259" s="6"/>
      <c r="H40259" s="13"/>
    </row>
    <row r="40260">
      <c r="A40260" s="6"/>
      <c r="B40260" s="6"/>
      <c r="H40260" s="13"/>
    </row>
    <row r="40261">
      <c r="A40261" s="6"/>
      <c r="B40261" s="6"/>
      <c r="H40261" s="13"/>
    </row>
    <row r="40262">
      <c r="A40262" s="6"/>
      <c r="B40262" s="6"/>
      <c r="H40262" s="13"/>
    </row>
    <row r="40263">
      <c r="A40263" s="6"/>
      <c r="B40263" s="6"/>
      <c r="H40263" s="13"/>
    </row>
    <row r="40264">
      <c r="A40264" s="6"/>
      <c r="B40264" s="6"/>
      <c r="H40264" s="13"/>
    </row>
    <row r="40265">
      <c r="A40265" s="6"/>
      <c r="B40265" s="6"/>
      <c r="H40265" s="13"/>
    </row>
    <row r="40266">
      <c r="A40266" s="6"/>
      <c r="B40266" s="6"/>
      <c r="H40266" s="13"/>
    </row>
    <row r="40267">
      <c r="A40267" s="6"/>
      <c r="B40267" s="6"/>
      <c r="H40267" s="13"/>
    </row>
    <row r="40268">
      <c r="A40268" s="6"/>
      <c r="B40268" s="6"/>
      <c r="H40268" s="13"/>
    </row>
    <row r="40269">
      <c r="A40269" s="6"/>
      <c r="B40269" s="6"/>
      <c r="H40269" s="13"/>
    </row>
    <row r="40270">
      <c r="A40270" s="6"/>
      <c r="B40270" s="6"/>
      <c r="H40270" s="13"/>
    </row>
    <row r="40271">
      <c r="A40271" s="6"/>
      <c r="B40271" s="6"/>
      <c r="H40271" s="13"/>
    </row>
    <row r="40272">
      <c r="A40272" s="6"/>
      <c r="B40272" s="6"/>
      <c r="H40272" s="13"/>
    </row>
    <row r="40273">
      <c r="A40273" s="6"/>
      <c r="B40273" s="6"/>
      <c r="H40273" s="13"/>
    </row>
    <row r="40274">
      <c r="A40274" s="6"/>
      <c r="B40274" s="6"/>
      <c r="H40274" s="13"/>
    </row>
    <row r="40275">
      <c r="A40275" s="6"/>
      <c r="B40275" s="6"/>
      <c r="H40275" s="13"/>
    </row>
    <row r="40276">
      <c r="A40276" s="6"/>
      <c r="B40276" s="6"/>
      <c r="H40276" s="13"/>
    </row>
    <row r="40277">
      <c r="A40277" s="6"/>
      <c r="B40277" s="6"/>
      <c r="H40277" s="13"/>
    </row>
    <row r="40278">
      <c r="A40278" s="6"/>
      <c r="B40278" s="6"/>
      <c r="H40278" s="13"/>
    </row>
    <row r="40279">
      <c r="A40279" s="6"/>
      <c r="B40279" s="6"/>
      <c r="H40279" s="13"/>
    </row>
    <row r="40280">
      <c r="A40280" s="6"/>
      <c r="B40280" s="6"/>
      <c r="H40280" s="13"/>
    </row>
    <row r="40281">
      <c r="A40281" s="6"/>
      <c r="B40281" s="6"/>
      <c r="H40281" s="13"/>
    </row>
    <row r="40282">
      <c r="A40282" s="6"/>
      <c r="B40282" s="6"/>
      <c r="H40282" s="13"/>
    </row>
    <row r="40283">
      <c r="A40283" s="6"/>
      <c r="B40283" s="6"/>
      <c r="H40283" s="13"/>
    </row>
    <row r="40284">
      <c r="A40284" s="6"/>
      <c r="B40284" s="6"/>
      <c r="H40284" s="13"/>
    </row>
    <row r="40285">
      <c r="A40285" s="6"/>
      <c r="B40285" s="6"/>
      <c r="H40285" s="13"/>
    </row>
    <row r="40286">
      <c r="A40286" s="6"/>
      <c r="B40286" s="6"/>
      <c r="H40286" s="13"/>
    </row>
    <row r="40287">
      <c r="A40287" s="6"/>
      <c r="B40287" s="6"/>
      <c r="H40287" s="13"/>
    </row>
    <row r="40288">
      <c r="A40288" s="6"/>
      <c r="B40288" s="6"/>
      <c r="H40288" s="13"/>
    </row>
    <row r="40289">
      <c r="A40289" s="6"/>
      <c r="B40289" s="6"/>
      <c r="H40289" s="13"/>
    </row>
    <row r="40290">
      <c r="A40290" s="6"/>
      <c r="B40290" s="6"/>
      <c r="H40290" s="13"/>
    </row>
    <row r="40291">
      <c r="A40291" s="6"/>
      <c r="B40291" s="6"/>
      <c r="H40291" s="13"/>
    </row>
    <row r="40292">
      <c r="A40292" s="6"/>
      <c r="B40292" s="6"/>
      <c r="H40292" s="13"/>
    </row>
    <row r="40293">
      <c r="A40293" s="6"/>
      <c r="B40293" s="6"/>
      <c r="H40293" s="13"/>
    </row>
    <row r="40294">
      <c r="A40294" s="6"/>
      <c r="B40294" s="6"/>
      <c r="H40294" s="13"/>
    </row>
    <row r="40295">
      <c r="A40295" s="6"/>
      <c r="B40295" s="6"/>
      <c r="H40295" s="13"/>
    </row>
    <row r="40296">
      <c r="A40296" s="6"/>
      <c r="B40296" s="6"/>
      <c r="H40296" s="13"/>
    </row>
    <row r="40297">
      <c r="A40297" s="6"/>
      <c r="B40297" s="6"/>
      <c r="H40297" s="13"/>
    </row>
    <row r="40298">
      <c r="A40298" s="6"/>
      <c r="B40298" s="6"/>
      <c r="H40298" s="13"/>
    </row>
    <row r="40299">
      <c r="A40299" s="6"/>
      <c r="B40299" s="6"/>
      <c r="H40299" s="13"/>
    </row>
    <row r="40300">
      <c r="A40300" s="6"/>
      <c r="B40300" s="6"/>
      <c r="H40300" s="13"/>
    </row>
    <row r="40301">
      <c r="A40301" s="6"/>
      <c r="B40301" s="6"/>
      <c r="H40301" s="13"/>
    </row>
    <row r="40302">
      <c r="A40302" s="6"/>
      <c r="B40302" s="6"/>
      <c r="H40302" s="13"/>
    </row>
    <row r="40303">
      <c r="A40303" s="6"/>
      <c r="B40303" s="6"/>
      <c r="H40303" s="13"/>
    </row>
    <row r="40304">
      <c r="A40304" s="6"/>
      <c r="B40304" s="6"/>
      <c r="H40304" s="13"/>
    </row>
    <row r="40305">
      <c r="A40305" s="6"/>
      <c r="B40305" s="6"/>
      <c r="H40305" s="13"/>
    </row>
    <row r="40306">
      <c r="A40306" s="6"/>
      <c r="B40306" s="6"/>
      <c r="H40306" s="13"/>
    </row>
    <row r="40307">
      <c r="A40307" s="6"/>
      <c r="B40307" s="6"/>
      <c r="H40307" s="13"/>
    </row>
    <row r="40308">
      <c r="A40308" s="6"/>
      <c r="B40308" s="6"/>
      <c r="H40308" s="13"/>
    </row>
    <row r="40309">
      <c r="A40309" s="6"/>
      <c r="B40309" s="6"/>
      <c r="H40309" s="13"/>
    </row>
    <row r="40310">
      <c r="A40310" s="6"/>
      <c r="B40310" s="6"/>
      <c r="H40310" s="13"/>
    </row>
    <row r="40311">
      <c r="A40311" s="6"/>
      <c r="B40311" s="6"/>
      <c r="H40311" s="13"/>
    </row>
    <row r="40312">
      <c r="A40312" s="6"/>
      <c r="B40312" s="6"/>
      <c r="H40312" s="13"/>
    </row>
    <row r="40313">
      <c r="A40313" s="6"/>
      <c r="B40313" s="6"/>
      <c r="H40313" s="13"/>
    </row>
    <row r="40314">
      <c r="A40314" s="6"/>
      <c r="B40314" s="6"/>
      <c r="H40314" s="13"/>
    </row>
    <row r="40315">
      <c r="A40315" s="6"/>
      <c r="B40315" s="6"/>
      <c r="H40315" s="13"/>
    </row>
    <row r="40316">
      <c r="A40316" s="6"/>
      <c r="B40316" s="6"/>
      <c r="H40316" s="13"/>
    </row>
    <row r="40317">
      <c r="A40317" s="6"/>
      <c r="B40317" s="6"/>
      <c r="H40317" s="13"/>
    </row>
    <row r="40318">
      <c r="A40318" s="6"/>
      <c r="B40318" s="6"/>
      <c r="H40318" s="13"/>
    </row>
    <row r="40319">
      <c r="A40319" s="6"/>
      <c r="B40319" s="6"/>
      <c r="H40319" s="13"/>
    </row>
    <row r="40320">
      <c r="A40320" s="6"/>
      <c r="B40320" s="6"/>
      <c r="H40320" s="13"/>
    </row>
    <row r="40321">
      <c r="A40321" s="6"/>
      <c r="B40321" s="6"/>
      <c r="H40321" s="13"/>
    </row>
    <row r="40322">
      <c r="A40322" s="6"/>
      <c r="B40322" s="6"/>
      <c r="H40322" s="13"/>
    </row>
    <row r="40323">
      <c r="A40323" s="6"/>
      <c r="B40323" s="6"/>
      <c r="H40323" s="13"/>
    </row>
    <row r="40324">
      <c r="A40324" s="6"/>
      <c r="B40324" s="6"/>
      <c r="H40324" s="13"/>
    </row>
    <row r="40325">
      <c r="A40325" s="6"/>
      <c r="B40325" s="6"/>
      <c r="H40325" s="13"/>
    </row>
    <row r="40326">
      <c r="A40326" s="6"/>
      <c r="B40326" s="6"/>
      <c r="H40326" s="13"/>
    </row>
    <row r="40327">
      <c r="A40327" s="6"/>
      <c r="B40327" s="6"/>
      <c r="H40327" s="13"/>
    </row>
    <row r="40328">
      <c r="A40328" s="6"/>
      <c r="B40328" s="6"/>
      <c r="H40328" s="13"/>
    </row>
    <row r="40329">
      <c r="A40329" s="6"/>
      <c r="B40329" s="6"/>
      <c r="H40329" s="13"/>
    </row>
    <row r="40330">
      <c r="A40330" s="6"/>
      <c r="B40330" s="6"/>
      <c r="H40330" s="13"/>
    </row>
    <row r="40331">
      <c r="A40331" s="6"/>
      <c r="B40331" s="6"/>
      <c r="H40331" s="13"/>
    </row>
    <row r="40332">
      <c r="A40332" s="6"/>
      <c r="B40332" s="6"/>
      <c r="H40332" s="13"/>
    </row>
    <row r="40333">
      <c r="A40333" s="6"/>
      <c r="B40333" s="6"/>
      <c r="H40333" s="13"/>
    </row>
    <row r="40334">
      <c r="A40334" s="6"/>
      <c r="B40334" s="6"/>
      <c r="H40334" s="13"/>
    </row>
    <row r="40335">
      <c r="A40335" s="6"/>
      <c r="B40335" s="6"/>
      <c r="H40335" s="13"/>
    </row>
    <row r="40336">
      <c r="A40336" s="6"/>
      <c r="B40336" s="6"/>
      <c r="H40336" s="13"/>
    </row>
    <row r="40337">
      <c r="A40337" s="6"/>
      <c r="B40337" s="6"/>
      <c r="H40337" s="13"/>
    </row>
    <row r="40338">
      <c r="A40338" s="6"/>
      <c r="B40338" s="6"/>
      <c r="H40338" s="13"/>
    </row>
    <row r="40339">
      <c r="A40339" s="6"/>
      <c r="B40339" s="6"/>
      <c r="H40339" s="13"/>
    </row>
    <row r="40340">
      <c r="A40340" s="6"/>
      <c r="B40340" s="6"/>
      <c r="H40340" s="13"/>
    </row>
    <row r="40341">
      <c r="A40341" s="6"/>
      <c r="B40341" s="6"/>
      <c r="H40341" s="13"/>
    </row>
    <row r="40342">
      <c r="A40342" s="6"/>
      <c r="B40342" s="6"/>
      <c r="H40342" s="13"/>
    </row>
    <row r="40343">
      <c r="A40343" s="6"/>
      <c r="B40343" s="6"/>
      <c r="H40343" s="13"/>
    </row>
    <row r="40344">
      <c r="A40344" s="6"/>
      <c r="B40344" s="6"/>
      <c r="H40344" s="13"/>
    </row>
    <row r="40345">
      <c r="A40345" s="6"/>
      <c r="B40345" s="6"/>
      <c r="H40345" s="13"/>
    </row>
    <row r="40346">
      <c r="A40346" s="6"/>
      <c r="B40346" s="6"/>
      <c r="H40346" s="13"/>
    </row>
    <row r="40347">
      <c r="A40347" s="6"/>
      <c r="B40347" s="6"/>
      <c r="H40347" s="13"/>
    </row>
    <row r="40348">
      <c r="A40348" s="6"/>
      <c r="B40348" s="6"/>
      <c r="H40348" s="13"/>
    </row>
    <row r="40349">
      <c r="A40349" s="6"/>
      <c r="B40349" s="6"/>
      <c r="H40349" s="13"/>
    </row>
    <row r="40350">
      <c r="A40350" s="6"/>
      <c r="B40350" s="6"/>
      <c r="H40350" s="13"/>
    </row>
    <row r="40351">
      <c r="A40351" s="6"/>
      <c r="B40351" s="6"/>
      <c r="H40351" s="13"/>
    </row>
    <row r="40352">
      <c r="A40352" s="6"/>
      <c r="B40352" s="6"/>
      <c r="H40352" s="13"/>
    </row>
    <row r="40353">
      <c r="A40353" s="6"/>
      <c r="B40353" s="6"/>
      <c r="H40353" s="13"/>
    </row>
    <row r="40354">
      <c r="A40354" s="6"/>
      <c r="B40354" s="6"/>
      <c r="H40354" s="13"/>
    </row>
    <row r="40355">
      <c r="A40355" s="6"/>
      <c r="B40355" s="6"/>
      <c r="H40355" s="13"/>
    </row>
    <row r="40356">
      <c r="A40356" s="6"/>
      <c r="B40356" s="6"/>
      <c r="H40356" s="13"/>
    </row>
    <row r="40357">
      <c r="A40357" s="6"/>
      <c r="B40357" s="6"/>
      <c r="H40357" s="13"/>
    </row>
    <row r="40358">
      <c r="A40358" s="6"/>
      <c r="B40358" s="6"/>
      <c r="H40358" s="13"/>
    </row>
    <row r="40359">
      <c r="A40359" s="6"/>
      <c r="B40359" s="6"/>
      <c r="H40359" s="13"/>
    </row>
    <row r="40360">
      <c r="A40360" s="6"/>
      <c r="B40360" s="6"/>
      <c r="H40360" s="13"/>
    </row>
    <row r="40361">
      <c r="A40361" s="6"/>
      <c r="B40361" s="6"/>
      <c r="H40361" s="13"/>
    </row>
    <row r="40362">
      <c r="A40362" s="6"/>
      <c r="B40362" s="6"/>
      <c r="H40362" s="13"/>
    </row>
    <row r="40363">
      <c r="A40363" s="6"/>
      <c r="B40363" s="6"/>
      <c r="H40363" s="13"/>
    </row>
    <row r="40364">
      <c r="A40364" s="6"/>
      <c r="B40364" s="6"/>
      <c r="H40364" s="13"/>
    </row>
    <row r="40365">
      <c r="A40365" s="6"/>
      <c r="B40365" s="6"/>
      <c r="H40365" s="13"/>
    </row>
    <row r="40366">
      <c r="A40366" s="6"/>
      <c r="B40366" s="6"/>
      <c r="H40366" s="13"/>
    </row>
    <row r="40367">
      <c r="A40367" s="6"/>
      <c r="B40367" s="6"/>
      <c r="H40367" s="13"/>
    </row>
    <row r="40368">
      <c r="A40368" s="6"/>
      <c r="B40368" s="6"/>
      <c r="H40368" s="13"/>
    </row>
    <row r="40369">
      <c r="A40369" s="6"/>
      <c r="B40369" s="6"/>
      <c r="H40369" s="13"/>
    </row>
    <row r="40370">
      <c r="A40370" s="6"/>
      <c r="B40370" s="6"/>
      <c r="H40370" s="13"/>
    </row>
    <row r="40371">
      <c r="A40371" s="6"/>
      <c r="B40371" s="6"/>
      <c r="H40371" s="13"/>
    </row>
    <row r="40372">
      <c r="A40372" s="6"/>
      <c r="B40372" s="6"/>
      <c r="H40372" s="13"/>
    </row>
    <row r="40373">
      <c r="A40373" s="6"/>
      <c r="B40373" s="6"/>
      <c r="H40373" s="13"/>
    </row>
    <row r="40374">
      <c r="A40374" s="6"/>
      <c r="B40374" s="6"/>
      <c r="H40374" s="13"/>
    </row>
    <row r="40375">
      <c r="A40375" s="6"/>
      <c r="B40375" s="6"/>
      <c r="H40375" s="13"/>
    </row>
    <row r="40376">
      <c r="A40376" s="6"/>
      <c r="B40376" s="6"/>
      <c r="H40376" s="13"/>
    </row>
    <row r="40377">
      <c r="A40377" s="6"/>
      <c r="B40377" s="6"/>
      <c r="H40377" s="13"/>
    </row>
    <row r="40378">
      <c r="A40378" s="6"/>
      <c r="B40378" s="6"/>
      <c r="H40378" s="13"/>
    </row>
    <row r="40379">
      <c r="A40379" s="6"/>
      <c r="B40379" s="6"/>
      <c r="H40379" s="13"/>
    </row>
    <row r="40380">
      <c r="A40380" s="6"/>
      <c r="B40380" s="6"/>
      <c r="H40380" s="13"/>
    </row>
    <row r="40381">
      <c r="A40381" s="6"/>
      <c r="B40381" s="6"/>
      <c r="H40381" s="13"/>
    </row>
    <row r="40382">
      <c r="A40382" s="6"/>
      <c r="B40382" s="6"/>
      <c r="H40382" s="13"/>
    </row>
    <row r="40383">
      <c r="A40383" s="6"/>
      <c r="B40383" s="6"/>
      <c r="H40383" s="13"/>
    </row>
    <row r="40384">
      <c r="A40384" s="6"/>
      <c r="B40384" s="6"/>
      <c r="H40384" s="13"/>
    </row>
    <row r="40385">
      <c r="A40385" s="6"/>
      <c r="B40385" s="6"/>
      <c r="H40385" s="13"/>
    </row>
    <row r="40386">
      <c r="A40386" s="6"/>
      <c r="B40386" s="6"/>
      <c r="H40386" s="13"/>
    </row>
    <row r="40387">
      <c r="A40387" s="6"/>
      <c r="B40387" s="6"/>
      <c r="H40387" s="13"/>
    </row>
    <row r="40388">
      <c r="A40388" s="6"/>
      <c r="B40388" s="6"/>
      <c r="H40388" s="13"/>
    </row>
    <row r="40389">
      <c r="A40389" s="6"/>
      <c r="B40389" s="6"/>
      <c r="H40389" s="13"/>
    </row>
    <row r="40390">
      <c r="A40390" s="6"/>
      <c r="B40390" s="6"/>
      <c r="H40390" s="13"/>
    </row>
    <row r="40391">
      <c r="A40391" s="6"/>
      <c r="B40391" s="6"/>
      <c r="H40391" s="13"/>
    </row>
    <row r="40392">
      <c r="A40392" s="6"/>
      <c r="B40392" s="6"/>
      <c r="H40392" s="13"/>
    </row>
    <row r="40393">
      <c r="A40393" s="6"/>
      <c r="B40393" s="6"/>
      <c r="H40393" s="13"/>
    </row>
    <row r="40394">
      <c r="A40394" s="6"/>
      <c r="B40394" s="6"/>
      <c r="H40394" s="13"/>
    </row>
    <row r="40395">
      <c r="A40395" s="6"/>
      <c r="B40395" s="6"/>
      <c r="H40395" s="13"/>
    </row>
    <row r="40396">
      <c r="A40396" s="6"/>
      <c r="B40396" s="6"/>
      <c r="H40396" s="13"/>
    </row>
    <row r="40397">
      <c r="A40397" s="6"/>
      <c r="B40397" s="6"/>
      <c r="H40397" s="13"/>
    </row>
    <row r="40398">
      <c r="A40398" s="6"/>
      <c r="B40398" s="6"/>
      <c r="H40398" s="13"/>
    </row>
    <row r="40399">
      <c r="A40399" s="6"/>
      <c r="B40399" s="6"/>
      <c r="H40399" s="13"/>
    </row>
    <row r="40400">
      <c r="A40400" s="6"/>
      <c r="B40400" s="6"/>
      <c r="H40400" s="13"/>
    </row>
    <row r="40401">
      <c r="A40401" s="6"/>
      <c r="B40401" s="6"/>
      <c r="H40401" s="13"/>
    </row>
    <row r="40402">
      <c r="A40402" s="6"/>
      <c r="B40402" s="6"/>
      <c r="H40402" s="13"/>
    </row>
    <row r="40403">
      <c r="A40403" s="6"/>
      <c r="B40403" s="6"/>
      <c r="H40403" s="13"/>
    </row>
    <row r="40404">
      <c r="A40404" s="6"/>
      <c r="B40404" s="6"/>
      <c r="H40404" s="13"/>
    </row>
    <row r="40405">
      <c r="A40405" s="6"/>
      <c r="B40405" s="6"/>
      <c r="H40405" s="13"/>
    </row>
    <row r="40406">
      <c r="A40406" s="6"/>
      <c r="B40406" s="6"/>
      <c r="H40406" s="13"/>
    </row>
    <row r="40407">
      <c r="A40407" s="6"/>
      <c r="B40407" s="6"/>
      <c r="H40407" s="13"/>
    </row>
    <row r="40408">
      <c r="A40408" s="6"/>
      <c r="B40408" s="6"/>
      <c r="H40408" s="13"/>
    </row>
    <row r="40409">
      <c r="A40409" s="6"/>
      <c r="B40409" s="6"/>
      <c r="H40409" s="13"/>
    </row>
    <row r="40410">
      <c r="A40410" s="6"/>
      <c r="B40410" s="6"/>
      <c r="H40410" s="13"/>
    </row>
    <row r="40411">
      <c r="A40411" s="6"/>
      <c r="B40411" s="6"/>
      <c r="H40411" s="13"/>
    </row>
    <row r="40412">
      <c r="A40412" s="6"/>
      <c r="B40412" s="6"/>
      <c r="H40412" s="13"/>
    </row>
    <row r="40413">
      <c r="A40413" s="6"/>
      <c r="B40413" s="6"/>
      <c r="H40413" s="13"/>
    </row>
    <row r="40414">
      <c r="A40414" s="6"/>
      <c r="B40414" s="6"/>
      <c r="H40414" s="13"/>
    </row>
    <row r="40415">
      <c r="A40415" s="6"/>
      <c r="B40415" s="6"/>
      <c r="H40415" s="13"/>
    </row>
    <row r="40416">
      <c r="A40416" s="6"/>
      <c r="B40416" s="6"/>
      <c r="H40416" s="13"/>
    </row>
    <row r="40417">
      <c r="A40417" s="6"/>
      <c r="B40417" s="6"/>
      <c r="H40417" s="13"/>
    </row>
    <row r="40418">
      <c r="A40418" s="6"/>
      <c r="B40418" s="6"/>
      <c r="H40418" s="13"/>
    </row>
    <row r="40419">
      <c r="A40419" s="6"/>
      <c r="B40419" s="6"/>
      <c r="H40419" s="13"/>
    </row>
    <row r="40420">
      <c r="A40420" s="6"/>
      <c r="B40420" s="6"/>
      <c r="H40420" s="13"/>
    </row>
    <row r="40421">
      <c r="A40421" s="6"/>
      <c r="B40421" s="6"/>
      <c r="H40421" s="13"/>
    </row>
    <row r="40422">
      <c r="A40422" s="6"/>
      <c r="B40422" s="6"/>
      <c r="H40422" s="13"/>
    </row>
    <row r="40423">
      <c r="A40423" s="6"/>
      <c r="B40423" s="6"/>
      <c r="H40423" s="13"/>
    </row>
    <row r="40424">
      <c r="A40424" s="6"/>
      <c r="B40424" s="6"/>
      <c r="H40424" s="13"/>
    </row>
    <row r="40425">
      <c r="A40425" s="6"/>
      <c r="B40425" s="6"/>
      <c r="H40425" s="13"/>
    </row>
    <row r="40426">
      <c r="A40426" s="6"/>
      <c r="B40426" s="6"/>
      <c r="H40426" s="13"/>
    </row>
    <row r="40427">
      <c r="A40427" s="6"/>
      <c r="B40427" s="6"/>
      <c r="H40427" s="13"/>
    </row>
    <row r="40428">
      <c r="A40428" s="6"/>
      <c r="B40428" s="6"/>
      <c r="H40428" s="13"/>
    </row>
    <row r="40429">
      <c r="A40429" s="6"/>
      <c r="B40429" s="6"/>
      <c r="H40429" s="13"/>
    </row>
    <row r="40430">
      <c r="A40430" s="6"/>
      <c r="B40430" s="6"/>
      <c r="H40430" s="13"/>
    </row>
    <row r="40431">
      <c r="A40431" s="6"/>
      <c r="B40431" s="6"/>
      <c r="H40431" s="13"/>
    </row>
    <row r="40432">
      <c r="A40432" s="6"/>
      <c r="B40432" s="6"/>
      <c r="H40432" s="13"/>
    </row>
    <row r="40433">
      <c r="A40433" s="6"/>
      <c r="B40433" s="6"/>
      <c r="H40433" s="13"/>
    </row>
    <row r="40434">
      <c r="A40434" s="6"/>
      <c r="B40434" s="6"/>
      <c r="H40434" s="13"/>
    </row>
    <row r="40435">
      <c r="A40435" s="6"/>
      <c r="B40435" s="6"/>
      <c r="H40435" s="13"/>
    </row>
    <row r="40436">
      <c r="A40436" s="6"/>
      <c r="B40436" s="6"/>
      <c r="H40436" s="13"/>
    </row>
    <row r="40437">
      <c r="A40437" s="6"/>
      <c r="B40437" s="6"/>
      <c r="H40437" s="13"/>
    </row>
    <row r="40438">
      <c r="A40438" s="6"/>
      <c r="B40438" s="6"/>
      <c r="H40438" s="13"/>
    </row>
    <row r="40439">
      <c r="A40439" s="6"/>
      <c r="B40439" s="6"/>
      <c r="H40439" s="13"/>
    </row>
    <row r="40440">
      <c r="A40440" s="6"/>
      <c r="B40440" s="6"/>
      <c r="H40440" s="13"/>
    </row>
    <row r="40441">
      <c r="A40441" s="6"/>
      <c r="B40441" s="6"/>
      <c r="H40441" s="13"/>
    </row>
    <row r="40442">
      <c r="A40442" s="6"/>
      <c r="B40442" s="6"/>
      <c r="H40442" s="13"/>
    </row>
    <row r="40443">
      <c r="A40443" s="6"/>
      <c r="B40443" s="6"/>
      <c r="H40443" s="13"/>
    </row>
    <row r="40444">
      <c r="A40444" s="6"/>
      <c r="B40444" s="6"/>
      <c r="H40444" s="13"/>
    </row>
    <row r="40445">
      <c r="A40445" s="6"/>
      <c r="B40445" s="6"/>
      <c r="H40445" s="13"/>
    </row>
    <row r="40446">
      <c r="A40446" s="6"/>
      <c r="B40446" s="6"/>
      <c r="H40446" s="13"/>
    </row>
    <row r="40447">
      <c r="A40447" s="6"/>
      <c r="B40447" s="6"/>
      <c r="H40447" s="13"/>
    </row>
    <row r="40448">
      <c r="A40448" s="6"/>
      <c r="B40448" s="6"/>
      <c r="H40448" s="13"/>
    </row>
    <row r="40449">
      <c r="A40449" s="6"/>
      <c r="B40449" s="6"/>
      <c r="H40449" s="13"/>
    </row>
    <row r="40450">
      <c r="A40450" s="6"/>
      <c r="B40450" s="6"/>
      <c r="H40450" s="13"/>
    </row>
    <row r="40451">
      <c r="A40451" s="6"/>
      <c r="B40451" s="6"/>
      <c r="H40451" s="13"/>
    </row>
    <row r="40452">
      <c r="A40452" s="6"/>
      <c r="B40452" s="6"/>
      <c r="H40452" s="13"/>
    </row>
    <row r="40453">
      <c r="A40453" s="6"/>
      <c r="B40453" s="6"/>
      <c r="H40453" s="13"/>
    </row>
    <row r="40454">
      <c r="A40454" s="6"/>
      <c r="B40454" s="6"/>
      <c r="H40454" s="13"/>
    </row>
    <row r="40455">
      <c r="A40455" s="6"/>
      <c r="B40455" s="6"/>
      <c r="H40455" s="13"/>
    </row>
    <row r="40456">
      <c r="A40456" s="6"/>
      <c r="B40456" s="6"/>
      <c r="H40456" s="13"/>
    </row>
    <row r="40457">
      <c r="A40457" s="6"/>
      <c r="B40457" s="6"/>
      <c r="H40457" s="13"/>
    </row>
    <row r="40458">
      <c r="A40458" s="6"/>
      <c r="B40458" s="6"/>
      <c r="H40458" s="13"/>
    </row>
    <row r="40459">
      <c r="A40459" s="6"/>
      <c r="B40459" s="6"/>
      <c r="H40459" s="13"/>
    </row>
    <row r="40460">
      <c r="A40460" s="6"/>
      <c r="B40460" s="6"/>
      <c r="H40460" s="13"/>
    </row>
    <row r="40461">
      <c r="A40461" s="6"/>
      <c r="B40461" s="6"/>
      <c r="H40461" s="13"/>
    </row>
    <row r="40462">
      <c r="A40462" s="6"/>
      <c r="B40462" s="6"/>
      <c r="H40462" s="13"/>
    </row>
    <row r="40463">
      <c r="A40463" s="6"/>
      <c r="B40463" s="6"/>
      <c r="H40463" s="13"/>
    </row>
    <row r="40464">
      <c r="A40464" s="6"/>
      <c r="B40464" s="6"/>
      <c r="H40464" s="13"/>
    </row>
    <row r="40465">
      <c r="A40465" s="6"/>
      <c r="B40465" s="6"/>
      <c r="H40465" s="13"/>
    </row>
    <row r="40466">
      <c r="A40466" s="6"/>
      <c r="B40466" s="6"/>
      <c r="H40466" s="13"/>
    </row>
    <row r="40467">
      <c r="A40467" s="6"/>
      <c r="B40467" s="6"/>
      <c r="H40467" s="13"/>
    </row>
    <row r="40468">
      <c r="A40468" s="6"/>
      <c r="B40468" s="6"/>
      <c r="H40468" s="13"/>
    </row>
    <row r="40469">
      <c r="A40469" s="6"/>
      <c r="B40469" s="6"/>
      <c r="H40469" s="13"/>
    </row>
    <row r="40470">
      <c r="A40470" s="6"/>
      <c r="B40470" s="6"/>
      <c r="H40470" s="13"/>
    </row>
    <row r="40471">
      <c r="A40471" s="6"/>
      <c r="B40471" s="6"/>
      <c r="H40471" s="13"/>
    </row>
    <row r="40472">
      <c r="A40472" s="6"/>
      <c r="B40472" s="6"/>
      <c r="H40472" s="13"/>
    </row>
    <row r="40473">
      <c r="A40473" s="6"/>
      <c r="B40473" s="6"/>
      <c r="H40473" s="13"/>
    </row>
    <row r="40474">
      <c r="A40474" s="6"/>
      <c r="B40474" s="6"/>
      <c r="H40474" s="13"/>
    </row>
    <row r="40475">
      <c r="A40475" s="6"/>
      <c r="B40475" s="6"/>
      <c r="H40475" s="13"/>
    </row>
    <row r="40476">
      <c r="A40476" s="6"/>
      <c r="B40476" s="6"/>
      <c r="H40476" s="13"/>
    </row>
    <row r="40477">
      <c r="A40477" s="6"/>
      <c r="B40477" s="6"/>
      <c r="H40477" s="13"/>
    </row>
    <row r="40478">
      <c r="A40478" s="6"/>
      <c r="B40478" s="6"/>
      <c r="H40478" s="13"/>
    </row>
    <row r="40479">
      <c r="A40479" s="6"/>
      <c r="B40479" s="6"/>
      <c r="H40479" s="13"/>
    </row>
    <row r="40480">
      <c r="A40480" s="6"/>
      <c r="B40480" s="6"/>
      <c r="H40480" s="13"/>
    </row>
    <row r="40481">
      <c r="A40481" s="6"/>
      <c r="B40481" s="6"/>
      <c r="H40481" s="13"/>
    </row>
    <row r="40482">
      <c r="A40482" s="6"/>
      <c r="B40482" s="6"/>
      <c r="H40482" s="13"/>
    </row>
    <row r="40483">
      <c r="A40483" s="6"/>
      <c r="B40483" s="6"/>
      <c r="H40483" s="13"/>
    </row>
    <row r="40484">
      <c r="A40484" s="6"/>
      <c r="B40484" s="6"/>
      <c r="H40484" s="13"/>
    </row>
    <row r="40485">
      <c r="A40485" s="6"/>
      <c r="B40485" s="6"/>
      <c r="H40485" s="13"/>
    </row>
    <row r="40486">
      <c r="A40486" s="6"/>
      <c r="B40486" s="6"/>
      <c r="H40486" s="13"/>
    </row>
    <row r="40487">
      <c r="A40487" s="6"/>
      <c r="B40487" s="6"/>
      <c r="H40487" s="13"/>
    </row>
    <row r="40488">
      <c r="A40488" s="6"/>
      <c r="B40488" s="6"/>
      <c r="H40488" s="13"/>
    </row>
    <row r="40489">
      <c r="A40489" s="6"/>
      <c r="B40489" s="6"/>
      <c r="H40489" s="13"/>
    </row>
    <row r="40490">
      <c r="A40490" s="6"/>
      <c r="B40490" s="6"/>
      <c r="H40490" s="13"/>
    </row>
    <row r="40491">
      <c r="A40491" s="6"/>
      <c r="B40491" s="6"/>
      <c r="H40491" s="13"/>
    </row>
    <row r="40492">
      <c r="A40492" s="6"/>
      <c r="B40492" s="6"/>
      <c r="H40492" s="13"/>
    </row>
    <row r="40493">
      <c r="A40493" s="6"/>
      <c r="B40493" s="6"/>
      <c r="H40493" s="13"/>
    </row>
    <row r="40494">
      <c r="A40494" s="6"/>
      <c r="B40494" s="6"/>
      <c r="H40494" s="13"/>
    </row>
    <row r="40495">
      <c r="A40495" s="6"/>
      <c r="B40495" s="6"/>
      <c r="H40495" s="13"/>
    </row>
    <row r="40496">
      <c r="A40496" s="6"/>
      <c r="B40496" s="6"/>
      <c r="H40496" s="13"/>
    </row>
    <row r="40497">
      <c r="A40497" s="6"/>
      <c r="B40497" s="6"/>
      <c r="H40497" s="13"/>
    </row>
    <row r="40498">
      <c r="A40498" s="6"/>
      <c r="B40498" s="6"/>
      <c r="H40498" s="13"/>
    </row>
    <row r="40499">
      <c r="A40499" s="6"/>
      <c r="B40499" s="6"/>
      <c r="H40499" s="13"/>
    </row>
    <row r="40500">
      <c r="A40500" s="6"/>
      <c r="B40500" s="6"/>
      <c r="H40500" s="13"/>
    </row>
    <row r="40501">
      <c r="A40501" s="6"/>
      <c r="B40501" s="6"/>
      <c r="H40501" s="13"/>
    </row>
    <row r="40502">
      <c r="A40502" s="6"/>
      <c r="B40502" s="6"/>
      <c r="H40502" s="13"/>
    </row>
    <row r="40503">
      <c r="A40503" s="6"/>
      <c r="B40503" s="6"/>
      <c r="H40503" s="13"/>
    </row>
    <row r="40504">
      <c r="A40504" s="6"/>
      <c r="B40504" s="6"/>
      <c r="H40504" s="13"/>
    </row>
    <row r="40505">
      <c r="A40505" s="6"/>
      <c r="B40505" s="6"/>
      <c r="H40505" s="13"/>
    </row>
    <row r="40506">
      <c r="A40506" s="6"/>
      <c r="B40506" s="6"/>
      <c r="H40506" s="13"/>
    </row>
    <row r="40507">
      <c r="A40507" s="6"/>
      <c r="B40507" s="6"/>
      <c r="H40507" s="13"/>
    </row>
    <row r="40508">
      <c r="A40508" s="6"/>
      <c r="B40508" s="6"/>
      <c r="H40508" s="13"/>
    </row>
    <row r="40509">
      <c r="A40509" s="6"/>
      <c r="B40509" s="6"/>
      <c r="H40509" s="13"/>
    </row>
    <row r="40510">
      <c r="A40510" s="6"/>
      <c r="B40510" s="6"/>
      <c r="H40510" s="13"/>
    </row>
    <row r="40511">
      <c r="A40511" s="6"/>
      <c r="B40511" s="6"/>
      <c r="H40511" s="13"/>
    </row>
    <row r="40512">
      <c r="A40512" s="6"/>
      <c r="B40512" s="6"/>
      <c r="H40512" s="13"/>
    </row>
    <row r="40513">
      <c r="A40513" s="6"/>
      <c r="B40513" s="6"/>
      <c r="H40513" s="13"/>
    </row>
    <row r="40514">
      <c r="A40514" s="6"/>
      <c r="B40514" s="6"/>
      <c r="H40514" s="13"/>
    </row>
    <row r="40515">
      <c r="A40515" s="6"/>
      <c r="B40515" s="6"/>
      <c r="H40515" s="13"/>
    </row>
    <row r="40516">
      <c r="A40516" s="6"/>
      <c r="B40516" s="6"/>
      <c r="H40516" s="13"/>
    </row>
    <row r="40517">
      <c r="A40517" s="6"/>
      <c r="B40517" s="6"/>
      <c r="H40517" s="13"/>
    </row>
    <row r="40518">
      <c r="A40518" s="6"/>
      <c r="B40518" s="6"/>
      <c r="H40518" s="13"/>
    </row>
    <row r="40519">
      <c r="A40519" s="6"/>
      <c r="B40519" s="6"/>
      <c r="H40519" s="13"/>
    </row>
    <row r="40520">
      <c r="A40520" s="6"/>
      <c r="B40520" s="6"/>
      <c r="H40520" s="13"/>
    </row>
    <row r="40521">
      <c r="A40521" s="6"/>
      <c r="B40521" s="6"/>
      <c r="H40521" s="13"/>
    </row>
    <row r="40522">
      <c r="A40522" s="6"/>
      <c r="B40522" s="6"/>
      <c r="H40522" s="13"/>
    </row>
    <row r="40523">
      <c r="A40523" s="6"/>
      <c r="B40523" s="6"/>
      <c r="H40523" s="13"/>
    </row>
    <row r="40524">
      <c r="A40524" s="6"/>
      <c r="B40524" s="6"/>
      <c r="H40524" s="13"/>
    </row>
    <row r="40525">
      <c r="A40525" s="6"/>
      <c r="B40525" s="6"/>
      <c r="H40525" s="13"/>
    </row>
    <row r="40526">
      <c r="A40526" s="6"/>
      <c r="B40526" s="6"/>
      <c r="H40526" s="13"/>
    </row>
    <row r="40527">
      <c r="A40527" s="6"/>
      <c r="B40527" s="6"/>
      <c r="H40527" s="13"/>
    </row>
    <row r="40528">
      <c r="A40528" s="6"/>
      <c r="B40528" s="6"/>
      <c r="H40528" s="13"/>
    </row>
    <row r="40529">
      <c r="A40529" s="6"/>
      <c r="B40529" s="6"/>
      <c r="H40529" s="13"/>
    </row>
    <row r="40530">
      <c r="A40530" s="6"/>
      <c r="B40530" s="6"/>
      <c r="H40530" s="13"/>
    </row>
    <row r="40531">
      <c r="A40531" s="6"/>
      <c r="B40531" s="6"/>
      <c r="H40531" s="13"/>
    </row>
    <row r="40532">
      <c r="A40532" s="6"/>
      <c r="B40532" s="6"/>
      <c r="H40532" s="13"/>
    </row>
    <row r="40533">
      <c r="A40533" s="6"/>
      <c r="B40533" s="6"/>
      <c r="H40533" s="13"/>
    </row>
    <row r="40534">
      <c r="A40534" s="6"/>
      <c r="B40534" s="6"/>
      <c r="H40534" s="13"/>
    </row>
    <row r="40535">
      <c r="A40535" s="6"/>
      <c r="B40535" s="6"/>
      <c r="H40535" s="13"/>
    </row>
    <row r="40536">
      <c r="A40536" s="6"/>
      <c r="B40536" s="6"/>
      <c r="H40536" s="13"/>
    </row>
    <row r="40537">
      <c r="A40537" s="6"/>
      <c r="B40537" s="6"/>
      <c r="H40537" s="13"/>
    </row>
    <row r="40538">
      <c r="A40538" s="6"/>
      <c r="B40538" s="6"/>
      <c r="H40538" s="13"/>
    </row>
    <row r="40539">
      <c r="A40539" s="6"/>
      <c r="B40539" s="6"/>
      <c r="H40539" s="13"/>
    </row>
    <row r="40540">
      <c r="A40540" s="6"/>
      <c r="B40540" s="6"/>
      <c r="H40540" s="13"/>
    </row>
    <row r="40541">
      <c r="A40541" s="6"/>
      <c r="B40541" s="6"/>
      <c r="H40541" s="13"/>
    </row>
    <row r="40542">
      <c r="A40542" s="6"/>
      <c r="B40542" s="6"/>
      <c r="H40542" s="13"/>
    </row>
    <row r="40543">
      <c r="A40543" s="6"/>
      <c r="B40543" s="6"/>
      <c r="H40543" s="13"/>
    </row>
    <row r="40544">
      <c r="A40544" s="6"/>
      <c r="B40544" s="6"/>
      <c r="H40544" s="13"/>
    </row>
    <row r="40545">
      <c r="A40545" s="6"/>
      <c r="B40545" s="6"/>
      <c r="H40545" s="13"/>
    </row>
    <row r="40546">
      <c r="A40546" s="6"/>
      <c r="B40546" s="6"/>
      <c r="H40546" s="13"/>
    </row>
    <row r="40547">
      <c r="A40547" s="6"/>
      <c r="B40547" s="6"/>
      <c r="H40547" s="13"/>
    </row>
    <row r="40548">
      <c r="A40548" s="6"/>
      <c r="B40548" s="6"/>
      <c r="H40548" s="13"/>
    </row>
    <row r="40549">
      <c r="A40549" s="6"/>
      <c r="B40549" s="6"/>
      <c r="H40549" s="13"/>
    </row>
    <row r="40550">
      <c r="A40550" s="6"/>
      <c r="B40550" s="6"/>
      <c r="H40550" s="13"/>
    </row>
    <row r="40551">
      <c r="A40551" s="6"/>
      <c r="B40551" s="6"/>
      <c r="H40551" s="13"/>
    </row>
    <row r="40552">
      <c r="A40552" s="6"/>
      <c r="B40552" s="6"/>
      <c r="H40552" s="13"/>
    </row>
    <row r="40553">
      <c r="A40553" s="6"/>
      <c r="B40553" s="6"/>
      <c r="H40553" s="13"/>
    </row>
    <row r="40554">
      <c r="A40554" s="6"/>
      <c r="B40554" s="6"/>
      <c r="H40554" s="13"/>
    </row>
    <row r="40555">
      <c r="A40555" s="6"/>
      <c r="B40555" s="6"/>
      <c r="H40555" s="13"/>
    </row>
    <row r="40556">
      <c r="A40556" s="6"/>
      <c r="B40556" s="6"/>
      <c r="H40556" s="13"/>
    </row>
    <row r="40557">
      <c r="A40557" s="6"/>
      <c r="B40557" s="6"/>
      <c r="H40557" s="13"/>
    </row>
    <row r="40558">
      <c r="A40558" s="6"/>
      <c r="B40558" s="6"/>
      <c r="H40558" s="13"/>
    </row>
    <row r="40559">
      <c r="A40559" s="6"/>
      <c r="B40559" s="6"/>
      <c r="H40559" s="13"/>
    </row>
    <row r="40560">
      <c r="A40560" s="6"/>
      <c r="B40560" s="6"/>
      <c r="H40560" s="13"/>
    </row>
    <row r="40561">
      <c r="A40561" s="6"/>
      <c r="B40561" s="6"/>
      <c r="H40561" s="13"/>
    </row>
    <row r="40562">
      <c r="A40562" s="6"/>
      <c r="B40562" s="6"/>
      <c r="H40562" s="13"/>
    </row>
    <row r="40563">
      <c r="A40563" s="6"/>
      <c r="B40563" s="6"/>
      <c r="H40563" s="13"/>
    </row>
    <row r="40564">
      <c r="A40564" s="6"/>
      <c r="B40564" s="6"/>
      <c r="H40564" s="13"/>
    </row>
    <row r="40565">
      <c r="A40565" s="6"/>
      <c r="B40565" s="6"/>
      <c r="H40565" s="13"/>
    </row>
    <row r="40566">
      <c r="A40566" s="6"/>
      <c r="B40566" s="6"/>
      <c r="H40566" s="13"/>
    </row>
    <row r="40567">
      <c r="A40567" s="6"/>
      <c r="B40567" s="6"/>
      <c r="H40567" s="13"/>
    </row>
    <row r="40568">
      <c r="A40568" s="6"/>
      <c r="B40568" s="6"/>
      <c r="H40568" s="13"/>
    </row>
    <row r="40569">
      <c r="A40569" s="6"/>
      <c r="B40569" s="6"/>
      <c r="H40569" s="13"/>
    </row>
    <row r="40570">
      <c r="A40570" s="6"/>
      <c r="B40570" s="6"/>
      <c r="H40570" s="13"/>
    </row>
    <row r="40571">
      <c r="A40571" s="6"/>
      <c r="B40571" s="6"/>
      <c r="H40571" s="13"/>
    </row>
    <row r="40572">
      <c r="A40572" s="6"/>
      <c r="B40572" s="6"/>
      <c r="H40572" s="13"/>
    </row>
    <row r="40573">
      <c r="A40573" s="6"/>
      <c r="B40573" s="6"/>
      <c r="H40573" s="13"/>
    </row>
    <row r="40574">
      <c r="A40574" s="6"/>
      <c r="B40574" s="6"/>
      <c r="H40574" s="13"/>
    </row>
    <row r="40575">
      <c r="A40575" s="6"/>
      <c r="B40575" s="6"/>
      <c r="H40575" s="13"/>
    </row>
    <row r="40576">
      <c r="A40576" s="6"/>
      <c r="B40576" s="6"/>
      <c r="H40576" s="13"/>
    </row>
    <row r="40577">
      <c r="A40577" s="6"/>
      <c r="B40577" s="6"/>
      <c r="H40577" s="13"/>
    </row>
    <row r="40578">
      <c r="A40578" s="6"/>
      <c r="B40578" s="6"/>
      <c r="H40578" s="13"/>
    </row>
    <row r="40579">
      <c r="A40579" s="6"/>
      <c r="B40579" s="6"/>
      <c r="H40579" s="13"/>
    </row>
    <row r="40580">
      <c r="A40580" s="6"/>
      <c r="B40580" s="6"/>
      <c r="H40580" s="13"/>
    </row>
    <row r="40581">
      <c r="A40581" s="6"/>
      <c r="B40581" s="6"/>
      <c r="H40581" s="13"/>
    </row>
    <row r="40582">
      <c r="A40582" s="6"/>
      <c r="B40582" s="6"/>
      <c r="H40582" s="13"/>
    </row>
    <row r="40583">
      <c r="A40583" s="6"/>
      <c r="B40583" s="6"/>
      <c r="H40583" s="13"/>
    </row>
    <row r="40584">
      <c r="A40584" s="6"/>
      <c r="B40584" s="6"/>
      <c r="H40584" s="13"/>
    </row>
    <row r="40585">
      <c r="A40585" s="6"/>
      <c r="B40585" s="6"/>
      <c r="H40585" s="13"/>
    </row>
    <row r="40586">
      <c r="A40586" s="6"/>
      <c r="B40586" s="6"/>
      <c r="H40586" s="13"/>
    </row>
    <row r="40587">
      <c r="A40587" s="6"/>
      <c r="B40587" s="6"/>
      <c r="H40587" s="13"/>
    </row>
    <row r="40588">
      <c r="A40588" s="6"/>
      <c r="B40588" s="6"/>
      <c r="H40588" s="13"/>
    </row>
    <row r="40589">
      <c r="A40589" s="6"/>
      <c r="B40589" s="6"/>
      <c r="H40589" s="13"/>
    </row>
    <row r="40590">
      <c r="A40590" s="6"/>
      <c r="B40590" s="6"/>
      <c r="H40590" s="13"/>
    </row>
    <row r="40591">
      <c r="A40591" s="6"/>
      <c r="B40591" s="6"/>
      <c r="H40591" s="13"/>
    </row>
    <row r="40592">
      <c r="A40592" s="6"/>
      <c r="B40592" s="6"/>
      <c r="H40592" s="13"/>
    </row>
    <row r="40593">
      <c r="A40593" s="6"/>
      <c r="B40593" s="6"/>
      <c r="H40593" s="13"/>
    </row>
    <row r="40594">
      <c r="A40594" s="6"/>
      <c r="B40594" s="6"/>
      <c r="H40594" s="13"/>
    </row>
    <row r="40595">
      <c r="A40595" s="6"/>
      <c r="B40595" s="6"/>
      <c r="H40595" s="13"/>
    </row>
    <row r="40596">
      <c r="A40596" s="6"/>
      <c r="B40596" s="6"/>
      <c r="H40596" s="13"/>
    </row>
    <row r="40597">
      <c r="A40597" s="6"/>
      <c r="B40597" s="6"/>
      <c r="H40597" s="13"/>
    </row>
    <row r="40598">
      <c r="A40598" s="6"/>
      <c r="B40598" s="6"/>
      <c r="H40598" s="13"/>
    </row>
    <row r="40599">
      <c r="A40599" s="6"/>
      <c r="B40599" s="6"/>
      <c r="H40599" s="13"/>
    </row>
    <row r="40600">
      <c r="A40600" s="6"/>
      <c r="B40600" s="6"/>
      <c r="H40600" s="13"/>
    </row>
    <row r="40601">
      <c r="A40601" s="6"/>
      <c r="B40601" s="6"/>
      <c r="H40601" s="13"/>
    </row>
    <row r="40602">
      <c r="A40602" s="6"/>
      <c r="B40602" s="6"/>
      <c r="H40602" s="13"/>
    </row>
    <row r="40603">
      <c r="A40603" s="6"/>
      <c r="B40603" s="6"/>
      <c r="H40603" s="13"/>
    </row>
    <row r="40604">
      <c r="A40604" s="6"/>
      <c r="B40604" s="6"/>
      <c r="H40604" s="13"/>
    </row>
    <row r="40605">
      <c r="A40605" s="6"/>
      <c r="B40605" s="6"/>
      <c r="H40605" s="13"/>
    </row>
    <row r="40606">
      <c r="A40606" s="6"/>
      <c r="B40606" s="6"/>
      <c r="H40606" s="13"/>
    </row>
    <row r="40607">
      <c r="A40607" s="6"/>
      <c r="B40607" s="6"/>
      <c r="H40607" s="13"/>
    </row>
    <row r="40608">
      <c r="A40608" s="6"/>
      <c r="B40608" s="6"/>
      <c r="H40608" s="13"/>
    </row>
    <row r="40609">
      <c r="A40609" s="6"/>
      <c r="B40609" s="6"/>
      <c r="H40609" s="13"/>
    </row>
    <row r="40610">
      <c r="A40610" s="6"/>
      <c r="B40610" s="6"/>
      <c r="H40610" s="13"/>
    </row>
    <row r="40611">
      <c r="A40611" s="6"/>
      <c r="B40611" s="6"/>
      <c r="H40611" s="13"/>
    </row>
    <row r="40612">
      <c r="A40612" s="6"/>
      <c r="B40612" s="6"/>
      <c r="H40612" s="13"/>
    </row>
    <row r="40613">
      <c r="A40613" s="6"/>
      <c r="B40613" s="6"/>
      <c r="H40613" s="13"/>
    </row>
    <row r="40614">
      <c r="A40614" s="6"/>
      <c r="B40614" s="6"/>
      <c r="H40614" s="13"/>
    </row>
    <row r="40615">
      <c r="A40615" s="6"/>
      <c r="B40615" s="6"/>
      <c r="H40615" s="13"/>
    </row>
    <row r="40616">
      <c r="A40616" s="6"/>
      <c r="B40616" s="6"/>
      <c r="H40616" s="13"/>
    </row>
    <row r="40617">
      <c r="A40617" s="6"/>
      <c r="B40617" s="6"/>
      <c r="H40617" s="13"/>
    </row>
    <row r="40618">
      <c r="A40618" s="6"/>
      <c r="B40618" s="6"/>
      <c r="H40618" s="13"/>
    </row>
    <row r="40619">
      <c r="A40619" s="6"/>
      <c r="B40619" s="6"/>
      <c r="H40619" s="13"/>
    </row>
    <row r="40620">
      <c r="A40620" s="6"/>
      <c r="B40620" s="6"/>
      <c r="H40620" s="13"/>
    </row>
    <row r="40621">
      <c r="A40621" s="6"/>
      <c r="B40621" s="6"/>
      <c r="H40621" s="13"/>
    </row>
    <row r="40622">
      <c r="A40622" s="6"/>
      <c r="B40622" s="6"/>
      <c r="H40622" s="13"/>
    </row>
    <row r="40623">
      <c r="A40623" s="6"/>
      <c r="B40623" s="6"/>
      <c r="H40623" s="13"/>
    </row>
    <row r="40624">
      <c r="A40624" s="6"/>
      <c r="B40624" s="6"/>
      <c r="H40624" s="13"/>
    </row>
    <row r="40625">
      <c r="A40625" s="6"/>
      <c r="B40625" s="6"/>
      <c r="H40625" s="13"/>
    </row>
    <row r="40626">
      <c r="A40626" s="6"/>
      <c r="B40626" s="6"/>
      <c r="H40626" s="13"/>
    </row>
    <row r="40627">
      <c r="A40627" s="6"/>
      <c r="B40627" s="6"/>
      <c r="H40627" s="13"/>
    </row>
    <row r="40628">
      <c r="A40628" s="6"/>
      <c r="B40628" s="6"/>
      <c r="H40628" s="13"/>
    </row>
    <row r="40629">
      <c r="A40629" s="6"/>
      <c r="B40629" s="6"/>
      <c r="H40629" s="13"/>
    </row>
    <row r="40630">
      <c r="A40630" s="6"/>
      <c r="B40630" s="6"/>
      <c r="H40630" s="13"/>
    </row>
    <row r="40631">
      <c r="A40631" s="6"/>
      <c r="B40631" s="6"/>
      <c r="H40631" s="13"/>
    </row>
    <row r="40632">
      <c r="A40632" s="6"/>
      <c r="B40632" s="6"/>
      <c r="H40632" s="13"/>
    </row>
    <row r="40633">
      <c r="A40633" s="6"/>
      <c r="B40633" s="6"/>
      <c r="H40633" s="13"/>
    </row>
    <row r="40634">
      <c r="A40634" s="6"/>
      <c r="B40634" s="6"/>
      <c r="H40634" s="13"/>
    </row>
    <row r="40635">
      <c r="A40635" s="6"/>
      <c r="B40635" s="6"/>
      <c r="H40635" s="13"/>
    </row>
    <row r="40636">
      <c r="A40636" s="6"/>
      <c r="B40636" s="6"/>
      <c r="H40636" s="13"/>
    </row>
    <row r="40637">
      <c r="A40637" s="6"/>
      <c r="B40637" s="6"/>
      <c r="H40637" s="13"/>
    </row>
    <row r="40638">
      <c r="A40638" s="6"/>
      <c r="B40638" s="6"/>
      <c r="H40638" s="13"/>
    </row>
    <row r="40639">
      <c r="A40639" s="6"/>
      <c r="B40639" s="6"/>
      <c r="H40639" s="13"/>
    </row>
    <row r="40640">
      <c r="A40640" s="6"/>
      <c r="B40640" s="6"/>
      <c r="H40640" s="13"/>
    </row>
    <row r="40641">
      <c r="A40641" s="6"/>
      <c r="B40641" s="6"/>
      <c r="H40641" s="13"/>
    </row>
    <row r="40642">
      <c r="A40642" s="6"/>
      <c r="B40642" s="6"/>
      <c r="H40642" s="13"/>
    </row>
    <row r="40643">
      <c r="A40643" s="6"/>
      <c r="B40643" s="6"/>
      <c r="H40643" s="13"/>
    </row>
    <row r="40644">
      <c r="A40644" s="6"/>
      <c r="B40644" s="6"/>
      <c r="H40644" s="13"/>
    </row>
    <row r="40645">
      <c r="A40645" s="6"/>
      <c r="B40645" s="6"/>
      <c r="H40645" s="13"/>
    </row>
    <row r="40646">
      <c r="A40646" s="6"/>
      <c r="B40646" s="6"/>
      <c r="H40646" s="13"/>
    </row>
    <row r="40647">
      <c r="A40647" s="6"/>
      <c r="B40647" s="6"/>
      <c r="H40647" s="13"/>
    </row>
    <row r="40648">
      <c r="A40648" s="6"/>
      <c r="B40648" s="6"/>
      <c r="H40648" s="13"/>
    </row>
    <row r="40649">
      <c r="A40649" s="6"/>
      <c r="B40649" s="6"/>
      <c r="H40649" s="13"/>
    </row>
    <row r="40650">
      <c r="A40650" s="6"/>
      <c r="B40650" s="6"/>
      <c r="H40650" s="13"/>
    </row>
    <row r="40651">
      <c r="A40651" s="6"/>
      <c r="B40651" s="6"/>
      <c r="H40651" s="13"/>
    </row>
    <row r="40652">
      <c r="A40652" s="6"/>
      <c r="B40652" s="6"/>
      <c r="H40652" s="13"/>
    </row>
    <row r="40653">
      <c r="A40653" s="6"/>
      <c r="B40653" s="6"/>
      <c r="H40653" s="13"/>
    </row>
    <row r="40654">
      <c r="A40654" s="6"/>
      <c r="B40654" s="6"/>
      <c r="H40654" s="13"/>
    </row>
    <row r="40655">
      <c r="A40655" s="6"/>
      <c r="B40655" s="6"/>
      <c r="H40655" s="13"/>
    </row>
    <row r="40656">
      <c r="A40656" s="6"/>
      <c r="B40656" s="6"/>
      <c r="H40656" s="13"/>
    </row>
    <row r="40657">
      <c r="A40657" s="6"/>
      <c r="B40657" s="6"/>
      <c r="H40657" s="13"/>
    </row>
    <row r="40658">
      <c r="A40658" s="6"/>
      <c r="B40658" s="6"/>
      <c r="H40658" s="13"/>
    </row>
    <row r="40659">
      <c r="A40659" s="6"/>
      <c r="B40659" s="6"/>
      <c r="H40659" s="13"/>
    </row>
    <row r="40660">
      <c r="A40660" s="6"/>
      <c r="B40660" s="6"/>
      <c r="H40660" s="13"/>
    </row>
    <row r="40661">
      <c r="A40661" s="6"/>
      <c r="B40661" s="6"/>
      <c r="H40661" s="13"/>
    </row>
    <row r="40662">
      <c r="A40662" s="6"/>
      <c r="B40662" s="6"/>
      <c r="H40662" s="13"/>
    </row>
    <row r="40663">
      <c r="A40663" s="6"/>
      <c r="B40663" s="6"/>
      <c r="H40663" s="13"/>
    </row>
    <row r="40664">
      <c r="A40664" s="6"/>
      <c r="B40664" s="6"/>
      <c r="H40664" s="13"/>
    </row>
    <row r="40665">
      <c r="A40665" s="6"/>
      <c r="B40665" s="6"/>
      <c r="H40665" s="13"/>
    </row>
    <row r="40666">
      <c r="A40666" s="6"/>
      <c r="B40666" s="6"/>
      <c r="H40666" s="13"/>
    </row>
    <row r="40667">
      <c r="A40667" s="6"/>
      <c r="B40667" s="6"/>
      <c r="H40667" s="13"/>
    </row>
    <row r="40668">
      <c r="A40668" s="6"/>
      <c r="B40668" s="6"/>
      <c r="H40668" s="13"/>
    </row>
    <row r="40669">
      <c r="A40669" s="6"/>
      <c r="B40669" s="6"/>
      <c r="H40669" s="13"/>
    </row>
    <row r="40670">
      <c r="A40670" s="6"/>
      <c r="B40670" s="6"/>
      <c r="H40670" s="13"/>
    </row>
    <row r="40671">
      <c r="A40671" s="6"/>
      <c r="B40671" s="6"/>
      <c r="H40671" s="13"/>
    </row>
    <row r="40672">
      <c r="A40672" s="6"/>
      <c r="B40672" s="6"/>
      <c r="H40672" s="13"/>
    </row>
    <row r="40673">
      <c r="A40673" s="6"/>
      <c r="B40673" s="6"/>
      <c r="H40673" s="13"/>
    </row>
    <row r="40674">
      <c r="A40674" s="6"/>
      <c r="B40674" s="6"/>
      <c r="H40674" s="13"/>
    </row>
    <row r="40675">
      <c r="A40675" s="6"/>
      <c r="B40675" s="6"/>
      <c r="H40675" s="13"/>
    </row>
    <row r="40676">
      <c r="A40676" s="6"/>
      <c r="B40676" s="6"/>
      <c r="H40676" s="13"/>
    </row>
    <row r="40677">
      <c r="A40677" s="6"/>
      <c r="B40677" s="6"/>
      <c r="H40677" s="13"/>
    </row>
    <row r="40678">
      <c r="A40678" s="6"/>
      <c r="B40678" s="6"/>
      <c r="H40678" s="13"/>
    </row>
    <row r="40679">
      <c r="A40679" s="6"/>
      <c r="B40679" s="6"/>
      <c r="H40679" s="13"/>
    </row>
    <row r="40680">
      <c r="A40680" s="6"/>
      <c r="B40680" s="6"/>
      <c r="H40680" s="13"/>
    </row>
    <row r="40681">
      <c r="A40681" s="6"/>
      <c r="B40681" s="6"/>
      <c r="H40681" s="13"/>
    </row>
    <row r="40682">
      <c r="A40682" s="6"/>
      <c r="B40682" s="6"/>
      <c r="H40682" s="13"/>
    </row>
    <row r="40683">
      <c r="A40683" s="6"/>
      <c r="B40683" s="6"/>
      <c r="H40683" s="13"/>
    </row>
    <row r="40684">
      <c r="A40684" s="6"/>
      <c r="B40684" s="6"/>
      <c r="H40684" s="13"/>
    </row>
    <row r="40685">
      <c r="A40685" s="6"/>
      <c r="B40685" s="6"/>
      <c r="H40685" s="13"/>
    </row>
    <row r="40686">
      <c r="A40686" s="6"/>
      <c r="B40686" s="6"/>
      <c r="H40686" s="13"/>
    </row>
    <row r="40687">
      <c r="A40687" s="6"/>
      <c r="B40687" s="6"/>
      <c r="H40687" s="13"/>
    </row>
    <row r="40688">
      <c r="A40688" s="6"/>
      <c r="B40688" s="6"/>
      <c r="H40688" s="13"/>
    </row>
    <row r="40689">
      <c r="A40689" s="6"/>
      <c r="B40689" s="6"/>
      <c r="H40689" s="13"/>
    </row>
    <row r="40690">
      <c r="A40690" s="6"/>
      <c r="B40690" s="6"/>
      <c r="H40690" s="13"/>
    </row>
    <row r="40691">
      <c r="A40691" s="6"/>
      <c r="B40691" s="6"/>
      <c r="H40691" s="13"/>
    </row>
    <row r="40692">
      <c r="A40692" s="6"/>
      <c r="B40692" s="6"/>
      <c r="H40692" s="13"/>
    </row>
    <row r="40693">
      <c r="A40693" s="6"/>
      <c r="B40693" s="6"/>
      <c r="H40693" s="13"/>
    </row>
    <row r="40694">
      <c r="A40694" s="6"/>
      <c r="B40694" s="6"/>
      <c r="H40694" s="13"/>
    </row>
    <row r="40695">
      <c r="A40695" s="6"/>
      <c r="B40695" s="6"/>
      <c r="H40695" s="13"/>
    </row>
    <row r="40696">
      <c r="A40696" s="6"/>
      <c r="B40696" s="6"/>
      <c r="H40696" s="13"/>
    </row>
    <row r="40697">
      <c r="A40697" s="6"/>
      <c r="B40697" s="6"/>
      <c r="H40697" s="13"/>
    </row>
    <row r="40698">
      <c r="A40698" s="6"/>
      <c r="B40698" s="6"/>
      <c r="H40698" s="13"/>
    </row>
    <row r="40699">
      <c r="A40699" s="6"/>
      <c r="B40699" s="6"/>
      <c r="H40699" s="13"/>
    </row>
    <row r="40700">
      <c r="A40700" s="6"/>
      <c r="B40700" s="6"/>
      <c r="H40700" s="13"/>
    </row>
    <row r="40701">
      <c r="A40701" s="6"/>
      <c r="B40701" s="6"/>
      <c r="H40701" s="13"/>
    </row>
    <row r="40702">
      <c r="A40702" s="6"/>
      <c r="B40702" s="6"/>
      <c r="H40702" s="13"/>
    </row>
    <row r="40703">
      <c r="A40703" s="6"/>
      <c r="B40703" s="6"/>
      <c r="H40703" s="13"/>
    </row>
    <row r="40704">
      <c r="A40704" s="6"/>
      <c r="B40704" s="6"/>
      <c r="H40704" s="13"/>
    </row>
    <row r="40705">
      <c r="A40705" s="6"/>
      <c r="B40705" s="6"/>
      <c r="H40705" s="13"/>
    </row>
    <row r="40706">
      <c r="A40706" s="6"/>
      <c r="B40706" s="6"/>
      <c r="H40706" s="13"/>
    </row>
    <row r="40707">
      <c r="A40707" s="6"/>
      <c r="B40707" s="6"/>
      <c r="H40707" s="13"/>
    </row>
    <row r="40708">
      <c r="A40708" s="6"/>
      <c r="B40708" s="6"/>
      <c r="H40708" s="13"/>
    </row>
    <row r="40709">
      <c r="A40709" s="6"/>
      <c r="B40709" s="6"/>
      <c r="H40709" s="13"/>
    </row>
    <row r="40710">
      <c r="A40710" s="6"/>
      <c r="B40710" s="6"/>
      <c r="H40710" s="13"/>
    </row>
    <row r="40711">
      <c r="A40711" s="6"/>
      <c r="B40711" s="6"/>
      <c r="H40711" s="13"/>
    </row>
    <row r="40712">
      <c r="A40712" s="6"/>
      <c r="B40712" s="6"/>
      <c r="H40712" s="13"/>
    </row>
    <row r="40713">
      <c r="A40713" s="6"/>
      <c r="B40713" s="6"/>
      <c r="H40713" s="13"/>
    </row>
    <row r="40714">
      <c r="A40714" s="6"/>
      <c r="B40714" s="6"/>
      <c r="H40714" s="13"/>
    </row>
    <row r="40715">
      <c r="A40715" s="6"/>
      <c r="B40715" s="6"/>
      <c r="H40715" s="13"/>
    </row>
    <row r="40716">
      <c r="A40716" s="6"/>
      <c r="B40716" s="6"/>
      <c r="H40716" s="13"/>
    </row>
    <row r="40717">
      <c r="A40717" s="6"/>
      <c r="B40717" s="6"/>
      <c r="H40717" s="13"/>
    </row>
    <row r="40718">
      <c r="A40718" s="6"/>
      <c r="B40718" s="6"/>
      <c r="H40718" s="13"/>
    </row>
    <row r="40719">
      <c r="A40719" s="6"/>
      <c r="B40719" s="6"/>
      <c r="H40719" s="13"/>
    </row>
    <row r="40720">
      <c r="A40720" s="6"/>
      <c r="B40720" s="6"/>
      <c r="H40720" s="13"/>
    </row>
    <row r="40721">
      <c r="A40721" s="6"/>
      <c r="B40721" s="6"/>
      <c r="H40721" s="13"/>
    </row>
    <row r="40722">
      <c r="A40722" s="6"/>
      <c r="B40722" s="6"/>
      <c r="H40722" s="13"/>
    </row>
    <row r="40723">
      <c r="A40723" s="6"/>
      <c r="B40723" s="6"/>
      <c r="H40723" s="13"/>
    </row>
    <row r="40724">
      <c r="A40724" s="6"/>
      <c r="B40724" s="6"/>
      <c r="H40724" s="13"/>
    </row>
    <row r="40725">
      <c r="A40725" s="6"/>
      <c r="B40725" s="6"/>
      <c r="H40725" s="13"/>
    </row>
    <row r="40726">
      <c r="A40726" s="6"/>
      <c r="B40726" s="6"/>
      <c r="H40726" s="13"/>
    </row>
    <row r="40727">
      <c r="A40727" s="6"/>
      <c r="B40727" s="6"/>
      <c r="H40727" s="13"/>
    </row>
    <row r="40728">
      <c r="A40728" s="6"/>
      <c r="B40728" s="6"/>
      <c r="H40728" s="13"/>
    </row>
    <row r="40729">
      <c r="A40729" s="6"/>
      <c r="B40729" s="6"/>
      <c r="H40729" s="13"/>
    </row>
    <row r="40730">
      <c r="A40730" s="6"/>
      <c r="B40730" s="6"/>
      <c r="H40730" s="13"/>
    </row>
    <row r="40731">
      <c r="A40731" s="6"/>
      <c r="B40731" s="6"/>
      <c r="H40731" s="13"/>
    </row>
    <row r="40732">
      <c r="A40732" s="6"/>
      <c r="B40732" s="6"/>
      <c r="H40732" s="13"/>
    </row>
    <row r="40733">
      <c r="A40733" s="6"/>
      <c r="B40733" s="6"/>
      <c r="H40733" s="13"/>
    </row>
    <row r="40734">
      <c r="A40734" s="6"/>
      <c r="B40734" s="6"/>
      <c r="H40734" s="13"/>
    </row>
    <row r="40735">
      <c r="A40735" s="6"/>
      <c r="B40735" s="6"/>
      <c r="H40735" s="13"/>
    </row>
    <row r="40736">
      <c r="A40736" s="6"/>
      <c r="B40736" s="6"/>
      <c r="H40736" s="13"/>
    </row>
    <row r="40737">
      <c r="A40737" s="6"/>
      <c r="B40737" s="6"/>
      <c r="H40737" s="13"/>
    </row>
    <row r="40738">
      <c r="A40738" s="6"/>
      <c r="B40738" s="6"/>
      <c r="H40738" s="13"/>
    </row>
    <row r="40739">
      <c r="A40739" s="6"/>
      <c r="B40739" s="6"/>
      <c r="H40739" s="13"/>
    </row>
    <row r="40740">
      <c r="A40740" s="6"/>
      <c r="B40740" s="6"/>
      <c r="H40740" s="13"/>
    </row>
    <row r="40741">
      <c r="A40741" s="6"/>
      <c r="B40741" s="6"/>
      <c r="H40741" s="13"/>
    </row>
    <row r="40742">
      <c r="A40742" s="6"/>
      <c r="B40742" s="6"/>
      <c r="H40742" s="13"/>
    </row>
    <row r="40743">
      <c r="A40743" s="6"/>
      <c r="B40743" s="6"/>
      <c r="H40743" s="13"/>
    </row>
    <row r="40744">
      <c r="A40744" s="6"/>
      <c r="B40744" s="6"/>
      <c r="H40744" s="13"/>
    </row>
    <row r="40745">
      <c r="A40745" s="6"/>
      <c r="B40745" s="6"/>
      <c r="H40745" s="13"/>
    </row>
    <row r="40746">
      <c r="A40746" s="6"/>
      <c r="B40746" s="6"/>
      <c r="H40746" s="13"/>
    </row>
    <row r="40747">
      <c r="A40747" s="6"/>
      <c r="B40747" s="6"/>
      <c r="H40747" s="13"/>
    </row>
    <row r="40748">
      <c r="A40748" s="6"/>
      <c r="B40748" s="6"/>
      <c r="H40748" s="13"/>
    </row>
    <row r="40749">
      <c r="A40749" s="6"/>
      <c r="B40749" s="6"/>
      <c r="H40749" s="13"/>
    </row>
    <row r="40750">
      <c r="A40750" s="6"/>
      <c r="B40750" s="6"/>
      <c r="H40750" s="13"/>
    </row>
    <row r="40751">
      <c r="A40751" s="6"/>
      <c r="B40751" s="6"/>
      <c r="H40751" s="13"/>
    </row>
    <row r="40752">
      <c r="A40752" s="6"/>
      <c r="B40752" s="6"/>
      <c r="H40752" s="13"/>
    </row>
    <row r="40753">
      <c r="A40753" s="6"/>
      <c r="B40753" s="6"/>
      <c r="H40753" s="13"/>
    </row>
    <row r="40754">
      <c r="A40754" s="6"/>
      <c r="B40754" s="6"/>
      <c r="H40754" s="13"/>
    </row>
    <row r="40755">
      <c r="A40755" s="6"/>
      <c r="B40755" s="6"/>
      <c r="H40755" s="13"/>
    </row>
    <row r="40756">
      <c r="A40756" s="6"/>
      <c r="B40756" s="6"/>
      <c r="H40756" s="13"/>
    </row>
    <row r="40757">
      <c r="A40757" s="6"/>
      <c r="B40757" s="6"/>
      <c r="H40757" s="13"/>
    </row>
    <row r="40758">
      <c r="A40758" s="6"/>
      <c r="B40758" s="6"/>
      <c r="H40758" s="13"/>
    </row>
    <row r="40759">
      <c r="A40759" s="6"/>
      <c r="B40759" s="6"/>
      <c r="H40759" s="13"/>
    </row>
    <row r="40760">
      <c r="A40760" s="6"/>
      <c r="B40760" s="6"/>
      <c r="H40760" s="13"/>
    </row>
    <row r="40761">
      <c r="A40761" s="6"/>
      <c r="B40761" s="6"/>
      <c r="H40761" s="13"/>
    </row>
    <row r="40762">
      <c r="A40762" s="6"/>
      <c r="B40762" s="6"/>
      <c r="H40762" s="13"/>
    </row>
    <row r="40763">
      <c r="A40763" s="6"/>
      <c r="B40763" s="6"/>
      <c r="H40763" s="13"/>
    </row>
    <row r="40764">
      <c r="A40764" s="6"/>
      <c r="B40764" s="6"/>
      <c r="H40764" s="13"/>
    </row>
    <row r="40765">
      <c r="A40765" s="6"/>
      <c r="B40765" s="6"/>
      <c r="H40765" s="13"/>
    </row>
    <row r="40766">
      <c r="A40766" s="6"/>
      <c r="B40766" s="6"/>
      <c r="H40766" s="13"/>
    </row>
    <row r="40767">
      <c r="A40767" s="6"/>
      <c r="B40767" s="6"/>
      <c r="H40767" s="13"/>
    </row>
    <row r="40768">
      <c r="A40768" s="6"/>
      <c r="B40768" s="6"/>
      <c r="H40768" s="13"/>
    </row>
    <row r="40769">
      <c r="A40769" s="6"/>
      <c r="B40769" s="6"/>
      <c r="H40769" s="13"/>
    </row>
    <row r="40770">
      <c r="A40770" s="6"/>
      <c r="B40770" s="6"/>
      <c r="H40770" s="13"/>
    </row>
    <row r="40771">
      <c r="A40771" s="6"/>
      <c r="B40771" s="6"/>
      <c r="H40771" s="13"/>
    </row>
    <row r="40772">
      <c r="A40772" s="6"/>
      <c r="B40772" s="6"/>
      <c r="H40772" s="13"/>
    </row>
    <row r="40773">
      <c r="A40773" s="6"/>
      <c r="B40773" s="6"/>
      <c r="H40773" s="13"/>
    </row>
    <row r="40774">
      <c r="A40774" s="6"/>
      <c r="B40774" s="6"/>
      <c r="H40774" s="13"/>
    </row>
    <row r="40775">
      <c r="A40775" s="6"/>
      <c r="B40775" s="6"/>
      <c r="H40775" s="13"/>
    </row>
    <row r="40776">
      <c r="A40776" s="6"/>
      <c r="B40776" s="6"/>
      <c r="H40776" s="13"/>
    </row>
    <row r="40777">
      <c r="A40777" s="6"/>
      <c r="B40777" s="6"/>
      <c r="H40777" s="13"/>
    </row>
    <row r="40778">
      <c r="A40778" s="6"/>
      <c r="B40778" s="6"/>
      <c r="H40778" s="13"/>
    </row>
    <row r="40779">
      <c r="A40779" s="6"/>
      <c r="B40779" s="6"/>
      <c r="H40779" s="13"/>
    </row>
    <row r="40780">
      <c r="A40780" s="6"/>
      <c r="B40780" s="6"/>
      <c r="H40780" s="13"/>
    </row>
    <row r="40781">
      <c r="A40781" s="6"/>
      <c r="B40781" s="6"/>
      <c r="H40781" s="13"/>
    </row>
    <row r="40782">
      <c r="A40782" s="6"/>
      <c r="B40782" s="6"/>
      <c r="H40782" s="13"/>
    </row>
    <row r="40783">
      <c r="A40783" s="6"/>
      <c r="B40783" s="6"/>
      <c r="H40783" s="13"/>
    </row>
    <row r="40784">
      <c r="A40784" s="6"/>
      <c r="B40784" s="6"/>
      <c r="H40784" s="13"/>
    </row>
    <row r="40785">
      <c r="A40785" s="6"/>
      <c r="B40785" s="6"/>
      <c r="H40785" s="13"/>
    </row>
    <row r="40786">
      <c r="A40786" s="6"/>
      <c r="B40786" s="6"/>
      <c r="H40786" s="13"/>
    </row>
    <row r="40787">
      <c r="A40787" s="6"/>
      <c r="B40787" s="6"/>
      <c r="H40787" s="13"/>
    </row>
    <row r="40788">
      <c r="A40788" s="6"/>
      <c r="B40788" s="6"/>
      <c r="H40788" s="13"/>
    </row>
    <row r="40789">
      <c r="A40789" s="6"/>
      <c r="B40789" s="6"/>
      <c r="H40789" s="13"/>
    </row>
    <row r="40790">
      <c r="A40790" s="6"/>
      <c r="B40790" s="6"/>
      <c r="H40790" s="13"/>
    </row>
    <row r="40791">
      <c r="A40791" s="6"/>
      <c r="B40791" s="6"/>
      <c r="H40791" s="13"/>
    </row>
    <row r="40792">
      <c r="A40792" s="6"/>
      <c r="B40792" s="6"/>
      <c r="H40792" s="13"/>
    </row>
    <row r="40793">
      <c r="A40793" s="6"/>
      <c r="B40793" s="6"/>
      <c r="H40793" s="13"/>
    </row>
    <row r="40794">
      <c r="A40794" s="6"/>
      <c r="B40794" s="6"/>
      <c r="H40794" s="13"/>
    </row>
    <row r="40795">
      <c r="A40795" s="6"/>
      <c r="B40795" s="6"/>
      <c r="H40795" s="13"/>
    </row>
    <row r="40796">
      <c r="A40796" s="6"/>
      <c r="B40796" s="6"/>
      <c r="H40796" s="13"/>
    </row>
    <row r="40797">
      <c r="A40797" s="6"/>
      <c r="B40797" s="6"/>
      <c r="H40797" s="13"/>
    </row>
    <row r="40798">
      <c r="A40798" s="6"/>
      <c r="B40798" s="6"/>
      <c r="H40798" s="13"/>
    </row>
    <row r="40799">
      <c r="A40799" s="6"/>
      <c r="B40799" s="6"/>
      <c r="H40799" s="13"/>
    </row>
    <row r="40800">
      <c r="A40800" s="6"/>
      <c r="B40800" s="6"/>
      <c r="H40800" s="13"/>
    </row>
    <row r="40801">
      <c r="A40801" s="6"/>
      <c r="B40801" s="6"/>
      <c r="H40801" s="13"/>
    </row>
    <row r="40802">
      <c r="A40802" s="6"/>
      <c r="B40802" s="6"/>
      <c r="H40802" s="13"/>
    </row>
    <row r="40803">
      <c r="A40803" s="6"/>
      <c r="B40803" s="6"/>
      <c r="H40803" s="13"/>
    </row>
    <row r="40804">
      <c r="A40804" s="6"/>
      <c r="B40804" s="6"/>
      <c r="H40804" s="13"/>
    </row>
    <row r="40805">
      <c r="A40805" s="6"/>
      <c r="B40805" s="6"/>
      <c r="H40805" s="13"/>
    </row>
    <row r="40806">
      <c r="A40806" s="6"/>
      <c r="B40806" s="6"/>
      <c r="H40806" s="13"/>
    </row>
    <row r="40807">
      <c r="A40807" s="6"/>
      <c r="B40807" s="6"/>
      <c r="H40807" s="13"/>
    </row>
    <row r="40808">
      <c r="A40808" s="6"/>
      <c r="B40808" s="6"/>
      <c r="H40808" s="13"/>
    </row>
    <row r="40809">
      <c r="A40809" s="6"/>
      <c r="B40809" s="6"/>
      <c r="H40809" s="13"/>
    </row>
    <row r="40810">
      <c r="A40810" s="6"/>
      <c r="B40810" s="6"/>
      <c r="H40810" s="13"/>
    </row>
    <row r="40811">
      <c r="A40811" s="6"/>
      <c r="B40811" s="6"/>
      <c r="H40811" s="13"/>
    </row>
    <row r="40812">
      <c r="A40812" s="6"/>
      <c r="B40812" s="6"/>
      <c r="H40812" s="13"/>
    </row>
    <row r="40813">
      <c r="A40813" s="6"/>
      <c r="B40813" s="6"/>
      <c r="H40813" s="13"/>
    </row>
    <row r="40814">
      <c r="A40814" s="6"/>
      <c r="B40814" s="6"/>
      <c r="H40814" s="13"/>
    </row>
    <row r="40815">
      <c r="A40815" s="6"/>
      <c r="B40815" s="6"/>
      <c r="H40815" s="13"/>
    </row>
    <row r="40816">
      <c r="A40816" s="6"/>
      <c r="B40816" s="6"/>
      <c r="H40816" s="13"/>
    </row>
    <row r="40817">
      <c r="A40817" s="6"/>
      <c r="B40817" s="6"/>
      <c r="H40817" s="13"/>
    </row>
    <row r="40818">
      <c r="A40818" s="6"/>
      <c r="B40818" s="6"/>
      <c r="H40818" s="13"/>
    </row>
    <row r="40819">
      <c r="A40819" s="6"/>
      <c r="B40819" s="6"/>
      <c r="H40819" s="13"/>
    </row>
    <row r="40820">
      <c r="A40820" s="6"/>
      <c r="B40820" s="6"/>
      <c r="H40820" s="13"/>
    </row>
    <row r="40821">
      <c r="A40821" s="6"/>
      <c r="B40821" s="6"/>
      <c r="H40821" s="13"/>
    </row>
    <row r="40822">
      <c r="A40822" s="6"/>
      <c r="B40822" s="6"/>
      <c r="H40822" s="13"/>
    </row>
    <row r="40823">
      <c r="A40823" s="6"/>
      <c r="B40823" s="6"/>
      <c r="H40823" s="13"/>
    </row>
    <row r="40824">
      <c r="A40824" s="6"/>
      <c r="B40824" s="6"/>
      <c r="H40824" s="13"/>
    </row>
    <row r="40825">
      <c r="A40825" s="6"/>
      <c r="B40825" s="6"/>
      <c r="H40825" s="13"/>
    </row>
    <row r="40826">
      <c r="A40826" s="6"/>
      <c r="B40826" s="6"/>
      <c r="H40826" s="13"/>
    </row>
    <row r="40827">
      <c r="A40827" s="6"/>
      <c r="B40827" s="6"/>
      <c r="H40827" s="13"/>
    </row>
    <row r="40828">
      <c r="A40828" s="6"/>
      <c r="B40828" s="6"/>
      <c r="H40828" s="13"/>
    </row>
    <row r="40829">
      <c r="A40829" s="6"/>
      <c r="B40829" s="6"/>
      <c r="H40829" s="13"/>
    </row>
    <row r="40830">
      <c r="A40830" s="6"/>
      <c r="B40830" s="6"/>
      <c r="H40830" s="13"/>
    </row>
    <row r="40831">
      <c r="A40831" s="6"/>
      <c r="B40831" s="6"/>
      <c r="H40831" s="13"/>
    </row>
    <row r="40832">
      <c r="A40832" s="6"/>
      <c r="B40832" s="6"/>
      <c r="H40832" s="13"/>
    </row>
    <row r="40833">
      <c r="A40833" s="6"/>
      <c r="B40833" s="6"/>
      <c r="H40833" s="13"/>
    </row>
    <row r="40834">
      <c r="A40834" s="6"/>
      <c r="B40834" s="6"/>
      <c r="H40834" s="13"/>
    </row>
    <row r="40835">
      <c r="A40835" s="6"/>
      <c r="B40835" s="6"/>
      <c r="H40835" s="13"/>
    </row>
    <row r="40836">
      <c r="A40836" s="6"/>
      <c r="B40836" s="6"/>
      <c r="H40836" s="13"/>
    </row>
    <row r="40837">
      <c r="A40837" s="6"/>
      <c r="B40837" s="6"/>
      <c r="H40837" s="13"/>
    </row>
    <row r="40838">
      <c r="A40838" s="6"/>
      <c r="B40838" s="6"/>
      <c r="H40838" s="13"/>
    </row>
    <row r="40839">
      <c r="A40839" s="6"/>
      <c r="B40839" s="6"/>
      <c r="H40839" s="13"/>
    </row>
    <row r="40840">
      <c r="A40840" s="6"/>
      <c r="B40840" s="6"/>
      <c r="H40840" s="13"/>
    </row>
    <row r="40841">
      <c r="A40841" s="6"/>
      <c r="B40841" s="6"/>
      <c r="H40841" s="13"/>
    </row>
    <row r="40842">
      <c r="A40842" s="6"/>
      <c r="B40842" s="6"/>
      <c r="H40842" s="13"/>
    </row>
    <row r="40843">
      <c r="A40843" s="6"/>
      <c r="B40843" s="6"/>
      <c r="H40843" s="13"/>
    </row>
    <row r="40844">
      <c r="A40844" s="6"/>
      <c r="B40844" s="6"/>
      <c r="H40844" s="13"/>
    </row>
    <row r="40845">
      <c r="A40845" s="6"/>
      <c r="B40845" s="6"/>
      <c r="H40845" s="13"/>
    </row>
    <row r="40846">
      <c r="A40846" s="6"/>
      <c r="B40846" s="6"/>
      <c r="H40846" s="13"/>
    </row>
    <row r="40847">
      <c r="A40847" s="6"/>
      <c r="B40847" s="6"/>
      <c r="H40847" s="13"/>
    </row>
    <row r="40848">
      <c r="A40848" s="6"/>
      <c r="B40848" s="6"/>
      <c r="H40848" s="13"/>
    </row>
    <row r="40849">
      <c r="A40849" s="6"/>
      <c r="B40849" s="6"/>
      <c r="H40849" s="13"/>
    </row>
    <row r="40850">
      <c r="A40850" s="6"/>
      <c r="B40850" s="6"/>
      <c r="H40850" s="13"/>
    </row>
    <row r="40851">
      <c r="A40851" s="6"/>
      <c r="B40851" s="6"/>
      <c r="H40851" s="13"/>
    </row>
    <row r="40852">
      <c r="A40852" s="6"/>
      <c r="B40852" s="6"/>
      <c r="H40852" s="13"/>
    </row>
    <row r="40853">
      <c r="A40853" s="6"/>
      <c r="B40853" s="6"/>
      <c r="H40853" s="13"/>
    </row>
    <row r="40854">
      <c r="A40854" s="6"/>
      <c r="B40854" s="6"/>
      <c r="H40854" s="13"/>
    </row>
    <row r="40855">
      <c r="A40855" s="6"/>
      <c r="B40855" s="6"/>
      <c r="H40855" s="13"/>
    </row>
    <row r="40856">
      <c r="A40856" s="6"/>
      <c r="B40856" s="6"/>
      <c r="H40856" s="13"/>
    </row>
    <row r="40857">
      <c r="A40857" s="6"/>
      <c r="B40857" s="6"/>
      <c r="H40857" s="13"/>
    </row>
    <row r="40858">
      <c r="A40858" s="6"/>
      <c r="B40858" s="6"/>
      <c r="H40858" s="13"/>
    </row>
    <row r="40859">
      <c r="A40859" s="6"/>
      <c r="B40859" s="6"/>
      <c r="H40859" s="13"/>
    </row>
    <row r="40860">
      <c r="A40860" s="6"/>
      <c r="B40860" s="6"/>
      <c r="H40860" s="13"/>
    </row>
    <row r="40861">
      <c r="A40861" s="6"/>
      <c r="B40861" s="6"/>
      <c r="H40861" s="13"/>
    </row>
    <row r="40862">
      <c r="A40862" s="6"/>
      <c r="B40862" s="6"/>
      <c r="H40862" s="13"/>
    </row>
    <row r="40863">
      <c r="A40863" s="6"/>
      <c r="B40863" s="6"/>
      <c r="H40863" s="13"/>
    </row>
    <row r="40864">
      <c r="A40864" s="6"/>
      <c r="B40864" s="6"/>
      <c r="H40864" s="13"/>
    </row>
    <row r="40865">
      <c r="A40865" s="6"/>
      <c r="B40865" s="6"/>
      <c r="H40865" s="13"/>
    </row>
    <row r="40866">
      <c r="A40866" s="6"/>
      <c r="B40866" s="6"/>
      <c r="H40866" s="13"/>
    </row>
    <row r="40867">
      <c r="A40867" s="6"/>
      <c r="B40867" s="6"/>
      <c r="H40867" s="13"/>
    </row>
    <row r="40868">
      <c r="A40868" s="6"/>
      <c r="B40868" s="6"/>
      <c r="H40868" s="13"/>
    </row>
    <row r="40869">
      <c r="A40869" s="6"/>
      <c r="B40869" s="6"/>
      <c r="H40869" s="13"/>
    </row>
    <row r="40870">
      <c r="A40870" s="6"/>
      <c r="B40870" s="6"/>
      <c r="H40870" s="13"/>
    </row>
    <row r="40871">
      <c r="A40871" s="6"/>
      <c r="B40871" s="6"/>
      <c r="H40871" s="13"/>
    </row>
    <row r="40872">
      <c r="A40872" s="6"/>
      <c r="B40872" s="6"/>
      <c r="H40872" s="13"/>
    </row>
    <row r="40873">
      <c r="A40873" s="6"/>
      <c r="B40873" s="6"/>
      <c r="H40873" s="13"/>
    </row>
    <row r="40874">
      <c r="A40874" s="6"/>
      <c r="B40874" s="6"/>
      <c r="H40874" s="13"/>
    </row>
    <row r="40875">
      <c r="A40875" s="6"/>
      <c r="B40875" s="6"/>
      <c r="H40875" s="13"/>
    </row>
    <row r="40876">
      <c r="A40876" s="6"/>
      <c r="B40876" s="6"/>
      <c r="H40876" s="13"/>
    </row>
    <row r="40877">
      <c r="A40877" s="6"/>
      <c r="B40877" s="6"/>
      <c r="H40877" s="13"/>
    </row>
    <row r="40878">
      <c r="A40878" s="6"/>
      <c r="B40878" s="6"/>
      <c r="H40878" s="13"/>
    </row>
    <row r="40879">
      <c r="A40879" s="6"/>
      <c r="B40879" s="6"/>
      <c r="H40879" s="13"/>
    </row>
    <row r="40880">
      <c r="A40880" s="6"/>
      <c r="B40880" s="6"/>
      <c r="H40880" s="13"/>
    </row>
    <row r="40881">
      <c r="A40881" s="6"/>
      <c r="B40881" s="6"/>
      <c r="H40881" s="13"/>
    </row>
    <row r="40882">
      <c r="A40882" s="6"/>
      <c r="B40882" s="6"/>
      <c r="H40882" s="13"/>
    </row>
    <row r="40883">
      <c r="A40883" s="6"/>
      <c r="B40883" s="6"/>
      <c r="H40883" s="13"/>
    </row>
    <row r="40884">
      <c r="A40884" s="6"/>
      <c r="B40884" s="6"/>
      <c r="H40884" s="13"/>
    </row>
    <row r="40885">
      <c r="A40885" s="6"/>
      <c r="B40885" s="6"/>
      <c r="H40885" s="13"/>
    </row>
    <row r="40886">
      <c r="A40886" s="6"/>
      <c r="B40886" s="6"/>
      <c r="H40886" s="13"/>
    </row>
    <row r="40887">
      <c r="A40887" s="6"/>
      <c r="B40887" s="6"/>
      <c r="H40887" s="13"/>
    </row>
    <row r="40888">
      <c r="A40888" s="6"/>
      <c r="B40888" s="6"/>
      <c r="H40888" s="13"/>
    </row>
    <row r="40889">
      <c r="A40889" s="6"/>
      <c r="B40889" s="6"/>
      <c r="H40889" s="13"/>
    </row>
    <row r="40890">
      <c r="A40890" s="6"/>
      <c r="B40890" s="6"/>
      <c r="H40890" s="13"/>
    </row>
    <row r="40891">
      <c r="A40891" s="6"/>
      <c r="B40891" s="6"/>
      <c r="H40891" s="13"/>
    </row>
    <row r="40892">
      <c r="A40892" s="6"/>
      <c r="B40892" s="6"/>
      <c r="H40892" s="13"/>
    </row>
    <row r="40893">
      <c r="A40893" s="6"/>
      <c r="B40893" s="6"/>
      <c r="H40893" s="13"/>
    </row>
    <row r="40894">
      <c r="A40894" s="6"/>
      <c r="B40894" s="6"/>
      <c r="H40894" s="13"/>
    </row>
    <row r="40895">
      <c r="A40895" s="6"/>
      <c r="B40895" s="6"/>
      <c r="H40895" s="13"/>
    </row>
    <row r="40896">
      <c r="A40896" s="6"/>
      <c r="B40896" s="6"/>
      <c r="H40896" s="13"/>
    </row>
    <row r="40897">
      <c r="A40897" s="6"/>
      <c r="B40897" s="6"/>
      <c r="H40897" s="13"/>
    </row>
    <row r="40898">
      <c r="A40898" s="6"/>
      <c r="B40898" s="6"/>
      <c r="H40898" s="13"/>
    </row>
    <row r="40899">
      <c r="A40899" s="6"/>
      <c r="B40899" s="6"/>
      <c r="H40899" s="13"/>
    </row>
    <row r="40900">
      <c r="A40900" s="6"/>
      <c r="B40900" s="6"/>
      <c r="H40900" s="13"/>
    </row>
    <row r="40901">
      <c r="A40901" s="6"/>
      <c r="B40901" s="6"/>
      <c r="H40901" s="13"/>
    </row>
    <row r="40902">
      <c r="A40902" s="6"/>
      <c r="B40902" s="6"/>
      <c r="H40902" s="13"/>
    </row>
    <row r="40903">
      <c r="A40903" s="6"/>
      <c r="B40903" s="6"/>
      <c r="H40903" s="13"/>
    </row>
    <row r="40904">
      <c r="A40904" s="6"/>
      <c r="B40904" s="6"/>
      <c r="H40904" s="13"/>
    </row>
    <row r="40905">
      <c r="A40905" s="6"/>
      <c r="B40905" s="6"/>
      <c r="H40905" s="13"/>
    </row>
    <row r="40906">
      <c r="A40906" s="6"/>
      <c r="B40906" s="6"/>
      <c r="H40906" s="13"/>
    </row>
    <row r="40907">
      <c r="A40907" s="6"/>
      <c r="B40907" s="6"/>
      <c r="H40907" s="13"/>
    </row>
    <row r="40908">
      <c r="A40908" s="6"/>
      <c r="B40908" s="6"/>
      <c r="H40908" s="13"/>
    </row>
    <row r="40909">
      <c r="A40909" s="6"/>
      <c r="B40909" s="6"/>
      <c r="H40909" s="13"/>
    </row>
    <row r="40910">
      <c r="A40910" s="6"/>
      <c r="B40910" s="6"/>
      <c r="H40910" s="13"/>
    </row>
    <row r="40911">
      <c r="A40911" s="6"/>
      <c r="B40911" s="6"/>
      <c r="H40911" s="13"/>
    </row>
    <row r="40912">
      <c r="A40912" s="6"/>
      <c r="B40912" s="6"/>
      <c r="H40912" s="13"/>
    </row>
    <row r="40913">
      <c r="A40913" s="6"/>
      <c r="B40913" s="6"/>
      <c r="H40913" s="13"/>
    </row>
    <row r="40914">
      <c r="A40914" s="6"/>
      <c r="B40914" s="6"/>
      <c r="H40914" s="13"/>
    </row>
    <row r="40915">
      <c r="A40915" s="6"/>
      <c r="B40915" s="6"/>
      <c r="H40915" s="13"/>
    </row>
    <row r="40916">
      <c r="A40916" s="6"/>
      <c r="B40916" s="6"/>
      <c r="H40916" s="13"/>
    </row>
    <row r="40917">
      <c r="A40917" s="6"/>
      <c r="B40917" s="6"/>
      <c r="H40917" s="13"/>
    </row>
    <row r="40918">
      <c r="A40918" s="6"/>
      <c r="B40918" s="6"/>
      <c r="H40918" s="13"/>
    </row>
    <row r="40919">
      <c r="A40919" s="6"/>
      <c r="B40919" s="6"/>
      <c r="H40919" s="13"/>
    </row>
    <row r="40920">
      <c r="A40920" s="6"/>
      <c r="B40920" s="6"/>
      <c r="H40920" s="13"/>
    </row>
    <row r="40921">
      <c r="A40921" s="6"/>
      <c r="B40921" s="6"/>
      <c r="H40921" s="13"/>
    </row>
    <row r="40922">
      <c r="A40922" s="6"/>
      <c r="B40922" s="6"/>
      <c r="H40922" s="13"/>
    </row>
    <row r="40923">
      <c r="A40923" s="6"/>
      <c r="B40923" s="6"/>
      <c r="H40923" s="13"/>
    </row>
    <row r="40924">
      <c r="A40924" s="6"/>
      <c r="B40924" s="6"/>
      <c r="H40924" s="13"/>
    </row>
    <row r="40925">
      <c r="A40925" s="6"/>
      <c r="B40925" s="6"/>
      <c r="H40925" s="13"/>
    </row>
    <row r="40926">
      <c r="A40926" s="6"/>
      <c r="B40926" s="6"/>
      <c r="H40926" s="13"/>
    </row>
    <row r="40927">
      <c r="A40927" s="6"/>
      <c r="B40927" s="6"/>
      <c r="H40927" s="13"/>
    </row>
    <row r="40928">
      <c r="A40928" s="6"/>
      <c r="B40928" s="6"/>
      <c r="H40928" s="13"/>
    </row>
    <row r="40929">
      <c r="A40929" s="6"/>
      <c r="B40929" s="6"/>
      <c r="H40929" s="13"/>
    </row>
    <row r="40930">
      <c r="A40930" s="6"/>
      <c r="B40930" s="6"/>
      <c r="H40930" s="13"/>
    </row>
    <row r="40931">
      <c r="A40931" s="6"/>
      <c r="B40931" s="6"/>
      <c r="H40931" s="13"/>
    </row>
    <row r="40932">
      <c r="A40932" s="6"/>
      <c r="B40932" s="6"/>
      <c r="H40932" s="13"/>
    </row>
    <row r="40933">
      <c r="A40933" s="6"/>
      <c r="B40933" s="6"/>
      <c r="H40933" s="13"/>
    </row>
    <row r="40934">
      <c r="A40934" s="6"/>
      <c r="B40934" s="6"/>
      <c r="H40934" s="13"/>
    </row>
    <row r="40935">
      <c r="A40935" s="6"/>
      <c r="B40935" s="6"/>
      <c r="H40935" s="13"/>
    </row>
    <row r="40936">
      <c r="A40936" s="6"/>
      <c r="B40936" s="6"/>
      <c r="H40936" s="13"/>
    </row>
    <row r="40937">
      <c r="A40937" s="6"/>
      <c r="B40937" s="6"/>
      <c r="H40937" s="13"/>
    </row>
    <row r="40938">
      <c r="A40938" s="6"/>
      <c r="B40938" s="6"/>
      <c r="H40938" s="13"/>
    </row>
    <row r="40939">
      <c r="A40939" s="6"/>
      <c r="B40939" s="6"/>
      <c r="H40939" s="13"/>
    </row>
    <row r="40940">
      <c r="A40940" s="6"/>
      <c r="B40940" s="6"/>
      <c r="H40940" s="13"/>
    </row>
    <row r="40941">
      <c r="A40941" s="6"/>
      <c r="B40941" s="6"/>
      <c r="H40941" s="13"/>
    </row>
    <row r="40942">
      <c r="A40942" s="6"/>
      <c r="B40942" s="6"/>
      <c r="H40942" s="13"/>
    </row>
    <row r="40943">
      <c r="A40943" s="6"/>
      <c r="B40943" s="6"/>
      <c r="H40943" s="13"/>
    </row>
    <row r="40944">
      <c r="A40944" s="6"/>
      <c r="B40944" s="6"/>
      <c r="H40944" s="13"/>
    </row>
    <row r="40945">
      <c r="A40945" s="6"/>
      <c r="B40945" s="6"/>
      <c r="H40945" s="13"/>
    </row>
    <row r="40946">
      <c r="A40946" s="6"/>
      <c r="B40946" s="6"/>
      <c r="H40946" s="13"/>
    </row>
    <row r="40947">
      <c r="A40947" s="6"/>
      <c r="B40947" s="6"/>
      <c r="H40947" s="13"/>
    </row>
    <row r="40948">
      <c r="A40948" s="6"/>
      <c r="B40948" s="6"/>
      <c r="H40948" s="13"/>
    </row>
    <row r="40949">
      <c r="A40949" s="6"/>
      <c r="B40949" s="6"/>
      <c r="H40949" s="13"/>
    </row>
    <row r="40950">
      <c r="A40950" s="6"/>
      <c r="B40950" s="6"/>
      <c r="H40950" s="13"/>
    </row>
    <row r="40951">
      <c r="A40951" s="6"/>
      <c r="B40951" s="6"/>
      <c r="H40951" s="13"/>
    </row>
    <row r="40952">
      <c r="A40952" s="6"/>
      <c r="B40952" s="6"/>
      <c r="H40952" s="13"/>
    </row>
    <row r="40953">
      <c r="A40953" s="6"/>
      <c r="B40953" s="6"/>
      <c r="H40953" s="13"/>
    </row>
    <row r="40954">
      <c r="A40954" s="6"/>
      <c r="B40954" s="6"/>
      <c r="H40954" s="13"/>
    </row>
    <row r="40955">
      <c r="A40955" s="6"/>
      <c r="B40955" s="6"/>
      <c r="H40955" s="13"/>
    </row>
    <row r="40956">
      <c r="A40956" s="6"/>
      <c r="B40956" s="6"/>
      <c r="H40956" s="13"/>
    </row>
    <row r="40957">
      <c r="A40957" s="6"/>
      <c r="B40957" s="6"/>
      <c r="H40957" s="13"/>
    </row>
    <row r="40958">
      <c r="A40958" s="6"/>
      <c r="B40958" s="6"/>
      <c r="H40958" s="13"/>
    </row>
    <row r="40959">
      <c r="A40959" s="6"/>
      <c r="B40959" s="6"/>
      <c r="H40959" s="13"/>
    </row>
    <row r="40960">
      <c r="A40960" s="6"/>
      <c r="B40960" s="6"/>
      <c r="H40960" s="13"/>
    </row>
    <row r="40961">
      <c r="A40961" s="6"/>
      <c r="B40961" s="6"/>
      <c r="H40961" s="13"/>
    </row>
    <row r="40962">
      <c r="A40962" s="6"/>
      <c r="B40962" s="6"/>
      <c r="H40962" s="13"/>
    </row>
    <row r="40963">
      <c r="A40963" s="6"/>
      <c r="B40963" s="6"/>
      <c r="H40963" s="13"/>
    </row>
    <row r="40964">
      <c r="A40964" s="6"/>
      <c r="B40964" s="6"/>
      <c r="H40964" s="13"/>
    </row>
    <row r="40965">
      <c r="A40965" s="6"/>
      <c r="B40965" s="6"/>
      <c r="H40965" s="13"/>
    </row>
    <row r="40966">
      <c r="A40966" s="6"/>
      <c r="B40966" s="6"/>
      <c r="H40966" s="13"/>
    </row>
    <row r="40967">
      <c r="A40967" s="6"/>
      <c r="B40967" s="6"/>
      <c r="H40967" s="13"/>
    </row>
    <row r="40968">
      <c r="A40968" s="6"/>
      <c r="B40968" s="6"/>
      <c r="H40968" s="13"/>
    </row>
    <row r="40969">
      <c r="A40969" s="6"/>
      <c r="B40969" s="6"/>
      <c r="H40969" s="13"/>
    </row>
    <row r="40970">
      <c r="A40970" s="6"/>
      <c r="B40970" s="6"/>
      <c r="H40970" s="13"/>
    </row>
    <row r="40971">
      <c r="A40971" s="6"/>
      <c r="B40971" s="6"/>
      <c r="H40971" s="13"/>
    </row>
    <row r="40972">
      <c r="A40972" s="6"/>
      <c r="B40972" s="6"/>
      <c r="H40972" s="13"/>
    </row>
    <row r="40973">
      <c r="A40973" s="6"/>
      <c r="B40973" s="6"/>
      <c r="H40973" s="13"/>
    </row>
    <row r="40974">
      <c r="A40974" s="6"/>
      <c r="B40974" s="6"/>
      <c r="H40974" s="13"/>
    </row>
    <row r="40975">
      <c r="A40975" s="6"/>
      <c r="B40975" s="6"/>
      <c r="H40975" s="13"/>
    </row>
    <row r="40976">
      <c r="A40976" s="6"/>
      <c r="B40976" s="6"/>
      <c r="H40976" s="13"/>
    </row>
    <row r="40977">
      <c r="A40977" s="6"/>
      <c r="B40977" s="6"/>
      <c r="H40977" s="13"/>
    </row>
    <row r="40978">
      <c r="A40978" s="6"/>
      <c r="B40978" s="6"/>
      <c r="H40978" s="13"/>
    </row>
    <row r="40979">
      <c r="A40979" s="6"/>
      <c r="B40979" s="6"/>
      <c r="H40979" s="13"/>
    </row>
    <row r="40980">
      <c r="A40980" s="6"/>
      <c r="B40980" s="6"/>
      <c r="H40980" s="13"/>
    </row>
    <row r="40981">
      <c r="A40981" s="6"/>
      <c r="B40981" s="6"/>
      <c r="H40981" s="13"/>
    </row>
    <row r="40982">
      <c r="A40982" s="6"/>
      <c r="B40982" s="6"/>
      <c r="H40982" s="13"/>
    </row>
    <row r="40983">
      <c r="A40983" s="6"/>
      <c r="B40983" s="6"/>
      <c r="H40983" s="13"/>
    </row>
    <row r="40984">
      <c r="A40984" s="6"/>
      <c r="B40984" s="6"/>
      <c r="H40984" s="13"/>
    </row>
    <row r="40985">
      <c r="A40985" s="6"/>
      <c r="B40985" s="6"/>
      <c r="H40985" s="13"/>
    </row>
    <row r="40986">
      <c r="A40986" s="6"/>
      <c r="B40986" s="6"/>
      <c r="H40986" s="13"/>
    </row>
    <row r="40987">
      <c r="A40987" s="6"/>
      <c r="B40987" s="6"/>
      <c r="H40987" s="13"/>
    </row>
    <row r="40988">
      <c r="A40988" s="6"/>
      <c r="B40988" s="6"/>
      <c r="H40988" s="13"/>
    </row>
    <row r="40989">
      <c r="A40989" s="6"/>
      <c r="B40989" s="6"/>
      <c r="H40989" s="13"/>
    </row>
    <row r="40990">
      <c r="A40990" s="6"/>
      <c r="B40990" s="6"/>
      <c r="H40990" s="13"/>
    </row>
    <row r="40991">
      <c r="A40991" s="6"/>
      <c r="B40991" s="6"/>
      <c r="H40991" s="13"/>
    </row>
    <row r="40992">
      <c r="A40992" s="6"/>
      <c r="B40992" s="6"/>
      <c r="H40992" s="13"/>
    </row>
    <row r="40993">
      <c r="A40993" s="6"/>
      <c r="B40993" s="6"/>
      <c r="H40993" s="13"/>
    </row>
    <row r="40994">
      <c r="A40994" s="6"/>
      <c r="B40994" s="6"/>
      <c r="H40994" s="13"/>
    </row>
    <row r="40995">
      <c r="A40995" s="6"/>
      <c r="B40995" s="6"/>
      <c r="H40995" s="13"/>
    </row>
    <row r="40996">
      <c r="A40996" s="6"/>
      <c r="B40996" s="6"/>
      <c r="H40996" s="13"/>
    </row>
    <row r="40997">
      <c r="A40997" s="6"/>
      <c r="B40997" s="6"/>
      <c r="H40997" s="13"/>
    </row>
    <row r="40998">
      <c r="A40998" s="6"/>
      <c r="B40998" s="6"/>
      <c r="H40998" s="13"/>
    </row>
    <row r="40999">
      <c r="A40999" s="6"/>
      <c r="B40999" s="6"/>
      <c r="H40999" s="13"/>
    </row>
    <row r="41000">
      <c r="A41000" s="6"/>
      <c r="B41000" s="6"/>
      <c r="H41000" s="13"/>
    </row>
    <row r="41001">
      <c r="A41001" s="6"/>
      <c r="B41001" s="6"/>
      <c r="H41001" s="13"/>
    </row>
    <row r="41002">
      <c r="A41002" s="6"/>
      <c r="B41002" s="6"/>
      <c r="H41002" s="13"/>
    </row>
    <row r="41003">
      <c r="A41003" s="6"/>
      <c r="B41003" s="6"/>
      <c r="H41003" s="13"/>
    </row>
    <row r="41004">
      <c r="A41004" s="6"/>
      <c r="B41004" s="6"/>
      <c r="H41004" s="13"/>
    </row>
    <row r="41005">
      <c r="A41005" s="6"/>
      <c r="B41005" s="6"/>
      <c r="H41005" s="13"/>
    </row>
    <row r="41006">
      <c r="A41006" s="6"/>
      <c r="B41006" s="6"/>
      <c r="H41006" s="13"/>
    </row>
    <row r="41007">
      <c r="A41007" s="6"/>
      <c r="B41007" s="6"/>
      <c r="H41007" s="13"/>
    </row>
    <row r="41008">
      <c r="A41008" s="6"/>
      <c r="B41008" s="6"/>
      <c r="H41008" s="13"/>
    </row>
    <row r="41009">
      <c r="A41009" s="6"/>
      <c r="B41009" s="6"/>
      <c r="H41009" s="13"/>
    </row>
    <row r="41010">
      <c r="A41010" s="6"/>
      <c r="B41010" s="6"/>
      <c r="H41010" s="13"/>
    </row>
    <row r="41011">
      <c r="A41011" s="6"/>
      <c r="B41011" s="6"/>
      <c r="H41011" s="13"/>
    </row>
    <row r="41012">
      <c r="A41012" s="6"/>
      <c r="B41012" s="6"/>
      <c r="H41012" s="13"/>
    </row>
    <row r="41013">
      <c r="A41013" s="6"/>
      <c r="B41013" s="6"/>
      <c r="H41013" s="13"/>
    </row>
    <row r="41014">
      <c r="A41014" s="6"/>
      <c r="B41014" s="6"/>
      <c r="H41014" s="13"/>
    </row>
    <row r="41015">
      <c r="A41015" s="6"/>
      <c r="B41015" s="6"/>
      <c r="H41015" s="13"/>
    </row>
    <row r="41016">
      <c r="A41016" s="6"/>
      <c r="B41016" s="6"/>
      <c r="H41016" s="13"/>
    </row>
    <row r="41017">
      <c r="A41017" s="6"/>
      <c r="B41017" s="6"/>
      <c r="H41017" s="13"/>
    </row>
    <row r="41018">
      <c r="A41018" s="6"/>
      <c r="B41018" s="6"/>
      <c r="H41018" s="13"/>
    </row>
    <row r="41019">
      <c r="A41019" s="6"/>
      <c r="B41019" s="6"/>
      <c r="H41019" s="13"/>
    </row>
    <row r="41020">
      <c r="A41020" s="6"/>
      <c r="B41020" s="6"/>
      <c r="H41020" s="13"/>
    </row>
    <row r="41021">
      <c r="A41021" s="6"/>
      <c r="B41021" s="6"/>
      <c r="H41021" s="13"/>
    </row>
    <row r="41022">
      <c r="A41022" s="6"/>
      <c r="B41022" s="6"/>
      <c r="H41022" s="13"/>
    </row>
    <row r="41023">
      <c r="A41023" s="6"/>
      <c r="B41023" s="6"/>
      <c r="H41023" s="13"/>
    </row>
    <row r="41024">
      <c r="A41024" s="6"/>
      <c r="B41024" s="6"/>
      <c r="H41024" s="13"/>
    </row>
    <row r="41025">
      <c r="A41025" s="6"/>
      <c r="B41025" s="6"/>
      <c r="H41025" s="13"/>
    </row>
    <row r="41026">
      <c r="A41026" s="6"/>
      <c r="B41026" s="6"/>
      <c r="H41026" s="13"/>
    </row>
    <row r="41027">
      <c r="A41027" s="6"/>
      <c r="B41027" s="6"/>
      <c r="H41027" s="13"/>
    </row>
    <row r="41028">
      <c r="A41028" s="6"/>
      <c r="B41028" s="6"/>
      <c r="H41028" s="13"/>
    </row>
    <row r="41029">
      <c r="A41029" s="6"/>
      <c r="B41029" s="6"/>
      <c r="H41029" s="13"/>
    </row>
    <row r="41030">
      <c r="A41030" s="6"/>
      <c r="B41030" s="6"/>
      <c r="H41030" s="13"/>
    </row>
    <row r="41031">
      <c r="A41031" s="6"/>
      <c r="B41031" s="6"/>
      <c r="H41031" s="13"/>
    </row>
    <row r="41032">
      <c r="A41032" s="6"/>
      <c r="B41032" s="6"/>
      <c r="H41032" s="13"/>
    </row>
    <row r="41033">
      <c r="A41033" s="6"/>
      <c r="B41033" s="6"/>
      <c r="H41033" s="13"/>
    </row>
    <row r="41034">
      <c r="A41034" s="6"/>
      <c r="B41034" s="6"/>
      <c r="H41034" s="13"/>
    </row>
    <row r="41035">
      <c r="A41035" s="6"/>
      <c r="B41035" s="6"/>
      <c r="H41035" s="13"/>
    </row>
    <row r="41036">
      <c r="A41036" s="6"/>
      <c r="B41036" s="6"/>
      <c r="H41036" s="13"/>
    </row>
    <row r="41037">
      <c r="A41037" s="6"/>
      <c r="B41037" s="6"/>
      <c r="H41037" s="13"/>
    </row>
    <row r="41038">
      <c r="A41038" s="6"/>
      <c r="B41038" s="6"/>
      <c r="H41038" s="13"/>
    </row>
    <row r="41039">
      <c r="A41039" s="6"/>
      <c r="B41039" s="6"/>
      <c r="H41039" s="13"/>
    </row>
    <row r="41040">
      <c r="A41040" s="6"/>
      <c r="B41040" s="6"/>
      <c r="H41040" s="13"/>
    </row>
    <row r="41041">
      <c r="A41041" s="6"/>
      <c r="B41041" s="6"/>
      <c r="H41041" s="13"/>
    </row>
    <row r="41042">
      <c r="A41042" s="6"/>
      <c r="B41042" s="6"/>
      <c r="H41042" s="13"/>
    </row>
    <row r="41043">
      <c r="A41043" s="6"/>
      <c r="B41043" s="6"/>
      <c r="H41043" s="13"/>
    </row>
    <row r="41044">
      <c r="A41044" s="6"/>
      <c r="B41044" s="6"/>
      <c r="H41044" s="13"/>
    </row>
    <row r="41045">
      <c r="A41045" s="6"/>
      <c r="B41045" s="6"/>
      <c r="H41045" s="13"/>
    </row>
    <row r="41046">
      <c r="A41046" s="6"/>
      <c r="B41046" s="6"/>
      <c r="H41046" s="13"/>
    </row>
    <row r="41047">
      <c r="A41047" s="6"/>
      <c r="B41047" s="6"/>
      <c r="H41047" s="13"/>
    </row>
    <row r="41048">
      <c r="A41048" s="6"/>
      <c r="B41048" s="6"/>
      <c r="H41048" s="13"/>
    </row>
    <row r="41049">
      <c r="A41049" s="6"/>
      <c r="B41049" s="6"/>
      <c r="H41049" s="13"/>
    </row>
    <row r="41050">
      <c r="A41050" s="6"/>
      <c r="B41050" s="6"/>
      <c r="H41050" s="13"/>
    </row>
    <row r="41051">
      <c r="A41051" s="6"/>
      <c r="B41051" s="6"/>
      <c r="H41051" s="13"/>
    </row>
    <row r="41052">
      <c r="A41052" s="6"/>
      <c r="B41052" s="6"/>
      <c r="H41052" s="13"/>
    </row>
    <row r="41053">
      <c r="A41053" s="6"/>
      <c r="B41053" s="6"/>
      <c r="H41053" s="13"/>
    </row>
    <row r="41054">
      <c r="A41054" s="6"/>
      <c r="B41054" s="6"/>
      <c r="H41054" s="13"/>
    </row>
    <row r="41055">
      <c r="A41055" s="6"/>
      <c r="B41055" s="6"/>
      <c r="H41055" s="13"/>
    </row>
    <row r="41056">
      <c r="A41056" s="6"/>
      <c r="B41056" s="6"/>
      <c r="H41056" s="13"/>
    </row>
    <row r="41057">
      <c r="A41057" s="6"/>
      <c r="B41057" s="6"/>
      <c r="H41057" s="13"/>
    </row>
    <row r="41058">
      <c r="A41058" s="6"/>
      <c r="B41058" s="6"/>
      <c r="H41058" s="13"/>
    </row>
    <row r="41059">
      <c r="A41059" s="6"/>
      <c r="B41059" s="6"/>
      <c r="H41059" s="13"/>
    </row>
    <row r="41060">
      <c r="A41060" s="6"/>
      <c r="B41060" s="6"/>
      <c r="H41060" s="13"/>
    </row>
    <row r="41061">
      <c r="A41061" s="6"/>
      <c r="B41061" s="6"/>
      <c r="H41061" s="13"/>
    </row>
    <row r="41062">
      <c r="A41062" s="6"/>
      <c r="B41062" s="6"/>
      <c r="H41062" s="13"/>
    </row>
    <row r="41063">
      <c r="A41063" s="6"/>
      <c r="B41063" s="6"/>
      <c r="H41063" s="13"/>
    </row>
    <row r="41064">
      <c r="A41064" s="6"/>
      <c r="B41064" s="6"/>
      <c r="H41064" s="13"/>
    </row>
    <row r="41065">
      <c r="A41065" s="6"/>
      <c r="B41065" s="6"/>
      <c r="H41065" s="13"/>
    </row>
    <row r="41066">
      <c r="A41066" s="6"/>
      <c r="B41066" s="6"/>
      <c r="H41066" s="13"/>
    </row>
    <row r="41067">
      <c r="A41067" s="6"/>
      <c r="B41067" s="6"/>
      <c r="H41067" s="13"/>
    </row>
    <row r="41068">
      <c r="A41068" s="6"/>
      <c r="B41068" s="6"/>
      <c r="H41068" s="13"/>
    </row>
    <row r="41069">
      <c r="A41069" s="6"/>
      <c r="B41069" s="6"/>
      <c r="H41069" s="13"/>
    </row>
    <row r="41070">
      <c r="A41070" s="6"/>
      <c r="B41070" s="6"/>
      <c r="H41070" s="13"/>
    </row>
    <row r="41071">
      <c r="A41071" s="6"/>
      <c r="B41071" s="6"/>
      <c r="H41071" s="13"/>
    </row>
    <row r="41072">
      <c r="A41072" s="6"/>
      <c r="B41072" s="6"/>
      <c r="H41072" s="13"/>
    </row>
    <row r="41073">
      <c r="A41073" s="6"/>
      <c r="B41073" s="6"/>
      <c r="H41073" s="13"/>
    </row>
    <row r="41074">
      <c r="A41074" s="6"/>
      <c r="B41074" s="6"/>
      <c r="H41074" s="13"/>
    </row>
    <row r="41075">
      <c r="A41075" s="6"/>
      <c r="B41075" s="6"/>
      <c r="H41075" s="13"/>
    </row>
    <row r="41076">
      <c r="A41076" s="6"/>
      <c r="B41076" s="6"/>
      <c r="H41076" s="13"/>
    </row>
    <row r="41077">
      <c r="A41077" s="6"/>
      <c r="B41077" s="6"/>
      <c r="H41077" s="13"/>
    </row>
    <row r="41078">
      <c r="A41078" s="6"/>
      <c r="B41078" s="6"/>
      <c r="H41078" s="13"/>
    </row>
    <row r="41079">
      <c r="A41079" s="6"/>
      <c r="B41079" s="6"/>
      <c r="H41079" s="13"/>
    </row>
    <row r="41080">
      <c r="A41080" s="6"/>
      <c r="B41080" s="6"/>
      <c r="H41080" s="13"/>
    </row>
    <row r="41081">
      <c r="A41081" s="6"/>
      <c r="B41081" s="6"/>
      <c r="H41081" s="13"/>
    </row>
    <row r="41082">
      <c r="A41082" s="6"/>
      <c r="B41082" s="6"/>
      <c r="H41082" s="13"/>
    </row>
    <row r="41083">
      <c r="A41083" s="6"/>
      <c r="B41083" s="6"/>
      <c r="H41083" s="13"/>
    </row>
    <row r="41084">
      <c r="A41084" s="6"/>
      <c r="B41084" s="6"/>
      <c r="H41084" s="13"/>
    </row>
    <row r="41085">
      <c r="A41085" s="6"/>
      <c r="B41085" s="6"/>
      <c r="H41085" s="13"/>
    </row>
    <row r="41086">
      <c r="A41086" s="6"/>
      <c r="B41086" s="6"/>
      <c r="H41086" s="13"/>
    </row>
    <row r="41087">
      <c r="A41087" s="6"/>
      <c r="B41087" s="6"/>
      <c r="H41087" s="13"/>
    </row>
    <row r="41088">
      <c r="A41088" s="6"/>
      <c r="B41088" s="6"/>
      <c r="H41088" s="13"/>
    </row>
    <row r="41089">
      <c r="A41089" s="6"/>
      <c r="B41089" s="6"/>
      <c r="H41089" s="13"/>
    </row>
    <row r="41090">
      <c r="A41090" s="6"/>
      <c r="B41090" s="6"/>
      <c r="H41090" s="13"/>
    </row>
    <row r="41091">
      <c r="A41091" s="6"/>
      <c r="B41091" s="6"/>
      <c r="H41091" s="13"/>
    </row>
    <row r="41092">
      <c r="A41092" s="6"/>
      <c r="B41092" s="6"/>
      <c r="H41092" s="13"/>
    </row>
    <row r="41093">
      <c r="A41093" s="6"/>
      <c r="B41093" s="6"/>
      <c r="H41093" s="13"/>
    </row>
    <row r="41094">
      <c r="A41094" s="6"/>
      <c r="B41094" s="6"/>
      <c r="H41094" s="13"/>
    </row>
    <row r="41095">
      <c r="A41095" s="6"/>
      <c r="B41095" s="6"/>
      <c r="H41095" s="13"/>
    </row>
    <row r="41096">
      <c r="A41096" s="6"/>
      <c r="B41096" s="6"/>
      <c r="H41096" s="13"/>
    </row>
    <row r="41097">
      <c r="A41097" s="6"/>
      <c r="B41097" s="6"/>
      <c r="H41097" s="13"/>
    </row>
    <row r="41098">
      <c r="A41098" s="6"/>
      <c r="B41098" s="6"/>
      <c r="H41098" s="13"/>
    </row>
    <row r="41099">
      <c r="A41099" s="6"/>
      <c r="B41099" s="6"/>
      <c r="H41099" s="13"/>
    </row>
    <row r="41100">
      <c r="A41100" s="6"/>
      <c r="B41100" s="6"/>
      <c r="H41100" s="13"/>
    </row>
    <row r="41101">
      <c r="A41101" s="6"/>
      <c r="B41101" s="6"/>
      <c r="H41101" s="13"/>
    </row>
    <row r="41102">
      <c r="A41102" s="6"/>
      <c r="B41102" s="6"/>
      <c r="H41102" s="13"/>
    </row>
    <row r="41103">
      <c r="A41103" s="6"/>
      <c r="B41103" s="6"/>
      <c r="H41103" s="13"/>
    </row>
    <row r="41104">
      <c r="A41104" s="6"/>
      <c r="B41104" s="6"/>
      <c r="H41104" s="13"/>
    </row>
    <row r="41105">
      <c r="A41105" s="6"/>
      <c r="B41105" s="6"/>
      <c r="H41105" s="13"/>
    </row>
    <row r="41106">
      <c r="A41106" s="6"/>
      <c r="B41106" s="6"/>
      <c r="H41106" s="13"/>
    </row>
    <row r="41107">
      <c r="A41107" s="6"/>
      <c r="B41107" s="6"/>
      <c r="H41107" s="13"/>
    </row>
    <row r="41108">
      <c r="A41108" s="6"/>
      <c r="B41108" s="6"/>
      <c r="H41108" s="13"/>
    </row>
    <row r="41109">
      <c r="A41109" s="6"/>
      <c r="B41109" s="6"/>
      <c r="H41109" s="13"/>
    </row>
    <row r="41110">
      <c r="A41110" s="6"/>
      <c r="B41110" s="6"/>
      <c r="H41110" s="13"/>
    </row>
    <row r="41111">
      <c r="A41111" s="6"/>
      <c r="B41111" s="6"/>
      <c r="H41111" s="13"/>
    </row>
    <row r="41112">
      <c r="A41112" s="6"/>
      <c r="B41112" s="6"/>
      <c r="H41112" s="13"/>
    </row>
    <row r="41113">
      <c r="A41113" s="6"/>
      <c r="B41113" s="6"/>
      <c r="H41113" s="13"/>
    </row>
    <row r="41114">
      <c r="A41114" s="6"/>
      <c r="B41114" s="6"/>
      <c r="H41114" s="13"/>
    </row>
    <row r="41115">
      <c r="A41115" s="6"/>
      <c r="B41115" s="6"/>
      <c r="H41115" s="13"/>
    </row>
    <row r="41116">
      <c r="A41116" s="6"/>
      <c r="B41116" s="6"/>
      <c r="H41116" s="13"/>
    </row>
    <row r="41117">
      <c r="A41117" s="6"/>
      <c r="B41117" s="6"/>
      <c r="H41117" s="13"/>
    </row>
    <row r="41118">
      <c r="A41118" s="6"/>
      <c r="B41118" s="6"/>
      <c r="H41118" s="13"/>
    </row>
    <row r="41119">
      <c r="A41119" s="6"/>
      <c r="B41119" s="6"/>
      <c r="H41119" s="13"/>
    </row>
    <row r="41120">
      <c r="A41120" s="6"/>
      <c r="B41120" s="6"/>
      <c r="H41120" s="13"/>
    </row>
    <row r="41121">
      <c r="A41121" s="6"/>
      <c r="B41121" s="6"/>
      <c r="H41121" s="13"/>
    </row>
    <row r="41122">
      <c r="A41122" s="6"/>
      <c r="B41122" s="6"/>
      <c r="H41122" s="13"/>
    </row>
    <row r="41123">
      <c r="A41123" s="6"/>
      <c r="B41123" s="6"/>
      <c r="H41123" s="13"/>
    </row>
    <row r="41124">
      <c r="A41124" s="6"/>
      <c r="B41124" s="6"/>
      <c r="H41124" s="13"/>
    </row>
    <row r="41125">
      <c r="A41125" s="6"/>
      <c r="B41125" s="6"/>
      <c r="H41125" s="13"/>
    </row>
    <row r="41126">
      <c r="A41126" s="6"/>
      <c r="B41126" s="6"/>
      <c r="H41126" s="13"/>
    </row>
    <row r="41127">
      <c r="A41127" s="6"/>
      <c r="B41127" s="6"/>
      <c r="H41127" s="13"/>
    </row>
    <row r="41128">
      <c r="A41128" s="6"/>
      <c r="B41128" s="6"/>
      <c r="H41128" s="13"/>
    </row>
    <row r="41129">
      <c r="A41129" s="6"/>
      <c r="B41129" s="6"/>
      <c r="H41129" s="13"/>
    </row>
    <row r="41130">
      <c r="A41130" s="6"/>
      <c r="B41130" s="6"/>
      <c r="H41130" s="13"/>
    </row>
    <row r="41131">
      <c r="A41131" s="6"/>
      <c r="B41131" s="6"/>
      <c r="H41131" s="13"/>
    </row>
    <row r="41132">
      <c r="A41132" s="6"/>
      <c r="B41132" s="6"/>
      <c r="H41132" s="13"/>
    </row>
    <row r="41133">
      <c r="A41133" s="6"/>
      <c r="B41133" s="6"/>
      <c r="H41133" s="13"/>
    </row>
    <row r="41134">
      <c r="A41134" s="6"/>
      <c r="B41134" s="6"/>
      <c r="H41134" s="13"/>
    </row>
    <row r="41135">
      <c r="A41135" s="6"/>
      <c r="B41135" s="6"/>
      <c r="H41135" s="13"/>
    </row>
    <row r="41136">
      <c r="A41136" s="6"/>
      <c r="B41136" s="6"/>
      <c r="H41136" s="13"/>
    </row>
    <row r="41137">
      <c r="A41137" s="6"/>
      <c r="B41137" s="6"/>
      <c r="H41137" s="13"/>
    </row>
    <row r="41138">
      <c r="A41138" s="6"/>
      <c r="B41138" s="6"/>
      <c r="H41138" s="13"/>
    </row>
    <row r="41139">
      <c r="A41139" s="6"/>
      <c r="B41139" s="6"/>
      <c r="H41139" s="13"/>
    </row>
    <row r="41140">
      <c r="A41140" s="6"/>
      <c r="B41140" s="6"/>
      <c r="H41140" s="13"/>
    </row>
    <row r="41141">
      <c r="A41141" s="6"/>
      <c r="B41141" s="6"/>
      <c r="H41141" s="13"/>
    </row>
    <row r="41142">
      <c r="A41142" s="6"/>
      <c r="B41142" s="6"/>
      <c r="H41142" s="13"/>
    </row>
    <row r="41143">
      <c r="A41143" s="6"/>
      <c r="B41143" s="6"/>
      <c r="H41143" s="13"/>
    </row>
    <row r="41144">
      <c r="A41144" s="6"/>
      <c r="B41144" s="6"/>
      <c r="H41144" s="13"/>
    </row>
    <row r="41145">
      <c r="A41145" s="6"/>
      <c r="B41145" s="6"/>
      <c r="H41145" s="13"/>
    </row>
    <row r="41146">
      <c r="A41146" s="6"/>
      <c r="B41146" s="6"/>
      <c r="H41146" s="13"/>
    </row>
    <row r="41147">
      <c r="A41147" s="6"/>
      <c r="B41147" s="6"/>
      <c r="H41147" s="13"/>
    </row>
    <row r="41148">
      <c r="A41148" s="6"/>
      <c r="B41148" s="6"/>
      <c r="H41148" s="13"/>
    </row>
    <row r="41149">
      <c r="A41149" s="6"/>
      <c r="B41149" s="6"/>
      <c r="H41149" s="13"/>
    </row>
    <row r="41150">
      <c r="A41150" s="6"/>
      <c r="B41150" s="6"/>
      <c r="H41150" s="13"/>
    </row>
    <row r="41151">
      <c r="A41151" s="6"/>
      <c r="B41151" s="6"/>
      <c r="H41151" s="13"/>
    </row>
    <row r="41152">
      <c r="A41152" s="6"/>
      <c r="B41152" s="6"/>
      <c r="H41152" s="13"/>
    </row>
    <row r="41153">
      <c r="A41153" s="6"/>
      <c r="B41153" s="6"/>
      <c r="H41153" s="13"/>
    </row>
    <row r="41154">
      <c r="A41154" s="6"/>
      <c r="B41154" s="6"/>
      <c r="H41154" s="13"/>
    </row>
    <row r="41155">
      <c r="A41155" s="6"/>
      <c r="B41155" s="6"/>
      <c r="H41155" s="13"/>
    </row>
    <row r="41156">
      <c r="A41156" s="6"/>
      <c r="B41156" s="6"/>
      <c r="H41156" s="13"/>
    </row>
    <row r="41157">
      <c r="A41157" s="6"/>
      <c r="B41157" s="6"/>
      <c r="H41157" s="13"/>
    </row>
    <row r="41158">
      <c r="A41158" s="6"/>
      <c r="B41158" s="6"/>
      <c r="H41158" s="13"/>
    </row>
    <row r="41159">
      <c r="A41159" s="6"/>
      <c r="B41159" s="6"/>
      <c r="H41159" s="13"/>
    </row>
    <row r="41160">
      <c r="A41160" s="6"/>
      <c r="B41160" s="6"/>
      <c r="H41160" s="13"/>
    </row>
    <row r="41161">
      <c r="A41161" s="6"/>
      <c r="B41161" s="6"/>
      <c r="H41161" s="13"/>
    </row>
    <row r="41162">
      <c r="A41162" s="6"/>
      <c r="B41162" s="6"/>
      <c r="H41162" s="13"/>
    </row>
    <row r="41163">
      <c r="A41163" s="6"/>
      <c r="B41163" s="6"/>
      <c r="H41163" s="13"/>
    </row>
    <row r="41164">
      <c r="A41164" s="6"/>
      <c r="B41164" s="6"/>
      <c r="H41164" s="13"/>
    </row>
    <row r="41165">
      <c r="A41165" s="6"/>
      <c r="B41165" s="6"/>
      <c r="H41165" s="13"/>
    </row>
    <row r="41166">
      <c r="A41166" s="6"/>
      <c r="B41166" s="6"/>
      <c r="H41166" s="13"/>
    </row>
    <row r="41167">
      <c r="A41167" s="6"/>
      <c r="B41167" s="6"/>
      <c r="H41167" s="13"/>
    </row>
    <row r="41168">
      <c r="A41168" s="6"/>
      <c r="B41168" s="6"/>
      <c r="H41168" s="13"/>
    </row>
    <row r="41169">
      <c r="A41169" s="6"/>
      <c r="B41169" s="6"/>
      <c r="H41169" s="13"/>
    </row>
    <row r="41170">
      <c r="A41170" s="6"/>
      <c r="B41170" s="6"/>
      <c r="H41170" s="13"/>
    </row>
    <row r="41171">
      <c r="A41171" s="6"/>
      <c r="B41171" s="6"/>
      <c r="H41171" s="13"/>
    </row>
    <row r="41172">
      <c r="A41172" s="6"/>
      <c r="B41172" s="6"/>
      <c r="H41172" s="13"/>
    </row>
    <row r="41173">
      <c r="A41173" s="6"/>
      <c r="B41173" s="6"/>
      <c r="H41173" s="13"/>
    </row>
    <row r="41174">
      <c r="A41174" s="6"/>
      <c r="B41174" s="6"/>
      <c r="H41174" s="13"/>
    </row>
    <row r="41175">
      <c r="A41175" s="6"/>
      <c r="B41175" s="6"/>
      <c r="H41175" s="13"/>
    </row>
    <row r="41176">
      <c r="A41176" s="6"/>
      <c r="B41176" s="6"/>
      <c r="H41176" s="13"/>
    </row>
    <row r="41177">
      <c r="A41177" s="6"/>
      <c r="B41177" s="6"/>
      <c r="H41177" s="13"/>
    </row>
    <row r="41178">
      <c r="A41178" s="6"/>
      <c r="B41178" s="6"/>
      <c r="H41178" s="13"/>
    </row>
    <row r="41179">
      <c r="A41179" s="6"/>
      <c r="B41179" s="6"/>
      <c r="H41179" s="13"/>
    </row>
    <row r="41180">
      <c r="A41180" s="6"/>
      <c r="B41180" s="6"/>
      <c r="H41180" s="13"/>
    </row>
    <row r="41181">
      <c r="A41181" s="6"/>
      <c r="B41181" s="6"/>
      <c r="H41181" s="13"/>
    </row>
    <row r="41182">
      <c r="A41182" s="6"/>
      <c r="B41182" s="6"/>
      <c r="H41182" s="13"/>
    </row>
    <row r="41183">
      <c r="A41183" s="6"/>
      <c r="B41183" s="6"/>
      <c r="H41183" s="13"/>
    </row>
    <row r="41184">
      <c r="A41184" s="6"/>
      <c r="B41184" s="6"/>
      <c r="H41184" s="13"/>
    </row>
    <row r="41185">
      <c r="A41185" s="6"/>
      <c r="B41185" s="6"/>
      <c r="H41185" s="13"/>
    </row>
    <row r="41186">
      <c r="A41186" s="6"/>
      <c r="B41186" s="6"/>
      <c r="H41186" s="13"/>
    </row>
    <row r="41187">
      <c r="A41187" s="6"/>
      <c r="B41187" s="6"/>
      <c r="H41187" s="13"/>
    </row>
    <row r="41188">
      <c r="A41188" s="6"/>
      <c r="B41188" s="6"/>
      <c r="H41188" s="13"/>
    </row>
    <row r="41189">
      <c r="A41189" s="6"/>
      <c r="B41189" s="6"/>
      <c r="H41189" s="13"/>
    </row>
    <row r="41190">
      <c r="A41190" s="6"/>
      <c r="B41190" s="6"/>
      <c r="H41190" s="13"/>
    </row>
    <row r="41191">
      <c r="A41191" s="6"/>
      <c r="B41191" s="6"/>
      <c r="H41191" s="13"/>
    </row>
    <row r="41192">
      <c r="A41192" s="6"/>
      <c r="B41192" s="6"/>
      <c r="H41192" s="13"/>
    </row>
    <row r="41193">
      <c r="A41193" s="6"/>
      <c r="B41193" s="6"/>
      <c r="H41193" s="13"/>
    </row>
    <row r="41194">
      <c r="A41194" s="6"/>
      <c r="B41194" s="6"/>
      <c r="H41194" s="13"/>
    </row>
    <row r="41195">
      <c r="A41195" s="6"/>
      <c r="B41195" s="6"/>
      <c r="H41195" s="13"/>
    </row>
    <row r="41196">
      <c r="A41196" s="6"/>
      <c r="B41196" s="6"/>
      <c r="H41196" s="13"/>
    </row>
    <row r="41197">
      <c r="A41197" s="6"/>
      <c r="B41197" s="6"/>
      <c r="H41197" s="13"/>
    </row>
    <row r="41198">
      <c r="A41198" s="6"/>
      <c r="B41198" s="6"/>
      <c r="H41198" s="13"/>
    </row>
    <row r="41199">
      <c r="A41199" s="6"/>
      <c r="B41199" s="6"/>
      <c r="H41199" s="13"/>
    </row>
    <row r="41200">
      <c r="A41200" s="6"/>
      <c r="B41200" s="6"/>
      <c r="H41200" s="13"/>
    </row>
    <row r="41201">
      <c r="A41201" s="6"/>
      <c r="B41201" s="6"/>
      <c r="H41201" s="13"/>
    </row>
    <row r="41202">
      <c r="A41202" s="6"/>
      <c r="B41202" s="6"/>
      <c r="H41202" s="13"/>
    </row>
    <row r="41203">
      <c r="A41203" s="6"/>
      <c r="B41203" s="6"/>
      <c r="H41203" s="13"/>
    </row>
    <row r="41204">
      <c r="A41204" s="6"/>
      <c r="B41204" s="6"/>
      <c r="H41204" s="13"/>
    </row>
    <row r="41205">
      <c r="A41205" s="6"/>
      <c r="B41205" s="6"/>
      <c r="H41205" s="13"/>
    </row>
    <row r="41206">
      <c r="A41206" s="6"/>
      <c r="B41206" s="6"/>
      <c r="H41206" s="13"/>
    </row>
    <row r="41207">
      <c r="A41207" s="6"/>
      <c r="B41207" s="6"/>
      <c r="H41207" s="13"/>
    </row>
    <row r="41208">
      <c r="A41208" s="6"/>
      <c r="B41208" s="6"/>
      <c r="H41208" s="13"/>
    </row>
    <row r="41209">
      <c r="A41209" s="6"/>
      <c r="B41209" s="6"/>
      <c r="H41209" s="13"/>
    </row>
    <row r="41210">
      <c r="A41210" s="6"/>
      <c r="B41210" s="6"/>
      <c r="H41210" s="13"/>
    </row>
    <row r="41211">
      <c r="A41211" s="6"/>
      <c r="B41211" s="6"/>
      <c r="H41211" s="13"/>
    </row>
    <row r="41212">
      <c r="A41212" s="6"/>
      <c r="B41212" s="6"/>
      <c r="H41212" s="13"/>
    </row>
    <row r="41213">
      <c r="A41213" s="6"/>
      <c r="B41213" s="6"/>
      <c r="H41213" s="13"/>
    </row>
    <row r="41214">
      <c r="A41214" s="6"/>
      <c r="B41214" s="6"/>
      <c r="H41214" s="13"/>
    </row>
    <row r="41215">
      <c r="A41215" s="6"/>
      <c r="B41215" s="6"/>
      <c r="H41215" s="13"/>
    </row>
    <row r="41216">
      <c r="A41216" s="6"/>
      <c r="B41216" s="6"/>
      <c r="H41216" s="13"/>
    </row>
    <row r="41217">
      <c r="A41217" s="6"/>
      <c r="B41217" s="6"/>
      <c r="H41217" s="13"/>
    </row>
    <row r="41218">
      <c r="A41218" s="6"/>
      <c r="B41218" s="6"/>
      <c r="H41218" s="13"/>
    </row>
    <row r="41219">
      <c r="A41219" s="6"/>
      <c r="B41219" s="6"/>
      <c r="H41219" s="13"/>
    </row>
    <row r="41220">
      <c r="A41220" s="6"/>
      <c r="B41220" s="6"/>
      <c r="H41220" s="13"/>
    </row>
    <row r="41221">
      <c r="A41221" s="6"/>
      <c r="B41221" s="6"/>
      <c r="H41221" s="13"/>
    </row>
    <row r="41222">
      <c r="A41222" s="6"/>
      <c r="B41222" s="6"/>
      <c r="H41222" s="13"/>
    </row>
    <row r="41223">
      <c r="A41223" s="6"/>
      <c r="B41223" s="6"/>
      <c r="H41223" s="13"/>
    </row>
    <row r="41224">
      <c r="A41224" s="6"/>
      <c r="B41224" s="6"/>
      <c r="H41224" s="13"/>
    </row>
    <row r="41225">
      <c r="A41225" s="6"/>
      <c r="B41225" s="6"/>
      <c r="H41225" s="13"/>
    </row>
    <row r="41226">
      <c r="A41226" s="6"/>
      <c r="B41226" s="6"/>
      <c r="H41226" s="13"/>
    </row>
    <row r="41227">
      <c r="A41227" s="6"/>
      <c r="B41227" s="6"/>
      <c r="H41227" s="13"/>
    </row>
    <row r="41228">
      <c r="A41228" s="6"/>
      <c r="B41228" s="6"/>
      <c r="H41228" s="13"/>
    </row>
    <row r="41229">
      <c r="A41229" s="6"/>
      <c r="B41229" s="6"/>
      <c r="H41229" s="13"/>
    </row>
    <row r="41230">
      <c r="A41230" s="6"/>
      <c r="B41230" s="6"/>
      <c r="H41230" s="13"/>
    </row>
    <row r="41231">
      <c r="A41231" s="6"/>
      <c r="B41231" s="6"/>
      <c r="H41231" s="13"/>
    </row>
    <row r="41232">
      <c r="A41232" s="6"/>
      <c r="B41232" s="6"/>
      <c r="H41232" s="13"/>
    </row>
    <row r="41233">
      <c r="A41233" s="6"/>
      <c r="B41233" s="6"/>
      <c r="H41233" s="13"/>
    </row>
    <row r="41234">
      <c r="A41234" s="6"/>
      <c r="B41234" s="6"/>
      <c r="H41234" s="13"/>
    </row>
    <row r="41235">
      <c r="A41235" s="6"/>
      <c r="B41235" s="6"/>
      <c r="H41235" s="13"/>
    </row>
    <row r="41236">
      <c r="A41236" s="6"/>
      <c r="B41236" s="6"/>
      <c r="H41236" s="13"/>
    </row>
    <row r="41237">
      <c r="A41237" s="6"/>
      <c r="B41237" s="6"/>
      <c r="H41237" s="13"/>
    </row>
    <row r="41238">
      <c r="A41238" s="6"/>
      <c r="B41238" s="6"/>
      <c r="H41238" s="13"/>
    </row>
    <row r="41239">
      <c r="A41239" s="6"/>
      <c r="B41239" s="6"/>
      <c r="H41239" s="13"/>
    </row>
    <row r="41240">
      <c r="A41240" s="6"/>
      <c r="B41240" s="6"/>
      <c r="H41240" s="13"/>
    </row>
    <row r="41241">
      <c r="A41241" s="6"/>
      <c r="B41241" s="6"/>
      <c r="H41241" s="13"/>
    </row>
    <row r="41242">
      <c r="A41242" s="6"/>
      <c r="B41242" s="6"/>
      <c r="H41242" s="13"/>
    </row>
    <row r="41243">
      <c r="A41243" s="6"/>
      <c r="B41243" s="6"/>
      <c r="H41243" s="13"/>
    </row>
    <row r="41244">
      <c r="A41244" s="6"/>
      <c r="B41244" s="6"/>
      <c r="H41244" s="13"/>
    </row>
    <row r="41245">
      <c r="A41245" s="6"/>
      <c r="B41245" s="6"/>
      <c r="H41245" s="13"/>
    </row>
    <row r="41246">
      <c r="A41246" s="6"/>
      <c r="B41246" s="6"/>
      <c r="H41246" s="13"/>
    </row>
    <row r="41247">
      <c r="A41247" s="6"/>
      <c r="B41247" s="6"/>
      <c r="H41247" s="13"/>
    </row>
    <row r="41248">
      <c r="A41248" s="6"/>
      <c r="B41248" s="6"/>
      <c r="H41248" s="13"/>
    </row>
    <row r="41249">
      <c r="A41249" s="6"/>
      <c r="B41249" s="6"/>
      <c r="H41249" s="13"/>
    </row>
    <row r="41250">
      <c r="A41250" s="6"/>
      <c r="B41250" s="6"/>
      <c r="H41250" s="13"/>
    </row>
    <row r="41251">
      <c r="A41251" s="6"/>
      <c r="B41251" s="6"/>
      <c r="H41251" s="13"/>
    </row>
    <row r="41252">
      <c r="A41252" s="6"/>
      <c r="B41252" s="6"/>
      <c r="H41252" s="13"/>
    </row>
    <row r="41253">
      <c r="A41253" s="6"/>
      <c r="B41253" s="6"/>
      <c r="H41253" s="13"/>
    </row>
    <row r="41254">
      <c r="A41254" s="6"/>
      <c r="B41254" s="6"/>
      <c r="H41254" s="13"/>
    </row>
    <row r="41255">
      <c r="A41255" s="6"/>
      <c r="B41255" s="6"/>
      <c r="H41255" s="13"/>
    </row>
    <row r="41256">
      <c r="A41256" s="6"/>
      <c r="B41256" s="6"/>
      <c r="H41256" s="13"/>
    </row>
    <row r="41257">
      <c r="A41257" s="6"/>
      <c r="B41257" s="6"/>
      <c r="H41257" s="13"/>
    </row>
    <row r="41258">
      <c r="A41258" s="6"/>
      <c r="B41258" s="6"/>
      <c r="H41258" s="13"/>
    </row>
    <row r="41259">
      <c r="A41259" s="6"/>
      <c r="B41259" s="6"/>
      <c r="H41259" s="13"/>
    </row>
    <row r="41260">
      <c r="A41260" s="6"/>
      <c r="B41260" s="6"/>
      <c r="H41260" s="13"/>
    </row>
    <row r="41261">
      <c r="A41261" s="6"/>
      <c r="B41261" s="6"/>
      <c r="H41261" s="13"/>
    </row>
    <row r="41262">
      <c r="A41262" s="6"/>
      <c r="B41262" s="6"/>
      <c r="H41262" s="13"/>
    </row>
    <row r="41263">
      <c r="A41263" s="6"/>
      <c r="B41263" s="6"/>
      <c r="H41263" s="13"/>
    </row>
    <row r="41264">
      <c r="A41264" s="6"/>
      <c r="B41264" s="6"/>
      <c r="H41264" s="13"/>
    </row>
    <row r="41265">
      <c r="A41265" s="6"/>
      <c r="B41265" s="6"/>
      <c r="H41265" s="13"/>
    </row>
    <row r="41266">
      <c r="A41266" s="6"/>
      <c r="B41266" s="6"/>
      <c r="H41266" s="13"/>
    </row>
    <row r="41267">
      <c r="A41267" s="6"/>
      <c r="B41267" s="6"/>
      <c r="H41267" s="13"/>
    </row>
    <row r="41268">
      <c r="A41268" s="6"/>
      <c r="B41268" s="6"/>
      <c r="H41268" s="13"/>
    </row>
    <row r="41269">
      <c r="A41269" s="6"/>
      <c r="B41269" s="6"/>
      <c r="H41269" s="13"/>
    </row>
    <row r="41270">
      <c r="A41270" s="6"/>
      <c r="B41270" s="6"/>
      <c r="H41270" s="13"/>
    </row>
    <row r="41271">
      <c r="A41271" s="6"/>
      <c r="B41271" s="6"/>
      <c r="H41271" s="13"/>
    </row>
    <row r="41272">
      <c r="A41272" s="6"/>
      <c r="B41272" s="6"/>
      <c r="H41272" s="13"/>
    </row>
    <row r="41273">
      <c r="A41273" s="6"/>
      <c r="B41273" s="6"/>
      <c r="H41273" s="13"/>
    </row>
    <row r="41274">
      <c r="A41274" s="6"/>
      <c r="B41274" s="6"/>
      <c r="H41274" s="13"/>
    </row>
    <row r="41275">
      <c r="A41275" s="6"/>
      <c r="B41275" s="6"/>
      <c r="H41275" s="13"/>
    </row>
    <row r="41276">
      <c r="A41276" s="6"/>
      <c r="B41276" s="6"/>
      <c r="H41276" s="13"/>
    </row>
    <row r="41277">
      <c r="A41277" s="6"/>
      <c r="B41277" s="6"/>
      <c r="H41277" s="13"/>
    </row>
    <row r="41278">
      <c r="A41278" s="6"/>
      <c r="B41278" s="6"/>
      <c r="H41278" s="13"/>
    </row>
    <row r="41279">
      <c r="A41279" s="6"/>
      <c r="B41279" s="6"/>
      <c r="H41279" s="13"/>
    </row>
    <row r="41280">
      <c r="A41280" s="6"/>
      <c r="B41280" s="6"/>
      <c r="H41280" s="13"/>
    </row>
    <row r="41281">
      <c r="A41281" s="6"/>
      <c r="B41281" s="6"/>
      <c r="H41281" s="13"/>
    </row>
    <row r="41282">
      <c r="A41282" s="6"/>
      <c r="B41282" s="6"/>
      <c r="H41282" s="13"/>
    </row>
    <row r="41283">
      <c r="A41283" s="6"/>
      <c r="B41283" s="6"/>
      <c r="H41283" s="13"/>
    </row>
    <row r="41284">
      <c r="A41284" s="6"/>
      <c r="B41284" s="6"/>
      <c r="H41284" s="13"/>
    </row>
    <row r="41285">
      <c r="A41285" s="6"/>
      <c r="B41285" s="6"/>
      <c r="H41285" s="13"/>
    </row>
    <row r="41286">
      <c r="A41286" s="6"/>
      <c r="B41286" s="6"/>
      <c r="H41286" s="13"/>
    </row>
    <row r="41287">
      <c r="A41287" s="6"/>
      <c r="B41287" s="6"/>
      <c r="H41287" s="13"/>
    </row>
    <row r="41288">
      <c r="A41288" s="6"/>
      <c r="B41288" s="6"/>
      <c r="H41288" s="13"/>
    </row>
    <row r="41289">
      <c r="A41289" s="6"/>
      <c r="B41289" s="6"/>
      <c r="H41289" s="13"/>
    </row>
    <row r="41290">
      <c r="A41290" s="6"/>
      <c r="B41290" s="6"/>
      <c r="H41290" s="13"/>
    </row>
    <row r="41291">
      <c r="A41291" s="6"/>
      <c r="B41291" s="6"/>
      <c r="H41291" s="13"/>
    </row>
    <row r="41292">
      <c r="A41292" s="6"/>
      <c r="B41292" s="6"/>
      <c r="H41292" s="13"/>
    </row>
    <row r="41293">
      <c r="A41293" s="6"/>
      <c r="B41293" s="6"/>
      <c r="H41293" s="13"/>
    </row>
    <row r="41294">
      <c r="A41294" s="6"/>
      <c r="B41294" s="6"/>
      <c r="H41294" s="13"/>
    </row>
    <row r="41295">
      <c r="A41295" s="6"/>
      <c r="B41295" s="6"/>
      <c r="H41295" s="13"/>
    </row>
    <row r="41296">
      <c r="A41296" s="6"/>
      <c r="B41296" s="6"/>
      <c r="H41296" s="13"/>
    </row>
    <row r="41297">
      <c r="A41297" s="6"/>
      <c r="B41297" s="6"/>
      <c r="H41297" s="13"/>
    </row>
    <row r="41298">
      <c r="A41298" s="6"/>
      <c r="B41298" s="6"/>
      <c r="H41298" s="13"/>
    </row>
    <row r="41299">
      <c r="A41299" s="6"/>
      <c r="B41299" s="6"/>
      <c r="H41299" s="13"/>
    </row>
    <row r="41300">
      <c r="A41300" s="6"/>
      <c r="B41300" s="6"/>
      <c r="H41300" s="13"/>
    </row>
    <row r="41301">
      <c r="A41301" s="6"/>
      <c r="B41301" s="6"/>
      <c r="H41301" s="13"/>
    </row>
    <row r="41302">
      <c r="A41302" s="6"/>
      <c r="B41302" s="6"/>
      <c r="H41302" s="13"/>
    </row>
    <row r="41303">
      <c r="A41303" s="6"/>
      <c r="B41303" s="6"/>
      <c r="H41303" s="13"/>
    </row>
    <row r="41304">
      <c r="A41304" s="6"/>
      <c r="B41304" s="6"/>
      <c r="H41304" s="13"/>
    </row>
    <row r="41305">
      <c r="A41305" s="6"/>
      <c r="B41305" s="6"/>
      <c r="H41305" s="13"/>
    </row>
    <row r="41306">
      <c r="A41306" s="6"/>
      <c r="B41306" s="6"/>
      <c r="H41306" s="13"/>
    </row>
    <row r="41307">
      <c r="A41307" s="6"/>
      <c r="B41307" s="6"/>
      <c r="H41307" s="13"/>
    </row>
    <row r="41308">
      <c r="A41308" s="6"/>
      <c r="B41308" s="6"/>
      <c r="H41308" s="13"/>
    </row>
    <row r="41309">
      <c r="A41309" s="6"/>
      <c r="B41309" s="6"/>
      <c r="H41309" s="13"/>
    </row>
    <row r="41310">
      <c r="A41310" s="6"/>
      <c r="B41310" s="6"/>
      <c r="H41310" s="13"/>
    </row>
    <row r="41311">
      <c r="A41311" s="6"/>
      <c r="B41311" s="6"/>
      <c r="H41311" s="13"/>
    </row>
    <row r="41312">
      <c r="A41312" s="6"/>
      <c r="B41312" s="6"/>
      <c r="H41312" s="13"/>
    </row>
    <row r="41313">
      <c r="A41313" s="6"/>
      <c r="B41313" s="6"/>
      <c r="H41313" s="13"/>
    </row>
    <row r="41314">
      <c r="A41314" s="6"/>
      <c r="B41314" s="6"/>
      <c r="H41314" s="13"/>
    </row>
    <row r="41315">
      <c r="A41315" s="6"/>
      <c r="B41315" s="6"/>
      <c r="H41315" s="13"/>
    </row>
    <row r="41316">
      <c r="A41316" s="6"/>
      <c r="B41316" s="6"/>
      <c r="H41316" s="13"/>
    </row>
    <row r="41317">
      <c r="A41317" s="6"/>
      <c r="B41317" s="6"/>
      <c r="H41317" s="13"/>
    </row>
    <row r="41318">
      <c r="A41318" s="6"/>
      <c r="B41318" s="6"/>
      <c r="H41318" s="13"/>
    </row>
    <row r="41319">
      <c r="A41319" s="6"/>
      <c r="B41319" s="6"/>
      <c r="H41319" s="13"/>
    </row>
    <row r="41320">
      <c r="A41320" s="6"/>
      <c r="B41320" s="6"/>
      <c r="H41320" s="13"/>
    </row>
    <row r="41321">
      <c r="A41321" s="6"/>
      <c r="B41321" s="6"/>
      <c r="H41321" s="13"/>
    </row>
    <row r="41322">
      <c r="A41322" s="6"/>
      <c r="B41322" s="6"/>
      <c r="H41322" s="13"/>
    </row>
    <row r="41323">
      <c r="A41323" s="6"/>
      <c r="B41323" s="6"/>
      <c r="H41323" s="13"/>
    </row>
    <row r="41324">
      <c r="A41324" s="6"/>
      <c r="B41324" s="6"/>
      <c r="H41324" s="13"/>
    </row>
    <row r="41325">
      <c r="A41325" s="6"/>
      <c r="B41325" s="6"/>
      <c r="H41325" s="13"/>
    </row>
    <row r="41326">
      <c r="A41326" s="6"/>
      <c r="B41326" s="6"/>
      <c r="H41326" s="13"/>
    </row>
    <row r="41327">
      <c r="A41327" s="6"/>
      <c r="B41327" s="6"/>
      <c r="H41327" s="13"/>
    </row>
    <row r="41328">
      <c r="A41328" s="6"/>
      <c r="B41328" s="6"/>
      <c r="H41328" s="13"/>
    </row>
    <row r="41329">
      <c r="A41329" s="6"/>
      <c r="B41329" s="6"/>
      <c r="H41329" s="13"/>
    </row>
    <row r="41330">
      <c r="A41330" s="6"/>
      <c r="B41330" s="6"/>
      <c r="H41330" s="13"/>
    </row>
    <row r="41331">
      <c r="A41331" s="6"/>
      <c r="B41331" s="6"/>
      <c r="H41331" s="13"/>
    </row>
    <row r="41332">
      <c r="A41332" s="6"/>
      <c r="B41332" s="6"/>
      <c r="H41332" s="13"/>
    </row>
    <row r="41333">
      <c r="A41333" s="6"/>
      <c r="B41333" s="6"/>
      <c r="H41333" s="13"/>
    </row>
    <row r="41334">
      <c r="A41334" s="6"/>
      <c r="B41334" s="6"/>
      <c r="H41334" s="13"/>
    </row>
    <row r="41335">
      <c r="A41335" s="6"/>
      <c r="B41335" s="6"/>
      <c r="H41335" s="13"/>
    </row>
    <row r="41336">
      <c r="A41336" s="6"/>
      <c r="B41336" s="6"/>
      <c r="H41336" s="13"/>
    </row>
    <row r="41337">
      <c r="A41337" s="6"/>
      <c r="B41337" s="6"/>
      <c r="H41337" s="13"/>
    </row>
    <row r="41338">
      <c r="A41338" s="6"/>
      <c r="B41338" s="6"/>
      <c r="H41338" s="13"/>
    </row>
    <row r="41339">
      <c r="A41339" s="6"/>
      <c r="B41339" s="6"/>
      <c r="H41339" s="13"/>
    </row>
    <row r="41340">
      <c r="A41340" s="6"/>
      <c r="B41340" s="6"/>
      <c r="H41340" s="13"/>
    </row>
    <row r="41341">
      <c r="A41341" s="6"/>
      <c r="B41341" s="6"/>
      <c r="H41341" s="13"/>
    </row>
    <row r="41342">
      <c r="A41342" s="6"/>
      <c r="B41342" s="6"/>
      <c r="H41342" s="13"/>
    </row>
    <row r="41343">
      <c r="A41343" s="6"/>
      <c r="B41343" s="6"/>
      <c r="H41343" s="13"/>
    </row>
    <row r="41344">
      <c r="A41344" s="6"/>
      <c r="B41344" s="6"/>
      <c r="H41344" s="13"/>
    </row>
    <row r="41345">
      <c r="A41345" s="6"/>
      <c r="B41345" s="6"/>
      <c r="H41345" s="13"/>
    </row>
    <row r="41346">
      <c r="A41346" s="6"/>
      <c r="B41346" s="6"/>
      <c r="H41346" s="13"/>
    </row>
    <row r="41347">
      <c r="A41347" s="6"/>
      <c r="B41347" s="6"/>
      <c r="H41347" s="13"/>
    </row>
    <row r="41348">
      <c r="A41348" s="6"/>
      <c r="B41348" s="6"/>
      <c r="H41348" s="13"/>
    </row>
    <row r="41349">
      <c r="A41349" s="6"/>
      <c r="B41349" s="6"/>
      <c r="H41349" s="13"/>
    </row>
    <row r="41350">
      <c r="A41350" s="6"/>
      <c r="B41350" s="6"/>
      <c r="H41350" s="13"/>
    </row>
    <row r="41351">
      <c r="A41351" s="6"/>
      <c r="B41351" s="6"/>
      <c r="H41351" s="13"/>
    </row>
    <row r="41352">
      <c r="A41352" s="6"/>
      <c r="B41352" s="6"/>
      <c r="H41352" s="13"/>
    </row>
    <row r="41353">
      <c r="A41353" s="6"/>
      <c r="B41353" s="6"/>
      <c r="H41353" s="13"/>
    </row>
    <row r="41354">
      <c r="A41354" s="6"/>
      <c r="B41354" s="6"/>
      <c r="H41354" s="13"/>
    </row>
    <row r="41355">
      <c r="A41355" s="6"/>
      <c r="B41355" s="6"/>
      <c r="H41355" s="13"/>
    </row>
    <row r="41356">
      <c r="A41356" s="6"/>
      <c r="B41356" s="6"/>
      <c r="H41356" s="13"/>
    </row>
    <row r="41357">
      <c r="A41357" s="6"/>
      <c r="B41357" s="6"/>
      <c r="H41357" s="13"/>
    </row>
    <row r="41358">
      <c r="A41358" s="6"/>
      <c r="B41358" s="6"/>
      <c r="H41358" s="13"/>
    </row>
    <row r="41359">
      <c r="A41359" s="6"/>
      <c r="B41359" s="6"/>
      <c r="H41359" s="13"/>
    </row>
    <row r="41360">
      <c r="A41360" s="6"/>
      <c r="B41360" s="6"/>
      <c r="H41360" s="13"/>
    </row>
    <row r="41361">
      <c r="A41361" s="6"/>
      <c r="B41361" s="6"/>
      <c r="H41361" s="13"/>
    </row>
    <row r="41362">
      <c r="A41362" s="6"/>
      <c r="B41362" s="6"/>
      <c r="H41362" s="13"/>
    </row>
    <row r="41363">
      <c r="A41363" s="6"/>
      <c r="B41363" s="6"/>
      <c r="H41363" s="13"/>
    </row>
    <row r="41364">
      <c r="A41364" s="6"/>
      <c r="B41364" s="6"/>
      <c r="H41364" s="13"/>
    </row>
    <row r="41365">
      <c r="A41365" s="6"/>
      <c r="B41365" s="6"/>
      <c r="H41365" s="13"/>
    </row>
    <row r="41366">
      <c r="A41366" s="6"/>
      <c r="B41366" s="6"/>
      <c r="H41366" s="13"/>
    </row>
    <row r="41367">
      <c r="A41367" s="6"/>
      <c r="B41367" s="6"/>
      <c r="H41367" s="13"/>
    </row>
    <row r="41368">
      <c r="A41368" s="6"/>
      <c r="B41368" s="6"/>
      <c r="H41368" s="13"/>
    </row>
    <row r="41369">
      <c r="A41369" s="6"/>
      <c r="B41369" s="6"/>
      <c r="H41369" s="13"/>
    </row>
    <row r="41370">
      <c r="A41370" s="6"/>
      <c r="B41370" s="6"/>
      <c r="H41370" s="13"/>
    </row>
    <row r="41371">
      <c r="A41371" s="6"/>
      <c r="B41371" s="6"/>
      <c r="H41371" s="13"/>
    </row>
    <row r="41372">
      <c r="A41372" s="6"/>
      <c r="B41372" s="6"/>
      <c r="H41372" s="13"/>
    </row>
    <row r="41373">
      <c r="A41373" s="6"/>
      <c r="B41373" s="6"/>
      <c r="H41373" s="13"/>
    </row>
    <row r="41374">
      <c r="A41374" s="6"/>
      <c r="B41374" s="6"/>
      <c r="H41374" s="13"/>
    </row>
    <row r="41375">
      <c r="A41375" s="6"/>
      <c r="B41375" s="6"/>
      <c r="H41375" s="13"/>
    </row>
    <row r="41376">
      <c r="A41376" s="6"/>
      <c r="B41376" s="6"/>
      <c r="H41376" s="13"/>
    </row>
    <row r="41377">
      <c r="A41377" s="6"/>
      <c r="B41377" s="6"/>
      <c r="H41377" s="13"/>
    </row>
    <row r="41378">
      <c r="A41378" s="6"/>
      <c r="B41378" s="6"/>
      <c r="H41378" s="13"/>
    </row>
    <row r="41379">
      <c r="A41379" s="6"/>
      <c r="B41379" s="6"/>
      <c r="H41379" s="13"/>
    </row>
    <row r="41380">
      <c r="A41380" s="6"/>
      <c r="B41380" s="6"/>
      <c r="H41380" s="13"/>
    </row>
    <row r="41381">
      <c r="A41381" s="6"/>
      <c r="B41381" s="6"/>
      <c r="H41381" s="13"/>
    </row>
    <row r="41382">
      <c r="A41382" s="6"/>
      <c r="B41382" s="6"/>
      <c r="H41382" s="13"/>
    </row>
    <row r="41383">
      <c r="A41383" s="6"/>
      <c r="B41383" s="6"/>
      <c r="H41383" s="13"/>
    </row>
    <row r="41384">
      <c r="A41384" s="6"/>
      <c r="B41384" s="6"/>
      <c r="H41384" s="13"/>
    </row>
    <row r="41385">
      <c r="A41385" s="6"/>
      <c r="B41385" s="6"/>
      <c r="H41385" s="13"/>
    </row>
    <row r="41386">
      <c r="A41386" s="6"/>
      <c r="B41386" s="6"/>
      <c r="H41386" s="13"/>
    </row>
    <row r="41387">
      <c r="A41387" s="6"/>
      <c r="B41387" s="6"/>
      <c r="H41387" s="13"/>
    </row>
    <row r="41388">
      <c r="A41388" s="6"/>
      <c r="B41388" s="6"/>
      <c r="H41388" s="13"/>
    </row>
    <row r="41389">
      <c r="A41389" s="6"/>
      <c r="B41389" s="6"/>
      <c r="H41389" s="13"/>
    </row>
    <row r="41390">
      <c r="A41390" s="6"/>
      <c r="B41390" s="6"/>
      <c r="H41390" s="13"/>
    </row>
    <row r="41391">
      <c r="A41391" s="6"/>
      <c r="B41391" s="6"/>
      <c r="H41391" s="13"/>
    </row>
    <row r="41392">
      <c r="A41392" s="6"/>
      <c r="B41392" s="6"/>
      <c r="H41392" s="13"/>
    </row>
    <row r="41393">
      <c r="A41393" s="6"/>
      <c r="B41393" s="6"/>
      <c r="H41393" s="13"/>
    </row>
    <row r="41394">
      <c r="A41394" s="6"/>
      <c r="B41394" s="6"/>
      <c r="H41394" s="13"/>
    </row>
    <row r="41395">
      <c r="A41395" s="6"/>
      <c r="B41395" s="6"/>
      <c r="H41395" s="13"/>
    </row>
    <row r="41396">
      <c r="A41396" s="6"/>
      <c r="B41396" s="6"/>
      <c r="H41396" s="13"/>
    </row>
    <row r="41397">
      <c r="A41397" s="6"/>
      <c r="B41397" s="6"/>
      <c r="H41397" s="13"/>
    </row>
    <row r="41398">
      <c r="A41398" s="6"/>
      <c r="B41398" s="6"/>
      <c r="H41398" s="13"/>
    </row>
    <row r="41399">
      <c r="A41399" s="6"/>
      <c r="B41399" s="6"/>
      <c r="H41399" s="13"/>
    </row>
    <row r="41400">
      <c r="A41400" s="6"/>
      <c r="B41400" s="6"/>
      <c r="H41400" s="13"/>
    </row>
    <row r="41401">
      <c r="A41401" s="6"/>
      <c r="B41401" s="6"/>
      <c r="H41401" s="13"/>
    </row>
    <row r="41402">
      <c r="A41402" s="6"/>
      <c r="B41402" s="6"/>
      <c r="H41402" s="13"/>
    </row>
    <row r="41403">
      <c r="A41403" s="6"/>
      <c r="B41403" s="6"/>
      <c r="H41403" s="13"/>
    </row>
    <row r="41404">
      <c r="A41404" s="6"/>
      <c r="B41404" s="6"/>
      <c r="H41404" s="13"/>
    </row>
    <row r="41405">
      <c r="A41405" s="6"/>
      <c r="B41405" s="6"/>
      <c r="H41405" s="13"/>
    </row>
    <row r="41406">
      <c r="A41406" s="6"/>
      <c r="B41406" s="6"/>
      <c r="H41406" s="13"/>
    </row>
    <row r="41407">
      <c r="A41407" s="6"/>
      <c r="B41407" s="6"/>
      <c r="H41407" s="13"/>
    </row>
    <row r="41408">
      <c r="A41408" s="6"/>
      <c r="B41408" s="6"/>
      <c r="H41408" s="13"/>
    </row>
    <row r="41409">
      <c r="A41409" s="6"/>
      <c r="B41409" s="6"/>
      <c r="H41409" s="13"/>
    </row>
    <row r="41410">
      <c r="A41410" s="6"/>
      <c r="B41410" s="6"/>
      <c r="H41410" s="13"/>
    </row>
    <row r="41411">
      <c r="A41411" s="6"/>
      <c r="B41411" s="6"/>
      <c r="H41411" s="13"/>
    </row>
    <row r="41412">
      <c r="A41412" s="6"/>
      <c r="B41412" s="6"/>
      <c r="H41412" s="13"/>
    </row>
    <row r="41413">
      <c r="A41413" s="6"/>
      <c r="B41413" s="6"/>
      <c r="H41413" s="13"/>
    </row>
    <row r="41414">
      <c r="A41414" s="6"/>
      <c r="B41414" s="6"/>
      <c r="H41414" s="13"/>
    </row>
    <row r="41415">
      <c r="A41415" s="6"/>
      <c r="B41415" s="6"/>
      <c r="H41415" s="13"/>
    </row>
    <row r="41416">
      <c r="A41416" s="6"/>
      <c r="B41416" s="6"/>
      <c r="H41416" s="13"/>
    </row>
    <row r="41417">
      <c r="A41417" s="6"/>
      <c r="B41417" s="6"/>
      <c r="H41417" s="13"/>
    </row>
    <row r="41418">
      <c r="A41418" s="6"/>
      <c r="B41418" s="6"/>
      <c r="H41418" s="13"/>
    </row>
    <row r="41419">
      <c r="A41419" s="6"/>
      <c r="B41419" s="6"/>
      <c r="H41419" s="13"/>
    </row>
    <row r="41420">
      <c r="A41420" s="6"/>
      <c r="B41420" s="6"/>
      <c r="H41420" s="13"/>
    </row>
    <row r="41421">
      <c r="A41421" s="6"/>
      <c r="B41421" s="6"/>
      <c r="H41421" s="13"/>
    </row>
    <row r="41422">
      <c r="A41422" s="6"/>
      <c r="B41422" s="6"/>
      <c r="H41422" s="13"/>
    </row>
    <row r="41423">
      <c r="A41423" s="6"/>
      <c r="B41423" s="6"/>
      <c r="H41423" s="13"/>
    </row>
    <row r="41424">
      <c r="A41424" s="6"/>
      <c r="B41424" s="6"/>
      <c r="H41424" s="13"/>
    </row>
    <row r="41425">
      <c r="A41425" s="6"/>
      <c r="B41425" s="6"/>
      <c r="H41425" s="13"/>
    </row>
    <row r="41426">
      <c r="A41426" s="6"/>
      <c r="B41426" s="6"/>
      <c r="H41426" s="13"/>
    </row>
    <row r="41427">
      <c r="A41427" s="6"/>
      <c r="B41427" s="6"/>
      <c r="H41427" s="13"/>
    </row>
    <row r="41428">
      <c r="A41428" s="6"/>
      <c r="B41428" s="6"/>
      <c r="H41428" s="13"/>
    </row>
    <row r="41429">
      <c r="A41429" s="6"/>
      <c r="B41429" s="6"/>
      <c r="H41429" s="13"/>
    </row>
    <row r="41430">
      <c r="A41430" s="6"/>
      <c r="B41430" s="6"/>
      <c r="H41430" s="13"/>
    </row>
    <row r="41431">
      <c r="A41431" s="6"/>
      <c r="B41431" s="6"/>
      <c r="H41431" s="13"/>
    </row>
    <row r="41432">
      <c r="A41432" s="6"/>
      <c r="B41432" s="6"/>
      <c r="H41432" s="13"/>
    </row>
    <row r="41433">
      <c r="A41433" s="6"/>
      <c r="B41433" s="6"/>
      <c r="H41433" s="13"/>
    </row>
    <row r="41434">
      <c r="A41434" s="6"/>
      <c r="B41434" s="6"/>
      <c r="H41434" s="13"/>
    </row>
    <row r="41435">
      <c r="A41435" s="6"/>
      <c r="B41435" s="6"/>
      <c r="H41435" s="13"/>
    </row>
    <row r="41436">
      <c r="A41436" s="6"/>
      <c r="B41436" s="6"/>
      <c r="H41436" s="13"/>
    </row>
    <row r="41437">
      <c r="A41437" s="6"/>
      <c r="B41437" s="6"/>
      <c r="H41437" s="13"/>
    </row>
    <row r="41438">
      <c r="A41438" s="6"/>
      <c r="B41438" s="6"/>
      <c r="H41438" s="13"/>
    </row>
    <row r="41439">
      <c r="A41439" s="6"/>
      <c r="B41439" s="6"/>
      <c r="H41439" s="13"/>
    </row>
    <row r="41440">
      <c r="A41440" s="6"/>
      <c r="B41440" s="6"/>
      <c r="H41440" s="13"/>
    </row>
    <row r="41441">
      <c r="A41441" s="6"/>
      <c r="B41441" s="6"/>
      <c r="H41441" s="13"/>
    </row>
    <row r="41442">
      <c r="A41442" s="6"/>
      <c r="B41442" s="6"/>
      <c r="H41442" s="13"/>
    </row>
    <row r="41443">
      <c r="A41443" s="6"/>
      <c r="B41443" s="6"/>
      <c r="H41443" s="13"/>
    </row>
    <row r="41444">
      <c r="A41444" s="6"/>
      <c r="B41444" s="6"/>
      <c r="H41444" s="13"/>
    </row>
    <row r="41445">
      <c r="A41445" s="6"/>
      <c r="B41445" s="6"/>
      <c r="H41445" s="13"/>
    </row>
    <row r="41446">
      <c r="A41446" s="6"/>
      <c r="B41446" s="6"/>
      <c r="H41446" s="13"/>
    </row>
    <row r="41447">
      <c r="A41447" s="6"/>
      <c r="B41447" s="6"/>
      <c r="H41447" s="13"/>
    </row>
    <row r="41448">
      <c r="A41448" s="6"/>
      <c r="B41448" s="6"/>
      <c r="H41448" s="13"/>
    </row>
    <row r="41449">
      <c r="A41449" s="6"/>
      <c r="B41449" s="6"/>
      <c r="H41449" s="13"/>
    </row>
    <row r="41450">
      <c r="A41450" s="6"/>
      <c r="B41450" s="6"/>
      <c r="H41450" s="13"/>
    </row>
    <row r="41451">
      <c r="A41451" s="6"/>
      <c r="B41451" s="6"/>
      <c r="H41451" s="13"/>
    </row>
    <row r="41452">
      <c r="A41452" s="6"/>
      <c r="B41452" s="6"/>
      <c r="H41452" s="13"/>
    </row>
    <row r="41453">
      <c r="A41453" s="6"/>
      <c r="B41453" s="6"/>
      <c r="H41453" s="13"/>
    </row>
    <row r="41454">
      <c r="A41454" s="6"/>
      <c r="B41454" s="6"/>
      <c r="H41454" s="13"/>
    </row>
    <row r="41455">
      <c r="A41455" s="6"/>
      <c r="B41455" s="6"/>
      <c r="H41455" s="13"/>
    </row>
    <row r="41456">
      <c r="A41456" s="6"/>
      <c r="B41456" s="6"/>
      <c r="H41456" s="13"/>
    </row>
    <row r="41457">
      <c r="A41457" s="6"/>
      <c r="B41457" s="6"/>
      <c r="H41457" s="13"/>
    </row>
    <row r="41458">
      <c r="A41458" s="6"/>
      <c r="B41458" s="6"/>
      <c r="H41458" s="13"/>
    </row>
    <row r="41459">
      <c r="A41459" s="6"/>
      <c r="B41459" s="6"/>
      <c r="H41459" s="13"/>
    </row>
    <row r="41460">
      <c r="A41460" s="6"/>
      <c r="B41460" s="6"/>
      <c r="H41460" s="13"/>
    </row>
    <row r="41461">
      <c r="A41461" s="6"/>
      <c r="B41461" s="6"/>
      <c r="H41461" s="13"/>
    </row>
    <row r="41462">
      <c r="A41462" s="6"/>
      <c r="B41462" s="6"/>
      <c r="H41462" s="13"/>
    </row>
    <row r="41463">
      <c r="A41463" s="6"/>
      <c r="B41463" s="6"/>
      <c r="H41463" s="13"/>
    </row>
    <row r="41464">
      <c r="A41464" s="6"/>
      <c r="B41464" s="6"/>
      <c r="H41464" s="13"/>
    </row>
    <row r="41465">
      <c r="A41465" s="6"/>
      <c r="B41465" s="6"/>
      <c r="H41465" s="13"/>
    </row>
    <row r="41466">
      <c r="A41466" s="6"/>
      <c r="B41466" s="6"/>
      <c r="H41466" s="13"/>
    </row>
    <row r="41467">
      <c r="A41467" s="6"/>
      <c r="B41467" s="6"/>
      <c r="H41467" s="13"/>
    </row>
    <row r="41468">
      <c r="A41468" s="6"/>
      <c r="B41468" s="6"/>
      <c r="H41468" s="13"/>
    </row>
    <row r="41469">
      <c r="A41469" s="6"/>
      <c r="B41469" s="6"/>
      <c r="H41469" s="13"/>
    </row>
    <row r="41470">
      <c r="A41470" s="6"/>
      <c r="B41470" s="6"/>
      <c r="H41470" s="13"/>
    </row>
    <row r="41471">
      <c r="A41471" s="6"/>
      <c r="B41471" s="6"/>
      <c r="H41471" s="13"/>
    </row>
    <row r="41472">
      <c r="A41472" s="6"/>
      <c r="B41472" s="6"/>
      <c r="H41472" s="13"/>
    </row>
    <row r="41473">
      <c r="A41473" s="6"/>
      <c r="B41473" s="6"/>
      <c r="H41473" s="13"/>
    </row>
    <row r="41474">
      <c r="A41474" s="6"/>
      <c r="B41474" s="6"/>
      <c r="H41474" s="13"/>
    </row>
    <row r="41475">
      <c r="A41475" s="6"/>
      <c r="B41475" s="6"/>
      <c r="H41475" s="13"/>
    </row>
    <row r="41476">
      <c r="A41476" s="6"/>
      <c r="B41476" s="6"/>
      <c r="H41476" s="13"/>
    </row>
    <row r="41477">
      <c r="A41477" s="6"/>
      <c r="B41477" s="6"/>
      <c r="H41477" s="13"/>
    </row>
    <row r="41478">
      <c r="A41478" s="6"/>
      <c r="B41478" s="6"/>
      <c r="H41478" s="13"/>
    </row>
    <row r="41479">
      <c r="A41479" s="6"/>
      <c r="B41479" s="6"/>
      <c r="H41479" s="13"/>
    </row>
    <row r="41480">
      <c r="A41480" s="6"/>
      <c r="B41480" s="6"/>
      <c r="H41480" s="13"/>
    </row>
    <row r="41481">
      <c r="A41481" s="6"/>
      <c r="B41481" s="6"/>
      <c r="H41481" s="13"/>
    </row>
    <row r="41482">
      <c r="A41482" s="6"/>
      <c r="B41482" s="6"/>
      <c r="H41482" s="13"/>
    </row>
    <row r="41483">
      <c r="A41483" s="6"/>
      <c r="B41483" s="6"/>
      <c r="H41483" s="13"/>
    </row>
    <row r="41484">
      <c r="A41484" s="6"/>
      <c r="B41484" s="6"/>
      <c r="H41484" s="13"/>
    </row>
    <row r="41485">
      <c r="A41485" s="6"/>
      <c r="B41485" s="6"/>
      <c r="H41485" s="13"/>
    </row>
    <row r="41486">
      <c r="A41486" s="6"/>
      <c r="B41486" s="6"/>
      <c r="H41486" s="13"/>
    </row>
    <row r="41487">
      <c r="A41487" s="6"/>
      <c r="B41487" s="6"/>
      <c r="H41487" s="13"/>
    </row>
    <row r="41488">
      <c r="A41488" s="6"/>
      <c r="B41488" s="6"/>
      <c r="H41488" s="13"/>
    </row>
    <row r="41489">
      <c r="A41489" s="6"/>
      <c r="B41489" s="6"/>
      <c r="H41489" s="13"/>
    </row>
    <row r="41490">
      <c r="A41490" s="6"/>
      <c r="B41490" s="6"/>
      <c r="H41490" s="13"/>
    </row>
    <row r="41491">
      <c r="A41491" s="6"/>
      <c r="B41491" s="6"/>
      <c r="H41491" s="13"/>
    </row>
    <row r="41492">
      <c r="A41492" s="6"/>
      <c r="B41492" s="6"/>
      <c r="H41492" s="13"/>
    </row>
    <row r="41493">
      <c r="A41493" s="6"/>
      <c r="B41493" s="6"/>
      <c r="H41493" s="13"/>
    </row>
    <row r="41494">
      <c r="A41494" s="6"/>
      <c r="B41494" s="6"/>
      <c r="H41494" s="13"/>
    </row>
    <row r="41495">
      <c r="A41495" s="6"/>
      <c r="B41495" s="6"/>
      <c r="H41495" s="13"/>
    </row>
    <row r="41496">
      <c r="A41496" s="6"/>
      <c r="B41496" s="6"/>
      <c r="H41496" s="13"/>
    </row>
    <row r="41497">
      <c r="A41497" s="6"/>
      <c r="B41497" s="6"/>
      <c r="H41497" s="13"/>
    </row>
    <row r="41498">
      <c r="A41498" s="6"/>
      <c r="B41498" s="6"/>
      <c r="H41498" s="13"/>
    </row>
    <row r="41499">
      <c r="A41499" s="6"/>
      <c r="B41499" s="6"/>
      <c r="H41499" s="13"/>
    </row>
    <row r="41500">
      <c r="A41500" s="6"/>
      <c r="B41500" s="6"/>
      <c r="H41500" s="13"/>
    </row>
    <row r="41501">
      <c r="A41501" s="6"/>
      <c r="B41501" s="6"/>
      <c r="H41501" s="13"/>
    </row>
    <row r="41502">
      <c r="A41502" s="6"/>
      <c r="B41502" s="6"/>
      <c r="H41502" s="13"/>
    </row>
    <row r="41503">
      <c r="A41503" s="6"/>
      <c r="B41503" s="6"/>
      <c r="H41503" s="13"/>
    </row>
    <row r="41504">
      <c r="A41504" s="6"/>
      <c r="B41504" s="6"/>
      <c r="H41504" s="13"/>
    </row>
    <row r="41505">
      <c r="A41505" s="6"/>
      <c r="B41505" s="6"/>
      <c r="H41505" s="13"/>
    </row>
    <row r="41506">
      <c r="A41506" s="6"/>
      <c r="B41506" s="6"/>
      <c r="H41506" s="13"/>
    </row>
    <row r="41507">
      <c r="A41507" s="6"/>
      <c r="B41507" s="6"/>
      <c r="H41507" s="13"/>
    </row>
    <row r="41508">
      <c r="A41508" s="6"/>
      <c r="B41508" s="6"/>
      <c r="H41508" s="13"/>
    </row>
    <row r="41509">
      <c r="A41509" s="6"/>
      <c r="B41509" s="6"/>
      <c r="H41509" s="13"/>
    </row>
    <row r="41510">
      <c r="A41510" s="6"/>
      <c r="B41510" s="6"/>
      <c r="H41510" s="13"/>
    </row>
    <row r="41511">
      <c r="A41511" s="6"/>
      <c r="B41511" s="6"/>
      <c r="H41511" s="13"/>
    </row>
    <row r="41512">
      <c r="A41512" s="6"/>
      <c r="B41512" s="6"/>
      <c r="H41512" s="13"/>
    </row>
    <row r="41513">
      <c r="A41513" s="6"/>
      <c r="B41513" s="6"/>
      <c r="H41513" s="13"/>
    </row>
    <row r="41514">
      <c r="A41514" s="6"/>
      <c r="B41514" s="6"/>
      <c r="H41514" s="13"/>
    </row>
    <row r="41515">
      <c r="A41515" s="6"/>
      <c r="B41515" s="6"/>
      <c r="H41515" s="13"/>
    </row>
    <row r="41516">
      <c r="A41516" s="6"/>
      <c r="B41516" s="6"/>
      <c r="H41516" s="13"/>
    </row>
    <row r="41517">
      <c r="A41517" s="6"/>
      <c r="B41517" s="6"/>
      <c r="H41517" s="13"/>
    </row>
    <row r="41518">
      <c r="A41518" s="6"/>
      <c r="B41518" s="6"/>
      <c r="H41518" s="13"/>
    </row>
    <row r="41519">
      <c r="A41519" s="6"/>
      <c r="B41519" s="6"/>
      <c r="H41519" s="13"/>
    </row>
    <row r="41520">
      <c r="A41520" s="6"/>
      <c r="B41520" s="6"/>
      <c r="H41520" s="13"/>
    </row>
    <row r="41521">
      <c r="A41521" s="6"/>
      <c r="B41521" s="6"/>
      <c r="H41521" s="13"/>
    </row>
    <row r="41522">
      <c r="A41522" s="6"/>
      <c r="B41522" s="6"/>
      <c r="H41522" s="13"/>
    </row>
    <row r="41523">
      <c r="A41523" s="6"/>
      <c r="B41523" s="6"/>
      <c r="H41523" s="13"/>
    </row>
    <row r="41524">
      <c r="A41524" s="6"/>
      <c r="B41524" s="6"/>
      <c r="H41524" s="13"/>
    </row>
    <row r="41525">
      <c r="A41525" s="6"/>
      <c r="B41525" s="6"/>
      <c r="H41525" s="13"/>
    </row>
    <row r="41526">
      <c r="A41526" s="6"/>
      <c r="B41526" s="6"/>
      <c r="H41526" s="13"/>
    </row>
    <row r="41527">
      <c r="A41527" s="6"/>
      <c r="B41527" s="6"/>
      <c r="H41527" s="13"/>
    </row>
    <row r="41528">
      <c r="A41528" s="6"/>
      <c r="B41528" s="6"/>
      <c r="H41528" s="13"/>
    </row>
    <row r="41529">
      <c r="A41529" s="6"/>
      <c r="B41529" s="6"/>
      <c r="H41529" s="13"/>
    </row>
    <row r="41530">
      <c r="A41530" s="6"/>
      <c r="B41530" s="6"/>
      <c r="H41530" s="13"/>
    </row>
    <row r="41531">
      <c r="A41531" s="6"/>
      <c r="B41531" s="6"/>
      <c r="H41531" s="13"/>
    </row>
    <row r="41532">
      <c r="A41532" s="6"/>
      <c r="B41532" s="6"/>
      <c r="H41532" s="13"/>
    </row>
    <row r="41533">
      <c r="A41533" s="6"/>
      <c r="B41533" s="6"/>
      <c r="H41533" s="13"/>
    </row>
    <row r="41534">
      <c r="A41534" s="6"/>
      <c r="B41534" s="6"/>
      <c r="H41534" s="13"/>
    </row>
    <row r="41535">
      <c r="A41535" s="6"/>
      <c r="B41535" s="6"/>
      <c r="H41535" s="13"/>
    </row>
    <row r="41536">
      <c r="A41536" s="6"/>
      <c r="B41536" s="6"/>
      <c r="H41536" s="13"/>
    </row>
    <row r="41537">
      <c r="A41537" s="6"/>
      <c r="B41537" s="6"/>
      <c r="H41537" s="13"/>
    </row>
    <row r="41538">
      <c r="A41538" s="6"/>
      <c r="B41538" s="6"/>
      <c r="H41538" s="13"/>
    </row>
    <row r="41539">
      <c r="A41539" s="6"/>
      <c r="B41539" s="6"/>
      <c r="H41539" s="13"/>
    </row>
    <row r="41540">
      <c r="A41540" s="6"/>
      <c r="B41540" s="6"/>
      <c r="H41540" s="13"/>
    </row>
    <row r="41541">
      <c r="A41541" s="6"/>
      <c r="B41541" s="6"/>
      <c r="H41541" s="13"/>
    </row>
    <row r="41542">
      <c r="A41542" s="6"/>
      <c r="B41542" s="6"/>
      <c r="H41542" s="13"/>
    </row>
    <row r="41543">
      <c r="A41543" s="6"/>
      <c r="B41543" s="6"/>
      <c r="H41543" s="13"/>
    </row>
    <row r="41544">
      <c r="A41544" s="6"/>
      <c r="B41544" s="6"/>
      <c r="H41544" s="13"/>
    </row>
    <row r="41545">
      <c r="A41545" s="6"/>
      <c r="B41545" s="6"/>
      <c r="H41545" s="13"/>
    </row>
    <row r="41546">
      <c r="A41546" s="6"/>
      <c r="B41546" s="6"/>
      <c r="H41546" s="13"/>
    </row>
    <row r="41547">
      <c r="A41547" s="6"/>
      <c r="B41547" s="6"/>
      <c r="H41547" s="13"/>
    </row>
    <row r="41548">
      <c r="A41548" s="6"/>
      <c r="B41548" s="6"/>
      <c r="H41548" s="13"/>
    </row>
    <row r="41549">
      <c r="A41549" s="6"/>
      <c r="B41549" s="6"/>
      <c r="H41549" s="13"/>
    </row>
    <row r="41550">
      <c r="A41550" s="6"/>
      <c r="B41550" s="6"/>
      <c r="H41550" s="13"/>
    </row>
    <row r="41551">
      <c r="A41551" s="6"/>
      <c r="B41551" s="6"/>
      <c r="H41551" s="13"/>
    </row>
    <row r="41552">
      <c r="A41552" s="6"/>
      <c r="B41552" s="6"/>
      <c r="H41552" s="13"/>
    </row>
    <row r="41553">
      <c r="A41553" s="6"/>
      <c r="B41553" s="6"/>
      <c r="H41553" s="13"/>
    </row>
    <row r="41554">
      <c r="A41554" s="6"/>
      <c r="B41554" s="6"/>
      <c r="H41554" s="13"/>
    </row>
    <row r="41555">
      <c r="A41555" s="6"/>
      <c r="B41555" s="6"/>
      <c r="H41555" s="13"/>
    </row>
    <row r="41556">
      <c r="A41556" s="6"/>
      <c r="B41556" s="6"/>
      <c r="H41556" s="13"/>
    </row>
    <row r="41557">
      <c r="A41557" s="6"/>
      <c r="B41557" s="6"/>
      <c r="H41557" s="13"/>
    </row>
    <row r="41558">
      <c r="A41558" s="6"/>
      <c r="B41558" s="6"/>
      <c r="H41558" s="13"/>
    </row>
    <row r="41559">
      <c r="A41559" s="6"/>
      <c r="B41559" s="6"/>
      <c r="H41559" s="13"/>
    </row>
    <row r="41560">
      <c r="A41560" s="6"/>
      <c r="B41560" s="6"/>
      <c r="H41560" s="13"/>
    </row>
    <row r="41561">
      <c r="A41561" s="6"/>
      <c r="B41561" s="6"/>
      <c r="H41561" s="13"/>
    </row>
    <row r="41562">
      <c r="A41562" s="6"/>
      <c r="B41562" s="6"/>
      <c r="H41562" s="13"/>
    </row>
    <row r="41563">
      <c r="A41563" s="6"/>
      <c r="B41563" s="6"/>
      <c r="H41563" s="13"/>
    </row>
    <row r="41564">
      <c r="A41564" s="6"/>
      <c r="B41564" s="6"/>
      <c r="H41564" s="13"/>
    </row>
    <row r="41565">
      <c r="A41565" s="6"/>
      <c r="B41565" s="6"/>
      <c r="H41565" s="13"/>
    </row>
    <row r="41566">
      <c r="A41566" s="6"/>
      <c r="B41566" s="6"/>
      <c r="H41566" s="13"/>
    </row>
    <row r="41567">
      <c r="A41567" s="6"/>
      <c r="B41567" s="6"/>
      <c r="H41567" s="13"/>
    </row>
    <row r="41568">
      <c r="A41568" s="6"/>
      <c r="B41568" s="6"/>
      <c r="H41568" s="13"/>
    </row>
    <row r="41569">
      <c r="A41569" s="6"/>
      <c r="B41569" s="6"/>
      <c r="H41569" s="13"/>
    </row>
    <row r="41570">
      <c r="A41570" s="6"/>
      <c r="B41570" s="6"/>
      <c r="H41570" s="13"/>
    </row>
    <row r="41571">
      <c r="A41571" s="6"/>
      <c r="B41571" s="6"/>
      <c r="H41571" s="13"/>
    </row>
    <row r="41572">
      <c r="A41572" s="6"/>
      <c r="B41572" s="6"/>
      <c r="H41572" s="13"/>
    </row>
    <row r="41573">
      <c r="A41573" s="6"/>
      <c r="B41573" s="6"/>
      <c r="H41573" s="13"/>
    </row>
    <row r="41574">
      <c r="A41574" s="6"/>
      <c r="B41574" s="6"/>
      <c r="H41574" s="13"/>
    </row>
    <row r="41575">
      <c r="A41575" s="6"/>
      <c r="B41575" s="6"/>
      <c r="H41575" s="13"/>
    </row>
    <row r="41576">
      <c r="A41576" s="6"/>
      <c r="B41576" s="6"/>
      <c r="H41576" s="13"/>
    </row>
    <row r="41577">
      <c r="A41577" s="6"/>
      <c r="B41577" s="6"/>
      <c r="H41577" s="13"/>
    </row>
    <row r="41578">
      <c r="A41578" s="6"/>
      <c r="B41578" s="6"/>
      <c r="H41578" s="13"/>
    </row>
    <row r="41579">
      <c r="A41579" s="6"/>
      <c r="B41579" s="6"/>
      <c r="H41579" s="13"/>
    </row>
    <row r="41580">
      <c r="A41580" s="6"/>
      <c r="B41580" s="6"/>
      <c r="H41580" s="13"/>
    </row>
    <row r="41581">
      <c r="A41581" s="6"/>
      <c r="B41581" s="6"/>
      <c r="H41581" s="13"/>
    </row>
    <row r="41582">
      <c r="A41582" s="6"/>
      <c r="B41582" s="6"/>
      <c r="H41582" s="13"/>
    </row>
    <row r="41583">
      <c r="A41583" s="6"/>
      <c r="B41583" s="6"/>
      <c r="H41583" s="13"/>
    </row>
    <row r="41584">
      <c r="A41584" s="6"/>
      <c r="B41584" s="6"/>
      <c r="H41584" s="13"/>
    </row>
    <row r="41585">
      <c r="A41585" s="6"/>
      <c r="B41585" s="6"/>
      <c r="H41585" s="13"/>
    </row>
    <row r="41586">
      <c r="A41586" s="6"/>
      <c r="B41586" s="6"/>
      <c r="H41586" s="13"/>
    </row>
    <row r="41587">
      <c r="A41587" s="6"/>
      <c r="B41587" s="6"/>
      <c r="H41587" s="13"/>
    </row>
    <row r="41588">
      <c r="A41588" s="6"/>
      <c r="B41588" s="6"/>
      <c r="H41588" s="13"/>
    </row>
    <row r="41589">
      <c r="A41589" s="6"/>
      <c r="B41589" s="6"/>
      <c r="H41589" s="13"/>
    </row>
    <row r="41590">
      <c r="A41590" s="6"/>
      <c r="B41590" s="6"/>
      <c r="H41590" s="13"/>
    </row>
    <row r="41591">
      <c r="A41591" s="6"/>
      <c r="B41591" s="6"/>
      <c r="H41591" s="13"/>
    </row>
    <row r="41592">
      <c r="A41592" s="6"/>
      <c r="B41592" s="6"/>
      <c r="H41592" s="13"/>
    </row>
    <row r="41593">
      <c r="A41593" s="6"/>
      <c r="B41593" s="6"/>
      <c r="H41593" s="13"/>
    </row>
    <row r="41594">
      <c r="A41594" s="6"/>
      <c r="B41594" s="6"/>
      <c r="H41594" s="13"/>
    </row>
    <row r="41595">
      <c r="A41595" s="6"/>
      <c r="B41595" s="6"/>
      <c r="H41595" s="13"/>
    </row>
    <row r="41596">
      <c r="A41596" s="6"/>
      <c r="B41596" s="6"/>
      <c r="H41596" s="13"/>
    </row>
    <row r="41597">
      <c r="A41597" s="6"/>
      <c r="B41597" s="6"/>
      <c r="H41597" s="13"/>
    </row>
    <row r="41598">
      <c r="A41598" s="6"/>
      <c r="B41598" s="6"/>
      <c r="H41598" s="13"/>
    </row>
    <row r="41599">
      <c r="A41599" s="6"/>
      <c r="B41599" s="6"/>
      <c r="H41599" s="13"/>
    </row>
    <row r="41600">
      <c r="A41600" s="6"/>
      <c r="B41600" s="6"/>
      <c r="H41600" s="13"/>
    </row>
    <row r="41601">
      <c r="A41601" s="6"/>
      <c r="B41601" s="6"/>
      <c r="H41601" s="13"/>
    </row>
    <row r="41602">
      <c r="A41602" s="6"/>
      <c r="B41602" s="6"/>
      <c r="H41602" s="13"/>
    </row>
    <row r="41603">
      <c r="A41603" s="6"/>
      <c r="B41603" s="6"/>
      <c r="H41603" s="13"/>
    </row>
    <row r="41604">
      <c r="A41604" s="6"/>
      <c r="B41604" s="6"/>
      <c r="H41604" s="13"/>
    </row>
    <row r="41605">
      <c r="A41605" s="6"/>
      <c r="B41605" s="6"/>
      <c r="H41605" s="13"/>
    </row>
    <row r="41606">
      <c r="A41606" s="6"/>
      <c r="B41606" s="6"/>
      <c r="H41606" s="13"/>
    </row>
    <row r="41607">
      <c r="A41607" s="6"/>
      <c r="B41607" s="6"/>
      <c r="H41607" s="13"/>
    </row>
    <row r="41608">
      <c r="A41608" s="6"/>
      <c r="B41608" s="6"/>
      <c r="H41608" s="13"/>
    </row>
    <row r="41609">
      <c r="A41609" s="6"/>
      <c r="B41609" s="6"/>
      <c r="H41609" s="13"/>
    </row>
    <row r="41610">
      <c r="A41610" s="6"/>
      <c r="B41610" s="6"/>
      <c r="H41610" s="13"/>
    </row>
    <row r="41611">
      <c r="A41611" s="6"/>
      <c r="B41611" s="6"/>
      <c r="H41611" s="13"/>
    </row>
    <row r="41612">
      <c r="A41612" s="6"/>
      <c r="B41612" s="6"/>
      <c r="H41612" s="13"/>
    </row>
    <row r="41613">
      <c r="A41613" s="6"/>
      <c r="B41613" s="6"/>
      <c r="H41613" s="13"/>
    </row>
    <row r="41614">
      <c r="A41614" s="6"/>
      <c r="B41614" s="6"/>
      <c r="H41614" s="13"/>
    </row>
    <row r="41615">
      <c r="A41615" s="6"/>
      <c r="B41615" s="6"/>
      <c r="H41615" s="13"/>
    </row>
    <row r="41616">
      <c r="A41616" s="6"/>
      <c r="B41616" s="6"/>
      <c r="H41616" s="13"/>
    </row>
    <row r="41617">
      <c r="A41617" s="6"/>
      <c r="B41617" s="6"/>
      <c r="H41617" s="13"/>
    </row>
    <row r="41618">
      <c r="A41618" s="6"/>
      <c r="B41618" s="6"/>
      <c r="H41618" s="13"/>
    </row>
    <row r="41619">
      <c r="A41619" s="6"/>
      <c r="B41619" s="6"/>
      <c r="H41619" s="13"/>
    </row>
    <row r="41620">
      <c r="A41620" s="6"/>
      <c r="B41620" s="6"/>
      <c r="H41620" s="13"/>
    </row>
    <row r="41621">
      <c r="A41621" s="6"/>
      <c r="B41621" s="6"/>
      <c r="H41621" s="13"/>
    </row>
    <row r="41622">
      <c r="A41622" s="6"/>
      <c r="B41622" s="6"/>
      <c r="H41622" s="13"/>
    </row>
    <row r="41623">
      <c r="A41623" s="6"/>
      <c r="B41623" s="6"/>
      <c r="H41623" s="13"/>
    </row>
    <row r="41624">
      <c r="A41624" s="6"/>
      <c r="B41624" s="6"/>
      <c r="H41624" s="13"/>
    </row>
    <row r="41625">
      <c r="A41625" s="6"/>
      <c r="B41625" s="6"/>
      <c r="H41625" s="13"/>
    </row>
    <row r="41626">
      <c r="A41626" s="6"/>
      <c r="B41626" s="6"/>
      <c r="H41626" s="13"/>
    </row>
    <row r="41627">
      <c r="A41627" s="6"/>
      <c r="B41627" s="6"/>
      <c r="H41627" s="13"/>
    </row>
    <row r="41628">
      <c r="A41628" s="6"/>
      <c r="B41628" s="6"/>
      <c r="H41628" s="13"/>
    </row>
    <row r="41629">
      <c r="A41629" s="6"/>
      <c r="B41629" s="6"/>
      <c r="H41629" s="13"/>
    </row>
    <row r="41630">
      <c r="A41630" s="6"/>
      <c r="B41630" s="6"/>
      <c r="H41630" s="13"/>
    </row>
    <row r="41631">
      <c r="A41631" s="6"/>
      <c r="B41631" s="6"/>
      <c r="H41631" s="13"/>
    </row>
    <row r="41632">
      <c r="A41632" s="6"/>
      <c r="B41632" s="6"/>
      <c r="H41632" s="13"/>
    </row>
    <row r="41633">
      <c r="A41633" s="6"/>
      <c r="B41633" s="6"/>
      <c r="H41633" s="13"/>
    </row>
    <row r="41634">
      <c r="A41634" s="6"/>
      <c r="B41634" s="6"/>
      <c r="H41634" s="13"/>
    </row>
    <row r="41635">
      <c r="A41635" s="6"/>
      <c r="B41635" s="6"/>
      <c r="H41635" s="13"/>
    </row>
    <row r="41636">
      <c r="A41636" s="6"/>
      <c r="B41636" s="6"/>
      <c r="H41636" s="13"/>
    </row>
    <row r="41637">
      <c r="A41637" s="6"/>
      <c r="B41637" s="6"/>
      <c r="H41637" s="13"/>
    </row>
    <row r="41638">
      <c r="A41638" s="6"/>
      <c r="B41638" s="6"/>
      <c r="H41638" s="13"/>
    </row>
    <row r="41639">
      <c r="A41639" s="6"/>
      <c r="B41639" s="6"/>
      <c r="H41639" s="13"/>
    </row>
    <row r="41640">
      <c r="A41640" s="6"/>
      <c r="B41640" s="6"/>
      <c r="H41640" s="13"/>
    </row>
    <row r="41641">
      <c r="A41641" s="6"/>
      <c r="B41641" s="6"/>
      <c r="H41641" s="13"/>
    </row>
    <row r="41642">
      <c r="A41642" s="6"/>
      <c r="B41642" s="6"/>
      <c r="H41642" s="13"/>
    </row>
    <row r="41643">
      <c r="A41643" s="6"/>
      <c r="B41643" s="6"/>
      <c r="H41643" s="13"/>
    </row>
    <row r="41644">
      <c r="A41644" s="6"/>
      <c r="B41644" s="6"/>
      <c r="H41644" s="13"/>
    </row>
    <row r="41645">
      <c r="A41645" s="6"/>
      <c r="B41645" s="6"/>
      <c r="H41645" s="13"/>
    </row>
    <row r="41646">
      <c r="A41646" s="6"/>
      <c r="B41646" s="6"/>
      <c r="H41646" s="13"/>
    </row>
    <row r="41647">
      <c r="A41647" s="6"/>
      <c r="B41647" s="6"/>
      <c r="H41647" s="13"/>
    </row>
    <row r="41648">
      <c r="A41648" s="6"/>
      <c r="B41648" s="6"/>
      <c r="H41648" s="13"/>
    </row>
    <row r="41649">
      <c r="A41649" s="6"/>
      <c r="B41649" s="6"/>
      <c r="H41649" s="13"/>
    </row>
    <row r="41650">
      <c r="A41650" s="6"/>
      <c r="B41650" s="6"/>
      <c r="H41650" s="13"/>
    </row>
    <row r="41651">
      <c r="A41651" s="6"/>
      <c r="B41651" s="6"/>
      <c r="H41651" s="13"/>
    </row>
    <row r="41652">
      <c r="A41652" s="6"/>
      <c r="B41652" s="6"/>
      <c r="H41652" s="13"/>
    </row>
    <row r="41653">
      <c r="A41653" s="6"/>
      <c r="B41653" s="6"/>
      <c r="H41653" s="13"/>
    </row>
    <row r="41654">
      <c r="A41654" s="6"/>
      <c r="B41654" s="6"/>
      <c r="H41654" s="13"/>
    </row>
    <row r="41655">
      <c r="A41655" s="6"/>
      <c r="B41655" s="6"/>
      <c r="H41655" s="13"/>
    </row>
    <row r="41656">
      <c r="A41656" s="6"/>
      <c r="B41656" s="6"/>
      <c r="H41656" s="13"/>
    </row>
    <row r="41657">
      <c r="A41657" s="6"/>
      <c r="B41657" s="6"/>
      <c r="H41657" s="13"/>
    </row>
    <row r="41658">
      <c r="A41658" s="6"/>
      <c r="B41658" s="6"/>
      <c r="H41658" s="13"/>
    </row>
    <row r="41659">
      <c r="A41659" s="6"/>
      <c r="B41659" s="6"/>
      <c r="H41659" s="13"/>
    </row>
    <row r="41660">
      <c r="A41660" s="6"/>
      <c r="B41660" s="6"/>
      <c r="H41660" s="13"/>
    </row>
    <row r="41661">
      <c r="A41661" s="6"/>
      <c r="B41661" s="6"/>
      <c r="H41661" s="13"/>
    </row>
    <row r="41662">
      <c r="A41662" s="6"/>
      <c r="B41662" s="6"/>
      <c r="H41662" s="13"/>
    </row>
    <row r="41663">
      <c r="A41663" s="6"/>
      <c r="B41663" s="6"/>
      <c r="H41663" s="13"/>
    </row>
    <row r="41664">
      <c r="A41664" s="6"/>
      <c r="B41664" s="6"/>
      <c r="H41664" s="13"/>
    </row>
    <row r="41665">
      <c r="A41665" s="6"/>
      <c r="B41665" s="6"/>
      <c r="H41665" s="13"/>
    </row>
    <row r="41666">
      <c r="A41666" s="6"/>
      <c r="B41666" s="6"/>
      <c r="H41666" s="13"/>
    </row>
    <row r="41667">
      <c r="A41667" s="6"/>
      <c r="B41667" s="6"/>
      <c r="H41667" s="13"/>
    </row>
    <row r="41668">
      <c r="A41668" s="6"/>
      <c r="B41668" s="6"/>
      <c r="H41668" s="13"/>
    </row>
    <row r="41669">
      <c r="A41669" s="6"/>
      <c r="B41669" s="6"/>
      <c r="H41669" s="13"/>
    </row>
    <row r="41670">
      <c r="A41670" s="6"/>
      <c r="B41670" s="6"/>
      <c r="H41670" s="13"/>
    </row>
    <row r="41671">
      <c r="A41671" s="6"/>
      <c r="B41671" s="6"/>
      <c r="H41671" s="13"/>
    </row>
    <row r="41672">
      <c r="A41672" s="6"/>
      <c r="B41672" s="6"/>
      <c r="H41672" s="13"/>
    </row>
    <row r="41673">
      <c r="A41673" s="6"/>
      <c r="B41673" s="6"/>
      <c r="H41673" s="13"/>
    </row>
    <row r="41674">
      <c r="A41674" s="6"/>
      <c r="B41674" s="6"/>
      <c r="H41674" s="13"/>
    </row>
    <row r="41675">
      <c r="A41675" s="6"/>
      <c r="B41675" s="6"/>
      <c r="H41675" s="13"/>
    </row>
    <row r="41676">
      <c r="A41676" s="6"/>
      <c r="B41676" s="6"/>
      <c r="H41676" s="13"/>
    </row>
    <row r="41677">
      <c r="A41677" s="6"/>
      <c r="B41677" s="6"/>
      <c r="H41677" s="13"/>
    </row>
    <row r="41678">
      <c r="A41678" s="6"/>
      <c r="B41678" s="6"/>
      <c r="H41678" s="13"/>
    </row>
    <row r="41679">
      <c r="A41679" s="6"/>
      <c r="B41679" s="6"/>
      <c r="H41679" s="13"/>
    </row>
    <row r="41680">
      <c r="A41680" s="6"/>
      <c r="B41680" s="6"/>
      <c r="H41680" s="13"/>
    </row>
    <row r="41681">
      <c r="A41681" s="6"/>
      <c r="B41681" s="6"/>
      <c r="H41681" s="13"/>
    </row>
    <row r="41682">
      <c r="A41682" s="6"/>
      <c r="B41682" s="6"/>
      <c r="H41682" s="13"/>
    </row>
    <row r="41683">
      <c r="A41683" s="6"/>
      <c r="B41683" s="6"/>
      <c r="H41683" s="13"/>
    </row>
    <row r="41684">
      <c r="A41684" s="6"/>
      <c r="B41684" s="6"/>
      <c r="H41684" s="13"/>
    </row>
    <row r="41685">
      <c r="A41685" s="6"/>
      <c r="B41685" s="6"/>
      <c r="H41685" s="13"/>
    </row>
    <row r="41686">
      <c r="A41686" s="6"/>
      <c r="B41686" s="6"/>
      <c r="H41686" s="13"/>
    </row>
    <row r="41687">
      <c r="A41687" s="6"/>
      <c r="B41687" s="6"/>
      <c r="H41687" s="13"/>
    </row>
    <row r="41688">
      <c r="A41688" s="6"/>
      <c r="B41688" s="6"/>
      <c r="H41688" s="13"/>
    </row>
    <row r="41689">
      <c r="A41689" s="6"/>
      <c r="B41689" s="6"/>
      <c r="H41689" s="13"/>
    </row>
    <row r="41690">
      <c r="A41690" s="6"/>
      <c r="B41690" s="6"/>
      <c r="H41690" s="13"/>
    </row>
    <row r="41691">
      <c r="A41691" s="6"/>
      <c r="B41691" s="6"/>
      <c r="H41691" s="13"/>
    </row>
    <row r="41692">
      <c r="A41692" s="6"/>
      <c r="B41692" s="6"/>
      <c r="H41692" s="13"/>
    </row>
    <row r="41693">
      <c r="A41693" s="6"/>
      <c r="B41693" s="6"/>
      <c r="H41693" s="13"/>
    </row>
    <row r="41694">
      <c r="A41694" s="6"/>
      <c r="B41694" s="6"/>
      <c r="H41694" s="13"/>
    </row>
    <row r="41695">
      <c r="A41695" s="6"/>
      <c r="B41695" s="6"/>
      <c r="H41695" s="13"/>
    </row>
    <row r="41696">
      <c r="A41696" s="6"/>
      <c r="B41696" s="6"/>
      <c r="H41696" s="13"/>
    </row>
    <row r="41697">
      <c r="A41697" s="6"/>
      <c r="B41697" s="6"/>
      <c r="H41697" s="13"/>
    </row>
    <row r="41698">
      <c r="A41698" s="6"/>
      <c r="B41698" s="6"/>
      <c r="H41698" s="13"/>
    </row>
    <row r="41699">
      <c r="A41699" s="6"/>
      <c r="B41699" s="6"/>
      <c r="H41699" s="13"/>
    </row>
    <row r="41700">
      <c r="A41700" s="6"/>
      <c r="B41700" s="6"/>
      <c r="H41700" s="13"/>
    </row>
    <row r="41701">
      <c r="A41701" s="6"/>
      <c r="B41701" s="6"/>
      <c r="H41701" s="13"/>
    </row>
    <row r="41702">
      <c r="A41702" s="6"/>
      <c r="B41702" s="6"/>
      <c r="H41702" s="13"/>
    </row>
    <row r="41703">
      <c r="A41703" s="6"/>
      <c r="B41703" s="6"/>
      <c r="H41703" s="13"/>
    </row>
    <row r="41704">
      <c r="A41704" s="6"/>
      <c r="B41704" s="6"/>
      <c r="H41704" s="13"/>
    </row>
    <row r="41705">
      <c r="A41705" s="6"/>
      <c r="B41705" s="6"/>
      <c r="H41705" s="13"/>
    </row>
    <row r="41706">
      <c r="A41706" s="6"/>
      <c r="B41706" s="6"/>
      <c r="H41706" s="13"/>
    </row>
    <row r="41707">
      <c r="A41707" s="6"/>
      <c r="B41707" s="6"/>
      <c r="H41707" s="13"/>
    </row>
    <row r="41708">
      <c r="A41708" s="6"/>
      <c r="B41708" s="6"/>
      <c r="H41708" s="13"/>
    </row>
    <row r="41709">
      <c r="A41709" s="6"/>
      <c r="B41709" s="6"/>
      <c r="H41709" s="13"/>
    </row>
    <row r="41710">
      <c r="A41710" s="6"/>
      <c r="B41710" s="6"/>
      <c r="H41710" s="13"/>
    </row>
    <row r="41711">
      <c r="A41711" s="6"/>
      <c r="B41711" s="6"/>
      <c r="H41711" s="13"/>
    </row>
    <row r="41712">
      <c r="A41712" s="6"/>
      <c r="B41712" s="6"/>
      <c r="H41712" s="13"/>
    </row>
    <row r="41713">
      <c r="A41713" s="6"/>
      <c r="B41713" s="6"/>
      <c r="H41713" s="13"/>
    </row>
    <row r="41714">
      <c r="A41714" s="6"/>
      <c r="B41714" s="6"/>
      <c r="H41714" s="13"/>
    </row>
    <row r="41715">
      <c r="A41715" s="6"/>
      <c r="B41715" s="6"/>
      <c r="H41715" s="13"/>
    </row>
    <row r="41716">
      <c r="A41716" s="6"/>
      <c r="B41716" s="6"/>
      <c r="H41716" s="13"/>
    </row>
    <row r="41717">
      <c r="A41717" s="6"/>
      <c r="B41717" s="6"/>
      <c r="H41717" s="13"/>
    </row>
    <row r="41718">
      <c r="A41718" s="6"/>
      <c r="B41718" s="6"/>
      <c r="H41718" s="13"/>
    </row>
    <row r="41719">
      <c r="A41719" s="6"/>
      <c r="B41719" s="6"/>
      <c r="H41719" s="13"/>
    </row>
    <row r="41720">
      <c r="A41720" s="6"/>
      <c r="B41720" s="6"/>
      <c r="H41720" s="13"/>
    </row>
    <row r="41721">
      <c r="A41721" s="6"/>
      <c r="B41721" s="6"/>
      <c r="H41721" s="13"/>
    </row>
    <row r="41722">
      <c r="A41722" s="6"/>
      <c r="B41722" s="6"/>
      <c r="H41722" s="13"/>
    </row>
    <row r="41723">
      <c r="A41723" s="6"/>
      <c r="B41723" s="6"/>
      <c r="H41723" s="13"/>
    </row>
    <row r="41724">
      <c r="A41724" s="6"/>
      <c r="B41724" s="6"/>
      <c r="H41724" s="13"/>
    </row>
    <row r="41725">
      <c r="A41725" s="6"/>
      <c r="B41725" s="6"/>
      <c r="H41725" s="13"/>
    </row>
    <row r="41726">
      <c r="A41726" s="6"/>
      <c r="B41726" s="6"/>
      <c r="H41726" s="13"/>
    </row>
    <row r="41727">
      <c r="A41727" s="6"/>
      <c r="B41727" s="6"/>
      <c r="H41727" s="13"/>
    </row>
    <row r="41728">
      <c r="A41728" s="6"/>
      <c r="B41728" s="6"/>
      <c r="H41728" s="13"/>
    </row>
    <row r="41729">
      <c r="A41729" s="6"/>
      <c r="B41729" s="6"/>
      <c r="H41729" s="13"/>
    </row>
    <row r="41730">
      <c r="A41730" s="6"/>
      <c r="B41730" s="6"/>
      <c r="H41730" s="13"/>
    </row>
    <row r="41731">
      <c r="A41731" s="6"/>
      <c r="B41731" s="6"/>
      <c r="H41731" s="13"/>
    </row>
    <row r="41732">
      <c r="A41732" s="6"/>
      <c r="B41732" s="6"/>
      <c r="H41732" s="13"/>
    </row>
    <row r="41733">
      <c r="A41733" s="6"/>
      <c r="B41733" s="6"/>
      <c r="H41733" s="13"/>
    </row>
    <row r="41734">
      <c r="A41734" s="6"/>
      <c r="B41734" s="6"/>
      <c r="H41734" s="13"/>
    </row>
    <row r="41735">
      <c r="A41735" s="6"/>
      <c r="B41735" s="6"/>
      <c r="H41735" s="13"/>
    </row>
    <row r="41736">
      <c r="A41736" s="6"/>
      <c r="B41736" s="6"/>
      <c r="H41736" s="13"/>
    </row>
    <row r="41737">
      <c r="A41737" s="6"/>
      <c r="B41737" s="6"/>
      <c r="H41737" s="13"/>
    </row>
    <row r="41738">
      <c r="A41738" s="6"/>
      <c r="B41738" s="6"/>
      <c r="H41738" s="13"/>
    </row>
    <row r="41739">
      <c r="A41739" s="6"/>
      <c r="B41739" s="6"/>
      <c r="H41739" s="13"/>
    </row>
    <row r="41740">
      <c r="A41740" s="6"/>
      <c r="B41740" s="6"/>
      <c r="H41740" s="13"/>
    </row>
    <row r="41741">
      <c r="A41741" s="6"/>
      <c r="B41741" s="6"/>
      <c r="H41741" s="13"/>
    </row>
    <row r="41742">
      <c r="A41742" s="6"/>
      <c r="B41742" s="6"/>
      <c r="H41742" s="13"/>
    </row>
    <row r="41743">
      <c r="A41743" s="6"/>
      <c r="B41743" s="6"/>
      <c r="H41743" s="13"/>
    </row>
    <row r="41744">
      <c r="A41744" s="6"/>
      <c r="B41744" s="6"/>
      <c r="H41744" s="13"/>
    </row>
    <row r="41745">
      <c r="A41745" s="6"/>
      <c r="B41745" s="6"/>
      <c r="H41745" s="13"/>
    </row>
    <row r="41746">
      <c r="A41746" s="6"/>
      <c r="B41746" s="6"/>
      <c r="H41746" s="13"/>
    </row>
    <row r="41747">
      <c r="A41747" s="6"/>
      <c r="B41747" s="6"/>
      <c r="H41747" s="13"/>
    </row>
    <row r="41748">
      <c r="A41748" s="6"/>
      <c r="B41748" s="6"/>
      <c r="H41748" s="13"/>
    </row>
    <row r="41749">
      <c r="A41749" s="6"/>
      <c r="B41749" s="6"/>
      <c r="H41749" s="13"/>
    </row>
    <row r="41750">
      <c r="A41750" s="6"/>
      <c r="B41750" s="6"/>
      <c r="H41750" s="13"/>
    </row>
    <row r="41751">
      <c r="A41751" s="6"/>
      <c r="B41751" s="6"/>
      <c r="H41751" s="13"/>
    </row>
    <row r="41752">
      <c r="A41752" s="6"/>
      <c r="B41752" s="6"/>
      <c r="H41752" s="13"/>
    </row>
    <row r="41753">
      <c r="A41753" s="6"/>
      <c r="B41753" s="6"/>
      <c r="H41753" s="13"/>
    </row>
    <row r="41754">
      <c r="A41754" s="6"/>
      <c r="B41754" s="6"/>
      <c r="H41754" s="13"/>
    </row>
    <row r="41755">
      <c r="A41755" s="6"/>
      <c r="B41755" s="6"/>
      <c r="H41755" s="13"/>
    </row>
    <row r="41756">
      <c r="A41756" s="6"/>
      <c r="B41756" s="6"/>
      <c r="H41756" s="13"/>
    </row>
    <row r="41757">
      <c r="A41757" s="6"/>
      <c r="B41757" s="6"/>
      <c r="H41757" s="13"/>
    </row>
    <row r="41758">
      <c r="A41758" s="6"/>
      <c r="B41758" s="6"/>
      <c r="H41758" s="13"/>
    </row>
    <row r="41759">
      <c r="A41759" s="6"/>
      <c r="B41759" s="6"/>
      <c r="H41759" s="13"/>
    </row>
    <row r="41760">
      <c r="A41760" s="6"/>
      <c r="B41760" s="6"/>
      <c r="H41760" s="13"/>
    </row>
    <row r="41761">
      <c r="A41761" s="6"/>
      <c r="B41761" s="6"/>
      <c r="H41761" s="13"/>
    </row>
    <row r="41762">
      <c r="A41762" s="6"/>
      <c r="B41762" s="6"/>
      <c r="H41762" s="13"/>
    </row>
    <row r="41763">
      <c r="A41763" s="6"/>
      <c r="B41763" s="6"/>
      <c r="H41763" s="13"/>
    </row>
    <row r="41764">
      <c r="A41764" s="6"/>
      <c r="B41764" s="6"/>
      <c r="H41764" s="13"/>
    </row>
    <row r="41765">
      <c r="A41765" s="6"/>
      <c r="B41765" s="6"/>
      <c r="H41765" s="13"/>
    </row>
    <row r="41766">
      <c r="A41766" s="6"/>
      <c r="B41766" s="6"/>
      <c r="H41766" s="13"/>
    </row>
    <row r="41767">
      <c r="A41767" s="6"/>
      <c r="B41767" s="6"/>
      <c r="H41767" s="13"/>
    </row>
    <row r="41768">
      <c r="A41768" s="6"/>
      <c r="B41768" s="6"/>
      <c r="H41768" s="13"/>
    </row>
    <row r="41769">
      <c r="A41769" s="6"/>
      <c r="B41769" s="6"/>
      <c r="H41769" s="13"/>
    </row>
    <row r="41770">
      <c r="A41770" s="6"/>
      <c r="B41770" s="6"/>
      <c r="H41770" s="13"/>
    </row>
    <row r="41771">
      <c r="A41771" s="6"/>
      <c r="B41771" s="6"/>
      <c r="H41771" s="13"/>
    </row>
    <row r="41772">
      <c r="A41772" s="6"/>
      <c r="B41772" s="6"/>
      <c r="H41772" s="13"/>
    </row>
    <row r="41773">
      <c r="A41773" s="6"/>
      <c r="B41773" s="6"/>
      <c r="H41773" s="13"/>
    </row>
    <row r="41774">
      <c r="A41774" s="6"/>
      <c r="B41774" s="6"/>
      <c r="H41774" s="13"/>
    </row>
    <row r="41775">
      <c r="A41775" s="6"/>
      <c r="B41775" s="6"/>
      <c r="H41775" s="13"/>
    </row>
    <row r="41776">
      <c r="A41776" s="6"/>
      <c r="B41776" s="6"/>
      <c r="H41776" s="13"/>
    </row>
    <row r="41777">
      <c r="A41777" s="6"/>
      <c r="B41777" s="6"/>
      <c r="H41777" s="13"/>
    </row>
    <row r="41778">
      <c r="A41778" s="6"/>
      <c r="B41778" s="6"/>
      <c r="H41778" s="13"/>
    </row>
    <row r="41779">
      <c r="A41779" s="6"/>
      <c r="B41779" s="6"/>
      <c r="H41779" s="13"/>
    </row>
    <row r="41780">
      <c r="A41780" s="6"/>
      <c r="B41780" s="6"/>
      <c r="H41780" s="13"/>
    </row>
    <row r="41781">
      <c r="A41781" s="6"/>
      <c r="B41781" s="6"/>
      <c r="H41781" s="13"/>
    </row>
    <row r="41782">
      <c r="A41782" s="6"/>
      <c r="B41782" s="6"/>
      <c r="H41782" s="13"/>
    </row>
    <row r="41783">
      <c r="A41783" s="6"/>
      <c r="B41783" s="6"/>
      <c r="H41783" s="13"/>
    </row>
    <row r="41784">
      <c r="A41784" s="6"/>
      <c r="B41784" s="6"/>
      <c r="H41784" s="13"/>
    </row>
    <row r="41785">
      <c r="A41785" s="6"/>
      <c r="B41785" s="6"/>
      <c r="H41785" s="13"/>
    </row>
    <row r="41786">
      <c r="A41786" s="6"/>
      <c r="B41786" s="6"/>
      <c r="H41786" s="13"/>
    </row>
    <row r="41787">
      <c r="A41787" s="6"/>
      <c r="B41787" s="6"/>
      <c r="H41787" s="13"/>
    </row>
    <row r="41788">
      <c r="A41788" s="6"/>
      <c r="B41788" s="6"/>
      <c r="H41788" s="13"/>
    </row>
    <row r="41789">
      <c r="A41789" s="6"/>
      <c r="B41789" s="6"/>
      <c r="H41789" s="13"/>
    </row>
    <row r="41790">
      <c r="A41790" s="6"/>
      <c r="B41790" s="6"/>
      <c r="H41790" s="13"/>
    </row>
    <row r="41791">
      <c r="A41791" s="6"/>
      <c r="B41791" s="6"/>
      <c r="H41791" s="13"/>
    </row>
    <row r="41792">
      <c r="A41792" s="6"/>
      <c r="B41792" s="6"/>
      <c r="H41792" s="13"/>
    </row>
    <row r="41793">
      <c r="A41793" s="6"/>
      <c r="B41793" s="6"/>
      <c r="H41793" s="13"/>
    </row>
    <row r="41794">
      <c r="A41794" s="6"/>
      <c r="B41794" s="6"/>
      <c r="H41794" s="13"/>
    </row>
    <row r="41795">
      <c r="A41795" s="6"/>
      <c r="B41795" s="6"/>
      <c r="H41795" s="13"/>
    </row>
    <row r="41796">
      <c r="A41796" s="6"/>
      <c r="B41796" s="6"/>
      <c r="H41796" s="13"/>
    </row>
    <row r="41797">
      <c r="A41797" s="6"/>
      <c r="B41797" s="6"/>
      <c r="H41797" s="13"/>
    </row>
    <row r="41798">
      <c r="A41798" s="6"/>
      <c r="B41798" s="6"/>
      <c r="H41798" s="13"/>
    </row>
    <row r="41799">
      <c r="A41799" s="6"/>
      <c r="B41799" s="6"/>
      <c r="H41799" s="13"/>
    </row>
    <row r="41800">
      <c r="A41800" s="6"/>
      <c r="B41800" s="6"/>
      <c r="H41800" s="13"/>
    </row>
    <row r="41801">
      <c r="A41801" s="6"/>
      <c r="B41801" s="6"/>
      <c r="H41801" s="13"/>
    </row>
    <row r="41802">
      <c r="A41802" s="6"/>
      <c r="B41802" s="6"/>
      <c r="H41802" s="13"/>
    </row>
    <row r="41803">
      <c r="A41803" s="6"/>
      <c r="B41803" s="6"/>
      <c r="H41803" s="13"/>
    </row>
    <row r="41804">
      <c r="A41804" s="6"/>
      <c r="B41804" s="6"/>
      <c r="H41804" s="13"/>
    </row>
    <row r="41805">
      <c r="A41805" s="6"/>
      <c r="B41805" s="6"/>
      <c r="H41805" s="13"/>
    </row>
    <row r="41806">
      <c r="A41806" s="6"/>
      <c r="B41806" s="6"/>
      <c r="H41806" s="13"/>
    </row>
    <row r="41807">
      <c r="A41807" s="6"/>
      <c r="B41807" s="6"/>
      <c r="H41807" s="13"/>
    </row>
    <row r="41808">
      <c r="A41808" s="6"/>
      <c r="B41808" s="6"/>
      <c r="H41808" s="13"/>
    </row>
    <row r="41809">
      <c r="A41809" s="6"/>
      <c r="B41809" s="6"/>
      <c r="H41809" s="13"/>
    </row>
    <row r="41810">
      <c r="A41810" s="6"/>
      <c r="B41810" s="6"/>
      <c r="H41810" s="13"/>
    </row>
    <row r="41811">
      <c r="A41811" s="6"/>
      <c r="B41811" s="6"/>
      <c r="H41811" s="13"/>
    </row>
    <row r="41812">
      <c r="A41812" s="6"/>
      <c r="B41812" s="6"/>
      <c r="H41812" s="13"/>
    </row>
    <row r="41813">
      <c r="A41813" s="6"/>
      <c r="B41813" s="6"/>
      <c r="H41813" s="13"/>
    </row>
    <row r="41814">
      <c r="A41814" s="6"/>
      <c r="B41814" s="6"/>
      <c r="H41814" s="13"/>
    </row>
    <row r="41815">
      <c r="A41815" s="6"/>
      <c r="B41815" s="6"/>
      <c r="H41815" s="13"/>
    </row>
    <row r="41816">
      <c r="A41816" s="6"/>
      <c r="B41816" s="6"/>
      <c r="H41816" s="13"/>
    </row>
    <row r="41817">
      <c r="A41817" s="6"/>
      <c r="B41817" s="6"/>
      <c r="H41817" s="13"/>
    </row>
    <row r="41818">
      <c r="A41818" s="6"/>
      <c r="B41818" s="6"/>
      <c r="H41818" s="13"/>
    </row>
    <row r="41819">
      <c r="A41819" s="6"/>
      <c r="B41819" s="6"/>
      <c r="H41819" s="13"/>
    </row>
    <row r="41820">
      <c r="A41820" s="6"/>
      <c r="B41820" s="6"/>
      <c r="H41820" s="13"/>
    </row>
    <row r="41821">
      <c r="A41821" s="6"/>
      <c r="B41821" s="6"/>
      <c r="H41821" s="13"/>
    </row>
    <row r="41822">
      <c r="A41822" s="6"/>
      <c r="B41822" s="6"/>
      <c r="H41822" s="13"/>
    </row>
    <row r="41823">
      <c r="A41823" s="6"/>
      <c r="B41823" s="6"/>
      <c r="H41823" s="13"/>
    </row>
    <row r="41824">
      <c r="A41824" s="6"/>
      <c r="B41824" s="6"/>
      <c r="H41824" s="13"/>
    </row>
    <row r="41825">
      <c r="A41825" s="6"/>
      <c r="B41825" s="6"/>
      <c r="H41825" s="13"/>
    </row>
    <row r="41826">
      <c r="A41826" s="6"/>
      <c r="B41826" s="6"/>
      <c r="H41826" s="13"/>
    </row>
    <row r="41827">
      <c r="A41827" s="6"/>
      <c r="B41827" s="6"/>
      <c r="H41827" s="13"/>
    </row>
    <row r="41828">
      <c r="A41828" s="6"/>
      <c r="B41828" s="6"/>
      <c r="H41828" s="13"/>
    </row>
    <row r="41829">
      <c r="A41829" s="6"/>
      <c r="B41829" s="6"/>
      <c r="H41829" s="13"/>
    </row>
    <row r="41830">
      <c r="A41830" s="6"/>
      <c r="B41830" s="6"/>
      <c r="H41830" s="13"/>
    </row>
    <row r="41831">
      <c r="A41831" s="6"/>
      <c r="B41831" s="6"/>
      <c r="H41831" s="13"/>
    </row>
    <row r="41832">
      <c r="A41832" s="6"/>
      <c r="B41832" s="6"/>
      <c r="H41832" s="13"/>
    </row>
    <row r="41833">
      <c r="A41833" s="6"/>
      <c r="B41833" s="6"/>
      <c r="H41833" s="13"/>
    </row>
    <row r="41834">
      <c r="A41834" s="6"/>
      <c r="B41834" s="6"/>
      <c r="H41834" s="13"/>
    </row>
    <row r="41835">
      <c r="A41835" s="6"/>
      <c r="B41835" s="6"/>
      <c r="H41835" s="13"/>
    </row>
    <row r="41836">
      <c r="A41836" s="6"/>
      <c r="B41836" s="6"/>
      <c r="H41836" s="13"/>
    </row>
    <row r="41837">
      <c r="A41837" s="6"/>
      <c r="B41837" s="6"/>
      <c r="H41837" s="13"/>
    </row>
    <row r="41838">
      <c r="A41838" s="6"/>
      <c r="B41838" s="6"/>
      <c r="H41838" s="13"/>
    </row>
    <row r="41839">
      <c r="A41839" s="6"/>
      <c r="B41839" s="6"/>
      <c r="H41839" s="13"/>
    </row>
    <row r="41840">
      <c r="A41840" s="6"/>
      <c r="B41840" s="6"/>
      <c r="H41840" s="13"/>
    </row>
    <row r="41841">
      <c r="A41841" s="6"/>
      <c r="B41841" s="6"/>
      <c r="H41841" s="13"/>
    </row>
    <row r="41842">
      <c r="A41842" s="6"/>
      <c r="B41842" s="6"/>
      <c r="H41842" s="13"/>
    </row>
    <row r="41843">
      <c r="A41843" s="6"/>
      <c r="B41843" s="6"/>
      <c r="H41843" s="13"/>
    </row>
    <row r="41844">
      <c r="A41844" s="6"/>
      <c r="B41844" s="6"/>
      <c r="H41844" s="13"/>
    </row>
    <row r="41845">
      <c r="A41845" s="6"/>
      <c r="B41845" s="6"/>
      <c r="H41845" s="13"/>
    </row>
    <row r="41846">
      <c r="A41846" s="6"/>
      <c r="B41846" s="6"/>
      <c r="H41846" s="13"/>
    </row>
    <row r="41847">
      <c r="A41847" s="6"/>
      <c r="B41847" s="6"/>
      <c r="H41847" s="13"/>
    </row>
    <row r="41848">
      <c r="A41848" s="6"/>
      <c r="B41848" s="6"/>
      <c r="H41848" s="13"/>
    </row>
    <row r="41849">
      <c r="A41849" s="6"/>
      <c r="B41849" s="6"/>
      <c r="H41849" s="13"/>
    </row>
    <row r="41850">
      <c r="A41850" s="6"/>
      <c r="B41850" s="6"/>
      <c r="H41850" s="13"/>
    </row>
    <row r="41851">
      <c r="A41851" s="6"/>
      <c r="B41851" s="6"/>
      <c r="H41851" s="13"/>
    </row>
    <row r="41852">
      <c r="A41852" s="6"/>
      <c r="B41852" s="6"/>
      <c r="H41852" s="13"/>
    </row>
    <row r="41853">
      <c r="A41853" s="6"/>
      <c r="B41853" s="6"/>
      <c r="H41853" s="13"/>
    </row>
    <row r="41854">
      <c r="A41854" s="6"/>
      <c r="B41854" s="6"/>
      <c r="H41854" s="13"/>
    </row>
    <row r="41855">
      <c r="A41855" s="6"/>
      <c r="B41855" s="6"/>
      <c r="H41855" s="13"/>
    </row>
    <row r="41856">
      <c r="A41856" s="6"/>
      <c r="B41856" s="6"/>
      <c r="H41856" s="13"/>
    </row>
    <row r="41857">
      <c r="A41857" s="6"/>
      <c r="B41857" s="6"/>
      <c r="H41857" s="13"/>
    </row>
    <row r="41858">
      <c r="A41858" s="6"/>
      <c r="B41858" s="6"/>
      <c r="H41858" s="13"/>
    </row>
    <row r="41859">
      <c r="A41859" s="6"/>
      <c r="B41859" s="6"/>
      <c r="H41859" s="13"/>
    </row>
    <row r="41860">
      <c r="A41860" s="6"/>
      <c r="B41860" s="6"/>
      <c r="H41860" s="13"/>
    </row>
    <row r="41861">
      <c r="A41861" s="6"/>
      <c r="B41861" s="6"/>
      <c r="H41861" s="13"/>
    </row>
    <row r="41862">
      <c r="A41862" s="6"/>
      <c r="B41862" s="6"/>
      <c r="H41862" s="13"/>
    </row>
    <row r="41863">
      <c r="A41863" s="6"/>
      <c r="B41863" s="6"/>
      <c r="H41863" s="13"/>
    </row>
    <row r="41864">
      <c r="A41864" s="6"/>
      <c r="B41864" s="6"/>
      <c r="H41864" s="13"/>
    </row>
    <row r="41865">
      <c r="A41865" s="6"/>
      <c r="B41865" s="6"/>
      <c r="H41865" s="13"/>
    </row>
    <row r="41866">
      <c r="A41866" s="6"/>
      <c r="B41866" s="6"/>
      <c r="H41866" s="13"/>
    </row>
    <row r="41867">
      <c r="A41867" s="6"/>
      <c r="B41867" s="6"/>
      <c r="H41867" s="13"/>
    </row>
    <row r="41868">
      <c r="A41868" s="6"/>
      <c r="B41868" s="6"/>
      <c r="H41868" s="13"/>
    </row>
    <row r="41869">
      <c r="A41869" s="6"/>
      <c r="B41869" s="6"/>
      <c r="H41869" s="13"/>
    </row>
    <row r="41870">
      <c r="A41870" s="6"/>
      <c r="B41870" s="6"/>
      <c r="H41870" s="13"/>
    </row>
    <row r="41871">
      <c r="A41871" s="6"/>
      <c r="B41871" s="6"/>
      <c r="H41871" s="13"/>
    </row>
    <row r="41872">
      <c r="A41872" s="6"/>
      <c r="B41872" s="6"/>
      <c r="H41872" s="13"/>
    </row>
    <row r="41873">
      <c r="A41873" s="6"/>
      <c r="B41873" s="6"/>
      <c r="H41873" s="13"/>
    </row>
    <row r="41874">
      <c r="A41874" s="6"/>
      <c r="B41874" s="6"/>
      <c r="H41874" s="13"/>
    </row>
    <row r="41875">
      <c r="A41875" s="6"/>
      <c r="B41875" s="6"/>
      <c r="H41875" s="13"/>
    </row>
    <row r="41876">
      <c r="A41876" s="6"/>
      <c r="B41876" s="6"/>
      <c r="H41876" s="13"/>
    </row>
    <row r="41877">
      <c r="A41877" s="6"/>
      <c r="B41877" s="6"/>
      <c r="H41877" s="13"/>
    </row>
    <row r="41878">
      <c r="A41878" s="6"/>
      <c r="B41878" s="6"/>
      <c r="H41878" s="13"/>
    </row>
    <row r="41879">
      <c r="A41879" s="6"/>
      <c r="B41879" s="6"/>
      <c r="H41879" s="13"/>
    </row>
    <row r="41880">
      <c r="A41880" s="6"/>
      <c r="B41880" s="6"/>
      <c r="H41880" s="13"/>
    </row>
    <row r="41881">
      <c r="A41881" s="6"/>
      <c r="B41881" s="6"/>
      <c r="H41881" s="13"/>
    </row>
    <row r="41882">
      <c r="A41882" s="6"/>
      <c r="B41882" s="6"/>
      <c r="H41882" s="13"/>
    </row>
    <row r="41883">
      <c r="A41883" s="6"/>
      <c r="B41883" s="6"/>
      <c r="H41883" s="13"/>
    </row>
    <row r="41884">
      <c r="A41884" s="6"/>
      <c r="B41884" s="6"/>
      <c r="H41884" s="13"/>
    </row>
    <row r="41885">
      <c r="A41885" s="6"/>
      <c r="B41885" s="6"/>
      <c r="H41885" s="13"/>
    </row>
    <row r="41886">
      <c r="A41886" s="6"/>
      <c r="B41886" s="6"/>
      <c r="H41886" s="13"/>
    </row>
    <row r="41887">
      <c r="A41887" s="6"/>
      <c r="B41887" s="6"/>
      <c r="H41887" s="13"/>
    </row>
    <row r="41888">
      <c r="A41888" s="6"/>
      <c r="B41888" s="6"/>
      <c r="H41888" s="13"/>
    </row>
    <row r="41889">
      <c r="A41889" s="6"/>
      <c r="B41889" s="6"/>
      <c r="H41889" s="13"/>
    </row>
    <row r="41890">
      <c r="A41890" s="6"/>
      <c r="B41890" s="6"/>
      <c r="H41890" s="13"/>
    </row>
    <row r="41891">
      <c r="A41891" s="6"/>
      <c r="B41891" s="6"/>
      <c r="H41891" s="13"/>
    </row>
    <row r="41892">
      <c r="A41892" s="6"/>
      <c r="B41892" s="6"/>
      <c r="H41892" s="13"/>
    </row>
    <row r="41893">
      <c r="A41893" s="6"/>
      <c r="B41893" s="6"/>
      <c r="H41893" s="13"/>
    </row>
    <row r="41894">
      <c r="A41894" s="6"/>
      <c r="B41894" s="6"/>
      <c r="H41894" s="13"/>
    </row>
    <row r="41895">
      <c r="A41895" s="6"/>
      <c r="B41895" s="6"/>
      <c r="H41895" s="13"/>
    </row>
    <row r="41896">
      <c r="A41896" s="6"/>
      <c r="B41896" s="6"/>
      <c r="H41896" s="13"/>
    </row>
    <row r="41897">
      <c r="A41897" s="6"/>
      <c r="B41897" s="6"/>
      <c r="H41897" s="13"/>
    </row>
    <row r="41898">
      <c r="A41898" s="6"/>
      <c r="B41898" s="6"/>
      <c r="H41898" s="13"/>
    </row>
    <row r="41899">
      <c r="A41899" s="6"/>
      <c r="B41899" s="6"/>
      <c r="H41899" s="13"/>
    </row>
    <row r="41900">
      <c r="A41900" s="6"/>
      <c r="B41900" s="6"/>
      <c r="H41900" s="13"/>
    </row>
    <row r="41901">
      <c r="A41901" s="6"/>
      <c r="B41901" s="6"/>
      <c r="H41901" s="13"/>
    </row>
    <row r="41902">
      <c r="A41902" s="6"/>
      <c r="B41902" s="6"/>
      <c r="H41902" s="13"/>
    </row>
    <row r="41903">
      <c r="A41903" s="6"/>
      <c r="B41903" s="6"/>
      <c r="H41903" s="13"/>
    </row>
    <row r="41904">
      <c r="A41904" s="6"/>
      <c r="B41904" s="6"/>
      <c r="H41904" s="13"/>
    </row>
    <row r="41905">
      <c r="A41905" s="6"/>
      <c r="B41905" s="6"/>
      <c r="H41905" s="13"/>
    </row>
    <row r="41906">
      <c r="A41906" s="6"/>
      <c r="B41906" s="6"/>
      <c r="H41906" s="13"/>
    </row>
    <row r="41907">
      <c r="A41907" s="6"/>
      <c r="B41907" s="6"/>
      <c r="H41907" s="13"/>
    </row>
    <row r="41908">
      <c r="A41908" s="6"/>
      <c r="B41908" s="6"/>
      <c r="H41908" s="13"/>
    </row>
    <row r="41909">
      <c r="A41909" s="6"/>
      <c r="B41909" s="6"/>
      <c r="H41909" s="13"/>
    </row>
    <row r="41910">
      <c r="A41910" s="6"/>
      <c r="B41910" s="6"/>
      <c r="H41910" s="13"/>
    </row>
    <row r="41911">
      <c r="A41911" s="6"/>
      <c r="B41911" s="6"/>
      <c r="H41911" s="13"/>
    </row>
    <row r="41912">
      <c r="A41912" s="6"/>
      <c r="B41912" s="6"/>
      <c r="H41912" s="13"/>
    </row>
    <row r="41913">
      <c r="A41913" s="6"/>
      <c r="B41913" s="6"/>
      <c r="H41913" s="13"/>
    </row>
    <row r="41914">
      <c r="A41914" s="6"/>
      <c r="B41914" s="6"/>
      <c r="H41914" s="13"/>
    </row>
    <row r="41915">
      <c r="A41915" s="6"/>
      <c r="B41915" s="6"/>
      <c r="H41915" s="13"/>
    </row>
    <row r="41916">
      <c r="A41916" s="6"/>
      <c r="B41916" s="6"/>
      <c r="H41916" s="13"/>
    </row>
    <row r="41917">
      <c r="A41917" s="6"/>
      <c r="B41917" s="6"/>
      <c r="H41917" s="13"/>
    </row>
    <row r="41918">
      <c r="A41918" s="6"/>
      <c r="B41918" s="6"/>
      <c r="H41918" s="13"/>
    </row>
    <row r="41919">
      <c r="A41919" s="6"/>
      <c r="B41919" s="6"/>
      <c r="H41919" s="13"/>
    </row>
    <row r="41920">
      <c r="A41920" s="6"/>
      <c r="B41920" s="6"/>
      <c r="H41920" s="13"/>
    </row>
    <row r="41921">
      <c r="A41921" s="6"/>
      <c r="B41921" s="6"/>
      <c r="H41921" s="13"/>
    </row>
    <row r="41922">
      <c r="A41922" s="6"/>
      <c r="B41922" s="6"/>
      <c r="H41922" s="13"/>
    </row>
    <row r="41923">
      <c r="A41923" s="6"/>
      <c r="B41923" s="6"/>
      <c r="H41923" s="13"/>
    </row>
    <row r="41924">
      <c r="A41924" s="6"/>
      <c r="B41924" s="6"/>
      <c r="H41924" s="13"/>
    </row>
    <row r="41925">
      <c r="A41925" s="6"/>
      <c r="B41925" s="6"/>
      <c r="H41925" s="13"/>
    </row>
    <row r="41926">
      <c r="A41926" s="6"/>
      <c r="B41926" s="6"/>
      <c r="H41926" s="13"/>
    </row>
    <row r="41927">
      <c r="A41927" s="6"/>
      <c r="B41927" s="6"/>
      <c r="H41927" s="13"/>
    </row>
    <row r="41928">
      <c r="A41928" s="6"/>
      <c r="B41928" s="6"/>
      <c r="H41928" s="13"/>
    </row>
    <row r="41929">
      <c r="A41929" s="6"/>
      <c r="B41929" s="6"/>
      <c r="H41929" s="13"/>
    </row>
    <row r="41930">
      <c r="A41930" s="6"/>
      <c r="B41930" s="6"/>
      <c r="H41930" s="13"/>
    </row>
    <row r="41931">
      <c r="A41931" s="6"/>
      <c r="B41931" s="6"/>
      <c r="H41931" s="13"/>
    </row>
    <row r="41932">
      <c r="A41932" s="6"/>
      <c r="B41932" s="6"/>
      <c r="H41932" s="13"/>
    </row>
    <row r="41933">
      <c r="A41933" s="6"/>
      <c r="B41933" s="6"/>
      <c r="H41933" s="13"/>
    </row>
    <row r="41934">
      <c r="A41934" s="6"/>
      <c r="B41934" s="6"/>
      <c r="H41934" s="13"/>
    </row>
    <row r="41935">
      <c r="A41935" s="6"/>
      <c r="B41935" s="6"/>
      <c r="H41935" s="13"/>
    </row>
    <row r="41936">
      <c r="A41936" s="6"/>
      <c r="B41936" s="6"/>
      <c r="H41936" s="13"/>
    </row>
    <row r="41937">
      <c r="A41937" s="6"/>
      <c r="B41937" s="6"/>
      <c r="H41937" s="13"/>
    </row>
    <row r="41938">
      <c r="A41938" s="6"/>
      <c r="B41938" s="6"/>
      <c r="H41938" s="13"/>
    </row>
    <row r="41939">
      <c r="A41939" s="6"/>
      <c r="B41939" s="6"/>
      <c r="H41939" s="13"/>
    </row>
    <row r="41940">
      <c r="A41940" s="6"/>
      <c r="B41940" s="6"/>
      <c r="H41940" s="13"/>
    </row>
    <row r="41941">
      <c r="A41941" s="6"/>
      <c r="B41941" s="6"/>
      <c r="H41941" s="13"/>
    </row>
    <row r="41942">
      <c r="A41942" s="6"/>
      <c r="B41942" s="6"/>
      <c r="H41942" s="13"/>
    </row>
    <row r="41943">
      <c r="A41943" s="6"/>
      <c r="B41943" s="6"/>
      <c r="H41943" s="13"/>
    </row>
    <row r="41944">
      <c r="A41944" s="6"/>
      <c r="B41944" s="6"/>
      <c r="H41944" s="13"/>
    </row>
    <row r="41945">
      <c r="A41945" s="6"/>
      <c r="B41945" s="6"/>
      <c r="H41945" s="13"/>
    </row>
    <row r="41946">
      <c r="A41946" s="6"/>
      <c r="B41946" s="6"/>
      <c r="H41946" s="13"/>
    </row>
    <row r="41947">
      <c r="A41947" s="6"/>
      <c r="B41947" s="6"/>
      <c r="H41947" s="13"/>
    </row>
    <row r="41948">
      <c r="A41948" s="6"/>
      <c r="B41948" s="6"/>
      <c r="H41948" s="13"/>
    </row>
    <row r="41949">
      <c r="A41949" s="6"/>
      <c r="B41949" s="6"/>
      <c r="H41949" s="13"/>
    </row>
    <row r="41950">
      <c r="A41950" s="6"/>
      <c r="B41950" s="6"/>
      <c r="H41950" s="13"/>
    </row>
    <row r="41951">
      <c r="A41951" s="6"/>
      <c r="B41951" s="6"/>
      <c r="H41951" s="13"/>
    </row>
    <row r="41952">
      <c r="A41952" s="6"/>
      <c r="B41952" s="6"/>
      <c r="H41952" s="13"/>
    </row>
    <row r="41953">
      <c r="A41953" s="6"/>
      <c r="B41953" s="6"/>
      <c r="H41953" s="13"/>
    </row>
    <row r="41954">
      <c r="A41954" s="6"/>
      <c r="B41954" s="6"/>
      <c r="H41954" s="13"/>
    </row>
    <row r="41955">
      <c r="A41955" s="6"/>
      <c r="B41955" s="6"/>
      <c r="H41955" s="13"/>
    </row>
    <row r="41956">
      <c r="A41956" s="6"/>
      <c r="B41956" s="6"/>
      <c r="H41956" s="13"/>
    </row>
    <row r="41957">
      <c r="A41957" s="6"/>
      <c r="B41957" s="6"/>
      <c r="H41957" s="13"/>
    </row>
    <row r="41958">
      <c r="A41958" s="6"/>
      <c r="B41958" s="6"/>
      <c r="H41958" s="13"/>
    </row>
    <row r="41959">
      <c r="A41959" s="6"/>
      <c r="B41959" s="6"/>
      <c r="H41959" s="13"/>
    </row>
    <row r="41960">
      <c r="A41960" s="6"/>
      <c r="B41960" s="6"/>
      <c r="H41960" s="13"/>
    </row>
    <row r="41961">
      <c r="A41961" s="6"/>
      <c r="B41961" s="6"/>
      <c r="H41961" s="13"/>
    </row>
    <row r="41962">
      <c r="A41962" s="6"/>
      <c r="B41962" s="6"/>
      <c r="H41962" s="13"/>
    </row>
    <row r="41963">
      <c r="A41963" s="6"/>
      <c r="B41963" s="6"/>
      <c r="H41963" s="13"/>
    </row>
    <row r="41964">
      <c r="A41964" s="6"/>
      <c r="B41964" s="6"/>
      <c r="H41964" s="13"/>
    </row>
    <row r="41965">
      <c r="A41965" s="6"/>
      <c r="B41965" s="6"/>
      <c r="H41965" s="13"/>
    </row>
    <row r="41966">
      <c r="A41966" s="6"/>
      <c r="B41966" s="6"/>
      <c r="H41966" s="13"/>
    </row>
    <row r="41967">
      <c r="A41967" s="6"/>
      <c r="B41967" s="6"/>
      <c r="H41967" s="13"/>
    </row>
    <row r="41968">
      <c r="A41968" s="6"/>
      <c r="B41968" s="6"/>
      <c r="H41968" s="13"/>
    </row>
    <row r="41969">
      <c r="A41969" s="6"/>
      <c r="B41969" s="6"/>
      <c r="H41969" s="13"/>
    </row>
    <row r="41970">
      <c r="A41970" s="6"/>
      <c r="B41970" s="6"/>
      <c r="H41970" s="13"/>
    </row>
    <row r="41971">
      <c r="A41971" s="6"/>
      <c r="B41971" s="6"/>
      <c r="H41971" s="13"/>
    </row>
    <row r="41972">
      <c r="A41972" s="6"/>
      <c r="B41972" s="6"/>
      <c r="H41972" s="13"/>
    </row>
    <row r="41973">
      <c r="A41973" s="6"/>
      <c r="B41973" s="6"/>
      <c r="H41973" s="13"/>
    </row>
    <row r="41974">
      <c r="A41974" s="6"/>
      <c r="B41974" s="6"/>
      <c r="H41974" s="13"/>
    </row>
    <row r="41975">
      <c r="A41975" s="6"/>
      <c r="B41975" s="6"/>
      <c r="H41975" s="13"/>
    </row>
    <row r="41976">
      <c r="A41976" s="6"/>
      <c r="B41976" s="6"/>
      <c r="H41976" s="13"/>
    </row>
    <row r="41977">
      <c r="A41977" s="6"/>
      <c r="B41977" s="6"/>
      <c r="H41977" s="13"/>
    </row>
    <row r="41978">
      <c r="A41978" s="6"/>
      <c r="B41978" s="6"/>
      <c r="H41978" s="13"/>
    </row>
    <row r="41979">
      <c r="A41979" s="6"/>
      <c r="B41979" s="6"/>
      <c r="H41979" s="13"/>
    </row>
    <row r="41980">
      <c r="A41980" s="6"/>
      <c r="B41980" s="6"/>
      <c r="H41980" s="13"/>
    </row>
    <row r="41981">
      <c r="A41981" s="6"/>
      <c r="B41981" s="6"/>
      <c r="H41981" s="13"/>
    </row>
    <row r="41982">
      <c r="A41982" s="6"/>
      <c r="B41982" s="6"/>
      <c r="H41982" s="13"/>
    </row>
    <row r="41983">
      <c r="A41983" s="6"/>
      <c r="B41983" s="6"/>
      <c r="H41983" s="13"/>
    </row>
    <row r="41984">
      <c r="A41984" s="6"/>
      <c r="B41984" s="6"/>
      <c r="H41984" s="13"/>
    </row>
    <row r="41985">
      <c r="A41985" s="6"/>
      <c r="B41985" s="6"/>
      <c r="H41985" s="13"/>
    </row>
    <row r="41986">
      <c r="A41986" s="6"/>
      <c r="B41986" s="6"/>
      <c r="H41986" s="13"/>
    </row>
    <row r="41987">
      <c r="A41987" s="6"/>
      <c r="B41987" s="6"/>
      <c r="H41987" s="13"/>
    </row>
    <row r="41988">
      <c r="A41988" s="6"/>
      <c r="B41988" s="6"/>
      <c r="H41988" s="13"/>
    </row>
    <row r="41989">
      <c r="A41989" s="6"/>
      <c r="B41989" s="6"/>
      <c r="H41989" s="13"/>
    </row>
    <row r="41990">
      <c r="A41990" s="6"/>
      <c r="B41990" s="6"/>
      <c r="H41990" s="13"/>
    </row>
    <row r="41991">
      <c r="A41991" s="6"/>
      <c r="B41991" s="6"/>
      <c r="H41991" s="13"/>
    </row>
    <row r="41992">
      <c r="A41992" s="6"/>
      <c r="B41992" s="6"/>
      <c r="H41992" s="13"/>
    </row>
    <row r="41993">
      <c r="A41993" s="6"/>
      <c r="B41993" s="6"/>
      <c r="H41993" s="13"/>
    </row>
    <row r="41994">
      <c r="A41994" s="6"/>
      <c r="B41994" s="6"/>
      <c r="H41994" s="13"/>
    </row>
    <row r="41995">
      <c r="A41995" s="6"/>
      <c r="B41995" s="6"/>
      <c r="H41995" s="13"/>
    </row>
    <row r="41996">
      <c r="A41996" s="6"/>
      <c r="B41996" s="6"/>
      <c r="H41996" s="13"/>
    </row>
    <row r="41997">
      <c r="A41997" s="6"/>
      <c r="B41997" s="6"/>
      <c r="H41997" s="13"/>
    </row>
    <row r="41998">
      <c r="A41998" s="6"/>
      <c r="B41998" s="6"/>
      <c r="H41998" s="13"/>
    </row>
    <row r="41999">
      <c r="A41999" s="6"/>
      <c r="B41999" s="6"/>
      <c r="H41999" s="13"/>
    </row>
    <row r="42000">
      <c r="A42000" s="6"/>
      <c r="B42000" s="6"/>
      <c r="H42000" s="13"/>
    </row>
    <row r="42001">
      <c r="A42001" s="6"/>
      <c r="B42001" s="6"/>
      <c r="H42001" s="13"/>
    </row>
    <row r="42002">
      <c r="A42002" s="6"/>
      <c r="B42002" s="6"/>
      <c r="H42002" s="13"/>
    </row>
    <row r="42003">
      <c r="A42003" s="6"/>
      <c r="B42003" s="6"/>
      <c r="H42003" s="13"/>
    </row>
    <row r="42004">
      <c r="A42004" s="6"/>
      <c r="B42004" s="6"/>
      <c r="H42004" s="13"/>
    </row>
    <row r="42005">
      <c r="A42005" s="6"/>
      <c r="B42005" s="6"/>
      <c r="H42005" s="13"/>
    </row>
    <row r="42006">
      <c r="A42006" s="6"/>
      <c r="B42006" s="6"/>
      <c r="H42006" s="13"/>
    </row>
    <row r="42007">
      <c r="A42007" s="6"/>
      <c r="B42007" s="6"/>
      <c r="H42007" s="13"/>
    </row>
    <row r="42008">
      <c r="A42008" s="6"/>
      <c r="B42008" s="6"/>
      <c r="H42008" s="13"/>
    </row>
    <row r="42009">
      <c r="A42009" s="6"/>
      <c r="B42009" s="6"/>
      <c r="H42009" s="13"/>
    </row>
    <row r="42010">
      <c r="A42010" s="6"/>
      <c r="B42010" s="6"/>
      <c r="H42010" s="13"/>
    </row>
    <row r="42011">
      <c r="A42011" s="6"/>
      <c r="B42011" s="6"/>
      <c r="H42011" s="13"/>
    </row>
    <row r="42012">
      <c r="A42012" s="6"/>
      <c r="B42012" s="6"/>
      <c r="H42012" s="13"/>
    </row>
    <row r="42013">
      <c r="A42013" s="6"/>
      <c r="B42013" s="6"/>
      <c r="H42013" s="13"/>
    </row>
    <row r="42014">
      <c r="A42014" s="6"/>
      <c r="B42014" s="6"/>
      <c r="H42014" s="13"/>
    </row>
    <row r="42015">
      <c r="A42015" s="6"/>
      <c r="B42015" s="6"/>
      <c r="H42015" s="13"/>
    </row>
    <row r="42016">
      <c r="A42016" s="6"/>
      <c r="B42016" s="6"/>
      <c r="H42016" s="13"/>
    </row>
    <row r="42017">
      <c r="A42017" s="6"/>
      <c r="B42017" s="6"/>
      <c r="H42017" s="13"/>
    </row>
    <row r="42018">
      <c r="A42018" s="6"/>
      <c r="B42018" s="6"/>
      <c r="H42018" s="13"/>
    </row>
    <row r="42019">
      <c r="A42019" s="6"/>
      <c r="B42019" s="6"/>
      <c r="H42019" s="13"/>
    </row>
    <row r="42020">
      <c r="A42020" s="6"/>
      <c r="B42020" s="6"/>
      <c r="H42020" s="13"/>
    </row>
    <row r="42021">
      <c r="A42021" s="6"/>
      <c r="B42021" s="6"/>
      <c r="H42021" s="13"/>
    </row>
    <row r="42022">
      <c r="A42022" s="6"/>
      <c r="B42022" s="6"/>
      <c r="H42022" s="13"/>
    </row>
    <row r="42023">
      <c r="A42023" s="6"/>
      <c r="B42023" s="6"/>
      <c r="H42023" s="13"/>
    </row>
    <row r="42024">
      <c r="A42024" s="6"/>
      <c r="B42024" s="6"/>
      <c r="H42024" s="13"/>
    </row>
    <row r="42025">
      <c r="A42025" s="6"/>
      <c r="B42025" s="6"/>
      <c r="H42025" s="13"/>
    </row>
    <row r="42026">
      <c r="A42026" s="6"/>
      <c r="B42026" s="6"/>
      <c r="H42026" s="13"/>
    </row>
    <row r="42027">
      <c r="A42027" s="6"/>
      <c r="B42027" s="6"/>
      <c r="H42027" s="13"/>
    </row>
    <row r="42028">
      <c r="A42028" s="6"/>
      <c r="B42028" s="6"/>
      <c r="H42028" s="13"/>
    </row>
    <row r="42029">
      <c r="A42029" s="6"/>
      <c r="B42029" s="6"/>
      <c r="H42029" s="13"/>
    </row>
    <row r="42030">
      <c r="A42030" s="6"/>
      <c r="B42030" s="6"/>
      <c r="H42030" s="13"/>
    </row>
    <row r="42031">
      <c r="A42031" s="6"/>
      <c r="B42031" s="6"/>
      <c r="H42031" s="13"/>
    </row>
    <row r="42032">
      <c r="A42032" s="6"/>
      <c r="B42032" s="6"/>
      <c r="H42032" s="13"/>
    </row>
    <row r="42033">
      <c r="A42033" s="6"/>
      <c r="B42033" s="6"/>
      <c r="H42033" s="13"/>
    </row>
    <row r="42034">
      <c r="A42034" s="6"/>
      <c r="B42034" s="6"/>
      <c r="H42034" s="13"/>
    </row>
    <row r="42035">
      <c r="A42035" s="6"/>
      <c r="B42035" s="6"/>
      <c r="H42035" s="13"/>
    </row>
    <row r="42036">
      <c r="A42036" s="6"/>
      <c r="B42036" s="6"/>
      <c r="H42036" s="13"/>
    </row>
    <row r="42037">
      <c r="A42037" s="6"/>
      <c r="B42037" s="6"/>
      <c r="H42037" s="13"/>
    </row>
    <row r="42038">
      <c r="A42038" s="6"/>
      <c r="B42038" s="6"/>
      <c r="H42038" s="13"/>
    </row>
    <row r="42039">
      <c r="A42039" s="6"/>
      <c r="B42039" s="6"/>
      <c r="H42039" s="13"/>
    </row>
    <row r="42040">
      <c r="A42040" s="6"/>
      <c r="B42040" s="6"/>
      <c r="H42040" s="13"/>
    </row>
    <row r="42041">
      <c r="A42041" s="6"/>
      <c r="B42041" s="6"/>
      <c r="H42041" s="13"/>
    </row>
    <row r="42042">
      <c r="A42042" s="6"/>
      <c r="B42042" s="6"/>
      <c r="H42042" s="13"/>
    </row>
    <row r="42043">
      <c r="A42043" s="6"/>
      <c r="B42043" s="6"/>
      <c r="H42043" s="13"/>
    </row>
    <row r="42044">
      <c r="A42044" s="6"/>
      <c r="B42044" s="6"/>
      <c r="H42044" s="13"/>
    </row>
    <row r="42045">
      <c r="A42045" s="6"/>
      <c r="B42045" s="6"/>
      <c r="H42045" s="13"/>
    </row>
    <row r="42046">
      <c r="A42046" s="6"/>
      <c r="B42046" s="6"/>
      <c r="H42046" s="13"/>
    </row>
    <row r="42047">
      <c r="A42047" s="6"/>
      <c r="B42047" s="6"/>
      <c r="H42047" s="13"/>
    </row>
    <row r="42048">
      <c r="A42048" s="6"/>
      <c r="B42048" s="6"/>
      <c r="H42048" s="13"/>
    </row>
    <row r="42049">
      <c r="A42049" s="6"/>
      <c r="B42049" s="6"/>
      <c r="H42049" s="13"/>
    </row>
    <row r="42050">
      <c r="A42050" s="6"/>
      <c r="B42050" s="6"/>
      <c r="H42050" s="13"/>
    </row>
    <row r="42051">
      <c r="A42051" s="6"/>
      <c r="B42051" s="6"/>
      <c r="H42051" s="13"/>
    </row>
    <row r="42052">
      <c r="A42052" s="6"/>
      <c r="B42052" s="6"/>
      <c r="H42052" s="13"/>
    </row>
    <row r="42053">
      <c r="A42053" s="6"/>
      <c r="B42053" s="6"/>
      <c r="H42053" s="13"/>
    </row>
    <row r="42054">
      <c r="A42054" s="6"/>
      <c r="B42054" s="6"/>
      <c r="H42054" s="13"/>
    </row>
    <row r="42055">
      <c r="A42055" s="6"/>
      <c r="B42055" s="6"/>
      <c r="H42055" s="13"/>
    </row>
    <row r="42056">
      <c r="A42056" s="6"/>
      <c r="B42056" s="6"/>
      <c r="H42056" s="13"/>
    </row>
    <row r="42057">
      <c r="A42057" s="6"/>
      <c r="B42057" s="6"/>
      <c r="H42057" s="13"/>
    </row>
    <row r="42058">
      <c r="A42058" s="6"/>
      <c r="B42058" s="6"/>
      <c r="H42058" s="13"/>
    </row>
    <row r="42059">
      <c r="A42059" s="6"/>
      <c r="B42059" s="6"/>
      <c r="H42059" s="13"/>
    </row>
    <row r="42060">
      <c r="A42060" s="6"/>
      <c r="B42060" s="6"/>
      <c r="H42060" s="13"/>
    </row>
    <row r="42061">
      <c r="A42061" s="6"/>
      <c r="B42061" s="6"/>
      <c r="H42061" s="13"/>
    </row>
    <row r="42062">
      <c r="A42062" s="6"/>
      <c r="B42062" s="6"/>
      <c r="H42062" s="13"/>
    </row>
    <row r="42063">
      <c r="A42063" s="6"/>
      <c r="B42063" s="6"/>
      <c r="H42063" s="13"/>
    </row>
    <row r="42064">
      <c r="A42064" s="6"/>
      <c r="B42064" s="6"/>
      <c r="H42064" s="13"/>
    </row>
    <row r="42065">
      <c r="A42065" s="6"/>
      <c r="B42065" s="6"/>
      <c r="H42065" s="13"/>
    </row>
    <row r="42066">
      <c r="A42066" s="6"/>
      <c r="B42066" s="6"/>
      <c r="H42066" s="13"/>
    </row>
    <row r="42067">
      <c r="A42067" s="6"/>
      <c r="B42067" s="6"/>
      <c r="H42067" s="13"/>
    </row>
    <row r="42068">
      <c r="A42068" s="6"/>
      <c r="B42068" s="6"/>
      <c r="H42068" s="13"/>
    </row>
    <row r="42069">
      <c r="A42069" s="6"/>
      <c r="B42069" s="6"/>
      <c r="H42069" s="13"/>
    </row>
    <row r="42070">
      <c r="A42070" s="6"/>
      <c r="B42070" s="6"/>
      <c r="H42070" s="13"/>
    </row>
    <row r="42071">
      <c r="A42071" s="6"/>
      <c r="B42071" s="6"/>
      <c r="H42071" s="13"/>
    </row>
    <row r="42072">
      <c r="A42072" s="6"/>
      <c r="B42072" s="6"/>
      <c r="H42072" s="13"/>
    </row>
    <row r="42073">
      <c r="A42073" s="6"/>
      <c r="B42073" s="6"/>
      <c r="H42073" s="13"/>
    </row>
    <row r="42074">
      <c r="A42074" s="6"/>
      <c r="B42074" s="6"/>
      <c r="H42074" s="13"/>
    </row>
    <row r="42075">
      <c r="A42075" s="6"/>
      <c r="B42075" s="6"/>
      <c r="H42075" s="13"/>
    </row>
    <row r="42076">
      <c r="A42076" s="6"/>
      <c r="B42076" s="6"/>
      <c r="H42076" s="13"/>
    </row>
    <row r="42077">
      <c r="A42077" s="6"/>
      <c r="B42077" s="6"/>
      <c r="H42077" s="13"/>
    </row>
    <row r="42078">
      <c r="A42078" s="6"/>
      <c r="B42078" s="6"/>
      <c r="H42078" s="13"/>
    </row>
    <row r="42079">
      <c r="A42079" s="6"/>
      <c r="B42079" s="6"/>
      <c r="H42079" s="13"/>
    </row>
    <row r="42080">
      <c r="A42080" s="6"/>
      <c r="B42080" s="6"/>
      <c r="H42080" s="13"/>
    </row>
    <row r="42081">
      <c r="A42081" s="6"/>
      <c r="B42081" s="6"/>
      <c r="H42081" s="13"/>
    </row>
    <row r="42082">
      <c r="A42082" s="6"/>
      <c r="B42082" s="6"/>
      <c r="H42082" s="13"/>
    </row>
    <row r="42083">
      <c r="A42083" s="6"/>
      <c r="B42083" s="6"/>
      <c r="H42083" s="13"/>
    </row>
    <row r="42084">
      <c r="A42084" s="6"/>
      <c r="B42084" s="6"/>
      <c r="H42084" s="13"/>
    </row>
    <row r="42085">
      <c r="A42085" s="6"/>
      <c r="B42085" s="6"/>
      <c r="H42085" s="13"/>
    </row>
    <row r="42086">
      <c r="A42086" s="6"/>
      <c r="B42086" s="6"/>
      <c r="H42086" s="13"/>
    </row>
    <row r="42087">
      <c r="A42087" s="6"/>
      <c r="B42087" s="6"/>
      <c r="H42087" s="13"/>
    </row>
    <row r="42088">
      <c r="A42088" s="6"/>
      <c r="B42088" s="6"/>
      <c r="H42088" s="13"/>
    </row>
    <row r="42089">
      <c r="A42089" s="6"/>
      <c r="B42089" s="6"/>
      <c r="H42089" s="13"/>
    </row>
    <row r="42090">
      <c r="A42090" s="6"/>
      <c r="B42090" s="6"/>
      <c r="H42090" s="13"/>
    </row>
    <row r="42091">
      <c r="A42091" s="6"/>
      <c r="B42091" s="6"/>
      <c r="H42091" s="13"/>
    </row>
    <row r="42092">
      <c r="A42092" s="6"/>
      <c r="B42092" s="6"/>
      <c r="H42092" s="13"/>
    </row>
    <row r="42093">
      <c r="A42093" s="6"/>
      <c r="B42093" s="6"/>
      <c r="H42093" s="13"/>
    </row>
    <row r="42094">
      <c r="A42094" s="6"/>
      <c r="B42094" s="6"/>
      <c r="H42094" s="13"/>
    </row>
    <row r="42095">
      <c r="A42095" s="6"/>
      <c r="B42095" s="6"/>
      <c r="H42095" s="13"/>
    </row>
    <row r="42096">
      <c r="A42096" s="6"/>
      <c r="B42096" s="6"/>
      <c r="H42096" s="13"/>
    </row>
    <row r="42097">
      <c r="A42097" s="6"/>
      <c r="B42097" s="6"/>
      <c r="H42097" s="13"/>
    </row>
    <row r="42098">
      <c r="A42098" s="6"/>
      <c r="B42098" s="6"/>
      <c r="H42098" s="13"/>
    </row>
    <row r="42099">
      <c r="A42099" s="6"/>
      <c r="B42099" s="6"/>
      <c r="H42099" s="13"/>
    </row>
    <row r="42100">
      <c r="A42100" s="6"/>
      <c r="B42100" s="6"/>
      <c r="H42100" s="13"/>
    </row>
    <row r="42101">
      <c r="A42101" s="6"/>
      <c r="B42101" s="6"/>
      <c r="H42101" s="13"/>
    </row>
    <row r="42102">
      <c r="A42102" s="6"/>
      <c r="B42102" s="6"/>
      <c r="H42102" s="13"/>
    </row>
    <row r="42103">
      <c r="A42103" s="6"/>
      <c r="B42103" s="6"/>
      <c r="H42103" s="13"/>
    </row>
    <row r="42104">
      <c r="A42104" s="6"/>
      <c r="B42104" s="6"/>
      <c r="H42104" s="13"/>
    </row>
    <row r="42105">
      <c r="A42105" s="6"/>
      <c r="B42105" s="6"/>
      <c r="H42105" s="13"/>
    </row>
    <row r="42106">
      <c r="A42106" s="6"/>
      <c r="B42106" s="6"/>
      <c r="H42106" s="13"/>
    </row>
    <row r="42107">
      <c r="A42107" s="6"/>
      <c r="B42107" s="6"/>
      <c r="H42107" s="13"/>
    </row>
    <row r="42108">
      <c r="A42108" s="6"/>
      <c r="B42108" s="6"/>
      <c r="H42108" s="13"/>
    </row>
    <row r="42109">
      <c r="A42109" s="6"/>
      <c r="B42109" s="6"/>
      <c r="H42109" s="13"/>
    </row>
    <row r="42110">
      <c r="A42110" s="6"/>
      <c r="B42110" s="6"/>
      <c r="H42110" s="13"/>
    </row>
    <row r="42111">
      <c r="A42111" s="6"/>
      <c r="B42111" s="6"/>
      <c r="H42111" s="13"/>
    </row>
    <row r="42112">
      <c r="A42112" s="6"/>
      <c r="B42112" s="6"/>
      <c r="H42112" s="13"/>
    </row>
    <row r="42113">
      <c r="A42113" s="6"/>
      <c r="B42113" s="6"/>
      <c r="H42113" s="13"/>
    </row>
    <row r="42114">
      <c r="A42114" s="6"/>
      <c r="B42114" s="6"/>
      <c r="H42114" s="13"/>
    </row>
    <row r="42115">
      <c r="A42115" s="6"/>
      <c r="B42115" s="6"/>
      <c r="H42115" s="13"/>
    </row>
    <row r="42116">
      <c r="A42116" s="6"/>
      <c r="B42116" s="6"/>
      <c r="H42116" s="13"/>
    </row>
    <row r="42117">
      <c r="A42117" s="6"/>
      <c r="B42117" s="6"/>
      <c r="H42117" s="13"/>
    </row>
    <row r="42118">
      <c r="A42118" s="6"/>
      <c r="B42118" s="6"/>
      <c r="H42118" s="13"/>
    </row>
    <row r="42119">
      <c r="A42119" s="6"/>
      <c r="B42119" s="6"/>
      <c r="H42119" s="13"/>
    </row>
    <row r="42120">
      <c r="A42120" s="6"/>
      <c r="B42120" s="6"/>
      <c r="H42120" s="13"/>
    </row>
    <row r="42121">
      <c r="A42121" s="6"/>
      <c r="B42121" s="6"/>
      <c r="H42121" s="13"/>
    </row>
    <row r="42122">
      <c r="A42122" s="6"/>
      <c r="B42122" s="6"/>
      <c r="H42122" s="13"/>
    </row>
    <row r="42123">
      <c r="A42123" s="6"/>
      <c r="B42123" s="6"/>
      <c r="H42123" s="13"/>
    </row>
    <row r="42124">
      <c r="A42124" s="6"/>
      <c r="B42124" s="6"/>
      <c r="H42124" s="13"/>
    </row>
    <row r="42125">
      <c r="A42125" s="6"/>
      <c r="B42125" s="6"/>
      <c r="H42125" s="13"/>
    </row>
    <row r="42126">
      <c r="A42126" s="6"/>
      <c r="B42126" s="6"/>
      <c r="H42126" s="13"/>
    </row>
    <row r="42127">
      <c r="A42127" s="6"/>
      <c r="B42127" s="6"/>
      <c r="H42127" s="13"/>
    </row>
    <row r="42128">
      <c r="A42128" s="6"/>
      <c r="B42128" s="6"/>
      <c r="H42128" s="13"/>
    </row>
    <row r="42129">
      <c r="A42129" s="6"/>
      <c r="B42129" s="6"/>
      <c r="H42129" s="13"/>
    </row>
    <row r="42130">
      <c r="A42130" s="6"/>
      <c r="B42130" s="6"/>
      <c r="H42130" s="13"/>
    </row>
    <row r="42131">
      <c r="A42131" s="6"/>
      <c r="B42131" s="6"/>
      <c r="H42131" s="13"/>
    </row>
    <row r="42132">
      <c r="A42132" s="6"/>
      <c r="B42132" s="6"/>
      <c r="H42132" s="13"/>
    </row>
    <row r="42133">
      <c r="A42133" s="6"/>
      <c r="B42133" s="6"/>
      <c r="H42133" s="13"/>
    </row>
    <row r="42134">
      <c r="A42134" s="6"/>
      <c r="B42134" s="6"/>
      <c r="H42134" s="13"/>
    </row>
    <row r="42135">
      <c r="A42135" s="6"/>
      <c r="B42135" s="6"/>
      <c r="H42135" s="13"/>
    </row>
    <row r="42136">
      <c r="A42136" s="6"/>
      <c r="B42136" s="6"/>
      <c r="H42136" s="13"/>
    </row>
    <row r="42137">
      <c r="A42137" s="6"/>
      <c r="B42137" s="6"/>
      <c r="H42137" s="13"/>
    </row>
    <row r="42138">
      <c r="A42138" s="6"/>
      <c r="B42138" s="6"/>
      <c r="H42138" s="13"/>
    </row>
    <row r="42139">
      <c r="A42139" s="6"/>
      <c r="B42139" s="6"/>
      <c r="H42139" s="13"/>
    </row>
    <row r="42140">
      <c r="A42140" s="6"/>
      <c r="B42140" s="6"/>
      <c r="H42140" s="13"/>
    </row>
    <row r="42141">
      <c r="A42141" s="6"/>
      <c r="B42141" s="6"/>
      <c r="H42141" s="13"/>
    </row>
    <row r="42142">
      <c r="A42142" s="6"/>
      <c r="B42142" s="6"/>
      <c r="H42142" s="13"/>
    </row>
    <row r="42143">
      <c r="A42143" s="6"/>
      <c r="B42143" s="6"/>
      <c r="H42143" s="13"/>
    </row>
    <row r="42144">
      <c r="A42144" s="6"/>
      <c r="B42144" s="6"/>
      <c r="H42144" s="13"/>
    </row>
    <row r="42145">
      <c r="A42145" s="6"/>
      <c r="B42145" s="6"/>
      <c r="H42145" s="13"/>
    </row>
    <row r="42146">
      <c r="A42146" s="6"/>
      <c r="B42146" s="6"/>
      <c r="H42146" s="13"/>
    </row>
    <row r="42147">
      <c r="A42147" s="6"/>
      <c r="B42147" s="6"/>
      <c r="H42147" s="13"/>
    </row>
    <row r="42148">
      <c r="A42148" s="6"/>
      <c r="B42148" s="6"/>
      <c r="H42148" s="13"/>
    </row>
    <row r="42149">
      <c r="A42149" s="6"/>
      <c r="B42149" s="6"/>
      <c r="H42149" s="13"/>
    </row>
    <row r="42150">
      <c r="A42150" s="6"/>
      <c r="B42150" s="6"/>
      <c r="H42150" s="13"/>
    </row>
    <row r="42151">
      <c r="A42151" s="6"/>
      <c r="B42151" s="6"/>
      <c r="H42151" s="13"/>
    </row>
    <row r="42152">
      <c r="A42152" s="6"/>
      <c r="B42152" s="6"/>
      <c r="H42152" s="13"/>
    </row>
    <row r="42153">
      <c r="A42153" s="6"/>
      <c r="B42153" s="6"/>
      <c r="H42153" s="13"/>
    </row>
    <row r="42154">
      <c r="A42154" s="6"/>
      <c r="B42154" s="6"/>
      <c r="H42154" s="13"/>
    </row>
    <row r="42155">
      <c r="A42155" s="6"/>
      <c r="B42155" s="6"/>
      <c r="H42155" s="13"/>
    </row>
    <row r="42156">
      <c r="A42156" s="6"/>
      <c r="B42156" s="6"/>
      <c r="H42156" s="13"/>
    </row>
    <row r="42157">
      <c r="A42157" s="6"/>
      <c r="B42157" s="6"/>
      <c r="H42157" s="13"/>
    </row>
    <row r="42158">
      <c r="A42158" s="6"/>
      <c r="B42158" s="6"/>
      <c r="H42158" s="13"/>
    </row>
    <row r="42159">
      <c r="A42159" s="6"/>
      <c r="B42159" s="6"/>
      <c r="H42159" s="13"/>
    </row>
    <row r="42160">
      <c r="A42160" s="6"/>
      <c r="B42160" s="6"/>
      <c r="H42160" s="13"/>
    </row>
    <row r="42161">
      <c r="A42161" s="6"/>
      <c r="B42161" s="6"/>
      <c r="H42161" s="13"/>
    </row>
    <row r="42162">
      <c r="A42162" s="6"/>
      <c r="B42162" s="6"/>
      <c r="H42162" s="13"/>
    </row>
    <row r="42163">
      <c r="A42163" s="6"/>
      <c r="B42163" s="6"/>
      <c r="H42163" s="13"/>
    </row>
    <row r="42164">
      <c r="A42164" s="6"/>
      <c r="B42164" s="6"/>
      <c r="H42164" s="13"/>
    </row>
    <row r="42165">
      <c r="A42165" s="6"/>
      <c r="B42165" s="6"/>
      <c r="H42165" s="13"/>
    </row>
    <row r="42166">
      <c r="A42166" s="6"/>
      <c r="B42166" s="6"/>
      <c r="H42166" s="13"/>
    </row>
    <row r="42167">
      <c r="A42167" s="6"/>
      <c r="B42167" s="6"/>
      <c r="H42167" s="13"/>
    </row>
    <row r="42168">
      <c r="A42168" s="6"/>
      <c r="B42168" s="6"/>
      <c r="H42168" s="13"/>
    </row>
    <row r="42169">
      <c r="A42169" s="6"/>
      <c r="B42169" s="6"/>
      <c r="H42169" s="13"/>
    </row>
    <row r="42170">
      <c r="A42170" s="6"/>
      <c r="B42170" s="6"/>
      <c r="H42170" s="13"/>
    </row>
    <row r="42171">
      <c r="A42171" s="6"/>
      <c r="B42171" s="6"/>
      <c r="H42171" s="13"/>
    </row>
    <row r="42172">
      <c r="A42172" s="6"/>
      <c r="B42172" s="6"/>
      <c r="H42172" s="13"/>
    </row>
    <row r="42173">
      <c r="A42173" s="6"/>
      <c r="B42173" s="6"/>
      <c r="H42173" s="13"/>
    </row>
    <row r="42174">
      <c r="A42174" s="6"/>
      <c r="B42174" s="6"/>
      <c r="H42174" s="13"/>
    </row>
    <row r="42175">
      <c r="A42175" s="6"/>
      <c r="B42175" s="6"/>
      <c r="H42175" s="13"/>
    </row>
    <row r="42176">
      <c r="A42176" s="6"/>
      <c r="B42176" s="6"/>
      <c r="H42176" s="13"/>
    </row>
    <row r="42177">
      <c r="A42177" s="6"/>
      <c r="B42177" s="6"/>
      <c r="H42177" s="13"/>
    </row>
    <row r="42178">
      <c r="A42178" s="6"/>
      <c r="B42178" s="6"/>
      <c r="H42178" s="13"/>
    </row>
    <row r="42179">
      <c r="A42179" s="6"/>
      <c r="B42179" s="6"/>
      <c r="H42179" s="13"/>
    </row>
    <row r="42180">
      <c r="A42180" s="6"/>
      <c r="B42180" s="6"/>
      <c r="H42180" s="13"/>
    </row>
    <row r="42181">
      <c r="A42181" s="6"/>
      <c r="B42181" s="6"/>
      <c r="H42181" s="13"/>
    </row>
    <row r="42182">
      <c r="A42182" s="6"/>
      <c r="B42182" s="6"/>
      <c r="H42182" s="13"/>
    </row>
    <row r="42183">
      <c r="A42183" s="6"/>
      <c r="B42183" s="6"/>
      <c r="H42183" s="13"/>
    </row>
    <row r="42184">
      <c r="A42184" s="6"/>
      <c r="B42184" s="6"/>
      <c r="H42184" s="13"/>
    </row>
    <row r="42185">
      <c r="A42185" s="6"/>
      <c r="B42185" s="6"/>
      <c r="H42185" s="13"/>
    </row>
    <row r="42186">
      <c r="A42186" s="6"/>
      <c r="B42186" s="6"/>
      <c r="H42186" s="13"/>
    </row>
    <row r="42187">
      <c r="A42187" s="6"/>
      <c r="B42187" s="6"/>
      <c r="H42187" s="13"/>
    </row>
    <row r="42188">
      <c r="A42188" s="6"/>
      <c r="B42188" s="6"/>
      <c r="H42188" s="13"/>
    </row>
    <row r="42189">
      <c r="A42189" s="6"/>
      <c r="B42189" s="6"/>
      <c r="H42189" s="13"/>
    </row>
    <row r="42190">
      <c r="A42190" s="6"/>
      <c r="B42190" s="6"/>
      <c r="H42190" s="13"/>
    </row>
    <row r="42191">
      <c r="A42191" s="6"/>
      <c r="B42191" s="6"/>
      <c r="H42191" s="13"/>
    </row>
    <row r="42192">
      <c r="A42192" s="6"/>
      <c r="B42192" s="6"/>
      <c r="H42192" s="13"/>
    </row>
    <row r="42193">
      <c r="A42193" s="6"/>
      <c r="B42193" s="6"/>
      <c r="H42193" s="13"/>
    </row>
    <row r="42194">
      <c r="A42194" s="6"/>
      <c r="B42194" s="6"/>
      <c r="H42194" s="13"/>
    </row>
    <row r="42195">
      <c r="A42195" s="6"/>
      <c r="B42195" s="6"/>
      <c r="H42195" s="13"/>
    </row>
    <row r="42196">
      <c r="A42196" s="6"/>
      <c r="B42196" s="6"/>
      <c r="H42196" s="13"/>
    </row>
    <row r="42197">
      <c r="A42197" s="6"/>
      <c r="B42197" s="6"/>
      <c r="H42197" s="13"/>
    </row>
    <row r="42198">
      <c r="A42198" s="6"/>
      <c r="B42198" s="6"/>
      <c r="H42198" s="13"/>
    </row>
    <row r="42199">
      <c r="A42199" s="6"/>
      <c r="B42199" s="6"/>
      <c r="H42199" s="13"/>
    </row>
    <row r="42200">
      <c r="A42200" s="6"/>
      <c r="B42200" s="6"/>
      <c r="H42200" s="13"/>
    </row>
    <row r="42201">
      <c r="A42201" s="6"/>
      <c r="B42201" s="6"/>
      <c r="H42201" s="13"/>
    </row>
    <row r="42202">
      <c r="A42202" s="6"/>
      <c r="B42202" s="6"/>
      <c r="H42202" s="13"/>
    </row>
    <row r="42203">
      <c r="A42203" s="6"/>
      <c r="B42203" s="6"/>
      <c r="H42203" s="13"/>
    </row>
    <row r="42204">
      <c r="A42204" s="6"/>
      <c r="B42204" s="6"/>
      <c r="H42204" s="13"/>
    </row>
    <row r="42205">
      <c r="A42205" s="6"/>
      <c r="B42205" s="6"/>
      <c r="H42205" s="13"/>
    </row>
    <row r="42206">
      <c r="A42206" s="6"/>
      <c r="B42206" s="6"/>
      <c r="H42206" s="13"/>
    </row>
    <row r="42207">
      <c r="A42207" s="6"/>
      <c r="B42207" s="6"/>
      <c r="H42207" s="13"/>
    </row>
    <row r="42208">
      <c r="A42208" s="6"/>
      <c r="B42208" s="6"/>
      <c r="H42208" s="13"/>
    </row>
    <row r="42209">
      <c r="A42209" s="6"/>
      <c r="B42209" s="6"/>
      <c r="H42209" s="13"/>
    </row>
    <row r="42210">
      <c r="A42210" s="6"/>
      <c r="B42210" s="6"/>
      <c r="H42210" s="13"/>
    </row>
    <row r="42211">
      <c r="A42211" s="6"/>
      <c r="B42211" s="6"/>
      <c r="H42211" s="13"/>
    </row>
    <row r="42212">
      <c r="A42212" s="6"/>
      <c r="B42212" s="6"/>
      <c r="H42212" s="13"/>
    </row>
    <row r="42213">
      <c r="A42213" s="6"/>
      <c r="B42213" s="6"/>
      <c r="H42213" s="13"/>
    </row>
    <row r="42214">
      <c r="A42214" s="6"/>
      <c r="B42214" s="6"/>
      <c r="H42214" s="13"/>
    </row>
    <row r="42215">
      <c r="A42215" s="6"/>
      <c r="B42215" s="6"/>
      <c r="H42215" s="13"/>
    </row>
    <row r="42216">
      <c r="A42216" s="6"/>
      <c r="B42216" s="6"/>
      <c r="H42216" s="13"/>
    </row>
    <row r="42217">
      <c r="A42217" s="6"/>
      <c r="B42217" s="6"/>
      <c r="H42217" s="13"/>
    </row>
    <row r="42218">
      <c r="A42218" s="6"/>
      <c r="B42218" s="6"/>
      <c r="H42218" s="13"/>
    </row>
    <row r="42219">
      <c r="A42219" s="6"/>
      <c r="B42219" s="6"/>
      <c r="H42219" s="13"/>
    </row>
    <row r="42220">
      <c r="A42220" s="6"/>
      <c r="B42220" s="6"/>
      <c r="H42220" s="13"/>
    </row>
    <row r="42221">
      <c r="A42221" s="6"/>
      <c r="B42221" s="6"/>
      <c r="H42221" s="13"/>
    </row>
    <row r="42222">
      <c r="A42222" s="6"/>
      <c r="B42222" s="6"/>
      <c r="H42222" s="13"/>
    </row>
    <row r="42223">
      <c r="A42223" s="6"/>
      <c r="B42223" s="6"/>
      <c r="H42223" s="13"/>
    </row>
    <row r="42224">
      <c r="A42224" s="6"/>
      <c r="B42224" s="6"/>
      <c r="H42224" s="13"/>
    </row>
    <row r="42225">
      <c r="A42225" s="6"/>
      <c r="B42225" s="6"/>
      <c r="H42225" s="13"/>
    </row>
    <row r="42226">
      <c r="A42226" s="6"/>
      <c r="B42226" s="6"/>
      <c r="H42226" s="13"/>
    </row>
    <row r="42227">
      <c r="A42227" s="6"/>
      <c r="B42227" s="6"/>
      <c r="H42227" s="13"/>
    </row>
    <row r="42228">
      <c r="A42228" s="6"/>
      <c r="B42228" s="6"/>
      <c r="H42228" s="13"/>
    </row>
    <row r="42229">
      <c r="A42229" s="6"/>
      <c r="B42229" s="6"/>
      <c r="H42229" s="13"/>
    </row>
    <row r="42230">
      <c r="A42230" s="6"/>
      <c r="B42230" s="6"/>
      <c r="H42230" s="13"/>
    </row>
    <row r="42231">
      <c r="A42231" s="6"/>
      <c r="B42231" s="6"/>
      <c r="H42231" s="13"/>
    </row>
    <row r="42232">
      <c r="A42232" s="6"/>
      <c r="B42232" s="6"/>
      <c r="H42232" s="13"/>
    </row>
    <row r="42233">
      <c r="A42233" s="6"/>
      <c r="B42233" s="6"/>
      <c r="H42233" s="13"/>
    </row>
    <row r="42234">
      <c r="A42234" s="6"/>
      <c r="B42234" s="6"/>
      <c r="H42234" s="13"/>
    </row>
    <row r="42235">
      <c r="A42235" s="6"/>
      <c r="B42235" s="6"/>
      <c r="H42235" s="13"/>
    </row>
    <row r="42236">
      <c r="A42236" s="6"/>
      <c r="B42236" s="6"/>
      <c r="H42236" s="13"/>
    </row>
    <row r="42237">
      <c r="A42237" s="6"/>
      <c r="B42237" s="6"/>
      <c r="H42237" s="13"/>
    </row>
    <row r="42238">
      <c r="A42238" s="6"/>
      <c r="B42238" s="6"/>
      <c r="H42238" s="13"/>
    </row>
    <row r="42239">
      <c r="A42239" s="6"/>
      <c r="B42239" s="6"/>
      <c r="H42239" s="13"/>
    </row>
    <row r="42240">
      <c r="A42240" s="6"/>
      <c r="B42240" s="6"/>
      <c r="H42240" s="13"/>
    </row>
    <row r="42241">
      <c r="A42241" s="6"/>
      <c r="B42241" s="6"/>
      <c r="H42241" s="13"/>
    </row>
    <row r="42242">
      <c r="A42242" s="6"/>
      <c r="B42242" s="6"/>
      <c r="H42242" s="13"/>
    </row>
    <row r="42243">
      <c r="A42243" s="6"/>
      <c r="B42243" s="6"/>
      <c r="H42243" s="13"/>
    </row>
    <row r="42244">
      <c r="A42244" s="6"/>
      <c r="B42244" s="6"/>
      <c r="H42244" s="13"/>
    </row>
    <row r="42245">
      <c r="A42245" s="6"/>
      <c r="B42245" s="6"/>
      <c r="H42245" s="13"/>
    </row>
    <row r="42246">
      <c r="A42246" s="6"/>
      <c r="B42246" s="6"/>
      <c r="H42246" s="13"/>
    </row>
    <row r="42247">
      <c r="A42247" s="6"/>
      <c r="B42247" s="6"/>
      <c r="H42247" s="13"/>
    </row>
    <row r="42248">
      <c r="A42248" s="6"/>
      <c r="B42248" s="6"/>
      <c r="H42248" s="13"/>
    </row>
    <row r="42249">
      <c r="A42249" s="6"/>
      <c r="B42249" s="6"/>
      <c r="H42249" s="13"/>
    </row>
    <row r="42250">
      <c r="A42250" s="6"/>
      <c r="B42250" s="6"/>
      <c r="H42250" s="13"/>
    </row>
    <row r="42251">
      <c r="A42251" s="6"/>
      <c r="B42251" s="6"/>
      <c r="H42251" s="13"/>
    </row>
    <row r="42252">
      <c r="A42252" s="6"/>
      <c r="B42252" s="6"/>
      <c r="H42252" s="13"/>
    </row>
    <row r="42253">
      <c r="A42253" s="6"/>
      <c r="B42253" s="6"/>
      <c r="H42253" s="13"/>
    </row>
    <row r="42254">
      <c r="A42254" s="6"/>
      <c r="B42254" s="6"/>
      <c r="H42254" s="13"/>
    </row>
    <row r="42255">
      <c r="A42255" s="6"/>
      <c r="B42255" s="6"/>
      <c r="H42255" s="13"/>
    </row>
    <row r="42256">
      <c r="A42256" s="6"/>
      <c r="B42256" s="6"/>
      <c r="H42256" s="13"/>
    </row>
    <row r="42257">
      <c r="A42257" s="6"/>
      <c r="B42257" s="6"/>
      <c r="H42257" s="13"/>
    </row>
    <row r="42258">
      <c r="A42258" s="6"/>
      <c r="B42258" s="6"/>
      <c r="H42258" s="13"/>
    </row>
    <row r="42259">
      <c r="A42259" s="6"/>
      <c r="B42259" s="6"/>
      <c r="H42259" s="13"/>
    </row>
    <row r="42260">
      <c r="A42260" s="6"/>
      <c r="B42260" s="6"/>
      <c r="H42260" s="13"/>
    </row>
    <row r="42261">
      <c r="A42261" s="6"/>
      <c r="B42261" s="6"/>
      <c r="H42261" s="13"/>
    </row>
    <row r="42262">
      <c r="A42262" s="6"/>
      <c r="B42262" s="6"/>
      <c r="H42262" s="13"/>
    </row>
    <row r="42263">
      <c r="A42263" s="6"/>
      <c r="B42263" s="6"/>
      <c r="H42263" s="13"/>
    </row>
    <row r="42264">
      <c r="A42264" s="6"/>
      <c r="B42264" s="6"/>
      <c r="H42264" s="13"/>
    </row>
    <row r="42265">
      <c r="A42265" s="6"/>
      <c r="B42265" s="6"/>
      <c r="H42265" s="13"/>
    </row>
    <row r="42266">
      <c r="A42266" s="6"/>
      <c r="B42266" s="6"/>
      <c r="H42266" s="13"/>
    </row>
    <row r="42267">
      <c r="A42267" s="6"/>
      <c r="B42267" s="6"/>
      <c r="H42267" s="13"/>
    </row>
    <row r="42268">
      <c r="A42268" s="6"/>
      <c r="B42268" s="6"/>
      <c r="H42268" s="13"/>
    </row>
    <row r="42269">
      <c r="A42269" s="6"/>
      <c r="B42269" s="6"/>
      <c r="H42269" s="13"/>
    </row>
    <row r="42270">
      <c r="A42270" s="6"/>
      <c r="B42270" s="6"/>
      <c r="H42270" s="13"/>
    </row>
    <row r="42271">
      <c r="A42271" s="6"/>
      <c r="B42271" s="6"/>
      <c r="H42271" s="13"/>
    </row>
    <row r="42272">
      <c r="A42272" s="6"/>
      <c r="B42272" s="6"/>
      <c r="H42272" s="13"/>
    </row>
    <row r="42273">
      <c r="A42273" s="6"/>
      <c r="B42273" s="6"/>
      <c r="H42273" s="13"/>
    </row>
    <row r="42274">
      <c r="A42274" s="6"/>
      <c r="B42274" s="6"/>
      <c r="H42274" s="13"/>
    </row>
    <row r="42275">
      <c r="A42275" s="6"/>
      <c r="B42275" s="6"/>
      <c r="H42275" s="13"/>
    </row>
    <row r="42276">
      <c r="A42276" s="6"/>
      <c r="B42276" s="6"/>
      <c r="H42276" s="13"/>
    </row>
    <row r="42277">
      <c r="A42277" s="6"/>
      <c r="B42277" s="6"/>
      <c r="H42277" s="13"/>
    </row>
    <row r="42278">
      <c r="A42278" s="6"/>
      <c r="B42278" s="6"/>
      <c r="H42278" s="13"/>
    </row>
    <row r="42279">
      <c r="A42279" s="6"/>
      <c r="B42279" s="6"/>
      <c r="H42279" s="13"/>
    </row>
    <row r="42280">
      <c r="A42280" s="6"/>
      <c r="B42280" s="6"/>
      <c r="H42280" s="13"/>
    </row>
    <row r="42281">
      <c r="A42281" s="6"/>
      <c r="B42281" s="6"/>
      <c r="H42281" s="13"/>
    </row>
    <row r="42282">
      <c r="A42282" s="6"/>
      <c r="B42282" s="6"/>
      <c r="H42282" s="13"/>
    </row>
    <row r="42283">
      <c r="A42283" s="6"/>
      <c r="B42283" s="6"/>
      <c r="H42283" s="13"/>
    </row>
    <row r="42284">
      <c r="A42284" s="6"/>
      <c r="B42284" s="6"/>
      <c r="H42284" s="13"/>
    </row>
    <row r="42285">
      <c r="A42285" s="6"/>
      <c r="B42285" s="6"/>
      <c r="H42285" s="13"/>
    </row>
    <row r="42286">
      <c r="A42286" s="6"/>
      <c r="B42286" s="6"/>
      <c r="H42286" s="13"/>
    </row>
    <row r="42287">
      <c r="A42287" s="6"/>
      <c r="B42287" s="6"/>
      <c r="H42287" s="13"/>
    </row>
    <row r="42288">
      <c r="A42288" s="6"/>
      <c r="B42288" s="6"/>
      <c r="H42288" s="13"/>
    </row>
    <row r="42289">
      <c r="A42289" s="6"/>
      <c r="B42289" s="6"/>
      <c r="H42289" s="13"/>
    </row>
    <row r="42290">
      <c r="A42290" s="6"/>
      <c r="B42290" s="6"/>
      <c r="H42290" s="13"/>
    </row>
    <row r="42291">
      <c r="A42291" s="6"/>
      <c r="B42291" s="6"/>
      <c r="H42291" s="13"/>
    </row>
    <row r="42292">
      <c r="A42292" s="6"/>
      <c r="B42292" s="6"/>
      <c r="H42292" s="13"/>
    </row>
    <row r="42293">
      <c r="A42293" s="6"/>
      <c r="B42293" s="6"/>
      <c r="H42293" s="13"/>
    </row>
    <row r="42294">
      <c r="A42294" s="6"/>
      <c r="B42294" s="6"/>
      <c r="H42294" s="13"/>
    </row>
    <row r="42295">
      <c r="A42295" s="6"/>
      <c r="B42295" s="6"/>
      <c r="H42295" s="13"/>
    </row>
    <row r="42296">
      <c r="A42296" s="6"/>
      <c r="B42296" s="6"/>
      <c r="H42296" s="13"/>
    </row>
    <row r="42297">
      <c r="A42297" s="6"/>
      <c r="B42297" s="6"/>
      <c r="H42297" s="13"/>
    </row>
    <row r="42298">
      <c r="A42298" s="6"/>
      <c r="B42298" s="6"/>
      <c r="H42298" s="13"/>
    </row>
    <row r="42299">
      <c r="A42299" s="6"/>
      <c r="B42299" s="6"/>
      <c r="H42299" s="13"/>
    </row>
    <row r="42300">
      <c r="A42300" s="6"/>
      <c r="B42300" s="6"/>
      <c r="H42300" s="13"/>
    </row>
    <row r="42301">
      <c r="A42301" s="6"/>
      <c r="B42301" s="6"/>
      <c r="H42301" s="13"/>
    </row>
    <row r="42302">
      <c r="A42302" s="6"/>
      <c r="B42302" s="6"/>
      <c r="H42302" s="13"/>
    </row>
    <row r="42303">
      <c r="A42303" s="6"/>
      <c r="B42303" s="6"/>
      <c r="H42303" s="13"/>
    </row>
    <row r="42304">
      <c r="A42304" s="6"/>
      <c r="B42304" s="6"/>
      <c r="H42304" s="13"/>
    </row>
    <row r="42305">
      <c r="A42305" s="6"/>
      <c r="B42305" s="6"/>
      <c r="H42305" s="13"/>
    </row>
    <row r="42306">
      <c r="A42306" s="6"/>
      <c r="B42306" s="6"/>
      <c r="H42306" s="13"/>
    </row>
    <row r="42307">
      <c r="A42307" s="6"/>
      <c r="B42307" s="6"/>
      <c r="H42307" s="13"/>
    </row>
    <row r="42308">
      <c r="A42308" s="6"/>
      <c r="B42308" s="6"/>
      <c r="H42308" s="13"/>
    </row>
    <row r="42309">
      <c r="A42309" s="6"/>
      <c r="B42309" s="6"/>
      <c r="H42309" s="13"/>
    </row>
    <row r="42310">
      <c r="A42310" s="6"/>
      <c r="B42310" s="6"/>
      <c r="H42310" s="13"/>
    </row>
    <row r="42311">
      <c r="A42311" s="6"/>
      <c r="B42311" s="6"/>
      <c r="H42311" s="13"/>
    </row>
    <row r="42312">
      <c r="A42312" s="6"/>
      <c r="B42312" s="6"/>
      <c r="H42312" s="13"/>
    </row>
    <row r="42313">
      <c r="A42313" s="6"/>
      <c r="B42313" s="6"/>
      <c r="H42313" s="13"/>
    </row>
    <row r="42314">
      <c r="A42314" s="6"/>
      <c r="B42314" s="6"/>
      <c r="H42314" s="13"/>
    </row>
    <row r="42315">
      <c r="A42315" s="6"/>
      <c r="B42315" s="6"/>
      <c r="H42315" s="13"/>
    </row>
    <row r="42316">
      <c r="A42316" s="6"/>
      <c r="B42316" s="6"/>
      <c r="H42316" s="13"/>
    </row>
    <row r="42317">
      <c r="A42317" s="6"/>
      <c r="B42317" s="6"/>
      <c r="H42317" s="13"/>
    </row>
    <row r="42318">
      <c r="A42318" s="6"/>
      <c r="B42318" s="6"/>
      <c r="H42318" s="13"/>
    </row>
    <row r="42319">
      <c r="A42319" s="6"/>
      <c r="B42319" s="6"/>
      <c r="H42319" s="13"/>
    </row>
    <row r="42320">
      <c r="A42320" s="6"/>
      <c r="B42320" s="6"/>
      <c r="H42320" s="13"/>
    </row>
    <row r="42321">
      <c r="A42321" s="6"/>
      <c r="B42321" s="6"/>
      <c r="H42321" s="13"/>
    </row>
    <row r="42322">
      <c r="A42322" s="6"/>
      <c r="B42322" s="6"/>
      <c r="H42322" s="13"/>
    </row>
    <row r="42323">
      <c r="A42323" s="6"/>
      <c r="B42323" s="6"/>
      <c r="H42323" s="13"/>
    </row>
    <row r="42324">
      <c r="A42324" s="6"/>
      <c r="B42324" s="6"/>
      <c r="H42324" s="13"/>
    </row>
    <row r="42325">
      <c r="A42325" s="6"/>
      <c r="B42325" s="6"/>
      <c r="H42325" s="13"/>
    </row>
    <row r="42326">
      <c r="A42326" s="6"/>
      <c r="B42326" s="6"/>
      <c r="H42326" s="13"/>
    </row>
    <row r="42327">
      <c r="A42327" s="6"/>
      <c r="B42327" s="6"/>
      <c r="H42327" s="13"/>
    </row>
    <row r="42328">
      <c r="A42328" s="6"/>
      <c r="B42328" s="6"/>
      <c r="H42328" s="13"/>
    </row>
    <row r="42329">
      <c r="A42329" s="6"/>
      <c r="B42329" s="6"/>
      <c r="H42329" s="13"/>
    </row>
    <row r="42330">
      <c r="A42330" s="6"/>
      <c r="B42330" s="6"/>
      <c r="H42330" s="13"/>
    </row>
    <row r="42331">
      <c r="A42331" s="6"/>
      <c r="B42331" s="6"/>
      <c r="H42331" s="13"/>
    </row>
    <row r="42332">
      <c r="A42332" s="6"/>
      <c r="B42332" s="6"/>
      <c r="H42332" s="13"/>
    </row>
    <row r="42333">
      <c r="A42333" s="6"/>
      <c r="B42333" s="6"/>
      <c r="H42333" s="13"/>
    </row>
    <row r="42334">
      <c r="A42334" s="6"/>
      <c r="B42334" s="6"/>
      <c r="H42334" s="13"/>
    </row>
    <row r="42335">
      <c r="A42335" s="6"/>
      <c r="B42335" s="6"/>
      <c r="H42335" s="13"/>
    </row>
    <row r="42336">
      <c r="A42336" s="6"/>
      <c r="B42336" s="6"/>
      <c r="H42336" s="13"/>
    </row>
    <row r="42337">
      <c r="A42337" s="6"/>
      <c r="B42337" s="6"/>
      <c r="H42337" s="13"/>
    </row>
    <row r="42338">
      <c r="A42338" s="6"/>
      <c r="B42338" s="6"/>
      <c r="H42338" s="13"/>
    </row>
    <row r="42339">
      <c r="A42339" s="6"/>
      <c r="B42339" s="6"/>
      <c r="H42339" s="13"/>
    </row>
    <row r="42340">
      <c r="A42340" s="6"/>
      <c r="B42340" s="6"/>
      <c r="H42340" s="13"/>
    </row>
    <row r="42341">
      <c r="A42341" s="6"/>
      <c r="B42341" s="6"/>
      <c r="H42341" s="13"/>
    </row>
    <row r="42342">
      <c r="A42342" s="6"/>
      <c r="B42342" s="6"/>
      <c r="H42342" s="13"/>
    </row>
    <row r="42343">
      <c r="A42343" s="6"/>
      <c r="B42343" s="6"/>
      <c r="H42343" s="13"/>
    </row>
    <row r="42344">
      <c r="A42344" s="6"/>
      <c r="B42344" s="6"/>
      <c r="H42344" s="13"/>
    </row>
    <row r="42345">
      <c r="A42345" s="6"/>
      <c r="B42345" s="6"/>
      <c r="H42345" s="13"/>
    </row>
    <row r="42346">
      <c r="A42346" s="6"/>
      <c r="B42346" s="6"/>
      <c r="H42346" s="13"/>
    </row>
    <row r="42347">
      <c r="A42347" s="6"/>
      <c r="B42347" s="6"/>
      <c r="H42347" s="13"/>
    </row>
    <row r="42348">
      <c r="A42348" s="6"/>
      <c r="B42348" s="6"/>
      <c r="H42348" s="13"/>
    </row>
    <row r="42349">
      <c r="A42349" s="6"/>
      <c r="B42349" s="6"/>
      <c r="H42349" s="13"/>
    </row>
    <row r="42350">
      <c r="A42350" s="6"/>
      <c r="B42350" s="6"/>
      <c r="H42350" s="13"/>
    </row>
    <row r="42351">
      <c r="A42351" s="6"/>
      <c r="B42351" s="6"/>
      <c r="H42351" s="13"/>
    </row>
    <row r="42352">
      <c r="A42352" s="6"/>
      <c r="B42352" s="6"/>
      <c r="H42352" s="13"/>
    </row>
    <row r="42353">
      <c r="A42353" s="6"/>
      <c r="B42353" s="6"/>
      <c r="H42353" s="13"/>
    </row>
    <row r="42354">
      <c r="A42354" s="6"/>
      <c r="B42354" s="6"/>
      <c r="H42354" s="13"/>
    </row>
    <row r="42355">
      <c r="A42355" s="6"/>
      <c r="B42355" s="6"/>
      <c r="H42355" s="13"/>
    </row>
    <row r="42356">
      <c r="A42356" s="6"/>
      <c r="B42356" s="6"/>
      <c r="H42356" s="13"/>
    </row>
    <row r="42357">
      <c r="A42357" s="6"/>
      <c r="B42357" s="6"/>
      <c r="H42357" s="13"/>
    </row>
    <row r="42358">
      <c r="A42358" s="6"/>
      <c r="B42358" s="6"/>
      <c r="H42358" s="13"/>
    </row>
    <row r="42359">
      <c r="A42359" s="6"/>
      <c r="B42359" s="6"/>
      <c r="H42359" s="13"/>
    </row>
    <row r="42360">
      <c r="A42360" s="6"/>
      <c r="B42360" s="6"/>
      <c r="H42360" s="13"/>
    </row>
    <row r="42361">
      <c r="A42361" s="6"/>
      <c r="B42361" s="6"/>
      <c r="H42361" s="13"/>
    </row>
    <row r="42362">
      <c r="A42362" s="6"/>
      <c r="B42362" s="6"/>
      <c r="H42362" s="13"/>
    </row>
    <row r="42363">
      <c r="A42363" s="6"/>
      <c r="B42363" s="6"/>
      <c r="H42363" s="13"/>
    </row>
    <row r="42364">
      <c r="A42364" s="6"/>
      <c r="B42364" s="6"/>
      <c r="H42364" s="13"/>
    </row>
    <row r="42365">
      <c r="A42365" s="6"/>
      <c r="B42365" s="6"/>
      <c r="H42365" s="13"/>
    </row>
    <row r="42366">
      <c r="A42366" s="6"/>
      <c r="B42366" s="6"/>
      <c r="H42366" s="13"/>
    </row>
    <row r="42367">
      <c r="A42367" s="6"/>
      <c r="B42367" s="6"/>
      <c r="H42367" s="13"/>
    </row>
    <row r="42368">
      <c r="A42368" s="6"/>
      <c r="B42368" s="6"/>
      <c r="H42368" s="13"/>
    </row>
    <row r="42369">
      <c r="A42369" s="6"/>
      <c r="B42369" s="6"/>
      <c r="H42369" s="13"/>
    </row>
    <row r="42370">
      <c r="A42370" s="6"/>
      <c r="B42370" s="6"/>
      <c r="H42370" s="13"/>
    </row>
    <row r="42371">
      <c r="A42371" s="6"/>
      <c r="B42371" s="6"/>
      <c r="H42371" s="13"/>
    </row>
    <row r="42372">
      <c r="A42372" s="6"/>
      <c r="B42372" s="6"/>
      <c r="H42372" s="13"/>
    </row>
    <row r="42373">
      <c r="A42373" s="6"/>
      <c r="B42373" s="6"/>
      <c r="H42373" s="13"/>
    </row>
    <row r="42374">
      <c r="A42374" s="6"/>
      <c r="B42374" s="6"/>
      <c r="H42374" s="13"/>
    </row>
    <row r="42375">
      <c r="A42375" s="6"/>
      <c r="B42375" s="6"/>
      <c r="H42375" s="13"/>
    </row>
    <row r="42376">
      <c r="A42376" s="6"/>
      <c r="B42376" s="6"/>
      <c r="H42376" s="13"/>
    </row>
    <row r="42377">
      <c r="A42377" s="6"/>
      <c r="B42377" s="6"/>
      <c r="H42377" s="13"/>
    </row>
    <row r="42378">
      <c r="A42378" s="6"/>
      <c r="B42378" s="6"/>
      <c r="H42378" s="13"/>
    </row>
    <row r="42379">
      <c r="A42379" s="6"/>
      <c r="B42379" s="6"/>
      <c r="H42379" s="13"/>
    </row>
    <row r="42380">
      <c r="A42380" s="6"/>
      <c r="B42380" s="6"/>
      <c r="H42380" s="13"/>
    </row>
    <row r="42381">
      <c r="A42381" s="6"/>
      <c r="B42381" s="6"/>
      <c r="H42381" s="13"/>
    </row>
    <row r="42382">
      <c r="A42382" s="6"/>
      <c r="B42382" s="6"/>
      <c r="H42382" s="13"/>
    </row>
    <row r="42383">
      <c r="A42383" s="6"/>
      <c r="B42383" s="6"/>
      <c r="H42383" s="13"/>
    </row>
    <row r="42384">
      <c r="A42384" s="6"/>
      <c r="B42384" s="6"/>
      <c r="H42384" s="13"/>
    </row>
    <row r="42385">
      <c r="A42385" s="6"/>
      <c r="B42385" s="6"/>
      <c r="H42385" s="13"/>
    </row>
    <row r="42386">
      <c r="A42386" s="6"/>
      <c r="B42386" s="6"/>
      <c r="H42386" s="13"/>
    </row>
    <row r="42387">
      <c r="A42387" s="6"/>
      <c r="B42387" s="6"/>
      <c r="H42387" s="13"/>
    </row>
    <row r="42388">
      <c r="A42388" s="6"/>
      <c r="B42388" s="6"/>
      <c r="H42388" s="13"/>
    </row>
    <row r="42389">
      <c r="A42389" s="6"/>
      <c r="B42389" s="6"/>
      <c r="H42389" s="13"/>
    </row>
    <row r="42390">
      <c r="A42390" s="6"/>
      <c r="B42390" s="6"/>
      <c r="H42390" s="13"/>
    </row>
    <row r="42391">
      <c r="A42391" s="6"/>
      <c r="B42391" s="6"/>
      <c r="H42391" s="13"/>
    </row>
    <row r="42392">
      <c r="A42392" s="6"/>
      <c r="B42392" s="6"/>
      <c r="H42392" s="13"/>
    </row>
    <row r="42393">
      <c r="A42393" s="6"/>
      <c r="B42393" s="6"/>
      <c r="H42393" s="13"/>
    </row>
    <row r="42394">
      <c r="A42394" s="6"/>
      <c r="B42394" s="6"/>
      <c r="H42394" s="13"/>
    </row>
    <row r="42395">
      <c r="A42395" s="6"/>
      <c r="B42395" s="6"/>
      <c r="H42395" s="13"/>
    </row>
    <row r="42396">
      <c r="A42396" s="6"/>
      <c r="B42396" s="6"/>
      <c r="H42396" s="13"/>
    </row>
    <row r="42397">
      <c r="A42397" s="6"/>
      <c r="B42397" s="6"/>
      <c r="H42397" s="13"/>
    </row>
    <row r="42398">
      <c r="A42398" s="6"/>
      <c r="B42398" s="6"/>
      <c r="H42398" s="13"/>
    </row>
    <row r="42399">
      <c r="A42399" s="6"/>
      <c r="B42399" s="6"/>
      <c r="H42399" s="13"/>
    </row>
    <row r="42400">
      <c r="A42400" s="6"/>
      <c r="B42400" s="6"/>
      <c r="H42400" s="13"/>
    </row>
    <row r="42401">
      <c r="A42401" s="6"/>
      <c r="B42401" s="6"/>
      <c r="H42401" s="13"/>
    </row>
    <row r="42402">
      <c r="A42402" s="6"/>
      <c r="B42402" s="6"/>
      <c r="H42402" s="13"/>
    </row>
    <row r="42403">
      <c r="A42403" s="6"/>
      <c r="B42403" s="6"/>
      <c r="H42403" s="13"/>
    </row>
    <row r="42404">
      <c r="A42404" s="6"/>
      <c r="B42404" s="6"/>
      <c r="H42404" s="13"/>
    </row>
    <row r="42405">
      <c r="A42405" s="6"/>
      <c r="B42405" s="6"/>
      <c r="H42405" s="13"/>
    </row>
    <row r="42406">
      <c r="A42406" s="6"/>
      <c r="B42406" s="6"/>
      <c r="H42406" s="13"/>
    </row>
    <row r="42407">
      <c r="A42407" s="6"/>
      <c r="B42407" s="6"/>
      <c r="H42407" s="13"/>
    </row>
    <row r="42408">
      <c r="A42408" s="6"/>
      <c r="B42408" s="6"/>
      <c r="H42408" s="13"/>
    </row>
    <row r="42409">
      <c r="A42409" s="6"/>
      <c r="B42409" s="6"/>
      <c r="H42409" s="13"/>
    </row>
    <row r="42410">
      <c r="A42410" s="6"/>
      <c r="B42410" s="6"/>
      <c r="H42410" s="13"/>
    </row>
    <row r="42411">
      <c r="A42411" s="6"/>
      <c r="B42411" s="6"/>
      <c r="H42411" s="13"/>
    </row>
    <row r="42412">
      <c r="A42412" s="6"/>
      <c r="B42412" s="6"/>
      <c r="H42412" s="13"/>
    </row>
    <row r="42413">
      <c r="A42413" s="6"/>
      <c r="B42413" s="6"/>
      <c r="H42413" s="13"/>
    </row>
    <row r="42414">
      <c r="A42414" s="6"/>
      <c r="B42414" s="6"/>
      <c r="H42414" s="13"/>
    </row>
    <row r="42415">
      <c r="A42415" s="6"/>
      <c r="B42415" s="6"/>
      <c r="H42415" s="13"/>
    </row>
    <row r="42416">
      <c r="A42416" s="6"/>
      <c r="B42416" s="6"/>
      <c r="H42416" s="13"/>
    </row>
    <row r="42417">
      <c r="A42417" s="6"/>
      <c r="B42417" s="6"/>
      <c r="H42417" s="13"/>
    </row>
    <row r="42418">
      <c r="A42418" s="6"/>
      <c r="B42418" s="6"/>
      <c r="H42418" s="13"/>
    </row>
    <row r="42419">
      <c r="A42419" s="6"/>
      <c r="B42419" s="6"/>
      <c r="H42419" s="13"/>
    </row>
    <row r="42420">
      <c r="A42420" s="6"/>
      <c r="B42420" s="6"/>
      <c r="H42420" s="13"/>
    </row>
    <row r="42421">
      <c r="A42421" s="6"/>
      <c r="B42421" s="6"/>
      <c r="H42421" s="13"/>
    </row>
    <row r="42422">
      <c r="A42422" s="6"/>
      <c r="B42422" s="6"/>
      <c r="H42422" s="13"/>
    </row>
    <row r="42423">
      <c r="A42423" s="6"/>
      <c r="B42423" s="6"/>
      <c r="H42423" s="13"/>
    </row>
    <row r="42424">
      <c r="A42424" s="6"/>
      <c r="B42424" s="6"/>
      <c r="H42424" s="13"/>
    </row>
    <row r="42425">
      <c r="A42425" s="6"/>
      <c r="B42425" s="6"/>
      <c r="H42425" s="13"/>
    </row>
    <row r="42426">
      <c r="A42426" s="6"/>
      <c r="B42426" s="6"/>
      <c r="H42426" s="13"/>
    </row>
    <row r="42427">
      <c r="A42427" s="6"/>
      <c r="B42427" s="6"/>
      <c r="H42427" s="13"/>
    </row>
    <row r="42428">
      <c r="A42428" s="6"/>
      <c r="B42428" s="6"/>
      <c r="H42428" s="13"/>
    </row>
    <row r="42429">
      <c r="A42429" s="6"/>
      <c r="B42429" s="6"/>
      <c r="H42429" s="13"/>
    </row>
    <row r="42430">
      <c r="A42430" s="6"/>
      <c r="B42430" s="6"/>
      <c r="H42430" s="13"/>
    </row>
    <row r="42431">
      <c r="A42431" s="6"/>
      <c r="B42431" s="6"/>
      <c r="H42431" s="13"/>
    </row>
    <row r="42432">
      <c r="A42432" s="6"/>
      <c r="B42432" s="6"/>
      <c r="H42432" s="13"/>
    </row>
    <row r="42433">
      <c r="A42433" s="6"/>
      <c r="B42433" s="6"/>
      <c r="H42433" s="13"/>
    </row>
    <row r="42434">
      <c r="A42434" s="6"/>
      <c r="B42434" s="6"/>
      <c r="H42434" s="13"/>
    </row>
    <row r="42435">
      <c r="A42435" s="6"/>
      <c r="B42435" s="6"/>
      <c r="H42435" s="13"/>
    </row>
    <row r="42436">
      <c r="A42436" s="6"/>
      <c r="B42436" s="6"/>
      <c r="H42436" s="13"/>
    </row>
    <row r="42437">
      <c r="A42437" s="6"/>
      <c r="B42437" s="6"/>
      <c r="H42437" s="13"/>
    </row>
    <row r="42438">
      <c r="A42438" s="6"/>
      <c r="B42438" s="6"/>
      <c r="H42438" s="13"/>
    </row>
    <row r="42439">
      <c r="A42439" s="6"/>
      <c r="B42439" s="6"/>
      <c r="H42439" s="13"/>
    </row>
    <row r="42440">
      <c r="A42440" s="6"/>
      <c r="B42440" s="6"/>
      <c r="H42440" s="13"/>
    </row>
    <row r="42441">
      <c r="A42441" s="6"/>
      <c r="B42441" s="6"/>
      <c r="H42441" s="13"/>
    </row>
    <row r="42442">
      <c r="A42442" s="6"/>
      <c r="B42442" s="6"/>
      <c r="H42442" s="13"/>
    </row>
    <row r="42443">
      <c r="A42443" s="6"/>
      <c r="B42443" s="6"/>
      <c r="H42443" s="13"/>
    </row>
    <row r="42444">
      <c r="A42444" s="6"/>
      <c r="B42444" s="6"/>
      <c r="H42444" s="13"/>
    </row>
    <row r="42445">
      <c r="A42445" s="6"/>
      <c r="B42445" s="6"/>
      <c r="H42445" s="13"/>
    </row>
    <row r="42446">
      <c r="A42446" s="6"/>
      <c r="B42446" s="6"/>
      <c r="H42446" s="13"/>
    </row>
    <row r="42447">
      <c r="A42447" s="6"/>
      <c r="B42447" s="6"/>
      <c r="H42447" s="13"/>
    </row>
    <row r="42448">
      <c r="A42448" s="6"/>
      <c r="B42448" s="6"/>
      <c r="H42448" s="13"/>
    </row>
    <row r="42449">
      <c r="A42449" s="6"/>
      <c r="B42449" s="6"/>
      <c r="H42449" s="13"/>
    </row>
    <row r="42450">
      <c r="A42450" s="6"/>
      <c r="B42450" s="6"/>
      <c r="H42450" s="13"/>
    </row>
    <row r="42451">
      <c r="A42451" s="6"/>
      <c r="B42451" s="6"/>
      <c r="H42451" s="13"/>
    </row>
    <row r="42452">
      <c r="A42452" s="6"/>
      <c r="B42452" s="6"/>
      <c r="H42452" s="13"/>
    </row>
    <row r="42453">
      <c r="A42453" s="6"/>
      <c r="B42453" s="6"/>
      <c r="H42453" s="13"/>
    </row>
    <row r="42454">
      <c r="A42454" s="6"/>
      <c r="B42454" s="6"/>
      <c r="H42454" s="13"/>
    </row>
    <row r="42455">
      <c r="A42455" s="6"/>
      <c r="B42455" s="6"/>
      <c r="H42455" s="13"/>
    </row>
    <row r="42456">
      <c r="A42456" s="6"/>
      <c r="B42456" s="6"/>
      <c r="H42456" s="13"/>
    </row>
    <row r="42457">
      <c r="A42457" s="6"/>
      <c r="B42457" s="6"/>
      <c r="H42457" s="13"/>
    </row>
    <row r="42458">
      <c r="A42458" s="6"/>
      <c r="B42458" s="6"/>
      <c r="H42458" s="13"/>
    </row>
    <row r="42459">
      <c r="A42459" s="6"/>
      <c r="B42459" s="6"/>
      <c r="H42459" s="13"/>
    </row>
    <row r="42460">
      <c r="A42460" s="6"/>
      <c r="B42460" s="6"/>
      <c r="H42460" s="13"/>
    </row>
    <row r="42461">
      <c r="A42461" s="6"/>
      <c r="B42461" s="6"/>
      <c r="H42461" s="13"/>
    </row>
    <row r="42462">
      <c r="A42462" s="6"/>
      <c r="B42462" s="6"/>
      <c r="H42462" s="13"/>
    </row>
    <row r="42463">
      <c r="A42463" s="6"/>
      <c r="B42463" s="6"/>
      <c r="H42463" s="13"/>
    </row>
    <row r="42464">
      <c r="A42464" s="6"/>
      <c r="B42464" s="6"/>
      <c r="H42464" s="13"/>
    </row>
    <row r="42465">
      <c r="A42465" s="6"/>
      <c r="B42465" s="6"/>
      <c r="H42465" s="13"/>
    </row>
    <row r="42466">
      <c r="A42466" s="6"/>
      <c r="B42466" s="6"/>
      <c r="H42466" s="13"/>
    </row>
    <row r="42467">
      <c r="A42467" s="6"/>
      <c r="B42467" s="6"/>
      <c r="H42467" s="13"/>
    </row>
    <row r="42468">
      <c r="A42468" s="6"/>
      <c r="B42468" s="6"/>
      <c r="H42468" s="13"/>
    </row>
    <row r="42469">
      <c r="A42469" s="6"/>
      <c r="B42469" s="6"/>
      <c r="H42469" s="13"/>
    </row>
    <row r="42470">
      <c r="A42470" s="6"/>
      <c r="B42470" s="6"/>
      <c r="H42470" s="13"/>
    </row>
    <row r="42471">
      <c r="A42471" s="6"/>
      <c r="B42471" s="6"/>
      <c r="H42471" s="13"/>
    </row>
    <row r="42472">
      <c r="A42472" s="6"/>
      <c r="B42472" s="6"/>
      <c r="H42472" s="13"/>
    </row>
    <row r="42473">
      <c r="A42473" s="6"/>
      <c r="B42473" s="6"/>
      <c r="H42473" s="13"/>
    </row>
    <row r="42474">
      <c r="A42474" s="6"/>
      <c r="B42474" s="6"/>
      <c r="H42474" s="13"/>
    </row>
    <row r="42475">
      <c r="A42475" s="6"/>
      <c r="B42475" s="6"/>
      <c r="H42475" s="13"/>
    </row>
    <row r="42476">
      <c r="A42476" s="6"/>
      <c r="B42476" s="6"/>
      <c r="H42476" s="13"/>
    </row>
    <row r="42477">
      <c r="A42477" s="6"/>
      <c r="B42477" s="6"/>
      <c r="H42477" s="13"/>
    </row>
    <row r="42478">
      <c r="A42478" s="6"/>
      <c r="B42478" s="6"/>
      <c r="H42478" s="13"/>
    </row>
    <row r="42479">
      <c r="A42479" s="6"/>
      <c r="B42479" s="6"/>
      <c r="H42479" s="13"/>
    </row>
    <row r="42480">
      <c r="A42480" s="6"/>
      <c r="B42480" s="6"/>
      <c r="H42480" s="13"/>
    </row>
    <row r="42481">
      <c r="A42481" s="6"/>
      <c r="B42481" s="6"/>
      <c r="H42481" s="13"/>
    </row>
    <row r="42482">
      <c r="A42482" s="6"/>
      <c r="B42482" s="6"/>
      <c r="H42482" s="13"/>
    </row>
    <row r="42483">
      <c r="A42483" s="6"/>
      <c r="B42483" s="6"/>
      <c r="H42483" s="13"/>
    </row>
    <row r="42484">
      <c r="A42484" s="6"/>
      <c r="B42484" s="6"/>
      <c r="H42484" s="13"/>
    </row>
    <row r="42485">
      <c r="A42485" s="6"/>
      <c r="B42485" s="6"/>
      <c r="H42485" s="13"/>
    </row>
    <row r="42486">
      <c r="A42486" s="6"/>
      <c r="B42486" s="6"/>
      <c r="H42486" s="13"/>
    </row>
    <row r="42487">
      <c r="A42487" s="6"/>
      <c r="B42487" s="6"/>
      <c r="H42487" s="13"/>
    </row>
    <row r="42488">
      <c r="A42488" s="6"/>
      <c r="B42488" s="6"/>
      <c r="H42488" s="13"/>
    </row>
    <row r="42489">
      <c r="A42489" s="6"/>
      <c r="B42489" s="6"/>
      <c r="H42489" s="13"/>
    </row>
    <row r="42490">
      <c r="A42490" s="6"/>
      <c r="B42490" s="6"/>
      <c r="H42490" s="13"/>
    </row>
    <row r="42491">
      <c r="A42491" s="6"/>
      <c r="B42491" s="6"/>
      <c r="H42491" s="13"/>
    </row>
    <row r="42492">
      <c r="A42492" s="6"/>
      <c r="B42492" s="6"/>
      <c r="H42492" s="13"/>
    </row>
    <row r="42493">
      <c r="A42493" s="6"/>
      <c r="B42493" s="6"/>
      <c r="H42493" s="13"/>
    </row>
    <row r="42494">
      <c r="A42494" s="6"/>
      <c r="B42494" s="6"/>
      <c r="H42494" s="13"/>
    </row>
    <row r="42495">
      <c r="A42495" s="6"/>
      <c r="B42495" s="6"/>
      <c r="H42495" s="13"/>
    </row>
    <row r="42496">
      <c r="A42496" s="6"/>
      <c r="B42496" s="6"/>
      <c r="H42496" s="13"/>
    </row>
    <row r="42497">
      <c r="A42497" s="6"/>
      <c r="B42497" s="6"/>
      <c r="H42497" s="13"/>
    </row>
    <row r="42498">
      <c r="A42498" s="6"/>
      <c r="B42498" s="6"/>
      <c r="H42498" s="13"/>
    </row>
    <row r="42499">
      <c r="A42499" s="6"/>
      <c r="B42499" s="6"/>
      <c r="H42499" s="13"/>
    </row>
    <row r="42500">
      <c r="A42500" s="6"/>
      <c r="B42500" s="6"/>
      <c r="H42500" s="13"/>
    </row>
    <row r="42501">
      <c r="A42501" s="6"/>
      <c r="B42501" s="6"/>
      <c r="H42501" s="13"/>
    </row>
    <row r="42502">
      <c r="A42502" s="6"/>
      <c r="B42502" s="6"/>
      <c r="H42502" s="13"/>
    </row>
    <row r="42503">
      <c r="A42503" s="6"/>
      <c r="B42503" s="6"/>
      <c r="H42503" s="13"/>
    </row>
    <row r="42504">
      <c r="A42504" s="6"/>
      <c r="B42504" s="6"/>
      <c r="H42504" s="13"/>
    </row>
    <row r="42505">
      <c r="A42505" s="6"/>
      <c r="B42505" s="6"/>
      <c r="H42505" s="13"/>
    </row>
    <row r="42506">
      <c r="A42506" s="6"/>
      <c r="B42506" s="6"/>
      <c r="H42506" s="13"/>
    </row>
    <row r="42507">
      <c r="A42507" s="6"/>
      <c r="B42507" s="6"/>
      <c r="H42507" s="13"/>
    </row>
    <row r="42508">
      <c r="A42508" s="6"/>
      <c r="B42508" s="6"/>
      <c r="H42508" s="13"/>
    </row>
    <row r="42509">
      <c r="A42509" s="6"/>
      <c r="B42509" s="6"/>
      <c r="H42509" s="13"/>
    </row>
    <row r="42510">
      <c r="A42510" s="6"/>
      <c r="B42510" s="6"/>
      <c r="H42510" s="13"/>
    </row>
    <row r="42511">
      <c r="A42511" s="6"/>
      <c r="B42511" s="6"/>
      <c r="H42511" s="13"/>
    </row>
    <row r="42512">
      <c r="A42512" s="6"/>
      <c r="B42512" s="6"/>
      <c r="H42512" s="13"/>
    </row>
    <row r="42513">
      <c r="A42513" s="6"/>
      <c r="B42513" s="6"/>
      <c r="H42513" s="13"/>
    </row>
    <row r="42514">
      <c r="A42514" s="6"/>
      <c r="B42514" s="6"/>
      <c r="H42514" s="13"/>
    </row>
    <row r="42515">
      <c r="A42515" s="6"/>
      <c r="B42515" s="6"/>
      <c r="H42515" s="13"/>
    </row>
    <row r="42516">
      <c r="A42516" s="6"/>
      <c r="B42516" s="6"/>
      <c r="H42516" s="13"/>
    </row>
    <row r="42517">
      <c r="A42517" s="6"/>
      <c r="B42517" s="6"/>
      <c r="H42517" s="13"/>
    </row>
    <row r="42518">
      <c r="A42518" s="6"/>
      <c r="B42518" s="6"/>
      <c r="H42518" s="13"/>
    </row>
    <row r="42519">
      <c r="A42519" s="6"/>
      <c r="B42519" s="6"/>
      <c r="H42519" s="13"/>
    </row>
    <row r="42520">
      <c r="A42520" s="6"/>
      <c r="B42520" s="6"/>
      <c r="H42520" s="13"/>
    </row>
    <row r="42521">
      <c r="A42521" s="6"/>
      <c r="B42521" s="6"/>
      <c r="H42521" s="13"/>
    </row>
    <row r="42522">
      <c r="A42522" s="6"/>
      <c r="B42522" s="6"/>
      <c r="H42522" s="13"/>
    </row>
    <row r="42523">
      <c r="A42523" s="6"/>
      <c r="B42523" s="6"/>
      <c r="H42523" s="13"/>
    </row>
    <row r="42524">
      <c r="A42524" s="6"/>
      <c r="B42524" s="6"/>
      <c r="H42524" s="13"/>
    </row>
    <row r="42525">
      <c r="A42525" s="6"/>
      <c r="B42525" s="6"/>
      <c r="H42525" s="13"/>
    </row>
    <row r="42526">
      <c r="A42526" s="6"/>
      <c r="B42526" s="6"/>
      <c r="H42526" s="13"/>
    </row>
    <row r="42527">
      <c r="A42527" s="6"/>
      <c r="B42527" s="6"/>
      <c r="H42527" s="13"/>
    </row>
    <row r="42528">
      <c r="A42528" s="6"/>
      <c r="B42528" s="6"/>
      <c r="H42528" s="13"/>
    </row>
    <row r="42529">
      <c r="A42529" s="6"/>
      <c r="B42529" s="6"/>
      <c r="H42529" s="13"/>
    </row>
    <row r="42530">
      <c r="A42530" s="6"/>
      <c r="B42530" s="6"/>
      <c r="H42530" s="13"/>
    </row>
    <row r="42531">
      <c r="A42531" s="6"/>
      <c r="B42531" s="6"/>
      <c r="H42531" s="13"/>
    </row>
    <row r="42532">
      <c r="A42532" s="6"/>
      <c r="B42532" s="6"/>
      <c r="H42532" s="13"/>
    </row>
    <row r="42533">
      <c r="A42533" s="6"/>
      <c r="B42533" s="6"/>
      <c r="H42533" s="13"/>
    </row>
    <row r="42534">
      <c r="A42534" s="6"/>
      <c r="B42534" s="6"/>
      <c r="H42534" s="13"/>
    </row>
    <row r="42535">
      <c r="A42535" s="6"/>
      <c r="B42535" s="6"/>
      <c r="H42535" s="13"/>
    </row>
    <row r="42536">
      <c r="A42536" s="6"/>
      <c r="B42536" s="6"/>
      <c r="H42536" s="13"/>
    </row>
    <row r="42537">
      <c r="A42537" s="6"/>
      <c r="B42537" s="6"/>
      <c r="H42537" s="13"/>
    </row>
    <row r="42538">
      <c r="A42538" s="6"/>
      <c r="B42538" s="6"/>
      <c r="H42538" s="13"/>
    </row>
    <row r="42539">
      <c r="A42539" s="6"/>
      <c r="B42539" s="6"/>
      <c r="H42539" s="13"/>
    </row>
    <row r="42540">
      <c r="A42540" s="6"/>
      <c r="B42540" s="6"/>
      <c r="H42540" s="13"/>
    </row>
    <row r="42541">
      <c r="A42541" s="6"/>
      <c r="B42541" s="6"/>
      <c r="H42541" s="13"/>
    </row>
    <row r="42542">
      <c r="A42542" s="6"/>
      <c r="B42542" s="6"/>
      <c r="H42542" s="13"/>
    </row>
    <row r="42543">
      <c r="A42543" s="6"/>
      <c r="B42543" s="6"/>
      <c r="H42543" s="13"/>
    </row>
    <row r="42544">
      <c r="A42544" s="6"/>
      <c r="B42544" s="6"/>
      <c r="H42544" s="13"/>
    </row>
    <row r="42545">
      <c r="A42545" s="6"/>
      <c r="B42545" s="6"/>
      <c r="H42545" s="13"/>
    </row>
    <row r="42546">
      <c r="A42546" s="6"/>
      <c r="B42546" s="6"/>
      <c r="H42546" s="13"/>
    </row>
    <row r="42547">
      <c r="A42547" s="6"/>
      <c r="B42547" s="6"/>
      <c r="H42547" s="13"/>
    </row>
    <row r="42548">
      <c r="A42548" s="6"/>
      <c r="B42548" s="6"/>
      <c r="H42548" s="13"/>
    </row>
    <row r="42549">
      <c r="A42549" s="6"/>
      <c r="B42549" s="6"/>
      <c r="H42549" s="13"/>
    </row>
    <row r="42550">
      <c r="A42550" s="6"/>
      <c r="B42550" s="6"/>
      <c r="H42550" s="13"/>
    </row>
    <row r="42551">
      <c r="A42551" s="6"/>
      <c r="B42551" s="6"/>
      <c r="H42551" s="13"/>
    </row>
    <row r="42552">
      <c r="A42552" s="6"/>
      <c r="B42552" s="6"/>
      <c r="H42552" s="13"/>
    </row>
    <row r="42553">
      <c r="A42553" s="6"/>
      <c r="B42553" s="6"/>
      <c r="H42553" s="13"/>
    </row>
    <row r="42554">
      <c r="A42554" s="6"/>
      <c r="B42554" s="6"/>
      <c r="H42554" s="13"/>
    </row>
    <row r="42555">
      <c r="A42555" s="6"/>
      <c r="B42555" s="6"/>
      <c r="H42555" s="13"/>
    </row>
    <row r="42556">
      <c r="A42556" s="6"/>
      <c r="B42556" s="6"/>
      <c r="H42556" s="13"/>
    </row>
    <row r="42557">
      <c r="A42557" s="6"/>
      <c r="B42557" s="6"/>
      <c r="H42557" s="13"/>
    </row>
    <row r="42558">
      <c r="A42558" s="6"/>
      <c r="B42558" s="6"/>
      <c r="H42558" s="13"/>
    </row>
    <row r="42559">
      <c r="A42559" s="6"/>
      <c r="B42559" s="6"/>
      <c r="H42559" s="13"/>
    </row>
    <row r="42560">
      <c r="A42560" s="6"/>
      <c r="B42560" s="6"/>
      <c r="H42560" s="13"/>
    </row>
    <row r="42561">
      <c r="A42561" s="6"/>
      <c r="B42561" s="6"/>
      <c r="H42561" s="13"/>
    </row>
    <row r="42562">
      <c r="A42562" s="6"/>
      <c r="B42562" s="6"/>
      <c r="H42562" s="13"/>
    </row>
    <row r="42563">
      <c r="A42563" s="6"/>
      <c r="B42563" s="6"/>
      <c r="H42563" s="13"/>
    </row>
    <row r="42564">
      <c r="A42564" s="6"/>
      <c r="B42564" s="6"/>
      <c r="H42564" s="13"/>
    </row>
    <row r="42565">
      <c r="A42565" s="6"/>
      <c r="B42565" s="6"/>
      <c r="H42565" s="13"/>
    </row>
    <row r="42566">
      <c r="A42566" s="6"/>
      <c r="B42566" s="6"/>
      <c r="H42566" s="13"/>
    </row>
    <row r="42567">
      <c r="A42567" s="6"/>
      <c r="B42567" s="6"/>
      <c r="H42567" s="13"/>
    </row>
    <row r="42568">
      <c r="A42568" s="6"/>
      <c r="B42568" s="6"/>
      <c r="H42568" s="13"/>
    </row>
    <row r="42569">
      <c r="A42569" s="6"/>
      <c r="B42569" s="6"/>
      <c r="H42569" s="13"/>
    </row>
    <row r="42570">
      <c r="A42570" s="6"/>
      <c r="B42570" s="6"/>
      <c r="H42570" s="13"/>
    </row>
    <row r="42571">
      <c r="A42571" s="6"/>
      <c r="B42571" s="6"/>
      <c r="H42571" s="13"/>
    </row>
    <row r="42572">
      <c r="A42572" s="6"/>
      <c r="B42572" s="6"/>
      <c r="H42572" s="13"/>
    </row>
    <row r="42573">
      <c r="A42573" s="6"/>
      <c r="B42573" s="6"/>
      <c r="H42573" s="13"/>
    </row>
    <row r="42574">
      <c r="A42574" s="6"/>
      <c r="B42574" s="6"/>
      <c r="H42574" s="13"/>
    </row>
    <row r="42575">
      <c r="A42575" s="6"/>
      <c r="B42575" s="6"/>
      <c r="H42575" s="13"/>
    </row>
    <row r="42576">
      <c r="A42576" s="6"/>
      <c r="B42576" s="6"/>
      <c r="H42576" s="13"/>
    </row>
    <row r="42577">
      <c r="A42577" s="6"/>
      <c r="B42577" s="6"/>
      <c r="H42577" s="13"/>
    </row>
    <row r="42578">
      <c r="A42578" s="6"/>
      <c r="B42578" s="6"/>
      <c r="H42578" s="13"/>
    </row>
    <row r="42579">
      <c r="A42579" s="6"/>
      <c r="B42579" s="6"/>
      <c r="H42579" s="13"/>
    </row>
    <row r="42580">
      <c r="A42580" s="6"/>
      <c r="B42580" s="6"/>
      <c r="H42580" s="13"/>
    </row>
    <row r="42581">
      <c r="A42581" s="6"/>
      <c r="B42581" s="6"/>
      <c r="H42581" s="13"/>
    </row>
    <row r="42582">
      <c r="A42582" s="6"/>
      <c r="B42582" s="6"/>
      <c r="H42582" s="13"/>
    </row>
    <row r="42583">
      <c r="A42583" s="6"/>
      <c r="B42583" s="6"/>
      <c r="H42583" s="13"/>
    </row>
    <row r="42584">
      <c r="A42584" s="6"/>
      <c r="B42584" s="6"/>
      <c r="H42584" s="13"/>
    </row>
    <row r="42585">
      <c r="A42585" s="6"/>
      <c r="B42585" s="6"/>
      <c r="H42585" s="13"/>
    </row>
    <row r="42586">
      <c r="A42586" s="6"/>
      <c r="B42586" s="6"/>
      <c r="H42586" s="13"/>
    </row>
    <row r="42587">
      <c r="A42587" s="6"/>
      <c r="B42587" s="6"/>
      <c r="H42587" s="13"/>
    </row>
    <row r="42588">
      <c r="A42588" s="6"/>
      <c r="B42588" s="6"/>
      <c r="H42588" s="13"/>
    </row>
    <row r="42589">
      <c r="A42589" s="6"/>
      <c r="B42589" s="6"/>
      <c r="H42589" s="13"/>
    </row>
    <row r="42590">
      <c r="A42590" s="6"/>
      <c r="B42590" s="6"/>
      <c r="H42590" s="13"/>
    </row>
    <row r="42591">
      <c r="A42591" s="6"/>
      <c r="B42591" s="6"/>
      <c r="H42591" s="13"/>
    </row>
    <row r="42592">
      <c r="A42592" s="6"/>
      <c r="B42592" s="6"/>
      <c r="H42592" s="13"/>
    </row>
    <row r="42593">
      <c r="A42593" s="6"/>
      <c r="B42593" s="6"/>
      <c r="H42593" s="13"/>
    </row>
    <row r="42594">
      <c r="A42594" s="6"/>
      <c r="B42594" s="6"/>
      <c r="H42594" s="13"/>
    </row>
    <row r="42595">
      <c r="A42595" s="6"/>
      <c r="B42595" s="6"/>
      <c r="H42595" s="13"/>
    </row>
    <row r="42596">
      <c r="A42596" s="6"/>
      <c r="B42596" s="6"/>
      <c r="H42596" s="13"/>
    </row>
    <row r="42597">
      <c r="A42597" s="6"/>
      <c r="B42597" s="6"/>
      <c r="H42597" s="13"/>
    </row>
    <row r="42598">
      <c r="A42598" s="6"/>
      <c r="B42598" s="6"/>
      <c r="H42598" s="13"/>
    </row>
    <row r="42599">
      <c r="A42599" s="6"/>
      <c r="B42599" s="6"/>
      <c r="H42599" s="13"/>
    </row>
    <row r="42600">
      <c r="A42600" s="6"/>
      <c r="B42600" s="6"/>
      <c r="H42600" s="13"/>
    </row>
    <row r="42601">
      <c r="A42601" s="6"/>
      <c r="B42601" s="6"/>
      <c r="H42601" s="13"/>
    </row>
    <row r="42602">
      <c r="A42602" s="6"/>
      <c r="B42602" s="6"/>
      <c r="H42602" s="13"/>
    </row>
    <row r="42603">
      <c r="A42603" s="6"/>
      <c r="B42603" s="6"/>
      <c r="H42603" s="13"/>
    </row>
    <row r="42604">
      <c r="A42604" s="6"/>
      <c r="B42604" s="6"/>
      <c r="H42604" s="13"/>
    </row>
    <row r="42605">
      <c r="A42605" s="6"/>
      <c r="B42605" s="6"/>
      <c r="H42605" s="13"/>
    </row>
    <row r="42606">
      <c r="A42606" s="6"/>
      <c r="B42606" s="6"/>
      <c r="H42606" s="13"/>
    </row>
    <row r="42607">
      <c r="A42607" s="6"/>
      <c r="B42607" s="6"/>
      <c r="H42607" s="13"/>
    </row>
    <row r="42608">
      <c r="A42608" s="6"/>
      <c r="B42608" s="6"/>
      <c r="H42608" s="13"/>
    </row>
    <row r="42609">
      <c r="A42609" s="6"/>
      <c r="B42609" s="6"/>
      <c r="H42609" s="13"/>
    </row>
    <row r="42610">
      <c r="A42610" s="6"/>
      <c r="B42610" s="6"/>
      <c r="H42610" s="13"/>
    </row>
    <row r="42611">
      <c r="A42611" s="6"/>
      <c r="B42611" s="6"/>
      <c r="H42611" s="13"/>
    </row>
    <row r="42612">
      <c r="A42612" s="6"/>
      <c r="B42612" s="6"/>
      <c r="H42612" s="13"/>
    </row>
    <row r="42613">
      <c r="A42613" s="6"/>
      <c r="B42613" s="6"/>
      <c r="H42613" s="13"/>
    </row>
    <row r="42614">
      <c r="A42614" s="6"/>
      <c r="B42614" s="6"/>
      <c r="H42614" s="13"/>
    </row>
    <row r="42615">
      <c r="A42615" s="6"/>
      <c r="B42615" s="6"/>
      <c r="H42615" s="13"/>
    </row>
    <row r="42616">
      <c r="A42616" s="6"/>
      <c r="B42616" s="6"/>
      <c r="H42616" s="13"/>
    </row>
    <row r="42617">
      <c r="A42617" s="6"/>
      <c r="B42617" s="6"/>
      <c r="H42617" s="13"/>
    </row>
    <row r="42618">
      <c r="A42618" s="6"/>
      <c r="B42618" s="6"/>
      <c r="H42618" s="13"/>
    </row>
    <row r="42619">
      <c r="A42619" s="6"/>
      <c r="B42619" s="6"/>
      <c r="H42619" s="13"/>
    </row>
    <row r="42620">
      <c r="A42620" s="6"/>
      <c r="B42620" s="6"/>
      <c r="H42620" s="13"/>
    </row>
    <row r="42621">
      <c r="A42621" s="6"/>
      <c r="B42621" s="6"/>
      <c r="H42621" s="13"/>
    </row>
    <row r="42622">
      <c r="A42622" s="6"/>
      <c r="B42622" s="6"/>
      <c r="H42622" s="13"/>
    </row>
    <row r="42623">
      <c r="A42623" s="6"/>
      <c r="B42623" s="6"/>
      <c r="H42623" s="13"/>
    </row>
    <row r="42624">
      <c r="A42624" s="6"/>
      <c r="B42624" s="6"/>
      <c r="H42624" s="13"/>
    </row>
    <row r="42625">
      <c r="A42625" s="6"/>
      <c r="B42625" s="6"/>
      <c r="H42625" s="13"/>
    </row>
    <row r="42626">
      <c r="A42626" s="6"/>
      <c r="B42626" s="6"/>
      <c r="H42626" s="13"/>
    </row>
    <row r="42627">
      <c r="A42627" s="6"/>
      <c r="B42627" s="6"/>
      <c r="H42627" s="13"/>
    </row>
    <row r="42628">
      <c r="A42628" s="6"/>
      <c r="B42628" s="6"/>
      <c r="H42628" s="13"/>
    </row>
    <row r="42629">
      <c r="A42629" s="6"/>
      <c r="B42629" s="6"/>
      <c r="H42629" s="13"/>
    </row>
    <row r="42630">
      <c r="A42630" s="6"/>
      <c r="B42630" s="6"/>
      <c r="H42630" s="13"/>
    </row>
    <row r="42631">
      <c r="A42631" s="6"/>
      <c r="B42631" s="6"/>
      <c r="H42631" s="13"/>
    </row>
    <row r="42632">
      <c r="A42632" s="6"/>
      <c r="B42632" s="6"/>
      <c r="H42632" s="13"/>
    </row>
    <row r="42633">
      <c r="A42633" s="6"/>
      <c r="B42633" s="6"/>
      <c r="H42633" s="13"/>
    </row>
    <row r="42634">
      <c r="A42634" s="6"/>
      <c r="B42634" s="6"/>
      <c r="H42634" s="13"/>
    </row>
    <row r="42635">
      <c r="A42635" s="6"/>
      <c r="B42635" s="6"/>
      <c r="H42635" s="13"/>
    </row>
    <row r="42636">
      <c r="A42636" s="6"/>
      <c r="B42636" s="6"/>
      <c r="H42636" s="13"/>
    </row>
    <row r="42637">
      <c r="A42637" s="6"/>
      <c r="B42637" s="6"/>
      <c r="H42637" s="13"/>
    </row>
    <row r="42638">
      <c r="A42638" s="6"/>
      <c r="B42638" s="6"/>
      <c r="H42638" s="13"/>
    </row>
    <row r="42639">
      <c r="A42639" s="6"/>
      <c r="B42639" s="6"/>
      <c r="H42639" s="13"/>
    </row>
    <row r="42640">
      <c r="A42640" s="6"/>
      <c r="B42640" s="6"/>
      <c r="H42640" s="13"/>
    </row>
    <row r="42641">
      <c r="A42641" s="6"/>
      <c r="B42641" s="6"/>
      <c r="H42641" s="13"/>
    </row>
    <row r="42642">
      <c r="A42642" s="6"/>
      <c r="B42642" s="6"/>
      <c r="H42642" s="13"/>
    </row>
    <row r="42643">
      <c r="A42643" s="6"/>
      <c r="B42643" s="6"/>
      <c r="H42643" s="13"/>
    </row>
    <row r="42644">
      <c r="A42644" s="6"/>
      <c r="B42644" s="6"/>
      <c r="H42644" s="13"/>
    </row>
    <row r="42645">
      <c r="A42645" s="6"/>
      <c r="B42645" s="6"/>
      <c r="H42645" s="13"/>
    </row>
    <row r="42646">
      <c r="A42646" s="6"/>
      <c r="B42646" s="6"/>
      <c r="H42646" s="13"/>
    </row>
    <row r="42647">
      <c r="A42647" s="6"/>
      <c r="B42647" s="6"/>
      <c r="H42647" s="13"/>
    </row>
    <row r="42648">
      <c r="A42648" s="6"/>
      <c r="B42648" s="6"/>
      <c r="H42648" s="13"/>
    </row>
    <row r="42649">
      <c r="A42649" s="6"/>
      <c r="B42649" s="6"/>
      <c r="H42649" s="13"/>
    </row>
    <row r="42650">
      <c r="A42650" s="6"/>
      <c r="B42650" s="6"/>
      <c r="H42650" s="13"/>
    </row>
    <row r="42651">
      <c r="A42651" s="6"/>
      <c r="B42651" s="6"/>
      <c r="H42651" s="13"/>
    </row>
    <row r="42652">
      <c r="A42652" s="6"/>
      <c r="B42652" s="6"/>
      <c r="H42652" s="13"/>
    </row>
    <row r="42653">
      <c r="A42653" s="6"/>
      <c r="B42653" s="6"/>
      <c r="H42653" s="13"/>
    </row>
    <row r="42654">
      <c r="A42654" s="6"/>
      <c r="B42654" s="6"/>
      <c r="H42654" s="13"/>
    </row>
    <row r="42655">
      <c r="A42655" s="6"/>
      <c r="B42655" s="6"/>
      <c r="H42655" s="13"/>
    </row>
    <row r="42656">
      <c r="A42656" s="6"/>
      <c r="B42656" s="6"/>
      <c r="H42656" s="13"/>
    </row>
    <row r="42657">
      <c r="A42657" s="6"/>
      <c r="B42657" s="6"/>
      <c r="H42657" s="13"/>
    </row>
    <row r="42658">
      <c r="A42658" s="6"/>
      <c r="B42658" s="6"/>
      <c r="H42658" s="13"/>
    </row>
    <row r="42659">
      <c r="A42659" s="6"/>
      <c r="B42659" s="6"/>
      <c r="H42659" s="13"/>
    </row>
    <row r="42660">
      <c r="A42660" s="6"/>
      <c r="B42660" s="6"/>
      <c r="H42660" s="13"/>
    </row>
    <row r="42661">
      <c r="A42661" s="6"/>
      <c r="B42661" s="6"/>
      <c r="H42661" s="13"/>
    </row>
    <row r="42662">
      <c r="A42662" s="6"/>
      <c r="B42662" s="6"/>
      <c r="H42662" s="13"/>
    </row>
    <row r="42663">
      <c r="A42663" s="6"/>
      <c r="B42663" s="6"/>
      <c r="H42663" s="13"/>
    </row>
    <row r="42664">
      <c r="A42664" s="6"/>
      <c r="B42664" s="6"/>
      <c r="H42664" s="13"/>
    </row>
    <row r="42665">
      <c r="A42665" s="6"/>
      <c r="B42665" s="6"/>
      <c r="H42665" s="13"/>
    </row>
    <row r="42666">
      <c r="A42666" s="6"/>
      <c r="B42666" s="6"/>
      <c r="H42666" s="13"/>
    </row>
    <row r="42667">
      <c r="A42667" s="6"/>
      <c r="B42667" s="6"/>
      <c r="H42667" s="13"/>
    </row>
    <row r="42668">
      <c r="A42668" s="6"/>
      <c r="B42668" s="6"/>
      <c r="H42668" s="13"/>
    </row>
    <row r="42669">
      <c r="A42669" s="6"/>
      <c r="B42669" s="6"/>
      <c r="H42669" s="13"/>
    </row>
    <row r="42670">
      <c r="A42670" s="6"/>
      <c r="B42670" s="6"/>
      <c r="H42670" s="13"/>
    </row>
    <row r="42671">
      <c r="A42671" s="6"/>
      <c r="B42671" s="6"/>
      <c r="H42671" s="13"/>
    </row>
    <row r="42672">
      <c r="A42672" s="6"/>
      <c r="B42672" s="6"/>
      <c r="H42672" s="13"/>
    </row>
    <row r="42673">
      <c r="A42673" s="6"/>
      <c r="B42673" s="6"/>
      <c r="H42673" s="13"/>
    </row>
    <row r="42674">
      <c r="A42674" s="6"/>
      <c r="B42674" s="6"/>
      <c r="H42674" s="13"/>
    </row>
    <row r="42675">
      <c r="A42675" s="6"/>
      <c r="B42675" s="6"/>
      <c r="H42675" s="13"/>
    </row>
    <row r="42676">
      <c r="A42676" s="6"/>
      <c r="B42676" s="6"/>
      <c r="H42676" s="13"/>
    </row>
    <row r="42677">
      <c r="A42677" s="6"/>
      <c r="B42677" s="6"/>
      <c r="H42677" s="13"/>
    </row>
    <row r="42678">
      <c r="A42678" s="6"/>
      <c r="B42678" s="6"/>
      <c r="H42678" s="13"/>
    </row>
    <row r="42679">
      <c r="A42679" s="6"/>
      <c r="B42679" s="6"/>
      <c r="H42679" s="13"/>
    </row>
    <row r="42680">
      <c r="A42680" s="6"/>
      <c r="B42680" s="6"/>
      <c r="H42680" s="13"/>
    </row>
    <row r="42681">
      <c r="A42681" s="6"/>
      <c r="B42681" s="6"/>
      <c r="H42681" s="13"/>
    </row>
    <row r="42682">
      <c r="A42682" s="6"/>
      <c r="B42682" s="6"/>
      <c r="H42682" s="13"/>
    </row>
    <row r="42683">
      <c r="A42683" s="6"/>
      <c r="B42683" s="6"/>
      <c r="H42683" s="13"/>
    </row>
    <row r="42684">
      <c r="A42684" s="6"/>
      <c r="B42684" s="6"/>
      <c r="H42684" s="13"/>
    </row>
    <row r="42685">
      <c r="A42685" s="6"/>
      <c r="B42685" s="6"/>
      <c r="H42685" s="13"/>
    </row>
    <row r="42686">
      <c r="A42686" s="6"/>
      <c r="B42686" s="6"/>
      <c r="H42686" s="13"/>
    </row>
    <row r="42687">
      <c r="A42687" s="6"/>
      <c r="B42687" s="6"/>
      <c r="H42687" s="13"/>
    </row>
    <row r="42688">
      <c r="A42688" s="6"/>
      <c r="B42688" s="6"/>
      <c r="H42688" s="13"/>
    </row>
    <row r="42689">
      <c r="A42689" s="6"/>
      <c r="B42689" s="6"/>
      <c r="H42689" s="13"/>
    </row>
    <row r="42690">
      <c r="A42690" s="6"/>
      <c r="B42690" s="6"/>
      <c r="H42690" s="13"/>
    </row>
    <row r="42691">
      <c r="A42691" s="6"/>
      <c r="B42691" s="6"/>
      <c r="H42691" s="13"/>
    </row>
    <row r="42692">
      <c r="A42692" s="6"/>
      <c r="B42692" s="6"/>
      <c r="H42692" s="13"/>
    </row>
    <row r="42693">
      <c r="A42693" s="6"/>
      <c r="B42693" s="6"/>
      <c r="H42693" s="13"/>
    </row>
    <row r="42694">
      <c r="A42694" s="6"/>
      <c r="B42694" s="6"/>
      <c r="H42694" s="13"/>
    </row>
    <row r="42695">
      <c r="A42695" s="6"/>
      <c r="B42695" s="6"/>
      <c r="H42695" s="13"/>
    </row>
    <row r="42696">
      <c r="A42696" s="6"/>
      <c r="B42696" s="6"/>
      <c r="H42696" s="13"/>
    </row>
    <row r="42697">
      <c r="A42697" s="6"/>
      <c r="B42697" s="6"/>
      <c r="H42697" s="13"/>
    </row>
    <row r="42698">
      <c r="A42698" s="6"/>
      <c r="B42698" s="6"/>
      <c r="H42698" s="13"/>
    </row>
    <row r="42699">
      <c r="A42699" s="6"/>
      <c r="B42699" s="6"/>
      <c r="H42699" s="13"/>
    </row>
    <row r="42700">
      <c r="A42700" s="6"/>
      <c r="B42700" s="6"/>
      <c r="H42700" s="13"/>
    </row>
    <row r="42701">
      <c r="A42701" s="6"/>
      <c r="B42701" s="6"/>
      <c r="H42701" s="13"/>
    </row>
    <row r="42702">
      <c r="A42702" s="6"/>
      <c r="B42702" s="6"/>
      <c r="H42702" s="13"/>
    </row>
    <row r="42703">
      <c r="A42703" s="6"/>
      <c r="B42703" s="6"/>
      <c r="H42703" s="13"/>
    </row>
    <row r="42704">
      <c r="A42704" s="6"/>
      <c r="B42704" s="6"/>
      <c r="H42704" s="13"/>
    </row>
    <row r="42705">
      <c r="A42705" s="6"/>
      <c r="B42705" s="6"/>
      <c r="H42705" s="13"/>
    </row>
    <row r="42706">
      <c r="A42706" s="6"/>
      <c r="B42706" s="6"/>
      <c r="H42706" s="13"/>
    </row>
    <row r="42707">
      <c r="A42707" s="6"/>
      <c r="B42707" s="6"/>
      <c r="H42707" s="13"/>
    </row>
    <row r="42708">
      <c r="A42708" s="6"/>
      <c r="B42708" s="6"/>
      <c r="H42708" s="13"/>
    </row>
    <row r="42709">
      <c r="A42709" s="6"/>
      <c r="B42709" s="6"/>
      <c r="H42709" s="13"/>
    </row>
    <row r="42710">
      <c r="A42710" s="6"/>
      <c r="B42710" s="6"/>
      <c r="H42710" s="13"/>
    </row>
    <row r="42711">
      <c r="A42711" s="6"/>
      <c r="B42711" s="6"/>
      <c r="H42711" s="13"/>
    </row>
    <row r="42712">
      <c r="A42712" s="6"/>
      <c r="B42712" s="6"/>
      <c r="H42712" s="13"/>
    </row>
    <row r="42713">
      <c r="A42713" s="6"/>
      <c r="B42713" s="6"/>
      <c r="H42713" s="13"/>
    </row>
    <row r="42714">
      <c r="A42714" s="6"/>
      <c r="B42714" s="6"/>
      <c r="H42714" s="13"/>
    </row>
    <row r="42715">
      <c r="A42715" s="6"/>
      <c r="B42715" s="6"/>
      <c r="H42715" s="13"/>
    </row>
    <row r="42716">
      <c r="A42716" s="6"/>
      <c r="B42716" s="6"/>
      <c r="H42716" s="13"/>
    </row>
    <row r="42717">
      <c r="A42717" s="6"/>
      <c r="B42717" s="6"/>
      <c r="H42717" s="13"/>
    </row>
    <row r="42718">
      <c r="A42718" s="6"/>
      <c r="B42718" s="6"/>
      <c r="H42718" s="13"/>
    </row>
    <row r="42719">
      <c r="A42719" s="6"/>
      <c r="B42719" s="6"/>
      <c r="H42719" s="13"/>
    </row>
    <row r="42720">
      <c r="A42720" s="6"/>
      <c r="B42720" s="6"/>
      <c r="H42720" s="13"/>
    </row>
    <row r="42721">
      <c r="A42721" s="6"/>
      <c r="B42721" s="6"/>
      <c r="H42721" s="13"/>
    </row>
    <row r="42722">
      <c r="A42722" s="6"/>
      <c r="B42722" s="6"/>
      <c r="H42722" s="13"/>
    </row>
    <row r="42723">
      <c r="A42723" s="6"/>
      <c r="B42723" s="6"/>
      <c r="H42723" s="13"/>
    </row>
    <row r="42724">
      <c r="A42724" s="6"/>
      <c r="B42724" s="6"/>
      <c r="H42724" s="13"/>
    </row>
    <row r="42725">
      <c r="A42725" s="6"/>
      <c r="B42725" s="6"/>
      <c r="H42725" s="13"/>
    </row>
    <row r="42726">
      <c r="A42726" s="6"/>
      <c r="B42726" s="6"/>
      <c r="H42726" s="13"/>
    </row>
    <row r="42727">
      <c r="A42727" s="6"/>
      <c r="B42727" s="6"/>
      <c r="H42727" s="13"/>
    </row>
    <row r="42728">
      <c r="A42728" s="6"/>
      <c r="B42728" s="6"/>
      <c r="H42728" s="13"/>
    </row>
    <row r="42729">
      <c r="A42729" s="6"/>
      <c r="B42729" s="6"/>
      <c r="H42729" s="13"/>
    </row>
    <row r="42730">
      <c r="A42730" s="6"/>
      <c r="B42730" s="6"/>
      <c r="H42730" s="13"/>
    </row>
    <row r="42731">
      <c r="A42731" s="6"/>
      <c r="B42731" s="6"/>
      <c r="H42731" s="13"/>
    </row>
    <row r="42732">
      <c r="A42732" s="6"/>
      <c r="B42732" s="6"/>
      <c r="H42732" s="13"/>
    </row>
    <row r="42733">
      <c r="A42733" s="6"/>
      <c r="B42733" s="6"/>
      <c r="H42733" s="13"/>
    </row>
    <row r="42734">
      <c r="A42734" s="6"/>
      <c r="B42734" s="6"/>
      <c r="H42734" s="13"/>
    </row>
    <row r="42735">
      <c r="A42735" s="6"/>
      <c r="B42735" s="6"/>
      <c r="H42735" s="13"/>
    </row>
    <row r="42736">
      <c r="A42736" s="6"/>
      <c r="B42736" s="6"/>
      <c r="H42736" s="13"/>
    </row>
    <row r="42737">
      <c r="A42737" s="6"/>
      <c r="B42737" s="6"/>
      <c r="H42737" s="13"/>
    </row>
    <row r="42738">
      <c r="A42738" s="6"/>
      <c r="B42738" s="6"/>
      <c r="H42738" s="13"/>
    </row>
    <row r="42739">
      <c r="A42739" s="6"/>
      <c r="B42739" s="6"/>
      <c r="H42739" s="13"/>
    </row>
    <row r="42740">
      <c r="A42740" s="6"/>
      <c r="B42740" s="6"/>
      <c r="H42740" s="13"/>
    </row>
    <row r="42741">
      <c r="A42741" s="6"/>
      <c r="B42741" s="6"/>
      <c r="H42741" s="13"/>
    </row>
    <row r="42742">
      <c r="A42742" s="6"/>
      <c r="B42742" s="6"/>
      <c r="H42742" s="13"/>
    </row>
    <row r="42743">
      <c r="A42743" s="6"/>
      <c r="B42743" s="6"/>
      <c r="H42743" s="13"/>
    </row>
    <row r="42744">
      <c r="A42744" s="6"/>
      <c r="B42744" s="6"/>
      <c r="H42744" s="13"/>
    </row>
    <row r="42745">
      <c r="A42745" s="6"/>
      <c r="B42745" s="6"/>
      <c r="H42745" s="13"/>
    </row>
    <row r="42746">
      <c r="A42746" s="6"/>
      <c r="B42746" s="6"/>
      <c r="H42746" s="13"/>
    </row>
    <row r="42747">
      <c r="A42747" s="6"/>
      <c r="B42747" s="6"/>
      <c r="H42747" s="13"/>
    </row>
    <row r="42748">
      <c r="A42748" s="6"/>
      <c r="B42748" s="6"/>
      <c r="H42748" s="13"/>
    </row>
    <row r="42749">
      <c r="A42749" s="6"/>
      <c r="B42749" s="6"/>
      <c r="H42749" s="13"/>
    </row>
    <row r="42750">
      <c r="A42750" s="6"/>
      <c r="B42750" s="6"/>
      <c r="H42750" s="13"/>
    </row>
    <row r="42751">
      <c r="A42751" s="6"/>
      <c r="B42751" s="6"/>
      <c r="H42751" s="13"/>
    </row>
    <row r="42752">
      <c r="A42752" s="6"/>
      <c r="B42752" s="6"/>
      <c r="H42752" s="13"/>
    </row>
    <row r="42753">
      <c r="A42753" s="6"/>
      <c r="B42753" s="6"/>
      <c r="H42753" s="13"/>
    </row>
    <row r="42754">
      <c r="A42754" s="6"/>
      <c r="B42754" s="6"/>
      <c r="H42754" s="13"/>
    </row>
    <row r="42755">
      <c r="A42755" s="6"/>
      <c r="B42755" s="6"/>
      <c r="H42755" s="13"/>
    </row>
    <row r="42756">
      <c r="A42756" s="6"/>
      <c r="B42756" s="6"/>
      <c r="H42756" s="13"/>
    </row>
    <row r="42757">
      <c r="A42757" s="6"/>
      <c r="B42757" s="6"/>
      <c r="H42757" s="13"/>
    </row>
    <row r="42758">
      <c r="A42758" s="6"/>
      <c r="B42758" s="6"/>
      <c r="H42758" s="13"/>
    </row>
    <row r="42759">
      <c r="A42759" s="6"/>
      <c r="B42759" s="6"/>
      <c r="H42759" s="13"/>
    </row>
    <row r="42760">
      <c r="A42760" s="6"/>
      <c r="B42760" s="6"/>
      <c r="H42760" s="13"/>
    </row>
    <row r="42761">
      <c r="A42761" s="6"/>
      <c r="B42761" s="6"/>
      <c r="H42761" s="13"/>
    </row>
    <row r="42762">
      <c r="A42762" s="6"/>
      <c r="B42762" s="6"/>
      <c r="H42762" s="13"/>
    </row>
    <row r="42763">
      <c r="A42763" s="6"/>
      <c r="B42763" s="6"/>
      <c r="H42763" s="13"/>
    </row>
    <row r="42764">
      <c r="A42764" s="6"/>
      <c r="B42764" s="6"/>
      <c r="H42764" s="13"/>
    </row>
    <row r="42765">
      <c r="A42765" s="6"/>
      <c r="B42765" s="6"/>
      <c r="H42765" s="13"/>
    </row>
    <row r="42766">
      <c r="A42766" s="6"/>
      <c r="B42766" s="6"/>
      <c r="H42766" s="13"/>
    </row>
    <row r="42767">
      <c r="A42767" s="6"/>
      <c r="B42767" s="6"/>
      <c r="H42767" s="13"/>
    </row>
    <row r="42768">
      <c r="A42768" s="6"/>
      <c r="B42768" s="6"/>
      <c r="H42768" s="13"/>
    </row>
    <row r="42769">
      <c r="A42769" s="6"/>
      <c r="B42769" s="6"/>
      <c r="H42769" s="13"/>
    </row>
    <row r="42770">
      <c r="A42770" s="6"/>
      <c r="B42770" s="6"/>
      <c r="H42770" s="13"/>
    </row>
    <row r="42771">
      <c r="A42771" s="6"/>
      <c r="B42771" s="6"/>
      <c r="H42771" s="13"/>
    </row>
    <row r="42772">
      <c r="A42772" s="6"/>
      <c r="B42772" s="6"/>
      <c r="H42772" s="13"/>
    </row>
    <row r="42773">
      <c r="A42773" s="6"/>
      <c r="B42773" s="6"/>
      <c r="H42773" s="13"/>
    </row>
    <row r="42774">
      <c r="A42774" s="6"/>
      <c r="B42774" s="6"/>
      <c r="H42774" s="13"/>
    </row>
    <row r="42775">
      <c r="A42775" s="6"/>
      <c r="B42775" s="6"/>
      <c r="H42775" s="13"/>
    </row>
    <row r="42776">
      <c r="A42776" s="6"/>
      <c r="B42776" s="6"/>
      <c r="H42776" s="13"/>
    </row>
    <row r="42777">
      <c r="A42777" s="6"/>
      <c r="B42777" s="6"/>
      <c r="H42777" s="13"/>
    </row>
    <row r="42778">
      <c r="A42778" s="6"/>
      <c r="B42778" s="6"/>
      <c r="H42778" s="13"/>
    </row>
    <row r="42779">
      <c r="A42779" s="6"/>
      <c r="B42779" s="6"/>
      <c r="H42779" s="13"/>
    </row>
    <row r="42780">
      <c r="A42780" s="6"/>
      <c r="B42780" s="6"/>
      <c r="H42780" s="13"/>
    </row>
    <row r="42781">
      <c r="A42781" s="6"/>
      <c r="B42781" s="6"/>
      <c r="H42781" s="13"/>
    </row>
    <row r="42782">
      <c r="A42782" s="6"/>
      <c r="B42782" s="6"/>
      <c r="H42782" s="13"/>
    </row>
    <row r="42783">
      <c r="A42783" s="6"/>
      <c r="B42783" s="6"/>
      <c r="H42783" s="13"/>
    </row>
    <row r="42784">
      <c r="A42784" s="6"/>
      <c r="B42784" s="6"/>
      <c r="H42784" s="13"/>
    </row>
    <row r="42785">
      <c r="A42785" s="6"/>
      <c r="B42785" s="6"/>
      <c r="H42785" s="13"/>
    </row>
    <row r="42786">
      <c r="A42786" s="6"/>
      <c r="B42786" s="6"/>
      <c r="H42786" s="13"/>
    </row>
    <row r="42787">
      <c r="A42787" s="6"/>
      <c r="B42787" s="6"/>
      <c r="H42787" s="13"/>
    </row>
    <row r="42788">
      <c r="A42788" s="6"/>
      <c r="B42788" s="6"/>
      <c r="H42788" s="13"/>
    </row>
    <row r="42789">
      <c r="A42789" s="6"/>
      <c r="B42789" s="6"/>
      <c r="H42789" s="13"/>
    </row>
    <row r="42790">
      <c r="A42790" s="6"/>
      <c r="B42790" s="6"/>
      <c r="H42790" s="13"/>
    </row>
    <row r="42791">
      <c r="A42791" s="6"/>
      <c r="B42791" s="6"/>
      <c r="H42791" s="13"/>
    </row>
    <row r="42792">
      <c r="A42792" s="6"/>
      <c r="B42792" s="6"/>
      <c r="H42792" s="13"/>
    </row>
    <row r="42793">
      <c r="A42793" s="6"/>
      <c r="B42793" s="6"/>
      <c r="H42793" s="13"/>
    </row>
    <row r="42794">
      <c r="A42794" s="6"/>
      <c r="B42794" s="6"/>
      <c r="H42794" s="13"/>
    </row>
    <row r="42795">
      <c r="A42795" s="6"/>
      <c r="B42795" s="6"/>
      <c r="H42795" s="13"/>
    </row>
    <row r="42796">
      <c r="A42796" s="6"/>
      <c r="B42796" s="6"/>
      <c r="H42796" s="13"/>
    </row>
    <row r="42797">
      <c r="A42797" s="6"/>
      <c r="B42797" s="6"/>
      <c r="H42797" s="13"/>
    </row>
    <row r="42798">
      <c r="A42798" s="6"/>
      <c r="B42798" s="6"/>
      <c r="H42798" s="13"/>
    </row>
    <row r="42799">
      <c r="A42799" s="6"/>
      <c r="B42799" s="6"/>
      <c r="H42799" s="13"/>
    </row>
    <row r="42800">
      <c r="A42800" s="6"/>
      <c r="B42800" s="6"/>
      <c r="H42800" s="13"/>
    </row>
    <row r="42801">
      <c r="A42801" s="6"/>
      <c r="B42801" s="6"/>
      <c r="H42801" s="13"/>
    </row>
    <row r="42802">
      <c r="A42802" s="6"/>
      <c r="B42802" s="6"/>
      <c r="H42802" s="13"/>
    </row>
    <row r="42803">
      <c r="A42803" s="6"/>
      <c r="B42803" s="6"/>
      <c r="H42803" s="13"/>
    </row>
    <row r="42804">
      <c r="A42804" s="6"/>
      <c r="B42804" s="6"/>
      <c r="H42804" s="13"/>
    </row>
    <row r="42805">
      <c r="A42805" s="6"/>
      <c r="B42805" s="6"/>
      <c r="H42805" s="13"/>
    </row>
    <row r="42806">
      <c r="A42806" s="6"/>
      <c r="B42806" s="6"/>
      <c r="H42806" s="13"/>
    </row>
    <row r="42807">
      <c r="A42807" s="6"/>
      <c r="B42807" s="6"/>
      <c r="H42807" s="13"/>
    </row>
    <row r="42808">
      <c r="A42808" s="6"/>
      <c r="B42808" s="6"/>
      <c r="H42808" s="13"/>
    </row>
    <row r="42809">
      <c r="A42809" s="6"/>
      <c r="B42809" s="6"/>
      <c r="H42809" s="13"/>
    </row>
    <row r="42810">
      <c r="A42810" s="6"/>
      <c r="B42810" s="6"/>
      <c r="H42810" s="13"/>
    </row>
    <row r="42811">
      <c r="A42811" s="6"/>
      <c r="B42811" s="6"/>
      <c r="H42811" s="13"/>
    </row>
    <row r="42812">
      <c r="A42812" s="6"/>
      <c r="B42812" s="6"/>
      <c r="H42812" s="13"/>
    </row>
    <row r="42813">
      <c r="A42813" s="6"/>
      <c r="B42813" s="6"/>
      <c r="H42813" s="13"/>
    </row>
    <row r="42814">
      <c r="A42814" s="6"/>
      <c r="B42814" s="6"/>
      <c r="H42814" s="13"/>
    </row>
    <row r="42815">
      <c r="A42815" s="6"/>
      <c r="B42815" s="6"/>
      <c r="H42815" s="13"/>
    </row>
    <row r="42816">
      <c r="A42816" s="6"/>
      <c r="B42816" s="6"/>
      <c r="H42816" s="13"/>
    </row>
    <row r="42817">
      <c r="A42817" s="6"/>
      <c r="B42817" s="6"/>
      <c r="H42817" s="13"/>
    </row>
    <row r="42818">
      <c r="A42818" s="6"/>
      <c r="B42818" s="6"/>
      <c r="H42818" s="13"/>
    </row>
    <row r="42819">
      <c r="A42819" s="6"/>
      <c r="B42819" s="6"/>
      <c r="H42819" s="13"/>
    </row>
    <row r="42820">
      <c r="A42820" s="6"/>
      <c r="B42820" s="6"/>
      <c r="H42820" s="13"/>
    </row>
    <row r="42821">
      <c r="A42821" s="6"/>
      <c r="B42821" s="6"/>
      <c r="H42821" s="13"/>
    </row>
    <row r="42822">
      <c r="A42822" s="6"/>
      <c r="B42822" s="6"/>
      <c r="H42822" s="13"/>
    </row>
    <row r="42823">
      <c r="A42823" s="6"/>
      <c r="B42823" s="6"/>
      <c r="H42823" s="13"/>
    </row>
    <row r="42824">
      <c r="A42824" s="6"/>
      <c r="B42824" s="6"/>
      <c r="H42824" s="13"/>
    </row>
    <row r="42825">
      <c r="A42825" s="6"/>
      <c r="B42825" s="6"/>
      <c r="H42825" s="13"/>
    </row>
    <row r="42826">
      <c r="A42826" s="6"/>
      <c r="B42826" s="6"/>
      <c r="H42826" s="13"/>
    </row>
    <row r="42827">
      <c r="A42827" s="6"/>
      <c r="B42827" s="6"/>
      <c r="H42827" s="13"/>
    </row>
    <row r="42828">
      <c r="A42828" s="6"/>
      <c r="B42828" s="6"/>
      <c r="H42828" s="13"/>
    </row>
    <row r="42829">
      <c r="A42829" s="6"/>
      <c r="B42829" s="6"/>
      <c r="H42829" s="13"/>
    </row>
    <row r="42830">
      <c r="A42830" s="6"/>
      <c r="B42830" s="6"/>
      <c r="H42830" s="13"/>
    </row>
    <row r="42831">
      <c r="A42831" s="6"/>
      <c r="B42831" s="6"/>
      <c r="H42831" s="13"/>
    </row>
    <row r="42832">
      <c r="A42832" s="6"/>
      <c r="B42832" s="6"/>
      <c r="H42832" s="13"/>
    </row>
    <row r="42833">
      <c r="A42833" s="6"/>
      <c r="B42833" s="6"/>
      <c r="H42833" s="13"/>
    </row>
    <row r="42834">
      <c r="A42834" s="6"/>
      <c r="B42834" s="6"/>
      <c r="H42834" s="13"/>
    </row>
    <row r="42835">
      <c r="A42835" s="6"/>
      <c r="B42835" s="6"/>
      <c r="H42835" s="13"/>
    </row>
    <row r="42836">
      <c r="A42836" s="6"/>
      <c r="B42836" s="6"/>
      <c r="H42836" s="13"/>
    </row>
    <row r="42837">
      <c r="A42837" s="6"/>
      <c r="B42837" s="6"/>
      <c r="H42837" s="13"/>
    </row>
    <row r="42838">
      <c r="A42838" s="6"/>
      <c r="B42838" s="6"/>
      <c r="H42838" s="13"/>
    </row>
    <row r="42839">
      <c r="A42839" s="6"/>
      <c r="B42839" s="6"/>
      <c r="H42839" s="13"/>
    </row>
    <row r="42840">
      <c r="A42840" s="6"/>
      <c r="B42840" s="6"/>
      <c r="H42840" s="13"/>
    </row>
    <row r="42841">
      <c r="A42841" s="6"/>
      <c r="B42841" s="6"/>
      <c r="H42841" s="13"/>
    </row>
    <row r="42842">
      <c r="A42842" s="6"/>
      <c r="B42842" s="6"/>
      <c r="H42842" s="13"/>
    </row>
    <row r="42843">
      <c r="A42843" s="6"/>
      <c r="B42843" s="6"/>
      <c r="H42843" s="13"/>
    </row>
    <row r="42844">
      <c r="A42844" s="6"/>
      <c r="B42844" s="6"/>
      <c r="H42844" s="13"/>
    </row>
    <row r="42845">
      <c r="A42845" s="6"/>
      <c r="B42845" s="6"/>
      <c r="H42845" s="13"/>
    </row>
    <row r="42846">
      <c r="A42846" s="6"/>
      <c r="B42846" s="6"/>
      <c r="H42846" s="13"/>
    </row>
    <row r="42847">
      <c r="A42847" s="6"/>
      <c r="B42847" s="6"/>
      <c r="H42847" s="13"/>
    </row>
    <row r="42848">
      <c r="A42848" s="6"/>
      <c r="B42848" s="6"/>
      <c r="H42848" s="13"/>
    </row>
    <row r="42849">
      <c r="A42849" s="6"/>
      <c r="B42849" s="6"/>
      <c r="H42849" s="13"/>
    </row>
    <row r="42850">
      <c r="A42850" s="6"/>
      <c r="B42850" s="6"/>
      <c r="H42850" s="13"/>
    </row>
    <row r="42851">
      <c r="A42851" s="6"/>
      <c r="B42851" s="6"/>
      <c r="H42851" s="13"/>
    </row>
    <row r="42852">
      <c r="A42852" s="6"/>
      <c r="B42852" s="6"/>
      <c r="H42852" s="13"/>
    </row>
    <row r="42853">
      <c r="A42853" s="6"/>
      <c r="B42853" s="6"/>
      <c r="H42853" s="13"/>
    </row>
    <row r="42854">
      <c r="A42854" s="6"/>
      <c r="B42854" s="6"/>
      <c r="H42854" s="13"/>
    </row>
    <row r="42855">
      <c r="A42855" s="6"/>
      <c r="B42855" s="6"/>
      <c r="H42855" s="13"/>
    </row>
    <row r="42856">
      <c r="A42856" s="6"/>
      <c r="B42856" s="6"/>
      <c r="H42856" s="13"/>
    </row>
    <row r="42857">
      <c r="A42857" s="6"/>
      <c r="B42857" s="6"/>
      <c r="H42857" s="13"/>
    </row>
    <row r="42858">
      <c r="A42858" s="6"/>
      <c r="B42858" s="6"/>
      <c r="H42858" s="13"/>
    </row>
    <row r="42859">
      <c r="A42859" s="6"/>
      <c r="B42859" s="6"/>
      <c r="H42859" s="13"/>
    </row>
    <row r="42860">
      <c r="A42860" s="6"/>
      <c r="B42860" s="6"/>
      <c r="H42860" s="13"/>
    </row>
    <row r="42861">
      <c r="A42861" s="6"/>
      <c r="B42861" s="6"/>
      <c r="H42861" s="13"/>
    </row>
    <row r="42862">
      <c r="A42862" s="6"/>
      <c r="B42862" s="6"/>
      <c r="H42862" s="13"/>
    </row>
    <row r="42863">
      <c r="A42863" s="6"/>
      <c r="B42863" s="6"/>
      <c r="H42863" s="13"/>
    </row>
    <row r="42864">
      <c r="A42864" s="6"/>
      <c r="B42864" s="6"/>
      <c r="H42864" s="13"/>
    </row>
    <row r="42865">
      <c r="A42865" s="6"/>
      <c r="B42865" s="6"/>
      <c r="H42865" s="13"/>
    </row>
    <row r="42866">
      <c r="A42866" s="6"/>
      <c r="B42866" s="6"/>
      <c r="H42866" s="13"/>
    </row>
    <row r="42867">
      <c r="A42867" s="6"/>
      <c r="B42867" s="6"/>
      <c r="H42867" s="13"/>
    </row>
    <row r="42868">
      <c r="A42868" s="6"/>
      <c r="B42868" s="6"/>
      <c r="H42868" s="13"/>
    </row>
    <row r="42869">
      <c r="A42869" s="6"/>
      <c r="B42869" s="6"/>
      <c r="H42869" s="13"/>
    </row>
    <row r="42870">
      <c r="A42870" s="6"/>
      <c r="B42870" s="6"/>
      <c r="H42870" s="13"/>
    </row>
    <row r="42871">
      <c r="A42871" s="6"/>
      <c r="B42871" s="6"/>
      <c r="H42871" s="13"/>
    </row>
    <row r="42872">
      <c r="A42872" s="6"/>
      <c r="B42872" s="6"/>
      <c r="H42872" s="13"/>
    </row>
    <row r="42873">
      <c r="A42873" s="6"/>
      <c r="B42873" s="6"/>
      <c r="H42873" s="13"/>
    </row>
    <row r="42874">
      <c r="A42874" s="6"/>
      <c r="B42874" s="6"/>
      <c r="H42874" s="13"/>
    </row>
    <row r="42875">
      <c r="A42875" s="6"/>
      <c r="B42875" s="6"/>
      <c r="H42875" s="13"/>
    </row>
    <row r="42876">
      <c r="A42876" s="6"/>
      <c r="B42876" s="6"/>
      <c r="H42876" s="13"/>
    </row>
    <row r="42877">
      <c r="A42877" s="6"/>
      <c r="B42877" s="6"/>
      <c r="H42877" s="13"/>
    </row>
    <row r="42878">
      <c r="A42878" s="6"/>
      <c r="B42878" s="6"/>
      <c r="H42878" s="13"/>
    </row>
    <row r="42879">
      <c r="A42879" s="6"/>
      <c r="B42879" s="6"/>
      <c r="H42879" s="13"/>
    </row>
    <row r="42880">
      <c r="A42880" s="6"/>
      <c r="B42880" s="6"/>
      <c r="H42880" s="13"/>
    </row>
    <row r="42881">
      <c r="A42881" s="6"/>
      <c r="B42881" s="6"/>
      <c r="H42881" s="13"/>
    </row>
    <row r="42882">
      <c r="A42882" s="6"/>
      <c r="B42882" s="6"/>
      <c r="H42882" s="13"/>
    </row>
    <row r="42883">
      <c r="A42883" s="6"/>
      <c r="B42883" s="6"/>
      <c r="H42883" s="13"/>
    </row>
    <row r="42884">
      <c r="A42884" s="6"/>
      <c r="B42884" s="6"/>
      <c r="H42884" s="13"/>
    </row>
    <row r="42885">
      <c r="A42885" s="6"/>
      <c r="B42885" s="6"/>
      <c r="H42885" s="13"/>
    </row>
    <row r="42886">
      <c r="A42886" s="6"/>
      <c r="B42886" s="6"/>
      <c r="H42886" s="13"/>
    </row>
    <row r="42887">
      <c r="A42887" s="6"/>
      <c r="B42887" s="6"/>
      <c r="H42887" s="13"/>
    </row>
    <row r="42888">
      <c r="A42888" s="6"/>
      <c r="B42888" s="6"/>
      <c r="H42888" s="13"/>
    </row>
    <row r="42889">
      <c r="A42889" s="6"/>
      <c r="B42889" s="6"/>
      <c r="H42889" s="13"/>
    </row>
    <row r="42890">
      <c r="A42890" s="6"/>
      <c r="B42890" s="6"/>
      <c r="H42890" s="13"/>
    </row>
    <row r="42891">
      <c r="A42891" s="6"/>
      <c r="B42891" s="6"/>
      <c r="H42891" s="13"/>
    </row>
    <row r="42892">
      <c r="A42892" s="6"/>
      <c r="B42892" s="6"/>
      <c r="H42892" s="13"/>
    </row>
    <row r="42893">
      <c r="A42893" s="6"/>
      <c r="B42893" s="6"/>
      <c r="H42893" s="13"/>
    </row>
    <row r="42894">
      <c r="A42894" s="6"/>
      <c r="B42894" s="6"/>
      <c r="H42894" s="13"/>
    </row>
    <row r="42895">
      <c r="A42895" s="6"/>
      <c r="B42895" s="6"/>
      <c r="H42895" s="13"/>
    </row>
    <row r="42896">
      <c r="A42896" s="6"/>
      <c r="B42896" s="6"/>
      <c r="H42896" s="13"/>
    </row>
    <row r="42897">
      <c r="A42897" s="6"/>
      <c r="B42897" s="6"/>
      <c r="H42897" s="13"/>
    </row>
    <row r="42898">
      <c r="A42898" s="6"/>
      <c r="B42898" s="6"/>
      <c r="H42898" s="13"/>
    </row>
    <row r="42899">
      <c r="A42899" s="6"/>
      <c r="B42899" s="6"/>
      <c r="H42899" s="13"/>
    </row>
    <row r="42900">
      <c r="A42900" s="6"/>
      <c r="B42900" s="6"/>
      <c r="H42900" s="13"/>
    </row>
    <row r="42901">
      <c r="A42901" s="6"/>
      <c r="B42901" s="6"/>
      <c r="H42901" s="13"/>
    </row>
    <row r="42902">
      <c r="A42902" s="6"/>
      <c r="B42902" s="6"/>
      <c r="H42902" s="13"/>
    </row>
    <row r="42903">
      <c r="A42903" s="6"/>
      <c r="B42903" s="6"/>
      <c r="H42903" s="13"/>
    </row>
    <row r="42904">
      <c r="A42904" s="6"/>
      <c r="B42904" s="6"/>
      <c r="H42904" s="13"/>
    </row>
    <row r="42905">
      <c r="A42905" s="6"/>
      <c r="B42905" s="6"/>
      <c r="H42905" s="13"/>
    </row>
    <row r="42906">
      <c r="A42906" s="6"/>
      <c r="B42906" s="6"/>
      <c r="H42906" s="13"/>
    </row>
    <row r="42907">
      <c r="A42907" s="6"/>
      <c r="B42907" s="6"/>
      <c r="H42907" s="13"/>
    </row>
    <row r="42908">
      <c r="A42908" s="6"/>
      <c r="B42908" s="6"/>
      <c r="H42908" s="13"/>
    </row>
    <row r="42909">
      <c r="A42909" s="6"/>
      <c r="B42909" s="6"/>
      <c r="H42909" s="13"/>
    </row>
    <row r="42910">
      <c r="A42910" s="6"/>
      <c r="B42910" s="6"/>
      <c r="H42910" s="13"/>
    </row>
    <row r="42911">
      <c r="A42911" s="6"/>
      <c r="B42911" s="6"/>
      <c r="H42911" s="13"/>
    </row>
    <row r="42912">
      <c r="A42912" s="6"/>
      <c r="B42912" s="6"/>
      <c r="H42912" s="13"/>
    </row>
    <row r="42913">
      <c r="A42913" s="6"/>
      <c r="B42913" s="6"/>
      <c r="H42913" s="13"/>
    </row>
    <row r="42914">
      <c r="A42914" s="6"/>
      <c r="B42914" s="6"/>
      <c r="H42914" s="13"/>
    </row>
    <row r="42915">
      <c r="A42915" s="6"/>
      <c r="B42915" s="6"/>
      <c r="H42915" s="13"/>
    </row>
    <row r="42916">
      <c r="A42916" s="6"/>
      <c r="B42916" s="6"/>
      <c r="H42916" s="13"/>
    </row>
    <row r="42917">
      <c r="A42917" s="6"/>
      <c r="B42917" s="6"/>
      <c r="H42917" s="13"/>
    </row>
    <row r="42918">
      <c r="A42918" s="6"/>
      <c r="B42918" s="6"/>
      <c r="H42918" s="13"/>
    </row>
    <row r="42919">
      <c r="A42919" s="6"/>
      <c r="B42919" s="6"/>
      <c r="H42919" s="13"/>
    </row>
    <row r="42920">
      <c r="A42920" s="6"/>
      <c r="B42920" s="6"/>
      <c r="H42920" s="13"/>
    </row>
    <row r="42921">
      <c r="A42921" s="6"/>
      <c r="B42921" s="6"/>
      <c r="H42921" s="13"/>
    </row>
    <row r="42922">
      <c r="A42922" s="6"/>
      <c r="B42922" s="6"/>
      <c r="H42922" s="13"/>
    </row>
    <row r="42923">
      <c r="A42923" s="6"/>
      <c r="B42923" s="6"/>
      <c r="H42923" s="13"/>
    </row>
    <row r="42924">
      <c r="A42924" s="6"/>
      <c r="B42924" s="6"/>
      <c r="H42924" s="13"/>
    </row>
    <row r="42925">
      <c r="A42925" s="6"/>
      <c r="B42925" s="6"/>
      <c r="H42925" s="13"/>
    </row>
    <row r="42926">
      <c r="A42926" s="6"/>
      <c r="B42926" s="6"/>
      <c r="H42926" s="13"/>
    </row>
    <row r="42927">
      <c r="A42927" s="6"/>
      <c r="B42927" s="6"/>
      <c r="H42927" s="13"/>
    </row>
    <row r="42928">
      <c r="A42928" s="6"/>
      <c r="B42928" s="6"/>
      <c r="H42928" s="13"/>
    </row>
    <row r="42929">
      <c r="A42929" s="6"/>
      <c r="B42929" s="6"/>
      <c r="H42929" s="13"/>
    </row>
    <row r="42930">
      <c r="A42930" s="6"/>
      <c r="B42930" s="6"/>
      <c r="H42930" s="13"/>
    </row>
    <row r="42931">
      <c r="A42931" s="6"/>
      <c r="B42931" s="6"/>
      <c r="H42931" s="13"/>
    </row>
    <row r="42932">
      <c r="A42932" s="6"/>
      <c r="B42932" s="6"/>
      <c r="H42932" s="13"/>
    </row>
    <row r="42933">
      <c r="A42933" s="6"/>
      <c r="B42933" s="6"/>
      <c r="H42933" s="13"/>
    </row>
    <row r="42934">
      <c r="A42934" s="6"/>
      <c r="B42934" s="6"/>
      <c r="H42934" s="13"/>
    </row>
    <row r="42935">
      <c r="A42935" s="6"/>
      <c r="B42935" s="6"/>
      <c r="H42935" s="13"/>
    </row>
    <row r="42936">
      <c r="A42936" s="6"/>
      <c r="B42936" s="6"/>
      <c r="H42936" s="13"/>
    </row>
    <row r="42937">
      <c r="A42937" s="6"/>
      <c r="B42937" s="6"/>
      <c r="H42937" s="13"/>
    </row>
    <row r="42938">
      <c r="A42938" s="6"/>
      <c r="B42938" s="6"/>
      <c r="H42938" s="13"/>
    </row>
    <row r="42939">
      <c r="A42939" s="6"/>
      <c r="B42939" s="6"/>
      <c r="H42939" s="13"/>
    </row>
    <row r="42940">
      <c r="A42940" s="6"/>
      <c r="B42940" s="6"/>
      <c r="H42940" s="13"/>
    </row>
    <row r="42941">
      <c r="A42941" s="6"/>
      <c r="B42941" s="6"/>
      <c r="H42941" s="13"/>
    </row>
    <row r="42942">
      <c r="A42942" s="6"/>
      <c r="B42942" s="6"/>
      <c r="H42942" s="13"/>
    </row>
    <row r="42943">
      <c r="A42943" s="6"/>
      <c r="B42943" s="6"/>
      <c r="H42943" s="13"/>
    </row>
    <row r="42944">
      <c r="A42944" s="6"/>
      <c r="B42944" s="6"/>
      <c r="H42944" s="13"/>
    </row>
    <row r="42945">
      <c r="A42945" s="6"/>
      <c r="B42945" s="6"/>
      <c r="H42945" s="13"/>
    </row>
    <row r="42946">
      <c r="A42946" s="6"/>
      <c r="B42946" s="6"/>
      <c r="H42946" s="13"/>
    </row>
    <row r="42947">
      <c r="A42947" s="6"/>
      <c r="B42947" s="6"/>
      <c r="H42947" s="13"/>
    </row>
    <row r="42948">
      <c r="A42948" s="6"/>
      <c r="B42948" s="6"/>
      <c r="H42948" s="13"/>
    </row>
    <row r="42949">
      <c r="A42949" s="6"/>
      <c r="B42949" s="6"/>
      <c r="H42949" s="13"/>
    </row>
    <row r="42950">
      <c r="A42950" s="6"/>
      <c r="B42950" s="6"/>
      <c r="H42950" s="13"/>
    </row>
    <row r="42951">
      <c r="A42951" s="6"/>
      <c r="B42951" s="6"/>
      <c r="H42951" s="13"/>
    </row>
    <row r="42952">
      <c r="A42952" s="6"/>
      <c r="B42952" s="6"/>
      <c r="H42952" s="13"/>
    </row>
    <row r="42953">
      <c r="A42953" s="6"/>
      <c r="B42953" s="6"/>
      <c r="H42953" s="13"/>
    </row>
    <row r="42954">
      <c r="A42954" s="6"/>
      <c r="B42954" s="6"/>
      <c r="H42954" s="13"/>
    </row>
    <row r="42955">
      <c r="A42955" s="6"/>
      <c r="B42955" s="6"/>
      <c r="H42955" s="13"/>
    </row>
    <row r="42956">
      <c r="A42956" s="6"/>
      <c r="B42956" s="6"/>
      <c r="H42956" s="13"/>
    </row>
    <row r="42957">
      <c r="A42957" s="6"/>
      <c r="B42957" s="6"/>
      <c r="H42957" s="13"/>
    </row>
    <row r="42958">
      <c r="A42958" s="6"/>
      <c r="B42958" s="6"/>
      <c r="H42958" s="13"/>
    </row>
    <row r="42959">
      <c r="A42959" s="6"/>
      <c r="B42959" s="6"/>
      <c r="H42959" s="13"/>
    </row>
    <row r="42960">
      <c r="A42960" s="6"/>
      <c r="B42960" s="6"/>
      <c r="H42960" s="13"/>
    </row>
    <row r="42961">
      <c r="A42961" s="6"/>
      <c r="B42961" s="6"/>
      <c r="H42961" s="13"/>
    </row>
    <row r="42962">
      <c r="A42962" s="6"/>
      <c r="B42962" s="6"/>
      <c r="H42962" s="13"/>
    </row>
    <row r="42963">
      <c r="A42963" s="6"/>
      <c r="B42963" s="6"/>
      <c r="H42963" s="13"/>
    </row>
    <row r="42964">
      <c r="A42964" s="6"/>
      <c r="B42964" s="6"/>
      <c r="H42964" s="13"/>
    </row>
    <row r="42965">
      <c r="A42965" s="6"/>
      <c r="B42965" s="6"/>
      <c r="H42965" s="13"/>
    </row>
    <row r="42966">
      <c r="A42966" s="6"/>
      <c r="B42966" s="6"/>
      <c r="H42966" s="13"/>
    </row>
    <row r="42967">
      <c r="A42967" s="6"/>
      <c r="B42967" s="6"/>
      <c r="H42967" s="13"/>
    </row>
    <row r="42968">
      <c r="A42968" s="6"/>
      <c r="B42968" s="6"/>
      <c r="H42968" s="13"/>
    </row>
    <row r="42969">
      <c r="A42969" s="6"/>
      <c r="B42969" s="6"/>
      <c r="H42969" s="13"/>
    </row>
    <row r="42970">
      <c r="A42970" s="6"/>
      <c r="B42970" s="6"/>
      <c r="H42970" s="13"/>
    </row>
    <row r="42971">
      <c r="A42971" s="6"/>
      <c r="B42971" s="6"/>
      <c r="H42971" s="13"/>
    </row>
    <row r="42972">
      <c r="A42972" s="6"/>
      <c r="B42972" s="6"/>
      <c r="H42972" s="13"/>
    </row>
    <row r="42973">
      <c r="A42973" s="6"/>
      <c r="B42973" s="6"/>
      <c r="H42973" s="13"/>
    </row>
    <row r="42974">
      <c r="A42974" s="6"/>
      <c r="B42974" s="6"/>
      <c r="H42974" s="13"/>
    </row>
    <row r="42975">
      <c r="A42975" s="6"/>
      <c r="B42975" s="6"/>
      <c r="H42975" s="13"/>
    </row>
    <row r="42976">
      <c r="A42976" s="6"/>
      <c r="B42976" s="6"/>
      <c r="H42976" s="13"/>
    </row>
    <row r="42977">
      <c r="A42977" s="6"/>
      <c r="B42977" s="6"/>
      <c r="H42977" s="13"/>
    </row>
    <row r="42978">
      <c r="A42978" s="6"/>
      <c r="B42978" s="6"/>
      <c r="H42978" s="13"/>
    </row>
    <row r="42979">
      <c r="A42979" s="6"/>
      <c r="B42979" s="6"/>
      <c r="H42979" s="13"/>
    </row>
    <row r="42980">
      <c r="A42980" s="6"/>
      <c r="B42980" s="6"/>
      <c r="H42980" s="13"/>
    </row>
    <row r="42981">
      <c r="A42981" s="6"/>
      <c r="B42981" s="6"/>
      <c r="H42981" s="13"/>
    </row>
    <row r="42982">
      <c r="A42982" s="6"/>
      <c r="B42982" s="6"/>
      <c r="H42982" s="13"/>
    </row>
    <row r="42983">
      <c r="A42983" s="6"/>
      <c r="B42983" s="6"/>
      <c r="H42983" s="13"/>
    </row>
    <row r="42984">
      <c r="A42984" s="6"/>
      <c r="B42984" s="6"/>
      <c r="H42984" s="13"/>
    </row>
    <row r="42985">
      <c r="A42985" s="6"/>
      <c r="B42985" s="6"/>
      <c r="H42985" s="13"/>
    </row>
    <row r="42986">
      <c r="A42986" s="6"/>
      <c r="B42986" s="6"/>
      <c r="H42986" s="13"/>
    </row>
    <row r="42987">
      <c r="A42987" s="6"/>
      <c r="B42987" s="6"/>
      <c r="H42987" s="13"/>
    </row>
    <row r="42988">
      <c r="A42988" s="6"/>
      <c r="B42988" s="6"/>
      <c r="H42988" s="13"/>
    </row>
    <row r="42989">
      <c r="A42989" s="6"/>
      <c r="B42989" s="6"/>
      <c r="H42989" s="13"/>
    </row>
    <row r="42990">
      <c r="A42990" s="6"/>
      <c r="B42990" s="6"/>
      <c r="H42990" s="13"/>
    </row>
    <row r="42991">
      <c r="A42991" s="6"/>
      <c r="B42991" s="6"/>
      <c r="H42991" s="13"/>
    </row>
    <row r="42992">
      <c r="A42992" s="6"/>
      <c r="B42992" s="6"/>
      <c r="H42992" s="13"/>
    </row>
    <row r="42993">
      <c r="A42993" s="6"/>
      <c r="B42993" s="6"/>
      <c r="H42993" s="13"/>
    </row>
    <row r="42994">
      <c r="A42994" s="6"/>
      <c r="B42994" s="6"/>
      <c r="H42994" s="13"/>
    </row>
    <row r="42995">
      <c r="A42995" s="6"/>
      <c r="B42995" s="6"/>
      <c r="H42995" s="13"/>
    </row>
    <row r="42996">
      <c r="A42996" s="6"/>
      <c r="B42996" s="6"/>
      <c r="H42996" s="13"/>
    </row>
    <row r="42997">
      <c r="A42997" s="6"/>
      <c r="B42997" s="6"/>
      <c r="H42997" s="13"/>
    </row>
    <row r="42998">
      <c r="A42998" s="6"/>
      <c r="B42998" s="6"/>
      <c r="H42998" s="13"/>
    </row>
    <row r="42999">
      <c r="A42999" s="6"/>
      <c r="B42999" s="6"/>
      <c r="H42999" s="13"/>
    </row>
    <row r="43000">
      <c r="A43000" s="6"/>
      <c r="B43000" s="6"/>
      <c r="H43000" s="13"/>
    </row>
    <row r="43001">
      <c r="A43001" s="6"/>
      <c r="B43001" s="6"/>
      <c r="H43001" s="13"/>
    </row>
    <row r="43002">
      <c r="A43002" s="6"/>
      <c r="B43002" s="6"/>
      <c r="H43002" s="13"/>
    </row>
    <row r="43003">
      <c r="A43003" s="6"/>
      <c r="B43003" s="6"/>
      <c r="H43003" s="13"/>
    </row>
    <row r="43004">
      <c r="A43004" s="6"/>
      <c r="B43004" s="6"/>
      <c r="H43004" s="13"/>
    </row>
    <row r="43005">
      <c r="A43005" s="6"/>
      <c r="B43005" s="6"/>
      <c r="H43005" s="13"/>
    </row>
    <row r="43006">
      <c r="A43006" s="6"/>
      <c r="B43006" s="6"/>
      <c r="H43006" s="13"/>
    </row>
    <row r="43007">
      <c r="A43007" s="6"/>
      <c r="B43007" s="6"/>
      <c r="H43007" s="13"/>
    </row>
    <row r="43008">
      <c r="A43008" s="6"/>
      <c r="B43008" s="6"/>
      <c r="H43008" s="13"/>
    </row>
    <row r="43009">
      <c r="A43009" s="6"/>
      <c r="B43009" s="6"/>
      <c r="H43009" s="13"/>
    </row>
    <row r="43010">
      <c r="A43010" s="6"/>
      <c r="B43010" s="6"/>
      <c r="H43010" s="13"/>
    </row>
    <row r="43011">
      <c r="A43011" s="6"/>
      <c r="B43011" s="6"/>
      <c r="H43011" s="13"/>
    </row>
    <row r="43012">
      <c r="A43012" s="6"/>
      <c r="B43012" s="6"/>
      <c r="H43012" s="13"/>
    </row>
    <row r="43013">
      <c r="A43013" s="6"/>
      <c r="B43013" s="6"/>
      <c r="H43013" s="13"/>
    </row>
    <row r="43014">
      <c r="A43014" s="6"/>
      <c r="B43014" s="6"/>
      <c r="H43014" s="13"/>
    </row>
    <row r="43015">
      <c r="A43015" s="6"/>
      <c r="B43015" s="6"/>
      <c r="H43015" s="13"/>
    </row>
    <row r="43016">
      <c r="A43016" s="6"/>
      <c r="B43016" s="6"/>
      <c r="H43016" s="13"/>
    </row>
    <row r="43017">
      <c r="A43017" s="6"/>
      <c r="B43017" s="6"/>
      <c r="H43017" s="13"/>
    </row>
    <row r="43018">
      <c r="A43018" s="6"/>
      <c r="B43018" s="6"/>
      <c r="H43018" s="13"/>
    </row>
    <row r="43019">
      <c r="A43019" s="6"/>
      <c r="B43019" s="6"/>
      <c r="H43019" s="13"/>
    </row>
    <row r="43020">
      <c r="A43020" s="6"/>
      <c r="B43020" s="6"/>
      <c r="H43020" s="13"/>
    </row>
    <row r="43021">
      <c r="A43021" s="6"/>
      <c r="B43021" s="6"/>
      <c r="H43021" s="13"/>
    </row>
    <row r="43022">
      <c r="A43022" s="6"/>
      <c r="B43022" s="6"/>
      <c r="H43022" s="13"/>
    </row>
    <row r="43023">
      <c r="A43023" s="6"/>
      <c r="B43023" s="6"/>
      <c r="H43023" s="13"/>
    </row>
    <row r="43024">
      <c r="A43024" s="6"/>
      <c r="B43024" s="6"/>
      <c r="H43024" s="13"/>
    </row>
    <row r="43025">
      <c r="A43025" s="6"/>
      <c r="B43025" s="6"/>
      <c r="H43025" s="13"/>
    </row>
    <row r="43026">
      <c r="A43026" s="6"/>
      <c r="B43026" s="6"/>
      <c r="H43026" s="13"/>
    </row>
    <row r="43027">
      <c r="A43027" s="6"/>
      <c r="B43027" s="6"/>
      <c r="H43027" s="13"/>
    </row>
    <row r="43028">
      <c r="A43028" s="6"/>
      <c r="B43028" s="6"/>
      <c r="H43028" s="13"/>
    </row>
    <row r="43029">
      <c r="A43029" s="6"/>
      <c r="B43029" s="6"/>
      <c r="H43029" s="13"/>
    </row>
    <row r="43030">
      <c r="A43030" s="6"/>
      <c r="B43030" s="6"/>
      <c r="H43030" s="13"/>
    </row>
    <row r="43031">
      <c r="A43031" s="6"/>
      <c r="B43031" s="6"/>
      <c r="H43031" s="13"/>
    </row>
    <row r="43032">
      <c r="A43032" s="6"/>
      <c r="B43032" s="6"/>
      <c r="H43032" s="13"/>
    </row>
    <row r="43033">
      <c r="A43033" s="6"/>
      <c r="B43033" s="6"/>
      <c r="H43033" s="13"/>
    </row>
    <row r="43034">
      <c r="A43034" s="6"/>
      <c r="B43034" s="6"/>
      <c r="H43034" s="13"/>
    </row>
    <row r="43035">
      <c r="A43035" s="6"/>
      <c r="B43035" s="6"/>
      <c r="H43035" s="13"/>
    </row>
    <row r="43036">
      <c r="A43036" s="6"/>
      <c r="B43036" s="6"/>
      <c r="H43036" s="13"/>
    </row>
    <row r="43037">
      <c r="A43037" s="6"/>
      <c r="B43037" s="6"/>
      <c r="H43037" s="13"/>
    </row>
    <row r="43038">
      <c r="A43038" s="6"/>
      <c r="B43038" s="6"/>
      <c r="H43038" s="13"/>
    </row>
    <row r="43039">
      <c r="A43039" s="6"/>
      <c r="B43039" s="6"/>
      <c r="H43039" s="13"/>
    </row>
    <row r="43040">
      <c r="A43040" s="6"/>
      <c r="B43040" s="6"/>
      <c r="H43040" s="13"/>
    </row>
    <row r="43041">
      <c r="A43041" s="6"/>
      <c r="B43041" s="6"/>
      <c r="H43041" s="13"/>
    </row>
    <row r="43042">
      <c r="A43042" s="6"/>
      <c r="B43042" s="6"/>
      <c r="H43042" s="13"/>
    </row>
    <row r="43043">
      <c r="A43043" s="6"/>
      <c r="B43043" s="6"/>
      <c r="H43043" s="13"/>
    </row>
    <row r="43044">
      <c r="A43044" s="6"/>
      <c r="B43044" s="6"/>
      <c r="H43044" s="13"/>
    </row>
    <row r="43045">
      <c r="A43045" s="6"/>
      <c r="B43045" s="6"/>
      <c r="H43045" s="13"/>
    </row>
    <row r="43046">
      <c r="A43046" s="6"/>
      <c r="B43046" s="6"/>
      <c r="H43046" s="13"/>
    </row>
    <row r="43047">
      <c r="A43047" s="6"/>
      <c r="B43047" s="6"/>
      <c r="H43047" s="13"/>
    </row>
    <row r="43048">
      <c r="A43048" s="6"/>
      <c r="B43048" s="6"/>
      <c r="H43048" s="13"/>
    </row>
    <row r="43049">
      <c r="A43049" s="6"/>
      <c r="B43049" s="6"/>
      <c r="H43049" s="13"/>
    </row>
    <row r="43050">
      <c r="A43050" s="6"/>
      <c r="B43050" s="6"/>
      <c r="H43050" s="13"/>
    </row>
    <row r="43051">
      <c r="A43051" s="6"/>
      <c r="B43051" s="6"/>
      <c r="H43051" s="13"/>
    </row>
    <row r="43052">
      <c r="A43052" s="6"/>
      <c r="B43052" s="6"/>
      <c r="H43052" s="13"/>
    </row>
    <row r="43053">
      <c r="A43053" s="6"/>
      <c r="B43053" s="6"/>
      <c r="H43053" s="13"/>
    </row>
    <row r="43054">
      <c r="A43054" s="6"/>
      <c r="B43054" s="6"/>
      <c r="H43054" s="13"/>
    </row>
    <row r="43055">
      <c r="A43055" s="6"/>
      <c r="B43055" s="6"/>
      <c r="H43055" s="13"/>
    </row>
    <row r="43056">
      <c r="A43056" s="6"/>
      <c r="B43056" s="6"/>
      <c r="H43056" s="13"/>
    </row>
    <row r="43057">
      <c r="A43057" s="6"/>
      <c r="B43057" s="6"/>
      <c r="H43057" s="13"/>
    </row>
    <row r="43058">
      <c r="A43058" s="6"/>
      <c r="B43058" s="6"/>
      <c r="H43058" s="13"/>
    </row>
    <row r="43059">
      <c r="A43059" s="6"/>
      <c r="B43059" s="6"/>
      <c r="H43059" s="13"/>
    </row>
    <row r="43060">
      <c r="A43060" s="6"/>
      <c r="B43060" s="6"/>
      <c r="H43060" s="13"/>
    </row>
    <row r="43061">
      <c r="A43061" s="6"/>
      <c r="B43061" s="6"/>
      <c r="H43061" s="13"/>
    </row>
    <row r="43062">
      <c r="A43062" s="6"/>
      <c r="B43062" s="6"/>
      <c r="H43062" s="13"/>
    </row>
    <row r="43063">
      <c r="A43063" s="6"/>
      <c r="B43063" s="6"/>
      <c r="H43063" s="13"/>
    </row>
    <row r="43064">
      <c r="A43064" s="6"/>
      <c r="B43064" s="6"/>
      <c r="H43064" s="13"/>
    </row>
    <row r="43065">
      <c r="A43065" s="6"/>
      <c r="B43065" s="6"/>
      <c r="H43065" s="13"/>
    </row>
    <row r="43066">
      <c r="A43066" s="6"/>
      <c r="B43066" s="6"/>
      <c r="H43066" s="13"/>
    </row>
    <row r="43067">
      <c r="A43067" s="6"/>
      <c r="B43067" s="6"/>
      <c r="H43067" s="13"/>
    </row>
    <row r="43068">
      <c r="A43068" s="6"/>
      <c r="B43068" s="6"/>
      <c r="H43068" s="13"/>
    </row>
    <row r="43069">
      <c r="A43069" s="6"/>
      <c r="B43069" s="6"/>
      <c r="H43069" s="13"/>
    </row>
    <row r="43070">
      <c r="A43070" s="6"/>
      <c r="B43070" s="6"/>
      <c r="H43070" s="13"/>
    </row>
    <row r="43071">
      <c r="A43071" s="6"/>
      <c r="B43071" s="6"/>
      <c r="H43071" s="13"/>
    </row>
    <row r="43072">
      <c r="A43072" s="6"/>
      <c r="B43072" s="6"/>
      <c r="H43072" s="13"/>
    </row>
    <row r="43073">
      <c r="A43073" s="6"/>
      <c r="B43073" s="6"/>
      <c r="H43073" s="13"/>
    </row>
    <row r="43074">
      <c r="A43074" s="6"/>
      <c r="B43074" s="6"/>
      <c r="H43074" s="13"/>
    </row>
    <row r="43075">
      <c r="A43075" s="6"/>
      <c r="B43075" s="6"/>
      <c r="H43075" s="13"/>
    </row>
    <row r="43076">
      <c r="A43076" s="6"/>
      <c r="B43076" s="6"/>
      <c r="H43076" s="13"/>
    </row>
    <row r="43077">
      <c r="A43077" s="6"/>
      <c r="B43077" s="6"/>
      <c r="H43077" s="13"/>
    </row>
    <row r="43078">
      <c r="A43078" s="6"/>
      <c r="B43078" s="6"/>
      <c r="H43078" s="13"/>
    </row>
    <row r="43079">
      <c r="A43079" s="6"/>
      <c r="B43079" s="6"/>
      <c r="H43079" s="13"/>
    </row>
    <row r="43080">
      <c r="A43080" s="6"/>
      <c r="B43080" s="6"/>
      <c r="H43080" s="13"/>
    </row>
    <row r="43081">
      <c r="A43081" s="6"/>
      <c r="B43081" s="6"/>
      <c r="H43081" s="13"/>
    </row>
    <row r="43082">
      <c r="A43082" s="6"/>
      <c r="B43082" s="6"/>
      <c r="H43082" s="13"/>
    </row>
    <row r="43083">
      <c r="A43083" s="6"/>
      <c r="B43083" s="6"/>
      <c r="H43083" s="13"/>
    </row>
    <row r="43084">
      <c r="A43084" s="6"/>
      <c r="B43084" s="6"/>
      <c r="H43084" s="13"/>
    </row>
    <row r="43085">
      <c r="A43085" s="6"/>
      <c r="B43085" s="6"/>
      <c r="H43085" s="13"/>
    </row>
    <row r="43086">
      <c r="A43086" s="6"/>
      <c r="B43086" s="6"/>
      <c r="H43086" s="13"/>
    </row>
    <row r="43087">
      <c r="A43087" s="6"/>
      <c r="B43087" s="6"/>
      <c r="H43087" s="13"/>
    </row>
    <row r="43088">
      <c r="A43088" s="6"/>
      <c r="B43088" s="6"/>
      <c r="H43088" s="13"/>
    </row>
    <row r="43089">
      <c r="A43089" s="6"/>
      <c r="B43089" s="6"/>
      <c r="H43089" s="13"/>
    </row>
    <row r="43090">
      <c r="A43090" s="6"/>
      <c r="B43090" s="6"/>
      <c r="H43090" s="13"/>
    </row>
    <row r="43091">
      <c r="A43091" s="6"/>
      <c r="B43091" s="6"/>
      <c r="H43091" s="13"/>
    </row>
    <row r="43092">
      <c r="A43092" s="6"/>
      <c r="B43092" s="6"/>
      <c r="H43092" s="13"/>
    </row>
    <row r="43093">
      <c r="A43093" s="6"/>
      <c r="B43093" s="6"/>
      <c r="H43093" s="13"/>
    </row>
    <row r="43094">
      <c r="A43094" s="6"/>
      <c r="B43094" s="6"/>
      <c r="H43094" s="13"/>
    </row>
    <row r="43095">
      <c r="A43095" s="6"/>
      <c r="B43095" s="6"/>
      <c r="H43095" s="13"/>
    </row>
    <row r="43096">
      <c r="A43096" s="6"/>
      <c r="B43096" s="6"/>
      <c r="H43096" s="13"/>
    </row>
    <row r="43097">
      <c r="A43097" s="6"/>
      <c r="B43097" s="6"/>
      <c r="H43097" s="13"/>
    </row>
    <row r="43098">
      <c r="A43098" s="6"/>
      <c r="B43098" s="6"/>
      <c r="H43098" s="13"/>
    </row>
    <row r="43099">
      <c r="A43099" s="6"/>
      <c r="B43099" s="6"/>
      <c r="H43099" s="13"/>
    </row>
    <row r="43100">
      <c r="A43100" s="6"/>
      <c r="B43100" s="6"/>
      <c r="H43100" s="13"/>
    </row>
    <row r="43101">
      <c r="A43101" s="6"/>
      <c r="B43101" s="6"/>
      <c r="H43101" s="13"/>
    </row>
    <row r="43102">
      <c r="A43102" s="6"/>
      <c r="B43102" s="6"/>
      <c r="H43102" s="13"/>
    </row>
    <row r="43103">
      <c r="A43103" s="6"/>
      <c r="B43103" s="6"/>
      <c r="H43103" s="13"/>
    </row>
    <row r="43104">
      <c r="A43104" s="6"/>
      <c r="B43104" s="6"/>
      <c r="H43104" s="13"/>
    </row>
    <row r="43105">
      <c r="A43105" s="6"/>
      <c r="B43105" s="6"/>
      <c r="H43105" s="13"/>
    </row>
    <row r="43106">
      <c r="A43106" s="6"/>
      <c r="B43106" s="6"/>
      <c r="H43106" s="13"/>
    </row>
    <row r="43107">
      <c r="A43107" s="6"/>
      <c r="B43107" s="6"/>
      <c r="H43107" s="13"/>
    </row>
    <row r="43108">
      <c r="A43108" s="6"/>
      <c r="B43108" s="6"/>
      <c r="H43108" s="13"/>
    </row>
    <row r="43109">
      <c r="A43109" s="6"/>
      <c r="B43109" s="6"/>
      <c r="H43109" s="13"/>
    </row>
    <row r="43110">
      <c r="A43110" s="6"/>
      <c r="B43110" s="6"/>
      <c r="H43110" s="13"/>
    </row>
    <row r="43111">
      <c r="A43111" s="6"/>
      <c r="B43111" s="6"/>
      <c r="H43111" s="13"/>
    </row>
    <row r="43112">
      <c r="A43112" s="6"/>
      <c r="B43112" s="6"/>
      <c r="H43112" s="13"/>
    </row>
    <row r="43113">
      <c r="A43113" s="6"/>
      <c r="B43113" s="6"/>
      <c r="H43113" s="13"/>
    </row>
    <row r="43114">
      <c r="A43114" s="6"/>
      <c r="B43114" s="6"/>
      <c r="H43114" s="13"/>
    </row>
    <row r="43115">
      <c r="A43115" s="6"/>
      <c r="B43115" s="6"/>
      <c r="H43115" s="13"/>
    </row>
    <row r="43116">
      <c r="A43116" s="6"/>
      <c r="B43116" s="6"/>
      <c r="H43116" s="13"/>
    </row>
    <row r="43117">
      <c r="A43117" s="6"/>
      <c r="B43117" s="6"/>
      <c r="H43117" s="13"/>
    </row>
    <row r="43118">
      <c r="A43118" s="6"/>
      <c r="B43118" s="6"/>
      <c r="H43118" s="13"/>
    </row>
    <row r="43119">
      <c r="A43119" s="6"/>
      <c r="B43119" s="6"/>
      <c r="H43119" s="13"/>
    </row>
    <row r="43120">
      <c r="A43120" s="6"/>
      <c r="B43120" s="6"/>
      <c r="H43120" s="13"/>
    </row>
    <row r="43121">
      <c r="A43121" s="6"/>
      <c r="B43121" s="6"/>
      <c r="H43121" s="13"/>
    </row>
    <row r="43122">
      <c r="A43122" s="6"/>
      <c r="B43122" s="6"/>
      <c r="H43122" s="13"/>
    </row>
    <row r="43123">
      <c r="A43123" s="6"/>
      <c r="B43123" s="6"/>
      <c r="H43123" s="13"/>
    </row>
    <row r="43124">
      <c r="A43124" s="6"/>
      <c r="B43124" s="6"/>
      <c r="H43124" s="13"/>
    </row>
    <row r="43125">
      <c r="A43125" s="6"/>
      <c r="B43125" s="6"/>
      <c r="H43125" s="13"/>
    </row>
    <row r="43126">
      <c r="A43126" s="6"/>
      <c r="B43126" s="6"/>
      <c r="H43126" s="13"/>
    </row>
    <row r="43127">
      <c r="A43127" s="6"/>
      <c r="B43127" s="6"/>
      <c r="H43127" s="13"/>
    </row>
    <row r="43128">
      <c r="A43128" s="6"/>
      <c r="B43128" s="6"/>
      <c r="H43128" s="13"/>
    </row>
    <row r="43129">
      <c r="A43129" s="6"/>
      <c r="B43129" s="6"/>
      <c r="H43129" s="13"/>
    </row>
    <row r="43130">
      <c r="A43130" s="6"/>
      <c r="B43130" s="6"/>
      <c r="H43130" s="13"/>
    </row>
    <row r="43131">
      <c r="A43131" s="6"/>
      <c r="B43131" s="6"/>
      <c r="H43131" s="13"/>
    </row>
    <row r="43132">
      <c r="A43132" s="6"/>
      <c r="B43132" s="6"/>
      <c r="H43132" s="13"/>
    </row>
    <row r="43133">
      <c r="A43133" s="6"/>
      <c r="B43133" s="6"/>
      <c r="H43133" s="13"/>
    </row>
    <row r="43134">
      <c r="A43134" s="6"/>
      <c r="B43134" s="6"/>
      <c r="H43134" s="13"/>
    </row>
    <row r="43135">
      <c r="A43135" s="6"/>
      <c r="B43135" s="6"/>
      <c r="H43135" s="13"/>
    </row>
    <row r="43136">
      <c r="A43136" s="6"/>
      <c r="B43136" s="6"/>
      <c r="H43136" s="13"/>
    </row>
    <row r="43137">
      <c r="A43137" s="6"/>
      <c r="B43137" s="6"/>
      <c r="H43137" s="13"/>
    </row>
    <row r="43138">
      <c r="A43138" s="6"/>
      <c r="B43138" s="6"/>
      <c r="H43138" s="13"/>
    </row>
    <row r="43139">
      <c r="A43139" s="6"/>
      <c r="B43139" s="6"/>
      <c r="H43139" s="13"/>
    </row>
    <row r="43140">
      <c r="A43140" s="6"/>
      <c r="B43140" s="6"/>
      <c r="H43140" s="13"/>
    </row>
    <row r="43141">
      <c r="A43141" s="6"/>
      <c r="B43141" s="6"/>
      <c r="H43141" s="13"/>
    </row>
    <row r="43142">
      <c r="A43142" s="6"/>
      <c r="B43142" s="6"/>
      <c r="H43142" s="13"/>
    </row>
    <row r="43143">
      <c r="A43143" s="6"/>
      <c r="B43143" s="6"/>
      <c r="H43143" s="13"/>
    </row>
    <row r="43144">
      <c r="A43144" s="6"/>
      <c r="B43144" s="6"/>
      <c r="H43144" s="13"/>
    </row>
    <row r="43145">
      <c r="A43145" s="6"/>
      <c r="B43145" s="6"/>
      <c r="H43145" s="13"/>
    </row>
    <row r="43146">
      <c r="A43146" s="6"/>
      <c r="B43146" s="6"/>
      <c r="H43146" s="13"/>
    </row>
    <row r="43147">
      <c r="A43147" s="6"/>
      <c r="B43147" s="6"/>
      <c r="H43147" s="13"/>
    </row>
    <row r="43148">
      <c r="A43148" s="6"/>
      <c r="B43148" s="6"/>
      <c r="H43148" s="13"/>
    </row>
    <row r="43149">
      <c r="A43149" s="6"/>
      <c r="B43149" s="6"/>
      <c r="H43149" s="13"/>
    </row>
    <row r="43150">
      <c r="A43150" s="6"/>
      <c r="B43150" s="6"/>
      <c r="H43150" s="13"/>
    </row>
    <row r="43151">
      <c r="A43151" s="6"/>
      <c r="B43151" s="6"/>
      <c r="H43151" s="13"/>
    </row>
    <row r="43152">
      <c r="A43152" s="6"/>
      <c r="B43152" s="6"/>
      <c r="H43152" s="13"/>
    </row>
    <row r="43153">
      <c r="A43153" s="6"/>
      <c r="B43153" s="6"/>
      <c r="H43153" s="13"/>
    </row>
    <row r="43154">
      <c r="A43154" s="6"/>
      <c r="B43154" s="6"/>
      <c r="H43154" s="13"/>
    </row>
    <row r="43155">
      <c r="A43155" s="6"/>
      <c r="B43155" s="6"/>
      <c r="H43155" s="13"/>
    </row>
    <row r="43156">
      <c r="A43156" s="6"/>
      <c r="B43156" s="6"/>
      <c r="H43156" s="13"/>
    </row>
    <row r="43157">
      <c r="A43157" s="6"/>
      <c r="B43157" s="6"/>
      <c r="H43157" s="13"/>
    </row>
    <row r="43158">
      <c r="A43158" s="6"/>
      <c r="B43158" s="6"/>
      <c r="H43158" s="13"/>
    </row>
    <row r="43159">
      <c r="A43159" s="6"/>
      <c r="B43159" s="6"/>
      <c r="H43159" s="13"/>
    </row>
    <row r="43160">
      <c r="A43160" s="6"/>
      <c r="B43160" s="6"/>
      <c r="H43160" s="13"/>
    </row>
    <row r="43161">
      <c r="A43161" s="6"/>
      <c r="B43161" s="6"/>
      <c r="H43161" s="13"/>
    </row>
    <row r="43162">
      <c r="A43162" s="6"/>
      <c r="B43162" s="6"/>
      <c r="H43162" s="13"/>
    </row>
    <row r="43163">
      <c r="A43163" s="6"/>
      <c r="B43163" s="6"/>
      <c r="H43163" s="13"/>
    </row>
    <row r="43164">
      <c r="A43164" s="6"/>
      <c r="B43164" s="6"/>
      <c r="H43164" s="13"/>
    </row>
    <row r="43165">
      <c r="A43165" s="6"/>
      <c r="B43165" s="6"/>
      <c r="H43165" s="13"/>
    </row>
    <row r="43166">
      <c r="A43166" s="6"/>
      <c r="B43166" s="6"/>
      <c r="H43166" s="13"/>
    </row>
    <row r="43167">
      <c r="A43167" s="6"/>
      <c r="B43167" s="6"/>
      <c r="H43167" s="13"/>
    </row>
    <row r="43168">
      <c r="A43168" s="6"/>
      <c r="B43168" s="6"/>
      <c r="H43168" s="13"/>
    </row>
    <row r="43169">
      <c r="A43169" s="6"/>
      <c r="B43169" s="6"/>
      <c r="H43169" s="13"/>
    </row>
    <row r="43170">
      <c r="A43170" s="6"/>
      <c r="B43170" s="6"/>
      <c r="H43170" s="13"/>
    </row>
    <row r="43171">
      <c r="A43171" s="6"/>
      <c r="B43171" s="6"/>
      <c r="H43171" s="13"/>
    </row>
    <row r="43172">
      <c r="A43172" s="6"/>
      <c r="B43172" s="6"/>
      <c r="H43172" s="13"/>
    </row>
    <row r="43173">
      <c r="A43173" s="6"/>
      <c r="B43173" s="6"/>
      <c r="H43173" s="13"/>
    </row>
    <row r="43174">
      <c r="A43174" s="6"/>
      <c r="B43174" s="6"/>
      <c r="H43174" s="13"/>
    </row>
    <row r="43175">
      <c r="A43175" s="6"/>
      <c r="B43175" s="6"/>
      <c r="H43175" s="13"/>
    </row>
    <row r="43176">
      <c r="A43176" s="6"/>
      <c r="B43176" s="6"/>
      <c r="H43176" s="13"/>
    </row>
    <row r="43177">
      <c r="A43177" s="6"/>
      <c r="B43177" s="6"/>
      <c r="H43177" s="13"/>
    </row>
    <row r="43178">
      <c r="A43178" s="6"/>
      <c r="B43178" s="6"/>
      <c r="H43178" s="13"/>
    </row>
    <row r="43179">
      <c r="A43179" s="6"/>
      <c r="B43179" s="6"/>
      <c r="H43179" s="13"/>
    </row>
    <row r="43180">
      <c r="A43180" s="6"/>
      <c r="B43180" s="6"/>
      <c r="H43180" s="13"/>
    </row>
    <row r="43181">
      <c r="A43181" s="6"/>
      <c r="B43181" s="6"/>
      <c r="H43181" s="13"/>
    </row>
    <row r="43182">
      <c r="A43182" s="6"/>
      <c r="B43182" s="6"/>
      <c r="H43182" s="13"/>
    </row>
    <row r="43183">
      <c r="A43183" s="6"/>
      <c r="B43183" s="6"/>
      <c r="H43183" s="13"/>
    </row>
    <row r="43184">
      <c r="A43184" s="6"/>
      <c r="B43184" s="6"/>
      <c r="H43184" s="13"/>
    </row>
    <row r="43185">
      <c r="A43185" s="6"/>
      <c r="B43185" s="6"/>
      <c r="H43185" s="13"/>
    </row>
    <row r="43186">
      <c r="A43186" s="6"/>
      <c r="B43186" s="6"/>
      <c r="H43186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8" t="s">
        <v>66</v>
      </c>
      <c r="B1" s="118" t="s">
        <v>67</v>
      </c>
      <c r="C1" s="118" t="s">
        <v>45</v>
      </c>
      <c r="D1" s="119">
        <v>0.0</v>
      </c>
      <c r="E1" s="120">
        <v>0.041666666666666664</v>
      </c>
      <c r="F1" s="120">
        <v>0.08333333333333333</v>
      </c>
      <c r="G1" s="120">
        <v>0.125</v>
      </c>
      <c r="H1" s="120">
        <v>0.16666666666666666</v>
      </c>
      <c r="I1" s="120">
        <v>0.20833333333333334</v>
      </c>
      <c r="J1" s="120">
        <v>0.25</v>
      </c>
      <c r="K1" s="120">
        <v>0.2916666666666667</v>
      </c>
      <c r="L1" s="120">
        <v>0.3333333333333333</v>
      </c>
      <c r="M1" s="120">
        <v>0.375</v>
      </c>
      <c r="N1" s="120">
        <v>0.4166666666666667</v>
      </c>
      <c r="O1" s="120">
        <v>0.4583333333333333</v>
      </c>
      <c r="P1" s="120">
        <v>0.5</v>
      </c>
      <c r="Q1" s="120">
        <v>0.5416666666666666</v>
      </c>
      <c r="R1" s="120">
        <v>0.5833333333333334</v>
      </c>
      <c r="S1" s="120">
        <v>0.625</v>
      </c>
      <c r="T1" s="120">
        <v>0.6666666666666666</v>
      </c>
      <c r="U1" s="120">
        <v>0.7083333333333334</v>
      </c>
      <c r="V1" s="120">
        <v>0.75</v>
      </c>
      <c r="W1" s="120">
        <v>0.7916666666666666</v>
      </c>
      <c r="X1" s="120">
        <v>0.8333333333333334</v>
      </c>
      <c r="Y1" s="120">
        <v>0.875</v>
      </c>
      <c r="Z1" s="120">
        <v>0.9166666666666666</v>
      </c>
      <c r="AA1" s="120">
        <v>0.9583333333333334</v>
      </c>
    </row>
    <row r="2">
      <c r="A2" s="121" t="s">
        <v>23</v>
      </c>
      <c r="B2" s="122" t="s">
        <v>20</v>
      </c>
      <c r="C2" s="123">
        <v>45912.0</v>
      </c>
      <c r="D2" s="124">
        <v>0.004174532857311975</v>
      </c>
      <c r="E2" s="124">
        <v>0.021711724622059392</v>
      </c>
      <c r="F2" s="124">
        <v>0.04265292601523185</v>
      </c>
      <c r="G2" s="124">
        <v>0.07241672222326066</v>
      </c>
      <c r="H2" s="124">
        <v>0.11083073203860508</v>
      </c>
      <c r="I2" s="124">
        <v>0.18131387710258343</v>
      </c>
      <c r="J2" s="124">
        <v>0.4023148926978905</v>
      </c>
      <c r="K2" s="125">
        <v>0.6413889356187343</v>
      </c>
      <c r="L2" s="124">
        <v>0.7591855299476002</v>
      </c>
      <c r="M2" s="124">
        <v>0.7841413442826554</v>
      </c>
      <c r="N2" s="124">
        <v>0.8288566141423205</v>
      </c>
      <c r="O2" s="124">
        <v>0.8482484615496448</v>
      </c>
      <c r="P2" s="124">
        <v>0.873779572203842</v>
      </c>
      <c r="Q2" s="124">
        <v>0.9059483977893669</v>
      </c>
      <c r="R2" s="124">
        <v>0.949579535235342</v>
      </c>
      <c r="S2" s="124">
        <v>0.9759995513934842</v>
      </c>
      <c r="T2" s="124">
        <v>0.9820225092473174</v>
      </c>
      <c r="U2" s="124">
        <v>0.9860288146611257</v>
      </c>
      <c r="V2" s="124">
        <v>0.9888928349647244</v>
      </c>
      <c r="W2" s="124">
        <v>0.9913892471510373</v>
      </c>
      <c r="X2" s="124">
        <v>0.9932272877374657</v>
      </c>
      <c r="Y2" s="124">
        <v>0.994699797088627</v>
      </c>
      <c r="Z2" s="124">
        <v>0.9973249759600908</v>
      </c>
      <c r="AA2" s="124">
        <v>1.0000000000000002</v>
      </c>
    </row>
    <row r="3">
      <c r="A3" s="126"/>
      <c r="B3" s="127" t="s">
        <v>21</v>
      </c>
      <c r="C3" s="123">
        <v>45912.0</v>
      </c>
      <c r="D3" s="124">
        <v>0.0011878315274062657</v>
      </c>
      <c r="E3" s="124">
        <v>0.005225854226171586</v>
      </c>
      <c r="F3" s="124">
        <v>0.014187483943117075</v>
      </c>
      <c r="G3" s="124">
        <v>0.026192743044536126</v>
      </c>
      <c r="H3" s="124">
        <v>0.03853651901890556</v>
      </c>
      <c r="I3" s="124">
        <v>0.11663115261972767</v>
      </c>
      <c r="J3" s="124">
        <v>0.3492859409711203</v>
      </c>
      <c r="K3" s="125">
        <v>0.6005682247510239</v>
      </c>
      <c r="L3" s="124">
        <v>0.746547581266718</v>
      </c>
      <c r="M3" s="124">
        <v>0.7817382236931586</v>
      </c>
      <c r="N3" s="124">
        <v>0.8487101600398966</v>
      </c>
      <c r="O3" s="124">
        <v>0.8891296791645887</v>
      </c>
      <c r="P3" s="124">
        <v>0.9164860739598918</v>
      </c>
      <c r="Q3" s="124">
        <v>0.9432621541158513</v>
      </c>
      <c r="R3" s="124">
        <v>0.959365885357634</v>
      </c>
      <c r="S3" s="124">
        <v>0.9674721554759638</v>
      </c>
      <c r="T3" s="124">
        <v>0.973483852442913</v>
      </c>
      <c r="U3" s="124">
        <v>0.9812818304090916</v>
      </c>
      <c r="V3" s="124">
        <v>0.9858004261685632</v>
      </c>
      <c r="W3" s="124">
        <v>0.9889317072433543</v>
      </c>
      <c r="X3" s="124">
        <v>0.9938885614544135</v>
      </c>
      <c r="Y3" s="124">
        <v>0.9974460110924724</v>
      </c>
      <c r="Z3" s="124">
        <v>0.9982862583306886</v>
      </c>
      <c r="AA3" s="124">
        <v>1.0</v>
      </c>
    </row>
    <row r="4">
      <c r="A4" s="126"/>
      <c r="B4" s="127" t="s">
        <v>22</v>
      </c>
      <c r="C4" s="123">
        <v>45912.0</v>
      </c>
      <c r="D4" s="124">
        <v>0.02917470715490536</v>
      </c>
      <c r="E4" s="124">
        <v>0.0666523378546965</v>
      </c>
      <c r="F4" s="124">
        <v>0.10326089495890589</v>
      </c>
      <c r="G4" s="124">
        <v>0.1457567248073787</v>
      </c>
      <c r="H4" s="124">
        <v>0.19683115208320678</v>
      </c>
      <c r="I4" s="124">
        <v>0.2853037786011653</v>
      </c>
      <c r="J4" s="124">
        <v>0.45084360880474345</v>
      </c>
      <c r="K4" s="125">
        <v>0.6461515458763392</v>
      </c>
      <c r="L4" s="124">
        <v>0.7784423023908869</v>
      </c>
      <c r="M4" s="124">
        <v>0.8099345391340101</v>
      </c>
      <c r="N4" s="124">
        <v>0.8876278496035435</v>
      </c>
      <c r="O4" s="124">
        <v>0.9045981469108171</v>
      </c>
      <c r="P4" s="124">
        <v>0.9145738035052634</v>
      </c>
      <c r="Q4" s="124">
        <v>0.9205638699006171</v>
      </c>
      <c r="R4" s="124">
        <v>0.9265772984894005</v>
      </c>
      <c r="S4" s="124">
        <v>0.9330019016825452</v>
      </c>
      <c r="T4" s="124">
        <v>0.9360997285313123</v>
      </c>
      <c r="U4" s="124">
        <v>0.9410291513449615</v>
      </c>
      <c r="V4" s="124">
        <v>0.9500983548343387</v>
      </c>
      <c r="W4" s="124">
        <v>0.9597469407207704</v>
      </c>
      <c r="X4" s="124">
        <v>0.9641997747884553</v>
      </c>
      <c r="Y4" s="124">
        <v>0.9746566925675517</v>
      </c>
      <c r="Z4" s="124">
        <v>0.9872302250713715</v>
      </c>
      <c r="AA4" s="124">
        <v>1.0</v>
      </c>
    </row>
    <row r="5">
      <c r="A5" s="128"/>
      <c r="B5" s="129" t="s">
        <v>68</v>
      </c>
      <c r="C5" s="123">
        <v>45912.0</v>
      </c>
      <c r="D5" s="130">
        <v>0.008424861672286814</v>
      </c>
      <c r="E5" s="130">
        <v>0.025768560368756986</v>
      </c>
      <c r="F5" s="130">
        <v>0.04611508359095723</v>
      </c>
      <c r="G5" s="130">
        <v>0.072809238800546</v>
      </c>
      <c r="H5" s="130">
        <v>0.10545935323329764</v>
      </c>
      <c r="I5" s="130">
        <v>0.18214732157210822</v>
      </c>
      <c r="J5" s="130">
        <v>0.3953400684160734</v>
      </c>
      <c r="K5" s="131">
        <v>0.6292232700388847</v>
      </c>
      <c r="L5" s="130">
        <v>0.7591270958633705</v>
      </c>
      <c r="M5" s="130">
        <v>0.788745156459629</v>
      </c>
      <c r="N5" s="130">
        <v>0.8475116600592185</v>
      </c>
      <c r="O5" s="130">
        <v>0.8731769435299459</v>
      </c>
      <c r="P5" s="130">
        <v>0.8960527764435139</v>
      </c>
      <c r="Q5" s="130">
        <v>0.9210243509387968</v>
      </c>
      <c r="R5" s="130">
        <v>0.9479377259791089</v>
      </c>
      <c r="S5" s="130">
        <v>0.964284705178557</v>
      </c>
      <c r="T5" s="130">
        <v>0.9696940762904498</v>
      </c>
      <c r="U5" s="130">
        <v>0.9751151391266477</v>
      </c>
      <c r="V5" s="130">
        <v>0.9798064435041267</v>
      </c>
      <c r="W5" s="130">
        <v>0.9839989009779153</v>
      </c>
      <c r="X5" s="130">
        <v>0.9873875524057184</v>
      </c>
      <c r="Y5" s="130">
        <v>0.9914056083252871</v>
      </c>
      <c r="Z5" s="130">
        <v>0.9955298640739618</v>
      </c>
      <c r="AA5" s="130">
        <v>1.0</v>
      </c>
    </row>
    <row r="6">
      <c r="A6" s="121" t="s">
        <v>19</v>
      </c>
      <c r="B6" s="127" t="s">
        <v>15</v>
      </c>
      <c r="C6" s="123">
        <v>45912.0</v>
      </c>
      <c r="D6" s="124">
        <v>0.00883925849981989</v>
      </c>
      <c r="E6" s="124">
        <v>0.015387883657993665</v>
      </c>
      <c r="F6" s="124">
        <v>0.023922340140578386</v>
      </c>
      <c r="G6" s="124">
        <v>0.036322240387190924</v>
      </c>
      <c r="H6" s="124">
        <v>0.08796309124664026</v>
      </c>
      <c r="I6" s="124">
        <v>0.26128922016865713</v>
      </c>
      <c r="J6" s="124">
        <v>0.45664422215448847</v>
      </c>
      <c r="K6" s="132">
        <v>0.5145658418539352</v>
      </c>
      <c r="L6" s="124">
        <v>0.5444364395429817</v>
      </c>
      <c r="M6" s="124">
        <v>0.5657679625370612</v>
      </c>
      <c r="N6" s="124">
        <v>0.5943639336085789</v>
      </c>
      <c r="O6" s="124">
        <v>0.6110402985212484</v>
      </c>
      <c r="P6" s="124">
        <v>0.6543406578181717</v>
      </c>
      <c r="Q6" s="124">
        <v>0.7841493714612948</v>
      </c>
      <c r="R6" s="124">
        <v>0.8998032641525119</v>
      </c>
      <c r="S6" s="124">
        <v>0.9465303370371397</v>
      </c>
      <c r="T6" s="124">
        <v>0.9604311563080163</v>
      </c>
      <c r="U6" s="124">
        <v>0.9707066788587474</v>
      </c>
      <c r="V6" s="124">
        <v>0.9791857167927439</v>
      </c>
      <c r="W6" s="124">
        <v>0.9861084171538881</v>
      </c>
      <c r="X6" s="124">
        <v>0.9923799495691208</v>
      </c>
      <c r="Y6" s="124">
        <v>0.9958990274044723</v>
      </c>
      <c r="Z6" s="124">
        <v>0.998854683329177</v>
      </c>
      <c r="AA6" s="124">
        <v>1.0</v>
      </c>
    </row>
    <row r="7">
      <c r="A7" s="126"/>
      <c r="B7" s="127" t="s">
        <v>17</v>
      </c>
      <c r="C7" s="123">
        <v>45912.0</v>
      </c>
      <c r="D7" s="124">
        <v>0.041314931439546204</v>
      </c>
      <c r="E7" s="124">
        <v>0.08331897679345086</v>
      </c>
      <c r="F7" s="124">
        <v>0.1538574427493093</v>
      </c>
      <c r="G7" s="124">
        <v>0.22645048907945867</v>
      </c>
      <c r="H7" s="124">
        <v>0.2940219367929404</v>
      </c>
      <c r="I7" s="124">
        <v>0.3761604869738328</v>
      </c>
      <c r="J7" s="124">
        <v>0.48481716148874127</v>
      </c>
      <c r="K7" s="132">
        <v>0.5806103762689586</v>
      </c>
      <c r="L7" s="124">
        <v>0.6960880023991374</v>
      </c>
      <c r="M7" s="124">
        <v>0.7227592631585664</v>
      </c>
      <c r="N7" s="124">
        <v>0.8004696183712665</v>
      </c>
      <c r="O7" s="124">
        <v>0.8295910619373034</v>
      </c>
      <c r="P7" s="124">
        <v>0.861098881466026</v>
      </c>
      <c r="Q7" s="124">
        <v>0.8826400719741199</v>
      </c>
      <c r="R7" s="124">
        <v>0.9165342674655282</v>
      </c>
      <c r="S7" s="124">
        <v>0.9340237233845701</v>
      </c>
      <c r="T7" s="124">
        <v>0.9537847029472379</v>
      </c>
      <c r="U7" s="124">
        <v>0.966801299107342</v>
      </c>
      <c r="V7" s="124">
        <v>0.9729458981770382</v>
      </c>
      <c r="W7" s="124">
        <v>0.9796264747356799</v>
      </c>
      <c r="X7" s="124">
        <v>0.9844502721361891</v>
      </c>
      <c r="Y7" s="124">
        <v>0.987270534637545</v>
      </c>
      <c r="Z7" s="124">
        <v>0.9896377685470541</v>
      </c>
      <c r="AA7" s="124">
        <v>0.9999999999999998</v>
      </c>
    </row>
    <row r="8">
      <c r="A8" s="126"/>
      <c r="B8" s="127" t="s">
        <v>16</v>
      </c>
      <c r="C8" s="123">
        <v>45912.0</v>
      </c>
      <c r="D8" s="124">
        <v>0.00694824474588112</v>
      </c>
      <c r="E8" s="124">
        <v>0.015820574023403387</v>
      </c>
      <c r="F8" s="124">
        <v>0.037331897304535136</v>
      </c>
      <c r="G8" s="124">
        <v>0.07605519007975782</v>
      </c>
      <c r="H8" s="124">
        <v>0.17089421901379753</v>
      </c>
      <c r="I8" s="124">
        <v>0.306526168713978</v>
      </c>
      <c r="J8" s="124">
        <v>0.4617249810793503</v>
      </c>
      <c r="K8" s="132">
        <v>0.5758718053210689</v>
      </c>
      <c r="L8" s="124">
        <v>0.6868079408511382</v>
      </c>
      <c r="M8" s="124">
        <v>0.7248530011061303</v>
      </c>
      <c r="N8" s="124">
        <v>0.7900448273854572</v>
      </c>
      <c r="O8" s="124">
        <v>0.8356115736158817</v>
      </c>
      <c r="P8" s="124">
        <v>0.8776852768236595</v>
      </c>
      <c r="Q8" s="124">
        <v>0.908552133667113</v>
      </c>
      <c r="R8" s="124">
        <v>0.9298946265354835</v>
      </c>
      <c r="S8" s="124">
        <v>0.946067415730337</v>
      </c>
      <c r="T8" s="124">
        <v>0.9586598358269779</v>
      </c>
      <c r="U8" s="124">
        <v>0.9740641555568492</v>
      </c>
      <c r="V8" s="124">
        <v>0.979556965709961</v>
      </c>
      <c r="W8" s="124">
        <v>0.9854951388484602</v>
      </c>
      <c r="X8" s="124">
        <v>0.9903737556034232</v>
      </c>
      <c r="Y8" s="124">
        <v>0.9970163590848228</v>
      </c>
      <c r="Z8" s="124">
        <v>0.9982971415264599</v>
      </c>
      <c r="AA8" s="124">
        <v>1.0</v>
      </c>
    </row>
    <row r="9">
      <c r="A9" s="126"/>
      <c r="B9" s="127" t="s">
        <v>18</v>
      </c>
      <c r="C9" s="123">
        <v>45912.0</v>
      </c>
      <c r="D9" s="124">
        <v>0.03794286186566753</v>
      </c>
      <c r="E9" s="124">
        <v>0.05073971017686925</v>
      </c>
      <c r="F9" s="124">
        <v>0.06617444487299576</v>
      </c>
      <c r="G9" s="124">
        <v>0.11097718882583063</v>
      </c>
      <c r="H9" s="124">
        <v>0.1601878891398975</v>
      </c>
      <c r="I9" s="124">
        <v>0.22709928921703676</v>
      </c>
      <c r="J9" s="124">
        <v>0.40427847264312083</v>
      </c>
      <c r="K9" s="132">
        <v>0.5609537715576616</v>
      </c>
      <c r="L9" s="124">
        <v>0.6885090087608132</v>
      </c>
      <c r="M9" s="124">
        <v>0.7303432696016309</v>
      </c>
      <c r="N9" s="124">
        <v>0.8041834260840817</v>
      </c>
      <c r="O9" s="124">
        <v>0.8282756625709404</v>
      </c>
      <c r="P9" s="124">
        <v>0.848800209377927</v>
      </c>
      <c r="Q9" s="124">
        <v>0.8898906275827868</v>
      </c>
      <c r="R9" s="124">
        <v>0.9288183921979172</v>
      </c>
      <c r="S9" s="124">
        <v>0.9523734090032508</v>
      </c>
      <c r="T9" s="124">
        <v>0.9636963469061656</v>
      </c>
      <c r="U9" s="124">
        <v>0.9731734530828144</v>
      </c>
      <c r="V9" s="124">
        <v>0.9838420849633588</v>
      </c>
      <c r="W9" s="124">
        <v>0.9893313681194555</v>
      </c>
      <c r="X9" s="124">
        <v>0.9918659430271639</v>
      </c>
      <c r="Y9" s="124">
        <v>0.993877073116976</v>
      </c>
      <c r="Z9" s="124">
        <v>0.9942903190258415</v>
      </c>
      <c r="AA9" s="124">
        <v>0.9999999999999999</v>
      </c>
    </row>
    <row r="10">
      <c r="A10" s="128"/>
      <c r="B10" s="129" t="s">
        <v>68</v>
      </c>
      <c r="C10" s="123">
        <v>45912.0</v>
      </c>
      <c r="D10" s="130">
        <v>0.01889235245461369</v>
      </c>
      <c r="E10" s="130">
        <v>0.033865861397303215</v>
      </c>
      <c r="F10" s="130">
        <v>0.06000772631669314</v>
      </c>
      <c r="G10" s="130">
        <v>0.09930057112097718</v>
      </c>
      <c r="H10" s="130">
        <v>0.1706448690180501</v>
      </c>
      <c r="I10" s="130">
        <v>0.294444592680417</v>
      </c>
      <c r="J10" s="130">
        <v>0.4549710031102485</v>
      </c>
      <c r="K10" s="133">
        <v>0.5588203561762389</v>
      </c>
      <c r="L10" s="130">
        <v>0.6530176139138667</v>
      </c>
      <c r="M10" s="130">
        <v>0.6854345009043039</v>
      </c>
      <c r="N10" s="130">
        <v>0.7451661216094405</v>
      </c>
      <c r="O10" s="130">
        <v>0.7768683823111432</v>
      </c>
      <c r="P10" s="130">
        <v>0.8136994787636501</v>
      </c>
      <c r="Q10" s="130">
        <v>0.8694472899306139</v>
      </c>
      <c r="R10" s="130">
        <v>0.9197251937089684</v>
      </c>
      <c r="S10" s="130">
        <v>0.9450561434078625</v>
      </c>
      <c r="T10" s="130">
        <v>0.9590667630329389</v>
      </c>
      <c r="U10" s="130">
        <v>0.9717502195503654</v>
      </c>
      <c r="V10" s="130">
        <v>0.9789834905085796</v>
      </c>
      <c r="W10" s="130">
        <v>0.9852283497817258</v>
      </c>
      <c r="X10" s="130">
        <v>0.990052077230684</v>
      </c>
      <c r="Y10" s="130">
        <v>0.9944349637872409</v>
      </c>
      <c r="Z10" s="130">
        <v>0.9961878863883414</v>
      </c>
      <c r="AA10" s="130">
        <v>1.0</v>
      </c>
    </row>
    <row r="11">
      <c r="A11" s="121" t="s">
        <v>28</v>
      </c>
      <c r="B11" s="127" t="s">
        <v>69</v>
      </c>
      <c r="C11" s="123">
        <v>45912.0</v>
      </c>
      <c r="D11" s="124">
        <v>0.0309270950216671</v>
      </c>
      <c r="E11" s="124">
        <v>0.08425045431018524</v>
      </c>
      <c r="F11" s="124">
        <v>0.1364403994151583</v>
      </c>
      <c r="G11" s="124">
        <v>0.20112056882279827</v>
      </c>
      <c r="H11" s="124">
        <v>0.2868520176661491</v>
      </c>
      <c r="I11" s="124">
        <v>0.4418312950768266</v>
      </c>
      <c r="J11" s="124">
        <v>0.6863162905620601</v>
      </c>
      <c r="K11" s="134">
        <v>0.8255713351996887</v>
      </c>
      <c r="L11" s="124">
        <v>0.873303184516051</v>
      </c>
      <c r="M11" s="124">
        <v>0.8871875082644785</v>
      </c>
      <c r="N11" s="124">
        <v>0.9111289938682293</v>
      </c>
      <c r="O11" s="124">
        <v>0.9235474352726051</v>
      </c>
      <c r="P11" s="124">
        <v>0.9421354278827446</v>
      </c>
      <c r="Q11" s="124">
        <v>0.9597826867205417</v>
      </c>
      <c r="R11" s="124">
        <v>0.9724353670561834</v>
      </c>
      <c r="S11" s="124">
        <v>0.9784802427017573</v>
      </c>
      <c r="T11" s="124">
        <v>0.9840981990048624</v>
      </c>
      <c r="U11" s="124">
        <v>0.9879518072289157</v>
      </c>
      <c r="V11" s="124">
        <v>0.991571176521703</v>
      </c>
      <c r="W11" s="124">
        <v>0.9936982171394892</v>
      </c>
      <c r="X11" s="124">
        <v>0.9960028259793643</v>
      </c>
      <c r="Y11" s="124">
        <v>0.9968188841915168</v>
      </c>
      <c r="Z11" s="124">
        <v>0.9982432080155051</v>
      </c>
      <c r="AA11" s="124">
        <v>1.0</v>
      </c>
    </row>
    <row r="12">
      <c r="A12" s="126"/>
      <c r="B12" s="127" t="s">
        <v>25</v>
      </c>
      <c r="C12" s="123">
        <v>45912.0</v>
      </c>
      <c r="D12" s="124">
        <v>0.01800231463402512</v>
      </c>
      <c r="E12" s="124">
        <v>0.04386799485952443</v>
      </c>
      <c r="F12" s="124">
        <v>0.08478589635267639</v>
      </c>
      <c r="G12" s="124">
        <v>0.12983605859006128</v>
      </c>
      <c r="H12" s="124">
        <v>0.18566062921124943</v>
      </c>
      <c r="I12" s="124">
        <v>0.30133197958009983</v>
      </c>
      <c r="J12" s="124">
        <v>0.4859630936574768</v>
      </c>
      <c r="K12" s="125">
        <v>0.6107971287177922</v>
      </c>
      <c r="L12" s="124">
        <v>0.6689682838337725</v>
      </c>
      <c r="M12" s="124">
        <v>0.7032191873220538</v>
      </c>
      <c r="N12" s="124">
        <v>0.7498207223646189</v>
      </c>
      <c r="O12" s="124">
        <v>0.7751396945535101</v>
      </c>
      <c r="P12" s="124">
        <v>0.794196374686708</v>
      </c>
      <c r="Q12" s="124">
        <v>0.8281277734782703</v>
      </c>
      <c r="R12" s="124">
        <v>0.8841653472306045</v>
      </c>
      <c r="S12" s="124">
        <v>0.9104037829356093</v>
      </c>
      <c r="T12" s="124">
        <v>0.9228857664207666</v>
      </c>
      <c r="U12" s="124">
        <v>0.9416903928487751</v>
      </c>
      <c r="V12" s="124">
        <v>0.9663597054876709</v>
      </c>
      <c r="W12" s="124">
        <v>0.9759838969632856</v>
      </c>
      <c r="X12" s="124">
        <v>0.9875961176629299</v>
      </c>
      <c r="Y12" s="124">
        <v>0.9912242709967839</v>
      </c>
      <c r="Z12" s="124">
        <v>0.994653621408235</v>
      </c>
      <c r="AA12" s="124">
        <v>1.0000000000000002</v>
      </c>
    </row>
    <row r="13">
      <c r="A13" s="126"/>
      <c r="B13" s="127" t="s">
        <v>26</v>
      </c>
      <c r="C13" s="123">
        <v>45912.0</v>
      </c>
      <c r="D13" s="124">
        <v>0.008185232942759432</v>
      </c>
      <c r="E13" s="124">
        <v>0.026105446944153003</v>
      </c>
      <c r="F13" s="124">
        <v>0.04156688744904252</v>
      </c>
      <c r="G13" s="124">
        <v>0.06979072393660049</v>
      </c>
      <c r="H13" s="124">
        <v>0.11697594887032572</v>
      </c>
      <c r="I13" s="124">
        <v>0.20860330452750703</v>
      </c>
      <c r="J13" s="124">
        <v>0.39036833548242417</v>
      </c>
      <c r="K13" s="125">
        <v>0.62664285313834</v>
      </c>
      <c r="L13" s="124">
        <v>0.7656196189301532</v>
      </c>
      <c r="M13" s="124">
        <v>0.7935030714646121</v>
      </c>
      <c r="N13" s="124">
        <v>0.8616399298408605</v>
      </c>
      <c r="O13" s="124">
        <v>0.875519586093113</v>
      </c>
      <c r="P13" s="124">
        <v>0.8961348400996323</v>
      </c>
      <c r="Q13" s="124">
        <v>0.9180956118501669</v>
      </c>
      <c r="R13" s="124">
        <v>0.9386067484122088</v>
      </c>
      <c r="S13" s="124">
        <v>0.9555538647594485</v>
      </c>
      <c r="T13" s="124">
        <v>0.9656452478395628</v>
      </c>
      <c r="U13" s="124">
        <v>0.9742749821798987</v>
      </c>
      <c r="V13" s="124">
        <v>0.97909642076262</v>
      </c>
      <c r="W13" s="124">
        <v>0.9839819316188659</v>
      </c>
      <c r="X13" s="124">
        <v>0.9886672166203476</v>
      </c>
      <c r="Y13" s="124">
        <v>0.9910218726723743</v>
      </c>
      <c r="Z13" s="124">
        <v>0.9945538567504143</v>
      </c>
      <c r="AA13" s="124">
        <v>0.9999999999999998</v>
      </c>
    </row>
    <row r="14">
      <c r="A14" s="126"/>
      <c r="B14" s="127" t="s">
        <v>27</v>
      </c>
      <c r="C14" s="123">
        <v>45912.0</v>
      </c>
      <c r="D14" s="124">
        <v>0.013338296775671497</v>
      </c>
      <c r="E14" s="124">
        <v>0.031143691655689823</v>
      </c>
      <c r="F14" s="124">
        <v>0.044041005669778366</v>
      </c>
      <c r="G14" s="124">
        <v>0.07099822461485597</v>
      </c>
      <c r="H14" s="124">
        <v>0.11720405475058703</v>
      </c>
      <c r="I14" s="124">
        <v>0.20920336750472482</v>
      </c>
      <c r="J14" s="124">
        <v>0.41150564114311894</v>
      </c>
      <c r="K14" s="125">
        <v>0.6351354447053433</v>
      </c>
      <c r="L14" s="124">
        <v>0.776026573506672</v>
      </c>
      <c r="M14" s="124">
        <v>0.8153255827272207</v>
      </c>
      <c r="N14" s="124">
        <v>0.8962373289044155</v>
      </c>
      <c r="O14" s="124">
        <v>0.913704827902182</v>
      </c>
      <c r="P14" s="124">
        <v>0.92703167058015</v>
      </c>
      <c r="Q14" s="124">
        <v>0.9365099364297577</v>
      </c>
      <c r="R14" s="124">
        <v>0.9482102972338353</v>
      </c>
      <c r="S14" s="124">
        <v>0.9604375465322719</v>
      </c>
      <c r="T14" s="124">
        <v>0.9654487142775328</v>
      </c>
      <c r="U14" s="124">
        <v>0.9689479411259377</v>
      </c>
      <c r="V14" s="124">
        <v>0.9720806368478323</v>
      </c>
      <c r="W14" s="124">
        <v>0.974142374434454</v>
      </c>
      <c r="X14" s="124">
        <v>0.976908539029838</v>
      </c>
      <c r="Y14" s="124">
        <v>0.9791592692285666</v>
      </c>
      <c r="Z14" s="124">
        <v>0.9864898917587768</v>
      </c>
      <c r="AA14" s="124">
        <v>1.0</v>
      </c>
    </row>
    <row r="15">
      <c r="A15" s="128"/>
      <c r="B15" s="129" t="s">
        <v>68</v>
      </c>
      <c r="C15" s="123">
        <v>45912.0</v>
      </c>
      <c r="D15" s="130">
        <v>0.018162132314688044</v>
      </c>
      <c r="E15" s="130">
        <v>0.04802096629137087</v>
      </c>
      <c r="F15" s="130">
        <v>0.0804233229387834</v>
      </c>
      <c r="G15" s="130">
        <v>0.12324289353776291</v>
      </c>
      <c r="H15" s="130">
        <v>0.18326961649364737</v>
      </c>
      <c r="I15" s="130">
        <v>0.29921572142194147</v>
      </c>
      <c r="J15" s="130">
        <v>0.5026089393129295</v>
      </c>
      <c r="K15" s="131">
        <v>0.6778153107908614</v>
      </c>
      <c r="L15" s="130">
        <v>0.7688072846324461</v>
      </c>
      <c r="M15" s="130">
        <v>0.7967747019937138</v>
      </c>
      <c r="N15" s="130">
        <v>0.8489091903686099</v>
      </c>
      <c r="O15" s="130">
        <v>0.866355345260796</v>
      </c>
      <c r="P15" s="130">
        <v>0.8846544919599341</v>
      </c>
      <c r="Q15" s="130">
        <v>0.9066674496060063</v>
      </c>
      <c r="R15" s="130">
        <v>0.9337602413101459</v>
      </c>
      <c r="S15" s="130">
        <v>0.949581797072425</v>
      </c>
      <c r="T15" s="130">
        <v>0.9582332767762679</v>
      </c>
      <c r="U15" s="130">
        <v>0.9675904320691954</v>
      </c>
      <c r="V15" s="130">
        <v>0.9775399427836172</v>
      </c>
      <c r="W15" s="130">
        <v>0.9825404527243714</v>
      </c>
      <c r="X15" s="130">
        <v>0.9882414873375015</v>
      </c>
      <c r="Y15" s="130">
        <v>0.9905274641727989</v>
      </c>
      <c r="Z15" s="130">
        <v>0.9941382567855602</v>
      </c>
      <c r="AA15" s="130">
        <v>1.0</v>
      </c>
    </row>
    <row r="16">
      <c r="A16" s="121" t="s">
        <v>31</v>
      </c>
      <c r="B16" s="127" t="s">
        <v>29</v>
      </c>
      <c r="C16" s="123">
        <v>45912.0</v>
      </c>
      <c r="D16" s="124">
        <v>0.019681091799253363</v>
      </c>
      <c r="E16" s="124">
        <v>0.059218307341089745</v>
      </c>
      <c r="F16" s="124">
        <v>0.10569428920778041</v>
      </c>
      <c r="G16" s="124">
        <v>0.16595778729618155</v>
      </c>
      <c r="H16" s="124">
        <v>0.2441895645955387</v>
      </c>
      <c r="I16" s="124">
        <v>0.3720554001105202</v>
      </c>
      <c r="J16" s="124">
        <v>0.536715450569729</v>
      </c>
      <c r="K16" s="125">
        <v>0.6558296889182276</v>
      </c>
      <c r="L16" s="124">
        <v>0.7328337421579438</v>
      </c>
      <c r="M16" s="124">
        <v>0.7549302747751465</v>
      </c>
      <c r="N16" s="124">
        <v>0.794157433731656</v>
      </c>
      <c r="O16" s="124">
        <v>0.8088376128643477</v>
      </c>
      <c r="P16" s="124">
        <v>0.831856813868531</v>
      </c>
      <c r="Q16" s="124">
        <v>0.8784178112505533</v>
      </c>
      <c r="R16" s="124">
        <v>0.9186951618670408</v>
      </c>
      <c r="S16" s="124">
        <v>0.9465727495267887</v>
      </c>
      <c r="T16" s="124">
        <v>0.9641059493357539</v>
      </c>
      <c r="U16" s="124">
        <v>0.9749654311911925</v>
      </c>
      <c r="V16" s="124">
        <v>0.9801688808207499</v>
      </c>
      <c r="W16" s="124">
        <v>0.9853998354699735</v>
      </c>
      <c r="X16" s="124">
        <v>0.9897356267518824</v>
      </c>
      <c r="Y16" s="124">
        <v>0.992438620048159</v>
      </c>
      <c r="Z16" s="124">
        <v>0.9952766379864327</v>
      </c>
      <c r="AA16" s="124">
        <v>1.0000000000000002</v>
      </c>
    </row>
    <row r="17">
      <c r="A17" s="126"/>
      <c r="B17" s="127" t="s">
        <v>30</v>
      </c>
      <c r="C17" s="123">
        <v>45912.0</v>
      </c>
      <c r="D17" s="124">
        <v>0.019314792365093304</v>
      </c>
      <c r="E17" s="124">
        <v>0.0664197065630477</v>
      </c>
      <c r="F17" s="124">
        <v>0.12294560360059298</v>
      </c>
      <c r="G17" s="124">
        <v>0.1741388688421434</v>
      </c>
      <c r="H17" s="124">
        <v>0.22885522615691445</v>
      </c>
      <c r="I17" s="124">
        <v>0.3093708561007085</v>
      </c>
      <c r="J17" s="124">
        <v>0.4308659838527909</v>
      </c>
      <c r="K17" s="132">
        <v>0.5914528577573794</v>
      </c>
      <c r="L17" s="124">
        <v>0.7021262980514563</v>
      </c>
      <c r="M17" s="124">
        <v>0.7402119543384514</v>
      </c>
      <c r="N17" s="124">
        <v>0.8073924497043944</v>
      </c>
      <c r="O17" s="124">
        <v>0.8384319218449483</v>
      </c>
      <c r="P17" s="124">
        <v>0.8725252144606753</v>
      </c>
      <c r="Q17" s="124">
        <v>0.9014956254643833</v>
      </c>
      <c r="R17" s="124">
        <v>0.9254284769648081</v>
      </c>
      <c r="S17" s="124">
        <v>0.9384543188984915</v>
      </c>
      <c r="T17" s="124">
        <v>0.9509397874768474</v>
      </c>
      <c r="U17" s="124">
        <v>0.9608229317387578</v>
      </c>
      <c r="V17" s="124">
        <v>0.9654729866648653</v>
      </c>
      <c r="W17" s="124">
        <v>0.9745349056301925</v>
      </c>
      <c r="X17" s="124">
        <v>0.9805394490324827</v>
      </c>
      <c r="Y17" s="124">
        <v>0.9876247391454278</v>
      </c>
      <c r="Z17" s="124">
        <v>0.99360439693267</v>
      </c>
      <c r="AA17" s="124">
        <v>0.9999999999999998</v>
      </c>
    </row>
    <row r="18">
      <c r="A18" s="128"/>
      <c r="B18" s="129" t="s">
        <v>68</v>
      </c>
      <c r="C18" s="123">
        <v>45912.0</v>
      </c>
      <c r="D18" s="130">
        <v>0.019529839374998165</v>
      </c>
      <c r="E18" s="130">
        <v>0.06219191032480249</v>
      </c>
      <c r="F18" s="130">
        <v>0.11281770486220188</v>
      </c>
      <c r="G18" s="130">
        <v>0.16933592087068086</v>
      </c>
      <c r="H18" s="130">
        <v>0.23785770697607506</v>
      </c>
      <c r="I18" s="130">
        <v>0.3461716876047762</v>
      </c>
      <c r="J18" s="130">
        <v>0.49300807088521376</v>
      </c>
      <c r="K18" s="131">
        <v>0.629247196916094</v>
      </c>
      <c r="L18" s="130">
        <v>0.7201540191481679</v>
      </c>
      <c r="M18" s="130">
        <v>0.7488527834131419</v>
      </c>
      <c r="N18" s="130">
        <v>0.7996224387637365</v>
      </c>
      <c r="O18" s="130">
        <v>0.8210576999298311</v>
      </c>
      <c r="P18" s="130">
        <v>0.8486496167136905</v>
      </c>
      <c r="Q18" s="130">
        <v>0.8879471061957035</v>
      </c>
      <c r="R18" s="130">
        <v>0.92147548347509</v>
      </c>
      <c r="S18" s="130">
        <v>0.943220485779799</v>
      </c>
      <c r="T18" s="130">
        <v>0.9586693755559926</v>
      </c>
      <c r="U18" s="130">
        <v>0.9691257079273179</v>
      </c>
      <c r="V18" s="130">
        <v>0.9741006497224073</v>
      </c>
      <c r="W18" s="130">
        <v>0.9809134868044402</v>
      </c>
      <c r="X18" s="130">
        <v>0.9859383394939034</v>
      </c>
      <c r="Y18" s="130">
        <v>0.9904508715322937</v>
      </c>
      <c r="Z18" s="130">
        <v>0.9945861359279168</v>
      </c>
      <c r="AA18" s="130">
        <v>0.9999999999999999</v>
      </c>
    </row>
    <row r="19">
      <c r="A19" s="135"/>
      <c r="B19" s="136" t="s">
        <v>70</v>
      </c>
      <c r="C19" s="123">
        <v>45912.0</v>
      </c>
      <c r="D19" s="137">
        <v>0.01578014790393165</v>
      </c>
      <c r="E19" s="137">
        <v>0.04084998012863987</v>
      </c>
      <c r="F19" s="137">
        <v>0.0717394233379309</v>
      </c>
      <c r="G19" s="137">
        <v>0.1116612259343988</v>
      </c>
      <c r="H19" s="137">
        <v>0.16814136544914215</v>
      </c>
      <c r="I19" s="137">
        <v>0.2731497108554684</v>
      </c>
      <c r="J19" s="137">
        <v>0.45806408605442916</v>
      </c>
      <c r="K19" s="138">
        <v>0.6254094672413496</v>
      </c>
      <c r="L19" s="137">
        <v>0.7284464946327556</v>
      </c>
      <c r="M19" s="137">
        <v>0.7581165396660313</v>
      </c>
      <c r="N19" s="137">
        <v>0.8137608674590167</v>
      </c>
      <c r="O19" s="137">
        <v>0.8378285165175209</v>
      </c>
      <c r="P19" s="137">
        <v>0.8637547803543854</v>
      </c>
      <c r="Q19" s="137">
        <v>0.8981651404652357</v>
      </c>
      <c r="R19" s="137">
        <v>0.9320893795983416</v>
      </c>
      <c r="S19" s="137">
        <v>0.9515184007100023</v>
      </c>
      <c r="T19" s="137">
        <v>0.9618427515859663</v>
      </c>
      <c r="U19" s="137">
        <v>0.9710801800201173</v>
      </c>
      <c r="V19" s="137">
        <v>0.9778867211012944</v>
      </c>
      <c r="W19" s="137">
        <v>0.9833046679194899</v>
      </c>
      <c r="X19" s="137">
        <v>0.9879915972534307</v>
      </c>
      <c r="Y19" s="137">
        <v>0.9917187130589721</v>
      </c>
      <c r="Z19" s="137">
        <v>0.9951269267239712</v>
      </c>
      <c r="AA19" s="137">
        <v>1.0</v>
      </c>
    </row>
    <row r="20">
      <c r="A20" s="121" t="s">
        <v>23</v>
      </c>
      <c r="B20" s="122" t="s">
        <v>20</v>
      </c>
      <c r="C20" s="123">
        <v>45911.0</v>
      </c>
      <c r="D20" s="124">
        <v>0.004174532857311975</v>
      </c>
      <c r="E20" s="124">
        <v>0.021711724622059392</v>
      </c>
      <c r="F20" s="124">
        <v>0.04265292601523185</v>
      </c>
      <c r="G20" s="124">
        <v>0.07241672222326066</v>
      </c>
      <c r="H20" s="124">
        <v>0.11083073203860508</v>
      </c>
      <c r="I20" s="124">
        <v>0.18131387710258343</v>
      </c>
      <c r="J20" s="124">
        <v>0.4023148926978905</v>
      </c>
      <c r="K20" s="125">
        <v>0.6413889356187343</v>
      </c>
      <c r="L20" s="124">
        <v>0.7591855299476002</v>
      </c>
      <c r="M20" s="124">
        <v>0.7841413442826554</v>
      </c>
      <c r="N20" s="124">
        <v>0.8288566141423205</v>
      </c>
      <c r="O20" s="124">
        <v>0.8482484615496448</v>
      </c>
      <c r="P20" s="124">
        <v>0.873779572203842</v>
      </c>
      <c r="Q20" s="124">
        <v>0.9059483977893669</v>
      </c>
      <c r="R20" s="124">
        <v>0.949579535235342</v>
      </c>
      <c r="S20" s="124">
        <v>0.9759995513934842</v>
      </c>
      <c r="T20" s="124">
        <v>0.9820225092473174</v>
      </c>
      <c r="U20" s="124">
        <v>0.9860288146611257</v>
      </c>
      <c r="V20" s="124">
        <v>0.9888928349647244</v>
      </c>
      <c r="W20" s="124">
        <v>0.9913892471510373</v>
      </c>
      <c r="X20" s="124">
        <v>0.9932272877374657</v>
      </c>
      <c r="Y20" s="124">
        <v>0.994699797088627</v>
      </c>
      <c r="Z20" s="124">
        <v>0.9973249759600908</v>
      </c>
      <c r="AA20" s="124">
        <v>1.0000000000000002</v>
      </c>
    </row>
    <row r="21">
      <c r="A21" s="126"/>
      <c r="B21" s="127" t="s">
        <v>21</v>
      </c>
      <c r="C21" s="123">
        <v>45911.0</v>
      </c>
      <c r="D21" s="124">
        <v>0.0011878315274062657</v>
      </c>
      <c r="E21" s="124">
        <v>0.005225854226171586</v>
      </c>
      <c r="F21" s="124">
        <v>0.014187483943117075</v>
      </c>
      <c r="G21" s="124">
        <v>0.026192743044536126</v>
      </c>
      <c r="H21" s="124">
        <v>0.03853651901890556</v>
      </c>
      <c r="I21" s="124">
        <v>0.11663115261972767</v>
      </c>
      <c r="J21" s="124">
        <v>0.3492859409711203</v>
      </c>
      <c r="K21" s="125">
        <v>0.6005682247510239</v>
      </c>
      <c r="L21" s="124">
        <v>0.746547581266718</v>
      </c>
      <c r="M21" s="124">
        <v>0.7817382236931586</v>
      </c>
      <c r="N21" s="124">
        <v>0.8487101600398966</v>
      </c>
      <c r="O21" s="124">
        <v>0.8891296791645887</v>
      </c>
      <c r="P21" s="124">
        <v>0.9164860739598918</v>
      </c>
      <c r="Q21" s="124">
        <v>0.9432621541158513</v>
      </c>
      <c r="R21" s="124">
        <v>0.959365885357634</v>
      </c>
      <c r="S21" s="124">
        <v>0.9674721554759638</v>
      </c>
      <c r="T21" s="124">
        <v>0.973483852442913</v>
      </c>
      <c r="U21" s="124">
        <v>0.9812818304090916</v>
      </c>
      <c r="V21" s="124">
        <v>0.9858004261685632</v>
      </c>
      <c r="W21" s="124">
        <v>0.9889317072433543</v>
      </c>
      <c r="X21" s="124">
        <v>0.9938885614544135</v>
      </c>
      <c r="Y21" s="124">
        <v>0.9974460110924724</v>
      </c>
      <c r="Z21" s="124">
        <v>0.9982862583306886</v>
      </c>
      <c r="AA21" s="124">
        <v>1.0</v>
      </c>
    </row>
    <row r="22">
      <c r="A22" s="126"/>
      <c r="B22" s="127" t="s">
        <v>22</v>
      </c>
      <c r="C22" s="123">
        <v>45911.0</v>
      </c>
      <c r="D22" s="124">
        <v>0.02917470715490536</v>
      </c>
      <c r="E22" s="124">
        <v>0.0666523378546965</v>
      </c>
      <c r="F22" s="124">
        <v>0.10326089495890589</v>
      </c>
      <c r="G22" s="124">
        <v>0.1457567248073787</v>
      </c>
      <c r="H22" s="124">
        <v>0.19683115208320678</v>
      </c>
      <c r="I22" s="124">
        <v>0.2853037786011653</v>
      </c>
      <c r="J22" s="124">
        <v>0.45084360880474345</v>
      </c>
      <c r="K22" s="125">
        <v>0.6461515458763392</v>
      </c>
      <c r="L22" s="124">
        <v>0.7784423023908869</v>
      </c>
      <c r="M22" s="124">
        <v>0.8099345391340101</v>
      </c>
      <c r="N22" s="124">
        <v>0.8876278496035435</v>
      </c>
      <c r="O22" s="124">
        <v>0.9045981469108171</v>
      </c>
      <c r="P22" s="124">
        <v>0.9145738035052634</v>
      </c>
      <c r="Q22" s="124">
        <v>0.9205638699006171</v>
      </c>
      <c r="R22" s="124">
        <v>0.9265772984894005</v>
      </c>
      <c r="S22" s="124">
        <v>0.9330019016825452</v>
      </c>
      <c r="T22" s="124">
        <v>0.9360997285313123</v>
      </c>
      <c r="U22" s="124">
        <v>0.9410291513449615</v>
      </c>
      <c r="V22" s="124">
        <v>0.9500983548343387</v>
      </c>
      <c r="W22" s="124">
        <v>0.9597469407207704</v>
      </c>
      <c r="X22" s="124">
        <v>0.9641997747884553</v>
      </c>
      <c r="Y22" s="124">
        <v>0.9746566925675517</v>
      </c>
      <c r="Z22" s="124">
        <v>0.9872302250713715</v>
      </c>
      <c r="AA22" s="124">
        <v>1.0</v>
      </c>
    </row>
    <row r="23">
      <c r="A23" s="128"/>
      <c r="B23" s="129" t="s">
        <v>68</v>
      </c>
      <c r="C23" s="123">
        <v>45911.0</v>
      </c>
      <c r="D23" s="130">
        <v>0.008424861672286814</v>
      </c>
      <c r="E23" s="130">
        <v>0.025768560368756986</v>
      </c>
      <c r="F23" s="130">
        <v>0.04611508359095723</v>
      </c>
      <c r="G23" s="130">
        <v>0.072809238800546</v>
      </c>
      <c r="H23" s="130">
        <v>0.10545935323329764</v>
      </c>
      <c r="I23" s="130">
        <v>0.18214732157210822</v>
      </c>
      <c r="J23" s="130">
        <v>0.3953400684160734</v>
      </c>
      <c r="K23" s="131">
        <v>0.6292232700388847</v>
      </c>
      <c r="L23" s="130">
        <v>0.7591270958633705</v>
      </c>
      <c r="M23" s="130">
        <v>0.788745156459629</v>
      </c>
      <c r="N23" s="130">
        <v>0.8475116600592185</v>
      </c>
      <c r="O23" s="130">
        <v>0.8731769435299459</v>
      </c>
      <c r="P23" s="130">
        <v>0.8960527764435139</v>
      </c>
      <c r="Q23" s="130">
        <v>0.9210243509387968</v>
      </c>
      <c r="R23" s="130">
        <v>0.9479377259791089</v>
      </c>
      <c r="S23" s="130">
        <v>0.964284705178557</v>
      </c>
      <c r="T23" s="130">
        <v>0.9696940762904498</v>
      </c>
      <c r="U23" s="130">
        <v>0.9751151391266477</v>
      </c>
      <c r="V23" s="130">
        <v>0.9798064435041267</v>
      </c>
      <c r="W23" s="130">
        <v>0.9839989009779153</v>
      </c>
      <c r="X23" s="130">
        <v>0.9873875524057184</v>
      </c>
      <c r="Y23" s="130">
        <v>0.9914056083252871</v>
      </c>
      <c r="Z23" s="130">
        <v>0.9955298640739618</v>
      </c>
      <c r="AA23" s="130">
        <v>1.0</v>
      </c>
    </row>
    <row r="24">
      <c r="A24" s="121" t="s">
        <v>19</v>
      </c>
      <c r="B24" s="127" t="s">
        <v>15</v>
      </c>
      <c r="C24" s="123">
        <v>45911.0</v>
      </c>
      <c r="D24" s="124">
        <v>0.00883925849981989</v>
      </c>
      <c r="E24" s="124">
        <v>0.015387883657993665</v>
      </c>
      <c r="F24" s="124">
        <v>0.023922340140578386</v>
      </c>
      <c r="G24" s="124">
        <v>0.036322240387190924</v>
      </c>
      <c r="H24" s="124">
        <v>0.08796309124664026</v>
      </c>
      <c r="I24" s="124">
        <v>0.26128922016865713</v>
      </c>
      <c r="J24" s="124">
        <v>0.45664422215448847</v>
      </c>
      <c r="K24" s="132">
        <v>0.5145658418539352</v>
      </c>
      <c r="L24" s="124">
        <v>0.5444364395429817</v>
      </c>
      <c r="M24" s="124">
        <v>0.5657679625370612</v>
      </c>
      <c r="N24" s="124">
        <v>0.5943639336085789</v>
      </c>
      <c r="O24" s="124">
        <v>0.6110402985212484</v>
      </c>
      <c r="P24" s="124">
        <v>0.6543406578181717</v>
      </c>
      <c r="Q24" s="124">
        <v>0.7841493714612948</v>
      </c>
      <c r="R24" s="124">
        <v>0.8998032641525119</v>
      </c>
      <c r="S24" s="124">
        <v>0.9465303370371397</v>
      </c>
      <c r="T24" s="124">
        <v>0.9604311563080163</v>
      </c>
      <c r="U24" s="124">
        <v>0.9707066788587474</v>
      </c>
      <c r="V24" s="124">
        <v>0.9791857167927439</v>
      </c>
      <c r="W24" s="124">
        <v>0.9861084171538881</v>
      </c>
      <c r="X24" s="124">
        <v>0.9923799495691208</v>
      </c>
      <c r="Y24" s="124">
        <v>0.9958990274044723</v>
      </c>
      <c r="Z24" s="124">
        <v>0.998854683329177</v>
      </c>
      <c r="AA24" s="124">
        <v>1.0</v>
      </c>
    </row>
    <row r="25">
      <c r="A25" s="126"/>
      <c r="B25" s="127" t="s">
        <v>17</v>
      </c>
      <c r="C25" s="123">
        <v>45911.0</v>
      </c>
      <c r="D25" s="124">
        <v>0.041314931439546204</v>
      </c>
      <c r="E25" s="124">
        <v>0.08331897679345086</v>
      </c>
      <c r="F25" s="124">
        <v>0.1538574427493093</v>
      </c>
      <c r="G25" s="124">
        <v>0.22645048907945867</v>
      </c>
      <c r="H25" s="124">
        <v>0.2940219367929404</v>
      </c>
      <c r="I25" s="124">
        <v>0.3761604869738328</v>
      </c>
      <c r="J25" s="124">
        <v>0.48481716148874127</v>
      </c>
      <c r="K25" s="132">
        <v>0.5806103762689586</v>
      </c>
      <c r="L25" s="124">
        <v>0.6960880023991374</v>
      </c>
      <c r="M25" s="124">
        <v>0.7227592631585664</v>
      </c>
      <c r="N25" s="124">
        <v>0.8004696183712665</v>
      </c>
      <c r="O25" s="124">
        <v>0.8295910619373034</v>
      </c>
      <c r="P25" s="124">
        <v>0.861098881466026</v>
      </c>
      <c r="Q25" s="124">
        <v>0.8826400719741199</v>
      </c>
      <c r="R25" s="124">
        <v>0.9165342674655282</v>
      </c>
      <c r="S25" s="124">
        <v>0.9340237233845701</v>
      </c>
      <c r="T25" s="124">
        <v>0.9537847029472379</v>
      </c>
      <c r="U25" s="124">
        <v>0.966801299107342</v>
      </c>
      <c r="V25" s="124">
        <v>0.9729458981770382</v>
      </c>
      <c r="W25" s="124">
        <v>0.9796264747356799</v>
      </c>
      <c r="X25" s="124">
        <v>0.9844502721361891</v>
      </c>
      <c r="Y25" s="124">
        <v>0.987270534637545</v>
      </c>
      <c r="Z25" s="124">
        <v>0.9896377685470541</v>
      </c>
      <c r="AA25" s="124">
        <v>0.9999999999999998</v>
      </c>
    </row>
    <row r="26">
      <c r="A26" s="126"/>
      <c r="B26" s="127" t="s">
        <v>16</v>
      </c>
      <c r="C26" s="123">
        <v>45911.0</v>
      </c>
      <c r="D26" s="124">
        <v>0.00694824474588112</v>
      </c>
      <c r="E26" s="124">
        <v>0.015820574023403387</v>
      </c>
      <c r="F26" s="124">
        <v>0.037331897304535136</v>
      </c>
      <c r="G26" s="124">
        <v>0.07605519007975782</v>
      </c>
      <c r="H26" s="124">
        <v>0.17089421901379753</v>
      </c>
      <c r="I26" s="124">
        <v>0.306526168713978</v>
      </c>
      <c r="J26" s="124">
        <v>0.4617249810793503</v>
      </c>
      <c r="K26" s="132">
        <v>0.5758718053210689</v>
      </c>
      <c r="L26" s="124">
        <v>0.6868079408511382</v>
      </c>
      <c r="M26" s="124">
        <v>0.7248530011061303</v>
      </c>
      <c r="N26" s="124">
        <v>0.7900448273854572</v>
      </c>
      <c r="O26" s="124">
        <v>0.8356115736158817</v>
      </c>
      <c r="P26" s="124">
        <v>0.8776852768236595</v>
      </c>
      <c r="Q26" s="124">
        <v>0.908552133667113</v>
      </c>
      <c r="R26" s="124">
        <v>0.9298946265354835</v>
      </c>
      <c r="S26" s="124">
        <v>0.946067415730337</v>
      </c>
      <c r="T26" s="124">
        <v>0.9586598358269779</v>
      </c>
      <c r="U26" s="124">
        <v>0.9740641555568492</v>
      </c>
      <c r="V26" s="124">
        <v>0.979556965709961</v>
      </c>
      <c r="W26" s="124">
        <v>0.9854951388484602</v>
      </c>
      <c r="X26" s="124">
        <v>0.9903737556034232</v>
      </c>
      <c r="Y26" s="124">
        <v>0.9970163590848228</v>
      </c>
      <c r="Z26" s="124">
        <v>0.9982971415264599</v>
      </c>
      <c r="AA26" s="124">
        <v>1.0</v>
      </c>
    </row>
    <row r="27">
      <c r="A27" s="126"/>
      <c r="B27" s="127" t="s">
        <v>18</v>
      </c>
      <c r="C27" s="123">
        <v>45911.0</v>
      </c>
      <c r="D27" s="124">
        <v>0.03794286186566753</v>
      </c>
      <c r="E27" s="124">
        <v>0.05073971017686925</v>
      </c>
      <c r="F27" s="124">
        <v>0.06617444487299576</v>
      </c>
      <c r="G27" s="124">
        <v>0.11097718882583063</v>
      </c>
      <c r="H27" s="124">
        <v>0.1601878891398975</v>
      </c>
      <c r="I27" s="124">
        <v>0.22709928921703676</v>
      </c>
      <c r="J27" s="124">
        <v>0.40427847264312083</v>
      </c>
      <c r="K27" s="132">
        <v>0.5609537715576616</v>
      </c>
      <c r="L27" s="124">
        <v>0.6885090087608132</v>
      </c>
      <c r="M27" s="124">
        <v>0.7303432696016309</v>
      </c>
      <c r="N27" s="124">
        <v>0.8041834260840817</v>
      </c>
      <c r="O27" s="124">
        <v>0.8282756625709404</v>
      </c>
      <c r="P27" s="124">
        <v>0.848800209377927</v>
      </c>
      <c r="Q27" s="124">
        <v>0.8898906275827868</v>
      </c>
      <c r="R27" s="124">
        <v>0.9288183921979172</v>
      </c>
      <c r="S27" s="124">
        <v>0.9523734090032508</v>
      </c>
      <c r="T27" s="124">
        <v>0.9636963469061656</v>
      </c>
      <c r="U27" s="124">
        <v>0.9731734530828144</v>
      </c>
      <c r="V27" s="124">
        <v>0.9838420849633588</v>
      </c>
      <c r="W27" s="124">
        <v>0.9893313681194555</v>
      </c>
      <c r="X27" s="124">
        <v>0.9918659430271639</v>
      </c>
      <c r="Y27" s="124">
        <v>0.993877073116976</v>
      </c>
      <c r="Z27" s="124">
        <v>0.9942903190258415</v>
      </c>
      <c r="AA27" s="124">
        <v>0.9999999999999999</v>
      </c>
    </row>
    <row r="28">
      <c r="A28" s="128"/>
      <c r="B28" s="129" t="s">
        <v>68</v>
      </c>
      <c r="C28" s="123">
        <v>45911.0</v>
      </c>
      <c r="D28" s="130">
        <v>0.01889235245461369</v>
      </c>
      <c r="E28" s="130">
        <v>0.033865861397303215</v>
      </c>
      <c r="F28" s="130">
        <v>0.06000772631669314</v>
      </c>
      <c r="G28" s="130">
        <v>0.09930057112097718</v>
      </c>
      <c r="H28" s="130">
        <v>0.1706448690180501</v>
      </c>
      <c r="I28" s="130">
        <v>0.294444592680417</v>
      </c>
      <c r="J28" s="130">
        <v>0.4549710031102485</v>
      </c>
      <c r="K28" s="133">
        <v>0.5588203561762389</v>
      </c>
      <c r="L28" s="130">
        <v>0.6530176139138667</v>
      </c>
      <c r="M28" s="130">
        <v>0.6854345009043039</v>
      </c>
      <c r="N28" s="130">
        <v>0.7451661216094405</v>
      </c>
      <c r="O28" s="130">
        <v>0.7768683823111432</v>
      </c>
      <c r="P28" s="130">
        <v>0.8136994787636501</v>
      </c>
      <c r="Q28" s="130">
        <v>0.8694472899306139</v>
      </c>
      <c r="R28" s="130">
        <v>0.9197251937089684</v>
      </c>
      <c r="S28" s="130">
        <v>0.9450561434078625</v>
      </c>
      <c r="T28" s="130">
        <v>0.9590667630329389</v>
      </c>
      <c r="U28" s="130">
        <v>0.9717502195503654</v>
      </c>
      <c r="V28" s="130">
        <v>0.9789834905085796</v>
      </c>
      <c r="W28" s="130">
        <v>0.9852283497817258</v>
      </c>
      <c r="X28" s="130">
        <v>0.990052077230684</v>
      </c>
      <c r="Y28" s="130">
        <v>0.9944349637872409</v>
      </c>
      <c r="Z28" s="130">
        <v>0.9961878863883414</v>
      </c>
      <c r="AA28" s="130">
        <v>1.0</v>
      </c>
    </row>
    <row r="29">
      <c r="A29" s="121" t="s">
        <v>28</v>
      </c>
      <c r="B29" s="127" t="s">
        <v>69</v>
      </c>
      <c r="C29" s="123">
        <v>45911.0</v>
      </c>
      <c r="D29" s="124">
        <v>0.0309270950216671</v>
      </c>
      <c r="E29" s="124">
        <v>0.08425045431018524</v>
      </c>
      <c r="F29" s="124">
        <v>0.1364403994151583</v>
      </c>
      <c r="G29" s="124">
        <v>0.20112056882279827</v>
      </c>
      <c r="H29" s="124">
        <v>0.2868520176661491</v>
      </c>
      <c r="I29" s="124">
        <v>0.4418312950768266</v>
      </c>
      <c r="J29" s="124">
        <v>0.6863162905620601</v>
      </c>
      <c r="K29" s="134">
        <v>0.8255713351996887</v>
      </c>
      <c r="L29" s="124">
        <v>0.873303184516051</v>
      </c>
      <c r="M29" s="124">
        <v>0.8871875082644785</v>
      </c>
      <c r="N29" s="124">
        <v>0.9111289938682293</v>
      </c>
      <c r="O29" s="124">
        <v>0.9235474352726051</v>
      </c>
      <c r="P29" s="124">
        <v>0.9421354278827446</v>
      </c>
      <c r="Q29" s="124">
        <v>0.9597826867205417</v>
      </c>
      <c r="R29" s="124">
        <v>0.9724353670561834</v>
      </c>
      <c r="S29" s="124">
        <v>0.9784802427017573</v>
      </c>
      <c r="T29" s="124">
        <v>0.9840981990048624</v>
      </c>
      <c r="U29" s="124">
        <v>0.9879518072289157</v>
      </c>
      <c r="V29" s="124">
        <v>0.991571176521703</v>
      </c>
      <c r="W29" s="124">
        <v>0.9936982171394892</v>
      </c>
      <c r="X29" s="124">
        <v>0.9960028259793643</v>
      </c>
      <c r="Y29" s="124">
        <v>0.9968188841915168</v>
      </c>
      <c r="Z29" s="124">
        <v>0.9982432080155051</v>
      </c>
      <c r="AA29" s="124">
        <v>1.0</v>
      </c>
    </row>
    <row r="30">
      <c r="A30" s="126"/>
      <c r="B30" s="127" t="s">
        <v>25</v>
      </c>
      <c r="C30" s="123">
        <v>45911.0</v>
      </c>
      <c r="D30" s="124">
        <v>0.01800231463402512</v>
      </c>
      <c r="E30" s="124">
        <v>0.04386799485952443</v>
      </c>
      <c r="F30" s="124">
        <v>0.08478589635267639</v>
      </c>
      <c r="G30" s="124">
        <v>0.12983605859006128</v>
      </c>
      <c r="H30" s="124">
        <v>0.18566062921124943</v>
      </c>
      <c r="I30" s="124">
        <v>0.30133197958009983</v>
      </c>
      <c r="J30" s="124">
        <v>0.4859630936574768</v>
      </c>
      <c r="K30" s="125">
        <v>0.6107971287177922</v>
      </c>
      <c r="L30" s="124">
        <v>0.6689682838337725</v>
      </c>
      <c r="M30" s="124">
        <v>0.7032191873220538</v>
      </c>
      <c r="N30" s="124">
        <v>0.7498207223646189</v>
      </c>
      <c r="O30" s="124">
        <v>0.7751396945535101</v>
      </c>
      <c r="P30" s="124">
        <v>0.794196374686708</v>
      </c>
      <c r="Q30" s="124">
        <v>0.8281277734782703</v>
      </c>
      <c r="R30" s="124">
        <v>0.8841653472306045</v>
      </c>
      <c r="S30" s="124">
        <v>0.9104037829356093</v>
      </c>
      <c r="T30" s="124">
        <v>0.9228857664207666</v>
      </c>
      <c r="U30" s="124">
        <v>0.9416903928487751</v>
      </c>
      <c r="V30" s="124">
        <v>0.9663597054876709</v>
      </c>
      <c r="W30" s="124">
        <v>0.9759838969632856</v>
      </c>
      <c r="X30" s="124">
        <v>0.9875961176629299</v>
      </c>
      <c r="Y30" s="124">
        <v>0.9912242709967839</v>
      </c>
      <c r="Z30" s="124">
        <v>0.994653621408235</v>
      </c>
      <c r="AA30" s="124">
        <v>1.0000000000000002</v>
      </c>
    </row>
    <row r="31">
      <c r="A31" s="126"/>
      <c r="B31" s="127" t="s">
        <v>26</v>
      </c>
      <c r="C31" s="123">
        <v>45911.0</v>
      </c>
      <c r="D31" s="124">
        <v>0.008185232942759432</v>
      </c>
      <c r="E31" s="124">
        <v>0.026105446944153003</v>
      </c>
      <c r="F31" s="124">
        <v>0.04156688744904252</v>
      </c>
      <c r="G31" s="124">
        <v>0.06979072393660049</v>
      </c>
      <c r="H31" s="124">
        <v>0.11697594887032572</v>
      </c>
      <c r="I31" s="124">
        <v>0.20860330452750703</v>
      </c>
      <c r="J31" s="124">
        <v>0.39036833548242417</v>
      </c>
      <c r="K31" s="125">
        <v>0.62664285313834</v>
      </c>
      <c r="L31" s="124">
        <v>0.7656196189301532</v>
      </c>
      <c r="M31" s="124">
        <v>0.7935030714646121</v>
      </c>
      <c r="N31" s="124">
        <v>0.8616399298408605</v>
      </c>
      <c r="O31" s="124">
        <v>0.875519586093113</v>
      </c>
      <c r="P31" s="124">
        <v>0.8961348400996323</v>
      </c>
      <c r="Q31" s="124">
        <v>0.9180956118501669</v>
      </c>
      <c r="R31" s="124">
        <v>0.9386067484122088</v>
      </c>
      <c r="S31" s="124">
        <v>0.9555538647594485</v>
      </c>
      <c r="T31" s="124">
        <v>0.9656452478395628</v>
      </c>
      <c r="U31" s="124">
        <v>0.9742749821798987</v>
      </c>
      <c r="V31" s="124">
        <v>0.97909642076262</v>
      </c>
      <c r="W31" s="124">
        <v>0.9839819316188659</v>
      </c>
      <c r="X31" s="124">
        <v>0.9886672166203476</v>
      </c>
      <c r="Y31" s="124">
        <v>0.9910218726723743</v>
      </c>
      <c r="Z31" s="124">
        <v>0.9945538567504143</v>
      </c>
      <c r="AA31" s="124">
        <v>0.9999999999999998</v>
      </c>
    </row>
    <row r="32">
      <c r="A32" s="126"/>
      <c r="B32" s="127" t="s">
        <v>27</v>
      </c>
      <c r="C32" s="123">
        <v>45911.0</v>
      </c>
      <c r="D32" s="124">
        <v>0.013338296775671497</v>
      </c>
      <c r="E32" s="124">
        <v>0.031143691655689823</v>
      </c>
      <c r="F32" s="124">
        <v>0.044041005669778366</v>
      </c>
      <c r="G32" s="124">
        <v>0.07099822461485597</v>
      </c>
      <c r="H32" s="124">
        <v>0.11720405475058703</v>
      </c>
      <c r="I32" s="124">
        <v>0.20920336750472482</v>
      </c>
      <c r="J32" s="124">
        <v>0.41150564114311894</v>
      </c>
      <c r="K32" s="125">
        <v>0.6351354447053433</v>
      </c>
      <c r="L32" s="124">
        <v>0.776026573506672</v>
      </c>
      <c r="M32" s="124">
        <v>0.8153255827272207</v>
      </c>
      <c r="N32" s="124">
        <v>0.8962373289044155</v>
      </c>
      <c r="O32" s="124">
        <v>0.913704827902182</v>
      </c>
      <c r="P32" s="124">
        <v>0.92703167058015</v>
      </c>
      <c r="Q32" s="124">
        <v>0.9365099364297577</v>
      </c>
      <c r="R32" s="124">
        <v>0.9482102972338353</v>
      </c>
      <c r="S32" s="124">
        <v>0.9604375465322719</v>
      </c>
      <c r="T32" s="124">
        <v>0.9654487142775328</v>
      </c>
      <c r="U32" s="124">
        <v>0.9689479411259377</v>
      </c>
      <c r="V32" s="124">
        <v>0.9720806368478323</v>
      </c>
      <c r="W32" s="124">
        <v>0.974142374434454</v>
      </c>
      <c r="X32" s="124">
        <v>0.976908539029838</v>
      </c>
      <c r="Y32" s="124">
        <v>0.9791592692285666</v>
      </c>
      <c r="Z32" s="124">
        <v>0.9864898917587768</v>
      </c>
      <c r="AA32" s="124">
        <v>1.0</v>
      </c>
    </row>
    <row r="33">
      <c r="A33" s="128"/>
      <c r="B33" s="129" t="s">
        <v>68</v>
      </c>
      <c r="C33" s="123">
        <v>45911.0</v>
      </c>
      <c r="D33" s="130">
        <v>0.018162132314688044</v>
      </c>
      <c r="E33" s="130">
        <v>0.04802096629137087</v>
      </c>
      <c r="F33" s="130">
        <v>0.0804233229387834</v>
      </c>
      <c r="G33" s="130">
        <v>0.12324289353776291</v>
      </c>
      <c r="H33" s="130">
        <v>0.18326961649364737</v>
      </c>
      <c r="I33" s="130">
        <v>0.29921572142194147</v>
      </c>
      <c r="J33" s="130">
        <v>0.5026089393129295</v>
      </c>
      <c r="K33" s="131">
        <v>0.6778153107908614</v>
      </c>
      <c r="L33" s="130">
        <v>0.7688072846324461</v>
      </c>
      <c r="M33" s="130">
        <v>0.7967747019937138</v>
      </c>
      <c r="N33" s="130">
        <v>0.8489091903686099</v>
      </c>
      <c r="O33" s="130">
        <v>0.866355345260796</v>
      </c>
      <c r="P33" s="130">
        <v>0.8846544919599341</v>
      </c>
      <c r="Q33" s="130">
        <v>0.9066674496060063</v>
      </c>
      <c r="R33" s="130">
        <v>0.9337602413101459</v>
      </c>
      <c r="S33" s="130">
        <v>0.949581797072425</v>
      </c>
      <c r="T33" s="130">
        <v>0.9582332767762679</v>
      </c>
      <c r="U33" s="130">
        <v>0.9675904320691954</v>
      </c>
      <c r="V33" s="130">
        <v>0.9775399427836172</v>
      </c>
      <c r="W33" s="130">
        <v>0.9825404527243714</v>
      </c>
      <c r="X33" s="130">
        <v>0.9882414873375015</v>
      </c>
      <c r="Y33" s="130">
        <v>0.9905274641727989</v>
      </c>
      <c r="Z33" s="130">
        <v>0.9941382567855602</v>
      </c>
      <c r="AA33" s="130">
        <v>1.0</v>
      </c>
    </row>
    <row r="34">
      <c r="A34" s="121" t="s">
        <v>31</v>
      </c>
      <c r="B34" s="127" t="s">
        <v>29</v>
      </c>
      <c r="C34" s="123">
        <v>45911.0</v>
      </c>
      <c r="D34" s="139">
        <v>0.22</v>
      </c>
      <c r="E34" s="139">
        <v>0.33</v>
      </c>
      <c r="F34" s="139">
        <v>0.33</v>
      </c>
      <c r="G34" s="124">
        <v>0.16595778729618155</v>
      </c>
      <c r="H34" s="124">
        <v>0.2441895645955387</v>
      </c>
      <c r="I34" s="124">
        <v>0.3720554001105202</v>
      </c>
      <c r="J34" s="124">
        <v>0.536715450569729</v>
      </c>
      <c r="K34" s="125">
        <v>0.6558296889182276</v>
      </c>
      <c r="L34" s="124">
        <v>0.7328337421579438</v>
      </c>
      <c r="M34" s="124">
        <v>0.7549302747751465</v>
      </c>
      <c r="N34" s="124">
        <v>0.794157433731656</v>
      </c>
      <c r="O34" s="124">
        <v>0.8088376128643477</v>
      </c>
      <c r="P34" s="124">
        <v>0.831856813868531</v>
      </c>
      <c r="Q34" s="124">
        <v>0.8784178112505533</v>
      </c>
      <c r="R34" s="124">
        <v>0.9186951618670408</v>
      </c>
      <c r="S34" s="124">
        <v>0.9465727495267887</v>
      </c>
      <c r="T34" s="124">
        <v>0.9641059493357539</v>
      </c>
      <c r="U34" s="124">
        <v>0.9749654311911925</v>
      </c>
      <c r="V34" s="124">
        <v>0.9801688808207499</v>
      </c>
      <c r="W34" s="124">
        <v>0.9853998354699735</v>
      </c>
      <c r="X34" s="124">
        <v>0.9897356267518824</v>
      </c>
      <c r="Y34" s="124">
        <v>0.992438620048159</v>
      </c>
      <c r="Z34" s="124">
        <v>0.9952766379864327</v>
      </c>
      <c r="AA34" s="124">
        <v>1.0000000000000002</v>
      </c>
    </row>
    <row r="35">
      <c r="A35" s="126"/>
      <c r="B35" s="127" t="s">
        <v>30</v>
      </c>
      <c r="C35" s="123">
        <v>45911.0</v>
      </c>
      <c r="D35" s="124">
        <v>0.019314792365093304</v>
      </c>
      <c r="E35" s="124">
        <v>0.0664197065630477</v>
      </c>
      <c r="F35" s="124">
        <v>0.12294560360059298</v>
      </c>
      <c r="G35" s="124">
        <v>0.1741388688421434</v>
      </c>
      <c r="H35" s="124">
        <v>0.22885522615691445</v>
      </c>
      <c r="I35" s="124">
        <v>0.3093708561007085</v>
      </c>
      <c r="J35" s="124">
        <v>0.4308659838527909</v>
      </c>
      <c r="K35" s="132">
        <v>0.5914528577573794</v>
      </c>
      <c r="L35" s="124">
        <v>0.7021262980514563</v>
      </c>
      <c r="M35" s="124">
        <v>0.7402119543384514</v>
      </c>
      <c r="N35" s="124">
        <v>0.8073924497043944</v>
      </c>
      <c r="O35" s="124">
        <v>0.8384319218449483</v>
      </c>
      <c r="P35" s="124">
        <v>0.8725252144606753</v>
      </c>
      <c r="Q35" s="124">
        <v>0.9014956254643833</v>
      </c>
      <c r="R35" s="124">
        <v>0.9254284769648081</v>
      </c>
      <c r="S35" s="124">
        <v>0.9384543188984915</v>
      </c>
      <c r="T35" s="124">
        <v>0.9509397874768474</v>
      </c>
      <c r="U35" s="124">
        <v>0.9608229317387578</v>
      </c>
      <c r="V35" s="124">
        <v>0.9654729866648653</v>
      </c>
      <c r="W35" s="124">
        <v>0.9745349056301925</v>
      </c>
      <c r="X35" s="124">
        <v>0.9805394490324827</v>
      </c>
      <c r="Y35" s="124">
        <v>0.9876247391454278</v>
      </c>
      <c r="Z35" s="124">
        <v>0.99360439693267</v>
      </c>
      <c r="AA35" s="124">
        <v>0.9999999999999998</v>
      </c>
    </row>
    <row r="36">
      <c r="A36" s="128"/>
      <c r="B36" s="129" t="s">
        <v>68</v>
      </c>
      <c r="C36" s="123">
        <v>45911.0</v>
      </c>
      <c r="D36" s="130">
        <v>0.019529839374998165</v>
      </c>
      <c r="E36" s="130">
        <v>0.06219191032480249</v>
      </c>
      <c r="F36" s="130">
        <v>0.11281770486220188</v>
      </c>
      <c r="G36" s="130">
        <v>0.16933592087068086</v>
      </c>
      <c r="H36" s="130">
        <v>0.23785770697607506</v>
      </c>
      <c r="I36" s="130">
        <v>0.3461716876047762</v>
      </c>
      <c r="J36" s="130">
        <v>0.49300807088521376</v>
      </c>
      <c r="K36" s="131">
        <v>0.629247196916094</v>
      </c>
      <c r="L36" s="130">
        <v>0.7201540191481679</v>
      </c>
      <c r="M36" s="130">
        <v>0.7488527834131419</v>
      </c>
      <c r="N36" s="130">
        <v>0.7996224387637365</v>
      </c>
      <c r="O36" s="130">
        <v>0.8210576999298311</v>
      </c>
      <c r="P36" s="130">
        <v>0.8486496167136905</v>
      </c>
      <c r="Q36" s="130">
        <v>0.8879471061957035</v>
      </c>
      <c r="R36" s="130">
        <v>0.92147548347509</v>
      </c>
      <c r="S36" s="130">
        <v>0.943220485779799</v>
      </c>
      <c r="T36" s="130">
        <v>0.9586693755559926</v>
      </c>
      <c r="U36" s="130">
        <v>0.9691257079273179</v>
      </c>
      <c r="V36" s="130">
        <v>0.9741006497224073</v>
      </c>
      <c r="W36" s="130">
        <v>0.9809134868044402</v>
      </c>
      <c r="X36" s="130">
        <v>0.9859383394939034</v>
      </c>
      <c r="Y36" s="130">
        <v>0.9904508715322937</v>
      </c>
      <c r="Z36" s="130">
        <v>0.9945861359279168</v>
      </c>
      <c r="AA36" s="130">
        <v>0.9999999999999999</v>
      </c>
    </row>
    <row r="37">
      <c r="A37" s="135"/>
      <c r="B37" s="136" t="s">
        <v>70</v>
      </c>
      <c r="C37" s="123">
        <v>45911.0</v>
      </c>
      <c r="D37" s="137">
        <v>0.01578014790393165</v>
      </c>
      <c r="E37" s="137">
        <v>0.04084998012863987</v>
      </c>
      <c r="F37" s="137">
        <v>0.0717394233379309</v>
      </c>
      <c r="G37" s="137">
        <v>0.1116612259343988</v>
      </c>
      <c r="H37" s="137">
        <v>0.16814136544914215</v>
      </c>
      <c r="I37" s="137">
        <v>0.2731497108554684</v>
      </c>
      <c r="J37" s="137">
        <v>0.45806408605442916</v>
      </c>
      <c r="K37" s="138">
        <v>0.6254094672413496</v>
      </c>
      <c r="L37" s="137">
        <v>0.7284464946327556</v>
      </c>
      <c r="M37" s="137">
        <v>0.7581165396660313</v>
      </c>
      <c r="N37" s="137">
        <v>0.8137608674590167</v>
      </c>
      <c r="O37" s="137">
        <v>0.8378285165175209</v>
      </c>
      <c r="P37" s="137">
        <v>0.8637547803543854</v>
      </c>
      <c r="Q37" s="137">
        <v>0.8981651404652357</v>
      </c>
      <c r="R37" s="137">
        <v>0.9320893795983416</v>
      </c>
      <c r="S37" s="137">
        <v>0.9515184007100023</v>
      </c>
      <c r="T37" s="137">
        <v>0.9618427515859663</v>
      </c>
      <c r="U37" s="137">
        <v>0.9710801800201173</v>
      </c>
      <c r="V37" s="137">
        <v>0.9778867211012944</v>
      </c>
      <c r="W37" s="137">
        <v>0.9833046679194899</v>
      </c>
      <c r="X37" s="137">
        <v>0.9879915972534307</v>
      </c>
      <c r="Y37" s="137">
        <v>0.9917187130589721</v>
      </c>
      <c r="Z37" s="137">
        <v>0.9951269267239712</v>
      </c>
      <c r="AA37" s="137">
        <v>1.0</v>
      </c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</sheetData>
  <mergeCells count="8">
    <mergeCell ref="A2:A5"/>
    <mergeCell ref="A6:A10"/>
    <mergeCell ref="A11:A15"/>
    <mergeCell ref="A16:A18"/>
    <mergeCell ref="A20:A23"/>
    <mergeCell ref="A24:A28"/>
    <mergeCell ref="A29:A33"/>
    <mergeCell ref="A34:A3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 t="s">
        <v>71</v>
      </c>
      <c r="B1" s="77" t="s">
        <v>39</v>
      </c>
      <c r="C1" s="77" t="s">
        <v>72</v>
      </c>
      <c r="D1" s="77" t="s">
        <v>73</v>
      </c>
      <c r="E1" s="77" t="s">
        <v>40</v>
      </c>
      <c r="F1" s="77" t="s">
        <v>43</v>
      </c>
      <c r="G1" s="77" t="s">
        <v>74</v>
      </c>
      <c r="H1" s="77" t="s">
        <v>44</v>
      </c>
      <c r="I1" s="77" t="s">
        <v>45</v>
      </c>
      <c r="J1" s="77" t="s">
        <v>75</v>
      </c>
    </row>
    <row r="3">
      <c r="A3" s="6" t="str">
        <f>Sheet11!A5901</f>
        <v>NORTH</v>
      </c>
      <c r="B3" s="6" t="str">
        <f>Sheet11!B5901</f>
        <v>Pradeep Kothari</v>
      </c>
      <c r="D3" s="77" t="str">
        <f>Sheet11!K5901</f>
        <v/>
      </c>
      <c r="F3" s="77">
        <f>Sheet11!D5901</f>
        <v>160889</v>
      </c>
      <c r="G3" s="77">
        <f>Sheet11!F5901</f>
        <v>98456</v>
      </c>
      <c r="H3" s="13">
        <f>Sheet11!H5901</f>
        <v>45911</v>
      </c>
      <c r="I3" s="77" t="str">
        <f>Sheet11!I5901</f>
        <v>15</v>
      </c>
    </row>
    <row r="4">
      <c r="A4" s="6" t="str">
        <f>Sheet11!A5902</f>
        <v>NORTH</v>
      </c>
      <c r="B4" s="6" t="str">
        <f>Sheet11!B5902</f>
        <v>Pradeep Kothari</v>
      </c>
      <c r="D4" s="77" t="str">
        <f>Sheet11!K5902</f>
        <v/>
      </c>
      <c r="F4" s="77">
        <f>Sheet11!D5902</f>
        <v>24114</v>
      </c>
      <c r="G4" s="77">
        <f>Sheet11!F5902</f>
        <v>16529</v>
      </c>
      <c r="H4" s="13">
        <f>Sheet11!H5902</f>
        <v>45911</v>
      </c>
      <c r="I4" s="77" t="str">
        <f>Sheet11!I5902</f>
        <v>15</v>
      </c>
    </row>
    <row r="5">
      <c r="A5" s="6" t="str">
        <f>Sheet11!A5903</f>
        <v>SOUTH</v>
      </c>
      <c r="B5" s="6" t="str">
        <f>Sheet11!B5903</f>
        <v>Kandula Sampath</v>
      </c>
      <c r="D5" s="77" t="str">
        <f>Sheet11!K5903</f>
        <v/>
      </c>
      <c r="F5" s="77">
        <f>Sheet11!D5903</f>
        <v>33750</v>
      </c>
      <c r="G5" s="77">
        <f>Sheet11!F5903</f>
        <v>10892</v>
      </c>
      <c r="H5" s="13">
        <f>Sheet11!H5903</f>
        <v>45911</v>
      </c>
      <c r="I5" s="77" t="str">
        <f>Sheet11!I5903</f>
        <v>15</v>
      </c>
    </row>
    <row r="6">
      <c r="A6" s="6" t="str">
        <f>Sheet11!A5904</f>
        <v>SOUTH</v>
      </c>
      <c r="B6" s="6" t="str">
        <f>Sheet11!B5904</f>
        <v>Kandula Sampath</v>
      </c>
      <c r="D6" s="77" t="str">
        <f>Sheet11!K5904</f>
        <v/>
      </c>
      <c r="F6" s="77">
        <f>Sheet11!D5904</f>
        <v>354197</v>
      </c>
      <c r="G6" s="77">
        <f>Sheet11!F5904</f>
        <v>188904</v>
      </c>
      <c r="H6" s="13">
        <f>Sheet11!H5904</f>
        <v>45911</v>
      </c>
      <c r="I6" s="77" t="str">
        <f>Sheet11!I5904</f>
        <v>15</v>
      </c>
    </row>
    <row r="7">
      <c r="A7" s="6" t="str">
        <f>Sheet11!A5905</f>
        <v>SOUTH</v>
      </c>
      <c r="B7" s="6" t="str">
        <f>Sheet11!B5905</f>
        <v>Kandula Sampath</v>
      </c>
      <c r="D7" s="77" t="str">
        <f>Sheet11!K5905</f>
        <v/>
      </c>
      <c r="F7" s="77">
        <f>Sheet11!D5905</f>
        <v>35841</v>
      </c>
      <c r="G7" s="77">
        <f>Sheet11!F5905</f>
        <v>21153</v>
      </c>
      <c r="H7" s="13">
        <f>Sheet11!H5905</f>
        <v>45911</v>
      </c>
      <c r="I7" s="77" t="str">
        <f>Sheet11!I5905</f>
        <v>15</v>
      </c>
    </row>
    <row r="8">
      <c r="A8" s="6" t="str">
        <f>Sheet11!A5906</f>
        <v>SOUTH</v>
      </c>
      <c r="B8" s="6" t="str">
        <f>Sheet11!B5906</f>
        <v>Martin A</v>
      </c>
      <c r="D8" s="77" t="str">
        <f>Sheet11!K5906</f>
        <v/>
      </c>
      <c r="F8" s="77">
        <f>Sheet11!D5906</f>
        <v>28682</v>
      </c>
      <c r="G8" s="77">
        <f>Sheet11!F5906</f>
        <v>9429</v>
      </c>
      <c r="H8" s="13">
        <f>Sheet11!H5906</f>
        <v>45911</v>
      </c>
      <c r="I8" s="77" t="str">
        <f>Sheet11!I5906</f>
        <v>15</v>
      </c>
    </row>
    <row r="9">
      <c r="A9" s="6" t="str">
        <f>Sheet11!A5907</f>
        <v>SOUTH</v>
      </c>
      <c r="B9" s="6" t="str">
        <f>Sheet11!B5907</f>
        <v>Martin A</v>
      </c>
      <c r="D9" s="77" t="str">
        <f>Sheet11!K5907</f>
        <v/>
      </c>
      <c r="F9" s="77">
        <f>Sheet11!D5907</f>
        <v>272317</v>
      </c>
      <c r="G9" s="77">
        <f>Sheet11!F5907</f>
        <v>153797</v>
      </c>
      <c r="H9" s="13">
        <f>Sheet11!H5907</f>
        <v>45911</v>
      </c>
      <c r="I9" s="77" t="str">
        <f>Sheet11!I5907</f>
        <v>15</v>
      </c>
    </row>
    <row r="10">
      <c r="A10" s="6" t="str">
        <f>Sheet11!A5908</f>
        <v>SOUTH</v>
      </c>
      <c r="B10" s="6" t="str">
        <f>Sheet11!B5908</f>
        <v>Martin A</v>
      </c>
      <c r="D10" s="77" t="str">
        <f>Sheet11!K5908</f>
        <v/>
      </c>
      <c r="F10" s="77">
        <f>Sheet11!D5908</f>
        <v>22442</v>
      </c>
      <c r="G10" s="77">
        <f>Sheet11!F5908</f>
        <v>14742</v>
      </c>
      <c r="H10" s="13">
        <f>Sheet11!H5908</f>
        <v>45911</v>
      </c>
      <c r="I10" s="77" t="str">
        <f>Sheet11!I5908</f>
        <v>15</v>
      </c>
    </row>
    <row r="11">
      <c r="A11" s="6" t="str">
        <f>Sheet11!A5909</f>
        <v>SOUTH</v>
      </c>
      <c r="B11" s="6" t="str">
        <f>Sheet11!B5909</f>
        <v>Premkumar M</v>
      </c>
      <c r="D11" s="77" t="str">
        <f>Sheet11!K5909</f>
        <v/>
      </c>
      <c r="F11" s="77">
        <f>Sheet11!D5909</f>
        <v>26132</v>
      </c>
      <c r="G11" s="77">
        <f>Sheet11!F5909</f>
        <v>7861</v>
      </c>
      <c r="H11" s="13">
        <f>Sheet11!H5909</f>
        <v>45911</v>
      </c>
      <c r="I11" s="77" t="str">
        <f>Sheet11!I5909</f>
        <v>15</v>
      </c>
    </row>
    <row r="12">
      <c r="A12" s="6" t="str">
        <f>Sheet11!A5910</f>
        <v>SOUTH</v>
      </c>
      <c r="B12" s="6" t="str">
        <f>Sheet11!B5910</f>
        <v>Premkumar M</v>
      </c>
      <c r="D12" s="77" t="str">
        <f>Sheet11!K5910</f>
        <v/>
      </c>
      <c r="F12" s="77">
        <f>Sheet11!D5910</f>
        <v>283133</v>
      </c>
      <c r="G12" s="77">
        <f>Sheet11!F5910</f>
        <v>129916</v>
      </c>
      <c r="H12" s="13">
        <f>Sheet11!H5910</f>
        <v>45911</v>
      </c>
      <c r="I12" s="77" t="str">
        <f>Sheet11!I5910</f>
        <v>15</v>
      </c>
    </row>
    <row r="13">
      <c r="A13" s="6" t="str">
        <f>Sheet11!A5911</f>
        <v>SOUTH</v>
      </c>
      <c r="B13" s="6" t="str">
        <f>Sheet11!B5911</f>
        <v>Premkumar M</v>
      </c>
      <c r="D13" s="77" t="str">
        <f>Sheet11!K5911</f>
        <v/>
      </c>
      <c r="F13" s="77">
        <f>Sheet11!D5911</f>
        <v>13828</v>
      </c>
      <c r="G13" s="77">
        <f>Sheet11!F5911</f>
        <v>7309</v>
      </c>
      <c r="H13" s="13">
        <f>Sheet11!H5911</f>
        <v>45911</v>
      </c>
      <c r="I13" s="77" t="str">
        <f>Sheet11!I5911</f>
        <v>15</v>
      </c>
    </row>
    <row r="14">
      <c r="A14" s="6" t="str">
        <f>Sheet11!A5912</f>
        <v>SOUTH</v>
      </c>
      <c r="B14" s="6" t="str">
        <f>Sheet11!B5912</f>
        <v>Vineeth V</v>
      </c>
      <c r="D14" s="77" t="str">
        <f>Sheet11!K5912</f>
        <v/>
      </c>
      <c r="F14" s="77">
        <f>Sheet11!D5912</f>
        <v>22062</v>
      </c>
      <c r="G14" s="77">
        <f>Sheet11!F5912</f>
        <v>7649</v>
      </c>
      <c r="H14" s="13">
        <f>Sheet11!H5912</f>
        <v>45911</v>
      </c>
      <c r="I14" s="77" t="str">
        <f>Sheet11!I5912</f>
        <v>15</v>
      </c>
    </row>
    <row r="15">
      <c r="A15" s="6" t="str">
        <f>Sheet11!A5913</f>
        <v>SOUTH</v>
      </c>
      <c r="B15" s="6" t="str">
        <f>Sheet11!B5913</f>
        <v>Vineeth V</v>
      </c>
      <c r="D15" s="77" t="str">
        <f>Sheet11!K5913</f>
        <v/>
      </c>
      <c r="F15" s="77">
        <f>Sheet11!D5913</f>
        <v>216696</v>
      </c>
      <c r="G15" s="77">
        <f>Sheet11!F5913</f>
        <v>115498</v>
      </c>
      <c r="H15" s="13">
        <f>Sheet11!H5913</f>
        <v>45911</v>
      </c>
      <c r="I15" s="77" t="str">
        <f>Sheet11!I5913</f>
        <v>15</v>
      </c>
    </row>
    <row r="16">
      <c r="A16" s="6" t="str">
        <f>Sheet11!A5914</f>
        <v>SOUTH</v>
      </c>
      <c r="B16" s="6" t="str">
        <f>Sheet11!B5914</f>
        <v>Vineeth V</v>
      </c>
      <c r="D16" s="77" t="str">
        <f>Sheet11!K5914</f>
        <v/>
      </c>
      <c r="F16" s="77">
        <f>Sheet11!D5914</f>
        <v>15683</v>
      </c>
      <c r="G16" s="77">
        <f>Sheet11!F5914</f>
        <v>8839</v>
      </c>
      <c r="H16" s="13">
        <f>Sheet11!H5914</f>
        <v>45911</v>
      </c>
      <c r="I16" s="77" t="str">
        <f>Sheet11!I5914</f>
        <v>15</v>
      </c>
    </row>
    <row r="17">
      <c r="A17" s="6" t="str">
        <f>Sheet11!A5915</f>
        <v>WEST</v>
      </c>
      <c r="B17" s="6" t="str">
        <f>Sheet11!B5915</f>
        <v>Ashish Jakar</v>
      </c>
      <c r="D17" s="77" t="str">
        <f>Sheet11!K5915</f>
        <v/>
      </c>
      <c r="F17" s="77">
        <f>Sheet11!D5915</f>
        <v>58645</v>
      </c>
      <c r="G17" s="77">
        <f>Sheet11!F5915</f>
        <v>16586</v>
      </c>
      <c r="H17" s="13">
        <f>Sheet11!H5915</f>
        <v>45911</v>
      </c>
      <c r="I17" s="77" t="str">
        <f>Sheet11!I5915</f>
        <v>15</v>
      </c>
    </row>
    <row r="18">
      <c r="A18" s="6" t="str">
        <f>Sheet11!A5916</f>
        <v>WEST</v>
      </c>
      <c r="B18" s="6" t="str">
        <f>Sheet11!B5916</f>
        <v>Ashish Jakar</v>
      </c>
      <c r="D18" s="77" t="str">
        <f>Sheet11!K5916</f>
        <v/>
      </c>
      <c r="F18" s="77">
        <f>Sheet11!D5916</f>
        <v>391847</v>
      </c>
      <c r="G18" s="77">
        <f>Sheet11!F5916</f>
        <v>195557</v>
      </c>
      <c r="H18" s="13">
        <f>Sheet11!H5916</f>
        <v>45911</v>
      </c>
      <c r="I18" s="77" t="str">
        <f>Sheet11!I5916</f>
        <v>15</v>
      </c>
    </row>
    <row r="19">
      <c r="A19" s="6" t="str">
        <f>Sheet11!A5917</f>
        <v>WEST</v>
      </c>
      <c r="B19" s="6" t="str">
        <f>Sheet11!B5917</f>
        <v>Ashish Jakar</v>
      </c>
      <c r="D19" s="77" t="str">
        <f>Sheet11!K5917</f>
        <v/>
      </c>
      <c r="F19" s="77">
        <f>Sheet11!D5917</f>
        <v>43722</v>
      </c>
      <c r="G19" s="77">
        <f>Sheet11!F5917</f>
        <v>25697</v>
      </c>
      <c r="H19" s="13">
        <f>Sheet11!H5917</f>
        <v>45911</v>
      </c>
      <c r="I19" s="77" t="str">
        <f>Sheet11!I5917</f>
        <v>15</v>
      </c>
    </row>
    <row r="20">
      <c r="A20" s="6" t="str">
        <f>Sheet11!A5918</f>
        <v>WEST</v>
      </c>
      <c r="B20" s="6" t="str">
        <f>Sheet11!B5918</f>
        <v>Ashvani Bhatt</v>
      </c>
      <c r="D20" s="77" t="str">
        <f>Sheet11!K5918</f>
        <v/>
      </c>
      <c r="F20" s="77">
        <f>Sheet11!D5918</f>
        <v>39157</v>
      </c>
      <c r="G20" s="77">
        <f>Sheet11!F5918</f>
        <v>12343</v>
      </c>
      <c r="H20" s="13">
        <f>Sheet11!H5918</f>
        <v>45911</v>
      </c>
      <c r="I20" s="77" t="str">
        <f>Sheet11!I5918</f>
        <v>15</v>
      </c>
    </row>
    <row r="21">
      <c r="A21" s="6" t="str">
        <f>Sheet11!A5919</f>
        <v>WEST</v>
      </c>
      <c r="B21" s="6" t="str">
        <f>Sheet11!B5919</f>
        <v>Ashvani Bhatt</v>
      </c>
      <c r="D21" s="77" t="str">
        <f>Sheet11!K5919</f>
        <v/>
      </c>
      <c r="F21" s="77">
        <f>Sheet11!D5919</f>
        <v>304264</v>
      </c>
      <c r="G21" s="77">
        <f>Sheet11!F5919</f>
        <v>174962</v>
      </c>
      <c r="H21" s="13">
        <f>Sheet11!H5919</f>
        <v>45911</v>
      </c>
      <c r="I21" s="77" t="str">
        <f>Sheet11!I5919</f>
        <v>15</v>
      </c>
    </row>
    <row r="22">
      <c r="A22" s="6" t="str">
        <f>Sheet11!A5920</f>
        <v>WEST</v>
      </c>
      <c r="B22" s="6" t="str">
        <f>Sheet11!B5920</f>
        <v>Ashvani Bhatt</v>
      </c>
      <c r="D22" s="77" t="str">
        <f>Sheet11!K5920</f>
        <v/>
      </c>
      <c r="F22" s="77">
        <f>Sheet11!D5920</f>
        <v>35800</v>
      </c>
      <c r="G22" s="77">
        <f>Sheet11!F5920</f>
        <v>23859</v>
      </c>
      <c r="H22" s="13">
        <f>Sheet11!H5920</f>
        <v>45911</v>
      </c>
      <c r="I22" s="77" t="str">
        <f>Sheet11!I5920</f>
        <v>15</v>
      </c>
    </row>
    <row r="23">
      <c r="A23" s="6" t="str">
        <f>Sheet11!A5921</f>
        <v/>
      </c>
      <c r="B23" s="6" t="str">
        <f>Sheet11!B5921</f>
        <v/>
      </c>
      <c r="D23" s="77" t="str">
        <f>Sheet11!K5921</f>
        <v/>
      </c>
      <c r="F23" s="77">
        <f>Sheet11!D5921</f>
        <v>937</v>
      </c>
      <c r="G23" s="77">
        <f>Sheet11!F5921</f>
        <v>272</v>
      </c>
      <c r="H23" s="13">
        <f>Sheet11!H5921</f>
        <v>45911</v>
      </c>
      <c r="I23" s="77" t="str">
        <f>Sheet11!I5921</f>
        <v>15</v>
      </c>
    </row>
    <row r="24">
      <c r="A24" s="6" t="str">
        <f>Sheet11!A5922</f>
        <v/>
      </c>
      <c r="B24" s="6" t="str">
        <f>Sheet11!B5922</f>
        <v/>
      </c>
      <c r="D24" s="77" t="str">
        <f>Sheet11!K5922</f>
        <v/>
      </c>
      <c r="F24" s="77">
        <f>Sheet11!D5922</f>
        <v>11138</v>
      </c>
      <c r="G24" s="77">
        <f>Sheet11!F5922</f>
        <v>4737</v>
      </c>
      <c r="H24" s="13">
        <f>Sheet11!H5922</f>
        <v>45911</v>
      </c>
      <c r="I24" s="77" t="str">
        <f>Sheet11!I5922</f>
        <v>15</v>
      </c>
    </row>
    <row r="25">
      <c r="A25" s="6" t="str">
        <f>Sheet11!A5923</f>
        <v/>
      </c>
      <c r="B25" s="6" t="str">
        <f>Sheet11!B5923</f>
        <v/>
      </c>
      <c r="D25" s="77" t="str">
        <f>Sheet11!K5923</f>
        <v/>
      </c>
      <c r="F25" s="77">
        <f>Sheet11!D5923</f>
        <v>1263</v>
      </c>
      <c r="G25" s="77">
        <f>Sheet11!F5923</f>
        <v>675</v>
      </c>
      <c r="H25" s="13">
        <f>Sheet11!H5923</f>
        <v>45911</v>
      </c>
      <c r="I25" s="77" t="str">
        <f>Sheet11!I5923</f>
        <v>15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5" t="str">
        <f>IFERROR(__xludf.DUMMYFUNCTION("IMPORTRANGE(""https://docs.google.com/spreadsheets/d/1UhgpDH0I0A_HLbgqw2qYq4sKHxNiNshLQnjQC2efEIg/edit?gid=816445695#gid=816445695"",""GM_Wise_Raw_OFD!A1:K"")"),"Zone")</f>
        <v>Zone</v>
      </c>
      <c r="B1" s="115" t="str">
        <f>IFERROR(__xludf.DUMMYFUNCTION("""COMPUTED_VALUE"""),"GM_Name")</f>
        <v>GM_Name</v>
      </c>
      <c r="C1" s="115" t="str">
        <f>IFERROR(__xludf.DUMMYFUNCTION("""COMPUTED_VALUE"""),"Business")</f>
        <v>Business</v>
      </c>
      <c r="D1" s="115" t="str">
        <f>IFERROR(__xludf.DUMMYFUNCTION("""COMPUTED_VALUE"""),"Total_OFD")</f>
        <v>Total_OFD</v>
      </c>
      <c r="E1" s="115" t="str">
        <f>IFERROR(__xludf.DUMMYFUNCTION("""COMPUTED_VALUE"""),"Total_OFP")</f>
        <v>Total_OFP</v>
      </c>
      <c r="F1" s="115" t="str">
        <f>IFERROR(__xludf.DUMMYFUNCTION("""COMPUTED_VALUE"""),"Delivered")</f>
        <v>Delivered</v>
      </c>
      <c r="G1" s="115" t="str">
        <f>IFERROR(__xludf.DUMMYFUNCTION("""COMPUTED_VALUE"""),"Picked")</f>
        <v>Picked</v>
      </c>
      <c r="H1" s="115" t="str">
        <f>IFERROR(__xludf.DUMMYFUNCTION("""COMPUTED_VALUE"""),"Date")</f>
        <v>Date</v>
      </c>
      <c r="I1" s="115" t="str">
        <f>IFERROR(__xludf.DUMMYFUNCTION("""COMPUTED_VALUE"""),"Hour")</f>
        <v>Hour</v>
      </c>
      <c r="J1" s="115" t="str">
        <f>IFERROR(__xludf.DUMMYFUNCTION("""COMPUTED_VALUE"""),"Key")</f>
        <v>Key</v>
      </c>
      <c r="K1" s="115" t="str">
        <f>IFERROR(__xludf.DUMMYFUNCTION("""COMPUTED_VALUE"""),"OFD+OFP")</f>
        <v>OFD+OFP</v>
      </c>
    </row>
    <row r="2">
      <c r="A2" s="115" t="str">
        <f>IFERROR(__xludf.DUMMYFUNCTION("""COMPUTED_VALUE"""),"EAST")</f>
        <v>EAST</v>
      </c>
      <c r="B2" s="115" t="str">
        <f>IFERROR(__xludf.DUMMYFUNCTION("""COMPUTED_VALUE"""),"Ashish Ranjan")</f>
        <v>Ashish Ranjan</v>
      </c>
      <c r="C2" s="115" t="str">
        <f>IFERROR(__xludf.DUMMYFUNCTION("""COMPUTED_VALUE"""),"EXTERNAL")</f>
        <v>EXTERNAL</v>
      </c>
      <c r="D2" s="115">
        <f>IFERROR(__xludf.DUMMYFUNCTION("""COMPUTED_VALUE"""),33079.0)</f>
        <v>33079</v>
      </c>
      <c r="E2" s="115">
        <f>IFERROR(__xludf.DUMMYFUNCTION("""COMPUTED_VALUE"""),2390.0)</f>
        <v>2390</v>
      </c>
      <c r="F2" s="115">
        <f>IFERROR(__xludf.DUMMYFUNCTION("""COMPUTED_VALUE"""),4173.0)</f>
        <v>4173</v>
      </c>
      <c r="G2" s="115">
        <f>IFERROR(__xludf.DUMMYFUNCTION("""COMPUTED_VALUE"""),86.0)</f>
        <v>86</v>
      </c>
      <c r="H2" s="116">
        <f>IFERROR(__xludf.DUMMYFUNCTION("""COMPUTED_VALUE"""),45901.0)</f>
        <v>45901</v>
      </c>
      <c r="I2" s="115" t="str">
        <f>IFERROR(__xludf.DUMMYFUNCTION("""COMPUTED_VALUE"""),"11")</f>
        <v>11</v>
      </c>
      <c r="J2" s="115" t="str">
        <f>IFERROR(__xludf.DUMMYFUNCTION("""COMPUTED_VALUE"""),"Ashish Ranjan2025-09-0111")</f>
        <v>Ashish Ranjan2025-09-0111</v>
      </c>
      <c r="K2" s="115">
        <f>IFERROR(__xludf.DUMMYFUNCTION("""COMPUTED_VALUE"""),35469.0)</f>
        <v>35469</v>
      </c>
    </row>
    <row r="3">
      <c r="A3" s="115" t="str">
        <f>IFERROR(__xludf.DUMMYFUNCTION("""COMPUTED_VALUE"""),"EAST")</f>
        <v>EAST</v>
      </c>
      <c r="B3" s="115" t="str">
        <f>IFERROR(__xludf.DUMMYFUNCTION("""COMPUTED_VALUE"""),"Ashish Ranjan")</f>
        <v>Ashish Ranjan</v>
      </c>
      <c r="C3" s="115" t="str">
        <f>IFERROR(__xludf.DUMMYFUNCTION("""COMPUTED_VALUE"""),"FLIPKART")</f>
        <v>FLIPKART</v>
      </c>
      <c r="D3" s="115">
        <f>IFERROR(__xludf.DUMMYFUNCTION("""COMPUTED_VALUE"""),492802.0)</f>
        <v>492802</v>
      </c>
      <c r="E3" s="115">
        <f>IFERROR(__xludf.DUMMYFUNCTION("""COMPUTED_VALUE"""),48292.0)</f>
        <v>48292</v>
      </c>
      <c r="F3" s="115">
        <f>IFERROR(__xludf.DUMMYFUNCTION("""COMPUTED_VALUE"""),110208.0)</f>
        <v>110208</v>
      </c>
      <c r="G3" s="115">
        <f>IFERROR(__xludf.DUMMYFUNCTION("""COMPUTED_VALUE"""),2841.0)</f>
        <v>2841</v>
      </c>
      <c r="H3" s="116">
        <f>IFERROR(__xludf.DUMMYFUNCTION("""COMPUTED_VALUE"""),45901.0)</f>
        <v>45901</v>
      </c>
      <c r="I3" s="115" t="str">
        <f>IFERROR(__xludf.DUMMYFUNCTION("""COMPUTED_VALUE"""),"11")</f>
        <v>11</v>
      </c>
      <c r="J3" s="115" t="str">
        <f>IFERROR(__xludf.DUMMYFUNCTION("""COMPUTED_VALUE"""),"Ashish Ranjan2025-09-0111")</f>
        <v>Ashish Ranjan2025-09-0111</v>
      </c>
      <c r="K3" s="115">
        <f>IFERROR(__xludf.DUMMYFUNCTION("""COMPUTED_VALUE"""),541094.0)</f>
        <v>541094</v>
      </c>
    </row>
    <row r="4">
      <c r="A4" s="115" t="str">
        <f>IFERROR(__xludf.DUMMYFUNCTION("""COMPUTED_VALUE"""),"EAST")</f>
        <v>EAST</v>
      </c>
      <c r="B4" s="115" t="str">
        <f>IFERROR(__xludf.DUMMYFUNCTION("""COMPUTED_VALUE"""),"Ashish Ranjan")</f>
        <v>Ashish Ranjan</v>
      </c>
      <c r="C4" s="115" t="str">
        <f>IFERROR(__xludf.DUMMYFUNCTION("""COMPUTED_VALUE"""),"MYNTRA")</f>
        <v>MYNTRA</v>
      </c>
      <c r="D4" s="115">
        <f>IFERROR(__xludf.DUMMYFUNCTION("""COMPUTED_VALUE"""),47056.0)</f>
        <v>47056</v>
      </c>
      <c r="E4" s="115">
        <f>IFERROR(__xludf.DUMMYFUNCTION("""COMPUTED_VALUE"""),8463.0)</f>
        <v>8463</v>
      </c>
      <c r="F4" s="115">
        <f>IFERROR(__xludf.DUMMYFUNCTION("""COMPUTED_VALUE"""),10816.0)</f>
        <v>10816</v>
      </c>
      <c r="G4" s="115">
        <f>IFERROR(__xludf.DUMMYFUNCTION("""COMPUTED_VALUE"""),464.0)</f>
        <v>464</v>
      </c>
      <c r="H4" s="116">
        <f>IFERROR(__xludf.DUMMYFUNCTION("""COMPUTED_VALUE"""),45901.0)</f>
        <v>45901</v>
      </c>
      <c r="I4" s="115" t="str">
        <f>IFERROR(__xludf.DUMMYFUNCTION("""COMPUTED_VALUE"""),"11")</f>
        <v>11</v>
      </c>
      <c r="J4" s="115" t="str">
        <f>IFERROR(__xludf.DUMMYFUNCTION("""COMPUTED_VALUE"""),"Ashish Ranjan2025-09-0111")</f>
        <v>Ashish Ranjan2025-09-0111</v>
      </c>
      <c r="K4" s="115">
        <f>IFERROR(__xludf.DUMMYFUNCTION("""COMPUTED_VALUE"""),55519.0)</f>
        <v>55519</v>
      </c>
    </row>
    <row r="5">
      <c r="A5" s="115" t="str">
        <f>IFERROR(__xludf.DUMMYFUNCTION("""COMPUTED_VALUE"""),"EAST")</f>
        <v>EAST</v>
      </c>
      <c r="B5" s="115" t="str">
        <f>IFERROR(__xludf.DUMMYFUNCTION("""COMPUTED_VALUE"""),"Girish Chand")</f>
        <v>Girish Chand</v>
      </c>
      <c r="C5" s="115" t="str">
        <f>IFERROR(__xludf.DUMMYFUNCTION("""COMPUTED_VALUE"""),"EXTERNAL")</f>
        <v>EXTERNAL</v>
      </c>
      <c r="D5" s="115">
        <f>IFERROR(__xludf.DUMMYFUNCTION("""COMPUTED_VALUE"""),21423.0)</f>
        <v>21423</v>
      </c>
      <c r="E5" s="115">
        <f>IFERROR(__xludf.DUMMYFUNCTION("""COMPUTED_VALUE"""),1735.0)</f>
        <v>1735</v>
      </c>
      <c r="F5" s="115">
        <f>IFERROR(__xludf.DUMMYFUNCTION("""COMPUTED_VALUE"""),1605.0)</f>
        <v>1605</v>
      </c>
      <c r="G5" s="115">
        <f>IFERROR(__xludf.DUMMYFUNCTION("""COMPUTED_VALUE"""),30.0)</f>
        <v>30</v>
      </c>
      <c r="H5" s="116">
        <f>IFERROR(__xludf.DUMMYFUNCTION("""COMPUTED_VALUE"""),45901.0)</f>
        <v>45901</v>
      </c>
      <c r="I5" s="115" t="str">
        <f>IFERROR(__xludf.DUMMYFUNCTION("""COMPUTED_VALUE"""),"11")</f>
        <v>11</v>
      </c>
      <c r="J5" s="115" t="str">
        <f>IFERROR(__xludf.DUMMYFUNCTION("""COMPUTED_VALUE"""),"Girish Chand2025-09-0111")</f>
        <v>Girish Chand2025-09-0111</v>
      </c>
      <c r="K5" s="115">
        <f>IFERROR(__xludf.DUMMYFUNCTION("""COMPUTED_VALUE"""),23158.0)</f>
        <v>23158</v>
      </c>
    </row>
    <row r="6">
      <c r="A6" s="115" t="str">
        <f>IFERROR(__xludf.DUMMYFUNCTION("""COMPUTED_VALUE"""),"EAST")</f>
        <v>EAST</v>
      </c>
      <c r="B6" s="115" t="str">
        <f>IFERROR(__xludf.DUMMYFUNCTION("""COMPUTED_VALUE"""),"Girish Chand")</f>
        <v>Girish Chand</v>
      </c>
      <c r="C6" s="115" t="str">
        <f>IFERROR(__xludf.DUMMYFUNCTION("""COMPUTED_VALUE"""),"FLIPKART")</f>
        <v>FLIPKART</v>
      </c>
      <c r="D6" s="115">
        <f>IFERROR(__xludf.DUMMYFUNCTION("""COMPUTED_VALUE"""),360484.0)</f>
        <v>360484</v>
      </c>
      <c r="E6" s="115">
        <f>IFERROR(__xludf.DUMMYFUNCTION("""COMPUTED_VALUE"""),28943.0)</f>
        <v>28943</v>
      </c>
      <c r="F6" s="115">
        <f>IFERROR(__xludf.DUMMYFUNCTION("""COMPUTED_VALUE"""),49999.0)</f>
        <v>49999</v>
      </c>
      <c r="G6" s="115">
        <f>IFERROR(__xludf.DUMMYFUNCTION("""COMPUTED_VALUE"""),907.0)</f>
        <v>907</v>
      </c>
      <c r="H6" s="116">
        <f>IFERROR(__xludf.DUMMYFUNCTION("""COMPUTED_VALUE"""),45901.0)</f>
        <v>45901</v>
      </c>
      <c r="I6" s="115" t="str">
        <f>IFERROR(__xludf.DUMMYFUNCTION("""COMPUTED_VALUE"""),"11")</f>
        <v>11</v>
      </c>
      <c r="J6" s="115" t="str">
        <f>IFERROR(__xludf.DUMMYFUNCTION("""COMPUTED_VALUE"""),"Girish Chand2025-09-0111")</f>
        <v>Girish Chand2025-09-0111</v>
      </c>
      <c r="K6" s="115">
        <f>IFERROR(__xludf.DUMMYFUNCTION("""COMPUTED_VALUE"""),389427.0)</f>
        <v>389427</v>
      </c>
    </row>
    <row r="7">
      <c r="A7" s="115" t="str">
        <f>IFERROR(__xludf.DUMMYFUNCTION("""COMPUTED_VALUE"""),"EAST")</f>
        <v>EAST</v>
      </c>
      <c r="B7" s="115" t="str">
        <f>IFERROR(__xludf.DUMMYFUNCTION("""COMPUTED_VALUE"""),"Girish Chand")</f>
        <v>Girish Chand</v>
      </c>
      <c r="C7" s="115" t="str">
        <f>IFERROR(__xludf.DUMMYFUNCTION("""COMPUTED_VALUE"""),"MYNTRA")</f>
        <v>MYNTRA</v>
      </c>
      <c r="D7" s="115">
        <f>IFERROR(__xludf.DUMMYFUNCTION("""COMPUTED_VALUE"""),27602.0)</f>
        <v>27602</v>
      </c>
      <c r="E7" s="115">
        <f>IFERROR(__xludf.DUMMYFUNCTION("""COMPUTED_VALUE"""),4336.0)</f>
        <v>4336</v>
      </c>
      <c r="F7" s="115">
        <f>IFERROR(__xludf.DUMMYFUNCTION("""COMPUTED_VALUE"""),4305.0)</f>
        <v>4305</v>
      </c>
      <c r="G7" s="115">
        <f>IFERROR(__xludf.DUMMYFUNCTION("""COMPUTED_VALUE"""),212.0)</f>
        <v>212</v>
      </c>
      <c r="H7" s="116">
        <f>IFERROR(__xludf.DUMMYFUNCTION("""COMPUTED_VALUE"""),45901.0)</f>
        <v>45901</v>
      </c>
      <c r="I7" s="115" t="str">
        <f>IFERROR(__xludf.DUMMYFUNCTION("""COMPUTED_VALUE"""),"11")</f>
        <v>11</v>
      </c>
      <c r="J7" s="115" t="str">
        <f>IFERROR(__xludf.DUMMYFUNCTION("""COMPUTED_VALUE"""),"Girish Chand2025-09-0111")</f>
        <v>Girish Chand2025-09-0111</v>
      </c>
      <c r="K7" s="115">
        <f>IFERROR(__xludf.DUMMYFUNCTION("""COMPUTED_VALUE"""),31938.0)</f>
        <v>31938</v>
      </c>
    </row>
    <row r="8">
      <c r="A8" s="115" t="str">
        <f>IFERROR(__xludf.DUMMYFUNCTION("""COMPUTED_VALUE"""),"EAST")</f>
        <v>EAST</v>
      </c>
      <c r="B8" s="115" t="str">
        <f>IFERROR(__xludf.DUMMYFUNCTION("""COMPUTED_VALUE"""),"Parag Kashyap")</f>
        <v>Parag Kashyap</v>
      </c>
      <c r="C8" s="115" t="str">
        <f>IFERROR(__xludf.DUMMYFUNCTION("""COMPUTED_VALUE"""),"EXTERNAL")</f>
        <v>EXTERNAL</v>
      </c>
      <c r="D8" s="115">
        <f>IFERROR(__xludf.DUMMYFUNCTION("""COMPUTED_VALUE"""),17329.0)</f>
        <v>17329</v>
      </c>
      <c r="E8" s="115">
        <f>IFERROR(__xludf.DUMMYFUNCTION("""COMPUTED_VALUE"""),799.0)</f>
        <v>799</v>
      </c>
      <c r="F8" s="115">
        <f>IFERROR(__xludf.DUMMYFUNCTION("""COMPUTED_VALUE"""),915.0)</f>
        <v>915</v>
      </c>
      <c r="G8" s="115">
        <f>IFERROR(__xludf.DUMMYFUNCTION("""COMPUTED_VALUE"""),6.0)</f>
        <v>6</v>
      </c>
      <c r="H8" s="116">
        <f>IFERROR(__xludf.DUMMYFUNCTION("""COMPUTED_VALUE"""),45901.0)</f>
        <v>45901</v>
      </c>
      <c r="I8" s="115" t="str">
        <f>IFERROR(__xludf.DUMMYFUNCTION("""COMPUTED_VALUE"""),"11")</f>
        <v>11</v>
      </c>
      <c r="J8" s="115" t="str">
        <f>IFERROR(__xludf.DUMMYFUNCTION("""COMPUTED_VALUE"""),"Parag Kashyap2025-09-0111")</f>
        <v>Parag Kashyap2025-09-0111</v>
      </c>
      <c r="K8" s="115">
        <f>IFERROR(__xludf.DUMMYFUNCTION("""COMPUTED_VALUE"""),18128.0)</f>
        <v>18128</v>
      </c>
    </row>
    <row r="9">
      <c r="A9" s="115" t="str">
        <f>IFERROR(__xludf.DUMMYFUNCTION("""COMPUTED_VALUE"""),"EAST")</f>
        <v>EAST</v>
      </c>
      <c r="B9" s="115" t="str">
        <f>IFERROR(__xludf.DUMMYFUNCTION("""COMPUTED_VALUE"""),"Parag Kashyap")</f>
        <v>Parag Kashyap</v>
      </c>
      <c r="C9" s="115" t="str">
        <f>IFERROR(__xludf.DUMMYFUNCTION("""COMPUTED_VALUE"""),"FLIPKART")</f>
        <v>FLIPKART</v>
      </c>
      <c r="D9" s="115">
        <f>IFERROR(__xludf.DUMMYFUNCTION("""COMPUTED_VALUE"""),257021.0)</f>
        <v>257021</v>
      </c>
      <c r="E9" s="115">
        <f>IFERROR(__xludf.DUMMYFUNCTION("""COMPUTED_VALUE"""),11666.0)</f>
        <v>11666</v>
      </c>
      <c r="F9" s="115">
        <f>IFERROR(__xludf.DUMMYFUNCTION("""COMPUTED_VALUE"""),28090.0)</f>
        <v>28090</v>
      </c>
      <c r="G9" s="115">
        <f>IFERROR(__xludf.DUMMYFUNCTION("""COMPUTED_VALUE"""),270.0)</f>
        <v>270</v>
      </c>
      <c r="H9" s="116">
        <f>IFERROR(__xludf.DUMMYFUNCTION("""COMPUTED_VALUE"""),45901.0)</f>
        <v>45901</v>
      </c>
      <c r="I9" s="115" t="str">
        <f>IFERROR(__xludf.DUMMYFUNCTION("""COMPUTED_VALUE"""),"11")</f>
        <v>11</v>
      </c>
      <c r="J9" s="115" t="str">
        <f>IFERROR(__xludf.DUMMYFUNCTION("""COMPUTED_VALUE"""),"Parag Kashyap2025-09-0111")</f>
        <v>Parag Kashyap2025-09-0111</v>
      </c>
      <c r="K9" s="115">
        <f>IFERROR(__xludf.DUMMYFUNCTION("""COMPUTED_VALUE"""),268687.0)</f>
        <v>268687</v>
      </c>
    </row>
    <row r="10">
      <c r="A10" s="115" t="str">
        <f>IFERROR(__xludf.DUMMYFUNCTION("""COMPUTED_VALUE"""),"EAST")</f>
        <v>EAST</v>
      </c>
      <c r="B10" s="115" t="str">
        <f>IFERROR(__xludf.DUMMYFUNCTION("""COMPUTED_VALUE"""),"Parag Kashyap")</f>
        <v>Parag Kashyap</v>
      </c>
      <c r="C10" s="115" t="str">
        <f>IFERROR(__xludf.DUMMYFUNCTION("""COMPUTED_VALUE"""),"MYNTRA")</f>
        <v>MYNTRA</v>
      </c>
      <c r="D10" s="115">
        <f>IFERROR(__xludf.DUMMYFUNCTION("""COMPUTED_VALUE"""),28318.0)</f>
        <v>28318</v>
      </c>
      <c r="E10" s="115">
        <f>IFERROR(__xludf.DUMMYFUNCTION("""COMPUTED_VALUE"""),3059.0)</f>
        <v>3059</v>
      </c>
      <c r="F10" s="115">
        <f>IFERROR(__xludf.DUMMYFUNCTION("""COMPUTED_VALUE"""),3485.0)</f>
        <v>3485</v>
      </c>
      <c r="G10" s="115">
        <f>IFERROR(__xludf.DUMMYFUNCTION("""COMPUTED_VALUE"""),29.0)</f>
        <v>29</v>
      </c>
      <c r="H10" s="116">
        <f>IFERROR(__xludf.DUMMYFUNCTION("""COMPUTED_VALUE"""),45901.0)</f>
        <v>45901</v>
      </c>
      <c r="I10" s="115" t="str">
        <f>IFERROR(__xludf.DUMMYFUNCTION("""COMPUTED_VALUE"""),"11")</f>
        <v>11</v>
      </c>
      <c r="J10" s="115" t="str">
        <f>IFERROR(__xludf.DUMMYFUNCTION("""COMPUTED_VALUE"""),"Parag Kashyap2025-09-0111")</f>
        <v>Parag Kashyap2025-09-0111</v>
      </c>
      <c r="K10" s="115">
        <f>IFERROR(__xludf.DUMMYFUNCTION("""COMPUTED_VALUE"""),31377.0)</f>
        <v>31377</v>
      </c>
    </row>
    <row r="11">
      <c r="A11" s="115" t="str">
        <f>IFERROR(__xludf.DUMMYFUNCTION("""COMPUTED_VALUE"""),"NORTH")</f>
        <v>NORTH</v>
      </c>
      <c r="B11" s="115" t="str">
        <f>IFERROR(__xludf.DUMMYFUNCTION("""COMPUTED_VALUE"""),"Amit Kumar Pathak")</f>
        <v>Amit Kumar Pathak</v>
      </c>
      <c r="C11" s="115" t="str">
        <f>IFERROR(__xludf.DUMMYFUNCTION("""COMPUTED_VALUE"""),"EXTERNAL")</f>
        <v>EXTERNAL</v>
      </c>
      <c r="D11" s="115">
        <f>IFERROR(__xludf.DUMMYFUNCTION("""COMPUTED_VALUE"""),20478.0)</f>
        <v>20478</v>
      </c>
      <c r="E11" s="115">
        <f>IFERROR(__xludf.DUMMYFUNCTION("""COMPUTED_VALUE"""),1775.0)</f>
        <v>1775</v>
      </c>
      <c r="F11" s="115">
        <f>IFERROR(__xludf.DUMMYFUNCTION("""COMPUTED_VALUE"""),1230.0)</f>
        <v>1230</v>
      </c>
      <c r="G11" s="115">
        <f>IFERROR(__xludf.DUMMYFUNCTION("""COMPUTED_VALUE"""),89.0)</f>
        <v>89</v>
      </c>
      <c r="H11" s="116">
        <f>IFERROR(__xludf.DUMMYFUNCTION("""COMPUTED_VALUE"""),45901.0)</f>
        <v>45901</v>
      </c>
      <c r="I11" s="115" t="str">
        <f>IFERROR(__xludf.DUMMYFUNCTION("""COMPUTED_VALUE"""),"11")</f>
        <v>11</v>
      </c>
      <c r="J11" s="115" t="str">
        <f>IFERROR(__xludf.DUMMYFUNCTION("""COMPUTED_VALUE"""),"Amit Kumar Pathak2025-09-0111")</f>
        <v>Amit Kumar Pathak2025-09-0111</v>
      </c>
      <c r="K11" s="115">
        <f>IFERROR(__xludf.DUMMYFUNCTION("""COMPUTED_VALUE"""),22253.0)</f>
        <v>22253</v>
      </c>
    </row>
    <row r="12">
      <c r="A12" s="115" t="str">
        <f>IFERROR(__xludf.DUMMYFUNCTION("""COMPUTED_VALUE"""),"NORTH")</f>
        <v>NORTH</v>
      </c>
      <c r="B12" s="115" t="str">
        <f>IFERROR(__xludf.DUMMYFUNCTION("""COMPUTED_VALUE"""),"Amit Kumar Pathak")</f>
        <v>Amit Kumar Pathak</v>
      </c>
      <c r="C12" s="115" t="str">
        <f>IFERROR(__xludf.DUMMYFUNCTION("""COMPUTED_VALUE"""),"FLIPKART")</f>
        <v>FLIPKART</v>
      </c>
      <c r="D12" s="115">
        <f>IFERROR(__xludf.DUMMYFUNCTION("""COMPUTED_VALUE"""),139182.0)</f>
        <v>139182</v>
      </c>
      <c r="E12" s="115">
        <f>IFERROR(__xludf.DUMMYFUNCTION("""COMPUTED_VALUE"""),17423.0)</f>
        <v>17423</v>
      </c>
      <c r="F12" s="115">
        <f>IFERROR(__xludf.DUMMYFUNCTION("""COMPUTED_VALUE"""),18304.0)</f>
        <v>18304</v>
      </c>
      <c r="G12" s="115">
        <f>IFERROR(__xludf.DUMMYFUNCTION("""COMPUTED_VALUE"""),1276.0)</f>
        <v>1276</v>
      </c>
      <c r="H12" s="116">
        <f>IFERROR(__xludf.DUMMYFUNCTION("""COMPUTED_VALUE"""),45901.0)</f>
        <v>45901</v>
      </c>
      <c r="I12" s="115" t="str">
        <f>IFERROR(__xludf.DUMMYFUNCTION("""COMPUTED_VALUE"""),"11")</f>
        <v>11</v>
      </c>
      <c r="J12" s="115" t="str">
        <f>IFERROR(__xludf.DUMMYFUNCTION("""COMPUTED_VALUE"""),"Amit Kumar Pathak2025-09-0111")</f>
        <v>Amit Kumar Pathak2025-09-0111</v>
      </c>
      <c r="K12" s="115">
        <f>IFERROR(__xludf.DUMMYFUNCTION("""COMPUTED_VALUE"""),156605.0)</f>
        <v>156605</v>
      </c>
    </row>
    <row r="13">
      <c r="A13" s="115" t="str">
        <f>IFERROR(__xludf.DUMMYFUNCTION("""COMPUTED_VALUE"""),"NORTH")</f>
        <v>NORTH</v>
      </c>
      <c r="B13" s="115" t="str">
        <f>IFERROR(__xludf.DUMMYFUNCTION("""COMPUTED_VALUE"""),"Amit Kumar Pathak")</f>
        <v>Amit Kumar Pathak</v>
      </c>
      <c r="C13" s="115" t="str">
        <f>IFERROR(__xludf.DUMMYFUNCTION("""COMPUTED_VALUE"""),"MYNTRA")</f>
        <v>MYNTRA</v>
      </c>
      <c r="D13" s="115">
        <f>IFERROR(__xludf.DUMMYFUNCTION("""COMPUTED_VALUE"""),11341.0)</f>
        <v>11341</v>
      </c>
      <c r="E13" s="115">
        <f>IFERROR(__xludf.DUMMYFUNCTION("""COMPUTED_VALUE"""),4039.0)</f>
        <v>4039</v>
      </c>
      <c r="F13" s="115">
        <f>IFERROR(__xludf.DUMMYFUNCTION("""COMPUTED_VALUE"""),1955.0)</f>
        <v>1955</v>
      </c>
      <c r="G13" s="115">
        <f>IFERROR(__xludf.DUMMYFUNCTION("""COMPUTED_VALUE"""),350.0)</f>
        <v>350</v>
      </c>
      <c r="H13" s="116">
        <f>IFERROR(__xludf.DUMMYFUNCTION("""COMPUTED_VALUE"""),45901.0)</f>
        <v>45901</v>
      </c>
      <c r="I13" s="115" t="str">
        <f>IFERROR(__xludf.DUMMYFUNCTION("""COMPUTED_VALUE"""),"11")</f>
        <v>11</v>
      </c>
      <c r="J13" s="115" t="str">
        <f>IFERROR(__xludf.DUMMYFUNCTION("""COMPUTED_VALUE"""),"Amit Kumar Pathak2025-09-0111")</f>
        <v>Amit Kumar Pathak2025-09-0111</v>
      </c>
      <c r="K13" s="115">
        <f>IFERROR(__xludf.DUMMYFUNCTION("""COMPUTED_VALUE"""),15380.0)</f>
        <v>15380</v>
      </c>
    </row>
    <row r="14">
      <c r="A14" s="115" t="str">
        <f>IFERROR(__xludf.DUMMYFUNCTION("""COMPUTED_VALUE"""),"NORTH")</f>
        <v>NORTH</v>
      </c>
      <c r="B14" s="115" t="str">
        <f>IFERROR(__xludf.DUMMYFUNCTION("""COMPUTED_VALUE"""),"Loveleen Singh")</f>
        <v>Loveleen Singh</v>
      </c>
      <c r="C14" s="115" t="str">
        <f>IFERROR(__xludf.DUMMYFUNCTION("""COMPUTED_VALUE"""),"EXTERNAL")</f>
        <v>EXTERNAL</v>
      </c>
      <c r="D14" s="115">
        <f>IFERROR(__xludf.DUMMYFUNCTION("""COMPUTED_VALUE"""),19464.0)</f>
        <v>19464</v>
      </c>
      <c r="E14" s="115">
        <f>IFERROR(__xludf.DUMMYFUNCTION("""COMPUTED_VALUE"""),1199.0)</f>
        <v>1199</v>
      </c>
      <c r="F14" s="115">
        <f>IFERROR(__xludf.DUMMYFUNCTION("""COMPUTED_VALUE"""),962.0)</f>
        <v>962</v>
      </c>
      <c r="G14" s="115">
        <f>IFERROR(__xludf.DUMMYFUNCTION("""COMPUTED_VALUE"""),13.0)</f>
        <v>13</v>
      </c>
      <c r="H14" s="116">
        <f>IFERROR(__xludf.DUMMYFUNCTION("""COMPUTED_VALUE"""),45901.0)</f>
        <v>45901</v>
      </c>
      <c r="I14" s="115" t="str">
        <f>IFERROR(__xludf.DUMMYFUNCTION("""COMPUTED_VALUE"""),"11")</f>
        <v>11</v>
      </c>
      <c r="J14" s="115" t="str">
        <f>IFERROR(__xludf.DUMMYFUNCTION("""COMPUTED_VALUE"""),"Loveleen Singh2025-09-0111")</f>
        <v>Loveleen Singh2025-09-0111</v>
      </c>
      <c r="K14" s="115">
        <f>IFERROR(__xludf.DUMMYFUNCTION("""COMPUTED_VALUE"""),20663.0)</f>
        <v>20663</v>
      </c>
    </row>
    <row r="15">
      <c r="A15" s="115" t="str">
        <f>IFERROR(__xludf.DUMMYFUNCTION("""COMPUTED_VALUE"""),"NORTH")</f>
        <v>NORTH</v>
      </c>
      <c r="B15" s="115" t="str">
        <f>IFERROR(__xludf.DUMMYFUNCTION("""COMPUTED_VALUE"""),"Loveleen Singh")</f>
        <v>Loveleen Singh</v>
      </c>
      <c r="C15" s="115" t="str">
        <f>IFERROR(__xludf.DUMMYFUNCTION("""COMPUTED_VALUE"""),"FLIPKART")</f>
        <v>FLIPKART</v>
      </c>
      <c r="D15" s="115">
        <f>IFERROR(__xludf.DUMMYFUNCTION("""COMPUTED_VALUE"""),95291.0)</f>
        <v>95291</v>
      </c>
      <c r="E15" s="115">
        <f>IFERROR(__xludf.DUMMYFUNCTION("""COMPUTED_VALUE"""),8288.0)</f>
        <v>8288</v>
      </c>
      <c r="F15" s="115">
        <f>IFERROR(__xludf.DUMMYFUNCTION("""COMPUTED_VALUE"""),8850.0)</f>
        <v>8850</v>
      </c>
      <c r="G15" s="115">
        <f>IFERROR(__xludf.DUMMYFUNCTION("""COMPUTED_VALUE"""),292.0)</f>
        <v>292</v>
      </c>
      <c r="H15" s="116">
        <f>IFERROR(__xludf.DUMMYFUNCTION("""COMPUTED_VALUE"""),45901.0)</f>
        <v>45901</v>
      </c>
      <c r="I15" s="115" t="str">
        <f>IFERROR(__xludf.DUMMYFUNCTION("""COMPUTED_VALUE"""),"11")</f>
        <v>11</v>
      </c>
      <c r="J15" s="115" t="str">
        <f>IFERROR(__xludf.DUMMYFUNCTION("""COMPUTED_VALUE"""),"Loveleen Singh2025-09-0111")</f>
        <v>Loveleen Singh2025-09-0111</v>
      </c>
      <c r="K15" s="115">
        <f>IFERROR(__xludf.DUMMYFUNCTION("""COMPUTED_VALUE"""),103579.0)</f>
        <v>103579</v>
      </c>
    </row>
    <row r="16">
      <c r="A16" s="115" t="str">
        <f>IFERROR(__xludf.DUMMYFUNCTION("""COMPUTED_VALUE"""),"NORTH")</f>
        <v>NORTH</v>
      </c>
      <c r="B16" s="115" t="str">
        <f>IFERROR(__xludf.DUMMYFUNCTION("""COMPUTED_VALUE"""),"Loveleen Singh")</f>
        <v>Loveleen Singh</v>
      </c>
      <c r="C16" s="115" t="str">
        <f>IFERROR(__xludf.DUMMYFUNCTION("""COMPUTED_VALUE"""),"MYNTRA")</f>
        <v>MYNTRA</v>
      </c>
      <c r="D16" s="115">
        <f>IFERROR(__xludf.DUMMYFUNCTION("""COMPUTED_VALUE"""),12812.0)</f>
        <v>12812</v>
      </c>
      <c r="E16" s="115">
        <f>IFERROR(__xludf.DUMMYFUNCTION("""COMPUTED_VALUE"""),3077.0)</f>
        <v>3077</v>
      </c>
      <c r="F16" s="115">
        <f>IFERROR(__xludf.DUMMYFUNCTION("""COMPUTED_VALUE"""),1380.0)</f>
        <v>1380</v>
      </c>
      <c r="G16" s="115">
        <f>IFERROR(__xludf.DUMMYFUNCTION("""COMPUTED_VALUE"""),84.0)</f>
        <v>84</v>
      </c>
      <c r="H16" s="116">
        <f>IFERROR(__xludf.DUMMYFUNCTION("""COMPUTED_VALUE"""),45901.0)</f>
        <v>45901</v>
      </c>
      <c r="I16" s="115" t="str">
        <f>IFERROR(__xludf.DUMMYFUNCTION("""COMPUTED_VALUE"""),"11")</f>
        <v>11</v>
      </c>
      <c r="J16" s="115" t="str">
        <f>IFERROR(__xludf.DUMMYFUNCTION("""COMPUTED_VALUE"""),"Loveleen Singh2025-09-0111")</f>
        <v>Loveleen Singh2025-09-0111</v>
      </c>
      <c r="K16" s="115">
        <f>IFERROR(__xludf.DUMMYFUNCTION("""COMPUTED_VALUE"""),15889.0)</f>
        <v>15889</v>
      </c>
    </row>
    <row r="17">
      <c r="A17" s="115" t="str">
        <f>IFERROR(__xludf.DUMMYFUNCTION("""COMPUTED_VALUE"""),"NORTH")</f>
        <v>NORTH</v>
      </c>
      <c r="B17" s="115" t="str">
        <f>IFERROR(__xludf.DUMMYFUNCTION("""COMPUTED_VALUE"""),"Manoj Harsh")</f>
        <v>Manoj Harsh</v>
      </c>
      <c r="C17" s="115" t="str">
        <f>IFERROR(__xludf.DUMMYFUNCTION("""COMPUTED_VALUE"""),"EXTERNAL")</f>
        <v>EXTERNAL</v>
      </c>
      <c r="D17" s="115">
        <f>IFERROR(__xludf.DUMMYFUNCTION("""COMPUTED_VALUE"""),21310.0)</f>
        <v>21310</v>
      </c>
      <c r="E17" s="115">
        <f>IFERROR(__xludf.DUMMYFUNCTION("""COMPUTED_VALUE"""),1916.0)</f>
        <v>1916</v>
      </c>
      <c r="F17" s="115">
        <f>IFERROR(__xludf.DUMMYFUNCTION("""COMPUTED_VALUE"""),1150.0)</f>
        <v>1150</v>
      </c>
      <c r="G17" s="115">
        <f>IFERROR(__xludf.DUMMYFUNCTION("""COMPUTED_VALUE"""),49.0)</f>
        <v>49</v>
      </c>
      <c r="H17" s="116">
        <f>IFERROR(__xludf.DUMMYFUNCTION("""COMPUTED_VALUE"""),45901.0)</f>
        <v>45901</v>
      </c>
      <c r="I17" s="115" t="str">
        <f>IFERROR(__xludf.DUMMYFUNCTION("""COMPUTED_VALUE"""),"11")</f>
        <v>11</v>
      </c>
      <c r="J17" s="115" t="str">
        <f>IFERROR(__xludf.DUMMYFUNCTION("""COMPUTED_VALUE"""),"Manoj Harsh2025-09-0111")</f>
        <v>Manoj Harsh2025-09-0111</v>
      </c>
      <c r="K17" s="115">
        <f>IFERROR(__xludf.DUMMYFUNCTION("""COMPUTED_VALUE"""),23226.0)</f>
        <v>23226</v>
      </c>
    </row>
    <row r="18">
      <c r="A18" s="115" t="str">
        <f>IFERROR(__xludf.DUMMYFUNCTION("""COMPUTED_VALUE"""),"NORTH")</f>
        <v>NORTH</v>
      </c>
      <c r="B18" s="115" t="str">
        <f>IFERROR(__xludf.DUMMYFUNCTION("""COMPUTED_VALUE"""),"Manoj Harsh")</f>
        <v>Manoj Harsh</v>
      </c>
      <c r="C18" s="115" t="str">
        <f>IFERROR(__xludf.DUMMYFUNCTION("""COMPUTED_VALUE"""),"FLIPKART")</f>
        <v>FLIPKART</v>
      </c>
      <c r="D18" s="115">
        <f>IFERROR(__xludf.DUMMYFUNCTION("""COMPUTED_VALUE"""),278424.0)</f>
        <v>278424</v>
      </c>
      <c r="E18" s="115">
        <f>IFERROR(__xludf.DUMMYFUNCTION("""COMPUTED_VALUE"""),24729.0)</f>
        <v>24729</v>
      </c>
      <c r="F18" s="115">
        <f>IFERROR(__xludf.DUMMYFUNCTION("""COMPUTED_VALUE"""),29591.0)</f>
        <v>29591</v>
      </c>
      <c r="G18" s="115">
        <f>IFERROR(__xludf.DUMMYFUNCTION("""COMPUTED_VALUE"""),804.0)</f>
        <v>804</v>
      </c>
      <c r="H18" s="116">
        <f>IFERROR(__xludf.DUMMYFUNCTION("""COMPUTED_VALUE"""),45901.0)</f>
        <v>45901</v>
      </c>
      <c r="I18" s="115" t="str">
        <f>IFERROR(__xludf.DUMMYFUNCTION("""COMPUTED_VALUE"""),"11")</f>
        <v>11</v>
      </c>
      <c r="J18" s="115" t="str">
        <f>IFERROR(__xludf.DUMMYFUNCTION("""COMPUTED_VALUE"""),"Manoj Harsh2025-09-0111")</f>
        <v>Manoj Harsh2025-09-0111</v>
      </c>
      <c r="K18" s="115">
        <f>IFERROR(__xludf.DUMMYFUNCTION("""COMPUTED_VALUE"""),303153.0)</f>
        <v>303153</v>
      </c>
    </row>
    <row r="19">
      <c r="A19" s="115" t="str">
        <f>IFERROR(__xludf.DUMMYFUNCTION("""COMPUTED_VALUE"""),"NORTH")</f>
        <v>NORTH</v>
      </c>
      <c r="B19" s="115" t="str">
        <f>IFERROR(__xludf.DUMMYFUNCTION("""COMPUTED_VALUE"""),"Manoj Harsh")</f>
        <v>Manoj Harsh</v>
      </c>
      <c r="C19" s="115" t="str">
        <f>IFERROR(__xludf.DUMMYFUNCTION("""COMPUTED_VALUE"""),"MYNTRA")</f>
        <v>MYNTRA</v>
      </c>
      <c r="D19" s="115">
        <f>IFERROR(__xludf.DUMMYFUNCTION("""COMPUTED_VALUE"""),23875.0)</f>
        <v>23875</v>
      </c>
      <c r="E19" s="115">
        <f>IFERROR(__xludf.DUMMYFUNCTION("""COMPUTED_VALUE"""),3941.0)</f>
        <v>3941</v>
      </c>
      <c r="F19" s="115">
        <f>IFERROR(__xludf.DUMMYFUNCTION("""COMPUTED_VALUE"""),2993.0)</f>
        <v>2993</v>
      </c>
      <c r="G19" s="115">
        <f>IFERROR(__xludf.DUMMYFUNCTION("""COMPUTED_VALUE"""),105.0)</f>
        <v>105</v>
      </c>
      <c r="H19" s="116">
        <f>IFERROR(__xludf.DUMMYFUNCTION("""COMPUTED_VALUE"""),45901.0)</f>
        <v>45901</v>
      </c>
      <c r="I19" s="115" t="str">
        <f>IFERROR(__xludf.DUMMYFUNCTION("""COMPUTED_VALUE"""),"11")</f>
        <v>11</v>
      </c>
      <c r="J19" s="115" t="str">
        <f>IFERROR(__xludf.DUMMYFUNCTION("""COMPUTED_VALUE"""),"Manoj Harsh2025-09-0111")</f>
        <v>Manoj Harsh2025-09-0111</v>
      </c>
      <c r="K19" s="115">
        <f>IFERROR(__xludf.DUMMYFUNCTION("""COMPUTED_VALUE"""),27816.0)</f>
        <v>27816</v>
      </c>
    </row>
    <row r="20">
      <c r="A20" s="115" t="str">
        <f>IFERROR(__xludf.DUMMYFUNCTION("""COMPUTED_VALUE"""),"NORTH")</f>
        <v>NORTH</v>
      </c>
      <c r="B20" s="115" t="str">
        <f>IFERROR(__xludf.DUMMYFUNCTION("""COMPUTED_VALUE"""),"Pradeep Kothari")</f>
        <v>Pradeep Kothari</v>
      </c>
      <c r="C20" s="115" t="str">
        <f>IFERROR(__xludf.DUMMYFUNCTION("""COMPUTED_VALUE"""),"EXTERNAL")</f>
        <v>EXTERNAL</v>
      </c>
      <c r="D20" s="115">
        <f>IFERROR(__xludf.DUMMYFUNCTION("""COMPUTED_VALUE"""),14240.0)</f>
        <v>14240</v>
      </c>
      <c r="E20" s="115">
        <f>IFERROR(__xludf.DUMMYFUNCTION("""COMPUTED_VALUE"""),1381.0)</f>
        <v>1381</v>
      </c>
      <c r="F20" s="115">
        <f>IFERROR(__xludf.DUMMYFUNCTION("""COMPUTED_VALUE"""),917.0)</f>
        <v>917</v>
      </c>
      <c r="G20" s="115">
        <f>IFERROR(__xludf.DUMMYFUNCTION("""COMPUTED_VALUE"""),48.0)</f>
        <v>48</v>
      </c>
      <c r="H20" s="116">
        <f>IFERROR(__xludf.DUMMYFUNCTION("""COMPUTED_VALUE"""),45901.0)</f>
        <v>45901</v>
      </c>
      <c r="I20" s="115" t="str">
        <f>IFERROR(__xludf.DUMMYFUNCTION("""COMPUTED_VALUE"""),"11")</f>
        <v>11</v>
      </c>
      <c r="J20" s="115" t="str">
        <f>IFERROR(__xludf.DUMMYFUNCTION("""COMPUTED_VALUE"""),"Pradeep Kothari2025-09-0111")</f>
        <v>Pradeep Kothari2025-09-0111</v>
      </c>
      <c r="K20" s="115">
        <f>IFERROR(__xludf.DUMMYFUNCTION("""COMPUTED_VALUE"""),15621.0)</f>
        <v>15621</v>
      </c>
    </row>
    <row r="21">
      <c r="A21" s="115" t="str">
        <f>IFERROR(__xludf.DUMMYFUNCTION("""COMPUTED_VALUE"""),"NORTH")</f>
        <v>NORTH</v>
      </c>
      <c r="B21" s="115" t="str">
        <f>IFERROR(__xludf.DUMMYFUNCTION("""COMPUTED_VALUE"""),"Pradeep Kothari")</f>
        <v>Pradeep Kothari</v>
      </c>
      <c r="C21" s="115" t="str">
        <f>IFERROR(__xludf.DUMMYFUNCTION("""COMPUTED_VALUE"""),"FLIPKART")</f>
        <v>FLIPKART</v>
      </c>
      <c r="D21" s="115">
        <f>IFERROR(__xludf.DUMMYFUNCTION("""COMPUTED_VALUE"""),105701.0)</f>
        <v>105701</v>
      </c>
      <c r="E21" s="115">
        <f>IFERROR(__xludf.DUMMYFUNCTION("""COMPUTED_VALUE"""),11937.0)</f>
        <v>11937</v>
      </c>
      <c r="F21" s="115">
        <f>IFERROR(__xludf.DUMMYFUNCTION("""COMPUTED_VALUE"""),14250.0)</f>
        <v>14250</v>
      </c>
      <c r="G21" s="115">
        <f>IFERROR(__xludf.DUMMYFUNCTION("""COMPUTED_VALUE"""),651.0)</f>
        <v>651</v>
      </c>
      <c r="H21" s="116">
        <f>IFERROR(__xludf.DUMMYFUNCTION("""COMPUTED_VALUE"""),45901.0)</f>
        <v>45901</v>
      </c>
      <c r="I21" s="115" t="str">
        <f>IFERROR(__xludf.DUMMYFUNCTION("""COMPUTED_VALUE"""),"11")</f>
        <v>11</v>
      </c>
      <c r="J21" s="115" t="str">
        <f>IFERROR(__xludf.DUMMYFUNCTION("""COMPUTED_VALUE"""),"Pradeep Kothari2025-09-0111")</f>
        <v>Pradeep Kothari2025-09-0111</v>
      </c>
      <c r="K21" s="115">
        <f>IFERROR(__xludf.DUMMYFUNCTION("""COMPUTED_VALUE"""),117638.0)</f>
        <v>117638</v>
      </c>
    </row>
    <row r="22">
      <c r="A22" s="115" t="str">
        <f>IFERROR(__xludf.DUMMYFUNCTION("""COMPUTED_VALUE"""),"NORTH")</f>
        <v>NORTH</v>
      </c>
      <c r="B22" s="115" t="str">
        <f>IFERROR(__xludf.DUMMYFUNCTION("""COMPUTED_VALUE"""),"Pradeep Kothari")</f>
        <v>Pradeep Kothari</v>
      </c>
      <c r="C22" s="115" t="str">
        <f>IFERROR(__xludf.DUMMYFUNCTION("""COMPUTED_VALUE"""),"MYNTRA")</f>
        <v>MYNTRA</v>
      </c>
      <c r="D22" s="115">
        <f>IFERROR(__xludf.DUMMYFUNCTION("""COMPUTED_VALUE"""),18675.0)</f>
        <v>18675</v>
      </c>
      <c r="E22" s="115">
        <f>IFERROR(__xludf.DUMMYFUNCTION("""COMPUTED_VALUE"""),3907.0)</f>
        <v>3907</v>
      </c>
      <c r="F22" s="115">
        <f>IFERROR(__xludf.DUMMYFUNCTION("""COMPUTED_VALUE"""),3779.0)</f>
        <v>3779</v>
      </c>
      <c r="G22" s="115">
        <f>IFERROR(__xludf.DUMMYFUNCTION("""COMPUTED_VALUE"""),254.0)</f>
        <v>254</v>
      </c>
      <c r="H22" s="116">
        <f>IFERROR(__xludf.DUMMYFUNCTION("""COMPUTED_VALUE"""),45901.0)</f>
        <v>45901</v>
      </c>
      <c r="I22" s="115" t="str">
        <f>IFERROR(__xludf.DUMMYFUNCTION("""COMPUTED_VALUE"""),"11")</f>
        <v>11</v>
      </c>
      <c r="J22" s="115" t="str">
        <f>IFERROR(__xludf.DUMMYFUNCTION("""COMPUTED_VALUE"""),"Pradeep Kothari2025-09-0111")</f>
        <v>Pradeep Kothari2025-09-0111</v>
      </c>
      <c r="K22" s="115">
        <f>IFERROR(__xludf.DUMMYFUNCTION("""COMPUTED_VALUE"""),22582.0)</f>
        <v>22582</v>
      </c>
    </row>
    <row r="23">
      <c r="A23" s="115" t="str">
        <f>IFERROR(__xludf.DUMMYFUNCTION("""COMPUTED_VALUE"""),"SOUTH")</f>
        <v>SOUTH</v>
      </c>
      <c r="B23" s="115" t="str">
        <f>IFERROR(__xludf.DUMMYFUNCTION("""COMPUTED_VALUE"""),"Kandula Sampath")</f>
        <v>Kandula Sampath</v>
      </c>
      <c r="C23" s="115" t="str">
        <f>IFERROR(__xludf.DUMMYFUNCTION("""COMPUTED_VALUE"""),"EXTERNAL")</f>
        <v>EXTERNAL</v>
      </c>
      <c r="D23" s="115">
        <f>IFERROR(__xludf.DUMMYFUNCTION("""COMPUTED_VALUE"""),31839.0)</f>
        <v>31839</v>
      </c>
      <c r="E23" s="115">
        <f>IFERROR(__xludf.DUMMYFUNCTION("""COMPUTED_VALUE"""),2845.0)</f>
        <v>2845</v>
      </c>
      <c r="F23" s="115">
        <f>IFERROR(__xludf.DUMMYFUNCTION("""COMPUTED_VALUE"""),2907.0)</f>
        <v>2907</v>
      </c>
      <c r="G23" s="115">
        <f>IFERROR(__xludf.DUMMYFUNCTION("""COMPUTED_VALUE"""),52.0)</f>
        <v>52</v>
      </c>
      <c r="H23" s="116">
        <f>IFERROR(__xludf.DUMMYFUNCTION("""COMPUTED_VALUE"""),45901.0)</f>
        <v>45901</v>
      </c>
      <c r="I23" s="115" t="str">
        <f>IFERROR(__xludf.DUMMYFUNCTION("""COMPUTED_VALUE"""),"11")</f>
        <v>11</v>
      </c>
      <c r="J23" s="115" t="str">
        <f>IFERROR(__xludf.DUMMYFUNCTION("""COMPUTED_VALUE"""),"Kandula Sampath2025-09-0111")</f>
        <v>Kandula Sampath2025-09-0111</v>
      </c>
      <c r="K23" s="115">
        <f>IFERROR(__xludf.DUMMYFUNCTION("""COMPUTED_VALUE"""),34684.0)</f>
        <v>34684</v>
      </c>
    </row>
    <row r="24">
      <c r="A24" s="115" t="str">
        <f>IFERROR(__xludf.DUMMYFUNCTION("""COMPUTED_VALUE"""),"SOUTH")</f>
        <v>SOUTH</v>
      </c>
      <c r="B24" s="115" t="str">
        <f>IFERROR(__xludf.DUMMYFUNCTION("""COMPUTED_VALUE"""),"Kandula Sampath")</f>
        <v>Kandula Sampath</v>
      </c>
      <c r="C24" s="115" t="str">
        <f>IFERROR(__xludf.DUMMYFUNCTION("""COMPUTED_VALUE"""),"FLIPKART")</f>
        <v>FLIPKART</v>
      </c>
      <c r="D24" s="115">
        <f>IFERROR(__xludf.DUMMYFUNCTION("""COMPUTED_VALUE"""),283665.0)</f>
        <v>283665</v>
      </c>
      <c r="E24" s="115">
        <f>IFERROR(__xludf.DUMMYFUNCTION("""COMPUTED_VALUE"""),22902.0)</f>
        <v>22902</v>
      </c>
      <c r="F24" s="115">
        <f>IFERROR(__xludf.DUMMYFUNCTION("""COMPUTED_VALUE"""),50121.0)</f>
        <v>50121</v>
      </c>
      <c r="G24" s="115">
        <f>IFERROR(__xludf.DUMMYFUNCTION("""COMPUTED_VALUE"""),858.0)</f>
        <v>858</v>
      </c>
      <c r="H24" s="116">
        <f>IFERROR(__xludf.DUMMYFUNCTION("""COMPUTED_VALUE"""),45901.0)</f>
        <v>45901</v>
      </c>
      <c r="I24" s="115" t="str">
        <f>IFERROR(__xludf.DUMMYFUNCTION("""COMPUTED_VALUE"""),"11")</f>
        <v>11</v>
      </c>
      <c r="J24" s="115" t="str">
        <f>IFERROR(__xludf.DUMMYFUNCTION("""COMPUTED_VALUE"""),"Kandula Sampath2025-09-0111")</f>
        <v>Kandula Sampath2025-09-0111</v>
      </c>
      <c r="K24" s="115">
        <f>IFERROR(__xludf.DUMMYFUNCTION("""COMPUTED_VALUE"""),306567.0)</f>
        <v>306567</v>
      </c>
    </row>
    <row r="25">
      <c r="A25" s="115" t="str">
        <f>IFERROR(__xludf.DUMMYFUNCTION("""COMPUTED_VALUE"""),"SOUTH")</f>
        <v>SOUTH</v>
      </c>
      <c r="B25" s="115" t="str">
        <f>IFERROR(__xludf.DUMMYFUNCTION("""COMPUTED_VALUE"""),"Kandula Sampath")</f>
        <v>Kandula Sampath</v>
      </c>
      <c r="C25" s="115" t="str">
        <f>IFERROR(__xludf.DUMMYFUNCTION("""COMPUTED_VALUE"""),"MYNTRA")</f>
        <v>MYNTRA</v>
      </c>
      <c r="D25" s="115">
        <f>IFERROR(__xludf.DUMMYFUNCTION("""COMPUTED_VALUE"""),30072.0)</f>
        <v>30072</v>
      </c>
      <c r="E25" s="115">
        <f>IFERROR(__xludf.DUMMYFUNCTION("""COMPUTED_VALUE"""),5444.0)</f>
        <v>5444</v>
      </c>
      <c r="F25" s="115">
        <f>IFERROR(__xludf.DUMMYFUNCTION("""COMPUTED_VALUE"""),6194.0)</f>
        <v>6194</v>
      </c>
      <c r="G25" s="115">
        <f>IFERROR(__xludf.DUMMYFUNCTION("""COMPUTED_VALUE"""),186.0)</f>
        <v>186</v>
      </c>
      <c r="H25" s="116">
        <f>IFERROR(__xludf.DUMMYFUNCTION("""COMPUTED_VALUE"""),45901.0)</f>
        <v>45901</v>
      </c>
      <c r="I25" s="115" t="str">
        <f>IFERROR(__xludf.DUMMYFUNCTION("""COMPUTED_VALUE"""),"11")</f>
        <v>11</v>
      </c>
      <c r="J25" s="115" t="str">
        <f>IFERROR(__xludf.DUMMYFUNCTION("""COMPUTED_VALUE"""),"Kandula Sampath2025-09-0111")</f>
        <v>Kandula Sampath2025-09-0111</v>
      </c>
      <c r="K25" s="115">
        <f>IFERROR(__xludf.DUMMYFUNCTION("""COMPUTED_VALUE"""),35516.0)</f>
        <v>35516</v>
      </c>
    </row>
    <row r="26">
      <c r="A26" s="115" t="str">
        <f>IFERROR(__xludf.DUMMYFUNCTION("""COMPUTED_VALUE"""),"SOUTH")</f>
        <v>SOUTH</v>
      </c>
      <c r="B26" s="115" t="str">
        <f>IFERROR(__xludf.DUMMYFUNCTION("""COMPUTED_VALUE"""),"Martin A")</f>
        <v>Martin A</v>
      </c>
      <c r="C26" s="115" t="str">
        <f>IFERROR(__xludf.DUMMYFUNCTION("""COMPUTED_VALUE"""),"EXTERNAL")</f>
        <v>EXTERNAL</v>
      </c>
      <c r="D26" s="115">
        <f>IFERROR(__xludf.DUMMYFUNCTION("""COMPUTED_VALUE"""),28516.0)</f>
        <v>28516</v>
      </c>
      <c r="E26" s="115">
        <f>IFERROR(__xludf.DUMMYFUNCTION("""COMPUTED_VALUE"""),1778.0)</f>
        <v>1778</v>
      </c>
      <c r="F26" s="115">
        <f>IFERROR(__xludf.DUMMYFUNCTION("""COMPUTED_VALUE"""),2567.0)</f>
        <v>2567</v>
      </c>
      <c r="G26" s="115">
        <f>IFERROR(__xludf.DUMMYFUNCTION("""COMPUTED_VALUE"""),78.0)</f>
        <v>78</v>
      </c>
      <c r="H26" s="116">
        <f>IFERROR(__xludf.DUMMYFUNCTION("""COMPUTED_VALUE"""),45901.0)</f>
        <v>45901</v>
      </c>
      <c r="I26" s="115" t="str">
        <f>IFERROR(__xludf.DUMMYFUNCTION("""COMPUTED_VALUE"""),"11")</f>
        <v>11</v>
      </c>
      <c r="J26" s="115" t="str">
        <f>IFERROR(__xludf.DUMMYFUNCTION("""COMPUTED_VALUE"""),"Martin A2025-09-0111")</f>
        <v>Martin A2025-09-0111</v>
      </c>
      <c r="K26" s="115">
        <f>IFERROR(__xludf.DUMMYFUNCTION("""COMPUTED_VALUE"""),30294.0)</f>
        <v>30294</v>
      </c>
    </row>
    <row r="27">
      <c r="A27" s="115" t="str">
        <f>IFERROR(__xludf.DUMMYFUNCTION("""COMPUTED_VALUE"""),"SOUTH")</f>
        <v>SOUTH</v>
      </c>
      <c r="B27" s="115" t="str">
        <f>IFERROR(__xludf.DUMMYFUNCTION("""COMPUTED_VALUE"""),"Martin A")</f>
        <v>Martin A</v>
      </c>
      <c r="C27" s="115" t="str">
        <f>IFERROR(__xludf.DUMMYFUNCTION("""COMPUTED_VALUE"""),"FLIPKART")</f>
        <v>FLIPKART</v>
      </c>
      <c r="D27" s="115">
        <f>IFERROR(__xludf.DUMMYFUNCTION("""COMPUTED_VALUE"""),229670.0)</f>
        <v>229670</v>
      </c>
      <c r="E27" s="115">
        <f>IFERROR(__xludf.DUMMYFUNCTION("""COMPUTED_VALUE"""),20840.0)</f>
        <v>20840</v>
      </c>
      <c r="F27" s="115">
        <f>IFERROR(__xludf.DUMMYFUNCTION("""COMPUTED_VALUE"""),36089.0)</f>
        <v>36089</v>
      </c>
      <c r="G27" s="115">
        <f>IFERROR(__xludf.DUMMYFUNCTION("""COMPUTED_VALUE"""),1114.0)</f>
        <v>1114</v>
      </c>
      <c r="H27" s="116">
        <f>IFERROR(__xludf.DUMMYFUNCTION("""COMPUTED_VALUE"""),45901.0)</f>
        <v>45901</v>
      </c>
      <c r="I27" s="115" t="str">
        <f>IFERROR(__xludf.DUMMYFUNCTION("""COMPUTED_VALUE"""),"11")</f>
        <v>11</v>
      </c>
      <c r="J27" s="115" t="str">
        <f>IFERROR(__xludf.DUMMYFUNCTION("""COMPUTED_VALUE"""),"Martin A2025-09-0111")</f>
        <v>Martin A2025-09-0111</v>
      </c>
      <c r="K27" s="115">
        <f>IFERROR(__xludf.DUMMYFUNCTION("""COMPUTED_VALUE"""),250510.0)</f>
        <v>250510</v>
      </c>
    </row>
    <row r="28">
      <c r="A28" s="115" t="str">
        <f>IFERROR(__xludf.DUMMYFUNCTION("""COMPUTED_VALUE"""),"SOUTH")</f>
        <v>SOUTH</v>
      </c>
      <c r="B28" s="115" t="str">
        <f>IFERROR(__xludf.DUMMYFUNCTION("""COMPUTED_VALUE"""),"Martin A")</f>
        <v>Martin A</v>
      </c>
      <c r="C28" s="115" t="str">
        <f>IFERROR(__xludf.DUMMYFUNCTION("""COMPUTED_VALUE"""),"MYNTRA")</f>
        <v>MYNTRA</v>
      </c>
      <c r="D28" s="115">
        <f>IFERROR(__xludf.DUMMYFUNCTION("""COMPUTED_VALUE"""),21606.0)</f>
        <v>21606</v>
      </c>
      <c r="E28" s="115">
        <f>IFERROR(__xludf.DUMMYFUNCTION("""COMPUTED_VALUE"""),4905.0)</f>
        <v>4905</v>
      </c>
      <c r="F28" s="115">
        <f>IFERROR(__xludf.DUMMYFUNCTION("""COMPUTED_VALUE"""),4338.0)</f>
        <v>4338</v>
      </c>
      <c r="G28" s="115">
        <f>IFERROR(__xludf.DUMMYFUNCTION("""COMPUTED_VALUE"""),319.0)</f>
        <v>319</v>
      </c>
      <c r="H28" s="116">
        <f>IFERROR(__xludf.DUMMYFUNCTION("""COMPUTED_VALUE"""),45901.0)</f>
        <v>45901</v>
      </c>
      <c r="I28" s="115" t="str">
        <f>IFERROR(__xludf.DUMMYFUNCTION("""COMPUTED_VALUE"""),"11")</f>
        <v>11</v>
      </c>
      <c r="J28" s="115" t="str">
        <f>IFERROR(__xludf.DUMMYFUNCTION("""COMPUTED_VALUE"""),"Martin A2025-09-0111")</f>
        <v>Martin A2025-09-0111</v>
      </c>
      <c r="K28" s="115">
        <f>IFERROR(__xludf.DUMMYFUNCTION("""COMPUTED_VALUE"""),26511.0)</f>
        <v>26511</v>
      </c>
    </row>
    <row r="29">
      <c r="A29" s="115" t="str">
        <f>IFERROR(__xludf.DUMMYFUNCTION("""COMPUTED_VALUE"""),"SOUTH")</f>
        <v>SOUTH</v>
      </c>
      <c r="B29" s="115" t="str">
        <f>IFERROR(__xludf.DUMMYFUNCTION("""COMPUTED_VALUE"""),"Premkumar M")</f>
        <v>Premkumar M</v>
      </c>
      <c r="C29" s="115" t="str">
        <f>IFERROR(__xludf.DUMMYFUNCTION("""COMPUTED_VALUE"""),"EXTERNAL")</f>
        <v>EXTERNAL</v>
      </c>
      <c r="D29" s="115">
        <f>IFERROR(__xludf.DUMMYFUNCTION("""COMPUTED_VALUE"""),20241.0)</f>
        <v>20241</v>
      </c>
      <c r="E29" s="115">
        <f>IFERROR(__xludf.DUMMYFUNCTION("""COMPUTED_VALUE"""),1018.0)</f>
        <v>1018</v>
      </c>
      <c r="F29" s="115">
        <f>IFERROR(__xludf.DUMMYFUNCTION("""COMPUTED_VALUE"""),1372.0)</f>
        <v>1372</v>
      </c>
      <c r="G29" s="115">
        <f>IFERROR(__xludf.DUMMYFUNCTION("""COMPUTED_VALUE"""),10.0)</f>
        <v>10</v>
      </c>
      <c r="H29" s="116">
        <f>IFERROR(__xludf.DUMMYFUNCTION("""COMPUTED_VALUE"""),45901.0)</f>
        <v>45901</v>
      </c>
      <c r="I29" s="115" t="str">
        <f>IFERROR(__xludf.DUMMYFUNCTION("""COMPUTED_VALUE"""),"11")</f>
        <v>11</v>
      </c>
      <c r="J29" s="115" t="str">
        <f>IFERROR(__xludf.DUMMYFUNCTION("""COMPUTED_VALUE"""),"Premkumar M2025-09-0111")</f>
        <v>Premkumar M2025-09-0111</v>
      </c>
      <c r="K29" s="115">
        <f>IFERROR(__xludf.DUMMYFUNCTION("""COMPUTED_VALUE"""),21259.0)</f>
        <v>21259</v>
      </c>
    </row>
    <row r="30">
      <c r="A30" s="115" t="str">
        <f>IFERROR(__xludf.DUMMYFUNCTION("""COMPUTED_VALUE"""),"SOUTH")</f>
        <v>SOUTH</v>
      </c>
      <c r="B30" s="115" t="str">
        <f>IFERROR(__xludf.DUMMYFUNCTION("""COMPUTED_VALUE"""),"Premkumar M")</f>
        <v>Premkumar M</v>
      </c>
      <c r="C30" s="115" t="str">
        <f>IFERROR(__xludf.DUMMYFUNCTION("""COMPUTED_VALUE"""),"FLIPKART")</f>
        <v>FLIPKART</v>
      </c>
      <c r="D30" s="115">
        <f>IFERROR(__xludf.DUMMYFUNCTION("""COMPUTED_VALUE"""),186965.0)</f>
        <v>186965</v>
      </c>
      <c r="E30" s="115">
        <f>IFERROR(__xludf.DUMMYFUNCTION("""COMPUTED_VALUE"""),11226.0)</f>
        <v>11226</v>
      </c>
      <c r="F30" s="115">
        <f>IFERROR(__xludf.DUMMYFUNCTION("""COMPUTED_VALUE"""),20075.0)</f>
        <v>20075</v>
      </c>
      <c r="G30" s="115">
        <f>IFERROR(__xludf.DUMMYFUNCTION("""COMPUTED_VALUE"""),234.0)</f>
        <v>234</v>
      </c>
      <c r="H30" s="116">
        <f>IFERROR(__xludf.DUMMYFUNCTION("""COMPUTED_VALUE"""),45901.0)</f>
        <v>45901</v>
      </c>
      <c r="I30" s="115" t="str">
        <f>IFERROR(__xludf.DUMMYFUNCTION("""COMPUTED_VALUE"""),"11")</f>
        <v>11</v>
      </c>
      <c r="J30" s="115" t="str">
        <f>IFERROR(__xludf.DUMMYFUNCTION("""COMPUTED_VALUE"""),"Premkumar M2025-09-0111")</f>
        <v>Premkumar M2025-09-0111</v>
      </c>
      <c r="K30" s="115">
        <f>IFERROR(__xludf.DUMMYFUNCTION("""COMPUTED_VALUE"""),198191.0)</f>
        <v>198191</v>
      </c>
    </row>
    <row r="31">
      <c r="A31" s="115" t="str">
        <f>IFERROR(__xludf.DUMMYFUNCTION("""COMPUTED_VALUE"""),"SOUTH")</f>
        <v>SOUTH</v>
      </c>
      <c r="B31" s="115" t="str">
        <f>IFERROR(__xludf.DUMMYFUNCTION("""COMPUTED_VALUE"""),"Premkumar M")</f>
        <v>Premkumar M</v>
      </c>
      <c r="C31" s="115" t="str">
        <f>IFERROR(__xludf.DUMMYFUNCTION("""COMPUTED_VALUE"""),"MYNTRA")</f>
        <v>MYNTRA</v>
      </c>
      <c r="D31" s="115">
        <f>IFERROR(__xludf.DUMMYFUNCTION("""COMPUTED_VALUE"""),9988.0)</f>
        <v>9988</v>
      </c>
      <c r="E31" s="115">
        <f>IFERROR(__xludf.DUMMYFUNCTION("""COMPUTED_VALUE"""),1701.0)</f>
        <v>1701</v>
      </c>
      <c r="F31" s="115">
        <f>IFERROR(__xludf.DUMMYFUNCTION("""COMPUTED_VALUE"""),1295.0)</f>
        <v>1295</v>
      </c>
      <c r="G31" s="115">
        <f>IFERROR(__xludf.DUMMYFUNCTION("""COMPUTED_VALUE"""),27.0)</f>
        <v>27</v>
      </c>
      <c r="H31" s="116">
        <f>IFERROR(__xludf.DUMMYFUNCTION("""COMPUTED_VALUE"""),45901.0)</f>
        <v>45901</v>
      </c>
      <c r="I31" s="115" t="str">
        <f>IFERROR(__xludf.DUMMYFUNCTION("""COMPUTED_VALUE"""),"11")</f>
        <v>11</v>
      </c>
      <c r="J31" s="115" t="str">
        <f>IFERROR(__xludf.DUMMYFUNCTION("""COMPUTED_VALUE"""),"Premkumar M2025-09-0111")</f>
        <v>Premkumar M2025-09-0111</v>
      </c>
      <c r="K31" s="115">
        <f>IFERROR(__xludf.DUMMYFUNCTION("""COMPUTED_VALUE"""),11689.0)</f>
        <v>11689</v>
      </c>
    </row>
    <row r="32">
      <c r="A32" s="115" t="str">
        <f>IFERROR(__xludf.DUMMYFUNCTION("""COMPUTED_VALUE"""),"SOUTH")</f>
        <v>SOUTH</v>
      </c>
      <c r="B32" s="115" t="str">
        <f>IFERROR(__xludf.DUMMYFUNCTION("""COMPUTED_VALUE"""),"Vineeth V")</f>
        <v>Vineeth V</v>
      </c>
      <c r="C32" s="115" t="str">
        <f>IFERROR(__xludf.DUMMYFUNCTION("""COMPUTED_VALUE"""),"EXTERNAL")</f>
        <v>EXTERNAL</v>
      </c>
      <c r="D32" s="115">
        <f>IFERROR(__xludf.DUMMYFUNCTION("""COMPUTED_VALUE"""),12478.0)</f>
        <v>12478</v>
      </c>
      <c r="E32" s="115">
        <f>IFERROR(__xludf.DUMMYFUNCTION("""COMPUTED_VALUE"""),256.0)</f>
        <v>256</v>
      </c>
      <c r="F32" s="115">
        <f>IFERROR(__xludf.DUMMYFUNCTION("""COMPUTED_VALUE"""),420.0)</f>
        <v>420</v>
      </c>
      <c r="G32" s="115">
        <f>IFERROR(__xludf.DUMMYFUNCTION("""COMPUTED_VALUE"""),1.0)</f>
        <v>1</v>
      </c>
      <c r="H32" s="116">
        <f>IFERROR(__xludf.DUMMYFUNCTION("""COMPUTED_VALUE"""),45901.0)</f>
        <v>45901</v>
      </c>
      <c r="I32" s="115" t="str">
        <f>IFERROR(__xludf.DUMMYFUNCTION("""COMPUTED_VALUE"""),"11")</f>
        <v>11</v>
      </c>
      <c r="J32" s="115" t="str">
        <f>IFERROR(__xludf.DUMMYFUNCTION("""COMPUTED_VALUE"""),"Vineeth V2025-09-0111")</f>
        <v>Vineeth V2025-09-0111</v>
      </c>
      <c r="K32" s="115">
        <f>IFERROR(__xludf.DUMMYFUNCTION("""COMPUTED_VALUE"""),12734.0)</f>
        <v>12734</v>
      </c>
    </row>
    <row r="33">
      <c r="A33" s="115" t="str">
        <f>IFERROR(__xludf.DUMMYFUNCTION("""COMPUTED_VALUE"""),"SOUTH")</f>
        <v>SOUTH</v>
      </c>
      <c r="B33" s="115" t="str">
        <f>IFERROR(__xludf.DUMMYFUNCTION("""COMPUTED_VALUE"""),"Vineeth V")</f>
        <v>Vineeth V</v>
      </c>
      <c r="C33" s="115" t="str">
        <f>IFERROR(__xludf.DUMMYFUNCTION("""COMPUTED_VALUE"""),"FLIPKART")</f>
        <v>FLIPKART</v>
      </c>
      <c r="D33" s="115">
        <f>IFERROR(__xludf.DUMMYFUNCTION("""COMPUTED_VALUE"""),145808.0)</f>
        <v>145808</v>
      </c>
      <c r="E33" s="115">
        <f>IFERROR(__xludf.DUMMYFUNCTION("""COMPUTED_VALUE"""),7775.0)</f>
        <v>7775</v>
      </c>
      <c r="F33" s="115">
        <f>IFERROR(__xludf.DUMMYFUNCTION("""COMPUTED_VALUE"""),7856.0)</f>
        <v>7856</v>
      </c>
      <c r="G33" s="115">
        <f>IFERROR(__xludf.DUMMYFUNCTION("""COMPUTED_VALUE"""),46.0)</f>
        <v>46</v>
      </c>
      <c r="H33" s="116">
        <f>IFERROR(__xludf.DUMMYFUNCTION("""COMPUTED_VALUE"""),45901.0)</f>
        <v>45901</v>
      </c>
      <c r="I33" s="115" t="str">
        <f>IFERROR(__xludf.DUMMYFUNCTION("""COMPUTED_VALUE"""),"11")</f>
        <v>11</v>
      </c>
      <c r="J33" s="115" t="str">
        <f>IFERROR(__xludf.DUMMYFUNCTION("""COMPUTED_VALUE"""),"Vineeth V2025-09-0111")</f>
        <v>Vineeth V2025-09-0111</v>
      </c>
      <c r="K33" s="115">
        <f>IFERROR(__xludf.DUMMYFUNCTION("""COMPUTED_VALUE"""),153583.0)</f>
        <v>153583</v>
      </c>
    </row>
    <row r="34">
      <c r="A34" s="115" t="str">
        <f>IFERROR(__xludf.DUMMYFUNCTION("""COMPUTED_VALUE"""),"SOUTH")</f>
        <v>SOUTH</v>
      </c>
      <c r="B34" s="115" t="str">
        <f>IFERROR(__xludf.DUMMYFUNCTION("""COMPUTED_VALUE"""),"Vineeth V")</f>
        <v>Vineeth V</v>
      </c>
      <c r="C34" s="115" t="str">
        <f>IFERROR(__xludf.DUMMYFUNCTION("""COMPUTED_VALUE"""),"MYNTRA")</f>
        <v>MYNTRA</v>
      </c>
      <c r="D34" s="115">
        <f>IFERROR(__xludf.DUMMYFUNCTION("""COMPUTED_VALUE"""),12661.0)</f>
        <v>12661</v>
      </c>
      <c r="E34" s="115">
        <f>IFERROR(__xludf.DUMMYFUNCTION("""COMPUTED_VALUE"""),1764.0)</f>
        <v>1764</v>
      </c>
      <c r="F34" s="115">
        <f>IFERROR(__xludf.DUMMYFUNCTION("""COMPUTED_VALUE"""),848.0)</f>
        <v>848</v>
      </c>
      <c r="G34" s="115">
        <f>IFERROR(__xludf.DUMMYFUNCTION("""COMPUTED_VALUE"""),14.0)</f>
        <v>14</v>
      </c>
      <c r="H34" s="116">
        <f>IFERROR(__xludf.DUMMYFUNCTION("""COMPUTED_VALUE"""),45901.0)</f>
        <v>45901</v>
      </c>
      <c r="I34" s="115" t="str">
        <f>IFERROR(__xludf.DUMMYFUNCTION("""COMPUTED_VALUE"""),"11")</f>
        <v>11</v>
      </c>
      <c r="J34" s="115" t="str">
        <f>IFERROR(__xludf.DUMMYFUNCTION("""COMPUTED_VALUE"""),"Vineeth V2025-09-0111")</f>
        <v>Vineeth V2025-09-0111</v>
      </c>
      <c r="K34" s="115">
        <f>IFERROR(__xludf.DUMMYFUNCTION("""COMPUTED_VALUE"""),14425.0)</f>
        <v>14425</v>
      </c>
    </row>
    <row r="35">
      <c r="A35" s="115" t="str">
        <f>IFERROR(__xludf.DUMMYFUNCTION("""COMPUTED_VALUE"""),"WEST")</f>
        <v>WEST</v>
      </c>
      <c r="B35" s="115" t="str">
        <f>IFERROR(__xludf.DUMMYFUNCTION("""COMPUTED_VALUE"""),"Ashish Jakar")</f>
        <v>Ashish Jakar</v>
      </c>
      <c r="C35" s="115" t="str">
        <f>IFERROR(__xludf.DUMMYFUNCTION("""COMPUTED_VALUE"""),"EXTERNAL")</f>
        <v>EXTERNAL</v>
      </c>
      <c r="D35" s="115">
        <f>IFERROR(__xludf.DUMMYFUNCTION("""COMPUTED_VALUE"""),42052.0)</f>
        <v>42052</v>
      </c>
      <c r="E35" s="115">
        <f>IFERROR(__xludf.DUMMYFUNCTION("""COMPUTED_VALUE"""),4446.0)</f>
        <v>4446</v>
      </c>
      <c r="F35" s="115">
        <f>IFERROR(__xludf.DUMMYFUNCTION("""COMPUTED_VALUE"""),3369.0)</f>
        <v>3369</v>
      </c>
      <c r="G35" s="115">
        <f>IFERROR(__xludf.DUMMYFUNCTION("""COMPUTED_VALUE"""),151.0)</f>
        <v>151</v>
      </c>
      <c r="H35" s="116">
        <f>IFERROR(__xludf.DUMMYFUNCTION("""COMPUTED_VALUE"""),45901.0)</f>
        <v>45901</v>
      </c>
      <c r="I35" s="115" t="str">
        <f>IFERROR(__xludf.DUMMYFUNCTION("""COMPUTED_VALUE"""),"11")</f>
        <v>11</v>
      </c>
      <c r="J35" s="115" t="str">
        <f>IFERROR(__xludf.DUMMYFUNCTION("""COMPUTED_VALUE"""),"Ashish Jakar2025-09-0111")</f>
        <v>Ashish Jakar2025-09-0111</v>
      </c>
      <c r="K35" s="115">
        <f>IFERROR(__xludf.DUMMYFUNCTION("""COMPUTED_VALUE"""),46498.0)</f>
        <v>46498</v>
      </c>
    </row>
    <row r="36">
      <c r="A36" s="115" t="str">
        <f>IFERROR(__xludf.DUMMYFUNCTION("""COMPUTED_VALUE"""),"WEST")</f>
        <v>WEST</v>
      </c>
      <c r="B36" s="115" t="str">
        <f>IFERROR(__xludf.DUMMYFUNCTION("""COMPUTED_VALUE"""),"Ashish Jakar")</f>
        <v>Ashish Jakar</v>
      </c>
      <c r="C36" s="115" t="str">
        <f>IFERROR(__xludf.DUMMYFUNCTION("""COMPUTED_VALUE"""),"FLIPKART")</f>
        <v>FLIPKART</v>
      </c>
      <c r="D36" s="115">
        <f>IFERROR(__xludf.DUMMYFUNCTION("""COMPUTED_VALUE"""),239341.0)</f>
        <v>239341</v>
      </c>
      <c r="E36" s="115">
        <f>IFERROR(__xludf.DUMMYFUNCTION("""COMPUTED_VALUE"""),23353.0)</f>
        <v>23353</v>
      </c>
      <c r="F36" s="115">
        <f>IFERROR(__xludf.DUMMYFUNCTION("""COMPUTED_VALUE"""),32000.0)</f>
        <v>32000</v>
      </c>
      <c r="G36" s="115">
        <f>IFERROR(__xludf.DUMMYFUNCTION("""COMPUTED_VALUE"""),1151.0)</f>
        <v>1151</v>
      </c>
      <c r="H36" s="116">
        <f>IFERROR(__xludf.DUMMYFUNCTION("""COMPUTED_VALUE"""),45901.0)</f>
        <v>45901</v>
      </c>
      <c r="I36" s="115" t="str">
        <f>IFERROR(__xludf.DUMMYFUNCTION("""COMPUTED_VALUE"""),"11")</f>
        <v>11</v>
      </c>
      <c r="J36" s="115" t="str">
        <f>IFERROR(__xludf.DUMMYFUNCTION("""COMPUTED_VALUE"""),"Ashish Jakar2025-09-0111")</f>
        <v>Ashish Jakar2025-09-0111</v>
      </c>
      <c r="K36" s="115">
        <f>IFERROR(__xludf.DUMMYFUNCTION("""COMPUTED_VALUE"""),262694.0)</f>
        <v>262694</v>
      </c>
    </row>
    <row r="37">
      <c r="A37" s="115" t="str">
        <f>IFERROR(__xludf.DUMMYFUNCTION("""COMPUTED_VALUE"""),"WEST")</f>
        <v>WEST</v>
      </c>
      <c r="B37" s="115" t="str">
        <f>IFERROR(__xludf.DUMMYFUNCTION("""COMPUTED_VALUE"""),"Ashish Jakar")</f>
        <v>Ashish Jakar</v>
      </c>
      <c r="C37" s="115" t="str">
        <f>IFERROR(__xludf.DUMMYFUNCTION("""COMPUTED_VALUE"""),"MYNTRA")</f>
        <v>MYNTRA</v>
      </c>
      <c r="D37" s="115">
        <f>IFERROR(__xludf.DUMMYFUNCTION("""COMPUTED_VALUE"""),31711.0)</f>
        <v>31711</v>
      </c>
      <c r="E37" s="115">
        <f>IFERROR(__xludf.DUMMYFUNCTION("""COMPUTED_VALUE"""),7253.0)</f>
        <v>7253</v>
      </c>
      <c r="F37" s="115">
        <f>IFERROR(__xludf.DUMMYFUNCTION("""COMPUTED_VALUE"""),5294.0)</f>
        <v>5294</v>
      </c>
      <c r="G37" s="115">
        <f>IFERROR(__xludf.DUMMYFUNCTION("""COMPUTED_VALUE"""),456.0)</f>
        <v>456</v>
      </c>
      <c r="H37" s="116">
        <f>IFERROR(__xludf.DUMMYFUNCTION("""COMPUTED_VALUE"""),45901.0)</f>
        <v>45901</v>
      </c>
      <c r="I37" s="115" t="str">
        <f>IFERROR(__xludf.DUMMYFUNCTION("""COMPUTED_VALUE"""),"11")</f>
        <v>11</v>
      </c>
      <c r="J37" s="115" t="str">
        <f>IFERROR(__xludf.DUMMYFUNCTION("""COMPUTED_VALUE"""),"Ashish Jakar2025-09-0111")</f>
        <v>Ashish Jakar2025-09-0111</v>
      </c>
      <c r="K37" s="115">
        <f>IFERROR(__xludf.DUMMYFUNCTION("""COMPUTED_VALUE"""),38964.0)</f>
        <v>38964</v>
      </c>
    </row>
    <row r="38">
      <c r="A38" s="115" t="str">
        <f>IFERROR(__xludf.DUMMYFUNCTION("""COMPUTED_VALUE"""),"WEST")</f>
        <v>WEST</v>
      </c>
      <c r="B38" s="115" t="str">
        <f>IFERROR(__xludf.DUMMYFUNCTION("""COMPUTED_VALUE"""),"Ashvani Bhatt")</f>
        <v>Ashvani Bhatt</v>
      </c>
      <c r="C38" s="115" t="str">
        <f>IFERROR(__xludf.DUMMYFUNCTION("""COMPUTED_VALUE"""),"EXTERNAL")</f>
        <v>EXTERNAL</v>
      </c>
      <c r="D38" s="115">
        <f>IFERROR(__xludf.DUMMYFUNCTION("""COMPUTED_VALUE"""),27853.0)</f>
        <v>27853</v>
      </c>
      <c r="E38" s="115">
        <f>IFERROR(__xludf.DUMMYFUNCTION("""COMPUTED_VALUE"""),2446.0)</f>
        <v>2446</v>
      </c>
      <c r="F38" s="115">
        <f>IFERROR(__xludf.DUMMYFUNCTION("""COMPUTED_VALUE"""),2590.0)</f>
        <v>2590</v>
      </c>
      <c r="G38" s="115">
        <f>IFERROR(__xludf.DUMMYFUNCTION("""COMPUTED_VALUE"""),48.0)</f>
        <v>48</v>
      </c>
      <c r="H38" s="116">
        <f>IFERROR(__xludf.DUMMYFUNCTION("""COMPUTED_VALUE"""),45901.0)</f>
        <v>45901</v>
      </c>
      <c r="I38" s="115" t="str">
        <f>IFERROR(__xludf.DUMMYFUNCTION("""COMPUTED_VALUE"""),"11")</f>
        <v>11</v>
      </c>
      <c r="J38" s="115" t="str">
        <f>IFERROR(__xludf.DUMMYFUNCTION("""COMPUTED_VALUE"""),"Ashvani Bhatt2025-09-0111")</f>
        <v>Ashvani Bhatt2025-09-0111</v>
      </c>
      <c r="K38" s="115">
        <f>IFERROR(__xludf.DUMMYFUNCTION("""COMPUTED_VALUE"""),30299.0)</f>
        <v>30299</v>
      </c>
    </row>
    <row r="39">
      <c r="A39" s="115" t="str">
        <f>IFERROR(__xludf.DUMMYFUNCTION("""COMPUTED_VALUE"""),"WEST")</f>
        <v>WEST</v>
      </c>
      <c r="B39" s="115" t="str">
        <f>IFERROR(__xludf.DUMMYFUNCTION("""COMPUTED_VALUE"""),"Ashvani Bhatt")</f>
        <v>Ashvani Bhatt</v>
      </c>
      <c r="C39" s="115" t="str">
        <f>IFERROR(__xludf.DUMMYFUNCTION("""COMPUTED_VALUE"""),"FLIPKART")</f>
        <v>FLIPKART</v>
      </c>
      <c r="D39" s="115">
        <f>IFERROR(__xludf.DUMMYFUNCTION("""COMPUTED_VALUE"""),198588.0)</f>
        <v>198588</v>
      </c>
      <c r="E39" s="115">
        <f>IFERROR(__xludf.DUMMYFUNCTION("""COMPUTED_VALUE"""),19750.0)</f>
        <v>19750</v>
      </c>
      <c r="F39" s="115">
        <f>IFERROR(__xludf.DUMMYFUNCTION("""COMPUTED_VALUE"""),33840.0)</f>
        <v>33840</v>
      </c>
      <c r="G39" s="115">
        <f>IFERROR(__xludf.DUMMYFUNCTION("""COMPUTED_VALUE"""),739.0)</f>
        <v>739</v>
      </c>
      <c r="H39" s="116">
        <f>IFERROR(__xludf.DUMMYFUNCTION("""COMPUTED_VALUE"""),45901.0)</f>
        <v>45901</v>
      </c>
      <c r="I39" s="115" t="str">
        <f>IFERROR(__xludf.DUMMYFUNCTION("""COMPUTED_VALUE"""),"11")</f>
        <v>11</v>
      </c>
      <c r="J39" s="115" t="str">
        <f>IFERROR(__xludf.DUMMYFUNCTION("""COMPUTED_VALUE"""),"Ashvani Bhatt2025-09-0111")</f>
        <v>Ashvani Bhatt2025-09-0111</v>
      </c>
      <c r="K39" s="115">
        <f>IFERROR(__xludf.DUMMYFUNCTION("""COMPUTED_VALUE"""),218338.0)</f>
        <v>218338</v>
      </c>
    </row>
    <row r="40">
      <c r="A40" s="115" t="str">
        <f>IFERROR(__xludf.DUMMYFUNCTION("""COMPUTED_VALUE"""),"WEST")</f>
        <v>WEST</v>
      </c>
      <c r="B40" s="115" t="str">
        <f>IFERROR(__xludf.DUMMYFUNCTION("""COMPUTED_VALUE"""),"Ashvani Bhatt")</f>
        <v>Ashvani Bhatt</v>
      </c>
      <c r="C40" s="115" t="str">
        <f>IFERROR(__xludf.DUMMYFUNCTION("""COMPUTED_VALUE"""),"MYNTRA")</f>
        <v>MYNTRA</v>
      </c>
      <c r="D40" s="115">
        <f>IFERROR(__xludf.DUMMYFUNCTION("""COMPUTED_VALUE"""),26258.0)</f>
        <v>26258</v>
      </c>
      <c r="E40" s="115">
        <f>IFERROR(__xludf.DUMMYFUNCTION("""COMPUTED_VALUE"""),5590.0)</f>
        <v>5590</v>
      </c>
      <c r="F40" s="115">
        <f>IFERROR(__xludf.DUMMYFUNCTION("""COMPUTED_VALUE"""),5608.0)</f>
        <v>5608</v>
      </c>
      <c r="G40" s="115">
        <f>IFERROR(__xludf.DUMMYFUNCTION("""COMPUTED_VALUE"""),286.0)</f>
        <v>286</v>
      </c>
      <c r="H40" s="116">
        <f>IFERROR(__xludf.DUMMYFUNCTION("""COMPUTED_VALUE"""),45901.0)</f>
        <v>45901</v>
      </c>
      <c r="I40" s="115" t="str">
        <f>IFERROR(__xludf.DUMMYFUNCTION("""COMPUTED_VALUE"""),"11")</f>
        <v>11</v>
      </c>
      <c r="J40" s="115" t="str">
        <f>IFERROR(__xludf.DUMMYFUNCTION("""COMPUTED_VALUE"""),"Ashvani Bhatt2025-09-0111")</f>
        <v>Ashvani Bhatt2025-09-0111</v>
      </c>
      <c r="K40" s="115">
        <f>IFERROR(__xludf.DUMMYFUNCTION("""COMPUTED_VALUE"""),31848.0)</f>
        <v>31848</v>
      </c>
    </row>
    <row r="41">
      <c r="A41" s="115"/>
      <c r="B41" s="115"/>
      <c r="C41" s="115" t="str">
        <f>IFERROR(__xludf.DUMMYFUNCTION("""COMPUTED_VALUE"""),"EXTERNAL")</f>
        <v>EXTERNAL</v>
      </c>
      <c r="D41" s="115">
        <f>IFERROR(__xludf.DUMMYFUNCTION("""COMPUTED_VALUE"""),844.0)</f>
        <v>844</v>
      </c>
      <c r="E41" s="115">
        <f>IFERROR(__xludf.DUMMYFUNCTION("""COMPUTED_VALUE"""),95.0)</f>
        <v>95</v>
      </c>
      <c r="F41" s="115">
        <f>IFERROR(__xludf.DUMMYFUNCTION("""COMPUTED_VALUE"""),33.0)</f>
        <v>33</v>
      </c>
      <c r="G41" s="115">
        <f>IFERROR(__xludf.DUMMYFUNCTION("""COMPUTED_VALUE"""),14.0)</f>
        <v>14</v>
      </c>
      <c r="H41" s="116">
        <f>IFERROR(__xludf.DUMMYFUNCTION("""COMPUTED_VALUE"""),45901.0)</f>
        <v>45901</v>
      </c>
      <c r="I41" s="115" t="str">
        <f>IFERROR(__xludf.DUMMYFUNCTION("""COMPUTED_VALUE"""),"11")</f>
        <v>11</v>
      </c>
      <c r="J41" s="115" t="str">
        <f>IFERROR(__xludf.DUMMYFUNCTION("""COMPUTED_VALUE"""),"2025-09-0111")</f>
        <v>2025-09-0111</v>
      </c>
      <c r="K41" s="115">
        <f>IFERROR(__xludf.DUMMYFUNCTION("""COMPUTED_VALUE"""),939.0)</f>
        <v>939</v>
      </c>
    </row>
    <row r="42">
      <c r="A42" s="115"/>
      <c r="B42" s="115"/>
      <c r="C42" s="115" t="str">
        <f>IFERROR(__xludf.DUMMYFUNCTION("""COMPUTED_VALUE"""),"FLIPKART")</f>
        <v>FLIPKART</v>
      </c>
      <c r="D42" s="115">
        <f>IFERROR(__xludf.DUMMYFUNCTION("""COMPUTED_VALUE"""),8095.0)</f>
        <v>8095</v>
      </c>
      <c r="E42" s="115">
        <f>IFERROR(__xludf.DUMMYFUNCTION("""COMPUTED_VALUE"""),795.0)</f>
        <v>795</v>
      </c>
      <c r="F42" s="115">
        <f>IFERROR(__xludf.DUMMYFUNCTION("""COMPUTED_VALUE"""),671.0)</f>
        <v>671</v>
      </c>
      <c r="G42" s="115">
        <f>IFERROR(__xludf.DUMMYFUNCTION("""COMPUTED_VALUE"""),117.0)</f>
        <v>117</v>
      </c>
      <c r="H42" s="116">
        <f>IFERROR(__xludf.DUMMYFUNCTION("""COMPUTED_VALUE"""),45901.0)</f>
        <v>45901</v>
      </c>
      <c r="I42" s="115" t="str">
        <f>IFERROR(__xludf.DUMMYFUNCTION("""COMPUTED_VALUE"""),"11")</f>
        <v>11</v>
      </c>
      <c r="J42" s="115" t="str">
        <f>IFERROR(__xludf.DUMMYFUNCTION("""COMPUTED_VALUE"""),"2025-09-0111")</f>
        <v>2025-09-0111</v>
      </c>
      <c r="K42" s="115">
        <f>IFERROR(__xludf.DUMMYFUNCTION("""COMPUTED_VALUE"""),8890.0)</f>
        <v>8890</v>
      </c>
    </row>
    <row r="43">
      <c r="A43" s="115"/>
      <c r="B43" s="115"/>
      <c r="C43" s="115" t="str">
        <f>IFERROR(__xludf.DUMMYFUNCTION("""COMPUTED_VALUE"""),"MYNTRA")</f>
        <v>MYNTRA</v>
      </c>
      <c r="D43" s="115">
        <f>IFERROR(__xludf.DUMMYFUNCTION("""COMPUTED_VALUE"""),653.0)</f>
        <v>653</v>
      </c>
      <c r="E43" s="115">
        <f>IFERROR(__xludf.DUMMYFUNCTION("""COMPUTED_VALUE"""),142.0)</f>
        <v>142</v>
      </c>
      <c r="F43" s="115">
        <f>IFERROR(__xludf.DUMMYFUNCTION("""COMPUTED_VALUE"""),72.0)</f>
        <v>72</v>
      </c>
      <c r="G43" s="115">
        <f>IFERROR(__xludf.DUMMYFUNCTION("""COMPUTED_VALUE"""),11.0)</f>
        <v>11</v>
      </c>
      <c r="H43" s="116">
        <f>IFERROR(__xludf.DUMMYFUNCTION("""COMPUTED_VALUE"""),45901.0)</f>
        <v>45901</v>
      </c>
      <c r="I43" s="115" t="str">
        <f>IFERROR(__xludf.DUMMYFUNCTION("""COMPUTED_VALUE"""),"11")</f>
        <v>11</v>
      </c>
      <c r="J43" s="115" t="str">
        <f>IFERROR(__xludf.DUMMYFUNCTION("""COMPUTED_VALUE"""),"2025-09-0111")</f>
        <v>2025-09-0111</v>
      </c>
      <c r="K43" s="115">
        <f>IFERROR(__xludf.DUMMYFUNCTION("""COMPUTED_VALUE"""),795.0)</f>
        <v>795</v>
      </c>
    </row>
    <row r="44">
      <c r="A44" s="115" t="str">
        <f>IFERROR(__xludf.DUMMYFUNCTION("""COMPUTED_VALUE"""),"EAST")</f>
        <v>EAST</v>
      </c>
      <c r="B44" s="115" t="str">
        <f>IFERROR(__xludf.DUMMYFUNCTION("""COMPUTED_VALUE"""),"Ashish Ranjan")</f>
        <v>Ashish Ranjan</v>
      </c>
      <c r="C44" s="115" t="str">
        <f>IFERROR(__xludf.DUMMYFUNCTION("""COMPUTED_VALUE"""),"EXTERNAL")</f>
        <v>EXTERNAL</v>
      </c>
      <c r="D44" s="115">
        <f>IFERROR(__xludf.DUMMYFUNCTION("""COMPUTED_VALUE"""),36189.0)</f>
        <v>36189</v>
      </c>
      <c r="E44" s="115">
        <f>IFERROR(__xludf.DUMMYFUNCTION("""COMPUTED_VALUE"""),2821.0)</f>
        <v>2821</v>
      </c>
      <c r="F44" s="115">
        <f>IFERROR(__xludf.DUMMYFUNCTION("""COMPUTED_VALUE"""),7520.0)</f>
        <v>7520</v>
      </c>
      <c r="G44" s="115">
        <f>IFERROR(__xludf.DUMMYFUNCTION("""COMPUTED_VALUE"""),192.0)</f>
        <v>192</v>
      </c>
      <c r="H44" s="116">
        <f>IFERROR(__xludf.DUMMYFUNCTION("""COMPUTED_VALUE"""),45901.0)</f>
        <v>45901</v>
      </c>
      <c r="I44" s="115" t="str">
        <f>IFERROR(__xludf.DUMMYFUNCTION("""COMPUTED_VALUE"""),"12")</f>
        <v>12</v>
      </c>
      <c r="J44" s="115" t="str">
        <f>IFERROR(__xludf.DUMMYFUNCTION("""COMPUTED_VALUE"""),"Ashish Ranjan2025-09-0112")</f>
        <v>Ashish Ranjan2025-09-0112</v>
      </c>
      <c r="K44" s="115">
        <f>IFERROR(__xludf.DUMMYFUNCTION("""COMPUTED_VALUE"""),39010.0)</f>
        <v>39010</v>
      </c>
    </row>
    <row r="45">
      <c r="A45" s="115" t="str">
        <f>IFERROR(__xludf.DUMMYFUNCTION("""COMPUTED_VALUE"""),"EAST")</f>
        <v>EAST</v>
      </c>
      <c r="B45" s="115" t="str">
        <f>IFERROR(__xludf.DUMMYFUNCTION("""COMPUTED_VALUE"""),"Ashish Ranjan")</f>
        <v>Ashish Ranjan</v>
      </c>
      <c r="C45" s="115" t="str">
        <f>IFERROR(__xludf.DUMMYFUNCTION("""COMPUTED_VALUE"""),"FLIPKART")</f>
        <v>FLIPKART</v>
      </c>
      <c r="D45" s="115">
        <f>IFERROR(__xludf.DUMMYFUNCTION("""COMPUTED_VALUE"""),533484.0)</f>
        <v>533484</v>
      </c>
      <c r="E45" s="115">
        <f>IFERROR(__xludf.DUMMYFUNCTION("""COMPUTED_VALUE"""),54668.0)</f>
        <v>54668</v>
      </c>
      <c r="F45" s="115">
        <f>IFERROR(__xludf.DUMMYFUNCTION("""COMPUTED_VALUE"""),193192.0)</f>
        <v>193192</v>
      </c>
      <c r="G45" s="115">
        <f>IFERROR(__xludf.DUMMYFUNCTION("""COMPUTED_VALUE"""),5881.0)</f>
        <v>5881</v>
      </c>
      <c r="H45" s="116">
        <f>IFERROR(__xludf.DUMMYFUNCTION("""COMPUTED_VALUE"""),45901.0)</f>
        <v>45901</v>
      </c>
      <c r="I45" s="115" t="str">
        <f>IFERROR(__xludf.DUMMYFUNCTION("""COMPUTED_VALUE"""),"12")</f>
        <v>12</v>
      </c>
      <c r="J45" s="115" t="str">
        <f>IFERROR(__xludf.DUMMYFUNCTION("""COMPUTED_VALUE"""),"Ashish Ranjan2025-09-0112")</f>
        <v>Ashish Ranjan2025-09-0112</v>
      </c>
      <c r="K45" s="115">
        <f>IFERROR(__xludf.DUMMYFUNCTION("""COMPUTED_VALUE"""),588152.0)</f>
        <v>588152</v>
      </c>
    </row>
    <row r="46">
      <c r="A46" s="115" t="str">
        <f>IFERROR(__xludf.DUMMYFUNCTION("""COMPUTED_VALUE"""),"EAST")</f>
        <v>EAST</v>
      </c>
      <c r="B46" s="115" t="str">
        <f>IFERROR(__xludf.DUMMYFUNCTION("""COMPUTED_VALUE"""),"Ashish Ranjan")</f>
        <v>Ashish Ranjan</v>
      </c>
      <c r="C46" s="115" t="str">
        <f>IFERROR(__xludf.DUMMYFUNCTION("""COMPUTED_VALUE"""),"MYNTRA")</f>
        <v>MYNTRA</v>
      </c>
      <c r="D46" s="115">
        <f>IFERROR(__xludf.DUMMYFUNCTION("""COMPUTED_VALUE"""),51206.0)</f>
        <v>51206</v>
      </c>
      <c r="E46" s="115">
        <f>IFERROR(__xludf.DUMMYFUNCTION("""COMPUTED_VALUE"""),9701.0)</f>
        <v>9701</v>
      </c>
      <c r="F46" s="115">
        <f>IFERROR(__xludf.DUMMYFUNCTION("""COMPUTED_VALUE"""),19028.0)</f>
        <v>19028</v>
      </c>
      <c r="G46" s="115">
        <f>IFERROR(__xludf.DUMMYFUNCTION("""COMPUTED_VALUE"""),1030.0)</f>
        <v>1030</v>
      </c>
      <c r="H46" s="116">
        <f>IFERROR(__xludf.DUMMYFUNCTION("""COMPUTED_VALUE"""),45901.0)</f>
        <v>45901</v>
      </c>
      <c r="I46" s="115" t="str">
        <f>IFERROR(__xludf.DUMMYFUNCTION("""COMPUTED_VALUE"""),"12")</f>
        <v>12</v>
      </c>
      <c r="J46" s="115" t="str">
        <f>IFERROR(__xludf.DUMMYFUNCTION("""COMPUTED_VALUE"""),"Ashish Ranjan2025-09-0112")</f>
        <v>Ashish Ranjan2025-09-0112</v>
      </c>
      <c r="K46" s="115">
        <f>IFERROR(__xludf.DUMMYFUNCTION("""COMPUTED_VALUE"""),60907.0)</f>
        <v>60907</v>
      </c>
    </row>
    <row r="47">
      <c r="A47" s="115" t="str">
        <f>IFERROR(__xludf.DUMMYFUNCTION("""COMPUTED_VALUE"""),"EAST")</f>
        <v>EAST</v>
      </c>
      <c r="B47" s="115" t="str">
        <f>IFERROR(__xludf.DUMMYFUNCTION("""COMPUTED_VALUE"""),"Girish Chand")</f>
        <v>Girish Chand</v>
      </c>
      <c r="C47" s="115" t="str">
        <f>IFERROR(__xludf.DUMMYFUNCTION("""COMPUTED_VALUE"""),"EXTERNAL")</f>
        <v>EXTERNAL</v>
      </c>
      <c r="D47" s="115">
        <f>IFERROR(__xludf.DUMMYFUNCTION("""COMPUTED_VALUE"""),23480.0)</f>
        <v>23480</v>
      </c>
      <c r="E47" s="115">
        <f>IFERROR(__xludf.DUMMYFUNCTION("""COMPUTED_VALUE"""),2114.0)</f>
        <v>2114</v>
      </c>
      <c r="F47" s="115">
        <f>IFERROR(__xludf.DUMMYFUNCTION("""COMPUTED_VALUE"""),3181.0)</f>
        <v>3181</v>
      </c>
      <c r="G47" s="115">
        <f>IFERROR(__xludf.DUMMYFUNCTION("""COMPUTED_VALUE"""),53.0)</f>
        <v>53</v>
      </c>
      <c r="H47" s="116">
        <f>IFERROR(__xludf.DUMMYFUNCTION("""COMPUTED_VALUE"""),45901.0)</f>
        <v>45901</v>
      </c>
      <c r="I47" s="115" t="str">
        <f>IFERROR(__xludf.DUMMYFUNCTION("""COMPUTED_VALUE"""),"12")</f>
        <v>12</v>
      </c>
      <c r="J47" s="115" t="str">
        <f>IFERROR(__xludf.DUMMYFUNCTION("""COMPUTED_VALUE"""),"Girish Chand2025-09-0112")</f>
        <v>Girish Chand2025-09-0112</v>
      </c>
      <c r="K47" s="115">
        <f>IFERROR(__xludf.DUMMYFUNCTION("""COMPUTED_VALUE"""),25594.0)</f>
        <v>25594</v>
      </c>
    </row>
    <row r="48">
      <c r="A48" s="115" t="str">
        <f>IFERROR(__xludf.DUMMYFUNCTION("""COMPUTED_VALUE"""),"EAST")</f>
        <v>EAST</v>
      </c>
      <c r="B48" s="115" t="str">
        <f>IFERROR(__xludf.DUMMYFUNCTION("""COMPUTED_VALUE"""),"Girish Chand")</f>
        <v>Girish Chand</v>
      </c>
      <c r="C48" s="115" t="str">
        <f>IFERROR(__xludf.DUMMYFUNCTION("""COMPUTED_VALUE"""),"FLIPKART")</f>
        <v>FLIPKART</v>
      </c>
      <c r="D48" s="115">
        <f>IFERROR(__xludf.DUMMYFUNCTION("""COMPUTED_VALUE"""),392728.0)</f>
        <v>392728</v>
      </c>
      <c r="E48" s="115">
        <f>IFERROR(__xludf.DUMMYFUNCTION("""COMPUTED_VALUE"""),33823.0)</f>
        <v>33823</v>
      </c>
      <c r="F48" s="115">
        <f>IFERROR(__xludf.DUMMYFUNCTION("""COMPUTED_VALUE"""),95436.0)</f>
        <v>95436</v>
      </c>
      <c r="G48" s="115">
        <f>IFERROR(__xludf.DUMMYFUNCTION("""COMPUTED_VALUE"""),1841.0)</f>
        <v>1841</v>
      </c>
      <c r="H48" s="116">
        <f>IFERROR(__xludf.DUMMYFUNCTION("""COMPUTED_VALUE"""),45901.0)</f>
        <v>45901</v>
      </c>
      <c r="I48" s="115" t="str">
        <f>IFERROR(__xludf.DUMMYFUNCTION("""COMPUTED_VALUE"""),"12")</f>
        <v>12</v>
      </c>
      <c r="J48" s="115" t="str">
        <f>IFERROR(__xludf.DUMMYFUNCTION("""COMPUTED_VALUE"""),"Girish Chand2025-09-0112")</f>
        <v>Girish Chand2025-09-0112</v>
      </c>
      <c r="K48" s="115">
        <f>IFERROR(__xludf.DUMMYFUNCTION("""COMPUTED_VALUE"""),426551.0)</f>
        <v>426551</v>
      </c>
    </row>
    <row r="49">
      <c r="A49" s="115" t="str">
        <f>IFERROR(__xludf.DUMMYFUNCTION("""COMPUTED_VALUE"""),"EAST")</f>
        <v>EAST</v>
      </c>
      <c r="B49" s="115" t="str">
        <f>IFERROR(__xludf.DUMMYFUNCTION("""COMPUTED_VALUE"""),"Girish Chand")</f>
        <v>Girish Chand</v>
      </c>
      <c r="C49" s="115" t="str">
        <f>IFERROR(__xludf.DUMMYFUNCTION("""COMPUTED_VALUE"""),"MYNTRA")</f>
        <v>MYNTRA</v>
      </c>
      <c r="D49" s="115">
        <f>IFERROR(__xludf.DUMMYFUNCTION("""COMPUTED_VALUE"""),30074.0)</f>
        <v>30074</v>
      </c>
      <c r="E49" s="115">
        <f>IFERROR(__xludf.DUMMYFUNCTION("""COMPUTED_VALUE"""),5199.0)</f>
        <v>5199</v>
      </c>
      <c r="F49" s="115">
        <f>IFERROR(__xludf.DUMMYFUNCTION("""COMPUTED_VALUE"""),8152.0)</f>
        <v>8152</v>
      </c>
      <c r="G49" s="115">
        <f>IFERROR(__xludf.DUMMYFUNCTION("""COMPUTED_VALUE"""),373.0)</f>
        <v>373</v>
      </c>
      <c r="H49" s="116">
        <f>IFERROR(__xludf.DUMMYFUNCTION("""COMPUTED_VALUE"""),45901.0)</f>
        <v>45901</v>
      </c>
      <c r="I49" s="115" t="str">
        <f>IFERROR(__xludf.DUMMYFUNCTION("""COMPUTED_VALUE"""),"12")</f>
        <v>12</v>
      </c>
      <c r="J49" s="115" t="str">
        <f>IFERROR(__xludf.DUMMYFUNCTION("""COMPUTED_VALUE"""),"Girish Chand2025-09-0112")</f>
        <v>Girish Chand2025-09-0112</v>
      </c>
      <c r="K49" s="115">
        <f>IFERROR(__xludf.DUMMYFUNCTION("""COMPUTED_VALUE"""),35273.0)</f>
        <v>35273</v>
      </c>
    </row>
    <row r="50">
      <c r="A50" s="115" t="str">
        <f>IFERROR(__xludf.DUMMYFUNCTION("""COMPUTED_VALUE"""),"EAST")</f>
        <v>EAST</v>
      </c>
      <c r="B50" s="115" t="str">
        <f>IFERROR(__xludf.DUMMYFUNCTION("""COMPUTED_VALUE"""),"Parag Kashyap")</f>
        <v>Parag Kashyap</v>
      </c>
      <c r="C50" s="115" t="str">
        <f>IFERROR(__xludf.DUMMYFUNCTION("""COMPUTED_VALUE"""),"EXTERNAL")</f>
        <v>EXTERNAL</v>
      </c>
      <c r="D50" s="115">
        <f>IFERROR(__xludf.DUMMYFUNCTION("""COMPUTED_VALUE"""),20261.0)</f>
        <v>20261</v>
      </c>
      <c r="E50" s="115">
        <f>IFERROR(__xludf.DUMMYFUNCTION("""COMPUTED_VALUE"""),1020.0)</f>
        <v>1020</v>
      </c>
      <c r="F50" s="115">
        <f>IFERROR(__xludf.DUMMYFUNCTION("""COMPUTED_VALUE"""),1920.0)</f>
        <v>1920</v>
      </c>
      <c r="G50" s="115">
        <f>IFERROR(__xludf.DUMMYFUNCTION("""COMPUTED_VALUE"""),10.0)</f>
        <v>10</v>
      </c>
      <c r="H50" s="116">
        <f>IFERROR(__xludf.DUMMYFUNCTION("""COMPUTED_VALUE"""),45901.0)</f>
        <v>45901</v>
      </c>
      <c r="I50" s="115" t="str">
        <f>IFERROR(__xludf.DUMMYFUNCTION("""COMPUTED_VALUE"""),"12")</f>
        <v>12</v>
      </c>
      <c r="J50" s="115" t="str">
        <f>IFERROR(__xludf.DUMMYFUNCTION("""COMPUTED_VALUE"""),"Parag Kashyap2025-09-0112")</f>
        <v>Parag Kashyap2025-09-0112</v>
      </c>
      <c r="K50" s="115">
        <f>IFERROR(__xludf.DUMMYFUNCTION("""COMPUTED_VALUE"""),21281.0)</f>
        <v>21281</v>
      </c>
    </row>
    <row r="51">
      <c r="A51" s="115" t="str">
        <f>IFERROR(__xludf.DUMMYFUNCTION("""COMPUTED_VALUE"""),"EAST")</f>
        <v>EAST</v>
      </c>
      <c r="B51" s="115" t="str">
        <f>IFERROR(__xludf.DUMMYFUNCTION("""COMPUTED_VALUE"""),"Parag Kashyap")</f>
        <v>Parag Kashyap</v>
      </c>
      <c r="C51" s="115" t="str">
        <f>IFERROR(__xludf.DUMMYFUNCTION("""COMPUTED_VALUE"""),"FLIPKART")</f>
        <v>FLIPKART</v>
      </c>
      <c r="D51" s="115">
        <f>IFERROR(__xludf.DUMMYFUNCTION("""COMPUTED_VALUE"""),292815.0)</f>
        <v>292815</v>
      </c>
      <c r="E51" s="115">
        <f>IFERROR(__xludf.DUMMYFUNCTION("""COMPUTED_VALUE"""),13872.0)</f>
        <v>13872</v>
      </c>
      <c r="F51" s="115">
        <f>IFERROR(__xludf.DUMMYFUNCTION("""COMPUTED_VALUE"""),57614.0)</f>
        <v>57614</v>
      </c>
      <c r="G51" s="115">
        <f>IFERROR(__xludf.DUMMYFUNCTION("""COMPUTED_VALUE"""),461.0)</f>
        <v>461</v>
      </c>
      <c r="H51" s="116">
        <f>IFERROR(__xludf.DUMMYFUNCTION("""COMPUTED_VALUE"""),45901.0)</f>
        <v>45901</v>
      </c>
      <c r="I51" s="115" t="str">
        <f>IFERROR(__xludf.DUMMYFUNCTION("""COMPUTED_VALUE"""),"12")</f>
        <v>12</v>
      </c>
      <c r="J51" s="115" t="str">
        <f>IFERROR(__xludf.DUMMYFUNCTION("""COMPUTED_VALUE"""),"Parag Kashyap2025-09-0112")</f>
        <v>Parag Kashyap2025-09-0112</v>
      </c>
      <c r="K51" s="115">
        <f>IFERROR(__xludf.DUMMYFUNCTION("""COMPUTED_VALUE"""),306687.0)</f>
        <v>306687</v>
      </c>
    </row>
    <row r="52">
      <c r="A52" s="115" t="str">
        <f>IFERROR(__xludf.DUMMYFUNCTION("""COMPUTED_VALUE"""),"EAST")</f>
        <v>EAST</v>
      </c>
      <c r="B52" s="115" t="str">
        <f>IFERROR(__xludf.DUMMYFUNCTION("""COMPUTED_VALUE"""),"Parag Kashyap")</f>
        <v>Parag Kashyap</v>
      </c>
      <c r="C52" s="115" t="str">
        <f>IFERROR(__xludf.DUMMYFUNCTION("""COMPUTED_VALUE"""),"MYNTRA")</f>
        <v>MYNTRA</v>
      </c>
      <c r="D52" s="115">
        <f>IFERROR(__xludf.DUMMYFUNCTION("""COMPUTED_VALUE"""),32849.0)</f>
        <v>32849</v>
      </c>
      <c r="E52" s="115">
        <f>IFERROR(__xludf.DUMMYFUNCTION("""COMPUTED_VALUE"""),3656.0)</f>
        <v>3656</v>
      </c>
      <c r="F52" s="115">
        <f>IFERROR(__xludf.DUMMYFUNCTION("""COMPUTED_VALUE"""),6990.0)</f>
        <v>6990</v>
      </c>
      <c r="G52" s="115">
        <f>IFERROR(__xludf.DUMMYFUNCTION("""COMPUTED_VALUE"""),85.0)</f>
        <v>85</v>
      </c>
      <c r="H52" s="116">
        <f>IFERROR(__xludf.DUMMYFUNCTION("""COMPUTED_VALUE"""),45901.0)</f>
        <v>45901</v>
      </c>
      <c r="I52" s="115" t="str">
        <f>IFERROR(__xludf.DUMMYFUNCTION("""COMPUTED_VALUE"""),"12")</f>
        <v>12</v>
      </c>
      <c r="J52" s="115" t="str">
        <f>IFERROR(__xludf.DUMMYFUNCTION("""COMPUTED_VALUE"""),"Parag Kashyap2025-09-0112")</f>
        <v>Parag Kashyap2025-09-0112</v>
      </c>
      <c r="K52" s="115">
        <f>IFERROR(__xludf.DUMMYFUNCTION("""COMPUTED_VALUE"""),36505.0)</f>
        <v>36505</v>
      </c>
    </row>
    <row r="53">
      <c r="A53" s="115" t="str">
        <f>IFERROR(__xludf.DUMMYFUNCTION("""COMPUTED_VALUE"""),"NORTH")</f>
        <v>NORTH</v>
      </c>
      <c r="B53" s="115" t="str">
        <f>IFERROR(__xludf.DUMMYFUNCTION("""COMPUTED_VALUE"""),"Amit Kumar Pathak")</f>
        <v>Amit Kumar Pathak</v>
      </c>
      <c r="C53" s="115" t="str">
        <f>IFERROR(__xludf.DUMMYFUNCTION("""COMPUTED_VALUE"""),"EXTERNAL")</f>
        <v>EXTERNAL</v>
      </c>
      <c r="D53" s="115">
        <f>IFERROR(__xludf.DUMMYFUNCTION("""COMPUTED_VALUE"""),23107.0)</f>
        <v>23107</v>
      </c>
      <c r="E53" s="115">
        <f>IFERROR(__xludf.DUMMYFUNCTION("""COMPUTED_VALUE"""),2025.0)</f>
        <v>2025</v>
      </c>
      <c r="F53" s="115">
        <f>IFERROR(__xludf.DUMMYFUNCTION("""COMPUTED_VALUE"""),2530.0)</f>
        <v>2530</v>
      </c>
      <c r="G53" s="115">
        <f>IFERROR(__xludf.DUMMYFUNCTION("""COMPUTED_VALUE"""),171.0)</f>
        <v>171</v>
      </c>
      <c r="H53" s="116">
        <f>IFERROR(__xludf.DUMMYFUNCTION("""COMPUTED_VALUE"""),45901.0)</f>
        <v>45901</v>
      </c>
      <c r="I53" s="115" t="str">
        <f>IFERROR(__xludf.DUMMYFUNCTION("""COMPUTED_VALUE"""),"12")</f>
        <v>12</v>
      </c>
      <c r="J53" s="115" t="str">
        <f>IFERROR(__xludf.DUMMYFUNCTION("""COMPUTED_VALUE"""),"Amit Kumar Pathak2025-09-0112")</f>
        <v>Amit Kumar Pathak2025-09-0112</v>
      </c>
      <c r="K53" s="115">
        <f>IFERROR(__xludf.DUMMYFUNCTION("""COMPUTED_VALUE"""),25132.0)</f>
        <v>25132</v>
      </c>
    </row>
    <row r="54">
      <c r="A54" s="115" t="str">
        <f>IFERROR(__xludf.DUMMYFUNCTION("""COMPUTED_VALUE"""),"NORTH")</f>
        <v>NORTH</v>
      </c>
      <c r="B54" s="115" t="str">
        <f>IFERROR(__xludf.DUMMYFUNCTION("""COMPUTED_VALUE"""),"Amit Kumar Pathak")</f>
        <v>Amit Kumar Pathak</v>
      </c>
      <c r="C54" s="115" t="str">
        <f>IFERROR(__xludf.DUMMYFUNCTION("""COMPUTED_VALUE"""),"FLIPKART")</f>
        <v>FLIPKART</v>
      </c>
      <c r="D54" s="115">
        <f>IFERROR(__xludf.DUMMYFUNCTION("""COMPUTED_VALUE"""),153794.0)</f>
        <v>153794</v>
      </c>
      <c r="E54" s="115">
        <f>IFERROR(__xludf.DUMMYFUNCTION("""COMPUTED_VALUE"""),19279.0)</f>
        <v>19279</v>
      </c>
      <c r="F54" s="115">
        <f>IFERROR(__xludf.DUMMYFUNCTION("""COMPUTED_VALUE"""),35209.0)</f>
        <v>35209</v>
      </c>
      <c r="G54" s="115">
        <f>IFERROR(__xludf.DUMMYFUNCTION("""COMPUTED_VALUE"""),2523.0)</f>
        <v>2523</v>
      </c>
      <c r="H54" s="116">
        <f>IFERROR(__xludf.DUMMYFUNCTION("""COMPUTED_VALUE"""),45901.0)</f>
        <v>45901</v>
      </c>
      <c r="I54" s="115" t="str">
        <f>IFERROR(__xludf.DUMMYFUNCTION("""COMPUTED_VALUE"""),"12")</f>
        <v>12</v>
      </c>
      <c r="J54" s="115" t="str">
        <f>IFERROR(__xludf.DUMMYFUNCTION("""COMPUTED_VALUE"""),"Amit Kumar Pathak2025-09-0112")</f>
        <v>Amit Kumar Pathak2025-09-0112</v>
      </c>
      <c r="K54" s="115">
        <f>IFERROR(__xludf.DUMMYFUNCTION("""COMPUTED_VALUE"""),173073.0)</f>
        <v>173073</v>
      </c>
    </row>
    <row r="55">
      <c r="A55" s="115" t="str">
        <f>IFERROR(__xludf.DUMMYFUNCTION("""COMPUTED_VALUE"""),"NORTH")</f>
        <v>NORTH</v>
      </c>
      <c r="B55" s="115" t="str">
        <f>IFERROR(__xludf.DUMMYFUNCTION("""COMPUTED_VALUE"""),"Amit Kumar Pathak")</f>
        <v>Amit Kumar Pathak</v>
      </c>
      <c r="C55" s="115" t="str">
        <f>IFERROR(__xludf.DUMMYFUNCTION("""COMPUTED_VALUE"""),"MYNTRA")</f>
        <v>MYNTRA</v>
      </c>
      <c r="D55" s="115">
        <f>IFERROR(__xludf.DUMMYFUNCTION("""COMPUTED_VALUE"""),12334.0)</f>
        <v>12334</v>
      </c>
      <c r="E55" s="115">
        <f>IFERROR(__xludf.DUMMYFUNCTION("""COMPUTED_VALUE"""),4495.0)</f>
        <v>4495</v>
      </c>
      <c r="F55" s="115">
        <f>IFERROR(__xludf.DUMMYFUNCTION("""COMPUTED_VALUE"""),3710.0)</f>
        <v>3710</v>
      </c>
      <c r="G55" s="115">
        <f>IFERROR(__xludf.DUMMYFUNCTION("""COMPUTED_VALUE"""),647.0)</f>
        <v>647</v>
      </c>
      <c r="H55" s="116">
        <f>IFERROR(__xludf.DUMMYFUNCTION("""COMPUTED_VALUE"""),45901.0)</f>
        <v>45901</v>
      </c>
      <c r="I55" s="115" t="str">
        <f>IFERROR(__xludf.DUMMYFUNCTION("""COMPUTED_VALUE"""),"12")</f>
        <v>12</v>
      </c>
      <c r="J55" s="115" t="str">
        <f>IFERROR(__xludf.DUMMYFUNCTION("""COMPUTED_VALUE"""),"Amit Kumar Pathak2025-09-0112")</f>
        <v>Amit Kumar Pathak2025-09-0112</v>
      </c>
      <c r="K55" s="115">
        <f>IFERROR(__xludf.DUMMYFUNCTION("""COMPUTED_VALUE"""),16829.0)</f>
        <v>16829</v>
      </c>
    </row>
    <row r="56">
      <c r="A56" s="115" t="str">
        <f>IFERROR(__xludf.DUMMYFUNCTION("""COMPUTED_VALUE"""),"NORTH")</f>
        <v>NORTH</v>
      </c>
      <c r="B56" s="115" t="str">
        <f>IFERROR(__xludf.DUMMYFUNCTION("""COMPUTED_VALUE"""),"Loveleen Singh")</f>
        <v>Loveleen Singh</v>
      </c>
      <c r="C56" s="115" t="str">
        <f>IFERROR(__xludf.DUMMYFUNCTION("""COMPUTED_VALUE"""),"EXTERNAL")</f>
        <v>EXTERNAL</v>
      </c>
      <c r="D56" s="115">
        <f>IFERROR(__xludf.DUMMYFUNCTION("""COMPUTED_VALUE"""),24167.0)</f>
        <v>24167</v>
      </c>
      <c r="E56" s="115">
        <f>IFERROR(__xludf.DUMMYFUNCTION("""COMPUTED_VALUE"""),1608.0)</f>
        <v>1608</v>
      </c>
      <c r="F56" s="115">
        <f>IFERROR(__xludf.DUMMYFUNCTION("""COMPUTED_VALUE"""),2227.0)</f>
        <v>2227</v>
      </c>
      <c r="G56" s="115">
        <f>IFERROR(__xludf.DUMMYFUNCTION("""COMPUTED_VALUE"""),28.0)</f>
        <v>28</v>
      </c>
      <c r="H56" s="116">
        <f>IFERROR(__xludf.DUMMYFUNCTION("""COMPUTED_VALUE"""),45901.0)</f>
        <v>45901</v>
      </c>
      <c r="I56" s="115" t="str">
        <f>IFERROR(__xludf.DUMMYFUNCTION("""COMPUTED_VALUE"""),"12")</f>
        <v>12</v>
      </c>
      <c r="J56" s="115" t="str">
        <f>IFERROR(__xludf.DUMMYFUNCTION("""COMPUTED_VALUE"""),"Loveleen Singh2025-09-0112")</f>
        <v>Loveleen Singh2025-09-0112</v>
      </c>
      <c r="K56" s="115">
        <f>IFERROR(__xludf.DUMMYFUNCTION("""COMPUTED_VALUE"""),25775.0)</f>
        <v>25775</v>
      </c>
    </row>
    <row r="57">
      <c r="A57" s="115" t="str">
        <f>IFERROR(__xludf.DUMMYFUNCTION("""COMPUTED_VALUE"""),"NORTH")</f>
        <v>NORTH</v>
      </c>
      <c r="B57" s="115" t="str">
        <f>IFERROR(__xludf.DUMMYFUNCTION("""COMPUTED_VALUE"""),"Loveleen Singh")</f>
        <v>Loveleen Singh</v>
      </c>
      <c r="C57" s="115" t="str">
        <f>IFERROR(__xludf.DUMMYFUNCTION("""COMPUTED_VALUE"""),"FLIPKART")</f>
        <v>FLIPKART</v>
      </c>
      <c r="D57" s="115">
        <f>IFERROR(__xludf.DUMMYFUNCTION("""COMPUTED_VALUE"""),118939.0)</f>
        <v>118939</v>
      </c>
      <c r="E57" s="115">
        <f>IFERROR(__xludf.DUMMYFUNCTION("""COMPUTED_VALUE"""),10484.0)</f>
        <v>10484</v>
      </c>
      <c r="F57" s="115">
        <f>IFERROR(__xludf.DUMMYFUNCTION("""COMPUTED_VALUE"""),19251.0)</f>
        <v>19251</v>
      </c>
      <c r="G57" s="115">
        <f>IFERROR(__xludf.DUMMYFUNCTION("""COMPUTED_VALUE"""),612.0)</f>
        <v>612</v>
      </c>
      <c r="H57" s="116">
        <f>IFERROR(__xludf.DUMMYFUNCTION("""COMPUTED_VALUE"""),45901.0)</f>
        <v>45901</v>
      </c>
      <c r="I57" s="115" t="str">
        <f>IFERROR(__xludf.DUMMYFUNCTION("""COMPUTED_VALUE"""),"12")</f>
        <v>12</v>
      </c>
      <c r="J57" s="115" t="str">
        <f>IFERROR(__xludf.DUMMYFUNCTION("""COMPUTED_VALUE"""),"Loveleen Singh2025-09-0112")</f>
        <v>Loveleen Singh2025-09-0112</v>
      </c>
      <c r="K57" s="115">
        <f>IFERROR(__xludf.DUMMYFUNCTION("""COMPUTED_VALUE"""),129423.0)</f>
        <v>129423</v>
      </c>
    </row>
    <row r="58">
      <c r="A58" s="115" t="str">
        <f>IFERROR(__xludf.DUMMYFUNCTION("""COMPUTED_VALUE"""),"NORTH")</f>
        <v>NORTH</v>
      </c>
      <c r="B58" s="115" t="str">
        <f>IFERROR(__xludf.DUMMYFUNCTION("""COMPUTED_VALUE"""),"Loveleen Singh")</f>
        <v>Loveleen Singh</v>
      </c>
      <c r="C58" s="115" t="str">
        <f>IFERROR(__xludf.DUMMYFUNCTION("""COMPUTED_VALUE"""),"MYNTRA")</f>
        <v>MYNTRA</v>
      </c>
      <c r="D58" s="115">
        <f>IFERROR(__xludf.DUMMYFUNCTION("""COMPUTED_VALUE"""),15940.0)</f>
        <v>15940</v>
      </c>
      <c r="E58" s="115">
        <f>IFERROR(__xludf.DUMMYFUNCTION("""COMPUTED_VALUE"""),3764.0)</f>
        <v>3764</v>
      </c>
      <c r="F58" s="115">
        <f>IFERROR(__xludf.DUMMYFUNCTION("""COMPUTED_VALUE"""),3054.0)</f>
        <v>3054</v>
      </c>
      <c r="G58" s="115">
        <f>IFERROR(__xludf.DUMMYFUNCTION("""COMPUTED_VALUE"""),232.0)</f>
        <v>232</v>
      </c>
      <c r="H58" s="116">
        <f>IFERROR(__xludf.DUMMYFUNCTION("""COMPUTED_VALUE"""),45901.0)</f>
        <v>45901</v>
      </c>
      <c r="I58" s="115" t="str">
        <f>IFERROR(__xludf.DUMMYFUNCTION("""COMPUTED_VALUE"""),"12")</f>
        <v>12</v>
      </c>
      <c r="J58" s="115" t="str">
        <f>IFERROR(__xludf.DUMMYFUNCTION("""COMPUTED_VALUE"""),"Loveleen Singh2025-09-0112")</f>
        <v>Loveleen Singh2025-09-0112</v>
      </c>
      <c r="K58" s="115">
        <f>IFERROR(__xludf.DUMMYFUNCTION("""COMPUTED_VALUE"""),19704.0)</f>
        <v>19704</v>
      </c>
    </row>
    <row r="59">
      <c r="A59" s="115" t="str">
        <f>IFERROR(__xludf.DUMMYFUNCTION("""COMPUTED_VALUE"""),"NORTH")</f>
        <v>NORTH</v>
      </c>
      <c r="B59" s="115" t="str">
        <f>IFERROR(__xludf.DUMMYFUNCTION("""COMPUTED_VALUE"""),"Manoj Harsh")</f>
        <v>Manoj Harsh</v>
      </c>
      <c r="C59" s="115" t="str">
        <f>IFERROR(__xludf.DUMMYFUNCTION("""COMPUTED_VALUE"""),"EXTERNAL")</f>
        <v>EXTERNAL</v>
      </c>
      <c r="D59" s="115">
        <f>IFERROR(__xludf.DUMMYFUNCTION("""COMPUTED_VALUE"""),26109.0)</f>
        <v>26109</v>
      </c>
      <c r="E59" s="115">
        <f>IFERROR(__xludf.DUMMYFUNCTION("""COMPUTED_VALUE"""),2369.0)</f>
        <v>2369</v>
      </c>
      <c r="F59" s="115">
        <f>IFERROR(__xludf.DUMMYFUNCTION("""COMPUTED_VALUE"""),2499.0)</f>
        <v>2499</v>
      </c>
      <c r="G59" s="115">
        <f>IFERROR(__xludf.DUMMYFUNCTION("""COMPUTED_VALUE"""),83.0)</f>
        <v>83</v>
      </c>
      <c r="H59" s="116">
        <f>IFERROR(__xludf.DUMMYFUNCTION("""COMPUTED_VALUE"""),45901.0)</f>
        <v>45901</v>
      </c>
      <c r="I59" s="115" t="str">
        <f>IFERROR(__xludf.DUMMYFUNCTION("""COMPUTED_VALUE"""),"12")</f>
        <v>12</v>
      </c>
      <c r="J59" s="115" t="str">
        <f>IFERROR(__xludf.DUMMYFUNCTION("""COMPUTED_VALUE"""),"Manoj Harsh2025-09-0112")</f>
        <v>Manoj Harsh2025-09-0112</v>
      </c>
      <c r="K59" s="115">
        <f>IFERROR(__xludf.DUMMYFUNCTION("""COMPUTED_VALUE"""),28478.0)</f>
        <v>28478</v>
      </c>
    </row>
    <row r="60">
      <c r="A60" s="115" t="str">
        <f>IFERROR(__xludf.DUMMYFUNCTION("""COMPUTED_VALUE"""),"NORTH")</f>
        <v>NORTH</v>
      </c>
      <c r="B60" s="115" t="str">
        <f>IFERROR(__xludf.DUMMYFUNCTION("""COMPUTED_VALUE"""),"Manoj Harsh")</f>
        <v>Manoj Harsh</v>
      </c>
      <c r="C60" s="115" t="str">
        <f>IFERROR(__xludf.DUMMYFUNCTION("""COMPUTED_VALUE"""),"FLIPKART")</f>
        <v>FLIPKART</v>
      </c>
      <c r="D60" s="115">
        <f>IFERROR(__xludf.DUMMYFUNCTION("""COMPUTED_VALUE"""),327468.0)</f>
        <v>327468</v>
      </c>
      <c r="E60" s="115">
        <f>IFERROR(__xludf.DUMMYFUNCTION("""COMPUTED_VALUE"""),30436.0)</f>
        <v>30436</v>
      </c>
      <c r="F60" s="115">
        <f>IFERROR(__xludf.DUMMYFUNCTION("""COMPUTED_VALUE"""),63200.0)</f>
        <v>63200</v>
      </c>
      <c r="G60" s="115">
        <f>IFERROR(__xludf.DUMMYFUNCTION("""COMPUTED_VALUE"""),1756.0)</f>
        <v>1756</v>
      </c>
      <c r="H60" s="116">
        <f>IFERROR(__xludf.DUMMYFUNCTION("""COMPUTED_VALUE"""),45901.0)</f>
        <v>45901</v>
      </c>
      <c r="I60" s="115" t="str">
        <f>IFERROR(__xludf.DUMMYFUNCTION("""COMPUTED_VALUE"""),"12")</f>
        <v>12</v>
      </c>
      <c r="J60" s="115" t="str">
        <f>IFERROR(__xludf.DUMMYFUNCTION("""COMPUTED_VALUE"""),"Manoj Harsh2025-09-0112")</f>
        <v>Manoj Harsh2025-09-0112</v>
      </c>
      <c r="K60" s="115">
        <f>IFERROR(__xludf.DUMMYFUNCTION("""COMPUTED_VALUE"""),357904.0)</f>
        <v>357904</v>
      </c>
    </row>
    <row r="61">
      <c r="A61" s="115" t="str">
        <f>IFERROR(__xludf.DUMMYFUNCTION("""COMPUTED_VALUE"""),"NORTH")</f>
        <v>NORTH</v>
      </c>
      <c r="B61" s="115" t="str">
        <f>IFERROR(__xludf.DUMMYFUNCTION("""COMPUTED_VALUE"""),"Manoj Harsh")</f>
        <v>Manoj Harsh</v>
      </c>
      <c r="C61" s="115" t="str">
        <f>IFERROR(__xludf.DUMMYFUNCTION("""COMPUTED_VALUE"""),"MYNTRA")</f>
        <v>MYNTRA</v>
      </c>
      <c r="D61" s="115">
        <f>IFERROR(__xludf.DUMMYFUNCTION("""COMPUTED_VALUE"""),28292.0)</f>
        <v>28292</v>
      </c>
      <c r="E61" s="115">
        <f>IFERROR(__xludf.DUMMYFUNCTION("""COMPUTED_VALUE"""),4879.0)</f>
        <v>4879</v>
      </c>
      <c r="F61" s="115">
        <f>IFERROR(__xludf.DUMMYFUNCTION("""COMPUTED_VALUE"""),6379.0)</f>
        <v>6379</v>
      </c>
      <c r="G61" s="115">
        <f>IFERROR(__xludf.DUMMYFUNCTION("""COMPUTED_VALUE"""),284.0)</f>
        <v>284</v>
      </c>
      <c r="H61" s="116">
        <f>IFERROR(__xludf.DUMMYFUNCTION("""COMPUTED_VALUE"""),45901.0)</f>
        <v>45901</v>
      </c>
      <c r="I61" s="115" t="str">
        <f>IFERROR(__xludf.DUMMYFUNCTION("""COMPUTED_VALUE"""),"12")</f>
        <v>12</v>
      </c>
      <c r="J61" s="115" t="str">
        <f>IFERROR(__xludf.DUMMYFUNCTION("""COMPUTED_VALUE"""),"Manoj Harsh2025-09-0112")</f>
        <v>Manoj Harsh2025-09-0112</v>
      </c>
      <c r="K61" s="115">
        <f>IFERROR(__xludf.DUMMYFUNCTION("""COMPUTED_VALUE"""),33171.0)</f>
        <v>33171</v>
      </c>
    </row>
    <row r="62">
      <c r="A62" s="115" t="str">
        <f>IFERROR(__xludf.DUMMYFUNCTION("""COMPUTED_VALUE"""),"NORTH")</f>
        <v>NORTH</v>
      </c>
      <c r="B62" s="115" t="str">
        <f>IFERROR(__xludf.DUMMYFUNCTION("""COMPUTED_VALUE"""),"Pradeep Kothari")</f>
        <v>Pradeep Kothari</v>
      </c>
      <c r="C62" s="115" t="str">
        <f>IFERROR(__xludf.DUMMYFUNCTION("""COMPUTED_VALUE"""),"EXTERNAL")</f>
        <v>EXTERNAL</v>
      </c>
      <c r="D62" s="115">
        <f>IFERROR(__xludf.DUMMYFUNCTION("""COMPUTED_VALUE"""),16537.0)</f>
        <v>16537</v>
      </c>
      <c r="E62" s="115">
        <f>IFERROR(__xludf.DUMMYFUNCTION("""COMPUTED_VALUE"""),1652.0)</f>
        <v>1652</v>
      </c>
      <c r="F62" s="115">
        <f>IFERROR(__xludf.DUMMYFUNCTION("""COMPUTED_VALUE"""),1881.0)</f>
        <v>1881</v>
      </c>
      <c r="G62" s="115">
        <f>IFERROR(__xludf.DUMMYFUNCTION("""COMPUTED_VALUE"""),86.0)</f>
        <v>86</v>
      </c>
      <c r="H62" s="116">
        <f>IFERROR(__xludf.DUMMYFUNCTION("""COMPUTED_VALUE"""),45901.0)</f>
        <v>45901</v>
      </c>
      <c r="I62" s="115" t="str">
        <f>IFERROR(__xludf.DUMMYFUNCTION("""COMPUTED_VALUE"""),"12")</f>
        <v>12</v>
      </c>
      <c r="J62" s="115" t="str">
        <f>IFERROR(__xludf.DUMMYFUNCTION("""COMPUTED_VALUE"""),"Pradeep Kothari2025-09-0112")</f>
        <v>Pradeep Kothari2025-09-0112</v>
      </c>
      <c r="K62" s="115">
        <f>IFERROR(__xludf.DUMMYFUNCTION("""COMPUTED_VALUE"""),18189.0)</f>
        <v>18189</v>
      </c>
    </row>
    <row r="63">
      <c r="A63" s="115" t="str">
        <f>IFERROR(__xludf.DUMMYFUNCTION("""COMPUTED_VALUE"""),"NORTH")</f>
        <v>NORTH</v>
      </c>
      <c r="B63" s="115" t="str">
        <f>IFERROR(__xludf.DUMMYFUNCTION("""COMPUTED_VALUE"""),"Pradeep Kothari")</f>
        <v>Pradeep Kothari</v>
      </c>
      <c r="C63" s="115" t="str">
        <f>IFERROR(__xludf.DUMMYFUNCTION("""COMPUTED_VALUE"""),"FLIPKART")</f>
        <v>FLIPKART</v>
      </c>
      <c r="D63" s="115">
        <f>IFERROR(__xludf.DUMMYFUNCTION("""COMPUTED_VALUE"""),120472.0)</f>
        <v>120472</v>
      </c>
      <c r="E63" s="115">
        <f>IFERROR(__xludf.DUMMYFUNCTION("""COMPUTED_VALUE"""),14267.0)</f>
        <v>14267</v>
      </c>
      <c r="F63" s="115">
        <f>IFERROR(__xludf.DUMMYFUNCTION("""COMPUTED_VALUE"""),28654.0)</f>
        <v>28654</v>
      </c>
      <c r="G63" s="115">
        <f>IFERROR(__xludf.DUMMYFUNCTION("""COMPUTED_VALUE"""),1305.0)</f>
        <v>1305</v>
      </c>
      <c r="H63" s="116">
        <f>IFERROR(__xludf.DUMMYFUNCTION("""COMPUTED_VALUE"""),45901.0)</f>
        <v>45901</v>
      </c>
      <c r="I63" s="115" t="str">
        <f>IFERROR(__xludf.DUMMYFUNCTION("""COMPUTED_VALUE"""),"12")</f>
        <v>12</v>
      </c>
      <c r="J63" s="115" t="str">
        <f>IFERROR(__xludf.DUMMYFUNCTION("""COMPUTED_VALUE"""),"Pradeep Kothari2025-09-0112")</f>
        <v>Pradeep Kothari2025-09-0112</v>
      </c>
      <c r="K63" s="115">
        <f>IFERROR(__xludf.DUMMYFUNCTION("""COMPUTED_VALUE"""),134739.0)</f>
        <v>134739</v>
      </c>
    </row>
    <row r="64">
      <c r="A64" s="115" t="str">
        <f>IFERROR(__xludf.DUMMYFUNCTION("""COMPUTED_VALUE"""),"NORTH")</f>
        <v>NORTH</v>
      </c>
      <c r="B64" s="115" t="str">
        <f>IFERROR(__xludf.DUMMYFUNCTION("""COMPUTED_VALUE"""),"Pradeep Kothari")</f>
        <v>Pradeep Kothari</v>
      </c>
      <c r="C64" s="115" t="str">
        <f>IFERROR(__xludf.DUMMYFUNCTION("""COMPUTED_VALUE"""),"MYNTRA")</f>
        <v>MYNTRA</v>
      </c>
      <c r="D64" s="115">
        <f>IFERROR(__xludf.DUMMYFUNCTION("""COMPUTED_VALUE"""),21117.0)</f>
        <v>21117</v>
      </c>
      <c r="E64" s="115">
        <f>IFERROR(__xludf.DUMMYFUNCTION("""COMPUTED_VALUE"""),4779.0)</f>
        <v>4779</v>
      </c>
      <c r="F64" s="115">
        <f>IFERROR(__xludf.DUMMYFUNCTION("""COMPUTED_VALUE"""),6667.0)</f>
        <v>6667</v>
      </c>
      <c r="G64" s="115">
        <f>IFERROR(__xludf.DUMMYFUNCTION("""COMPUTED_VALUE"""),593.0)</f>
        <v>593</v>
      </c>
      <c r="H64" s="116">
        <f>IFERROR(__xludf.DUMMYFUNCTION("""COMPUTED_VALUE"""),45901.0)</f>
        <v>45901</v>
      </c>
      <c r="I64" s="115" t="str">
        <f>IFERROR(__xludf.DUMMYFUNCTION("""COMPUTED_VALUE"""),"12")</f>
        <v>12</v>
      </c>
      <c r="J64" s="115" t="str">
        <f>IFERROR(__xludf.DUMMYFUNCTION("""COMPUTED_VALUE"""),"Pradeep Kothari2025-09-0112")</f>
        <v>Pradeep Kothari2025-09-0112</v>
      </c>
      <c r="K64" s="115">
        <f>IFERROR(__xludf.DUMMYFUNCTION("""COMPUTED_VALUE"""),25896.0)</f>
        <v>25896</v>
      </c>
    </row>
    <row r="65">
      <c r="A65" s="115" t="str">
        <f>IFERROR(__xludf.DUMMYFUNCTION("""COMPUTED_VALUE"""),"SOUTH")</f>
        <v>SOUTH</v>
      </c>
      <c r="B65" s="115" t="str">
        <f>IFERROR(__xludf.DUMMYFUNCTION("""COMPUTED_VALUE"""),"Kandula Sampath")</f>
        <v>Kandula Sampath</v>
      </c>
      <c r="C65" s="115" t="str">
        <f>IFERROR(__xludf.DUMMYFUNCTION("""COMPUTED_VALUE"""),"EXTERNAL")</f>
        <v>EXTERNAL</v>
      </c>
      <c r="D65" s="115">
        <f>IFERROR(__xludf.DUMMYFUNCTION("""COMPUTED_VALUE"""),35842.0)</f>
        <v>35842</v>
      </c>
      <c r="E65" s="115">
        <f>IFERROR(__xludf.DUMMYFUNCTION("""COMPUTED_VALUE"""),3581.0)</f>
        <v>3581</v>
      </c>
      <c r="F65" s="115">
        <f>IFERROR(__xludf.DUMMYFUNCTION("""COMPUTED_VALUE"""),5109.0)</f>
        <v>5109</v>
      </c>
      <c r="G65" s="115">
        <f>IFERROR(__xludf.DUMMYFUNCTION("""COMPUTED_VALUE"""),101.0)</f>
        <v>101</v>
      </c>
      <c r="H65" s="116">
        <f>IFERROR(__xludf.DUMMYFUNCTION("""COMPUTED_VALUE"""),45901.0)</f>
        <v>45901</v>
      </c>
      <c r="I65" s="115" t="str">
        <f>IFERROR(__xludf.DUMMYFUNCTION("""COMPUTED_VALUE"""),"12")</f>
        <v>12</v>
      </c>
      <c r="J65" s="115" t="str">
        <f>IFERROR(__xludf.DUMMYFUNCTION("""COMPUTED_VALUE"""),"Kandula Sampath2025-09-0112")</f>
        <v>Kandula Sampath2025-09-0112</v>
      </c>
      <c r="K65" s="115">
        <f>IFERROR(__xludf.DUMMYFUNCTION("""COMPUTED_VALUE"""),39423.0)</f>
        <v>39423</v>
      </c>
    </row>
    <row r="66">
      <c r="A66" s="115" t="str">
        <f>IFERROR(__xludf.DUMMYFUNCTION("""COMPUTED_VALUE"""),"SOUTH")</f>
        <v>SOUTH</v>
      </c>
      <c r="B66" s="115" t="str">
        <f>IFERROR(__xludf.DUMMYFUNCTION("""COMPUTED_VALUE"""),"Kandula Sampath")</f>
        <v>Kandula Sampath</v>
      </c>
      <c r="C66" s="115" t="str">
        <f>IFERROR(__xludf.DUMMYFUNCTION("""COMPUTED_VALUE"""),"FLIPKART")</f>
        <v>FLIPKART</v>
      </c>
      <c r="D66" s="115">
        <f>IFERROR(__xludf.DUMMYFUNCTION("""COMPUTED_VALUE"""),312706.0)</f>
        <v>312706</v>
      </c>
      <c r="E66" s="115">
        <f>IFERROR(__xludf.DUMMYFUNCTION("""COMPUTED_VALUE"""),27312.0)</f>
        <v>27312</v>
      </c>
      <c r="F66" s="115">
        <f>IFERROR(__xludf.DUMMYFUNCTION("""COMPUTED_VALUE"""),84834.0)</f>
        <v>84834</v>
      </c>
      <c r="G66" s="115">
        <f>IFERROR(__xludf.DUMMYFUNCTION("""COMPUTED_VALUE"""),1535.0)</f>
        <v>1535</v>
      </c>
      <c r="H66" s="116">
        <f>IFERROR(__xludf.DUMMYFUNCTION("""COMPUTED_VALUE"""),45901.0)</f>
        <v>45901</v>
      </c>
      <c r="I66" s="115" t="str">
        <f>IFERROR(__xludf.DUMMYFUNCTION("""COMPUTED_VALUE"""),"12")</f>
        <v>12</v>
      </c>
      <c r="J66" s="115" t="str">
        <f>IFERROR(__xludf.DUMMYFUNCTION("""COMPUTED_VALUE"""),"Kandula Sampath2025-09-0112")</f>
        <v>Kandula Sampath2025-09-0112</v>
      </c>
      <c r="K66" s="115">
        <f>IFERROR(__xludf.DUMMYFUNCTION("""COMPUTED_VALUE"""),340018.0)</f>
        <v>340018</v>
      </c>
    </row>
    <row r="67">
      <c r="A67" s="115" t="str">
        <f>IFERROR(__xludf.DUMMYFUNCTION("""COMPUTED_VALUE"""),"SOUTH")</f>
        <v>SOUTH</v>
      </c>
      <c r="B67" s="115" t="str">
        <f>IFERROR(__xludf.DUMMYFUNCTION("""COMPUTED_VALUE"""),"Kandula Sampath")</f>
        <v>Kandula Sampath</v>
      </c>
      <c r="C67" s="115" t="str">
        <f>IFERROR(__xludf.DUMMYFUNCTION("""COMPUTED_VALUE"""),"MYNTRA")</f>
        <v>MYNTRA</v>
      </c>
      <c r="D67" s="115">
        <f>IFERROR(__xludf.DUMMYFUNCTION("""COMPUTED_VALUE"""),32885.0)</f>
        <v>32885</v>
      </c>
      <c r="E67" s="115">
        <f>IFERROR(__xludf.DUMMYFUNCTION("""COMPUTED_VALUE"""),6542.0)</f>
        <v>6542</v>
      </c>
      <c r="F67" s="115">
        <f>IFERROR(__xludf.DUMMYFUNCTION("""COMPUTED_VALUE"""),10467.0)</f>
        <v>10467</v>
      </c>
      <c r="G67" s="115">
        <f>IFERROR(__xludf.DUMMYFUNCTION("""COMPUTED_VALUE"""),407.0)</f>
        <v>407</v>
      </c>
      <c r="H67" s="116">
        <f>IFERROR(__xludf.DUMMYFUNCTION("""COMPUTED_VALUE"""),45901.0)</f>
        <v>45901</v>
      </c>
      <c r="I67" s="115" t="str">
        <f>IFERROR(__xludf.DUMMYFUNCTION("""COMPUTED_VALUE"""),"12")</f>
        <v>12</v>
      </c>
      <c r="J67" s="115" t="str">
        <f>IFERROR(__xludf.DUMMYFUNCTION("""COMPUTED_VALUE"""),"Kandula Sampath2025-09-0112")</f>
        <v>Kandula Sampath2025-09-0112</v>
      </c>
      <c r="K67" s="115">
        <f>IFERROR(__xludf.DUMMYFUNCTION("""COMPUTED_VALUE"""),39427.0)</f>
        <v>39427</v>
      </c>
    </row>
    <row r="68">
      <c r="A68" s="115" t="str">
        <f>IFERROR(__xludf.DUMMYFUNCTION("""COMPUTED_VALUE"""),"SOUTH")</f>
        <v>SOUTH</v>
      </c>
      <c r="B68" s="115" t="str">
        <f>IFERROR(__xludf.DUMMYFUNCTION("""COMPUTED_VALUE"""),"Martin A")</f>
        <v>Martin A</v>
      </c>
      <c r="C68" s="115" t="str">
        <f>IFERROR(__xludf.DUMMYFUNCTION("""COMPUTED_VALUE"""),"EXTERNAL")</f>
        <v>EXTERNAL</v>
      </c>
      <c r="D68" s="115">
        <f>IFERROR(__xludf.DUMMYFUNCTION("""COMPUTED_VALUE"""),33025.0)</f>
        <v>33025</v>
      </c>
      <c r="E68" s="115">
        <f>IFERROR(__xludf.DUMMYFUNCTION("""COMPUTED_VALUE"""),2175.0)</f>
        <v>2175</v>
      </c>
      <c r="F68" s="115">
        <f>IFERROR(__xludf.DUMMYFUNCTION("""COMPUTED_VALUE"""),4645.0)</f>
        <v>4645</v>
      </c>
      <c r="G68" s="115">
        <f>IFERROR(__xludf.DUMMYFUNCTION("""COMPUTED_VALUE"""),134.0)</f>
        <v>134</v>
      </c>
      <c r="H68" s="116">
        <f>IFERROR(__xludf.DUMMYFUNCTION("""COMPUTED_VALUE"""),45901.0)</f>
        <v>45901</v>
      </c>
      <c r="I68" s="115" t="str">
        <f>IFERROR(__xludf.DUMMYFUNCTION("""COMPUTED_VALUE"""),"12")</f>
        <v>12</v>
      </c>
      <c r="J68" s="115" t="str">
        <f>IFERROR(__xludf.DUMMYFUNCTION("""COMPUTED_VALUE"""),"Martin A2025-09-0112")</f>
        <v>Martin A2025-09-0112</v>
      </c>
      <c r="K68" s="115">
        <f>IFERROR(__xludf.DUMMYFUNCTION("""COMPUTED_VALUE"""),35200.0)</f>
        <v>35200</v>
      </c>
    </row>
    <row r="69">
      <c r="A69" s="115" t="str">
        <f>IFERROR(__xludf.DUMMYFUNCTION("""COMPUTED_VALUE"""),"SOUTH")</f>
        <v>SOUTH</v>
      </c>
      <c r="B69" s="115" t="str">
        <f>IFERROR(__xludf.DUMMYFUNCTION("""COMPUTED_VALUE"""),"Martin A")</f>
        <v>Martin A</v>
      </c>
      <c r="C69" s="115" t="str">
        <f>IFERROR(__xludf.DUMMYFUNCTION("""COMPUTED_VALUE"""),"FLIPKART")</f>
        <v>FLIPKART</v>
      </c>
      <c r="D69" s="115">
        <f>IFERROR(__xludf.DUMMYFUNCTION("""COMPUTED_VALUE"""),259326.0)</f>
        <v>259326</v>
      </c>
      <c r="E69" s="115">
        <f>IFERROR(__xludf.DUMMYFUNCTION("""COMPUTED_VALUE"""),24178.0)</f>
        <v>24178</v>
      </c>
      <c r="F69" s="115">
        <f>IFERROR(__xludf.DUMMYFUNCTION("""COMPUTED_VALUE"""),64615.0)</f>
        <v>64615</v>
      </c>
      <c r="G69" s="115">
        <f>IFERROR(__xludf.DUMMYFUNCTION("""COMPUTED_VALUE"""),1946.0)</f>
        <v>1946</v>
      </c>
      <c r="H69" s="116">
        <f>IFERROR(__xludf.DUMMYFUNCTION("""COMPUTED_VALUE"""),45901.0)</f>
        <v>45901</v>
      </c>
      <c r="I69" s="115" t="str">
        <f>IFERROR(__xludf.DUMMYFUNCTION("""COMPUTED_VALUE"""),"12")</f>
        <v>12</v>
      </c>
      <c r="J69" s="115" t="str">
        <f>IFERROR(__xludf.DUMMYFUNCTION("""COMPUTED_VALUE"""),"Martin A2025-09-0112")</f>
        <v>Martin A2025-09-0112</v>
      </c>
      <c r="K69" s="115">
        <f>IFERROR(__xludf.DUMMYFUNCTION("""COMPUTED_VALUE"""),283504.0)</f>
        <v>283504</v>
      </c>
    </row>
    <row r="70">
      <c r="A70" s="115" t="str">
        <f>IFERROR(__xludf.DUMMYFUNCTION("""COMPUTED_VALUE"""),"SOUTH")</f>
        <v>SOUTH</v>
      </c>
      <c r="B70" s="115" t="str">
        <f>IFERROR(__xludf.DUMMYFUNCTION("""COMPUTED_VALUE"""),"Martin A")</f>
        <v>Martin A</v>
      </c>
      <c r="C70" s="115" t="str">
        <f>IFERROR(__xludf.DUMMYFUNCTION("""COMPUTED_VALUE"""),"MYNTRA")</f>
        <v>MYNTRA</v>
      </c>
      <c r="D70" s="115">
        <f>IFERROR(__xludf.DUMMYFUNCTION("""COMPUTED_VALUE"""),24014.0)</f>
        <v>24014</v>
      </c>
      <c r="E70" s="115">
        <f>IFERROR(__xludf.DUMMYFUNCTION("""COMPUTED_VALUE"""),5724.0)</f>
        <v>5724</v>
      </c>
      <c r="F70" s="115">
        <f>IFERROR(__xludf.DUMMYFUNCTION("""COMPUTED_VALUE"""),7328.0)</f>
        <v>7328</v>
      </c>
      <c r="G70" s="115">
        <f>IFERROR(__xludf.DUMMYFUNCTION("""COMPUTED_VALUE"""),557.0)</f>
        <v>557</v>
      </c>
      <c r="H70" s="116">
        <f>IFERROR(__xludf.DUMMYFUNCTION("""COMPUTED_VALUE"""),45901.0)</f>
        <v>45901</v>
      </c>
      <c r="I70" s="115" t="str">
        <f>IFERROR(__xludf.DUMMYFUNCTION("""COMPUTED_VALUE"""),"12")</f>
        <v>12</v>
      </c>
      <c r="J70" s="115" t="str">
        <f>IFERROR(__xludf.DUMMYFUNCTION("""COMPUTED_VALUE"""),"Martin A2025-09-0112")</f>
        <v>Martin A2025-09-0112</v>
      </c>
      <c r="K70" s="115">
        <f>IFERROR(__xludf.DUMMYFUNCTION("""COMPUTED_VALUE"""),29738.0)</f>
        <v>29738</v>
      </c>
    </row>
    <row r="71">
      <c r="A71" s="115" t="str">
        <f>IFERROR(__xludf.DUMMYFUNCTION("""COMPUTED_VALUE"""),"SOUTH")</f>
        <v>SOUTH</v>
      </c>
      <c r="B71" s="115" t="str">
        <f>IFERROR(__xludf.DUMMYFUNCTION("""COMPUTED_VALUE"""),"Premkumar M")</f>
        <v>Premkumar M</v>
      </c>
      <c r="C71" s="115" t="str">
        <f>IFERROR(__xludf.DUMMYFUNCTION("""COMPUTED_VALUE"""),"EXTERNAL")</f>
        <v>EXTERNAL</v>
      </c>
      <c r="D71" s="115">
        <f>IFERROR(__xludf.DUMMYFUNCTION("""COMPUTED_VALUE"""),25982.0)</f>
        <v>25982</v>
      </c>
      <c r="E71" s="115">
        <f>IFERROR(__xludf.DUMMYFUNCTION("""COMPUTED_VALUE"""),1533.0)</f>
        <v>1533</v>
      </c>
      <c r="F71" s="115">
        <f>IFERROR(__xludf.DUMMYFUNCTION("""COMPUTED_VALUE"""),2961.0)</f>
        <v>2961</v>
      </c>
      <c r="G71" s="115">
        <f>IFERROR(__xludf.DUMMYFUNCTION("""COMPUTED_VALUE"""),26.0)</f>
        <v>26</v>
      </c>
      <c r="H71" s="116">
        <f>IFERROR(__xludf.DUMMYFUNCTION("""COMPUTED_VALUE"""),45901.0)</f>
        <v>45901</v>
      </c>
      <c r="I71" s="115" t="str">
        <f>IFERROR(__xludf.DUMMYFUNCTION("""COMPUTED_VALUE"""),"12")</f>
        <v>12</v>
      </c>
      <c r="J71" s="115" t="str">
        <f>IFERROR(__xludf.DUMMYFUNCTION("""COMPUTED_VALUE"""),"Premkumar M2025-09-0112")</f>
        <v>Premkumar M2025-09-0112</v>
      </c>
      <c r="K71" s="115">
        <f>IFERROR(__xludf.DUMMYFUNCTION("""COMPUTED_VALUE"""),27515.0)</f>
        <v>27515</v>
      </c>
    </row>
    <row r="72">
      <c r="A72" s="115" t="str">
        <f>IFERROR(__xludf.DUMMYFUNCTION("""COMPUTED_VALUE"""),"SOUTH")</f>
        <v>SOUTH</v>
      </c>
      <c r="B72" s="115" t="str">
        <f>IFERROR(__xludf.DUMMYFUNCTION("""COMPUTED_VALUE"""),"Premkumar M")</f>
        <v>Premkumar M</v>
      </c>
      <c r="C72" s="115" t="str">
        <f>IFERROR(__xludf.DUMMYFUNCTION("""COMPUTED_VALUE"""),"FLIPKART")</f>
        <v>FLIPKART</v>
      </c>
      <c r="D72" s="115">
        <f>IFERROR(__xludf.DUMMYFUNCTION("""COMPUTED_VALUE"""),234037.0)</f>
        <v>234037</v>
      </c>
      <c r="E72" s="115">
        <f>IFERROR(__xludf.DUMMYFUNCTION("""COMPUTED_VALUE"""),15723.0)</f>
        <v>15723</v>
      </c>
      <c r="F72" s="115">
        <f>IFERROR(__xludf.DUMMYFUNCTION("""COMPUTED_VALUE"""),42500.0)</f>
        <v>42500</v>
      </c>
      <c r="G72" s="115">
        <f>IFERROR(__xludf.DUMMYFUNCTION("""COMPUTED_VALUE"""),435.0)</f>
        <v>435</v>
      </c>
      <c r="H72" s="116">
        <f>IFERROR(__xludf.DUMMYFUNCTION("""COMPUTED_VALUE"""),45901.0)</f>
        <v>45901</v>
      </c>
      <c r="I72" s="115" t="str">
        <f>IFERROR(__xludf.DUMMYFUNCTION("""COMPUTED_VALUE"""),"12")</f>
        <v>12</v>
      </c>
      <c r="J72" s="115" t="str">
        <f>IFERROR(__xludf.DUMMYFUNCTION("""COMPUTED_VALUE"""),"Premkumar M2025-09-0112")</f>
        <v>Premkumar M2025-09-0112</v>
      </c>
      <c r="K72" s="115">
        <f>IFERROR(__xludf.DUMMYFUNCTION("""COMPUTED_VALUE"""),249760.0)</f>
        <v>249760</v>
      </c>
    </row>
    <row r="73">
      <c r="A73" s="115" t="str">
        <f>IFERROR(__xludf.DUMMYFUNCTION("""COMPUTED_VALUE"""),"SOUTH")</f>
        <v>SOUTH</v>
      </c>
      <c r="B73" s="115" t="str">
        <f>IFERROR(__xludf.DUMMYFUNCTION("""COMPUTED_VALUE"""),"Premkumar M")</f>
        <v>Premkumar M</v>
      </c>
      <c r="C73" s="115" t="str">
        <f>IFERROR(__xludf.DUMMYFUNCTION("""COMPUTED_VALUE"""),"MYNTRA")</f>
        <v>MYNTRA</v>
      </c>
      <c r="D73" s="115">
        <f>IFERROR(__xludf.DUMMYFUNCTION("""COMPUTED_VALUE"""),12467.0)</f>
        <v>12467</v>
      </c>
      <c r="E73" s="115">
        <f>IFERROR(__xludf.DUMMYFUNCTION("""COMPUTED_VALUE"""),2305.0)</f>
        <v>2305</v>
      </c>
      <c r="F73" s="115">
        <f>IFERROR(__xludf.DUMMYFUNCTION("""COMPUTED_VALUE"""),2733.0)</f>
        <v>2733</v>
      </c>
      <c r="G73" s="115">
        <f>IFERROR(__xludf.DUMMYFUNCTION("""COMPUTED_VALUE"""),66.0)</f>
        <v>66</v>
      </c>
      <c r="H73" s="116">
        <f>IFERROR(__xludf.DUMMYFUNCTION("""COMPUTED_VALUE"""),45901.0)</f>
        <v>45901</v>
      </c>
      <c r="I73" s="115" t="str">
        <f>IFERROR(__xludf.DUMMYFUNCTION("""COMPUTED_VALUE"""),"12")</f>
        <v>12</v>
      </c>
      <c r="J73" s="115" t="str">
        <f>IFERROR(__xludf.DUMMYFUNCTION("""COMPUTED_VALUE"""),"Premkumar M2025-09-0112")</f>
        <v>Premkumar M2025-09-0112</v>
      </c>
      <c r="K73" s="115">
        <f>IFERROR(__xludf.DUMMYFUNCTION("""COMPUTED_VALUE"""),14772.0)</f>
        <v>14772</v>
      </c>
    </row>
    <row r="74">
      <c r="A74" s="115" t="str">
        <f>IFERROR(__xludf.DUMMYFUNCTION("""COMPUTED_VALUE"""),"SOUTH")</f>
        <v>SOUTH</v>
      </c>
      <c r="B74" s="115" t="str">
        <f>IFERROR(__xludf.DUMMYFUNCTION("""COMPUTED_VALUE"""),"Vineeth V")</f>
        <v>Vineeth V</v>
      </c>
      <c r="C74" s="115" t="str">
        <f>IFERROR(__xludf.DUMMYFUNCTION("""COMPUTED_VALUE"""),"EXTERNAL")</f>
        <v>EXTERNAL</v>
      </c>
      <c r="D74" s="115">
        <f>IFERROR(__xludf.DUMMYFUNCTION("""COMPUTED_VALUE"""),18079.0)</f>
        <v>18079</v>
      </c>
      <c r="E74" s="115">
        <f>IFERROR(__xludf.DUMMYFUNCTION("""COMPUTED_VALUE"""),479.0)</f>
        <v>479</v>
      </c>
      <c r="F74" s="115">
        <f>IFERROR(__xludf.DUMMYFUNCTION("""COMPUTED_VALUE"""),1234.0)</f>
        <v>1234</v>
      </c>
      <c r="G74" s="115">
        <f>IFERROR(__xludf.DUMMYFUNCTION("""COMPUTED_VALUE"""),4.0)</f>
        <v>4</v>
      </c>
      <c r="H74" s="116">
        <f>IFERROR(__xludf.DUMMYFUNCTION("""COMPUTED_VALUE"""),45901.0)</f>
        <v>45901</v>
      </c>
      <c r="I74" s="115" t="str">
        <f>IFERROR(__xludf.DUMMYFUNCTION("""COMPUTED_VALUE"""),"12")</f>
        <v>12</v>
      </c>
      <c r="J74" s="115" t="str">
        <f>IFERROR(__xludf.DUMMYFUNCTION("""COMPUTED_VALUE"""),"Vineeth V2025-09-0112")</f>
        <v>Vineeth V2025-09-0112</v>
      </c>
      <c r="K74" s="115">
        <f>IFERROR(__xludf.DUMMYFUNCTION("""COMPUTED_VALUE"""),18558.0)</f>
        <v>18558</v>
      </c>
    </row>
    <row r="75">
      <c r="A75" s="115" t="str">
        <f>IFERROR(__xludf.DUMMYFUNCTION("""COMPUTED_VALUE"""),"SOUTH")</f>
        <v>SOUTH</v>
      </c>
      <c r="B75" s="115" t="str">
        <f>IFERROR(__xludf.DUMMYFUNCTION("""COMPUTED_VALUE"""),"Vineeth V")</f>
        <v>Vineeth V</v>
      </c>
      <c r="C75" s="115" t="str">
        <f>IFERROR(__xludf.DUMMYFUNCTION("""COMPUTED_VALUE"""),"FLIPKART")</f>
        <v>FLIPKART</v>
      </c>
      <c r="D75" s="115">
        <f>IFERROR(__xludf.DUMMYFUNCTION("""COMPUTED_VALUE"""),206552.0)</f>
        <v>206552</v>
      </c>
      <c r="E75" s="115">
        <f>IFERROR(__xludf.DUMMYFUNCTION("""COMPUTED_VALUE"""),12875.0)</f>
        <v>12875</v>
      </c>
      <c r="F75" s="115">
        <f>IFERROR(__xludf.DUMMYFUNCTION("""COMPUTED_VALUE"""),23312.0)</f>
        <v>23312</v>
      </c>
      <c r="G75" s="115">
        <f>IFERROR(__xludf.DUMMYFUNCTION("""COMPUTED_VALUE"""),110.0)</f>
        <v>110</v>
      </c>
      <c r="H75" s="116">
        <f>IFERROR(__xludf.DUMMYFUNCTION("""COMPUTED_VALUE"""),45901.0)</f>
        <v>45901</v>
      </c>
      <c r="I75" s="115" t="str">
        <f>IFERROR(__xludf.DUMMYFUNCTION("""COMPUTED_VALUE"""),"12")</f>
        <v>12</v>
      </c>
      <c r="J75" s="115" t="str">
        <f>IFERROR(__xludf.DUMMYFUNCTION("""COMPUTED_VALUE"""),"Vineeth V2025-09-0112")</f>
        <v>Vineeth V2025-09-0112</v>
      </c>
      <c r="K75" s="115">
        <f>IFERROR(__xludf.DUMMYFUNCTION("""COMPUTED_VALUE"""),219427.0)</f>
        <v>219427</v>
      </c>
    </row>
    <row r="76">
      <c r="A76" s="115" t="str">
        <f>IFERROR(__xludf.DUMMYFUNCTION("""COMPUTED_VALUE"""),"SOUTH")</f>
        <v>SOUTH</v>
      </c>
      <c r="B76" s="115" t="str">
        <f>IFERROR(__xludf.DUMMYFUNCTION("""COMPUTED_VALUE"""),"Vineeth V")</f>
        <v>Vineeth V</v>
      </c>
      <c r="C76" s="115" t="str">
        <f>IFERROR(__xludf.DUMMYFUNCTION("""COMPUTED_VALUE"""),"MYNTRA")</f>
        <v>MYNTRA</v>
      </c>
      <c r="D76" s="115">
        <f>IFERROR(__xludf.DUMMYFUNCTION("""COMPUTED_VALUE"""),17724.0)</f>
        <v>17724</v>
      </c>
      <c r="E76" s="115">
        <f>IFERROR(__xludf.DUMMYFUNCTION("""COMPUTED_VALUE"""),2909.0)</f>
        <v>2909</v>
      </c>
      <c r="F76" s="115">
        <f>IFERROR(__xludf.DUMMYFUNCTION("""COMPUTED_VALUE"""),2397.0)</f>
        <v>2397</v>
      </c>
      <c r="G76" s="115">
        <f>IFERROR(__xludf.DUMMYFUNCTION("""COMPUTED_VALUE"""),32.0)</f>
        <v>32</v>
      </c>
      <c r="H76" s="116">
        <f>IFERROR(__xludf.DUMMYFUNCTION("""COMPUTED_VALUE"""),45901.0)</f>
        <v>45901</v>
      </c>
      <c r="I76" s="115" t="str">
        <f>IFERROR(__xludf.DUMMYFUNCTION("""COMPUTED_VALUE"""),"12")</f>
        <v>12</v>
      </c>
      <c r="J76" s="115" t="str">
        <f>IFERROR(__xludf.DUMMYFUNCTION("""COMPUTED_VALUE"""),"Vineeth V2025-09-0112")</f>
        <v>Vineeth V2025-09-0112</v>
      </c>
      <c r="K76" s="115">
        <f>IFERROR(__xludf.DUMMYFUNCTION("""COMPUTED_VALUE"""),20633.0)</f>
        <v>20633</v>
      </c>
    </row>
    <row r="77">
      <c r="A77" s="115" t="str">
        <f>IFERROR(__xludf.DUMMYFUNCTION("""COMPUTED_VALUE"""),"WEST")</f>
        <v>WEST</v>
      </c>
      <c r="B77" s="115" t="str">
        <f>IFERROR(__xludf.DUMMYFUNCTION("""COMPUTED_VALUE"""),"Ashish Jakar")</f>
        <v>Ashish Jakar</v>
      </c>
      <c r="C77" s="115" t="str">
        <f>IFERROR(__xludf.DUMMYFUNCTION("""COMPUTED_VALUE"""),"EXTERNAL")</f>
        <v>EXTERNAL</v>
      </c>
      <c r="D77" s="115">
        <f>IFERROR(__xludf.DUMMYFUNCTION("""COMPUTED_VALUE"""),50388.0)</f>
        <v>50388</v>
      </c>
      <c r="E77" s="115">
        <f>IFERROR(__xludf.DUMMYFUNCTION("""COMPUTED_VALUE"""),5684.0)</f>
        <v>5684</v>
      </c>
      <c r="F77" s="115">
        <f>IFERROR(__xludf.DUMMYFUNCTION("""COMPUTED_VALUE"""),6599.0)</f>
        <v>6599</v>
      </c>
      <c r="G77" s="115">
        <f>IFERROR(__xludf.DUMMYFUNCTION("""COMPUTED_VALUE"""),267.0)</f>
        <v>267</v>
      </c>
      <c r="H77" s="116">
        <f>IFERROR(__xludf.DUMMYFUNCTION("""COMPUTED_VALUE"""),45901.0)</f>
        <v>45901</v>
      </c>
      <c r="I77" s="115" t="str">
        <f>IFERROR(__xludf.DUMMYFUNCTION("""COMPUTED_VALUE"""),"12")</f>
        <v>12</v>
      </c>
      <c r="J77" s="115" t="str">
        <f>IFERROR(__xludf.DUMMYFUNCTION("""COMPUTED_VALUE"""),"Ashish Jakar2025-09-0112")</f>
        <v>Ashish Jakar2025-09-0112</v>
      </c>
      <c r="K77" s="115">
        <f>IFERROR(__xludf.DUMMYFUNCTION("""COMPUTED_VALUE"""),56072.0)</f>
        <v>56072</v>
      </c>
    </row>
    <row r="78">
      <c r="A78" s="115" t="str">
        <f>IFERROR(__xludf.DUMMYFUNCTION("""COMPUTED_VALUE"""),"WEST")</f>
        <v>WEST</v>
      </c>
      <c r="B78" s="115" t="str">
        <f>IFERROR(__xludf.DUMMYFUNCTION("""COMPUTED_VALUE"""),"Ashish Jakar")</f>
        <v>Ashish Jakar</v>
      </c>
      <c r="C78" s="115" t="str">
        <f>IFERROR(__xludf.DUMMYFUNCTION("""COMPUTED_VALUE"""),"FLIPKART")</f>
        <v>FLIPKART</v>
      </c>
      <c r="D78" s="115">
        <f>IFERROR(__xludf.DUMMYFUNCTION("""COMPUTED_VALUE"""),279224.0)</f>
        <v>279224</v>
      </c>
      <c r="E78" s="115">
        <f>IFERROR(__xludf.DUMMYFUNCTION("""COMPUTED_VALUE"""),28572.0)</f>
        <v>28572</v>
      </c>
      <c r="F78" s="115">
        <f>IFERROR(__xludf.DUMMYFUNCTION("""COMPUTED_VALUE"""),64191.0)</f>
        <v>64191</v>
      </c>
      <c r="G78" s="115">
        <f>IFERROR(__xludf.DUMMYFUNCTION("""COMPUTED_VALUE"""),2283.0)</f>
        <v>2283</v>
      </c>
      <c r="H78" s="116">
        <f>IFERROR(__xludf.DUMMYFUNCTION("""COMPUTED_VALUE"""),45901.0)</f>
        <v>45901</v>
      </c>
      <c r="I78" s="115" t="str">
        <f>IFERROR(__xludf.DUMMYFUNCTION("""COMPUTED_VALUE"""),"12")</f>
        <v>12</v>
      </c>
      <c r="J78" s="115" t="str">
        <f>IFERROR(__xludf.DUMMYFUNCTION("""COMPUTED_VALUE"""),"Ashish Jakar2025-09-0112")</f>
        <v>Ashish Jakar2025-09-0112</v>
      </c>
      <c r="K78" s="115">
        <f>IFERROR(__xludf.DUMMYFUNCTION("""COMPUTED_VALUE"""),307796.0)</f>
        <v>307796</v>
      </c>
    </row>
    <row r="79">
      <c r="A79" s="115" t="str">
        <f>IFERROR(__xludf.DUMMYFUNCTION("""COMPUTED_VALUE"""),"WEST")</f>
        <v>WEST</v>
      </c>
      <c r="B79" s="115" t="str">
        <f>IFERROR(__xludf.DUMMYFUNCTION("""COMPUTED_VALUE"""),"Ashish Jakar")</f>
        <v>Ashish Jakar</v>
      </c>
      <c r="C79" s="115" t="str">
        <f>IFERROR(__xludf.DUMMYFUNCTION("""COMPUTED_VALUE"""),"MYNTRA")</f>
        <v>MYNTRA</v>
      </c>
      <c r="D79" s="115">
        <f>IFERROR(__xludf.DUMMYFUNCTION("""COMPUTED_VALUE"""),36275.0)</f>
        <v>36275</v>
      </c>
      <c r="E79" s="115">
        <f>IFERROR(__xludf.DUMMYFUNCTION("""COMPUTED_VALUE"""),8721.0)</f>
        <v>8721</v>
      </c>
      <c r="F79" s="115">
        <f>IFERROR(__xludf.DUMMYFUNCTION("""COMPUTED_VALUE"""),10488.0)</f>
        <v>10488</v>
      </c>
      <c r="G79" s="115">
        <f>IFERROR(__xludf.DUMMYFUNCTION("""COMPUTED_VALUE"""),944.0)</f>
        <v>944</v>
      </c>
      <c r="H79" s="116">
        <f>IFERROR(__xludf.DUMMYFUNCTION("""COMPUTED_VALUE"""),45901.0)</f>
        <v>45901</v>
      </c>
      <c r="I79" s="115" t="str">
        <f>IFERROR(__xludf.DUMMYFUNCTION("""COMPUTED_VALUE"""),"12")</f>
        <v>12</v>
      </c>
      <c r="J79" s="115" t="str">
        <f>IFERROR(__xludf.DUMMYFUNCTION("""COMPUTED_VALUE"""),"Ashish Jakar2025-09-0112")</f>
        <v>Ashish Jakar2025-09-0112</v>
      </c>
      <c r="K79" s="115">
        <f>IFERROR(__xludf.DUMMYFUNCTION("""COMPUTED_VALUE"""),44996.0)</f>
        <v>44996</v>
      </c>
    </row>
    <row r="80">
      <c r="A80" s="115" t="str">
        <f>IFERROR(__xludf.DUMMYFUNCTION("""COMPUTED_VALUE"""),"WEST")</f>
        <v>WEST</v>
      </c>
      <c r="B80" s="115" t="str">
        <f>IFERROR(__xludf.DUMMYFUNCTION("""COMPUTED_VALUE"""),"Ashvani Bhatt")</f>
        <v>Ashvani Bhatt</v>
      </c>
      <c r="C80" s="115" t="str">
        <f>IFERROR(__xludf.DUMMYFUNCTION("""COMPUTED_VALUE"""),"EXTERNAL")</f>
        <v>EXTERNAL</v>
      </c>
      <c r="D80" s="115">
        <f>IFERROR(__xludf.DUMMYFUNCTION("""COMPUTED_VALUE"""),32641.0)</f>
        <v>32641</v>
      </c>
      <c r="E80" s="115">
        <f>IFERROR(__xludf.DUMMYFUNCTION("""COMPUTED_VALUE"""),3164.0)</f>
        <v>3164</v>
      </c>
      <c r="F80" s="115">
        <f>IFERROR(__xludf.DUMMYFUNCTION("""COMPUTED_VALUE"""),4943.0)</f>
        <v>4943</v>
      </c>
      <c r="G80" s="115">
        <f>IFERROR(__xludf.DUMMYFUNCTION("""COMPUTED_VALUE"""),114.0)</f>
        <v>114</v>
      </c>
      <c r="H80" s="116">
        <f>IFERROR(__xludf.DUMMYFUNCTION("""COMPUTED_VALUE"""),45901.0)</f>
        <v>45901</v>
      </c>
      <c r="I80" s="115" t="str">
        <f>IFERROR(__xludf.DUMMYFUNCTION("""COMPUTED_VALUE"""),"12")</f>
        <v>12</v>
      </c>
      <c r="J80" s="115" t="str">
        <f>IFERROR(__xludf.DUMMYFUNCTION("""COMPUTED_VALUE"""),"Ashvani Bhatt2025-09-0112")</f>
        <v>Ashvani Bhatt2025-09-0112</v>
      </c>
      <c r="K80" s="115">
        <f>IFERROR(__xludf.DUMMYFUNCTION("""COMPUTED_VALUE"""),35805.0)</f>
        <v>35805</v>
      </c>
    </row>
    <row r="81">
      <c r="A81" s="115" t="str">
        <f>IFERROR(__xludf.DUMMYFUNCTION("""COMPUTED_VALUE"""),"WEST")</f>
        <v>WEST</v>
      </c>
      <c r="B81" s="115" t="str">
        <f>IFERROR(__xludf.DUMMYFUNCTION("""COMPUTED_VALUE"""),"Ashvani Bhatt")</f>
        <v>Ashvani Bhatt</v>
      </c>
      <c r="C81" s="115" t="str">
        <f>IFERROR(__xludf.DUMMYFUNCTION("""COMPUTED_VALUE"""),"FLIPKART")</f>
        <v>FLIPKART</v>
      </c>
      <c r="D81" s="115">
        <f>IFERROR(__xludf.DUMMYFUNCTION("""COMPUTED_VALUE"""),227560.0)</f>
        <v>227560</v>
      </c>
      <c r="E81" s="115">
        <f>IFERROR(__xludf.DUMMYFUNCTION("""COMPUTED_VALUE"""),24526.0)</f>
        <v>24526</v>
      </c>
      <c r="F81" s="115">
        <f>IFERROR(__xludf.DUMMYFUNCTION("""COMPUTED_VALUE"""),63468.0)</f>
        <v>63468</v>
      </c>
      <c r="G81" s="115">
        <f>IFERROR(__xludf.DUMMYFUNCTION("""COMPUTED_VALUE"""),1636.0)</f>
        <v>1636</v>
      </c>
      <c r="H81" s="116">
        <f>IFERROR(__xludf.DUMMYFUNCTION("""COMPUTED_VALUE"""),45901.0)</f>
        <v>45901</v>
      </c>
      <c r="I81" s="115" t="str">
        <f>IFERROR(__xludf.DUMMYFUNCTION("""COMPUTED_VALUE"""),"12")</f>
        <v>12</v>
      </c>
      <c r="J81" s="115" t="str">
        <f>IFERROR(__xludf.DUMMYFUNCTION("""COMPUTED_VALUE"""),"Ashvani Bhatt2025-09-0112")</f>
        <v>Ashvani Bhatt2025-09-0112</v>
      </c>
      <c r="K81" s="115">
        <f>IFERROR(__xludf.DUMMYFUNCTION("""COMPUTED_VALUE"""),252086.0)</f>
        <v>252086</v>
      </c>
    </row>
    <row r="82">
      <c r="A82" s="115" t="str">
        <f>IFERROR(__xludf.DUMMYFUNCTION("""COMPUTED_VALUE"""),"WEST")</f>
        <v>WEST</v>
      </c>
      <c r="B82" s="115" t="str">
        <f>IFERROR(__xludf.DUMMYFUNCTION("""COMPUTED_VALUE"""),"Ashvani Bhatt")</f>
        <v>Ashvani Bhatt</v>
      </c>
      <c r="C82" s="115" t="str">
        <f>IFERROR(__xludf.DUMMYFUNCTION("""COMPUTED_VALUE"""),"MYNTRA")</f>
        <v>MYNTRA</v>
      </c>
      <c r="D82" s="115">
        <f>IFERROR(__xludf.DUMMYFUNCTION("""COMPUTED_VALUE"""),29373.0)</f>
        <v>29373</v>
      </c>
      <c r="E82" s="115">
        <f>IFERROR(__xludf.DUMMYFUNCTION("""COMPUTED_VALUE"""),6786.0)</f>
        <v>6786</v>
      </c>
      <c r="F82" s="115">
        <f>IFERROR(__xludf.DUMMYFUNCTION("""COMPUTED_VALUE"""),10280.0)</f>
        <v>10280</v>
      </c>
      <c r="G82" s="115">
        <f>IFERROR(__xludf.DUMMYFUNCTION("""COMPUTED_VALUE"""),614.0)</f>
        <v>614</v>
      </c>
      <c r="H82" s="116">
        <f>IFERROR(__xludf.DUMMYFUNCTION("""COMPUTED_VALUE"""),45901.0)</f>
        <v>45901</v>
      </c>
      <c r="I82" s="115" t="str">
        <f>IFERROR(__xludf.DUMMYFUNCTION("""COMPUTED_VALUE"""),"12")</f>
        <v>12</v>
      </c>
      <c r="J82" s="115" t="str">
        <f>IFERROR(__xludf.DUMMYFUNCTION("""COMPUTED_VALUE"""),"Ashvani Bhatt2025-09-0112")</f>
        <v>Ashvani Bhatt2025-09-0112</v>
      </c>
      <c r="K82" s="115">
        <f>IFERROR(__xludf.DUMMYFUNCTION("""COMPUTED_VALUE"""),36159.0)</f>
        <v>36159</v>
      </c>
    </row>
    <row r="83">
      <c r="A83" s="115"/>
      <c r="B83" s="115"/>
      <c r="C83" s="115" t="str">
        <f>IFERROR(__xludf.DUMMYFUNCTION("""COMPUTED_VALUE"""),"EXTERNAL")</f>
        <v>EXTERNAL</v>
      </c>
      <c r="D83" s="115">
        <f>IFERROR(__xludf.DUMMYFUNCTION("""COMPUTED_VALUE"""),1171.0)</f>
        <v>1171</v>
      </c>
      <c r="E83" s="115">
        <f>IFERROR(__xludf.DUMMYFUNCTION("""COMPUTED_VALUE"""),128.0)</f>
        <v>128</v>
      </c>
      <c r="F83" s="115">
        <f>IFERROR(__xludf.DUMMYFUNCTION("""COMPUTED_VALUE"""),91.0)</f>
        <v>91</v>
      </c>
      <c r="G83" s="115">
        <f>IFERROR(__xludf.DUMMYFUNCTION("""COMPUTED_VALUE"""),22.0)</f>
        <v>22</v>
      </c>
      <c r="H83" s="116">
        <f>IFERROR(__xludf.DUMMYFUNCTION("""COMPUTED_VALUE"""),45901.0)</f>
        <v>45901</v>
      </c>
      <c r="I83" s="115" t="str">
        <f>IFERROR(__xludf.DUMMYFUNCTION("""COMPUTED_VALUE"""),"12")</f>
        <v>12</v>
      </c>
      <c r="J83" s="115" t="str">
        <f>IFERROR(__xludf.DUMMYFUNCTION("""COMPUTED_VALUE"""),"2025-09-0112")</f>
        <v>2025-09-0112</v>
      </c>
      <c r="K83" s="115">
        <f>IFERROR(__xludf.DUMMYFUNCTION("""COMPUTED_VALUE"""),1299.0)</f>
        <v>1299</v>
      </c>
    </row>
    <row r="84">
      <c r="A84" s="115"/>
      <c r="B84" s="115"/>
      <c r="C84" s="115" t="str">
        <f>IFERROR(__xludf.DUMMYFUNCTION("""COMPUTED_VALUE"""),"FLIPKART")</f>
        <v>FLIPKART</v>
      </c>
      <c r="D84" s="115">
        <f>IFERROR(__xludf.DUMMYFUNCTION("""COMPUTED_VALUE"""),11192.0)</f>
        <v>11192</v>
      </c>
      <c r="E84" s="115">
        <f>IFERROR(__xludf.DUMMYFUNCTION("""COMPUTED_VALUE"""),1025.0)</f>
        <v>1025</v>
      </c>
      <c r="F84" s="115">
        <f>IFERROR(__xludf.DUMMYFUNCTION("""COMPUTED_VALUE"""),1643.0)</f>
        <v>1643</v>
      </c>
      <c r="G84" s="115">
        <f>IFERROR(__xludf.DUMMYFUNCTION("""COMPUTED_VALUE"""),166.0)</f>
        <v>166</v>
      </c>
      <c r="H84" s="116">
        <f>IFERROR(__xludf.DUMMYFUNCTION("""COMPUTED_VALUE"""),45901.0)</f>
        <v>45901</v>
      </c>
      <c r="I84" s="115" t="str">
        <f>IFERROR(__xludf.DUMMYFUNCTION("""COMPUTED_VALUE"""),"12")</f>
        <v>12</v>
      </c>
      <c r="J84" s="115" t="str">
        <f>IFERROR(__xludf.DUMMYFUNCTION("""COMPUTED_VALUE"""),"2025-09-0112")</f>
        <v>2025-09-0112</v>
      </c>
      <c r="K84" s="115">
        <f>IFERROR(__xludf.DUMMYFUNCTION("""COMPUTED_VALUE"""),12217.0)</f>
        <v>12217</v>
      </c>
    </row>
    <row r="85">
      <c r="A85" s="115"/>
      <c r="B85" s="115"/>
      <c r="C85" s="115" t="str">
        <f>IFERROR(__xludf.DUMMYFUNCTION("""COMPUTED_VALUE"""),"MYNTRA")</f>
        <v>MYNTRA</v>
      </c>
      <c r="D85" s="115">
        <f>IFERROR(__xludf.DUMMYFUNCTION("""COMPUTED_VALUE"""),886.0)</f>
        <v>886</v>
      </c>
      <c r="E85" s="115">
        <f>IFERROR(__xludf.DUMMYFUNCTION("""COMPUTED_VALUE"""),169.0)</f>
        <v>169</v>
      </c>
      <c r="F85" s="115">
        <f>IFERROR(__xludf.DUMMYFUNCTION("""COMPUTED_VALUE"""),153.0)</f>
        <v>153</v>
      </c>
      <c r="G85" s="115">
        <f>IFERROR(__xludf.DUMMYFUNCTION("""COMPUTED_VALUE"""),20.0)</f>
        <v>20</v>
      </c>
      <c r="H85" s="116">
        <f>IFERROR(__xludf.DUMMYFUNCTION("""COMPUTED_VALUE"""),45901.0)</f>
        <v>45901</v>
      </c>
      <c r="I85" s="115" t="str">
        <f>IFERROR(__xludf.DUMMYFUNCTION("""COMPUTED_VALUE"""),"12")</f>
        <v>12</v>
      </c>
      <c r="J85" s="115" t="str">
        <f>IFERROR(__xludf.DUMMYFUNCTION("""COMPUTED_VALUE"""),"2025-09-0112")</f>
        <v>2025-09-0112</v>
      </c>
      <c r="K85" s="115">
        <f>IFERROR(__xludf.DUMMYFUNCTION("""COMPUTED_VALUE"""),1055.0)</f>
        <v>1055</v>
      </c>
    </row>
    <row r="86">
      <c r="A86" s="115" t="str">
        <f>IFERROR(__xludf.DUMMYFUNCTION("""COMPUTED_VALUE"""),"EAST")</f>
        <v>EAST</v>
      </c>
      <c r="B86" s="115" t="str">
        <f>IFERROR(__xludf.DUMMYFUNCTION("""COMPUTED_VALUE"""),"Ashish Ranjan")</f>
        <v>Ashish Ranjan</v>
      </c>
      <c r="C86" s="115" t="str">
        <f>IFERROR(__xludf.DUMMYFUNCTION("""COMPUTED_VALUE"""),"EXTERNAL")</f>
        <v>EXTERNAL</v>
      </c>
      <c r="D86" s="115">
        <f>IFERROR(__xludf.DUMMYFUNCTION("""COMPUTED_VALUE"""),37507.0)</f>
        <v>37507</v>
      </c>
      <c r="E86" s="115">
        <f>IFERROR(__xludf.DUMMYFUNCTION("""COMPUTED_VALUE"""),2972.0)</f>
        <v>2972</v>
      </c>
      <c r="F86" s="115">
        <f>IFERROR(__xludf.DUMMYFUNCTION("""COMPUTED_VALUE"""),10791.0)</f>
        <v>10791</v>
      </c>
      <c r="G86" s="115">
        <f>IFERROR(__xludf.DUMMYFUNCTION("""COMPUTED_VALUE"""),361.0)</f>
        <v>361</v>
      </c>
      <c r="H86" s="116">
        <f>IFERROR(__xludf.DUMMYFUNCTION("""COMPUTED_VALUE"""),45901.0)</f>
        <v>45901</v>
      </c>
      <c r="I86" s="115" t="str">
        <f>IFERROR(__xludf.DUMMYFUNCTION("""COMPUTED_VALUE"""),"13")</f>
        <v>13</v>
      </c>
      <c r="J86" s="115" t="str">
        <f>IFERROR(__xludf.DUMMYFUNCTION("""COMPUTED_VALUE"""),"Ashish Ranjan2025-09-0113")</f>
        <v>Ashish Ranjan2025-09-0113</v>
      </c>
      <c r="K86" s="115">
        <f>IFERROR(__xludf.DUMMYFUNCTION("""COMPUTED_VALUE"""),40479.0)</f>
        <v>40479</v>
      </c>
    </row>
    <row r="87">
      <c r="A87" s="115" t="str">
        <f>IFERROR(__xludf.DUMMYFUNCTION("""COMPUTED_VALUE"""),"EAST")</f>
        <v>EAST</v>
      </c>
      <c r="B87" s="115" t="str">
        <f>IFERROR(__xludf.DUMMYFUNCTION("""COMPUTED_VALUE"""),"Ashish Ranjan")</f>
        <v>Ashish Ranjan</v>
      </c>
      <c r="C87" s="115" t="str">
        <f>IFERROR(__xludf.DUMMYFUNCTION("""COMPUTED_VALUE"""),"FLIPKART")</f>
        <v>FLIPKART</v>
      </c>
      <c r="D87" s="115">
        <f>IFERROR(__xludf.DUMMYFUNCTION("""COMPUTED_VALUE"""),547720.0)</f>
        <v>547720</v>
      </c>
      <c r="E87" s="115">
        <f>IFERROR(__xludf.DUMMYFUNCTION("""COMPUTED_VALUE"""),57035.0)</f>
        <v>57035</v>
      </c>
      <c r="F87" s="115">
        <f>IFERROR(__xludf.DUMMYFUNCTION("""COMPUTED_VALUE"""),273241.0)</f>
        <v>273241</v>
      </c>
      <c r="G87" s="115">
        <f>IFERROR(__xludf.DUMMYFUNCTION("""COMPUTED_VALUE"""),10030.0)</f>
        <v>10030</v>
      </c>
      <c r="H87" s="116">
        <f>IFERROR(__xludf.DUMMYFUNCTION("""COMPUTED_VALUE"""),45901.0)</f>
        <v>45901</v>
      </c>
      <c r="I87" s="115" t="str">
        <f>IFERROR(__xludf.DUMMYFUNCTION("""COMPUTED_VALUE"""),"13")</f>
        <v>13</v>
      </c>
      <c r="J87" s="115" t="str">
        <f>IFERROR(__xludf.DUMMYFUNCTION("""COMPUTED_VALUE"""),"Ashish Ranjan2025-09-0113")</f>
        <v>Ashish Ranjan2025-09-0113</v>
      </c>
      <c r="K87" s="115">
        <f>IFERROR(__xludf.DUMMYFUNCTION("""COMPUTED_VALUE"""),604755.0)</f>
        <v>604755</v>
      </c>
    </row>
    <row r="88">
      <c r="A88" s="115" t="str">
        <f>IFERROR(__xludf.DUMMYFUNCTION("""COMPUTED_VALUE"""),"EAST")</f>
        <v>EAST</v>
      </c>
      <c r="B88" s="115" t="str">
        <f>IFERROR(__xludf.DUMMYFUNCTION("""COMPUTED_VALUE"""),"Ashish Ranjan")</f>
        <v>Ashish Ranjan</v>
      </c>
      <c r="C88" s="115" t="str">
        <f>IFERROR(__xludf.DUMMYFUNCTION("""COMPUTED_VALUE"""),"MYNTRA")</f>
        <v>MYNTRA</v>
      </c>
      <c r="D88" s="115">
        <f>IFERROR(__xludf.DUMMYFUNCTION("""COMPUTED_VALUE"""),52530.0)</f>
        <v>52530</v>
      </c>
      <c r="E88" s="115">
        <f>IFERROR(__xludf.DUMMYFUNCTION("""COMPUTED_VALUE"""),10163.0)</f>
        <v>10163</v>
      </c>
      <c r="F88" s="115">
        <f>IFERROR(__xludf.DUMMYFUNCTION("""COMPUTED_VALUE"""),26870.0)</f>
        <v>26870</v>
      </c>
      <c r="G88" s="115">
        <f>IFERROR(__xludf.DUMMYFUNCTION("""COMPUTED_VALUE"""),1762.0)</f>
        <v>1762</v>
      </c>
      <c r="H88" s="116">
        <f>IFERROR(__xludf.DUMMYFUNCTION("""COMPUTED_VALUE"""),45901.0)</f>
        <v>45901</v>
      </c>
      <c r="I88" s="115" t="str">
        <f>IFERROR(__xludf.DUMMYFUNCTION("""COMPUTED_VALUE"""),"13")</f>
        <v>13</v>
      </c>
      <c r="J88" s="115" t="str">
        <f>IFERROR(__xludf.DUMMYFUNCTION("""COMPUTED_VALUE"""),"Ashish Ranjan2025-09-0113")</f>
        <v>Ashish Ranjan2025-09-0113</v>
      </c>
      <c r="K88" s="115">
        <f>IFERROR(__xludf.DUMMYFUNCTION("""COMPUTED_VALUE"""),62693.0)</f>
        <v>62693</v>
      </c>
    </row>
    <row r="89">
      <c r="A89" s="115" t="str">
        <f>IFERROR(__xludf.DUMMYFUNCTION("""COMPUTED_VALUE"""),"EAST")</f>
        <v>EAST</v>
      </c>
      <c r="B89" s="115" t="str">
        <f>IFERROR(__xludf.DUMMYFUNCTION("""COMPUTED_VALUE"""),"Girish Chand")</f>
        <v>Girish Chand</v>
      </c>
      <c r="C89" s="115" t="str">
        <f>IFERROR(__xludf.DUMMYFUNCTION("""COMPUTED_VALUE"""),"EXTERNAL")</f>
        <v>EXTERNAL</v>
      </c>
      <c r="D89" s="115">
        <f>IFERROR(__xludf.DUMMYFUNCTION("""COMPUTED_VALUE"""),24396.0)</f>
        <v>24396</v>
      </c>
      <c r="E89" s="115">
        <f>IFERROR(__xludf.DUMMYFUNCTION("""COMPUTED_VALUE"""),2298.0)</f>
        <v>2298</v>
      </c>
      <c r="F89" s="115">
        <f>IFERROR(__xludf.DUMMYFUNCTION("""COMPUTED_VALUE"""),4895.0)</f>
        <v>4895</v>
      </c>
      <c r="G89" s="115">
        <f>IFERROR(__xludf.DUMMYFUNCTION("""COMPUTED_VALUE"""),101.0)</f>
        <v>101</v>
      </c>
      <c r="H89" s="116">
        <f>IFERROR(__xludf.DUMMYFUNCTION("""COMPUTED_VALUE"""),45901.0)</f>
        <v>45901</v>
      </c>
      <c r="I89" s="115" t="str">
        <f>IFERROR(__xludf.DUMMYFUNCTION("""COMPUTED_VALUE"""),"13")</f>
        <v>13</v>
      </c>
      <c r="J89" s="115" t="str">
        <f>IFERROR(__xludf.DUMMYFUNCTION("""COMPUTED_VALUE"""),"Girish Chand2025-09-0113")</f>
        <v>Girish Chand2025-09-0113</v>
      </c>
      <c r="K89" s="115">
        <f>IFERROR(__xludf.DUMMYFUNCTION("""COMPUTED_VALUE"""),26694.0)</f>
        <v>26694</v>
      </c>
    </row>
    <row r="90">
      <c r="A90" s="115" t="str">
        <f>IFERROR(__xludf.DUMMYFUNCTION("""COMPUTED_VALUE"""),"EAST")</f>
        <v>EAST</v>
      </c>
      <c r="B90" s="115" t="str">
        <f>IFERROR(__xludf.DUMMYFUNCTION("""COMPUTED_VALUE"""),"Girish Chand")</f>
        <v>Girish Chand</v>
      </c>
      <c r="C90" s="115" t="str">
        <f>IFERROR(__xludf.DUMMYFUNCTION("""COMPUTED_VALUE"""),"FLIPKART")</f>
        <v>FLIPKART</v>
      </c>
      <c r="D90" s="115">
        <f>IFERROR(__xludf.DUMMYFUNCTION("""COMPUTED_VALUE"""),404044.0)</f>
        <v>404044</v>
      </c>
      <c r="E90" s="115">
        <f>IFERROR(__xludf.DUMMYFUNCTION("""COMPUTED_VALUE"""),35973.0)</f>
        <v>35973</v>
      </c>
      <c r="F90" s="115">
        <f>IFERROR(__xludf.DUMMYFUNCTION("""COMPUTED_VALUE"""),144120.0)</f>
        <v>144120</v>
      </c>
      <c r="G90" s="115">
        <f>IFERROR(__xludf.DUMMYFUNCTION("""COMPUTED_VALUE"""),3230.0)</f>
        <v>3230</v>
      </c>
      <c r="H90" s="116">
        <f>IFERROR(__xludf.DUMMYFUNCTION("""COMPUTED_VALUE"""),45901.0)</f>
        <v>45901</v>
      </c>
      <c r="I90" s="115" t="str">
        <f>IFERROR(__xludf.DUMMYFUNCTION("""COMPUTED_VALUE"""),"13")</f>
        <v>13</v>
      </c>
      <c r="J90" s="115" t="str">
        <f>IFERROR(__xludf.DUMMYFUNCTION("""COMPUTED_VALUE"""),"Girish Chand2025-09-0113")</f>
        <v>Girish Chand2025-09-0113</v>
      </c>
      <c r="K90" s="115">
        <f>IFERROR(__xludf.DUMMYFUNCTION("""COMPUTED_VALUE"""),440017.0)</f>
        <v>440017</v>
      </c>
    </row>
    <row r="91">
      <c r="A91" s="115" t="str">
        <f>IFERROR(__xludf.DUMMYFUNCTION("""COMPUTED_VALUE"""),"EAST")</f>
        <v>EAST</v>
      </c>
      <c r="B91" s="115" t="str">
        <f>IFERROR(__xludf.DUMMYFUNCTION("""COMPUTED_VALUE"""),"Girish Chand")</f>
        <v>Girish Chand</v>
      </c>
      <c r="C91" s="115" t="str">
        <f>IFERROR(__xludf.DUMMYFUNCTION("""COMPUTED_VALUE"""),"MYNTRA")</f>
        <v>MYNTRA</v>
      </c>
      <c r="D91" s="115">
        <f>IFERROR(__xludf.DUMMYFUNCTION("""COMPUTED_VALUE"""),31022.0)</f>
        <v>31022</v>
      </c>
      <c r="E91" s="115">
        <f>IFERROR(__xludf.DUMMYFUNCTION("""COMPUTED_VALUE"""),5512.0)</f>
        <v>5512</v>
      </c>
      <c r="F91" s="115">
        <f>IFERROR(__xludf.DUMMYFUNCTION("""COMPUTED_VALUE"""),12154.0)</f>
        <v>12154</v>
      </c>
      <c r="G91" s="115">
        <f>IFERROR(__xludf.DUMMYFUNCTION("""COMPUTED_VALUE"""),609.0)</f>
        <v>609</v>
      </c>
      <c r="H91" s="116">
        <f>IFERROR(__xludf.DUMMYFUNCTION("""COMPUTED_VALUE"""),45901.0)</f>
        <v>45901</v>
      </c>
      <c r="I91" s="115" t="str">
        <f>IFERROR(__xludf.DUMMYFUNCTION("""COMPUTED_VALUE"""),"13")</f>
        <v>13</v>
      </c>
      <c r="J91" s="115" t="str">
        <f>IFERROR(__xludf.DUMMYFUNCTION("""COMPUTED_VALUE"""),"Girish Chand2025-09-0113")</f>
        <v>Girish Chand2025-09-0113</v>
      </c>
      <c r="K91" s="115">
        <f>IFERROR(__xludf.DUMMYFUNCTION("""COMPUTED_VALUE"""),36534.0)</f>
        <v>36534</v>
      </c>
    </row>
    <row r="92">
      <c r="A92" s="115" t="str">
        <f>IFERROR(__xludf.DUMMYFUNCTION("""COMPUTED_VALUE"""),"EAST")</f>
        <v>EAST</v>
      </c>
      <c r="B92" s="115" t="str">
        <f>IFERROR(__xludf.DUMMYFUNCTION("""COMPUTED_VALUE"""),"Parag Kashyap")</f>
        <v>Parag Kashyap</v>
      </c>
      <c r="C92" s="115" t="str">
        <f>IFERROR(__xludf.DUMMYFUNCTION("""COMPUTED_VALUE"""),"EXTERNAL")</f>
        <v>EXTERNAL</v>
      </c>
      <c r="D92" s="115">
        <f>IFERROR(__xludf.DUMMYFUNCTION("""COMPUTED_VALUE"""),21838.0)</f>
        <v>21838</v>
      </c>
      <c r="E92" s="115">
        <f>IFERROR(__xludf.DUMMYFUNCTION("""COMPUTED_VALUE"""),1165.0)</f>
        <v>1165</v>
      </c>
      <c r="F92" s="115">
        <f>IFERROR(__xludf.DUMMYFUNCTION("""COMPUTED_VALUE"""),3217.0)</f>
        <v>3217</v>
      </c>
      <c r="G92" s="115">
        <f>IFERROR(__xludf.DUMMYFUNCTION("""COMPUTED_VALUE"""),19.0)</f>
        <v>19</v>
      </c>
      <c r="H92" s="116">
        <f>IFERROR(__xludf.DUMMYFUNCTION("""COMPUTED_VALUE"""),45901.0)</f>
        <v>45901</v>
      </c>
      <c r="I92" s="115" t="str">
        <f>IFERROR(__xludf.DUMMYFUNCTION("""COMPUTED_VALUE"""),"13")</f>
        <v>13</v>
      </c>
      <c r="J92" s="115" t="str">
        <f>IFERROR(__xludf.DUMMYFUNCTION("""COMPUTED_VALUE"""),"Parag Kashyap2025-09-0113")</f>
        <v>Parag Kashyap2025-09-0113</v>
      </c>
      <c r="K92" s="115">
        <f>IFERROR(__xludf.DUMMYFUNCTION("""COMPUTED_VALUE"""),23003.0)</f>
        <v>23003</v>
      </c>
    </row>
    <row r="93">
      <c r="A93" s="115" t="str">
        <f>IFERROR(__xludf.DUMMYFUNCTION("""COMPUTED_VALUE"""),"EAST")</f>
        <v>EAST</v>
      </c>
      <c r="B93" s="115" t="str">
        <f>IFERROR(__xludf.DUMMYFUNCTION("""COMPUTED_VALUE"""),"Parag Kashyap")</f>
        <v>Parag Kashyap</v>
      </c>
      <c r="C93" s="115" t="str">
        <f>IFERROR(__xludf.DUMMYFUNCTION("""COMPUTED_VALUE"""),"FLIPKART")</f>
        <v>FLIPKART</v>
      </c>
      <c r="D93" s="115">
        <f>IFERROR(__xludf.DUMMYFUNCTION("""COMPUTED_VALUE"""),310394.0)</f>
        <v>310394</v>
      </c>
      <c r="E93" s="115">
        <f>IFERROR(__xludf.DUMMYFUNCTION("""COMPUTED_VALUE"""),15644.0)</f>
        <v>15644</v>
      </c>
      <c r="F93" s="115">
        <f>IFERROR(__xludf.DUMMYFUNCTION("""COMPUTED_VALUE"""),91175.0)</f>
        <v>91175</v>
      </c>
      <c r="G93" s="115">
        <f>IFERROR(__xludf.DUMMYFUNCTION("""COMPUTED_VALUE"""),830.0)</f>
        <v>830</v>
      </c>
      <c r="H93" s="116">
        <f>IFERROR(__xludf.DUMMYFUNCTION("""COMPUTED_VALUE"""),45901.0)</f>
        <v>45901</v>
      </c>
      <c r="I93" s="115" t="str">
        <f>IFERROR(__xludf.DUMMYFUNCTION("""COMPUTED_VALUE"""),"13")</f>
        <v>13</v>
      </c>
      <c r="J93" s="115" t="str">
        <f>IFERROR(__xludf.DUMMYFUNCTION("""COMPUTED_VALUE"""),"Parag Kashyap2025-09-0113")</f>
        <v>Parag Kashyap2025-09-0113</v>
      </c>
      <c r="K93" s="115">
        <f>IFERROR(__xludf.DUMMYFUNCTION("""COMPUTED_VALUE"""),326038.0)</f>
        <v>326038</v>
      </c>
    </row>
    <row r="94">
      <c r="A94" s="115" t="str">
        <f>IFERROR(__xludf.DUMMYFUNCTION("""COMPUTED_VALUE"""),"EAST")</f>
        <v>EAST</v>
      </c>
      <c r="B94" s="115" t="str">
        <f>IFERROR(__xludf.DUMMYFUNCTION("""COMPUTED_VALUE"""),"Parag Kashyap")</f>
        <v>Parag Kashyap</v>
      </c>
      <c r="C94" s="115" t="str">
        <f>IFERROR(__xludf.DUMMYFUNCTION("""COMPUTED_VALUE"""),"MYNTRA")</f>
        <v>MYNTRA</v>
      </c>
      <c r="D94" s="115">
        <f>IFERROR(__xludf.DUMMYFUNCTION("""COMPUTED_VALUE"""),35330.0)</f>
        <v>35330</v>
      </c>
      <c r="E94" s="115">
        <f>IFERROR(__xludf.DUMMYFUNCTION("""COMPUTED_VALUE"""),4089.0)</f>
        <v>4089</v>
      </c>
      <c r="F94" s="115">
        <f>IFERROR(__xludf.DUMMYFUNCTION("""COMPUTED_VALUE"""),11183.0)</f>
        <v>11183</v>
      </c>
      <c r="G94" s="115">
        <f>IFERROR(__xludf.DUMMYFUNCTION("""COMPUTED_VALUE"""),198.0)</f>
        <v>198</v>
      </c>
      <c r="H94" s="116">
        <f>IFERROR(__xludf.DUMMYFUNCTION("""COMPUTED_VALUE"""),45901.0)</f>
        <v>45901</v>
      </c>
      <c r="I94" s="115" t="str">
        <f>IFERROR(__xludf.DUMMYFUNCTION("""COMPUTED_VALUE"""),"13")</f>
        <v>13</v>
      </c>
      <c r="J94" s="115" t="str">
        <f>IFERROR(__xludf.DUMMYFUNCTION("""COMPUTED_VALUE"""),"Parag Kashyap2025-09-0113")</f>
        <v>Parag Kashyap2025-09-0113</v>
      </c>
      <c r="K94" s="115">
        <f>IFERROR(__xludf.DUMMYFUNCTION("""COMPUTED_VALUE"""),39419.0)</f>
        <v>39419</v>
      </c>
    </row>
    <row r="95">
      <c r="A95" s="115" t="str">
        <f>IFERROR(__xludf.DUMMYFUNCTION("""COMPUTED_VALUE"""),"NORTH")</f>
        <v>NORTH</v>
      </c>
      <c r="B95" s="115" t="str">
        <f>IFERROR(__xludf.DUMMYFUNCTION("""COMPUTED_VALUE"""),"Amit Kumar Pathak")</f>
        <v>Amit Kumar Pathak</v>
      </c>
      <c r="C95" s="115" t="str">
        <f>IFERROR(__xludf.DUMMYFUNCTION("""COMPUTED_VALUE"""),"EXTERNAL")</f>
        <v>EXTERNAL</v>
      </c>
      <c r="D95" s="115">
        <f>IFERROR(__xludf.DUMMYFUNCTION("""COMPUTED_VALUE"""),24576.0)</f>
        <v>24576</v>
      </c>
      <c r="E95" s="115">
        <f>IFERROR(__xludf.DUMMYFUNCTION("""COMPUTED_VALUE"""),2193.0)</f>
        <v>2193</v>
      </c>
      <c r="F95" s="115">
        <f>IFERROR(__xludf.DUMMYFUNCTION("""COMPUTED_VALUE"""),3977.0)</f>
        <v>3977</v>
      </c>
      <c r="G95" s="115">
        <f>IFERROR(__xludf.DUMMYFUNCTION("""COMPUTED_VALUE"""),290.0)</f>
        <v>290</v>
      </c>
      <c r="H95" s="116">
        <f>IFERROR(__xludf.DUMMYFUNCTION("""COMPUTED_VALUE"""),45901.0)</f>
        <v>45901</v>
      </c>
      <c r="I95" s="115" t="str">
        <f>IFERROR(__xludf.DUMMYFUNCTION("""COMPUTED_VALUE"""),"13")</f>
        <v>13</v>
      </c>
      <c r="J95" s="115" t="str">
        <f>IFERROR(__xludf.DUMMYFUNCTION("""COMPUTED_VALUE"""),"Amit Kumar Pathak2025-09-0113")</f>
        <v>Amit Kumar Pathak2025-09-0113</v>
      </c>
      <c r="K95" s="115">
        <f>IFERROR(__xludf.DUMMYFUNCTION("""COMPUTED_VALUE"""),26769.0)</f>
        <v>26769</v>
      </c>
    </row>
    <row r="96">
      <c r="A96" s="115" t="str">
        <f>IFERROR(__xludf.DUMMYFUNCTION("""COMPUTED_VALUE"""),"NORTH")</f>
        <v>NORTH</v>
      </c>
      <c r="B96" s="115" t="str">
        <f>IFERROR(__xludf.DUMMYFUNCTION("""COMPUTED_VALUE"""),"Amit Kumar Pathak")</f>
        <v>Amit Kumar Pathak</v>
      </c>
      <c r="C96" s="115" t="str">
        <f>IFERROR(__xludf.DUMMYFUNCTION("""COMPUTED_VALUE"""),"FLIPKART")</f>
        <v>FLIPKART</v>
      </c>
      <c r="D96" s="115">
        <f>IFERROR(__xludf.DUMMYFUNCTION("""COMPUTED_VALUE"""),161798.0)</f>
        <v>161798</v>
      </c>
      <c r="E96" s="115">
        <f>IFERROR(__xludf.DUMMYFUNCTION("""COMPUTED_VALUE"""),20496.0)</f>
        <v>20496</v>
      </c>
      <c r="F96" s="115">
        <f>IFERROR(__xludf.DUMMYFUNCTION("""COMPUTED_VALUE"""),53307.0)</f>
        <v>53307</v>
      </c>
      <c r="G96" s="115">
        <f>IFERROR(__xludf.DUMMYFUNCTION("""COMPUTED_VALUE"""),4002.0)</f>
        <v>4002</v>
      </c>
      <c r="H96" s="116">
        <f>IFERROR(__xludf.DUMMYFUNCTION("""COMPUTED_VALUE"""),45901.0)</f>
        <v>45901</v>
      </c>
      <c r="I96" s="115" t="str">
        <f>IFERROR(__xludf.DUMMYFUNCTION("""COMPUTED_VALUE"""),"13")</f>
        <v>13</v>
      </c>
      <c r="J96" s="115" t="str">
        <f>IFERROR(__xludf.DUMMYFUNCTION("""COMPUTED_VALUE"""),"Amit Kumar Pathak2025-09-0113")</f>
        <v>Amit Kumar Pathak2025-09-0113</v>
      </c>
      <c r="K96" s="115">
        <f>IFERROR(__xludf.DUMMYFUNCTION("""COMPUTED_VALUE"""),182294.0)</f>
        <v>182294</v>
      </c>
    </row>
    <row r="97">
      <c r="A97" s="115" t="str">
        <f>IFERROR(__xludf.DUMMYFUNCTION("""COMPUTED_VALUE"""),"NORTH")</f>
        <v>NORTH</v>
      </c>
      <c r="B97" s="115" t="str">
        <f>IFERROR(__xludf.DUMMYFUNCTION("""COMPUTED_VALUE"""),"Amit Kumar Pathak")</f>
        <v>Amit Kumar Pathak</v>
      </c>
      <c r="C97" s="115" t="str">
        <f>IFERROR(__xludf.DUMMYFUNCTION("""COMPUTED_VALUE"""),"MYNTRA")</f>
        <v>MYNTRA</v>
      </c>
      <c r="D97" s="115">
        <f>IFERROR(__xludf.DUMMYFUNCTION("""COMPUTED_VALUE"""),13085.0)</f>
        <v>13085</v>
      </c>
      <c r="E97" s="115">
        <f>IFERROR(__xludf.DUMMYFUNCTION("""COMPUTED_VALUE"""),4754.0)</f>
        <v>4754</v>
      </c>
      <c r="F97" s="115">
        <f>IFERROR(__xludf.DUMMYFUNCTION("""COMPUTED_VALUE"""),5359.0)</f>
        <v>5359</v>
      </c>
      <c r="G97" s="115">
        <f>IFERROR(__xludf.DUMMYFUNCTION("""COMPUTED_VALUE"""),998.0)</f>
        <v>998</v>
      </c>
      <c r="H97" s="116">
        <f>IFERROR(__xludf.DUMMYFUNCTION("""COMPUTED_VALUE"""),45901.0)</f>
        <v>45901</v>
      </c>
      <c r="I97" s="115" t="str">
        <f>IFERROR(__xludf.DUMMYFUNCTION("""COMPUTED_VALUE"""),"13")</f>
        <v>13</v>
      </c>
      <c r="J97" s="115" t="str">
        <f>IFERROR(__xludf.DUMMYFUNCTION("""COMPUTED_VALUE"""),"Amit Kumar Pathak2025-09-0113")</f>
        <v>Amit Kumar Pathak2025-09-0113</v>
      </c>
      <c r="K97" s="115">
        <f>IFERROR(__xludf.DUMMYFUNCTION("""COMPUTED_VALUE"""),17839.0)</f>
        <v>17839</v>
      </c>
    </row>
    <row r="98">
      <c r="A98" s="115" t="str">
        <f>IFERROR(__xludf.DUMMYFUNCTION("""COMPUTED_VALUE"""),"NORTH")</f>
        <v>NORTH</v>
      </c>
      <c r="B98" s="115" t="str">
        <f>IFERROR(__xludf.DUMMYFUNCTION("""COMPUTED_VALUE"""),"Loveleen Singh")</f>
        <v>Loveleen Singh</v>
      </c>
      <c r="C98" s="115" t="str">
        <f>IFERROR(__xludf.DUMMYFUNCTION("""COMPUTED_VALUE"""),"EXTERNAL")</f>
        <v>EXTERNAL</v>
      </c>
      <c r="D98" s="115">
        <f>IFERROR(__xludf.DUMMYFUNCTION("""COMPUTED_VALUE"""),27165.0)</f>
        <v>27165</v>
      </c>
      <c r="E98" s="115">
        <f>IFERROR(__xludf.DUMMYFUNCTION("""COMPUTED_VALUE"""),1891.0)</f>
        <v>1891</v>
      </c>
      <c r="F98" s="115">
        <f>IFERROR(__xludf.DUMMYFUNCTION("""COMPUTED_VALUE"""),3716.0)</f>
        <v>3716</v>
      </c>
      <c r="G98" s="115">
        <f>IFERROR(__xludf.DUMMYFUNCTION("""COMPUTED_VALUE"""),66.0)</f>
        <v>66</v>
      </c>
      <c r="H98" s="116">
        <f>IFERROR(__xludf.DUMMYFUNCTION("""COMPUTED_VALUE"""),45901.0)</f>
        <v>45901</v>
      </c>
      <c r="I98" s="115" t="str">
        <f>IFERROR(__xludf.DUMMYFUNCTION("""COMPUTED_VALUE"""),"13")</f>
        <v>13</v>
      </c>
      <c r="J98" s="115" t="str">
        <f>IFERROR(__xludf.DUMMYFUNCTION("""COMPUTED_VALUE"""),"Loveleen Singh2025-09-0113")</f>
        <v>Loveleen Singh2025-09-0113</v>
      </c>
      <c r="K98" s="115">
        <f>IFERROR(__xludf.DUMMYFUNCTION("""COMPUTED_VALUE"""),29056.0)</f>
        <v>29056</v>
      </c>
    </row>
    <row r="99">
      <c r="A99" s="115" t="str">
        <f>IFERROR(__xludf.DUMMYFUNCTION("""COMPUTED_VALUE"""),"NORTH")</f>
        <v>NORTH</v>
      </c>
      <c r="B99" s="115" t="str">
        <f>IFERROR(__xludf.DUMMYFUNCTION("""COMPUTED_VALUE"""),"Loveleen Singh")</f>
        <v>Loveleen Singh</v>
      </c>
      <c r="C99" s="115" t="str">
        <f>IFERROR(__xludf.DUMMYFUNCTION("""COMPUTED_VALUE"""),"FLIPKART")</f>
        <v>FLIPKART</v>
      </c>
      <c r="D99" s="115">
        <f>IFERROR(__xludf.DUMMYFUNCTION("""COMPUTED_VALUE"""),132385.0)</f>
        <v>132385</v>
      </c>
      <c r="E99" s="115">
        <f>IFERROR(__xludf.DUMMYFUNCTION("""COMPUTED_VALUE"""),12171.0)</f>
        <v>12171</v>
      </c>
      <c r="F99" s="115">
        <f>IFERROR(__xludf.DUMMYFUNCTION("""COMPUTED_VALUE"""),32453.0)</f>
        <v>32453</v>
      </c>
      <c r="G99" s="115">
        <f>IFERROR(__xludf.DUMMYFUNCTION("""COMPUTED_VALUE"""),1020.0)</f>
        <v>1020</v>
      </c>
      <c r="H99" s="116">
        <f>IFERROR(__xludf.DUMMYFUNCTION("""COMPUTED_VALUE"""),45901.0)</f>
        <v>45901</v>
      </c>
      <c r="I99" s="115" t="str">
        <f>IFERROR(__xludf.DUMMYFUNCTION("""COMPUTED_VALUE"""),"13")</f>
        <v>13</v>
      </c>
      <c r="J99" s="115" t="str">
        <f>IFERROR(__xludf.DUMMYFUNCTION("""COMPUTED_VALUE"""),"Loveleen Singh2025-09-0113")</f>
        <v>Loveleen Singh2025-09-0113</v>
      </c>
      <c r="K99" s="115">
        <f>IFERROR(__xludf.DUMMYFUNCTION("""COMPUTED_VALUE"""),144556.0)</f>
        <v>144556</v>
      </c>
    </row>
    <row r="100">
      <c r="A100" s="115" t="str">
        <f>IFERROR(__xludf.DUMMYFUNCTION("""COMPUTED_VALUE"""),"NORTH")</f>
        <v>NORTH</v>
      </c>
      <c r="B100" s="115" t="str">
        <f>IFERROR(__xludf.DUMMYFUNCTION("""COMPUTED_VALUE"""),"Loveleen Singh")</f>
        <v>Loveleen Singh</v>
      </c>
      <c r="C100" s="115" t="str">
        <f>IFERROR(__xludf.DUMMYFUNCTION("""COMPUTED_VALUE"""),"MYNTRA")</f>
        <v>MYNTRA</v>
      </c>
      <c r="D100" s="115">
        <f>IFERROR(__xludf.DUMMYFUNCTION("""COMPUTED_VALUE"""),17686.0)</f>
        <v>17686</v>
      </c>
      <c r="E100" s="115">
        <f>IFERROR(__xludf.DUMMYFUNCTION("""COMPUTED_VALUE"""),4463.0)</f>
        <v>4463</v>
      </c>
      <c r="F100" s="115">
        <f>IFERROR(__xludf.DUMMYFUNCTION("""COMPUTED_VALUE"""),5206.0)</f>
        <v>5206</v>
      </c>
      <c r="G100" s="115">
        <f>IFERROR(__xludf.DUMMYFUNCTION("""COMPUTED_VALUE"""),417.0)</f>
        <v>417</v>
      </c>
      <c r="H100" s="116">
        <f>IFERROR(__xludf.DUMMYFUNCTION("""COMPUTED_VALUE"""),45901.0)</f>
        <v>45901</v>
      </c>
      <c r="I100" s="115" t="str">
        <f>IFERROR(__xludf.DUMMYFUNCTION("""COMPUTED_VALUE"""),"13")</f>
        <v>13</v>
      </c>
      <c r="J100" s="115" t="str">
        <f>IFERROR(__xludf.DUMMYFUNCTION("""COMPUTED_VALUE"""),"Loveleen Singh2025-09-0113")</f>
        <v>Loveleen Singh2025-09-0113</v>
      </c>
      <c r="K100" s="115">
        <f>IFERROR(__xludf.DUMMYFUNCTION("""COMPUTED_VALUE"""),22149.0)</f>
        <v>22149</v>
      </c>
    </row>
    <row r="101">
      <c r="A101" s="115" t="str">
        <f>IFERROR(__xludf.DUMMYFUNCTION("""COMPUTED_VALUE"""),"NORTH")</f>
        <v>NORTH</v>
      </c>
      <c r="B101" s="115" t="str">
        <f>IFERROR(__xludf.DUMMYFUNCTION("""COMPUTED_VALUE"""),"Manoj Harsh")</f>
        <v>Manoj Harsh</v>
      </c>
      <c r="C101" s="115" t="str">
        <f>IFERROR(__xludf.DUMMYFUNCTION("""COMPUTED_VALUE"""),"EXTERNAL")</f>
        <v>EXTERNAL</v>
      </c>
      <c r="D101" s="115">
        <f>IFERROR(__xludf.DUMMYFUNCTION("""COMPUTED_VALUE"""),30126.0)</f>
        <v>30126</v>
      </c>
      <c r="E101" s="115">
        <f>IFERROR(__xludf.DUMMYFUNCTION("""COMPUTED_VALUE"""),2805.0)</f>
        <v>2805</v>
      </c>
      <c r="F101" s="115">
        <f>IFERROR(__xludf.DUMMYFUNCTION("""COMPUTED_VALUE"""),4485.0)</f>
        <v>4485</v>
      </c>
      <c r="G101" s="115">
        <f>IFERROR(__xludf.DUMMYFUNCTION("""COMPUTED_VALUE"""),153.0)</f>
        <v>153</v>
      </c>
      <c r="H101" s="116">
        <f>IFERROR(__xludf.DUMMYFUNCTION("""COMPUTED_VALUE"""),45901.0)</f>
        <v>45901</v>
      </c>
      <c r="I101" s="115" t="str">
        <f>IFERROR(__xludf.DUMMYFUNCTION("""COMPUTED_VALUE"""),"13")</f>
        <v>13</v>
      </c>
      <c r="J101" s="115" t="str">
        <f>IFERROR(__xludf.DUMMYFUNCTION("""COMPUTED_VALUE"""),"Manoj Harsh2025-09-0113")</f>
        <v>Manoj Harsh2025-09-0113</v>
      </c>
      <c r="K101" s="115">
        <f>IFERROR(__xludf.DUMMYFUNCTION("""COMPUTED_VALUE"""),32931.0)</f>
        <v>32931</v>
      </c>
    </row>
    <row r="102">
      <c r="A102" s="115" t="str">
        <f>IFERROR(__xludf.DUMMYFUNCTION("""COMPUTED_VALUE"""),"NORTH")</f>
        <v>NORTH</v>
      </c>
      <c r="B102" s="115" t="str">
        <f>IFERROR(__xludf.DUMMYFUNCTION("""COMPUTED_VALUE"""),"Manoj Harsh")</f>
        <v>Manoj Harsh</v>
      </c>
      <c r="C102" s="115" t="str">
        <f>IFERROR(__xludf.DUMMYFUNCTION("""COMPUTED_VALUE"""),"FLIPKART")</f>
        <v>FLIPKART</v>
      </c>
      <c r="D102" s="115">
        <f>IFERROR(__xludf.DUMMYFUNCTION("""COMPUTED_VALUE"""),354896.0)</f>
        <v>354896</v>
      </c>
      <c r="E102" s="115">
        <f>IFERROR(__xludf.DUMMYFUNCTION("""COMPUTED_VALUE"""),34660.0)</f>
        <v>34660</v>
      </c>
      <c r="F102" s="115">
        <f>IFERROR(__xludf.DUMMYFUNCTION("""COMPUTED_VALUE"""),101697.0)</f>
        <v>101697</v>
      </c>
      <c r="G102" s="115">
        <f>IFERROR(__xludf.DUMMYFUNCTION("""COMPUTED_VALUE"""),3031.0)</f>
        <v>3031</v>
      </c>
      <c r="H102" s="116">
        <f>IFERROR(__xludf.DUMMYFUNCTION("""COMPUTED_VALUE"""),45901.0)</f>
        <v>45901</v>
      </c>
      <c r="I102" s="115" t="str">
        <f>IFERROR(__xludf.DUMMYFUNCTION("""COMPUTED_VALUE"""),"13")</f>
        <v>13</v>
      </c>
      <c r="J102" s="115" t="str">
        <f>IFERROR(__xludf.DUMMYFUNCTION("""COMPUTED_VALUE"""),"Manoj Harsh2025-09-0113")</f>
        <v>Manoj Harsh2025-09-0113</v>
      </c>
      <c r="K102" s="115">
        <f>IFERROR(__xludf.DUMMYFUNCTION("""COMPUTED_VALUE"""),389556.0)</f>
        <v>389556</v>
      </c>
    </row>
    <row r="103">
      <c r="A103" s="115" t="str">
        <f>IFERROR(__xludf.DUMMYFUNCTION("""COMPUTED_VALUE"""),"NORTH")</f>
        <v>NORTH</v>
      </c>
      <c r="B103" s="115" t="str">
        <f>IFERROR(__xludf.DUMMYFUNCTION("""COMPUTED_VALUE"""),"Manoj Harsh")</f>
        <v>Manoj Harsh</v>
      </c>
      <c r="C103" s="115" t="str">
        <f>IFERROR(__xludf.DUMMYFUNCTION("""COMPUTED_VALUE"""),"MYNTRA")</f>
        <v>MYNTRA</v>
      </c>
      <c r="D103" s="115">
        <f>IFERROR(__xludf.DUMMYFUNCTION("""COMPUTED_VALUE"""),30764.0)</f>
        <v>30764</v>
      </c>
      <c r="E103" s="115">
        <f>IFERROR(__xludf.DUMMYFUNCTION("""COMPUTED_VALUE"""),5591.0)</f>
        <v>5591</v>
      </c>
      <c r="F103" s="115">
        <f>IFERROR(__xludf.DUMMYFUNCTION("""COMPUTED_VALUE"""),10034.0)</f>
        <v>10034</v>
      </c>
      <c r="G103" s="115">
        <f>IFERROR(__xludf.DUMMYFUNCTION("""COMPUTED_VALUE"""),521.0)</f>
        <v>521</v>
      </c>
      <c r="H103" s="116">
        <f>IFERROR(__xludf.DUMMYFUNCTION("""COMPUTED_VALUE"""),45901.0)</f>
        <v>45901</v>
      </c>
      <c r="I103" s="115" t="str">
        <f>IFERROR(__xludf.DUMMYFUNCTION("""COMPUTED_VALUE"""),"13")</f>
        <v>13</v>
      </c>
      <c r="J103" s="115" t="str">
        <f>IFERROR(__xludf.DUMMYFUNCTION("""COMPUTED_VALUE"""),"Manoj Harsh2025-09-0113")</f>
        <v>Manoj Harsh2025-09-0113</v>
      </c>
      <c r="K103" s="115">
        <f>IFERROR(__xludf.DUMMYFUNCTION("""COMPUTED_VALUE"""),36355.0)</f>
        <v>36355</v>
      </c>
    </row>
    <row r="104">
      <c r="A104" s="115" t="str">
        <f>IFERROR(__xludf.DUMMYFUNCTION("""COMPUTED_VALUE"""),"NORTH")</f>
        <v>NORTH</v>
      </c>
      <c r="B104" s="115" t="str">
        <f>IFERROR(__xludf.DUMMYFUNCTION("""COMPUTED_VALUE"""),"Pradeep Kothari")</f>
        <v>Pradeep Kothari</v>
      </c>
      <c r="C104" s="115" t="str">
        <f>IFERROR(__xludf.DUMMYFUNCTION("""COMPUTED_VALUE"""),"EXTERNAL")</f>
        <v>EXTERNAL</v>
      </c>
      <c r="D104" s="115">
        <f>IFERROR(__xludf.DUMMYFUNCTION("""COMPUTED_VALUE"""),17822.0)</f>
        <v>17822</v>
      </c>
      <c r="E104" s="115">
        <f>IFERROR(__xludf.DUMMYFUNCTION("""COMPUTED_VALUE"""),1847.0)</f>
        <v>1847</v>
      </c>
      <c r="F104" s="115">
        <f>IFERROR(__xludf.DUMMYFUNCTION("""COMPUTED_VALUE"""),3005.0)</f>
        <v>3005</v>
      </c>
      <c r="G104" s="115">
        <f>IFERROR(__xludf.DUMMYFUNCTION("""COMPUTED_VALUE"""),152.0)</f>
        <v>152</v>
      </c>
      <c r="H104" s="116">
        <f>IFERROR(__xludf.DUMMYFUNCTION("""COMPUTED_VALUE"""),45901.0)</f>
        <v>45901</v>
      </c>
      <c r="I104" s="115" t="str">
        <f>IFERROR(__xludf.DUMMYFUNCTION("""COMPUTED_VALUE"""),"13")</f>
        <v>13</v>
      </c>
      <c r="J104" s="115" t="str">
        <f>IFERROR(__xludf.DUMMYFUNCTION("""COMPUTED_VALUE"""),"Pradeep Kothari2025-09-0113")</f>
        <v>Pradeep Kothari2025-09-0113</v>
      </c>
      <c r="K104" s="115">
        <f>IFERROR(__xludf.DUMMYFUNCTION("""COMPUTED_VALUE"""),19669.0)</f>
        <v>19669</v>
      </c>
    </row>
    <row r="105">
      <c r="A105" s="115" t="str">
        <f>IFERROR(__xludf.DUMMYFUNCTION("""COMPUTED_VALUE"""),"NORTH")</f>
        <v>NORTH</v>
      </c>
      <c r="B105" s="115" t="str">
        <f>IFERROR(__xludf.DUMMYFUNCTION("""COMPUTED_VALUE"""),"Pradeep Kothari")</f>
        <v>Pradeep Kothari</v>
      </c>
      <c r="C105" s="115" t="str">
        <f>IFERROR(__xludf.DUMMYFUNCTION("""COMPUTED_VALUE"""),"FLIPKART")</f>
        <v>FLIPKART</v>
      </c>
      <c r="D105" s="115">
        <f>IFERROR(__xludf.DUMMYFUNCTION("""COMPUTED_VALUE"""),127762.0)</f>
        <v>127762</v>
      </c>
      <c r="E105" s="115">
        <f>IFERROR(__xludf.DUMMYFUNCTION("""COMPUTED_VALUE"""),15220.0)</f>
        <v>15220</v>
      </c>
      <c r="F105" s="115">
        <f>IFERROR(__xludf.DUMMYFUNCTION("""COMPUTED_VALUE"""),44493.0)</f>
        <v>44493</v>
      </c>
      <c r="G105" s="115">
        <f>IFERROR(__xludf.DUMMYFUNCTION("""COMPUTED_VALUE"""),2155.0)</f>
        <v>2155</v>
      </c>
      <c r="H105" s="116">
        <f>IFERROR(__xludf.DUMMYFUNCTION("""COMPUTED_VALUE"""),45901.0)</f>
        <v>45901</v>
      </c>
      <c r="I105" s="115" t="str">
        <f>IFERROR(__xludf.DUMMYFUNCTION("""COMPUTED_VALUE"""),"13")</f>
        <v>13</v>
      </c>
      <c r="J105" s="115" t="str">
        <f>IFERROR(__xludf.DUMMYFUNCTION("""COMPUTED_VALUE"""),"Pradeep Kothari2025-09-0113")</f>
        <v>Pradeep Kothari2025-09-0113</v>
      </c>
      <c r="K105" s="115">
        <f>IFERROR(__xludf.DUMMYFUNCTION("""COMPUTED_VALUE"""),142982.0)</f>
        <v>142982</v>
      </c>
    </row>
    <row r="106">
      <c r="A106" s="115" t="str">
        <f>IFERROR(__xludf.DUMMYFUNCTION("""COMPUTED_VALUE"""),"NORTH")</f>
        <v>NORTH</v>
      </c>
      <c r="B106" s="115" t="str">
        <f>IFERROR(__xludf.DUMMYFUNCTION("""COMPUTED_VALUE"""),"Pradeep Kothari")</f>
        <v>Pradeep Kothari</v>
      </c>
      <c r="C106" s="115" t="str">
        <f>IFERROR(__xludf.DUMMYFUNCTION("""COMPUTED_VALUE"""),"MYNTRA")</f>
        <v>MYNTRA</v>
      </c>
      <c r="D106" s="115">
        <f>IFERROR(__xludf.DUMMYFUNCTION("""COMPUTED_VALUE"""),22092.0)</f>
        <v>22092</v>
      </c>
      <c r="E106" s="115">
        <f>IFERROR(__xludf.DUMMYFUNCTION("""COMPUTED_VALUE"""),5249.0)</f>
        <v>5249</v>
      </c>
      <c r="F106" s="115">
        <f>IFERROR(__xludf.DUMMYFUNCTION("""COMPUTED_VALUE"""),9845.0)</f>
        <v>9845</v>
      </c>
      <c r="G106" s="115">
        <f>IFERROR(__xludf.DUMMYFUNCTION("""COMPUTED_VALUE"""),959.0)</f>
        <v>959</v>
      </c>
      <c r="H106" s="116">
        <f>IFERROR(__xludf.DUMMYFUNCTION("""COMPUTED_VALUE"""),45901.0)</f>
        <v>45901</v>
      </c>
      <c r="I106" s="115" t="str">
        <f>IFERROR(__xludf.DUMMYFUNCTION("""COMPUTED_VALUE"""),"13")</f>
        <v>13</v>
      </c>
      <c r="J106" s="115" t="str">
        <f>IFERROR(__xludf.DUMMYFUNCTION("""COMPUTED_VALUE"""),"Pradeep Kothari2025-09-0113")</f>
        <v>Pradeep Kothari2025-09-0113</v>
      </c>
      <c r="K106" s="115">
        <f>IFERROR(__xludf.DUMMYFUNCTION("""COMPUTED_VALUE"""),27341.0)</f>
        <v>27341</v>
      </c>
    </row>
    <row r="107">
      <c r="A107" s="115" t="str">
        <f>IFERROR(__xludf.DUMMYFUNCTION("""COMPUTED_VALUE"""),"SOUTH")</f>
        <v>SOUTH</v>
      </c>
      <c r="B107" s="115" t="str">
        <f>IFERROR(__xludf.DUMMYFUNCTION("""COMPUTED_VALUE"""),"Kandula Sampath")</f>
        <v>Kandula Sampath</v>
      </c>
      <c r="C107" s="115" t="str">
        <f>IFERROR(__xludf.DUMMYFUNCTION("""COMPUTED_VALUE"""),"EXTERNAL")</f>
        <v>EXTERNAL</v>
      </c>
      <c r="D107" s="115">
        <f>IFERROR(__xludf.DUMMYFUNCTION("""COMPUTED_VALUE"""),37290.0)</f>
        <v>37290</v>
      </c>
      <c r="E107" s="115">
        <f>IFERROR(__xludf.DUMMYFUNCTION("""COMPUTED_VALUE"""),3992.0)</f>
        <v>3992</v>
      </c>
      <c r="F107" s="115">
        <f>IFERROR(__xludf.DUMMYFUNCTION("""COMPUTED_VALUE"""),7548.0)</f>
        <v>7548</v>
      </c>
      <c r="G107" s="115">
        <f>IFERROR(__xludf.DUMMYFUNCTION("""COMPUTED_VALUE"""),181.0)</f>
        <v>181</v>
      </c>
      <c r="H107" s="116">
        <f>IFERROR(__xludf.DUMMYFUNCTION("""COMPUTED_VALUE"""),45901.0)</f>
        <v>45901</v>
      </c>
      <c r="I107" s="115" t="str">
        <f>IFERROR(__xludf.DUMMYFUNCTION("""COMPUTED_VALUE"""),"13")</f>
        <v>13</v>
      </c>
      <c r="J107" s="115" t="str">
        <f>IFERROR(__xludf.DUMMYFUNCTION("""COMPUTED_VALUE"""),"Kandula Sampath2025-09-0113")</f>
        <v>Kandula Sampath2025-09-0113</v>
      </c>
      <c r="K107" s="115">
        <f>IFERROR(__xludf.DUMMYFUNCTION("""COMPUTED_VALUE"""),41282.0)</f>
        <v>41282</v>
      </c>
    </row>
    <row r="108">
      <c r="A108" s="115" t="str">
        <f>IFERROR(__xludf.DUMMYFUNCTION("""COMPUTED_VALUE"""),"SOUTH")</f>
        <v>SOUTH</v>
      </c>
      <c r="B108" s="115" t="str">
        <f>IFERROR(__xludf.DUMMYFUNCTION("""COMPUTED_VALUE"""),"Kandula Sampath")</f>
        <v>Kandula Sampath</v>
      </c>
      <c r="C108" s="115" t="str">
        <f>IFERROR(__xludf.DUMMYFUNCTION("""COMPUTED_VALUE"""),"FLIPKART")</f>
        <v>FLIPKART</v>
      </c>
      <c r="D108" s="115">
        <f>IFERROR(__xludf.DUMMYFUNCTION("""COMPUTED_VALUE"""),322588.0)</f>
        <v>322588</v>
      </c>
      <c r="E108" s="115">
        <f>IFERROR(__xludf.DUMMYFUNCTION("""COMPUTED_VALUE"""),29675.0)</f>
        <v>29675</v>
      </c>
      <c r="F108" s="115">
        <f>IFERROR(__xludf.DUMMYFUNCTION("""COMPUTED_VALUE"""),118949.0)</f>
        <v>118949</v>
      </c>
      <c r="G108" s="115">
        <f>IFERROR(__xludf.DUMMYFUNCTION("""COMPUTED_VALUE"""),2615.0)</f>
        <v>2615</v>
      </c>
      <c r="H108" s="116">
        <f>IFERROR(__xludf.DUMMYFUNCTION("""COMPUTED_VALUE"""),45901.0)</f>
        <v>45901</v>
      </c>
      <c r="I108" s="115" t="str">
        <f>IFERROR(__xludf.DUMMYFUNCTION("""COMPUTED_VALUE"""),"13")</f>
        <v>13</v>
      </c>
      <c r="J108" s="115" t="str">
        <f>IFERROR(__xludf.DUMMYFUNCTION("""COMPUTED_VALUE"""),"Kandula Sampath2025-09-0113")</f>
        <v>Kandula Sampath2025-09-0113</v>
      </c>
      <c r="K108" s="115">
        <f>IFERROR(__xludf.DUMMYFUNCTION("""COMPUTED_VALUE"""),352263.0)</f>
        <v>352263</v>
      </c>
    </row>
    <row r="109">
      <c r="A109" s="115" t="str">
        <f>IFERROR(__xludf.DUMMYFUNCTION("""COMPUTED_VALUE"""),"SOUTH")</f>
        <v>SOUTH</v>
      </c>
      <c r="B109" s="115" t="str">
        <f>IFERROR(__xludf.DUMMYFUNCTION("""COMPUTED_VALUE"""),"Kandula Sampath")</f>
        <v>Kandula Sampath</v>
      </c>
      <c r="C109" s="115" t="str">
        <f>IFERROR(__xludf.DUMMYFUNCTION("""COMPUTED_VALUE"""),"MYNTRA")</f>
        <v>MYNTRA</v>
      </c>
      <c r="D109" s="115">
        <f>IFERROR(__xludf.DUMMYFUNCTION("""COMPUTED_VALUE"""),33903.0)</f>
        <v>33903</v>
      </c>
      <c r="E109" s="115">
        <f>IFERROR(__xludf.DUMMYFUNCTION("""COMPUTED_VALUE"""),7114.0)</f>
        <v>7114</v>
      </c>
      <c r="F109" s="115">
        <f>IFERROR(__xludf.DUMMYFUNCTION("""COMPUTED_VALUE"""),14511.0)</f>
        <v>14511</v>
      </c>
      <c r="G109" s="115">
        <f>IFERROR(__xludf.DUMMYFUNCTION("""COMPUTED_VALUE"""),653.0)</f>
        <v>653</v>
      </c>
      <c r="H109" s="116">
        <f>IFERROR(__xludf.DUMMYFUNCTION("""COMPUTED_VALUE"""),45901.0)</f>
        <v>45901</v>
      </c>
      <c r="I109" s="115" t="str">
        <f>IFERROR(__xludf.DUMMYFUNCTION("""COMPUTED_VALUE"""),"13")</f>
        <v>13</v>
      </c>
      <c r="J109" s="115" t="str">
        <f>IFERROR(__xludf.DUMMYFUNCTION("""COMPUTED_VALUE"""),"Kandula Sampath2025-09-0113")</f>
        <v>Kandula Sampath2025-09-0113</v>
      </c>
      <c r="K109" s="115">
        <f>IFERROR(__xludf.DUMMYFUNCTION("""COMPUTED_VALUE"""),41017.0)</f>
        <v>41017</v>
      </c>
    </row>
    <row r="110">
      <c r="A110" s="115" t="str">
        <f>IFERROR(__xludf.DUMMYFUNCTION("""COMPUTED_VALUE"""),"SOUTH")</f>
        <v>SOUTH</v>
      </c>
      <c r="B110" s="115" t="str">
        <f>IFERROR(__xludf.DUMMYFUNCTION("""COMPUTED_VALUE"""),"Martin A")</f>
        <v>Martin A</v>
      </c>
      <c r="C110" s="115" t="str">
        <f>IFERROR(__xludf.DUMMYFUNCTION("""COMPUTED_VALUE"""),"EXTERNAL")</f>
        <v>EXTERNAL</v>
      </c>
      <c r="D110" s="115">
        <f>IFERROR(__xludf.DUMMYFUNCTION("""COMPUTED_VALUE"""),35290.0)</f>
        <v>35290</v>
      </c>
      <c r="E110" s="115">
        <f>IFERROR(__xludf.DUMMYFUNCTION("""COMPUTED_VALUE"""),2437.0)</f>
        <v>2437</v>
      </c>
      <c r="F110" s="115">
        <f>IFERROR(__xludf.DUMMYFUNCTION("""COMPUTED_VALUE"""),6971.0)</f>
        <v>6971</v>
      </c>
      <c r="G110" s="115">
        <f>IFERROR(__xludf.DUMMYFUNCTION("""COMPUTED_VALUE"""),217.0)</f>
        <v>217</v>
      </c>
      <c r="H110" s="116">
        <f>IFERROR(__xludf.DUMMYFUNCTION("""COMPUTED_VALUE"""),45901.0)</f>
        <v>45901</v>
      </c>
      <c r="I110" s="115" t="str">
        <f>IFERROR(__xludf.DUMMYFUNCTION("""COMPUTED_VALUE"""),"13")</f>
        <v>13</v>
      </c>
      <c r="J110" s="115" t="str">
        <f>IFERROR(__xludf.DUMMYFUNCTION("""COMPUTED_VALUE"""),"Martin A2025-09-0113")</f>
        <v>Martin A2025-09-0113</v>
      </c>
      <c r="K110" s="115">
        <f>IFERROR(__xludf.DUMMYFUNCTION("""COMPUTED_VALUE"""),37727.0)</f>
        <v>37727</v>
      </c>
    </row>
    <row r="111">
      <c r="A111" s="115" t="str">
        <f>IFERROR(__xludf.DUMMYFUNCTION("""COMPUTED_VALUE"""),"SOUTH")</f>
        <v>SOUTH</v>
      </c>
      <c r="B111" s="115" t="str">
        <f>IFERROR(__xludf.DUMMYFUNCTION("""COMPUTED_VALUE"""),"Martin A")</f>
        <v>Martin A</v>
      </c>
      <c r="C111" s="115" t="str">
        <f>IFERROR(__xludf.DUMMYFUNCTION("""COMPUTED_VALUE"""),"FLIPKART")</f>
        <v>FLIPKART</v>
      </c>
      <c r="D111" s="115">
        <f>IFERROR(__xludf.DUMMYFUNCTION("""COMPUTED_VALUE"""),274085.0)</f>
        <v>274085</v>
      </c>
      <c r="E111" s="115">
        <f>IFERROR(__xludf.DUMMYFUNCTION("""COMPUTED_VALUE"""),25637.0)</f>
        <v>25637</v>
      </c>
      <c r="F111" s="115">
        <f>IFERROR(__xludf.DUMMYFUNCTION("""COMPUTED_VALUE"""),95673.0)</f>
        <v>95673</v>
      </c>
      <c r="G111" s="115">
        <f>IFERROR(__xludf.DUMMYFUNCTION("""COMPUTED_VALUE"""),3092.0)</f>
        <v>3092</v>
      </c>
      <c r="H111" s="116">
        <f>IFERROR(__xludf.DUMMYFUNCTION("""COMPUTED_VALUE"""),45901.0)</f>
        <v>45901</v>
      </c>
      <c r="I111" s="115" t="str">
        <f>IFERROR(__xludf.DUMMYFUNCTION("""COMPUTED_VALUE"""),"13")</f>
        <v>13</v>
      </c>
      <c r="J111" s="115" t="str">
        <f>IFERROR(__xludf.DUMMYFUNCTION("""COMPUTED_VALUE"""),"Martin A2025-09-0113")</f>
        <v>Martin A2025-09-0113</v>
      </c>
      <c r="K111" s="115">
        <f>IFERROR(__xludf.DUMMYFUNCTION("""COMPUTED_VALUE"""),299722.0)</f>
        <v>299722</v>
      </c>
    </row>
    <row r="112">
      <c r="A112" s="115" t="str">
        <f>IFERROR(__xludf.DUMMYFUNCTION("""COMPUTED_VALUE"""),"SOUTH")</f>
        <v>SOUTH</v>
      </c>
      <c r="B112" s="115" t="str">
        <f>IFERROR(__xludf.DUMMYFUNCTION("""COMPUTED_VALUE"""),"Martin A")</f>
        <v>Martin A</v>
      </c>
      <c r="C112" s="115" t="str">
        <f>IFERROR(__xludf.DUMMYFUNCTION("""COMPUTED_VALUE"""),"MYNTRA")</f>
        <v>MYNTRA</v>
      </c>
      <c r="D112" s="115">
        <f>IFERROR(__xludf.DUMMYFUNCTION("""COMPUTED_VALUE"""),25090.0)</f>
        <v>25090</v>
      </c>
      <c r="E112" s="115">
        <f>IFERROR(__xludf.DUMMYFUNCTION("""COMPUTED_VALUE"""),6053.0)</f>
        <v>6053</v>
      </c>
      <c r="F112" s="115">
        <f>IFERROR(__xludf.DUMMYFUNCTION("""COMPUTED_VALUE"""),10605.0)</f>
        <v>10605</v>
      </c>
      <c r="G112" s="115">
        <f>IFERROR(__xludf.DUMMYFUNCTION("""COMPUTED_VALUE"""),899.0)</f>
        <v>899</v>
      </c>
      <c r="H112" s="116">
        <f>IFERROR(__xludf.DUMMYFUNCTION("""COMPUTED_VALUE"""),45901.0)</f>
        <v>45901</v>
      </c>
      <c r="I112" s="115" t="str">
        <f>IFERROR(__xludf.DUMMYFUNCTION("""COMPUTED_VALUE"""),"13")</f>
        <v>13</v>
      </c>
      <c r="J112" s="115" t="str">
        <f>IFERROR(__xludf.DUMMYFUNCTION("""COMPUTED_VALUE"""),"Martin A2025-09-0113")</f>
        <v>Martin A2025-09-0113</v>
      </c>
      <c r="K112" s="115">
        <f>IFERROR(__xludf.DUMMYFUNCTION("""COMPUTED_VALUE"""),31143.0)</f>
        <v>31143</v>
      </c>
    </row>
    <row r="113">
      <c r="A113" s="115" t="str">
        <f>IFERROR(__xludf.DUMMYFUNCTION("""COMPUTED_VALUE"""),"SOUTH")</f>
        <v>SOUTH</v>
      </c>
      <c r="B113" s="115" t="str">
        <f>IFERROR(__xludf.DUMMYFUNCTION("""COMPUTED_VALUE"""),"Premkumar M")</f>
        <v>Premkumar M</v>
      </c>
      <c r="C113" s="115" t="str">
        <f>IFERROR(__xludf.DUMMYFUNCTION("""COMPUTED_VALUE"""),"EXTERNAL")</f>
        <v>EXTERNAL</v>
      </c>
      <c r="D113" s="115">
        <f>IFERROR(__xludf.DUMMYFUNCTION("""COMPUTED_VALUE"""),29531.0)</f>
        <v>29531</v>
      </c>
      <c r="E113" s="115">
        <f>IFERROR(__xludf.DUMMYFUNCTION("""COMPUTED_VALUE"""),1766.0)</f>
        <v>1766</v>
      </c>
      <c r="F113" s="115">
        <f>IFERROR(__xludf.DUMMYFUNCTION("""COMPUTED_VALUE"""),4931.0)</f>
        <v>4931</v>
      </c>
      <c r="G113" s="115">
        <f>IFERROR(__xludf.DUMMYFUNCTION("""COMPUTED_VALUE"""),47.0)</f>
        <v>47</v>
      </c>
      <c r="H113" s="116">
        <f>IFERROR(__xludf.DUMMYFUNCTION("""COMPUTED_VALUE"""),45901.0)</f>
        <v>45901</v>
      </c>
      <c r="I113" s="115" t="str">
        <f>IFERROR(__xludf.DUMMYFUNCTION("""COMPUTED_VALUE"""),"13")</f>
        <v>13</v>
      </c>
      <c r="J113" s="115" t="str">
        <f>IFERROR(__xludf.DUMMYFUNCTION("""COMPUTED_VALUE"""),"Premkumar M2025-09-0113")</f>
        <v>Premkumar M2025-09-0113</v>
      </c>
      <c r="K113" s="115">
        <f>IFERROR(__xludf.DUMMYFUNCTION("""COMPUTED_VALUE"""),31297.0)</f>
        <v>31297</v>
      </c>
    </row>
    <row r="114">
      <c r="A114" s="115" t="str">
        <f>IFERROR(__xludf.DUMMYFUNCTION("""COMPUTED_VALUE"""),"SOUTH")</f>
        <v>SOUTH</v>
      </c>
      <c r="B114" s="115" t="str">
        <f>IFERROR(__xludf.DUMMYFUNCTION("""COMPUTED_VALUE"""),"Premkumar M")</f>
        <v>Premkumar M</v>
      </c>
      <c r="C114" s="115" t="str">
        <f>IFERROR(__xludf.DUMMYFUNCTION("""COMPUTED_VALUE"""),"FLIPKART")</f>
        <v>FLIPKART</v>
      </c>
      <c r="D114" s="115">
        <f>IFERROR(__xludf.DUMMYFUNCTION("""COMPUTED_VALUE"""),259094.0)</f>
        <v>259094</v>
      </c>
      <c r="E114" s="115">
        <f>IFERROR(__xludf.DUMMYFUNCTION("""COMPUTED_VALUE"""),17679.0)</f>
        <v>17679</v>
      </c>
      <c r="F114" s="115">
        <f>IFERROR(__xludf.DUMMYFUNCTION("""COMPUTED_VALUE"""),70734.0)</f>
        <v>70734</v>
      </c>
      <c r="G114" s="115">
        <f>IFERROR(__xludf.DUMMYFUNCTION("""COMPUTED_VALUE"""),712.0)</f>
        <v>712</v>
      </c>
      <c r="H114" s="116">
        <f>IFERROR(__xludf.DUMMYFUNCTION("""COMPUTED_VALUE"""),45901.0)</f>
        <v>45901</v>
      </c>
      <c r="I114" s="115" t="str">
        <f>IFERROR(__xludf.DUMMYFUNCTION("""COMPUTED_VALUE"""),"13")</f>
        <v>13</v>
      </c>
      <c r="J114" s="115" t="str">
        <f>IFERROR(__xludf.DUMMYFUNCTION("""COMPUTED_VALUE"""),"Premkumar M2025-09-0113")</f>
        <v>Premkumar M2025-09-0113</v>
      </c>
      <c r="K114" s="115">
        <f>IFERROR(__xludf.DUMMYFUNCTION("""COMPUTED_VALUE"""),276773.0)</f>
        <v>276773</v>
      </c>
    </row>
    <row r="115">
      <c r="A115" s="115" t="str">
        <f>IFERROR(__xludf.DUMMYFUNCTION("""COMPUTED_VALUE"""),"SOUTH")</f>
        <v>SOUTH</v>
      </c>
      <c r="B115" s="115" t="str">
        <f>IFERROR(__xludf.DUMMYFUNCTION("""COMPUTED_VALUE"""),"Premkumar M")</f>
        <v>Premkumar M</v>
      </c>
      <c r="C115" s="115" t="str">
        <f>IFERROR(__xludf.DUMMYFUNCTION("""COMPUTED_VALUE"""),"MYNTRA")</f>
        <v>MYNTRA</v>
      </c>
      <c r="D115" s="115">
        <f>IFERROR(__xludf.DUMMYFUNCTION("""COMPUTED_VALUE"""),13898.0)</f>
        <v>13898</v>
      </c>
      <c r="E115" s="115">
        <f>IFERROR(__xludf.DUMMYFUNCTION("""COMPUTED_VALUE"""),2603.0)</f>
        <v>2603</v>
      </c>
      <c r="F115" s="115">
        <f>IFERROR(__xludf.DUMMYFUNCTION("""COMPUTED_VALUE"""),4429.0)</f>
        <v>4429</v>
      </c>
      <c r="G115" s="115">
        <f>IFERROR(__xludf.DUMMYFUNCTION("""COMPUTED_VALUE"""),130.0)</f>
        <v>130</v>
      </c>
      <c r="H115" s="116">
        <f>IFERROR(__xludf.DUMMYFUNCTION("""COMPUTED_VALUE"""),45901.0)</f>
        <v>45901</v>
      </c>
      <c r="I115" s="115" t="str">
        <f>IFERROR(__xludf.DUMMYFUNCTION("""COMPUTED_VALUE"""),"13")</f>
        <v>13</v>
      </c>
      <c r="J115" s="115" t="str">
        <f>IFERROR(__xludf.DUMMYFUNCTION("""COMPUTED_VALUE"""),"Premkumar M2025-09-0113")</f>
        <v>Premkumar M2025-09-0113</v>
      </c>
      <c r="K115" s="115">
        <f>IFERROR(__xludf.DUMMYFUNCTION("""COMPUTED_VALUE"""),16501.0)</f>
        <v>16501</v>
      </c>
    </row>
    <row r="116">
      <c r="A116" s="115" t="str">
        <f>IFERROR(__xludf.DUMMYFUNCTION("""COMPUTED_VALUE"""),"SOUTH")</f>
        <v>SOUTH</v>
      </c>
      <c r="B116" s="115" t="str">
        <f>IFERROR(__xludf.DUMMYFUNCTION("""COMPUTED_VALUE"""),"Vineeth V")</f>
        <v>Vineeth V</v>
      </c>
      <c r="C116" s="115" t="str">
        <f>IFERROR(__xludf.DUMMYFUNCTION("""COMPUTED_VALUE"""),"EXTERNAL")</f>
        <v>EXTERNAL</v>
      </c>
      <c r="D116" s="115">
        <f>IFERROR(__xludf.DUMMYFUNCTION("""COMPUTED_VALUE"""),21028.0)</f>
        <v>21028</v>
      </c>
      <c r="E116" s="115">
        <f>IFERROR(__xludf.DUMMYFUNCTION("""COMPUTED_VALUE"""),611.0)</f>
        <v>611</v>
      </c>
      <c r="F116" s="115">
        <f>IFERROR(__xludf.DUMMYFUNCTION("""COMPUTED_VALUE"""),2706.0)</f>
        <v>2706</v>
      </c>
      <c r="G116" s="115">
        <f>IFERROR(__xludf.DUMMYFUNCTION("""COMPUTED_VALUE"""),14.0)</f>
        <v>14</v>
      </c>
      <c r="H116" s="116">
        <f>IFERROR(__xludf.DUMMYFUNCTION("""COMPUTED_VALUE"""),45901.0)</f>
        <v>45901</v>
      </c>
      <c r="I116" s="115" t="str">
        <f>IFERROR(__xludf.DUMMYFUNCTION("""COMPUTED_VALUE"""),"13")</f>
        <v>13</v>
      </c>
      <c r="J116" s="115" t="str">
        <f>IFERROR(__xludf.DUMMYFUNCTION("""COMPUTED_VALUE"""),"Vineeth V2025-09-0113")</f>
        <v>Vineeth V2025-09-0113</v>
      </c>
      <c r="K116" s="115">
        <f>IFERROR(__xludf.DUMMYFUNCTION("""COMPUTED_VALUE"""),21639.0)</f>
        <v>21639</v>
      </c>
    </row>
    <row r="117">
      <c r="A117" s="115" t="str">
        <f>IFERROR(__xludf.DUMMYFUNCTION("""COMPUTED_VALUE"""),"SOUTH")</f>
        <v>SOUTH</v>
      </c>
      <c r="B117" s="115" t="str">
        <f>IFERROR(__xludf.DUMMYFUNCTION("""COMPUTED_VALUE"""),"Vineeth V")</f>
        <v>Vineeth V</v>
      </c>
      <c r="C117" s="115" t="str">
        <f>IFERROR(__xludf.DUMMYFUNCTION("""COMPUTED_VALUE"""),"FLIPKART")</f>
        <v>FLIPKART</v>
      </c>
      <c r="D117" s="115">
        <f>IFERROR(__xludf.DUMMYFUNCTION("""COMPUTED_VALUE"""),237343.0)</f>
        <v>237343</v>
      </c>
      <c r="E117" s="115">
        <f>IFERROR(__xludf.DUMMYFUNCTION("""COMPUTED_VALUE"""),15553.0)</f>
        <v>15553</v>
      </c>
      <c r="F117" s="115">
        <f>IFERROR(__xludf.DUMMYFUNCTION("""COMPUTED_VALUE"""),49055.0)</f>
        <v>49055</v>
      </c>
      <c r="G117" s="115">
        <f>IFERROR(__xludf.DUMMYFUNCTION("""COMPUTED_VALUE"""),246.0)</f>
        <v>246</v>
      </c>
      <c r="H117" s="116">
        <f>IFERROR(__xludf.DUMMYFUNCTION("""COMPUTED_VALUE"""),45901.0)</f>
        <v>45901</v>
      </c>
      <c r="I117" s="115" t="str">
        <f>IFERROR(__xludf.DUMMYFUNCTION("""COMPUTED_VALUE"""),"13")</f>
        <v>13</v>
      </c>
      <c r="J117" s="115" t="str">
        <f>IFERROR(__xludf.DUMMYFUNCTION("""COMPUTED_VALUE"""),"Vineeth V2025-09-0113")</f>
        <v>Vineeth V2025-09-0113</v>
      </c>
      <c r="K117" s="115">
        <f>IFERROR(__xludf.DUMMYFUNCTION("""COMPUTED_VALUE"""),252896.0)</f>
        <v>252896</v>
      </c>
    </row>
    <row r="118">
      <c r="A118" s="115" t="str">
        <f>IFERROR(__xludf.DUMMYFUNCTION("""COMPUTED_VALUE"""),"SOUTH")</f>
        <v>SOUTH</v>
      </c>
      <c r="B118" s="115" t="str">
        <f>IFERROR(__xludf.DUMMYFUNCTION("""COMPUTED_VALUE"""),"Vineeth V")</f>
        <v>Vineeth V</v>
      </c>
      <c r="C118" s="115" t="str">
        <f>IFERROR(__xludf.DUMMYFUNCTION("""COMPUTED_VALUE"""),"MYNTRA")</f>
        <v>MYNTRA</v>
      </c>
      <c r="D118" s="115">
        <f>IFERROR(__xludf.DUMMYFUNCTION("""COMPUTED_VALUE"""),20244.0)</f>
        <v>20244</v>
      </c>
      <c r="E118" s="115">
        <f>IFERROR(__xludf.DUMMYFUNCTION("""COMPUTED_VALUE"""),3584.0)</f>
        <v>3584</v>
      </c>
      <c r="F118" s="115">
        <f>IFERROR(__xludf.DUMMYFUNCTION("""COMPUTED_VALUE"""),4858.0)</f>
        <v>4858</v>
      </c>
      <c r="G118" s="115">
        <f>IFERROR(__xludf.DUMMYFUNCTION("""COMPUTED_VALUE"""),62.0)</f>
        <v>62</v>
      </c>
      <c r="H118" s="116">
        <f>IFERROR(__xludf.DUMMYFUNCTION("""COMPUTED_VALUE"""),45901.0)</f>
        <v>45901</v>
      </c>
      <c r="I118" s="115" t="str">
        <f>IFERROR(__xludf.DUMMYFUNCTION("""COMPUTED_VALUE"""),"13")</f>
        <v>13</v>
      </c>
      <c r="J118" s="115" t="str">
        <f>IFERROR(__xludf.DUMMYFUNCTION("""COMPUTED_VALUE"""),"Vineeth V2025-09-0113")</f>
        <v>Vineeth V2025-09-0113</v>
      </c>
      <c r="K118" s="115">
        <f>IFERROR(__xludf.DUMMYFUNCTION("""COMPUTED_VALUE"""),23828.0)</f>
        <v>23828</v>
      </c>
    </row>
    <row r="119">
      <c r="A119" s="115" t="str">
        <f>IFERROR(__xludf.DUMMYFUNCTION("""COMPUTED_VALUE"""),"WEST")</f>
        <v>WEST</v>
      </c>
      <c r="B119" s="115" t="str">
        <f>IFERROR(__xludf.DUMMYFUNCTION("""COMPUTED_VALUE"""),"Ashish Jakar")</f>
        <v>Ashish Jakar</v>
      </c>
      <c r="C119" s="115" t="str">
        <f>IFERROR(__xludf.DUMMYFUNCTION("""COMPUTED_VALUE"""),"EXTERNAL")</f>
        <v>EXTERNAL</v>
      </c>
      <c r="D119" s="115">
        <f>IFERROR(__xludf.DUMMYFUNCTION("""COMPUTED_VALUE"""),54098.0)</f>
        <v>54098</v>
      </c>
      <c r="E119" s="115">
        <f>IFERROR(__xludf.DUMMYFUNCTION("""COMPUTED_VALUE"""),6307.0)</f>
        <v>6307</v>
      </c>
      <c r="F119" s="115">
        <f>IFERROR(__xludf.DUMMYFUNCTION("""COMPUTED_VALUE"""),10161.0)</f>
        <v>10161</v>
      </c>
      <c r="G119" s="115">
        <f>IFERROR(__xludf.DUMMYFUNCTION("""COMPUTED_VALUE"""),504.0)</f>
        <v>504</v>
      </c>
      <c r="H119" s="116">
        <f>IFERROR(__xludf.DUMMYFUNCTION("""COMPUTED_VALUE"""),45901.0)</f>
        <v>45901</v>
      </c>
      <c r="I119" s="115" t="str">
        <f>IFERROR(__xludf.DUMMYFUNCTION("""COMPUTED_VALUE"""),"13")</f>
        <v>13</v>
      </c>
      <c r="J119" s="115" t="str">
        <f>IFERROR(__xludf.DUMMYFUNCTION("""COMPUTED_VALUE"""),"Ashish Jakar2025-09-0113")</f>
        <v>Ashish Jakar2025-09-0113</v>
      </c>
      <c r="K119" s="115">
        <f>IFERROR(__xludf.DUMMYFUNCTION("""COMPUTED_VALUE"""),60405.0)</f>
        <v>60405</v>
      </c>
    </row>
    <row r="120">
      <c r="A120" s="115" t="str">
        <f>IFERROR(__xludf.DUMMYFUNCTION("""COMPUTED_VALUE"""),"WEST")</f>
        <v>WEST</v>
      </c>
      <c r="B120" s="115" t="str">
        <f>IFERROR(__xludf.DUMMYFUNCTION("""COMPUTED_VALUE"""),"Ashish Jakar")</f>
        <v>Ashish Jakar</v>
      </c>
      <c r="C120" s="115" t="str">
        <f>IFERROR(__xludf.DUMMYFUNCTION("""COMPUTED_VALUE"""),"FLIPKART")</f>
        <v>FLIPKART</v>
      </c>
      <c r="D120" s="115">
        <f>IFERROR(__xludf.DUMMYFUNCTION("""COMPUTED_VALUE"""),296426.0)</f>
        <v>296426</v>
      </c>
      <c r="E120" s="115">
        <f>IFERROR(__xludf.DUMMYFUNCTION("""COMPUTED_VALUE"""),31271.0)</f>
        <v>31271</v>
      </c>
      <c r="F120" s="115">
        <f>IFERROR(__xludf.DUMMYFUNCTION("""COMPUTED_VALUE"""),99691.0)</f>
        <v>99691</v>
      </c>
      <c r="G120" s="115">
        <f>IFERROR(__xludf.DUMMYFUNCTION("""COMPUTED_VALUE"""),3863.0)</f>
        <v>3863</v>
      </c>
      <c r="H120" s="116">
        <f>IFERROR(__xludf.DUMMYFUNCTION("""COMPUTED_VALUE"""),45901.0)</f>
        <v>45901</v>
      </c>
      <c r="I120" s="115" t="str">
        <f>IFERROR(__xludf.DUMMYFUNCTION("""COMPUTED_VALUE"""),"13")</f>
        <v>13</v>
      </c>
      <c r="J120" s="115" t="str">
        <f>IFERROR(__xludf.DUMMYFUNCTION("""COMPUTED_VALUE"""),"Ashish Jakar2025-09-0113")</f>
        <v>Ashish Jakar2025-09-0113</v>
      </c>
      <c r="K120" s="115">
        <f>IFERROR(__xludf.DUMMYFUNCTION("""COMPUTED_VALUE"""),327697.0)</f>
        <v>327697</v>
      </c>
    </row>
    <row r="121">
      <c r="A121" s="115" t="str">
        <f>IFERROR(__xludf.DUMMYFUNCTION("""COMPUTED_VALUE"""),"WEST")</f>
        <v>WEST</v>
      </c>
      <c r="B121" s="115" t="str">
        <f>IFERROR(__xludf.DUMMYFUNCTION("""COMPUTED_VALUE"""),"Ashish Jakar")</f>
        <v>Ashish Jakar</v>
      </c>
      <c r="C121" s="115" t="str">
        <f>IFERROR(__xludf.DUMMYFUNCTION("""COMPUTED_VALUE"""),"MYNTRA")</f>
        <v>MYNTRA</v>
      </c>
      <c r="D121" s="115">
        <f>IFERROR(__xludf.DUMMYFUNCTION("""COMPUTED_VALUE"""),38159.0)</f>
        <v>38159</v>
      </c>
      <c r="E121" s="115">
        <f>IFERROR(__xludf.DUMMYFUNCTION("""COMPUTED_VALUE"""),9541.0)</f>
        <v>9541</v>
      </c>
      <c r="F121" s="115">
        <f>IFERROR(__xludf.DUMMYFUNCTION("""COMPUTED_VALUE"""),15977.0)</f>
        <v>15977</v>
      </c>
      <c r="G121" s="115">
        <f>IFERROR(__xludf.DUMMYFUNCTION("""COMPUTED_VALUE"""),1460.0)</f>
        <v>1460</v>
      </c>
      <c r="H121" s="116">
        <f>IFERROR(__xludf.DUMMYFUNCTION("""COMPUTED_VALUE"""),45901.0)</f>
        <v>45901</v>
      </c>
      <c r="I121" s="115" t="str">
        <f>IFERROR(__xludf.DUMMYFUNCTION("""COMPUTED_VALUE"""),"13")</f>
        <v>13</v>
      </c>
      <c r="J121" s="115" t="str">
        <f>IFERROR(__xludf.DUMMYFUNCTION("""COMPUTED_VALUE"""),"Ashish Jakar2025-09-0113")</f>
        <v>Ashish Jakar2025-09-0113</v>
      </c>
      <c r="K121" s="115">
        <f>IFERROR(__xludf.DUMMYFUNCTION("""COMPUTED_VALUE"""),47700.0)</f>
        <v>47700</v>
      </c>
    </row>
    <row r="122">
      <c r="A122" s="115" t="str">
        <f>IFERROR(__xludf.DUMMYFUNCTION("""COMPUTED_VALUE"""),"WEST")</f>
        <v>WEST</v>
      </c>
      <c r="B122" s="115" t="str">
        <f>IFERROR(__xludf.DUMMYFUNCTION("""COMPUTED_VALUE"""),"Ashvani Bhatt")</f>
        <v>Ashvani Bhatt</v>
      </c>
      <c r="C122" s="115" t="str">
        <f>IFERROR(__xludf.DUMMYFUNCTION("""COMPUTED_VALUE"""),"EXTERNAL")</f>
        <v>EXTERNAL</v>
      </c>
      <c r="D122" s="115">
        <f>IFERROR(__xludf.DUMMYFUNCTION("""COMPUTED_VALUE"""),34992.0)</f>
        <v>34992</v>
      </c>
      <c r="E122" s="115">
        <f>IFERROR(__xludf.DUMMYFUNCTION("""COMPUTED_VALUE"""),3594.0)</f>
        <v>3594</v>
      </c>
      <c r="F122" s="115">
        <f>IFERROR(__xludf.DUMMYFUNCTION("""COMPUTED_VALUE"""),7425.0)</f>
        <v>7425</v>
      </c>
      <c r="G122" s="115">
        <f>IFERROR(__xludf.DUMMYFUNCTION("""COMPUTED_VALUE"""),241.0)</f>
        <v>241</v>
      </c>
      <c r="H122" s="116">
        <f>IFERROR(__xludf.DUMMYFUNCTION("""COMPUTED_VALUE"""),45901.0)</f>
        <v>45901</v>
      </c>
      <c r="I122" s="115" t="str">
        <f>IFERROR(__xludf.DUMMYFUNCTION("""COMPUTED_VALUE"""),"13")</f>
        <v>13</v>
      </c>
      <c r="J122" s="115" t="str">
        <f>IFERROR(__xludf.DUMMYFUNCTION("""COMPUTED_VALUE"""),"Ashvani Bhatt2025-09-0113")</f>
        <v>Ashvani Bhatt2025-09-0113</v>
      </c>
      <c r="K122" s="115">
        <f>IFERROR(__xludf.DUMMYFUNCTION("""COMPUTED_VALUE"""),38586.0)</f>
        <v>38586</v>
      </c>
    </row>
    <row r="123">
      <c r="A123" s="115" t="str">
        <f>IFERROR(__xludf.DUMMYFUNCTION("""COMPUTED_VALUE"""),"WEST")</f>
        <v>WEST</v>
      </c>
      <c r="B123" s="115" t="str">
        <f>IFERROR(__xludf.DUMMYFUNCTION("""COMPUTED_VALUE"""),"Ashvani Bhatt")</f>
        <v>Ashvani Bhatt</v>
      </c>
      <c r="C123" s="115" t="str">
        <f>IFERROR(__xludf.DUMMYFUNCTION("""COMPUTED_VALUE"""),"FLIPKART")</f>
        <v>FLIPKART</v>
      </c>
      <c r="D123" s="115">
        <f>IFERROR(__xludf.DUMMYFUNCTION("""COMPUTED_VALUE"""),242177.0)</f>
        <v>242177</v>
      </c>
      <c r="E123" s="115">
        <f>IFERROR(__xludf.DUMMYFUNCTION("""COMPUTED_VALUE"""),27000.0)</f>
        <v>27000</v>
      </c>
      <c r="F123" s="115">
        <f>IFERROR(__xludf.DUMMYFUNCTION("""COMPUTED_VALUE"""),93656.0)</f>
        <v>93656</v>
      </c>
      <c r="G123" s="115">
        <f>IFERROR(__xludf.DUMMYFUNCTION("""COMPUTED_VALUE"""),3073.0)</f>
        <v>3073</v>
      </c>
      <c r="H123" s="116">
        <f>IFERROR(__xludf.DUMMYFUNCTION("""COMPUTED_VALUE"""),45901.0)</f>
        <v>45901</v>
      </c>
      <c r="I123" s="115" t="str">
        <f>IFERROR(__xludf.DUMMYFUNCTION("""COMPUTED_VALUE"""),"13")</f>
        <v>13</v>
      </c>
      <c r="J123" s="115" t="str">
        <f>IFERROR(__xludf.DUMMYFUNCTION("""COMPUTED_VALUE"""),"Ashvani Bhatt2025-09-0113")</f>
        <v>Ashvani Bhatt2025-09-0113</v>
      </c>
      <c r="K123" s="115">
        <f>IFERROR(__xludf.DUMMYFUNCTION("""COMPUTED_VALUE"""),269177.0)</f>
        <v>269177</v>
      </c>
    </row>
    <row r="124">
      <c r="A124" s="115" t="str">
        <f>IFERROR(__xludf.DUMMYFUNCTION("""COMPUTED_VALUE"""),"WEST")</f>
        <v>WEST</v>
      </c>
      <c r="B124" s="115" t="str">
        <f>IFERROR(__xludf.DUMMYFUNCTION("""COMPUTED_VALUE"""),"Ashvani Bhatt")</f>
        <v>Ashvani Bhatt</v>
      </c>
      <c r="C124" s="115" t="str">
        <f>IFERROR(__xludf.DUMMYFUNCTION("""COMPUTED_VALUE"""),"MYNTRA")</f>
        <v>MYNTRA</v>
      </c>
      <c r="D124" s="115">
        <f>IFERROR(__xludf.DUMMYFUNCTION("""COMPUTED_VALUE"""),30946.0)</f>
        <v>30946</v>
      </c>
      <c r="E124" s="115">
        <f>IFERROR(__xludf.DUMMYFUNCTION("""COMPUTED_VALUE"""),7335.0)</f>
        <v>7335</v>
      </c>
      <c r="F124" s="115">
        <f>IFERROR(__xludf.DUMMYFUNCTION("""COMPUTED_VALUE"""),14884.0)</f>
        <v>14884</v>
      </c>
      <c r="G124" s="115">
        <f>IFERROR(__xludf.DUMMYFUNCTION("""COMPUTED_VALUE"""),1085.0)</f>
        <v>1085</v>
      </c>
      <c r="H124" s="116">
        <f>IFERROR(__xludf.DUMMYFUNCTION("""COMPUTED_VALUE"""),45901.0)</f>
        <v>45901</v>
      </c>
      <c r="I124" s="115" t="str">
        <f>IFERROR(__xludf.DUMMYFUNCTION("""COMPUTED_VALUE"""),"13")</f>
        <v>13</v>
      </c>
      <c r="J124" s="115" t="str">
        <f>IFERROR(__xludf.DUMMYFUNCTION("""COMPUTED_VALUE"""),"Ashvani Bhatt2025-09-0113")</f>
        <v>Ashvani Bhatt2025-09-0113</v>
      </c>
      <c r="K124" s="115">
        <f>IFERROR(__xludf.DUMMYFUNCTION("""COMPUTED_VALUE"""),38281.0)</f>
        <v>38281</v>
      </c>
    </row>
    <row r="125">
      <c r="A125" s="115"/>
      <c r="B125" s="115"/>
      <c r="C125" s="115" t="str">
        <f>IFERROR(__xludf.DUMMYFUNCTION("""COMPUTED_VALUE"""),"EXTERNAL")</f>
        <v>EXTERNAL</v>
      </c>
      <c r="D125" s="115">
        <f>IFERROR(__xludf.DUMMYFUNCTION("""COMPUTED_VALUE"""),1239.0)</f>
        <v>1239</v>
      </c>
      <c r="E125" s="115">
        <f>IFERROR(__xludf.DUMMYFUNCTION("""COMPUTED_VALUE"""),98.0)</f>
        <v>98</v>
      </c>
      <c r="F125" s="115">
        <f>IFERROR(__xludf.DUMMYFUNCTION("""COMPUTED_VALUE"""),127.0)</f>
        <v>127</v>
      </c>
      <c r="G125" s="115">
        <f>IFERROR(__xludf.DUMMYFUNCTION("""COMPUTED_VALUE"""),21.0)</f>
        <v>21</v>
      </c>
      <c r="H125" s="116">
        <f>IFERROR(__xludf.DUMMYFUNCTION("""COMPUTED_VALUE"""),45901.0)</f>
        <v>45901</v>
      </c>
      <c r="I125" s="115" t="str">
        <f>IFERROR(__xludf.DUMMYFUNCTION("""COMPUTED_VALUE"""),"13")</f>
        <v>13</v>
      </c>
      <c r="J125" s="115" t="str">
        <f>IFERROR(__xludf.DUMMYFUNCTION("""COMPUTED_VALUE"""),"2025-09-0113")</f>
        <v>2025-09-0113</v>
      </c>
      <c r="K125" s="115">
        <f>IFERROR(__xludf.DUMMYFUNCTION("""COMPUTED_VALUE"""),1337.0)</f>
        <v>1337</v>
      </c>
    </row>
    <row r="126">
      <c r="A126" s="115"/>
      <c r="B126" s="115"/>
      <c r="C126" s="115" t="str">
        <f>IFERROR(__xludf.DUMMYFUNCTION("""COMPUTED_VALUE"""),"FLIPKART")</f>
        <v>FLIPKART</v>
      </c>
      <c r="D126" s="115">
        <f>IFERROR(__xludf.DUMMYFUNCTION("""COMPUTED_VALUE"""),11651.0)</f>
        <v>11651</v>
      </c>
      <c r="E126" s="115">
        <f>IFERROR(__xludf.DUMMYFUNCTION("""COMPUTED_VALUE"""),1034.0)</f>
        <v>1034</v>
      </c>
      <c r="F126" s="115">
        <f>IFERROR(__xludf.DUMMYFUNCTION("""COMPUTED_VALUE"""),2610.0)</f>
        <v>2610</v>
      </c>
      <c r="G126" s="115">
        <f>IFERROR(__xludf.DUMMYFUNCTION("""COMPUTED_VALUE"""),204.0)</f>
        <v>204</v>
      </c>
      <c r="H126" s="116">
        <f>IFERROR(__xludf.DUMMYFUNCTION("""COMPUTED_VALUE"""),45901.0)</f>
        <v>45901</v>
      </c>
      <c r="I126" s="115" t="str">
        <f>IFERROR(__xludf.DUMMYFUNCTION("""COMPUTED_VALUE"""),"13")</f>
        <v>13</v>
      </c>
      <c r="J126" s="115" t="str">
        <f>IFERROR(__xludf.DUMMYFUNCTION("""COMPUTED_VALUE"""),"2025-09-0113")</f>
        <v>2025-09-0113</v>
      </c>
      <c r="K126" s="115">
        <f>IFERROR(__xludf.DUMMYFUNCTION("""COMPUTED_VALUE"""),12685.0)</f>
        <v>12685</v>
      </c>
    </row>
    <row r="127">
      <c r="A127" s="115"/>
      <c r="B127" s="115"/>
      <c r="C127" s="115" t="str">
        <f>IFERROR(__xludf.DUMMYFUNCTION("""COMPUTED_VALUE"""),"MYNTRA")</f>
        <v>MYNTRA</v>
      </c>
      <c r="D127" s="115">
        <f>IFERROR(__xludf.DUMMYFUNCTION("""COMPUTED_VALUE"""),1047.0)</f>
        <v>1047</v>
      </c>
      <c r="E127" s="115">
        <f>IFERROR(__xludf.DUMMYFUNCTION("""COMPUTED_VALUE"""),192.0)</f>
        <v>192</v>
      </c>
      <c r="F127" s="115">
        <f>IFERROR(__xludf.DUMMYFUNCTION("""COMPUTED_VALUE"""),262.0)</f>
        <v>262</v>
      </c>
      <c r="G127" s="115">
        <f>IFERROR(__xludf.DUMMYFUNCTION("""COMPUTED_VALUE"""),20.0)</f>
        <v>20</v>
      </c>
      <c r="H127" s="116">
        <f>IFERROR(__xludf.DUMMYFUNCTION("""COMPUTED_VALUE"""),45901.0)</f>
        <v>45901</v>
      </c>
      <c r="I127" s="115" t="str">
        <f>IFERROR(__xludf.DUMMYFUNCTION("""COMPUTED_VALUE"""),"13")</f>
        <v>13</v>
      </c>
      <c r="J127" s="115" t="str">
        <f>IFERROR(__xludf.DUMMYFUNCTION("""COMPUTED_VALUE"""),"2025-09-0113")</f>
        <v>2025-09-0113</v>
      </c>
      <c r="K127" s="115">
        <f>IFERROR(__xludf.DUMMYFUNCTION("""COMPUTED_VALUE"""),1239.0)</f>
        <v>1239</v>
      </c>
    </row>
    <row r="128">
      <c r="A128" s="115" t="str">
        <f>IFERROR(__xludf.DUMMYFUNCTION("""COMPUTED_VALUE"""),"EAST")</f>
        <v>EAST</v>
      </c>
      <c r="B128" s="115" t="str">
        <f>IFERROR(__xludf.DUMMYFUNCTION("""COMPUTED_VALUE"""),"Ashish Ranjan")</f>
        <v>Ashish Ranjan</v>
      </c>
      <c r="C128" s="115" t="str">
        <f>IFERROR(__xludf.DUMMYFUNCTION("""COMPUTED_VALUE"""),"EXTERNAL")</f>
        <v>EXTERNAL</v>
      </c>
      <c r="D128" s="115">
        <f>IFERROR(__xludf.DUMMYFUNCTION("""COMPUTED_VALUE"""),38525.0)</f>
        <v>38525</v>
      </c>
      <c r="E128" s="115">
        <f>IFERROR(__xludf.DUMMYFUNCTION("""COMPUTED_VALUE"""),3054.0)</f>
        <v>3054</v>
      </c>
      <c r="F128" s="115">
        <f>IFERROR(__xludf.DUMMYFUNCTION("""COMPUTED_VALUE"""),13473.0)</f>
        <v>13473</v>
      </c>
      <c r="G128" s="115">
        <f>IFERROR(__xludf.DUMMYFUNCTION("""COMPUTED_VALUE"""),475.0)</f>
        <v>475</v>
      </c>
      <c r="H128" s="116">
        <f>IFERROR(__xludf.DUMMYFUNCTION("""COMPUTED_VALUE"""),45901.0)</f>
        <v>45901</v>
      </c>
      <c r="I128" s="115" t="str">
        <f>IFERROR(__xludf.DUMMYFUNCTION("""COMPUTED_VALUE"""),"14")</f>
        <v>14</v>
      </c>
      <c r="J128" s="115" t="str">
        <f>IFERROR(__xludf.DUMMYFUNCTION("""COMPUTED_VALUE"""),"Ashish Ranjan2025-09-0114")</f>
        <v>Ashish Ranjan2025-09-0114</v>
      </c>
      <c r="K128" s="115">
        <f>IFERROR(__xludf.DUMMYFUNCTION("""COMPUTED_VALUE"""),41579.0)</f>
        <v>41579</v>
      </c>
    </row>
    <row r="129">
      <c r="A129" s="115" t="str">
        <f>IFERROR(__xludf.DUMMYFUNCTION("""COMPUTED_VALUE"""),"EAST")</f>
        <v>EAST</v>
      </c>
      <c r="B129" s="115" t="str">
        <f>IFERROR(__xludf.DUMMYFUNCTION("""COMPUTED_VALUE"""),"Ashish Ranjan")</f>
        <v>Ashish Ranjan</v>
      </c>
      <c r="C129" s="115" t="str">
        <f>IFERROR(__xludf.DUMMYFUNCTION("""COMPUTED_VALUE"""),"FLIPKART")</f>
        <v>FLIPKART</v>
      </c>
      <c r="D129" s="115">
        <f>IFERROR(__xludf.DUMMYFUNCTION("""COMPUTED_VALUE"""),561461.0)</f>
        <v>561461</v>
      </c>
      <c r="E129" s="115">
        <f>IFERROR(__xludf.DUMMYFUNCTION("""COMPUTED_VALUE"""),58583.0)</f>
        <v>58583</v>
      </c>
      <c r="F129" s="115">
        <f>IFERROR(__xludf.DUMMYFUNCTION("""COMPUTED_VALUE"""),334899.0)</f>
        <v>334899</v>
      </c>
      <c r="G129" s="115">
        <f>IFERROR(__xludf.DUMMYFUNCTION("""COMPUTED_VALUE"""),13645.0)</f>
        <v>13645</v>
      </c>
      <c r="H129" s="116">
        <f>IFERROR(__xludf.DUMMYFUNCTION("""COMPUTED_VALUE"""),45901.0)</f>
        <v>45901</v>
      </c>
      <c r="I129" s="115" t="str">
        <f>IFERROR(__xludf.DUMMYFUNCTION("""COMPUTED_VALUE"""),"14")</f>
        <v>14</v>
      </c>
      <c r="J129" s="115" t="str">
        <f>IFERROR(__xludf.DUMMYFUNCTION("""COMPUTED_VALUE"""),"Ashish Ranjan2025-09-0114")</f>
        <v>Ashish Ranjan2025-09-0114</v>
      </c>
      <c r="K129" s="115">
        <f>IFERROR(__xludf.DUMMYFUNCTION("""COMPUTED_VALUE"""),620044.0)</f>
        <v>620044</v>
      </c>
    </row>
    <row r="130">
      <c r="A130" s="115" t="str">
        <f>IFERROR(__xludf.DUMMYFUNCTION("""COMPUTED_VALUE"""),"EAST")</f>
        <v>EAST</v>
      </c>
      <c r="B130" s="115" t="str">
        <f>IFERROR(__xludf.DUMMYFUNCTION("""COMPUTED_VALUE"""),"Ashish Ranjan")</f>
        <v>Ashish Ranjan</v>
      </c>
      <c r="C130" s="115" t="str">
        <f>IFERROR(__xludf.DUMMYFUNCTION("""COMPUTED_VALUE"""),"MYNTRA")</f>
        <v>MYNTRA</v>
      </c>
      <c r="D130" s="115">
        <f>IFERROR(__xludf.DUMMYFUNCTION("""COMPUTED_VALUE"""),53886.0)</f>
        <v>53886</v>
      </c>
      <c r="E130" s="115">
        <f>IFERROR(__xludf.DUMMYFUNCTION("""COMPUTED_VALUE"""),10420.0)</f>
        <v>10420</v>
      </c>
      <c r="F130" s="115">
        <f>IFERROR(__xludf.DUMMYFUNCTION("""COMPUTED_VALUE"""),33505.0)</f>
        <v>33505</v>
      </c>
      <c r="G130" s="115">
        <f>IFERROR(__xludf.DUMMYFUNCTION("""COMPUTED_VALUE"""),2368.0)</f>
        <v>2368</v>
      </c>
      <c r="H130" s="116">
        <f>IFERROR(__xludf.DUMMYFUNCTION("""COMPUTED_VALUE"""),45901.0)</f>
        <v>45901</v>
      </c>
      <c r="I130" s="115" t="str">
        <f>IFERROR(__xludf.DUMMYFUNCTION("""COMPUTED_VALUE"""),"14")</f>
        <v>14</v>
      </c>
      <c r="J130" s="115" t="str">
        <f>IFERROR(__xludf.DUMMYFUNCTION("""COMPUTED_VALUE"""),"Ashish Ranjan2025-09-0114")</f>
        <v>Ashish Ranjan2025-09-0114</v>
      </c>
      <c r="K130" s="115">
        <f>IFERROR(__xludf.DUMMYFUNCTION("""COMPUTED_VALUE"""),64306.0)</f>
        <v>64306</v>
      </c>
    </row>
    <row r="131">
      <c r="A131" s="115" t="str">
        <f>IFERROR(__xludf.DUMMYFUNCTION("""COMPUTED_VALUE"""),"EAST")</f>
        <v>EAST</v>
      </c>
      <c r="B131" s="115" t="str">
        <f>IFERROR(__xludf.DUMMYFUNCTION("""COMPUTED_VALUE"""),"Girish Chand")</f>
        <v>Girish Chand</v>
      </c>
      <c r="C131" s="115" t="str">
        <f>IFERROR(__xludf.DUMMYFUNCTION("""COMPUTED_VALUE"""),"EXTERNAL")</f>
        <v>EXTERNAL</v>
      </c>
      <c r="D131" s="115">
        <f>IFERROR(__xludf.DUMMYFUNCTION("""COMPUTED_VALUE"""),24774.0)</f>
        <v>24774</v>
      </c>
      <c r="E131" s="115">
        <f>IFERROR(__xludf.DUMMYFUNCTION("""COMPUTED_VALUE"""),2389.0)</f>
        <v>2389</v>
      </c>
      <c r="F131" s="115">
        <f>IFERROR(__xludf.DUMMYFUNCTION("""COMPUTED_VALUE"""),6379.0)</f>
        <v>6379</v>
      </c>
      <c r="G131" s="115">
        <f>IFERROR(__xludf.DUMMYFUNCTION("""COMPUTED_VALUE"""),141.0)</f>
        <v>141</v>
      </c>
      <c r="H131" s="116">
        <f>IFERROR(__xludf.DUMMYFUNCTION("""COMPUTED_VALUE"""),45901.0)</f>
        <v>45901</v>
      </c>
      <c r="I131" s="115" t="str">
        <f>IFERROR(__xludf.DUMMYFUNCTION("""COMPUTED_VALUE"""),"14")</f>
        <v>14</v>
      </c>
      <c r="J131" s="115" t="str">
        <f>IFERROR(__xludf.DUMMYFUNCTION("""COMPUTED_VALUE"""),"Girish Chand2025-09-0114")</f>
        <v>Girish Chand2025-09-0114</v>
      </c>
      <c r="K131" s="115">
        <f>IFERROR(__xludf.DUMMYFUNCTION("""COMPUTED_VALUE"""),27163.0)</f>
        <v>27163</v>
      </c>
    </row>
    <row r="132">
      <c r="A132" s="115" t="str">
        <f>IFERROR(__xludf.DUMMYFUNCTION("""COMPUTED_VALUE"""),"EAST")</f>
        <v>EAST</v>
      </c>
      <c r="B132" s="115" t="str">
        <f>IFERROR(__xludf.DUMMYFUNCTION("""COMPUTED_VALUE"""),"Girish Chand")</f>
        <v>Girish Chand</v>
      </c>
      <c r="C132" s="115" t="str">
        <f>IFERROR(__xludf.DUMMYFUNCTION("""COMPUTED_VALUE"""),"FLIPKART")</f>
        <v>FLIPKART</v>
      </c>
      <c r="D132" s="115">
        <f>IFERROR(__xludf.DUMMYFUNCTION("""COMPUTED_VALUE"""),408686.0)</f>
        <v>408686</v>
      </c>
      <c r="E132" s="115">
        <f>IFERROR(__xludf.DUMMYFUNCTION("""COMPUTED_VALUE"""),37082.0)</f>
        <v>37082</v>
      </c>
      <c r="F132" s="115">
        <f>IFERROR(__xludf.DUMMYFUNCTION("""COMPUTED_VALUE"""),185580.0)</f>
        <v>185580</v>
      </c>
      <c r="G132" s="115">
        <f>IFERROR(__xludf.DUMMYFUNCTION("""COMPUTED_VALUE"""),4736.0)</f>
        <v>4736</v>
      </c>
      <c r="H132" s="116">
        <f>IFERROR(__xludf.DUMMYFUNCTION("""COMPUTED_VALUE"""),45901.0)</f>
        <v>45901</v>
      </c>
      <c r="I132" s="115" t="str">
        <f>IFERROR(__xludf.DUMMYFUNCTION("""COMPUTED_VALUE"""),"14")</f>
        <v>14</v>
      </c>
      <c r="J132" s="115" t="str">
        <f>IFERROR(__xludf.DUMMYFUNCTION("""COMPUTED_VALUE"""),"Girish Chand2025-09-0114")</f>
        <v>Girish Chand2025-09-0114</v>
      </c>
      <c r="K132" s="115">
        <f>IFERROR(__xludf.DUMMYFUNCTION("""COMPUTED_VALUE"""),445768.0)</f>
        <v>445768</v>
      </c>
    </row>
    <row r="133">
      <c r="A133" s="115" t="str">
        <f>IFERROR(__xludf.DUMMYFUNCTION("""COMPUTED_VALUE"""),"EAST")</f>
        <v>EAST</v>
      </c>
      <c r="B133" s="115" t="str">
        <f>IFERROR(__xludf.DUMMYFUNCTION("""COMPUTED_VALUE"""),"Girish Chand")</f>
        <v>Girish Chand</v>
      </c>
      <c r="C133" s="115" t="str">
        <f>IFERROR(__xludf.DUMMYFUNCTION("""COMPUTED_VALUE"""),"MYNTRA")</f>
        <v>MYNTRA</v>
      </c>
      <c r="D133" s="115">
        <f>IFERROR(__xludf.DUMMYFUNCTION("""COMPUTED_VALUE"""),31435.0)</f>
        <v>31435</v>
      </c>
      <c r="E133" s="115">
        <f>IFERROR(__xludf.DUMMYFUNCTION("""COMPUTED_VALUE"""),5719.0)</f>
        <v>5719</v>
      </c>
      <c r="F133" s="115">
        <f>IFERROR(__xludf.DUMMYFUNCTION("""COMPUTED_VALUE"""),15764.0)</f>
        <v>15764</v>
      </c>
      <c r="G133" s="115">
        <f>IFERROR(__xludf.DUMMYFUNCTION("""COMPUTED_VALUE"""),882.0)</f>
        <v>882</v>
      </c>
      <c r="H133" s="116">
        <f>IFERROR(__xludf.DUMMYFUNCTION("""COMPUTED_VALUE"""),45901.0)</f>
        <v>45901</v>
      </c>
      <c r="I133" s="115" t="str">
        <f>IFERROR(__xludf.DUMMYFUNCTION("""COMPUTED_VALUE"""),"14")</f>
        <v>14</v>
      </c>
      <c r="J133" s="115" t="str">
        <f>IFERROR(__xludf.DUMMYFUNCTION("""COMPUTED_VALUE"""),"Girish Chand2025-09-0114")</f>
        <v>Girish Chand2025-09-0114</v>
      </c>
      <c r="K133" s="115">
        <f>IFERROR(__xludf.DUMMYFUNCTION("""COMPUTED_VALUE"""),37154.0)</f>
        <v>37154</v>
      </c>
    </row>
    <row r="134">
      <c r="A134" s="115" t="str">
        <f>IFERROR(__xludf.DUMMYFUNCTION("""COMPUTED_VALUE"""),"EAST")</f>
        <v>EAST</v>
      </c>
      <c r="B134" s="115" t="str">
        <f>IFERROR(__xludf.DUMMYFUNCTION("""COMPUTED_VALUE"""),"Parag Kashyap")</f>
        <v>Parag Kashyap</v>
      </c>
      <c r="C134" s="115" t="str">
        <f>IFERROR(__xludf.DUMMYFUNCTION("""COMPUTED_VALUE"""),"EXTERNAL")</f>
        <v>EXTERNAL</v>
      </c>
      <c r="D134" s="115">
        <f>IFERROR(__xludf.DUMMYFUNCTION("""COMPUTED_VALUE"""),22407.0)</f>
        <v>22407</v>
      </c>
      <c r="E134" s="115">
        <f>IFERROR(__xludf.DUMMYFUNCTION("""COMPUTED_VALUE"""),1254.0)</f>
        <v>1254</v>
      </c>
      <c r="F134" s="115">
        <f>IFERROR(__xludf.DUMMYFUNCTION("""COMPUTED_VALUE"""),4483.0)</f>
        <v>4483</v>
      </c>
      <c r="G134" s="115">
        <f>IFERROR(__xludf.DUMMYFUNCTION("""COMPUTED_VALUE"""),31.0)</f>
        <v>31</v>
      </c>
      <c r="H134" s="116">
        <f>IFERROR(__xludf.DUMMYFUNCTION("""COMPUTED_VALUE"""),45901.0)</f>
        <v>45901</v>
      </c>
      <c r="I134" s="115" t="str">
        <f>IFERROR(__xludf.DUMMYFUNCTION("""COMPUTED_VALUE"""),"14")</f>
        <v>14</v>
      </c>
      <c r="J134" s="115" t="str">
        <f>IFERROR(__xludf.DUMMYFUNCTION("""COMPUTED_VALUE"""),"Parag Kashyap2025-09-0114")</f>
        <v>Parag Kashyap2025-09-0114</v>
      </c>
      <c r="K134" s="115">
        <f>IFERROR(__xludf.DUMMYFUNCTION("""COMPUTED_VALUE"""),23661.0)</f>
        <v>23661</v>
      </c>
    </row>
    <row r="135">
      <c r="A135" s="115" t="str">
        <f>IFERROR(__xludf.DUMMYFUNCTION("""COMPUTED_VALUE"""),"EAST")</f>
        <v>EAST</v>
      </c>
      <c r="B135" s="115" t="str">
        <f>IFERROR(__xludf.DUMMYFUNCTION("""COMPUTED_VALUE"""),"Parag Kashyap")</f>
        <v>Parag Kashyap</v>
      </c>
      <c r="C135" s="115" t="str">
        <f>IFERROR(__xludf.DUMMYFUNCTION("""COMPUTED_VALUE"""),"FLIPKART")</f>
        <v>FLIPKART</v>
      </c>
      <c r="D135" s="115">
        <f>IFERROR(__xludf.DUMMYFUNCTION("""COMPUTED_VALUE"""),315591.0)</f>
        <v>315591</v>
      </c>
      <c r="E135" s="115">
        <f>IFERROR(__xludf.DUMMYFUNCTION("""COMPUTED_VALUE"""),16766.0)</f>
        <v>16766</v>
      </c>
      <c r="F135" s="115">
        <f>IFERROR(__xludf.DUMMYFUNCTION("""COMPUTED_VALUE"""),123848.0)</f>
        <v>123848</v>
      </c>
      <c r="G135" s="115">
        <f>IFERROR(__xludf.DUMMYFUNCTION("""COMPUTED_VALUE"""),1319.0)</f>
        <v>1319</v>
      </c>
      <c r="H135" s="116">
        <f>IFERROR(__xludf.DUMMYFUNCTION("""COMPUTED_VALUE"""),45901.0)</f>
        <v>45901</v>
      </c>
      <c r="I135" s="115" t="str">
        <f>IFERROR(__xludf.DUMMYFUNCTION("""COMPUTED_VALUE"""),"14")</f>
        <v>14</v>
      </c>
      <c r="J135" s="115" t="str">
        <f>IFERROR(__xludf.DUMMYFUNCTION("""COMPUTED_VALUE"""),"Parag Kashyap2025-09-0114")</f>
        <v>Parag Kashyap2025-09-0114</v>
      </c>
      <c r="K135" s="115">
        <f>IFERROR(__xludf.DUMMYFUNCTION("""COMPUTED_VALUE"""),332357.0)</f>
        <v>332357</v>
      </c>
    </row>
    <row r="136">
      <c r="A136" s="115" t="str">
        <f>IFERROR(__xludf.DUMMYFUNCTION("""COMPUTED_VALUE"""),"EAST")</f>
        <v>EAST</v>
      </c>
      <c r="B136" s="115" t="str">
        <f>IFERROR(__xludf.DUMMYFUNCTION("""COMPUTED_VALUE"""),"Parag Kashyap")</f>
        <v>Parag Kashyap</v>
      </c>
      <c r="C136" s="115" t="str">
        <f>IFERROR(__xludf.DUMMYFUNCTION("""COMPUTED_VALUE"""),"MYNTRA")</f>
        <v>MYNTRA</v>
      </c>
      <c r="D136" s="115">
        <f>IFERROR(__xludf.DUMMYFUNCTION("""COMPUTED_VALUE"""),35979.0)</f>
        <v>35979</v>
      </c>
      <c r="E136" s="115">
        <f>IFERROR(__xludf.DUMMYFUNCTION("""COMPUTED_VALUE"""),4532.0)</f>
        <v>4532</v>
      </c>
      <c r="F136" s="115">
        <f>IFERROR(__xludf.DUMMYFUNCTION("""COMPUTED_VALUE"""),15149.0)</f>
        <v>15149</v>
      </c>
      <c r="G136" s="115">
        <f>IFERROR(__xludf.DUMMYFUNCTION("""COMPUTED_VALUE"""),313.0)</f>
        <v>313</v>
      </c>
      <c r="H136" s="116">
        <f>IFERROR(__xludf.DUMMYFUNCTION("""COMPUTED_VALUE"""),45901.0)</f>
        <v>45901</v>
      </c>
      <c r="I136" s="115" t="str">
        <f>IFERROR(__xludf.DUMMYFUNCTION("""COMPUTED_VALUE"""),"14")</f>
        <v>14</v>
      </c>
      <c r="J136" s="115" t="str">
        <f>IFERROR(__xludf.DUMMYFUNCTION("""COMPUTED_VALUE"""),"Parag Kashyap2025-09-0114")</f>
        <v>Parag Kashyap2025-09-0114</v>
      </c>
      <c r="K136" s="115">
        <f>IFERROR(__xludf.DUMMYFUNCTION("""COMPUTED_VALUE"""),40511.0)</f>
        <v>40511</v>
      </c>
    </row>
    <row r="137">
      <c r="A137" s="115" t="str">
        <f>IFERROR(__xludf.DUMMYFUNCTION("""COMPUTED_VALUE"""),"NORTH")</f>
        <v>NORTH</v>
      </c>
      <c r="B137" s="115" t="str">
        <f>IFERROR(__xludf.DUMMYFUNCTION("""COMPUTED_VALUE"""),"Amit Kumar Pathak")</f>
        <v>Amit Kumar Pathak</v>
      </c>
      <c r="C137" s="115" t="str">
        <f>IFERROR(__xludf.DUMMYFUNCTION("""COMPUTED_VALUE"""),"EXTERNAL")</f>
        <v>EXTERNAL</v>
      </c>
      <c r="D137" s="115">
        <f>IFERROR(__xludf.DUMMYFUNCTION("""COMPUTED_VALUE"""),25657.0)</f>
        <v>25657</v>
      </c>
      <c r="E137" s="115">
        <f>IFERROR(__xludf.DUMMYFUNCTION("""COMPUTED_VALUE"""),2330.0)</f>
        <v>2330</v>
      </c>
      <c r="F137" s="115">
        <f>IFERROR(__xludf.DUMMYFUNCTION("""COMPUTED_VALUE"""),5226.0)</f>
        <v>5226</v>
      </c>
      <c r="G137" s="115">
        <f>IFERROR(__xludf.DUMMYFUNCTION("""COMPUTED_VALUE"""),368.0)</f>
        <v>368</v>
      </c>
      <c r="H137" s="116">
        <f>IFERROR(__xludf.DUMMYFUNCTION("""COMPUTED_VALUE"""),45901.0)</f>
        <v>45901</v>
      </c>
      <c r="I137" s="115" t="str">
        <f>IFERROR(__xludf.DUMMYFUNCTION("""COMPUTED_VALUE"""),"14")</f>
        <v>14</v>
      </c>
      <c r="J137" s="115" t="str">
        <f>IFERROR(__xludf.DUMMYFUNCTION("""COMPUTED_VALUE"""),"Amit Kumar Pathak2025-09-0114")</f>
        <v>Amit Kumar Pathak2025-09-0114</v>
      </c>
      <c r="K137" s="115">
        <f>IFERROR(__xludf.DUMMYFUNCTION("""COMPUTED_VALUE"""),27987.0)</f>
        <v>27987</v>
      </c>
    </row>
    <row r="138">
      <c r="A138" s="115" t="str">
        <f>IFERROR(__xludf.DUMMYFUNCTION("""COMPUTED_VALUE"""),"NORTH")</f>
        <v>NORTH</v>
      </c>
      <c r="B138" s="115" t="str">
        <f>IFERROR(__xludf.DUMMYFUNCTION("""COMPUTED_VALUE"""),"Amit Kumar Pathak")</f>
        <v>Amit Kumar Pathak</v>
      </c>
      <c r="C138" s="115" t="str">
        <f>IFERROR(__xludf.DUMMYFUNCTION("""COMPUTED_VALUE"""),"FLIPKART")</f>
        <v>FLIPKART</v>
      </c>
      <c r="D138" s="115">
        <f>IFERROR(__xludf.DUMMYFUNCTION("""COMPUTED_VALUE"""),168050.0)</f>
        <v>168050</v>
      </c>
      <c r="E138" s="115">
        <f>IFERROR(__xludf.DUMMYFUNCTION("""COMPUTED_VALUE"""),21408.0)</f>
        <v>21408</v>
      </c>
      <c r="F138" s="115">
        <f>IFERROR(__xludf.DUMMYFUNCTION("""COMPUTED_VALUE"""),68617.0)</f>
        <v>68617</v>
      </c>
      <c r="G138" s="115">
        <f>IFERROR(__xludf.DUMMYFUNCTION("""COMPUTED_VALUE"""),5064.0)</f>
        <v>5064</v>
      </c>
      <c r="H138" s="116">
        <f>IFERROR(__xludf.DUMMYFUNCTION("""COMPUTED_VALUE"""),45901.0)</f>
        <v>45901</v>
      </c>
      <c r="I138" s="115" t="str">
        <f>IFERROR(__xludf.DUMMYFUNCTION("""COMPUTED_VALUE"""),"14")</f>
        <v>14</v>
      </c>
      <c r="J138" s="115" t="str">
        <f>IFERROR(__xludf.DUMMYFUNCTION("""COMPUTED_VALUE"""),"Amit Kumar Pathak2025-09-0114")</f>
        <v>Amit Kumar Pathak2025-09-0114</v>
      </c>
      <c r="K138" s="115">
        <f>IFERROR(__xludf.DUMMYFUNCTION("""COMPUTED_VALUE"""),189458.0)</f>
        <v>189458</v>
      </c>
    </row>
    <row r="139">
      <c r="A139" s="115" t="str">
        <f>IFERROR(__xludf.DUMMYFUNCTION("""COMPUTED_VALUE"""),"NORTH")</f>
        <v>NORTH</v>
      </c>
      <c r="B139" s="115" t="str">
        <f>IFERROR(__xludf.DUMMYFUNCTION("""COMPUTED_VALUE"""),"Amit Kumar Pathak")</f>
        <v>Amit Kumar Pathak</v>
      </c>
      <c r="C139" s="115" t="str">
        <f>IFERROR(__xludf.DUMMYFUNCTION("""COMPUTED_VALUE"""),"MYNTRA")</f>
        <v>MYNTRA</v>
      </c>
      <c r="D139" s="115">
        <f>IFERROR(__xludf.DUMMYFUNCTION("""COMPUTED_VALUE"""),13732.0)</f>
        <v>13732</v>
      </c>
      <c r="E139" s="115">
        <f>IFERROR(__xludf.DUMMYFUNCTION("""COMPUTED_VALUE"""),4975.0)</f>
        <v>4975</v>
      </c>
      <c r="F139" s="115">
        <f>IFERROR(__xludf.DUMMYFUNCTION("""COMPUTED_VALUE"""),6908.0)</f>
        <v>6908</v>
      </c>
      <c r="G139" s="115">
        <f>IFERROR(__xludf.DUMMYFUNCTION("""COMPUTED_VALUE"""),1292.0)</f>
        <v>1292</v>
      </c>
      <c r="H139" s="116">
        <f>IFERROR(__xludf.DUMMYFUNCTION("""COMPUTED_VALUE"""),45901.0)</f>
        <v>45901</v>
      </c>
      <c r="I139" s="115" t="str">
        <f>IFERROR(__xludf.DUMMYFUNCTION("""COMPUTED_VALUE"""),"14")</f>
        <v>14</v>
      </c>
      <c r="J139" s="115" t="str">
        <f>IFERROR(__xludf.DUMMYFUNCTION("""COMPUTED_VALUE"""),"Amit Kumar Pathak2025-09-0114")</f>
        <v>Amit Kumar Pathak2025-09-0114</v>
      </c>
      <c r="K139" s="115">
        <f>IFERROR(__xludf.DUMMYFUNCTION("""COMPUTED_VALUE"""),18707.0)</f>
        <v>18707</v>
      </c>
    </row>
    <row r="140">
      <c r="A140" s="115" t="str">
        <f>IFERROR(__xludf.DUMMYFUNCTION("""COMPUTED_VALUE"""),"NORTH")</f>
        <v>NORTH</v>
      </c>
      <c r="B140" s="115" t="str">
        <f>IFERROR(__xludf.DUMMYFUNCTION("""COMPUTED_VALUE"""),"Loveleen Singh")</f>
        <v>Loveleen Singh</v>
      </c>
      <c r="C140" s="115" t="str">
        <f>IFERROR(__xludf.DUMMYFUNCTION("""COMPUTED_VALUE"""),"EXTERNAL")</f>
        <v>EXTERNAL</v>
      </c>
      <c r="D140" s="115">
        <f>IFERROR(__xludf.DUMMYFUNCTION("""COMPUTED_VALUE"""),28641.0)</f>
        <v>28641</v>
      </c>
      <c r="E140" s="115">
        <f>IFERROR(__xludf.DUMMYFUNCTION("""COMPUTED_VALUE"""),2076.0)</f>
        <v>2076</v>
      </c>
      <c r="F140" s="115">
        <f>IFERROR(__xludf.DUMMYFUNCTION("""COMPUTED_VALUE"""),5216.0)</f>
        <v>5216</v>
      </c>
      <c r="G140" s="115">
        <f>IFERROR(__xludf.DUMMYFUNCTION("""COMPUTED_VALUE"""),90.0)</f>
        <v>90</v>
      </c>
      <c r="H140" s="116">
        <f>IFERROR(__xludf.DUMMYFUNCTION("""COMPUTED_VALUE"""),45901.0)</f>
        <v>45901</v>
      </c>
      <c r="I140" s="115" t="str">
        <f>IFERROR(__xludf.DUMMYFUNCTION("""COMPUTED_VALUE"""),"14")</f>
        <v>14</v>
      </c>
      <c r="J140" s="115" t="str">
        <f>IFERROR(__xludf.DUMMYFUNCTION("""COMPUTED_VALUE"""),"Loveleen Singh2025-09-0114")</f>
        <v>Loveleen Singh2025-09-0114</v>
      </c>
      <c r="K140" s="115">
        <f>IFERROR(__xludf.DUMMYFUNCTION("""COMPUTED_VALUE"""),30717.0)</f>
        <v>30717</v>
      </c>
    </row>
    <row r="141">
      <c r="A141" s="115" t="str">
        <f>IFERROR(__xludf.DUMMYFUNCTION("""COMPUTED_VALUE"""),"NORTH")</f>
        <v>NORTH</v>
      </c>
      <c r="B141" s="115" t="str">
        <f>IFERROR(__xludf.DUMMYFUNCTION("""COMPUTED_VALUE"""),"Loveleen Singh")</f>
        <v>Loveleen Singh</v>
      </c>
      <c r="C141" s="115" t="str">
        <f>IFERROR(__xludf.DUMMYFUNCTION("""COMPUTED_VALUE"""),"FLIPKART")</f>
        <v>FLIPKART</v>
      </c>
      <c r="D141" s="115">
        <f>IFERROR(__xludf.DUMMYFUNCTION("""COMPUTED_VALUE"""),139529.0)</f>
        <v>139529</v>
      </c>
      <c r="E141" s="115">
        <f>IFERROR(__xludf.DUMMYFUNCTION("""COMPUTED_VALUE"""),13031.0)</f>
        <v>13031</v>
      </c>
      <c r="F141" s="115">
        <f>IFERROR(__xludf.DUMMYFUNCTION("""COMPUTED_VALUE"""),45805.0)</f>
        <v>45805</v>
      </c>
      <c r="G141" s="115">
        <f>IFERROR(__xludf.DUMMYFUNCTION("""COMPUTED_VALUE"""),1514.0)</f>
        <v>1514</v>
      </c>
      <c r="H141" s="116">
        <f>IFERROR(__xludf.DUMMYFUNCTION("""COMPUTED_VALUE"""),45901.0)</f>
        <v>45901</v>
      </c>
      <c r="I141" s="115" t="str">
        <f>IFERROR(__xludf.DUMMYFUNCTION("""COMPUTED_VALUE"""),"14")</f>
        <v>14</v>
      </c>
      <c r="J141" s="115" t="str">
        <f>IFERROR(__xludf.DUMMYFUNCTION("""COMPUTED_VALUE"""),"Loveleen Singh2025-09-0114")</f>
        <v>Loveleen Singh2025-09-0114</v>
      </c>
      <c r="K141" s="115">
        <f>IFERROR(__xludf.DUMMYFUNCTION("""COMPUTED_VALUE"""),152560.0)</f>
        <v>152560</v>
      </c>
    </row>
    <row r="142">
      <c r="A142" s="115" t="str">
        <f>IFERROR(__xludf.DUMMYFUNCTION("""COMPUTED_VALUE"""),"NORTH")</f>
        <v>NORTH</v>
      </c>
      <c r="B142" s="115" t="str">
        <f>IFERROR(__xludf.DUMMYFUNCTION("""COMPUTED_VALUE"""),"Loveleen Singh")</f>
        <v>Loveleen Singh</v>
      </c>
      <c r="C142" s="115" t="str">
        <f>IFERROR(__xludf.DUMMYFUNCTION("""COMPUTED_VALUE"""),"MYNTRA")</f>
        <v>MYNTRA</v>
      </c>
      <c r="D142" s="115">
        <f>IFERROR(__xludf.DUMMYFUNCTION("""COMPUTED_VALUE"""),18472.0)</f>
        <v>18472</v>
      </c>
      <c r="E142" s="115">
        <f>IFERROR(__xludf.DUMMYFUNCTION("""COMPUTED_VALUE"""),4747.0)</f>
        <v>4747</v>
      </c>
      <c r="F142" s="115">
        <f>IFERROR(__xludf.DUMMYFUNCTION("""COMPUTED_VALUE"""),7490.0)</f>
        <v>7490</v>
      </c>
      <c r="G142" s="115">
        <f>IFERROR(__xludf.DUMMYFUNCTION("""COMPUTED_VALUE"""),694.0)</f>
        <v>694</v>
      </c>
      <c r="H142" s="116">
        <f>IFERROR(__xludf.DUMMYFUNCTION("""COMPUTED_VALUE"""),45901.0)</f>
        <v>45901</v>
      </c>
      <c r="I142" s="115" t="str">
        <f>IFERROR(__xludf.DUMMYFUNCTION("""COMPUTED_VALUE"""),"14")</f>
        <v>14</v>
      </c>
      <c r="J142" s="115" t="str">
        <f>IFERROR(__xludf.DUMMYFUNCTION("""COMPUTED_VALUE"""),"Loveleen Singh2025-09-0114")</f>
        <v>Loveleen Singh2025-09-0114</v>
      </c>
      <c r="K142" s="115">
        <f>IFERROR(__xludf.DUMMYFUNCTION("""COMPUTED_VALUE"""),23219.0)</f>
        <v>23219</v>
      </c>
    </row>
    <row r="143">
      <c r="A143" s="115" t="str">
        <f>IFERROR(__xludf.DUMMYFUNCTION("""COMPUTED_VALUE"""),"NORTH")</f>
        <v>NORTH</v>
      </c>
      <c r="B143" s="115" t="str">
        <f>IFERROR(__xludf.DUMMYFUNCTION("""COMPUTED_VALUE"""),"Manoj Harsh")</f>
        <v>Manoj Harsh</v>
      </c>
      <c r="C143" s="115" t="str">
        <f>IFERROR(__xludf.DUMMYFUNCTION("""COMPUTED_VALUE"""),"EXTERNAL")</f>
        <v>EXTERNAL</v>
      </c>
      <c r="D143" s="115">
        <f>IFERROR(__xludf.DUMMYFUNCTION("""COMPUTED_VALUE"""),31670.0)</f>
        <v>31670</v>
      </c>
      <c r="E143" s="115">
        <f>IFERROR(__xludf.DUMMYFUNCTION("""COMPUTED_VALUE"""),3025.0)</f>
        <v>3025</v>
      </c>
      <c r="F143" s="115">
        <f>IFERROR(__xludf.DUMMYFUNCTION("""COMPUTED_VALUE"""),6343.0)</f>
        <v>6343</v>
      </c>
      <c r="G143" s="115">
        <f>IFERROR(__xludf.DUMMYFUNCTION("""COMPUTED_VALUE"""),207.0)</f>
        <v>207</v>
      </c>
      <c r="H143" s="116">
        <f>IFERROR(__xludf.DUMMYFUNCTION("""COMPUTED_VALUE"""),45901.0)</f>
        <v>45901</v>
      </c>
      <c r="I143" s="115" t="str">
        <f>IFERROR(__xludf.DUMMYFUNCTION("""COMPUTED_VALUE"""),"14")</f>
        <v>14</v>
      </c>
      <c r="J143" s="115" t="str">
        <f>IFERROR(__xludf.DUMMYFUNCTION("""COMPUTED_VALUE"""),"Manoj Harsh2025-09-0114")</f>
        <v>Manoj Harsh2025-09-0114</v>
      </c>
      <c r="K143" s="115">
        <f>IFERROR(__xludf.DUMMYFUNCTION("""COMPUTED_VALUE"""),34695.0)</f>
        <v>34695</v>
      </c>
    </row>
    <row r="144">
      <c r="A144" s="115" t="str">
        <f>IFERROR(__xludf.DUMMYFUNCTION("""COMPUTED_VALUE"""),"NORTH")</f>
        <v>NORTH</v>
      </c>
      <c r="B144" s="115" t="str">
        <f>IFERROR(__xludf.DUMMYFUNCTION("""COMPUTED_VALUE"""),"Manoj Harsh")</f>
        <v>Manoj Harsh</v>
      </c>
      <c r="C144" s="115" t="str">
        <f>IFERROR(__xludf.DUMMYFUNCTION("""COMPUTED_VALUE"""),"FLIPKART")</f>
        <v>FLIPKART</v>
      </c>
      <c r="D144" s="115">
        <f>IFERROR(__xludf.DUMMYFUNCTION("""COMPUTED_VALUE"""),369778.0)</f>
        <v>369778</v>
      </c>
      <c r="E144" s="115">
        <f>IFERROR(__xludf.DUMMYFUNCTION("""COMPUTED_VALUE"""),36971.0)</f>
        <v>36971</v>
      </c>
      <c r="F144" s="115">
        <f>IFERROR(__xludf.DUMMYFUNCTION("""COMPUTED_VALUE"""),136208.0)</f>
        <v>136208</v>
      </c>
      <c r="G144" s="115">
        <f>IFERROR(__xludf.DUMMYFUNCTION("""COMPUTED_VALUE"""),4196.0)</f>
        <v>4196</v>
      </c>
      <c r="H144" s="116">
        <f>IFERROR(__xludf.DUMMYFUNCTION("""COMPUTED_VALUE"""),45901.0)</f>
        <v>45901</v>
      </c>
      <c r="I144" s="115" t="str">
        <f>IFERROR(__xludf.DUMMYFUNCTION("""COMPUTED_VALUE"""),"14")</f>
        <v>14</v>
      </c>
      <c r="J144" s="115" t="str">
        <f>IFERROR(__xludf.DUMMYFUNCTION("""COMPUTED_VALUE"""),"Manoj Harsh2025-09-0114")</f>
        <v>Manoj Harsh2025-09-0114</v>
      </c>
      <c r="K144" s="115">
        <f>IFERROR(__xludf.DUMMYFUNCTION("""COMPUTED_VALUE"""),406749.0)</f>
        <v>406749</v>
      </c>
    </row>
    <row r="145">
      <c r="A145" s="115" t="str">
        <f>IFERROR(__xludf.DUMMYFUNCTION("""COMPUTED_VALUE"""),"NORTH")</f>
        <v>NORTH</v>
      </c>
      <c r="B145" s="115" t="str">
        <f>IFERROR(__xludf.DUMMYFUNCTION("""COMPUTED_VALUE"""),"Manoj Harsh")</f>
        <v>Manoj Harsh</v>
      </c>
      <c r="C145" s="115" t="str">
        <f>IFERROR(__xludf.DUMMYFUNCTION("""COMPUTED_VALUE"""),"MYNTRA")</f>
        <v>MYNTRA</v>
      </c>
      <c r="D145" s="115">
        <f>IFERROR(__xludf.DUMMYFUNCTION("""COMPUTED_VALUE"""),31988.0)</f>
        <v>31988</v>
      </c>
      <c r="E145" s="115">
        <f>IFERROR(__xludf.DUMMYFUNCTION("""COMPUTED_VALUE"""),5986.0)</f>
        <v>5986</v>
      </c>
      <c r="F145" s="115">
        <f>IFERROR(__xludf.DUMMYFUNCTION("""COMPUTED_VALUE"""),13475.0)</f>
        <v>13475</v>
      </c>
      <c r="G145" s="115">
        <f>IFERROR(__xludf.DUMMYFUNCTION("""COMPUTED_VALUE"""),745.0)</f>
        <v>745</v>
      </c>
      <c r="H145" s="116">
        <f>IFERROR(__xludf.DUMMYFUNCTION("""COMPUTED_VALUE"""),45901.0)</f>
        <v>45901</v>
      </c>
      <c r="I145" s="115" t="str">
        <f>IFERROR(__xludf.DUMMYFUNCTION("""COMPUTED_VALUE"""),"14")</f>
        <v>14</v>
      </c>
      <c r="J145" s="115" t="str">
        <f>IFERROR(__xludf.DUMMYFUNCTION("""COMPUTED_VALUE"""),"Manoj Harsh2025-09-0114")</f>
        <v>Manoj Harsh2025-09-0114</v>
      </c>
      <c r="K145" s="115">
        <f>IFERROR(__xludf.DUMMYFUNCTION("""COMPUTED_VALUE"""),37974.0)</f>
        <v>37974</v>
      </c>
    </row>
    <row r="146">
      <c r="A146" s="115" t="str">
        <f>IFERROR(__xludf.DUMMYFUNCTION("""COMPUTED_VALUE"""),"NORTH")</f>
        <v>NORTH</v>
      </c>
      <c r="B146" s="115" t="str">
        <f>IFERROR(__xludf.DUMMYFUNCTION("""COMPUTED_VALUE"""),"Pradeep Kothari")</f>
        <v>Pradeep Kothari</v>
      </c>
      <c r="C146" s="115" t="str">
        <f>IFERROR(__xludf.DUMMYFUNCTION("""COMPUTED_VALUE"""),"EXTERNAL")</f>
        <v>EXTERNAL</v>
      </c>
      <c r="D146" s="115">
        <f>IFERROR(__xludf.DUMMYFUNCTION("""COMPUTED_VALUE"""),18583.0)</f>
        <v>18583</v>
      </c>
      <c r="E146" s="115">
        <f>IFERROR(__xludf.DUMMYFUNCTION("""COMPUTED_VALUE"""),1953.0)</f>
        <v>1953</v>
      </c>
      <c r="F146" s="115">
        <f>IFERROR(__xludf.DUMMYFUNCTION("""COMPUTED_VALUE"""),4127.0)</f>
        <v>4127</v>
      </c>
      <c r="G146" s="115">
        <f>IFERROR(__xludf.DUMMYFUNCTION("""COMPUTED_VALUE"""),188.0)</f>
        <v>188</v>
      </c>
      <c r="H146" s="116">
        <f>IFERROR(__xludf.DUMMYFUNCTION("""COMPUTED_VALUE"""),45901.0)</f>
        <v>45901</v>
      </c>
      <c r="I146" s="115" t="str">
        <f>IFERROR(__xludf.DUMMYFUNCTION("""COMPUTED_VALUE"""),"14")</f>
        <v>14</v>
      </c>
      <c r="J146" s="115" t="str">
        <f>IFERROR(__xludf.DUMMYFUNCTION("""COMPUTED_VALUE"""),"Pradeep Kothari2025-09-0114")</f>
        <v>Pradeep Kothari2025-09-0114</v>
      </c>
      <c r="K146" s="115">
        <f>IFERROR(__xludf.DUMMYFUNCTION("""COMPUTED_VALUE"""),20536.0)</f>
        <v>20536</v>
      </c>
    </row>
    <row r="147">
      <c r="A147" s="115" t="str">
        <f>IFERROR(__xludf.DUMMYFUNCTION("""COMPUTED_VALUE"""),"NORTH")</f>
        <v>NORTH</v>
      </c>
      <c r="B147" s="115" t="str">
        <f>IFERROR(__xludf.DUMMYFUNCTION("""COMPUTED_VALUE"""),"Pradeep Kothari")</f>
        <v>Pradeep Kothari</v>
      </c>
      <c r="C147" s="115" t="str">
        <f>IFERROR(__xludf.DUMMYFUNCTION("""COMPUTED_VALUE"""),"FLIPKART")</f>
        <v>FLIPKART</v>
      </c>
      <c r="D147" s="115">
        <f>IFERROR(__xludf.DUMMYFUNCTION("""COMPUTED_VALUE"""),132068.0)</f>
        <v>132068</v>
      </c>
      <c r="E147" s="115">
        <f>IFERROR(__xludf.DUMMYFUNCTION("""COMPUTED_VALUE"""),15719.0)</f>
        <v>15719</v>
      </c>
      <c r="F147" s="115">
        <f>IFERROR(__xludf.DUMMYFUNCTION("""COMPUTED_VALUE"""),58936.0)</f>
        <v>58936</v>
      </c>
      <c r="G147" s="115">
        <f>IFERROR(__xludf.DUMMYFUNCTION("""COMPUTED_VALUE"""),3048.0)</f>
        <v>3048</v>
      </c>
      <c r="H147" s="116">
        <f>IFERROR(__xludf.DUMMYFUNCTION("""COMPUTED_VALUE"""),45901.0)</f>
        <v>45901</v>
      </c>
      <c r="I147" s="115" t="str">
        <f>IFERROR(__xludf.DUMMYFUNCTION("""COMPUTED_VALUE"""),"14")</f>
        <v>14</v>
      </c>
      <c r="J147" s="115" t="str">
        <f>IFERROR(__xludf.DUMMYFUNCTION("""COMPUTED_VALUE"""),"Pradeep Kothari2025-09-0114")</f>
        <v>Pradeep Kothari2025-09-0114</v>
      </c>
      <c r="K147" s="115">
        <f>IFERROR(__xludf.DUMMYFUNCTION("""COMPUTED_VALUE"""),147787.0)</f>
        <v>147787</v>
      </c>
    </row>
    <row r="148">
      <c r="A148" s="115" t="str">
        <f>IFERROR(__xludf.DUMMYFUNCTION("""COMPUTED_VALUE"""),"NORTH")</f>
        <v>NORTH</v>
      </c>
      <c r="B148" s="115" t="str">
        <f>IFERROR(__xludf.DUMMYFUNCTION("""COMPUTED_VALUE"""),"Pradeep Kothari")</f>
        <v>Pradeep Kothari</v>
      </c>
      <c r="C148" s="115" t="str">
        <f>IFERROR(__xludf.DUMMYFUNCTION("""COMPUTED_VALUE"""),"MYNTRA")</f>
        <v>MYNTRA</v>
      </c>
      <c r="D148" s="115">
        <f>IFERROR(__xludf.DUMMYFUNCTION("""COMPUTED_VALUE"""),22678.0)</f>
        <v>22678</v>
      </c>
      <c r="E148" s="115">
        <f>IFERROR(__xludf.DUMMYFUNCTION("""COMPUTED_VALUE"""),5418.0)</f>
        <v>5418</v>
      </c>
      <c r="F148" s="115">
        <f>IFERROR(__xludf.DUMMYFUNCTION("""COMPUTED_VALUE"""),12682.0)</f>
        <v>12682</v>
      </c>
      <c r="G148" s="115">
        <f>IFERROR(__xludf.DUMMYFUNCTION("""COMPUTED_VALUE"""),1330.0)</f>
        <v>1330</v>
      </c>
      <c r="H148" s="116">
        <f>IFERROR(__xludf.DUMMYFUNCTION("""COMPUTED_VALUE"""),45901.0)</f>
        <v>45901</v>
      </c>
      <c r="I148" s="115" t="str">
        <f>IFERROR(__xludf.DUMMYFUNCTION("""COMPUTED_VALUE"""),"14")</f>
        <v>14</v>
      </c>
      <c r="J148" s="115" t="str">
        <f>IFERROR(__xludf.DUMMYFUNCTION("""COMPUTED_VALUE"""),"Pradeep Kothari2025-09-0114")</f>
        <v>Pradeep Kothari2025-09-0114</v>
      </c>
      <c r="K148" s="115">
        <f>IFERROR(__xludf.DUMMYFUNCTION("""COMPUTED_VALUE"""),28096.0)</f>
        <v>28096</v>
      </c>
    </row>
    <row r="149">
      <c r="A149" s="115" t="str">
        <f>IFERROR(__xludf.DUMMYFUNCTION("""COMPUTED_VALUE"""),"SOUTH")</f>
        <v>SOUTH</v>
      </c>
      <c r="B149" s="115" t="str">
        <f>IFERROR(__xludf.DUMMYFUNCTION("""COMPUTED_VALUE"""),"Kandula Sampath")</f>
        <v>Kandula Sampath</v>
      </c>
      <c r="C149" s="115" t="str">
        <f>IFERROR(__xludf.DUMMYFUNCTION("""COMPUTED_VALUE"""),"EXTERNAL")</f>
        <v>EXTERNAL</v>
      </c>
      <c r="D149" s="115">
        <f>IFERROR(__xludf.DUMMYFUNCTION("""COMPUTED_VALUE"""),38273.0)</f>
        <v>38273</v>
      </c>
      <c r="E149" s="115">
        <f>IFERROR(__xludf.DUMMYFUNCTION("""COMPUTED_VALUE"""),4125.0)</f>
        <v>4125</v>
      </c>
      <c r="F149" s="115">
        <f>IFERROR(__xludf.DUMMYFUNCTION("""COMPUTED_VALUE"""),9433.0)</f>
        <v>9433</v>
      </c>
      <c r="G149" s="115">
        <f>IFERROR(__xludf.DUMMYFUNCTION("""COMPUTED_VALUE"""),254.0)</f>
        <v>254</v>
      </c>
      <c r="H149" s="116">
        <f>IFERROR(__xludf.DUMMYFUNCTION("""COMPUTED_VALUE"""),45901.0)</f>
        <v>45901</v>
      </c>
      <c r="I149" s="115" t="str">
        <f>IFERROR(__xludf.DUMMYFUNCTION("""COMPUTED_VALUE"""),"14")</f>
        <v>14</v>
      </c>
      <c r="J149" s="115" t="str">
        <f>IFERROR(__xludf.DUMMYFUNCTION("""COMPUTED_VALUE"""),"Kandula Sampath2025-09-0114")</f>
        <v>Kandula Sampath2025-09-0114</v>
      </c>
      <c r="K149" s="115">
        <f>IFERROR(__xludf.DUMMYFUNCTION("""COMPUTED_VALUE"""),42398.0)</f>
        <v>42398</v>
      </c>
    </row>
    <row r="150">
      <c r="A150" s="115" t="str">
        <f>IFERROR(__xludf.DUMMYFUNCTION("""COMPUTED_VALUE"""),"SOUTH")</f>
        <v>SOUTH</v>
      </c>
      <c r="B150" s="115" t="str">
        <f>IFERROR(__xludf.DUMMYFUNCTION("""COMPUTED_VALUE"""),"Kandula Sampath")</f>
        <v>Kandula Sampath</v>
      </c>
      <c r="C150" s="115" t="str">
        <f>IFERROR(__xludf.DUMMYFUNCTION("""COMPUTED_VALUE"""),"FLIPKART")</f>
        <v>FLIPKART</v>
      </c>
      <c r="D150" s="115">
        <f>IFERROR(__xludf.DUMMYFUNCTION("""COMPUTED_VALUE"""),327733.0)</f>
        <v>327733</v>
      </c>
      <c r="E150" s="115">
        <f>IFERROR(__xludf.DUMMYFUNCTION("""COMPUTED_VALUE"""),30648.0)</f>
        <v>30648</v>
      </c>
      <c r="F150" s="115">
        <f>IFERROR(__xludf.DUMMYFUNCTION("""COMPUTED_VALUE"""),145686.0)</f>
        <v>145686</v>
      </c>
      <c r="G150" s="115">
        <f>IFERROR(__xludf.DUMMYFUNCTION("""COMPUTED_VALUE"""),3796.0)</f>
        <v>3796</v>
      </c>
      <c r="H150" s="116">
        <f>IFERROR(__xludf.DUMMYFUNCTION("""COMPUTED_VALUE"""),45901.0)</f>
        <v>45901</v>
      </c>
      <c r="I150" s="115" t="str">
        <f>IFERROR(__xludf.DUMMYFUNCTION("""COMPUTED_VALUE"""),"14")</f>
        <v>14</v>
      </c>
      <c r="J150" s="115" t="str">
        <f>IFERROR(__xludf.DUMMYFUNCTION("""COMPUTED_VALUE"""),"Kandula Sampath2025-09-0114")</f>
        <v>Kandula Sampath2025-09-0114</v>
      </c>
      <c r="K150" s="115">
        <f>IFERROR(__xludf.DUMMYFUNCTION("""COMPUTED_VALUE"""),358381.0)</f>
        <v>358381</v>
      </c>
    </row>
    <row r="151">
      <c r="A151" s="115" t="str">
        <f>IFERROR(__xludf.DUMMYFUNCTION("""COMPUTED_VALUE"""),"SOUTH")</f>
        <v>SOUTH</v>
      </c>
      <c r="B151" s="115" t="str">
        <f>IFERROR(__xludf.DUMMYFUNCTION("""COMPUTED_VALUE"""),"Kandula Sampath")</f>
        <v>Kandula Sampath</v>
      </c>
      <c r="C151" s="115" t="str">
        <f>IFERROR(__xludf.DUMMYFUNCTION("""COMPUTED_VALUE"""),"MYNTRA")</f>
        <v>MYNTRA</v>
      </c>
      <c r="D151" s="115">
        <f>IFERROR(__xludf.DUMMYFUNCTION("""COMPUTED_VALUE"""),34346.0)</f>
        <v>34346</v>
      </c>
      <c r="E151" s="115">
        <f>IFERROR(__xludf.DUMMYFUNCTION("""COMPUTED_VALUE"""),7286.0)</f>
        <v>7286</v>
      </c>
      <c r="F151" s="115">
        <f>IFERROR(__xludf.DUMMYFUNCTION("""COMPUTED_VALUE"""),17782.0)</f>
        <v>17782</v>
      </c>
      <c r="G151" s="115">
        <f>IFERROR(__xludf.DUMMYFUNCTION("""COMPUTED_VALUE"""),880.0)</f>
        <v>880</v>
      </c>
      <c r="H151" s="116">
        <f>IFERROR(__xludf.DUMMYFUNCTION("""COMPUTED_VALUE"""),45901.0)</f>
        <v>45901</v>
      </c>
      <c r="I151" s="115" t="str">
        <f>IFERROR(__xludf.DUMMYFUNCTION("""COMPUTED_VALUE"""),"14")</f>
        <v>14</v>
      </c>
      <c r="J151" s="115" t="str">
        <f>IFERROR(__xludf.DUMMYFUNCTION("""COMPUTED_VALUE"""),"Kandula Sampath2025-09-0114")</f>
        <v>Kandula Sampath2025-09-0114</v>
      </c>
      <c r="K151" s="115">
        <f>IFERROR(__xludf.DUMMYFUNCTION("""COMPUTED_VALUE"""),41632.0)</f>
        <v>41632</v>
      </c>
    </row>
    <row r="152">
      <c r="A152" s="115" t="str">
        <f>IFERROR(__xludf.DUMMYFUNCTION("""COMPUTED_VALUE"""),"SOUTH")</f>
        <v>SOUTH</v>
      </c>
      <c r="B152" s="115" t="str">
        <f>IFERROR(__xludf.DUMMYFUNCTION("""COMPUTED_VALUE"""),"Martin A")</f>
        <v>Martin A</v>
      </c>
      <c r="C152" s="115" t="str">
        <f>IFERROR(__xludf.DUMMYFUNCTION("""COMPUTED_VALUE"""),"EXTERNAL")</f>
        <v>EXTERNAL</v>
      </c>
      <c r="D152" s="115">
        <f>IFERROR(__xludf.DUMMYFUNCTION("""COMPUTED_VALUE"""),36276.0)</f>
        <v>36276</v>
      </c>
      <c r="E152" s="115">
        <f>IFERROR(__xludf.DUMMYFUNCTION("""COMPUTED_VALUE"""),2497.0)</f>
        <v>2497</v>
      </c>
      <c r="F152" s="115">
        <f>IFERROR(__xludf.DUMMYFUNCTION("""COMPUTED_VALUE"""),9057.0)</f>
        <v>9057</v>
      </c>
      <c r="G152" s="115">
        <f>IFERROR(__xludf.DUMMYFUNCTION("""COMPUTED_VALUE"""),286.0)</f>
        <v>286</v>
      </c>
      <c r="H152" s="116">
        <f>IFERROR(__xludf.DUMMYFUNCTION("""COMPUTED_VALUE"""),45901.0)</f>
        <v>45901</v>
      </c>
      <c r="I152" s="115" t="str">
        <f>IFERROR(__xludf.DUMMYFUNCTION("""COMPUTED_VALUE"""),"14")</f>
        <v>14</v>
      </c>
      <c r="J152" s="115" t="str">
        <f>IFERROR(__xludf.DUMMYFUNCTION("""COMPUTED_VALUE"""),"Martin A2025-09-0114")</f>
        <v>Martin A2025-09-0114</v>
      </c>
      <c r="K152" s="115">
        <f>IFERROR(__xludf.DUMMYFUNCTION("""COMPUTED_VALUE"""),38773.0)</f>
        <v>38773</v>
      </c>
    </row>
    <row r="153">
      <c r="A153" s="115" t="str">
        <f>IFERROR(__xludf.DUMMYFUNCTION("""COMPUTED_VALUE"""),"SOUTH")</f>
        <v>SOUTH</v>
      </c>
      <c r="B153" s="115" t="str">
        <f>IFERROR(__xludf.DUMMYFUNCTION("""COMPUTED_VALUE"""),"Martin A")</f>
        <v>Martin A</v>
      </c>
      <c r="C153" s="115" t="str">
        <f>IFERROR(__xludf.DUMMYFUNCTION("""COMPUTED_VALUE"""),"FLIPKART")</f>
        <v>FLIPKART</v>
      </c>
      <c r="D153" s="115">
        <f>IFERROR(__xludf.DUMMYFUNCTION("""COMPUTED_VALUE"""),279824.0)</f>
        <v>279824</v>
      </c>
      <c r="E153" s="115">
        <f>IFERROR(__xludf.DUMMYFUNCTION("""COMPUTED_VALUE"""),26374.0)</f>
        <v>26374</v>
      </c>
      <c r="F153" s="115">
        <f>IFERROR(__xludf.DUMMYFUNCTION("""COMPUTED_VALUE"""),123074.0)</f>
        <v>123074</v>
      </c>
      <c r="G153" s="115">
        <f>IFERROR(__xludf.DUMMYFUNCTION("""COMPUTED_VALUE"""),4183.0)</f>
        <v>4183</v>
      </c>
      <c r="H153" s="116">
        <f>IFERROR(__xludf.DUMMYFUNCTION("""COMPUTED_VALUE"""),45901.0)</f>
        <v>45901</v>
      </c>
      <c r="I153" s="115" t="str">
        <f>IFERROR(__xludf.DUMMYFUNCTION("""COMPUTED_VALUE"""),"14")</f>
        <v>14</v>
      </c>
      <c r="J153" s="115" t="str">
        <f>IFERROR(__xludf.DUMMYFUNCTION("""COMPUTED_VALUE"""),"Martin A2025-09-0114")</f>
        <v>Martin A2025-09-0114</v>
      </c>
      <c r="K153" s="115">
        <f>IFERROR(__xludf.DUMMYFUNCTION("""COMPUTED_VALUE"""),306198.0)</f>
        <v>306198</v>
      </c>
    </row>
    <row r="154">
      <c r="A154" s="115" t="str">
        <f>IFERROR(__xludf.DUMMYFUNCTION("""COMPUTED_VALUE"""),"SOUTH")</f>
        <v>SOUTH</v>
      </c>
      <c r="B154" s="115" t="str">
        <f>IFERROR(__xludf.DUMMYFUNCTION("""COMPUTED_VALUE"""),"Martin A")</f>
        <v>Martin A</v>
      </c>
      <c r="C154" s="115" t="str">
        <f>IFERROR(__xludf.DUMMYFUNCTION("""COMPUTED_VALUE"""),"MYNTRA")</f>
        <v>MYNTRA</v>
      </c>
      <c r="D154" s="115">
        <f>IFERROR(__xludf.DUMMYFUNCTION("""COMPUTED_VALUE"""),25443.0)</f>
        <v>25443</v>
      </c>
      <c r="E154" s="115">
        <f>IFERROR(__xludf.DUMMYFUNCTION("""COMPUTED_VALUE"""),6162.0)</f>
        <v>6162</v>
      </c>
      <c r="F154" s="115">
        <f>IFERROR(__xludf.DUMMYFUNCTION("""COMPUTED_VALUE"""),13566.0)</f>
        <v>13566</v>
      </c>
      <c r="G154" s="115">
        <f>IFERROR(__xludf.DUMMYFUNCTION("""COMPUTED_VALUE"""),1164.0)</f>
        <v>1164</v>
      </c>
      <c r="H154" s="116">
        <f>IFERROR(__xludf.DUMMYFUNCTION("""COMPUTED_VALUE"""),45901.0)</f>
        <v>45901</v>
      </c>
      <c r="I154" s="115" t="str">
        <f>IFERROR(__xludf.DUMMYFUNCTION("""COMPUTED_VALUE"""),"14")</f>
        <v>14</v>
      </c>
      <c r="J154" s="115" t="str">
        <f>IFERROR(__xludf.DUMMYFUNCTION("""COMPUTED_VALUE"""),"Martin A2025-09-0114")</f>
        <v>Martin A2025-09-0114</v>
      </c>
      <c r="K154" s="115">
        <f>IFERROR(__xludf.DUMMYFUNCTION("""COMPUTED_VALUE"""),31605.0)</f>
        <v>31605</v>
      </c>
    </row>
    <row r="155">
      <c r="A155" s="115" t="str">
        <f>IFERROR(__xludf.DUMMYFUNCTION("""COMPUTED_VALUE"""),"SOUTH")</f>
        <v>SOUTH</v>
      </c>
      <c r="B155" s="115" t="str">
        <f>IFERROR(__xludf.DUMMYFUNCTION("""COMPUTED_VALUE"""),"Premkumar M")</f>
        <v>Premkumar M</v>
      </c>
      <c r="C155" s="115" t="str">
        <f>IFERROR(__xludf.DUMMYFUNCTION("""COMPUTED_VALUE"""),"EXTERNAL")</f>
        <v>EXTERNAL</v>
      </c>
      <c r="D155" s="115">
        <f>IFERROR(__xludf.DUMMYFUNCTION("""COMPUTED_VALUE"""),31230.0)</f>
        <v>31230</v>
      </c>
      <c r="E155" s="115">
        <f>IFERROR(__xludf.DUMMYFUNCTION("""COMPUTED_VALUE"""),2006.0)</f>
        <v>2006</v>
      </c>
      <c r="F155" s="115">
        <f>IFERROR(__xludf.DUMMYFUNCTION("""COMPUTED_VALUE"""),7162.0)</f>
        <v>7162</v>
      </c>
      <c r="G155" s="115">
        <f>IFERROR(__xludf.DUMMYFUNCTION("""COMPUTED_VALUE"""),75.0)</f>
        <v>75</v>
      </c>
      <c r="H155" s="116">
        <f>IFERROR(__xludf.DUMMYFUNCTION("""COMPUTED_VALUE"""),45901.0)</f>
        <v>45901</v>
      </c>
      <c r="I155" s="115" t="str">
        <f>IFERROR(__xludf.DUMMYFUNCTION("""COMPUTED_VALUE"""),"14")</f>
        <v>14</v>
      </c>
      <c r="J155" s="115" t="str">
        <f>IFERROR(__xludf.DUMMYFUNCTION("""COMPUTED_VALUE"""),"Premkumar M2025-09-0114")</f>
        <v>Premkumar M2025-09-0114</v>
      </c>
      <c r="K155" s="115">
        <f>IFERROR(__xludf.DUMMYFUNCTION("""COMPUTED_VALUE"""),33236.0)</f>
        <v>33236</v>
      </c>
    </row>
    <row r="156">
      <c r="A156" s="115" t="str">
        <f>IFERROR(__xludf.DUMMYFUNCTION("""COMPUTED_VALUE"""),"SOUTH")</f>
        <v>SOUTH</v>
      </c>
      <c r="B156" s="115" t="str">
        <f>IFERROR(__xludf.DUMMYFUNCTION("""COMPUTED_VALUE"""),"Premkumar M")</f>
        <v>Premkumar M</v>
      </c>
      <c r="C156" s="115" t="str">
        <f>IFERROR(__xludf.DUMMYFUNCTION("""COMPUTED_VALUE"""),"FLIPKART")</f>
        <v>FLIPKART</v>
      </c>
      <c r="D156" s="115">
        <f>IFERROR(__xludf.DUMMYFUNCTION("""COMPUTED_VALUE"""),272330.0)</f>
        <v>272330</v>
      </c>
      <c r="E156" s="115">
        <f>IFERROR(__xludf.DUMMYFUNCTION("""COMPUTED_VALUE"""),19345.0)</f>
        <v>19345</v>
      </c>
      <c r="F156" s="115">
        <f>IFERROR(__xludf.DUMMYFUNCTION("""COMPUTED_VALUE"""),98951.0)</f>
        <v>98951</v>
      </c>
      <c r="G156" s="115">
        <f>IFERROR(__xludf.DUMMYFUNCTION("""COMPUTED_VALUE"""),1153.0)</f>
        <v>1153</v>
      </c>
      <c r="H156" s="116">
        <f>IFERROR(__xludf.DUMMYFUNCTION("""COMPUTED_VALUE"""),45901.0)</f>
        <v>45901</v>
      </c>
      <c r="I156" s="115" t="str">
        <f>IFERROR(__xludf.DUMMYFUNCTION("""COMPUTED_VALUE"""),"14")</f>
        <v>14</v>
      </c>
      <c r="J156" s="115" t="str">
        <f>IFERROR(__xludf.DUMMYFUNCTION("""COMPUTED_VALUE"""),"Premkumar M2025-09-0114")</f>
        <v>Premkumar M2025-09-0114</v>
      </c>
      <c r="K156" s="115">
        <f>IFERROR(__xludf.DUMMYFUNCTION("""COMPUTED_VALUE"""),291675.0)</f>
        <v>291675</v>
      </c>
    </row>
    <row r="157">
      <c r="A157" s="115" t="str">
        <f>IFERROR(__xludf.DUMMYFUNCTION("""COMPUTED_VALUE"""),"SOUTH")</f>
        <v>SOUTH</v>
      </c>
      <c r="B157" s="115" t="str">
        <f>IFERROR(__xludf.DUMMYFUNCTION("""COMPUTED_VALUE"""),"Premkumar M")</f>
        <v>Premkumar M</v>
      </c>
      <c r="C157" s="115" t="str">
        <f>IFERROR(__xludf.DUMMYFUNCTION("""COMPUTED_VALUE"""),"MYNTRA")</f>
        <v>MYNTRA</v>
      </c>
      <c r="D157" s="115">
        <f>IFERROR(__xludf.DUMMYFUNCTION("""COMPUTED_VALUE"""),14539.0)</f>
        <v>14539</v>
      </c>
      <c r="E157" s="115">
        <f>IFERROR(__xludf.DUMMYFUNCTION("""COMPUTED_VALUE"""),2825.0)</f>
        <v>2825</v>
      </c>
      <c r="F157" s="115">
        <f>IFERROR(__xludf.DUMMYFUNCTION("""COMPUTED_VALUE"""),6245.0)</f>
        <v>6245</v>
      </c>
      <c r="G157" s="115">
        <f>IFERROR(__xludf.DUMMYFUNCTION("""COMPUTED_VALUE"""),216.0)</f>
        <v>216</v>
      </c>
      <c r="H157" s="116">
        <f>IFERROR(__xludf.DUMMYFUNCTION("""COMPUTED_VALUE"""),45901.0)</f>
        <v>45901</v>
      </c>
      <c r="I157" s="115" t="str">
        <f>IFERROR(__xludf.DUMMYFUNCTION("""COMPUTED_VALUE"""),"14")</f>
        <v>14</v>
      </c>
      <c r="J157" s="115" t="str">
        <f>IFERROR(__xludf.DUMMYFUNCTION("""COMPUTED_VALUE"""),"Premkumar M2025-09-0114")</f>
        <v>Premkumar M2025-09-0114</v>
      </c>
      <c r="K157" s="115">
        <f>IFERROR(__xludf.DUMMYFUNCTION("""COMPUTED_VALUE"""),17364.0)</f>
        <v>17364</v>
      </c>
    </row>
    <row r="158">
      <c r="A158" s="115" t="str">
        <f>IFERROR(__xludf.DUMMYFUNCTION("""COMPUTED_VALUE"""),"SOUTH")</f>
        <v>SOUTH</v>
      </c>
      <c r="B158" s="115" t="str">
        <f>IFERROR(__xludf.DUMMYFUNCTION("""COMPUTED_VALUE"""),"Vineeth V")</f>
        <v>Vineeth V</v>
      </c>
      <c r="C158" s="115" t="str">
        <f>IFERROR(__xludf.DUMMYFUNCTION("""COMPUTED_VALUE"""),"EXTERNAL")</f>
        <v>EXTERNAL</v>
      </c>
      <c r="D158" s="115">
        <f>IFERROR(__xludf.DUMMYFUNCTION("""COMPUTED_VALUE"""),22351.0)</f>
        <v>22351</v>
      </c>
      <c r="E158" s="115">
        <f>IFERROR(__xludf.DUMMYFUNCTION("""COMPUTED_VALUE"""),663.0)</f>
        <v>663</v>
      </c>
      <c r="F158" s="115">
        <f>IFERROR(__xludf.DUMMYFUNCTION("""COMPUTED_VALUE"""),4613.0)</f>
        <v>4613</v>
      </c>
      <c r="G158" s="115">
        <f>IFERROR(__xludf.DUMMYFUNCTION("""COMPUTED_VALUE"""),22.0)</f>
        <v>22</v>
      </c>
      <c r="H158" s="116">
        <f>IFERROR(__xludf.DUMMYFUNCTION("""COMPUTED_VALUE"""),45901.0)</f>
        <v>45901</v>
      </c>
      <c r="I158" s="115" t="str">
        <f>IFERROR(__xludf.DUMMYFUNCTION("""COMPUTED_VALUE"""),"14")</f>
        <v>14</v>
      </c>
      <c r="J158" s="115" t="str">
        <f>IFERROR(__xludf.DUMMYFUNCTION("""COMPUTED_VALUE"""),"Vineeth V2025-09-0114")</f>
        <v>Vineeth V2025-09-0114</v>
      </c>
      <c r="K158" s="115">
        <f>IFERROR(__xludf.DUMMYFUNCTION("""COMPUTED_VALUE"""),23014.0)</f>
        <v>23014</v>
      </c>
    </row>
    <row r="159">
      <c r="A159" s="115" t="str">
        <f>IFERROR(__xludf.DUMMYFUNCTION("""COMPUTED_VALUE"""),"SOUTH")</f>
        <v>SOUTH</v>
      </c>
      <c r="B159" s="115" t="str">
        <f>IFERROR(__xludf.DUMMYFUNCTION("""COMPUTED_VALUE"""),"Vineeth V")</f>
        <v>Vineeth V</v>
      </c>
      <c r="C159" s="115" t="str">
        <f>IFERROR(__xludf.DUMMYFUNCTION("""COMPUTED_VALUE"""),"FLIPKART")</f>
        <v>FLIPKART</v>
      </c>
      <c r="D159" s="115">
        <f>IFERROR(__xludf.DUMMYFUNCTION("""COMPUTED_VALUE"""),249522.0)</f>
        <v>249522</v>
      </c>
      <c r="E159" s="115">
        <f>IFERROR(__xludf.DUMMYFUNCTION("""COMPUTED_VALUE"""),16812.0)</f>
        <v>16812</v>
      </c>
      <c r="F159" s="115">
        <f>IFERROR(__xludf.DUMMYFUNCTION("""COMPUTED_VALUE"""),79759.0)</f>
        <v>79759</v>
      </c>
      <c r="G159" s="115">
        <f>IFERROR(__xludf.DUMMYFUNCTION("""COMPUTED_VALUE"""),480.0)</f>
        <v>480</v>
      </c>
      <c r="H159" s="116">
        <f>IFERROR(__xludf.DUMMYFUNCTION("""COMPUTED_VALUE"""),45901.0)</f>
        <v>45901</v>
      </c>
      <c r="I159" s="115" t="str">
        <f>IFERROR(__xludf.DUMMYFUNCTION("""COMPUTED_VALUE"""),"14")</f>
        <v>14</v>
      </c>
      <c r="J159" s="115" t="str">
        <f>IFERROR(__xludf.DUMMYFUNCTION("""COMPUTED_VALUE"""),"Vineeth V2025-09-0114")</f>
        <v>Vineeth V2025-09-0114</v>
      </c>
      <c r="K159" s="115">
        <f>IFERROR(__xludf.DUMMYFUNCTION("""COMPUTED_VALUE"""),266334.0)</f>
        <v>266334</v>
      </c>
    </row>
    <row r="160">
      <c r="A160" s="115" t="str">
        <f>IFERROR(__xludf.DUMMYFUNCTION("""COMPUTED_VALUE"""),"SOUTH")</f>
        <v>SOUTH</v>
      </c>
      <c r="B160" s="115" t="str">
        <f>IFERROR(__xludf.DUMMYFUNCTION("""COMPUTED_VALUE"""),"Vineeth V")</f>
        <v>Vineeth V</v>
      </c>
      <c r="C160" s="115" t="str">
        <f>IFERROR(__xludf.DUMMYFUNCTION("""COMPUTED_VALUE"""),"MYNTRA")</f>
        <v>MYNTRA</v>
      </c>
      <c r="D160" s="115">
        <f>IFERROR(__xludf.DUMMYFUNCTION("""COMPUTED_VALUE"""),21196.0)</f>
        <v>21196</v>
      </c>
      <c r="E160" s="115">
        <f>IFERROR(__xludf.DUMMYFUNCTION("""COMPUTED_VALUE"""),3867.0)</f>
        <v>3867</v>
      </c>
      <c r="F160" s="115">
        <f>IFERROR(__xludf.DUMMYFUNCTION("""COMPUTED_VALUE"""),7827.0)</f>
        <v>7827</v>
      </c>
      <c r="G160" s="115">
        <f>IFERROR(__xludf.DUMMYFUNCTION("""COMPUTED_VALUE"""),95.0)</f>
        <v>95</v>
      </c>
      <c r="H160" s="116">
        <f>IFERROR(__xludf.DUMMYFUNCTION("""COMPUTED_VALUE"""),45901.0)</f>
        <v>45901</v>
      </c>
      <c r="I160" s="115" t="str">
        <f>IFERROR(__xludf.DUMMYFUNCTION("""COMPUTED_VALUE"""),"14")</f>
        <v>14</v>
      </c>
      <c r="J160" s="115" t="str">
        <f>IFERROR(__xludf.DUMMYFUNCTION("""COMPUTED_VALUE"""),"Vineeth V2025-09-0114")</f>
        <v>Vineeth V2025-09-0114</v>
      </c>
      <c r="K160" s="115">
        <f>IFERROR(__xludf.DUMMYFUNCTION("""COMPUTED_VALUE"""),25063.0)</f>
        <v>25063</v>
      </c>
    </row>
    <row r="161">
      <c r="A161" s="115" t="str">
        <f>IFERROR(__xludf.DUMMYFUNCTION("""COMPUTED_VALUE"""),"WEST")</f>
        <v>WEST</v>
      </c>
      <c r="B161" s="115" t="str">
        <f>IFERROR(__xludf.DUMMYFUNCTION("""COMPUTED_VALUE"""),"Ashish Jakar")</f>
        <v>Ashish Jakar</v>
      </c>
      <c r="C161" s="115" t="str">
        <f>IFERROR(__xludf.DUMMYFUNCTION("""COMPUTED_VALUE"""),"EXTERNAL")</f>
        <v>EXTERNAL</v>
      </c>
      <c r="D161" s="115">
        <f>IFERROR(__xludf.DUMMYFUNCTION("""COMPUTED_VALUE"""),55993.0)</f>
        <v>55993</v>
      </c>
      <c r="E161" s="115">
        <f>IFERROR(__xludf.DUMMYFUNCTION("""COMPUTED_VALUE"""),6644.0)</f>
        <v>6644</v>
      </c>
      <c r="F161" s="115">
        <f>IFERROR(__xludf.DUMMYFUNCTION("""COMPUTED_VALUE"""),13510.0)</f>
        <v>13510</v>
      </c>
      <c r="G161" s="115">
        <f>IFERROR(__xludf.DUMMYFUNCTION("""COMPUTED_VALUE"""),685.0)</f>
        <v>685</v>
      </c>
      <c r="H161" s="116">
        <f>IFERROR(__xludf.DUMMYFUNCTION("""COMPUTED_VALUE"""),45901.0)</f>
        <v>45901</v>
      </c>
      <c r="I161" s="115" t="str">
        <f>IFERROR(__xludf.DUMMYFUNCTION("""COMPUTED_VALUE"""),"14")</f>
        <v>14</v>
      </c>
      <c r="J161" s="115" t="str">
        <f>IFERROR(__xludf.DUMMYFUNCTION("""COMPUTED_VALUE"""),"Ashish Jakar2025-09-0114")</f>
        <v>Ashish Jakar2025-09-0114</v>
      </c>
      <c r="K161" s="115">
        <f>IFERROR(__xludf.DUMMYFUNCTION("""COMPUTED_VALUE"""),62637.0)</f>
        <v>62637</v>
      </c>
    </row>
    <row r="162">
      <c r="A162" s="115" t="str">
        <f>IFERROR(__xludf.DUMMYFUNCTION("""COMPUTED_VALUE"""),"WEST")</f>
        <v>WEST</v>
      </c>
      <c r="B162" s="115" t="str">
        <f>IFERROR(__xludf.DUMMYFUNCTION("""COMPUTED_VALUE"""),"Ashish Jakar")</f>
        <v>Ashish Jakar</v>
      </c>
      <c r="C162" s="115" t="str">
        <f>IFERROR(__xludf.DUMMYFUNCTION("""COMPUTED_VALUE"""),"FLIPKART")</f>
        <v>FLIPKART</v>
      </c>
      <c r="D162" s="115">
        <f>IFERROR(__xludf.DUMMYFUNCTION("""COMPUTED_VALUE"""),305677.0)</f>
        <v>305677</v>
      </c>
      <c r="E162" s="115">
        <f>IFERROR(__xludf.DUMMYFUNCTION("""COMPUTED_VALUE"""),32775.0)</f>
        <v>32775</v>
      </c>
      <c r="F162" s="115">
        <f>IFERROR(__xludf.DUMMYFUNCTION("""COMPUTED_VALUE"""),131336.0)</f>
        <v>131336</v>
      </c>
      <c r="G162" s="115">
        <f>IFERROR(__xludf.DUMMYFUNCTION("""COMPUTED_VALUE"""),5298.0)</f>
        <v>5298</v>
      </c>
      <c r="H162" s="116">
        <f>IFERROR(__xludf.DUMMYFUNCTION("""COMPUTED_VALUE"""),45901.0)</f>
        <v>45901</v>
      </c>
      <c r="I162" s="115" t="str">
        <f>IFERROR(__xludf.DUMMYFUNCTION("""COMPUTED_VALUE"""),"14")</f>
        <v>14</v>
      </c>
      <c r="J162" s="115" t="str">
        <f>IFERROR(__xludf.DUMMYFUNCTION("""COMPUTED_VALUE"""),"Ashish Jakar2025-09-0114")</f>
        <v>Ashish Jakar2025-09-0114</v>
      </c>
      <c r="K162" s="115">
        <f>IFERROR(__xludf.DUMMYFUNCTION("""COMPUTED_VALUE"""),338452.0)</f>
        <v>338452</v>
      </c>
    </row>
    <row r="163">
      <c r="A163" s="115" t="str">
        <f>IFERROR(__xludf.DUMMYFUNCTION("""COMPUTED_VALUE"""),"WEST")</f>
        <v>WEST</v>
      </c>
      <c r="B163" s="115" t="str">
        <f>IFERROR(__xludf.DUMMYFUNCTION("""COMPUTED_VALUE"""),"Ashish Jakar")</f>
        <v>Ashish Jakar</v>
      </c>
      <c r="C163" s="115" t="str">
        <f>IFERROR(__xludf.DUMMYFUNCTION("""COMPUTED_VALUE"""),"MYNTRA")</f>
        <v>MYNTRA</v>
      </c>
      <c r="D163" s="115">
        <f>IFERROR(__xludf.DUMMYFUNCTION("""COMPUTED_VALUE"""),39353.0)</f>
        <v>39353</v>
      </c>
      <c r="E163" s="115">
        <f>IFERROR(__xludf.DUMMYFUNCTION("""COMPUTED_VALUE"""),10006.0)</f>
        <v>10006</v>
      </c>
      <c r="F163" s="115">
        <f>IFERROR(__xludf.DUMMYFUNCTION("""COMPUTED_VALUE"""),20833.0)</f>
        <v>20833</v>
      </c>
      <c r="G163" s="115">
        <f>IFERROR(__xludf.DUMMYFUNCTION("""COMPUTED_VALUE"""),1915.0)</f>
        <v>1915</v>
      </c>
      <c r="H163" s="116">
        <f>IFERROR(__xludf.DUMMYFUNCTION("""COMPUTED_VALUE"""),45901.0)</f>
        <v>45901</v>
      </c>
      <c r="I163" s="115" t="str">
        <f>IFERROR(__xludf.DUMMYFUNCTION("""COMPUTED_VALUE"""),"14")</f>
        <v>14</v>
      </c>
      <c r="J163" s="115" t="str">
        <f>IFERROR(__xludf.DUMMYFUNCTION("""COMPUTED_VALUE"""),"Ashish Jakar2025-09-0114")</f>
        <v>Ashish Jakar2025-09-0114</v>
      </c>
      <c r="K163" s="115">
        <f>IFERROR(__xludf.DUMMYFUNCTION("""COMPUTED_VALUE"""),49359.0)</f>
        <v>49359</v>
      </c>
    </row>
    <row r="164">
      <c r="A164" s="115" t="str">
        <f>IFERROR(__xludf.DUMMYFUNCTION("""COMPUTED_VALUE"""),"WEST")</f>
        <v>WEST</v>
      </c>
      <c r="B164" s="115" t="str">
        <f>IFERROR(__xludf.DUMMYFUNCTION("""COMPUTED_VALUE"""),"Ashvani Bhatt")</f>
        <v>Ashvani Bhatt</v>
      </c>
      <c r="C164" s="115" t="str">
        <f>IFERROR(__xludf.DUMMYFUNCTION("""COMPUTED_VALUE"""),"EXTERNAL")</f>
        <v>EXTERNAL</v>
      </c>
      <c r="D164" s="115">
        <f>IFERROR(__xludf.DUMMYFUNCTION("""COMPUTED_VALUE"""),36608.0)</f>
        <v>36608</v>
      </c>
      <c r="E164" s="115">
        <f>IFERROR(__xludf.DUMMYFUNCTION("""COMPUTED_VALUE"""),3806.0)</f>
        <v>3806</v>
      </c>
      <c r="F164" s="115">
        <f>IFERROR(__xludf.DUMMYFUNCTION("""COMPUTED_VALUE"""),9804.0)</f>
        <v>9804</v>
      </c>
      <c r="G164" s="115">
        <f>IFERROR(__xludf.DUMMYFUNCTION("""COMPUTED_VALUE"""),343.0)</f>
        <v>343</v>
      </c>
      <c r="H164" s="116">
        <f>IFERROR(__xludf.DUMMYFUNCTION("""COMPUTED_VALUE"""),45901.0)</f>
        <v>45901</v>
      </c>
      <c r="I164" s="115" t="str">
        <f>IFERROR(__xludf.DUMMYFUNCTION("""COMPUTED_VALUE"""),"14")</f>
        <v>14</v>
      </c>
      <c r="J164" s="115" t="str">
        <f>IFERROR(__xludf.DUMMYFUNCTION("""COMPUTED_VALUE"""),"Ashvani Bhatt2025-09-0114")</f>
        <v>Ashvani Bhatt2025-09-0114</v>
      </c>
      <c r="K164" s="115">
        <f>IFERROR(__xludf.DUMMYFUNCTION("""COMPUTED_VALUE"""),40414.0)</f>
        <v>40414</v>
      </c>
    </row>
    <row r="165">
      <c r="A165" s="115" t="str">
        <f>IFERROR(__xludf.DUMMYFUNCTION("""COMPUTED_VALUE"""),"WEST")</f>
        <v>WEST</v>
      </c>
      <c r="B165" s="115" t="str">
        <f>IFERROR(__xludf.DUMMYFUNCTION("""COMPUTED_VALUE"""),"Ashvani Bhatt")</f>
        <v>Ashvani Bhatt</v>
      </c>
      <c r="C165" s="115" t="str">
        <f>IFERROR(__xludf.DUMMYFUNCTION("""COMPUTED_VALUE"""),"FLIPKART")</f>
        <v>FLIPKART</v>
      </c>
      <c r="D165" s="115">
        <f>IFERROR(__xludf.DUMMYFUNCTION("""COMPUTED_VALUE"""),250388.0)</f>
        <v>250388</v>
      </c>
      <c r="E165" s="115">
        <f>IFERROR(__xludf.DUMMYFUNCTION("""COMPUTED_VALUE"""),28262.0)</f>
        <v>28262</v>
      </c>
      <c r="F165" s="115">
        <f>IFERROR(__xludf.DUMMYFUNCTION("""COMPUTED_VALUE"""),119254.0)</f>
        <v>119254</v>
      </c>
      <c r="G165" s="115">
        <f>IFERROR(__xludf.DUMMYFUNCTION("""COMPUTED_VALUE"""),4392.0)</f>
        <v>4392</v>
      </c>
      <c r="H165" s="116">
        <f>IFERROR(__xludf.DUMMYFUNCTION("""COMPUTED_VALUE"""),45901.0)</f>
        <v>45901</v>
      </c>
      <c r="I165" s="115" t="str">
        <f>IFERROR(__xludf.DUMMYFUNCTION("""COMPUTED_VALUE"""),"14")</f>
        <v>14</v>
      </c>
      <c r="J165" s="115" t="str">
        <f>IFERROR(__xludf.DUMMYFUNCTION("""COMPUTED_VALUE"""),"Ashvani Bhatt2025-09-0114")</f>
        <v>Ashvani Bhatt2025-09-0114</v>
      </c>
      <c r="K165" s="115">
        <f>IFERROR(__xludf.DUMMYFUNCTION("""COMPUTED_VALUE"""),278650.0)</f>
        <v>278650</v>
      </c>
    </row>
    <row r="166">
      <c r="A166" s="115" t="str">
        <f>IFERROR(__xludf.DUMMYFUNCTION("""COMPUTED_VALUE"""),"WEST")</f>
        <v>WEST</v>
      </c>
      <c r="B166" s="115" t="str">
        <f>IFERROR(__xludf.DUMMYFUNCTION("""COMPUTED_VALUE"""),"Ashvani Bhatt")</f>
        <v>Ashvani Bhatt</v>
      </c>
      <c r="C166" s="115" t="str">
        <f>IFERROR(__xludf.DUMMYFUNCTION("""COMPUTED_VALUE"""),"MYNTRA")</f>
        <v>MYNTRA</v>
      </c>
      <c r="D166" s="115">
        <f>IFERROR(__xludf.DUMMYFUNCTION("""COMPUTED_VALUE"""),31750.0)</f>
        <v>31750</v>
      </c>
      <c r="E166" s="115">
        <f>IFERROR(__xludf.DUMMYFUNCTION("""COMPUTED_VALUE"""),7702.0)</f>
        <v>7702</v>
      </c>
      <c r="F166" s="115">
        <f>IFERROR(__xludf.DUMMYFUNCTION("""COMPUTED_VALUE"""),18946.0)</f>
        <v>18946</v>
      </c>
      <c r="G166" s="115">
        <f>IFERROR(__xludf.DUMMYFUNCTION("""COMPUTED_VALUE"""),1538.0)</f>
        <v>1538</v>
      </c>
      <c r="H166" s="116">
        <f>IFERROR(__xludf.DUMMYFUNCTION("""COMPUTED_VALUE"""),45901.0)</f>
        <v>45901</v>
      </c>
      <c r="I166" s="115" t="str">
        <f>IFERROR(__xludf.DUMMYFUNCTION("""COMPUTED_VALUE"""),"14")</f>
        <v>14</v>
      </c>
      <c r="J166" s="115" t="str">
        <f>IFERROR(__xludf.DUMMYFUNCTION("""COMPUTED_VALUE"""),"Ashvani Bhatt2025-09-0114")</f>
        <v>Ashvani Bhatt2025-09-0114</v>
      </c>
      <c r="K166" s="115">
        <f>IFERROR(__xludf.DUMMYFUNCTION("""COMPUTED_VALUE"""),39452.0)</f>
        <v>39452</v>
      </c>
    </row>
    <row r="167">
      <c r="A167" s="115"/>
      <c r="B167" s="115"/>
      <c r="C167" s="115" t="str">
        <f>IFERROR(__xludf.DUMMYFUNCTION("""COMPUTED_VALUE"""),"EXTERNAL")</f>
        <v>EXTERNAL</v>
      </c>
      <c r="D167" s="115">
        <f>IFERROR(__xludf.DUMMYFUNCTION("""COMPUTED_VALUE"""),1396.0)</f>
        <v>1396</v>
      </c>
      <c r="E167" s="115">
        <f>IFERROR(__xludf.DUMMYFUNCTION("""COMPUTED_VALUE"""),126.0)</f>
        <v>126</v>
      </c>
      <c r="F167" s="115">
        <f>IFERROR(__xludf.DUMMYFUNCTION("""COMPUTED_VALUE"""),200.0)</f>
        <v>200</v>
      </c>
      <c r="G167" s="115">
        <f>IFERROR(__xludf.DUMMYFUNCTION("""COMPUTED_VALUE"""),17.0)</f>
        <v>17</v>
      </c>
      <c r="H167" s="116">
        <f>IFERROR(__xludf.DUMMYFUNCTION("""COMPUTED_VALUE"""),45901.0)</f>
        <v>45901</v>
      </c>
      <c r="I167" s="115" t="str">
        <f>IFERROR(__xludf.DUMMYFUNCTION("""COMPUTED_VALUE"""),"14")</f>
        <v>14</v>
      </c>
      <c r="J167" s="115" t="str">
        <f>IFERROR(__xludf.DUMMYFUNCTION("""COMPUTED_VALUE"""),"2025-09-0114")</f>
        <v>2025-09-0114</v>
      </c>
      <c r="K167" s="115">
        <f>IFERROR(__xludf.DUMMYFUNCTION("""COMPUTED_VALUE"""),1522.0)</f>
        <v>1522</v>
      </c>
    </row>
    <row r="168">
      <c r="A168" s="115"/>
      <c r="B168" s="115"/>
      <c r="C168" s="115" t="str">
        <f>IFERROR(__xludf.DUMMYFUNCTION("""COMPUTED_VALUE"""),"FLIPKART")</f>
        <v>FLIPKART</v>
      </c>
      <c r="D168" s="115">
        <f>IFERROR(__xludf.DUMMYFUNCTION("""COMPUTED_VALUE"""),12742.0)</f>
        <v>12742</v>
      </c>
      <c r="E168" s="115">
        <f>IFERROR(__xludf.DUMMYFUNCTION("""COMPUTED_VALUE"""),1200.0)</f>
        <v>1200</v>
      </c>
      <c r="F168" s="115">
        <f>IFERROR(__xludf.DUMMYFUNCTION("""COMPUTED_VALUE"""),3796.0)</f>
        <v>3796</v>
      </c>
      <c r="G168" s="115">
        <f>IFERROR(__xludf.DUMMYFUNCTION("""COMPUTED_VALUE"""),223.0)</f>
        <v>223</v>
      </c>
      <c r="H168" s="116">
        <f>IFERROR(__xludf.DUMMYFUNCTION("""COMPUTED_VALUE"""),45901.0)</f>
        <v>45901</v>
      </c>
      <c r="I168" s="115" t="str">
        <f>IFERROR(__xludf.DUMMYFUNCTION("""COMPUTED_VALUE"""),"14")</f>
        <v>14</v>
      </c>
      <c r="J168" s="115" t="str">
        <f>IFERROR(__xludf.DUMMYFUNCTION("""COMPUTED_VALUE"""),"2025-09-0114")</f>
        <v>2025-09-0114</v>
      </c>
      <c r="K168" s="115">
        <f>IFERROR(__xludf.DUMMYFUNCTION("""COMPUTED_VALUE"""),13942.0)</f>
        <v>13942</v>
      </c>
    </row>
    <row r="169">
      <c r="A169" s="115"/>
      <c r="B169" s="115"/>
      <c r="C169" s="115" t="str">
        <f>IFERROR(__xludf.DUMMYFUNCTION("""COMPUTED_VALUE"""),"MYNTRA")</f>
        <v>MYNTRA</v>
      </c>
      <c r="D169" s="115">
        <f>IFERROR(__xludf.DUMMYFUNCTION("""COMPUTED_VALUE"""),1154.0)</f>
        <v>1154</v>
      </c>
      <c r="E169" s="115">
        <f>IFERROR(__xludf.DUMMYFUNCTION("""COMPUTED_VALUE"""),228.0)</f>
        <v>228</v>
      </c>
      <c r="F169" s="115">
        <f>IFERROR(__xludf.DUMMYFUNCTION("""COMPUTED_VALUE"""),373.0)</f>
        <v>373</v>
      </c>
      <c r="G169" s="115">
        <f>IFERROR(__xludf.DUMMYFUNCTION("""COMPUTED_VALUE"""),34.0)</f>
        <v>34</v>
      </c>
      <c r="H169" s="116">
        <f>IFERROR(__xludf.DUMMYFUNCTION("""COMPUTED_VALUE"""),45901.0)</f>
        <v>45901</v>
      </c>
      <c r="I169" s="115" t="str">
        <f>IFERROR(__xludf.DUMMYFUNCTION("""COMPUTED_VALUE"""),"14")</f>
        <v>14</v>
      </c>
      <c r="J169" s="115" t="str">
        <f>IFERROR(__xludf.DUMMYFUNCTION("""COMPUTED_VALUE"""),"2025-09-0114")</f>
        <v>2025-09-0114</v>
      </c>
      <c r="K169" s="115">
        <f>IFERROR(__xludf.DUMMYFUNCTION("""COMPUTED_VALUE"""),1382.0)</f>
        <v>1382</v>
      </c>
    </row>
    <row r="170">
      <c r="A170" s="115" t="str">
        <f>IFERROR(__xludf.DUMMYFUNCTION("""COMPUTED_VALUE"""),"EAST")</f>
        <v>EAST</v>
      </c>
      <c r="B170" s="115" t="str">
        <f>IFERROR(__xludf.DUMMYFUNCTION("""COMPUTED_VALUE"""),"Ashish Ranjan")</f>
        <v>Ashish Ranjan</v>
      </c>
      <c r="C170" s="115" t="str">
        <f>IFERROR(__xludf.DUMMYFUNCTION("""COMPUTED_VALUE"""),"EXTERNAL")</f>
        <v>EXTERNAL</v>
      </c>
      <c r="D170" s="115">
        <f>IFERROR(__xludf.DUMMYFUNCTION("""COMPUTED_VALUE"""),39445.0)</f>
        <v>39445</v>
      </c>
      <c r="E170" s="115">
        <f>IFERROR(__xludf.DUMMYFUNCTION("""COMPUTED_VALUE"""),3100.0)</f>
        <v>3100</v>
      </c>
      <c r="F170" s="115">
        <f>IFERROR(__xludf.DUMMYFUNCTION("""COMPUTED_VALUE"""),15587.0)</f>
        <v>15587</v>
      </c>
      <c r="G170" s="115">
        <f>IFERROR(__xludf.DUMMYFUNCTION("""COMPUTED_VALUE"""),527.0)</f>
        <v>527</v>
      </c>
      <c r="H170" s="116">
        <f>IFERROR(__xludf.DUMMYFUNCTION("""COMPUTED_VALUE"""),45901.0)</f>
        <v>45901</v>
      </c>
      <c r="I170" s="115" t="str">
        <f>IFERROR(__xludf.DUMMYFUNCTION("""COMPUTED_VALUE"""),"15")</f>
        <v>15</v>
      </c>
      <c r="J170" s="115" t="str">
        <f>IFERROR(__xludf.DUMMYFUNCTION("""COMPUTED_VALUE"""),"Ashish Ranjan2025-09-0115")</f>
        <v>Ashish Ranjan2025-09-0115</v>
      </c>
      <c r="K170" s="115">
        <f>IFERROR(__xludf.DUMMYFUNCTION("""COMPUTED_VALUE"""),42545.0)</f>
        <v>42545</v>
      </c>
    </row>
    <row r="171">
      <c r="A171" s="115" t="str">
        <f>IFERROR(__xludf.DUMMYFUNCTION("""COMPUTED_VALUE"""),"EAST")</f>
        <v>EAST</v>
      </c>
      <c r="B171" s="115" t="str">
        <f>IFERROR(__xludf.DUMMYFUNCTION("""COMPUTED_VALUE"""),"Ashish Ranjan")</f>
        <v>Ashish Ranjan</v>
      </c>
      <c r="C171" s="115" t="str">
        <f>IFERROR(__xludf.DUMMYFUNCTION("""COMPUTED_VALUE"""),"FLIPKART")</f>
        <v>FLIPKART</v>
      </c>
      <c r="D171" s="115">
        <f>IFERROR(__xludf.DUMMYFUNCTION("""COMPUTED_VALUE"""),574567.0)</f>
        <v>574567</v>
      </c>
      <c r="E171" s="115">
        <f>IFERROR(__xludf.DUMMYFUNCTION("""COMPUTED_VALUE"""),59760.0)</f>
        <v>59760</v>
      </c>
      <c r="F171" s="115">
        <f>IFERROR(__xludf.DUMMYFUNCTION("""COMPUTED_VALUE"""),377894.0)</f>
        <v>377894</v>
      </c>
      <c r="G171" s="115">
        <f>IFERROR(__xludf.DUMMYFUNCTION("""COMPUTED_VALUE"""),15637.0)</f>
        <v>15637</v>
      </c>
      <c r="H171" s="116">
        <f>IFERROR(__xludf.DUMMYFUNCTION("""COMPUTED_VALUE"""),45901.0)</f>
        <v>45901</v>
      </c>
      <c r="I171" s="115" t="str">
        <f>IFERROR(__xludf.DUMMYFUNCTION("""COMPUTED_VALUE"""),"15")</f>
        <v>15</v>
      </c>
      <c r="J171" s="115" t="str">
        <f>IFERROR(__xludf.DUMMYFUNCTION("""COMPUTED_VALUE"""),"Ashish Ranjan2025-09-0115")</f>
        <v>Ashish Ranjan2025-09-0115</v>
      </c>
      <c r="K171" s="115">
        <f>IFERROR(__xludf.DUMMYFUNCTION("""COMPUTED_VALUE"""),634327.0)</f>
        <v>634327</v>
      </c>
    </row>
    <row r="172">
      <c r="A172" s="115" t="str">
        <f>IFERROR(__xludf.DUMMYFUNCTION("""COMPUTED_VALUE"""),"EAST")</f>
        <v>EAST</v>
      </c>
      <c r="B172" s="115" t="str">
        <f>IFERROR(__xludf.DUMMYFUNCTION("""COMPUTED_VALUE"""),"Ashish Ranjan")</f>
        <v>Ashish Ranjan</v>
      </c>
      <c r="C172" s="115" t="str">
        <f>IFERROR(__xludf.DUMMYFUNCTION("""COMPUTED_VALUE"""),"MYNTRA")</f>
        <v>MYNTRA</v>
      </c>
      <c r="D172" s="115">
        <f>IFERROR(__xludf.DUMMYFUNCTION("""COMPUTED_VALUE"""),55082.0)</f>
        <v>55082</v>
      </c>
      <c r="E172" s="115">
        <f>IFERROR(__xludf.DUMMYFUNCTION("""COMPUTED_VALUE"""),10616.0)</f>
        <v>10616</v>
      </c>
      <c r="F172" s="115">
        <f>IFERROR(__xludf.DUMMYFUNCTION("""COMPUTED_VALUE"""),38225.0)</f>
        <v>38225</v>
      </c>
      <c r="G172" s="115">
        <f>IFERROR(__xludf.DUMMYFUNCTION("""COMPUTED_VALUE"""),2682.0)</f>
        <v>2682</v>
      </c>
      <c r="H172" s="116">
        <f>IFERROR(__xludf.DUMMYFUNCTION("""COMPUTED_VALUE"""),45901.0)</f>
        <v>45901</v>
      </c>
      <c r="I172" s="115" t="str">
        <f>IFERROR(__xludf.DUMMYFUNCTION("""COMPUTED_VALUE"""),"15")</f>
        <v>15</v>
      </c>
      <c r="J172" s="115" t="str">
        <f>IFERROR(__xludf.DUMMYFUNCTION("""COMPUTED_VALUE"""),"Ashish Ranjan2025-09-0115")</f>
        <v>Ashish Ranjan2025-09-0115</v>
      </c>
      <c r="K172" s="115">
        <f>IFERROR(__xludf.DUMMYFUNCTION("""COMPUTED_VALUE"""),65698.0)</f>
        <v>65698</v>
      </c>
    </row>
    <row r="173">
      <c r="A173" s="115" t="str">
        <f>IFERROR(__xludf.DUMMYFUNCTION("""COMPUTED_VALUE"""),"EAST")</f>
        <v>EAST</v>
      </c>
      <c r="B173" s="115" t="str">
        <f>IFERROR(__xludf.DUMMYFUNCTION("""COMPUTED_VALUE"""),"Girish Chand")</f>
        <v>Girish Chand</v>
      </c>
      <c r="C173" s="115" t="str">
        <f>IFERROR(__xludf.DUMMYFUNCTION("""COMPUTED_VALUE"""),"EXTERNAL")</f>
        <v>EXTERNAL</v>
      </c>
      <c r="D173" s="115">
        <f>IFERROR(__xludf.DUMMYFUNCTION("""COMPUTED_VALUE"""),25127.0)</f>
        <v>25127</v>
      </c>
      <c r="E173" s="115">
        <f>IFERROR(__xludf.DUMMYFUNCTION("""COMPUTED_VALUE"""),2403.0)</f>
        <v>2403</v>
      </c>
      <c r="F173" s="115">
        <f>IFERROR(__xludf.DUMMYFUNCTION("""COMPUTED_VALUE"""),7592.0)</f>
        <v>7592</v>
      </c>
      <c r="G173" s="115">
        <f>IFERROR(__xludf.DUMMYFUNCTION("""COMPUTED_VALUE"""),177.0)</f>
        <v>177</v>
      </c>
      <c r="H173" s="116">
        <f>IFERROR(__xludf.DUMMYFUNCTION("""COMPUTED_VALUE"""),45901.0)</f>
        <v>45901</v>
      </c>
      <c r="I173" s="115" t="str">
        <f>IFERROR(__xludf.DUMMYFUNCTION("""COMPUTED_VALUE"""),"15")</f>
        <v>15</v>
      </c>
      <c r="J173" s="115" t="str">
        <f>IFERROR(__xludf.DUMMYFUNCTION("""COMPUTED_VALUE"""),"Girish Chand2025-09-0115")</f>
        <v>Girish Chand2025-09-0115</v>
      </c>
      <c r="K173" s="115">
        <f>IFERROR(__xludf.DUMMYFUNCTION("""COMPUTED_VALUE"""),27530.0)</f>
        <v>27530</v>
      </c>
    </row>
    <row r="174">
      <c r="A174" s="115" t="str">
        <f>IFERROR(__xludf.DUMMYFUNCTION("""COMPUTED_VALUE"""),"EAST")</f>
        <v>EAST</v>
      </c>
      <c r="B174" s="115" t="str">
        <f>IFERROR(__xludf.DUMMYFUNCTION("""COMPUTED_VALUE"""),"Girish Chand")</f>
        <v>Girish Chand</v>
      </c>
      <c r="C174" s="115" t="str">
        <f>IFERROR(__xludf.DUMMYFUNCTION("""COMPUTED_VALUE"""),"FLIPKART")</f>
        <v>FLIPKART</v>
      </c>
      <c r="D174" s="115">
        <f>IFERROR(__xludf.DUMMYFUNCTION("""COMPUTED_VALUE"""),412306.0)</f>
        <v>412306</v>
      </c>
      <c r="E174" s="115">
        <f>IFERROR(__xludf.DUMMYFUNCTION("""COMPUTED_VALUE"""),37469.0)</f>
        <v>37469</v>
      </c>
      <c r="F174" s="115">
        <f>IFERROR(__xludf.DUMMYFUNCTION("""COMPUTED_VALUE"""),216114.0)</f>
        <v>216114</v>
      </c>
      <c r="G174" s="115">
        <f>IFERROR(__xludf.DUMMYFUNCTION("""COMPUTED_VALUE"""),5692.0)</f>
        <v>5692</v>
      </c>
      <c r="H174" s="116">
        <f>IFERROR(__xludf.DUMMYFUNCTION("""COMPUTED_VALUE"""),45901.0)</f>
        <v>45901</v>
      </c>
      <c r="I174" s="115" t="str">
        <f>IFERROR(__xludf.DUMMYFUNCTION("""COMPUTED_VALUE"""),"15")</f>
        <v>15</v>
      </c>
      <c r="J174" s="115" t="str">
        <f>IFERROR(__xludf.DUMMYFUNCTION("""COMPUTED_VALUE"""),"Girish Chand2025-09-0115")</f>
        <v>Girish Chand2025-09-0115</v>
      </c>
      <c r="K174" s="115">
        <f>IFERROR(__xludf.DUMMYFUNCTION("""COMPUTED_VALUE"""),449775.0)</f>
        <v>449775</v>
      </c>
    </row>
    <row r="175">
      <c r="A175" s="115" t="str">
        <f>IFERROR(__xludf.DUMMYFUNCTION("""COMPUTED_VALUE"""),"EAST")</f>
        <v>EAST</v>
      </c>
      <c r="B175" s="115" t="str">
        <f>IFERROR(__xludf.DUMMYFUNCTION("""COMPUTED_VALUE"""),"Girish Chand")</f>
        <v>Girish Chand</v>
      </c>
      <c r="C175" s="115" t="str">
        <f>IFERROR(__xludf.DUMMYFUNCTION("""COMPUTED_VALUE"""),"MYNTRA")</f>
        <v>MYNTRA</v>
      </c>
      <c r="D175" s="115">
        <f>IFERROR(__xludf.DUMMYFUNCTION("""COMPUTED_VALUE"""),31757.0)</f>
        <v>31757</v>
      </c>
      <c r="E175" s="115">
        <f>IFERROR(__xludf.DUMMYFUNCTION("""COMPUTED_VALUE"""),5760.0)</f>
        <v>5760</v>
      </c>
      <c r="F175" s="115">
        <f>IFERROR(__xludf.DUMMYFUNCTION("""COMPUTED_VALUE"""),18539.0)</f>
        <v>18539</v>
      </c>
      <c r="G175" s="115">
        <f>IFERROR(__xludf.DUMMYFUNCTION("""COMPUTED_VALUE"""),1041.0)</f>
        <v>1041</v>
      </c>
      <c r="H175" s="116">
        <f>IFERROR(__xludf.DUMMYFUNCTION("""COMPUTED_VALUE"""),45901.0)</f>
        <v>45901</v>
      </c>
      <c r="I175" s="115" t="str">
        <f>IFERROR(__xludf.DUMMYFUNCTION("""COMPUTED_VALUE"""),"15")</f>
        <v>15</v>
      </c>
      <c r="J175" s="115" t="str">
        <f>IFERROR(__xludf.DUMMYFUNCTION("""COMPUTED_VALUE"""),"Girish Chand2025-09-0115")</f>
        <v>Girish Chand2025-09-0115</v>
      </c>
      <c r="K175" s="115">
        <f>IFERROR(__xludf.DUMMYFUNCTION("""COMPUTED_VALUE"""),37517.0)</f>
        <v>37517</v>
      </c>
    </row>
    <row r="176">
      <c r="A176" s="115" t="str">
        <f>IFERROR(__xludf.DUMMYFUNCTION("""COMPUTED_VALUE"""),"EAST")</f>
        <v>EAST</v>
      </c>
      <c r="B176" s="115" t="str">
        <f>IFERROR(__xludf.DUMMYFUNCTION("""COMPUTED_VALUE"""),"Parag Kashyap")</f>
        <v>Parag Kashyap</v>
      </c>
      <c r="C176" s="115" t="str">
        <f>IFERROR(__xludf.DUMMYFUNCTION("""COMPUTED_VALUE"""),"EXTERNAL")</f>
        <v>EXTERNAL</v>
      </c>
      <c r="D176" s="115">
        <f>IFERROR(__xludf.DUMMYFUNCTION("""COMPUTED_VALUE"""),22747.0)</f>
        <v>22747</v>
      </c>
      <c r="E176" s="115">
        <f>IFERROR(__xludf.DUMMYFUNCTION("""COMPUTED_VALUE"""),1281.0)</f>
        <v>1281</v>
      </c>
      <c r="F176" s="115">
        <f>IFERROR(__xludf.DUMMYFUNCTION("""COMPUTED_VALUE"""),5732.0)</f>
        <v>5732</v>
      </c>
      <c r="G176" s="115">
        <f>IFERROR(__xludf.DUMMYFUNCTION("""COMPUTED_VALUE"""),37.0)</f>
        <v>37</v>
      </c>
      <c r="H176" s="116">
        <f>IFERROR(__xludf.DUMMYFUNCTION("""COMPUTED_VALUE"""),45901.0)</f>
        <v>45901</v>
      </c>
      <c r="I176" s="115" t="str">
        <f>IFERROR(__xludf.DUMMYFUNCTION("""COMPUTED_VALUE"""),"15")</f>
        <v>15</v>
      </c>
      <c r="J176" s="115" t="str">
        <f>IFERROR(__xludf.DUMMYFUNCTION("""COMPUTED_VALUE"""),"Parag Kashyap2025-09-0115")</f>
        <v>Parag Kashyap2025-09-0115</v>
      </c>
      <c r="K176" s="115">
        <f>IFERROR(__xludf.DUMMYFUNCTION("""COMPUTED_VALUE"""),24028.0)</f>
        <v>24028</v>
      </c>
    </row>
    <row r="177">
      <c r="A177" s="115" t="str">
        <f>IFERROR(__xludf.DUMMYFUNCTION("""COMPUTED_VALUE"""),"EAST")</f>
        <v>EAST</v>
      </c>
      <c r="B177" s="115" t="str">
        <f>IFERROR(__xludf.DUMMYFUNCTION("""COMPUTED_VALUE"""),"Parag Kashyap")</f>
        <v>Parag Kashyap</v>
      </c>
      <c r="C177" s="115" t="str">
        <f>IFERROR(__xludf.DUMMYFUNCTION("""COMPUTED_VALUE"""),"FLIPKART")</f>
        <v>FLIPKART</v>
      </c>
      <c r="D177" s="115">
        <f>IFERROR(__xludf.DUMMYFUNCTION("""COMPUTED_VALUE"""),317995.0)</f>
        <v>317995</v>
      </c>
      <c r="E177" s="115">
        <f>IFERROR(__xludf.DUMMYFUNCTION("""COMPUTED_VALUE"""),17161.0)</f>
        <v>17161</v>
      </c>
      <c r="F177" s="115">
        <f>IFERROR(__xludf.DUMMYFUNCTION("""COMPUTED_VALUE"""),151140.0)</f>
        <v>151140</v>
      </c>
      <c r="G177" s="115">
        <f>IFERROR(__xludf.DUMMYFUNCTION("""COMPUTED_VALUE"""),1623.0)</f>
        <v>1623</v>
      </c>
      <c r="H177" s="116">
        <f>IFERROR(__xludf.DUMMYFUNCTION("""COMPUTED_VALUE"""),45901.0)</f>
        <v>45901</v>
      </c>
      <c r="I177" s="115" t="str">
        <f>IFERROR(__xludf.DUMMYFUNCTION("""COMPUTED_VALUE"""),"15")</f>
        <v>15</v>
      </c>
      <c r="J177" s="115" t="str">
        <f>IFERROR(__xludf.DUMMYFUNCTION("""COMPUTED_VALUE"""),"Parag Kashyap2025-09-0115")</f>
        <v>Parag Kashyap2025-09-0115</v>
      </c>
      <c r="K177" s="115">
        <f>IFERROR(__xludf.DUMMYFUNCTION("""COMPUTED_VALUE"""),335156.0)</f>
        <v>335156</v>
      </c>
    </row>
    <row r="178">
      <c r="A178" s="115" t="str">
        <f>IFERROR(__xludf.DUMMYFUNCTION("""COMPUTED_VALUE"""),"EAST")</f>
        <v>EAST</v>
      </c>
      <c r="B178" s="115" t="str">
        <f>IFERROR(__xludf.DUMMYFUNCTION("""COMPUTED_VALUE"""),"Parag Kashyap")</f>
        <v>Parag Kashyap</v>
      </c>
      <c r="C178" s="115" t="str">
        <f>IFERROR(__xludf.DUMMYFUNCTION("""COMPUTED_VALUE"""),"MYNTRA")</f>
        <v>MYNTRA</v>
      </c>
      <c r="D178" s="115">
        <f>IFERROR(__xludf.DUMMYFUNCTION("""COMPUTED_VALUE"""),36227.0)</f>
        <v>36227</v>
      </c>
      <c r="E178" s="115">
        <f>IFERROR(__xludf.DUMMYFUNCTION("""COMPUTED_VALUE"""),4627.0)</f>
        <v>4627</v>
      </c>
      <c r="F178" s="115">
        <f>IFERROR(__xludf.DUMMYFUNCTION("""COMPUTED_VALUE"""),18741.0)</f>
        <v>18741</v>
      </c>
      <c r="G178" s="115">
        <f>IFERROR(__xludf.DUMMYFUNCTION("""COMPUTED_VALUE"""),380.0)</f>
        <v>380</v>
      </c>
      <c r="H178" s="116">
        <f>IFERROR(__xludf.DUMMYFUNCTION("""COMPUTED_VALUE"""),45901.0)</f>
        <v>45901</v>
      </c>
      <c r="I178" s="115" t="str">
        <f>IFERROR(__xludf.DUMMYFUNCTION("""COMPUTED_VALUE"""),"15")</f>
        <v>15</v>
      </c>
      <c r="J178" s="115" t="str">
        <f>IFERROR(__xludf.DUMMYFUNCTION("""COMPUTED_VALUE"""),"Parag Kashyap2025-09-0115")</f>
        <v>Parag Kashyap2025-09-0115</v>
      </c>
      <c r="K178" s="115">
        <f>IFERROR(__xludf.DUMMYFUNCTION("""COMPUTED_VALUE"""),40854.0)</f>
        <v>40854</v>
      </c>
    </row>
    <row r="179">
      <c r="A179" s="115" t="str">
        <f>IFERROR(__xludf.DUMMYFUNCTION("""COMPUTED_VALUE"""),"NORTH")</f>
        <v>NORTH</v>
      </c>
      <c r="B179" s="115" t="str">
        <f>IFERROR(__xludf.DUMMYFUNCTION("""COMPUTED_VALUE"""),"Amit Kumar Pathak")</f>
        <v>Amit Kumar Pathak</v>
      </c>
      <c r="C179" s="115" t="str">
        <f>IFERROR(__xludf.DUMMYFUNCTION("""COMPUTED_VALUE"""),"EXTERNAL")</f>
        <v>EXTERNAL</v>
      </c>
      <c r="D179" s="115">
        <f>IFERROR(__xludf.DUMMYFUNCTION("""COMPUTED_VALUE"""),27244.0)</f>
        <v>27244</v>
      </c>
      <c r="E179" s="115">
        <f>IFERROR(__xludf.DUMMYFUNCTION("""COMPUTED_VALUE"""),2380.0)</f>
        <v>2380</v>
      </c>
      <c r="F179" s="115">
        <f>IFERROR(__xludf.DUMMYFUNCTION("""COMPUTED_VALUE"""),6340.0)</f>
        <v>6340</v>
      </c>
      <c r="G179" s="115">
        <f>IFERROR(__xludf.DUMMYFUNCTION("""COMPUTED_VALUE"""),400.0)</f>
        <v>400</v>
      </c>
      <c r="H179" s="116">
        <f>IFERROR(__xludf.DUMMYFUNCTION("""COMPUTED_VALUE"""),45901.0)</f>
        <v>45901</v>
      </c>
      <c r="I179" s="115" t="str">
        <f>IFERROR(__xludf.DUMMYFUNCTION("""COMPUTED_VALUE"""),"15")</f>
        <v>15</v>
      </c>
      <c r="J179" s="115" t="str">
        <f>IFERROR(__xludf.DUMMYFUNCTION("""COMPUTED_VALUE"""),"Amit Kumar Pathak2025-09-0115")</f>
        <v>Amit Kumar Pathak2025-09-0115</v>
      </c>
      <c r="K179" s="115">
        <f>IFERROR(__xludf.DUMMYFUNCTION("""COMPUTED_VALUE"""),29624.0)</f>
        <v>29624</v>
      </c>
    </row>
    <row r="180">
      <c r="A180" s="115" t="str">
        <f>IFERROR(__xludf.DUMMYFUNCTION("""COMPUTED_VALUE"""),"NORTH")</f>
        <v>NORTH</v>
      </c>
      <c r="B180" s="115" t="str">
        <f>IFERROR(__xludf.DUMMYFUNCTION("""COMPUTED_VALUE"""),"Amit Kumar Pathak")</f>
        <v>Amit Kumar Pathak</v>
      </c>
      <c r="C180" s="115" t="str">
        <f>IFERROR(__xludf.DUMMYFUNCTION("""COMPUTED_VALUE"""),"FLIPKART")</f>
        <v>FLIPKART</v>
      </c>
      <c r="D180" s="115">
        <f>IFERROR(__xludf.DUMMYFUNCTION("""COMPUTED_VALUE"""),179826.0)</f>
        <v>179826</v>
      </c>
      <c r="E180" s="115">
        <f>IFERROR(__xludf.DUMMYFUNCTION("""COMPUTED_VALUE"""),22070.0)</f>
        <v>22070</v>
      </c>
      <c r="F180" s="115">
        <f>IFERROR(__xludf.DUMMYFUNCTION("""COMPUTED_VALUE"""),80593.0)</f>
        <v>80593</v>
      </c>
      <c r="G180" s="115">
        <f>IFERROR(__xludf.DUMMYFUNCTION("""COMPUTED_VALUE"""),5453.0)</f>
        <v>5453</v>
      </c>
      <c r="H180" s="116">
        <f>IFERROR(__xludf.DUMMYFUNCTION("""COMPUTED_VALUE"""),45901.0)</f>
        <v>45901</v>
      </c>
      <c r="I180" s="115" t="str">
        <f>IFERROR(__xludf.DUMMYFUNCTION("""COMPUTED_VALUE"""),"15")</f>
        <v>15</v>
      </c>
      <c r="J180" s="115" t="str">
        <f>IFERROR(__xludf.DUMMYFUNCTION("""COMPUTED_VALUE"""),"Amit Kumar Pathak2025-09-0115")</f>
        <v>Amit Kumar Pathak2025-09-0115</v>
      </c>
      <c r="K180" s="115">
        <f>IFERROR(__xludf.DUMMYFUNCTION("""COMPUTED_VALUE"""),201896.0)</f>
        <v>201896</v>
      </c>
    </row>
    <row r="181">
      <c r="A181" s="115" t="str">
        <f>IFERROR(__xludf.DUMMYFUNCTION("""COMPUTED_VALUE"""),"NORTH")</f>
        <v>NORTH</v>
      </c>
      <c r="B181" s="115" t="str">
        <f>IFERROR(__xludf.DUMMYFUNCTION("""COMPUTED_VALUE"""),"Amit Kumar Pathak")</f>
        <v>Amit Kumar Pathak</v>
      </c>
      <c r="C181" s="115" t="str">
        <f>IFERROR(__xludf.DUMMYFUNCTION("""COMPUTED_VALUE"""),"MYNTRA")</f>
        <v>MYNTRA</v>
      </c>
      <c r="D181" s="115">
        <f>IFERROR(__xludf.DUMMYFUNCTION("""COMPUTED_VALUE"""),14915.0)</f>
        <v>14915</v>
      </c>
      <c r="E181" s="115">
        <f>IFERROR(__xludf.DUMMYFUNCTION("""COMPUTED_VALUE"""),5133.0)</f>
        <v>5133</v>
      </c>
      <c r="F181" s="115">
        <f>IFERROR(__xludf.DUMMYFUNCTION("""COMPUTED_VALUE"""),8261.0)</f>
        <v>8261</v>
      </c>
      <c r="G181" s="115">
        <f>IFERROR(__xludf.DUMMYFUNCTION("""COMPUTED_VALUE"""),1379.0)</f>
        <v>1379</v>
      </c>
      <c r="H181" s="116">
        <f>IFERROR(__xludf.DUMMYFUNCTION("""COMPUTED_VALUE"""),45901.0)</f>
        <v>45901</v>
      </c>
      <c r="I181" s="115" t="str">
        <f>IFERROR(__xludf.DUMMYFUNCTION("""COMPUTED_VALUE"""),"15")</f>
        <v>15</v>
      </c>
      <c r="J181" s="115" t="str">
        <f>IFERROR(__xludf.DUMMYFUNCTION("""COMPUTED_VALUE"""),"Amit Kumar Pathak2025-09-0115")</f>
        <v>Amit Kumar Pathak2025-09-0115</v>
      </c>
      <c r="K181" s="115">
        <f>IFERROR(__xludf.DUMMYFUNCTION("""COMPUTED_VALUE"""),20048.0)</f>
        <v>20048</v>
      </c>
    </row>
    <row r="182">
      <c r="A182" s="115" t="str">
        <f>IFERROR(__xludf.DUMMYFUNCTION("""COMPUTED_VALUE"""),"NORTH")</f>
        <v>NORTH</v>
      </c>
      <c r="B182" s="115" t="str">
        <f>IFERROR(__xludf.DUMMYFUNCTION("""COMPUTED_VALUE"""),"Loveleen Singh")</f>
        <v>Loveleen Singh</v>
      </c>
      <c r="C182" s="115" t="str">
        <f>IFERROR(__xludf.DUMMYFUNCTION("""COMPUTED_VALUE"""),"EXTERNAL")</f>
        <v>EXTERNAL</v>
      </c>
      <c r="D182" s="115">
        <f>IFERROR(__xludf.DUMMYFUNCTION("""COMPUTED_VALUE"""),29345.0)</f>
        <v>29345</v>
      </c>
      <c r="E182" s="115">
        <f>IFERROR(__xludf.DUMMYFUNCTION("""COMPUTED_VALUE"""),2152.0)</f>
        <v>2152</v>
      </c>
      <c r="F182" s="115">
        <f>IFERROR(__xludf.DUMMYFUNCTION("""COMPUTED_VALUE"""),6472.0)</f>
        <v>6472</v>
      </c>
      <c r="G182" s="115">
        <f>IFERROR(__xludf.DUMMYFUNCTION("""COMPUTED_VALUE"""),108.0)</f>
        <v>108</v>
      </c>
      <c r="H182" s="116">
        <f>IFERROR(__xludf.DUMMYFUNCTION("""COMPUTED_VALUE"""),45901.0)</f>
        <v>45901</v>
      </c>
      <c r="I182" s="115" t="str">
        <f>IFERROR(__xludf.DUMMYFUNCTION("""COMPUTED_VALUE"""),"15")</f>
        <v>15</v>
      </c>
      <c r="J182" s="115" t="str">
        <f>IFERROR(__xludf.DUMMYFUNCTION("""COMPUTED_VALUE"""),"Loveleen Singh2025-09-0115")</f>
        <v>Loveleen Singh2025-09-0115</v>
      </c>
      <c r="K182" s="115">
        <f>IFERROR(__xludf.DUMMYFUNCTION("""COMPUTED_VALUE"""),31497.0)</f>
        <v>31497</v>
      </c>
    </row>
    <row r="183">
      <c r="A183" s="115" t="str">
        <f>IFERROR(__xludf.DUMMYFUNCTION("""COMPUTED_VALUE"""),"NORTH")</f>
        <v>NORTH</v>
      </c>
      <c r="B183" s="115" t="str">
        <f>IFERROR(__xludf.DUMMYFUNCTION("""COMPUTED_VALUE"""),"Loveleen Singh")</f>
        <v>Loveleen Singh</v>
      </c>
      <c r="C183" s="115" t="str">
        <f>IFERROR(__xludf.DUMMYFUNCTION("""COMPUTED_VALUE"""),"FLIPKART")</f>
        <v>FLIPKART</v>
      </c>
      <c r="D183" s="115">
        <f>IFERROR(__xludf.DUMMYFUNCTION("""COMPUTED_VALUE"""),143756.0)</f>
        <v>143756</v>
      </c>
      <c r="E183" s="115">
        <f>IFERROR(__xludf.DUMMYFUNCTION("""COMPUTED_VALUE"""),13514.0)</f>
        <v>13514</v>
      </c>
      <c r="F183" s="115">
        <f>IFERROR(__xludf.DUMMYFUNCTION("""COMPUTED_VALUE"""),56996.0)</f>
        <v>56996</v>
      </c>
      <c r="G183" s="115">
        <f>IFERROR(__xludf.DUMMYFUNCTION("""COMPUTED_VALUE"""),1791.0)</f>
        <v>1791</v>
      </c>
      <c r="H183" s="116">
        <f>IFERROR(__xludf.DUMMYFUNCTION("""COMPUTED_VALUE"""),45901.0)</f>
        <v>45901</v>
      </c>
      <c r="I183" s="115" t="str">
        <f>IFERROR(__xludf.DUMMYFUNCTION("""COMPUTED_VALUE"""),"15")</f>
        <v>15</v>
      </c>
      <c r="J183" s="115" t="str">
        <f>IFERROR(__xludf.DUMMYFUNCTION("""COMPUTED_VALUE"""),"Loveleen Singh2025-09-0115")</f>
        <v>Loveleen Singh2025-09-0115</v>
      </c>
      <c r="K183" s="115">
        <f>IFERROR(__xludf.DUMMYFUNCTION("""COMPUTED_VALUE"""),157270.0)</f>
        <v>157270</v>
      </c>
    </row>
    <row r="184">
      <c r="A184" s="115" t="str">
        <f>IFERROR(__xludf.DUMMYFUNCTION("""COMPUTED_VALUE"""),"NORTH")</f>
        <v>NORTH</v>
      </c>
      <c r="B184" s="115" t="str">
        <f>IFERROR(__xludf.DUMMYFUNCTION("""COMPUTED_VALUE"""),"Loveleen Singh")</f>
        <v>Loveleen Singh</v>
      </c>
      <c r="C184" s="115" t="str">
        <f>IFERROR(__xludf.DUMMYFUNCTION("""COMPUTED_VALUE"""),"MYNTRA")</f>
        <v>MYNTRA</v>
      </c>
      <c r="D184" s="115">
        <f>IFERROR(__xludf.DUMMYFUNCTION("""COMPUTED_VALUE"""),19004.0)</f>
        <v>19004</v>
      </c>
      <c r="E184" s="115">
        <f>IFERROR(__xludf.DUMMYFUNCTION("""COMPUTED_VALUE"""),4925.0)</f>
        <v>4925</v>
      </c>
      <c r="F184" s="115">
        <f>IFERROR(__xludf.DUMMYFUNCTION("""COMPUTED_VALUE"""),9326.0)</f>
        <v>9326</v>
      </c>
      <c r="G184" s="115">
        <f>IFERROR(__xludf.DUMMYFUNCTION("""COMPUTED_VALUE"""),826.0)</f>
        <v>826</v>
      </c>
      <c r="H184" s="116">
        <f>IFERROR(__xludf.DUMMYFUNCTION("""COMPUTED_VALUE"""),45901.0)</f>
        <v>45901</v>
      </c>
      <c r="I184" s="115" t="str">
        <f>IFERROR(__xludf.DUMMYFUNCTION("""COMPUTED_VALUE"""),"15")</f>
        <v>15</v>
      </c>
      <c r="J184" s="115" t="str">
        <f>IFERROR(__xludf.DUMMYFUNCTION("""COMPUTED_VALUE"""),"Loveleen Singh2025-09-0115")</f>
        <v>Loveleen Singh2025-09-0115</v>
      </c>
      <c r="K184" s="115">
        <f>IFERROR(__xludf.DUMMYFUNCTION("""COMPUTED_VALUE"""),23929.0)</f>
        <v>23929</v>
      </c>
    </row>
    <row r="185">
      <c r="A185" s="115" t="str">
        <f>IFERROR(__xludf.DUMMYFUNCTION("""COMPUTED_VALUE"""),"NORTH")</f>
        <v>NORTH</v>
      </c>
      <c r="B185" s="115" t="str">
        <f>IFERROR(__xludf.DUMMYFUNCTION("""COMPUTED_VALUE"""),"Manoj Harsh")</f>
        <v>Manoj Harsh</v>
      </c>
      <c r="C185" s="115" t="str">
        <f>IFERROR(__xludf.DUMMYFUNCTION("""COMPUTED_VALUE"""),"EXTERNAL")</f>
        <v>EXTERNAL</v>
      </c>
      <c r="D185" s="115">
        <f>IFERROR(__xludf.DUMMYFUNCTION("""COMPUTED_VALUE"""),32599.0)</f>
        <v>32599</v>
      </c>
      <c r="E185" s="115">
        <f>IFERROR(__xludf.DUMMYFUNCTION("""COMPUTED_VALUE"""),3108.0)</f>
        <v>3108</v>
      </c>
      <c r="F185" s="115">
        <f>IFERROR(__xludf.DUMMYFUNCTION("""COMPUTED_VALUE"""),8143.0)</f>
        <v>8143</v>
      </c>
      <c r="G185" s="115">
        <f>IFERROR(__xludf.DUMMYFUNCTION("""COMPUTED_VALUE"""),233.0)</f>
        <v>233</v>
      </c>
      <c r="H185" s="116">
        <f>IFERROR(__xludf.DUMMYFUNCTION("""COMPUTED_VALUE"""),45901.0)</f>
        <v>45901</v>
      </c>
      <c r="I185" s="115" t="str">
        <f>IFERROR(__xludf.DUMMYFUNCTION("""COMPUTED_VALUE"""),"15")</f>
        <v>15</v>
      </c>
      <c r="J185" s="115" t="str">
        <f>IFERROR(__xludf.DUMMYFUNCTION("""COMPUTED_VALUE"""),"Manoj Harsh2025-09-0115")</f>
        <v>Manoj Harsh2025-09-0115</v>
      </c>
      <c r="K185" s="115">
        <f>IFERROR(__xludf.DUMMYFUNCTION("""COMPUTED_VALUE"""),35707.0)</f>
        <v>35707</v>
      </c>
    </row>
    <row r="186">
      <c r="A186" s="115" t="str">
        <f>IFERROR(__xludf.DUMMYFUNCTION("""COMPUTED_VALUE"""),"NORTH")</f>
        <v>NORTH</v>
      </c>
      <c r="B186" s="115" t="str">
        <f>IFERROR(__xludf.DUMMYFUNCTION("""COMPUTED_VALUE"""),"Manoj Harsh")</f>
        <v>Manoj Harsh</v>
      </c>
      <c r="C186" s="115" t="str">
        <f>IFERROR(__xludf.DUMMYFUNCTION("""COMPUTED_VALUE"""),"FLIPKART")</f>
        <v>FLIPKART</v>
      </c>
      <c r="D186" s="115">
        <f>IFERROR(__xludf.DUMMYFUNCTION("""COMPUTED_VALUE"""),378080.0)</f>
        <v>378080</v>
      </c>
      <c r="E186" s="115">
        <f>IFERROR(__xludf.DUMMYFUNCTION("""COMPUTED_VALUE"""),37862.0)</f>
        <v>37862</v>
      </c>
      <c r="F186" s="115">
        <f>IFERROR(__xludf.DUMMYFUNCTION("""COMPUTED_VALUE"""),166824.0)</f>
        <v>166824</v>
      </c>
      <c r="G186" s="115">
        <f>IFERROR(__xludf.DUMMYFUNCTION("""COMPUTED_VALUE"""),4909.0)</f>
        <v>4909</v>
      </c>
      <c r="H186" s="116">
        <f>IFERROR(__xludf.DUMMYFUNCTION("""COMPUTED_VALUE"""),45901.0)</f>
        <v>45901</v>
      </c>
      <c r="I186" s="115" t="str">
        <f>IFERROR(__xludf.DUMMYFUNCTION("""COMPUTED_VALUE"""),"15")</f>
        <v>15</v>
      </c>
      <c r="J186" s="115" t="str">
        <f>IFERROR(__xludf.DUMMYFUNCTION("""COMPUTED_VALUE"""),"Manoj Harsh2025-09-0115")</f>
        <v>Manoj Harsh2025-09-0115</v>
      </c>
      <c r="K186" s="115">
        <f>IFERROR(__xludf.DUMMYFUNCTION("""COMPUTED_VALUE"""),415942.0)</f>
        <v>415942</v>
      </c>
    </row>
    <row r="187">
      <c r="A187" s="115" t="str">
        <f>IFERROR(__xludf.DUMMYFUNCTION("""COMPUTED_VALUE"""),"NORTH")</f>
        <v>NORTH</v>
      </c>
      <c r="B187" s="115" t="str">
        <f>IFERROR(__xludf.DUMMYFUNCTION("""COMPUTED_VALUE"""),"Manoj Harsh")</f>
        <v>Manoj Harsh</v>
      </c>
      <c r="C187" s="115" t="str">
        <f>IFERROR(__xludf.DUMMYFUNCTION("""COMPUTED_VALUE"""),"MYNTRA")</f>
        <v>MYNTRA</v>
      </c>
      <c r="D187" s="115">
        <f>IFERROR(__xludf.DUMMYFUNCTION("""COMPUTED_VALUE"""),32680.0)</f>
        <v>32680</v>
      </c>
      <c r="E187" s="115">
        <f>IFERROR(__xludf.DUMMYFUNCTION("""COMPUTED_VALUE"""),6164.0)</f>
        <v>6164</v>
      </c>
      <c r="F187" s="115">
        <f>IFERROR(__xludf.DUMMYFUNCTION("""COMPUTED_VALUE"""),16467.0)</f>
        <v>16467</v>
      </c>
      <c r="G187" s="115">
        <f>IFERROR(__xludf.DUMMYFUNCTION("""COMPUTED_VALUE"""),913.0)</f>
        <v>913</v>
      </c>
      <c r="H187" s="116">
        <f>IFERROR(__xludf.DUMMYFUNCTION("""COMPUTED_VALUE"""),45901.0)</f>
        <v>45901</v>
      </c>
      <c r="I187" s="115" t="str">
        <f>IFERROR(__xludf.DUMMYFUNCTION("""COMPUTED_VALUE"""),"15")</f>
        <v>15</v>
      </c>
      <c r="J187" s="115" t="str">
        <f>IFERROR(__xludf.DUMMYFUNCTION("""COMPUTED_VALUE"""),"Manoj Harsh2025-09-0115")</f>
        <v>Manoj Harsh2025-09-0115</v>
      </c>
      <c r="K187" s="115">
        <f>IFERROR(__xludf.DUMMYFUNCTION("""COMPUTED_VALUE"""),38844.0)</f>
        <v>38844</v>
      </c>
    </row>
    <row r="188">
      <c r="A188" s="115" t="str">
        <f>IFERROR(__xludf.DUMMYFUNCTION("""COMPUTED_VALUE"""),"NORTH")</f>
        <v>NORTH</v>
      </c>
      <c r="B188" s="115" t="str">
        <f>IFERROR(__xludf.DUMMYFUNCTION("""COMPUTED_VALUE"""),"Pradeep Kothari")</f>
        <v>Pradeep Kothari</v>
      </c>
      <c r="C188" s="115" t="str">
        <f>IFERROR(__xludf.DUMMYFUNCTION("""COMPUTED_VALUE"""),"EXTERNAL")</f>
        <v>EXTERNAL</v>
      </c>
      <c r="D188" s="115">
        <f>IFERROR(__xludf.DUMMYFUNCTION("""COMPUTED_VALUE"""),18873.0)</f>
        <v>18873</v>
      </c>
      <c r="E188" s="115">
        <f>IFERROR(__xludf.DUMMYFUNCTION("""COMPUTED_VALUE"""),1980.0)</f>
        <v>1980</v>
      </c>
      <c r="F188" s="115">
        <f>IFERROR(__xludf.DUMMYFUNCTION("""COMPUTED_VALUE"""),5088.0)</f>
        <v>5088</v>
      </c>
      <c r="G188" s="115">
        <f>IFERROR(__xludf.DUMMYFUNCTION("""COMPUTED_VALUE"""),217.0)</f>
        <v>217</v>
      </c>
      <c r="H188" s="116">
        <f>IFERROR(__xludf.DUMMYFUNCTION("""COMPUTED_VALUE"""),45901.0)</f>
        <v>45901</v>
      </c>
      <c r="I188" s="115" t="str">
        <f>IFERROR(__xludf.DUMMYFUNCTION("""COMPUTED_VALUE"""),"15")</f>
        <v>15</v>
      </c>
      <c r="J188" s="115" t="str">
        <f>IFERROR(__xludf.DUMMYFUNCTION("""COMPUTED_VALUE"""),"Pradeep Kothari2025-09-0115")</f>
        <v>Pradeep Kothari2025-09-0115</v>
      </c>
      <c r="K188" s="115">
        <f>IFERROR(__xludf.DUMMYFUNCTION("""COMPUTED_VALUE"""),20853.0)</f>
        <v>20853</v>
      </c>
    </row>
    <row r="189">
      <c r="A189" s="115" t="str">
        <f>IFERROR(__xludf.DUMMYFUNCTION("""COMPUTED_VALUE"""),"NORTH")</f>
        <v>NORTH</v>
      </c>
      <c r="B189" s="115" t="str">
        <f>IFERROR(__xludf.DUMMYFUNCTION("""COMPUTED_VALUE"""),"Pradeep Kothari")</f>
        <v>Pradeep Kothari</v>
      </c>
      <c r="C189" s="115" t="str">
        <f>IFERROR(__xludf.DUMMYFUNCTION("""COMPUTED_VALUE"""),"FLIPKART")</f>
        <v>FLIPKART</v>
      </c>
      <c r="D189" s="115">
        <f>IFERROR(__xludf.DUMMYFUNCTION("""COMPUTED_VALUE"""),133556.0)</f>
        <v>133556</v>
      </c>
      <c r="E189" s="115">
        <f>IFERROR(__xludf.DUMMYFUNCTION("""COMPUTED_VALUE"""),16069.0)</f>
        <v>16069</v>
      </c>
      <c r="F189" s="115">
        <f>IFERROR(__xludf.DUMMYFUNCTION("""COMPUTED_VALUE"""),69409.0)</f>
        <v>69409</v>
      </c>
      <c r="G189" s="115">
        <f>IFERROR(__xludf.DUMMYFUNCTION("""COMPUTED_VALUE"""),3518.0)</f>
        <v>3518</v>
      </c>
      <c r="H189" s="116">
        <f>IFERROR(__xludf.DUMMYFUNCTION("""COMPUTED_VALUE"""),45901.0)</f>
        <v>45901</v>
      </c>
      <c r="I189" s="115" t="str">
        <f>IFERROR(__xludf.DUMMYFUNCTION("""COMPUTED_VALUE"""),"15")</f>
        <v>15</v>
      </c>
      <c r="J189" s="115" t="str">
        <f>IFERROR(__xludf.DUMMYFUNCTION("""COMPUTED_VALUE"""),"Pradeep Kothari2025-09-0115")</f>
        <v>Pradeep Kothari2025-09-0115</v>
      </c>
      <c r="K189" s="115">
        <f>IFERROR(__xludf.DUMMYFUNCTION("""COMPUTED_VALUE"""),149625.0)</f>
        <v>149625</v>
      </c>
    </row>
    <row r="190">
      <c r="A190" s="115" t="str">
        <f>IFERROR(__xludf.DUMMYFUNCTION("""COMPUTED_VALUE"""),"NORTH")</f>
        <v>NORTH</v>
      </c>
      <c r="B190" s="115" t="str">
        <f>IFERROR(__xludf.DUMMYFUNCTION("""COMPUTED_VALUE"""),"Pradeep Kothari")</f>
        <v>Pradeep Kothari</v>
      </c>
      <c r="C190" s="115" t="str">
        <f>IFERROR(__xludf.DUMMYFUNCTION("""COMPUTED_VALUE"""),"MYNTRA")</f>
        <v>MYNTRA</v>
      </c>
      <c r="D190" s="115">
        <f>IFERROR(__xludf.DUMMYFUNCTION("""COMPUTED_VALUE"""),22919.0)</f>
        <v>22919</v>
      </c>
      <c r="E190" s="115">
        <f>IFERROR(__xludf.DUMMYFUNCTION("""COMPUTED_VALUE"""),5519.0)</f>
        <v>5519</v>
      </c>
      <c r="F190" s="115">
        <f>IFERROR(__xludf.DUMMYFUNCTION("""COMPUTED_VALUE"""),14712.0)</f>
        <v>14712</v>
      </c>
      <c r="G190" s="115">
        <f>IFERROR(__xludf.DUMMYFUNCTION("""COMPUTED_VALUE"""),1492.0)</f>
        <v>1492</v>
      </c>
      <c r="H190" s="116">
        <f>IFERROR(__xludf.DUMMYFUNCTION("""COMPUTED_VALUE"""),45901.0)</f>
        <v>45901</v>
      </c>
      <c r="I190" s="115" t="str">
        <f>IFERROR(__xludf.DUMMYFUNCTION("""COMPUTED_VALUE"""),"15")</f>
        <v>15</v>
      </c>
      <c r="J190" s="115" t="str">
        <f>IFERROR(__xludf.DUMMYFUNCTION("""COMPUTED_VALUE"""),"Pradeep Kothari2025-09-0115")</f>
        <v>Pradeep Kothari2025-09-0115</v>
      </c>
      <c r="K190" s="115">
        <f>IFERROR(__xludf.DUMMYFUNCTION("""COMPUTED_VALUE"""),28438.0)</f>
        <v>28438</v>
      </c>
    </row>
    <row r="191">
      <c r="A191" s="115" t="str">
        <f>IFERROR(__xludf.DUMMYFUNCTION("""COMPUTED_VALUE"""),"SOUTH")</f>
        <v>SOUTH</v>
      </c>
      <c r="B191" s="115" t="str">
        <f>IFERROR(__xludf.DUMMYFUNCTION("""COMPUTED_VALUE"""),"Kandula Sampath")</f>
        <v>Kandula Sampath</v>
      </c>
      <c r="C191" s="115" t="str">
        <f>IFERROR(__xludf.DUMMYFUNCTION("""COMPUTED_VALUE"""),"EXTERNAL")</f>
        <v>EXTERNAL</v>
      </c>
      <c r="D191" s="115">
        <f>IFERROR(__xludf.DUMMYFUNCTION("""COMPUTED_VALUE"""),39297.0)</f>
        <v>39297</v>
      </c>
      <c r="E191" s="115">
        <f>IFERROR(__xludf.DUMMYFUNCTION("""COMPUTED_VALUE"""),4148.0)</f>
        <v>4148</v>
      </c>
      <c r="F191" s="115">
        <f>IFERROR(__xludf.DUMMYFUNCTION("""COMPUTED_VALUE"""),11048.0)</f>
        <v>11048</v>
      </c>
      <c r="G191" s="115">
        <f>IFERROR(__xludf.DUMMYFUNCTION("""COMPUTED_VALUE"""),308.0)</f>
        <v>308</v>
      </c>
      <c r="H191" s="116">
        <f>IFERROR(__xludf.DUMMYFUNCTION("""COMPUTED_VALUE"""),45901.0)</f>
        <v>45901</v>
      </c>
      <c r="I191" s="115" t="str">
        <f>IFERROR(__xludf.DUMMYFUNCTION("""COMPUTED_VALUE"""),"15")</f>
        <v>15</v>
      </c>
      <c r="J191" s="115" t="str">
        <f>IFERROR(__xludf.DUMMYFUNCTION("""COMPUTED_VALUE"""),"Kandula Sampath2025-09-0115")</f>
        <v>Kandula Sampath2025-09-0115</v>
      </c>
      <c r="K191" s="115">
        <f>IFERROR(__xludf.DUMMYFUNCTION("""COMPUTED_VALUE"""),43445.0)</f>
        <v>43445</v>
      </c>
    </row>
    <row r="192">
      <c r="A192" s="115" t="str">
        <f>IFERROR(__xludf.DUMMYFUNCTION("""COMPUTED_VALUE"""),"SOUTH")</f>
        <v>SOUTH</v>
      </c>
      <c r="B192" s="115" t="str">
        <f>IFERROR(__xludf.DUMMYFUNCTION("""COMPUTED_VALUE"""),"Kandula Sampath")</f>
        <v>Kandula Sampath</v>
      </c>
      <c r="C192" s="115" t="str">
        <f>IFERROR(__xludf.DUMMYFUNCTION("""COMPUTED_VALUE"""),"FLIPKART")</f>
        <v>FLIPKART</v>
      </c>
      <c r="D192" s="115">
        <f>IFERROR(__xludf.DUMMYFUNCTION("""COMPUTED_VALUE"""),332055.0)</f>
        <v>332055</v>
      </c>
      <c r="E192" s="115">
        <f>IFERROR(__xludf.DUMMYFUNCTION("""COMPUTED_VALUE"""),31031.0)</f>
        <v>31031</v>
      </c>
      <c r="F192" s="115">
        <f>IFERROR(__xludf.DUMMYFUNCTION("""COMPUTED_VALUE"""),164509.0)</f>
        <v>164509</v>
      </c>
      <c r="G192" s="115">
        <f>IFERROR(__xludf.DUMMYFUNCTION("""COMPUTED_VALUE"""),4342.0)</f>
        <v>4342</v>
      </c>
      <c r="H192" s="116">
        <f>IFERROR(__xludf.DUMMYFUNCTION("""COMPUTED_VALUE"""),45901.0)</f>
        <v>45901</v>
      </c>
      <c r="I192" s="115" t="str">
        <f>IFERROR(__xludf.DUMMYFUNCTION("""COMPUTED_VALUE"""),"15")</f>
        <v>15</v>
      </c>
      <c r="J192" s="115" t="str">
        <f>IFERROR(__xludf.DUMMYFUNCTION("""COMPUTED_VALUE"""),"Kandula Sampath2025-09-0115")</f>
        <v>Kandula Sampath2025-09-0115</v>
      </c>
      <c r="K192" s="115">
        <f>IFERROR(__xludf.DUMMYFUNCTION("""COMPUTED_VALUE"""),363086.0)</f>
        <v>363086</v>
      </c>
    </row>
    <row r="193">
      <c r="A193" s="115" t="str">
        <f>IFERROR(__xludf.DUMMYFUNCTION("""COMPUTED_VALUE"""),"SOUTH")</f>
        <v>SOUTH</v>
      </c>
      <c r="B193" s="115" t="str">
        <f>IFERROR(__xludf.DUMMYFUNCTION("""COMPUTED_VALUE"""),"Kandula Sampath")</f>
        <v>Kandula Sampath</v>
      </c>
      <c r="C193" s="115" t="str">
        <f>IFERROR(__xludf.DUMMYFUNCTION("""COMPUTED_VALUE"""),"MYNTRA")</f>
        <v>MYNTRA</v>
      </c>
      <c r="D193" s="115">
        <f>IFERROR(__xludf.DUMMYFUNCTION("""COMPUTED_VALUE"""),34721.0)</f>
        <v>34721</v>
      </c>
      <c r="E193" s="115">
        <f>IFERROR(__xludf.DUMMYFUNCTION("""COMPUTED_VALUE"""),7377.0)</f>
        <v>7377</v>
      </c>
      <c r="F193" s="115">
        <f>IFERROR(__xludf.DUMMYFUNCTION("""COMPUTED_VALUE"""),20061.0)</f>
        <v>20061</v>
      </c>
      <c r="G193" s="115">
        <f>IFERROR(__xludf.DUMMYFUNCTION("""COMPUTED_VALUE"""),1024.0)</f>
        <v>1024</v>
      </c>
      <c r="H193" s="116">
        <f>IFERROR(__xludf.DUMMYFUNCTION("""COMPUTED_VALUE"""),45901.0)</f>
        <v>45901</v>
      </c>
      <c r="I193" s="115" t="str">
        <f>IFERROR(__xludf.DUMMYFUNCTION("""COMPUTED_VALUE"""),"15")</f>
        <v>15</v>
      </c>
      <c r="J193" s="115" t="str">
        <f>IFERROR(__xludf.DUMMYFUNCTION("""COMPUTED_VALUE"""),"Kandula Sampath2025-09-0115")</f>
        <v>Kandula Sampath2025-09-0115</v>
      </c>
      <c r="K193" s="115">
        <f>IFERROR(__xludf.DUMMYFUNCTION("""COMPUTED_VALUE"""),42098.0)</f>
        <v>42098</v>
      </c>
    </row>
    <row r="194">
      <c r="A194" s="115" t="str">
        <f>IFERROR(__xludf.DUMMYFUNCTION("""COMPUTED_VALUE"""),"SOUTH")</f>
        <v>SOUTH</v>
      </c>
      <c r="B194" s="115" t="str">
        <f>IFERROR(__xludf.DUMMYFUNCTION("""COMPUTED_VALUE"""),"Martin A")</f>
        <v>Martin A</v>
      </c>
      <c r="C194" s="115" t="str">
        <f>IFERROR(__xludf.DUMMYFUNCTION("""COMPUTED_VALUE"""),"EXTERNAL")</f>
        <v>EXTERNAL</v>
      </c>
      <c r="D194" s="115">
        <f>IFERROR(__xludf.DUMMYFUNCTION("""COMPUTED_VALUE"""),36983.0)</f>
        <v>36983</v>
      </c>
      <c r="E194" s="115">
        <f>IFERROR(__xludf.DUMMYFUNCTION("""COMPUTED_VALUE"""),2543.0)</f>
        <v>2543</v>
      </c>
      <c r="F194" s="115">
        <f>IFERROR(__xludf.DUMMYFUNCTION("""COMPUTED_VALUE"""),10651.0)</f>
        <v>10651</v>
      </c>
      <c r="G194" s="115">
        <f>IFERROR(__xludf.DUMMYFUNCTION("""COMPUTED_VALUE"""),328.0)</f>
        <v>328</v>
      </c>
      <c r="H194" s="116">
        <f>IFERROR(__xludf.DUMMYFUNCTION("""COMPUTED_VALUE"""),45901.0)</f>
        <v>45901</v>
      </c>
      <c r="I194" s="115" t="str">
        <f>IFERROR(__xludf.DUMMYFUNCTION("""COMPUTED_VALUE"""),"15")</f>
        <v>15</v>
      </c>
      <c r="J194" s="115" t="str">
        <f>IFERROR(__xludf.DUMMYFUNCTION("""COMPUTED_VALUE"""),"Martin A2025-09-0115")</f>
        <v>Martin A2025-09-0115</v>
      </c>
      <c r="K194" s="115">
        <f>IFERROR(__xludf.DUMMYFUNCTION("""COMPUTED_VALUE"""),39526.0)</f>
        <v>39526</v>
      </c>
    </row>
    <row r="195">
      <c r="A195" s="115" t="str">
        <f>IFERROR(__xludf.DUMMYFUNCTION("""COMPUTED_VALUE"""),"SOUTH")</f>
        <v>SOUTH</v>
      </c>
      <c r="B195" s="115" t="str">
        <f>IFERROR(__xludf.DUMMYFUNCTION("""COMPUTED_VALUE"""),"Martin A")</f>
        <v>Martin A</v>
      </c>
      <c r="C195" s="115" t="str">
        <f>IFERROR(__xludf.DUMMYFUNCTION("""COMPUTED_VALUE"""),"FLIPKART")</f>
        <v>FLIPKART</v>
      </c>
      <c r="D195" s="115">
        <f>IFERROR(__xludf.DUMMYFUNCTION("""COMPUTED_VALUE"""),284675.0)</f>
        <v>284675</v>
      </c>
      <c r="E195" s="115">
        <f>IFERROR(__xludf.DUMMYFUNCTION("""COMPUTED_VALUE"""),26772.0)</f>
        <v>26772</v>
      </c>
      <c r="F195" s="115">
        <f>IFERROR(__xludf.DUMMYFUNCTION("""COMPUTED_VALUE"""),142390.0)</f>
        <v>142390</v>
      </c>
      <c r="G195" s="115">
        <f>IFERROR(__xludf.DUMMYFUNCTION("""COMPUTED_VALUE"""),4909.0)</f>
        <v>4909</v>
      </c>
      <c r="H195" s="116">
        <f>IFERROR(__xludf.DUMMYFUNCTION("""COMPUTED_VALUE"""),45901.0)</f>
        <v>45901</v>
      </c>
      <c r="I195" s="115" t="str">
        <f>IFERROR(__xludf.DUMMYFUNCTION("""COMPUTED_VALUE"""),"15")</f>
        <v>15</v>
      </c>
      <c r="J195" s="115" t="str">
        <f>IFERROR(__xludf.DUMMYFUNCTION("""COMPUTED_VALUE"""),"Martin A2025-09-0115")</f>
        <v>Martin A2025-09-0115</v>
      </c>
      <c r="K195" s="115">
        <f>IFERROR(__xludf.DUMMYFUNCTION("""COMPUTED_VALUE"""),311447.0)</f>
        <v>311447</v>
      </c>
    </row>
    <row r="196">
      <c r="A196" s="115" t="str">
        <f>IFERROR(__xludf.DUMMYFUNCTION("""COMPUTED_VALUE"""),"SOUTH")</f>
        <v>SOUTH</v>
      </c>
      <c r="B196" s="115" t="str">
        <f>IFERROR(__xludf.DUMMYFUNCTION("""COMPUTED_VALUE"""),"Martin A")</f>
        <v>Martin A</v>
      </c>
      <c r="C196" s="115" t="str">
        <f>IFERROR(__xludf.DUMMYFUNCTION("""COMPUTED_VALUE"""),"MYNTRA")</f>
        <v>MYNTRA</v>
      </c>
      <c r="D196" s="115">
        <f>IFERROR(__xludf.DUMMYFUNCTION("""COMPUTED_VALUE"""),25826.0)</f>
        <v>25826</v>
      </c>
      <c r="E196" s="115">
        <f>IFERROR(__xludf.DUMMYFUNCTION("""COMPUTED_VALUE"""),6258.0)</f>
        <v>6258</v>
      </c>
      <c r="F196" s="115">
        <f>IFERROR(__xludf.DUMMYFUNCTION("""COMPUTED_VALUE"""),15765.0)</f>
        <v>15765</v>
      </c>
      <c r="G196" s="115">
        <f>IFERROR(__xludf.DUMMYFUNCTION("""COMPUTED_VALUE"""),1321.0)</f>
        <v>1321</v>
      </c>
      <c r="H196" s="116">
        <f>IFERROR(__xludf.DUMMYFUNCTION("""COMPUTED_VALUE"""),45901.0)</f>
        <v>45901</v>
      </c>
      <c r="I196" s="115" t="str">
        <f>IFERROR(__xludf.DUMMYFUNCTION("""COMPUTED_VALUE"""),"15")</f>
        <v>15</v>
      </c>
      <c r="J196" s="115" t="str">
        <f>IFERROR(__xludf.DUMMYFUNCTION("""COMPUTED_VALUE"""),"Martin A2025-09-0115")</f>
        <v>Martin A2025-09-0115</v>
      </c>
      <c r="K196" s="115">
        <f>IFERROR(__xludf.DUMMYFUNCTION("""COMPUTED_VALUE"""),32084.0)</f>
        <v>32084</v>
      </c>
    </row>
    <row r="197">
      <c r="A197" s="115" t="str">
        <f>IFERROR(__xludf.DUMMYFUNCTION("""COMPUTED_VALUE"""),"SOUTH")</f>
        <v>SOUTH</v>
      </c>
      <c r="B197" s="115" t="str">
        <f>IFERROR(__xludf.DUMMYFUNCTION("""COMPUTED_VALUE"""),"Premkumar M")</f>
        <v>Premkumar M</v>
      </c>
      <c r="C197" s="115" t="str">
        <f>IFERROR(__xludf.DUMMYFUNCTION("""COMPUTED_VALUE"""),"EXTERNAL")</f>
        <v>EXTERNAL</v>
      </c>
      <c r="D197" s="115">
        <f>IFERROR(__xludf.DUMMYFUNCTION("""COMPUTED_VALUE"""),32143.0)</f>
        <v>32143</v>
      </c>
      <c r="E197" s="115">
        <f>IFERROR(__xludf.DUMMYFUNCTION("""COMPUTED_VALUE"""),2050.0)</f>
        <v>2050</v>
      </c>
      <c r="F197" s="115">
        <f>IFERROR(__xludf.DUMMYFUNCTION("""COMPUTED_VALUE"""),8993.0)</f>
        <v>8993</v>
      </c>
      <c r="G197" s="115">
        <f>IFERROR(__xludf.DUMMYFUNCTION("""COMPUTED_VALUE"""),93.0)</f>
        <v>93</v>
      </c>
      <c r="H197" s="116">
        <f>IFERROR(__xludf.DUMMYFUNCTION("""COMPUTED_VALUE"""),45901.0)</f>
        <v>45901</v>
      </c>
      <c r="I197" s="115" t="str">
        <f>IFERROR(__xludf.DUMMYFUNCTION("""COMPUTED_VALUE"""),"15")</f>
        <v>15</v>
      </c>
      <c r="J197" s="115" t="str">
        <f>IFERROR(__xludf.DUMMYFUNCTION("""COMPUTED_VALUE"""),"Premkumar M2025-09-0115")</f>
        <v>Premkumar M2025-09-0115</v>
      </c>
      <c r="K197" s="115">
        <f>IFERROR(__xludf.DUMMYFUNCTION("""COMPUTED_VALUE"""),34193.0)</f>
        <v>34193</v>
      </c>
    </row>
    <row r="198">
      <c r="A198" s="115" t="str">
        <f>IFERROR(__xludf.DUMMYFUNCTION("""COMPUTED_VALUE"""),"SOUTH")</f>
        <v>SOUTH</v>
      </c>
      <c r="B198" s="115" t="str">
        <f>IFERROR(__xludf.DUMMYFUNCTION("""COMPUTED_VALUE"""),"Premkumar M")</f>
        <v>Premkumar M</v>
      </c>
      <c r="C198" s="115" t="str">
        <f>IFERROR(__xludf.DUMMYFUNCTION("""COMPUTED_VALUE"""),"FLIPKART")</f>
        <v>FLIPKART</v>
      </c>
      <c r="D198" s="115">
        <f>IFERROR(__xludf.DUMMYFUNCTION("""COMPUTED_VALUE"""),279083.0)</f>
        <v>279083</v>
      </c>
      <c r="E198" s="115">
        <f>IFERROR(__xludf.DUMMYFUNCTION("""COMPUTED_VALUE"""),19715.0)</f>
        <v>19715</v>
      </c>
      <c r="F198" s="115">
        <f>IFERROR(__xludf.DUMMYFUNCTION("""COMPUTED_VALUE"""),121016.0)</f>
        <v>121016</v>
      </c>
      <c r="G198" s="115">
        <f>IFERROR(__xludf.DUMMYFUNCTION("""COMPUTED_VALUE"""),1501.0)</f>
        <v>1501</v>
      </c>
      <c r="H198" s="116">
        <f>IFERROR(__xludf.DUMMYFUNCTION("""COMPUTED_VALUE"""),45901.0)</f>
        <v>45901</v>
      </c>
      <c r="I198" s="115" t="str">
        <f>IFERROR(__xludf.DUMMYFUNCTION("""COMPUTED_VALUE"""),"15")</f>
        <v>15</v>
      </c>
      <c r="J198" s="115" t="str">
        <f>IFERROR(__xludf.DUMMYFUNCTION("""COMPUTED_VALUE"""),"Premkumar M2025-09-0115")</f>
        <v>Premkumar M2025-09-0115</v>
      </c>
      <c r="K198" s="115">
        <f>IFERROR(__xludf.DUMMYFUNCTION("""COMPUTED_VALUE"""),298798.0)</f>
        <v>298798</v>
      </c>
    </row>
    <row r="199">
      <c r="A199" s="115" t="str">
        <f>IFERROR(__xludf.DUMMYFUNCTION("""COMPUTED_VALUE"""),"SOUTH")</f>
        <v>SOUTH</v>
      </c>
      <c r="B199" s="115" t="str">
        <f>IFERROR(__xludf.DUMMYFUNCTION("""COMPUTED_VALUE"""),"Premkumar M")</f>
        <v>Premkumar M</v>
      </c>
      <c r="C199" s="115" t="str">
        <f>IFERROR(__xludf.DUMMYFUNCTION("""COMPUTED_VALUE"""),"MYNTRA")</f>
        <v>MYNTRA</v>
      </c>
      <c r="D199" s="115">
        <f>IFERROR(__xludf.DUMMYFUNCTION("""COMPUTED_VALUE"""),14864.0)</f>
        <v>14864</v>
      </c>
      <c r="E199" s="115">
        <f>IFERROR(__xludf.DUMMYFUNCTION("""COMPUTED_VALUE"""),2882.0)</f>
        <v>2882</v>
      </c>
      <c r="F199" s="115">
        <f>IFERROR(__xludf.DUMMYFUNCTION("""COMPUTED_VALUE"""),7636.0)</f>
        <v>7636</v>
      </c>
      <c r="G199" s="115">
        <f>IFERROR(__xludf.DUMMYFUNCTION("""COMPUTED_VALUE"""),275.0)</f>
        <v>275</v>
      </c>
      <c r="H199" s="116">
        <f>IFERROR(__xludf.DUMMYFUNCTION("""COMPUTED_VALUE"""),45901.0)</f>
        <v>45901</v>
      </c>
      <c r="I199" s="115" t="str">
        <f>IFERROR(__xludf.DUMMYFUNCTION("""COMPUTED_VALUE"""),"15")</f>
        <v>15</v>
      </c>
      <c r="J199" s="115" t="str">
        <f>IFERROR(__xludf.DUMMYFUNCTION("""COMPUTED_VALUE"""),"Premkumar M2025-09-0115")</f>
        <v>Premkumar M2025-09-0115</v>
      </c>
      <c r="K199" s="115">
        <f>IFERROR(__xludf.DUMMYFUNCTION("""COMPUTED_VALUE"""),17746.0)</f>
        <v>17746</v>
      </c>
    </row>
    <row r="200">
      <c r="A200" s="115" t="str">
        <f>IFERROR(__xludf.DUMMYFUNCTION("""COMPUTED_VALUE"""),"SOUTH")</f>
        <v>SOUTH</v>
      </c>
      <c r="B200" s="115" t="str">
        <f>IFERROR(__xludf.DUMMYFUNCTION("""COMPUTED_VALUE"""),"Vineeth V")</f>
        <v>Vineeth V</v>
      </c>
      <c r="C200" s="115" t="str">
        <f>IFERROR(__xludf.DUMMYFUNCTION("""COMPUTED_VALUE"""),"EXTERNAL")</f>
        <v>EXTERNAL</v>
      </c>
      <c r="D200" s="115">
        <f>IFERROR(__xludf.DUMMYFUNCTION("""COMPUTED_VALUE"""),22919.0)</f>
        <v>22919</v>
      </c>
      <c r="E200" s="115">
        <f>IFERROR(__xludf.DUMMYFUNCTION("""COMPUTED_VALUE"""),678.0)</f>
        <v>678</v>
      </c>
      <c r="F200" s="115">
        <f>IFERROR(__xludf.DUMMYFUNCTION("""COMPUTED_VALUE"""),6447.0)</f>
        <v>6447</v>
      </c>
      <c r="G200" s="115">
        <f>IFERROR(__xludf.DUMMYFUNCTION("""COMPUTED_VALUE"""),32.0)</f>
        <v>32</v>
      </c>
      <c r="H200" s="116">
        <f>IFERROR(__xludf.DUMMYFUNCTION("""COMPUTED_VALUE"""),45901.0)</f>
        <v>45901</v>
      </c>
      <c r="I200" s="115" t="str">
        <f>IFERROR(__xludf.DUMMYFUNCTION("""COMPUTED_VALUE"""),"15")</f>
        <v>15</v>
      </c>
      <c r="J200" s="115" t="str">
        <f>IFERROR(__xludf.DUMMYFUNCTION("""COMPUTED_VALUE"""),"Vineeth V2025-09-0115")</f>
        <v>Vineeth V2025-09-0115</v>
      </c>
      <c r="K200" s="115">
        <f>IFERROR(__xludf.DUMMYFUNCTION("""COMPUTED_VALUE"""),23597.0)</f>
        <v>23597</v>
      </c>
    </row>
    <row r="201">
      <c r="A201" s="115" t="str">
        <f>IFERROR(__xludf.DUMMYFUNCTION("""COMPUTED_VALUE"""),"SOUTH")</f>
        <v>SOUTH</v>
      </c>
      <c r="B201" s="115" t="str">
        <f>IFERROR(__xludf.DUMMYFUNCTION("""COMPUTED_VALUE"""),"Vineeth V")</f>
        <v>Vineeth V</v>
      </c>
      <c r="C201" s="115" t="str">
        <f>IFERROR(__xludf.DUMMYFUNCTION("""COMPUTED_VALUE"""),"FLIPKART")</f>
        <v>FLIPKART</v>
      </c>
      <c r="D201" s="115">
        <f>IFERROR(__xludf.DUMMYFUNCTION("""COMPUTED_VALUE"""),254226.0)</f>
        <v>254226</v>
      </c>
      <c r="E201" s="115">
        <f>IFERROR(__xludf.DUMMYFUNCTION("""COMPUTED_VALUE"""),17181.0)</f>
        <v>17181</v>
      </c>
      <c r="F201" s="115">
        <f>IFERROR(__xludf.DUMMYFUNCTION("""COMPUTED_VALUE"""),107746.0)</f>
        <v>107746</v>
      </c>
      <c r="G201" s="115">
        <f>IFERROR(__xludf.DUMMYFUNCTION("""COMPUTED_VALUE"""),692.0)</f>
        <v>692</v>
      </c>
      <c r="H201" s="116">
        <f>IFERROR(__xludf.DUMMYFUNCTION("""COMPUTED_VALUE"""),45901.0)</f>
        <v>45901</v>
      </c>
      <c r="I201" s="115" t="str">
        <f>IFERROR(__xludf.DUMMYFUNCTION("""COMPUTED_VALUE"""),"15")</f>
        <v>15</v>
      </c>
      <c r="J201" s="115" t="str">
        <f>IFERROR(__xludf.DUMMYFUNCTION("""COMPUTED_VALUE"""),"Vineeth V2025-09-0115")</f>
        <v>Vineeth V2025-09-0115</v>
      </c>
      <c r="K201" s="115">
        <f>IFERROR(__xludf.DUMMYFUNCTION("""COMPUTED_VALUE"""),271407.0)</f>
        <v>271407</v>
      </c>
    </row>
    <row r="202">
      <c r="A202" s="115" t="str">
        <f>IFERROR(__xludf.DUMMYFUNCTION("""COMPUTED_VALUE"""),"SOUTH")</f>
        <v>SOUTH</v>
      </c>
      <c r="B202" s="115" t="str">
        <f>IFERROR(__xludf.DUMMYFUNCTION("""COMPUTED_VALUE"""),"Vineeth V")</f>
        <v>Vineeth V</v>
      </c>
      <c r="C202" s="115" t="str">
        <f>IFERROR(__xludf.DUMMYFUNCTION("""COMPUTED_VALUE"""),"MYNTRA")</f>
        <v>MYNTRA</v>
      </c>
      <c r="D202" s="115">
        <f>IFERROR(__xludf.DUMMYFUNCTION("""COMPUTED_VALUE"""),21586.0)</f>
        <v>21586</v>
      </c>
      <c r="E202" s="115">
        <f>IFERROR(__xludf.DUMMYFUNCTION("""COMPUTED_VALUE"""),4003.0)</f>
        <v>4003</v>
      </c>
      <c r="F202" s="115">
        <f>IFERROR(__xludf.DUMMYFUNCTION("""COMPUTED_VALUE"""),10549.0)</f>
        <v>10549</v>
      </c>
      <c r="G202" s="115">
        <f>IFERROR(__xludf.DUMMYFUNCTION("""COMPUTED_VALUE"""),146.0)</f>
        <v>146</v>
      </c>
      <c r="H202" s="116">
        <f>IFERROR(__xludf.DUMMYFUNCTION("""COMPUTED_VALUE"""),45901.0)</f>
        <v>45901</v>
      </c>
      <c r="I202" s="115" t="str">
        <f>IFERROR(__xludf.DUMMYFUNCTION("""COMPUTED_VALUE"""),"15")</f>
        <v>15</v>
      </c>
      <c r="J202" s="115" t="str">
        <f>IFERROR(__xludf.DUMMYFUNCTION("""COMPUTED_VALUE"""),"Vineeth V2025-09-0115")</f>
        <v>Vineeth V2025-09-0115</v>
      </c>
      <c r="K202" s="115">
        <f>IFERROR(__xludf.DUMMYFUNCTION("""COMPUTED_VALUE"""),25589.0)</f>
        <v>25589</v>
      </c>
    </row>
    <row r="203">
      <c r="A203" s="115" t="str">
        <f>IFERROR(__xludf.DUMMYFUNCTION("""COMPUTED_VALUE"""),"WEST")</f>
        <v>WEST</v>
      </c>
      <c r="B203" s="115" t="str">
        <f>IFERROR(__xludf.DUMMYFUNCTION("""COMPUTED_VALUE"""),"Ashish Jakar")</f>
        <v>Ashish Jakar</v>
      </c>
      <c r="C203" s="115" t="str">
        <f>IFERROR(__xludf.DUMMYFUNCTION("""COMPUTED_VALUE"""),"EXTERNAL")</f>
        <v>EXTERNAL</v>
      </c>
      <c r="D203" s="115">
        <f>IFERROR(__xludf.DUMMYFUNCTION("""COMPUTED_VALUE"""),57508.0)</f>
        <v>57508</v>
      </c>
      <c r="E203" s="115">
        <f>IFERROR(__xludf.DUMMYFUNCTION("""COMPUTED_VALUE"""),6734.0)</f>
        <v>6734</v>
      </c>
      <c r="F203" s="115">
        <f>IFERROR(__xludf.DUMMYFUNCTION("""COMPUTED_VALUE"""),16438.0)</f>
        <v>16438</v>
      </c>
      <c r="G203" s="115">
        <f>IFERROR(__xludf.DUMMYFUNCTION("""COMPUTED_VALUE"""),770.0)</f>
        <v>770</v>
      </c>
      <c r="H203" s="116">
        <f>IFERROR(__xludf.DUMMYFUNCTION("""COMPUTED_VALUE"""),45901.0)</f>
        <v>45901</v>
      </c>
      <c r="I203" s="115" t="str">
        <f>IFERROR(__xludf.DUMMYFUNCTION("""COMPUTED_VALUE"""),"15")</f>
        <v>15</v>
      </c>
      <c r="J203" s="115" t="str">
        <f>IFERROR(__xludf.DUMMYFUNCTION("""COMPUTED_VALUE"""),"Ashish Jakar2025-09-0115")</f>
        <v>Ashish Jakar2025-09-0115</v>
      </c>
      <c r="K203" s="115">
        <f>IFERROR(__xludf.DUMMYFUNCTION("""COMPUTED_VALUE"""),64242.0)</f>
        <v>64242</v>
      </c>
    </row>
    <row r="204">
      <c r="A204" s="115" t="str">
        <f>IFERROR(__xludf.DUMMYFUNCTION("""COMPUTED_VALUE"""),"WEST")</f>
        <v>WEST</v>
      </c>
      <c r="B204" s="115" t="str">
        <f>IFERROR(__xludf.DUMMYFUNCTION("""COMPUTED_VALUE"""),"Ashish Jakar")</f>
        <v>Ashish Jakar</v>
      </c>
      <c r="C204" s="115" t="str">
        <f>IFERROR(__xludf.DUMMYFUNCTION("""COMPUTED_VALUE"""),"FLIPKART")</f>
        <v>FLIPKART</v>
      </c>
      <c r="D204" s="115">
        <f>IFERROR(__xludf.DUMMYFUNCTION("""COMPUTED_VALUE"""),312325.0)</f>
        <v>312325</v>
      </c>
      <c r="E204" s="115">
        <f>IFERROR(__xludf.DUMMYFUNCTION("""COMPUTED_VALUE"""),33328.0)</f>
        <v>33328</v>
      </c>
      <c r="F204" s="115">
        <f>IFERROR(__xludf.DUMMYFUNCTION("""COMPUTED_VALUE"""),155347.0)</f>
        <v>155347</v>
      </c>
      <c r="G204" s="115">
        <f>IFERROR(__xludf.DUMMYFUNCTION("""COMPUTED_VALUE"""),6047.0)</f>
        <v>6047</v>
      </c>
      <c r="H204" s="116">
        <f>IFERROR(__xludf.DUMMYFUNCTION("""COMPUTED_VALUE"""),45901.0)</f>
        <v>45901</v>
      </c>
      <c r="I204" s="115" t="str">
        <f>IFERROR(__xludf.DUMMYFUNCTION("""COMPUTED_VALUE"""),"15")</f>
        <v>15</v>
      </c>
      <c r="J204" s="115" t="str">
        <f>IFERROR(__xludf.DUMMYFUNCTION("""COMPUTED_VALUE"""),"Ashish Jakar2025-09-0115")</f>
        <v>Ashish Jakar2025-09-0115</v>
      </c>
      <c r="K204" s="115">
        <f>IFERROR(__xludf.DUMMYFUNCTION("""COMPUTED_VALUE"""),345653.0)</f>
        <v>345653</v>
      </c>
    </row>
    <row r="205">
      <c r="A205" s="115" t="str">
        <f>IFERROR(__xludf.DUMMYFUNCTION("""COMPUTED_VALUE"""),"WEST")</f>
        <v>WEST</v>
      </c>
      <c r="B205" s="115" t="str">
        <f>IFERROR(__xludf.DUMMYFUNCTION("""COMPUTED_VALUE"""),"Ashish Jakar")</f>
        <v>Ashish Jakar</v>
      </c>
      <c r="C205" s="115" t="str">
        <f>IFERROR(__xludf.DUMMYFUNCTION("""COMPUTED_VALUE"""),"MYNTRA")</f>
        <v>MYNTRA</v>
      </c>
      <c r="D205" s="115">
        <f>IFERROR(__xludf.DUMMYFUNCTION("""COMPUTED_VALUE"""),40344.0)</f>
        <v>40344</v>
      </c>
      <c r="E205" s="115">
        <f>IFERROR(__xludf.DUMMYFUNCTION("""COMPUTED_VALUE"""),10181.0)</f>
        <v>10181</v>
      </c>
      <c r="F205" s="115">
        <f>IFERROR(__xludf.DUMMYFUNCTION("""COMPUTED_VALUE"""),24700.0)</f>
        <v>24700</v>
      </c>
      <c r="G205" s="115">
        <f>IFERROR(__xludf.DUMMYFUNCTION("""COMPUTED_VALUE"""),2185.0)</f>
        <v>2185</v>
      </c>
      <c r="H205" s="116">
        <f>IFERROR(__xludf.DUMMYFUNCTION("""COMPUTED_VALUE"""),45901.0)</f>
        <v>45901</v>
      </c>
      <c r="I205" s="115" t="str">
        <f>IFERROR(__xludf.DUMMYFUNCTION("""COMPUTED_VALUE"""),"15")</f>
        <v>15</v>
      </c>
      <c r="J205" s="115" t="str">
        <f>IFERROR(__xludf.DUMMYFUNCTION("""COMPUTED_VALUE"""),"Ashish Jakar2025-09-0115")</f>
        <v>Ashish Jakar2025-09-0115</v>
      </c>
      <c r="K205" s="115">
        <f>IFERROR(__xludf.DUMMYFUNCTION("""COMPUTED_VALUE"""),50525.0)</f>
        <v>50525</v>
      </c>
    </row>
    <row r="206">
      <c r="A206" s="115" t="str">
        <f>IFERROR(__xludf.DUMMYFUNCTION("""COMPUTED_VALUE"""),"WEST")</f>
        <v>WEST</v>
      </c>
      <c r="B206" s="115" t="str">
        <f>IFERROR(__xludf.DUMMYFUNCTION("""COMPUTED_VALUE"""),"Ashvani Bhatt")</f>
        <v>Ashvani Bhatt</v>
      </c>
      <c r="C206" s="115" t="str">
        <f>IFERROR(__xludf.DUMMYFUNCTION("""COMPUTED_VALUE"""),"EXTERNAL")</f>
        <v>EXTERNAL</v>
      </c>
      <c r="D206" s="115">
        <f>IFERROR(__xludf.DUMMYFUNCTION("""COMPUTED_VALUE"""),38130.0)</f>
        <v>38130</v>
      </c>
      <c r="E206" s="115">
        <f>IFERROR(__xludf.DUMMYFUNCTION("""COMPUTED_VALUE"""),3965.0)</f>
        <v>3965</v>
      </c>
      <c r="F206" s="115">
        <f>IFERROR(__xludf.DUMMYFUNCTION("""COMPUTED_VALUE"""),11635.0)</f>
        <v>11635</v>
      </c>
      <c r="G206" s="115">
        <f>IFERROR(__xludf.DUMMYFUNCTION("""COMPUTED_VALUE"""),391.0)</f>
        <v>391</v>
      </c>
      <c r="H206" s="116">
        <f>IFERROR(__xludf.DUMMYFUNCTION("""COMPUTED_VALUE"""),45901.0)</f>
        <v>45901</v>
      </c>
      <c r="I206" s="115" t="str">
        <f>IFERROR(__xludf.DUMMYFUNCTION("""COMPUTED_VALUE"""),"15")</f>
        <v>15</v>
      </c>
      <c r="J206" s="115" t="str">
        <f>IFERROR(__xludf.DUMMYFUNCTION("""COMPUTED_VALUE"""),"Ashvani Bhatt2025-09-0115")</f>
        <v>Ashvani Bhatt2025-09-0115</v>
      </c>
      <c r="K206" s="115">
        <f>IFERROR(__xludf.DUMMYFUNCTION("""COMPUTED_VALUE"""),42095.0)</f>
        <v>42095</v>
      </c>
    </row>
    <row r="207">
      <c r="A207" s="115" t="str">
        <f>IFERROR(__xludf.DUMMYFUNCTION("""COMPUTED_VALUE"""),"WEST")</f>
        <v>WEST</v>
      </c>
      <c r="B207" s="115" t="str">
        <f>IFERROR(__xludf.DUMMYFUNCTION("""COMPUTED_VALUE"""),"Ashvani Bhatt")</f>
        <v>Ashvani Bhatt</v>
      </c>
      <c r="C207" s="115" t="str">
        <f>IFERROR(__xludf.DUMMYFUNCTION("""COMPUTED_VALUE"""),"FLIPKART")</f>
        <v>FLIPKART</v>
      </c>
      <c r="D207" s="115">
        <f>IFERROR(__xludf.DUMMYFUNCTION("""COMPUTED_VALUE"""),256467.0)</f>
        <v>256467</v>
      </c>
      <c r="E207" s="115">
        <f>IFERROR(__xludf.DUMMYFUNCTION("""COMPUTED_VALUE"""),29044.0)</f>
        <v>29044</v>
      </c>
      <c r="F207" s="115">
        <f>IFERROR(__xludf.DUMMYFUNCTION("""COMPUTED_VALUE"""),137495.0)</f>
        <v>137495</v>
      </c>
      <c r="G207" s="115">
        <f>IFERROR(__xludf.DUMMYFUNCTION("""COMPUTED_VALUE"""),5230.0)</f>
        <v>5230</v>
      </c>
      <c r="H207" s="116">
        <f>IFERROR(__xludf.DUMMYFUNCTION("""COMPUTED_VALUE"""),45901.0)</f>
        <v>45901</v>
      </c>
      <c r="I207" s="115" t="str">
        <f>IFERROR(__xludf.DUMMYFUNCTION("""COMPUTED_VALUE"""),"15")</f>
        <v>15</v>
      </c>
      <c r="J207" s="115" t="str">
        <f>IFERROR(__xludf.DUMMYFUNCTION("""COMPUTED_VALUE"""),"Ashvani Bhatt2025-09-0115")</f>
        <v>Ashvani Bhatt2025-09-0115</v>
      </c>
      <c r="K207" s="115">
        <f>IFERROR(__xludf.DUMMYFUNCTION("""COMPUTED_VALUE"""),285511.0)</f>
        <v>285511</v>
      </c>
    </row>
    <row r="208">
      <c r="A208" s="115" t="str">
        <f>IFERROR(__xludf.DUMMYFUNCTION("""COMPUTED_VALUE"""),"WEST")</f>
        <v>WEST</v>
      </c>
      <c r="B208" s="115" t="str">
        <f>IFERROR(__xludf.DUMMYFUNCTION("""COMPUTED_VALUE"""),"Ashvani Bhatt")</f>
        <v>Ashvani Bhatt</v>
      </c>
      <c r="C208" s="115" t="str">
        <f>IFERROR(__xludf.DUMMYFUNCTION("""COMPUTED_VALUE"""),"MYNTRA")</f>
        <v>MYNTRA</v>
      </c>
      <c r="D208" s="115">
        <f>IFERROR(__xludf.DUMMYFUNCTION("""COMPUTED_VALUE"""),32337.0)</f>
        <v>32337</v>
      </c>
      <c r="E208" s="115">
        <f>IFERROR(__xludf.DUMMYFUNCTION("""COMPUTED_VALUE"""),7928.0)</f>
        <v>7928</v>
      </c>
      <c r="F208" s="115">
        <f>IFERROR(__xludf.DUMMYFUNCTION("""COMPUTED_VALUE"""),21705.0)</f>
        <v>21705</v>
      </c>
      <c r="G208" s="115">
        <f>IFERROR(__xludf.DUMMYFUNCTION("""COMPUTED_VALUE"""),1765.0)</f>
        <v>1765</v>
      </c>
      <c r="H208" s="116">
        <f>IFERROR(__xludf.DUMMYFUNCTION("""COMPUTED_VALUE"""),45901.0)</f>
        <v>45901</v>
      </c>
      <c r="I208" s="115" t="str">
        <f>IFERROR(__xludf.DUMMYFUNCTION("""COMPUTED_VALUE"""),"15")</f>
        <v>15</v>
      </c>
      <c r="J208" s="115" t="str">
        <f>IFERROR(__xludf.DUMMYFUNCTION("""COMPUTED_VALUE"""),"Ashvani Bhatt2025-09-0115")</f>
        <v>Ashvani Bhatt2025-09-0115</v>
      </c>
      <c r="K208" s="115">
        <f>IFERROR(__xludf.DUMMYFUNCTION("""COMPUTED_VALUE"""),40265.0)</f>
        <v>40265</v>
      </c>
    </row>
    <row r="209">
      <c r="A209" s="115"/>
      <c r="B209" s="115"/>
      <c r="C209" s="115" t="str">
        <f>IFERROR(__xludf.DUMMYFUNCTION("""COMPUTED_VALUE"""),"EXTERNAL")</f>
        <v>EXTERNAL</v>
      </c>
      <c r="D209" s="115">
        <f>IFERROR(__xludf.DUMMYFUNCTION("""COMPUTED_VALUE"""),1481.0)</f>
        <v>1481</v>
      </c>
      <c r="E209" s="115">
        <f>IFERROR(__xludf.DUMMYFUNCTION("""COMPUTED_VALUE"""),150.0)</f>
        <v>150</v>
      </c>
      <c r="F209" s="115">
        <f>IFERROR(__xludf.DUMMYFUNCTION("""COMPUTED_VALUE"""),282.0)</f>
        <v>282</v>
      </c>
      <c r="G209" s="115">
        <f>IFERROR(__xludf.DUMMYFUNCTION("""COMPUTED_VALUE"""),14.0)</f>
        <v>14</v>
      </c>
      <c r="H209" s="116">
        <f>IFERROR(__xludf.DUMMYFUNCTION("""COMPUTED_VALUE"""),45901.0)</f>
        <v>45901</v>
      </c>
      <c r="I209" s="115" t="str">
        <f>IFERROR(__xludf.DUMMYFUNCTION("""COMPUTED_VALUE"""),"15")</f>
        <v>15</v>
      </c>
      <c r="J209" s="115" t="str">
        <f>IFERROR(__xludf.DUMMYFUNCTION("""COMPUTED_VALUE"""),"2025-09-0115")</f>
        <v>2025-09-0115</v>
      </c>
      <c r="K209" s="115">
        <f>IFERROR(__xludf.DUMMYFUNCTION("""COMPUTED_VALUE"""),1631.0)</f>
        <v>1631</v>
      </c>
    </row>
    <row r="210">
      <c r="A210" s="115"/>
      <c r="B210" s="115"/>
      <c r="C210" s="115" t="str">
        <f>IFERROR(__xludf.DUMMYFUNCTION("""COMPUTED_VALUE"""),"FLIPKART")</f>
        <v>FLIPKART</v>
      </c>
      <c r="D210" s="115">
        <f>IFERROR(__xludf.DUMMYFUNCTION("""COMPUTED_VALUE"""),13471.0)</f>
        <v>13471</v>
      </c>
      <c r="E210" s="115">
        <f>IFERROR(__xludf.DUMMYFUNCTION("""COMPUTED_VALUE"""),1304.0)</f>
        <v>1304</v>
      </c>
      <c r="F210" s="115">
        <f>IFERROR(__xludf.DUMMYFUNCTION("""COMPUTED_VALUE"""),4848.0)</f>
        <v>4848</v>
      </c>
      <c r="G210" s="115">
        <f>IFERROR(__xludf.DUMMYFUNCTION("""COMPUTED_VALUE"""),254.0)</f>
        <v>254</v>
      </c>
      <c r="H210" s="116">
        <f>IFERROR(__xludf.DUMMYFUNCTION("""COMPUTED_VALUE"""),45901.0)</f>
        <v>45901</v>
      </c>
      <c r="I210" s="115" t="str">
        <f>IFERROR(__xludf.DUMMYFUNCTION("""COMPUTED_VALUE"""),"15")</f>
        <v>15</v>
      </c>
      <c r="J210" s="115" t="str">
        <f>IFERROR(__xludf.DUMMYFUNCTION("""COMPUTED_VALUE"""),"2025-09-0115")</f>
        <v>2025-09-0115</v>
      </c>
      <c r="K210" s="115">
        <f>IFERROR(__xludf.DUMMYFUNCTION("""COMPUTED_VALUE"""),14775.0)</f>
        <v>14775</v>
      </c>
    </row>
    <row r="211">
      <c r="A211" s="115"/>
      <c r="B211" s="115"/>
      <c r="C211" s="115" t="str">
        <f>IFERROR(__xludf.DUMMYFUNCTION("""COMPUTED_VALUE"""),"MYNTRA")</f>
        <v>MYNTRA</v>
      </c>
      <c r="D211" s="115">
        <f>IFERROR(__xludf.DUMMYFUNCTION("""COMPUTED_VALUE"""),1198.0)</f>
        <v>1198</v>
      </c>
      <c r="E211" s="115">
        <f>IFERROR(__xludf.DUMMYFUNCTION("""COMPUTED_VALUE"""),259.0)</f>
        <v>259</v>
      </c>
      <c r="F211" s="115">
        <f>IFERROR(__xludf.DUMMYFUNCTION("""COMPUTED_VALUE"""),489.0)</f>
        <v>489</v>
      </c>
      <c r="G211" s="115">
        <f>IFERROR(__xludf.DUMMYFUNCTION("""COMPUTED_VALUE"""),42.0)</f>
        <v>42</v>
      </c>
      <c r="H211" s="116">
        <f>IFERROR(__xludf.DUMMYFUNCTION("""COMPUTED_VALUE"""),45901.0)</f>
        <v>45901</v>
      </c>
      <c r="I211" s="115" t="str">
        <f>IFERROR(__xludf.DUMMYFUNCTION("""COMPUTED_VALUE"""),"15")</f>
        <v>15</v>
      </c>
      <c r="J211" s="115" t="str">
        <f>IFERROR(__xludf.DUMMYFUNCTION("""COMPUTED_VALUE"""),"2025-09-0115")</f>
        <v>2025-09-0115</v>
      </c>
      <c r="K211" s="115">
        <f>IFERROR(__xludf.DUMMYFUNCTION("""COMPUTED_VALUE"""),1457.0)</f>
        <v>1457</v>
      </c>
    </row>
    <row r="212">
      <c r="A212" s="115" t="str">
        <f>IFERROR(__xludf.DUMMYFUNCTION("""COMPUTED_VALUE"""),"EAST")</f>
        <v>EAST</v>
      </c>
      <c r="B212" s="115" t="str">
        <f>IFERROR(__xludf.DUMMYFUNCTION("""COMPUTED_VALUE"""),"Ashish Ranjan")</f>
        <v>Ashish Ranjan</v>
      </c>
      <c r="C212" s="115" t="str">
        <f>IFERROR(__xludf.DUMMYFUNCTION("""COMPUTED_VALUE"""),"EXTERNAL")</f>
        <v>EXTERNAL</v>
      </c>
      <c r="D212" s="115">
        <f>IFERROR(__xludf.DUMMYFUNCTION("""COMPUTED_VALUE"""),40291.0)</f>
        <v>40291</v>
      </c>
      <c r="E212" s="115">
        <f>IFERROR(__xludf.DUMMYFUNCTION("""COMPUTED_VALUE"""),3123.0)</f>
        <v>3123</v>
      </c>
      <c r="F212" s="115">
        <f>IFERROR(__xludf.DUMMYFUNCTION("""COMPUTED_VALUE"""),17331.0)</f>
        <v>17331</v>
      </c>
      <c r="G212" s="115">
        <f>IFERROR(__xludf.DUMMYFUNCTION("""COMPUTED_VALUE"""),569.0)</f>
        <v>569</v>
      </c>
      <c r="H212" s="116">
        <f>IFERROR(__xludf.DUMMYFUNCTION("""COMPUTED_VALUE"""),45901.0)</f>
        <v>45901</v>
      </c>
      <c r="I212" s="115" t="str">
        <f>IFERROR(__xludf.DUMMYFUNCTION("""COMPUTED_VALUE"""),"16")</f>
        <v>16</v>
      </c>
      <c r="J212" s="115" t="str">
        <f>IFERROR(__xludf.DUMMYFUNCTION("""COMPUTED_VALUE"""),"Ashish Ranjan2025-09-0116")</f>
        <v>Ashish Ranjan2025-09-0116</v>
      </c>
      <c r="K212" s="115">
        <f>IFERROR(__xludf.DUMMYFUNCTION("""COMPUTED_VALUE"""),43414.0)</f>
        <v>43414</v>
      </c>
    </row>
    <row r="213">
      <c r="A213" s="115" t="str">
        <f>IFERROR(__xludf.DUMMYFUNCTION("""COMPUTED_VALUE"""),"EAST")</f>
        <v>EAST</v>
      </c>
      <c r="B213" s="115" t="str">
        <f>IFERROR(__xludf.DUMMYFUNCTION("""COMPUTED_VALUE"""),"Ashish Ranjan")</f>
        <v>Ashish Ranjan</v>
      </c>
      <c r="C213" s="115" t="str">
        <f>IFERROR(__xludf.DUMMYFUNCTION("""COMPUTED_VALUE"""),"FLIPKART")</f>
        <v>FLIPKART</v>
      </c>
      <c r="D213" s="115">
        <f>IFERROR(__xludf.DUMMYFUNCTION("""COMPUTED_VALUE"""),587479.0)</f>
        <v>587479</v>
      </c>
      <c r="E213" s="115">
        <f>IFERROR(__xludf.DUMMYFUNCTION("""COMPUTED_VALUE"""),60630.0)</f>
        <v>60630</v>
      </c>
      <c r="F213" s="115">
        <f>IFERROR(__xludf.DUMMYFUNCTION("""COMPUTED_VALUE"""),411713.0)</f>
        <v>411713</v>
      </c>
      <c r="G213" s="115">
        <f>IFERROR(__xludf.DUMMYFUNCTION("""COMPUTED_VALUE"""),17007.0)</f>
        <v>17007</v>
      </c>
      <c r="H213" s="116">
        <f>IFERROR(__xludf.DUMMYFUNCTION("""COMPUTED_VALUE"""),45901.0)</f>
        <v>45901</v>
      </c>
      <c r="I213" s="115" t="str">
        <f>IFERROR(__xludf.DUMMYFUNCTION("""COMPUTED_VALUE"""),"16")</f>
        <v>16</v>
      </c>
      <c r="J213" s="115" t="str">
        <f>IFERROR(__xludf.DUMMYFUNCTION("""COMPUTED_VALUE"""),"Ashish Ranjan2025-09-0116")</f>
        <v>Ashish Ranjan2025-09-0116</v>
      </c>
      <c r="K213" s="115">
        <f>IFERROR(__xludf.DUMMYFUNCTION("""COMPUTED_VALUE"""),648109.0)</f>
        <v>648109</v>
      </c>
    </row>
    <row r="214">
      <c r="A214" s="115" t="str">
        <f>IFERROR(__xludf.DUMMYFUNCTION("""COMPUTED_VALUE"""),"EAST")</f>
        <v>EAST</v>
      </c>
      <c r="B214" s="115" t="str">
        <f>IFERROR(__xludf.DUMMYFUNCTION("""COMPUTED_VALUE"""),"Ashish Ranjan")</f>
        <v>Ashish Ranjan</v>
      </c>
      <c r="C214" s="115" t="str">
        <f>IFERROR(__xludf.DUMMYFUNCTION("""COMPUTED_VALUE"""),"MYNTRA")</f>
        <v>MYNTRA</v>
      </c>
      <c r="D214" s="115">
        <f>IFERROR(__xludf.DUMMYFUNCTION("""COMPUTED_VALUE"""),56362.0)</f>
        <v>56362</v>
      </c>
      <c r="E214" s="115">
        <f>IFERROR(__xludf.DUMMYFUNCTION("""COMPUTED_VALUE"""),10711.0)</f>
        <v>10711</v>
      </c>
      <c r="F214" s="115">
        <f>IFERROR(__xludf.DUMMYFUNCTION("""COMPUTED_VALUE"""),41763.0)</f>
        <v>41763</v>
      </c>
      <c r="G214" s="115">
        <f>IFERROR(__xludf.DUMMYFUNCTION("""COMPUTED_VALUE"""),2939.0)</f>
        <v>2939</v>
      </c>
      <c r="H214" s="116">
        <f>IFERROR(__xludf.DUMMYFUNCTION("""COMPUTED_VALUE"""),45901.0)</f>
        <v>45901</v>
      </c>
      <c r="I214" s="115" t="str">
        <f>IFERROR(__xludf.DUMMYFUNCTION("""COMPUTED_VALUE"""),"16")</f>
        <v>16</v>
      </c>
      <c r="J214" s="115" t="str">
        <f>IFERROR(__xludf.DUMMYFUNCTION("""COMPUTED_VALUE"""),"Ashish Ranjan2025-09-0116")</f>
        <v>Ashish Ranjan2025-09-0116</v>
      </c>
      <c r="K214" s="115">
        <f>IFERROR(__xludf.DUMMYFUNCTION("""COMPUTED_VALUE"""),67073.0)</f>
        <v>67073</v>
      </c>
    </row>
    <row r="215">
      <c r="A215" s="115" t="str">
        <f>IFERROR(__xludf.DUMMYFUNCTION("""COMPUTED_VALUE"""),"EAST")</f>
        <v>EAST</v>
      </c>
      <c r="B215" s="115" t="str">
        <f>IFERROR(__xludf.DUMMYFUNCTION("""COMPUTED_VALUE"""),"Girish Chand")</f>
        <v>Girish Chand</v>
      </c>
      <c r="C215" s="115" t="str">
        <f>IFERROR(__xludf.DUMMYFUNCTION("""COMPUTED_VALUE"""),"EXTERNAL")</f>
        <v>EXTERNAL</v>
      </c>
      <c r="D215" s="115">
        <f>IFERROR(__xludf.DUMMYFUNCTION("""COMPUTED_VALUE"""),25288.0)</f>
        <v>25288</v>
      </c>
      <c r="E215" s="115">
        <f>IFERROR(__xludf.DUMMYFUNCTION("""COMPUTED_VALUE"""),2422.0)</f>
        <v>2422</v>
      </c>
      <c r="F215" s="115">
        <f>IFERROR(__xludf.DUMMYFUNCTION("""COMPUTED_VALUE"""),8614.0)</f>
        <v>8614</v>
      </c>
      <c r="G215" s="115">
        <f>IFERROR(__xludf.DUMMYFUNCTION("""COMPUTED_VALUE"""),197.0)</f>
        <v>197</v>
      </c>
      <c r="H215" s="116">
        <f>IFERROR(__xludf.DUMMYFUNCTION("""COMPUTED_VALUE"""),45901.0)</f>
        <v>45901</v>
      </c>
      <c r="I215" s="115" t="str">
        <f>IFERROR(__xludf.DUMMYFUNCTION("""COMPUTED_VALUE"""),"16")</f>
        <v>16</v>
      </c>
      <c r="J215" s="115" t="str">
        <f>IFERROR(__xludf.DUMMYFUNCTION("""COMPUTED_VALUE"""),"Girish Chand2025-09-0116")</f>
        <v>Girish Chand2025-09-0116</v>
      </c>
      <c r="K215" s="115">
        <f>IFERROR(__xludf.DUMMYFUNCTION("""COMPUTED_VALUE"""),27710.0)</f>
        <v>27710</v>
      </c>
    </row>
    <row r="216">
      <c r="A216" s="115" t="str">
        <f>IFERROR(__xludf.DUMMYFUNCTION("""COMPUTED_VALUE"""),"EAST")</f>
        <v>EAST</v>
      </c>
      <c r="B216" s="115" t="str">
        <f>IFERROR(__xludf.DUMMYFUNCTION("""COMPUTED_VALUE"""),"Girish Chand")</f>
        <v>Girish Chand</v>
      </c>
      <c r="C216" s="115" t="str">
        <f>IFERROR(__xludf.DUMMYFUNCTION("""COMPUTED_VALUE"""),"FLIPKART")</f>
        <v>FLIPKART</v>
      </c>
      <c r="D216" s="115">
        <f>IFERROR(__xludf.DUMMYFUNCTION("""COMPUTED_VALUE"""),414010.0)</f>
        <v>414010</v>
      </c>
      <c r="E216" s="115">
        <f>IFERROR(__xludf.DUMMYFUNCTION("""COMPUTED_VALUE"""),37769.0)</f>
        <v>37769</v>
      </c>
      <c r="F216" s="115">
        <f>IFERROR(__xludf.DUMMYFUNCTION("""COMPUTED_VALUE"""),240985.0)</f>
        <v>240985</v>
      </c>
      <c r="G216" s="115">
        <f>IFERROR(__xludf.DUMMYFUNCTION("""COMPUTED_VALUE"""),6472.0)</f>
        <v>6472</v>
      </c>
      <c r="H216" s="116">
        <f>IFERROR(__xludf.DUMMYFUNCTION("""COMPUTED_VALUE"""),45901.0)</f>
        <v>45901</v>
      </c>
      <c r="I216" s="115" t="str">
        <f>IFERROR(__xludf.DUMMYFUNCTION("""COMPUTED_VALUE"""),"16")</f>
        <v>16</v>
      </c>
      <c r="J216" s="115" t="str">
        <f>IFERROR(__xludf.DUMMYFUNCTION("""COMPUTED_VALUE"""),"Girish Chand2025-09-0116")</f>
        <v>Girish Chand2025-09-0116</v>
      </c>
      <c r="K216" s="115">
        <f>IFERROR(__xludf.DUMMYFUNCTION("""COMPUTED_VALUE"""),451779.0)</f>
        <v>451779</v>
      </c>
    </row>
    <row r="217">
      <c r="A217" s="115" t="str">
        <f>IFERROR(__xludf.DUMMYFUNCTION("""COMPUTED_VALUE"""),"EAST")</f>
        <v>EAST</v>
      </c>
      <c r="B217" s="115" t="str">
        <f>IFERROR(__xludf.DUMMYFUNCTION("""COMPUTED_VALUE"""),"Girish Chand")</f>
        <v>Girish Chand</v>
      </c>
      <c r="C217" s="115" t="str">
        <f>IFERROR(__xludf.DUMMYFUNCTION("""COMPUTED_VALUE"""),"MYNTRA")</f>
        <v>MYNTRA</v>
      </c>
      <c r="D217" s="115">
        <f>IFERROR(__xludf.DUMMYFUNCTION("""COMPUTED_VALUE"""),31899.0)</f>
        <v>31899</v>
      </c>
      <c r="E217" s="115">
        <f>IFERROR(__xludf.DUMMYFUNCTION("""COMPUTED_VALUE"""),5811.0)</f>
        <v>5811</v>
      </c>
      <c r="F217" s="115">
        <f>IFERROR(__xludf.DUMMYFUNCTION("""COMPUTED_VALUE"""),20721.0)</f>
        <v>20721</v>
      </c>
      <c r="G217" s="115">
        <f>IFERROR(__xludf.DUMMYFUNCTION("""COMPUTED_VALUE"""),1166.0)</f>
        <v>1166</v>
      </c>
      <c r="H217" s="116">
        <f>IFERROR(__xludf.DUMMYFUNCTION("""COMPUTED_VALUE"""),45901.0)</f>
        <v>45901</v>
      </c>
      <c r="I217" s="115" t="str">
        <f>IFERROR(__xludf.DUMMYFUNCTION("""COMPUTED_VALUE"""),"16")</f>
        <v>16</v>
      </c>
      <c r="J217" s="115" t="str">
        <f>IFERROR(__xludf.DUMMYFUNCTION("""COMPUTED_VALUE"""),"Girish Chand2025-09-0116")</f>
        <v>Girish Chand2025-09-0116</v>
      </c>
      <c r="K217" s="115">
        <f>IFERROR(__xludf.DUMMYFUNCTION("""COMPUTED_VALUE"""),37710.0)</f>
        <v>37710</v>
      </c>
    </row>
    <row r="218">
      <c r="A218" s="115" t="str">
        <f>IFERROR(__xludf.DUMMYFUNCTION("""COMPUTED_VALUE"""),"EAST")</f>
        <v>EAST</v>
      </c>
      <c r="B218" s="115" t="str">
        <f>IFERROR(__xludf.DUMMYFUNCTION("""COMPUTED_VALUE"""),"Parag Kashyap")</f>
        <v>Parag Kashyap</v>
      </c>
      <c r="C218" s="115" t="str">
        <f>IFERROR(__xludf.DUMMYFUNCTION("""COMPUTED_VALUE"""),"EXTERNAL")</f>
        <v>EXTERNAL</v>
      </c>
      <c r="D218" s="115">
        <f>IFERROR(__xludf.DUMMYFUNCTION("""COMPUTED_VALUE"""),22941.0)</f>
        <v>22941</v>
      </c>
      <c r="E218" s="115">
        <f>IFERROR(__xludf.DUMMYFUNCTION("""COMPUTED_VALUE"""),1288.0)</f>
        <v>1288</v>
      </c>
      <c r="F218" s="115">
        <f>IFERROR(__xludf.DUMMYFUNCTION("""COMPUTED_VALUE"""),6880.0)</f>
        <v>6880</v>
      </c>
      <c r="G218" s="115">
        <f>IFERROR(__xludf.DUMMYFUNCTION("""COMPUTED_VALUE"""),40.0)</f>
        <v>40</v>
      </c>
      <c r="H218" s="116">
        <f>IFERROR(__xludf.DUMMYFUNCTION("""COMPUTED_VALUE"""),45901.0)</f>
        <v>45901</v>
      </c>
      <c r="I218" s="115" t="str">
        <f>IFERROR(__xludf.DUMMYFUNCTION("""COMPUTED_VALUE"""),"16")</f>
        <v>16</v>
      </c>
      <c r="J218" s="115" t="str">
        <f>IFERROR(__xludf.DUMMYFUNCTION("""COMPUTED_VALUE"""),"Parag Kashyap2025-09-0116")</f>
        <v>Parag Kashyap2025-09-0116</v>
      </c>
      <c r="K218" s="115">
        <f>IFERROR(__xludf.DUMMYFUNCTION("""COMPUTED_VALUE"""),24229.0)</f>
        <v>24229</v>
      </c>
    </row>
    <row r="219">
      <c r="A219" s="115" t="str">
        <f>IFERROR(__xludf.DUMMYFUNCTION("""COMPUTED_VALUE"""),"EAST")</f>
        <v>EAST</v>
      </c>
      <c r="B219" s="115" t="str">
        <f>IFERROR(__xludf.DUMMYFUNCTION("""COMPUTED_VALUE"""),"Parag Kashyap")</f>
        <v>Parag Kashyap</v>
      </c>
      <c r="C219" s="115" t="str">
        <f>IFERROR(__xludf.DUMMYFUNCTION("""COMPUTED_VALUE"""),"FLIPKART")</f>
        <v>FLIPKART</v>
      </c>
      <c r="D219" s="115">
        <f>IFERROR(__xludf.DUMMYFUNCTION("""COMPUTED_VALUE"""),319589.0)</f>
        <v>319589</v>
      </c>
      <c r="E219" s="115">
        <f>IFERROR(__xludf.DUMMYFUNCTION("""COMPUTED_VALUE"""),17379.0)</f>
        <v>17379</v>
      </c>
      <c r="F219" s="115">
        <f>IFERROR(__xludf.DUMMYFUNCTION("""COMPUTED_VALUE"""),175413.0)</f>
        <v>175413</v>
      </c>
      <c r="G219" s="115">
        <f>IFERROR(__xludf.DUMMYFUNCTION("""COMPUTED_VALUE"""),1884.0)</f>
        <v>1884</v>
      </c>
      <c r="H219" s="116">
        <f>IFERROR(__xludf.DUMMYFUNCTION("""COMPUTED_VALUE"""),45901.0)</f>
        <v>45901</v>
      </c>
      <c r="I219" s="115" t="str">
        <f>IFERROR(__xludf.DUMMYFUNCTION("""COMPUTED_VALUE"""),"16")</f>
        <v>16</v>
      </c>
      <c r="J219" s="115" t="str">
        <f>IFERROR(__xludf.DUMMYFUNCTION("""COMPUTED_VALUE"""),"Parag Kashyap2025-09-0116")</f>
        <v>Parag Kashyap2025-09-0116</v>
      </c>
      <c r="K219" s="115">
        <f>IFERROR(__xludf.DUMMYFUNCTION("""COMPUTED_VALUE"""),336968.0)</f>
        <v>336968</v>
      </c>
    </row>
    <row r="220">
      <c r="A220" s="115" t="str">
        <f>IFERROR(__xludf.DUMMYFUNCTION("""COMPUTED_VALUE"""),"EAST")</f>
        <v>EAST</v>
      </c>
      <c r="B220" s="115" t="str">
        <f>IFERROR(__xludf.DUMMYFUNCTION("""COMPUTED_VALUE"""),"Parag Kashyap")</f>
        <v>Parag Kashyap</v>
      </c>
      <c r="C220" s="115" t="str">
        <f>IFERROR(__xludf.DUMMYFUNCTION("""COMPUTED_VALUE"""),"MYNTRA")</f>
        <v>MYNTRA</v>
      </c>
      <c r="D220" s="115">
        <f>IFERROR(__xludf.DUMMYFUNCTION("""COMPUTED_VALUE"""),36353.0)</f>
        <v>36353</v>
      </c>
      <c r="E220" s="115">
        <f>IFERROR(__xludf.DUMMYFUNCTION("""COMPUTED_VALUE"""),4663.0)</f>
        <v>4663</v>
      </c>
      <c r="F220" s="115">
        <f>IFERROR(__xludf.DUMMYFUNCTION("""COMPUTED_VALUE"""),21791.0)</f>
        <v>21791</v>
      </c>
      <c r="G220" s="115">
        <f>IFERROR(__xludf.DUMMYFUNCTION("""COMPUTED_VALUE"""),463.0)</f>
        <v>463</v>
      </c>
      <c r="H220" s="116">
        <f>IFERROR(__xludf.DUMMYFUNCTION("""COMPUTED_VALUE"""),45901.0)</f>
        <v>45901</v>
      </c>
      <c r="I220" s="115" t="str">
        <f>IFERROR(__xludf.DUMMYFUNCTION("""COMPUTED_VALUE"""),"16")</f>
        <v>16</v>
      </c>
      <c r="J220" s="115" t="str">
        <f>IFERROR(__xludf.DUMMYFUNCTION("""COMPUTED_VALUE"""),"Parag Kashyap2025-09-0116")</f>
        <v>Parag Kashyap2025-09-0116</v>
      </c>
      <c r="K220" s="115">
        <f>IFERROR(__xludf.DUMMYFUNCTION("""COMPUTED_VALUE"""),41016.0)</f>
        <v>41016</v>
      </c>
    </row>
    <row r="221">
      <c r="A221" s="115" t="str">
        <f>IFERROR(__xludf.DUMMYFUNCTION("""COMPUTED_VALUE"""),"NORTH")</f>
        <v>NORTH</v>
      </c>
      <c r="B221" s="115" t="str">
        <f>IFERROR(__xludf.DUMMYFUNCTION("""COMPUTED_VALUE"""),"Amit Kumar Pathak")</f>
        <v>Amit Kumar Pathak</v>
      </c>
      <c r="C221" s="115" t="str">
        <f>IFERROR(__xludf.DUMMYFUNCTION("""COMPUTED_VALUE"""),"EXTERNAL")</f>
        <v>EXTERNAL</v>
      </c>
      <c r="D221" s="115">
        <f>IFERROR(__xludf.DUMMYFUNCTION("""COMPUTED_VALUE"""),28554.0)</f>
        <v>28554</v>
      </c>
      <c r="E221" s="115">
        <f>IFERROR(__xludf.DUMMYFUNCTION("""COMPUTED_VALUE"""),2419.0)</f>
        <v>2419</v>
      </c>
      <c r="F221" s="115">
        <f>IFERROR(__xludf.DUMMYFUNCTION("""COMPUTED_VALUE"""),7068.0)</f>
        <v>7068</v>
      </c>
      <c r="G221" s="115">
        <f>IFERROR(__xludf.DUMMYFUNCTION("""COMPUTED_VALUE"""),418.0)</f>
        <v>418</v>
      </c>
      <c r="H221" s="116">
        <f>IFERROR(__xludf.DUMMYFUNCTION("""COMPUTED_VALUE"""),45901.0)</f>
        <v>45901</v>
      </c>
      <c r="I221" s="115" t="str">
        <f>IFERROR(__xludf.DUMMYFUNCTION("""COMPUTED_VALUE"""),"16")</f>
        <v>16</v>
      </c>
      <c r="J221" s="115" t="str">
        <f>IFERROR(__xludf.DUMMYFUNCTION("""COMPUTED_VALUE"""),"Amit Kumar Pathak2025-09-0116")</f>
        <v>Amit Kumar Pathak2025-09-0116</v>
      </c>
      <c r="K221" s="115">
        <f>IFERROR(__xludf.DUMMYFUNCTION("""COMPUTED_VALUE"""),30973.0)</f>
        <v>30973</v>
      </c>
    </row>
    <row r="222">
      <c r="A222" s="115" t="str">
        <f>IFERROR(__xludf.DUMMYFUNCTION("""COMPUTED_VALUE"""),"NORTH")</f>
        <v>NORTH</v>
      </c>
      <c r="B222" s="115" t="str">
        <f>IFERROR(__xludf.DUMMYFUNCTION("""COMPUTED_VALUE"""),"Amit Kumar Pathak")</f>
        <v>Amit Kumar Pathak</v>
      </c>
      <c r="C222" s="115" t="str">
        <f>IFERROR(__xludf.DUMMYFUNCTION("""COMPUTED_VALUE"""),"FLIPKART")</f>
        <v>FLIPKART</v>
      </c>
      <c r="D222" s="115">
        <f>IFERROR(__xludf.DUMMYFUNCTION("""COMPUTED_VALUE"""),189420.0)</f>
        <v>189420</v>
      </c>
      <c r="E222" s="115">
        <f>IFERROR(__xludf.DUMMYFUNCTION("""COMPUTED_VALUE"""),22539.0)</f>
        <v>22539</v>
      </c>
      <c r="F222" s="115">
        <f>IFERROR(__xludf.DUMMYFUNCTION("""COMPUTED_VALUE"""),89195.0)</f>
        <v>89195</v>
      </c>
      <c r="G222" s="115">
        <f>IFERROR(__xludf.DUMMYFUNCTION("""COMPUTED_VALUE"""),5716.0)</f>
        <v>5716</v>
      </c>
      <c r="H222" s="116">
        <f>IFERROR(__xludf.DUMMYFUNCTION("""COMPUTED_VALUE"""),45901.0)</f>
        <v>45901</v>
      </c>
      <c r="I222" s="115" t="str">
        <f>IFERROR(__xludf.DUMMYFUNCTION("""COMPUTED_VALUE"""),"16")</f>
        <v>16</v>
      </c>
      <c r="J222" s="115" t="str">
        <f>IFERROR(__xludf.DUMMYFUNCTION("""COMPUTED_VALUE"""),"Amit Kumar Pathak2025-09-0116")</f>
        <v>Amit Kumar Pathak2025-09-0116</v>
      </c>
      <c r="K222" s="115">
        <f>IFERROR(__xludf.DUMMYFUNCTION("""COMPUTED_VALUE"""),211959.0)</f>
        <v>211959</v>
      </c>
    </row>
    <row r="223">
      <c r="A223" s="115" t="str">
        <f>IFERROR(__xludf.DUMMYFUNCTION("""COMPUTED_VALUE"""),"NORTH")</f>
        <v>NORTH</v>
      </c>
      <c r="B223" s="115" t="str">
        <f>IFERROR(__xludf.DUMMYFUNCTION("""COMPUTED_VALUE"""),"Amit Kumar Pathak")</f>
        <v>Amit Kumar Pathak</v>
      </c>
      <c r="C223" s="115" t="str">
        <f>IFERROR(__xludf.DUMMYFUNCTION("""COMPUTED_VALUE"""),"MYNTRA")</f>
        <v>MYNTRA</v>
      </c>
      <c r="D223" s="115">
        <f>IFERROR(__xludf.DUMMYFUNCTION("""COMPUTED_VALUE"""),15818.0)</f>
        <v>15818</v>
      </c>
      <c r="E223" s="115">
        <f>IFERROR(__xludf.DUMMYFUNCTION("""COMPUTED_VALUE"""),5213.0)</f>
        <v>5213</v>
      </c>
      <c r="F223" s="115">
        <f>IFERROR(__xludf.DUMMYFUNCTION("""COMPUTED_VALUE"""),9153.0)</f>
        <v>9153</v>
      </c>
      <c r="G223" s="115">
        <f>IFERROR(__xludf.DUMMYFUNCTION("""COMPUTED_VALUE"""),1440.0)</f>
        <v>1440</v>
      </c>
      <c r="H223" s="116">
        <f>IFERROR(__xludf.DUMMYFUNCTION("""COMPUTED_VALUE"""),45901.0)</f>
        <v>45901</v>
      </c>
      <c r="I223" s="115" t="str">
        <f>IFERROR(__xludf.DUMMYFUNCTION("""COMPUTED_VALUE"""),"16")</f>
        <v>16</v>
      </c>
      <c r="J223" s="115" t="str">
        <f>IFERROR(__xludf.DUMMYFUNCTION("""COMPUTED_VALUE"""),"Amit Kumar Pathak2025-09-0116")</f>
        <v>Amit Kumar Pathak2025-09-0116</v>
      </c>
      <c r="K223" s="115">
        <f>IFERROR(__xludf.DUMMYFUNCTION("""COMPUTED_VALUE"""),21031.0)</f>
        <v>21031</v>
      </c>
    </row>
    <row r="224">
      <c r="A224" s="115" t="str">
        <f>IFERROR(__xludf.DUMMYFUNCTION("""COMPUTED_VALUE"""),"NORTH")</f>
        <v>NORTH</v>
      </c>
      <c r="B224" s="115" t="str">
        <f>IFERROR(__xludf.DUMMYFUNCTION("""COMPUTED_VALUE"""),"Loveleen Singh")</f>
        <v>Loveleen Singh</v>
      </c>
      <c r="C224" s="115" t="str">
        <f>IFERROR(__xludf.DUMMYFUNCTION("""COMPUTED_VALUE"""),"EXTERNAL")</f>
        <v>EXTERNAL</v>
      </c>
      <c r="D224" s="115">
        <f>IFERROR(__xludf.DUMMYFUNCTION("""COMPUTED_VALUE"""),29673.0)</f>
        <v>29673</v>
      </c>
      <c r="E224" s="115">
        <f>IFERROR(__xludf.DUMMYFUNCTION("""COMPUTED_VALUE"""),2182.0)</f>
        <v>2182</v>
      </c>
      <c r="F224" s="115">
        <f>IFERROR(__xludf.DUMMYFUNCTION("""COMPUTED_VALUE"""),7659.0)</f>
        <v>7659</v>
      </c>
      <c r="G224" s="115">
        <f>IFERROR(__xludf.DUMMYFUNCTION("""COMPUTED_VALUE"""),119.0)</f>
        <v>119</v>
      </c>
      <c r="H224" s="116">
        <f>IFERROR(__xludf.DUMMYFUNCTION("""COMPUTED_VALUE"""),45901.0)</f>
        <v>45901</v>
      </c>
      <c r="I224" s="115" t="str">
        <f>IFERROR(__xludf.DUMMYFUNCTION("""COMPUTED_VALUE"""),"16")</f>
        <v>16</v>
      </c>
      <c r="J224" s="115" t="str">
        <f>IFERROR(__xludf.DUMMYFUNCTION("""COMPUTED_VALUE"""),"Loveleen Singh2025-09-0116")</f>
        <v>Loveleen Singh2025-09-0116</v>
      </c>
      <c r="K224" s="115">
        <f>IFERROR(__xludf.DUMMYFUNCTION("""COMPUTED_VALUE"""),31855.0)</f>
        <v>31855</v>
      </c>
    </row>
    <row r="225">
      <c r="A225" s="115" t="str">
        <f>IFERROR(__xludf.DUMMYFUNCTION("""COMPUTED_VALUE"""),"NORTH")</f>
        <v>NORTH</v>
      </c>
      <c r="B225" s="115" t="str">
        <f>IFERROR(__xludf.DUMMYFUNCTION("""COMPUTED_VALUE"""),"Loveleen Singh")</f>
        <v>Loveleen Singh</v>
      </c>
      <c r="C225" s="115" t="str">
        <f>IFERROR(__xludf.DUMMYFUNCTION("""COMPUTED_VALUE"""),"FLIPKART")</f>
        <v>FLIPKART</v>
      </c>
      <c r="D225" s="115">
        <f>IFERROR(__xludf.DUMMYFUNCTION("""COMPUTED_VALUE"""),145417.0)</f>
        <v>145417</v>
      </c>
      <c r="E225" s="115">
        <f>IFERROR(__xludf.DUMMYFUNCTION("""COMPUTED_VALUE"""),13863.0)</f>
        <v>13863</v>
      </c>
      <c r="F225" s="115">
        <f>IFERROR(__xludf.DUMMYFUNCTION("""COMPUTED_VALUE"""),67095.0)</f>
        <v>67095</v>
      </c>
      <c r="G225" s="115">
        <f>IFERROR(__xludf.DUMMYFUNCTION("""COMPUTED_VALUE"""),1955.0)</f>
        <v>1955</v>
      </c>
      <c r="H225" s="116">
        <f>IFERROR(__xludf.DUMMYFUNCTION("""COMPUTED_VALUE"""),45901.0)</f>
        <v>45901</v>
      </c>
      <c r="I225" s="115" t="str">
        <f>IFERROR(__xludf.DUMMYFUNCTION("""COMPUTED_VALUE"""),"16")</f>
        <v>16</v>
      </c>
      <c r="J225" s="115" t="str">
        <f>IFERROR(__xludf.DUMMYFUNCTION("""COMPUTED_VALUE"""),"Loveleen Singh2025-09-0116")</f>
        <v>Loveleen Singh2025-09-0116</v>
      </c>
      <c r="K225" s="115">
        <f>IFERROR(__xludf.DUMMYFUNCTION("""COMPUTED_VALUE"""),159280.0)</f>
        <v>159280</v>
      </c>
    </row>
    <row r="226">
      <c r="A226" s="115" t="str">
        <f>IFERROR(__xludf.DUMMYFUNCTION("""COMPUTED_VALUE"""),"NORTH")</f>
        <v>NORTH</v>
      </c>
      <c r="B226" s="115" t="str">
        <f>IFERROR(__xludf.DUMMYFUNCTION("""COMPUTED_VALUE"""),"Loveleen Singh")</f>
        <v>Loveleen Singh</v>
      </c>
      <c r="C226" s="115" t="str">
        <f>IFERROR(__xludf.DUMMYFUNCTION("""COMPUTED_VALUE"""),"MYNTRA")</f>
        <v>MYNTRA</v>
      </c>
      <c r="D226" s="115">
        <f>IFERROR(__xludf.DUMMYFUNCTION("""COMPUTED_VALUE"""),19185.0)</f>
        <v>19185</v>
      </c>
      <c r="E226" s="115">
        <f>IFERROR(__xludf.DUMMYFUNCTION("""COMPUTED_VALUE"""),5028.0)</f>
        <v>5028</v>
      </c>
      <c r="F226" s="115">
        <f>IFERROR(__xludf.DUMMYFUNCTION("""COMPUTED_VALUE"""),10963.0)</f>
        <v>10963</v>
      </c>
      <c r="G226" s="115">
        <f>IFERROR(__xludf.DUMMYFUNCTION("""COMPUTED_VALUE"""),900.0)</f>
        <v>900</v>
      </c>
      <c r="H226" s="116">
        <f>IFERROR(__xludf.DUMMYFUNCTION("""COMPUTED_VALUE"""),45901.0)</f>
        <v>45901</v>
      </c>
      <c r="I226" s="115" t="str">
        <f>IFERROR(__xludf.DUMMYFUNCTION("""COMPUTED_VALUE"""),"16")</f>
        <v>16</v>
      </c>
      <c r="J226" s="115" t="str">
        <f>IFERROR(__xludf.DUMMYFUNCTION("""COMPUTED_VALUE"""),"Loveleen Singh2025-09-0116")</f>
        <v>Loveleen Singh2025-09-0116</v>
      </c>
      <c r="K226" s="115">
        <f>IFERROR(__xludf.DUMMYFUNCTION("""COMPUTED_VALUE"""),24213.0)</f>
        <v>24213</v>
      </c>
    </row>
    <row r="227">
      <c r="A227" s="115" t="str">
        <f>IFERROR(__xludf.DUMMYFUNCTION("""COMPUTED_VALUE"""),"NORTH")</f>
        <v>NORTH</v>
      </c>
      <c r="B227" s="115" t="str">
        <f>IFERROR(__xludf.DUMMYFUNCTION("""COMPUTED_VALUE"""),"Manoj Harsh")</f>
        <v>Manoj Harsh</v>
      </c>
      <c r="C227" s="115" t="str">
        <f>IFERROR(__xludf.DUMMYFUNCTION("""COMPUTED_VALUE"""),"EXTERNAL")</f>
        <v>EXTERNAL</v>
      </c>
      <c r="D227" s="115">
        <f>IFERROR(__xludf.DUMMYFUNCTION("""COMPUTED_VALUE"""),33078.0)</f>
        <v>33078</v>
      </c>
      <c r="E227" s="115">
        <f>IFERROR(__xludf.DUMMYFUNCTION("""COMPUTED_VALUE"""),3148.0)</f>
        <v>3148</v>
      </c>
      <c r="F227" s="115">
        <f>IFERROR(__xludf.DUMMYFUNCTION("""COMPUTED_VALUE"""),9677.0)</f>
        <v>9677</v>
      </c>
      <c r="G227" s="115">
        <f>IFERROR(__xludf.DUMMYFUNCTION("""COMPUTED_VALUE"""),263.0)</f>
        <v>263</v>
      </c>
      <c r="H227" s="116">
        <f>IFERROR(__xludf.DUMMYFUNCTION("""COMPUTED_VALUE"""),45901.0)</f>
        <v>45901</v>
      </c>
      <c r="I227" s="115" t="str">
        <f>IFERROR(__xludf.DUMMYFUNCTION("""COMPUTED_VALUE"""),"16")</f>
        <v>16</v>
      </c>
      <c r="J227" s="115" t="str">
        <f>IFERROR(__xludf.DUMMYFUNCTION("""COMPUTED_VALUE"""),"Manoj Harsh2025-09-0116")</f>
        <v>Manoj Harsh2025-09-0116</v>
      </c>
      <c r="K227" s="115">
        <f>IFERROR(__xludf.DUMMYFUNCTION("""COMPUTED_VALUE"""),36226.0)</f>
        <v>36226</v>
      </c>
    </row>
    <row r="228">
      <c r="A228" s="115" t="str">
        <f>IFERROR(__xludf.DUMMYFUNCTION("""COMPUTED_VALUE"""),"NORTH")</f>
        <v>NORTH</v>
      </c>
      <c r="B228" s="115" t="str">
        <f>IFERROR(__xludf.DUMMYFUNCTION("""COMPUTED_VALUE"""),"Manoj Harsh")</f>
        <v>Manoj Harsh</v>
      </c>
      <c r="C228" s="115" t="str">
        <f>IFERROR(__xludf.DUMMYFUNCTION("""COMPUTED_VALUE"""),"FLIPKART")</f>
        <v>FLIPKART</v>
      </c>
      <c r="D228" s="115">
        <f>IFERROR(__xludf.DUMMYFUNCTION("""COMPUTED_VALUE"""),381039.0)</f>
        <v>381039</v>
      </c>
      <c r="E228" s="115">
        <f>IFERROR(__xludf.DUMMYFUNCTION("""COMPUTED_VALUE"""),38276.0)</f>
        <v>38276</v>
      </c>
      <c r="F228" s="115">
        <f>IFERROR(__xludf.DUMMYFUNCTION("""COMPUTED_VALUE"""),194309.0)</f>
        <v>194309</v>
      </c>
      <c r="G228" s="115">
        <f>IFERROR(__xludf.DUMMYFUNCTION("""COMPUTED_VALUE"""),5638.0)</f>
        <v>5638</v>
      </c>
      <c r="H228" s="116">
        <f>IFERROR(__xludf.DUMMYFUNCTION("""COMPUTED_VALUE"""),45901.0)</f>
        <v>45901</v>
      </c>
      <c r="I228" s="115" t="str">
        <f>IFERROR(__xludf.DUMMYFUNCTION("""COMPUTED_VALUE"""),"16")</f>
        <v>16</v>
      </c>
      <c r="J228" s="115" t="str">
        <f>IFERROR(__xludf.DUMMYFUNCTION("""COMPUTED_VALUE"""),"Manoj Harsh2025-09-0116")</f>
        <v>Manoj Harsh2025-09-0116</v>
      </c>
      <c r="K228" s="115">
        <f>IFERROR(__xludf.DUMMYFUNCTION("""COMPUTED_VALUE"""),419315.0)</f>
        <v>419315</v>
      </c>
    </row>
    <row r="229">
      <c r="A229" s="115" t="str">
        <f>IFERROR(__xludf.DUMMYFUNCTION("""COMPUTED_VALUE"""),"NORTH")</f>
        <v>NORTH</v>
      </c>
      <c r="B229" s="115" t="str">
        <f>IFERROR(__xludf.DUMMYFUNCTION("""COMPUTED_VALUE"""),"Manoj Harsh")</f>
        <v>Manoj Harsh</v>
      </c>
      <c r="C229" s="115" t="str">
        <f>IFERROR(__xludf.DUMMYFUNCTION("""COMPUTED_VALUE"""),"MYNTRA")</f>
        <v>MYNTRA</v>
      </c>
      <c r="D229" s="115">
        <f>IFERROR(__xludf.DUMMYFUNCTION("""COMPUTED_VALUE"""),32905.0)</f>
        <v>32905</v>
      </c>
      <c r="E229" s="115">
        <f>IFERROR(__xludf.DUMMYFUNCTION("""COMPUTED_VALUE"""),6243.0)</f>
        <v>6243</v>
      </c>
      <c r="F229" s="115">
        <f>IFERROR(__xludf.DUMMYFUNCTION("""COMPUTED_VALUE"""),19393.0)</f>
        <v>19393</v>
      </c>
      <c r="G229" s="115">
        <f>IFERROR(__xludf.DUMMYFUNCTION("""COMPUTED_VALUE"""),1044.0)</f>
        <v>1044</v>
      </c>
      <c r="H229" s="116">
        <f>IFERROR(__xludf.DUMMYFUNCTION("""COMPUTED_VALUE"""),45901.0)</f>
        <v>45901</v>
      </c>
      <c r="I229" s="115" t="str">
        <f>IFERROR(__xludf.DUMMYFUNCTION("""COMPUTED_VALUE"""),"16")</f>
        <v>16</v>
      </c>
      <c r="J229" s="115" t="str">
        <f>IFERROR(__xludf.DUMMYFUNCTION("""COMPUTED_VALUE"""),"Manoj Harsh2025-09-0116")</f>
        <v>Manoj Harsh2025-09-0116</v>
      </c>
      <c r="K229" s="115">
        <f>IFERROR(__xludf.DUMMYFUNCTION("""COMPUTED_VALUE"""),39148.0)</f>
        <v>39148</v>
      </c>
    </row>
    <row r="230">
      <c r="A230" s="115" t="str">
        <f>IFERROR(__xludf.DUMMYFUNCTION("""COMPUTED_VALUE"""),"NORTH")</f>
        <v>NORTH</v>
      </c>
      <c r="B230" s="115" t="str">
        <f>IFERROR(__xludf.DUMMYFUNCTION("""COMPUTED_VALUE"""),"Pradeep Kothari")</f>
        <v>Pradeep Kothari</v>
      </c>
      <c r="C230" s="115" t="str">
        <f>IFERROR(__xludf.DUMMYFUNCTION("""COMPUTED_VALUE"""),"EXTERNAL")</f>
        <v>EXTERNAL</v>
      </c>
      <c r="D230" s="115">
        <f>IFERROR(__xludf.DUMMYFUNCTION("""COMPUTED_VALUE"""),19123.0)</f>
        <v>19123</v>
      </c>
      <c r="E230" s="115">
        <f>IFERROR(__xludf.DUMMYFUNCTION("""COMPUTED_VALUE"""),2002.0)</f>
        <v>2002</v>
      </c>
      <c r="F230" s="115">
        <f>IFERROR(__xludf.DUMMYFUNCTION("""COMPUTED_VALUE"""),5824.0)</f>
        <v>5824</v>
      </c>
      <c r="G230" s="115">
        <f>IFERROR(__xludf.DUMMYFUNCTION("""COMPUTED_VALUE"""),237.0)</f>
        <v>237</v>
      </c>
      <c r="H230" s="116">
        <f>IFERROR(__xludf.DUMMYFUNCTION("""COMPUTED_VALUE"""),45901.0)</f>
        <v>45901</v>
      </c>
      <c r="I230" s="115" t="str">
        <f>IFERROR(__xludf.DUMMYFUNCTION("""COMPUTED_VALUE"""),"16")</f>
        <v>16</v>
      </c>
      <c r="J230" s="115" t="str">
        <f>IFERROR(__xludf.DUMMYFUNCTION("""COMPUTED_VALUE"""),"Pradeep Kothari2025-09-0116")</f>
        <v>Pradeep Kothari2025-09-0116</v>
      </c>
      <c r="K230" s="115">
        <f>IFERROR(__xludf.DUMMYFUNCTION("""COMPUTED_VALUE"""),21125.0)</f>
        <v>21125</v>
      </c>
    </row>
    <row r="231">
      <c r="A231" s="115" t="str">
        <f>IFERROR(__xludf.DUMMYFUNCTION("""COMPUTED_VALUE"""),"NORTH")</f>
        <v>NORTH</v>
      </c>
      <c r="B231" s="115" t="str">
        <f>IFERROR(__xludf.DUMMYFUNCTION("""COMPUTED_VALUE"""),"Pradeep Kothari")</f>
        <v>Pradeep Kothari</v>
      </c>
      <c r="C231" s="115" t="str">
        <f>IFERROR(__xludf.DUMMYFUNCTION("""COMPUTED_VALUE"""),"FLIPKART")</f>
        <v>FLIPKART</v>
      </c>
      <c r="D231" s="115">
        <f>IFERROR(__xludf.DUMMYFUNCTION("""COMPUTED_VALUE"""),134807.0)</f>
        <v>134807</v>
      </c>
      <c r="E231" s="115">
        <f>IFERROR(__xludf.DUMMYFUNCTION("""COMPUTED_VALUE"""),16172.0)</f>
        <v>16172</v>
      </c>
      <c r="F231" s="115">
        <f>IFERROR(__xludf.DUMMYFUNCTION("""COMPUTED_VALUE"""),77454.0)</f>
        <v>77454</v>
      </c>
      <c r="G231" s="115">
        <f>IFERROR(__xludf.DUMMYFUNCTION("""COMPUTED_VALUE"""),3871.0)</f>
        <v>3871</v>
      </c>
      <c r="H231" s="116">
        <f>IFERROR(__xludf.DUMMYFUNCTION("""COMPUTED_VALUE"""),45901.0)</f>
        <v>45901</v>
      </c>
      <c r="I231" s="115" t="str">
        <f>IFERROR(__xludf.DUMMYFUNCTION("""COMPUTED_VALUE"""),"16")</f>
        <v>16</v>
      </c>
      <c r="J231" s="115" t="str">
        <f>IFERROR(__xludf.DUMMYFUNCTION("""COMPUTED_VALUE"""),"Pradeep Kothari2025-09-0116")</f>
        <v>Pradeep Kothari2025-09-0116</v>
      </c>
      <c r="K231" s="115">
        <f>IFERROR(__xludf.DUMMYFUNCTION("""COMPUTED_VALUE"""),150979.0)</f>
        <v>150979</v>
      </c>
    </row>
    <row r="232">
      <c r="A232" s="115" t="str">
        <f>IFERROR(__xludf.DUMMYFUNCTION("""COMPUTED_VALUE"""),"NORTH")</f>
        <v>NORTH</v>
      </c>
      <c r="B232" s="115" t="str">
        <f>IFERROR(__xludf.DUMMYFUNCTION("""COMPUTED_VALUE"""),"Pradeep Kothari")</f>
        <v>Pradeep Kothari</v>
      </c>
      <c r="C232" s="115" t="str">
        <f>IFERROR(__xludf.DUMMYFUNCTION("""COMPUTED_VALUE"""),"MYNTRA")</f>
        <v>MYNTRA</v>
      </c>
      <c r="D232" s="115">
        <f>IFERROR(__xludf.DUMMYFUNCTION("""COMPUTED_VALUE"""),23091.0)</f>
        <v>23091</v>
      </c>
      <c r="E232" s="115">
        <f>IFERROR(__xludf.DUMMYFUNCTION("""COMPUTED_VALUE"""),5595.0)</f>
        <v>5595</v>
      </c>
      <c r="F232" s="115">
        <f>IFERROR(__xludf.DUMMYFUNCTION("""COMPUTED_VALUE"""),16230.0)</f>
        <v>16230</v>
      </c>
      <c r="G232" s="115">
        <f>IFERROR(__xludf.DUMMYFUNCTION("""COMPUTED_VALUE"""),1623.0)</f>
        <v>1623</v>
      </c>
      <c r="H232" s="116">
        <f>IFERROR(__xludf.DUMMYFUNCTION("""COMPUTED_VALUE"""),45901.0)</f>
        <v>45901</v>
      </c>
      <c r="I232" s="115" t="str">
        <f>IFERROR(__xludf.DUMMYFUNCTION("""COMPUTED_VALUE"""),"16")</f>
        <v>16</v>
      </c>
      <c r="J232" s="115" t="str">
        <f>IFERROR(__xludf.DUMMYFUNCTION("""COMPUTED_VALUE"""),"Pradeep Kothari2025-09-0116")</f>
        <v>Pradeep Kothari2025-09-0116</v>
      </c>
      <c r="K232" s="115">
        <f>IFERROR(__xludf.DUMMYFUNCTION("""COMPUTED_VALUE"""),28686.0)</f>
        <v>28686</v>
      </c>
    </row>
    <row r="233">
      <c r="A233" s="115" t="str">
        <f>IFERROR(__xludf.DUMMYFUNCTION("""COMPUTED_VALUE"""),"SOUTH")</f>
        <v>SOUTH</v>
      </c>
      <c r="B233" s="115" t="str">
        <f>IFERROR(__xludf.DUMMYFUNCTION("""COMPUTED_VALUE"""),"Kandula Sampath")</f>
        <v>Kandula Sampath</v>
      </c>
      <c r="C233" s="115" t="str">
        <f>IFERROR(__xludf.DUMMYFUNCTION("""COMPUTED_VALUE"""),"EXTERNAL")</f>
        <v>EXTERNAL</v>
      </c>
      <c r="D233" s="115">
        <f>IFERROR(__xludf.DUMMYFUNCTION("""COMPUTED_VALUE"""),40036.0)</f>
        <v>40036</v>
      </c>
      <c r="E233" s="115">
        <f>IFERROR(__xludf.DUMMYFUNCTION("""COMPUTED_VALUE"""),4167.0)</f>
        <v>4167</v>
      </c>
      <c r="F233" s="115">
        <f>IFERROR(__xludf.DUMMYFUNCTION("""COMPUTED_VALUE"""),12500.0)</f>
        <v>12500</v>
      </c>
      <c r="G233" s="115">
        <f>IFERROR(__xludf.DUMMYFUNCTION("""COMPUTED_VALUE"""),339.0)</f>
        <v>339</v>
      </c>
      <c r="H233" s="116">
        <f>IFERROR(__xludf.DUMMYFUNCTION("""COMPUTED_VALUE"""),45901.0)</f>
        <v>45901</v>
      </c>
      <c r="I233" s="115" t="str">
        <f>IFERROR(__xludf.DUMMYFUNCTION("""COMPUTED_VALUE"""),"16")</f>
        <v>16</v>
      </c>
      <c r="J233" s="115" t="str">
        <f>IFERROR(__xludf.DUMMYFUNCTION("""COMPUTED_VALUE"""),"Kandula Sampath2025-09-0116")</f>
        <v>Kandula Sampath2025-09-0116</v>
      </c>
      <c r="K233" s="115">
        <f>IFERROR(__xludf.DUMMYFUNCTION("""COMPUTED_VALUE"""),44203.0)</f>
        <v>44203</v>
      </c>
    </row>
    <row r="234">
      <c r="A234" s="115" t="str">
        <f>IFERROR(__xludf.DUMMYFUNCTION("""COMPUTED_VALUE"""),"SOUTH")</f>
        <v>SOUTH</v>
      </c>
      <c r="B234" s="115" t="str">
        <f>IFERROR(__xludf.DUMMYFUNCTION("""COMPUTED_VALUE"""),"Kandula Sampath")</f>
        <v>Kandula Sampath</v>
      </c>
      <c r="C234" s="115" t="str">
        <f>IFERROR(__xludf.DUMMYFUNCTION("""COMPUTED_VALUE"""),"FLIPKART")</f>
        <v>FLIPKART</v>
      </c>
      <c r="D234" s="115">
        <f>IFERROR(__xludf.DUMMYFUNCTION("""COMPUTED_VALUE"""),334842.0)</f>
        <v>334842</v>
      </c>
      <c r="E234" s="115">
        <f>IFERROR(__xludf.DUMMYFUNCTION("""COMPUTED_VALUE"""),31308.0)</f>
        <v>31308</v>
      </c>
      <c r="F234" s="115">
        <f>IFERROR(__xludf.DUMMYFUNCTION("""COMPUTED_VALUE"""),182413.0)</f>
        <v>182413</v>
      </c>
      <c r="G234" s="115">
        <f>IFERROR(__xludf.DUMMYFUNCTION("""COMPUTED_VALUE"""),4803.0)</f>
        <v>4803</v>
      </c>
      <c r="H234" s="116">
        <f>IFERROR(__xludf.DUMMYFUNCTION("""COMPUTED_VALUE"""),45901.0)</f>
        <v>45901</v>
      </c>
      <c r="I234" s="115" t="str">
        <f>IFERROR(__xludf.DUMMYFUNCTION("""COMPUTED_VALUE"""),"16")</f>
        <v>16</v>
      </c>
      <c r="J234" s="115" t="str">
        <f>IFERROR(__xludf.DUMMYFUNCTION("""COMPUTED_VALUE"""),"Kandula Sampath2025-09-0116")</f>
        <v>Kandula Sampath2025-09-0116</v>
      </c>
      <c r="K234" s="115">
        <f>IFERROR(__xludf.DUMMYFUNCTION("""COMPUTED_VALUE"""),366150.0)</f>
        <v>366150</v>
      </c>
    </row>
    <row r="235">
      <c r="A235" s="115" t="str">
        <f>IFERROR(__xludf.DUMMYFUNCTION("""COMPUTED_VALUE"""),"SOUTH")</f>
        <v>SOUTH</v>
      </c>
      <c r="B235" s="115" t="str">
        <f>IFERROR(__xludf.DUMMYFUNCTION("""COMPUTED_VALUE"""),"Kandula Sampath")</f>
        <v>Kandula Sampath</v>
      </c>
      <c r="C235" s="115" t="str">
        <f>IFERROR(__xludf.DUMMYFUNCTION("""COMPUTED_VALUE"""),"MYNTRA")</f>
        <v>MYNTRA</v>
      </c>
      <c r="D235" s="115">
        <f>IFERROR(__xludf.DUMMYFUNCTION("""COMPUTED_VALUE"""),34964.0)</f>
        <v>34964</v>
      </c>
      <c r="E235" s="115">
        <f>IFERROR(__xludf.DUMMYFUNCTION("""COMPUTED_VALUE"""),7445.0)</f>
        <v>7445</v>
      </c>
      <c r="F235" s="115">
        <f>IFERROR(__xludf.DUMMYFUNCTION("""COMPUTED_VALUE"""),22126.0)</f>
        <v>22126</v>
      </c>
      <c r="G235" s="115">
        <f>IFERROR(__xludf.DUMMYFUNCTION("""COMPUTED_VALUE"""),1163.0)</f>
        <v>1163</v>
      </c>
      <c r="H235" s="116">
        <f>IFERROR(__xludf.DUMMYFUNCTION("""COMPUTED_VALUE"""),45901.0)</f>
        <v>45901</v>
      </c>
      <c r="I235" s="115" t="str">
        <f>IFERROR(__xludf.DUMMYFUNCTION("""COMPUTED_VALUE"""),"16")</f>
        <v>16</v>
      </c>
      <c r="J235" s="115" t="str">
        <f>IFERROR(__xludf.DUMMYFUNCTION("""COMPUTED_VALUE"""),"Kandula Sampath2025-09-0116")</f>
        <v>Kandula Sampath2025-09-0116</v>
      </c>
      <c r="K235" s="115">
        <f>IFERROR(__xludf.DUMMYFUNCTION("""COMPUTED_VALUE"""),42409.0)</f>
        <v>42409</v>
      </c>
    </row>
    <row r="236">
      <c r="A236" s="115" t="str">
        <f>IFERROR(__xludf.DUMMYFUNCTION("""COMPUTED_VALUE"""),"SOUTH")</f>
        <v>SOUTH</v>
      </c>
      <c r="B236" s="115" t="str">
        <f>IFERROR(__xludf.DUMMYFUNCTION("""COMPUTED_VALUE"""),"Martin A")</f>
        <v>Martin A</v>
      </c>
      <c r="C236" s="115" t="str">
        <f>IFERROR(__xludf.DUMMYFUNCTION("""COMPUTED_VALUE"""),"EXTERNAL")</f>
        <v>EXTERNAL</v>
      </c>
      <c r="D236" s="115">
        <f>IFERROR(__xludf.DUMMYFUNCTION("""COMPUTED_VALUE"""),38122.0)</f>
        <v>38122</v>
      </c>
      <c r="E236" s="115">
        <f>IFERROR(__xludf.DUMMYFUNCTION("""COMPUTED_VALUE"""),2585.0)</f>
        <v>2585</v>
      </c>
      <c r="F236" s="115">
        <f>IFERROR(__xludf.DUMMYFUNCTION("""COMPUTED_VALUE"""),12104.0)</f>
        <v>12104</v>
      </c>
      <c r="G236" s="115">
        <f>IFERROR(__xludf.DUMMYFUNCTION("""COMPUTED_VALUE"""),387.0)</f>
        <v>387</v>
      </c>
      <c r="H236" s="116">
        <f>IFERROR(__xludf.DUMMYFUNCTION("""COMPUTED_VALUE"""),45901.0)</f>
        <v>45901</v>
      </c>
      <c r="I236" s="115" t="str">
        <f>IFERROR(__xludf.DUMMYFUNCTION("""COMPUTED_VALUE"""),"16")</f>
        <v>16</v>
      </c>
      <c r="J236" s="115" t="str">
        <f>IFERROR(__xludf.DUMMYFUNCTION("""COMPUTED_VALUE"""),"Martin A2025-09-0116")</f>
        <v>Martin A2025-09-0116</v>
      </c>
      <c r="K236" s="115">
        <f>IFERROR(__xludf.DUMMYFUNCTION("""COMPUTED_VALUE"""),40707.0)</f>
        <v>40707</v>
      </c>
    </row>
    <row r="237">
      <c r="A237" s="115" t="str">
        <f>IFERROR(__xludf.DUMMYFUNCTION("""COMPUTED_VALUE"""),"SOUTH")</f>
        <v>SOUTH</v>
      </c>
      <c r="B237" s="115" t="str">
        <f>IFERROR(__xludf.DUMMYFUNCTION("""COMPUTED_VALUE"""),"Martin A")</f>
        <v>Martin A</v>
      </c>
      <c r="C237" s="115" t="str">
        <f>IFERROR(__xludf.DUMMYFUNCTION("""COMPUTED_VALUE"""),"FLIPKART")</f>
        <v>FLIPKART</v>
      </c>
      <c r="D237" s="115">
        <f>IFERROR(__xludf.DUMMYFUNCTION("""COMPUTED_VALUE"""),293989.0)</f>
        <v>293989</v>
      </c>
      <c r="E237" s="115">
        <f>IFERROR(__xludf.DUMMYFUNCTION("""COMPUTED_VALUE"""),27375.0)</f>
        <v>27375</v>
      </c>
      <c r="F237" s="115">
        <f>IFERROR(__xludf.DUMMYFUNCTION("""COMPUTED_VALUE"""),159359.0)</f>
        <v>159359</v>
      </c>
      <c r="G237" s="115">
        <f>IFERROR(__xludf.DUMMYFUNCTION("""COMPUTED_VALUE"""),5694.0)</f>
        <v>5694</v>
      </c>
      <c r="H237" s="116">
        <f>IFERROR(__xludf.DUMMYFUNCTION("""COMPUTED_VALUE"""),45901.0)</f>
        <v>45901</v>
      </c>
      <c r="I237" s="115" t="str">
        <f>IFERROR(__xludf.DUMMYFUNCTION("""COMPUTED_VALUE"""),"16")</f>
        <v>16</v>
      </c>
      <c r="J237" s="115" t="str">
        <f>IFERROR(__xludf.DUMMYFUNCTION("""COMPUTED_VALUE"""),"Martin A2025-09-0116")</f>
        <v>Martin A2025-09-0116</v>
      </c>
      <c r="K237" s="115">
        <f>IFERROR(__xludf.DUMMYFUNCTION("""COMPUTED_VALUE"""),321364.0)</f>
        <v>321364</v>
      </c>
    </row>
    <row r="238">
      <c r="A238" s="115" t="str">
        <f>IFERROR(__xludf.DUMMYFUNCTION("""COMPUTED_VALUE"""),"SOUTH")</f>
        <v>SOUTH</v>
      </c>
      <c r="B238" s="115" t="str">
        <f>IFERROR(__xludf.DUMMYFUNCTION("""COMPUTED_VALUE"""),"Martin A")</f>
        <v>Martin A</v>
      </c>
      <c r="C238" s="115" t="str">
        <f>IFERROR(__xludf.DUMMYFUNCTION("""COMPUTED_VALUE"""),"MYNTRA")</f>
        <v>MYNTRA</v>
      </c>
      <c r="D238" s="115">
        <f>IFERROR(__xludf.DUMMYFUNCTION("""COMPUTED_VALUE"""),26651.0)</f>
        <v>26651</v>
      </c>
      <c r="E238" s="115">
        <f>IFERROR(__xludf.DUMMYFUNCTION("""COMPUTED_VALUE"""),6439.0)</f>
        <v>6439</v>
      </c>
      <c r="F238" s="115">
        <f>IFERROR(__xludf.DUMMYFUNCTION("""COMPUTED_VALUE"""),17644.0)</f>
        <v>17644</v>
      </c>
      <c r="G238" s="115">
        <f>IFERROR(__xludf.DUMMYFUNCTION("""COMPUTED_VALUE"""),1503.0)</f>
        <v>1503</v>
      </c>
      <c r="H238" s="116">
        <f>IFERROR(__xludf.DUMMYFUNCTION("""COMPUTED_VALUE"""),45901.0)</f>
        <v>45901</v>
      </c>
      <c r="I238" s="115" t="str">
        <f>IFERROR(__xludf.DUMMYFUNCTION("""COMPUTED_VALUE"""),"16")</f>
        <v>16</v>
      </c>
      <c r="J238" s="115" t="str">
        <f>IFERROR(__xludf.DUMMYFUNCTION("""COMPUTED_VALUE"""),"Martin A2025-09-0116")</f>
        <v>Martin A2025-09-0116</v>
      </c>
      <c r="K238" s="115">
        <f>IFERROR(__xludf.DUMMYFUNCTION("""COMPUTED_VALUE"""),33090.0)</f>
        <v>33090</v>
      </c>
    </row>
    <row r="239">
      <c r="A239" s="115" t="str">
        <f>IFERROR(__xludf.DUMMYFUNCTION("""COMPUTED_VALUE"""),"SOUTH")</f>
        <v>SOUTH</v>
      </c>
      <c r="B239" s="115" t="str">
        <f>IFERROR(__xludf.DUMMYFUNCTION("""COMPUTED_VALUE"""),"Premkumar M")</f>
        <v>Premkumar M</v>
      </c>
      <c r="C239" s="115" t="str">
        <f>IFERROR(__xludf.DUMMYFUNCTION("""COMPUTED_VALUE"""),"EXTERNAL")</f>
        <v>EXTERNAL</v>
      </c>
      <c r="D239" s="115">
        <f>IFERROR(__xludf.DUMMYFUNCTION("""COMPUTED_VALUE"""),32759.0)</f>
        <v>32759</v>
      </c>
      <c r="E239" s="115">
        <f>IFERROR(__xludf.DUMMYFUNCTION("""COMPUTED_VALUE"""),2079.0)</f>
        <v>2079</v>
      </c>
      <c r="F239" s="115">
        <f>IFERROR(__xludf.DUMMYFUNCTION("""COMPUTED_VALUE"""),10659.0)</f>
        <v>10659</v>
      </c>
      <c r="G239" s="115">
        <f>IFERROR(__xludf.DUMMYFUNCTION("""COMPUTED_VALUE"""),101.0)</f>
        <v>101</v>
      </c>
      <c r="H239" s="116">
        <f>IFERROR(__xludf.DUMMYFUNCTION("""COMPUTED_VALUE"""),45901.0)</f>
        <v>45901</v>
      </c>
      <c r="I239" s="115" t="str">
        <f>IFERROR(__xludf.DUMMYFUNCTION("""COMPUTED_VALUE"""),"16")</f>
        <v>16</v>
      </c>
      <c r="J239" s="115" t="str">
        <f>IFERROR(__xludf.DUMMYFUNCTION("""COMPUTED_VALUE"""),"Premkumar M2025-09-0116")</f>
        <v>Premkumar M2025-09-0116</v>
      </c>
      <c r="K239" s="115">
        <f>IFERROR(__xludf.DUMMYFUNCTION("""COMPUTED_VALUE"""),34838.0)</f>
        <v>34838</v>
      </c>
    </row>
    <row r="240">
      <c r="A240" s="115" t="str">
        <f>IFERROR(__xludf.DUMMYFUNCTION("""COMPUTED_VALUE"""),"SOUTH")</f>
        <v>SOUTH</v>
      </c>
      <c r="B240" s="115" t="str">
        <f>IFERROR(__xludf.DUMMYFUNCTION("""COMPUTED_VALUE"""),"Premkumar M")</f>
        <v>Premkumar M</v>
      </c>
      <c r="C240" s="115" t="str">
        <f>IFERROR(__xludf.DUMMYFUNCTION("""COMPUTED_VALUE"""),"FLIPKART")</f>
        <v>FLIPKART</v>
      </c>
      <c r="D240" s="115">
        <f>IFERROR(__xludf.DUMMYFUNCTION("""COMPUTED_VALUE"""),283577.0)</f>
        <v>283577</v>
      </c>
      <c r="E240" s="115">
        <f>IFERROR(__xludf.DUMMYFUNCTION("""COMPUTED_VALUE"""),20114.0)</f>
        <v>20114</v>
      </c>
      <c r="F240" s="115">
        <f>IFERROR(__xludf.DUMMYFUNCTION("""COMPUTED_VALUE"""),141713.0)</f>
        <v>141713</v>
      </c>
      <c r="G240" s="115">
        <f>IFERROR(__xludf.DUMMYFUNCTION("""COMPUTED_VALUE"""),1795.0)</f>
        <v>1795</v>
      </c>
      <c r="H240" s="116">
        <f>IFERROR(__xludf.DUMMYFUNCTION("""COMPUTED_VALUE"""),45901.0)</f>
        <v>45901</v>
      </c>
      <c r="I240" s="115" t="str">
        <f>IFERROR(__xludf.DUMMYFUNCTION("""COMPUTED_VALUE"""),"16")</f>
        <v>16</v>
      </c>
      <c r="J240" s="115" t="str">
        <f>IFERROR(__xludf.DUMMYFUNCTION("""COMPUTED_VALUE"""),"Premkumar M2025-09-0116")</f>
        <v>Premkumar M2025-09-0116</v>
      </c>
      <c r="K240" s="115">
        <f>IFERROR(__xludf.DUMMYFUNCTION("""COMPUTED_VALUE"""),303691.0)</f>
        <v>303691</v>
      </c>
    </row>
    <row r="241">
      <c r="A241" s="115" t="str">
        <f>IFERROR(__xludf.DUMMYFUNCTION("""COMPUTED_VALUE"""),"SOUTH")</f>
        <v>SOUTH</v>
      </c>
      <c r="B241" s="115" t="str">
        <f>IFERROR(__xludf.DUMMYFUNCTION("""COMPUTED_VALUE"""),"Premkumar M")</f>
        <v>Premkumar M</v>
      </c>
      <c r="C241" s="115" t="str">
        <f>IFERROR(__xludf.DUMMYFUNCTION("""COMPUTED_VALUE"""),"MYNTRA")</f>
        <v>MYNTRA</v>
      </c>
      <c r="D241" s="115">
        <f>IFERROR(__xludf.DUMMYFUNCTION("""COMPUTED_VALUE"""),15028.0)</f>
        <v>15028</v>
      </c>
      <c r="E241" s="115">
        <f>IFERROR(__xludf.DUMMYFUNCTION("""COMPUTED_VALUE"""),2912.0)</f>
        <v>2912</v>
      </c>
      <c r="F241" s="115">
        <f>IFERROR(__xludf.DUMMYFUNCTION("""COMPUTED_VALUE"""),8874.0)</f>
        <v>8874</v>
      </c>
      <c r="G241" s="115">
        <f>IFERROR(__xludf.DUMMYFUNCTION("""COMPUTED_VALUE"""),319.0)</f>
        <v>319</v>
      </c>
      <c r="H241" s="116">
        <f>IFERROR(__xludf.DUMMYFUNCTION("""COMPUTED_VALUE"""),45901.0)</f>
        <v>45901</v>
      </c>
      <c r="I241" s="115" t="str">
        <f>IFERROR(__xludf.DUMMYFUNCTION("""COMPUTED_VALUE"""),"16")</f>
        <v>16</v>
      </c>
      <c r="J241" s="115" t="str">
        <f>IFERROR(__xludf.DUMMYFUNCTION("""COMPUTED_VALUE"""),"Premkumar M2025-09-0116")</f>
        <v>Premkumar M2025-09-0116</v>
      </c>
      <c r="K241" s="115">
        <f>IFERROR(__xludf.DUMMYFUNCTION("""COMPUTED_VALUE"""),17940.0)</f>
        <v>17940</v>
      </c>
    </row>
    <row r="242">
      <c r="A242" s="115" t="str">
        <f>IFERROR(__xludf.DUMMYFUNCTION("""COMPUTED_VALUE"""),"SOUTH")</f>
        <v>SOUTH</v>
      </c>
      <c r="B242" s="115" t="str">
        <f>IFERROR(__xludf.DUMMYFUNCTION("""COMPUTED_VALUE"""),"Vineeth V")</f>
        <v>Vineeth V</v>
      </c>
      <c r="C242" s="115" t="str">
        <f>IFERROR(__xludf.DUMMYFUNCTION("""COMPUTED_VALUE"""),"EXTERNAL")</f>
        <v>EXTERNAL</v>
      </c>
      <c r="D242" s="115">
        <f>IFERROR(__xludf.DUMMYFUNCTION("""COMPUTED_VALUE"""),23270.0)</f>
        <v>23270</v>
      </c>
      <c r="E242" s="115">
        <f>IFERROR(__xludf.DUMMYFUNCTION("""COMPUTED_VALUE"""),679.0)</f>
        <v>679</v>
      </c>
      <c r="F242" s="115">
        <f>IFERROR(__xludf.DUMMYFUNCTION("""COMPUTED_VALUE"""),8230.0)</f>
        <v>8230</v>
      </c>
      <c r="G242" s="115">
        <f>IFERROR(__xludf.DUMMYFUNCTION("""COMPUTED_VALUE"""),39.0)</f>
        <v>39</v>
      </c>
      <c r="H242" s="116">
        <f>IFERROR(__xludf.DUMMYFUNCTION("""COMPUTED_VALUE"""),45901.0)</f>
        <v>45901</v>
      </c>
      <c r="I242" s="115" t="str">
        <f>IFERROR(__xludf.DUMMYFUNCTION("""COMPUTED_VALUE"""),"16")</f>
        <v>16</v>
      </c>
      <c r="J242" s="115" t="str">
        <f>IFERROR(__xludf.DUMMYFUNCTION("""COMPUTED_VALUE"""),"Vineeth V2025-09-0116")</f>
        <v>Vineeth V2025-09-0116</v>
      </c>
      <c r="K242" s="115">
        <f>IFERROR(__xludf.DUMMYFUNCTION("""COMPUTED_VALUE"""),23949.0)</f>
        <v>23949</v>
      </c>
    </row>
    <row r="243">
      <c r="A243" s="115" t="str">
        <f>IFERROR(__xludf.DUMMYFUNCTION("""COMPUTED_VALUE"""),"SOUTH")</f>
        <v>SOUTH</v>
      </c>
      <c r="B243" s="115" t="str">
        <f>IFERROR(__xludf.DUMMYFUNCTION("""COMPUTED_VALUE"""),"Vineeth V")</f>
        <v>Vineeth V</v>
      </c>
      <c r="C243" s="115" t="str">
        <f>IFERROR(__xludf.DUMMYFUNCTION("""COMPUTED_VALUE"""),"FLIPKART")</f>
        <v>FLIPKART</v>
      </c>
      <c r="D243" s="115">
        <f>IFERROR(__xludf.DUMMYFUNCTION("""COMPUTED_VALUE"""),256752.0)</f>
        <v>256752</v>
      </c>
      <c r="E243" s="115">
        <f>IFERROR(__xludf.DUMMYFUNCTION("""COMPUTED_VALUE"""),17279.0)</f>
        <v>17279</v>
      </c>
      <c r="F243" s="115">
        <f>IFERROR(__xludf.DUMMYFUNCTION("""COMPUTED_VALUE"""),134742.0)</f>
        <v>134742</v>
      </c>
      <c r="G243" s="115">
        <f>IFERROR(__xludf.DUMMYFUNCTION("""COMPUTED_VALUE"""),906.0)</f>
        <v>906</v>
      </c>
      <c r="H243" s="116">
        <f>IFERROR(__xludf.DUMMYFUNCTION("""COMPUTED_VALUE"""),45901.0)</f>
        <v>45901</v>
      </c>
      <c r="I243" s="115" t="str">
        <f>IFERROR(__xludf.DUMMYFUNCTION("""COMPUTED_VALUE"""),"16")</f>
        <v>16</v>
      </c>
      <c r="J243" s="115" t="str">
        <f>IFERROR(__xludf.DUMMYFUNCTION("""COMPUTED_VALUE"""),"Vineeth V2025-09-0116")</f>
        <v>Vineeth V2025-09-0116</v>
      </c>
      <c r="K243" s="115">
        <f>IFERROR(__xludf.DUMMYFUNCTION("""COMPUTED_VALUE"""),274031.0)</f>
        <v>274031</v>
      </c>
    </row>
    <row r="244">
      <c r="A244" s="115" t="str">
        <f>IFERROR(__xludf.DUMMYFUNCTION("""COMPUTED_VALUE"""),"SOUTH")</f>
        <v>SOUTH</v>
      </c>
      <c r="B244" s="115" t="str">
        <f>IFERROR(__xludf.DUMMYFUNCTION("""COMPUTED_VALUE"""),"Vineeth V")</f>
        <v>Vineeth V</v>
      </c>
      <c r="C244" s="115" t="str">
        <f>IFERROR(__xludf.DUMMYFUNCTION("""COMPUTED_VALUE"""),"MYNTRA")</f>
        <v>MYNTRA</v>
      </c>
      <c r="D244" s="115">
        <f>IFERROR(__xludf.DUMMYFUNCTION("""COMPUTED_VALUE"""),21820.0)</f>
        <v>21820</v>
      </c>
      <c r="E244" s="115">
        <f>IFERROR(__xludf.DUMMYFUNCTION("""COMPUTED_VALUE"""),4031.0)</f>
        <v>4031</v>
      </c>
      <c r="F244" s="115">
        <f>IFERROR(__xludf.DUMMYFUNCTION("""COMPUTED_VALUE"""),13099.0)</f>
        <v>13099</v>
      </c>
      <c r="G244" s="115">
        <f>IFERROR(__xludf.DUMMYFUNCTION("""COMPUTED_VALUE"""),177.0)</f>
        <v>177</v>
      </c>
      <c r="H244" s="116">
        <f>IFERROR(__xludf.DUMMYFUNCTION("""COMPUTED_VALUE"""),45901.0)</f>
        <v>45901</v>
      </c>
      <c r="I244" s="115" t="str">
        <f>IFERROR(__xludf.DUMMYFUNCTION("""COMPUTED_VALUE"""),"16")</f>
        <v>16</v>
      </c>
      <c r="J244" s="115" t="str">
        <f>IFERROR(__xludf.DUMMYFUNCTION("""COMPUTED_VALUE"""),"Vineeth V2025-09-0116")</f>
        <v>Vineeth V2025-09-0116</v>
      </c>
      <c r="K244" s="115">
        <f>IFERROR(__xludf.DUMMYFUNCTION("""COMPUTED_VALUE"""),25851.0)</f>
        <v>25851</v>
      </c>
    </row>
    <row r="245">
      <c r="A245" s="115" t="str">
        <f>IFERROR(__xludf.DUMMYFUNCTION("""COMPUTED_VALUE"""),"WEST")</f>
        <v>WEST</v>
      </c>
      <c r="B245" s="115" t="str">
        <f>IFERROR(__xludf.DUMMYFUNCTION("""COMPUTED_VALUE"""),"Ashish Jakar")</f>
        <v>Ashish Jakar</v>
      </c>
      <c r="C245" s="115" t="str">
        <f>IFERROR(__xludf.DUMMYFUNCTION("""COMPUTED_VALUE"""),"EXTERNAL")</f>
        <v>EXTERNAL</v>
      </c>
      <c r="D245" s="115">
        <f>IFERROR(__xludf.DUMMYFUNCTION("""COMPUTED_VALUE"""),59359.0)</f>
        <v>59359</v>
      </c>
      <c r="E245" s="115">
        <f>IFERROR(__xludf.DUMMYFUNCTION("""COMPUTED_VALUE"""),6829.0)</f>
        <v>6829</v>
      </c>
      <c r="F245" s="115">
        <f>IFERROR(__xludf.DUMMYFUNCTION("""COMPUTED_VALUE"""),18909.0)</f>
        <v>18909</v>
      </c>
      <c r="G245" s="115">
        <f>IFERROR(__xludf.DUMMYFUNCTION("""COMPUTED_VALUE"""),845.0)</f>
        <v>845</v>
      </c>
      <c r="H245" s="116">
        <f>IFERROR(__xludf.DUMMYFUNCTION("""COMPUTED_VALUE"""),45901.0)</f>
        <v>45901</v>
      </c>
      <c r="I245" s="115" t="str">
        <f>IFERROR(__xludf.DUMMYFUNCTION("""COMPUTED_VALUE"""),"16")</f>
        <v>16</v>
      </c>
      <c r="J245" s="115" t="str">
        <f>IFERROR(__xludf.DUMMYFUNCTION("""COMPUTED_VALUE"""),"Ashish Jakar2025-09-0116")</f>
        <v>Ashish Jakar2025-09-0116</v>
      </c>
      <c r="K245" s="115">
        <f>IFERROR(__xludf.DUMMYFUNCTION("""COMPUTED_VALUE"""),66188.0)</f>
        <v>66188</v>
      </c>
    </row>
    <row r="246">
      <c r="A246" s="115" t="str">
        <f>IFERROR(__xludf.DUMMYFUNCTION("""COMPUTED_VALUE"""),"WEST")</f>
        <v>WEST</v>
      </c>
      <c r="B246" s="115" t="str">
        <f>IFERROR(__xludf.DUMMYFUNCTION("""COMPUTED_VALUE"""),"Ashish Jakar")</f>
        <v>Ashish Jakar</v>
      </c>
      <c r="C246" s="115" t="str">
        <f>IFERROR(__xludf.DUMMYFUNCTION("""COMPUTED_VALUE"""),"FLIPKART")</f>
        <v>FLIPKART</v>
      </c>
      <c r="D246" s="115">
        <f>IFERROR(__xludf.DUMMYFUNCTION("""COMPUTED_VALUE"""),320047.0)</f>
        <v>320047</v>
      </c>
      <c r="E246" s="115">
        <f>IFERROR(__xludf.DUMMYFUNCTION("""COMPUTED_VALUE"""),33899.0)</f>
        <v>33899</v>
      </c>
      <c r="F246" s="115">
        <f>IFERROR(__xludf.DUMMYFUNCTION("""COMPUTED_VALUE"""),175603.0)</f>
        <v>175603</v>
      </c>
      <c r="G246" s="115">
        <f>IFERROR(__xludf.DUMMYFUNCTION("""COMPUTED_VALUE"""),6637.0)</f>
        <v>6637</v>
      </c>
      <c r="H246" s="116">
        <f>IFERROR(__xludf.DUMMYFUNCTION("""COMPUTED_VALUE"""),45901.0)</f>
        <v>45901</v>
      </c>
      <c r="I246" s="115" t="str">
        <f>IFERROR(__xludf.DUMMYFUNCTION("""COMPUTED_VALUE"""),"16")</f>
        <v>16</v>
      </c>
      <c r="J246" s="115" t="str">
        <f>IFERROR(__xludf.DUMMYFUNCTION("""COMPUTED_VALUE"""),"Ashish Jakar2025-09-0116")</f>
        <v>Ashish Jakar2025-09-0116</v>
      </c>
      <c r="K246" s="115">
        <f>IFERROR(__xludf.DUMMYFUNCTION("""COMPUTED_VALUE"""),353946.0)</f>
        <v>353946</v>
      </c>
    </row>
    <row r="247">
      <c r="A247" s="115" t="str">
        <f>IFERROR(__xludf.DUMMYFUNCTION("""COMPUTED_VALUE"""),"WEST")</f>
        <v>WEST</v>
      </c>
      <c r="B247" s="115" t="str">
        <f>IFERROR(__xludf.DUMMYFUNCTION("""COMPUTED_VALUE"""),"Ashish Jakar")</f>
        <v>Ashish Jakar</v>
      </c>
      <c r="C247" s="115" t="str">
        <f>IFERROR(__xludf.DUMMYFUNCTION("""COMPUTED_VALUE"""),"MYNTRA")</f>
        <v>MYNTRA</v>
      </c>
      <c r="D247" s="115">
        <f>IFERROR(__xludf.DUMMYFUNCTION("""COMPUTED_VALUE"""),41543.0)</f>
        <v>41543</v>
      </c>
      <c r="E247" s="115">
        <f>IFERROR(__xludf.DUMMYFUNCTION("""COMPUTED_VALUE"""),10343.0)</f>
        <v>10343</v>
      </c>
      <c r="F247" s="115">
        <f>IFERROR(__xludf.DUMMYFUNCTION("""COMPUTED_VALUE"""),27779.0)</f>
        <v>27779</v>
      </c>
      <c r="G247" s="115">
        <f>IFERROR(__xludf.DUMMYFUNCTION("""COMPUTED_VALUE"""),2389.0)</f>
        <v>2389</v>
      </c>
      <c r="H247" s="116">
        <f>IFERROR(__xludf.DUMMYFUNCTION("""COMPUTED_VALUE"""),45901.0)</f>
        <v>45901</v>
      </c>
      <c r="I247" s="115" t="str">
        <f>IFERROR(__xludf.DUMMYFUNCTION("""COMPUTED_VALUE"""),"16")</f>
        <v>16</v>
      </c>
      <c r="J247" s="115" t="str">
        <f>IFERROR(__xludf.DUMMYFUNCTION("""COMPUTED_VALUE"""),"Ashish Jakar2025-09-0116")</f>
        <v>Ashish Jakar2025-09-0116</v>
      </c>
      <c r="K247" s="115">
        <f>IFERROR(__xludf.DUMMYFUNCTION("""COMPUTED_VALUE"""),51886.0)</f>
        <v>51886</v>
      </c>
    </row>
    <row r="248">
      <c r="A248" s="115" t="str">
        <f>IFERROR(__xludf.DUMMYFUNCTION("""COMPUTED_VALUE"""),"WEST")</f>
        <v>WEST</v>
      </c>
      <c r="B248" s="115" t="str">
        <f>IFERROR(__xludf.DUMMYFUNCTION("""COMPUTED_VALUE"""),"Ashvani Bhatt")</f>
        <v>Ashvani Bhatt</v>
      </c>
      <c r="C248" s="115" t="str">
        <f>IFERROR(__xludf.DUMMYFUNCTION("""COMPUTED_VALUE"""),"EXTERNAL")</f>
        <v>EXTERNAL</v>
      </c>
      <c r="D248" s="115">
        <f>IFERROR(__xludf.DUMMYFUNCTION("""COMPUTED_VALUE"""),38882.0)</f>
        <v>38882</v>
      </c>
      <c r="E248" s="115">
        <f>IFERROR(__xludf.DUMMYFUNCTION("""COMPUTED_VALUE"""),4045.0)</f>
        <v>4045</v>
      </c>
      <c r="F248" s="115">
        <f>IFERROR(__xludf.DUMMYFUNCTION("""COMPUTED_VALUE"""),13177.0)</f>
        <v>13177</v>
      </c>
      <c r="G248" s="115">
        <f>IFERROR(__xludf.DUMMYFUNCTION("""COMPUTED_VALUE"""),445.0)</f>
        <v>445</v>
      </c>
      <c r="H248" s="116">
        <f>IFERROR(__xludf.DUMMYFUNCTION("""COMPUTED_VALUE"""),45901.0)</f>
        <v>45901</v>
      </c>
      <c r="I248" s="115" t="str">
        <f>IFERROR(__xludf.DUMMYFUNCTION("""COMPUTED_VALUE"""),"16")</f>
        <v>16</v>
      </c>
      <c r="J248" s="115" t="str">
        <f>IFERROR(__xludf.DUMMYFUNCTION("""COMPUTED_VALUE"""),"Ashvani Bhatt2025-09-0116")</f>
        <v>Ashvani Bhatt2025-09-0116</v>
      </c>
      <c r="K248" s="115">
        <f>IFERROR(__xludf.DUMMYFUNCTION("""COMPUTED_VALUE"""),42927.0)</f>
        <v>42927</v>
      </c>
    </row>
    <row r="249">
      <c r="A249" s="115" t="str">
        <f>IFERROR(__xludf.DUMMYFUNCTION("""COMPUTED_VALUE"""),"WEST")</f>
        <v>WEST</v>
      </c>
      <c r="B249" s="115" t="str">
        <f>IFERROR(__xludf.DUMMYFUNCTION("""COMPUTED_VALUE"""),"Ashvani Bhatt")</f>
        <v>Ashvani Bhatt</v>
      </c>
      <c r="C249" s="115" t="str">
        <f>IFERROR(__xludf.DUMMYFUNCTION("""COMPUTED_VALUE"""),"FLIPKART")</f>
        <v>FLIPKART</v>
      </c>
      <c r="D249" s="115">
        <f>IFERROR(__xludf.DUMMYFUNCTION("""COMPUTED_VALUE"""),259635.0)</f>
        <v>259635</v>
      </c>
      <c r="E249" s="115">
        <f>IFERROR(__xludf.DUMMYFUNCTION("""COMPUTED_VALUE"""),29540.0)</f>
        <v>29540</v>
      </c>
      <c r="F249" s="115">
        <f>IFERROR(__xludf.DUMMYFUNCTION("""COMPUTED_VALUE"""),152990.0)</f>
        <v>152990</v>
      </c>
      <c r="G249" s="115">
        <f>IFERROR(__xludf.DUMMYFUNCTION("""COMPUTED_VALUE"""),6030.0)</f>
        <v>6030</v>
      </c>
      <c r="H249" s="116">
        <f>IFERROR(__xludf.DUMMYFUNCTION("""COMPUTED_VALUE"""),45901.0)</f>
        <v>45901</v>
      </c>
      <c r="I249" s="115" t="str">
        <f>IFERROR(__xludf.DUMMYFUNCTION("""COMPUTED_VALUE"""),"16")</f>
        <v>16</v>
      </c>
      <c r="J249" s="115" t="str">
        <f>IFERROR(__xludf.DUMMYFUNCTION("""COMPUTED_VALUE"""),"Ashvani Bhatt2025-09-0116")</f>
        <v>Ashvani Bhatt2025-09-0116</v>
      </c>
      <c r="K249" s="115">
        <f>IFERROR(__xludf.DUMMYFUNCTION("""COMPUTED_VALUE"""),289175.0)</f>
        <v>289175</v>
      </c>
    </row>
    <row r="250">
      <c r="A250" s="115" t="str">
        <f>IFERROR(__xludf.DUMMYFUNCTION("""COMPUTED_VALUE"""),"WEST")</f>
        <v>WEST</v>
      </c>
      <c r="B250" s="115" t="str">
        <f>IFERROR(__xludf.DUMMYFUNCTION("""COMPUTED_VALUE"""),"Ashvani Bhatt")</f>
        <v>Ashvani Bhatt</v>
      </c>
      <c r="C250" s="115" t="str">
        <f>IFERROR(__xludf.DUMMYFUNCTION("""COMPUTED_VALUE"""),"MYNTRA")</f>
        <v>MYNTRA</v>
      </c>
      <c r="D250" s="115">
        <f>IFERROR(__xludf.DUMMYFUNCTION("""COMPUTED_VALUE"""),32605.0)</f>
        <v>32605</v>
      </c>
      <c r="E250" s="115">
        <f>IFERROR(__xludf.DUMMYFUNCTION("""COMPUTED_VALUE"""),8047.0)</f>
        <v>8047</v>
      </c>
      <c r="F250" s="115">
        <f>IFERROR(__xludf.DUMMYFUNCTION("""COMPUTED_VALUE"""),23666.0)</f>
        <v>23666</v>
      </c>
      <c r="G250" s="115">
        <f>IFERROR(__xludf.DUMMYFUNCTION("""COMPUTED_VALUE"""),1976.0)</f>
        <v>1976</v>
      </c>
      <c r="H250" s="116">
        <f>IFERROR(__xludf.DUMMYFUNCTION("""COMPUTED_VALUE"""),45901.0)</f>
        <v>45901</v>
      </c>
      <c r="I250" s="115" t="str">
        <f>IFERROR(__xludf.DUMMYFUNCTION("""COMPUTED_VALUE"""),"16")</f>
        <v>16</v>
      </c>
      <c r="J250" s="115" t="str">
        <f>IFERROR(__xludf.DUMMYFUNCTION("""COMPUTED_VALUE"""),"Ashvani Bhatt2025-09-0116")</f>
        <v>Ashvani Bhatt2025-09-0116</v>
      </c>
      <c r="K250" s="115">
        <f>IFERROR(__xludf.DUMMYFUNCTION("""COMPUTED_VALUE"""),40652.0)</f>
        <v>40652</v>
      </c>
    </row>
    <row r="251">
      <c r="A251" s="115"/>
      <c r="B251" s="115"/>
      <c r="C251" s="115" t="str">
        <f>IFERROR(__xludf.DUMMYFUNCTION("""COMPUTED_VALUE"""),"EXTERNAL")</f>
        <v>EXTERNAL</v>
      </c>
      <c r="D251" s="115">
        <f>IFERROR(__xludf.DUMMYFUNCTION("""COMPUTED_VALUE"""),1519.0)</f>
        <v>1519</v>
      </c>
      <c r="E251" s="115">
        <f>IFERROR(__xludf.DUMMYFUNCTION("""COMPUTED_VALUE"""),153.0)</f>
        <v>153</v>
      </c>
      <c r="F251" s="115">
        <f>IFERROR(__xludf.DUMMYFUNCTION("""COMPUTED_VALUE"""),341.0)</f>
        <v>341</v>
      </c>
      <c r="G251" s="115">
        <f>IFERROR(__xludf.DUMMYFUNCTION("""COMPUTED_VALUE"""),25.0)</f>
        <v>25</v>
      </c>
      <c r="H251" s="116">
        <f>IFERROR(__xludf.DUMMYFUNCTION("""COMPUTED_VALUE"""),45901.0)</f>
        <v>45901</v>
      </c>
      <c r="I251" s="115" t="str">
        <f>IFERROR(__xludf.DUMMYFUNCTION("""COMPUTED_VALUE"""),"16")</f>
        <v>16</v>
      </c>
      <c r="J251" s="115" t="str">
        <f>IFERROR(__xludf.DUMMYFUNCTION("""COMPUTED_VALUE"""),"2025-09-0116")</f>
        <v>2025-09-0116</v>
      </c>
      <c r="K251" s="115">
        <f>IFERROR(__xludf.DUMMYFUNCTION("""COMPUTED_VALUE"""),1672.0)</f>
        <v>1672</v>
      </c>
    </row>
    <row r="252">
      <c r="A252" s="115"/>
      <c r="B252" s="115"/>
      <c r="C252" s="115" t="str">
        <f>IFERROR(__xludf.DUMMYFUNCTION("""COMPUTED_VALUE"""),"FLIPKART")</f>
        <v>FLIPKART</v>
      </c>
      <c r="D252" s="115">
        <f>IFERROR(__xludf.DUMMYFUNCTION("""COMPUTED_VALUE"""),13740.0)</f>
        <v>13740</v>
      </c>
      <c r="E252" s="115">
        <f>IFERROR(__xludf.DUMMYFUNCTION("""COMPUTED_VALUE"""),1343.0)</f>
        <v>1343</v>
      </c>
      <c r="F252" s="115">
        <f>IFERROR(__xludf.DUMMYFUNCTION("""COMPUTED_VALUE"""),5724.0)</f>
        <v>5724</v>
      </c>
      <c r="G252" s="115">
        <f>IFERROR(__xludf.DUMMYFUNCTION("""COMPUTED_VALUE"""),346.0)</f>
        <v>346</v>
      </c>
      <c r="H252" s="116">
        <f>IFERROR(__xludf.DUMMYFUNCTION("""COMPUTED_VALUE"""),45901.0)</f>
        <v>45901</v>
      </c>
      <c r="I252" s="115" t="str">
        <f>IFERROR(__xludf.DUMMYFUNCTION("""COMPUTED_VALUE"""),"16")</f>
        <v>16</v>
      </c>
      <c r="J252" s="115" t="str">
        <f>IFERROR(__xludf.DUMMYFUNCTION("""COMPUTED_VALUE"""),"2025-09-0116")</f>
        <v>2025-09-0116</v>
      </c>
      <c r="K252" s="115">
        <f>IFERROR(__xludf.DUMMYFUNCTION("""COMPUTED_VALUE"""),15083.0)</f>
        <v>15083</v>
      </c>
    </row>
    <row r="253">
      <c r="A253" s="115"/>
      <c r="B253" s="115"/>
      <c r="C253" s="115" t="str">
        <f>IFERROR(__xludf.DUMMYFUNCTION("""COMPUTED_VALUE"""),"MYNTRA")</f>
        <v>MYNTRA</v>
      </c>
      <c r="D253" s="115">
        <f>IFERROR(__xludf.DUMMYFUNCTION("""COMPUTED_VALUE"""),1216.0)</f>
        <v>1216</v>
      </c>
      <c r="E253" s="115">
        <f>IFERROR(__xludf.DUMMYFUNCTION("""COMPUTED_VALUE"""),263.0)</f>
        <v>263</v>
      </c>
      <c r="F253" s="115">
        <f>IFERROR(__xludf.DUMMYFUNCTION("""COMPUTED_VALUE"""),588.0)</f>
        <v>588</v>
      </c>
      <c r="G253" s="115">
        <f>IFERROR(__xludf.DUMMYFUNCTION("""COMPUTED_VALUE"""),63.0)</f>
        <v>63</v>
      </c>
      <c r="H253" s="116">
        <f>IFERROR(__xludf.DUMMYFUNCTION("""COMPUTED_VALUE"""),45901.0)</f>
        <v>45901</v>
      </c>
      <c r="I253" s="115" t="str">
        <f>IFERROR(__xludf.DUMMYFUNCTION("""COMPUTED_VALUE"""),"16")</f>
        <v>16</v>
      </c>
      <c r="J253" s="115" t="str">
        <f>IFERROR(__xludf.DUMMYFUNCTION("""COMPUTED_VALUE"""),"2025-09-0116")</f>
        <v>2025-09-0116</v>
      </c>
      <c r="K253" s="115">
        <f>IFERROR(__xludf.DUMMYFUNCTION("""COMPUTED_VALUE"""),1479.0)</f>
        <v>1479</v>
      </c>
    </row>
    <row r="254">
      <c r="A254" s="115" t="str">
        <f>IFERROR(__xludf.DUMMYFUNCTION("""COMPUTED_VALUE"""),"EAST")</f>
        <v>EAST</v>
      </c>
      <c r="B254" s="115" t="str">
        <f>IFERROR(__xludf.DUMMYFUNCTION("""COMPUTED_VALUE"""),"Ashish Ranjan")</f>
        <v>Ashish Ranjan</v>
      </c>
      <c r="C254" s="115" t="str">
        <f>IFERROR(__xludf.DUMMYFUNCTION("""COMPUTED_VALUE"""),"EXTERNAL")</f>
        <v>EXTERNAL</v>
      </c>
      <c r="D254" s="115">
        <f>IFERROR(__xludf.DUMMYFUNCTION("""COMPUTED_VALUE"""),41182.0)</f>
        <v>41182</v>
      </c>
      <c r="E254" s="115">
        <f>IFERROR(__xludf.DUMMYFUNCTION("""COMPUTED_VALUE"""),3143.0)</f>
        <v>3143</v>
      </c>
      <c r="F254" s="115">
        <f>IFERROR(__xludf.DUMMYFUNCTION("""COMPUTED_VALUE"""),18925.0)</f>
        <v>18925</v>
      </c>
      <c r="G254" s="115">
        <f>IFERROR(__xludf.DUMMYFUNCTION("""COMPUTED_VALUE"""),656.0)</f>
        <v>656</v>
      </c>
      <c r="H254" s="116">
        <f>IFERROR(__xludf.DUMMYFUNCTION("""COMPUTED_VALUE"""),45901.0)</f>
        <v>45901</v>
      </c>
      <c r="I254" s="115" t="str">
        <f>IFERROR(__xludf.DUMMYFUNCTION("""COMPUTED_VALUE"""),"17")</f>
        <v>17</v>
      </c>
      <c r="J254" s="115" t="str">
        <f>IFERROR(__xludf.DUMMYFUNCTION("""COMPUTED_VALUE"""),"Ashish Ranjan2025-09-0117")</f>
        <v>Ashish Ranjan2025-09-0117</v>
      </c>
      <c r="K254" s="115">
        <f>IFERROR(__xludf.DUMMYFUNCTION("""COMPUTED_VALUE"""),44325.0)</f>
        <v>44325</v>
      </c>
    </row>
    <row r="255">
      <c r="A255" s="115" t="str">
        <f>IFERROR(__xludf.DUMMYFUNCTION("""COMPUTED_VALUE"""),"EAST")</f>
        <v>EAST</v>
      </c>
      <c r="B255" s="115" t="str">
        <f>IFERROR(__xludf.DUMMYFUNCTION("""COMPUTED_VALUE"""),"Ashish Ranjan")</f>
        <v>Ashish Ranjan</v>
      </c>
      <c r="C255" s="115" t="str">
        <f>IFERROR(__xludf.DUMMYFUNCTION("""COMPUTED_VALUE"""),"FLIPKART")</f>
        <v>FLIPKART</v>
      </c>
      <c r="D255" s="115">
        <f>IFERROR(__xludf.DUMMYFUNCTION("""COMPUTED_VALUE"""),598786.0)</f>
        <v>598786</v>
      </c>
      <c r="E255" s="115">
        <f>IFERROR(__xludf.DUMMYFUNCTION("""COMPUTED_VALUE"""),61288.0)</f>
        <v>61288</v>
      </c>
      <c r="F255" s="115">
        <f>IFERROR(__xludf.DUMMYFUNCTION("""COMPUTED_VALUE"""),442163.0)</f>
        <v>442163</v>
      </c>
      <c r="G255" s="115">
        <f>IFERROR(__xludf.DUMMYFUNCTION("""COMPUTED_VALUE"""),19129.0)</f>
        <v>19129</v>
      </c>
      <c r="H255" s="116">
        <f>IFERROR(__xludf.DUMMYFUNCTION("""COMPUTED_VALUE"""),45901.0)</f>
        <v>45901</v>
      </c>
      <c r="I255" s="115" t="str">
        <f>IFERROR(__xludf.DUMMYFUNCTION("""COMPUTED_VALUE"""),"17")</f>
        <v>17</v>
      </c>
      <c r="J255" s="115" t="str">
        <f>IFERROR(__xludf.DUMMYFUNCTION("""COMPUTED_VALUE"""),"Ashish Ranjan2025-09-0117")</f>
        <v>Ashish Ranjan2025-09-0117</v>
      </c>
      <c r="K255" s="115">
        <f>IFERROR(__xludf.DUMMYFUNCTION("""COMPUTED_VALUE"""),660074.0)</f>
        <v>660074</v>
      </c>
    </row>
    <row r="256">
      <c r="A256" s="115" t="str">
        <f>IFERROR(__xludf.DUMMYFUNCTION("""COMPUTED_VALUE"""),"EAST")</f>
        <v>EAST</v>
      </c>
      <c r="B256" s="115" t="str">
        <f>IFERROR(__xludf.DUMMYFUNCTION("""COMPUTED_VALUE"""),"Ashish Ranjan")</f>
        <v>Ashish Ranjan</v>
      </c>
      <c r="C256" s="115" t="str">
        <f>IFERROR(__xludf.DUMMYFUNCTION("""COMPUTED_VALUE"""),"MYNTRA")</f>
        <v>MYNTRA</v>
      </c>
      <c r="D256" s="115">
        <f>IFERROR(__xludf.DUMMYFUNCTION("""COMPUTED_VALUE"""),57479.0)</f>
        <v>57479</v>
      </c>
      <c r="E256" s="115">
        <f>IFERROR(__xludf.DUMMYFUNCTION("""COMPUTED_VALUE"""),10800.0)</f>
        <v>10800</v>
      </c>
      <c r="F256" s="115">
        <f>IFERROR(__xludf.DUMMYFUNCTION("""COMPUTED_VALUE"""),44906.0)</f>
        <v>44906</v>
      </c>
      <c r="G256" s="115">
        <f>IFERROR(__xludf.DUMMYFUNCTION("""COMPUTED_VALUE"""),3288.0)</f>
        <v>3288</v>
      </c>
      <c r="H256" s="116">
        <f>IFERROR(__xludf.DUMMYFUNCTION("""COMPUTED_VALUE"""),45901.0)</f>
        <v>45901</v>
      </c>
      <c r="I256" s="115" t="str">
        <f>IFERROR(__xludf.DUMMYFUNCTION("""COMPUTED_VALUE"""),"17")</f>
        <v>17</v>
      </c>
      <c r="J256" s="115" t="str">
        <f>IFERROR(__xludf.DUMMYFUNCTION("""COMPUTED_VALUE"""),"Ashish Ranjan2025-09-0117")</f>
        <v>Ashish Ranjan2025-09-0117</v>
      </c>
      <c r="K256" s="115">
        <f>IFERROR(__xludf.DUMMYFUNCTION("""COMPUTED_VALUE"""),68279.0)</f>
        <v>68279</v>
      </c>
    </row>
    <row r="257">
      <c r="A257" s="115" t="str">
        <f>IFERROR(__xludf.DUMMYFUNCTION("""COMPUTED_VALUE"""),"EAST")</f>
        <v>EAST</v>
      </c>
      <c r="B257" s="115" t="str">
        <f>IFERROR(__xludf.DUMMYFUNCTION("""COMPUTED_VALUE"""),"Girish Chand")</f>
        <v>Girish Chand</v>
      </c>
      <c r="C257" s="115" t="str">
        <f>IFERROR(__xludf.DUMMYFUNCTION("""COMPUTED_VALUE"""),"EXTERNAL")</f>
        <v>EXTERNAL</v>
      </c>
      <c r="D257" s="115">
        <f>IFERROR(__xludf.DUMMYFUNCTION("""COMPUTED_VALUE"""),25400.0)</f>
        <v>25400</v>
      </c>
      <c r="E257" s="115">
        <f>IFERROR(__xludf.DUMMYFUNCTION("""COMPUTED_VALUE"""),2426.0)</f>
        <v>2426</v>
      </c>
      <c r="F257" s="115">
        <f>IFERROR(__xludf.DUMMYFUNCTION("""COMPUTED_VALUE"""),9417.0)</f>
        <v>9417</v>
      </c>
      <c r="G257" s="115">
        <f>IFERROR(__xludf.DUMMYFUNCTION("""COMPUTED_VALUE"""),231.0)</f>
        <v>231</v>
      </c>
      <c r="H257" s="116">
        <f>IFERROR(__xludf.DUMMYFUNCTION("""COMPUTED_VALUE"""),45901.0)</f>
        <v>45901</v>
      </c>
      <c r="I257" s="115" t="str">
        <f>IFERROR(__xludf.DUMMYFUNCTION("""COMPUTED_VALUE"""),"17")</f>
        <v>17</v>
      </c>
      <c r="J257" s="115" t="str">
        <f>IFERROR(__xludf.DUMMYFUNCTION("""COMPUTED_VALUE"""),"Girish Chand2025-09-0117")</f>
        <v>Girish Chand2025-09-0117</v>
      </c>
      <c r="K257" s="115">
        <f>IFERROR(__xludf.DUMMYFUNCTION("""COMPUTED_VALUE"""),27826.0)</f>
        <v>27826</v>
      </c>
    </row>
    <row r="258">
      <c r="A258" s="115" t="str">
        <f>IFERROR(__xludf.DUMMYFUNCTION("""COMPUTED_VALUE"""),"EAST")</f>
        <v>EAST</v>
      </c>
      <c r="B258" s="115" t="str">
        <f>IFERROR(__xludf.DUMMYFUNCTION("""COMPUTED_VALUE"""),"Girish Chand")</f>
        <v>Girish Chand</v>
      </c>
      <c r="C258" s="115" t="str">
        <f>IFERROR(__xludf.DUMMYFUNCTION("""COMPUTED_VALUE"""),"FLIPKART")</f>
        <v>FLIPKART</v>
      </c>
      <c r="D258" s="115">
        <f>IFERROR(__xludf.DUMMYFUNCTION("""COMPUTED_VALUE"""),415288.0)</f>
        <v>415288</v>
      </c>
      <c r="E258" s="115">
        <f>IFERROR(__xludf.DUMMYFUNCTION("""COMPUTED_VALUE"""),37960.0)</f>
        <v>37960</v>
      </c>
      <c r="F258" s="115">
        <f>IFERROR(__xludf.DUMMYFUNCTION("""COMPUTED_VALUE"""),261310.0)</f>
        <v>261310</v>
      </c>
      <c r="G258" s="115">
        <f>IFERROR(__xludf.DUMMYFUNCTION("""COMPUTED_VALUE"""),7743.0)</f>
        <v>7743</v>
      </c>
      <c r="H258" s="116">
        <f>IFERROR(__xludf.DUMMYFUNCTION("""COMPUTED_VALUE"""),45901.0)</f>
        <v>45901</v>
      </c>
      <c r="I258" s="115" t="str">
        <f>IFERROR(__xludf.DUMMYFUNCTION("""COMPUTED_VALUE"""),"17")</f>
        <v>17</v>
      </c>
      <c r="J258" s="115" t="str">
        <f>IFERROR(__xludf.DUMMYFUNCTION("""COMPUTED_VALUE"""),"Girish Chand2025-09-0117")</f>
        <v>Girish Chand2025-09-0117</v>
      </c>
      <c r="K258" s="115">
        <f>IFERROR(__xludf.DUMMYFUNCTION("""COMPUTED_VALUE"""),453248.0)</f>
        <v>453248</v>
      </c>
    </row>
    <row r="259">
      <c r="A259" s="115" t="str">
        <f>IFERROR(__xludf.DUMMYFUNCTION("""COMPUTED_VALUE"""),"EAST")</f>
        <v>EAST</v>
      </c>
      <c r="B259" s="115" t="str">
        <f>IFERROR(__xludf.DUMMYFUNCTION("""COMPUTED_VALUE"""),"Girish Chand")</f>
        <v>Girish Chand</v>
      </c>
      <c r="C259" s="115" t="str">
        <f>IFERROR(__xludf.DUMMYFUNCTION("""COMPUTED_VALUE"""),"MYNTRA")</f>
        <v>MYNTRA</v>
      </c>
      <c r="D259" s="115">
        <f>IFERROR(__xludf.DUMMYFUNCTION("""COMPUTED_VALUE"""),31992.0)</f>
        <v>31992</v>
      </c>
      <c r="E259" s="115">
        <f>IFERROR(__xludf.DUMMYFUNCTION("""COMPUTED_VALUE"""),5839.0)</f>
        <v>5839</v>
      </c>
      <c r="F259" s="115">
        <f>IFERROR(__xludf.DUMMYFUNCTION("""COMPUTED_VALUE"""),22473.0)</f>
        <v>22473</v>
      </c>
      <c r="G259" s="115">
        <f>IFERROR(__xludf.DUMMYFUNCTION("""COMPUTED_VALUE"""),1368.0)</f>
        <v>1368</v>
      </c>
      <c r="H259" s="116">
        <f>IFERROR(__xludf.DUMMYFUNCTION("""COMPUTED_VALUE"""),45901.0)</f>
        <v>45901</v>
      </c>
      <c r="I259" s="115" t="str">
        <f>IFERROR(__xludf.DUMMYFUNCTION("""COMPUTED_VALUE"""),"17")</f>
        <v>17</v>
      </c>
      <c r="J259" s="115" t="str">
        <f>IFERROR(__xludf.DUMMYFUNCTION("""COMPUTED_VALUE"""),"Girish Chand2025-09-0117")</f>
        <v>Girish Chand2025-09-0117</v>
      </c>
      <c r="K259" s="115">
        <f>IFERROR(__xludf.DUMMYFUNCTION("""COMPUTED_VALUE"""),37831.0)</f>
        <v>37831</v>
      </c>
    </row>
    <row r="260">
      <c r="A260" s="115" t="str">
        <f>IFERROR(__xludf.DUMMYFUNCTION("""COMPUTED_VALUE"""),"EAST")</f>
        <v>EAST</v>
      </c>
      <c r="B260" s="115" t="str">
        <f>IFERROR(__xludf.DUMMYFUNCTION("""COMPUTED_VALUE"""),"Parag Kashyap")</f>
        <v>Parag Kashyap</v>
      </c>
      <c r="C260" s="115" t="str">
        <f>IFERROR(__xludf.DUMMYFUNCTION("""COMPUTED_VALUE"""),"EXTERNAL")</f>
        <v>EXTERNAL</v>
      </c>
      <c r="D260" s="115">
        <f>IFERROR(__xludf.DUMMYFUNCTION("""COMPUTED_VALUE"""),23053.0)</f>
        <v>23053</v>
      </c>
      <c r="E260" s="115">
        <f>IFERROR(__xludf.DUMMYFUNCTION("""COMPUTED_VALUE"""),1297.0)</f>
        <v>1297</v>
      </c>
      <c r="F260" s="115">
        <f>IFERROR(__xludf.DUMMYFUNCTION("""COMPUTED_VALUE"""),7874.0)</f>
        <v>7874</v>
      </c>
      <c r="G260" s="115">
        <f>IFERROR(__xludf.DUMMYFUNCTION("""COMPUTED_VALUE"""),60.0)</f>
        <v>60</v>
      </c>
      <c r="H260" s="116">
        <f>IFERROR(__xludf.DUMMYFUNCTION("""COMPUTED_VALUE"""),45901.0)</f>
        <v>45901</v>
      </c>
      <c r="I260" s="115" t="str">
        <f>IFERROR(__xludf.DUMMYFUNCTION("""COMPUTED_VALUE"""),"17")</f>
        <v>17</v>
      </c>
      <c r="J260" s="115" t="str">
        <f>IFERROR(__xludf.DUMMYFUNCTION("""COMPUTED_VALUE"""),"Parag Kashyap2025-09-0117")</f>
        <v>Parag Kashyap2025-09-0117</v>
      </c>
      <c r="K260" s="115">
        <f>IFERROR(__xludf.DUMMYFUNCTION("""COMPUTED_VALUE"""),24350.0)</f>
        <v>24350</v>
      </c>
    </row>
    <row r="261">
      <c r="A261" s="115" t="str">
        <f>IFERROR(__xludf.DUMMYFUNCTION("""COMPUTED_VALUE"""),"EAST")</f>
        <v>EAST</v>
      </c>
      <c r="B261" s="115" t="str">
        <f>IFERROR(__xludf.DUMMYFUNCTION("""COMPUTED_VALUE"""),"Parag Kashyap")</f>
        <v>Parag Kashyap</v>
      </c>
      <c r="C261" s="115" t="str">
        <f>IFERROR(__xludf.DUMMYFUNCTION("""COMPUTED_VALUE"""),"FLIPKART")</f>
        <v>FLIPKART</v>
      </c>
      <c r="D261" s="115">
        <f>IFERROR(__xludf.DUMMYFUNCTION("""COMPUTED_VALUE"""),320163.0)</f>
        <v>320163</v>
      </c>
      <c r="E261" s="115">
        <f>IFERROR(__xludf.DUMMYFUNCTION("""COMPUTED_VALUE"""),17667.0)</f>
        <v>17667</v>
      </c>
      <c r="F261" s="115">
        <f>IFERROR(__xludf.DUMMYFUNCTION("""COMPUTED_VALUE"""),196622.0)</f>
        <v>196622</v>
      </c>
      <c r="G261" s="115">
        <f>IFERROR(__xludf.DUMMYFUNCTION("""COMPUTED_VALUE"""),2411.0)</f>
        <v>2411</v>
      </c>
      <c r="H261" s="116">
        <f>IFERROR(__xludf.DUMMYFUNCTION("""COMPUTED_VALUE"""),45901.0)</f>
        <v>45901</v>
      </c>
      <c r="I261" s="115" t="str">
        <f>IFERROR(__xludf.DUMMYFUNCTION("""COMPUTED_VALUE"""),"17")</f>
        <v>17</v>
      </c>
      <c r="J261" s="115" t="str">
        <f>IFERROR(__xludf.DUMMYFUNCTION("""COMPUTED_VALUE"""),"Parag Kashyap2025-09-0117")</f>
        <v>Parag Kashyap2025-09-0117</v>
      </c>
      <c r="K261" s="115">
        <f>IFERROR(__xludf.DUMMYFUNCTION("""COMPUTED_VALUE"""),337830.0)</f>
        <v>337830</v>
      </c>
    </row>
    <row r="262">
      <c r="A262" s="115" t="str">
        <f>IFERROR(__xludf.DUMMYFUNCTION("""COMPUTED_VALUE"""),"EAST")</f>
        <v>EAST</v>
      </c>
      <c r="B262" s="115" t="str">
        <f>IFERROR(__xludf.DUMMYFUNCTION("""COMPUTED_VALUE"""),"Parag Kashyap")</f>
        <v>Parag Kashyap</v>
      </c>
      <c r="C262" s="115" t="str">
        <f>IFERROR(__xludf.DUMMYFUNCTION("""COMPUTED_VALUE"""),"MYNTRA")</f>
        <v>MYNTRA</v>
      </c>
      <c r="D262" s="115">
        <f>IFERROR(__xludf.DUMMYFUNCTION("""COMPUTED_VALUE"""),36413.0)</f>
        <v>36413</v>
      </c>
      <c r="E262" s="115">
        <f>IFERROR(__xludf.DUMMYFUNCTION("""COMPUTED_VALUE"""),4733.0)</f>
        <v>4733</v>
      </c>
      <c r="F262" s="115">
        <f>IFERROR(__xludf.DUMMYFUNCTION("""COMPUTED_VALUE"""),24379.0)</f>
        <v>24379</v>
      </c>
      <c r="G262" s="115">
        <f>IFERROR(__xludf.DUMMYFUNCTION("""COMPUTED_VALUE"""),577.0)</f>
        <v>577</v>
      </c>
      <c r="H262" s="116">
        <f>IFERROR(__xludf.DUMMYFUNCTION("""COMPUTED_VALUE"""),45901.0)</f>
        <v>45901</v>
      </c>
      <c r="I262" s="115" t="str">
        <f>IFERROR(__xludf.DUMMYFUNCTION("""COMPUTED_VALUE"""),"17")</f>
        <v>17</v>
      </c>
      <c r="J262" s="115" t="str">
        <f>IFERROR(__xludf.DUMMYFUNCTION("""COMPUTED_VALUE"""),"Parag Kashyap2025-09-0117")</f>
        <v>Parag Kashyap2025-09-0117</v>
      </c>
      <c r="K262" s="115">
        <f>IFERROR(__xludf.DUMMYFUNCTION("""COMPUTED_VALUE"""),41146.0)</f>
        <v>41146</v>
      </c>
    </row>
    <row r="263">
      <c r="A263" s="115" t="str">
        <f>IFERROR(__xludf.DUMMYFUNCTION("""COMPUTED_VALUE"""),"NORTH")</f>
        <v>NORTH</v>
      </c>
      <c r="B263" s="115" t="str">
        <f>IFERROR(__xludf.DUMMYFUNCTION("""COMPUTED_VALUE"""),"Amit Kumar Pathak")</f>
        <v>Amit Kumar Pathak</v>
      </c>
      <c r="C263" s="115" t="str">
        <f>IFERROR(__xludf.DUMMYFUNCTION("""COMPUTED_VALUE"""),"EXTERNAL")</f>
        <v>EXTERNAL</v>
      </c>
      <c r="D263" s="115">
        <f>IFERROR(__xludf.DUMMYFUNCTION("""COMPUTED_VALUE"""),28837.0)</f>
        <v>28837</v>
      </c>
      <c r="E263" s="115">
        <f>IFERROR(__xludf.DUMMYFUNCTION("""COMPUTED_VALUE"""),2427.0)</f>
        <v>2427</v>
      </c>
      <c r="F263" s="115">
        <f>IFERROR(__xludf.DUMMYFUNCTION("""COMPUTED_VALUE"""),7604.0)</f>
        <v>7604</v>
      </c>
      <c r="G263" s="115">
        <f>IFERROR(__xludf.DUMMYFUNCTION("""COMPUTED_VALUE"""),431.0)</f>
        <v>431</v>
      </c>
      <c r="H263" s="116">
        <f>IFERROR(__xludf.DUMMYFUNCTION("""COMPUTED_VALUE"""),45901.0)</f>
        <v>45901</v>
      </c>
      <c r="I263" s="115" t="str">
        <f>IFERROR(__xludf.DUMMYFUNCTION("""COMPUTED_VALUE"""),"17")</f>
        <v>17</v>
      </c>
      <c r="J263" s="115" t="str">
        <f>IFERROR(__xludf.DUMMYFUNCTION("""COMPUTED_VALUE"""),"Amit Kumar Pathak2025-09-0117")</f>
        <v>Amit Kumar Pathak2025-09-0117</v>
      </c>
      <c r="K263" s="115">
        <f>IFERROR(__xludf.DUMMYFUNCTION("""COMPUTED_VALUE"""),31264.0)</f>
        <v>31264</v>
      </c>
    </row>
    <row r="264">
      <c r="A264" s="115" t="str">
        <f>IFERROR(__xludf.DUMMYFUNCTION("""COMPUTED_VALUE"""),"NORTH")</f>
        <v>NORTH</v>
      </c>
      <c r="B264" s="115" t="str">
        <f>IFERROR(__xludf.DUMMYFUNCTION("""COMPUTED_VALUE"""),"Amit Kumar Pathak")</f>
        <v>Amit Kumar Pathak</v>
      </c>
      <c r="C264" s="115" t="str">
        <f>IFERROR(__xludf.DUMMYFUNCTION("""COMPUTED_VALUE"""),"FLIPKART")</f>
        <v>FLIPKART</v>
      </c>
      <c r="D264" s="115">
        <f>IFERROR(__xludf.DUMMYFUNCTION("""COMPUTED_VALUE"""),191320.0)</f>
        <v>191320</v>
      </c>
      <c r="E264" s="115">
        <f>IFERROR(__xludf.DUMMYFUNCTION("""COMPUTED_VALUE"""),22648.0)</f>
        <v>22648</v>
      </c>
      <c r="F264" s="115">
        <f>IFERROR(__xludf.DUMMYFUNCTION("""COMPUTED_VALUE"""),95516.0)</f>
        <v>95516</v>
      </c>
      <c r="G264" s="115">
        <f>IFERROR(__xludf.DUMMYFUNCTION("""COMPUTED_VALUE"""),6041.0)</f>
        <v>6041</v>
      </c>
      <c r="H264" s="116">
        <f>IFERROR(__xludf.DUMMYFUNCTION("""COMPUTED_VALUE"""),45901.0)</f>
        <v>45901</v>
      </c>
      <c r="I264" s="115" t="str">
        <f>IFERROR(__xludf.DUMMYFUNCTION("""COMPUTED_VALUE"""),"17")</f>
        <v>17</v>
      </c>
      <c r="J264" s="115" t="str">
        <f>IFERROR(__xludf.DUMMYFUNCTION("""COMPUTED_VALUE"""),"Amit Kumar Pathak2025-09-0117")</f>
        <v>Amit Kumar Pathak2025-09-0117</v>
      </c>
      <c r="K264" s="115">
        <f>IFERROR(__xludf.DUMMYFUNCTION("""COMPUTED_VALUE"""),213968.0)</f>
        <v>213968</v>
      </c>
    </row>
    <row r="265">
      <c r="A265" s="115" t="str">
        <f>IFERROR(__xludf.DUMMYFUNCTION("""COMPUTED_VALUE"""),"NORTH")</f>
        <v>NORTH</v>
      </c>
      <c r="B265" s="115" t="str">
        <f>IFERROR(__xludf.DUMMYFUNCTION("""COMPUTED_VALUE"""),"Amit Kumar Pathak")</f>
        <v>Amit Kumar Pathak</v>
      </c>
      <c r="C265" s="115" t="str">
        <f>IFERROR(__xludf.DUMMYFUNCTION("""COMPUTED_VALUE"""),"MYNTRA")</f>
        <v>MYNTRA</v>
      </c>
      <c r="D265" s="115">
        <f>IFERROR(__xludf.DUMMYFUNCTION("""COMPUTED_VALUE"""),15932.0)</f>
        <v>15932</v>
      </c>
      <c r="E265" s="115">
        <f>IFERROR(__xludf.DUMMYFUNCTION("""COMPUTED_VALUE"""),5230.0)</f>
        <v>5230</v>
      </c>
      <c r="F265" s="115">
        <f>IFERROR(__xludf.DUMMYFUNCTION("""COMPUTED_VALUE"""),9847.0)</f>
        <v>9847</v>
      </c>
      <c r="G265" s="115">
        <f>IFERROR(__xludf.DUMMYFUNCTION("""COMPUTED_VALUE"""),1508.0)</f>
        <v>1508</v>
      </c>
      <c r="H265" s="116">
        <f>IFERROR(__xludf.DUMMYFUNCTION("""COMPUTED_VALUE"""),45901.0)</f>
        <v>45901</v>
      </c>
      <c r="I265" s="115" t="str">
        <f>IFERROR(__xludf.DUMMYFUNCTION("""COMPUTED_VALUE"""),"17")</f>
        <v>17</v>
      </c>
      <c r="J265" s="115" t="str">
        <f>IFERROR(__xludf.DUMMYFUNCTION("""COMPUTED_VALUE"""),"Amit Kumar Pathak2025-09-0117")</f>
        <v>Amit Kumar Pathak2025-09-0117</v>
      </c>
      <c r="K265" s="115">
        <f>IFERROR(__xludf.DUMMYFUNCTION("""COMPUTED_VALUE"""),21162.0)</f>
        <v>21162</v>
      </c>
    </row>
    <row r="266">
      <c r="A266" s="115" t="str">
        <f>IFERROR(__xludf.DUMMYFUNCTION("""COMPUTED_VALUE"""),"NORTH")</f>
        <v>NORTH</v>
      </c>
      <c r="B266" s="115" t="str">
        <f>IFERROR(__xludf.DUMMYFUNCTION("""COMPUTED_VALUE"""),"Loveleen Singh")</f>
        <v>Loveleen Singh</v>
      </c>
      <c r="C266" s="115" t="str">
        <f>IFERROR(__xludf.DUMMYFUNCTION("""COMPUTED_VALUE"""),"EXTERNAL")</f>
        <v>EXTERNAL</v>
      </c>
      <c r="D266" s="115">
        <f>IFERROR(__xludf.DUMMYFUNCTION("""COMPUTED_VALUE"""),29861.0)</f>
        <v>29861</v>
      </c>
      <c r="E266" s="115">
        <f>IFERROR(__xludf.DUMMYFUNCTION("""COMPUTED_VALUE"""),2195.0)</f>
        <v>2195</v>
      </c>
      <c r="F266" s="115">
        <f>IFERROR(__xludf.DUMMYFUNCTION("""COMPUTED_VALUE"""),8712.0)</f>
        <v>8712</v>
      </c>
      <c r="G266" s="115">
        <f>IFERROR(__xludf.DUMMYFUNCTION("""COMPUTED_VALUE"""),154.0)</f>
        <v>154</v>
      </c>
      <c r="H266" s="116">
        <f>IFERROR(__xludf.DUMMYFUNCTION("""COMPUTED_VALUE"""),45901.0)</f>
        <v>45901</v>
      </c>
      <c r="I266" s="115" t="str">
        <f>IFERROR(__xludf.DUMMYFUNCTION("""COMPUTED_VALUE"""),"17")</f>
        <v>17</v>
      </c>
      <c r="J266" s="115" t="str">
        <f>IFERROR(__xludf.DUMMYFUNCTION("""COMPUTED_VALUE"""),"Loveleen Singh2025-09-0117")</f>
        <v>Loveleen Singh2025-09-0117</v>
      </c>
      <c r="K266" s="115">
        <f>IFERROR(__xludf.DUMMYFUNCTION("""COMPUTED_VALUE"""),32056.0)</f>
        <v>32056</v>
      </c>
    </row>
    <row r="267">
      <c r="A267" s="115" t="str">
        <f>IFERROR(__xludf.DUMMYFUNCTION("""COMPUTED_VALUE"""),"NORTH")</f>
        <v>NORTH</v>
      </c>
      <c r="B267" s="115" t="str">
        <f>IFERROR(__xludf.DUMMYFUNCTION("""COMPUTED_VALUE"""),"Loveleen Singh")</f>
        <v>Loveleen Singh</v>
      </c>
      <c r="C267" s="115" t="str">
        <f>IFERROR(__xludf.DUMMYFUNCTION("""COMPUTED_VALUE"""),"FLIPKART")</f>
        <v>FLIPKART</v>
      </c>
      <c r="D267" s="115">
        <f>IFERROR(__xludf.DUMMYFUNCTION("""COMPUTED_VALUE"""),146660.0)</f>
        <v>146660</v>
      </c>
      <c r="E267" s="115">
        <f>IFERROR(__xludf.DUMMYFUNCTION("""COMPUTED_VALUE"""),13980.0)</f>
        <v>13980</v>
      </c>
      <c r="F267" s="115">
        <f>IFERROR(__xludf.DUMMYFUNCTION("""COMPUTED_VALUE"""),76565.0)</f>
        <v>76565</v>
      </c>
      <c r="G267" s="115">
        <f>IFERROR(__xludf.DUMMYFUNCTION("""COMPUTED_VALUE"""),2296.0)</f>
        <v>2296</v>
      </c>
      <c r="H267" s="116">
        <f>IFERROR(__xludf.DUMMYFUNCTION("""COMPUTED_VALUE"""),45901.0)</f>
        <v>45901</v>
      </c>
      <c r="I267" s="115" t="str">
        <f>IFERROR(__xludf.DUMMYFUNCTION("""COMPUTED_VALUE"""),"17")</f>
        <v>17</v>
      </c>
      <c r="J267" s="115" t="str">
        <f>IFERROR(__xludf.DUMMYFUNCTION("""COMPUTED_VALUE"""),"Loveleen Singh2025-09-0117")</f>
        <v>Loveleen Singh2025-09-0117</v>
      </c>
      <c r="K267" s="115">
        <f>IFERROR(__xludf.DUMMYFUNCTION("""COMPUTED_VALUE"""),160640.0)</f>
        <v>160640</v>
      </c>
    </row>
    <row r="268">
      <c r="A268" s="115" t="str">
        <f>IFERROR(__xludf.DUMMYFUNCTION("""COMPUTED_VALUE"""),"NORTH")</f>
        <v>NORTH</v>
      </c>
      <c r="B268" s="115" t="str">
        <f>IFERROR(__xludf.DUMMYFUNCTION("""COMPUTED_VALUE"""),"Loveleen Singh")</f>
        <v>Loveleen Singh</v>
      </c>
      <c r="C268" s="115" t="str">
        <f>IFERROR(__xludf.DUMMYFUNCTION("""COMPUTED_VALUE"""),"MYNTRA")</f>
        <v>MYNTRA</v>
      </c>
      <c r="D268" s="115">
        <f>IFERROR(__xludf.DUMMYFUNCTION("""COMPUTED_VALUE"""),19294.0)</f>
        <v>19294</v>
      </c>
      <c r="E268" s="115">
        <f>IFERROR(__xludf.DUMMYFUNCTION("""COMPUTED_VALUE"""),5068.0)</f>
        <v>5068</v>
      </c>
      <c r="F268" s="115">
        <f>IFERROR(__xludf.DUMMYFUNCTION("""COMPUTED_VALUE"""),12341.0)</f>
        <v>12341</v>
      </c>
      <c r="G268" s="115">
        <f>IFERROR(__xludf.DUMMYFUNCTION("""COMPUTED_VALUE"""),1041.0)</f>
        <v>1041</v>
      </c>
      <c r="H268" s="116">
        <f>IFERROR(__xludf.DUMMYFUNCTION("""COMPUTED_VALUE"""),45901.0)</f>
        <v>45901</v>
      </c>
      <c r="I268" s="115" t="str">
        <f>IFERROR(__xludf.DUMMYFUNCTION("""COMPUTED_VALUE"""),"17")</f>
        <v>17</v>
      </c>
      <c r="J268" s="115" t="str">
        <f>IFERROR(__xludf.DUMMYFUNCTION("""COMPUTED_VALUE"""),"Loveleen Singh2025-09-0117")</f>
        <v>Loveleen Singh2025-09-0117</v>
      </c>
      <c r="K268" s="115">
        <f>IFERROR(__xludf.DUMMYFUNCTION("""COMPUTED_VALUE"""),24362.0)</f>
        <v>24362</v>
      </c>
    </row>
    <row r="269">
      <c r="A269" s="115" t="str">
        <f>IFERROR(__xludf.DUMMYFUNCTION("""COMPUTED_VALUE"""),"NORTH")</f>
        <v>NORTH</v>
      </c>
      <c r="B269" s="115" t="str">
        <f>IFERROR(__xludf.DUMMYFUNCTION("""COMPUTED_VALUE"""),"Manoj Harsh")</f>
        <v>Manoj Harsh</v>
      </c>
      <c r="C269" s="115" t="str">
        <f>IFERROR(__xludf.DUMMYFUNCTION("""COMPUTED_VALUE"""),"EXTERNAL")</f>
        <v>EXTERNAL</v>
      </c>
      <c r="D269" s="115">
        <f>IFERROR(__xludf.DUMMYFUNCTION("""COMPUTED_VALUE"""),33282.0)</f>
        <v>33282</v>
      </c>
      <c r="E269" s="115">
        <f>IFERROR(__xludf.DUMMYFUNCTION("""COMPUTED_VALUE"""),3154.0)</f>
        <v>3154</v>
      </c>
      <c r="F269" s="115">
        <f>IFERROR(__xludf.DUMMYFUNCTION("""COMPUTED_VALUE"""),11007.0)</f>
        <v>11007</v>
      </c>
      <c r="G269" s="115">
        <f>IFERROR(__xludf.DUMMYFUNCTION("""COMPUTED_VALUE"""),308.0)</f>
        <v>308</v>
      </c>
      <c r="H269" s="116">
        <f>IFERROR(__xludf.DUMMYFUNCTION("""COMPUTED_VALUE"""),45901.0)</f>
        <v>45901</v>
      </c>
      <c r="I269" s="115" t="str">
        <f>IFERROR(__xludf.DUMMYFUNCTION("""COMPUTED_VALUE"""),"17")</f>
        <v>17</v>
      </c>
      <c r="J269" s="115" t="str">
        <f>IFERROR(__xludf.DUMMYFUNCTION("""COMPUTED_VALUE"""),"Manoj Harsh2025-09-0117")</f>
        <v>Manoj Harsh2025-09-0117</v>
      </c>
      <c r="K269" s="115">
        <f>IFERROR(__xludf.DUMMYFUNCTION("""COMPUTED_VALUE"""),36436.0)</f>
        <v>36436</v>
      </c>
    </row>
    <row r="270">
      <c r="A270" s="115" t="str">
        <f>IFERROR(__xludf.DUMMYFUNCTION("""COMPUTED_VALUE"""),"NORTH")</f>
        <v>NORTH</v>
      </c>
      <c r="B270" s="115" t="str">
        <f>IFERROR(__xludf.DUMMYFUNCTION("""COMPUTED_VALUE"""),"Manoj Harsh")</f>
        <v>Manoj Harsh</v>
      </c>
      <c r="C270" s="115" t="str">
        <f>IFERROR(__xludf.DUMMYFUNCTION("""COMPUTED_VALUE"""),"FLIPKART")</f>
        <v>FLIPKART</v>
      </c>
      <c r="D270" s="115">
        <f>IFERROR(__xludf.DUMMYFUNCTION("""COMPUTED_VALUE"""),382048.0)</f>
        <v>382048</v>
      </c>
      <c r="E270" s="115">
        <f>IFERROR(__xludf.DUMMYFUNCTION("""COMPUTED_VALUE"""),38518.0)</f>
        <v>38518</v>
      </c>
      <c r="F270" s="115">
        <f>IFERROR(__xludf.DUMMYFUNCTION("""COMPUTED_VALUE"""),218318.0)</f>
        <v>218318</v>
      </c>
      <c r="G270" s="115">
        <f>IFERROR(__xludf.DUMMYFUNCTION("""COMPUTED_VALUE"""),6825.0)</f>
        <v>6825</v>
      </c>
      <c r="H270" s="116">
        <f>IFERROR(__xludf.DUMMYFUNCTION("""COMPUTED_VALUE"""),45901.0)</f>
        <v>45901</v>
      </c>
      <c r="I270" s="115" t="str">
        <f>IFERROR(__xludf.DUMMYFUNCTION("""COMPUTED_VALUE"""),"17")</f>
        <v>17</v>
      </c>
      <c r="J270" s="115" t="str">
        <f>IFERROR(__xludf.DUMMYFUNCTION("""COMPUTED_VALUE"""),"Manoj Harsh2025-09-0117")</f>
        <v>Manoj Harsh2025-09-0117</v>
      </c>
      <c r="K270" s="115">
        <f>IFERROR(__xludf.DUMMYFUNCTION("""COMPUTED_VALUE"""),420566.0)</f>
        <v>420566</v>
      </c>
    </row>
    <row r="271">
      <c r="A271" s="115" t="str">
        <f>IFERROR(__xludf.DUMMYFUNCTION("""COMPUTED_VALUE"""),"NORTH")</f>
        <v>NORTH</v>
      </c>
      <c r="B271" s="115" t="str">
        <f>IFERROR(__xludf.DUMMYFUNCTION("""COMPUTED_VALUE"""),"Manoj Harsh")</f>
        <v>Manoj Harsh</v>
      </c>
      <c r="C271" s="115" t="str">
        <f>IFERROR(__xludf.DUMMYFUNCTION("""COMPUTED_VALUE"""),"MYNTRA")</f>
        <v>MYNTRA</v>
      </c>
      <c r="D271" s="115">
        <f>IFERROR(__xludf.DUMMYFUNCTION("""COMPUTED_VALUE"""),32980.0)</f>
        <v>32980</v>
      </c>
      <c r="E271" s="115">
        <f>IFERROR(__xludf.DUMMYFUNCTION("""COMPUTED_VALUE"""),6309.0)</f>
        <v>6309</v>
      </c>
      <c r="F271" s="115">
        <f>IFERROR(__xludf.DUMMYFUNCTION("""COMPUTED_VALUE"""),21922.0)</f>
        <v>21922</v>
      </c>
      <c r="G271" s="115">
        <f>IFERROR(__xludf.DUMMYFUNCTION("""COMPUTED_VALUE"""),1254.0)</f>
        <v>1254</v>
      </c>
      <c r="H271" s="116">
        <f>IFERROR(__xludf.DUMMYFUNCTION("""COMPUTED_VALUE"""),45901.0)</f>
        <v>45901</v>
      </c>
      <c r="I271" s="115" t="str">
        <f>IFERROR(__xludf.DUMMYFUNCTION("""COMPUTED_VALUE"""),"17")</f>
        <v>17</v>
      </c>
      <c r="J271" s="115" t="str">
        <f>IFERROR(__xludf.DUMMYFUNCTION("""COMPUTED_VALUE"""),"Manoj Harsh2025-09-0117")</f>
        <v>Manoj Harsh2025-09-0117</v>
      </c>
      <c r="K271" s="115">
        <f>IFERROR(__xludf.DUMMYFUNCTION("""COMPUTED_VALUE"""),39289.0)</f>
        <v>39289</v>
      </c>
    </row>
    <row r="272">
      <c r="A272" s="115" t="str">
        <f>IFERROR(__xludf.DUMMYFUNCTION("""COMPUTED_VALUE"""),"NORTH")</f>
        <v>NORTH</v>
      </c>
      <c r="B272" s="115" t="str">
        <f>IFERROR(__xludf.DUMMYFUNCTION("""COMPUTED_VALUE"""),"Pradeep Kothari")</f>
        <v>Pradeep Kothari</v>
      </c>
      <c r="C272" s="115" t="str">
        <f>IFERROR(__xludf.DUMMYFUNCTION("""COMPUTED_VALUE"""),"EXTERNAL")</f>
        <v>EXTERNAL</v>
      </c>
      <c r="D272" s="115">
        <f>IFERROR(__xludf.DUMMYFUNCTION("""COMPUTED_VALUE"""),19331.0)</f>
        <v>19331</v>
      </c>
      <c r="E272" s="115">
        <f>IFERROR(__xludf.DUMMYFUNCTION("""COMPUTED_VALUE"""),2012.0)</f>
        <v>2012</v>
      </c>
      <c r="F272" s="115">
        <f>IFERROR(__xludf.DUMMYFUNCTION("""COMPUTED_VALUE"""),6468.0)</f>
        <v>6468</v>
      </c>
      <c r="G272" s="115">
        <f>IFERROR(__xludf.DUMMYFUNCTION("""COMPUTED_VALUE"""),271.0)</f>
        <v>271</v>
      </c>
      <c r="H272" s="116">
        <f>IFERROR(__xludf.DUMMYFUNCTION("""COMPUTED_VALUE"""),45901.0)</f>
        <v>45901</v>
      </c>
      <c r="I272" s="115" t="str">
        <f>IFERROR(__xludf.DUMMYFUNCTION("""COMPUTED_VALUE"""),"17")</f>
        <v>17</v>
      </c>
      <c r="J272" s="115" t="str">
        <f>IFERROR(__xludf.DUMMYFUNCTION("""COMPUTED_VALUE"""),"Pradeep Kothari2025-09-0117")</f>
        <v>Pradeep Kothari2025-09-0117</v>
      </c>
      <c r="K272" s="115">
        <f>IFERROR(__xludf.DUMMYFUNCTION("""COMPUTED_VALUE"""),21343.0)</f>
        <v>21343</v>
      </c>
    </row>
    <row r="273">
      <c r="A273" s="115" t="str">
        <f>IFERROR(__xludf.DUMMYFUNCTION("""COMPUTED_VALUE"""),"NORTH")</f>
        <v>NORTH</v>
      </c>
      <c r="B273" s="115" t="str">
        <f>IFERROR(__xludf.DUMMYFUNCTION("""COMPUTED_VALUE"""),"Pradeep Kothari")</f>
        <v>Pradeep Kothari</v>
      </c>
      <c r="C273" s="115" t="str">
        <f>IFERROR(__xludf.DUMMYFUNCTION("""COMPUTED_VALUE"""),"FLIPKART")</f>
        <v>FLIPKART</v>
      </c>
      <c r="D273" s="115">
        <f>IFERROR(__xludf.DUMMYFUNCTION("""COMPUTED_VALUE"""),135963.0)</f>
        <v>135963</v>
      </c>
      <c r="E273" s="115">
        <f>IFERROR(__xludf.DUMMYFUNCTION("""COMPUTED_VALUE"""),16288.0)</f>
        <v>16288</v>
      </c>
      <c r="F273" s="115">
        <f>IFERROR(__xludf.DUMMYFUNCTION("""COMPUTED_VALUE"""),84225.0)</f>
        <v>84225</v>
      </c>
      <c r="G273" s="115">
        <f>IFERROR(__xludf.DUMMYFUNCTION("""COMPUTED_VALUE"""),4311.0)</f>
        <v>4311</v>
      </c>
      <c r="H273" s="116">
        <f>IFERROR(__xludf.DUMMYFUNCTION("""COMPUTED_VALUE"""),45901.0)</f>
        <v>45901</v>
      </c>
      <c r="I273" s="115" t="str">
        <f>IFERROR(__xludf.DUMMYFUNCTION("""COMPUTED_VALUE"""),"17")</f>
        <v>17</v>
      </c>
      <c r="J273" s="115" t="str">
        <f>IFERROR(__xludf.DUMMYFUNCTION("""COMPUTED_VALUE"""),"Pradeep Kothari2025-09-0117")</f>
        <v>Pradeep Kothari2025-09-0117</v>
      </c>
      <c r="K273" s="115">
        <f>IFERROR(__xludf.DUMMYFUNCTION("""COMPUTED_VALUE"""),152251.0)</f>
        <v>152251</v>
      </c>
    </row>
    <row r="274">
      <c r="A274" s="115" t="str">
        <f>IFERROR(__xludf.DUMMYFUNCTION("""COMPUTED_VALUE"""),"NORTH")</f>
        <v>NORTH</v>
      </c>
      <c r="B274" s="115" t="str">
        <f>IFERROR(__xludf.DUMMYFUNCTION("""COMPUTED_VALUE"""),"Pradeep Kothari")</f>
        <v>Pradeep Kothari</v>
      </c>
      <c r="C274" s="115" t="str">
        <f>IFERROR(__xludf.DUMMYFUNCTION("""COMPUTED_VALUE"""),"MYNTRA")</f>
        <v>MYNTRA</v>
      </c>
      <c r="D274" s="115">
        <f>IFERROR(__xludf.DUMMYFUNCTION("""COMPUTED_VALUE"""),23190.0)</f>
        <v>23190</v>
      </c>
      <c r="E274" s="115">
        <f>IFERROR(__xludf.DUMMYFUNCTION("""COMPUTED_VALUE"""),5651.0)</f>
        <v>5651</v>
      </c>
      <c r="F274" s="115">
        <f>IFERROR(__xludf.DUMMYFUNCTION("""COMPUTED_VALUE"""),17348.0)</f>
        <v>17348</v>
      </c>
      <c r="G274" s="115">
        <f>IFERROR(__xludf.DUMMYFUNCTION("""COMPUTED_VALUE"""),1812.0)</f>
        <v>1812</v>
      </c>
      <c r="H274" s="116">
        <f>IFERROR(__xludf.DUMMYFUNCTION("""COMPUTED_VALUE"""),45901.0)</f>
        <v>45901</v>
      </c>
      <c r="I274" s="115" t="str">
        <f>IFERROR(__xludf.DUMMYFUNCTION("""COMPUTED_VALUE"""),"17")</f>
        <v>17</v>
      </c>
      <c r="J274" s="115" t="str">
        <f>IFERROR(__xludf.DUMMYFUNCTION("""COMPUTED_VALUE"""),"Pradeep Kothari2025-09-0117")</f>
        <v>Pradeep Kothari2025-09-0117</v>
      </c>
      <c r="K274" s="115">
        <f>IFERROR(__xludf.DUMMYFUNCTION("""COMPUTED_VALUE"""),28841.0)</f>
        <v>28841</v>
      </c>
    </row>
    <row r="275">
      <c r="A275" s="115" t="str">
        <f>IFERROR(__xludf.DUMMYFUNCTION("""COMPUTED_VALUE"""),"SOUTH")</f>
        <v>SOUTH</v>
      </c>
      <c r="B275" s="115" t="str">
        <f>IFERROR(__xludf.DUMMYFUNCTION("""COMPUTED_VALUE"""),"Kandula Sampath")</f>
        <v>Kandula Sampath</v>
      </c>
      <c r="C275" s="115" t="str">
        <f>IFERROR(__xludf.DUMMYFUNCTION("""COMPUTED_VALUE"""),"EXTERNAL")</f>
        <v>EXTERNAL</v>
      </c>
      <c r="D275" s="115">
        <f>IFERROR(__xludf.DUMMYFUNCTION("""COMPUTED_VALUE"""),40271.0)</f>
        <v>40271</v>
      </c>
      <c r="E275" s="115">
        <f>IFERROR(__xludf.DUMMYFUNCTION("""COMPUTED_VALUE"""),4200.0)</f>
        <v>4200</v>
      </c>
      <c r="F275" s="115">
        <f>IFERROR(__xludf.DUMMYFUNCTION("""COMPUTED_VALUE"""),13888.0)</f>
        <v>13888</v>
      </c>
      <c r="G275" s="115">
        <f>IFERROR(__xludf.DUMMYFUNCTION("""COMPUTED_VALUE"""),386.0)</f>
        <v>386</v>
      </c>
      <c r="H275" s="116">
        <f>IFERROR(__xludf.DUMMYFUNCTION("""COMPUTED_VALUE"""),45901.0)</f>
        <v>45901</v>
      </c>
      <c r="I275" s="115" t="str">
        <f>IFERROR(__xludf.DUMMYFUNCTION("""COMPUTED_VALUE"""),"17")</f>
        <v>17</v>
      </c>
      <c r="J275" s="115" t="str">
        <f>IFERROR(__xludf.DUMMYFUNCTION("""COMPUTED_VALUE"""),"Kandula Sampath2025-09-0117")</f>
        <v>Kandula Sampath2025-09-0117</v>
      </c>
      <c r="K275" s="115">
        <f>IFERROR(__xludf.DUMMYFUNCTION("""COMPUTED_VALUE"""),44471.0)</f>
        <v>44471</v>
      </c>
    </row>
    <row r="276">
      <c r="A276" s="115" t="str">
        <f>IFERROR(__xludf.DUMMYFUNCTION("""COMPUTED_VALUE"""),"SOUTH")</f>
        <v>SOUTH</v>
      </c>
      <c r="B276" s="115" t="str">
        <f>IFERROR(__xludf.DUMMYFUNCTION("""COMPUTED_VALUE"""),"Kandula Sampath")</f>
        <v>Kandula Sampath</v>
      </c>
      <c r="C276" s="115" t="str">
        <f>IFERROR(__xludf.DUMMYFUNCTION("""COMPUTED_VALUE"""),"FLIPKART")</f>
        <v>FLIPKART</v>
      </c>
      <c r="D276" s="115">
        <f>IFERROR(__xludf.DUMMYFUNCTION("""COMPUTED_VALUE"""),336051.0)</f>
        <v>336051</v>
      </c>
      <c r="E276" s="115">
        <f>IFERROR(__xludf.DUMMYFUNCTION("""COMPUTED_VALUE"""),31617.0)</f>
        <v>31617</v>
      </c>
      <c r="F276" s="115">
        <f>IFERROR(__xludf.DUMMYFUNCTION("""COMPUTED_VALUE"""),199343.0)</f>
        <v>199343</v>
      </c>
      <c r="G276" s="115">
        <f>IFERROR(__xludf.DUMMYFUNCTION("""COMPUTED_VALUE"""),5632.0)</f>
        <v>5632</v>
      </c>
      <c r="H276" s="116">
        <f>IFERROR(__xludf.DUMMYFUNCTION("""COMPUTED_VALUE"""),45901.0)</f>
        <v>45901</v>
      </c>
      <c r="I276" s="115" t="str">
        <f>IFERROR(__xludf.DUMMYFUNCTION("""COMPUTED_VALUE"""),"17")</f>
        <v>17</v>
      </c>
      <c r="J276" s="115" t="str">
        <f>IFERROR(__xludf.DUMMYFUNCTION("""COMPUTED_VALUE"""),"Kandula Sampath2025-09-0117")</f>
        <v>Kandula Sampath2025-09-0117</v>
      </c>
      <c r="K276" s="115">
        <f>IFERROR(__xludf.DUMMYFUNCTION("""COMPUTED_VALUE"""),367668.0)</f>
        <v>367668</v>
      </c>
    </row>
    <row r="277">
      <c r="A277" s="115" t="str">
        <f>IFERROR(__xludf.DUMMYFUNCTION("""COMPUTED_VALUE"""),"SOUTH")</f>
        <v>SOUTH</v>
      </c>
      <c r="B277" s="115" t="str">
        <f>IFERROR(__xludf.DUMMYFUNCTION("""COMPUTED_VALUE"""),"Kandula Sampath")</f>
        <v>Kandula Sampath</v>
      </c>
      <c r="C277" s="115" t="str">
        <f>IFERROR(__xludf.DUMMYFUNCTION("""COMPUTED_VALUE"""),"MYNTRA")</f>
        <v>MYNTRA</v>
      </c>
      <c r="D277" s="115">
        <f>IFERROR(__xludf.DUMMYFUNCTION("""COMPUTED_VALUE"""),35101.0)</f>
        <v>35101</v>
      </c>
      <c r="E277" s="115">
        <f>IFERROR(__xludf.DUMMYFUNCTION("""COMPUTED_VALUE"""),7515.0)</f>
        <v>7515</v>
      </c>
      <c r="F277" s="115">
        <f>IFERROR(__xludf.DUMMYFUNCTION("""COMPUTED_VALUE"""),24231.0)</f>
        <v>24231</v>
      </c>
      <c r="G277" s="115">
        <f>IFERROR(__xludf.DUMMYFUNCTION("""COMPUTED_VALUE"""),1340.0)</f>
        <v>1340</v>
      </c>
      <c r="H277" s="116">
        <f>IFERROR(__xludf.DUMMYFUNCTION("""COMPUTED_VALUE"""),45901.0)</f>
        <v>45901</v>
      </c>
      <c r="I277" s="115" t="str">
        <f>IFERROR(__xludf.DUMMYFUNCTION("""COMPUTED_VALUE"""),"17")</f>
        <v>17</v>
      </c>
      <c r="J277" s="115" t="str">
        <f>IFERROR(__xludf.DUMMYFUNCTION("""COMPUTED_VALUE"""),"Kandula Sampath2025-09-0117")</f>
        <v>Kandula Sampath2025-09-0117</v>
      </c>
      <c r="K277" s="115">
        <f>IFERROR(__xludf.DUMMYFUNCTION("""COMPUTED_VALUE"""),42616.0)</f>
        <v>42616</v>
      </c>
    </row>
    <row r="278">
      <c r="A278" s="115" t="str">
        <f>IFERROR(__xludf.DUMMYFUNCTION("""COMPUTED_VALUE"""),"SOUTH")</f>
        <v>SOUTH</v>
      </c>
      <c r="B278" s="115" t="str">
        <f>IFERROR(__xludf.DUMMYFUNCTION("""COMPUTED_VALUE"""),"Martin A")</f>
        <v>Martin A</v>
      </c>
      <c r="C278" s="115" t="str">
        <f>IFERROR(__xludf.DUMMYFUNCTION("""COMPUTED_VALUE"""),"EXTERNAL")</f>
        <v>EXTERNAL</v>
      </c>
      <c r="D278" s="115">
        <f>IFERROR(__xludf.DUMMYFUNCTION("""COMPUTED_VALUE"""),39265.0)</f>
        <v>39265</v>
      </c>
      <c r="E278" s="115">
        <f>IFERROR(__xludf.DUMMYFUNCTION("""COMPUTED_VALUE"""),2609.0)</f>
        <v>2609</v>
      </c>
      <c r="F278" s="115">
        <f>IFERROR(__xludf.DUMMYFUNCTION("""COMPUTED_VALUE"""),13599.0)</f>
        <v>13599</v>
      </c>
      <c r="G278" s="115">
        <f>IFERROR(__xludf.DUMMYFUNCTION("""COMPUTED_VALUE"""),454.0)</f>
        <v>454</v>
      </c>
      <c r="H278" s="116">
        <f>IFERROR(__xludf.DUMMYFUNCTION("""COMPUTED_VALUE"""),45901.0)</f>
        <v>45901</v>
      </c>
      <c r="I278" s="115" t="str">
        <f>IFERROR(__xludf.DUMMYFUNCTION("""COMPUTED_VALUE"""),"17")</f>
        <v>17</v>
      </c>
      <c r="J278" s="115" t="str">
        <f>IFERROR(__xludf.DUMMYFUNCTION("""COMPUTED_VALUE"""),"Martin A2025-09-0117")</f>
        <v>Martin A2025-09-0117</v>
      </c>
      <c r="K278" s="115">
        <f>IFERROR(__xludf.DUMMYFUNCTION("""COMPUTED_VALUE"""),41874.0)</f>
        <v>41874</v>
      </c>
    </row>
    <row r="279">
      <c r="A279" s="115" t="str">
        <f>IFERROR(__xludf.DUMMYFUNCTION("""COMPUTED_VALUE"""),"SOUTH")</f>
        <v>SOUTH</v>
      </c>
      <c r="B279" s="115" t="str">
        <f>IFERROR(__xludf.DUMMYFUNCTION("""COMPUTED_VALUE"""),"Martin A")</f>
        <v>Martin A</v>
      </c>
      <c r="C279" s="115" t="str">
        <f>IFERROR(__xludf.DUMMYFUNCTION("""COMPUTED_VALUE"""),"FLIPKART")</f>
        <v>FLIPKART</v>
      </c>
      <c r="D279" s="115">
        <f>IFERROR(__xludf.DUMMYFUNCTION("""COMPUTED_VALUE"""),302621.0)</f>
        <v>302621</v>
      </c>
      <c r="E279" s="115">
        <f>IFERROR(__xludf.DUMMYFUNCTION("""COMPUTED_VALUE"""),27807.0)</f>
        <v>27807</v>
      </c>
      <c r="F279" s="115">
        <f>IFERROR(__xludf.DUMMYFUNCTION("""COMPUTED_VALUE"""),176719.0)</f>
        <v>176719</v>
      </c>
      <c r="G279" s="115">
        <f>IFERROR(__xludf.DUMMYFUNCTION("""COMPUTED_VALUE"""),6588.0)</f>
        <v>6588</v>
      </c>
      <c r="H279" s="116">
        <f>IFERROR(__xludf.DUMMYFUNCTION("""COMPUTED_VALUE"""),45901.0)</f>
        <v>45901</v>
      </c>
      <c r="I279" s="115" t="str">
        <f>IFERROR(__xludf.DUMMYFUNCTION("""COMPUTED_VALUE"""),"17")</f>
        <v>17</v>
      </c>
      <c r="J279" s="115" t="str">
        <f>IFERROR(__xludf.DUMMYFUNCTION("""COMPUTED_VALUE"""),"Martin A2025-09-0117")</f>
        <v>Martin A2025-09-0117</v>
      </c>
      <c r="K279" s="115">
        <f>IFERROR(__xludf.DUMMYFUNCTION("""COMPUTED_VALUE"""),330428.0)</f>
        <v>330428</v>
      </c>
    </row>
    <row r="280">
      <c r="A280" s="115" t="str">
        <f>IFERROR(__xludf.DUMMYFUNCTION("""COMPUTED_VALUE"""),"SOUTH")</f>
        <v>SOUTH</v>
      </c>
      <c r="B280" s="115" t="str">
        <f>IFERROR(__xludf.DUMMYFUNCTION("""COMPUTED_VALUE"""),"Martin A")</f>
        <v>Martin A</v>
      </c>
      <c r="C280" s="115" t="str">
        <f>IFERROR(__xludf.DUMMYFUNCTION("""COMPUTED_VALUE"""),"MYNTRA")</f>
        <v>MYNTRA</v>
      </c>
      <c r="D280" s="115">
        <f>IFERROR(__xludf.DUMMYFUNCTION("""COMPUTED_VALUE"""),27447.0)</f>
        <v>27447</v>
      </c>
      <c r="E280" s="115">
        <f>IFERROR(__xludf.DUMMYFUNCTION("""COMPUTED_VALUE"""),6505.0)</f>
        <v>6505</v>
      </c>
      <c r="F280" s="115">
        <f>IFERROR(__xludf.DUMMYFUNCTION("""COMPUTED_VALUE"""),19377.0)</f>
        <v>19377</v>
      </c>
      <c r="G280" s="115">
        <f>IFERROR(__xludf.DUMMYFUNCTION("""COMPUTED_VALUE"""),1700.0)</f>
        <v>1700</v>
      </c>
      <c r="H280" s="116">
        <f>IFERROR(__xludf.DUMMYFUNCTION("""COMPUTED_VALUE"""),45901.0)</f>
        <v>45901</v>
      </c>
      <c r="I280" s="115" t="str">
        <f>IFERROR(__xludf.DUMMYFUNCTION("""COMPUTED_VALUE"""),"17")</f>
        <v>17</v>
      </c>
      <c r="J280" s="115" t="str">
        <f>IFERROR(__xludf.DUMMYFUNCTION("""COMPUTED_VALUE"""),"Martin A2025-09-0117")</f>
        <v>Martin A2025-09-0117</v>
      </c>
      <c r="K280" s="115">
        <f>IFERROR(__xludf.DUMMYFUNCTION("""COMPUTED_VALUE"""),33952.0)</f>
        <v>33952</v>
      </c>
    </row>
    <row r="281">
      <c r="A281" s="115" t="str">
        <f>IFERROR(__xludf.DUMMYFUNCTION("""COMPUTED_VALUE"""),"SOUTH")</f>
        <v>SOUTH</v>
      </c>
      <c r="B281" s="115" t="str">
        <f>IFERROR(__xludf.DUMMYFUNCTION("""COMPUTED_VALUE"""),"Premkumar M")</f>
        <v>Premkumar M</v>
      </c>
      <c r="C281" s="115" t="str">
        <f>IFERROR(__xludf.DUMMYFUNCTION("""COMPUTED_VALUE"""),"EXTERNAL")</f>
        <v>EXTERNAL</v>
      </c>
      <c r="D281" s="115">
        <f>IFERROR(__xludf.DUMMYFUNCTION("""COMPUTED_VALUE"""),33146.0)</f>
        <v>33146</v>
      </c>
      <c r="E281" s="115">
        <f>IFERROR(__xludf.DUMMYFUNCTION("""COMPUTED_VALUE"""),2088.0)</f>
        <v>2088</v>
      </c>
      <c r="F281" s="115">
        <f>IFERROR(__xludf.DUMMYFUNCTION("""COMPUTED_VALUE"""),12307.0)</f>
        <v>12307</v>
      </c>
      <c r="G281" s="115">
        <f>IFERROR(__xludf.DUMMYFUNCTION("""COMPUTED_VALUE"""),128.0)</f>
        <v>128</v>
      </c>
      <c r="H281" s="116">
        <f>IFERROR(__xludf.DUMMYFUNCTION("""COMPUTED_VALUE"""),45901.0)</f>
        <v>45901</v>
      </c>
      <c r="I281" s="115" t="str">
        <f>IFERROR(__xludf.DUMMYFUNCTION("""COMPUTED_VALUE"""),"17")</f>
        <v>17</v>
      </c>
      <c r="J281" s="115" t="str">
        <f>IFERROR(__xludf.DUMMYFUNCTION("""COMPUTED_VALUE"""),"Premkumar M2025-09-0117")</f>
        <v>Premkumar M2025-09-0117</v>
      </c>
      <c r="K281" s="115">
        <f>IFERROR(__xludf.DUMMYFUNCTION("""COMPUTED_VALUE"""),35234.0)</f>
        <v>35234</v>
      </c>
    </row>
    <row r="282">
      <c r="A282" s="115" t="str">
        <f>IFERROR(__xludf.DUMMYFUNCTION("""COMPUTED_VALUE"""),"SOUTH")</f>
        <v>SOUTH</v>
      </c>
      <c r="B282" s="115" t="str">
        <f>IFERROR(__xludf.DUMMYFUNCTION("""COMPUTED_VALUE"""),"Premkumar M")</f>
        <v>Premkumar M</v>
      </c>
      <c r="C282" s="115" t="str">
        <f>IFERROR(__xludf.DUMMYFUNCTION("""COMPUTED_VALUE"""),"FLIPKART")</f>
        <v>FLIPKART</v>
      </c>
      <c r="D282" s="115">
        <f>IFERROR(__xludf.DUMMYFUNCTION("""COMPUTED_VALUE"""),286850.0)</f>
        <v>286850</v>
      </c>
      <c r="E282" s="115">
        <f>IFERROR(__xludf.DUMMYFUNCTION("""COMPUTED_VALUE"""),20340.0)</f>
        <v>20340</v>
      </c>
      <c r="F282" s="115">
        <f>IFERROR(__xludf.DUMMYFUNCTION("""COMPUTED_VALUE"""),161051.0)</f>
        <v>161051</v>
      </c>
      <c r="G282" s="115">
        <f>IFERROR(__xludf.DUMMYFUNCTION("""COMPUTED_VALUE"""),2299.0)</f>
        <v>2299</v>
      </c>
      <c r="H282" s="116">
        <f>IFERROR(__xludf.DUMMYFUNCTION("""COMPUTED_VALUE"""),45901.0)</f>
        <v>45901</v>
      </c>
      <c r="I282" s="115" t="str">
        <f>IFERROR(__xludf.DUMMYFUNCTION("""COMPUTED_VALUE"""),"17")</f>
        <v>17</v>
      </c>
      <c r="J282" s="115" t="str">
        <f>IFERROR(__xludf.DUMMYFUNCTION("""COMPUTED_VALUE"""),"Premkumar M2025-09-0117")</f>
        <v>Premkumar M2025-09-0117</v>
      </c>
      <c r="K282" s="115">
        <f>IFERROR(__xludf.DUMMYFUNCTION("""COMPUTED_VALUE"""),307190.0)</f>
        <v>307190</v>
      </c>
    </row>
    <row r="283">
      <c r="A283" s="115" t="str">
        <f>IFERROR(__xludf.DUMMYFUNCTION("""COMPUTED_VALUE"""),"SOUTH")</f>
        <v>SOUTH</v>
      </c>
      <c r="B283" s="115" t="str">
        <f>IFERROR(__xludf.DUMMYFUNCTION("""COMPUTED_VALUE"""),"Premkumar M")</f>
        <v>Premkumar M</v>
      </c>
      <c r="C283" s="115" t="str">
        <f>IFERROR(__xludf.DUMMYFUNCTION("""COMPUTED_VALUE"""),"MYNTRA")</f>
        <v>MYNTRA</v>
      </c>
      <c r="D283" s="115">
        <f>IFERROR(__xludf.DUMMYFUNCTION("""COMPUTED_VALUE"""),15187.0)</f>
        <v>15187</v>
      </c>
      <c r="E283" s="115">
        <f>IFERROR(__xludf.DUMMYFUNCTION("""COMPUTED_VALUE"""),2941.0)</f>
        <v>2941</v>
      </c>
      <c r="F283" s="115">
        <f>IFERROR(__xludf.DUMMYFUNCTION("""COMPUTED_VALUE"""),10106.0)</f>
        <v>10106</v>
      </c>
      <c r="G283" s="115">
        <f>IFERROR(__xludf.DUMMYFUNCTION("""COMPUTED_VALUE"""),392.0)</f>
        <v>392</v>
      </c>
      <c r="H283" s="116">
        <f>IFERROR(__xludf.DUMMYFUNCTION("""COMPUTED_VALUE"""),45901.0)</f>
        <v>45901</v>
      </c>
      <c r="I283" s="115" t="str">
        <f>IFERROR(__xludf.DUMMYFUNCTION("""COMPUTED_VALUE"""),"17")</f>
        <v>17</v>
      </c>
      <c r="J283" s="115" t="str">
        <f>IFERROR(__xludf.DUMMYFUNCTION("""COMPUTED_VALUE"""),"Premkumar M2025-09-0117")</f>
        <v>Premkumar M2025-09-0117</v>
      </c>
      <c r="K283" s="115">
        <f>IFERROR(__xludf.DUMMYFUNCTION("""COMPUTED_VALUE"""),18128.0)</f>
        <v>18128</v>
      </c>
    </row>
    <row r="284">
      <c r="A284" s="115" t="str">
        <f>IFERROR(__xludf.DUMMYFUNCTION("""COMPUTED_VALUE"""),"SOUTH")</f>
        <v>SOUTH</v>
      </c>
      <c r="B284" s="115" t="str">
        <f>IFERROR(__xludf.DUMMYFUNCTION("""COMPUTED_VALUE"""),"Vineeth V")</f>
        <v>Vineeth V</v>
      </c>
      <c r="C284" s="115" t="str">
        <f>IFERROR(__xludf.DUMMYFUNCTION("""COMPUTED_VALUE"""),"EXTERNAL")</f>
        <v>EXTERNAL</v>
      </c>
      <c r="D284" s="115">
        <f>IFERROR(__xludf.DUMMYFUNCTION("""COMPUTED_VALUE"""),23395.0)</f>
        <v>23395</v>
      </c>
      <c r="E284" s="115">
        <f>IFERROR(__xludf.DUMMYFUNCTION("""COMPUTED_VALUE"""),681.0)</f>
        <v>681</v>
      </c>
      <c r="F284" s="115">
        <f>IFERROR(__xludf.DUMMYFUNCTION("""COMPUTED_VALUE"""),9793.0)</f>
        <v>9793</v>
      </c>
      <c r="G284" s="115">
        <f>IFERROR(__xludf.DUMMYFUNCTION("""COMPUTED_VALUE"""),64.0)</f>
        <v>64</v>
      </c>
      <c r="H284" s="116">
        <f>IFERROR(__xludf.DUMMYFUNCTION("""COMPUTED_VALUE"""),45901.0)</f>
        <v>45901</v>
      </c>
      <c r="I284" s="115" t="str">
        <f>IFERROR(__xludf.DUMMYFUNCTION("""COMPUTED_VALUE"""),"17")</f>
        <v>17</v>
      </c>
      <c r="J284" s="115" t="str">
        <f>IFERROR(__xludf.DUMMYFUNCTION("""COMPUTED_VALUE"""),"Vineeth V2025-09-0117")</f>
        <v>Vineeth V2025-09-0117</v>
      </c>
      <c r="K284" s="115">
        <f>IFERROR(__xludf.DUMMYFUNCTION("""COMPUTED_VALUE"""),24076.0)</f>
        <v>24076</v>
      </c>
    </row>
    <row r="285">
      <c r="A285" s="115" t="str">
        <f>IFERROR(__xludf.DUMMYFUNCTION("""COMPUTED_VALUE"""),"SOUTH")</f>
        <v>SOUTH</v>
      </c>
      <c r="B285" s="115" t="str">
        <f>IFERROR(__xludf.DUMMYFUNCTION("""COMPUTED_VALUE"""),"Vineeth V")</f>
        <v>Vineeth V</v>
      </c>
      <c r="C285" s="115" t="str">
        <f>IFERROR(__xludf.DUMMYFUNCTION("""COMPUTED_VALUE"""),"FLIPKART")</f>
        <v>FLIPKART</v>
      </c>
      <c r="D285" s="115">
        <f>IFERROR(__xludf.DUMMYFUNCTION("""COMPUTED_VALUE"""),257735.0)</f>
        <v>257735</v>
      </c>
      <c r="E285" s="115">
        <f>IFERROR(__xludf.DUMMYFUNCTION("""COMPUTED_VALUE"""),17360.0)</f>
        <v>17360</v>
      </c>
      <c r="F285" s="115">
        <f>IFERROR(__xludf.DUMMYFUNCTION("""COMPUTED_VALUE"""),158294.0)</f>
        <v>158294</v>
      </c>
      <c r="G285" s="115">
        <f>IFERROR(__xludf.DUMMYFUNCTION("""COMPUTED_VALUE"""),1464.0)</f>
        <v>1464</v>
      </c>
      <c r="H285" s="116">
        <f>IFERROR(__xludf.DUMMYFUNCTION("""COMPUTED_VALUE"""),45901.0)</f>
        <v>45901</v>
      </c>
      <c r="I285" s="115" t="str">
        <f>IFERROR(__xludf.DUMMYFUNCTION("""COMPUTED_VALUE"""),"17")</f>
        <v>17</v>
      </c>
      <c r="J285" s="115" t="str">
        <f>IFERROR(__xludf.DUMMYFUNCTION("""COMPUTED_VALUE"""),"Vineeth V2025-09-0117")</f>
        <v>Vineeth V2025-09-0117</v>
      </c>
      <c r="K285" s="115">
        <f>IFERROR(__xludf.DUMMYFUNCTION("""COMPUTED_VALUE"""),275095.0)</f>
        <v>275095</v>
      </c>
    </row>
    <row r="286">
      <c r="A286" s="115" t="str">
        <f>IFERROR(__xludf.DUMMYFUNCTION("""COMPUTED_VALUE"""),"SOUTH")</f>
        <v>SOUTH</v>
      </c>
      <c r="B286" s="115" t="str">
        <f>IFERROR(__xludf.DUMMYFUNCTION("""COMPUTED_VALUE"""),"Vineeth V")</f>
        <v>Vineeth V</v>
      </c>
      <c r="C286" s="115" t="str">
        <f>IFERROR(__xludf.DUMMYFUNCTION("""COMPUTED_VALUE"""),"MYNTRA")</f>
        <v>MYNTRA</v>
      </c>
      <c r="D286" s="115">
        <f>IFERROR(__xludf.DUMMYFUNCTION("""COMPUTED_VALUE"""),21880.0)</f>
        <v>21880</v>
      </c>
      <c r="E286" s="115">
        <f>IFERROR(__xludf.DUMMYFUNCTION("""COMPUTED_VALUE"""),4070.0)</f>
        <v>4070</v>
      </c>
      <c r="F286" s="115">
        <f>IFERROR(__xludf.DUMMYFUNCTION("""COMPUTED_VALUE"""),15348.0)</f>
        <v>15348</v>
      </c>
      <c r="G286" s="115">
        <f>IFERROR(__xludf.DUMMYFUNCTION("""COMPUTED_VALUE"""),312.0)</f>
        <v>312</v>
      </c>
      <c r="H286" s="116">
        <f>IFERROR(__xludf.DUMMYFUNCTION("""COMPUTED_VALUE"""),45901.0)</f>
        <v>45901</v>
      </c>
      <c r="I286" s="115" t="str">
        <f>IFERROR(__xludf.DUMMYFUNCTION("""COMPUTED_VALUE"""),"17")</f>
        <v>17</v>
      </c>
      <c r="J286" s="115" t="str">
        <f>IFERROR(__xludf.DUMMYFUNCTION("""COMPUTED_VALUE"""),"Vineeth V2025-09-0117")</f>
        <v>Vineeth V2025-09-0117</v>
      </c>
      <c r="K286" s="115">
        <f>IFERROR(__xludf.DUMMYFUNCTION("""COMPUTED_VALUE"""),25950.0)</f>
        <v>25950</v>
      </c>
    </row>
    <row r="287">
      <c r="A287" s="115" t="str">
        <f>IFERROR(__xludf.DUMMYFUNCTION("""COMPUTED_VALUE"""),"WEST")</f>
        <v>WEST</v>
      </c>
      <c r="B287" s="115" t="str">
        <f>IFERROR(__xludf.DUMMYFUNCTION("""COMPUTED_VALUE"""),"Ashish Jakar")</f>
        <v>Ashish Jakar</v>
      </c>
      <c r="C287" s="115" t="str">
        <f>IFERROR(__xludf.DUMMYFUNCTION("""COMPUTED_VALUE"""),"EXTERNAL")</f>
        <v>EXTERNAL</v>
      </c>
      <c r="D287" s="115">
        <f>IFERROR(__xludf.DUMMYFUNCTION("""COMPUTED_VALUE"""),60611.0)</f>
        <v>60611</v>
      </c>
      <c r="E287" s="115">
        <f>IFERROR(__xludf.DUMMYFUNCTION("""COMPUTED_VALUE"""),6909.0)</f>
        <v>6909</v>
      </c>
      <c r="F287" s="115">
        <f>IFERROR(__xludf.DUMMYFUNCTION("""COMPUTED_VALUE"""),20929.0)</f>
        <v>20929</v>
      </c>
      <c r="G287" s="115">
        <f>IFERROR(__xludf.DUMMYFUNCTION("""COMPUTED_VALUE"""),954.0)</f>
        <v>954</v>
      </c>
      <c r="H287" s="116">
        <f>IFERROR(__xludf.DUMMYFUNCTION("""COMPUTED_VALUE"""),45901.0)</f>
        <v>45901</v>
      </c>
      <c r="I287" s="115" t="str">
        <f>IFERROR(__xludf.DUMMYFUNCTION("""COMPUTED_VALUE"""),"17")</f>
        <v>17</v>
      </c>
      <c r="J287" s="115" t="str">
        <f>IFERROR(__xludf.DUMMYFUNCTION("""COMPUTED_VALUE"""),"Ashish Jakar2025-09-0117")</f>
        <v>Ashish Jakar2025-09-0117</v>
      </c>
      <c r="K287" s="115">
        <f>IFERROR(__xludf.DUMMYFUNCTION("""COMPUTED_VALUE"""),67520.0)</f>
        <v>67520</v>
      </c>
    </row>
    <row r="288">
      <c r="A288" s="115" t="str">
        <f>IFERROR(__xludf.DUMMYFUNCTION("""COMPUTED_VALUE"""),"WEST")</f>
        <v>WEST</v>
      </c>
      <c r="B288" s="115" t="str">
        <f>IFERROR(__xludf.DUMMYFUNCTION("""COMPUTED_VALUE"""),"Ashish Jakar")</f>
        <v>Ashish Jakar</v>
      </c>
      <c r="C288" s="115" t="str">
        <f>IFERROR(__xludf.DUMMYFUNCTION("""COMPUTED_VALUE"""),"FLIPKART")</f>
        <v>FLIPKART</v>
      </c>
      <c r="D288" s="115">
        <f>IFERROR(__xludf.DUMMYFUNCTION("""COMPUTED_VALUE"""),325648.0)</f>
        <v>325648</v>
      </c>
      <c r="E288" s="115">
        <f>IFERROR(__xludf.DUMMYFUNCTION("""COMPUTED_VALUE"""),34384.0)</f>
        <v>34384</v>
      </c>
      <c r="F288" s="115">
        <f>IFERROR(__xludf.DUMMYFUNCTION("""COMPUTED_VALUE"""),193177.0)</f>
        <v>193177</v>
      </c>
      <c r="G288" s="115">
        <f>IFERROR(__xludf.DUMMYFUNCTION("""COMPUTED_VALUE"""),7595.0)</f>
        <v>7595</v>
      </c>
      <c r="H288" s="116">
        <f>IFERROR(__xludf.DUMMYFUNCTION("""COMPUTED_VALUE"""),45901.0)</f>
        <v>45901</v>
      </c>
      <c r="I288" s="115" t="str">
        <f>IFERROR(__xludf.DUMMYFUNCTION("""COMPUTED_VALUE"""),"17")</f>
        <v>17</v>
      </c>
      <c r="J288" s="115" t="str">
        <f>IFERROR(__xludf.DUMMYFUNCTION("""COMPUTED_VALUE"""),"Ashish Jakar2025-09-0117")</f>
        <v>Ashish Jakar2025-09-0117</v>
      </c>
      <c r="K288" s="115">
        <f>IFERROR(__xludf.DUMMYFUNCTION("""COMPUTED_VALUE"""),360032.0)</f>
        <v>360032</v>
      </c>
    </row>
    <row r="289">
      <c r="A289" s="115" t="str">
        <f>IFERROR(__xludf.DUMMYFUNCTION("""COMPUTED_VALUE"""),"WEST")</f>
        <v>WEST</v>
      </c>
      <c r="B289" s="115" t="str">
        <f>IFERROR(__xludf.DUMMYFUNCTION("""COMPUTED_VALUE"""),"Ashish Jakar")</f>
        <v>Ashish Jakar</v>
      </c>
      <c r="C289" s="115" t="str">
        <f>IFERROR(__xludf.DUMMYFUNCTION("""COMPUTED_VALUE"""),"MYNTRA")</f>
        <v>MYNTRA</v>
      </c>
      <c r="D289" s="115">
        <f>IFERROR(__xludf.DUMMYFUNCTION("""COMPUTED_VALUE"""),42369.0)</f>
        <v>42369</v>
      </c>
      <c r="E289" s="115">
        <f>IFERROR(__xludf.DUMMYFUNCTION("""COMPUTED_VALUE"""),10495.0)</f>
        <v>10495</v>
      </c>
      <c r="F289" s="115">
        <f>IFERROR(__xludf.DUMMYFUNCTION("""COMPUTED_VALUE"""),30298.0)</f>
        <v>30298</v>
      </c>
      <c r="G289" s="115">
        <f>IFERROR(__xludf.DUMMYFUNCTION("""COMPUTED_VALUE"""),2675.0)</f>
        <v>2675</v>
      </c>
      <c r="H289" s="116">
        <f>IFERROR(__xludf.DUMMYFUNCTION("""COMPUTED_VALUE"""),45901.0)</f>
        <v>45901</v>
      </c>
      <c r="I289" s="115" t="str">
        <f>IFERROR(__xludf.DUMMYFUNCTION("""COMPUTED_VALUE"""),"17")</f>
        <v>17</v>
      </c>
      <c r="J289" s="115" t="str">
        <f>IFERROR(__xludf.DUMMYFUNCTION("""COMPUTED_VALUE"""),"Ashish Jakar2025-09-0117")</f>
        <v>Ashish Jakar2025-09-0117</v>
      </c>
      <c r="K289" s="115">
        <f>IFERROR(__xludf.DUMMYFUNCTION("""COMPUTED_VALUE"""),52864.0)</f>
        <v>52864</v>
      </c>
    </row>
    <row r="290">
      <c r="A290" s="115" t="str">
        <f>IFERROR(__xludf.DUMMYFUNCTION("""COMPUTED_VALUE"""),"WEST")</f>
        <v>WEST</v>
      </c>
      <c r="B290" s="115" t="str">
        <f>IFERROR(__xludf.DUMMYFUNCTION("""COMPUTED_VALUE"""),"Ashvani Bhatt")</f>
        <v>Ashvani Bhatt</v>
      </c>
      <c r="C290" s="115" t="str">
        <f>IFERROR(__xludf.DUMMYFUNCTION("""COMPUTED_VALUE"""),"EXTERNAL")</f>
        <v>EXTERNAL</v>
      </c>
      <c r="D290" s="115">
        <f>IFERROR(__xludf.DUMMYFUNCTION("""COMPUTED_VALUE"""),39427.0)</f>
        <v>39427</v>
      </c>
      <c r="E290" s="115">
        <f>IFERROR(__xludf.DUMMYFUNCTION("""COMPUTED_VALUE"""),4081.0)</f>
        <v>4081</v>
      </c>
      <c r="F290" s="115">
        <f>IFERROR(__xludf.DUMMYFUNCTION("""COMPUTED_VALUE"""),14499.0)</f>
        <v>14499</v>
      </c>
      <c r="G290" s="115">
        <f>IFERROR(__xludf.DUMMYFUNCTION("""COMPUTED_VALUE"""),520.0)</f>
        <v>520</v>
      </c>
      <c r="H290" s="116">
        <f>IFERROR(__xludf.DUMMYFUNCTION("""COMPUTED_VALUE"""),45901.0)</f>
        <v>45901</v>
      </c>
      <c r="I290" s="115" t="str">
        <f>IFERROR(__xludf.DUMMYFUNCTION("""COMPUTED_VALUE"""),"17")</f>
        <v>17</v>
      </c>
      <c r="J290" s="115" t="str">
        <f>IFERROR(__xludf.DUMMYFUNCTION("""COMPUTED_VALUE"""),"Ashvani Bhatt2025-09-0117")</f>
        <v>Ashvani Bhatt2025-09-0117</v>
      </c>
      <c r="K290" s="115">
        <f>IFERROR(__xludf.DUMMYFUNCTION("""COMPUTED_VALUE"""),43508.0)</f>
        <v>43508</v>
      </c>
    </row>
    <row r="291">
      <c r="A291" s="115" t="str">
        <f>IFERROR(__xludf.DUMMYFUNCTION("""COMPUTED_VALUE"""),"WEST")</f>
        <v>WEST</v>
      </c>
      <c r="B291" s="115" t="str">
        <f>IFERROR(__xludf.DUMMYFUNCTION("""COMPUTED_VALUE"""),"Ashvani Bhatt")</f>
        <v>Ashvani Bhatt</v>
      </c>
      <c r="C291" s="115" t="str">
        <f>IFERROR(__xludf.DUMMYFUNCTION("""COMPUTED_VALUE"""),"FLIPKART")</f>
        <v>FLIPKART</v>
      </c>
      <c r="D291" s="115">
        <f>IFERROR(__xludf.DUMMYFUNCTION("""COMPUTED_VALUE"""),261650.0)</f>
        <v>261650</v>
      </c>
      <c r="E291" s="115">
        <f>IFERROR(__xludf.DUMMYFUNCTION("""COMPUTED_VALUE"""),29732.0)</f>
        <v>29732</v>
      </c>
      <c r="F291" s="115">
        <f>IFERROR(__xludf.DUMMYFUNCTION("""COMPUTED_VALUE"""),166199.0)</f>
        <v>166199</v>
      </c>
      <c r="G291" s="115">
        <f>IFERROR(__xludf.DUMMYFUNCTION("""COMPUTED_VALUE"""),7152.0)</f>
        <v>7152</v>
      </c>
      <c r="H291" s="116">
        <f>IFERROR(__xludf.DUMMYFUNCTION("""COMPUTED_VALUE"""),45901.0)</f>
        <v>45901</v>
      </c>
      <c r="I291" s="115" t="str">
        <f>IFERROR(__xludf.DUMMYFUNCTION("""COMPUTED_VALUE"""),"17")</f>
        <v>17</v>
      </c>
      <c r="J291" s="115" t="str">
        <f>IFERROR(__xludf.DUMMYFUNCTION("""COMPUTED_VALUE"""),"Ashvani Bhatt2025-09-0117")</f>
        <v>Ashvani Bhatt2025-09-0117</v>
      </c>
      <c r="K291" s="115">
        <f>IFERROR(__xludf.DUMMYFUNCTION("""COMPUTED_VALUE"""),291382.0)</f>
        <v>291382</v>
      </c>
    </row>
    <row r="292">
      <c r="A292" s="115" t="str">
        <f>IFERROR(__xludf.DUMMYFUNCTION("""COMPUTED_VALUE"""),"WEST")</f>
        <v>WEST</v>
      </c>
      <c r="B292" s="115" t="str">
        <f>IFERROR(__xludf.DUMMYFUNCTION("""COMPUTED_VALUE"""),"Ashvani Bhatt")</f>
        <v>Ashvani Bhatt</v>
      </c>
      <c r="C292" s="115" t="str">
        <f>IFERROR(__xludf.DUMMYFUNCTION("""COMPUTED_VALUE"""),"MYNTRA")</f>
        <v>MYNTRA</v>
      </c>
      <c r="D292" s="115">
        <f>IFERROR(__xludf.DUMMYFUNCTION("""COMPUTED_VALUE"""),32739.0)</f>
        <v>32739</v>
      </c>
      <c r="E292" s="115">
        <f>IFERROR(__xludf.DUMMYFUNCTION("""COMPUTED_VALUE"""),8105.0)</f>
        <v>8105</v>
      </c>
      <c r="F292" s="115">
        <f>IFERROR(__xludf.DUMMYFUNCTION("""COMPUTED_VALUE"""),25275.0)</f>
        <v>25275</v>
      </c>
      <c r="G292" s="115">
        <f>IFERROR(__xludf.DUMMYFUNCTION("""COMPUTED_VALUE"""),2277.0)</f>
        <v>2277</v>
      </c>
      <c r="H292" s="116">
        <f>IFERROR(__xludf.DUMMYFUNCTION("""COMPUTED_VALUE"""),45901.0)</f>
        <v>45901</v>
      </c>
      <c r="I292" s="115" t="str">
        <f>IFERROR(__xludf.DUMMYFUNCTION("""COMPUTED_VALUE"""),"17")</f>
        <v>17</v>
      </c>
      <c r="J292" s="115" t="str">
        <f>IFERROR(__xludf.DUMMYFUNCTION("""COMPUTED_VALUE"""),"Ashvani Bhatt2025-09-0117")</f>
        <v>Ashvani Bhatt2025-09-0117</v>
      </c>
      <c r="K292" s="115">
        <f>IFERROR(__xludf.DUMMYFUNCTION("""COMPUTED_VALUE"""),40844.0)</f>
        <v>40844</v>
      </c>
    </row>
    <row r="293">
      <c r="A293" s="115"/>
      <c r="B293" s="115"/>
      <c r="C293" s="115" t="str">
        <f>IFERROR(__xludf.DUMMYFUNCTION("""COMPUTED_VALUE"""),"EXTERNAL")</f>
        <v>EXTERNAL</v>
      </c>
      <c r="D293" s="115">
        <f>IFERROR(__xludf.DUMMYFUNCTION("""COMPUTED_VALUE"""),1590.0)</f>
        <v>1590</v>
      </c>
      <c r="E293" s="115">
        <f>IFERROR(__xludf.DUMMYFUNCTION("""COMPUTED_VALUE"""),156.0)</f>
        <v>156</v>
      </c>
      <c r="F293" s="115">
        <f>IFERROR(__xludf.DUMMYFUNCTION("""COMPUTED_VALUE"""),392.0)</f>
        <v>392</v>
      </c>
      <c r="G293" s="115">
        <f>IFERROR(__xludf.DUMMYFUNCTION("""COMPUTED_VALUE"""),28.0)</f>
        <v>28</v>
      </c>
      <c r="H293" s="116">
        <f>IFERROR(__xludf.DUMMYFUNCTION("""COMPUTED_VALUE"""),45901.0)</f>
        <v>45901</v>
      </c>
      <c r="I293" s="115" t="str">
        <f>IFERROR(__xludf.DUMMYFUNCTION("""COMPUTED_VALUE"""),"17")</f>
        <v>17</v>
      </c>
      <c r="J293" s="115" t="str">
        <f>IFERROR(__xludf.DUMMYFUNCTION("""COMPUTED_VALUE"""),"2025-09-0117")</f>
        <v>2025-09-0117</v>
      </c>
      <c r="K293" s="115">
        <f>IFERROR(__xludf.DUMMYFUNCTION("""COMPUTED_VALUE"""),1746.0)</f>
        <v>1746</v>
      </c>
    </row>
    <row r="294">
      <c r="A294" s="115"/>
      <c r="B294" s="115"/>
      <c r="C294" s="115" t="str">
        <f>IFERROR(__xludf.DUMMYFUNCTION("""COMPUTED_VALUE"""),"FLIPKART")</f>
        <v>FLIPKART</v>
      </c>
      <c r="D294" s="115">
        <f>IFERROR(__xludf.DUMMYFUNCTION("""COMPUTED_VALUE"""),14059.0)</f>
        <v>14059</v>
      </c>
      <c r="E294" s="115">
        <f>IFERROR(__xludf.DUMMYFUNCTION("""COMPUTED_VALUE"""),1360.0)</f>
        <v>1360</v>
      </c>
      <c r="F294" s="115">
        <f>IFERROR(__xludf.DUMMYFUNCTION("""COMPUTED_VALUE"""),6547.0)</f>
        <v>6547</v>
      </c>
      <c r="G294" s="115">
        <f>IFERROR(__xludf.DUMMYFUNCTION("""COMPUTED_VALUE"""),388.0)</f>
        <v>388</v>
      </c>
      <c r="H294" s="116">
        <f>IFERROR(__xludf.DUMMYFUNCTION("""COMPUTED_VALUE"""),45901.0)</f>
        <v>45901</v>
      </c>
      <c r="I294" s="115" t="str">
        <f>IFERROR(__xludf.DUMMYFUNCTION("""COMPUTED_VALUE"""),"17")</f>
        <v>17</v>
      </c>
      <c r="J294" s="115" t="str">
        <f>IFERROR(__xludf.DUMMYFUNCTION("""COMPUTED_VALUE"""),"2025-09-0117")</f>
        <v>2025-09-0117</v>
      </c>
      <c r="K294" s="115">
        <f>IFERROR(__xludf.DUMMYFUNCTION("""COMPUTED_VALUE"""),15419.0)</f>
        <v>15419</v>
      </c>
    </row>
    <row r="295">
      <c r="A295" s="115"/>
      <c r="B295" s="115"/>
      <c r="C295" s="115" t="str">
        <f>IFERROR(__xludf.DUMMYFUNCTION("""COMPUTED_VALUE"""),"MYNTRA")</f>
        <v>MYNTRA</v>
      </c>
      <c r="D295" s="115">
        <f>IFERROR(__xludf.DUMMYFUNCTION("""COMPUTED_VALUE"""),1244.0)</f>
        <v>1244</v>
      </c>
      <c r="E295" s="115">
        <f>IFERROR(__xludf.DUMMYFUNCTION("""COMPUTED_VALUE"""),268.0)</f>
        <v>268</v>
      </c>
      <c r="F295" s="115">
        <f>IFERROR(__xludf.DUMMYFUNCTION("""COMPUTED_VALUE"""),709.0)</f>
        <v>709</v>
      </c>
      <c r="G295" s="115">
        <f>IFERROR(__xludf.DUMMYFUNCTION("""COMPUTED_VALUE"""),68.0)</f>
        <v>68</v>
      </c>
      <c r="H295" s="116">
        <f>IFERROR(__xludf.DUMMYFUNCTION("""COMPUTED_VALUE"""),45901.0)</f>
        <v>45901</v>
      </c>
      <c r="I295" s="115" t="str">
        <f>IFERROR(__xludf.DUMMYFUNCTION("""COMPUTED_VALUE"""),"17")</f>
        <v>17</v>
      </c>
      <c r="J295" s="115" t="str">
        <f>IFERROR(__xludf.DUMMYFUNCTION("""COMPUTED_VALUE"""),"2025-09-0117")</f>
        <v>2025-09-0117</v>
      </c>
      <c r="K295" s="115">
        <f>IFERROR(__xludf.DUMMYFUNCTION("""COMPUTED_VALUE"""),1512.0)</f>
        <v>1512</v>
      </c>
    </row>
    <row r="296">
      <c r="A296" s="115" t="str">
        <f>IFERROR(__xludf.DUMMYFUNCTION("""COMPUTED_VALUE"""),"EAST")</f>
        <v>EAST</v>
      </c>
      <c r="B296" s="115" t="str">
        <f>IFERROR(__xludf.DUMMYFUNCTION("""COMPUTED_VALUE"""),"Ashish Ranjan")</f>
        <v>Ashish Ranjan</v>
      </c>
      <c r="C296" s="115" t="str">
        <f>IFERROR(__xludf.DUMMYFUNCTION("""COMPUTED_VALUE"""),"EXTERNAL")</f>
        <v>EXTERNAL</v>
      </c>
      <c r="D296" s="115">
        <f>IFERROR(__xludf.DUMMYFUNCTION("""COMPUTED_VALUE"""),41521.0)</f>
        <v>41521</v>
      </c>
      <c r="E296" s="115">
        <f>IFERROR(__xludf.DUMMYFUNCTION("""COMPUTED_VALUE"""),3150.0)</f>
        <v>3150</v>
      </c>
      <c r="F296" s="115">
        <f>IFERROR(__xludf.DUMMYFUNCTION("""COMPUTED_VALUE"""),20208.0)</f>
        <v>20208</v>
      </c>
      <c r="G296" s="115">
        <f>IFERROR(__xludf.DUMMYFUNCTION("""COMPUTED_VALUE"""),867.0)</f>
        <v>867</v>
      </c>
      <c r="H296" s="116">
        <f>IFERROR(__xludf.DUMMYFUNCTION("""COMPUTED_VALUE"""),45901.0)</f>
        <v>45901</v>
      </c>
      <c r="I296" s="115" t="str">
        <f>IFERROR(__xludf.DUMMYFUNCTION("""COMPUTED_VALUE"""),"18")</f>
        <v>18</v>
      </c>
      <c r="J296" s="115" t="str">
        <f>IFERROR(__xludf.DUMMYFUNCTION("""COMPUTED_VALUE"""),"Ashish Ranjan2025-09-0118")</f>
        <v>Ashish Ranjan2025-09-0118</v>
      </c>
      <c r="K296" s="115">
        <f>IFERROR(__xludf.DUMMYFUNCTION("""COMPUTED_VALUE"""),44671.0)</f>
        <v>44671</v>
      </c>
    </row>
    <row r="297">
      <c r="A297" s="115" t="str">
        <f>IFERROR(__xludf.DUMMYFUNCTION("""COMPUTED_VALUE"""),"EAST")</f>
        <v>EAST</v>
      </c>
      <c r="B297" s="115" t="str">
        <f>IFERROR(__xludf.DUMMYFUNCTION("""COMPUTED_VALUE"""),"Ashish Ranjan")</f>
        <v>Ashish Ranjan</v>
      </c>
      <c r="C297" s="115" t="str">
        <f>IFERROR(__xludf.DUMMYFUNCTION("""COMPUTED_VALUE"""),"FLIPKART")</f>
        <v>FLIPKART</v>
      </c>
      <c r="D297" s="115">
        <f>IFERROR(__xludf.DUMMYFUNCTION("""COMPUTED_VALUE"""),603162.0)</f>
        <v>603162</v>
      </c>
      <c r="E297" s="115">
        <f>IFERROR(__xludf.DUMMYFUNCTION("""COMPUTED_VALUE"""),61757.0)</f>
        <v>61757</v>
      </c>
      <c r="F297" s="115">
        <f>IFERROR(__xludf.DUMMYFUNCTION("""COMPUTED_VALUE"""),471361.0)</f>
        <v>471361</v>
      </c>
      <c r="G297" s="115">
        <f>IFERROR(__xludf.DUMMYFUNCTION("""COMPUTED_VALUE"""),25609.0)</f>
        <v>25609</v>
      </c>
      <c r="H297" s="116">
        <f>IFERROR(__xludf.DUMMYFUNCTION("""COMPUTED_VALUE"""),45901.0)</f>
        <v>45901</v>
      </c>
      <c r="I297" s="115" t="str">
        <f>IFERROR(__xludf.DUMMYFUNCTION("""COMPUTED_VALUE"""),"18")</f>
        <v>18</v>
      </c>
      <c r="J297" s="115" t="str">
        <f>IFERROR(__xludf.DUMMYFUNCTION("""COMPUTED_VALUE"""),"Ashish Ranjan2025-09-0118")</f>
        <v>Ashish Ranjan2025-09-0118</v>
      </c>
      <c r="K297" s="115">
        <f>IFERROR(__xludf.DUMMYFUNCTION("""COMPUTED_VALUE"""),664919.0)</f>
        <v>664919</v>
      </c>
    </row>
    <row r="298">
      <c r="A298" s="115" t="str">
        <f>IFERROR(__xludf.DUMMYFUNCTION("""COMPUTED_VALUE"""),"EAST")</f>
        <v>EAST</v>
      </c>
      <c r="B298" s="115" t="str">
        <f>IFERROR(__xludf.DUMMYFUNCTION("""COMPUTED_VALUE"""),"Ashish Ranjan")</f>
        <v>Ashish Ranjan</v>
      </c>
      <c r="C298" s="115" t="str">
        <f>IFERROR(__xludf.DUMMYFUNCTION("""COMPUTED_VALUE"""),"MYNTRA")</f>
        <v>MYNTRA</v>
      </c>
      <c r="D298" s="115">
        <f>IFERROR(__xludf.DUMMYFUNCTION("""COMPUTED_VALUE"""),58025.0)</f>
        <v>58025</v>
      </c>
      <c r="E298" s="115">
        <f>IFERROR(__xludf.DUMMYFUNCTION("""COMPUTED_VALUE"""),10835.0)</f>
        <v>10835</v>
      </c>
      <c r="F298" s="115">
        <f>IFERROR(__xludf.DUMMYFUNCTION("""COMPUTED_VALUE"""),47620.0)</f>
        <v>47620</v>
      </c>
      <c r="G298" s="115">
        <f>IFERROR(__xludf.DUMMYFUNCTION("""COMPUTED_VALUE"""),4327.0)</f>
        <v>4327</v>
      </c>
      <c r="H298" s="116">
        <f>IFERROR(__xludf.DUMMYFUNCTION("""COMPUTED_VALUE"""),45901.0)</f>
        <v>45901</v>
      </c>
      <c r="I298" s="115" t="str">
        <f>IFERROR(__xludf.DUMMYFUNCTION("""COMPUTED_VALUE"""),"18")</f>
        <v>18</v>
      </c>
      <c r="J298" s="115" t="str">
        <f>IFERROR(__xludf.DUMMYFUNCTION("""COMPUTED_VALUE"""),"Ashish Ranjan2025-09-0118")</f>
        <v>Ashish Ranjan2025-09-0118</v>
      </c>
      <c r="K298" s="115">
        <f>IFERROR(__xludf.DUMMYFUNCTION("""COMPUTED_VALUE"""),68860.0)</f>
        <v>68860</v>
      </c>
    </row>
    <row r="299">
      <c r="A299" s="115" t="str">
        <f>IFERROR(__xludf.DUMMYFUNCTION("""COMPUTED_VALUE"""),"EAST")</f>
        <v>EAST</v>
      </c>
      <c r="B299" s="115" t="str">
        <f>IFERROR(__xludf.DUMMYFUNCTION("""COMPUTED_VALUE"""),"Girish Chand")</f>
        <v>Girish Chand</v>
      </c>
      <c r="C299" s="115" t="str">
        <f>IFERROR(__xludf.DUMMYFUNCTION("""COMPUTED_VALUE"""),"EXTERNAL")</f>
        <v>EXTERNAL</v>
      </c>
      <c r="D299" s="115">
        <f>IFERROR(__xludf.DUMMYFUNCTION("""COMPUTED_VALUE"""),25432.0)</f>
        <v>25432</v>
      </c>
      <c r="E299" s="115">
        <f>IFERROR(__xludf.DUMMYFUNCTION("""COMPUTED_VALUE"""),2439.0)</f>
        <v>2439</v>
      </c>
      <c r="F299" s="115">
        <f>IFERROR(__xludf.DUMMYFUNCTION("""COMPUTED_VALUE"""),10016.0)</f>
        <v>10016</v>
      </c>
      <c r="G299" s="115">
        <f>IFERROR(__xludf.DUMMYFUNCTION("""COMPUTED_VALUE"""),323.0)</f>
        <v>323</v>
      </c>
      <c r="H299" s="116">
        <f>IFERROR(__xludf.DUMMYFUNCTION("""COMPUTED_VALUE"""),45901.0)</f>
        <v>45901</v>
      </c>
      <c r="I299" s="115" t="str">
        <f>IFERROR(__xludf.DUMMYFUNCTION("""COMPUTED_VALUE"""),"18")</f>
        <v>18</v>
      </c>
      <c r="J299" s="115" t="str">
        <f>IFERROR(__xludf.DUMMYFUNCTION("""COMPUTED_VALUE"""),"Girish Chand2025-09-0118")</f>
        <v>Girish Chand2025-09-0118</v>
      </c>
      <c r="K299" s="115">
        <f>IFERROR(__xludf.DUMMYFUNCTION("""COMPUTED_VALUE"""),27871.0)</f>
        <v>27871</v>
      </c>
    </row>
    <row r="300">
      <c r="A300" s="115" t="str">
        <f>IFERROR(__xludf.DUMMYFUNCTION("""COMPUTED_VALUE"""),"EAST")</f>
        <v>EAST</v>
      </c>
      <c r="B300" s="115" t="str">
        <f>IFERROR(__xludf.DUMMYFUNCTION("""COMPUTED_VALUE"""),"Girish Chand")</f>
        <v>Girish Chand</v>
      </c>
      <c r="C300" s="115" t="str">
        <f>IFERROR(__xludf.DUMMYFUNCTION("""COMPUTED_VALUE"""),"FLIPKART")</f>
        <v>FLIPKART</v>
      </c>
      <c r="D300" s="115">
        <f>IFERROR(__xludf.DUMMYFUNCTION("""COMPUTED_VALUE"""),415635.0)</f>
        <v>415635</v>
      </c>
      <c r="E300" s="115">
        <f>IFERROR(__xludf.DUMMYFUNCTION("""COMPUTED_VALUE"""),38183.0)</f>
        <v>38183</v>
      </c>
      <c r="F300" s="115">
        <f>IFERROR(__xludf.DUMMYFUNCTION("""COMPUTED_VALUE"""),279189.0)</f>
        <v>279189</v>
      </c>
      <c r="G300" s="115">
        <f>IFERROR(__xludf.DUMMYFUNCTION("""COMPUTED_VALUE"""),11468.0)</f>
        <v>11468</v>
      </c>
      <c r="H300" s="116">
        <f>IFERROR(__xludf.DUMMYFUNCTION("""COMPUTED_VALUE"""),45901.0)</f>
        <v>45901</v>
      </c>
      <c r="I300" s="115" t="str">
        <f>IFERROR(__xludf.DUMMYFUNCTION("""COMPUTED_VALUE"""),"18")</f>
        <v>18</v>
      </c>
      <c r="J300" s="115" t="str">
        <f>IFERROR(__xludf.DUMMYFUNCTION("""COMPUTED_VALUE"""),"Girish Chand2025-09-0118")</f>
        <v>Girish Chand2025-09-0118</v>
      </c>
      <c r="K300" s="115">
        <f>IFERROR(__xludf.DUMMYFUNCTION("""COMPUTED_VALUE"""),453818.0)</f>
        <v>453818</v>
      </c>
    </row>
    <row r="301">
      <c r="A301" s="115" t="str">
        <f>IFERROR(__xludf.DUMMYFUNCTION("""COMPUTED_VALUE"""),"EAST")</f>
        <v>EAST</v>
      </c>
      <c r="B301" s="115" t="str">
        <f>IFERROR(__xludf.DUMMYFUNCTION("""COMPUTED_VALUE"""),"Girish Chand")</f>
        <v>Girish Chand</v>
      </c>
      <c r="C301" s="115" t="str">
        <f>IFERROR(__xludf.DUMMYFUNCTION("""COMPUTED_VALUE"""),"MYNTRA")</f>
        <v>MYNTRA</v>
      </c>
      <c r="D301" s="115">
        <f>IFERROR(__xludf.DUMMYFUNCTION("""COMPUTED_VALUE"""),32024.0)</f>
        <v>32024</v>
      </c>
      <c r="E301" s="115">
        <f>IFERROR(__xludf.DUMMYFUNCTION("""COMPUTED_VALUE"""),5872.0)</f>
        <v>5872</v>
      </c>
      <c r="F301" s="115">
        <f>IFERROR(__xludf.DUMMYFUNCTION("""COMPUTED_VALUE"""),23713.0)</f>
        <v>23713</v>
      </c>
      <c r="G301" s="115">
        <f>IFERROR(__xludf.DUMMYFUNCTION("""COMPUTED_VALUE"""),1957.0)</f>
        <v>1957</v>
      </c>
      <c r="H301" s="116">
        <f>IFERROR(__xludf.DUMMYFUNCTION("""COMPUTED_VALUE"""),45901.0)</f>
        <v>45901</v>
      </c>
      <c r="I301" s="115" t="str">
        <f>IFERROR(__xludf.DUMMYFUNCTION("""COMPUTED_VALUE"""),"18")</f>
        <v>18</v>
      </c>
      <c r="J301" s="115" t="str">
        <f>IFERROR(__xludf.DUMMYFUNCTION("""COMPUTED_VALUE"""),"Girish Chand2025-09-0118")</f>
        <v>Girish Chand2025-09-0118</v>
      </c>
      <c r="K301" s="115">
        <f>IFERROR(__xludf.DUMMYFUNCTION("""COMPUTED_VALUE"""),37896.0)</f>
        <v>37896</v>
      </c>
    </row>
    <row r="302">
      <c r="A302" s="115" t="str">
        <f>IFERROR(__xludf.DUMMYFUNCTION("""COMPUTED_VALUE"""),"EAST")</f>
        <v>EAST</v>
      </c>
      <c r="B302" s="115" t="str">
        <f>IFERROR(__xludf.DUMMYFUNCTION("""COMPUTED_VALUE"""),"Parag Kashyap")</f>
        <v>Parag Kashyap</v>
      </c>
      <c r="C302" s="115" t="str">
        <f>IFERROR(__xludf.DUMMYFUNCTION("""COMPUTED_VALUE"""),"EXTERNAL")</f>
        <v>EXTERNAL</v>
      </c>
      <c r="D302" s="115">
        <f>IFERROR(__xludf.DUMMYFUNCTION("""COMPUTED_VALUE"""),23080.0)</f>
        <v>23080</v>
      </c>
      <c r="E302" s="115">
        <f>IFERROR(__xludf.DUMMYFUNCTION("""COMPUTED_VALUE"""),1299.0)</f>
        <v>1299</v>
      </c>
      <c r="F302" s="115">
        <f>IFERROR(__xludf.DUMMYFUNCTION("""COMPUTED_VALUE"""),8700.0)</f>
        <v>8700</v>
      </c>
      <c r="G302" s="115">
        <f>IFERROR(__xludf.DUMMYFUNCTION("""COMPUTED_VALUE"""),121.0)</f>
        <v>121</v>
      </c>
      <c r="H302" s="116">
        <f>IFERROR(__xludf.DUMMYFUNCTION("""COMPUTED_VALUE"""),45901.0)</f>
        <v>45901</v>
      </c>
      <c r="I302" s="115" t="str">
        <f>IFERROR(__xludf.DUMMYFUNCTION("""COMPUTED_VALUE"""),"18")</f>
        <v>18</v>
      </c>
      <c r="J302" s="115" t="str">
        <f>IFERROR(__xludf.DUMMYFUNCTION("""COMPUTED_VALUE"""),"Parag Kashyap2025-09-0118")</f>
        <v>Parag Kashyap2025-09-0118</v>
      </c>
      <c r="K302" s="115">
        <f>IFERROR(__xludf.DUMMYFUNCTION("""COMPUTED_VALUE"""),24379.0)</f>
        <v>24379</v>
      </c>
    </row>
    <row r="303">
      <c r="A303" s="115" t="str">
        <f>IFERROR(__xludf.DUMMYFUNCTION("""COMPUTED_VALUE"""),"EAST")</f>
        <v>EAST</v>
      </c>
      <c r="B303" s="115" t="str">
        <f>IFERROR(__xludf.DUMMYFUNCTION("""COMPUTED_VALUE"""),"Parag Kashyap")</f>
        <v>Parag Kashyap</v>
      </c>
      <c r="C303" s="115" t="str">
        <f>IFERROR(__xludf.DUMMYFUNCTION("""COMPUTED_VALUE"""),"FLIPKART")</f>
        <v>FLIPKART</v>
      </c>
      <c r="D303" s="115">
        <f>IFERROR(__xludf.DUMMYFUNCTION("""COMPUTED_VALUE"""),320426.0)</f>
        <v>320426</v>
      </c>
      <c r="E303" s="115">
        <f>IFERROR(__xludf.DUMMYFUNCTION("""COMPUTED_VALUE"""),17949.0)</f>
        <v>17949</v>
      </c>
      <c r="F303" s="115">
        <f>IFERROR(__xludf.DUMMYFUNCTION("""COMPUTED_VALUE"""),215538.0)</f>
        <v>215538</v>
      </c>
      <c r="G303" s="115">
        <f>IFERROR(__xludf.DUMMYFUNCTION("""COMPUTED_VALUE"""),4093.0)</f>
        <v>4093</v>
      </c>
      <c r="H303" s="116">
        <f>IFERROR(__xludf.DUMMYFUNCTION("""COMPUTED_VALUE"""),45901.0)</f>
        <v>45901</v>
      </c>
      <c r="I303" s="115" t="str">
        <f>IFERROR(__xludf.DUMMYFUNCTION("""COMPUTED_VALUE"""),"18")</f>
        <v>18</v>
      </c>
      <c r="J303" s="115" t="str">
        <f>IFERROR(__xludf.DUMMYFUNCTION("""COMPUTED_VALUE"""),"Parag Kashyap2025-09-0118")</f>
        <v>Parag Kashyap2025-09-0118</v>
      </c>
      <c r="K303" s="115">
        <f>IFERROR(__xludf.DUMMYFUNCTION("""COMPUTED_VALUE"""),338375.0)</f>
        <v>338375</v>
      </c>
    </row>
    <row r="304">
      <c r="A304" s="115" t="str">
        <f>IFERROR(__xludf.DUMMYFUNCTION("""COMPUTED_VALUE"""),"EAST")</f>
        <v>EAST</v>
      </c>
      <c r="B304" s="115" t="str">
        <f>IFERROR(__xludf.DUMMYFUNCTION("""COMPUTED_VALUE"""),"Parag Kashyap")</f>
        <v>Parag Kashyap</v>
      </c>
      <c r="C304" s="115" t="str">
        <f>IFERROR(__xludf.DUMMYFUNCTION("""COMPUTED_VALUE"""),"MYNTRA")</f>
        <v>MYNTRA</v>
      </c>
      <c r="D304" s="115">
        <f>IFERROR(__xludf.DUMMYFUNCTION("""COMPUTED_VALUE"""),36435.0)</f>
        <v>36435</v>
      </c>
      <c r="E304" s="115">
        <f>IFERROR(__xludf.DUMMYFUNCTION("""COMPUTED_VALUE"""),4755.0)</f>
        <v>4755</v>
      </c>
      <c r="F304" s="115">
        <f>IFERROR(__xludf.DUMMYFUNCTION("""COMPUTED_VALUE"""),26400.0)</f>
        <v>26400</v>
      </c>
      <c r="G304" s="115">
        <f>IFERROR(__xludf.DUMMYFUNCTION("""COMPUTED_VALUE"""),1074.0)</f>
        <v>1074</v>
      </c>
      <c r="H304" s="116">
        <f>IFERROR(__xludf.DUMMYFUNCTION("""COMPUTED_VALUE"""),45901.0)</f>
        <v>45901</v>
      </c>
      <c r="I304" s="115" t="str">
        <f>IFERROR(__xludf.DUMMYFUNCTION("""COMPUTED_VALUE"""),"18")</f>
        <v>18</v>
      </c>
      <c r="J304" s="115" t="str">
        <f>IFERROR(__xludf.DUMMYFUNCTION("""COMPUTED_VALUE"""),"Parag Kashyap2025-09-0118")</f>
        <v>Parag Kashyap2025-09-0118</v>
      </c>
      <c r="K304" s="115">
        <f>IFERROR(__xludf.DUMMYFUNCTION("""COMPUTED_VALUE"""),41190.0)</f>
        <v>41190</v>
      </c>
    </row>
    <row r="305">
      <c r="A305" s="115" t="str">
        <f>IFERROR(__xludf.DUMMYFUNCTION("""COMPUTED_VALUE"""),"NORTH")</f>
        <v>NORTH</v>
      </c>
      <c r="B305" s="115" t="str">
        <f>IFERROR(__xludf.DUMMYFUNCTION("""COMPUTED_VALUE"""),"Amit Kumar Pathak")</f>
        <v>Amit Kumar Pathak</v>
      </c>
      <c r="C305" s="115" t="str">
        <f>IFERROR(__xludf.DUMMYFUNCTION("""COMPUTED_VALUE"""),"EXTERNAL")</f>
        <v>EXTERNAL</v>
      </c>
      <c r="D305" s="115">
        <f>IFERROR(__xludf.DUMMYFUNCTION("""COMPUTED_VALUE"""),28889.0)</f>
        <v>28889</v>
      </c>
      <c r="E305" s="115">
        <f>IFERROR(__xludf.DUMMYFUNCTION("""COMPUTED_VALUE"""),2427.0)</f>
        <v>2427</v>
      </c>
      <c r="F305" s="115">
        <f>IFERROR(__xludf.DUMMYFUNCTION("""COMPUTED_VALUE"""),8106.0)</f>
        <v>8106</v>
      </c>
      <c r="G305" s="115">
        <f>IFERROR(__xludf.DUMMYFUNCTION("""COMPUTED_VALUE"""),512.0)</f>
        <v>512</v>
      </c>
      <c r="H305" s="116">
        <f>IFERROR(__xludf.DUMMYFUNCTION("""COMPUTED_VALUE"""),45901.0)</f>
        <v>45901</v>
      </c>
      <c r="I305" s="115" t="str">
        <f>IFERROR(__xludf.DUMMYFUNCTION("""COMPUTED_VALUE"""),"18")</f>
        <v>18</v>
      </c>
      <c r="J305" s="115" t="str">
        <f>IFERROR(__xludf.DUMMYFUNCTION("""COMPUTED_VALUE"""),"Amit Kumar Pathak2025-09-0118")</f>
        <v>Amit Kumar Pathak2025-09-0118</v>
      </c>
      <c r="K305" s="115">
        <f>IFERROR(__xludf.DUMMYFUNCTION("""COMPUTED_VALUE"""),31316.0)</f>
        <v>31316</v>
      </c>
    </row>
    <row r="306">
      <c r="A306" s="115" t="str">
        <f>IFERROR(__xludf.DUMMYFUNCTION("""COMPUTED_VALUE"""),"NORTH")</f>
        <v>NORTH</v>
      </c>
      <c r="B306" s="115" t="str">
        <f>IFERROR(__xludf.DUMMYFUNCTION("""COMPUTED_VALUE"""),"Amit Kumar Pathak")</f>
        <v>Amit Kumar Pathak</v>
      </c>
      <c r="C306" s="115" t="str">
        <f>IFERROR(__xludf.DUMMYFUNCTION("""COMPUTED_VALUE"""),"FLIPKART")</f>
        <v>FLIPKART</v>
      </c>
      <c r="D306" s="115">
        <f>IFERROR(__xludf.DUMMYFUNCTION("""COMPUTED_VALUE"""),192092.0)</f>
        <v>192092</v>
      </c>
      <c r="E306" s="115">
        <f>IFERROR(__xludf.DUMMYFUNCTION("""COMPUTED_VALUE"""),22687.0)</f>
        <v>22687</v>
      </c>
      <c r="F306" s="115">
        <f>IFERROR(__xludf.DUMMYFUNCTION("""COMPUTED_VALUE"""),101906.0)</f>
        <v>101906</v>
      </c>
      <c r="G306" s="115">
        <f>IFERROR(__xludf.DUMMYFUNCTION("""COMPUTED_VALUE"""),7116.0)</f>
        <v>7116</v>
      </c>
      <c r="H306" s="116">
        <f>IFERROR(__xludf.DUMMYFUNCTION("""COMPUTED_VALUE"""),45901.0)</f>
        <v>45901</v>
      </c>
      <c r="I306" s="115" t="str">
        <f>IFERROR(__xludf.DUMMYFUNCTION("""COMPUTED_VALUE"""),"18")</f>
        <v>18</v>
      </c>
      <c r="J306" s="115" t="str">
        <f>IFERROR(__xludf.DUMMYFUNCTION("""COMPUTED_VALUE"""),"Amit Kumar Pathak2025-09-0118")</f>
        <v>Amit Kumar Pathak2025-09-0118</v>
      </c>
      <c r="K306" s="115">
        <f>IFERROR(__xludf.DUMMYFUNCTION("""COMPUTED_VALUE"""),214779.0)</f>
        <v>214779</v>
      </c>
    </row>
    <row r="307">
      <c r="A307" s="115" t="str">
        <f>IFERROR(__xludf.DUMMYFUNCTION("""COMPUTED_VALUE"""),"NORTH")</f>
        <v>NORTH</v>
      </c>
      <c r="B307" s="115" t="str">
        <f>IFERROR(__xludf.DUMMYFUNCTION("""COMPUTED_VALUE"""),"Amit Kumar Pathak")</f>
        <v>Amit Kumar Pathak</v>
      </c>
      <c r="C307" s="115" t="str">
        <f>IFERROR(__xludf.DUMMYFUNCTION("""COMPUTED_VALUE"""),"MYNTRA")</f>
        <v>MYNTRA</v>
      </c>
      <c r="D307" s="115">
        <f>IFERROR(__xludf.DUMMYFUNCTION("""COMPUTED_VALUE"""),15961.0)</f>
        <v>15961</v>
      </c>
      <c r="E307" s="115">
        <f>IFERROR(__xludf.DUMMYFUNCTION("""COMPUTED_VALUE"""),5233.0)</f>
        <v>5233</v>
      </c>
      <c r="F307" s="115">
        <f>IFERROR(__xludf.DUMMYFUNCTION("""COMPUTED_VALUE"""),10449.0)</f>
        <v>10449</v>
      </c>
      <c r="G307" s="115">
        <f>IFERROR(__xludf.DUMMYFUNCTION("""COMPUTED_VALUE"""),1766.0)</f>
        <v>1766</v>
      </c>
      <c r="H307" s="116">
        <f>IFERROR(__xludf.DUMMYFUNCTION("""COMPUTED_VALUE"""),45901.0)</f>
        <v>45901</v>
      </c>
      <c r="I307" s="115" t="str">
        <f>IFERROR(__xludf.DUMMYFUNCTION("""COMPUTED_VALUE"""),"18")</f>
        <v>18</v>
      </c>
      <c r="J307" s="115" t="str">
        <f>IFERROR(__xludf.DUMMYFUNCTION("""COMPUTED_VALUE"""),"Amit Kumar Pathak2025-09-0118")</f>
        <v>Amit Kumar Pathak2025-09-0118</v>
      </c>
      <c r="K307" s="115">
        <f>IFERROR(__xludf.DUMMYFUNCTION("""COMPUTED_VALUE"""),21194.0)</f>
        <v>21194</v>
      </c>
    </row>
    <row r="308">
      <c r="A308" s="115" t="str">
        <f>IFERROR(__xludf.DUMMYFUNCTION("""COMPUTED_VALUE"""),"NORTH")</f>
        <v>NORTH</v>
      </c>
      <c r="B308" s="115" t="str">
        <f>IFERROR(__xludf.DUMMYFUNCTION("""COMPUTED_VALUE"""),"Loveleen Singh")</f>
        <v>Loveleen Singh</v>
      </c>
      <c r="C308" s="115" t="str">
        <f>IFERROR(__xludf.DUMMYFUNCTION("""COMPUTED_VALUE"""),"EXTERNAL")</f>
        <v>EXTERNAL</v>
      </c>
      <c r="D308" s="115">
        <f>IFERROR(__xludf.DUMMYFUNCTION("""COMPUTED_VALUE"""),29940.0)</f>
        <v>29940</v>
      </c>
      <c r="E308" s="115">
        <f>IFERROR(__xludf.DUMMYFUNCTION("""COMPUTED_VALUE"""),2204.0)</f>
        <v>2204</v>
      </c>
      <c r="F308" s="115">
        <f>IFERROR(__xludf.DUMMYFUNCTION("""COMPUTED_VALUE"""),9494.0)</f>
        <v>9494</v>
      </c>
      <c r="G308" s="115">
        <f>IFERROR(__xludf.DUMMYFUNCTION("""COMPUTED_VALUE"""),234.0)</f>
        <v>234</v>
      </c>
      <c r="H308" s="116">
        <f>IFERROR(__xludf.DUMMYFUNCTION("""COMPUTED_VALUE"""),45901.0)</f>
        <v>45901</v>
      </c>
      <c r="I308" s="115" t="str">
        <f>IFERROR(__xludf.DUMMYFUNCTION("""COMPUTED_VALUE"""),"18")</f>
        <v>18</v>
      </c>
      <c r="J308" s="115" t="str">
        <f>IFERROR(__xludf.DUMMYFUNCTION("""COMPUTED_VALUE"""),"Loveleen Singh2025-09-0118")</f>
        <v>Loveleen Singh2025-09-0118</v>
      </c>
      <c r="K308" s="115">
        <f>IFERROR(__xludf.DUMMYFUNCTION("""COMPUTED_VALUE"""),32144.0)</f>
        <v>32144</v>
      </c>
    </row>
    <row r="309">
      <c r="A309" s="115" t="str">
        <f>IFERROR(__xludf.DUMMYFUNCTION("""COMPUTED_VALUE"""),"NORTH")</f>
        <v>NORTH</v>
      </c>
      <c r="B309" s="115" t="str">
        <f>IFERROR(__xludf.DUMMYFUNCTION("""COMPUTED_VALUE"""),"Loveleen Singh")</f>
        <v>Loveleen Singh</v>
      </c>
      <c r="C309" s="115" t="str">
        <f>IFERROR(__xludf.DUMMYFUNCTION("""COMPUTED_VALUE"""),"FLIPKART")</f>
        <v>FLIPKART</v>
      </c>
      <c r="D309" s="115">
        <f>IFERROR(__xludf.DUMMYFUNCTION("""COMPUTED_VALUE"""),146896.0)</f>
        <v>146896</v>
      </c>
      <c r="E309" s="115">
        <f>IFERROR(__xludf.DUMMYFUNCTION("""COMPUTED_VALUE"""),14031.0)</f>
        <v>14031</v>
      </c>
      <c r="F309" s="115">
        <f>IFERROR(__xludf.DUMMYFUNCTION("""COMPUTED_VALUE"""),85079.0)</f>
        <v>85079</v>
      </c>
      <c r="G309" s="115">
        <f>IFERROR(__xludf.DUMMYFUNCTION("""COMPUTED_VALUE"""),3384.0)</f>
        <v>3384</v>
      </c>
      <c r="H309" s="116">
        <f>IFERROR(__xludf.DUMMYFUNCTION("""COMPUTED_VALUE"""),45901.0)</f>
        <v>45901</v>
      </c>
      <c r="I309" s="115" t="str">
        <f>IFERROR(__xludf.DUMMYFUNCTION("""COMPUTED_VALUE"""),"18")</f>
        <v>18</v>
      </c>
      <c r="J309" s="115" t="str">
        <f>IFERROR(__xludf.DUMMYFUNCTION("""COMPUTED_VALUE"""),"Loveleen Singh2025-09-0118")</f>
        <v>Loveleen Singh2025-09-0118</v>
      </c>
      <c r="K309" s="115">
        <f>IFERROR(__xludf.DUMMYFUNCTION("""COMPUTED_VALUE"""),160927.0)</f>
        <v>160927</v>
      </c>
    </row>
    <row r="310">
      <c r="A310" s="115" t="str">
        <f>IFERROR(__xludf.DUMMYFUNCTION("""COMPUTED_VALUE"""),"NORTH")</f>
        <v>NORTH</v>
      </c>
      <c r="B310" s="115" t="str">
        <f>IFERROR(__xludf.DUMMYFUNCTION("""COMPUTED_VALUE"""),"Loveleen Singh")</f>
        <v>Loveleen Singh</v>
      </c>
      <c r="C310" s="115" t="str">
        <f>IFERROR(__xludf.DUMMYFUNCTION("""COMPUTED_VALUE"""),"MYNTRA")</f>
        <v>MYNTRA</v>
      </c>
      <c r="D310" s="115">
        <f>IFERROR(__xludf.DUMMYFUNCTION("""COMPUTED_VALUE"""),19335.0)</f>
        <v>19335</v>
      </c>
      <c r="E310" s="115">
        <f>IFERROR(__xludf.DUMMYFUNCTION("""COMPUTED_VALUE"""),5085.0)</f>
        <v>5085</v>
      </c>
      <c r="F310" s="115">
        <f>IFERROR(__xludf.DUMMYFUNCTION("""COMPUTED_VALUE"""),13448.0)</f>
        <v>13448</v>
      </c>
      <c r="G310" s="115">
        <f>IFERROR(__xludf.DUMMYFUNCTION("""COMPUTED_VALUE"""),1438.0)</f>
        <v>1438</v>
      </c>
      <c r="H310" s="116">
        <f>IFERROR(__xludf.DUMMYFUNCTION("""COMPUTED_VALUE"""),45901.0)</f>
        <v>45901</v>
      </c>
      <c r="I310" s="115" t="str">
        <f>IFERROR(__xludf.DUMMYFUNCTION("""COMPUTED_VALUE"""),"18")</f>
        <v>18</v>
      </c>
      <c r="J310" s="115" t="str">
        <f>IFERROR(__xludf.DUMMYFUNCTION("""COMPUTED_VALUE"""),"Loveleen Singh2025-09-0118")</f>
        <v>Loveleen Singh2025-09-0118</v>
      </c>
      <c r="K310" s="115">
        <f>IFERROR(__xludf.DUMMYFUNCTION("""COMPUTED_VALUE"""),24420.0)</f>
        <v>24420</v>
      </c>
    </row>
    <row r="311">
      <c r="A311" s="115" t="str">
        <f>IFERROR(__xludf.DUMMYFUNCTION("""COMPUTED_VALUE"""),"NORTH")</f>
        <v>NORTH</v>
      </c>
      <c r="B311" s="115" t="str">
        <f>IFERROR(__xludf.DUMMYFUNCTION("""COMPUTED_VALUE"""),"Manoj Harsh")</f>
        <v>Manoj Harsh</v>
      </c>
      <c r="C311" s="115" t="str">
        <f>IFERROR(__xludf.DUMMYFUNCTION("""COMPUTED_VALUE"""),"EXTERNAL")</f>
        <v>EXTERNAL</v>
      </c>
      <c r="D311" s="115">
        <f>IFERROR(__xludf.DUMMYFUNCTION("""COMPUTED_VALUE"""),33371.0)</f>
        <v>33371</v>
      </c>
      <c r="E311" s="115">
        <f>IFERROR(__xludf.DUMMYFUNCTION("""COMPUTED_VALUE"""),3160.0)</f>
        <v>3160</v>
      </c>
      <c r="F311" s="115">
        <f>IFERROR(__xludf.DUMMYFUNCTION("""COMPUTED_VALUE"""),12101.0)</f>
        <v>12101</v>
      </c>
      <c r="G311" s="115">
        <f>IFERROR(__xludf.DUMMYFUNCTION("""COMPUTED_VALUE"""),489.0)</f>
        <v>489</v>
      </c>
      <c r="H311" s="116">
        <f>IFERROR(__xludf.DUMMYFUNCTION("""COMPUTED_VALUE"""),45901.0)</f>
        <v>45901</v>
      </c>
      <c r="I311" s="115" t="str">
        <f>IFERROR(__xludf.DUMMYFUNCTION("""COMPUTED_VALUE"""),"18")</f>
        <v>18</v>
      </c>
      <c r="J311" s="115" t="str">
        <f>IFERROR(__xludf.DUMMYFUNCTION("""COMPUTED_VALUE"""),"Manoj Harsh2025-09-0118")</f>
        <v>Manoj Harsh2025-09-0118</v>
      </c>
      <c r="K311" s="115">
        <f>IFERROR(__xludf.DUMMYFUNCTION("""COMPUTED_VALUE"""),36531.0)</f>
        <v>36531</v>
      </c>
    </row>
    <row r="312">
      <c r="A312" s="115" t="str">
        <f>IFERROR(__xludf.DUMMYFUNCTION("""COMPUTED_VALUE"""),"NORTH")</f>
        <v>NORTH</v>
      </c>
      <c r="B312" s="115" t="str">
        <f>IFERROR(__xludf.DUMMYFUNCTION("""COMPUTED_VALUE"""),"Manoj Harsh")</f>
        <v>Manoj Harsh</v>
      </c>
      <c r="C312" s="115" t="str">
        <f>IFERROR(__xludf.DUMMYFUNCTION("""COMPUTED_VALUE"""),"FLIPKART")</f>
        <v>FLIPKART</v>
      </c>
      <c r="D312" s="115">
        <f>IFERROR(__xludf.DUMMYFUNCTION("""COMPUTED_VALUE"""),382769.0)</f>
        <v>382769</v>
      </c>
      <c r="E312" s="115">
        <f>IFERROR(__xludf.DUMMYFUNCTION("""COMPUTED_VALUE"""),38757.0)</f>
        <v>38757</v>
      </c>
      <c r="F312" s="115">
        <f>IFERROR(__xludf.DUMMYFUNCTION("""COMPUTED_VALUE"""),240095.0)</f>
        <v>240095</v>
      </c>
      <c r="G312" s="115">
        <f>IFERROR(__xludf.DUMMYFUNCTION("""COMPUTED_VALUE"""),10715.0)</f>
        <v>10715</v>
      </c>
      <c r="H312" s="116">
        <f>IFERROR(__xludf.DUMMYFUNCTION("""COMPUTED_VALUE"""),45901.0)</f>
        <v>45901</v>
      </c>
      <c r="I312" s="115" t="str">
        <f>IFERROR(__xludf.DUMMYFUNCTION("""COMPUTED_VALUE"""),"18")</f>
        <v>18</v>
      </c>
      <c r="J312" s="115" t="str">
        <f>IFERROR(__xludf.DUMMYFUNCTION("""COMPUTED_VALUE"""),"Manoj Harsh2025-09-0118")</f>
        <v>Manoj Harsh2025-09-0118</v>
      </c>
      <c r="K312" s="115">
        <f>IFERROR(__xludf.DUMMYFUNCTION("""COMPUTED_VALUE"""),421526.0)</f>
        <v>421526</v>
      </c>
    </row>
    <row r="313">
      <c r="A313" s="115" t="str">
        <f>IFERROR(__xludf.DUMMYFUNCTION("""COMPUTED_VALUE"""),"NORTH")</f>
        <v>NORTH</v>
      </c>
      <c r="B313" s="115" t="str">
        <f>IFERROR(__xludf.DUMMYFUNCTION("""COMPUTED_VALUE"""),"Manoj Harsh")</f>
        <v>Manoj Harsh</v>
      </c>
      <c r="C313" s="115" t="str">
        <f>IFERROR(__xludf.DUMMYFUNCTION("""COMPUTED_VALUE"""),"MYNTRA")</f>
        <v>MYNTRA</v>
      </c>
      <c r="D313" s="115">
        <f>IFERROR(__xludf.DUMMYFUNCTION("""COMPUTED_VALUE"""),33008.0)</f>
        <v>33008</v>
      </c>
      <c r="E313" s="115">
        <f>IFERROR(__xludf.DUMMYFUNCTION("""COMPUTED_VALUE"""),6331.0)</f>
        <v>6331</v>
      </c>
      <c r="F313" s="115">
        <f>IFERROR(__xludf.DUMMYFUNCTION("""COMPUTED_VALUE"""),23742.0)</f>
        <v>23742</v>
      </c>
      <c r="G313" s="115">
        <f>IFERROR(__xludf.DUMMYFUNCTION("""COMPUTED_VALUE"""),1887.0)</f>
        <v>1887</v>
      </c>
      <c r="H313" s="116">
        <f>IFERROR(__xludf.DUMMYFUNCTION("""COMPUTED_VALUE"""),45901.0)</f>
        <v>45901</v>
      </c>
      <c r="I313" s="115" t="str">
        <f>IFERROR(__xludf.DUMMYFUNCTION("""COMPUTED_VALUE"""),"18")</f>
        <v>18</v>
      </c>
      <c r="J313" s="115" t="str">
        <f>IFERROR(__xludf.DUMMYFUNCTION("""COMPUTED_VALUE"""),"Manoj Harsh2025-09-0118")</f>
        <v>Manoj Harsh2025-09-0118</v>
      </c>
      <c r="K313" s="115">
        <f>IFERROR(__xludf.DUMMYFUNCTION("""COMPUTED_VALUE"""),39339.0)</f>
        <v>39339</v>
      </c>
    </row>
    <row r="314">
      <c r="A314" s="115" t="str">
        <f>IFERROR(__xludf.DUMMYFUNCTION("""COMPUTED_VALUE"""),"NORTH")</f>
        <v>NORTH</v>
      </c>
      <c r="B314" s="115" t="str">
        <f>IFERROR(__xludf.DUMMYFUNCTION("""COMPUTED_VALUE"""),"Pradeep Kothari")</f>
        <v>Pradeep Kothari</v>
      </c>
      <c r="C314" s="115" t="str">
        <f>IFERROR(__xludf.DUMMYFUNCTION("""COMPUTED_VALUE"""),"EXTERNAL")</f>
        <v>EXTERNAL</v>
      </c>
      <c r="D314" s="115">
        <f>IFERROR(__xludf.DUMMYFUNCTION("""COMPUTED_VALUE"""),19356.0)</f>
        <v>19356</v>
      </c>
      <c r="E314" s="115">
        <f>IFERROR(__xludf.DUMMYFUNCTION("""COMPUTED_VALUE"""),2014.0)</f>
        <v>2014</v>
      </c>
      <c r="F314" s="115">
        <f>IFERROR(__xludf.DUMMYFUNCTION("""COMPUTED_VALUE"""),6933.0)</f>
        <v>6933</v>
      </c>
      <c r="G314" s="115">
        <f>IFERROR(__xludf.DUMMYFUNCTION("""COMPUTED_VALUE"""),404.0)</f>
        <v>404</v>
      </c>
      <c r="H314" s="116">
        <f>IFERROR(__xludf.DUMMYFUNCTION("""COMPUTED_VALUE"""),45901.0)</f>
        <v>45901</v>
      </c>
      <c r="I314" s="115" t="str">
        <f>IFERROR(__xludf.DUMMYFUNCTION("""COMPUTED_VALUE"""),"18")</f>
        <v>18</v>
      </c>
      <c r="J314" s="115" t="str">
        <f>IFERROR(__xludf.DUMMYFUNCTION("""COMPUTED_VALUE"""),"Pradeep Kothari2025-09-0118")</f>
        <v>Pradeep Kothari2025-09-0118</v>
      </c>
      <c r="K314" s="115">
        <f>IFERROR(__xludf.DUMMYFUNCTION("""COMPUTED_VALUE"""),21370.0)</f>
        <v>21370</v>
      </c>
    </row>
    <row r="315">
      <c r="A315" s="115" t="str">
        <f>IFERROR(__xludf.DUMMYFUNCTION("""COMPUTED_VALUE"""),"NORTH")</f>
        <v>NORTH</v>
      </c>
      <c r="B315" s="115" t="str">
        <f>IFERROR(__xludf.DUMMYFUNCTION("""COMPUTED_VALUE"""),"Pradeep Kothari")</f>
        <v>Pradeep Kothari</v>
      </c>
      <c r="C315" s="115" t="str">
        <f>IFERROR(__xludf.DUMMYFUNCTION("""COMPUTED_VALUE"""),"FLIPKART")</f>
        <v>FLIPKART</v>
      </c>
      <c r="D315" s="115">
        <f>IFERROR(__xludf.DUMMYFUNCTION("""COMPUTED_VALUE"""),136209.0)</f>
        <v>136209</v>
      </c>
      <c r="E315" s="115">
        <f>IFERROR(__xludf.DUMMYFUNCTION("""COMPUTED_VALUE"""),16329.0)</f>
        <v>16329</v>
      </c>
      <c r="F315" s="115">
        <f>IFERROR(__xludf.DUMMYFUNCTION("""COMPUTED_VALUE"""),90026.0)</f>
        <v>90026</v>
      </c>
      <c r="G315" s="115">
        <f>IFERROR(__xludf.DUMMYFUNCTION("""COMPUTED_VALUE"""),5852.0)</f>
        <v>5852</v>
      </c>
      <c r="H315" s="116">
        <f>IFERROR(__xludf.DUMMYFUNCTION("""COMPUTED_VALUE"""),45901.0)</f>
        <v>45901</v>
      </c>
      <c r="I315" s="115" t="str">
        <f>IFERROR(__xludf.DUMMYFUNCTION("""COMPUTED_VALUE"""),"18")</f>
        <v>18</v>
      </c>
      <c r="J315" s="115" t="str">
        <f>IFERROR(__xludf.DUMMYFUNCTION("""COMPUTED_VALUE"""),"Pradeep Kothari2025-09-0118")</f>
        <v>Pradeep Kothari2025-09-0118</v>
      </c>
      <c r="K315" s="115">
        <f>IFERROR(__xludf.DUMMYFUNCTION("""COMPUTED_VALUE"""),152538.0)</f>
        <v>152538</v>
      </c>
    </row>
    <row r="316">
      <c r="A316" s="115" t="str">
        <f>IFERROR(__xludf.DUMMYFUNCTION("""COMPUTED_VALUE"""),"NORTH")</f>
        <v>NORTH</v>
      </c>
      <c r="B316" s="115" t="str">
        <f>IFERROR(__xludf.DUMMYFUNCTION("""COMPUTED_VALUE"""),"Pradeep Kothari")</f>
        <v>Pradeep Kothari</v>
      </c>
      <c r="C316" s="115" t="str">
        <f>IFERROR(__xludf.DUMMYFUNCTION("""COMPUTED_VALUE"""),"MYNTRA")</f>
        <v>MYNTRA</v>
      </c>
      <c r="D316" s="115">
        <f>IFERROR(__xludf.DUMMYFUNCTION("""COMPUTED_VALUE"""),23203.0)</f>
        <v>23203</v>
      </c>
      <c r="E316" s="115">
        <f>IFERROR(__xludf.DUMMYFUNCTION("""COMPUTED_VALUE"""),5662.0)</f>
        <v>5662</v>
      </c>
      <c r="F316" s="115">
        <f>IFERROR(__xludf.DUMMYFUNCTION("""COMPUTED_VALUE"""),18213.0)</f>
        <v>18213</v>
      </c>
      <c r="G316" s="115">
        <f>IFERROR(__xludf.DUMMYFUNCTION("""COMPUTED_VALUE"""),2413.0)</f>
        <v>2413</v>
      </c>
      <c r="H316" s="116">
        <f>IFERROR(__xludf.DUMMYFUNCTION("""COMPUTED_VALUE"""),45901.0)</f>
        <v>45901</v>
      </c>
      <c r="I316" s="115" t="str">
        <f>IFERROR(__xludf.DUMMYFUNCTION("""COMPUTED_VALUE"""),"18")</f>
        <v>18</v>
      </c>
      <c r="J316" s="115" t="str">
        <f>IFERROR(__xludf.DUMMYFUNCTION("""COMPUTED_VALUE"""),"Pradeep Kothari2025-09-0118")</f>
        <v>Pradeep Kothari2025-09-0118</v>
      </c>
      <c r="K316" s="115">
        <f>IFERROR(__xludf.DUMMYFUNCTION("""COMPUTED_VALUE"""),28865.0)</f>
        <v>28865</v>
      </c>
    </row>
    <row r="317">
      <c r="A317" s="115" t="str">
        <f>IFERROR(__xludf.DUMMYFUNCTION("""COMPUTED_VALUE"""),"SOUTH")</f>
        <v>SOUTH</v>
      </c>
      <c r="B317" s="115" t="str">
        <f>IFERROR(__xludf.DUMMYFUNCTION("""COMPUTED_VALUE"""),"Kandula Sampath")</f>
        <v>Kandula Sampath</v>
      </c>
      <c r="C317" s="115" t="str">
        <f>IFERROR(__xludf.DUMMYFUNCTION("""COMPUTED_VALUE"""),"EXTERNAL")</f>
        <v>EXTERNAL</v>
      </c>
      <c r="D317" s="115">
        <f>IFERROR(__xludf.DUMMYFUNCTION("""COMPUTED_VALUE"""),40340.0)</f>
        <v>40340</v>
      </c>
      <c r="E317" s="115">
        <f>IFERROR(__xludf.DUMMYFUNCTION("""COMPUTED_VALUE"""),4207.0)</f>
        <v>4207</v>
      </c>
      <c r="F317" s="115">
        <f>IFERROR(__xludf.DUMMYFUNCTION("""COMPUTED_VALUE"""),15128.0)</f>
        <v>15128</v>
      </c>
      <c r="G317" s="115">
        <f>IFERROR(__xludf.DUMMYFUNCTION("""COMPUTED_VALUE"""),621.0)</f>
        <v>621</v>
      </c>
      <c r="H317" s="116">
        <f>IFERROR(__xludf.DUMMYFUNCTION("""COMPUTED_VALUE"""),45901.0)</f>
        <v>45901</v>
      </c>
      <c r="I317" s="115" t="str">
        <f>IFERROR(__xludf.DUMMYFUNCTION("""COMPUTED_VALUE"""),"18")</f>
        <v>18</v>
      </c>
      <c r="J317" s="115" t="str">
        <f>IFERROR(__xludf.DUMMYFUNCTION("""COMPUTED_VALUE"""),"Kandula Sampath2025-09-0118")</f>
        <v>Kandula Sampath2025-09-0118</v>
      </c>
      <c r="K317" s="115">
        <f>IFERROR(__xludf.DUMMYFUNCTION("""COMPUTED_VALUE"""),44547.0)</f>
        <v>44547</v>
      </c>
    </row>
    <row r="318">
      <c r="A318" s="115" t="str">
        <f>IFERROR(__xludf.DUMMYFUNCTION("""COMPUTED_VALUE"""),"SOUTH")</f>
        <v>SOUTH</v>
      </c>
      <c r="B318" s="115" t="str">
        <f>IFERROR(__xludf.DUMMYFUNCTION("""COMPUTED_VALUE"""),"Kandula Sampath")</f>
        <v>Kandula Sampath</v>
      </c>
      <c r="C318" s="115" t="str">
        <f>IFERROR(__xludf.DUMMYFUNCTION("""COMPUTED_VALUE"""),"FLIPKART")</f>
        <v>FLIPKART</v>
      </c>
      <c r="D318" s="115">
        <f>IFERROR(__xludf.DUMMYFUNCTION("""COMPUTED_VALUE"""),336524.0)</f>
        <v>336524</v>
      </c>
      <c r="E318" s="115">
        <f>IFERROR(__xludf.DUMMYFUNCTION("""COMPUTED_VALUE"""),31857.0)</f>
        <v>31857</v>
      </c>
      <c r="F318" s="115">
        <f>IFERROR(__xludf.DUMMYFUNCTION("""COMPUTED_VALUE"""),217243.0)</f>
        <v>217243</v>
      </c>
      <c r="G318" s="115">
        <f>IFERROR(__xludf.DUMMYFUNCTION("""COMPUTED_VALUE"""),8797.0)</f>
        <v>8797</v>
      </c>
      <c r="H318" s="116">
        <f>IFERROR(__xludf.DUMMYFUNCTION("""COMPUTED_VALUE"""),45901.0)</f>
        <v>45901</v>
      </c>
      <c r="I318" s="115" t="str">
        <f>IFERROR(__xludf.DUMMYFUNCTION("""COMPUTED_VALUE"""),"18")</f>
        <v>18</v>
      </c>
      <c r="J318" s="115" t="str">
        <f>IFERROR(__xludf.DUMMYFUNCTION("""COMPUTED_VALUE"""),"Kandula Sampath2025-09-0118")</f>
        <v>Kandula Sampath2025-09-0118</v>
      </c>
      <c r="K318" s="115">
        <f>IFERROR(__xludf.DUMMYFUNCTION("""COMPUTED_VALUE"""),368381.0)</f>
        <v>368381</v>
      </c>
    </row>
    <row r="319">
      <c r="A319" s="115" t="str">
        <f>IFERROR(__xludf.DUMMYFUNCTION("""COMPUTED_VALUE"""),"SOUTH")</f>
        <v>SOUTH</v>
      </c>
      <c r="B319" s="115" t="str">
        <f>IFERROR(__xludf.DUMMYFUNCTION("""COMPUTED_VALUE"""),"Kandula Sampath")</f>
        <v>Kandula Sampath</v>
      </c>
      <c r="C319" s="115" t="str">
        <f>IFERROR(__xludf.DUMMYFUNCTION("""COMPUTED_VALUE"""),"MYNTRA")</f>
        <v>MYNTRA</v>
      </c>
      <c r="D319" s="115">
        <f>IFERROR(__xludf.DUMMYFUNCTION("""COMPUTED_VALUE"""),35138.0)</f>
        <v>35138</v>
      </c>
      <c r="E319" s="115">
        <f>IFERROR(__xludf.DUMMYFUNCTION("""COMPUTED_VALUE"""),7548.0)</f>
        <v>7548</v>
      </c>
      <c r="F319" s="115">
        <f>IFERROR(__xludf.DUMMYFUNCTION("""COMPUTED_VALUE"""),25998.0)</f>
        <v>25998</v>
      </c>
      <c r="G319" s="115">
        <f>IFERROR(__xludf.DUMMYFUNCTION("""COMPUTED_VALUE"""),2140.0)</f>
        <v>2140</v>
      </c>
      <c r="H319" s="116">
        <f>IFERROR(__xludf.DUMMYFUNCTION("""COMPUTED_VALUE"""),45901.0)</f>
        <v>45901</v>
      </c>
      <c r="I319" s="115" t="str">
        <f>IFERROR(__xludf.DUMMYFUNCTION("""COMPUTED_VALUE"""),"18")</f>
        <v>18</v>
      </c>
      <c r="J319" s="115" t="str">
        <f>IFERROR(__xludf.DUMMYFUNCTION("""COMPUTED_VALUE"""),"Kandula Sampath2025-09-0118")</f>
        <v>Kandula Sampath2025-09-0118</v>
      </c>
      <c r="K319" s="115">
        <f>IFERROR(__xludf.DUMMYFUNCTION("""COMPUTED_VALUE"""),42686.0)</f>
        <v>42686</v>
      </c>
    </row>
    <row r="320">
      <c r="A320" s="115" t="str">
        <f>IFERROR(__xludf.DUMMYFUNCTION("""COMPUTED_VALUE"""),"SOUTH")</f>
        <v>SOUTH</v>
      </c>
      <c r="B320" s="115" t="str">
        <f>IFERROR(__xludf.DUMMYFUNCTION("""COMPUTED_VALUE"""),"Martin A")</f>
        <v>Martin A</v>
      </c>
      <c r="C320" s="115" t="str">
        <f>IFERROR(__xludf.DUMMYFUNCTION("""COMPUTED_VALUE"""),"EXTERNAL")</f>
        <v>EXTERNAL</v>
      </c>
      <c r="D320" s="115">
        <f>IFERROR(__xludf.DUMMYFUNCTION("""COMPUTED_VALUE"""),39811.0)</f>
        <v>39811</v>
      </c>
      <c r="E320" s="115">
        <f>IFERROR(__xludf.DUMMYFUNCTION("""COMPUTED_VALUE"""),2631.0)</f>
        <v>2631</v>
      </c>
      <c r="F320" s="115">
        <f>IFERROR(__xludf.DUMMYFUNCTION("""COMPUTED_VALUE"""),14904.0)</f>
        <v>14904</v>
      </c>
      <c r="G320" s="115">
        <f>IFERROR(__xludf.DUMMYFUNCTION("""COMPUTED_VALUE"""),605.0)</f>
        <v>605</v>
      </c>
      <c r="H320" s="116">
        <f>IFERROR(__xludf.DUMMYFUNCTION("""COMPUTED_VALUE"""),45901.0)</f>
        <v>45901</v>
      </c>
      <c r="I320" s="115" t="str">
        <f>IFERROR(__xludf.DUMMYFUNCTION("""COMPUTED_VALUE"""),"18")</f>
        <v>18</v>
      </c>
      <c r="J320" s="115" t="str">
        <f>IFERROR(__xludf.DUMMYFUNCTION("""COMPUTED_VALUE"""),"Martin A2025-09-0118")</f>
        <v>Martin A2025-09-0118</v>
      </c>
      <c r="K320" s="115">
        <f>IFERROR(__xludf.DUMMYFUNCTION("""COMPUTED_VALUE"""),42442.0)</f>
        <v>42442</v>
      </c>
    </row>
    <row r="321">
      <c r="A321" s="115" t="str">
        <f>IFERROR(__xludf.DUMMYFUNCTION("""COMPUTED_VALUE"""),"SOUTH")</f>
        <v>SOUTH</v>
      </c>
      <c r="B321" s="115" t="str">
        <f>IFERROR(__xludf.DUMMYFUNCTION("""COMPUTED_VALUE"""),"Martin A")</f>
        <v>Martin A</v>
      </c>
      <c r="C321" s="115" t="str">
        <f>IFERROR(__xludf.DUMMYFUNCTION("""COMPUTED_VALUE"""),"FLIPKART")</f>
        <v>FLIPKART</v>
      </c>
      <c r="D321" s="115">
        <f>IFERROR(__xludf.DUMMYFUNCTION("""COMPUTED_VALUE"""),306447.0)</f>
        <v>306447</v>
      </c>
      <c r="E321" s="115">
        <f>IFERROR(__xludf.DUMMYFUNCTION("""COMPUTED_VALUE"""),28108.0)</f>
        <v>28108</v>
      </c>
      <c r="F321" s="115">
        <f>IFERROR(__xludf.DUMMYFUNCTION("""COMPUTED_VALUE"""),194846.0)</f>
        <v>194846</v>
      </c>
      <c r="G321" s="115">
        <f>IFERROR(__xludf.DUMMYFUNCTION("""COMPUTED_VALUE"""),9352.0)</f>
        <v>9352</v>
      </c>
      <c r="H321" s="116">
        <f>IFERROR(__xludf.DUMMYFUNCTION("""COMPUTED_VALUE"""),45901.0)</f>
        <v>45901</v>
      </c>
      <c r="I321" s="115" t="str">
        <f>IFERROR(__xludf.DUMMYFUNCTION("""COMPUTED_VALUE"""),"18")</f>
        <v>18</v>
      </c>
      <c r="J321" s="115" t="str">
        <f>IFERROR(__xludf.DUMMYFUNCTION("""COMPUTED_VALUE"""),"Martin A2025-09-0118")</f>
        <v>Martin A2025-09-0118</v>
      </c>
      <c r="K321" s="115">
        <f>IFERROR(__xludf.DUMMYFUNCTION("""COMPUTED_VALUE"""),334555.0)</f>
        <v>334555</v>
      </c>
    </row>
    <row r="322">
      <c r="A322" s="115" t="str">
        <f>IFERROR(__xludf.DUMMYFUNCTION("""COMPUTED_VALUE"""),"SOUTH")</f>
        <v>SOUTH</v>
      </c>
      <c r="B322" s="115" t="str">
        <f>IFERROR(__xludf.DUMMYFUNCTION("""COMPUTED_VALUE"""),"Martin A")</f>
        <v>Martin A</v>
      </c>
      <c r="C322" s="115" t="str">
        <f>IFERROR(__xludf.DUMMYFUNCTION("""COMPUTED_VALUE"""),"MYNTRA")</f>
        <v>MYNTRA</v>
      </c>
      <c r="D322" s="115">
        <f>IFERROR(__xludf.DUMMYFUNCTION("""COMPUTED_VALUE"""),27741.0)</f>
        <v>27741</v>
      </c>
      <c r="E322" s="115">
        <f>IFERROR(__xludf.DUMMYFUNCTION("""COMPUTED_VALUE"""),6552.0)</f>
        <v>6552</v>
      </c>
      <c r="F322" s="115">
        <f>IFERROR(__xludf.DUMMYFUNCTION("""COMPUTED_VALUE"""),20923.0)</f>
        <v>20923</v>
      </c>
      <c r="G322" s="115">
        <f>IFERROR(__xludf.DUMMYFUNCTION("""COMPUTED_VALUE"""),2373.0)</f>
        <v>2373</v>
      </c>
      <c r="H322" s="116">
        <f>IFERROR(__xludf.DUMMYFUNCTION("""COMPUTED_VALUE"""),45901.0)</f>
        <v>45901</v>
      </c>
      <c r="I322" s="115" t="str">
        <f>IFERROR(__xludf.DUMMYFUNCTION("""COMPUTED_VALUE"""),"18")</f>
        <v>18</v>
      </c>
      <c r="J322" s="115" t="str">
        <f>IFERROR(__xludf.DUMMYFUNCTION("""COMPUTED_VALUE"""),"Martin A2025-09-0118")</f>
        <v>Martin A2025-09-0118</v>
      </c>
      <c r="K322" s="115">
        <f>IFERROR(__xludf.DUMMYFUNCTION("""COMPUTED_VALUE"""),34293.0)</f>
        <v>34293</v>
      </c>
    </row>
    <row r="323">
      <c r="A323" s="115" t="str">
        <f>IFERROR(__xludf.DUMMYFUNCTION("""COMPUTED_VALUE"""),"SOUTH")</f>
        <v>SOUTH</v>
      </c>
      <c r="B323" s="115" t="str">
        <f>IFERROR(__xludf.DUMMYFUNCTION("""COMPUTED_VALUE"""),"Premkumar M")</f>
        <v>Premkumar M</v>
      </c>
      <c r="C323" s="115" t="str">
        <f>IFERROR(__xludf.DUMMYFUNCTION("""COMPUTED_VALUE"""),"EXTERNAL")</f>
        <v>EXTERNAL</v>
      </c>
      <c r="D323" s="115">
        <f>IFERROR(__xludf.DUMMYFUNCTION("""COMPUTED_VALUE"""),33451.0)</f>
        <v>33451</v>
      </c>
      <c r="E323" s="115">
        <f>IFERROR(__xludf.DUMMYFUNCTION("""COMPUTED_VALUE"""),2107.0)</f>
        <v>2107</v>
      </c>
      <c r="F323" s="115">
        <f>IFERROR(__xludf.DUMMYFUNCTION("""COMPUTED_VALUE"""),13872.0)</f>
        <v>13872</v>
      </c>
      <c r="G323" s="115">
        <f>IFERROR(__xludf.DUMMYFUNCTION("""COMPUTED_VALUE"""),222.0)</f>
        <v>222</v>
      </c>
      <c r="H323" s="116">
        <f>IFERROR(__xludf.DUMMYFUNCTION("""COMPUTED_VALUE"""),45901.0)</f>
        <v>45901</v>
      </c>
      <c r="I323" s="115" t="str">
        <f>IFERROR(__xludf.DUMMYFUNCTION("""COMPUTED_VALUE"""),"18")</f>
        <v>18</v>
      </c>
      <c r="J323" s="115" t="str">
        <f>IFERROR(__xludf.DUMMYFUNCTION("""COMPUTED_VALUE"""),"Premkumar M2025-09-0118")</f>
        <v>Premkumar M2025-09-0118</v>
      </c>
      <c r="K323" s="115">
        <f>IFERROR(__xludf.DUMMYFUNCTION("""COMPUTED_VALUE"""),35558.0)</f>
        <v>35558</v>
      </c>
    </row>
    <row r="324">
      <c r="A324" s="115" t="str">
        <f>IFERROR(__xludf.DUMMYFUNCTION("""COMPUTED_VALUE"""),"SOUTH")</f>
        <v>SOUTH</v>
      </c>
      <c r="B324" s="115" t="str">
        <f>IFERROR(__xludf.DUMMYFUNCTION("""COMPUTED_VALUE"""),"Premkumar M")</f>
        <v>Premkumar M</v>
      </c>
      <c r="C324" s="115" t="str">
        <f>IFERROR(__xludf.DUMMYFUNCTION("""COMPUTED_VALUE"""),"FLIPKART")</f>
        <v>FLIPKART</v>
      </c>
      <c r="D324" s="115">
        <f>IFERROR(__xludf.DUMMYFUNCTION("""COMPUTED_VALUE"""),288978.0)</f>
        <v>288978</v>
      </c>
      <c r="E324" s="115">
        <f>IFERROR(__xludf.DUMMYFUNCTION("""COMPUTED_VALUE"""),20495.0)</f>
        <v>20495</v>
      </c>
      <c r="F324" s="115">
        <f>IFERROR(__xludf.DUMMYFUNCTION("""COMPUTED_VALUE"""),181499.0)</f>
        <v>181499</v>
      </c>
      <c r="G324" s="115">
        <f>IFERROR(__xludf.DUMMYFUNCTION("""COMPUTED_VALUE"""),3909.0)</f>
        <v>3909</v>
      </c>
      <c r="H324" s="116">
        <f>IFERROR(__xludf.DUMMYFUNCTION("""COMPUTED_VALUE"""),45901.0)</f>
        <v>45901</v>
      </c>
      <c r="I324" s="115" t="str">
        <f>IFERROR(__xludf.DUMMYFUNCTION("""COMPUTED_VALUE"""),"18")</f>
        <v>18</v>
      </c>
      <c r="J324" s="115" t="str">
        <f>IFERROR(__xludf.DUMMYFUNCTION("""COMPUTED_VALUE"""),"Premkumar M2025-09-0118")</f>
        <v>Premkumar M2025-09-0118</v>
      </c>
      <c r="K324" s="115">
        <f>IFERROR(__xludf.DUMMYFUNCTION("""COMPUTED_VALUE"""),309473.0)</f>
        <v>309473</v>
      </c>
    </row>
    <row r="325">
      <c r="A325" s="115" t="str">
        <f>IFERROR(__xludf.DUMMYFUNCTION("""COMPUTED_VALUE"""),"SOUTH")</f>
        <v>SOUTH</v>
      </c>
      <c r="B325" s="115" t="str">
        <f>IFERROR(__xludf.DUMMYFUNCTION("""COMPUTED_VALUE"""),"Premkumar M")</f>
        <v>Premkumar M</v>
      </c>
      <c r="C325" s="115" t="str">
        <f>IFERROR(__xludf.DUMMYFUNCTION("""COMPUTED_VALUE"""),"MYNTRA")</f>
        <v>MYNTRA</v>
      </c>
      <c r="D325" s="115">
        <f>IFERROR(__xludf.DUMMYFUNCTION("""COMPUTED_VALUE"""),15240.0)</f>
        <v>15240</v>
      </c>
      <c r="E325" s="115">
        <f>IFERROR(__xludf.DUMMYFUNCTION("""COMPUTED_VALUE"""),2958.0)</f>
        <v>2958</v>
      </c>
      <c r="F325" s="115">
        <f>IFERROR(__xludf.DUMMYFUNCTION("""COMPUTED_VALUE"""),11197.0)</f>
        <v>11197</v>
      </c>
      <c r="G325" s="115">
        <f>IFERROR(__xludf.DUMMYFUNCTION("""COMPUTED_VALUE"""),650.0)</f>
        <v>650</v>
      </c>
      <c r="H325" s="116">
        <f>IFERROR(__xludf.DUMMYFUNCTION("""COMPUTED_VALUE"""),45901.0)</f>
        <v>45901</v>
      </c>
      <c r="I325" s="115" t="str">
        <f>IFERROR(__xludf.DUMMYFUNCTION("""COMPUTED_VALUE"""),"18")</f>
        <v>18</v>
      </c>
      <c r="J325" s="115" t="str">
        <f>IFERROR(__xludf.DUMMYFUNCTION("""COMPUTED_VALUE"""),"Premkumar M2025-09-0118")</f>
        <v>Premkumar M2025-09-0118</v>
      </c>
      <c r="K325" s="115">
        <f>IFERROR(__xludf.DUMMYFUNCTION("""COMPUTED_VALUE"""),18198.0)</f>
        <v>18198</v>
      </c>
    </row>
    <row r="326">
      <c r="A326" s="115" t="str">
        <f>IFERROR(__xludf.DUMMYFUNCTION("""COMPUTED_VALUE"""),"SOUTH")</f>
        <v>SOUTH</v>
      </c>
      <c r="B326" s="115" t="str">
        <f>IFERROR(__xludf.DUMMYFUNCTION("""COMPUTED_VALUE"""),"Vineeth V")</f>
        <v>Vineeth V</v>
      </c>
      <c r="C326" s="115" t="str">
        <f>IFERROR(__xludf.DUMMYFUNCTION("""COMPUTED_VALUE"""),"EXTERNAL")</f>
        <v>EXTERNAL</v>
      </c>
      <c r="D326" s="115">
        <f>IFERROR(__xludf.DUMMYFUNCTION("""COMPUTED_VALUE"""),23464.0)</f>
        <v>23464</v>
      </c>
      <c r="E326" s="115">
        <f>IFERROR(__xludf.DUMMYFUNCTION("""COMPUTED_VALUE"""),681.0)</f>
        <v>681</v>
      </c>
      <c r="F326" s="115">
        <f>IFERROR(__xludf.DUMMYFUNCTION("""COMPUTED_VALUE"""),11052.0)</f>
        <v>11052</v>
      </c>
      <c r="G326" s="115">
        <f>IFERROR(__xludf.DUMMYFUNCTION("""COMPUTED_VALUE"""),122.0)</f>
        <v>122</v>
      </c>
      <c r="H326" s="116">
        <f>IFERROR(__xludf.DUMMYFUNCTION("""COMPUTED_VALUE"""),45901.0)</f>
        <v>45901</v>
      </c>
      <c r="I326" s="115" t="str">
        <f>IFERROR(__xludf.DUMMYFUNCTION("""COMPUTED_VALUE"""),"18")</f>
        <v>18</v>
      </c>
      <c r="J326" s="115" t="str">
        <f>IFERROR(__xludf.DUMMYFUNCTION("""COMPUTED_VALUE"""),"Vineeth V2025-09-0118")</f>
        <v>Vineeth V2025-09-0118</v>
      </c>
      <c r="K326" s="115">
        <f>IFERROR(__xludf.DUMMYFUNCTION("""COMPUTED_VALUE"""),24145.0)</f>
        <v>24145</v>
      </c>
    </row>
    <row r="327">
      <c r="A327" s="115" t="str">
        <f>IFERROR(__xludf.DUMMYFUNCTION("""COMPUTED_VALUE"""),"SOUTH")</f>
        <v>SOUTH</v>
      </c>
      <c r="B327" s="115" t="str">
        <f>IFERROR(__xludf.DUMMYFUNCTION("""COMPUTED_VALUE"""),"Vineeth V")</f>
        <v>Vineeth V</v>
      </c>
      <c r="C327" s="115" t="str">
        <f>IFERROR(__xludf.DUMMYFUNCTION("""COMPUTED_VALUE"""),"FLIPKART")</f>
        <v>FLIPKART</v>
      </c>
      <c r="D327" s="115">
        <f>IFERROR(__xludf.DUMMYFUNCTION("""COMPUTED_VALUE"""),258430.0)</f>
        <v>258430</v>
      </c>
      <c r="E327" s="115">
        <f>IFERROR(__xludf.DUMMYFUNCTION("""COMPUTED_VALUE"""),17392.0)</f>
        <v>17392</v>
      </c>
      <c r="F327" s="115">
        <f>IFERROR(__xludf.DUMMYFUNCTION("""COMPUTED_VALUE"""),179287.0)</f>
        <v>179287</v>
      </c>
      <c r="G327" s="115">
        <f>IFERROR(__xludf.DUMMYFUNCTION("""COMPUTED_VALUE"""),2988.0)</f>
        <v>2988</v>
      </c>
      <c r="H327" s="116">
        <f>IFERROR(__xludf.DUMMYFUNCTION("""COMPUTED_VALUE"""),45901.0)</f>
        <v>45901</v>
      </c>
      <c r="I327" s="115" t="str">
        <f>IFERROR(__xludf.DUMMYFUNCTION("""COMPUTED_VALUE"""),"18")</f>
        <v>18</v>
      </c>
      <c r="J327" s="115" t="str">
        <f>IFERROR(__xludf.DUMMYFUNCTION("""COMPUTED_VALUE"""),"Vineeth V2025-09-0118")</f>
        <v>Vineeth V2025-09-0118</v>
      </c>
      <c r="K327" s="115">
        <f>IFERROR(__xludf.DUMMYFUNCTION("""COMPUTED_VALUE"""),275822.0)</f>
        <v>275822</v>
      </c>
    </row>
    <row r="328">
      <c r="A328" s="115" t="str">
        <f>IFERROR(__xludf.DUMMYFUNCTION("""COMPUTED_VALUE"""),"SOUTH")</f>
        <v>SOUTH</v>
      </c>
      <c r="B328" s="115" t="str">
        <f>IFERROR(__xludf.DUMMYFUNCTION("""COMPUTED_VALUE"""),"Vineeth V")</f>
        <v>Vineeth V</v>
      </c>
      <c r="C328" s="115" t="str">
        <f>IFERROR(__xludf.DUMMYFUNCTION("""COMPUTED_VALUE"""),"MYNTRA")</f>
        <v>MYNTRA</v>
      </c>
      <c r="D328" s="115">
        <f>IFERROR(__xludf.DUMMYFUNCTION("""COMPUTED_VALUE"""),21915.0)</f>
        <v>21915</v>
      </c>
      <c r="E328" s="115">
        <f>IFERROR(__xludf.DUMMYFUNCTION("""COMPUTED_VALUE"""),4073.0)</f>
        <v>4073</v>
      </c>
      <c r="F328" s="115">
        <f>IFERROR(__xludf.DUMMYFUNCTION("""COMPUTED_VALUE"""),17067.0)</f>
        <v>17067</v>
      </c>
      <c r="G328" s="115">
        <f>IFERROR(__xludf.DUMMYFUNCTION("""COMPUTED_VALUE"""),682.0)</f>
        <v>682</v>
      </c>
      <c r="H328" s="116">
        <f>IFERROR(__xludf.DUMMYFUNCTION("""COMPUTED_VALUE"""),45901.0)</f>
        <v>45901</v>
      </c>
      <c r="I328" s="115" t="str">
        <f>IFERROR(__xludf.DUMMYFUNCTION("""COMPUTED_VALUE"""),"18")</f>
        <v>18</v>
      </c>
      <c r="J328" s="115" t="str">
        <f>IFERROR(__xludf.DUMMYFUNCTION("""COMPUTED_VALUE"""),"Vineeth V2025-09-0118")</f>
        <v>Vineeth V2025-09-0118</v>
      </c>
      <c r="K328" s="115">
        <f>IFERROR(__xludf.DUMMYFUNCTION("""COMPUTED_VALUE"""),25988.0)</f>
        <v>25988</v>
      </c>
    </row>
    <row r="329">
      <c r="A329" s="115" t="str">
        <f>IFERROR(__xludf.DUMMYFUNCTION("""COMPUTED_VALUE"""),"WEST")</f>
        <v>WEST</v>
      </c>
      <c r="B329" s="115" t="str">
        <f>IFERROR(__xludf.DUMMYFUNCTION("""COMPUTED_VALUE"""),"Ashish Jakar")</f>
        <v>Ashish Jakar</v>
      </c>
      <c r="C329" s="115" t="str">
        <f>IFERROR(__xludf.DUMMYFUNCTION("""COMPUTED_VALUE"""),"EXTERNAL")</f>
        <v>EXTERNAL</v>
      </c>
      <c r="D329" s="115">
        <f>IFERROR(__xludf.DUMMYFUNCTION("""COMPUTED_VALUE"""),60989.0)</f>
        <v>60989</v>
      </c>
      <c r="E329" s="115">
        <f>IFERROR(__xludf.DUMMYFUNCTION("""COMPUTED_VALUE"""),6937.0)</f>
        <v>6937</v>
      </c>
      <c r="F329" s="115">
        <f>IFERROR(__xludf.DUMMYFUNCTION("""COMPUTED_VALUE"""),22680.0)</f>
        <v>22680</v>
      </c>
      <c r="G329" s="115">
        <f>IFERROR(__xludf.DUMMYFUNCTION("""COMPUTED_VALUE"""),1315.0)</f>
        <v>1315</v>
      </c>
      <c r="H329" s="116">
        <f>IFERROR(__xludf.DUMMYFUNCTION("""COMPUTED_VALUE"""),45901.0)</f>
        <v>45901</v>
      </c>
      <c r="I329" s="115" t="str">
        <f>IFERROR(__xludf.DUMMYFUNCTION("""COMPUTED_VALUE"""),"18")</f>
        <v>18</v>
      </c>
      <c r="J329" s="115" t="str">
        <f>IFERROR(__xludf.DUMMYFUNCTION("""COMPUTED_VALUE"""),"Ashish Jakar2025-09-0118")</f>
        <v>Ashish Jakar2025-09-0118</v>
      </c>
      <c r="K329" s="115">
        <f>IFERROR(__xludf.DUMMYFUNCTION("""COMPUTED_VALUE"""),67926.0)</f>
        <v>67926</v>
      </c>
    </row>
    <row r="330">
      <c r="A330" s="115" t="str">
        <f>IFERROR(__xludf.DUMMYFUNCTION("""COMPUTED_VALUE"""),"WEST")</f>
        <v>WEST</v>
      </c>
      <c r="B330" s="115" t="str">
        <f>IFERROR(__xludf.DUMMYFUNCTION("""COMPUTED_VALUE"""),"Ashish Jakar")</f>
        <v>Ashish Jakar</v>
      </c>
      <c r="C330" s="115" t="str">
        <f>IFERROR(__xludf.DUMMYFUNCTION("""COMPUTED_VALUE"""),"FLIPKART")</f>
        <v>FLIPKART</v>
      </c>
      <c r="D330" s="115">
        <f>IFERROR(__xludf.DUMMYFUNCTION("""COMPUTED_VALUE"""),327258.0)</f>
        <v>327258</v>
      </c>
      <c r="E330" s="115">
        <f>IFERROR(__xludf.DUMMYFUNCTION("""COMPUTED_VALUE"""),34587.0)</f>
        <v>34587</v>
      </c>
      <c r="F330" s="115">
        <f>IFERROR(__xludf.DUMMYFUNCTION("""COMPUTED_VALUE"""),209847.0)</f>
        <v>209847</v>
      </c>
      <c r="G330" s="115">
        <f>IFERROR(__xludf.DUMMYFUNCTION("""COMPUTED_VALUE"""),10888.0)</f>
        <v>10888</v>
      </c>
      <c r="H330" s="116">
        <f>IFERROR(__xludf.DUMMYFUNCTION("""COMPUTED_VALUE"""),45901.0)</f>
        <v>45901</v>
      </c>
      <c r="I330" s="115" t="str">
        <f>IFERROR(__xludf.DUMMYFUNCTION("""COMPUTED_VALUE"""),"18")</f>
        <v>18</v>
      </c>
      <c r="J330" s="115" t="str">
        <f>IFERROR(__xludf.DUMMYFUNCTION("""COMPUTED_VALUE"""),"Ashish Jakar2025-09-0118")</f>
        <v>Ashish Jakar2025-09-0118</v>
      </c>
      <c r="K330" s="115">
        <f>IFERROR(__xludf.DUMMYFUNCTION("""COMPUTED_VALUE"""),361845.0)</f>
        <v>361845</v>
      </c>
    </row>
    <row r="331">
      <c r="A331" s="115" t="str">
        <f>IFERROR(__xludf.DUMMYFUNCTION("""COMPUTED_VALUE"""),"WEST")</f>
        <v>WEST</v>
      </c>
      <c r="B331" s="115" t="str">
        <f>IFERROR(__xludf.DUMMYFUNCTION("""COMPUTED_VALUE"""),"Ashish Jakar")</f>
        <v>Ashish Jakar</v>
      </c>
      <c r="C331" s="115" t="str">
        <f>IFERROR(__xludf.DUMMYFUNCTION("""COMPUTED_VALUE"""),"MYNTRA")</f>
        <v>MYNTRA</v>
      </c>
      <c r="D331" s="115">
        <f>IFERROR(__xludf.DUMMYFUNCTION("""COMPUTED_VALUE"""),42602.0)</f>
        <v>42602</v>
      </c>
      <c r="E331" s="115">
        <f>IFERROR(__xludf.DUMMYFUNCTION("""COMPUTED_VALUE"""),10552.0)</f>
        <v>10552</v>
      </c>
      <c r="F331" s="115">
        <f>IFERROR(__xludf.DUMMYFUNCTION("""COMPUTED_VALUE"""),32470.0)</f>
        <v>32470</v>
      </c>
      <c r="G331" s="115">
        <f>IFERROR(__xludf.DUMMYFUNCTION("""COMPUTED_VALUE"""),3655.0)</f>
        <v>3655</v>
      </c>
      <c r="H331" s="116">
        <f>IFERROR(__xludf.DUMMYFUNCTION("""COMPUTED_VALUE"""),45901.0)</f>
        <v>45901</v>
      </c>
      <c r="I331" s="115" t="str">
        <f>IFERROR(__xludf.DUMMYFUNCTION("""COMPUTED_VALUE"""),"18")</f>
        <v>18</v>
      </c>
      <c r="J331" s="115" t="str">
        <f>IFERROR(__xludf.DUMMYFUNCTION("""COMPUTED_VALUE"""),"Ashish Jakar2025-09-0118")</f>
        <v>Ashish Jakar2025-09-0118</v>
      </c>
      <c r="K331" s="115">
        <f>IFERROR(__xludf.DUMMYFUNCTION("""COMPUTED_VALUE"""),53154.0)</f>
        <v>53154</v>
      </c>
    </row>
    <row r="332">
      <c r="A332" s="115" t="str">
        <f>IFERROR(__xludf.DUMMYFUNCTION("""COMPUTED_VALUE"""),"WEST")</f>
        <v>WEST</v>
      </c>
      <c r="B332" s="115" t="str">
        <f>IFERROR(__xludf.DUMMYFUNCTION("""COMPUTED_VALUE"""),"Ashvani Bhatt")</f>
        <v>Ashvani Bhatt</v>
      </c>
      <c r="C332" s="115" t="str">
        <f>IFERROR(__xludf.DUMMYFUNCTION("""COMPUTED_VALUE"""),"EXTERNAL")</f>
        <v>EXTERNAL</v>
      </c>
      <c r="D332" s="115">
        <f>IFERROR(__xludf.DUMMYFUNCTION("""COMPUTED_VALUE"""),39661.0)</f>
        <v>39661</v>
      </c>
      <c r="E332" s="115">
        <f>IFERROR(__xludf.DUMMYFUNCTION("""COMPUTED_VALUE"""),4090.0)</f>
        <v>4090</v>
      </c>
      <c r="F332" s="115">
        <f>IFERROR(__xludf.DUMMYFUNCTION("""COMPUTED_VALUE"""),15474.0)</f>
        <v>15474</v>
      </c>
      <c r="G332" s="115">
        <f>IFERROR(__xludf.DUMMYFUNCTION("""COMPUTED_VALUE"""),755.0)</f>
        <v>755</v>
      </c>
      <c r="H332" s="116">
        <f>IFERROR(__xludf.DUMMYFUNCTION("""COMPUTED_VALUE"""),45901.0)</f>
        <v>45901</v>
      </c>
      <c r="I332" s="115" t="str">
        <f>IFERROR(__xludf.DUMMYFUNCTION("""COMPUTED_VALUE"""),"18")</f>
        <v>18</v>
      </c>
      <c r="J332" s="115" t="str">
        <f>IFERROR(__xludf.DUMMYFUNCTION("""COMPUTED_VALUE"""),"Ashvani Bhatt2025-09-0118")</f>
        <v>Ashvani Bhatt2025-09-0118</v>
      </c>
      <c r="K332" s="115">
        <f>IFERROR(__xludf.DUMMYFUNCTION("""COMPUTED_VALUE"""),43751.0)</f>
        <v>43751</v>
      </c>
    </row>
    <row r="333">
      <c r="A333" s="115" t="str">
        <f>IFERROR(__xludf.DUMMYFUNCTION("""COMPUTED_VALUE"""),"WEST")</f>
        <v>WEST</v>
      </c>
      <c r="B333" s="115" t="str">
        <f>IFERROR(__xludf.DUMMYFUNCTION("""COMPUTED_VALUE"""),"Ashvani Bhatt")</f>
        <v>Ashvani Bhatt</v>
      </c>
      <c r="C333" s="115" t="str">
        <f>IFERROR(__xludf.DUMMYFUNCTION("""COMPUTED_VALUE"""),"FLIPKART")</f>
        <v>FLIPKART</v>
      </c>
      <c r="D333" s="115">
        <f>IFERROR(__xludf.DUMMYFUNCTION("""COMPUTED_VALUE"""),262856.0)</f>
        <v>262856</v>
      </c>
      <c r="E333" s="115">
        <f>IFERROR(__xludf.DUMMYFUNCTION("""COMPUTED_VALUE"""),29837.0)</f>
        <v>29837</v>
      </c>
      <c r="F333" s="115">
        <f>IFERROR(__xludf.DUMMYFUNCTION("""COMPUTED_VALUE"""),178199.0)</f>
        <v>178199</v>
      </c>
      <c r="G333" s="115">
        <f>IFERROR(__xludf.DUMMYFUNCTION("""COMPUTED_VALUE"""),10362.0)</f>
        <v>10362</v>
      </c>
      <c r="H333" s="116">
        <f>IFERROR(__xludf.DUMMYFUNCTION("""COMPUTED_VALUE"""),45901.0)</f>
        <v>45901</v>
      </c>
      <c r="I333" s="115" t="str">
        <f>IFERROR(__xludf.DUMMYFUNCTION("""COMPUTED_VALUE"""),"18")</f>
        <v>18</v>
      </c>
      <c r="J333" s="115" t="str">
        <f>IFERROR(__xludf.DUMMYFUNCTION("""COMPUTED_VALUE"""),"Ashvani Bhatt2025-09-0118")</f>
        <v>Ashvani Bhatt2025-09-0118</v>
      </c>
      <c r="K333" s="115">
        <f>IFERROR(__xludf.DUMMYFUNCTION("""COMPUTED_VALUE"""),292693.0)</f>
        <v>292693</v>
      </c>
    </row>
    <row r="334">
      <c r="A334" s="115" t="str">
        <f>IFERROR(__xludf.DUMMYFUNCTION("""COMPUTED_VALUE"""),"WEST")</f>
        <v>WEST</v>
      </c>
      <c r="B334" s="115" t="str">
        <f>IFERROR(__xludf.DUMMYFUNCTION("""COMPUTED_VALUE"""),"Ashvani Bhatt")</f>
        <v>Ashvani Bhatt</v>
      </c>
      <c r="C334" s="115" t="str">
        <f>IFERROR(__xludf.DUMMYFUNCTION("""COMPUTED_VALUE"""),"MYNTRA")</f>
        <v>MYNTRA</v>
      </c>
      <c r="D334" s="115">
        <f>IFERROR(__xludf.DUMMYFUNCTION("""COMPUTED_VALUE"""),32826.0)</f>
        <v>32826</v>
      </c>
      <c r="E334" s="115">
        <f>IFERROR(__xludf.DUMMYFUNCTION("""COMPUTED_VALUE"""),8126.0)</f>
        <v>8126</v>
      </c>
      <c r="F334" s="115">
        <f>IFERROR(__xludf.DUMMYFUNCTION("""COMPUTED_VALUE"""),26460.0)</f>
        <v>26460</v>
      </c>
      <c r="G334" s="115">
        <f>IFERROR(__xludf.DUMMYFUNCTION("""COMPUTED_VALUE"""),3227.0)</f>
        <v>3227</v>
      </c>
      <c r="H334" s="116">
        <f>IFERROR(__xludf.DUMMYFUNCTION("""COMPUTED_VALUE"""),45901.0)</f>
        <v>45901</v>
      </c>
      <c r="I334" s="115" t="str">
        <f>IFERROR(__xludf.DUMMYFUNCTION("""COMPUTED_VALUE"""),"18")</f>
        <v>18</v>
      </c>
      <c r="J334" s="115" t="str">
        <f>IFERROR(__xludf.DUMMYFUNCTION("""COMPUTED_VALUE"""),"Ashvani Bhatt2025-09-0118")</f>
        <v>Ashvani Bhatt2025-09-0118</v>
      </c>
      <c r="K334" s="115">
        <f>IFERROR(__xludf.DUMMYFUNCTION("""COMPUTED_VALUE"""),40952.0)</f>
        <v>40952</v>
      </c>
    </row>
    <row r="335">
      <c r="A335" s="115"/>
      <c r="B335" s="115"/>
      <c r="C335" s="115" t="str">
        <f>IFERROR(__xludf.DUMMYFUNCTION("""COMPUTED_VALUE"""),"EXTERNAL")</f>
        <v>EXTERNAL</v>
      </c>
      <c r="D335" s="115">
        <f>IFERROR(__xludf.DUMMYFUNCTION("""COMPUTED_VALUE"""),1605.0)</f>
        <v>1605</v>
      </c>
      <c r="E335" s="115">
        <f>IFERROR(__xludf.DUMMYFUNCTION("""COMPUTED_VALUE"""),156.0)</f>
        <v>156</v>
      </c>
      <c r="F335" s="115">
        <f>IFERROR(__xludf.DUMMYFUNCTION("""COMPUTED_VALUE"""),433.0)</f>
        <v>433</v>
      </c>
      <c r="G335" s="115">
        <f>IFERROR(__xludf.DUMMYFUNCTION("""COMPUTED_VALUE"""),36.0)</f>
        <v>36</v>
      </c>
      <c r="H335" s="116">
        <f>IFERROR(__xludf.DUMMYFUNCTION("""COMPUTED_VALUE"""),45901.0)</f>
        <v>45901</v>
      </c>
      <c r="I335" s="115" t="str">
        <f>IFERROR(__xludf.DUMMYFUNCTION("""COMPUTED_VALUE"""),"18")</f>
        <v>18</v>
      </c>
      <c r="J335" s="115" t="str">
        <f>IFERROR(__xludf.DUMMYFUNCTION("""COMPUTED_VALUE"""),"2025-09-0118")</f>
        <v>2025-09-0118</v>
      </c>
      <c r="K335" s="115">
        <f>IFERROR(__xludf.DUMMYFUNCTION("""COMPUTED_VALUE"""),1761.0)</f>
        <v>1761</v>
      </c>
    </row>
    <row r="336">
      <c r="A336" s="115"/>
      <c r="B336" s="115"/>
      <c r="C336" s="115" t="str">
        <f>IFERROR(__xludf.DUMMYFUNCTION("""COMPUTED_VALUE"""),"FLIPKART")</f>
        <v>FLIPKART</v>
      </c>
      <c r="D336" s="115">
        <f>IFERROR(__xludf.DUMMYFUNCTION("""COMPUTED_VALUE"""),14179.0)</f>
        <v>14179</v>
      </c>
      <c r="E336" s="115">
        <f>IFERROR(__xludf.DUMMYFUNCTION("""COMPUTED_VALUE"""),1363.0)</f>
        <v>1363</v>
      </c>
      <c r="F336" s="115">
        <f>IFERROR(__xludf.DUMMYFUNCTION("""COMPUTED_VALUE"""),7537.0)</f>
        <v>7537</v>
      </c>
      <c r="G336" s="115">
        <f>IFERROR(__xludf.DUMMYFUNCTION("""COMPUTED_VALUE"""),496.0)</f>
        <v>496</v>
      </c>
      <c r="H336" s="116">
        <f>IFERROR(__xludf.DUMMYFUNCTION("""COMPUTED_VALUE"""),45901.0)</f>
        <v>45901</v>
      </c>
      <c r="I336" s="115" t="str">
        <f>IFERROR(__xludf.DUMMYFUNCTION("""COMPUTED_VALUE"""),"18")</f>
        <v>18</v>
      </c>
      <c r="J336" s="115" t="str">
        <f>IFERROR(__xludf.DUMMYFUNCTION("""COMPUTED_VALUE"""),"2025-09-0118")</f>
        <v>2025-09-0118</v>
      </c>
      <c r="K336" s="115">
        <f>IFERROR(__xludf.DUMMYFUNCTION("""COMPUTED_VALUE"""),15542.0)</f>
        <v>15542</v>
      </c>
    </row>
    <row r="337">
      <c r="A337" s="115"/>
      <c r="B337" s="115"/>
      <c r="C337" s="115" t="str">
        <f>IFERROR(__xludf.DUMMYFUNCTION("""COMPUTED_VALUE"""),"MYNTRA")</f>
        <v>MYNTRA</v>
      </c>
      <c r="D337" s="115">
        <f>IFERROR(__xludf.DUMMYFUNCTION("""COMPUTED_VALUE"""),1249.0)</f>
        <v>1249</v>
      </c>
      <c r="E337" s="115">
        <f>IFERROR(__xludf.DUMMYFUNCTION("""COMPUTED_VALUE"""),268.0)</f>
        <v>268</v>
      </c>
      <c r="F337" s="115">
        <f>IFERROR(__xludf.DUMMYFUNCTION("""COMPUTED_VALUE"""),803.0)</f>
        <v>803</v>
      </c>
      <c r="G337" s="115">
        <f>IFERROR(__xludf.DUMMYFUNCTION("""COMPUTED_VALUE"""),87.0)</f>
        <v>87</v>
      </c>
      <c r="H337" s="116">
        <f>IFERROR(__xludf.DUMMYFUNCTION("""COMPUTED_VALUE"""),45901.0)</f>
        <v>45901</v>
      </c>
      <c r="I337" s="115" t="str">
        <f>IFERROR(__xludf.DUMMYFUNCTION("""COMPUTED_VALUE"""),"18")</f>
        <v>18</v>
      </c>
      <c r="J337" s="115" t="str">
        <f>IFERROR(__xludf.DUMMYFUNCTION("""COMPUTED_VALUE"""),"2025-09-0118")</f>
        <v>2025-09-0118</v>
      </c>
      <c r="K337" s="115">
        <f>IFERROR(__xludf.DUMMYFUNCTION("""COMPUTED_VALUE"""),1517.0)</f>
        <v>1517</v>
      </c>
    </row>
    <row r="338">
      <c r="A338" s="115" t="str">
        <f>IFERROR(__xludf.DUMMYFUNCTION("""COMPUTED_VALUE"""),"EAST")</f>
        <v>EAST</v>
      </c>
      <c r="B338" s="115" t="str">
        <f>IFERROR(__xludf.DUMMYFUNCTION("""COMPUTED_VALUE"""),"Ashish Ranjan")</f>
        <v>Ashish Ranjan</v>
      </c>
      <c r="C338" s="115" t="str">
        <f>IFERROR(__xludf.DUMMYFUNCTION("""COMPUTED_VALUE"""),"EXTERNAL")</f>
        <v>EXTERNAL</v>
      </c>
      <c r="D338" s="115">
        <f>IFERROR(__xludf.DUMMYFUNCTION("""COMPUTED_VALUE"""),41806.0)</f>
        <v>41806</v>
      </c>
      <c r="E338" s="115">
        <f>IFERROR(__xludf.DUMMYFUNCTION("""COMPUTED_VALUE"""),3171.0)</f>
        <v>3171</v>
      </c>
      <c r="F338" s="115">
        <f>IFERROR(__xludf.DUMMYFUNCTION("""COMPUTED_VALUE"""),21421.0)</f>
        <v>21421</v>
      </c>
      <c r="G338" s="115">
        <f>IFERROR(__xludf.DUMMYFUNCTION("""COMPUTED_VALUE"""),1364.0)</f>
        <v>1364</v>
      </c>
      <c r="H338" s="116">
        <f>IFERROR(__xludf.DUMMYFUNCTION("""COMPUTED_VALUE"""),45901.0)</f>
        <v>45901</v>
      </c>
      <c r="I338" s="115" t="str">
        <f>IFERROR(__xludf.DUMMYFUNCTION("""COMPUTED_VALUE"""),"19")</f>
        <v>19</v>
      </c>
      <c r="J338" s="115" t="str">
        <f>IFERROR(__xludf.DUMMYFUNCTION("""COMPUTED_VALUE"""),"Ashish Ranjan2025-09-0119")</f>
        <v>Ashish Ranjan2025-09-0119</v>
      </c>
      <c r="K338" s="115">
        <f>IFERROR(__xludf.DUMMYFUNCTION("""COMPUTED_VALUE"""),44977.0)</f>
        <v>44977</v>
      </c>
    </row>
    <row r="339">
      <c r="A339" s="115" t="str">
        <f>IFERROR(__xludf.DUMMYFUNCTION("""COMPUTED_VALUE"""),"EAST")</f>
        <v>EAST</v>
      </c>
      <c r="B339" s="115" t="str">
        <f>IFERROR(__xludf.DUMMYFUNCTION("""COMPUTED_VALUE"""),"Ashish Ranjan")</f>
        <v>Ashish Ranjan</v>
      </c>
      <c r="C339" s="115" t="str">
        <f>IFERROR(__xludf.DUMMYFUNCTION("""COMPUTED_VALUE"""),"FLIPKART")</f>
        <v>FLIPKART</v>
      </c>
      <c r="D339" s="115">
        <f>IFERROR(__xludf.DUMMYFUNCTION("""COMPUTED_VALUE"""),606563.0)</f>
        <v>606563</v>
      </c>
      <c r="E339" s="115">
        <f>IFERROR(__xludf.DUMMYFUNCTION("""COMPUTED_VALUE"""),62703.0)</f>
        <v>62703</v>
      </c>
      <c r="F339" s="115">
        <f>IFERROR(__xludf.DUMMYFUNCTION("""COMPUTED_VALUE"""),507621.0)</f>
        <v>507621</v>
      </c>
      <c r="G339" s="115">
        <f>IFERROR(__xludf.DUMMYFUNCTION("""COMPUTED_VALUE"""),40292.0)</f>
        <v>40292</v>
      </c>
      <c r="H339" s="116">
        <f>IFERROR(__xludf.DUMMYFUNCTION("""COMPUTED_VALUE"""),45901.0)</f>
        <v>45901</v>
      </c>
      <c r="I339" s="115" t="str">
        <f>IFERROR(__xludf.DUMMYFUNCTION("""COMPUTED_VALUE"""),"19")</f>
        <v>19</v>
      </c>
      <c r="J339" s="115" t="str">
        <f>IFERROR(__xludf.DUMMYFUNCTION("""COMPUTED_VALUE"""),"Ashish Ranjan2025-09-0119")</f>
        <v>Ashish Ranjan2025-09-0119</v>
      </c>
      <c r="K339" s="115">
        <f>IFERROR(__xludf.DUMMYFUNCTION("""COMPUTED_VALUE"""),669266.0)</f>
        <v>669266</v>
      </c>
    </row>
    <row r="340">
      <c r="A340" s="115" t="str">
        <f>IFERROR(__xludf.DUMMYFUNCTION("""COMPUTED_VALUE"""),"EAST")</f>
        <v>EAST</v>
      </c>
      <c r="B340" s="115" t="str">
        <f>IFERROR(__xludf.DUMMYFUNCTION("""COMPUTED_VALUE"""),"Ashish Ranjan")</f>
        <v>Ashish Ranjan</v>
      </c>
      <c r="C340" s="115" t="str">
        <f>IFERROR(__xludf.DUMMYFUNCTION("""COMPUTED_VALUE"""),"MYNTRA")</f>
        <v>MYNTRA</v>
      </c>
      <c r="D340" s="115">
        <f>IFERROR(__xludf.DUMMYFUNCTION("""COMPUTED_VALUE"""),58432.0)</f>
        <v>58432</v>
      </c>
      <c r="E340" s="115">
        <f>IFERROR(__xludf.DUMMYFUNCTION("""COMPUTED_VALUE"""),10900.0)</f>
        <v>10900</v>
      </c>
      <c r="F340" s="115">
        <f>IFERROR(__xludf.DUMMYFUNCTION("""COMPUTED_VALUE"""),50037.0)</f>
        <v>50037</v>
      </c>
      <c r="G340" s="115">
        <f>IFERROR(__xludf.DUMMYFUNCTION("""COMPUTED_VALUE"""),6829.0)</f>
        <v>6829</v>
      </c>
      <c r="H340" s="116">
        <f>IFERROR(__xludf.DUMMYFUNCTION("""COMPUTED_VALUE"""),45901.0)</f>
        <v>45901</v>
      </c>
      <c r="I340" s="115" t="str">
        <f>IFERROR(__xludf.DUMMYFUNCTION("""COMPUTED_VALUE"""),"19")</f>
        <v>19</v>
      </c>
      <c r="J340" s="115" t="str">
        <f>IFERROR(__xludf.DUMMYFUNCTION("""COMPUTED_VALUE"""),"Ashish Ranjan2025-09-0119")</f>
        <v>Ashish Ranjan2025-09-0119</v>
      </c>
      <c r="K340" s="115">
        <f>IFERROR(__xludf.DUMMYFUNCTION("""COMPUTED_VALUE"""),69332.0)</f>
        <v>69332</v>
      </c>
    </row>
    <row r="341">
      <c r="A341" s="115" t="str">
        <f>IFERROR(__xludf.DUMMYFUNCTION("""COMPUTED_VALUE"""),"EAST")</f>
        <v>EAST</v>
      </c>
      <c r="B341" s="115" t="str">
        <f>IFERROR(__xludf.DUMMYFUNCTION("""COMPUTED_VALUE"""),"Girish Chand")</f>
        <v>Girish Chand</v>
      </c>
      <c r="C341" s="115" t="str">
        <f>IFERROR(__xludf.DUMMYFUNCTION("""COMPUTED_VALUE"""),"EXTERNAL")</f>
        <v>EXTERNAL</v>
      </c>
      <c r="D341" s="115">
        <f>IFERROR(__xludf.DUMMYFUNCTION("""COMPUTED_VALUE"""),25590.0)</f>
        <v>25590</v>
      </c>
      <c r="E341" s="115">
        <f>IFERROR(__xludf.DUMMYFUNCTION("""COMPUTED_VALUE"""),2452.0)</f>
        <v>2452</v>
      </c>
      <c r="F341" s="115">
        <f>IFERROR(__xludf.DUMMYFUNCTION("""COMPUTED_VALUE"""),10493.0)</f>
        <v>10493</v>
      </c>
      <c r="G341" s="115">
        <f>IFERROR(__xludf.DUMMYFUNCTION("""COMPUTED_VALUE"""),611.0)</f>
        <v>611</v>
      </c>
      <c r="H341" s="116">
        <f>IFERROR(__xludf.DUMMYFUNCTION("""COMPUTED_VALUE"""),45901.0)</f>
        <v>45901</v>
      </c>
      <c r="I341" s="115" t="str">
        <f>IFERROR(__xludf.DUMMYFUNCTION("""COMPUTED_VALUE"""),"19")</f>
        <v>19</v>
      </c>
      <c r="J341" s="115" t="str">
        <f>IFERROR(__xludf.DUMMYFUNCTION("""COMPUTED_VALUE"""),"Girish Chand2025-09-0119")</f>
        <v>Girish Chand2025-09-0119</v>
      </c>
      <c r="K341" s="115">
        <f>IFERROR(__xludf.DUMMYFUNCTION("""COMPUTED_VALUE"""),28042.0)</f>
        <v>28042</v>
      </c>
    </row>
    <row r="342">
      <c r="A342" s="115" t="str">
        <f>IFERROR(__xludf.DUMMYFUNCTION("""COMPUTED_VALUE"""),"EAST")</f>
        <v>EAST</v>
      </c>
      <c r="B342" s="115" t="str">
        <f>IFERROR(__xludf.DUMMYFUNCTION("""COMPUTED_VALUE"""),"Girish Chand")</f>
        <v>Girish Chand</v>
      </c>
      <c r="C342" s="115" t="str">
        <f>IFERROR(__xludf.DUMMYFUNCTION("""COMPUTED_VALUE"""),"FLIPKART")</f>
        <v>FLIPKART</v>
      </c>
      <c r="D342" s="115">
        <f>IFERROR(__xludf.DUMMYFUNCTION("""COMPUTED_VALUE"""),417005.0)</f>
        <v>417005</v>
      </c>
      <c r="E342" s="115">
        <f>IFERROR(__xludf.DUMMYFUNCTION("""COMPUTED_VALUE"""),38623.0)</f>
        <v>38623</v>
      </c>
      <c r="F342" s="115">
        <f>IFERROR(__xludf.DUMMYFUNCTION("""COMPUTED_VALUE"""),301187.0)</f>
        <v>301187</v>
      </c>
      <c r="G342" s="115">
        <f>IFERROR(__xludf.DUMMYFUNCTION("""COMPUTED_VALUE"""),20715.0)</f>
        <v>20715</v>
      </c>
      <c r="H342" s="116">
        <f>IFERROR(__xludf.DUMMYFUNCTION("""COMPUTED_VALUE"""),45901.0)</f>
        <v>45901</v>
      </c>
      <c r="I342" s="115" t="str">
        <f>IFERROR(__xludf.DUMMYFUNCTION("""COMPUTED_VALUE"""),"19")</f>
        <v>19</v>
      </c>
      <c r="J342" s="115" t="str">
        <f>IFERROR(__xludf.DUMMYFUNCTION("""COMPUTED_VALUE"""),"Girish Chand2025-09-0119")</f>
        <v>Girish Chand2025-09-0119</v>
      </c>
      <c r="K342" s="115">
        <f>IFERROR(__xludf.DUMMYFUNCTION("""COMPUTED_VALUE"""),455628.0)</f>
        <v>455628</v>
      </c>
    </row>
    <row r="343">
      <c r="A343" s="115" t="str">
        <f>IFERROR(__xludf.DUMMYFUNCTION("""COMPUTED_VALUE"""),"EAST")</f>
        <v>EAST</v>
      </c>
      <c r="B343" s="115" t="str">
        <f>IFERROR(__xludf.DUMMYFUNCTION("""COMPUTED_VALUE"""),"Girish Chand")</f>
        <v>Girish Chand</v>
      </c>
      <c r="C343" s="115" t="str">
        <f>IFERROR(__xludf.DUMMYFUNCTION("""COMPUTED_VALUE"""),"MYNTRA")</f>
        <v>MYNTRA</v>
      </c>
      <c r="D343" s="115">
        <f>IFERROR(__xludf.DUMMYFUNCTION("""COMPUTED_VALUE"""),32157.0)</f>
        <v>32157</v>
      </c>
      <c r="E343" s="115">
        <f>IFERROR(__xludf.DUMMYFUNCTION("""COMPUTED_VALUE"""),5946.0)</f>
        <v>5946</v>
      </c>
      <c r="F343" s="115">
        <f>IFERROR(__xludf.DUMMYFUNCTION("""COMPUTED_VALUE"""),24644.0)</f>
        <v>24644</v>
      </c>
      <c r="G343" s="115">
        <f>IFERROR(__xludf.DUMMYFUNCTION("""COMPUTED_VALUE"""),3375.0)</f>
        <v>3375</v>
      </c>
      <c r="H343" s="116">
        <f>IFERROR(__xludf.DUMMYFUNCTION("""COMPUTED_VALUE"""),45901.0)</f>
        <v>45901</v>
      </c>
      <c r="I343" s="115" t="str">
        <f>IFERROR(__xludf.DUMMYFUNCTION("""COMPUTED_VALUE"""),"19")</f>
        <v>19</v>
      </c>
      <c r="J343" s="115" t="str">
        <f>IFERROR(__xludf.DUMMYFUNCTION("""COMPUTED_VALUE"""),"Girish Chand2025-09-0119")</f>
        <v>Girish Chand2025-09-0119</v>
      </c>
      <c r="K343" s="115">
        <f>IFERROR(__xludf.DUMMYFUNCTION("""COMPUTED_VALUE"""),38103.0)</f>
        <v>38103</v>
      </c>
    </row>
    <row r="344">
      <c r="A344" s="115" t="str">
        <f>IFERROR(__xludf.DUMMYFUNCTION("""COMPUTED_VALUE"""),"EAST")</f>
        <v>EAST</v>
      </c>
      <c r="B344" s="115" t="str">
        <f>IFERROR(__xludf.DUMMYFUNCTION("""COMPUTED_VALUE"""),"Parag Kashyap")</f>
        <v>Parag Kashyap</v>
      </c>
      <c r="C344" s="115" t="str">
        <f>IFERROR(__xludf.DUMMYFUNCTION("""COMPUTED_VALUE"""),"EXTERNAL")</f>
        <v>EXTERNAL</v>
      </c>
      <c r="D344" s="115">
        <f>IFERROR(__xludf.DUMMYFUNCTION("""COMPUTED_VALUE"""),23211.0)</f>
        <v>23211</v>
      </c>
      <c r="E344" s="115">
        <f>IFERROR(__xludf.DUMMYFUNCTION("""COMPUTED_VALUE"""),1303.0)</f>
        <v>1303</v>
      </c>
      <c r="F344" s="115">
        <f>IFERROR(__xludf.DUMMYFUNCTION("""COMPUTED_VALUE"""),9375.0)</f>
        <v>9375</v>
      </c>
      <c r="G344" s="115">
        <f>IFERROR(__xludf.DUMMYFUNCTION("""COMPUTED_VALUE"""),267.0)</f>
        <v>267</v>
      </c>
      <c r="H344" s="116">
        <f>IFERROR(__xludf.DUMMYFUNCTION("""COMPUTED_VALUE"""),45901.0)</f>
        <v>45901</v>
      </c>
      <c r="I344" s="115" t="str">
        <f>IFERROR(__xludf.DUMMYFUNCTION("""COMPUTED_VALUE"""),"19")</f>
        <v>19</v>
      </c>
      <c r="J344" s="115" t="str">
        <f>IFERROR(__xludf.DUMMYFUNCTION("""COMPUTED_VALUE"""),"Parag Kashyap2025-09-0119")</f>
        <v>Parag Kashyap2025-09-0119</v>
      </c>
      <c r="K344" s="115">
        <f>IFERROR(__xludf.DUMMYFUNCTION("""COMPUTED_VALUE"""),24514.0)</f>
        <v>24514</v>
      </c>
    </row>
    <row r="345">
      <c r="A345" s="115" t="str">
        <f>IFERROR(__xludf.DUMMYFUNCTION("""COMPUTED_VALUE"""),"EAST")</f>
        <v>EAST</v>
      </c>
      <c r="B345" s="115" t="str">
        <f>IFERROR(__xludf.DUMMYFUNCTION("""COMPUTED_VALUE"""),"Parag Kashyap")</f>
        <v>Parag Kashyap</v>
      </c>
      <c r="C345" s="115" t="str">
        <f>IFERROR(__xludf.DUMMYFUNCTION("""COMPUTED_VALUE"""),"FLIPKART")</f>
        <v>FLIPKART</v>
      </c>
      <c r="D345" s="115">
        <f>IFERROR(__xludf.DUMMYFUNCTION("""COMPUTED_VALUE"""),321550.0)</f>
        <v>321550</v>
      </c>
      <c r="E345" s="115">
        <f>IFERROR(__xludf.DUMMYFUNCTION("""COMPUTED_VALUE"""),18365.0)</f>
        <v>18365</v>
      </c>
      <c r="F345" s="115">
        <f>IFERROR(__xludf.DUMMYFUNCTION("""COMPUTED_VALUE"""),237522.0)</f>
        <v>237522</v>
      </c>
      <c r="G345" s="115">
        <f>IFERROR(__xludf.DUMMYFUNCTION("""COMPUTED_VALUE"""),8607.0)</f>
        <v>8607</v>
      </c>
      <c r="H345" s="116">
        <f>IFERROR(__xludf.DUMMYFUNCTION("""COMPUTED_VALUE"""),45901.0)</f>
        <v>45901</v>
      </c>
      <c r="I345" s="115" t="str">
        <f>IFERROR(__xludf.DUMMYFUNCTION("""COMPUTED_VALUE"""),"19")</f>
        <v>19</v>
      </c>
      <c r="J345" s="115" t="str">
        <f>IFERROR(__xludf.DUMMYFUNCTION("""COMPUTED_VALUE"""),"Parag Kashyap2025-09-0119")</f>
        <v>Parag Kashyap2025-09-0119</v>
      </c>
      <c r="K345" s="115">
        <f>IFERROR(__xludf.DUMMYFUNCTION("""COMPUTED_VALUE"""),339915.0)</f>
        <v>339915</v>
      </c>
    </row>
    <row r="346">
      <c r="A346" s="115" t="str">
        <f>IFERROR(__xludf.DUMMYFUNCTION("""COMPUTED_VALUE"""),"EAST")</f>
        <v>EAST</v>
      </c>
      <c r="B346" s="115" t="str">
        <f>IFERROR(__xludf.DUMMYFUNCTION("""COMPUTED_VALUE"""),"Parag Kashyap")</f>
        <v>Parag Kashyap</v>
      </c>
      <c r="C346" s="115" t="str">
        <f>IFERROR(__xludf.DUMMYFUNCTION("""COMPUTED_VALUE"""),"MYNTRA")</f>
        <v>MYNTRA</v>
      </c>
      <c r="D346" s="115">
        <f>IFERROR(__xludf.DUMMYFUNCTION("""COMPUTED_VALUE"""),36498.0)</f>
        <v>36498</v>
      </c>
      <c r="E346" s="115">
        <f>IFERROR(__xludf.DUMMYFUNCTION("""COMPUTED_VALUE"""),4782.0)</f>
        <v>4782</v>
      </c>
      <c r="F346" s="115">
        <f>IFERROR(__xludf.DUMMYFUNCTION("""COMPUTED_VALUE"""),27934.0)</f>
        <v>27934</v>
      </c>
      <c r="G346" s="115">
        <f>IFERROR(__xludf.DUMMYFUNCTION("""COMPUTED_VALUE"""),2150.0)</f>
        <v>2150</v>
      </c>
      <c r="H346" s="116">
        <f>IFERROR(__xludf.DUMMYFUNCTION("""COMPUTED_VALUE"""),45901.0)</f>
        <v>45901</v>
      </c>
      <c r="I346" s="115" t="str">
        <f>IFERROR(__xludf.DUMMYFUNCTION("""COMPUTED_VALUE"""),"19")</f>
        <v>19</v>
      </c>
      <c r="J346" s="115" t="str">
        <f>IFERROR(__xludf.DUMMYFUNCTION("""COMPUTED_VALUE"""),"Parag Kashyap2025-09-0119")</f>
        <v>Parag Kashyap2025-09-0119</v>
      </c>
      <c r="K346" s="115">
        <f>IFERROR(__xludf.DUMMYFUNCTION("""COMPUTED_VALUE"""),41280.0)</f>
        <v>41280</v>
      </c>
    </row>
    <row r="347">
      <c r="A347" s="115" t="str">
        <f>IFERROR(__xludf.DUMMYFUNCTION("""COMPUTED_VALUE"""),"NORTH")</f>
        <v>NORTH</v>
      </c>
      <c r="B347" s="115" t="str">
        <f>IFERROR(__xludf.DUMMYFUNCTION("""COMPUTED_VALUE"""),"Amit Kumar Pathak")</f>
        <v>Amit Kumar Pathak</v>
      </c>
      <c r="C347" s="115" t="str">
        <f>IFERROR(__xludf.DUMMYFUNCTION("""COMPUTED_VALUE"""),"EXTERNAL")</f>
        <v>EXTERNAL</v>
      </c>
      <c r="D347" s="115">
        <f>IFERROR(__xludf.DUMMYFUNCTION("""COMPUTED_VALUE"""),28995.0)</f>
        <v>28995</v>
      </c>
      <c r="E347" s="115">
        <f>IFERROR(__xludf.DUMMYFUNCTION("""COMPUTED_VALUE"""),2431.0)</f>
        <v>2431</v>
      </c>
      <c r="F347" s="115">
        <f>IFERROR(__xludf.DUMMYFUNCTION("""COMPUTED_VALUE"""),8493.0)</f>
        <v>8493</v>
      </c>
      <c r="G347" s="115">
        <f>IFERROR(__xludf.DUMMYFUNCTION("""COMPUTED_VALUE"""),725.0)</f>
        <v>725</v>
      </c>
      <c r="H347" s="116">
        <f>IFERROR(__xludf.DUMMYFUNCTION("""COMPUTED_VALUE"""),45901.0)</f>
        <v>45901</v>
      </c>
      <c r="I347" s="115" t="str">
        <f>IFERROR(__xludf.DUMMYFUNCTION("""COMPUTED_VALUE"""),"19")</f>
        <v>19</v>
      </c>
      <c r="J347" s="115" t="str">
        <f>IFERROR(__xludf.DUMMYFUNCTION("""COMPUTED_VALUE"""),"Amit Kumar Pathak2025-09-0119")</f>
        <v>Amit Kumar Pathak2025-09-0119</v>
      </c>
      <c r="K347" s="115">
        <f>IFERROR(__xludf.DUMMYFUNCTION("""COMPUTED_VALUE"""),31426.0)</f>
        <v>31426</v>
      </c>
    </row>
    <row r="348">
      <c r="A348" s="115" t="str">
        <f>IFERROR(__xludf.DUMMYFUNCTION("""COMPUTED_VALUE"""),"NORTH")</f>
        <v>NORTH</v>
      </c>
      <c r="B348" s="115" t="str">
        <f>IFERROR(__xludf.DUMMYFUNCTION("""COMPUTED_VALUE"""),"Amit Kumar Pathak")</f>
        <v>Amit Kumar Pathak</v>
      </c>
      <c r="C348" s="115" t="str">
        <f>IFERROR(__xludf.DUMMYFUNCTION("""COMPUTED_VALUE"""),"FLIPKART")</f>
        <v>FLIPKART</v>
      </c>
      <c r="D348" s="115">
        <f>IFERROR(__xludf.DUMMYFUNCTION("""COMPUTED_VALUE"""),192601.0)</f>
        <v>192601</v>
      </c>
      <c r="E348" s="115">
        <f>IFERROR(__xludf.DUMMYFUNCTION("""COMPUTED_VALUE"""),22733.0)</f>
        <v>22733</v>
      </c>
      <c r="F348" s="115">
        <f>IFERROR(__xludf.DUMMYFUNCTION("""COMPUTED_VALUE"""),112673.0)</f>
        <v>112673</v>
      </c>
      <c r="G348" s="115">
        <f>IFERROR(__xludf.DUMMYFUNCTION("""COMPUTED_VALUE"""),10294.0)</f>
        <v>10294</v>
      </c>
      <c r="H348" s="116">
        <f>IFERROR(__xludf.DUMMYFUNCTION("""COMPUTED_VALUE"""),45901.0)</f>
        <v>45901</v>
      </c>
      <c r="I348" s="115" t="str">
        <f>IFERROR(__xludf.DUMMYFUNCTION("""COMPUTED_VALUE"""),"19")</f>
        <v>19</v>
      </c>
      <c r="J348" s="115" t="str">
        <f>IFERROR(__xludf.DUMMYFUNCTION("""COMPUTED_VALUE"""),"Amit Kumar Pathak2025-09-0119")</f>
        <v>Amit Kumar Pathak2025-09-0119</v>
      </c>
      <c r="K348" s="115">
        <f>IFERROR(__xludf.DUMMYFUNCTION("""COMPUTED_VALUE"""),215334.0)</f>
        <v>215334</v>
      </c>
    </row>
    <row r="349">
      <c r="A349" s="115" t="str">
        <f>IFERROR(__xludf.DUMMYFUNCTION("""COMPUTED_VALUE"""),"NORTH")</f>
        <v>NORTH</v>
      </c>
      <c r="B349" s="115" t="str">
        <f>IFERROR(__xludf.DUMMYFUNCTION("""COMPUTED_VALUE"""),"Amit Kumar Pathak")</f>
        <v>Amit Kumar Pathak</v>
      </c>
      <c r="C349" s="115" t="str">
        <f>IFERROR(__xludf.DUMMYFUNCTION("""COMPUTED_VALUE"""),"MYNTRA")</f>
        <v>MYNTRA</v>
      </c>
      <c r="D349" s="115">
        <f>IFERROR(__xludf.DUMMYFUNCTION("""COMPUTED_VALUE"""),16007.0)</f>
        <v>16007</v>
      </c>
      <c r="E349" s="115">
        <f>IFERROR(__xludf.DUMMYFUNCTION("""COMPUTED_VALUE"""),5241.0)</f>
        <v>5241</v>
      </c>
      <c r="F349" s="115">
        <f>IFERROR(__xludf.DUMMYFUNCTION("""COMPUTED_VALUE"""),10984.0)</f>
        <v>10984</v>
      </c>
      <c r="G349" s="115">
        <f>IFERROR(__xludf.DUMMYFUNCTION("""COMPUTED_VALUE"""),2574.0)</f>
        <v>2574</v>
      </c>
      <c r="H349" s="116">
        <f>IFERROR(__xludf.DUMMYFUNCTION("""COMPUTED_VALUE"""),45901.0)</f>
        <v>45901</v>
      </c>
      <c r="I349" s="115" t="str">
        <f>IFERROR(__xludf.DUMMYFUNCTION("""COMPUTED_VALUE"""),"19")</f>
        <v>19</v>
      </c>
      <c r="J349" s="115" t="str">
        <f>IFERROR(__xludf.DUMMYFUNCTION("""COMPUTED_VALUE"""),"Amit Kumar Pathak2025-09-0119")</f>
        <v>Amit Kumar Pathak2025-09-0119</v>
      </c>
      <c r="K349" s="115">
        <f>IFERROR(__xludf.DUMMYFUNCTION("""COMPUTED_VALUE"""),21248.0)</f>
        <v>21248</v>
      </c>
    </row>
    <row r="350">
      <c r="A350" s="115" t="str">
        <f>IFERROR(__xludf.DUMMYFUNCTION("""COMPUTED_VALUE"""),"NORTH")</f>
        <v>NORTH</v>
      </c>
      <c r="B350" s="115" t="str">
        <f>IFERROR(__xludf.DUMMYFUNCTION("""COMPUTED_VALUE"""),"Loveleen Singh")</f>
        <v>Loveleen Singh</v>
      </c>
      <c r="C350" s="115" t="str">
        <f>IFERROR(__xludf.DUMMYFUNCTION("""COMPUTED_VALUE"""),"EXTERNAL")</f>
        <v>EXTERNAL</v>
      </c>
      <c r="D350" s="115">
        <f>IFERROR(__xludf.DUMMYFUNCTION("""COMPUTED_VALUE"""),29979.0)</f>
        <v>29979</v>
      </c>
      <c r="E350" s="115">
        <f>IFERROR(__xludf.DUMMYFUNCTION("""COMPUTED_VALUE"""),2215.0)</f>
        <v>2215</v>
      </c>
      <c r="F350" s="115">
        <f>IFERROR(__xludf.DUMMYFUNCTION("""COMPUTED_VALUE"""),10049.0)</f>
        <v>10049</v>
      </c>
      <c r="G350" s="115">
        <f>IFERROR(__xludf.DUMMYFUNCTION("""COMPUTED_VALUE"""),385.0)</f>
        <v>385</v>
      </c>
      <c r="H350" s="116">
        <f>IFERROR(__xludf.DUMMYFUNCTION("""COMPUTED_VALUE"""),45901.0)</f>
        <v>45901</v>
      </c>
      <c r="I350" s="115" t="str">
        <f>IFERROR(__xludf.DUMMYFUNCTION("""COMPUTED_VALUE"""),"19")</f>
        <v>19</v>
      </c>
      <c r="J350" s="115" t="str">
        <f>IFERROR(__xludf.DUMMYFUNCTION("""COMPUTED_VALUE"""),"Loveleen Singh2025-09-0119")</f>
        <v>Loveleen Singh2025-09-0119</v>
      </c>
      <c r="K350" s="115">
        <f>IFERROR(__xludf.DUMMYFUNCTION("""COMPUTED_VALUE"""),32194.0)</f>
        <v>32194</v>
      </c>
    </row>
    <row r="351">
      <c r="A351" s="115" t="str">
        <f>IFERROR(__xludf.DUMMYFUNCTION("""COMPUTED_VALUE"""),"NORTH")</f>
        <v>NORTH</v>
      </c>
      <c r="B351" s="115" t="str">
        <f>IFERROR(__xludf.DUMMYFUNCTION("""COMPUTED_VALUE"""),"Loveleen Singh")</f>
        <v>Loveleen Singh</v>
      </c>
      <c r="C351" s="115" t="str">
        <f>IFERROR(__xludf.DUMMYFUNCTION("""COMPUTED_VALUE"""),"FLIPKART")</f>
        <v>FLIPKART</v>
      </c>
      <c r="D351" s="115">
        <f>IFERROR(__xludf.DUMMYFUNCTION("""COMPUTED_VALUE"""),147104.0)</f>
        <v>147104</v>
      </c>
      <c r="E351" s="115">
        <f>IFERROR(__xludf.DUMMYFUNCTION("""COMPUTED_VALUE"""),14087.0)</f>
        <v>14087</v>
      </c>
      <c r="F351" s="115">
        <f>IFERROR(__xludf.DUMMYFUNCTION("""COMPUTED_VALUE"""),94058.0)</f>
        <v>94058</v>
      </c>
      <c r="G351" s="115">
        <f>IFERROR(__xludf.DUMMYFUNCTION("""COMPUTED_VALUE"""),5957.0)</f>
        <v>5957</v>
      </c>
      <c r="H351" s="116">
        <f>IFERROR(__xludf.DUMMYFUNCTION("""COMPUTED_VALUE"""),45901.0)</f>
        <v>45901</v>
      </c>
      <c r="I351" s="115" t="str">
        <f>IFERROR(__xludf.DUMMYFUNCTION("""COMPUTED_VALUE"""),"19")</f>
        <v>19</v>
      </c>
      <c r="J351" s="115" t="str">
        <f>IFERROR(__xludf.DUMMYFUNCTION("""COMPUTED_VALUE"""),"Loveleen Singh2025-09-0119")</f>
        <v>Loveleen Singh2025-09-0119</v>
      </c>
      <c r="K351" s="115">
        <f>IFERROR(__xludf.DUMMYFUNCTION("""COMPUTED_VALUE"""),161191.0)</f>
        <v>161191</v>
      </c>
    </row>
    <row r="352">
      <c r="A352" s="115" t="str">
        <f>IFERROR(__xludf.DUMMYFUNCTION("""COMPUTED_VALUE"""),"NORTH")</f>
        <v>NORTH</v>
      </c>
      <c r="B352" s="115" t="str">
        <f>IFERROR(__xludf.DUMMYFUNCTION("""COMPUTED_VALUE"""),"Loveleen Singh")</f>
        <v>Loveleen Singh</v>
      </c>
      <c r="C352" s="115" t="str">
        <f>IFERROR(__xludf.DUMMYFUNCTION("""COMPUTED_VALUE"""),"MYNTRA")</f>
        <v>MYNTRA</v>
      </c>
      <c r="D352" s="115">
        <f>IFERROR(__xludf.DUMMYFUNCTION("""COMPUTED_VALUE"""),19361.0)</f>
        <v>19361</v>
      </c>
      <c r="E352" s="115">
        <f>IFERROR(__xludf.DUMMYFUNCTION("""COMPUTED_VALUE"""),5114.0)</f>
        <v>5114</v>
      </c>
      <c r="F352" s="115">
        <f>IFERROR(__xludf.DUMMYFUNCTION("""COMPUTED_VALUE"""),14192.0)</f>
        <v>14192</v>
      </c>
      <c r="G352" s="115">
        <f>IFERROR(__xludf.DUMMYFUNCTION("""COMPUTED_VALUE"""),2364.0)</f>
        <v>2364</v>
      </c>
      <c r="H352" s="116">
        <f>IFERROR(__xludf.DUMMYFUNCTION("""COMPUTED_VALUE"""),45901.0)</f>
        <v>45901</v>
      </c>
      <c r="I352" s="115" t="str">
        <f>IFERROR(__xludf.DUMMYFUNCTION("""COMPUTED_VALUE"""),"19")</f>
        <v>19</v>
      </c>
      <c r="J352" s="115" t="str">
        <f>IFERROR(__xludf.DUMMYFUNCTION("""COMPUTED_VALUE"""),"Loveleen Singh2025-09-0119")</f>
        <v>Loveleen Singh2025-09-0119</v>
      </c>
      <c r="K352" s="115">
        <f>IFERROR(__xludf.DUMMYFUNCTION("""COMPUTED_VALUE"""),24475.0)</f>
        <v>24475</v>
      </c>
    </row>
    <row r="353">
      <c r="A353" s="115" t="str">
        <f>IFERROR(__xludf.DUMMYFUNCTION("""COMPUTED_VALUE"""),"NORTH")</f>
        <v>NORTH</v>
      </c>
      <c r="B353" s="115" t="str">
        <f>IFERROR(__xludf.DUMMYFUNCTION("""COMPUTED_VALUE"""),"Manoj Harsh")</f>
        <v>Manoj Harsh</v>
      </c>
      <c r="C353" s="115" t="str">
        <f>IFERROR(__xludf.DUMMYFUNCTION("""COMPUTED_VALUE"""),"EXTERNAL")</f>
        <v>EXTERNAL</v>
      </c>
      <c r="D353" s="115">
        <f>IFERROR(__xludf.DUMMYFUNCTION("""COMPUTED_VALUE"""),33691.0)</f>
        <v>33691</v>
      </c>
      <c r="E353" s="115">
        <f>IFERROR(__xludf.DUMMYFUNCTION("""COMPUTED_VALUE"""),3210.0)</f>
        <v>3210</v>
      </c>
      <c r="F353" s="115">
        <f>IFERROR(__xludf.DUMMYFUNCTION("""COMPUTED_VALUE"""),12996.0)</f>
        <v>12996</v>
      </c>
      <c r="G353" s="115">
        <f>IFERROR(__xludf.DUMMYFUNCTION("""COMPUTED_VALUE"""),826.0)</f>
        <v>826</v>
      </c>
      <c r="H353" s="116">
        <f>IFERROR(__xludf.DUMMYFUNCTION("""COMPUTED_VALUE"""),45901.0)</f>
        <v>45901</v>
      </c>
      <c r="I353" s="115" t="str">
        <f>IFERROR(__xludf.DUMMYFUNCTION("""COMPUTED_VALUE"""),"19")</f>
        <v>19</v>
      </c>
      <c r="J353" s="115" t="str">
        <f>IFERROR(__xludf.DUMMYFUNCTION("""COMPUTED_VALUE"""),"Manoj Harsh2025-09-0119")</f>
        <v>Manoj Harsh2025-09-0119</v>
      </c>
      <c r="K353" s="115">
        <f>IFERROR(__xludf.DUMMYFUNCTION("""COMPUTED_VALUE"""),36901.0)</f>
        <v>36901</v>
      </c>
    </row>
    <row r="354">
      <c r="A354" s="115" t="str">
        <f>IFERROR(__xludf.DUMMYFUNCTION("""COMPUTED_VALUE"""),"NORTH")</f>
        <v>NORTH</v>
      </c>
      <c r="B354" s="115" t="str">
        <f>IFERROR(__xludf.DUMMYFUNCTION("""COMPUTED_VALUE"""),"Manoj Harsh")</f>
        <v>Manoj Harsh</v>
      </c>
      <c r="C354" s="115" t="str">
        <f>IFERROR(__xludf.DUMMYFUNCTION("""COMPUTED_VALUE"""),"FLIPKART")</f>
        <v>FLIPKART</v>
      </c>
      <c r="D354" s="115">
        <f>IFERROR(__xludf.DUMMYFUNCTION("""COMPUTED_VALUE"""),385802.0)</f>
        <v>385802</v>
      </c>
      <c r="E354" s="115">
        <f>IFERROR(__xludf.DUMMYFUNCTION("""COMPUTED_VALUE"""),39291.0)</f>
        <v>39291</v>
      </c>
      <c r="F354" s="115">
        <f>IFERROR(__xludf.DUMMYFUNCTION("""COMPUTED_VALUE"""),268178.0)</f>
        <v>268178</v>
      </c>
      <c r="G354" s="115">
        <f>IFERROR(__xludf.DUMMYFUNCTION("""COMPUTED_VALUE"""),19177.0)</f>
        <v>19177</v>
      </c>
      <c r="H354" s="116">
        <f>IFERROR(__xludf.DUMMYFUNCTION("""COMPUTED_VALUE"""),45901.0)</f>
        <v>45901</v>
      </c>
      <c r="I354" s="115" t="str">
        <f>IFERROR(__xludf.DUMMYFUNCTION("""COMPUTED_VALUE"""),"19")</f>
        <v>19</v>
      </c>
      <c r="J354" s="115" t="str">
        <f>IFERROR(__xludf.DUMMYFUNCTION("""COMPUTED_VALUE"""),"Manoj Harsh2025-09-0119")</f>
        <v>Manoj Harsh2025-09-0119</v>
      </c>
      <c r="K354" s="115">
        <f>IFERROR(__xludf.DUMMYFUNCTION("""COMPUTED_VALUE"""),425093.0)</f>
        <v>425093</v>
      </c>
    </row>
    <row r="355">
      <c r="A355" s="115" t="str">
        <f>IFERROR(__xludf.DUMMYFUNCTION("""COMPUTED_VALUE"""),"NORTH")</f>
        <v>NORTH</v>
      </c>
      <c r="B355" s="115" t="str">
        <f>IFERROR(__xludf.DUMMYFUNCTION("""COMPUTED_VALUE"""),"Manoj Harsh")</f>
        <v>Manoj Harsh</v>
      </c>
      <c r="C355" s="115" t="str">
        <f>IFERROR(__xludf.DUMMYFUNCTION("""COMPUTED_VALUE"""),"MYNTRA")</f>
        <v>MYNTRA</v>
      </c>
      <c r="D355" s="115">
        <f>IFERROR(__xludf.DUMMYFUNCTION("""COMPUTED_VALUE"""),33331.0)</f>
        <v>33331</v>
      </c>
      <c r="E355" s="115">
        <f>IFERROR(__xludf.DUMMYFUNCTION("""COMPUTED_VALUE"""),6408.0)</f>
        <v>6408</v>
      </c>
      <c r="F355" s="115">
        <f>IFERROR(__xludf.DUMMYFUNCTION("""COMPUTED_VALUE"""),25252.0)</f>
        <v>25252</v>
      </c>
      <c r="G355" s="115">
        <f>IFERROR(__xludf.DUMMYFUNCTION("""COMPUTED_VALUE"""),3320.0)</f>
        <v>3320</v>
      </c>
      <c r="H355" s="116">
        <f>IFERROR(__xludf.DUMMYFUNCTION("""COMPUTED_VALUE"""),45901.0)</f>
        <v>45901</v>
      </c>
      <c r="I355" s="115" t="str">
        <f>IFERROR(__xludf.DUMMYFUNCTION("""COMPUTED_VALUE"""),"19")</f>
        <v>19</v>
      </c>
      <c r="J355" s="115" t="str">
        <f>IFERROR(__xludf.DUMMYFUNCTION("""COMPUTED_VALUE"""),"Manoj Harsh2025-09-0119")</f>
        <v>Manoj Harsh2025-09-0119</v>
      </c>
      <c r="K355" s="115">
        <f>IFERROR(__xludf.DUMMYFUNCTION("""COMPUTED_VALUE"""),39739.0)</f>
        <v>39739</v>
      </c>
    </row>
    <row r="356">
      <c r="A356" s="115" t="str">
        <f>IFERROR(__xludf.DUMMYFUNCTION("""COMPUTED_VALUE"""),"NORTH")</f>
        <v>NORTH</v>
      </c>
      <c r="B356" s="115" t="str">
        <f>IFERROR(__xludf.DUMMYFUNCTION("""COMPUTED_VALUE"""),"Pradeep Kothari")</f>
        <v>Pradeep Kothari</v>
      </c>
      <c r="C356" s="115" t="str">
        <f>IFERROR(__xludf.DUMMYFUNCTION("""COMPUTED_VALUE"""),"EXTERNAL")</f>
        <v>EXTERNAL</v>
      </c>
      <c r="D356" s="115">
        <f>IFERROR(__xludf.DUMMYFUNCTION("""COMPUTED_VALUE"""),19389.0)</f>
        <v>19389</v>
      </c>
      <c r="E356" s="115">
        <f>IFERROR(__xludf.DUMMYFUNCTION("""COMPUTED_VALUE"""),2018.0)</f>
        <v>2018</v>
      </c>
      <c r="F356" s="115">
        <f>IFERROR(__xludf.DUMMYFUNCTION("""COMPUTED_VALUE"""),7222.0)</f>
        <v>7222</v>
      </c>
      <c r="G356" s="115">
        <f>IFERROR(__xludf.DUMMYFUNCTION("""COMPUTED_VALUE"""),597.0)</f>
        <v>597</v>
      </c>
      <c r="H356" s="116">
        <f>IFERROR(__xludf.DUMMYFUNCTION("""COMPUTED_VALUE"""),45901.0)</f>
        <v>45901</v>
      </c>
      <c r="I356" s="115" t="str">
        <f>IFERROR(__xludf.DUMMYFUNCTION("""COMPUTED_VALUE"""),"19")</f>
        <v>19</v>
      </c>
      <c r="J356" s="115" t="str">
        <f>IFERROR(__xludf.DUMMYFUNCTION("""COMPUTED_VALUE"""),"Pradeep Kothari2025-09-0119")</f>
        <v>Pradeep Kothari2025-09-0119</v>
      </c>
      <c r="K356" s="115">
        <f>IFERROR(__xludf.DUMMYFUNCTION("""COMPUTED_VALUE"""),21407.0)</f>
        <v>21407</v>
      </c>
    </row>
    <row r="357">
      <c r="A357" s="115" t="str">
        <f>IFERROR(__xludf.DUMMYFUNCTION("""COMPUTED_VALUE"""),"NORTH")</f>
        <v>NORTH</v>
      </c>
      <c r="B357" s="115" t="str">
        <f>IFERROR(__xludf.DUMMYFUNCTION("""COMPUTED_VALUE"""),"Pradeep Kothari")</f>
        <v>Pradeep Kothari</v>
      </c>
      <c r="C357" s="115" t="str">
        <f>IFERROR(__xludf.DUMMYFUNCTION("""COMPUTED_VALUE"""),"FLIPKART")</f>
        <v>FLIPKART</v>
      </c>
      <c r="D357" s="115">
        <f>IFERROR(__xludf.DUMMYFUNCTION("""COMPUTED_VALUE"""),136547.0)</f>
        <v>136547</v>
      </c>
      <c r="E357" s="115">
        <f>IFERROR(__xludf.DUMMYFUNCTION("""COMPUTED_VALUE"""),16397.0)</f>
        <v>16397</v>
      </c>
      <c r="F357" s="115">
        <f>IFERROR(__xludf.DUMMYFUNCTION("""COMPUTED_VALUE"""),97219.0)</f>
        <v>97219</v>
      </c>
      <c r="G357" s="115">
        <f>IFERROR(__xludf.DUMMYFUNCTION("""COMPUTED_VALUE"""),9109.0)</f>
        <v>9109</v>
      </c>
      <c r="H357" s="116">
        <f>IFERROR(__xludf.DUMMYFUNCTION("""COMPUTED_VALUE"""),45901.0)</f>
        <v>45901</v>
      </c>
      <c r="I357" s="115" t="str">
        <f>IFERROR(__xludf.DUMMYFUNCTION("""COMPUTED_VALUE"""),"19")</f>
        <v>19</v>
      </c>
      <c r="J357" s="115" t="str">
        <f>IFERROR(__xludf.DUMMYFUNCTION("""COMPUTED_VALUE"""),"Pradeep Kothari2025-09-0119")</f>
        <v>Pradeep Kothari2025-09-0119</v>
      </c>
      <c r="K357" s="115">
        <f>IFERROR(__xludf.DUMMYFUNCTION("""COMPUTED_VALUE"""),152944.0)</f>
        <v>152944</v>
      </c>
    </row>
    <row r="358">
      <c r="A358" s="115" t="str">
        <f>IFERROR(__xludf.DUMMYFUNCTION("""COMPUTED_VALUE"""),"NORTH")</f>
        <v>NORTH</v>
      </c>
      <c r="B358" s="115" t="str">
        <f>IFERROR(__xludf.DUMMYFUNCTION("""COMPUTED_VALUE"""),"Pradeep Kothari")</f>
        <v>Pradeep Kothari</v>
      </c>
      <c r="C358" s="115" t="str">
        <f>IFERROR(__xludf.DUMMYFUNCTION("""COMPUTED_VALUE"""),"MYNTRA")</f>
        <v>MYNTRA</v>
      </c>
      <c r="D358" s="115">
        <f>IFERROR(__xludf.DUMMYFUNCTION("""COMPUTED_VALUE"""),23223.0)</f>
        <v>23223</v>
      </c>
      <c r="E358" s="115">
        <f>IFERROR(__xludf.DUMMYFUNCTION("""COMPUTED_VALUE"""),5683.0)</f>
        <v>5683</v>
      </c>
      <c r="F358" s="115">
        <f>IFERROR(__xludf.DUMMYFUNCTION("""COMPUTED_VALUE"""),18809.0)</f>
        <v>18809</v>
      </c>
      <c r="G358" s="115">
        <f>IFERROR(__xludf.DUMMYFUNCTION("""COMPUTED_VALUE"""),3594.0)</f>
        <v>3594</v>
      </c>
      <c r="H358" s="116">
        <f>IFERROR(__xludf.DUMMYFUNCTION("""COMPUTED_VALUE"""),45901.0)</f>
        <v>45901</v>
      </c>
      <c r="I358" s="115" t="str">
        <f>IFERROR(__xludf.DUMMYFUNCTION("""COMPUTED_VALUE"""),"19")</f>
        <v>19</v>
      </c>
      <c r="J358" s="115" t="str">
        <f>IFERROR(__xludf.DUMMYFUNCTION("""COMPUTED_VALUE"""),"Pradeep Kothari2025-09-0119")</f>
        <v>Pradeep Kothari2025-09-0119</v>
      </c>
      <c r="K358" s="115">
        <f>IFERROR(__xludf.DUMMYFUNCTION("""COMPUTED_VALUE"""),28906.0)</f>
        <v>28906</v>
      </c>
    </row>
    <row r="359">
      <c r="A359" s="115" t="str">
        <f>IFERROR(__xludf.DUMMYFUNCTION("""COMPUTED_VALUE"""),"SOUTH")</f>
        <v>SOUTH</v>
      </c>
      <c r="B359" s="115" t="str">
        <f>IFERROR(__xludf.DUMMYFUNCTION("""COMPUTED_VALUE"""),"Kandula Sampath")</f>
        <v>Kandula Sampath</v>
      </c>
      <c r="C359" s="115" t="str">
        <f>IFERROR(__xludf.DUMMYFUNCTION("""COMPUTED_VALUE"""),"EXTERNAL")</f>
        <v>EXTERNAL</v>
      </c>
      <c r="D359" s="115">
        <f>IFERROR(__xludf.DUMMYFUNCTION("""COMPUTED_VALUE"""),40477.0)</f>
        <v>40477</v>
      </c>
      <c r="E359" s="115">
        <f>IFERROR(__xludf.DUMMYFUNCTION("""COMPUTED_VALUE"""),4217.0)</f>
        <v>4217</v>
      </c>
      <c r="F359" s="115">
        <f>IFERROR(__xludf.DUMMYFUNCTION("""COMPUTED_VALUE"""),16101.0)</f>
        <v>16101</v>
      </c>
      <c r="G359" s="115">
        <f>IFERROR(__xludf.DUMMYFUNCTION("""COMPUTED_VALUE"""),1108.0)</f>
        <v>1108</v>
      </c>
      <c r="H359" s="116">
        <f>IFERROR(__xludf.DUMMYFUNCTION("""COMPUTED_VALUE"""),45901.0)</f>
        <v>45901</v>
      </c>
      <c r="I359" s="115" t="str">
        <f>IFERROR(__xludf.DUMMYFUNCTION("""COMPUTED_VALUE"""),"19")</f>
        <v>19</v>
      </c>
      <c r="J359" s="115" t="str">
        <f>IFERROR(__xludf.DUMMYFUNCTION("""COMPUTED_VALUE"""),"Kandula Sampath2025-09-0119")</f>
        <v>Kandula Sampath2025-09-0119</v>
      </c>
      <c r="K359" s="115">
        <f>IFERROR(__xludf.DUMMYFUNCTION("""COMPUTED_VALUE"""),44694.0)</f>
        <v>44694</v>
      </c>
    </row>
    <row r="360">
      <c r="A360" s="115" t="str">
        <f>IFERROR(__xludf.DUMMYFUNCTION("""COMPUTED_VALUE"""),"SOUTH")</f>
        <v>SOUTH</v>
      </c>
      <c r="B360" s="115" t="str">
        <f>IFERROR(__xludf.DUMMYFUNCTION("""COMPUTED_VALUE"""),"Kandula Sampath")</f>
        <v>Kandula Sampath</v>
      </c>
      <c r="C360" s="115" t="str">
        <f>IFERROR(__xludf.DUMMYFUNCTION("""COMPUTED_VALUE"""),"FLIPKART")</f>
        <v>FLIPKART</v>
      </c>
      <c r="D360" s="115">
        <f>IFERROR(__xludf.DUMMYFUNCTION("""COMPUTED_VALUE"""),337340.0)</f>
        <v>337340</v>
      </c>
      <c r="E360" s="115">
        <f>IFERROR(__xludf.DUMMYFUNCTION("""COMPUTED_VALUE"""),32126.0)</f>
        <v>32126</v>
      </c>
      <c r="F360" s="115">
        <f>IFERROR(__xludf.DUMMYFUNCTION("""COMPUTED_VALUE"""),236805.0)</f>
        <v>236805</v>
      </c>
      <c r="G360" s="115">
        <f>IFERROR(__xludf.DUMMYFUNCTION("""COMPUTED_VALUE"""),14823.0)</f>
        <v>14823</v>
      </c>
      <c r="H360" s="116">
        <f>IFERROR(__xludf.DUMMYFUNCTION("""COMPUTED_VALUE"""),45901.0)</f>
        <v>45901</v>
      </c>
      <c r="I360" s="115" t="str">
        <f>IFERROR(__xludf.DUMMYFUNCTION("""COMPUTED_VALUE"""),"19")</f>
        <v>19</v>
      </c>
      <c r="J360" s="115" t="str">
        <f>IFERROR(__xludf.DUMMYFUNCTION("""COMPUTED_VALUE"""),"Kandula Sampath2025-09-0119")</f>
        <v>Kandula Sampath2025-09-0119</v>
      </c>
      <c r="K360" s="115">
        <f>IFERROR(__xludf.DUMMYFUNCTION("""COMPUTED_VALUE"""),369466.0)</f>
        <v>369466</v>
      </c>
    </row>
    <row r="361">
      <c r="A361" s="115" t="str">
        <f>IFERROR(__xludf.DUMMYFUNCTION("""COMPUTED_VALUE"""),"SOUTH")</f>
        <v>SOUTH</v>
      </c>
      <c r="B361" s="115" t="str">
        <f>IFERROR(__xludf.DUMMYFUNCTION("""COMPUTED_VALUE"""),"Kandula Sampath")</f>
        <v>Kandula Sampath</v>
      </c>
      <c r="C361" s="115" t="str">
        <f>IFERROR(__xludf.DUMMYFUNCTION("""COMPUTED_VALUE"""),"MYNTRA")</f>
        <v>MYNTRA</v>
      </c>
      <c r="D361" s="115">
        <f>IFERROR(__xludf.DUMMYFUNCTION("""COMPUTED_VALUE"""),35180.0)</f>
        <v>35180</v>
      </c>
      <c r="E361" s="115">
        <f>IFERROR(__xludf.DUMMYFUNCTION("""COMPUTED_VALUE"""),7581.0)</f>
        <v>7581</v>
      </c>
      <c r="F361" s="115">
        <f>IFERROR(__xludf.DUMMYFUNCTION("""COMPUTED_VALUE"""),27361.0)</f>
        <v>27361</v>
      </c>
      <c r="G361" s="115">
        <f>IFERROR(__xludf.DUMMYFUNCTION("""COMPUTED_VALUE"""),3558.0)</f>
        <v>3558</v>
      </c>
      <c r="H361" s="116">
        <f>IFERROR(__xludf.DUMMYFUNCTION("""COMPUTED_VALUE"""),45901.0)</f>
        <v>45901</v>
      </c>
      <c r="I361" s="115" t="str">
        <f>IFERROR(__xludf.DUMMYFUNCTION("""COMPUTED_VALUE"""),"19")</f>
        <v>19</v>
      </c>
      <c r="J361" s="115" t="str">
        <f>IFERROR(__xludf.DUMMYFUNCTION("""COMPUTED_VALUE"""),"Kandula Sampath2025-09-0119")</f>
        <v>Kandula Sampath2025-09-0119</v>
      </c>
      <c r="K361" s="115">
        <f>IFERROR(__xludf.DUMMYFUNCTION("""COMPUTED_VALUE"""),42761.0)</f>
        <v>42761</v>
      </c>
    </row>
    <row r="362">
      <c r="A362" s="115" t="str">
        <f>IFERROR(__xludf.DUMMYFUNCTION("""COMPUTED_VALUE"""),"SOUTH")</f>
        <v>SOUTH</v>
      </c>
      <c r="B362" s="115" t="str">
        <f>IFERROR(__xludf.DUMMYFUNCTION("""COMPUTED_VALUE"""),"Martin A")</f>
        <v>Martin A</v>
      </c>
      <c r="C362" s="115" t="str">
        <f>IFERROR(__xludf.DUMMYFUNCTION("""COMPUTED_VALUE"""),"EXTERNAL")</f>
        <v>EXTERNAL</v>
      </c>
      <c r="D362" s="115">
        <f>IFERROR(__xludf.DUMMYFUNCTION("""COMPUTED_VALUE"""),40226.0)</f>
        <v>40226</v>
      </c>
      <c r="E362" s="115">
        <f>IFERROR(__xludf.DUMMYFUNCTION("""COMPUTED_VALUE"""),2647.0)</f>
        <v>2647</v>
      </c>
      <c r="F362" s="115">
        <f>IFERROR(__xludf.DUMMYFUNCTION("""COMPUTED_VALUE"""),15698.0)</f>
        <v>15698</v>
      </c>
      <c r="G362" s="115">
        <f>IFERROR(__xludf.DUMMYFUNCTION("""COMPUTED_VALUE"""),895.0)</f>
        <v>895</v>
      </c>
      <c r="H362" s="116">
        <f>IFERROR(__xludf.DUMMYFUNCTION("""COMPUTED_VALUE"""),45901.0)</f>
        <v>45901</v>
      </c>
      <c r="I362" s="115" t="str">
        <f>IFERROR(__xludf.DUMMYFUNCTION("""COMPUTED_VALUE"""),"19")</f>
        <v>19</v>
      </c>
      <c r="J362" s="115" t="str">
        <f>IFERROR(__xludf.DUMMYFUNCTION("""COMPUTED_VALUE"""),"Martin A2025-09-0119")</f>
        <v>Martin A2025-09-0119</v>
      </c>
      <c r="K362" s="115">
        <f>IFERROR(__xludf.DUMMYFUNCTION("""COMPUTED_VALUE"""),42873.0)</f>
        <v>42873</v>
      </c>
    </row>
    <row r="363">
      <c r="A363" s="115" t="str">
        <f>IFERROR(__xludf.DUMMYFUNCTION("""COMPUTED_VALUE"""),"SOUTH")</f>
        <v>SOUTH</v>
      </c>
      <c r="B363" s="115" t="str">
        <f>IFERROR(__xludf.DUMMYFUNCTION("""COMPUTED_VALUE"""),"Martin A")</f>
        <v>Martin A</v>
      </c>
      <c r="C363" s="115" t="str">
        <f>IFERROR(__xludf.DUMMYFUNCTION("""COMPUTED_VALUE"""),"FLIPKART")</f>
        <v>FLIPKART</v>
      </c>
      <c r="D363" s="115">
        <f>IFERROR(__xludf.DUMMYFUNCTION("""COMPUTED_VALUE"""),308496.0)</f>
        <v>308496</v>
      </c>
      <c r="E363" s="115">
        <f>IFERROR(__xludf.DUMMYFUNCTION("""COMPUTED_VALUE"""),28316.0)</f>
        <v>28316</v>
      </c>
      <c r="F363" s="115">
        <f>IFERROR(__xludf.DUMMYFUNCTION("""COMPUTED_VALUE"""),210428.0)</f>
        <v>210428</v>
      </c>
      <c r="G363" s="115">
        <f>IFERROR(__xludf.DUMMYFUNCTION("""COMPUTED_VALUE"""),14014.0)</f>
        <v>14014</v>
      </c>
      <c r="H363" s="116">
        <f>IFERROR(__xludf.DUMMYFUNCTION("""COMPUTED_VALUE"""),45901.0)</f>
        <v>45901</v>
      </c>
      <c r="I363" s="115" t="str">
        <f>IFERROR(__xludf.DUMMYFUNCTION("""COMPUTED_VALUE"""),"19")</f>
        <v>19</v>
      </c>
      <c r="J363" s="115" t="str">
        <f>IFERROR(__xludf.DUMMYFUNCTION("""COMPUTED_VALUE"""),"Martin A2025-09-0119")</f>
        <v>Martin A2025-09-0119</v>
      </c>
      <c r="K363" s="115">
        <f>IFERROR(__xludf.DUMMYFUNCTION("""COMPUTED_VALUE"""),336812.0)</f>
        <v>336812</v>
      </c>
    </row>
    <row r="364">
      <c r="A364" s="115" t="str">
        <f>IFERROR(__xludf.DUMMYFUNCTION("""COMPUTED_VALUE"""),"SOUTH")</f>
        <v>SOUTH</v>
      </c>
      <c r="B364" s="115" t="str">
        <f>IFERROR(__xludf.DUMMYFUNCTION("""COMPUTED_VALUE"""),"Martin A")</f>
        <v>Martin A</v>
      </c>
      <c r="C364" s="115" t="str">
        <f>IFERROR(__xludf.DUMMYFUNCTION("""COMPUTED_VALUE"""),"MYNTRA")</f>
        <v>MYNTRA</v>
      </c>
      <c r="D364" s="115">
        <f>IFERROR(__xludf.DUMMYFUNCTION("""COMPUTED_VALUE"""),27897.0)</f>
        <v>27897</v>
      </c>
      <c r="E364" s="115">
        <f>IFERROR(__xludf.DUMMYFUNCTION("""COMPUTED_VALUE"""),6574.0)</f>
        <v>6574</v>
      </c>
      <c r="F364" s="115">
        <f>IFERROR(__xludf.DUMMYFUNCTION("""COMPUTED_VALUE"""),21865.0)</f>
        <v>21865</v>
      </c>
      <c r="G364" s="115">
        <f>IFERROR(__xludf.DUMMYFUNCTION("""COMPUTED_VALUE"""),3478.0)</f>
        <v>3478</v>
      </c>
      <c r="H364" s="116">
        <f>IFERROR(__xludf.DUMMYFUNCTION("""COMPUTED_VALUE"""),45901.0)</f>
        <v>45901</v>
      </c>
      <c r="I364" s="115" t="str">
        <f>IFERROR(__xludf.DUMMYFUNCTION("""COMPUTED_VALUE"""),"19")</f>
        <v>19</v>
      </c>
      <c r="J364" s="115" t="str">
        <f>IFERROR(__xludf.DUMMYFUNCTION("""COMPUTED_VALUE"""),"Martin A2025-09-0119")</f>
        <v>Martin A2025-09-0119</v>
      </c>
      <c r="K364" s="115">
        <f>IFERROR(__xludf.DUMMYFUNCTION("""COMPUTED_VALUE"""),34471.0)</f>
        <v>34471</v>
      </c>
    </row>
    <row r="365">
      <c r="A365" s="115" t="str">
        <f>IFERROR(__xludf.DUMMYFUNCTION("""COMPUTED_VALUE"""),"SOUTH")</f>
        <v>SOUTH</v>
      </c>
      <c r="B365" s="115" t="str">
        <f>IFERROR(__xludf.DUMMYFUNCTION("""COMPUTED_VALUE"""),"Premkumar M")</f>
        <v>Premkumar M</v>
      </c>
      <c r="C365" s="115" t="str">
        <f>IFERROR(__xludf.DUMMYFUNCTION("""COMPUTED_VALUE"""),"EXTERNAL")</f>
        <v>EXTERNAL</v>
      </c>
      <c r="D365" s="115">
        <f>IFERROR(__xludf.DUMMYFUNCTION("""COMPUTED_VALUE"""),33722.0)</f>
        <v>33722</v>
      </c>
      <c r="E365" s="115">
        <f>IFERROR(__xludf.DUMMYFUNCTION("""COMPUTED_VALUE"""),2125.0)</f>
        <v>2125</v>
      </c>
      <c r="F365" s="115">
        <f>IFERROR(__xludf.DUMMYFUNCTION("""COMPUTED_VALUE"""),15284.0)</f>
        <v>15284</v>
      </c>
      <c r="G365" s="115">
        <f>IFERROR(__xludf.DUMMYFUNCTION("""COMPUTED_VALUE"""),423.0)</f>
        <v>423</v>
      </c>
      <c r="H365" s="116">
        <f>IFERROR(__xludf.DUMMYFUNCTION("""COMPUTED_VALUE"""),45901.0)</f>
        <v>45901</v>
      </c>
      <c r="I365" s="115" t="str">
        <f>IFERROR(__xludf.DUMMYFUNCTION("""COMPUTED_VALUE"""),"19")</f>
        <v>19</v>
      </c>
      <c r="J365" s="115" t="str">
        <f>IFERROR(__xludf.DUMMYFUNCTION("""COMPUTED_VALUE"""),"Premkumar M2025-09-0119")</f>
        <v>Premkumar M2025-09-0119</v>
      </c>
      <c r="K365" s="115">
        <f>IFERROR(__xludf.DUMMYFUNCTION("""COMPUTED_VALUE"""),35847.0)</f>
        <v>35847</v>
      </c>
    </row>
    <row r="366">
      <c r="A366" s="115" t="str">
        <f>IFERROR(__xludf.DUMMYFUNCTION("""COMPUTED_VALUE"""),"SOUTH")</f>
        <v>SOUTH</v>
      </c>
      <c r="B366" s="115" t="str">
        <f>IFERROR(__xludf.DUMMYFUNCTION("""COMPUTED_VALUE"""),"Premkumar M")</f>
        <v>Premkumar M</v>
      </c>
      <c r="C366" s="115" t="str">
        <f>IFERROR(__xludf.DUMMYFUNCTION("""COMPUTED_VALUE"""),"FLIPKART")</f>
        <v>FLIPKART</v>
      </c>
      <c r="D366" s="115">
        <f>IFERROR(__xludf.DUMMYFUNCTION("""COMPUTED_VALUE"""),291256.0)</f>
        <v>291256</v>
      </c>
      <c r="E366" s="115">
        <f>IFERROR(__xludf.DUMMYFUNCTION("""COMPUTED_VALUE"""),20857.0)</f>
        <v>20857</v>
      </c>
      <c r="F366" s="115">
        <f>IFERROR(__xludf.DUMMYFUNCTION("""COMPUTED_VALUE"""),206171.0)</f>
        <v>206171</v>
      </c>
      <c r="G366" s="115">
        <f>IFERROR(__xludf.DUMMYFUNCTION("""COMPUTED_VALUE"""),6745.0)</f>
        <v>6745</v>
      </c>
      <c r="H366" s="116">
        <f>IFERROR(__xludf.DUMMYFUNCTION("""COMPUTED_VALUE"""),45901.0)</f>
        <v>45901</v>
      </c>
      <c r="I366" s="115" t="str">
        <f>IFERROR(__xludf.DUMMYFUNCTION("""COMPUTED_VALUE"""),"19")</f>
        <v>19</v>
      </c>
      <c r="J366" s="115" t="str">
        <f>IFERROR(__xludf.DUMMYFUNCTION("""COMPUTED_VALUE"""),"Premkumar M2025-09-0119")</f>
        <v>Premkumar M2025-09-0119</v>
      </c>
      <c r="K366" s="115">
        <f>IFERROR(__xludf.DUMMYFUNCTION("""COMPUTED_VALUE"""),312113.0)</f>
        <v>312113</v>
      </c>
    </row>
    <row r="367">
      <c r="A367" s="115" t="str">
        <f>IFERROR(__xludf.DUMMYFUNCTION("""COMPUTED_VALUE"""),"SOUTH")</f>
        <v>SOUTH</v>
      </c>
      <c r="B367" s="115" t="str">
        <f>IFERROR(__xludf.DUMMYFUNCTION("""COMPUTED_VALUE"""),"Premkumar M")</f>
        <v>Premkumar M</v>
      </c>
      <c r="C367" s="115" t="str">
        <f>IFERROR(__xludf.DUMMYFUNCTION("""COMPUTED_VALUE"""),"MYNTRA")</f>
        <v>MYNTRA</v>
      </c>
      <c r="D367" s="115">
        <f>IFERROR(__xludf.DUMMYFUNCTION("""COMPUTED_VALUE"""),15352.0)</f>
        <v>15352</v>
      </c>
      <c r="E367" s="115">
        <f>IFERROR(__xludf.DUMMYFUNCTION("""COMPUTED_VALUE"""),2993.0)</f>
        <v>2993</v>
      </c>
      <c r="F367" s="115">
        <f>IFERROR(__xludf.DUMMYFUNCTION("""COMPUTED_VALUE"""),12160.0)</f>
        <v>12160</v>
      </c>
      <c r="G367" s="115">
        <f>IFERROR(__xludf.DUMMYFUNCTION("""COMPUTED_VALUE"""),1078.0)</f>
        <v>1078</v>
      </c>
      <c r="H367" s="116">
        <f>IFERROR(__xludf.DUMMYFUNCTION("""COMPUTED_VALUE"""),45901.0)</f>
        <v>45901</v>
      </c>
      <c r="I367" s="115" t="str">
        <f>IFERROR(__xludf.DUMMYFUNCTION("""COMPUTED_VALUE"""),"19")</f>
        <v>19</v>
      </c>
      <c r="J367" s="115" t="str">
        <f>IFERROR(__xludf.DUMMYFUNCTION("""COMPUTED_VALUE"""),"Premkumar M2025-09-0119")</f>
        <v>Premkumar M2025-09-0119</v>
      </c>
      <c r="K367" s="115">
        <f>IFERROR(__xludf.DUMMYFUNCTION("""COMPUTED_VALUE"""),18345.0)</f>
        <v>18345</v>
      </c>
    </row>
    <row r="368">
      <c r="A368" s="115" t="str">
        <f>IFERROR(__xludf.DUMMYFUNCTION("""COMPUTED_VALUE"""),"SOUTH")</f>
        <v>SOUTH</v>
      </c>
      <c r="B368" s="115" t="str">
        <f>IFERROR(__xludf.DUMMYFUNCTION("""COMPUTED_VALUE"""),"Vineeth V")</f>
        <v>Vineeth V</v>
      </c>
      <c r="C368" s="115" t="str">
        <f>IFERROR(__xludf.DUMMYFUNCTION("""COMPUTED_VALUE"""),"EXTERNAL")</f>
        <v>EXTERNAL</v>
      </c>
      <c r="D368" s="115">
        <f>IFERROR(__xludf.DUMMYFUNCTION("""COMPUTED_VALUE"""),23617.0)</f>
        <v>23617</v>
      </c>
      <c r="E368" s="115">
        <f>IFERROR(__xludf.DUMMYFUNCTION("""COMPUTED_VALUE"""),687.0)</f>
        <v>687</v>
      </c>
      <c r="F368" s="115">
        <f>IFERROR(__xludf.DUMMYFUNCTION("""COMPUTED_VALUE"""),11972.0)</f>
        <v>11972</v>
      </c>
      <c r="G368" s="115">
        <f>IFERROR(__xludf.DUMMYFUNCTION("""COMPUTED_VALUE"""),240.0)</f>
        <v>240</v>
      </c>
      <c r="H368" s="116">
        <f>IFERROR(__xludf.DUMMYFUNCTION("""COMPUTED_VALUE"""),45901.0)</f>
        <v>45901</v>
      </c>
      <c r="I368" s="115" t="str">
        <f>IFERROR(__xludf.DUMMYFUNCTION("""COMPUTED_VALUE"""),"19")</f>
        <v>19</v>
      </c>
      <c r="J368" s="115" t="str">
        <f>IFERROR(__xludf.DUMMYFUNCTION("""COMPUTED_VALUE"""),"Vineeth V2025-09-0119")</f>
        <v>Vineeth V2025-09-0119</v>
      </c>
      <c r="K368" s="115">
        <f>IFERROR(__xludf.DUMMYFUNCTION("""COMPUTED_VALUE"""),24304.0)</f>
        <v>24304</v>
      </c>
    </row>
    <row r="369">
      <c r="A369" s="115" t="str">
        <f>IFERROR(__xludf.DUMMYFUNCTION("""COMPUTED_VALUE"""),"SOUTH")</f>
        <v>SOUTH</v>
      </c>
      <c r="B369" s="115" t="str">
        <f>IFERROR(__xludf.DUMMYFUNCTION("""COMPUTED_VALUE"""),"Vineeth V")</f>
        <v>Vineeth V</v>
      </c>
      <c r="C369" s="115" t="str">
        <f>IFERROR(__xludf.DUMMYFUNCTION("""COMPUTED_VALUE"""),"FLIPKART")</f>
        <v>FLIPKART</v>
      </c>
      <c r="D369" s="115">
        <f>IFERROR(__xludf.DUMMYFUNCTION("""COMPUTED_VALUE"""),259315.0)</f>
        <v>259315</v>
      </c>
      <c r="E369" s="115">
        <f>IFERROR(__xludf.DUMMYFUNCTION("""COMPUTED_VALUE"""),17535.0)</f>
        <v>17535</v>
      </c>
      <c r="F369" s="115">
        <f>IFERROR(__xludf.DUMMYFUNCTION("""COMPUTED_VALUE"""),202218.0)</f>
        <v>202218</v>
      </c>
      <c r="G369" s="115">
        <f>IFERROR(__xludf.DUMMYFUNCTION("""COMPUTED_VALUE"""),6345.0)</f>
        <v>6345</v>
      </c>
      <c r="H369" s="116">
        <f>IFERROR(__xludf.DUMMYFUNCTION("""COMPUTED_VALUE"""),45901.0)</f>
        <v>45901</v>
      </c>
      <c r="I369" s="115" t="str">
        <f>IFERROR(__xludf.DUMMYFUNCTION("""COMPUTED_VALUE"""),"19")</f>
        <v>19</v>
      </c>
      <c r="J369" s="115" t="str">
        <f>IFERROR(__xludf.DUMMYFUNCTION("""COMPUTED_VALUE"""),"Vineeth V2025-09-0119")</f>
        <v>Vineeth V2025-09-0119</v>
      </c>
      <c r="K369" s="115">
        <f>IFERROR(__xludf.DUMMYFUNCTION("""COMPUTED_VALUE"""),276850.0)</f>
        <v>276850</v>
      </c>
    </row>
    <row r="370">
      <c r="A370" s="115" t="str">
        <f>IFERROR(__xludf.DUMMYFUNCTION("""COMPUTED_VALUE"""),"SOUTH")</f>
        <v>SOUTH</v>
      </c>
      <c r="B370" s="115" t="str">
        <f>IFERROR(__xludf.DUMMYFUNCTION("""COMPUTED_VALUE"""),"Vineeth V")</f>
        <v>Vineeth V</v>
      </c>
      <c r="C370" s="115" t="str">
        <f>IFERROR(__xludf.DUMMYFUNCTION("""COMPUTED_VALUE"""),"MYNTRA")</f>
        <v>MYNTRA</v>
      </c>
      <c r="D370" s="115">
        <f>IFERROR(__xludf.DUMMYFUNCTION("""COMPUTED_VALUE"""),22003.0)</f>
        <v>22003</v>
      </c>
      <c r="E370" s="115">
        <f>IFERROR(__xludf.DUMMYFUNCTION("""COMPUTED_VALUE"""),4094.0)</f>
        <v>4094</v>
      </c>
      <c r="F370" s="115">
        <f>IFERROR(__xludf.DUMMYFUNCTION("""COMPUTED_VALUE"""),18268.0)</f>
        <v>18268</v>
      </c>
      <c r="G370" s="115">
        <f>IFERROR(__xludf.DUMMYFUNCTION("""COMPUTED_VALUE"""),1448.0)</f>
        <v>1448</v>
      </c>
      <c r="H370" s="116">
        <f>IFERROR(__xludf.DUMMYFUNCTION("""COMPUTED_VALUE"""),45901.0)</f>
        <v>45901</v>
      </c>
      <c r="I370" s="115" t="str">
        <f>IFERROR(__xludf.DUMMYFUNCTION("""COMPUTED_VALUE"""),"19")</f>
        <v>19</v>
      </c>
      <c r="J370" s="115" t="str">
        <f>IFERROR(__xludf.DUMMYFUNCTION("""COMPUTED_VALUE"""),"Vineeth V2025-09-0119")</f>
        <v>Vineeth V2025-09-0119</v>
      </c>
      <c r="K370" s="115">
        <f>IFERROR(__xludf.DUMMYFUNCTION("""COMPUTED_VALUE"""),26097.0)</f>
        <v>26097</v>
      </c>
    </row>
    <row r="371">
      <c r="A371" s="115" t="str">
        <f>IFERROR(__xludf.DUMMYFUNCTION("""COMPUTED_VALUE"""),"WEST")</f>
        <v>WEST</v>
      </c>
      <c r="B371" s="115" t="str">
        <f>IFERROR(__xludf.DUMMYFUNCTION("""COMPUTED_VALUE"""),"Ashish Jakar")</f>
        <v>Ashish Jakar</v>
      </c>
      <c r="C371" s="115" t="str">
        <f>IFERROR(__xludf.DUMMYFUNCTION("""COMPUTED_VALUE"""),"EXTERNAL")</f>
        <v>EXTERNAL</v>
      </c>
      <c r="D371" s="115">
        <f>IFERROR(__xludf.DUMMYFUNCTION("""COMPUTED_VALUE"""),61251.0)</f>
        <v>61251</v>
      </c>
      <c r="E371" s="115">
        <f>IFERROR(__xludf.DUMMYFUNCTION("""COMPUTED_VALUE"""),6992.0)</f>
        <v>6992</v>
      </c>
      <c r="F371" s="115">
        <f>IFERROR(__xludf.DUMMYFUNCTION("""COMPUTED_VALUE"""),24038.0)</f>
        <v>24038</v>
      </c>
      <c r="G371" s="115">
        <f>IFERROR(__xludf.DUMMYFUNCTION("""COMPUTED_VALUE"""),2015.0)</f>
        <v>2015</v>
      </c>
      <c r="H371" s="116">
        <f>IFERROR(__xludf.DUMMYFUNCTION("""COMPUTED_VALUE"""),45901.0)</f>
        <v>45901</v>
      </c>
      <c r="I371" s="115" t="str">
        <f>IFERROR(__xludf.DUMMYFUNCTION("""COMPUTED_VALUE"""),"19")</f>
        <v>19</v>
      </c>
      <c r="J371" s="115" t="str">
        <f>IFERROR(__xludf.DUMMYFUNCTION("""COMPUTED_VALUE"""),"Ashish Jakar2025-09-0119")</f>
        <v>Ashish Jakar2025-09-0119</v>
      </c>
      <c r="K371" s="115">
        <f>IFERROR(__xludf.DUMMYFUNCTION("""COMPUTED_VALUE"""),68243.0)</f>
        <v>68243</v>
      </c>
    </row>
    <row r="372">
      <c r="A372" s="115" t="str">
        <f>IFERROR(__xludf.DUMMYFUNCTION("""COMPUTED_VALUE"""),"WEST")</f>
        <v>WEST</v>
      </c>
      <c r="B372" s="115" t="str">
        <f>IFERROR(__xludf.DUMMYFUNCTION("""COMPUTED_VALUE"""),"Ashish Jakar")</f>
        <v>Ashish Jakar</v>
      </c>
      <c r="C372" s="115" t="str">
        <f>IFERROR(__xludf.DUMMYFUNCTION("""COMPUTED_VALUE"""),"FLIPKART")</f>
        <v>FLIPKART</v>
      </c>
      <c r="D372" s="115">
        <f>IFERROR(__xludf.DUMMYFUNCTION("""COMPUTED_VALUE"""),328519.0)</f>
        <v>328519</v>
      </c>
      <c r="E372" s="115">
        <f>IFERROR(__xludf.DUMMYFUNCTION("""COMPUTED_VALUE"""),34870.0)</f>
        <v>34870</v>
      </c>
      <c r="F372" s="115">
        <f>IFERROR(__xludf.DUMMYFUNCTION("""COMPUTED_VALUE"""),228840.0)</f>
        <v>228840</v>
      </c>
      <c r="G372" s="115">
        <f>IFERROR(__xludf.DUMMYFUNCTION("""COMPUTED_VALUE"""),16641.0)</f>
        <v>16641</v>
      </c>
      <c r="H372" s="116">
        <f>IFERROR(__xludf.DUMMYFUNCTION("""COMPUTED_VALUE"""),45901.0)</f>
        <v>45901</v>
      </c>
      <c r="I372" s="115" t="str">
        <f>IFERROR(__xludf.DUMMYFUNCTION("""COMPUTED_VALUE"""),"19")</f>
        <v>19</v>
      </c>
      <c r="J372" s="115" t="str">
        <f>IFERROR(__xludf.DUMMYFUNCTION("""COMPUTED_VALUE"""),"Ashish Jakar2025-09-0119")</f>
        <v>Ashish Jakar2025-09-0119</v>
      </c>
      <c r="K372" s="115">
        <f>IFERROR(__xludf.DUMMYFUNCTION("""COMPUTED_VALUE"""),363389.0)</f>
        <v>363389</v>
      </c>
    </row>
    <row r="373">
      <c r="A373" s="115" t="str">
        <f>IFERROR(__xludf.DUMMYFUNCTION("""COMPUTED_VALUE"""),"WEST")</f>
        <v>WEST</v>
      </c>
      <c r="B373" s="115" t="str">
        <f>IFERROR(__xludf.DUMMYFUNCTION("""COMPUTED_VALUE"""),"Ashish Jakar")</f>
        <v>Ashish Jakar</v>
      </c>
      <c r="C373" s="115" t="str">
        <f>IFERROR(__xludf.DUMMYFUNCTION("""COMPUTED_VALUE"""),"MYNTRA")</f>
        <v>MYNTRA</v>
      </c>
      <c r="D373" s="115">
        <f>IFERROR(__xludf.DUMMYFUNCTION("""COMPUTED_VALUE"""),42729.0)</f>
        <v>42729</v>
      </c>
      <c r="E373" s="115">
        <f>IFERROR(__xludf.DUMMYFUNCTION("""COMPUTED_VALUE"""),10602.0)</f>
        <v>10602</v>
      </c>
      <c r="F373" s="115">
        <f>IFERROR(__xludf.DUMMYFUNCTION("""COMPUTED_VALUE"""),34043.0)</f>
        <v>34043</v>
      </c>
      <c r="G373" s="115">
        <f>IFERROR(__xludf.DUMMYFUNCTION("""COMPUTED_VALUE"""),5400.0)</f>
        <v>5400</v>
      </c>
      <c r="H373" s="116">
        <f>IFERROR(__xludf.DUMMYFUNCTION("""COMPUTED_VALUE"""),45901.0)</f>
        <v>45901</v>
      </c>
      <c r="I373" s="115" t="str">
        <f>IFERROR(__xludf.DUMMYFUNCTION("""COMPUTED_VALUE"""),"19")</f>
        <v>19</v>
      </c>
      <c r="J373" s="115" t="str">
        <f>IFERROR(__xludf.DUMMYFUNCTION("""COMPUTED_VALUE"""),"Ashish Jakar2025-09-0119")</f>
        <v>Ashish Jakar2025-09-0119</v>
      </c>
      <c r="K373" s="115">
        <f>IFERROR(__xludf.DUMMYFUNCTION("""COMPUTED_VALUE"""),53331.0)</f>
        <v>53331</v>
      </c>
    </row>
    <row r="374">
      <c r="A374" s="115" t="str">
        <f>IFERROR(__xludf.DUMMYFUNCTION("""COMPUTED_VALUE"""),"WEST")</f>
        <v>WEST</v>
      </c>
      <c r="B374" s="115" t="str">
        <f>IFERROR(__xludf.DUMMYFUNCTION("""COMPUTED_VALUE"""),"Ashvani Bhatt")</f>
        <v>Ashvani Bhatt</v>
      </c>
      <c r="C374" s="115" t="str">
        <f>IFERROR(__xludf.DUMMYFUNCTION("""COMPUTED_VALUE"""),"EXTERNAL")</f>
        <v>EXTERNAL</v>
      </c>
      <c r="D374" s="115">
        <f>IFERROR(__xludf.DUMMYFUNCTION("""COMPUTED_VALUE"""),39962.0)</f>
        <v>39962</v>
      </c>
      <c r="E374" s="115">
        <f>IFERROR(__xludf.DUMMYFUNCTION("""COMPUTED_VALUE"""),4129.0)</f>
        <v>4129</v>
      </c>
      <c r="F374" s="115">
        <f>IFERROR(__xludf.DUMMYFUNCTION("""COMPUTED_VALUE"""),16303.0)</f>
        <v>16303</v>
      </c>
      <c r="G374" s="115">
        <f>IFERROR(__xludf.DUMMYFUNCTION("""COMPUTED_VALUE"""),1177.0)</f>
        <v>1177</v>
      </c>
      <c r="H374" s="116">
        <f>IFERROR(__xludf.DUMMYFUNCTION("""COMPUTED_VALUE"""),45901.0)</f>
        <v>45901</v>
      </c>
      <c r="I374" s="115" t="str">
        <f>IFERROR(__xludf.DUMMYFUNCTION("""COMPUTED_VALUE"""),"19")</f>
        <v>19</v>
      </c>
      <c r="J374" s="115" t="str">
        <f>IFERROR(__xludf.DUMMYFUNCTION("""COMPUTED_VALUE"""),"Ashvani Bhatt2025-09-0119")</f>
        <v>Ashvani Bhatt2025-09-0119</v>
      </c>
      <c r="K374" s="115">
        <f>IFERROR(__xludf.DUMMYFUNCTION("""COMPUTED_VALUE"""),44091.0)</f>
        <v>44091</v>
      </c>
    </row>
    <row r="375">
      <c r="A375" s="115" t="str">
        <f>IFERROR(__xludf.DUMMYFUNCTION("""COMPUTED_VALUE"""),"WEST")</f>
        <v>WEST</v>
      </c>
      <c r="B375" s="115" t="str">
        <f>IFERROR(__xludf.DUMMYFUNCTION("""COMPUTED_VALUE"""),"Ashvani Bhatt")</f>
        <v>Ashvani Bhatt</v>
      </c>
      <c r="C375" s="115" t="str">
        <f>IFERROR(__xludf.DUMMYFUNCTION("""COMPUTED_VALUE"""),"FLIPKART")</f>
        <v>FLIPKART</v>
      </c>
      <c r="D375" s="115">
        <f>IFERROR(__xludf.DUMMYFUNCTION("""COMPUTED_VALUE"""),264290.0)</f>
        <v>264290</v>
      </c>
      <c r="E375" s="115">
        <f>IFERROR(__xludf.DUMMYFUNCTION("""COMPUTED_VALUE"""),30099.0)</f>
        <v>30099</v>
      </c>
      <c r="F375" s="115">
        <f>IFERROR(__xludf.DUMMYFUNCTION("""COMPUTED_VALUE"""),191736.0)</f>
        <v>191736</v>
      </c>
      <c r="G375" s="115">
        <f>IFERROR(__xludf.DUMMYFUNCTION("""COMPUTED_VALUE"""),15854.0)</f>
        <v>15854</v>
      </c>
      <c r="H375" s="116">
        <f>IFERROR(__xludf.DUMMYFUNCTION("""COMPUTED_VALUE"""),45901.0)</f>
        <v>45901</v>
      </c>
      <c r="I375" s="115" t="str">
        <f>IFERROR(__xludf.DUMMYFUNCTION("""COMPUTED_VALUE"""),"19")</f>
        <v>19</v>
      </c>
      <c r="J375" s="115" t="str">
        <f>IFERROR(__xludf.DUMMYFUNCTION("""COMPUTED_VALUE"""),"Ashvani Bhatt2025-09-0119")</f>
        <v>Ashvani Bhatt2025-09-0119</v>
      </c>
      <c r="K375" s="115">
        <f>IFERROR(__xludf.DUMMYFUNCTION("""COMPUTED_VALUE"""),294389.0)</f>
        <v>294389</v>
      </c>
    </row>
    <row r="376">
      <c r="A376" s="115" t="str">
        <f>IFERROR(__xludf.DUMMYFUNCTION("""COMPUTED_VALUE"""),"WEST")</f>
        <v>WEST</v>
      </c>
      <c r="B376" s="115" t="str">
        <f>IFERROR(__xludf.DUMMYFUNCTION("""COMPUTED_VALUE"""),"Ashvani Bhatt")</f>
        <v>Ashvani Bhatt</v>
      </c>
      <c r="C376" s="115" t="str">
        <f>IFERROR(__xludf.DUMMYFUNCTION("""COMPUTED_VALUE"""),"MYNTRA")</f>
        <v>MYNTRA</v>
      </c>
      <c r="D376" s="115">
        <f>IFERROR(__xludf.DUMMYFUNCTION("""COMPUTED_VALUE"""),32943.0)</f>
        <v>32943</v>
      </c>
      <c r="E376" s="115">
        <f>IFERROR(__xludf.DUMMYFUNCTION("""COMPUTED_VALUE"""),8198.0)</f>
        <v>8198</v>
      </c>
      <c r="F376" s="115">
        <f>IFERROR(__xludf.DUMMYFUNCTION("""COMPUTED_VALUE"""),27312.0)</f>
        <v>27312</v>
      </c>
      <c r="G376" s="115">
        <f>IFERROR(__xludf.DUMMYFUNCTION("""COMPUTED_VALUE"""),4796.0)</f>
        <v>4796</v>
      </c>
      <c r="H376" s="116">
        <f>IFERROR(__xludf.DUMMYFUNCTION("""COMPUTED_VALUE"""),45901.0)</f>
        <v>45901</v>
      </c>
      <c r="I376" s="115" t="str">
        <f>IFERROR(__xludf.DUMMYFUNCTION("""COMPUTED_VALUE"""),"19")</f>
        <v>19</v>
      </c>
      <c r="J376" s="115" t="str">
        <f>IFERROR(__xludf.DUMMYFUNCTION("""COMPUTED_VALUE"""),"Ashvani Bhatt2025-09-0119")</f>
        <v>Ashvani Bhatt2025-09-0119</v>
      </c>
      <c r="K376" s="115">
        <f>IFERROR(__xludf.DUMMYFUNCTION("""COMPUTED_VALUE"""),41141.0)</f>
        <v>41141</v>
      </c>
    </row>
    <row r="377">
      <c r="A377" s="115"/>
      <c r="B377" s="115"/>
      <c r="C377" s="115" t="str">
        <f>IFERROR(__xludf.DUMMYFUNCTION("""COMPUTED_VALUE"""),"EXTERNAL")</f>
        <v>EXTERNAL</v>
      </c>
      <c r="D377" s="115">
        <f>IFERROR(__xludf.DUMMYFUNCTION("""COMPUTED_VALUE"""),714.0)</f>
        <v>714</v>
      </c>
      <c r="E377" s="115">
        <f>IFERROR(__xludf.DUMMYFUNCTION("""COMPUTED_VALUE"""),76.0)</f>
        <v>76</v>
      </c>
      <c r="F377" s="115">
        <f>IFERROR(__xludf.DUMMYFUNCTION("""COMPUTED_VALUE"""),212.0)</f>
        <v>212</v>
      </c>
      <c r="G377" s="115">
        <f>IFERROR(__xludf.DUMMYFUNCTION("""COMPUTED_VALUE"""),27.0)</f>
        <v>27</v>
      </c>
      <c r="H377" s="116">
        <f>IFERROR(__xludf.DUMMYFUNCTION("""COMPUTED_VALUE"""),45901.0)</f>
        <v>45901</v>
      </c>
      <c r="I377" s="115" t="str">
        <f>IFERROR(__xludf.DUMMYFUNCTION("""COMPUTED_VALUE"""),"19")</f>
        <v>19</v>
      </c>
      <c r="J377" s="115" t="str">
        <f>IFERROR(__xludf.DUMMYFUNCTION("""COMPUTED_VALUE"""),"2025-09-0119")</f>
        <v>2025-09-0119</v>
      </c>
      <c r="K377" s="115">
        <f>IFERROR(__xludf.DUMMYFUNCTION("""COMPUTED_VALUE"""),790.0)</f>
        <v>790</v>
      </c>
    </row>
    <row r="378">
      <c r="A378" s="115"/>
      <c r="B378" s="115"/>
      <c r="C378" s="115" t="str">
        <f>IFERROR(__xludf.DUMMYFUNCTION("""COMPUTED_VALUE"""),"FLIPKART")</f>
        <v>FLIPKART</v>
      </c>
      <c r="D378" s="115">
        <f>IFERROR(__xludf.DUMMYFUNCTION("""COMPUTED_VALUE"""),6751.0)</f>
        <v>6751</v>
      </c>
      <c r="E378" s="115">
        <f>IFERROR(__xludf.DUMMYFUNCTION("""COMPUTED_VALUE"""),537.0)</f>
        <v>537</v>
      </c>
      <c r="F378" s="115">
        <f>IFERROR(__xludf.DUMMYFUNCTION("""COMPUTED_VALUE"""),3960.0)</f>
        <v>3960</v>
      </c>
      <c r="G378" s="115">
        <f>IFERROR(__xludf.DUMMYFUNCTION("""COMPUTED_VALUE"""),242.0)</f>
        <v>242</v>
      </c>
      <c r="H378" s="116">
        <f>IFERROR(__xludf.DUMMYFUNCTION("""COMPUTED_VALUE"""),45901.0)</f>
        <v>45901</v>
      </c>
      <c r="I378" s="115" t="str">
        <f>IFERROR(__xludf.DUMMYFUNCTION("""COMPUTED_VALUE"""),"19")</f>
        <v>19</v>
      </c>
      <c r="J378" s="115" t="str">
        <f>IFERROR(__xludf.DUMMYFUNCTION("""COMPUTED_VALUE"""),"2025-09-0119")</f>
        <v>2025-09-0119</v>
      </c>
      <c r="K378" s="115">
        <f>IFERROR(__xludf.DUMMYFUNCTION("""COMPUTED_VALUE"""),7288.0)</f>
        <v>7288</v>
      </c>
    </row>
    <row r="379">
      <c r="A379" s="115"/>
      <c r="B379" s="115"/>
      <c r="C379" s="115" t="str">
        <f>IFERROR(__xludf.DUMMYFUNCTION("""COMPUTED_VALUE"""),"MYNTRA")</f>
        <v>MYNTRA</v>
      </c>
      <c r="D379" s="115">
        <f>IFERROR(__xludf.DUMMYFUNCTION("""COMPUTED_VALUE"""),520.0)</f>
        <v>520</v>
      </c>
      <c r="E379" s="115">
        <f>IFERROR(__xludf.DUMMYFUNCTION("""COMPUTED_VALUE"""),118.0)</f>
        <v>118</v>
      </c>
      <c r="F379" s="115">
        <f>IFERROR(__xludf.DUMMYFUNCTION("""COMPUTED_VALUE"""),348.0)</f>
        <v>348</v>
      </c>
      <c r="G379" s="115">
        <f>IFERROR(__xludf.DUMMYFUNCTION("""COMPUTED_VALUE"""),44.0)</f>
        <v>44</v>
      </c>
      <c r="H379" s="116">
        <f>IFERROR(__xludf.DUMMYFUNCTION("""COMPUTED_VALUE"""),45901.0)</f>
        <v>45901</v>
      </c>
      <c r="I379" s="115" t="str">
        <f>IFERROR(__xludf.DUMMYFUNCTION("""COMPUTED_VALUE"""),"19")</f>
        <v>19</v>
      </c>
      <c r="J379" s="115" t="str">
        <f>IFERROR(__xludf.DUMMYFUNCTION("""COMPUTED_VALUE"""),"2025-09-0119")</f>
        <v>2025-09-0119</v>
      </c>
      <c r="K379" s="115">
        <f>IFERROR(__xludf.DUMMYFUNCTION("""COMPUTED_VALUE"""),638.0)</f>
        <v>638</v>
      </c>
    </row>
    <row r="380">
      <c r="A380" s="115" t="str">
        <f>IFERROR(__xludf.DUMMYFUNCTION("""COMPUTED_VALUE"""),"EAST")</f>
        <v>EAST</v>
      </c>
      <c r="B380" s="115" t="str">
        <f>IFERROR(__xludf.DUMMYFUNCTION("""COMPUTED_VALUE"""),"Ashish Ranjan")</f>
        <v>Ashish Ranjan</v>
      </c>
      <c r="C380" s="115" t="str">
        <f>IFERROR(__xludf.DUMMYFUNCTION("""COMPUTED_VALUE"""),"EXTERNAL")</f>
        <v>EXTERNAL</v>
      </c>
      <c r="D380" s="115">
        <f>IFERROR(__xludf.DUMMYFUNCTION("""COMPUTED_VALUE"""),41869.0)</f>
        <v>41869</v>
      </c>
      <c r="E380" s="115">
        <f>IFERROR(__xludf.DUMMYFUNCTION("""COMPUTED_VALUE"""),3174.0)</f>
        <v>3174</v>
      </c>
      <c r="F380" s="115">
        <f>IFERROR(__xludf.DUMMYFUNCTION("""COMPUTED_VALUE"""),22179.0)</f>
        <v>22179</v>
      </c>
      <c r="G380" s="115">
        <f>IFERROR(__xludf.DUMMYFUNCTION("""COMPUTED_VALUE"""),1568.0)</f>
        <v>1568</v>
      </c>
      <c r="H380" s="116">
        <f>IFERROR(__xludf.DUMMYFUNCTION("""COMPUTED_VALUE"""),45901.0)</f>
        <v>45901</v>
      </c>
      <c r="I380" s="115" t="str">
        <f>IFERROR(__xludf.DUMMYFUNCTION("""COMPUTED_VALUE"""),"20")</f>
        <v>20</v>
      </c>
      <c r="J380" s="115" t="str">
        <f>IFERROR(__xludf.DUMMYFUNCTION("""COMPUTED_VALUE"""),"Ashish Ranjan2025-09-0120")</f>
        <v>Ashish Ranjan2025-09-0120</v>
      </c>
      <c r="K380" s="115">
        <f>IFERROR(__xludf.DUMMYFUNCTION("""COMPUTED_VALUE"""),45043.0)</f>
        <v>45043</v>
      </c>
    </row>
    <row r="381">
      <c r="A381" s="115" t="str">
        <f>IFERROR(__xludf.DUMMYFUNCTION("""COMPUTED_VALUE"""),"EAST")</f>
        <v>EAST</v>
      </c>
      <c r="B381" s="115" t="str">
        <f>IFERROR(__xludf.DUMMYFUNCTION("""COMPUTED_VALUE"""),"Ashish Ranjan")</f>
        <v>Ashish Ranjan</v>
      </c>
      <c r="C381" s="115" t="str">
        <f>IFERROR(__xludf.DUMMYFUNCTION("""COMPUTED_VALUE"""),"FLIPKART")</f>
        <v>FLIPKART</v>
      </c>
      <c r="D381" s="115">
        <f>IFERROR(__xludf.DUMMYFUNCTION("""COMPUTED_VALUE"""),607157.0)</f>
        <v>607157</v>
      </c>
      <c r="E381" s="115">
        <f>IFERROR(__xludf.DUMMYFUNCTION("""COMPUTED_VALUE"""),63291.0)</f>
        <v>63291</v>
      </c>
      <c r="F381" s="115">
        <f>IFERROR(__xludf.DUMMYFUNCTION("""COMPUTED_VALUE"""),523433.0)</f>
        <v>523433</v>
      </c>
      <c r="G381" s="115">
        <f>IFERROR(__xludf.DUMMYFUNCTION("""COMPUTED_VALUE"""),46352.0)</f>
        <v>46352</v>
      </c>
      <c r="H381" s="116">
        <f>IFERROR(__xludf.DUMMYFUNCTION("""COMPUTED_VALUE"""),45901.0)</f>
        <v>45901</v>
      </c>
      <c r="I381" s="115" t="str">
        <f>IFERROR(__xludf.DUMMYFUNCTION("""COMPUTED_VALUE"""),"20")</f>
        <v>20</v>
      </c>
      <c r="J381" s="115" t="str">
        <f>IFERROR(__xludf.DUMMYFUNCTION("""COMPUTED_VALUE"""),"Ashish Ranjan2025-09-0120")</f>
        <v>Ashish Ranjan2025-09-0120</v>
      </c>
      <c r="K381" s="115">
        <f>IFERROR(__xludf.DUMMYFUNCTION("""COMPUTED_VALUE"""),670448.0)</f>
        <v>670448</v>
      </c>
    </row>
    <row r="382">
      <c r="A382" s="115" t="str">
        <f>IFERROR(__xludf.DUMMYFUNCTION("""COMPUTED_VALUE"""),"EAST")</f>
        <v>EAST</v>
      </c>
      <c r="B382" s="115" t="str">
        <f>IFERROR(__xludf.DUMMYFUNCTION("""COMPUTED_VALUE"""),"Ashish Ranjan")</f>
        <v>Ashish Ranjan</v>
      </c>
      <c r="C382" s="115" t="str">
        <f>IFERROR(__xludf.DUMMYFUNCTION("""COMPUTED_VALUE"""),"MYNTRA")</f>
        <v>MYNTRA</v>
      </c>
      <c r="D382" s="115">
        <f>IFERROR(__xludf.DUMMYFUNCTION("""COMPUTED_VALUE"""),58495.0)</f>
        <v>58495</v>
      </c>
      <c r="E382" s="115">
        <f>IFERROR(__xludf.DUMMYFUNCTION("""COMPUTED_VALUE"""),10917.0)</f>
        <v>10917</v>
      </c>
      <c r="F382" s="115">
        <f>IFERROR(__xludf.DUMMYFUNCTION("""COMPUTED_VALUE"""),51451.0)</f>
        <v>51451</v>
      </c>
      <c r="G382" s="115">
        <f>IFERROR(__xludf.DUMMYFUNCTION("""COMPUTED_VALUE"""),7833.0)</f>
        <v>7833</v>
      </c>
      <c r="H382" s="116">
        <f>IFERROR(__xludf.DUMMYFUNCTION("""COMPUTED_VALUE"""),45901.0)</f>
        <v>45901</v>
      </c>
      <c r="I382" s="115" t="str">
        <f>IFERROR(__xludf.DUMMYFUNCTION("""COMPUTED_VALUE"""),"20")</f>
        <v>20</v>
      </c>
      <c r="J382" s="115" t="str">
        <f>IFERROR(__xludf.DUMMYFUNCTION("""COMPUTED_VALUE"""),"Ashish Ranjan2025-09-0120")</f>
        <v>Ashish Ranjan2025-09-0120</v>
      </c>
      <c r="K382" s="115">
        <f>IFERROR(__xludf.DUMMYFUNCTION("""COMPUTED_VALUE"""),69412.0)</f>
        <v>69412</v>
      </c>
    </row>
    <row r="383">
      <c r="A383" s="115" t="str">
        <f>IFERROR(__xludf.DUMMYFUNCTION("""COMPUTED_VALUE"""),"EAST")</f>
        <v>EAST</v>
      </c>
      <c r="B383" s="115" t="str">
        <f>IFERROR(__xludf.DUMMYFUNCTION("""COMPUTED_VALUE"""),"Girish Chand")</f>
        <v>Girish Chand</v>
      </c>
      <c r="C383" s="115" t="str">
        <f>IFERROR(__xludf.DUMMYFUNCTION("""COMPUTED_VALUE"""),"EXTERNAL")</f>
        <v>EXTERNAL</v>
      </c>
      <c r="D383" s="115">
        <f>IFERROR(__xludf.DUMMYFUNCTION("""COMPUTED_VALUE"""),25599.0)</f>
        <v>25599</v>
      </c>
      <c r="E383" s="115">
        <f>IFERROR(__xludf.DUMMYFUNCTION("""COMPUTED_VALUE"""),2452.0)</f>
        <v>2452</v>
      </c>
      <c r="F383" s="115">
        <f>IFERROR(__xludf.DUMMYFUNCTION("""COMPUTED_VALUE"""),10765.0)</f>
        <v>10765</v>
      </c>
      <c r="G383" s="115">
        <f>IFERROR(__xludf.DUMMYFUNCTION("""COMPUTED_VALUE"""),737.0)</f>
        <v>737</v>
      </c>
      <c r="H383" s="116">
        <f>IFERROR(__xludf.DUMMYFUNCTION("""COMPUTED_VALUE"""),45901.0)</f>
        <v>45901</v>
      </c>
      <c r="I383" s="115" t="str">
        <f>IFERROR(__xludf.DUMMYFUNCTION("""COMPUTED_VALUE"""),"20")</f>
        <v>20</v>
      </c>
      <c r="J383" s="115" t="str">
        <f>IFERROR(__xludf.DUMMYFUNCTION("""COMPUTED_VALUE"""),"Girish Chand2025-09-0120")</f>
        <v>Girish Chand2025-09-0120</v>
      </c>
      <c r="K383" s="115">
        <f>IFERROR(__xludf.DUMMYFUNCTION("""COMPUTED_VALUE"""),28051.0)</f>
        <v>28051</v>
      </c>
    </row>
    <row r="384">
      <c r="A384" s="115" t="str">
        <f>IFERROR(__xludf.DUMMYFUNCTION("""COMPUTED_VALUE"""),"EAST")</f>
        <v>EAST</v>
      </c>
      <c r="B384" s="115" t="str">
        <f>IFERROR(__xludf.DUMMYFUNCTION("""COMPUTED_VALUE"""),"Girish Chand")</f>
        <v>Girish Chand</v>
      </c>
      <c r="C384" s="115" t="str">
        <f>IFERROR(__xludf.DUMMYFUNCTION("""COMPUTED_VALUE"""),"FLIPKART")</f>
        <v>FLIPKART</v>
      </c>
      <c r="D384" s="115">
        <f>IFERROR(__xludf.DUMMYFUNCTION("""COMPUTED_VALUE"""),417144.0)</f>
        <v>417144</v>
      </c>
      <c r="E384" s="115">
        <f>IFERROR(__xludf.DUMMYFUNCTION("""COMPUTED_VALUE"""),38857.0)</f>
        <v>38857</v>
      </c>
      <c r="F384" s="115">
        <f>IFERROR(__xludf.DUMMYFUNCTION("""COMPUTED_VALUE"""),307529.0)</f>
        <v>307529</v>
      </c>
      <c r="G384" s="115">
        <f>IFERROR(__xludf.DUMMYFUNCTION("""COMPUTED_VALUE"""),24682.0)</f>
        <v>24682</v>
      </c>
      <c r="H384" s="116">
        <f>IFERROR(__xludf.DUMMYFUNCTION("""COMPUTED_VALUE"""),45901.0)</f>
        <v>45901</v>
      </c>
      <c r="I384" s="115" t="str">
        <f>IFERROR(__xludf.DUMMYFUNCTION("""COMPUTED_VALUE"""),"20")</f>
        <v>20</v>
      </c>
      <c r="J384" s="115" t="str">
        <f>IFERROR(__xludf.DUMMYFUNCTION("""COMPUTED_VALUE"""),"Girish Chand2025-09-0120")</f>
        <v>Girish Chand2025-09-0120</v>
      </c>
      <c r="K384" s="115">
        <f>IFERROR(__xludf.DUMMYFUNCTION("""COMPUTED_VALUE"""),456001.0)</f>
        <v>456001</v>
      </c>
    </row>
    <row r="385">
      <c r="A385" s="115" t="str">
        <f>IFERROR(__xludf.DUMMYFUNCTION("""COMPUTED_VALUE"""),"EAST")</f>
        <v>EAST</v>
      </c>
      <c r="B385" s="115" t="str">
        <f>IFERROR(__xludf.DUMMYFUNCTION("""COMPUTED_VALUE"""),"Girish Chand")</f>
        <v>Girish Chand</v>
      </c>
      <c r="C385" s="115" t="str">
        <f>IFERROR(__xludf.DUMMYFUNCTION("""COMPUTED_VALUE"""),"MYNTRA")</f>
        <v>MYNTRA</v>
      </c>
      <c r="D385" s="115">
        <f>IFERROR(__xludf.DUMMYFUNCTION("""COMPUTED_VALUE"""),32169.0)</f>
        <v>32169</v>
      </c>
      <c r="E385" s="115">
        <f>IFERROR(__xludf.DUMMYFUNCTION("""COMPUTED_VALUE"""),5979.0)</f>
        <v>5979</v>
      </c>
      <c r="F385" s="115">
        <f>IFERROR(__xludf.DUMMYFUNCTION("""COMPUTED_VALUE"""),25114.0)</f>
        <v>25114</v>
      </c>
      <c r="G385" s="115">
        <f>IFERROR(__xludf.DUMMYFUNCTION("""COMPUTED_VALUE"""),3960.0)</f>
        <v>3960</v>
      </c>
      <c r="H385" s="116">
        <f>IFERROR(__xludf.DUMMYFUNCTION("""COMPUTED_VALUE"""),45901.0)</f>
        <v>45901</v>
      </c>
      <c r="I385" s="115" t="str">
        <f>IFERROR(__xludf.DUMMYFUNCTION("""COMPUTED_VALUE"""),"20")</f>
        <v>20</v>
      </c>
      <c r="J385" s="115" t="str">
        <f>IFERROR(__xludf.DUMMYFUNCTION("""COMPUTED_VALUE"""),"Girish Chand2025-09-0120")</f>
        <v>Girish Chand2025-09-0120</v>
      </c>
      <c r="K385" s="115">
        <f>IFERROR(__xludf.DUMMYFUNCTION("""COMPUTED_VALUE"""),38148.0)</f>
        <v>38148</v>
      </c>
    </row>
    <row r="386">
      <c r="A386" s="115" t="str">
        <f>IFERROR(__xludf.DUMMYFUNCTION("""COMPUTED_VALUE"""),"EAST")</f>
        <v>EAST</v>
      </c>
      <c r="B386" s="115" t="str">
        <f>IFERROR(__xludf.DUMMYFUNCTION("""COMPUTED_VALUE"""),"Parag Kashyap")</f>
        <v>Parag Kashyap</v>
      </c>
      <c r="C386" s="115" t="str">
        <f>IFERROR(__xludf.DUMMYFUNCTION("""COMPUTED_VALUE"""),"EXTERNAL")</f>
        <v>EXTERNAL</v>
      </c>
      <c r="D386" s="115">
        <f>IFERROR(__xludf.DUMMYFUNCTION("""COMPUTED_VALUE"""),23239.0)</f>
        <v>23239</v>
      </c>
      <c r="E386" s="115">
        <f>IFERROR(__xludf.DUMMYFUNCTION("""COMPUTED_VALUE"""),1303.0)</f>
        <v>1303</v>
      </c>
      <c r="F386" s="115">
        <f>IFERROR(__xludf.DUMMYFUNCTION("""COMPUTED_VALUE"""),9766.0)</f>
        <v>9766</v>
      </c>
      <c r="G386" s="115">
        <f>IFERROR(__xludf.DUMMYFUNCTION("""COMPUTED_VALUE"""),366.0)</f>
        <v>366</v>
      </c>
      <c r="H386" s="116">
        <f>IFERROR(__xludf.DUMMYFUNCTION("""COMPUTED_VALUE"""),45901.0)</f>
        <v>45901</v>
      </c>
      <c r="I386" s="115" t="str">
        <f>IFERROR(__xludf.DUMMYFUNCTION("""COMPUTED_VALUE"""),"20")</f>
        <v>20</v>
      </c>
      <c r="J386" s="115" t="str">
        <f>IFERROR(__xludf.DUMMYFUNCTION("""COMPUTED_VALUE"""),"Parag Kashyap2025-09-0120")</f>
        <v>Parag Kashyap2025-09-0120</v>
      </c>
      <c r="K386" s="115">
        <f>IFERROR(__xludf.DUMMYFUNCTION("""COMPUTED_VALUE"""),24542.0)</f>
        <v>24542</v>
      </c>
    </row>
    <row r="387">
      <c r="A387" s="115" t="str">
        <f>IFERROR(__xludf.DUMMYFUNCTION("""COMPUTED_VALUE"""),"EAST")</f>
        <v>EAST</v>
      </c>
      <c r="B387" s="115" t="str">
        <f>IFERROR(__xludf.DUMMYFUNCTION("""COMPUTED_VALUE"""),"Parag Kashyap")</f>
        <v>Parag Kashyap</v>
      </c>
      <c r="C387" s="115" t="str">
        <f>IFERROR(__xludf.DUMMYFUNCTION("""COMPUTED_VALUE"""),"FLIPKART")</f>
        <v>FLIPKART</v>
      </c>
      <c r="D387" s="115">
        <f>IFERROR(__xludf.DUMMYFUNCTION("""COMPUTED_VALUE"""),321677.0)</f>
        <v>321677</v>
      </c>
      <c r="E387" s="115">
        <f>IFERROR(__xludf.DUMMYFUNCTION("""COMPUTED_VALUE"""),18666.0)</f>
        <v>18666</v>
      </c>
      <c r="F387" s="115">
        <f>IFERROR(__xludf.DUMMYFUNCTION("""COMPUTED_VALUE"""),246576.0)</f>
        <v>246576</v>
      </c>
      <c r="G387" s="115">
        <f>IFERROR(__xludf.DUMMYFUNCTION("""COMPUTED_VALUE"""),11239.0)</f>
        <v>11239</v>
      </c>
      <c r="H387" s="116">
        <f>IFERROR(__xludf.DUMMYFUNCTION("""COMPUTED_VALUE"""),45901.0)</f>
        <v>45901</v>
      </c>
      <c r="I387" s="115" t="str">
        <f>IFERROR(__xludf.DUMMYFUNCTION("""COMPUTED_VALUE"""),"20")</f>
        <v>20</v>
      </c>
      <c r="J387" s="115" t="str">
        <f>IFERROR(__xludf.DUMMYFUNCTION("""COMPUTED_VALUE"""),"Parag Kashyap2025-09-0120")</f>
        <v>Parag Kashyap2025-09-0120</v>
      </c>
      <c r="K387" s="115">
        <f>IFERROR(__xludf.DUMMYFUNCTION("""COMPUTED_VALUE"""),340343.0)</f>
        <v>340343</v>
      </c>
    </row>
    <row r="388">
      <c r="A388" s="115" t="str">
        <f>IFERROR(__xludf.DUMMYFUNCTION("""COMPUTED_VALUE"""),"EAST")</f>
        <v>EAST</v>
      </c>
      <c r="B388" s="115" t="str">
        <f>IFERROR(__xludf.DUMMYFUNCTION("""COMPUTED_VALUE"""),"Parag Kashyap")</f>
        <v>Parag Kashyap</v>
      </c>
      <c r="C388" s="115" t="str">
        <f>IFERROR(__xludf.DUMMYFUNCTION("""COMPUTED_VALUE"""),"MYNTRA")</f>
        <v>MYNTRA</v>
      </c>
      <c r="D388" s="115">
        <f>IFERROR(__xludf.DUMMYFUNCTION("""COMPUTED_VALUE"""),36509.0)</f>
        <v>36509</v>
      </c>
      <c r="E388" s="115">
        <f>IFERROR(__xludf.DUMMYFUNCTION("""COMPUTED_VALUE"""),4809.0)</f>
        <v>4809</v>
      </c>
      <c r="F388" s="115">
        <f>IFERROR(__xludf.DUMMYFUNCTION("""COMPUTED_VALUE"""),28799.0)</f>
        <v>28799</v>
      </c>
      <c r="G388" s="115">
        <f>IFERROR(__xludf.DUMMYFUNCTION("""COMPUTED_VALUE"""),2792.0)</f>
        <v>2792</v>
      </c>
      <c r="H388" s="116">
        <f>IFERROR(__xludf.DUMMYFUNCTION("""COMPUTED_VALUE"""),45901.0)</f>
        <v>45901</v>
      </c>
      <c r="I388" s="115" t="str">
        <f>IFERROR(__xludf.DUMMYFUNCTION("""COMPUTED_VALUE"""),"20")</f>
        <v>20</v>
      </c>
      <c r="J388" s="115" t="str">
        <f>IFERROR(__xludf.DUMMYFUNCTION("""COMPUTED_VALUE"""),"Parag Kashyap2025-09-0120")</f>
        <v>Parag Kashyap2025-09-0120</v>
      </c>
      <c r="K388" s="115">
        <f>IFERROR(__xludf.DUMMYFUNCTION("""COMPUTED_VALUE"""),41318.0)</f>
        <v>41318</v>
      </c>
    </row>
    <row r="389">
      <c r="A389" s="115" t="str">
        <f>IFERROR(__xludf.DUMMYFUNCTION("""COMPUTED_VALUE"""),"NORTH")</f>
        <v>NORTH</v>
      </c>
      <c r="B389" s="115" t="str">
        <f>IFERROR(__xludf.DUMMYFUNCTION("""COMPUTED_VALUE"""),"Amit Kumar Pathak")</f>
        <v>Amit Kumar Pathak</v>
      </c>
      <c r="C389" s="115" t="str">
        <f>IFERROR(__xludf.DUMMYFUNCTION("""COMPUTED_VALUE"""),"EXTERNAL")</f>
        <v>EXTERNAL</v>
      </c>
      <c r="D389" s="115">
        <f>IFERROR(__xludf.DUMMYFUNCTION("""COMPUTED_VALUE"""),29032.0)</f>
        <v>29032</v>
      </c>
      <c r="E389" s="115">
        <f>IFERROR(__xludf.DUMMYFUNCTION("""COMPUTED_VALUE"""),2432.0)</f>
        <v>2432</v>
      </c>
      <c r="F389" s="115">
        <f>IFERROR(__xludf.DUMMYFUNCTION("""COMPUTED_VALUE"""),8725.0)</f>
        <v>8725</v>
      </c>
      <c r="G389" s="115">
        <f>IFERROR(__xludf.DUMMYFUNCTION("""COMPUTED_VALUE"""),811.0)</f>
        <v>811</v>
      </c>
      <c r="H389" s="116">
        <f>IFERROR(__xludf.DUMMYFUNCTION("""COMPUTED_VALUE"""),45901.0)</f>
        <v>45901</v>
      </c>
      <c r="I389" s="115" t="str">
        <f>IFERROR(__xludf.DUMMYFUNCTION("""COMPUTED_VALUE"""),"20")</f>
        <v>20</v>
      </c>
      <c r="J389" s="115" t="str">
        <f>IFERROR(__xludf.DUMMYFUNCTION("""COMPUTED_VALUE"""),"Amit Kumar Pathak2025-09-0120")</f>
        <v>Amit Kumar Pathak2025-09-0120</v>
      </c>
      <c r="K389" s="115">
        <f>IFERROR(__xludf.DUMMYFUNCTION("""COMPUTED_VALUE"""),31464.0)</f>
        <v>31464</v>
      </c>
    </row>
    <row r="390">
      <c r="A390" s="115" t="str">
        <f>IFERROR(__xludf.DUMMYFUNCTION("""COMPUTED_VALUE"""),"NORTH")</f>
        <v>NORTH</v>
      </c>
      <c r="B390" s="115" t="str">
        <f>IFERROR(__xludf.DUMMYFUNCTION("""COMPUTED_VALUE"""),"Amit Kumar Pathak")</f>
        <v>Amit Kumar Pathak</v>
      </c>
      <c r="C390" s="115" t="str">
        <f>IFERROR(__xludf.DUMMYFUNCTION("""COMPUTED_VALUE"""),"FLIPKART")</f>
        <v>FLIPKART</v>
      </c>
      <c r="D390" s="115">
        <f>IFERROR(__xludf.DUMMYFUNCTION("""COMPUTED_VALUE"""),192672.0)</f>
        <v>192672</v>
      </c>
      <c r="E390" s="115">
        <f>IFERROR(__xludf.DUMMYFUNCTION("""COMPUTED_VALUE"""),22758.0)</f>
        <v>22758</v>
      </c>
      <c r="F390" s="115">
        <f>IFERROR(__xludf.DUMMYFUNCTION("""COMPUTED_VALUE"""),117095.0)</f>
        <v>117095</v>
      </c>
      <c r="G390" s="115">
        <f>IFERROR(__xludf.DUMMYFUNCTION("""COMPUTED_VALUE"""),11511.0)</f>
        <v>11511</v>
      </c>
      <c r="H390" s="116">
        <f>IFERROR(__xludf.DUMMYFUNCTION("""COMPUTED_VALUE"""),45901.0)</f>
        <v>45901</v>
      </c>
      <c r="I390" s="115" t="str">
        <f>IFERROR(__xludf.DUMMYFUNCTION("""COMPUTED_VALUE"""),"20")</f>
        <v>20</v>
      </c>
      <c r="J390" s="115" t="str">
        <f>IFERROR(__xludf.DUMMYFUNCTION("""COMPUTED_VALUE"""),"Amit Kumar Pathak2025-09-0120")</f>
        <v>Amit Kumar Pathak2025-09-0120</v>
      </c>
      <c r="K390" s="115">
        <f>IFERROR(__xludf.DUMMYFUNCTION("""COMPUTED_VALUE"""),215430.0)</f>
        <v>215430</v>
      </c>
    </row>
    <row r="391">
      <c r="A391" s="115" t="str">
        <f>IFERROR(__xludf.DUMMYFUNCTION("""COMPUTED_VALUE"""),"NORTH")</f>
        <v>NORTH</v>
      </c>
      <c r="B391" s="115" t="str">
        <f>IFERROR(__xludf.DUMMYFUNCTION("""COMPUTED_VALUE"""),"Amit Kumar Pathak")</f>
        <v>Amit Kumar Pathak</v>
      </c>
      <c r="C391" s="115" t="str">
        <f>IFERROR(__xludf.DUMMYFUNCTION("""COMPUTED_VALUE"""),"MYNTRA")</f>
        <v>MYNTRA</v>
      </c>
      <c r="D391" s="115">
        <f>IFERROR(__xludf.DUMMYFUNCTION("""COMPUTED_VALUE"""),16014.0)</f>
        <v>16014</v>
      </c>
      <c r="E391" s="115">
        <f>IFERROR(__xludf.DUMMYFUNCTION("""COMPUTED_VALUE"""),5242.0)</f>
        <v>5242</v>
      </c>
      <c r="F391" s="115">
        <f>IFERROR(__xludf.DUMMYFUNCTION("""COMPUTED_VALUE"""),11319.0)</f>
        <v>11319</v>
      </c>
      <c r="G391" s="115">
        <f>IFERROR(__xludf.DUMMYFUNCTION("""COMPUTED_VALUE"""),2835.0)</f>
        <v>2835</v>
      </c>
      <c r="H391" s="116">
        <f>IFERROR(__xludf.DUMMYFUNCTION("""COMPUTED_VALUE"""),45901.0)</f>
        <v>45901</v>
      </c>
      <c r="I391" s="115" t="str">
        <f>IFERROR(__xludf.DUMMYFUNCTION("""COMPUTED_VALUE"""),"20")</f>
        <v>20</v>
      </c>
      <c r="J391" s="115" t="str">
        <f>IFERROR(__xludf.DUMMYFUNCTION("""COMPUTED_VALUE"""),"Amit Kumar Pathak2025-09-0120")</f>
        <v>Amit Kumar Pathak2025-09-0120</v>
      </c>
      <c r="K391" s="115">
        <f>IFERROR(__xludf.DUMMYFUNCTION("""COMPUTED_VALUE"""),21256.0)</f>
        <v>21256</v>
      </c>
    </row>
    <row r="392">
      <c r="A392" s="115" t="str">
        <f>IFERROR(__xludf.DUMMYFUNCTION("""COMPUTED_VALUE"""),"NORTH")</f>
        <v>NORTH</v>
      </c>
      <c r="B392" s="115" t="str">
        <f>IFERROR(__xludf.DUMMYFUNCTION("""COMPUTED_VALUE"""),"Loveleen Singh")</f>
        <v>Loveleen Singh</v>
      </c>
      <c r="C392" s="115" t="str">
        <f>IFERROR(__xludf.DUMMYFUNCTION("""COMPUTED_VALUE"""),"EXTERNAL")</f>
        <v>EXTERNAL</v>
      </c>
      <c r="D392" s="115">
        <f>IFERROR(__xludf.DUMMYFUNCTION("""COMPUTED_VALUE"""),29986.0)</f>
        <v>29986</v>
      </c>
      <c r="E392" s="115">
        <f>IFERROR(__xludf.DUMMYFUNCTION("""COMPUTED_VALUE"""),2218.0)</f>
        <v>2218</v>
      </c>
      <c r="F392" s="115">
        <f>IFERROR(__xludf.DUMMYFUNCTION("""COMPUTED_VALUE"""),10338.0)</f>
        <v>10338</v>
      </c>
      <c r="G392" s="115">
        <f>IFERROR(__xludf.DUMMYFUNCTION("""COMPUTED_VALUE"""),456.0)</f>
        <v>456</v>
      </c>
      <c r="H392" s="116">
        <f>IFERROR(__xludf.DUMMYFUNCTION("""COMPUTED_VALUE"""),45901.0)</f>
        <v>45901</v>
      </c>
      <c r="I392" s="115" t="str">
        <f>IFERROR(__xludf.DUMMYFUNCTION("""COMPUTED_VALUE"""),"20")</f>
        <v>20</v>
      </c>
      <c r="J392" s="115" t="str">
        <f>IFERROR(__xludf.DUMMYFUNCTION("""COMPUTED_VALUE"""),"Loveleen Singh2025-09-0120")</f>
        <v>Loveleen Singh2025-09-0120</v>
      </c>
      <c r="K392" s="115">
        <f>IFERROR(__xludf.DUMMYFUNCTION("""COMPUTED_VALUE"""),32204.0)</f>
        <v>32204</v>
      </c>
    </row>
    <row r="393">
      <c r="A393" s="115" t="str">
        <f>IFERROR(__xludf.DUMMYFUNCTION("""COMPUTED_VALUE"""),"NORTH")</f>
        <v>NORTH</v>
      </c>
      <c r="B393" s="115" t="str">
        <f>IFERROR(__xludf.DUMMYFUNCTION("""COMPUTED_VALUE"""),"Loveleen Singh")</f>
        <v>Loveleen Singh</v>
      </c>
      <c r="C393" s="115" t="str">
        <f>IFERROR(__xludf.DUMMYFUNCTION("""COMPUTED_VALUE"""),"FLIPKART")</f>
        <v>FLIPKART</v>
      </c>
      <c r="D393" s="115">
        <f>IFERROR(__xludf.DUMMYFUNCTION("""COMPUTED_VALUE"""),147218.0)</f>
        <v>147218</v>
      </c>
      <c r="E393" s="115">
        <f>IFERROR(__xludf.DUMMYFUNCTION("""COMPUTED_VALUE"""),14112.0)</f>
        <v>14112</v>
      </c>
      <c r="F393" s="115">
        <f>IFERROR(__xludf.DUMMYFUNCTION("""COMPUTED_VALUE"""),97038.0)</f>
        <v>97038</v>
      </c>
      <c r="G393" s="115">
        <f>IFERROR(__xludf.DUMMYFUNCTION("""COMPUTED_VALUE"""),6952.0)</f>
        <v>6952</v>
      </c>
      <c r="H393" s="116">
        <f>IFERROR(__xludf.DUMMYFUNCTION("""COMPUTED_VALUE"""),45901.0)</f>
        <v>45901</v>
      </c>
      <c r="I393" s="115" t="str">
        <f>IFERROR(__xludf.DUMMYFUNCTION("""COMPUTED_VALUE"""),"20")</f>
        <v>20</v>
      </c>
      <c r="J393" s="115" t="str">
        <f>IFERROR(__xludf.DUMMYFUNCTION("""COMPUTED_VALUE"""),"Loveleen Singh2025-09-0120")</f>
        <v>Loveleen Singh2025-09-0120</v>
      </c>
      <c r="K393" s="115">
        <f>IFERROR(__xludf.DUMMYFUNCTION("""COMPUTED_VALUE"""),161330.0)</f>
        <v>161330</v>
      </c>
    </row>
    <row r="394">
      <c r="A394" s="115" t="str">
        <f>IFERROR(__xludf.DUMMYFUNCTION("""COMPUTED_VALUE"""),"NORTH")</f>
        <v>NORTH</v>
      </c>
      <c r="B394" s="115" t="str">
        <f>IFERROR(__xludf.DUMMYFUNCTION("""COMPUTED_VALUE"""),"Loveleen Singh")</f>
        <v>Loveleen Singh</v>
      </c>
      <c r="C394" s="115" t="str">
        <f>IFERROR(__xludf.DUMMYFUNCTION("""COMPUTED_VALUE"""),"MYNTRA")</f>
        <v>MYNTRA</v>
      </c>
      <c r="D394" s="115">
        <f>IFERROR(__xludf.DUMMYFUNCTION("""COMPUTED_VALUE"""),19370.0)</f>
        <v>19370</v>
      </c>
      <c r="E394" s="115">
        <f>IFERROR(__xludf.DUMMYFUNCTION("""COMPUTED_VALUE"""),5121.0)</f>
        <v>5121</v>
      </c>
      <c r="F394" s="115">
        <f>IFERROR(__xludf.DUMMYFUNCTION("""COMPUTED_VALUE"""),14535.0)</f>
        <v>14535</v>
      </c>
      <c r="G394" s="115">
        <f>IFERROR(__xludf.DUMMYFUNCTION("""COMPUTED_VALUE"""),2712.0)</f>
        <v>2712</v>
      </c>
      <c r="H394" s="116">
        <f>IFERROR(__xludf.DUMMYFUNCTION("""COMPUTED_VALUE"""),45901.0)</f>
        <v>45901</v>
      </c>
      <c r="I394" s="115" t="str">
        <f>IFERROR(__xludf.DUMMYFUNCTION("""COMPUTED_VALUE"""),"20")</f>
        <v>20</v>
      </c>
      <c r="J394" s="115" t="str">
        <f>IFERROR(__xludf.DUMMYFUNCTION("""COMPUTED_VALUE"""),"Loveleen Singh2025-09-0120")</f>
        <v>Loveleen Singh2025-09-0120</v>
      </c>
      <c r="K394" s="115">
        <f>IFERROR(__xludf.DUMMYFUNCTION("""COMPUTED_VALUE"""),24491.0)</f>
        <v>24491</v>
      </c>
    </row>
    <row r="395">
      <c r="A395" s="115" t="str">
        <f>IFERROR(__xludf.DUMMYFUNCTION("""COMPUTED_VALUE"""),"NORTH")</f>
        <v>NORTH</v>
      </c>
      <c r="B395" s="115" t="str">
        <f>IFERROR(__xludf.DUMMYFUNCTION("""COMPUTED_VALUE"""),"Manoj Harsh")</f>
        <v>Manoj Harsh</v>
      </c>
      <c r="C395" s="115" t="str">
        <f>IFERROR(__xludf.DUMMYFUNCTION("""COMPUTED_VALUE"""),"EXTERNAL")</f>
        <v>EXTERNAL</v>
      </c>
      <c r="D395" s="115">
        <f>IFERROR(__xludf.DUMMYFUNCTION("""COMPUTED_VALUE"""),33722.0)</f>
        <v>33722</v>
      </c>
      <c r="E395" s="115">
        <f>IFERROR(__xludf.DUMMYFUNCTION("""COMPUTED_VALUE"""),3218.0)</f>
        <v>3218</v>
      </c>
      <c r="F395" s="115">
        <f>IFERROR(__xludf.DUMMYFUNCTION("""COMPUTED_VALUE"""),13412.0)</f>
        <v>13412</v>
      </c>
      <c r="G395" s="115">
        <f>IFERROR(__xludf.DUMMYFUNCTION("""COMPUTED_VALUE"""),986.0)</f>
        <v>986</v>
      </c>
      <c r="H395" s="116">
        <f>IFERROR(__xludf.DUMMYFUNCTION("""COMPUTED_VALUE"""),45901.0)</f>
        <v>45901</v>
      </c>
      <c r="I395" s="115" t="str">
        <f>IFERROR(__xludf.DUMMYFUNCTION("""COMPUTED_VALUE"""),"20")</f>
        <v>20</v>
      </c>
      <c r="J395" s="115" t="str">
        <f>IFERROR(__xludf.DUMMYFUNCTION("""COMPUTED_VALUE"""),"Manoj Harsh2025-09-0120")</f>
        <v>Manoj Harsh2025-09-0120</v>
      </c>
      <c r="K395" s="115">
        <f>IFERROR(__xludf.DUMMYFUNCTION("""COMPUTED_VALUE"""),36940.0)</f>
        <v>36940</v>
      </c>
    </row>
    <row r="396">
      <c r="A396" s="115" t="str">
        <f>IFERROR(__xludf.DUMMYFUNCTION("""COMPUTED_VALUE"""),"NORTH")</f>
        <v>NORTH</v>
      </c>
      <c r="B396" s="115" t="str">
        <f>IFERROR(__xludf.DUMMYFUNCTION("""COMPUTED_VALUE"""),"Manoj Harsh")</f>
        <v>Manoj Harsh</v>
      </c>
      <c r="C396" s="115" t="str">
        <f>IFERROR(__xludf.DUMMYFUNCTION("""COMPUTED_VALUE"""),"FLIPKART")</f>
        <v>FLIPKART</v>
      </c>
      <c r="D396" s="115">
        <f>IFERROR(__xludf.DUMMYFUNCTION("""COMPUTED_VALUE"""),385945.0)</f>
        <v>385945</v>
      </c>
      <c r="E396" s="115">
        <f>IFERROR(__xludf.DUMMYFUNCTION("""COMPUTED_VALUE"""),39444.0)</f>
        <v>39444</v>
      </c>
      <c r="F396" s="115">
        <f>IFERROR(__xludf.DUMMYFUNCTION("""COMPUTED_VALUE"""),276573.0)</f>
        <v>276573</v>
      </c>
      <c r="G396" s="115">
        <f>IFERROR(__xludf.DUMMYFUNCTION("""COMPUTED_VALUE"""),22378.0)</f>
        <v>22378</v>
      </c>
      <c r="H396" s="116">
        <f>IFERROR(__xludf.DUMMYFUNCTION("""COMPUTED_VALUE"""),45901.0)</f>
        <v>45901</v>
      </c>
      <c r="I396" s="115" t="str">
        <f>IFERROR(__xludf.DUMMYFUNCTION("""COMPUTED_VALUE"""),"20")</f>
        <v>20</v>
      </c>
      <c r="J396" s="115" t="str">
        <f>IFERROR(__xludf.DUMMYFUNCTION("""COMPUTED_VALUE"""),"Manoj Harsh2025-09-0120")</f>
        <v>Manoj Harsh2025-09-0120</v>
      </c>
      <c r="K396" s="115">
        <f>IFERROR(__xludf.DUMMYFUNCTION("""COMPUTED_VALUE"""),425389.0)</f>
        <v>425389</v>
      </c>
    </row>
    <row r="397">
      <c r="A397" s="115" t="str">
        <f>IFERROR(__xludf.DUMMYFUNCTION("""COMPUTED_VALUE"""),"NORTH")</f>
        <v>NORTH</v>
      </c>
      <c r="B397" s="115" t="str">
        <f>IFERROR(__xludf.DUMMYFUNCTION("""COMPUTED_VALUE"""),"Manoj Harsh")</f>
        <v>Manoj Harsh</v>
      </c>
      <c r="C397" s="115" t="str">
        <f>IFERROR(__xludf.DUMMYFUNCTION("""COMPUTED_VALUE"""),"MYNTRA")</f>
        <v>MYNTRA</v>
      </c>
      <c r="D397" s="115">
        <f>IFERROR(__xludf.DUMMYFUNCTION("""COMPUTED_VALUE"""),33368.0)</f>
        <v>33368</v>
      </c>
      <c r="E397" s="115">
        <f>IFERROR(__xludf.DUMMYFUNCTION("""COMPUTED_VALUE"""),6431.0)</f>
        <v>6431</v>
      </c>
      <c r="F397" s="115">
        <f>IFERROR(__xludf.DUMMYFUNCTION("""COMPUTED_VALUE"""),25904.0)</f>
        <v>25904</v>
      </c>
      <c r="G397" s="115">
        <f>IFERROR(__xludf.DUMMYFUNCTION("""COMPUTED_VALUE"""),3803.0)</f>
        <v>3803</v>
      </c>
      <c r="H397" s="116">
        <f>IFERROR(__xludf.DUMMYFUNCTION("""COMPUTED_VALUE"""),45901.0)</f>
        <v>45901</v>
      </c>
      <c r="I397" s="115" t="str">
        <f>IFERROR(__xludf.DUMMYFUNCTION("""COMPUTED_VALUE"""),"20")</f>
        <v>20</v>
      </c>
      <c r="J397" s="115" t="str">
        <f>IFERROR(__xludf.DUMMYFUNCTION("""COMPUTED_VALUE"""),"Manoj Harsh2025-09-0120")</f>
        <v>Manoj Harsh2025-09-0120</v>
      </c>
      <c r="K397" s="115">
        <f>IFERROR(__xludf.DUMMYFUNCTION("""COMPUTED_VALUE"""),39799.0)</f>
        <v>39799</v>
      </c>
    </row>
    <row r="398">
      <c r="A398" s="115" t="str">
        <f>IFERROR(__xludf.DUMMYFUNCTION("""COMPUTED_VALUE"""),"NORTH")</f>
        <v>NORTH</v>
      </c>
      <c r="B398" s="115" t="str">
        <f>IFERROR(__xludf.DUMMYFUNCTION("""COMPUTED_VALUE"""),"Pradeep Kothari")</f>
        <v>Pradeep Kothari</v>
      </c>
      <c r="C398" s="115" t="str">
        <f>IFERROR(__xludf.DUMMYFUNCTION("""COMPUTED_VALUE"""),"EXTERNAL")</f>
        <v>EXTERNAL</v>
      </c>
      <c r="D398" s="115">
        <f>IFERROR(__xludf.DUMMYFUNCTION("""COMPUTED_VALUE"""),19392.0)</f>
        <v>19392</v>
      </c>
      <c r="E398" s="115">
        <f>IFERROR(__xludf.DUMMYFUNCTION("""COMPUTED_VALUE"""),2019.0)</f>
        <v>2019</v>
      </c>
      <c r="F398" s="115">
        <f>IFERROR(__xludf.DUMMYFUNCTION("""COMPUTED_VALUE"""),7358.0)</f>
        <v>7358</v>
      </c>
      <c r="G398" s="115">
        <f>IFERROR(__xludf.DUMMYFUNCTION("""COMPUTED_VALUE"""),654.0)</f>
        <v>654</v>
      </c>
      <c r="H398" s="116">
        <f>IFERROR(__xludf.DUMMYFUNCTION("""COMPUTED_VALUE"""),45901.0)</f>
        <v>45901</v>
      </c>
      <c r="I398" s="115" t="str">
        <f>IFERROR(__xludf.DUMMYFUNCTION("""COMPUTED_VALUE"""),"20")</f>
        <v>20</v>
      </c>
      <c r="J398" s="115" t="str">
        <f>IFERROR(__xludf.DUMMYFUNCTION("""COMPUTED_VALUE"""),"Pradeep Kothari2025-09-0120")</f>
        <v>Pradeep Kothari2025-09-0120</v>
      </c>
      <c r="K398" s="115">
        <f>IFERROR(__xludf.DUMMYFUNCTION("""COMPUTED_VALUE"""),21411.0)</f>
        <v>21411</v>
      </c>
    </row>
    <row r="399">
      <c r="A399" s="115" t="str">
        <f>IFERROR(__xludf.DUMMYFUNCTION("""COMPUTED_VALUE"""),"NORTH")</f>
        <v>NORTH</v>
      </c>
      <c r="B399" s="115" t="str">
        <f>IFERROR(__xludf.DUMMYFUNCTION("""COMPUTED_VALUE"""),"Pradeep Kothari")</f>
        <v>Pradeep Kothari</v>
      </c>
      <c r="C399" s="115" t="str">
        <f>IFERROR(__xludf.DUMMYFUNCTION("""COMPUTED_VALUE"""),"FLIPKART")</f>
        <v>FLIPKART</v>
      </c>
      <c r="D399" s="115">
        <f>IFERROR(__xludf.DUMMYFUNCTION("""COMPUTED_VALUE"""),136650.0)</f>
        <v>136650</v>
      </c>
      <c r="E399" s="115">
        <f>IFERROR(__xludf.DUMMYFUNCTION("""COMPUTED_VALUE"""),16428.0)</f>
        <v>16428</v>
      </c>
      <c r="F399" s="115">
        <f>IFERROR(__xludf.DUMMYFUNCTION("""COMPUTED_VALUE"""),99109.0)</f>
        <v>99109</v>
      </c>
      <c r="G399" s="115">
        <f>IFERROR(__xludf.DUMMYFUNCTION("""COMPUTED_VALUE"""),9980.0)</f>
        <v>9980</v>
      </c>
      <c r="H399" s="116">
        <f>IFERROR(__xludf.DUMMYFUNCTION("""COMPUTED_VALUE"""),45901.0)</f>
        <v>45901</v>
      </c>
      <c r="I399" s="115" t="str">
        <f>IFERROR(__xludf.DUMMYFUNCTION("""COMPUTED_VALUE"""),"20")</f>
        <v>20</v>
      </c>
      <c r="J399" s="115" t="str">
        <f>IFERROR(__xludf.DUMMYFUNCTION("""COMPUTED_VALUE"""),"Pradeep Kothari2025-09-0120")</f>
        <v>Pradeep Kothari2025-09-0120</v>
      </c>
      <c r="K399" s="115">
        <f>IFERROR(__xludf.DUMMYFUNCTION("""COMPUTED_VALUE"""),153078.0)</f>
        <v>153078</v>
      </c>
    </row>
    <row r="400">
      <c r="A400" s="115" t="str">
        <f>IFERROR(__xludf.DUMMYFUNCTION("""COMPUTED_VALUE"""),"NORTH")</f>
        <v>NORTH</v>
      </c>
      <c r="B400" s="115" t="str">
        <f>IFERROR(__xludf.DUMMYFUNCTION("""COMPUTED_VALUE"""),"Pradeep Kothari")</f>
        <v>Pradeep Kothari</v>
      </c>
      <c r="C400" s="115" t="str">
        <f>IFERROR(__xludf.DUMMYFUNCTION("""COMPUTED_VALUE"""),"MYNTRA")</f>
        <v>MYNTRA</v>
      </c>
      <c r="D400" s="115">
        <f>IFERROR(__xludf.DUMMYFUNCTION("""COMPUTED_VALUE"""),23226.0)</f>
        <v>23226</v>
      </c>
      <c r="E400" s="115">
        <f>IFERROR(__xludf.DUMMYFUNCTION("""COMPUTED_VALUE"""),5689.0)</f>
        <v>5689</v>
      </c>
      <c r="F400" s="115">
        <f>IFERROR(__xludf.DUMMYFUNCTION("""COMPUTED_VALUE"""),19077.0)</f>
        <v>19077</v>
      </c>
      <c r="G400" s="115">
        <f>IFERROR(__xludf.DUMMYFUNCTION("""COMPUTED_VALUE"""),3879.0)</f>
        <v>3879</v>
      </c>
      <c r="H400" s="116">
        <f>IFERROR(__xludf.DUMMYFUNCTION("""COMPUTED_VALUE"""),45901.0)</f>
        <v>45901</v>
      </c>
      <c r="I400" s="115" t="str">
        <f>IFERROR(__xludf.DUMMYFUNCTION("""COMPUTED_VALUE"""),"20")</f>
        <v>20</v>
      </c>
      <c r="J400" s="115" t="str">
        <f>IFERROR(__xludf.DUMMYFUNCTION("""COMPUTED_VALUE"""),"Pradeep Kothari2025-09-0120")</f>
        <v>Pradeep Kothari2025-09-0120</v>
      </c>
      <c r="K400" s="115">
        <f>IFERROR(__xludf.DUMMYFUNCTION("""COMPUTED_VALUE"""),28915.0)</f>
        <v>28915</v>
      </c>
    </row>
    <row r="401">
      <c r="A401" s="115" t="str">
        <f>IFERROR(__xludf.DUMMYFUNCTION("""COMPUTED_VALUE"""),"SOUTH")</f>
        <v>SOUTH</v>
      </c>
      <c r="B401" s="115" t="str">
        <f>IFERROR(__xludf.DUMMYFUNCTION("""COMPUTED_VALUE"""),"Kandula Sampath")</f>
        <v>Kandula Sampath</v>
      </c>
      <c r="C401" s="115" t="str">
        <f>IFERROR(__xludf.DUMMYFUNCTION("""COMPUTED_VALUE"""),"EXTERNAL")</f>
        <v>EXTERNAL</v>
      </c>
      <c r="D401" s="115">
        <f>IFERROR(__xludf.DUMMYFUNCTION("""COMPUTED_VALUE"""),40505.0)</f>
        <v>40505</v>
      </c>
      <c r="E401" s="115">
        <f>IFERROR(__xludf.DUMMYFUNCTION("""COMPUTED_VALUE"""),4221.0)</f>
        <v>4221</v>
      </c>
      <c r="F401" s="115">
        <f>IFERROR(__xludf.DUMMYFUNCTION("""COMPUTED_VALUE"""),16683.0)</f>
        <v>16683</v>
      </c>
      <c r="G401" s="115">
        <f>IFERROR(__xludf.DUMMYFUNCTION("""COMPUTED_VALUE"""),1271.0)</f>
        <v>1271</v>
      </c>
      <c r="H401" s="116">
        <f>IFERROR(__xludf.DUMMYFUNCTION("""COMPUTED_VALUE"""),45901.0)</f>
        <v>45901</v>
      </c>
      <c r="I401" s="115" t="str">
        <f>IFERROR(__xludf.DUMMYFUNCTION("""COMPUTED_VALUE"""),"20")</f>
        <v>20</v>
      </c>
      <c r="J401" s="115" t="str">
        <f>IFERROR(__xludf.DUMMYFUNCTION("""COMPUTED_VALUE"""),"Kandula Sampath2025-09-0120")</f>
        <v>Kandula Sampath2025-09-0120</v>
      </c>
      <c r="K401" s="115">
        <f>IFERROR(__xludf.DUMMYFUNCTION("""COMPUTED_VALUE"""),44726.0)</f>
        <v>44726</v>
      </c>
    </row>
    <row r="402">
      <c r="A402" s="115" t="str">
        <f>IFERROR(__xludf.DUMMYFUNCTION("""COMPUTED_VALUE"""),"SOUTH")</f>
        <v>SOUTH</v>
      </c>
      <c r="B402" s="115" t="str">
        <f>IFERROR(__xludf.DUMMYFUNCTION("""COMPUTED_VALUE"""),"Kandula Sampath")</f>
        <v>Kandula Sampath</v>
      </c>
      <c r="C402" s="115" t="str">
        <f>IFERROR(__xludf.DUMMYFUNCTION("""COMPUTED_VALUE"""),"FLIPKART")</f>
        <v>FLIPKART</v>
      </c>
      <c r="D402" s="115">
        <f>IFERROR(__xludf.DUMMYFUNCTION("""COMPUTED_VALUE"""),337526.0)</f>
        <v>337526</v>
      </c>
      <c r="E402" s="115">
        <f>IFERROR(__xludf.DUMMYFUNCTION("""COMPUTED_VALUE"""),32337.0)</f>
        <v>32337</v>
      </c>
      <c r="F402" s="115">
        <f>IFERROR(__xludf.DUMMYFUNCTION("""COMPUTED_VALUE"""),245179.0)</f>
        <v>245179</v>
      </c>
      <c r="G402" s="115">
        <f>IFERROR(__xludf.DUMMYFUNCTION("""COMPUTED_VALUE"""),17704.0)</f>
        <v>17704</v>
      </c>
      <c r="H402" s="116">
        <f>IFERROR(__xludf.DUMMYFUNCTION("""COMPUTED_VALUE"""),45901.0)</f>
        <v>45901</v>
      </c>
      <c r="I402" s="115" t="str">
        <f>IFERROR(__xludf.DUMMYFUNCTION("""COMPUTED_VALUE"""),"20")</f>
        <v>20</v>
      </c>
      <c r="J402" s="115" t="str">
        <f>IFERROR(__xludf.DUMMYFUNCTION("""COMPUTED_VALUE"""),"Kandula Sampath2025-09-0120")</f>
        <v>Kandula Sampath2025-09-0120</v>
      </c>
      <c r="K402" s="115">
        <f>IFERROR(__xludf.DUMMYFUNCTION("""COMPUTED_VALUE"""),369863.0)</f>
        <v>369863</v>
      </c>
    </row>
    <row r="403">
      <c r="A403" s="115" t="str">
        <f>IFERROR(__xludf.DUMMYFUNCTION("""COMPUTED_VALUE"""),"SOUTH")</f>
        <v>SOUTH</v>
      </c>
      <c r="B403" s="115" t="str">
        <f>IFERROR(__xludf.DUMMYFUNCTION("""COMPUTED_VALUE"""),"Kandula Sampath")</f>
        <v>Kandula Sampath</v>
      </c>
      <c r="C403" s="115" t="str">
        <f>IFERROR(__xludf.DUMMYFUNCTION("""COMPUTED_VALUE"""),"MYNTRA")</f>
        <v>MYNTRA</v>
      </c>
      <c r="D403" s="115">
        <f>IFERROR(__xludf.DUMMYFUNCTION("""COMPUTED_VALUE"""),35199.0)</f>
        <v>35199</v>
      </c>
      <c r="E403" s="115">
        <f>IFERROR(__xludf.DUMMYFUNCTION("""COMPUTED_VALUE"""),7604.0)</f>
        <v>7604</v>
      </c>
      <c r="F403" s="115">
        <f>IFERROR(__xludf.DUMMYFUNCTION("""COMPUTED_VALUE"""),28243.0)</f>
        <v>28243</v>
      </c>
      <c r="G403" s="115">
        <f>IFERROR(__xludf.DUMMYFUNCTION("""COMPUTED_VALUE"""),4245.0)</f>
        <v>4245</v>
      </c>
      <c r="H403" s="116">
        <f>IFERROR(__xludf.DUMMYFUNCTION("""COMPUTED_VALUE"""),45901.0)</f>
        <v>45901</v>
      </c>
      <c r="I403" s="115" t="str">
        <f>IFERROR(__xludf.DUMMYFUNCTION("""COMPUTED_VALUE"""),"20")</f>
        <v>20</v>
      </c>
      <c r="J403" s="115" t="str">
        <f>IFERROR(__xludf.DUMMYFUNCTION("""COMPUTED_VALUE"""),"Kandula Sampath2025-09-0120")</f>
        <v>Kandula Sampath2025-09-0120</v>
      </c>
      <c r="K403" s="115">
        <f>IFERROR(__xludf.DUMMYFUNCTION("""COMPUTED_VALUE"""),42803.0)</f>
        <v>42803</v>
      </c>
    </row>
    <row r="404">
      <c r="A404" s="115" t="str">
        <f>IFERROR(__xludf.DUMMYFUNCTION("""COMPUTED_VALUE"""),"SOUTH")</f>
        <v>SOUTH</v>
      </c>
      <c r="B404" s="115" t="str">
        <f>IFERROR(__xludf.DUMMYFUNCTION("""COMPUTED_VALUE"""),"Martin A")</f>
        <v>Martin A</v>
      </c>
      <c r="C404" s="115" t="str">
        <f>IFERROR(__xludf.DUMMYFUNCTION("""COMPUTED_VALUE"""),"EXTERNAL")</f>
        <v>EXTERNAL</v>
      </c>
      <c r="D404" s="115">
        <f>IFERROR(__xludf.DUMMYFUNCTION("""COMPUTED_VALUE"""),40327.0)</f>
        <v>40327</v>
      </c>
      <c r="E404" s="115">
        <f>IFERROR(__xludf.DUMMYFUNCTION("""COMPUTED_VALUE"""),2650.0)</f>
        <v>2650</v>
      </c>
      <c r="F404" s="115">
        <f>IFERROR(__xludf.DUMMYFUNCTION("""COMPUTED_VALUE"""),16459.0)</f>
        <v>16459</v>
      </c>
      <c r="G404" s="115">
        <f>IFERROR(__xludf.DUMMYFUNCTION("""COMPUTED_VALUE"""),1042.0)</f>
        <v>1042</v>
      </c>
      <c r="H404" s="116">
        <f>IFERROR(__xludf.DUMMYFUNCTION("""COMPUTED_VALUE"""),45901.0)</f>
        <v>45901</v>
      </c>
      <c r="I404" s="115" t="str">
        <f>IFERROR(__xludf.DUMMYFUNCTION("""COMPUTED_VALUE"""),"20")</f>
        <v>20</v>
      </c>
      <c r="J404" s="115" t="str">
        <f>IFERROR(__xludf.DUMMYFUNCTION("""COMPUTED_VALUE"""),"Martin A2025-09-0120")</f>
        <v>Martin A2025-09-0120</v>
      </c>
      <c r="K404" s="115">
        <f>IFERROR(__xludf.DUMMYFUNCTION("""COMPUTED_VALUE"""),42977.0)</f>
        <v>42977</v>
      </c>
    </row>
    <row r="405">
      <c r="A405" s="115" t="str">
        <f>IFERROR(__xludf.DUMMYFUNCTION("""COMPUTED_VALUE"""),"SOUTH")</f>
        <v>SOUTH</v>
      </c>
      <c r="B405" s="115" t="str">
        <f>IFERROR(__xludf.DUMMYFUNCTION("""COMPUTED_VALUE"""),"Martin A")</f>
        <v>Martin A</v>
      </c>
      <c r="C405" s="115" t="str">
        <f>IFERROR(__xludf.DUMMYFUNCTION("""COMPUTED_VALUE"""),"FLIPKART")</f>
        <v>FLIPKART</v>
      </c>
      <c r="D405" s="115">
        <f>IFERROR(__xludf.DUMMYFUNCTION("""COMPUTED_VALUE"""),309151.0)</f>
        <v>309151</v>
      </c>
      <c r="E405" s="115">
        <f>IFERROR(__xludf.DUMMYFUNCTION("""COMPUTED_VALUE"""),28484.0)</f>
        <v>28484</v>
      </c>
      <c r="F405" s="115">
        <f>IFERROR(__xludf.DUMMYFUNCTION("""COMPUTED_VALUE"""),220644.0)</f>
        <v>220644</v>
      </c>
      <c r="G405" s="115">
        <f>IFERROR(__xludf.DUMMYFUNCTION("""COMPUTED_VALUE"""),16469.0)</f>
        <v>16469</v>
      </c>
      <c r="H405" s="116">
        <f>IFERROR(__xludf.DUMMYFUNCTION("""COMPUTED_VALUE"""),45901.0)</f>
        <v>45901</v>
      </c>
      <c r="I405" s="115" t="str">
        <f>IFERROR(__xludf.DUMMYFUNCTION("""COMPUTED_VALUE"""),"20")</f>
        <v>20</v>
      </c>
      <c r="J405" s="115" t="str">
        <f>IFERROR(__xludf.DUMMYFUNCTION("""COMPUTED_VALUE"""),"Martin A2025-09-0120")</f>
        <v>Martin A2025-09-0120</v>
      </c>
      <c r="K405" s="115">
        <f>IFERROR(__xludf.DUMMYFUNCTION("""COMPUTED_VALUE"""),337635.0)</f>
        <v>337635</v>
      </c>
    </row>
    <row r="406">
      <c r="A406" s="115" t="str">
        <f>IFERROR(__xludf.DUMMYFUNCTION("""COMPUTED_VALUE"""),"SOUTH")</f>
        <v>SOUTH</v>
      </c>
      <c r="B406" s="115" t="str">
        <f>IFERROR(__xludf.DUMMYFUNCTION("""COMPUTED_VALUE"""),"Martin A")</f>
        <v>Martin A</v>
      </c>
      <c r="C406" s="115" t="str">
        <f>IFERROR(__xludf.DUMMYFUNCTION("""COMPUTED_VALUE"""),"MYNTRA")</f>
        <v>MYNTRA</v>
      </c>
      <c r="D406" s="115">
        <f>IFERROR(__xludf.DUMMYFUNCTION("""COMPUTED_VALUE"""),27932.0)</f>
        <v>27932</v>
      </c>
      <c r="E406" s="115">
        <f>IFERROR(__xludf.DUMMYFUNCTION("""COMPUTED_VALUE"""),6582.0)</f>
        <v>6582</v>
      </c>
      <c r="F406" s="115">
        <f>IFERROR(__xludf.DUMMYFUNCTION("""COMPUTED_VALUE"""),22731.0)</f>
        <v>22731</v>
      </c>
      <c r="G406" s="115">
        <f>IFERROR(__xludf.DUMMYFUNCTION("""COMPUTED_VALUE"""),3979.0)</f>
        <v>3979</v>
      </c>
      <c r="H406" s="116">
        <f>IFERROR(__xludf.DUMMYFUNCTION("""COMPUTED_VALUE"""),45901.0)</f>
        <v>45901</v>
      </c>
      <c r="I406" s="115" t="str">
        <f>IFERROR(__xludf.DUMMYFUNCTION("""COMPUTED_VALUE"""),"20")</f>
        <v>20</v>
      </c>
      <c r="J406" s="115" t="str">
        <f>IFERROR(__xludf.DUMMYFUNCTION("""COMPUTED_VALUE"""),"Martin A2025-09-0120")</f>
        <v>Martin A2025-09-0120</v>
      </c>
      <c r="K406" s="115">
        <f>IFERROR(__xludf.DUMMYFUNCTION("""COMPUTED_VALUE"""),34514.0)</f>
        <v>34514</v>
      </c>
    </row>
    <row r="407">
      <c r="A407" s="115" t="str">
        <f>IFERROR(__xludf.DUMMYFUNCTION("""COMPUTED_VALUE"""),"SOUTH")</f>
        <v>SOUTH</v>
      </c>
      <c r="B407" s="115" t="str">
        <f>IFERROR(__xludf.DUMMYFUNCTION("""COMPUTED_VALUE"""),"Premkumar M")</f>
        <v>Premkumar M</v>
      </c>
      <c r="C407" s="115" t="str">
        <f>IFERROR(__xludf.DUMMYFUNCTION("""COMPUTED_VALUE"""),"EXTERNAL")</f>
        <v>EXTERNAL</v>
      </c>
      <c r="D407" s="115">
        <f>IFERROR(__xludf.DUMMYFUNCTION("""COMPUTED_VALUE"""),33834.0)</f>
        <v>33834</v>
      </c>
      <c r="E407" s="115">
        <f>IFERROR(__xludf.DUMMYFUNCTION("""COMPUTED_VALUE"""),2129.0)</f>
        <v>2129</v>
      </c>
      <c r="F407" s="115">
        <f>IFERROR(__xludf.DUMMYFUNCTION("""COMPUTED_VALUE"""),16268.0)</f>
        <v>16268</v>
      </c>
      <c r="G407" s="115">
        <f>IFERROR(__xludf.DUMMYFUNCTION("""COMPUTED_VALUE"""),592.0)</f>
        <v>592</v>
      </c>
      <c r="H407" s="116">
        <f>IFERROR(__xludf.DUMMYFUNCTION("""COMPUTED_VALUE"""),45901.0)</f>
        <v>45901</v>
      </c>
      <c r="I407" s="115" t="str">
        <f>IFERROR(__xludf.DUMMYFUNCTION("""COMPUTED_VALUE"""),"20")</f>
        <v>20</v>
      </c>
      <c r="J407" s="115" t="str">
        <f>IFERROR(__xludf.DUMMYFUNCTION("""COMPUTED_VALUE"""),"Premkumar M2025-09-0120")</f>
        <v>Premkumar M2025-09-0120</v>
      </c>
      <c r="K407" s="115">
        <f>IFERROR(__xludf.DUMMYFUNCTION("""COMPUTED_VALUE"""),35963.0)</f>
        <v>35963</v>
      </c>
    </row>
    <row r="408">
      <c r="A408" s="115" t="str">
        <f>IFERROR(__xludf.DUMMYFUNCTION("""COMPUTED_VALUE"""),"SOUTH")</f>
        <v>SOUTH</v>
      </c>
      <c r="B408" s="115" t="str">
        <f>IFERROR(__xludf.DUMMYFUNCTION("""COMPUTED_VALUE"""),"Premkumar M")</f>
        <v>Premkumar M</v>
      </c>
      <c r="C408" s="115" t="str">
        <f>IFERROR(__xludf.DUMMYFUNCTION("""COMPUTED_VALUE"""),"FLIPKART")</f>
        <v>FLIPKART</v>
      </c>
      <c r="D408" s="115">
        <f>IFERROR(__xludf.DUMMYFUNCTION("""COMPUTED_VALUE"""),291782.0)</f>
        <v>291782</v>
      </c>
      <c r="E408" s="115">
        <f>IFERROR(__xludf.DUMMYFUNCTION("""COMPUTED_VALUE"""),20995.0)</f>
        <v>20995</v>
      </c>
      <c r="F408" s="115">
        <f>IFERROR(__xludf.DUMMYFUNCTION("""COMPUTED_VALUE"""),219075.0)</f>
        <v>219075</v>
      </c>
      <c r="G408" s="115">
        <f>IFERROR(__xludf.DUMMYFUNCTION("""COMPUTED_VALUE"""),9014.0)</f>
        <v>9014</v>
      </c>
      <c r="H408" s="116">
        <f>IFERROR(__xludf.DUMMYFUNCTION("""COMPUTED_VALUE"""),45901.0)</f>
        <v>45901</v>
      </c>
      <c r="I408" s="115" t="str">
        <f>IFERROR(__xludf.DUMMYFUNCTION("""COMPUTED_VALUE"""),"20")</f>
        <v>20</v>
      </c>
      <c r="J408" s="115" t="str">
        <f>IFERROR(__xludf.DUMMYFUNCTION("""COMPUTED_VALUE"""),"Premkumar M2025-09-0120")</f>
        <v>Premkumar M2025-09-0120</v>
      </c>
      <c r="K408" s="115">
        <f>IFERROR(__xludf.DUMMYFUNCTION("""COMPUTED_VALUE"""),312777.0)</f>
        <v>312777</v>
      </c>
    </row>
    <row r="409">
      <c r="A409" s="115" t="str">
        <f>IFERROR(__xludf.DUMMYFUNCTION("""COMPUTED_VALUE"""),"SOUTH")</f>
        <v>SOUTH</v>
      </c>
      <c r="B409" s="115" t="str">
        <f>IFERROR(__xludf.DUMMYFUNCTION("""COMPUTED_VALUE"""),"Premkumar M")</f>
        <v>Premkumar M</v>
      </c>
      <c r="C409" s="115" t="str">
        <f>IFERROR(__xludf.DUMMYFUNCTION("""COMPUTED_VALUE"""),"MYNTRA")</f>
        <v>MYNTRA</v>
      </c>
      <c r="D409" s="115">
        <f>IFERROR(__xludf.DUMMYFUNCTION("""COMPUTED_VALUE"""),15359.0)</f>
        <v>15359</v>
      </c>
      <c r="E409" s="115">
        <f>IFERROR(__xludf.DUMMYFUNCTION("""COMPUTED_VALUE"""),2994.0)</f>
        <v>2994</v>
      </c>
      <c r="F409" s="115">
        <f>IFERROR(__xludf.DUMMYFUNCTION("""COMPUTED_VALUE"""),12759.0)</f>
        <v>12759</v>
      </c>
      <c r="G409" s="115">
        <f>IFERROR(__xludf.DUMMYFUNCTION("""COMPUTED_VALUE"""),1452.0)</f>
        <v>1452</v>
      </c>
      <c r="H409" s="116">
        <f>IFERROR(__xludf.DUMMYFUNCTION("""COMPUTED_VALUE"""),45901.0)</f>
        <v>45901</v>
      </c>
      <c r="I409" s="115" t="str">
        <f>IFERROR(__xludf.DUMMYFUNCTION("""COMPUTED_VALUE"""),"20")</f>
        <v>20</v>
      </c>
      <c r="J409" s="115" t="str">
        <f>IFERROR(__xludf.DUMMYFUNCTION("""COMPUTED_VALUE"""),"Premkumar M2025-09-0120")</f>
        <v>Premkumar M2025-09-0120</v>
      </c>
      <c r="K409" s="115">
        <f>IFERROR(__xludf.DUMMYFUNCTION("""COMPUTED_VALUE"""),18353.0)</f>
        <v>18353</v>
      </c>
    </row>
    <row r="410">
      <c r="A410" s="115" t="str">
        <f>IFERROR(__xludf.DUMMYFUNCTION("""COMPUTED_VALUE"""),"SOUTH")</f>
        <v>SOUTH</v>
      </c>
      <c r="B410" s="115" t="str">
        <f>IFERROR(__xludf.DUMMYFUNCTION("""COMPUTED_VALUE"""),"Vineeth V")</f>
        <v>Vineeth V</v>
      </c>
      <c r="C410" s="115" t="str">
        <f>IFERROR(__xludf.DUMMYFUNCTION("""COMPUTED_VALUE"""),"EXTERNAL")</f>
        <v>EXTERNAL</v>
      </c>
      <c r="D410" s="115">
        <f>IFERROR(__xludf.DUMMYFUNCTION("""COMPUTED_VALUE"""),23670.0)</f>
        <v>23670</v>
      </c>
      <c r="E410" s="115">
        <f>IFERROR(__xludf.DUMMYFUNCTION("""COMPUTED_VALUE"""),689.0)</f>
        <v>689</v>
      </c>
      <c r="F410" s="115">
        <f>IFERROR(__xludf.DUMMYFUNCTION("""COMPUTED_VALUE"""),12544.0)</f>
        <v>12544</v>
      </c>
      <c r="G410" s="115">
        <f>IFERROR(__xludf.DUMMYFUNCTION("""COMPUTED_VALUE"""),309.0)</f>
        <v>309</v>
      </c>
      <c r="H410" s="116">
        <f>IFERROR(__xludf.DUMMYFUNCTION("""COMPUTED_VALUE"""),45901.0)</f>
        <v>45901</v>
      </c>
      <c r="I410" s="115" t="str">
        <f>IFERROR(__xludf.DUMMYFUNCTION("""COMPUTED_VALUE"""),"20")</f>
        <v>20</v>
      </c>
      <c r="J410" s="115" t="str">
        <f>IFERROR(__xludf.DUMMYFUNCTION("""COMPUTED_VALUE"""),"Vineeth V2025-09-0120")</f>
        <v>Vineeth V2025-09-0120</v>
      </c>
      <c r="K410" s="115">
        <f>IFERROR(__xludf.DUMMYFUNCTION("""COMPUTED_VALUE"""),24359.0)</f>
        <v>24359</v>
      </c>
    </row>
    <row r="411">
      <c r="A411" s="115" t="str">
        <f>IFERROR(__xludf.DUMMYFUNCTION("""COMPUTED_VALUE"""),"SOUTH")</f>
        <v>SOUTH</v>
      </c>
      <c r="B411" s="115" t="str">
        <f>IFERROR(__xludf.DUMMYFUNCTION("""COMPUTED_VALUE"""),"Vineeth V")</f>
        <v>Vineeth V</v>
      </c>
      <c r="C411" s="115" t="str">
        <f>IFERROR(__xludf.DUMMYFUNCTION("""COMPUTED_VALUE"""),"FLIPKART")</f>
        <v>FLIPKART</v>
      </c>
      <c r="D411" s="115">
        <f>IFERROR(__xludf.DUMMYFUNCTION("""COMPUTED_VALUE"""),259557.0)</f>
        <v>259557</v>
      </c>
      <c r="E411" s="115">
        <f>IFERROR(__xludf.DUMMYFUNCTION("""COMPUTED_VALUE"""),17605.0)</f>
        <v>17605</v>
      </c>
      <c r="F411" s="115">
        <f>IFERROR(__xludf.DUMMYFUNCTION("""COMPUTED_VALUE"""),211518.0)</f>
        <v>211518</v>
      </c>
      <c r="G411" s="115">
        <f>IFERROR(__xludf.DUMMYFUNCTION("""COMPUTED_VALUE"""),8570.0)</f>
        <v>8570</v>
      </c>
      <c r="H411" s="116">
        <f>IFERROR(__xludf.DUMMYFUNCTION("""COMPUTED_VALUE"""),45901.0)</f>
        <v>45901</v>
      </c>
      <c r="I411" s="115" t="str">
        <f>IFERROR(__xludf.DUMMYFUNCTION("""COMPUTED_VALUE"""),"20")</f>
        <v>20</v>
      </c>
      <c r="J411" s="115" t="str">
        <f>IFERROR(__xludf.DUMMYFUNCTION("""COMPUTED_VALUE"""),"Vineeth V2025-09-0120")</f>
        <v>Vineeth V2025-09-0120</v>
      </c>
      <c r="K411" s="115">
        <f>IFERROR(__xludf.DUMMYFUNCTION("""COMPUTED_VALUE"""),277162.0)</f>
        <v>277162</v>
      </c>
    </row>
    <row r="412">
      <c r="A412" s="115" t="str">
        <f>IFERROR(__xludf.DUMMYFUNCTION("""COMPUTED_VALUE"""),"SOUTH")</f>
        <v>SOUTH</v>
      </c>
      <c r="B412" s="115" t="str">
        <f>IFERROR(__xludf.DUMMYFUNCTION("""COMPUTED_VALUE"""),"Vineeth V")</f>
        <v>Vineeth V</v>
      </c>
      <c r="C412" s="115" t="str">
        <f>IFERROR(__xludf.DUMMYFUNCTION("""COMPUTED_VALUE"""),"MYNTRA")</f>
        <v>MYNTRA</v>
      </c>
      <c r="D412" s="115">
        <f>IFERROR(__xludf.DUMMYFUNCTION("""COMPUTED_VALUE"""),22032.0)</f>
        <v>22032</v>
      </c>
      <c r="E412" s="115">
        <f>IFERROR(__xludf.DUMMYFUNCTION("""COMPUTED_VALUE"""),4110.0)</f>
        <v>4110</v>
      </c>
      <c r="F412" s="115">
        <f>IFERROR(__xludf.DUMMYFUNCTION("""COMPUTED_VALUE"""),18934.0)</f>
        <v>18934</v>
      </c>
      <c r="G412" s="115">
        <f>IFERROR(__xludf.DUMMYFUNCTION("""COMPUTED_VALUE"""),2020.0)</f>
        <v>2020</v>
      </c>
      <c r="H412" s="116">
        <f>IFERROR(__xludf.DUMMYFUNCTION("""COMPUTED_VALUE"""),45901.0)</f>
        <v>45901</v>
      </c>
      <c r="I412" s="115" t="str">
        <f>IFERROR(__xludf.DUMMYFUNCTION("""COMPUTED_VALUE"""),"20")</f>
        <v>20</v>
      </c>
      <c r="J412" s="115" t="str">
        <f>IFERROR(__xludf.DUMMYFUNCTION("""COMPUTED_VALUE"""),"Vineeth V2025-09-0120")</f>
        <v>Vineeth V2025-09-0120</v>
      </c>
      <c r="K412" s="115">
        <f>IFERROR(__xludf.DUMMYFUNCTION("""COMPUTED_VALUE"""),26142.0)</f>
        <v>26142</v>
      </c>
    </row>
    <row r="413">
      <c r="A413" s="115" t="str">
        <f>IFERROR(__xludf.DUMMYFUNCTION("""COMPUTED_VALUE"""),"WEST")</f>
        <v>WEST</v>
      </c>
      <c r="B413" s="115" t="str">
        <f>IFERROR(__xludf.DUMMYFUNCTION("""COMPUTED_VALUE"""),"Ashish Jakar")</f>
        <v>Ashish Jakar</v>
      </c>
      <c r="C413" s="115" t="str">
        <f>IFERROR(__xludf.DUMMYFUNCTION("""COMPUTED_VALUE"""),"EXTERNAL")</f>
        <v>EXTERNAL</v>
      </c>
      <c r="D413" s="115">
        <f>IFERROR(__xludf.DUMMYFUNCTION("""COMPUTED_VALUE"""),61314.0)</f>
        <v>61314</v>
      </c>
      <c r="E413" s="115">
        <f>IFERROR(__xludf.DUMMYFUNCTION("""COMPUTED_VALUE"""),7007.0)</f>
        <v>7007</v>
      </c>
      <c r="F413" s="115">
        <f>IFERROR(__xludf.DUMMYFUNCTION("""COMPUTED_VALUE"""),24857.0)</f>
        <v>24857</v>
      </c>
      <c r="G413" s="115">
        <f>IFERROR(__xludf.DUMMYFUNCTION("""COMPUTED_VALUE"""),2299.0)</f>
        <v>2299</v>
      </c>
      <c r="H413" s="116">
        <f>IFERROR(__xludf.DUMMYFUNCTION("""COMPUTED_VALUE"""),45901.0)</f>
        <v>45901</v>
      </c>
      <c r="I413" s="115" t="str">
        <f>IFERROR(__xludf.DUMMYFUNCTION("""COMPUTED_VALUE"""),"20")</f>
        <v>20</v>
      </c>
      <c r="J413" s="115" t="str">
        <f>IFERROR(__xludf.DUMMYFUNCTION("""COMPUTED_VALUE"""),"Ashish Jakar2025-09-0120")</f>
        <v>Ashish Jakar2025-09-0120</v>
      </c>
      <c r="K413" s="115">
        <f>IFERROR(__xludf.DUMMYFUNCTION("""COMPUTED_VALUE"""),68321.0)</f>
        <v>68321</v>
      </c>
    </row>
    <row r="414">
      <c r="A414" s="115" t="str">
        <f>IFERROR(__xludf.DUMMYFUNCTION("""COMPUTED_VALUE"""),"WEST")</f>
        <v>WEST</v>
      </c>
      <c r="B414" s="115" t="str">
        <f>IFERROR(__xludf.DUMMYFUNCTION("""COMPUTED_VALUE"""),"Ashish Jakar")</f>
        <v>Ashish Jakar</v>
      </c>
      <c r="C414" s="115" t="str">
        <f>IFERROR(__xludf.DUMMYFUNCTION("""COMPUTED_VALUE"""),"FLIPKART")</f>
        <v>FLIPKART</v>
      </c>
      <c r="D414" s="115">
        <f>IFERROR(__xludf.DUMMYFUNCTION("""COMPUTED_VALUE"""),328759.0)</f>
        <v>328759</v>
      </c>
      <c r="E414" s="115">
        <f>IFERROR(__xludf.DUMMYFUNCTION("""COMPUTED_VALUE"""),35028.0)</f>
        <v>35028</v>
      </c>
      <c r="F414" s="115">
        <f>IFERROR(__xludf.DUMMYFUNCTION("""COMPUTED_VALUE"""),236470.0)</f>
        <v>236470</v>
      </c>
      <c r="G414" s="115">
        <f>IFERROR(__xludf.DUMMYFUNCTION("""COMPUTED_VALUE"""),18990.0)</f>
        <v>18990</v>
      </c>
      <c r="H414" s="116">
        <f>IFERROR(__xludf.DUMMYFUNCTION("""COMPUTED_VALUE"""),45901.0)</f>
        <v>45901</v>
      </c>
      <c r="I414" s="115" t="str">
        <f>IFERROR(__xludf.DUMMYFUNCTION("""COMPUTED_VALUE"""),"20")</f>
        <v>20</v>
      </c>
      <c r="J414" s="115" t="str">
        <f>IFERROR(__xludf.DUMMYFUNCTION("""COMPUTED_VALUE"""),"Ashish Jakar2025-09-0120")</f>
        <v>Ashish Jakar2025-09-0120</v>
      </c>
      <c r="K414" s="115">
        <f>IFERROR(__xludf.DUMMYFUNCTION("""COMPUTED_VALUE"""),363787.0)</f>
        <v>363787</v>
      </c>
    </row>
    <row r="415">
      <c r="A415" s="115" t="str">
        <f>IFERROR(__xludf.DUMMYFUNCTION("""COMPUTED_VALUE"""),"WEST")</f>
        <v>WEST</v>
      </c>
      <c r="B415" s="115" t="str">
        <f>IFERROR(__xludf.DUMMYFUNCTION("""COMPUTED_VALUE"""),"Ashish Jakar")</f>
        <v>Ashish Jakar</v>
      </c>
      <c r="C415" s="115" t="str">
        <f>IFERROR(__xludf.DUMMYFUNCTION("""COMPUTED_VALUE"""),"MYNTRA")</f>
        <v>MYNTRA</v>
      </c>
      <c r="D415" s="115">
        <f>IFERROR(__xludf.DUMMYFUNCTION("""COMPUTED_VALUE"""),42758.0)</f>
        <v>42758</v>
      </c>
      <c r="E415" s="115">
        <f>IFERROR(__xludf.DUMMYFUNCTION("""COMPUTED_VALUE"""),10619.0)</f>
        <v>10619</v>
      </c>
      <c r="F415" s="115">
        <f>IFERROR(__xludf.DUMMYFUNCTION("""COMPUTED_VALUE"""),34938.0)</f>
        <v>34938</v>
      </c>
      <c r="G415" s="115">
        <f>IFERROR(__xludf.DUMMYFUNCTION("""COMPUTED_VALUE"""),6094.0)</f>
        <v>6094</v>
      </c>
      <c r="H415" s="116">
        <f>IFERROR(__xludf.DUMMYFUNCTION("""COMPUTED_VALUE"""),45901.0)</f>
        <v>45901</v>
      </c>
      <c r="I415" s="115" t="str">
        <f>IFERROR(__xludf.DUMMYFUNCTION("""COMPUTED_VALUE"""),"20")</f>
        <v>20</v>
      </c>
      <c r="J415" s="115" t="str">
        <f>IFERROR(__xludf.DUMMYFUNCTION("""COMPUTED_VALUE"""),"Ashish Jakar2025-09-0120")</f>
        <v>Ashish Jakar2025-09-0120</v>
      </c>
      <c r="K415" s="115">
        <f>IFERROR(__xludf.DUMMYFUNCTION("""COMPUTED_VALUE"""),53377.0)</f>
        <v>53377</v>
      </c>
    </row>
    <row r="416">
      <c r="A416" s="115" t="str">
        <f>IFERROR(__xludf.DUMMYFUNCTION("""COMPUTED_VALUE"""),"WEST")</f>
        <v>WEST</v>
      </c>
      <c r="B416" s="115" t="str">
        <f>IFERROR(__xludf.DUMMYFUNCTION("""COMPUTED_VALUE"""),"Ashvani Bhatt")</f>
        <v>Ashvani Bhatt</v>
      </c>
      <c r="C416" s="115" t="str">
        <f>IFERROR(__xludf.DUMMYFUNCTION("""COMPUTED_VALUE"""),"EXTERNAL")</f>
        <v>EXTERNAL</v>
      </c>
      <c r="D416" s="115">
        <f>IFERROR(__xludf.DUMMYFUNCTION("""COMPUTED_VALUE"""),40012.0)</f>
        <v>40012</v>
      </c>
      <c r="E416" s="115">
        <f>IFERROR(__xludf.DUMMYFUNCTION("""COMPUTED_VALUE"""),4130.0)</f>
        <v>4130</v>
      </c>
      <c r="F416" s="115">
        <f>IFERROR(__xludf.DUMMYFUNCTION("""COMPUTED_VALUE"""),16753.0)</f>
        <v>16753</v>
      </c>
      <c r="G416" s="115">
        <f>IFERROR(__xludf.DUMMYFUNCTION("""COMPUTED_VALUE"""),1389.0)</f>
        <v>1389</v>
      </c>
      <c r="H416" s="116">
        <f>IFERROR(__xludf.DUMMYFUNCTION("""COMPUTED_VALUE"""),45901.0)</f>
        <v>45901</v>
      </c>
      <c r="I416" s="115" t="str">
        <f>IFERROR(__xludf.DUMMYFUNCTION("""COMPUTED_VALUE"""),"20")</f>
        <v>20</v>
      </c>
      <c r="J416" s="115" t="str">
        <f>IFERROR(__xludf.DUMMYFUNCTION("""COMPUTED_VALUE"""),"Ashvani Bhatt2025-09-0120")</f>
        <v>Ashvani Bhatt2025-09-0120</v>
      </c>
      <c r="K416" s="115">
        <f>IFERROR(__xludf.DUMMYFUNCTION("""COMPUTED_VALUE"""),44142.0)</f>
        <v>44142</v>
      </c>
    </row>
    <row r="417">
      <c r="A417" s="115" t="str">
        <f>IFERROR(__xludf.DUMMYFUNCTION("""COMPUTED_VALUE"""),"WEST")</f>
        <v>WEST</v>
      </c>
      <c r="B417" s="115" t="str">
        <f>IFERROR(__xludf.DUMMYFUNCTION("""COMPUTED_VALUE"""),"Ashvani Bhatt")</f>
        <v>Ashvani Bhatt</v>
      </c>
      <c r="C417" s="115" t="str">
        <f>IFERROR(__xludf.DUMMYFUNCTION("""COMPUTED_VALUE"""),"FLIPKART")</f>
        <v>FLIPKART</v>
      </c>
      <c r="D417" s="115">
        <f>IFERROR(__xludf.DUMMYFUNCTION("""COMPUTED_VALUE"""),264550.0)</f>
        <v>264550</v>
      </c>
      <c r="E417" s="115">
        <f>IFERROR(__xludf.DUMMYFUNCTION("""COMPUTED_VALUE"""),30169.0)</f>
        <v>30169</v>
      </c>
      <c r="F417" s="115">
        <f>IFERROR(__xludf.DUMMYFUNCTION("""COMPUTED_VALUE"""),197228.0)</f>
        <v>197228</v>
      </c>
      <c r="G417" s="115">
        <f>IFERROR(__xludf.DUMMYFUNCTION("""COMPUTED_VALUE"""),18152.0)</f>
        <v>18152</v>
      </c>
      <c r="H417" s="116">
        <f>IFERROR(__xludf.DUMMYFUNCTION("""COMPUTED_VALUE"""),45901.0)</f>
        <v>45901</v>
      </c>
      <c r="I417" s="115" t="str">
        <f>IFERROR(__xludf.DUMMYFUNCTION("""COMPUTED_VALUE"""),"20")</f>
        <v>20</v>
      </c>
      <c r="J417" s="115" t="str">
        <f>IFERROR(__xludf.DUMMYFUNCTION("""COMPUTED_VALUE"""),"Ashvani Bhatt2025-09-0120")</f>
        <v>Ashvani Bhatt2025-09-0120</v>
      </c>
      <c r="K417" s="115">
        <f>IFERROR(__xludf.DUMMYFUNCTION("""COMPUTED_VALUE"""),294719.0)</f>
        <v>294719</v>
      </c>
    </row>
    <row r="418">
      <c r="A418" s="115" t="str">
        <f>IFERROR(__xludf.DUMMYFUNCTION("""COMPUTED_VALUE"""),"WEST")</f>
        <v>WEST</v>
      </c>
      <c r="B418" s="115" t="str">
        <f>IFERROR(__xludf.DUMMYFUNCTION("""COMPUTED_VALUE"""),"Ashvani Bhatt")</f>
        <v>Ashvani Bhatt</v>
      </c>
      <c r="C418" s="115" t="str">
        <f>IFERROR(__xludf.DUMMYFUNCTION("""COMPUTED_VALUE"""),"MYNTRA")</f>
        <v>MYNTRA</v>
      </c>
      <c r="D418" s="115">
        <f>IFERROR(__xludf.DUMMYFUNCTION("""COMPUTED_VALUE"""),32957.0)</f>
        <v>32957</v>
      </c>
      <c r="E418" s="115">
        <f>IFERROR(__xludf.DUMMYFUNCTION("""COMPUTED_VALUE"""),8202.0)</f>
        <v>8202</v>
      </c>
      <c r="F418" s="115">
        <f>IFERROR(__xludf.DUMMYFUNCTION("""COMPUTED_VALUE"""),27753.0)</f>
        <v>27753</v>
      </c>
      <c r="G418" s="115">
        <f>IFERROR(__xludf.DUMMYFUNCTION("""COMPUTED_VALUE"""),5311.0)</f>
        <v>5311</v>
      </c>
      <c r="H418" s="116">
        <f>IFERROR(__xludf.DUMMYFUNCTION("""COMPUTED_VALUE"""),45901.0)</f>
        <v>45901</v>
      </c>
      <c r="I418" s="115" t="str">
        <f>IFERROR(__xludf.DUMMYFUNCTION("""COMPUTED_VALUE"""),"20")</f>
        <v>20</v>
      </c>
      <c r="J418" s="115" t="str">
        <f>IFERROR(__xludf.DUMMYFUNCTION("""COMPUTED_VALUE"""),"Ashvani Bhatt2025-09-0120")</f>
        <v>Ashvani Bhatt2025-09-0120</v>
      </c>
      <c r="K418" s="115">
        <f>IFERROR(__xludf.DUMMYFUNCTION("""COMPUTED_VALUE"""),41159.0)</f>
        <v>41159</v>
      </c>
    </row>
    <row r="419">
      <c r="A419" s="115"/>
      <c r="B419" s="115"/>
      <c r="C419" s="115" t="str">
        <f>IFERROR(__xludf.DUMMYFUNCTION("""COMPUTED_VALUE"""),"EXTERNAL")</f>
        <v>EXTERNAL</v>
      </c>
      <c r="D419" s="115">
        <f>IFERROR(__xludf.DUMMYFUNCTION("""COMPUTED_VALUE"""),720.0)</f>
        <v>720</v>
      </c>
      <c r="E419" s="115">
        <f>IFERROR(__xludf.DUMMYFUNCTION("""COMPUTED_VALUE"""),77.0)</f>
        <v>77</v>
      </c>
      <c r="F419" s="115">
        <f>IFERROR(__xludf.DUMMYFUNCTION("""COMPUTED_VALUE"""),219.0)</f>
        <v>219</v>
      </c>
      <c r="G419" s="115">
        <f>IFERROR(__xludf.DUMMYFUNCTION("""COMPUTED_VALUE"""),30.0)</f>
        <v>30</v>
      </c>
      <c r="H419" s="116">
        <f>IFERROR(__xludf.DUMMYFUNCTION("""COMPUTED_VALUE"""),45901.0)</f>
        <v>45901</v>
      </c>
      <c r="I419" s="115" t="str">
        <f>IFERROR(__xludf.DUMMYFUNCTION("""COMPUTED_VALUE"""),"20")</f>
        <v>20</v>
      </c>
      <c r="J419" s="115" t="str">
        <f>IFERROR(__xludf.DUMMYFUNCTION("""COMPUTED_VALUE"""),"2025-09-0120")</f>
        <v>2025-09-0120</v>
      </c>
      <c r="K419" s="115">
        <f>IFERROR(__xludf.DUMMYFUNCTION("""COMPUTED_VALUE"""),797.0)</f>
        <v>797</v>
      </c>
    </row>
    <row r="420">
      <c r="A420" s="115"/>
      <c r="B420" s="115"/>
      <c r="C420" s="115" t="str">
        <f>IFERROR(__xludf.DUMMYFUNCTION("""COMPUTED_VALUE"""),"FLIPKART")</f>
        <v>FLIPKART</v>
      </c>
      <c r="D420" s="115">
        <f>IFERROR(__xludf.DUMMYFUNCTION("""COMPUTED_VALUE"""),6756.0)</f>
        <v>6756</v>
      </c>
      <c r="E420" s="115">
        <f>IFERROR(__xludf.DUMMYFUNCTION("""COMPUTED_VALUE"""),541.0)</f>
        <v>541</v>
      </c>
      <c r="F420" s="115">
        <f>IFERROR(__xludf.DUMMYFUNCTION("""COMPUTED_VALUE"""),4240.0)</f>
        <v>4240</v>
      </c>
      <c r="G420" s="115">
        <f>IFERROR(__xludf.DUMMYFUNCTION("""COMPUTED_VALUE"""),305.0)</f>
        <v>305</v>
      </c>
      <c r="H420" s="116">
        <f>IFERROR(__xludf.DUMMYFUNCTION("""COMPUTED_VALUE"""),45901.0)</f>
        <v>45901</v>
      </c>
      <c r="I420" s="115" t="str">
        <f>IFERROR(__xludf.DUMMYFUNCTION("""COMPUTED_VALUE"""),"20")</f>
        <v>20</v>
      </c>
      <c r="J420" s="115" t="str">
        <f>IFERROR(__xludf.DUMMYFUNCTION("""COMPUTED_VALUE"""),"2025-09-0120")</f>
        <v>2025-09-0120</v>
      </c>
      <c r="K420" s="115">
        <f>IFERROR(__xludf.DUMMYFUNCTION("""COMPUTED_VALUE"""),7297.0)</f>
        <v>7297</v>
      </c>
    </row>
    <row r="421">
      <c r="A421" s="115"/>
      <c r="B421" s="115"/>
      <c r="C421" s="115" t="str">
        <f>IFERROR(__xludf.DUMMYFUNCTION("""COMPUTED_VALUE"""),"MYNTRA")</f>
        <v>MYNTRA</v>
      </c>
      <c r="D421" s="115">
        <f>IFERROR(__xludf.DUMMYFUNCTION("""COMPUTED_VALUE"""),520.0)</f>
        <v>520</v>
      </c>
      <c r="E421" s="115">
        <f>IFERROR(__xludf.DUMMYFUNCTION("""COMPUTED_VALUE"""),118.0)</f>
        <v>118</v>
      </c>
      <c r="F421" s="115">
        <f>IFERROR(__xludf.DUMMYFUNCTION("""COMPUTED_VALUE"""),367.0)</f>
        <v>367</v>
      </c>
      <c r="G421" s="115">
        <f>IFERROR(__xludf.DUMMYFUNCTION("""COMPUTED_VALUE"""),53.0)</f>
        <v>53</v>
      </c>
      <c r="H421" s="116">
        <f>IFERROR(__xludf.DUMMYFUNCTION("""COMPUTED_VALUE"""),45901.0)</f>
        <v>45901</v>
      </c>
      <c r="I421" s="115" t="str">
        <f>IFERROR(__xludf.DUMMYFUNCTION("""COMPUTED_VALUE"""),"20")</f>
        <v>20</v>
      </c>
      <c r="J421" s="115" t="str">
        <f>IFERROR(__xludf.DUMMYFUNCTION("""COMPUTED_VALUE"""),"2025-09-0120")</f>
        <v>2025-09-0120</v>
      </c>
      <c r="K421" s="115">
        <f>IFERROR(__xludf.DUMMYFUNCTION("""COMPUTED_VALUE"""),638.0)</f>
        <v>638</v>
      </c>
    </row>
    <row r="422">
      <c r="A422" s="115" t="str">
        <f>IFERROR(__xludf.DUMMYFUNCTION("""COMPUTED_VALUE"""),"EAST")</f>
        <v>EAST</v>
      </c>
      <c r="B422" s="115" t="str">
        <f>IFERROR(__xludf.DUMMYFUNCTION("""COMPUTED_VALUE"""),"Ashish Ranjan")</f>
        <v>Ashish Ranjan</v>
      </c>
      <c r="C422" s="115" t="str">
        <f>IFERROR(__xludf.DUMMYFUNCTION("""COMPUTED_VALUE"""),"EXTERNAL")</f>
        <v>EXTERNAL</v>
      </c>
      <c r="D422" s="115">
        <f>IFERROR(__xludf.DUMMYFUNCTION("""COMPUTED_VALUE"""),41919.0)</f>
        <v>41919</v>
      </c>
      <c r="E422" s="115">
        <f>IFERROR(__xludf.DUMMYFUNCTION("""COMPUTED_VALUE"""),3178.0)</f>
        <v>3178</v>
      </c>
      <c r="F422" s="115">
        <f>IFERROR(__xludf.DUMMYFUNCTION("""COMPUTED_VALUE"""),22624.0)</f>
        <v>22624</v>
      </c>
      <c r="G422" s="115">
        <f>IFERROR(__xludf.DUMMYFUNCTION("""COMPUTED_VALUE"""),1683.0)</f>
        <v>1683</v>
      </c>
      <c r="H422" s="116">
        <f>IFERROR(__xludf.DUMMYFUNCTION("""COMPUTED_VALUE"""),45901.0)</f>
        <v>45901</v>
      </c>
      <c r="I422" s="115" t="str">
        <f>IFERROR(__xludf.DUMMYFUNCTION("""COMPUTED_VALUE"""),"21")</f>
        <v>21</v>
      </c>
      <c r="J422" s="115" t="str">
        <f>IFERROR(__xludf.DUMMYFUNCTION("""COMPUTED_VALUE"""),"Ashish Ranjan2025-09-0121")</f>
        <v>Ashish Ranjan2025-09-0121</v>
      </c>
      <c r="K422" s="115">
        <f>IFERROR(__xludf.DUMMYFUNCTION("""COMPUTED_VALUE"""),45097.0)</f>
        <v>45097</v>
      </c>
    </row>
    <row r="423">
      <c r="A423" s="115" t="str">
        <f>IFERROR(__xludf.DUMMYFUNCTION("""COMPUTED_VALUE"""),"EAST")</f>
        <v>EAST</v>
      </c>
      <c r="B423" s="115" t="str">
        <f>IFERROR(__xludf.DUMMYFUNCTION("""COMPUTED_VALUE"""),"Ashish Ranjan")</f>
        <v>Ashish Ranjan</v>
      </c>
      <c r="C423" s="115" t="str">
        <f>IFERROR(__xludf.DUMMYFUNCTION("""COMPUTED_VALUE"""),"FLIPKART")</f>
        <v>FLIPKART</v>
      </c>
      <c r="D423" s="115">
        <f>IFERROR(__xludf.DUMMYFUNCTION("""COMPUTED_VALUE"""),607679.0)</f>
        <v>607679</v>
      </c>
      <c r="E423" s="115">
        <f>IFERROR(__xludf.DUMMYFUNCTION("""COMPUTED_VALUE"""),63812.0)</f>
        <v>63812</v>
      </c>
      <c r="F423" s="115">
        <f>IFERROR(__xludf.DUMMYFUNCTION("""COMPUTED_VALUE"""),531120.0)</f>
        <v>531120</v>
      </c>
      <c r="G423" s="115">
        <f>IFERROR(__xludf.DUMMYFUNCTION("""COMPUTED_VALUE"""),50035.0)</f>
        <v>50035</v>
      </c>
      <c r="H423" s="116">
        <f>IFERROR(__xludf.DUMMYFUNCTION("""COMPUTED_VALUE"""),45901.0)</f>
        <v>45901</v>
      </c>
      <c r="I423" s="115" t="str">
        <f>IFERROR(__xludf.DUMMYFUNCTION("""COMPUTED_VALUE"""),"21")</f>
        <v>21</v>
      </c>
      <c r="J423" s="115" t="str">
        <f>IFERROR(__xludf.DUMMYFUNCTION("""COMPUTED_VALUE"""),"Ashish Ranjan2025-09-0121")</f>
        <v>Ashish Ranjan2025-09-0121</v>
      </c>
      <c r="K423" s="115">
        <f>IFERROR(__xludf.DUMMYFUNCTION("""COMPUTED_VALUE"""),671491.0)</f>
        <v>671491</v>
      </c>
    </row>
    <row r="424">
      <c r="A424" s="115" t="str">
        <f>IFERROR(__xludf.DUMMYFUNCTION("""COMPUTED_VALUE"""),"EAST")</f>
        <v>EAST</v>
      </c>
      <c r="B424" s="115" t="str">
        <f>IFERROR(__xludf.DUMMYFUNCTION("""COMPUTED_VALUE"""),"Ashish Ranjan")</f>
        <v>Ashish Ranjan</v>
      </c>
      <c r="C424" s="115" t="str">
        <f>IFERROR(__xludf.DUMMYFUNCTION("""COMPUTED_VALUE"""),"MYNTRA")</f>
        <v>MYNTRA</v>
      </c>
      <c r="D424" s="115">
        <f>IFERROR(__xludf.DUMMYFUNCTION("""COMPUTED_VALUE"""),58514.0)</f>
        <v>58514</v>
      </c>
      <c r="E424" s="115">
        <f>IFERROR(__xludf.DUMMYFUNCTION("""COMPUTED_VALUE"""),10926.0)</f>
        <v>10926</v>
      </c>
      <c r="F424" s="115">
        <f>IFERROR(__xludf.DUMMYFUNCTION("""COMPUTED_VALUE"""),52140.0)</f>
        <v>52140</v>
      </c>
      <c r="G424" s="115">
        <f>IFERROR(__xludf.DUMMYFUNCTION("""COMPUTED_VALUE"""),8440.0)</f>
        <v>8440</v>
      </c>
      <c r="H424" s="116">
        <f>IFERROR(__xludf.DUMMYFUNCTION("""COMPUTED_VALUE"""),45901.0)</f>
        <v>45901</v>
      </c>
      <c r="I424" s="115" t="str">
        <f>IFERROR(__xludf.DUMMYFUNCTION("""COMPUTED_VALUE"""),"21")</f>
        <v>21</v>
      </c>
      <c r="J424" s="115" t="str">
        <f>IFERROR(__xludf.DUMMYFUNCTION("""COMPUTED_VALUE"""),"Ashish Ranjan2025-09-0121")</f>
        <v>Ashish Ranjan2025-09-0121</v>
      </c>
      <c r="K424" s="115">
        <f>IFERROR(__xludf.DUMMYFUNCTION("""COMPUTED_VALUE"""),69440.0)</f>
        <v>69440</v>
      </c>
    </row>
    <row r="425">
      <c r="A425" s="115" t="str">
        <f>IFERROR(__xludf.DUMMYFUNCTION("""COMPUTED_VALUE"""),"EAST")</f>
        <v>EAST</v>
      </c>
      <c r="B425" s="115" t="str">
        <f>IFERROR(__xludf.DUMMYFUNCTION("""COMPUTED_VALUE"""),"Girish Chand")</f>
        <v>Girish Chand</v>
      </c>
      <c r="C425" s="115" t="str">
        <f>IFERROR(__xludf.DUMMYFUNCTION("""COMPUTED_VALUE"""),"EXTERNAL")</f>
        <v>EXTERNAL</v>
      </c>
      <c r="D425" s="115">
        <f>IFERROR(__xludf.DUMMYFUNCTION("""COMPUTED_VALUE"""),25613.0)</f>
        <v>25613</v>
      </c>
      <c r="E425" s="115">
        <f>IFERROR(__xludf.DUMMYFUNCTION("""COMPUTED_VALUE"""),2453.0)</f>
        <v>2453</v>
      </c>
      <c r="F425" s="115">
        <f>IFERROR(__xludf.DUMMYFUNCTION("""COMPUTED_VALUE"""),10863.0)</f>
        <v>10863</v>
      </c>
      <c r="G425" s="115">
        <f>IFERROR(__xludf.DUMMYFUNCTION("""COMPUTED_VALUE"""),802.0)</f>
        <v>802</v>
      </c>
      <c r="H425" s="116">
        <f>IFERROR(__xludf.DUMMYFUNCTION("""COMPUTED_VALUE"""),45901.0)</f>
        <v>45901</v>
      </c>
      <c r="I425" s="115" t="str">
        <f>IFERROR(__xludf.DUMMYFUNCTION("""COMPUTED_VALUE"""),"21")</f>
        <v>21</v>
      </c>
      <c r="J425" s="115" t="str">
        <f>IFERROR(__xludf.DUMMYFUNCTION("""COMPUTED_VALUE"""),"Girish Chand2025-09-0121")</f>
        <v>Girish Chand2025-09-0121</v>
      </c>
      <c r="K425" s="115">
        <f>IFERROR(__xludf.DUMMYFUNCTION("""COMPUTED_VALUE"""),28066.0)</f>
        <v>28066</v>
      </c>
    </row>
    <row r="426">
      <c r="A426" s="115" t="str">
        <f>IFERROR(__xludf.DUMMYFUNCTION("""COMPUTED_VALUE"""),"EAST")</f>
        <v>EAST</v>
      </c>
      <c r="B426" s="115" t="str">
        <f>IFERROR(__xludf.DUMMYFUNCTION("""COMPUTED_VALUE"""),"Girish Chand")</f>
        <v>Girish Chand</v>
      </c>
      <c r="C426" s="115" t="str">
        <f>IFERROR(__xludf.DUMMYFUNCTION("""COMPUTED_VALUE"""),"FLIPKART")</f>
        <v>FLIPKART</v>
      </c>
      <c r="D426" s="115">
        <f>IFERROR(__xludf.DUMMYFUNCTION("""COMPUTED_VALUE"""),417232.0)</f>
        <v>417232</v>
      </c>
      <c r="E426" s="115">
        <f>IFERROR(__xludf.DUMMYFUNCTION("""COMPUTED_VALUE"""),38937.0)</f>
        <v>38937</v>
      </c>
      <c r="F426" s="115">
        <f>IFERROR(__xludf.DUMMYFUNCTION("""COMPUTED_VALUE"""),309666.0)</f>
        <v>309666</v>
      </c>
      <c r="G426" s="115">
        <f>IFERROR(__xludf.DUMMYFUNCTION("""COMPUTED_VALUE"""),26723.0)</f>
        <v>26723</v>
      </c>
      <c r="H426" s="116">
        <f>IFERROR(__xludf.DUMMYFUNCTION("""COMPUTED_VALUE"""),45901.0)</f>
        <v>45901</v>
      </c>
      <c r="I426" s="115" t="str">
        <f>IFERROR(__xludf.DUMMYFUNCTION("""COMPUTED_VALUE"""),"21")</f>
        <v>21</v>
      </c>
      <c r="J426" s="115" t="str">
        <f>IFERROR(__xludf.DUMMYFUNCTION("""COMPUTED_VALUE"""),"Girish Chand2025-09-0121")</f>
        <v>Girish Chand2025-09-0121</v>
      </c>
      <c r="K426" s="115">
        <f>IFERROR(__xludf.DUMMYFUNCTION("""COMPUTED_VALUE"""),456169.0)</f>
        <v>456169</v>
      </c>
    </row>
    <row r="427">
      <c r="A427" s="115" t="str">
        <f>IFERROR(__xludf.DUMMYFUNCTION("""COMPUTED_VALUE"""),"EAST")</f>
        <v>EAST</v>
      </c>
      <c r="B427" s="115" t="str">
        <f>IFERROR(__xludf.DUMMYFUNCTION("""COMPUTED_VALUE"""),"Girish Chand")</f>
        <v>Girish Chand</v>
      </c>
      <c r="C427" s="115" t="str">
        <f>IFERROR(__xludf.DUMMYFUNCTION("""COMPUTED_VALUE"""),"MYNTRA")</f>
        <v>MYNTRA</v>
      </c>
      <c r="D427" s="115">
        <f>IFERROR(__xludf.DUMMYFUNCTION("""COMPUTED_VALUE"""),32173.0)</f>
        <v>32173</v>
      </c>
      <c r="E427" s="115">
        <f>IFERROR(__xludf.DUMMYFUNCTION("""COMPUTED_VALUE"""),5986.0)</f>
        <v>5986</v>
      </c>
      <c r="F427" s="115">
        <f>IFERROR(__xludf.DUMMYFUNCTION("""COMPUTED_VALUE"""),25275.0)</f>
        <v>25275</v>
      </c>
      <c r="G427" s="115">
        <f>IFERROR(__xludf.DUMMYFUNCTION("""COMPUTED_VALUE"""),4252.0)</f>
        <v>4252</v>
      </c>
      <c r="H427" s="116">
        <f>IFERROR(__xludf.DUMMYFUNCTION("""COMPUTED_VALUE"""),45901.0)</f>
        <v>45901</v>
      </c>
      <c r="I427" s="115" t="str">
        <f>IFERROR(__xludf.DUMMYFUNCTION("""COMPUTED_VALUE"""),"21")</f>
        <v>21</v>
      </c>
      <c r="J427" s="115" t="str">
        <f>IFERROR(__xludf.DUMMYFUNCTION("""COMPUTED_VALUE"""),"Girish Chand2025-09-0121")</f>
        <v>Girish Chand2025-09-0121</v>
      </c>
      <c r="K427" s="115">
        <f>IFERROR(__xludf.DUMMYFUNCTION("""COMPUTED_VALUE"""),38159.0)</f>
        <v>38159</v>
      </c>
    </row>
    <row r="428">
      <c r="A428" s="115" t="str">
        <f>IFERROR(__xludf.DUMMYFUNCTION("""COMPUTED_VALUE"""),"EAST")</f>
        <v>EAST</v>
      </c>
      <c r="B428" s="115" t="str">
        <f>IFERROR(__xludf.DUMMYFUNCTION("""COMPUTED_VALUE"""),"Parag Kashyap")</f>
        <v>Parag Kashyap</v>
      </c>
      <c r="C428" s="115" t="str">
        <f>IFERROR(__xludf.DUMMYFUNCTION("""COMPUTED_VALUE"""),"EXTERNAL")</f>
        <v>EXTERNAL</v>
      </c>
      <c r="D428" s="115">
        <f>IFERROR(__xludf.DUMMYFUNCTION("""COMPUTED_VALUE"""),23244.0)</f>
        <v>23244</v>
      </c>
      <c r="E428" s="115">
        <f>IFERROR(__xludf.DUMMYFUNCTION("""COMPUTED_VALUE"""),1303.0)</f>
        <v>1303</v>
      </c>
      <c r="F428" s="115">
        <f>IFERROR(__xludf.DUMMYFUNCTION("""COMPUTED_VALUE"""),9989.0)</f>
        <v>9989</v>
      </c>
      <c r="G428" s="115">
        <f>IFERROR(__xludf.DUMMYFUNCTION("""COMPUTED_VALUE"""),422.0)</f>
        <v>422</v>
      </c>
      <c r="H428" s="116">
        <f>IFERROR(__xludf.DUMMYFUNCTION("""COMPUTED_VALUE"""),45901.0)</f>
        <v>45901</v>
      </c>
      <c r="I428" s="115" t="str">
        <f>IFERROR(__xludf.DUMMYFUNCTION("""COMPUTED_VALUE"""),"21")</f>
        <v>21</v>
      </c>
      <c r="J428" s="115" t="str">
        <f>IFERROR(__xludf.DUMMYFUNCTION("""COMPUTED_VALUE"""),"Parag Kashyap2025-09-0121")</f>
        <v>Parag Kashyap2025-09-0121</v>
      </c>
      <c r="K428" s="115">
        <f>IFERROR(__xludf.DUMMYFUNCTION("""COMPUTED_VALUE"""),24547.0)</f>
        <v>24547</v>
      </c>
    </row>
    <row r="429">
      <c r="A429" s="115" t="str">
        <f>IFERROR(__xludf.DUMMYFUNCTION("""COMPUTED_VALUE"""),"EAST")</f>
        <v>EAST</v>
      </c>
      <c r="B429" s="115" t="str">
        <f>IFERROR(__xludf.DUMMYFUNCTION("""COMPUTED_VALUE"""),"Parag Kashyap")</f>
        <v>Parag Kashyap</v>
      </c>
      <c r="C429" s="115" t="str">
        <f>IFERROR(__xludf.DUMMYFUNCTION("""COMPUTED_VALUE"""),"FLIPKART")</f>
        <v>FLIPKART</v>
      </c>
      <c r="D429" s="115">
        <f>IFERROR(__xludf.DUMMYFUNCTION("""COMPUTED_VALUE"""),321739.0)</f>
        <v>321739</v>
      </c>
      <c r="E429" s="115">
        <f>IFERROR(__xludf.DUMMYFUNCTION("""COMPUTED_VALUE"""),18823.0)</f>
        <v>18823</v>
      </c>
      <c r="F429" s="115">
        <f>IFERROR(__xludf.DUMMYFUNCTION("""COMPUTED_VALUE"""),250979.0)</f>
        <v>250979</v>
      </c>
      <c r="G429" s="115">
        <f>IFERROR(__xludf.DUMMYFUNCTION("""COMPUTED_VALUE"""),12729.0)</f>
        <v>12729</v>
      </c>
      <c r="H429" s="116">
        <f>IFERROR(__xludf.DUMMYFUNCTION("""COMPUTED_VALUE"""),45901.0)</f>
        <v>45901</v>
      </c>
      <c r="I429" s="115" t="str">
        <f>IFERROR(__xludf.DUMMYFUNCTION("""COMPUTED_VALUE"""),"21")</f>
        <v>21</v>
      </c>
      <c r="J429" s="115" t="str">
        <f>IFERROR(__xludf.DUMMYFUNCTION("""COMPUTED_VALUE"""),"Parag Kashyap2025-09-0121")</f>
        <v>Parag Kashyap2025-09-0121</v>
      </c>
      <c r="K429" s="115">
        <f>IFERROR(__xludf.DUMMYFUNCTION("""COMPUTED_VALUE"""),340562.0)</f>
        <v>340562</v>
      </c>
    </row>
    <row r="430">
      <c r="A430" s="115" t="str">
        <f>IFERROR(__xludf.DUMMYFUNCTION("""COMPUTED_VALUE"""),"EAST")</f>
        <v>EAST</v>
      </c>
      <c r="B430" s="115" t="str">
        <f>IFERROR(__xludf.DUMMYFUNCTION("""COMPUTED_VALUE"""),"Parag Kashyap")</f>
        <v>Parag Kashyap</v>
      </c>
      <c r="C430" s="115" t="str">
        <f>IFERROR(__xludf.DUMMYFUNCTION("""COMPUTED_VALUE"""),"MYNTRA")</f>
        <v>MYNTRA</v>
      </c>
      <c r="D430" s="115">
        <f>IFERROR(__xludf.DUMMYFUNCTION("""COMPUTED_VALUE"""),36511.0)</f>
        <v>36511</v>
      </c>
      <c r="E430" s="115">
        <f>IFERROR(__xludf.DUMMYFUNCTION("""COMPUTED_VALUE"""),4816.0)</f>
        <v>4816</v>
      </c>
      <c r="F430" s="115">
        <f>IFERROR(__xludf.DUMMYFUNCTION("""COMPUTED_VALUE"""),29249.0)</f>
        <v>29249</v>
      </c>
      <c r="G430" s="115">
        <f>IFERROR(__xludf.DUMMYFUNCTION("""COMPUTED_VALUE"""),3202.0)</f>
        <v>3202</v>
      </c>
      <c r="H430" s="116">
        <f>IFERROR(__xludf.DUMMYFUNCTION("""COMPUTED_VALUE"""),45901.0)</f>
        <v>45901</v>
      </c>
      <c r="I430" s="115" t="str">
        <f>IFERROR(__xludf.DUMMYFUNCTION("""COMPUTED_VALUE"""),"21")</f>
        <v>21</v>
      </c>
      <c r="J430" s="115" t="str">
        <f>IFERROR(__xludf.DUMMYFUNCTION("""COMPUTED_VALUE"""),"Parag Kashyap2025-09-0121")</f>
        <v>Parag Kashyap2025-09-0121</v>
      </c>
      <c r="K430" s="115">
        <f>IFERROR(__xludf.DUMMYFUNCTION("""COMPUTED_VALUE"""),41327.0)</f>
        <v>41327</v>
      </c>
    </row>
    <row r="431">
      <c r="A431" s="115" t="str">
        <f>IFERROR(__xludf.DUMMYFUNCTION("""COMPUTED_VALUE"""),"NORTH")</f>
        <v>NORTH</v>
      </c>
      <c r="B431" s="115" t="str">
        <f>IFERROR(__xludf.DUMMYFUNCTION("""COMPUTED_VALUE"""),"Amit Kumar Pathak")</f>
        <v>Amit Kumar Pathak</v>
      </c>
      <c r="C431" s="115" t="str">
        <f>IFERROR(__xludf.DUMMYFUNCTION("""COMPUTED_VALUE"""),"EXTERNAL")</f>
        <v>EXTERNAL</v>
      </c>
      <c r="D431" s="115">
        <f>IFERROR(__xludf.DUMMYFUNCTION("""COMPUTED_VALUE"""),29031.0)</f>
        <v>29031</v>
      </c>
      <c r="E431" s="115">
        <f>IFERROR(__xludf.DUMMYFUNCTION("""COMPUTED_VALUE"""),2432.0)</f>
        <v>2432</v>
      </c>
      <c r="F431" s="115">
        <f>IFERROR(__xludf.DUMMYFUNCTION("""COMPUTED_VALUE"""),8899.0)</f>
        <v>8899</v>
      </c>
      <c r="G431" s="115">
        <f>IFERROR(__xludf.DUMMYFUNCTION("""COMPUTED_VALUE"""),854.0)</f>
        <v>854</v>
      </c>
      <c r="H431" s="116">
        <f>IFERROR(__xludf.DUMMYFUNCTION("""COMPUTED_VALUE"""),45901.0)</f>
        <v>45901</v>
      </c>
      <c r="I431" s="115" t="str">
        <f>IFERROR(__xludf.DUMMYFUNCTION("""COMPUTED_VALUE"""),"21")</f>
        <v>21</v>
      </c>
      <c r="J431" s="115" t="str">
        <f>IFERROR(__xludf.DUMMYFUNCTION("""COMPUTED_VALUE"""),"Amit Kumar Pathak2025-09-0121")</f>
        <v>Amit Kumar Pathak2025-09-0121</v>
      </c>
      <c r="K431" s="115">
        <f>IFERROR(__xludf.DUMMYFUNCTION("""COMPUTED_VALUE"""),31463.0)</f>
        <v>31463</v>
      </c>
    </row>
    <row r="432">
      <c r="A432" s="115" t="str">
        <f>IFERROR(__xludf.DUMMYFUNCTION("""COMPUTED_VALUE"""),"NORTH")</f>
        <v>NORTH</v>
      </c>
      <c r="B432" s="115" t="str">
        <f>IFERROR(__xludf.DUMMYFUNCTION("""COMPUTED_VALUE"""),"Amit Kumar Pathak")</f>
        <v>Amit Kumar Pathak</v>
      </c>
      <c r="C432" s="115" t="str">
        <f>IFERROR(__xludf.DUMMYFUNCTION("""COMPUTED_VALUE"""),"FLIPKART")</f>
        <v>FLIPKART</v>
      </c>
      <c r="D432" s="115">
        <f>IFERROR(__xludf.DUMMYFUNCTION("""COMPUTED_VALUE"""),192685.0)</f>
        <v>192685</v>
      </c>
      <c r="E432" s="115">
        <f>IFERROR(__xludf.DUMMYFUNCTION("""COMPUTED_VALUE"""),22786.0)</f>
        <v>22786</v>
      </c>
      <c r="F432" s="115">
        <f>IFERROR(__xludf.DUMMYFUNCTION("""COMPUTED_VALUE"""),119521.0)</f>
        <v>119521</v>
      </c>
      <c r="G432" s="115">
        <f>IFERROR(__xludf.DUMMYFUNCTION("""COMPUTED_VALUE"""),12346.0)</f>
        <v>12346</v>
      </c>
      <c r="H432" s="116">
        <f>IFERROR(__xludf.DUMMYFUNCTION("""COMPUTED_VALUE"""),45901.0)</f>
        <v>45901</v>
      </c>
      <c r="I432" s="115" t="str">
        <f>IFERROR(__xludf.DUMMYFUNCTION("""COMPUTED_VALUE"""),"21")</f>
        <v>21</v>
      </c>
      <c r="J432" s="115" t="str">
        <f>IFERROR(__xludf.DUMMYFUNCTION("""COMPUTED_VALUE"""),"Amit Kumar Pathak2025-09-0121")</f>
        <v>Amit Kumar Pathak2025-09-0121</v>
      </c>
      <c r="K432" s="115">
        <f>IFERROR(__xludf.DUMMYFUNCTION("""COMPUTED_VALUE"""),215471.0)</f>
        <v>215471</v>
      </c>
    </row>
    <row r="433">
      <c r="A433" s="115" t="str">
        <f>IFERROR(__xludf.DUMMYFUNCTION("""COMPUTED_VALUE"""),"NORTH")</f>
        <v>NORTH</v>
      </c>
      <c r="B433" s="115" t="str">
        <f>IFERROR(__xludf.DUMMYFUNCTION("""COMPUTED_VALUE"""),"Amit Kumar Pathak")</f>
        <v>Amit Kumar Pathak</v>
      </c>
      <c r="C433" s="115" t="str">
        <f>IFERROR(__xludf.DUMMYFUNCTION("""COMPUTED_VALUE"""),"MYNTRA")</f>
        <v>MYNTRA</v>
      </c>
      <c r="D433" s="115">
        <f>IFERROR(__xludf.DUMMYFUNCTION("""COMPUTED_VALUE"""),16016.0)</f>
        <v>16016</v>
      </c>
      <c r="E433" s="115">
        <f>IFERROR(__xludf.DUMMYFUNCTION("""COMPUTED_VALUE"""),5245.0)</f>
        <v>5245</v>
      </c>
      <c r="F433" s="115">
        <f>IFERROR(__xludf.DUMMYFUNCTION("""COMPUTED_VALUE"""),11488.0)</f>
        <v>11488</v>
      </c>
      <c r="G433" s="115">
        <f>IFERROR(__xludf.DUMMYFUNCTION("""COMPUTED_VALUE"""),3018.0)</f>
        <v>3018</v>
      </c>
      <c r="H433" s="116">
        <f>IFERROR(__xludf.DUMMYFUNCTION("""COMPUTED_VALUE"""),45901.0)</f>
        <v>45901</v>
      </c>
      <c r="I433" s="115" t="str">
        <f>IFERROR(__xludf.DUMMYFUNCTION("""COMPUTED_VALUE"""),"21")</f>
        <v>21</v>
      </c>
      <c r="J433" s="115" t="str">
        <f>IFERROR(__xludf.DUMMYFUNCTION("""COMPUTED_VALUE"""),"Amit Kumar Pathak2025-09-0121")</f>
        <v>Amit Kumar Pathak2025-09-0121</v>
      </c>
      <c r="K433" s="115">
        <f>IFERROR(__xludf.DUMMYFUNCTION("""COMPUTED_VALUE"""),21261.0)</f>
        <v>21261</v>
      </c>
    </row>
    <row r="434">
      <c r="A434" s="115" t="str">
        <f>IFERROR(__xludf.DUMMYFUNCTION("""COMPUTED_VALUE"""),"NORTH")</f>
        <v>NORTH</v>
      </c>
      <c r="B434" s="115" t="str">
        <f>IFERROR(__xludf.DUMMYFUNCTION("""COMPUTED_VALUE"""),"Loveleen Singh")</f>
        <v>Loveleen Singh</v>
      </c>
      <c r="C434" s="115" t="str">
        <f>IFERROR(__xludf.DUMMYFUNCTION("""COMPUTED_VALUE"""),"EXTERNAL")</f>
        <v>EXTERNAL</v>
      </c>
      <c r="D434" s="115">
        <f>IFERROR(__xludf.DUMMYFUNCTION("""COMPUTED_VALUE"""),30002.0)</f>
        <v>30002</v>
      </c>
      <c r="E434" s="115">
        <f>IFERROR(__xludf.DUMMYFUNCTION("""COMPUTED_VALUE"""),2220.0)</f>
        <v>2220</v>
      </c>
      <c r="F434" s="115">
        <f>IFERROR(__xludf.DUMMYFUNCTION("""COMPUTED_VALUE"""),10443.0)</f>
        <v>10443</v>
      </c>
      <c r="G434" s="115">
        <f>IFERROR(__xludf.DUMMYFUNCTION("""COMPUTED_VALUE"""),500.0)</f>
        <v>500</v>
      </c>
      <c r="H434" s="116">
        <f>IFERROR(__xludf.DUMMYFUNCTION("""COMPUTED_VALUE"""),45901.0)</f>
        <v>45901</v>
      </c>
      <c r="I434" s="115" t="str">
        <f>IFERROR(__xludf.DUMMYFUNCTION("""COMPUTED_VALUE"""),"21")</f>
        <v>21</v>
      </c>
      <c r="J434" s="115" t="str">
        <f>IFERROR(__xludf.DUMMYFUNCTION("""COMPUTED_VALUE"""),"Loveleen Singh2025-09-0121")</f>
        <v>Loveleen Singh2025-09-0121</v>
      </c>
      <c r="K434" s="115">
        <f>IFERROR(__xludf.DUMMYFUNCTION("""COMPUTED_VALUE"""),32222.0)</f>
        <v>32222</v>
      </c>
    </row>
    <row r="435">
      <c r="A435" s="115" t="str">
        <f>IFERROR(__xludf.DUMMYFUNCTION("""COMPUTED_VALUE"""),"NORTH")</f>
        <v>NORTH</v>
      </c>
      <c r="B435" s="115" t="str">
        <f>IFERROR(__xludf.DUMMYFUNCTION("""COMPUTED_VALUE"""),"Loveleen Singh")</f>
        <v>Loveleen Singh</v>
      </c>
      <c r="C435" s="115" t="str">
        <f>IFERROR(__xludf.DUMMYFUNCTION("""COMPUTED_VALUE"""),"FLIPKART")</f>
        <v>FLIPKART</v>
      </c>
      <c r="D435" s="115">
        <f>IFERROR(__xludf.DUMMYFUNCTION("""COMPUTED_VALUE"""),147281.0)</f>
        <v>147281</v>
      </c>
      <c r="E435" s="115">
        <f>IFERROR(__xludf.DUMMYFUNCTION("""COMPUTED_VALUE"""),14117.0)</f>
        <v>14117</v>
      </c>
      <c r="F435" s="115">
        <f>IFERROR(__xludf.DUMMYFUNCTION("""COMPUTED_VALUE"""),98079.0)</f>
        <v>98079</v>
      </c>
      <c r="G435" s="115">
        <f>IFERROR(__xludf.DUMMYFUNCTION("""COMPUTED_VALUE"""),7511.0)</f>
        <v>7511</v>
      </c>
      <c r="H435" s="116">
        <f>IFERROR(__xludf.DUMMYFUNCTION("""COMPUTED_VALUE"""),45901.0)</f>
        <v>45901</v>
      </c>
      <c r="I435" s="115" t="str">
        <f>IFERROR(__xludf.DUMMYFUNCTION("""COMPUTED_VALUE"""),"21")</f>
        <v>21</v>
      </c>
      <c r="J435" s="115" t="str">
        <f>IFERROR(__xludf.DUMMYFUNCTION("""COMPUTED_VALUE"""),"Loveleen Singh2025-09-0121")</f>
        <v>Loveleen Singh2025-09-0121</v>
      </c>
      <c r="K435" s="115">
        <f>IFERROR(__xludf.DUMMYFUNCTION("""COMPUTED_VALUE"""),161398.0)</f>
        <v>161398</v>
      </c>
    </row>
    <row r="436">
      <c r="A436" s="115" t="str">
        <f>IFERROR(__xludf.DUMMYFUNCTION("""COMPUTED_VALUE"""),"NORTH")</f>
        <v>NORTH</v>
      </c>
      <c r="B436" s="115" t="str">
        <f>IFERROR(__xludf.DUMMYFUNCTION("""COMPUTED_VALUE"""),"Loveleen Singh")</f>
        <v>Loveleen Singh</v>
      </c>
      <c r="C436" s="115" t="str">
        <f>IFERROR(__xludf.DUMMYFUNCTION("""COMPUTED_VALUE"""),"MYNTRA")</f>
        <v>MYNTRA</v>
      </c>
      <c r="D436" s="115">
        <f>IFERROR(__xludf.DUMMYFUNCTION("""COMPUTED_VALUE"""),19371.0)</f>
        <v>19371</v>
      </c>
      <c r="E436" s="115">
        <f>IFERROR(__xludf.DUMMYFUNCTION("""COMPUTED_VALUE"""),5127.0)</f>
        <v>5127</v>
      </c>
      <c r="F436" s="115">
        <f>IFERROR(__xludf.DUMMYFUNCTION("""COMPUTED_VALUE"""),14662.0)</f>
        <v>14662</v>
      </c>
      <c r="G436" s="115">
        <f>IFERROR(__xludf.DUMMYFUNCTION("""COMPUTED_VALUE"""),2956.0)</f>
        <v>2956</v>
      </c>
      <c r="H436" s="116">
        <f>IFERROR(__xludf.DUMMYFUNCTION("""COMPUTED_VALUE"""),45901.0)</f>
        <v>45901</v>
      </c>
      <c r="I436" s="115" t="str">
        <f>IFERROR(__xludf.DUMMYFUNCTION("""COMPUTED_VALUE"""),"21")</f>
        <v>21</v>
      </c>
      <c r="J436" s="115" t="str">
        <f>IFERROR(__xludf.DUMMYFUNCTION("""COMPUTED_VALUE"""),"Loveleen Singh2025-09-0121")</f>
        <v>Loveleen Singh2025-09-0121</v>
      </c>
      <c r="K436" s="115">
        <f>IFERROR(__xludf.DUMMYFUNCTION("""COMPUTED_VALUE"""),24498.0)</f>
        <v>24498</v>
      </c>
    </row>
    <row r="437">
      <c r="A437" s="115" t="str">
        <f>IFERROR(__xludf.DUMMYFUNCTION("""COMPUTED_VALUE"""),"NORTH")</f>
        <v>NORTH</v>
      </c>
      <c r="B437" s="115" t="str">
        <f>IFERROR(__xludf.DUMMYFUNCTION("""COMPUTED_VALUE"""),"Manoj Harsh")</f>
        <v>Manoj Harsh</v>
      </c>
      <c r="C437" s="115" t="str">
        <f>IFERROR(__xludf.DUMMYFUNCTION("""COMPUTED_VALUE"""),"EXTERNAL")</f>
        <v>EXTERNAL</v>
      </c>
      <c r="D437" s="115">
        <f>IFERROR(__xludf.DUMMYFUNCTION("""COMPUTED_VALUE"""),33755.0)</f>
        <v>33755</v>
      </c>
      <c r="E437" s="115">
        <f>IFERROR(__xludf.DUMMYFUNCTION("""COMPUTED_VALUE"""),3219.0)</f>
        <v>3219</v>
      </c>
      <c r="F437" s="115">
        <f>IFERROR(__xludf.DUMMYFUNCTION("""COMPUTED_VALUE"""),13674.0)</f>
        <v>13674</v>
      </c>
      <c r="G437" s="115">
        <f>IFERROR(__xludf.DUMMYFUNCTION("""COMPUTED_VALUE"""),1098.0)</f>
        <v>1098</v>
      </c>
      <c r="H437" s="116">
        <f>IFERROR(__xludf.DUMMYFUNCTION("""COMPUTED_VALUE"""),45901.0)</f>
        <v>45901</v>
      </c>
      <c r="I437" s="115" t="str">
        <f>IFERROR(__xludf.DUMMYFUNCTION("""COMPUTED_VALUE"""),"21")</f>
        <v>21</v>
      </c>
      <c r="J437" s="115" t="str">
        <f>IFERROR(__xludf.DUMMYFUNCTION("""COMPUTED_VALUE"""),"Manoj Harsh2025-09-0121")</f>
        <v>Manoj Harsh2025-09-0121</v>
      </c>
      <c r="K437" s="115">
        <f>IFERROR(__xludf.DUMMYFUNCTION("""COMPUTED_VALUE"""),36974.0)</f>
        <v>36974</v>
      </c>
    </row>
    <row r="438">
      <c r="A438" s="115" t="str">
        <f>IFERROR(__xludf.DUMMYFUNCTION("""COMPUTED_VALUE"""),"NORTH")</f>
        <v>NORTH</v>
      </c>
      <c r="B438" s="115" t="str">
        <f>IFERROR(__xludf.DUMMYFUNCTION("""COMPUTED_VALUE"""),"Manoj Harsh")</f>
        <v>Manoj Harsh</v>
      </c>
      <c r="C438" s="115" t="str">
        <f>IFERROR(__xludf.DUMMYFUNCTION("""COMPUTED_VALUE"""),"FLIPKART")</f>
        <v>FLIPKART</v>
      </c>
      <c r="D438" s="115">
        <f>IFERROR(__xludf.DUMMYFUNCTION("""COMPUTED_VALUE"""),386035.0)</f>
        <v>386035</v>
      </c>
      <c r="E438" s="115">
        <f>IFERROR(__xludf.DUMMYFUNCTION("""COMPUTED_VALUE"""),39504.0)</f>
        <v>39504</v>
      </c>
      <c r="F438" s="115">
        <f>IFERROR(__xludf.DUMMYFUNCTION("""COMPUTED_VALUE"""),279923.0)</f>
        <v>279923</v>
      </c>
      <c r="G438" s="115">
        <f>IFERROR(__xludf.DUMMYFUNCTION("""COMPUTED_VALUE"""),24414.0)</f>
        <v>24414</v>
      </c>
      <c r="H438" s="116">
        <f>IFERROR(__xludf.DUMMYFUNCTION("""COMPUTED_VALUE"""),45901.0)</f>
        <v>45901</v>
      </c>
      <c r="I438" s="115" t="str">
        <f>IFERROR(__xludf.DUMMYFUNCTION("""COMPUTED_VALUE"""),"21")</f>
        <v>21</v>
      </c>
      <c r="J438" s="115" t="str">
        <f>IFERROR(__xludf.DUMMYFUNCTION("""COMPUTED_VALUE"""),"Manoj Harsh2025-09-0121")</f>
        <v>Manoj Harsh2025-09-0121</v>
      </c>
      <c r="K438" s="115">
        <f>IFERROR(__xludf.DUMMYFUNCTION("""COMPUTED_VALUE"""),425539.0)</f>
        <v>425539</v>
      </c>
    </row>
    <row r="439">
      <c r="A439" s="115" t="str">
        <f>IFERROR(__xludf.DUMMYFUNCTION("""COMPUTED_VALUE"""),"NORTH")</f>
        <v>NORTH</v>
      </c>
      <c r="B439" s="115" t="str">
        <f>IFERROR(__xludf.DUMMYFUNCTION("""COMPUTED_VALUE"""),"Manoj Harsh")</f>
        <v>Manoj Harsh</v>
      </c>
      <c r="C439" s="115" t="str">
        <f>IFERROR(__xludf.DUMMYFUNCTION("""COMPUTED_VALUE"""),"MYNTRA")</f>
        <v>MYNTRA</v>
      </c>
      <c r="D439" s="115">
        <f>IFERROR(__xludf.DUMMYFUNCTION("""COMPUTED_VALUE"""),33371.0)</f>
        <v>33371</v>
      </c>
      <c r="E439" s="115">
        <f>IFERROR(__xludf.DUMMYFUNCTION("""COMPUTED_VALUE"""),6433.0)</f>
        <v>6433</v>
      </c>
      <c r="F439" s="115">
        <f>IFERROR(__xludf.DUMMYFUNCTION("""COMPUTED_VALUE"""),26168.0)</f>
        <v>26168</v>
      </c>
      <c r="G439" s="115">
        <f>IFERROR(__xludf.DUMMYFUNCTION("""COMPUTED_VALUE"""),4136.0)</f>
        <v>4136</v>
      </c>
      <c r="H439" s="116">
        <f>IFERROR(__xludf.DUMMYFUNCTION("""COMPUTED_VALUE"""),45901.0)</f>
        <v>45901</v>
      </c>
      <c r="I439" s="115" t="str">
        <f>IFERROR(__xludf.DUMMYFUNCTION("""COMPUTED_VALUE"""),"21")</f>
        <v>21</v>
      </c>
      <c r="J439" s="115" t="str">
        <f>IFERROR(__xludf.DUMMYFUNCTION("""COMPUTED_VALUE"""),"Manoj Harsh2025-09-0121")</f>
        <v>Manoj Harsh2025-09-0121</v>
      </c>
      <c r="K439" s="115">
        <f>IFERROR(__xludf.DUMMYFUNCTION("""COMPUTED_VALUE"""),39804.0)</f>
        <v>39804</v>
      </c>
    </row>
    <row r="440">
      <c r="A440" s="115" t="str">
        <f>IFERROR(__xludf.DUMMYFUNCTION("""COMPUTED_VALUE"""),"NORTH")</f>
        <v>NORTH</v>
      </c>
      <c r="B440" s="115" t="str">
        <f>IFERROR(__xludf.DUMMYFUNCTION("""COMPUTED_VALUE"""),"Pradeep Kothari")</f>
        <v>Pradeep Kothari</v>
      </c>
      <c r="C440" s="115" t="str">
        <f>IFERROR(__xludf.DUMMYFUNCTION("""COMPUTED_VALUE"""),"EXTERNAL")</f>
        <v>EXTERNAL</v>
      </c>
      <c r="D440" s="115">
        <f>IFERROR(__xludf.DUMMYFUNCTION("""COMPUTED_VALUE"""),19394.0)</f>
        <v>19394</v>
      </c>
      <c r="E440" s="115">
        <f>IFERROR(__xludf.DUMMYFUNCTION("""COMPUTED_VALUE"""),2020.0)</f>
        <v>2020</v>
      </c>
      <c r="F440" s="115">
        <f>IFERROR(__xludf.DUMMYFUNCTION("""COMPUTED_VALUE"""),7408.0)</f>
        <v>7408</v>
      </c>
      <c r="G440" s="115">
        <f>IFERROR(__xludf.DUMMYFUNCTION("""COMPUTED_VALUE"""),694.0)</f>
        <v>694</v>
      </c>
      <c r="H440" s="116">
        <f>IFERROR(__xludf.DUMMYFUNCTION("""COMPUTED_VALUE"""),45901.0)</f>
        <v>45901</v>
      </c>
      <c r="I440" s="115" t="str">
        <f>IFERROR(__xludf.DUMMYFUNCTION("""COMPUTED_VALUE"""),"21")</f>
        <v>21</v>
      </c>
      <c r="J440" s="115" t="str">
        <f>IFERROR(__xludf.DUMMYFUNCTION("""COMPUTED_VALUE"""),"Pradeep Kothari2025-09-0121")</f>
        <v>Pradeep Kothari2025-09-0121</v>
      </c>
      <c r="K440" s="115">
        <f>IFERROR(__xludf.DUMMYFUNCTION("""COMPUTED_VALUE"""),21414.0)</f>
        <v>21414</v>
      </c>
    </row>
    <row r="441">
      <c r="A441" s="115" t="str">
        <f>IFERROR(__xludf.DUMMYFUNCTION("""COMPUTED_VALUE"""),"NORTH")</f>
        <v>NORTH</v>
      </c>
      <c r="B441" s="115" t="str">
        <f>IFERROR(__xludf.DUMMYFUNCTION("""COMPUTED_VALUE"""),"Pradeep Kothari")</f>
        <v>Pradeep Kothari</v>
      </c>
      <c r="C441" s="115" t="str">
        <f>IFERROR(__xludf.DUMMYFUNCTION("""COMPUTED_VALUE"""),"FLIPKART")</f>
        <v>FLIPKART</v>
      </c>
      <c r="D441" s="115">
        <f>IFERROR(__xludf.DUMMYFUNCTION("""COMPUTED_VALUE"""),136667.0)</f>
        <v>136667</v>
      </c>
      <c r="E441" s="115">
        <f>IFERROR(__xludf.DUMMYFUNCTION("""COMPUTED_VALUE"""),16436.0)</f>
        <v>16436</v>
      </c>
      <c r="F441" s="115">
        <f>IFERROR(__xludf.DUMMYFUNCTION("""COMPUTED_VALUE"""),99788.0)</f>
        <v>99788</v>
      </c>
      <c r="G441" s="115">
        <f>IFERROR(__xludf.DUMMYFUNCTION("""COMPUTED_VALUE"""),10439.0)</f>
        <v>10439</v>
      </c>
      <c r="H441" s="116">
        <f>IFERROR(__xludf.DUMMYFUNCTION("""COMPUTED_VALUE"""),45901.0)</f>
        <v>45901</v>
      </c>
      <c r="I441" s="115" t="str">
        <f>IFERROR(__xludf.DUMMYFUNCTION("""COMPUTED_VALUE"""),"21")</f>
        <v>21</v>
      </c>
      <c r="J441" s="115" t="str">
        <f>IFERROR(__xludf.DUMMYFUNCTION("""COMPUTED_VALUE"""),"Pradeep Kothari2025-09-0121")</f>
        <v>Pradeep Kothari2025-09-0121</v>
      </c>
      <c r="K441" s="115">
        <f>IFERROR(__xludf.DUMMYFUNCTION("""COMPUTED_VALUE"""),153103.0)</f>
        <v>153103</v>
      </c>
    </row>
    <row r="442">
      <c r="A442" s="115" t="str">
        <f>IFERROR(__xludf.DUMMYFUNCTION("""COMPUTED_VALUE"""),"NORTH")</f>
        <v>NORTH</v>
      </c>
      <c r="B442" s="115" t="str">
        <f>IFERROR(__xludf.DUMMYFUNCTION("""COMPUTED_VALUE"""),"Pradeep Kothari")</f>
        <v>Pradeep Kothari</v>
      </c>
      <c r="C442" s="115" t="str">
        <f>IFERROR(__xludf.DUMMYFUNCTION("""COMPUTED_VALUE"""),"MYNTRA")</f>
        <v>MYNTRA</v>
      </c>
      <c r="D442" s="115">
        <f>IFERROR(__xludf.DUMMYFUNCTION("""COMPUTED_VALUE"""),23228.0)</f>
        <v>23228</v>
      </c>
      <c r="E442" s="115">
        <f>IFERROR(__xludf.DUMMYFUNCTION("""COMPUTED_VALUE"""),5690.0)</f>
        <v>5690</v>
      </c>
      <c r="F442" s="115">
        <f>IFERROR(__xludf.DUMMYFUNCTION("""COMPUTED_VALUE"""),19150.0)</f>
        <v>19150</v>
      </c>
      <c r="G442" s="115">
        <f>IFERROR(__xludf.DUMMYFUNCTION("""COMPUTED_VALUE"""),3988.0)</f>
        <v>3988</v>
      </c>
      <c r="H442" s="116">
        <f>IFERROR(__xludf.DUMMYFUNCTION("""COMPUTED_VALUE"""),45901.0)</f>
        <v>45901</v>
      </c>
      <c r="I442" s="115" t="str">
        <f>IFERROR(__xludf.DUMMYFUNCTION("""COMPUTED_VALUE"""),"21")</f>
        <v>21</v>
      </c>
      <c r="J442" s="115" t="str">
        <f>IFERROR(__xludf.DUMMYFUNCTION("""COMPUTED_VALUE"""),"Pradeep Kothari2025-09-0121")</f>
        <v>Pradeep Kothari2025-09-0121</v>
      </c>
      <c r="K442" s="115">
        <f>IFERROR(__xludf.DUMMYFUNCTION("""COMPUTED_VALUE"""),28918.0)</f>
        <v>28918</v>
      </c>
    </row>
    <row r="443">
      <c r="A443" s="115" t="str">
        <f>IFERROR(__xludf.DUMMYFUNCTION("""COMPUTED_VALUE"""),"SOUTH")</f>
        <v>SOUTH</v>
      </c>
      <c r="B443" s="115" t="str">
        <f>IFERROR(__xludf.DUMMYFUNCTION("""COMPUTED_VALUE"""),"Kandula Sampath")</f>
        <v>Kandula Sampath</v>
      </c>
      <c r="C443" s="115" t="str">
        <f>IFERROR(__xludf.DUMMYFUNCTION("""COMPUTED_VALUE"""),"EXTERNAL")</f>
        <v>EXTERNAL</v>
      </c>
      <c r="D443" s="115">
        <f>IFERROR(__xludf.DUMMYFUNCTION("""COMPUTED_VALUE"""),40515.0)</f>
        <v>40515</v>
      </c>
      <c r="E443" s="115">
        <f>IFERROR(__xludf.DUMMYFUNCTION("""COMPUTED_VALUE"""),4224.0)</f>
        <v>4224</v>
      </c>
      <c r="F443" s="115">
        <f>IFERROR(__xludf.DUMMYFUNCTION("""COMPUTED_VALUE"""),16992.0)</f>
        <v>16992</v>
      </c>
      <c r="G443" s="115">
        <f>IFERROR(__xludf.DUMMYFUNCTION("""COMPUTED_VALUE"""),1413.0)</f>
        <v>1413</v>
      </c>
      <c r="H443" s="116">
        <f>IFERROR(__xludf.DUMMYFUNCTION("""COMPUTED_VALUE"""),45901.0)</f>
        <v>45901</v>
      </c>
      <c r="I443" s="115" t="str">
        <f>IFERROR(__xludf.DUMMYFUNCTION("""COMPUTED_VALUE"""),"21")</f>
        <v>21</v>
      </c>
      <c r="J443" s="115" t="str">
        <f>IFERROR(__xludf.DUMMYFUNCTION("""COMPUTED_VALUE"""),"Kandula Sampath2025-09-0121")</f>
        <v>Kandula Sampath2025-09-0121</v>
      </c>
      <c r="K443" s="115">
        <f>IFERROR(__xludf.DUMMYFUNCTION("""COMPUTED_VALUE"""),44739.0)</f>
        <v>44739</v>
      </c>
    </row>
    <row r="444">
      <c r="A444" s="115" t="str">
        <f>IFERROR(__xludf.DUMMYFUNCTION("""COMPUTED_VALUE"""),"SOUTH")</f>
        <v>SOUTH</v>
      </c>
      <c r="B444" s="115" t="str">
        <f>IFERROR(__xludf.DUMMYFUNCTION("""COMPUTED_VALUE"""),"Kandula Sampath")</f>
        <v>Kandula Sampath</v>
      </c>
      <c r="C444" s="115" t="str">
        <f>IFERROR(__xludf.DUMMYFUNCTION("""COMPUTED_VALUE"""),"FLIPKART")</f>
        <v>FLIPKART</v>
      </c>
      <c r="D444" s="115">
        <f>IFERROR(__xludf.DUMMYFUNCTION("""COMPUTED_VALUE"""),337582.0)</f>
        <v>337582</v>
      </c>
      <c r="E444" s="115">
        <f>IFERROR(__xludf.DUMMYFUNCTION("""COMPUTED_VALUE"""),32431.0)</f>
        <v>32431</v>
      </c>
      <c r="F444" s="115">
        <f>IFERROR(__xludf.DUMMYFUNCTION("""COMPUTED_VALUE"""),249040.0)</f>
        <v>249040</v>
      </c>
      <c r="G444" s="115">
        <f>IFERROR(__xludf.DUMMYFUNCTION("""COMPUTED_VALUE"""),19590.0)</f>
        <v>19590</v>
      </c>
      <c r="H444" s="116">
        <f>IFERROR(__xludf.DUMMYFUNCTION("""COMPUTED_VALUE"""),45901.0)</f>
        <v>45901</v>
      </c>
      <c r="I444" s="115" t="str">
        <f>IFERROR(__xludf.DUMMYFUNCTION("""COMPUTED_VALUE"""),"21")</f>
        <v>21</v>
      </c>
      <c r="J444" s="115" t="str">
        <f>IFERROR(__xludf.DUMMYFUNCTION("""COMPUTED_VALUE"""),"Kandula Sampath2025-09-0121")</f>
        <v>Kandula Sampath2025-09-0121</v>
      </c>
      <c r="K444" s="115">
        <f>IFERROR(__xludf.DUMMYFUNCTION("""COMPUTED_VALUE"""),370013.0)</f>
        <v>370013</v>
      </c>
    </row>
    <row r="445">
      <c r="A445" s="115" t="str">
        <f>IFERROR(__xludf.DUMMYFUNCTION("""COMPUTED_VALUE"""),"SOUTH")</f>
        <v>SOUTH</v>
      </c>
      <c r="B445" s="115" t="str">
        <f>IFERROR(__xludf.DUMMYFUNCTION("""COMPUTED_VALUE"""),"Kandula Sampath")</f>
        <v>Kandula Sampath</v>
      </c>
      <c r="C445" s="115" t="str">
        <f>IFERROR(__xludf.DUMMYFUNCTION("""COMPUTED_VALUE"""),"MYNTRA")</f>
        <v>MYNTRA</v>
      </c>
      <c r="D445" s="115">
        <f>IFERROR(__xludf.DUMMYFUNCTION("""COMPUTED_VALUE"""),35201.0)</f>
        <v>35201</v>
      </c>
      <c r="E445" s="115">
        <f>IFERROR(__xludf.DUMMYFUNCTION("""COMPUTED_VALUE"""),7607.0)</f>
        <v>7607</v>
      </c>
      <c r="F445" s="115">
        <f>IFERROR(__xludf.DUMMYFUNCTION("""COMPUTED_VALUE"""),28608.0)</f>
        <v>28608</v>
      </c>
      <c r="G445" s="115">
        <f>IFERROR(__xludf.DUMMYFUNCTION("""COMPUTED_VALUE"""),4683.0)</f>
        <v>4683</v>
      </c>
      <c r="H445" s="116">
        <f>IFERROR(__xludf.DUMMYFUNCTION("""COMPUTED_VALUE"""),45901.0)</f>
        <v>45901</v>
      </c>
      <c r="I445" s="115" t="str">
        <f>IFERROR(__xludf.DUMMYFUNCTION("""COMPUTED_VALUE"""),"21")</f>
        <v>21</v>
      </c>
      <c r="J445" s="115" t="str">
        <f>IFERROR(__xludf.DUMMYFUNCTION("""COMPUTED_VALUE"""),"Kandula Sampath2025-09-0121")</f>
        <v>Kandula Sampath2025-09-0121</v>
      </c>
      <c r="K445" s="115">
        <f>IFERROR(__xludf.DUMMYFUNCTION("""COMPUTED_VALUE"""),42808.0)</f>
        <v>42808</v>
      </c>
    </row>
    <row r="446">
      <c r="A446" s="115" t="str">
        <f>IFERROR(__xludf.DUMMYFUNCTION("""COMPUTED_VALUE"""),"SOUTH")</f>
        <v>SOUTH</v>
      </c>
      <c r="B446" s="115" t="str">
        <f>IFERROR(__xludf.DUMMYFUNCTION("""COMPUTED_VALUE"""),"Martin A")</f>
        <v>Martin A</v>
      </c>
      <c r="C446" s="115" t="str">
        <f>IFERROR(__xludf.DUMMYFUNCTION("""COMPUTED_VALUE"""),"EXTERNAL")</f>
        <v>EXTERNAL</v>
      </c>
      <c r="D446" s="115">
        <f>IFERROR(__xludf.DUMMYFUNCTION("""COMPUTED_VALUE"""),40344.0)</f>
        <v>40344</v>
      </c>
      <c r="E446" s="115">
        <f>IFERROR(__xludf.DUMMYFUNCTION("""COMPUTED_VALUE"""),2655.0)</f>
        <v>2655</v>
      </c>
      <c r="F446" s="115">
        <f>IFERROR(__xludf.DUMMYFUNCTION("""COMPUTED_VALUE"""),16885.0)</f>
        <v>16885</v>
      </c>
      <c r="G446" s="115">
        <f>IFERROR(__xludf.DUMMYFUNCTION("""COMPUTED_VALUE"""),1140.0)</f>
        <v>1140</v>
      </c>
      <c r="H446" s="116">
        <f>IFERROR(__xludf.DUMMYFUNCTION("""COMPUTED_VALUE"""),45901.0)</f>
        <v>45901</v>
      </c>
      <c r="I446" s="115" t="str">
        <f>IFERROR(__xludf.DUMMYFUNCTION("""COMPUTED_VALUE"""),"21")</f>
        <v>21</v>
      </c>
      <c r="J446" s="115" t="str">
        <f>IFERROR(__xludf.DUMMYFUNCTION("""COMPUTED_VALUE"""),"Martin A2025-09-0121")</f>
        <v>Martin A2025-09-0121</v>
      </c>
      <c r="K446" s="115">
        <f>IFERROR(__xludf.DUMMYFUNCTION("""COMPUTED_VALUE"""),42999.0)</f>
        <v>42999</v>
      </c>
    </row>
    <row r="447">
      <c r="A447" s="115" t="str">
        <f>IFERROR(__xludf.DUMMYFUNCTION("""COMPUTED_VALUE"""),"SOUTH")</f>
        <v>SOUTH</v>
      </c>
      <c r="B447" s="115" t="str">
        <f>IFERROR(__xludf.DUMMYFUNCTION("""COMPUTED_VALUE"""),"Martin A")</f>
        <v>Martin A</v>
      </c>
      <c r="C447" s="115" t="str">
        <f>IFERROR(__xludf.DUMMYFUNCTION("""COMPUTED_VALUE"""),"FLIPKART")</f>
        <v>FLIPKART</v>
      </c>
      <c r="D447" s="115">
        <f>IFERROR(__xludf.DUMMYFUNCTION("""COMPUTED_VALUE"""),309301.0)</f>
        <v>309301</v>
      </c>
      <c r="E447" s="115">
        <f>IFERROR(__xludf.DUMMYFUNCTION("""COMPUTED_VALUE"""),28591.0)</f>
        <v>28591</v>
      </c>
      <c r="F447" s="115">
        <f>IFERROR(__xludf.DUMMYFUNCTION("""COMPUTED_VALUE"""),226288.0)</f>
        <v>226288</v>
      </c>
      <c r="G447" s="115">
        <f>IFERROR(__xludf.DUMMYFUNCTION("""COMPUTED_VALUE"""),17856.0)</f>
        <v>17856</v>
      </c>
      <c r="H447" s="116">
        <f>IFERROR(__xludf.DUMMYFUNCTION("""COMPUTED_VALUE"""),45901.0)</f>
        <v>45901</v>
      </c>
      <c r="I447" s="115" t="str">
        <f>IFERROR(__xludf.DUMMYFUNCTION("""COMPUTED_VALUE"""),"21")</f>
        <v>21</v>
      </c>
      <c r="J447" s="115" t="str">
        <f>IFERROR(__xludf.DUMMYFUNCTION("""COMPUTED_VALUE"""),"Martin A2025-09-0121")</f>
        <v>Martin A2025-09-0121</v>
      </c>
      <c r="K447" s="115">
        <f>IFERROR(__xludf.DUMMYFUNCTION("""COMPUTED_VALUE"""),337892.0)</f>
        <v>337892</v>
      </c>
    </row>
    <row r="448">
      <c r="A448" s="115" t="str">
        <f>IFERROR(__xludf.DUMMYFUNCTION("""COMPUTED_VALUE"""),"SOUTH")</f>
        <v>SOUTH</v>
      </c>
      <c r="B448" s="115" t="str">
        <f>IFERROR(__xludf.DUMMYFUNCTION("""COMPUTED_VALUE"""),"Martin A")</f>
        <v>Martin A</v>
      </c>
      <c r="C448" s="115" t="str">
        <f>IFERROR(__xludf.DUMMYFUNCTION("""COMPUTED_VALUE"""),"MYNTRA")</f>
        <v>MYNTRA</v>
      </c>
      <c r="D448" s="115">
        <f>IFERROR(__xludf.DUMMYFUNCTION("""COMPUTED_VALUE"""),27948.0)</f>
        <v>27948</v>
      </c>
      <c r="E448" s="115">
        <f>IFERROR(__xludf.DUMMYFUNCTION("""COMPUTED_VALUE"""),6606.0)</f>
        <v>6606</v>
      </c>
      <c r="F448" s="115">
        <f>IFERROR(__xludf.DUMMYFUNCTION("""COMPUTED_VALUE"""),23210.0)</f>
        <v>23210</v>
      </c>
      <c r="G448" s="115">
        <f>IFERROR(__xludf.DUMMYFUNCTION("""COMPUTED_VALUE"""),4281.0)</f>
        <v>4281</v>
      </c>
      <c r="H448" s="116">
        <f>IFERROR(__xludf.DUMMYFUNCTION("""COMPUTED_VALUE"""),45901.0)</f>
        <v>45901</v>
      </c>
      <c r="I448" s="115" t="str">
        <f>IFERROR(__xludf.DUMMYFUNCTION("""COMPUTED_VALUE"""),"21")</f>
        <v>21</v>
      </c>
      <c r="J448" s="115" t="str">
        <f>IFERROR(__xludf.DUMMYFUNCTION("""COMPUTED_VALUE"""),"Martin A2025-09-0121")</f>
        <v>Martin A2025-09-0121</v>
      </c>
      <c r="K448" s="115">
        <f>IFERROR(__xludf.DUMMYFUNCTION("""COMPUTED_VALUE"""),34554.0)</f>
        <v>34554</v>
      </c>
    </row>
    <row r="449">
      <c r="A449" s="115" t="str">
        <f>IFERROR(__xludf.DUMMYFUNCTION("""COMPUTED_VALUE"""),"SOUTH")</f>
        <v>SOUTH</v>
      </c>
      <c r="B449" s="115" t="str">
        <f>IFERROR(__xludf.DUMMYFUNCTION("""COMPUTED_VALUE"""),"Premkumar M")</f>
        <v>Premkumar M</v>
      </c>
      <c r="C449" s="115" t="str">
        <f>IFERROR(__xludf.DUMMYFUNCTION("""COMPUTED_VALUE"""),"EXTERNAL")</f>
        <v>EXTERNAL</v>
      </c>
      <c r="D449" s="115">
        <f>IFERROR(__xludf.DUMMYFUNCTION("""COMPUTED_VALUE"""),33856.0)</f>
        <v>33856</v>
      </c>
      <c r="E449" s="115">
        <f>IFERROR(__xludf.DUMMYFUNCTION("""COMPUTED_VALUE"""),2129.0)</f>
        <v>2129</v>
      </c>
      <c r="F449" s="115">
        <f>IFERROR(__xludf.DUMMYFUNCTION("""COMPUTED_VALUE"""),16938.0)</f>
        <v>16938</v>
      </c>
      <c r="G449" s="115">
        <f>IFERROR(__xludf.DUMMYFUNCTION("""COMPUTED_VALUE"""),773.0)</f>
        <v>773</v>
      </c>
      <c r="H449" s="116">
        <f>IFERROR(__xludf.DUMMYFUNCTION("""COMPUTED_VALUE"""),45901.0)</f>
        <v>45901</v>
      </c>
      <c r="I449" s="115" t="str">
        <f>IFERROR(__xludf.DUMMYFUNCTION("""COMPUTED_VALUE"""),"21")</f>
        <v>21</v>
      </c>
      <c r="J449" s="115" t="str">
        <f>IFERROR(__xludf.DUMMYFUNCTION("""COMPUTED_VALUE"""),"Premkumar M2025-09-0121")</f>
        <v>Premkumar M2025-09-0121</v>
      </c>
      <c r="K449" s="115">
        <f>IFERROR(__xludf.DUMMYFUNCTION("""COMPUTED_VALUE"""),35985.0)</f>
        <v>35985</v>
      </c>
    </row>
    <row r="450">
      <c r="A450" s="115" t="str">
        <f>IFERROR(__xludf.DUMMYFUNCTION("""COMPUTED_VALUE"""),"SOUTH")</f>
        <v>SOUTH</v>
      </c>
      <c r="B450" s="115" t="str">
        <f>IFERROR(__xludf.DUMMYFUNCTION("""COMPUTED_VALUE"""),"Premkumar M")</f>
        <v>Premkumar M</v>
      </c>
      <c r="C450" s="115" t="str">
        <f>IFERROR(__xludf.DUMMYFUNCTION("""COMPUTED_VALUE"""),"FLIPKART")</f>
        <v>FLIPKART</v>
      </c>
      <c r="D450" s="115">
        <f>IFERROR(__xludf.DUMMYFUNCTION("""COMPUTED_VALUE"""),291983.0)</f>
        <v>291983</v>
      </c>
      <c r="E450" s="115">
        <f>IFERROR(__xludf.DUMMYFUNCTION("""COMPUTED_VALUE"""),21092.0)</f>
        <v>21092</v>
      </c>
      <c r="F450" s="115">
        <f>IFERROR(__xludf.DUMMYFUNCTION("""COMPUTED_VALUE"""),226591.0)</f>
        <v>226591</v>
      </c>
      <c r="G450" s="115">
        <f>IFERROR(__xludf.DUMMYFUNCTION("""COMPUTED_VALUE"""),11047.0)</f>
        <v>11047</v>
      </c>
      <c r="H450" s="116">
        <f>IFERROR(__xludf.DUMMYFUNCTION("""COMPUTED_VALUE"""),45901.0)</f>
        <v>45901</v>
      </c>
      <c r="I450" s="115" t="str">
        <f>IFERROR(__xludf.DUMMYFUNCTION("""COMPUTED_VALUE"""),"21")</f>
        <v>21</v>
      </c>
      <c r="J450" s="115" t="str">
        <f>IFERROR(__xludf.DUMMYFUNCTION("""COMPUTED_VALUE"""),"Premkumar M2025-09-0121")</f>
        <v>Premkumar M2025-09-0121</v>
      </c>
      <c r="K450" s="115">
        <f>IFERROR(__xludf.DUMMYFUNCTION("""COMPUTED_VALUE"""),313075.0)</f>
        <v>313075</v>
      </c>
    </row>
    <row r="451">
      <c r="A451" s="115" t="str">
        <f>IFERROR(__xludf.DUMMYFUNCTION("""COMPUTED_VALUE"""),"SOUTH")</f>
        <v>SOUTH</v>
      </c>
      <c r="B451" s="115" t="str">
        <f>IFERROR(__xludf.DUMMYFUNCTION("""COMPUTED_VALUE"""),"Premkumar M")</f>
        <v>Premkumar M</v>
      </c>
      <c r="C451" s="115" t="str">
        <f>IFERROR(__xludf.DUMMYFUNCTION("""COMPUTED_VALUE"""),"MYNTRA")</f>
        <v>MYNTRA</v>
      </c>
      <c r="D451" s="115">
        <f>IFERROR(__xludf.DUMMYFUNCTION("""COMPUTED_VALUE"""),15384.0)</f>
        <v>15384</v>
      </c>
      <c r="E451" s="115">
        <f>IFERROR(__xludf.DUMMYFUNCTION("""COMPUTED_VALUE"""),3001.0)</f>
        <v>3001</v>
      </c>
      <c r="F451" s="115">
        <f>IFERROR(__xludf.DUMMYFUNCTION("""COMPUTED_VALUE"""),13153.0)</f>
        <v>13153</v>
      </c>
      <c r="G451" s="115">
        <f>IFERROR(__xludf.DUMMYFUNCTION("""COMPUTED_VALUE"""),1707.0)</f>
        <v>1707</v>
      </c>
      <c r="H451" s="116">
        <f>IFERROR(__xludf.DUMMYFUNCTION("""COMPUTED_VALUE"""),45901.0)</f>
        <v>45901</v>
      </c>
      <c r="I451" s="115" t="str">
        <f>IFERROR(__xludf.DUMMYFUNCTION("""COMPUTED_VALUE"""),"21")</f>
        <v>21</v>
      </c>
      <c r="J451" s="115" t="str">
        <f>IFERROR(__xludf.DUMMYFUNCTION("""COMPUTED_VALUE"""),"Premkumar M2025-09-0121")</f>
        <v>Premkumar M2025-09-0121</v>
      </c>
      <c r="K451" s="115">
        <f>IFERROR(__xludf.DUMMYFUNCTION("""COMPUTED_VALUE"""),18385.0)</f>
        <v>18385</v>
      </c>
    </row>
    <row r="452">
      <c r="A452" s="115" t="str">
        <f>IFERROR(__xludf.DUMMYFUNCTION("""COMPUTED_VALUE"""),"SOUTH")</f>
        <v>SOUTH</v>
      </c>
      <c r="B452" s="115" t="str">
        <f>IFERROR(__xludf.DUMMYFUNCTION("""COMPUTED_VALUE"""),"Vineeth V")</f>
        <v>Vineeth V</v>
      </c>
      <c r="C452" s="115" t="str">
        <f>IFERROR(__xludf.DUMMYFUNCTION("""COMPUTED_VALUE"""),"EXTERNAL")</f>
        <v>EXTERNAL</v>
      </c>
      <c r="D452" s="115">
        <f>IFERROR(__xludf.DUMMYFUNCTION("""COMPUTED_VALUE"""),23681.0)</f>
        <v>23681</v>
      </c>
      <c r="E452" s="115">
        <f>IFERROR(__xludf.DUMMYFUNCTION("""COMPUTED_VALUE"""),691.0)</f>
        <v>691</v>
      </c>
      <c r="F452" s="115">
        <f>IFERROR(__xludf.DUMMYFUNCTION("""COMPUTED_VALUE"""),12926.0)</f>
        <v>12926</v>
      </c>
      <c r="G452" s="115">
        <f>IFERROR(__xludf.DUMMYFUNCTION("""COMPUTED_VALUE"""),384.0)</f>
        <v>384</v>
      </c>
      <c r="H452" s="116">
        <f>IFERROR(__xludf.DUMMYFUNCTION("""COMPUTED_VALUE"""),45901.0)</f>
        <v>45901</v>
      </c>
      <c r="I452" s="115" t="str">
        <f>IFERROR(__xludf.DUMMYFUNCTION("""COMPUTED_VALUE"""),"21")</f>
        <v>21</v>
      </c>
      <c r="J452" s="115" t="str">
        <f>IFERROR(__xludf.DUMMYFUNCTION("""COMPUTED_VALUE"""),"Vineeth V2025-09-0121")</f>
        <v>Vineeth V2025-09-0121</v>
      </c>
      <c r="K452" s="115">
        <f>IFERROR(__xludf.DUMMYFUNCTION("""COMPUTED_VALUE"""),24372.0)</f>
        <v>24372</v>
      </c>
    </row>
    <row r="453">
      <c r="A453" s="115" t="str">
        <f>IFERROR(__xludf.DUMMYFUNCTION("""COMPUTED_VALUE"""),"SOUTH")</f>
        <v>SOUTH</v>
      </c>
      <c r="B453" s="115" t="str">
        <f>IFERROR(__xludf.DUMMYFUNCTION("""COMPUTED_VALUE"""),"Vineeth V")</f>
        <v>Vineeth V</v>
      </c>
      <c r="C453" s="115" t="str">
        <f>IFERROR(__xludf.DUMMYFUNCTION("""COMPUTED_VALUE"""),"FLIPKART")</f>
        <v>FLIPKART</v>
      </c>
      <c r="D453" s="115">
        <f>IFERROR(__xludf.DUMMYFUNCTION("""COMPUTED_VALUE"""),259676.0)</f>
        <v>259676</v>
      </c>
      <c r="E453" s="115">
        <f>IFERROR(__xludf.DUMMYFUNCTION("""COMPUTED_VALUE"""),17648.0)</f>
        <v>17648</v>
      </c>
      <c r="F453" s="115">
        <f>IFERROR(__xludf.DUMMYFUNCTION("""COMPUTED_VALUE"""),216574.0)</f>
        <v>216574</v>
      </c>
      <c r="G453" s="115">
        <f>IFERROR(__xludf.DUMMYFUNCTION("""COMPUTED_VALUE"""),10206.0)</f>
        <v>10206</v>
      </c>
      <c r="H453" s="116">
        <f>IFERROR(__xludf.DUMMYFUNCTION("""COMPUTED_VALUE"""),45901.0)</f>
        <v>45901</v>
      </c>
      <c r="I453" s="115" t="str">
        <f>IFERROR(__xludf.DUMMYFUNCTION("""COMPUTED_VALUE"""),"21")</f>
        <v>21</v>
      </c>
      <c r="J453" s="115" t="str">
        <f>IFERROR(__xludf.DUMMYFUNCTION("""COMPUTED_VALUE"""),"Vineeth V2025-09-0121")</f>
        <v>Vineeth V2025-09-0121</v>
      </c>
      <c r="K453" s="115">
        <f>IFERROR(__xludf.DUMMYFUNCTION("""COMPUTED_VALUE"""),277324.0)</f>
        <v>277324</v>
      </c>
    </row>
    <row r="454">
      <c r="A454" s="115" t="str">
        <f>IFERROR(__xludf.DUMMYFUNCTION("""COMPUTED_VALUE"""),"SOUTH")</f>
        <v>SOUTH</v>
      </c>
      <c r="B454" s="115" t="str">
        <f>IFERROR(__xludf.DUMMYFUNCTION("""COMPUTED_VALUE"""),"Vineeth V")</f>
        <v>Vineeth V</v>
      </c>
      <c r="C454" s="115" t="str">
        <f>IFERROR(__xludf.DUMMYFUNCTION("""COMPUTED_VALUE"""),"MYNTRA")</f>
        <v>MYNTRA</v>
      </c>
      <c r="D454" s="115">
        <f>IFERROR(__xludf.DUMMYFUNCTION("""COMPUTED_VALUE"""),22045.0)</f>
        <v>22045</v>
      </c>
      <c r="E454" s="115">
        <f>IFERROR(__xludf.DUMMYFUNCTION("""COMPUTED_VALUE"""),4115.0)</f>
        <v>4115</v>
      </c>
      <c r="F454" s="115">
        <f>IFERROR(__xludf.DUMMYFUNCTION("""COMPUTED_VALUE"""),19330.0)</f>
        <v>19330</v>
      </c>
      <c r="G454" s="115">
        <f>IFERROR(__xludf.DUMMYFUNCTION("""COMPUTED_VALUE"""),2419.0)</f>
        <v>2419</v>
      </c>
      <c r="H454" s="116">
        <f>IFERROR(__xludf.DUMMYFUNCTION("""COMPUTED_VALUE"""),45901.0)</f>
        <v>45901</v>
      </c>
      <c r="I454" s="115" t="str">
        <f>IFERROR(__xludf.DUMMYFUNCTION("""COMPUTED_VALUE"""),"21")</f>
        <v>21</v>
      </c>
      <c r="J454" s="115" t="str">
        <f>IFERROR(__xludf.DUMMYFUNCTION("""COMPUTED_VALUE"""),"Vineeth V2025-09-0121")</f>
        <v>Vineeth V2025-09-0121</v>
      </c>
      <c r="K454" s="115">
        <f>IFERROR(__xludf.DUMMYFUNCTION("""COMPUTED_VALUE"""),26160.0)</f>
        <v>26160</v>
      </c>
    </row>
    <row r="455">
      <c r="A455" s="115" t="str">
        <f>IFERROR(__xludf.DUMMYFUNCTION("""COMPUTED_VALUE"""),"WEST")</f>
        <v>WEST</v>
      </c>
      <c r="B455" s="115" t="str">
        <f>IFERROR(__xludf.DUMMYFUNCTION("""COMPUTED_VALUE"""),"Ashish Jakar")</f>
        <v>Ashish Jakar</v>
      </c>
      <c r="C455" s="115" t="str">
        <f>IFERROR(__xludf.DUMMYFUNCTION("""COMPUTED_VALUE"""),"EXTERNAL")</f>
        <v>EXTERNAL</v>
      </c>
      <c r="D455" s="115">
        <f>IFERROR(__xludf.DUMMYFUNCTION("""COMPUTED_VALUE"""),61401.0)</f>
        <v>61401</v>
      </c>
      <c r="E455" s="115">
        <f>IFERROR(__xludf.DUMMYFUNCTION("""COMPUTED_VALUE"""),7017.0)</f>
        <v>7017</v>
      </c>
      <c r="F455" s="115">
        <f>IFERROR(__xludf.DUMMYFUNCTION("""COMPUTED_VALUE"""),25384.0)</f>
        <v>25384</v>
      </c>
      <c r="G455" s="115">
        <f>IFERROR(__xludf.DUMMYFUNCTION("""COMPUTED_VALUE"""),2492.0)</f>
        <v>2492</v>
      </c>
      <c r="H455" s="116">
        <f>IFERROR(__xludf.DUMMYFUNCTION("""COMPUTED_VALUE"""),45901.0)</f>
        <v>45901</v>
      </c>
      <c r="I455" s="115" t="str">
        <f>IFERROR(__xludf.DUMMYFUNCTION("""COMPUTED_VALUE"""),"21")</f>
        <v>21</v>
      </c>
      <c r="J455" s="115" t="str">
        <f>IFERROR(__xludf.DUMMYFUNCTION("""COMPUTED_VALUE"""),"Ashish Jakar2025-09-0121")</f>
        <v>Ashish Jakar2025-09-0121</v>
      </c>
      <c r="K455" s="115">
        <f>IFERROR(__xludf.DUMMYFUNCTION("""COMPUTED_VALUE"""),68418.0)</f>
        <v>68418</v>
      </c>
    </row>
    <row r="456">
      <c r="A456" s="115" t="str">
        <f>IFERROR(__xludf.DUMMYFUNCTION("""COMPUTED_VALUE"""),"WEST")</f>
        <v>WEST</v>
      </c>
      <c r="B456" s="115" t="str">
        <f>IFERROR(__xludf.DUMMYFUNCTION("""COMPUTED_VALUE"""),"Ashish Jakar")</f>
        <v>Ashish Jakar</v>
      </c>
      <c r="C456" s="115" t="str">
        <f>IFERROR(__xludf.DUMMYFUNCTION("""COMPUTED_VALUE"""),"FLIPKART")</f>
        <v>FLIPKART</v>
      </c>
      <c r="D456" s="115">
        <f>IFERROR(__xludf.DUMMYFUNCTION("""COMPUTED_VALUE"""),328907.0)</f>
        <v>328907</v>
      </c>
      <c r="E456" s="115">
        <f>IFERROR(__xludf.DUMMYFUNCTION("""COMPUTED_VALUE"""),35081.0)</f>
        <v>35081</v>
      </c>
      <c r="F456" s="115">
        <f>IFERROR(__xludf.DUMMYFUNCTION("""COMPUTED_VALUE"""),240392.0)</f>
        <v>240392</v>
      </c>
      <c r="G456" s="115">
        <f>IFERROR(__xludf.DUMMYFUNCTION("""COMPUTED_VALUE"""),20401.0)</f>
        <v>20401</v>
      </c>
      <c r="H456" s="116">
        <f>IFERROR(__xludf.DUMMYFUNCTION("""COMPUTED_VALUE"""),45901.0)</f>
        <v>45901</v>
      </c>
      <c r="I456" s="115" t="str">
        <f>IFERROR(__xludf.DUMMYFUNCTION("""COMPUTED_VALUE"""),"21")</f>
        <v>21</v>
      </c>
      <c r="J456" s="115" t="str">
        <f>IFERROR(__xludf.DUMMYFUNCTION("""COMPUTED_VALUE"""),"Ashish Jakar2025-09-0121")</f>
        <v>Ashish Jakar2025-09-0121</v>
      </c>
      <c r="K456" s="115">
        <f>IFERROR(__xludf.DUMMYFUNCTION("""COMPUTED_VALUE"""),363988.0)</f>
        <v>363988</v>
      </c>
    </row>
    <row r="457">
      <c r="A457" s="115" t="str">
        <f>IFERROR(__xludf.DUMMYFUNCTION("""COMPUTED_VALUE"""),"WEST")</f>
        <v>WEST</v>
      </c>
      <c r="B457" s="115" t="str">
        <f>IFERROR(__xludf.DUMMYFUNCTION("""COMPUTED_VALUE"""),"Ashish Jakar")</f>
        <v>Ashish Jakar</v>
      </c>
      <c r="C457" s="115" t="str">
        <f>IFERROR(__xludf.DUMMYFUNCTION("""COMPUTED_VALUE"""),"MYNTRA")</f>
        <v>MYNTRA</v>
      </c>
      <c r="D457" s="115">
        <f>IFERROR(__xludf.DUMMYFUNCTION("""COMPUTED_VALUE"""),42762.0)</f>
        <v>42762</v>
      </c>
      <c r="E457" s="115">
        <f>IFERROR(__xludf.DUMMYFUNCTION("""COMPUTED_VALUE"""),10635.0)</f>
        <v>10635</v>
      </c>
      <c r="F457" s="115">
        <f>IFERROR(__xludf.DUMMYFUNCTION("""COMPUTED_VALUE"""),35361.0)</f>
        <v>35361</v>
      </c>
      <c r="G457" s="115">
        <f>IFERROR(__xludf.DUMMYFUNCTION("""COMPUTED_VALUE"""),6517.0)</f>
        <v>6517</v>
      </c>
      <c r="H457" s="116">
        <f>IFERROR(__xludf.DUMMYFUNCTION("""COMPUTED_VALUE"""),45901.0)</f>
        <v>45901</v>
      </c>
      <c r="I457" s="115" t="str">
        <f>IFERROR(__xludf.DUMMYFUNCTION("""COMPUTED_VALUE"""),"21")</f>
        <v>21</v>
      </c>
      <c r="J457" s="115" t="str">
        <f>IFERROR(__xludf.DUMMYFUNCTION("""COMPUTED_VALUE"""),"Ashish Jakar2025-09-0121")</f>
        <v>Ashish Jakar2025-09-0121</v>
      </c>
      <c r="K457" s="115">
        <f>IFERROR(__xludf.DUMMYFUNCTION("""COMPUTED_VALUE"""),53397.0)</f>
        <v>53397</v>
      </c>
    </row>
    <row r="458">
      <c r="A458" s="115" t="str">
        <f>IFERROR(__xludf.DUMMYFUNCTION("""COMPUTED_VALUE"""),"WEST")</f>
        <v>WEST</v>
      </c>
      <c r="B458" s="115" t="str">
        <f>IFERROR(__xludf.DUMMYFUNCTION("""COMPUTED_VALUE"""),"Ashvani Bhatt")</f>
        <v>Ashvani Bhatt</v>
      </c>
      <c r="C458" s="115" t="str">
        <f>IFERROR(__xludf.DUMMYFUNCTION("""COMPUTED_VALUE"""),"EXTERNAL")</f>
        <v>EXTERNAL</v>
      </c>
      <c r="D458" s="115">
        <f>IFERROR(__xludf.DUMMYFUNCTION("""COMPUTED_VALUE"""),40043.0)</f>
        <v>40043</v>
      </c>
      <c r="E458" s="115">
        <f>IFERROR(__xludf.DUMMYFUNCTION("""COMPUTED_VALUE"""),4132.0)</f>
        <v>4132</v>
      </c>
      <c r="F458" s="115">
        <f>IFERROR(__xludf.DUMMYFUNCTION("""COMPUTED_VALUE"""),16989.0)</f>
        <v>16989</v>
      </c>
      <c r="G458" s="115">
        <f>IFERROR(__xludf.DUMMYFUNCTION("""COMPUTED_VALUE"""),1598.0)</f>
        <v>1598</v>
      </c>
      <c r="H458" s="116">
        <f>IFERROR(__xludf.DUMMYFUNCTION("""COMPUTED_VALUE"""),45901.0)</f>
        <v>45901</v>
      </c>
      <c r="I458" s="115" t="str">
        <f>IFERROR(__xludf.DUMMYFUNCTION("""COMPUTED_VALUE"""),"21")</f>
        <v>21</v>
      </c>
      <c r="J458" s="115" t="str">
        <f>IFERROR(__xludf.DUMMYFUNCTION("""COMPUTED_VALUE"""),"Ashvani Bhatt2025-09-0121")</f>
        <v>Ashvani Bhatt2025-09-0121</v>
      </c>
      <c r="K458" s="115">
        <f>IFERROR(__xludf.DUMMYFUNCTION("""COMPUTED_VALUE"""),44175.0)</f>
        <v>44175</v>
      </c>
    </row>
    <row r="459">
      <c r="A459" s="115" t="str">
        <f>IFERROR(__xludf.DUMMYFUNCTION("""COMPUTED_VALUE"""),"WEST")</f>
        <v>WEST</v>
      </c>
      <c r="B459" s="115" t="str">
        <f>IFERROR(__xludf.DUMMYFUNCTION("""COMPUTED_VALUE"""),"Ashvani Bhatt")</f>
        <v>Ashvani Bhatt</v>
      </c>
      <c r="C459" s="115" t="str">
        <f>IFERROR(__xludf.DUMMYFUNCTION("""COMPUTED_VALUE"""),"FLIPKART")</f>
        <v>FLIPKART</v>
      </c>
      <c r="D459" s="115">
        <f>IFERROR(__xludf.DUMMYFUNCTION("""COMPUTED_VALUE"""),264673.0)</f>
        <v>264673</v>
      </c>
      <c r="E459" s="115">
        <f>IFERROR(__xludf.DUMMYFUNCTION("""COMPUTED_VALUE"""),30194.0)</f>
        <v>30194</v>
      </c>
      <c r="F459" s="115">
        <f>IFERROR(__xludf.DUMMYFUNCTION("""COMPUTED_VALUE"""),199828.0)</f>
        <v>199828</v>
      </c>
      <c r="G459" s="115">
        <f>IFERROR(__xludf.DUMMYFUNCTION("""COMPUTED_VALUE"""),19597.0)</f>
        <v>19597</v>
      </c>
      <c r="H459" s="116">
        <f>IFERROR(__xludf.DUMMYFUNCTION("""COMPUTED_VALUE"""),45901.0)</f>
        <v>45901</v>
      </c>
      <c r="I459" s="115" t="str">
        <f>IFERROR(__xludf.DUMMYFUNCTION("""COMPUTED_VALUE"""),"21")</f>
        <v>21</v>
      </c>
      <c r="J459" s="115" t="str">
        <f>IFERROR(__xludf.DUMMYFUNCTION("""COMPUTED_VALUE"""),"Ashvani Bhatt2025-09-0121")</f>
        <v>Ashvani Bhatt2025-09-0121</v>
      </c>
      <c r="K459" s="115">
        <f>IFERROR(__xludf.DUMMYFUNCTION("""COMPUTED_VALUE"""),294867.0)</f>
        <v>294867</v>
      </c>
    </row>
    <row r="460">
      <c r="A460" s="115" t="str">
        <f>IFERROR(__xludf.DUMMYFUNCTION("""COMPUTED_VALUE"""),"WEST")</f>
        <v>WEST</v>
      </c>
      <c r="B460" s="115" t="str">
        <f>IFERROR(__xludf.DUMMYFUNCTION("""COMPUTED_VALUE"""),"Ashvani Bhatt")</f>
        <v>Ashvani Bhatt</v>
      </c>
      <c r="C460" s="115" t="str">
        <f>IFERROR(__xludf.DUMMYFUNCTION("""COMPUTED_VALUE"""),"MYNTRA")</f>
        <v>MYNTRA</v>
      </c>
      <c r="D460" s="115">
        <f>IFERROR(__xludf.DUMMYFUNCTION("""COMPUTED_VALUE"""),32961.0)</f>
        <v>32961</v>
      </c>
      <c r="E460" s="115">
        <f>IFERROR(__xludf.DUMMYFUNCTION("""COMPUTED_VALUE"""),8206.0)</f>
        <v>8206</v>
      </c>
      <c r="F460" s="115">
        <f>IFERROR(__xludf.DUMMYFUNCTION("""COMPUTED_VALUE"""),27984.0)</f>
        <v>27984</v>
      </c>
      <c r="G460" s="115">
        <f>IFERROR(__xludf.DUMMYFUNCTION("""COMPUTED_VALUE"""),5639.0)</f>
        <v>5639</v>
      </c>
      <c r="H460" s="116">
        <f>IFERROR(__xludf.DUMMYFUNCTION("""COMPUTED_VALUE"""),45901.0)</f>
        <v>45901</v>
      </c>
      <c r="I460" s="115" t="str">
        <f>IFERROR(__xludf.DUMMYFUNCTION("""COMPUTED_VALUE"""),"21")</f>
        <v>21</v>
      </c>
      <c r="J460" s="115" t="str">
        <f>IFERROR(__xludf.DUMMYFUNCTION("""COMPUTED_VALUE"""),"Ashvani Bhatt2025-09-0121")</f>
        <v>Ashvani Bhatt2025-09-0121</v>
      </c>
      <c r="K460" s="115">
        <f>IFERROR(__xludf.DUMMYFUNCTION("""COMPUTED_VALUE"""),41167.0)</f>
        <v>41167</v>
      </c>
    </row>
    <row r="461">
      <c r="A461" s="115"/>
      <c r="B461" s="115"/>
      <c r="C461" s="115" t="str">
        <f>IFERROR(__xludf.DUMMYFUNCTION("""COMPUTED_VALUE"""),"EXTERNAL")</f>
        <v>EXTERNAL</v>
      </c>
      <c r="D461" s="115">
        <f>IFERROR(__xludf.DUMMYFUNCTION("""COMPUTED_VALUE"""),727.0)</f>
        <v>727</v>
      </c>
      <c r="E461" s="115">
        <f>IFERROR(__xludf.DUMMYFUNCTION("""COMPUTED_VALUE"""),77.0)</f>
        <v>77</v>
      </c>
      <c r="F461" s="115">
        <f>IFERROR(__xludf.DUMMYFUNCTION("""COMPUTED_VALUE"""),222.0)</f>
        <v>222</v>
      </c>
      <c r="G461" s="115">
        <f>IFERROR(__xludf.DUMMYFUNCTION("""COMPUTED_VALUE"""),42.0)</f>
        <v>42</v>
      </c>
      <c r="H461" s="116">
        <f>IFERROR(__xludf.DUMMYFUNCTION("""COMPUTED_VALUE"""),45901.0)</f>
        <v>45901</v>
      </c>
      <c r="I461" s="115" t="str">
        <f>IFERROR(__xludf.DUMMYFUNCTION("""COMPUTED_VALUE"""),"21")</f>
        <v>21</v>
      </c>
      <c r="J461" s="115" t="str">
        <f>IFERROR(__xludf.DUMMYFUNCTION("""COMPUTED_VALUE"""),"2025-09-0121")</f>
        <v>2025-09-0121</v>
      </c>
      <c r="K461" s="115">
        <f>IFERROR(__xludf.DUMMYFUNCTION("""COMPUTED_VALUE"""),804.0)</f>
        <v>804</v>
      </c>
    </row>
    <row r="462">
      <c r="A462" s="115"/>
      <c r="B462" s="115"/>
      <c r="C462" s="115" t="str">
        <f>IFERROR(__xludf.DUMMYFUNCTION("""COMPUTED_VALUE"""),"FLIPKART")</f>
        <v>FLIPKART</v>
      </c>
      <c r="D462" s="115">
        <f>IFERROR(__xludf.DUMMYFUNCTION("""COMPUTED_VALUE"""),6782.0)</f>
        <v>6782</v>
      </c>
      <c r="E462" s="115">
        <f>IFERROR(__xludf.DUMMYFUNCTION("""COMPUTED_VALUE"""),542.0)</f>
        <v>542</v>
      </c>
      <c r="F462" s="115">
        <f>IFERROR(__xludf.DUMMYFUNCTION("""COMPUTED_VALUE"""),4378.0)</f>
        <v>4378</v>
      </c>
      <c r="G462" s="115">
        <f>IFERROR(__xludf.DUMMYFUNCTION("""COMPUTED_VALUE"""),362.0)</f>
        <v>362</v>
      </c>
      <c r="H462" s="116">
        <f>IFERROR(__xludf.DUMMYFUNCTION("""COMPUTED_VALUE"""),45901.0)</f>
        <v>45901</v>
      </c>
      <c r="I462" s="115" t="str">
        <f>IFERROR(__xludf.DUMMYFUNCTION("""COMPUTED_VALUE"""),"21")</f>
        <v>21</v>
      </c>
      <c r="J462" s="115" t="str">
        <f>IFERROR(__xludf.DUMMYFUNCTION("""COMPUTED_VALUE"""),"2025-09-0121")</f>
        <v>2025-09-0121</v>
      </c>
      <c r="K462" s="115">
        <f>IFERROR(__xludf.DUMMYFUNCTION("""COMPUTED_VALUE"""),7324.0)</f>
        <v>7324</v>
      </c>
    </row>
    <row r="463">
      <c r="A463" s="115"/>
      <c r="B463" s="115"/>
      <c r="C463" s="115" t="str">
        <f>IFERROR(__xludf.DUMMYFUNCTION("""COMPUTED_VALUE"""),"MYNTRA")</f>
        <v>MYNTRA</v>
      </c>
      <c r="D463" s="115">
        <f>IFERROR(__xludf.DUMMYFUNCTION("""COMPUTED_VALUE"""),521.0)</f>
        <v>521</v>
      </c>
      <c r="E463" s="115">
        <f>IFERROR(__xludf.DUMMYFUNCTION("""COMPUTED_VALUE"""),118.0)</f>
        <v>118</v>
      </c>
      <c r="F463" s="115">
        <f>IFERROR(__xludf.DUMMYFUNCTION("""COMPUTED_VALUE"""),376.0)</f>
        <v>376</v>
      </c>
      <c r="G463" s="115">
        <f>IFERROR(__xludf.DUMMYFUNCTION("""COMPUTED_VALUE"""),63.0)</f>
        <v>63</v>
      </c>
      <c r="H463" s="116">
        <f>IFERROR(__xludf.DUMMYFUNCTION("""COMPUTED_VALUE"""),45901.0)</f>
        <v>45901</v>
      </c>
      <c r="I463" s="115" t="str">
        <f>IFERROR(__xludf.DUMMYFUNCTION("""COMPUTED_VALUE"""),"21")</f>
        <v>21</v>
      </c>
      <c r="J463" s="115" t="str">
        <f>IFERROR(__xludf.DUMMYFUNCTION("""COMPUTED_VALUE"""),"2025-09-0121")</f>
        <v>2025-09-0121</v>
      </c>
      <c r="K463" s="115">
        <f>IFERROR(__xludf.DUMMYFUNCTION("""COMPUTED_VALUE"""),639.0)</f>
        <v>639</v>
      </c>
    </row>
    <row r="464">
      <c r="A464" s="115" t="str">
        <f>IFERROR(__xludf.DUMMYFUNCTION("""COMPUTED_VALUE"""),"EAST")</f>
        <v>EAST</v>
      </c>
      <c r="B464" s="115" t="str">
        <f>IFERROR(__xludf.DUMMYFUNCTION("""COMPUTED_VALUE"""),"Ashish Ranjan")</f>
        <v>Ashish Ranjan</v>
      </c>
      <c r="C464" s="115" t="str">
        <f>IFERROR(__xludf.DUMMYFUNCTION("""COMPUTED_VALUE"""),"EXTERNAL")</f>
        <v>EXTERNAL</v>
      </c>
      <c r="D464" s="115">
        <f>IFERROR(__xludf.DUMMYFUNCTION("""COMPUTED_VALUE"""),41941.0)</f>
        <v>41941</v>
      </c>
      <c r="E464" s="115">
        <f>IFERROR(__xludf.DUMMYFUNCTION("""COMPUTED_VALUE"""),3180.0)</f>
        <v>3180</v>
      </c>
      <c r="F464" s="115">
        <f>IFERROR(__xludf.DUMMYFUNCTION("""COMPUTED_VALUE"""),22808.0)</f>
        <v>22808</v>
      </c>
      <c r="G464" s="115">
        <f>IFERROR(__xludf.DUMMYFUNCTION("""COMPUTED_VALUE"""),1759.0)</f>
        <v>1759</v>
      </c>
      <c r="H464" s="116">
        <f>IFERROR(__xludf.DUMMYFUNCTION("""COMPUTED_VALUE"""),45901.0)</f>
        <v>45901</v>
      </c>
      <c r="I464" s="115" t="str">
        <f>IFERROR(__xludf.DUMMYFUNCTION("""COMPUTED_VALUE"""),"22")</f>
        <v>22</v>
      </c>
      <c r="J464" s="115" t="str">
        <f>IFERROR(__xludf.DUMMYFUNCTION("""COMPUTED_VALUE"""),"Ashish Ranjan2025-09-0122")</f>
        <v>Ashish Ranjan2025-09-0122</v>
      </c>
      <c r="K464" s="115">
        <f>IFERROR(__xludf.DUMMYFUNCTION("""COMPUTED_VALUE"""),45121.0)</f>
        <v>45121</v>
      </c>
    </row>
    <row r="465">
      <c r="A465" s="115" t="str">
        <f>IFERROR(__xludf.DUMMYFUNCTION("""COMPUTED_VALUE"""),"EAST")</f>
        <v>EAST</v>
      </c>
      <c r="B465" s="115" t="str">
        <f>IFERROR(__xludf.DUMMYFUNCTION("""COMPUTED_VALUE"""),"Ashish Ranjan")</f>
        <v>Ashish Ranjan</v>
      </c>
      <c r="C465" s="115" t="str">
        <f>IFERROR(__xludf.DUMMYFUNCTION("""COMPUTED_VALUE"""),"FLIPKART")</f>
        <v>FLIPKART</v>
      </c>
      <c r="D465" s="115">
        <f>IFERROR(__xludf.DUMMYFUNCTION("""COMPUTED_VALUE"""),607951.0)</f>
        <v>607951</v>
      </c>
      <c r="E465" s="115">
        <f>IFERROR(__xludf.DUMMYFUNCTION("""COMPUTED_VALUE"""),64019.0)</f>
        <v>64019</v>
      </c>
      <c r="F465" s="115">
        <f>IFERROR(__xludf.DUMMYFUNCTION("""COMPUTED_VALUE"""),534340.0)</f>
        <v>534340</v>
      </c>
      <c r="G465" s="115">
        <f>IFERROR(__xludf.DUMMYFUNCTION("""COMPUTED_VALUE"""),52276.0)</f>
        <v>52276</v>
      </c>
      <c r="H465" s="116">
        <f>IFERROR(__xludf.DUMMYFUNCTION("""COMPUTED_VALUE"""),45901.0)</f>
        <v>45901</v>
      </c>
      <c r="I465" s="115" t="str">
        <f>IFERROR(__xludf.DUMMYFUNCTION("""COMPUTED_VALUE"""),"22")</f>
        <v>22</v>
      </c>
      <c r="J465" s="115" t="str">
        <f>IFERROR(__xludf.DUMMYFUNCTION("""COMPUTED_VALUE"""),"Ashish Ranjan2025-09-0122")</f>
        <v>Ashish Ranjan2025-09-0122</v>
      </c>
      <c r="K465" s="115">
        <f>IFERROR(__xludf.DUMMYFUNCTION("""COMPUTED_VALUE"""),671970.0)</f>
        <v>671970</v>
      </c>
    </row>
    <row r="466">
      <c r="A466" s="115" t="str">
        <f>IFERROR(__xludf.DUMMYFUNCTION("""COMPUTED_VALUE"""),"EAST")</f>
        <v>EAST</v>
      </c>
      <c r="B466" s="115" t="str">
        <f>IFERROR(__xludf.DUMMYFUNCTION("""COMPUTED_VALUE"""),"Ashish Ranjan")</f>
        <v>Ashish Ranjan</v>
      </c>
      <c r="C466" s="115" t="str">
        <f>IFERROR(__xludf.DUMMYFUNCTION("""COMPUTED_VALUE"""),"MYNTRA")</f>
        <v>MYNTRA</v>
      </c>
      <c r="D466" s="115">
        <f>IFERROR(__xludf.DUMMYFUNCTION("""COMPUTED_VALUE"""),58524.0)</f>
        <v>58524</v>
      </c>
      <c r="E466" s="115">
        <f>IFERROR(__xludf.DUMMYFUNCTION("""COMPUTED_VALUE"""),10930.0)</f>
        <v>10930</v>
      </c>
      <c r="F466" s="115">
        <f>IFERROR(__xludf.DUMMYFUNCTION("""COMPUTED_VALUE"""),52416.0)</f>
        <v>52416</v>
      </c>
      <c r="G466" s="115">
        <f>IFERROR(__xludf.DUMMYFUNCTION("""COMPUTED_VALUE"""),8778.0)</f>
        <v>8778</v>
      </c>
      <c r="H466" s="116">
        <f>IFERROR(__xludf.DUMMYFUNCTION("""COMPUTED_VALUE"""),45901.0)</f>
        <v>45901</v>
      </c>
      <c r="I466" s="115" t="str">
        <f>IFERROR(__xludf.DUMMYFUNCTION("""COMPUTED_VALUE"""),"22")</f>
        <v>22</v>
      </c>
      <c r="J466" s="115" t="str">
        <f>IFERROR(__xludf.DUMMYFUNCTION("""COMPUTED_VALUE"""),"Ashish Ranjan2025-09-0122")</f>
        <v>Ashish Ranjan2025-09-0122</v>
      </c>
      <c r="K466" s="115">
        <f>IFERROR(__xludf.DUMMYFUNCTION("""COMPUTED_VALUE"""),69454.0)</f>
        <v>69454</v>
      </c>
    </row>
    <row r="467">
      <c r="A467" s="115" t="str">
        <f>IFERROR(__xludf.DUMMYFUNCTION("""COMPUTED_VALUE"""),"EAST")</f>
        <v>EAST</v>
      </c>
      <c r="B467" s="115" t="str">
        <f>IFERROR(__xludf.DUMMYFUNCTION("""COMPUTED_VALUE"""),"Girish Chand")</f>
        <v>Girish Chand</v>
      </c>
      <c r="C467" s="115" t="str">
        <f>IFERROR(__xludf.DUMMYFUNCTION("""COMPUTED_VALUE"""),"EXTERNAL")</f>
        <v>EXTERNAL</v>
      </c>
      <c r="D467" s="115">
        <f>IFERROR(__xludf.DUMMYFUNCTION("""COMPUTED_VALUE"""),25613.0)</f>
        <v>25613</v>
      </c>
      <c r="E467" s="115">
        <f>IFERROR(__xludf.DUMMYFUNCTION("""COMPUTED_VALUE"""),2453.0)</f>
        <v>2453</v>
      </c>
      <c r="F467" s="115">
        <f>IFERROR(__xludf.DUMMYFUNCTION("""COMPUTED_VALUE"""),10898.0)</f>
        <v>10898</v>
      </c>
      <c r="G467" s="115">
        <f>IFERROR(__xludf.DUMMYFUNCTION("""COMPUTED_VALUE"""),880.0)</f>
        <v>880</v>
      </c>
      <c r="H467" s="116">
        <f>IFERROR(__xludf.DUMMYFUNCTION("""COMPUTED_VALUE"""),45901.0)</f>
        <v>45901</v>
      </c>
      <c r="I467" s="115" t="str">
        <f>IFERROR(__xludf.DUMMYFUNCTION("""COMPUTED_VALUE"""),"22")</f>
        <v>22</v>
      </c>
      <c r="J467" s="115" t="str">
        <f>IFERROR(__xludf.DUMMYFUNCTION("""COMPUTED_VALUE"""),"Girish Chand2025-09-0122")</f>
        <v>Girish Chand2025-09-0122</v>
      </c>
      <c r="K467" s="115">
        <f>IFERROR(__xludf.DUMMYFUNCTION("""COMPUTED_VALUE"""),28066.0)</f>
        <v>28066</v>
      </c>
    </row>
    <row r="468">
      <c r="A468" s="115" t="str">
        <f>IFERROR(__xludf.DUMMYFUNCTION("""COMPUTED_VALUE"""),"EAST")</f>
        <v>EAST</v>
      </c>
      <c r="B468" s="115" t="str">
        <f>IFERROR(__xludf.DUMMYFUNCTION("""COMPUTED_VALUE"""),"Girish Chand")</f>
        <v>Girish Chand</v>
      </c>
      <c r="C468" s="115" t="str">
        <f>IFERROR(__xludf.DUMMYFUNCTION("""COMPUTED_VALUE"""),"FLIPKART")</f>
        <v>FLIPKART</v>
      </c>
      <c r="D468" s="115">
        <f>IFERROR(__xludf.DUMMYFUNCTION("""COMPUTED_VALUE"""),417220.0)</f>
        <v>417220</v>
      </c>
      <c r="E468" s="115">
        <f>IFERROR(__xludf.DUMMYFUNCTION("""COMPUTED_VALUE"""),38955.0)</f>
        <v>38955</v>
      </c>
      <c r="F468" s="115">
        <f>IFERROR(__xludf.DUMMYFUNCTION("""COMPUTED_VALUE"""),310417.0)</f>
        <v>310417</v>
      </c>
      <c r="G468" s="115">
        <f>IFERROR(__xludf.DUMMYFUNCTION("""COMPUTED_VALUE"""),27868.0)</f>
        <v>27868</v>
      </c>
      <c r="H468" s="116">
        <f>IFERROR(__xludf.DUMMYFUNCTION("""COMPUTED_VALUE"""),45901.0)</f>
        <v>45901</v>
      </c>
      <c r="I468" s="115" t="str">
        <f>IFERROR(__xludf.DUMMYFUNCTION("""COMPUTED_VALUE"""),"22")</f>
        <v>22</v>
      </c>
      <c r="J468" s="115" t="str">
        <f>IFERROR(__xludf.DUMMYFUNCTION("""COMPUTED_VALUE"""),"Girish Chand2025-09-0122")</f>
        <v>Girish Chand2025-09-0122</v>
      </c>
      <c r="K468" s="115">
        <f>IFERROR(__xludf.DUMMYFUNCTION("""COMPUTED_VALUE"""),456175.0)</f>
        <v>456175</v>
      </c>
    </row>
    <row r="469">
      <c r="A469" s="115" t="str">
        <f>IFERROR(__xludf.DUMMYFUNCTION("""COMPUTED_VALUE"""),"EAST")</f>
        <v>EAST</v>
      </c>
      <c r="B469" s="115" t="str">
        <f>IFERROR(__xludf.DUMMYFUNCTION("""COMPUTED_VALUE"""),"Girish Chand")</f>
        <v>Girish Chand</v>
      </c>
      <c r="C469" s="115" t="str">
        <f>IFERROR(__xludf.DUMMYFUNCTION("""COMPUTED_VALUE"""),"MYNTRA")</f>
        <v>MYNTRA</v>
      </c>
      <c r="D469" s="115">
        <f>IFERROR(__xludf.DUMMYFUNCTION("""COMPUTED_VALUE"""),32173.0)</f>
        <v>32173</v>
      </c>
      <c r="E469" s="115">
        <f>IFERROR(__xludf.DUMMYFUNCTION("""COMPUTED_VALUE"""),5986.0)</f>
        <v>5986</v>
      </c>
      <c r="F469" s="115">
        <f>IFERROR(__xludf.DUMMYFUNCTION("""COMPUTED_VALUE"""),25337.0)</f>
        <v>25337</v>
      </c>
      <c r="G469" s="115">
        <f>IFERROR(__xludf.DUMMYFUNCTION("""COMPUTED_VALUE"""),4397.0)</f>
        <v>4397</v>
      </c>
      <c r="H469" s="116">
        <f>IFERROR(__xludf.DUMMYFUNCTION("""COMPUTED_VALUE"""),45901.0)</f>
        <v>45901</v>
      </c>
      <c r="I469" s="115" t="str">
        <f>IFERROR(__xludf.DUMMYFUNCTION("""COMPUTED_VALUE"""),"22")</f>
        <v>22</v>
      </c>
      <c r="J469" s="115" t="str">
        <f>IFERROR(__xludf.DUMMYFUNCTION("""COMPUTED_VALUE"""),"Girish Chand2025-09-0122")</f>
        <v>Girish Chand2025-09-0122</v>
      </c>
      <c r="K469" s="115">
        <f>IFERROR(__xludf.DUMMYFUNCTION("""COMPUTED_VALUE"""),38159.0)</f>
        <v>38159</v>
      </c>
    </row>
    <row r="470">
      <c r="A470" s="115" t="str">
        <f>IFERROR(__xludf.DUMMYFUNCTION("""COMPUTED_VALUE"""),"EAST")</f>
        <v>EAST</v>
      </c>
      <c r="B470" s="115" t="str">
        <f>IFERROR(__xludf.DUMMYFUNCTION("""COMPUTED_VALUE"""),"Parag Kashyap")</f>
        <v>Parag Kashyap</v>
      </c>
      <c r="C470" s="115" t="str">
        <f>IFERROR(__xludf.DUMMYFUNCTION("""COMPUTED_VALUE"""),"EXTERNAL")</f>
        <v>EXTERNAL</v>
      </c>
      <c r="D470" s="115">
        <f>IFERROR(__xludf.DUMMYFUNCTION("""COMPUTED_VALUE"""),23256.0)</f>
        <v>23256</v>
      </c>
      <c r="E470" s="115">
        <f>IFERROR(__xludf.DUMMYFUNCTION("""COMPUTED_VALUE"""),1304.0)</f>
        <v>1304</v>
      </c>
      <c r="F470" s="115">
        <f>IFERROR(__xludf.DUMMYFUNCTION("""COMPUTED_VALUE"""),10098.0)</f>
        <v>10098</v>
      </c>
      <c r="G470" s="115">
        <f>IFERROR(__xludf.DUMMYFUNCTION("""COMPUTED_VALUE"""),464.0)</f>
        <v>464</v>
      </c>
      <c r="H470" s="116">
        <f>IFERROR(__xludf.DUMMYFUNCTION("""COMPUTED_VALUE"""),45901.0)</f>
        <v>45901</v>
      </c>
      <c r="I470" s="115" t="str">
        <f>IFERROR(__xludf.DUMMYFUNCTION("""COMPUTED_VALUE"""),"22")</f>
        <v>22</v>
      </c>
      <c r="J470" s="115" t="str">
        <f>IFERROR(__xludf.DUMMYFUNCTION("""COMPUTED_VALUE"""),"Parag Kashyap2025-09-0122")</f>
        <v>Parag Kashyap2025-09-0122</v>
      </c>
      <c r="K470" s="115">
        <f>IFERROR(__xludf.DUMMYFUNCTION("""COMPUTED_VALUE"""),24560.0)</f>
        <v>24560</v>
      </c>
    </row>
    <row r="471">
      <c r="A471" s="115" t="str">
        <f>IFERROR(__xludf.DUMMYFUNCTION("""COMPUTED_VALUE"""),"EAST")</f>
        <v>EAST</v>
      </c>
      <c r="B471" s="115" t="str">
        <f>IFERROR(__xludf.DUMMYFUNCTION("""COMPUTED_VALUE"""),"Parag Kashyap")</f>
        <v>Parag Kashyap</v>
      </c>
      <c r="C471" s="115" t="str">
        <f>IFERROR(__xludf.DUMMYFUNCTION("""COMPUTED_VALUE"""),"FLIPKART")</f>
        <v>FLIPKART</v>
      </c>
      <c r="D471" s="115">
        <f>IFERROR(__xludf.DUMMYFUNCTION("""COMPUTED_VALUE"""),321831.0)</f>
        <v>321831</v>
      </c>
      <c r="E471" s="115">
        <f>IFERROR(__xludf.DUMMYFUNCTION("""COMPUTED_VALUE"""),18898.0)</f>
        <v>18898</v>
      </c>
      <c r="F471" s="115">
        <f>IFERROR(__xludf.DUMMYFUNCTION("""COMPUTED_VALUE"""),253271.0)</f>
        <v>253271</v>
      </c>
      <c r="G471" s="115">
        <f>IFERROR(__xludf.DUMMYFUNCTION("""COMPUTED_VALUE"""),13625.0)</f>
        <v>13625</v>
      </c>
      <c r="H471" s="116">
        <f>IFERROR(__xludf.DUMMYFUNCTION("""COMPUTED_VALUE"""),45901.0)</f>
        <v>45901</v>
      </c>
      <c r="I471" s="115" t="str">
        <f>IFERROR(__xludf.DUMMYFUNCTION("""COMPUTED_VALUE"""),"22")</f>
        <v>22</v>
      </c>
      <c r="J471" s="115" t="str">
        <f>IFERROR(__xludf.DUMMYFUNCTION("""COMPUTED_VALUE"""),"Parag Kashyap2025-09-0122")</f>
        <v>Parag Kashyap2025-09-0122</v>
      </c>
      <c r="K471" s="115">
        <f>IFERROR(__xludf.DUMMYFUNCTION("""COMPUTED_VALUE"""),340729.0)</f>
        <v>340729</v>
      </c>
    </row>
    <row r="472">
      <c r="A472" s="115" t="str">
        <f>IFERROR(__xludf.DUMMYFUNCTION("""COMPUTED_VALUE"""),"EAST")</f>
        <v>EAST</v>
      </c>
      <c r="B472" s="115" t="str">
        <f>IFERROR(__xludf.DUMMYFUNCTION("""COMPUTED_VALUE"""),"Parag Kashyap")</f>
        <v>Parag Kashyap</v>
      </c>
      <c r="C472" s="115" t="str">
        <f>IFERROR(__xludf.DUMMYFUNCTION("""COMPUTED_VALUE"""),"MYNTRA")</f>
        <v>MYNTRA</v>
      </c>
      <c r="D472" s="115">
        <f>IFERROR(__xludf.DUMMYFUNCTION("""COMPUTED_VALUE"""),36540.0)</f>
        <v>36540</v>
      </c>
      <c r="E472" s="115">
        <f>IFERROR(__xludf.DUMMYFUNCTION("""COMPUTED_VALUE"""),4817.0)</f>
        <v>4817</v>
      </c>
      <c r="F472" s="115">
        <f>IFERROR(__xludf.DUMMYFUNCTION("""COMPUTED_VALUE"""),29450.0)</f>
        <v>29450</v>
      </c>
      <c r="G472" s="115">
        <f>IFERROR(__xludf.DUMMYFUNCTION("""COMPUTED_VALUE"""),3403.0)</f>
        <v>3403</v>
      </c>
      <c r="H472" s="116">
        <f>IFERROR(__xludf.DUMMYFUNCTION("""COMPUTED_VALUE"""),45901.0)</f>
        <v>45901</v>
      </c>
      <c r="I472" s="115" t="str">
        <f>IFERROR(__xludf.DUMMYFUNCTION("""COMPUTED_VALUE"""),"22")</f>
        <v>22</v>
      </c>
      <c r="J472" s="115" t="str">
        <f>IFERROR(__xludf.DUMMYFUNCTION("""COMPUTED_VALUE"""),"Parag Kashyap2025-09-0122")</f>
        <v>Parag Kashyap2025-09-0122</v>
      </c>
      <c r="K472" s="115">
        <f>IFERROR(__xludf.DUMMYFUNCTION("""COMPUTED_VALUE"""),41357.0)</f>
        <v>41357</v>
      </c>
    </row>
    <row r="473">
      <c r="A473" s="115" t="str">
        <f>IFERROR(__xludf.DUMMYFUNCTION("""COMPUTED_VALUE"""),"NORTH")</f>
        <v>NORTH</v>
      </c>
      <c r="B473" s="115" t="str">
        <f>IFERROR(__xludf.DUMMYFUNCTION("""COMPUTED_VALUE"""),"Amit Kumar Pathak")</f>
        <v>Amit Kumar Pathak</v>
      </c>
      <c r="C473" s="115" t="str">
        <f>IFERROR(__xludf.DUMMYFUNCTION("""COMPUTED_VALUE"""),"EXTERNAL")</f>
        <v>EXTERNAL</v>
      </c>
      <c r="D473" s="115">
        <f>IFERROR(__xludf.DUMMYFUNCTION("""COMPUTED_VALUE"""),29048.0)</f>
        <v>29048</v>
      </c>
      <c r="E473" s="115">
        <f>IFERROR(__xludf.DUMMYFUNCTION("""COMPUTED_VALUE"""),2430.0)</f>
        <v>2430</v>
      </c>
      <c r="F473" s="115">
        <f>IFERROR(__xludf.DUMMYFUNCTION("""COMPUTED_VALUE"""),8962.0)</f>
        <v>8962</v>
      </c>
      <c r="G473" s="115">
        <f>IFERROR(__xludf.DUMMYFUNCTION("""COMPUTED_VALUE"""),886.0)</f>
        <v>886</v>
      </c>
      <c r="H473" s="116">
        <f>IFERROR(__xludf.DUMMYFUNCTION("""COMPUTED_VALUE"""),45901.0)</f>
        <v>45901</v>
      </c>
      <c r="I473" s="115" t="str">
        <f>IFERROR(__xludf.DUMMYFUNCTION("""COMPUTED_VALUE"""),"22")</f>
        <v>22</v>
      </c>
      <c r="J473" s="115" t="str">
        <f>IFERROR(__xludf.DUMMYFUNCTION("""COMPUTED_VALUE"""),"Amit Kumar Pathak2025-09-0122")</f>
        <v>Amit Kumar Pathak2025-09-0122</v>
      </c>
      <c r="K473" s="115">
        <f>IFERROR(__xludf.DUMMYFUNCTION("""COMPUTED_VALUE"""),31478.0)</f>
        <v>31478</v>
      </c>
    </row>
    <row r="474">
      <c r="A474" s="115" t="str">
        <f>IFERROR(__xludf.DUMMYFUNCTION("""COMPUTED_VALUE"""),"NORTH")</f>
        <v>NORTH</v>
      </c>
      <c r="B474" s="115" t="str">
        <f>IFERROR(__xludf.DUMMYFUNCTION("""COMPUTED_VALUE"""),"Amit Kumar Pathak")</f>
        <v>Amit Kumar Pathak</v>
      </c>
      <c r="C474" s="115" t="str">
        <f>IFERROR(__xludf.DUMMYFUNCTION("""COMPUTED_VALUE"""),"FLIPKART")</f>
        <v>FLIPKART</v>
      </c>
      <c r="D474" s="115">
        <f>IFERROR(__xludf.DUMMYFUNCTION("""COMPUTED_VALUE"""),192745.0)</f>
        <v>192745</v>
      </c>
      <c r="E474" s="115">
        <f>IFERROR(__xludf.DUMMYFUNCTION("""COMPUTED_VALUE"""),22782.0)</f>
        <v>22782</v>
      </c>
      <c r="F474" s="115">
        <f>IFERROR(__xludf.DUMMYFUNCTION("""COMPUTED_VALUE"""),120542.0)</f>
        <v>120542</v>
      </c>
      <c r="G474" s="115">
        <f>IFERROR(__xludf.DUMMYFUNCTION("""COMPUTED_VALUE"""),12725.0)</f>
        <v>12725</v>
      </c>
      <c r="H474" s="116">
        <f>IFERROR(__xludf.DUMMYFUNCTION("""COMPUTED_VALUE"""),45901.0)</f>
        <v>45901</v>
      </c>
      <c r="I474" s="115" t="str">
        <f>IFERROR(__xludf.DUMMYFUNCTION("""COMPUTED_VALUE"""),"22")</f>
        <v>22</v>
      </c>
      <c r="J474" s="115" t="str">
        <f>IFERROR(__xludf.DUMMYFUNCTION("""COMPUTED_VALUE"""),"Amit Kumar Pathak2025-09-0122")</f>
        <v>Amit Kumar Pathak2025-09-0122</v>
      </c>
      <c r="K474" s="115">
        <f>IFERROR(__xludf.DUMMYFUNCTION("""COMPUTED_VALUE"""),215527.0)</f>
        <v>215527</v>
      </c>
    </row>
    <row r="475">
      <c r="A475" s="115" t="str">
        <f>IFERROR(__xludf.DUMMYFUNCTION("""COMPUTED_VALUE"""),"NORTH")</f>
        <v>NORTH</v>
      </c>
      <c r="B475" s="115" t="str">
        <f>IFERROR(__xludf.DUMMYFUNCTION("""COMPUTED_VALUE"""),"Amit Kumar Pathak")</f>
        <v>Amit Kumar Pathak</v>
      </c>
      <c r="C475" s="115" t="str">
        <f>IFERROR(__xludf.DUMMYFUNCTION("""COMPUTED_VALUE"""),"MYNTRA")</f>
        <v>MYNTRA</v>
      </c>
      <c r="D475" s="115">
        <f>IFERROR(__xludf.DUMMYFUNCTION("""COMPUTED_VALUE"""),16018.0)</f>
        <v>16018</v>
      </c>
      <c r="E475" s="115">
        <f>IFERROR(__xludf.DUMMYFUNCTION("""COMPUTED_VALUE"""),5246.0)</f>
        <v>5246</v>
      </c>
      <c r="F475" s="115">
        <f>IFERROR(__xludf.DUMMYFUNCTION("""COMPUTED_VALUE"""),11561.0)</f>
        <v>11561</v>
      </c>
      <c r="G475" s="115">
        <f>IFERROR(__xludf.DUMMYFUNCTION("""COMPUTED_VALUE"""),3096.0)</f>
        <v>3096</v>
      </c>
      <c r="H475" s="116">
        <f>IFERROR(__xludf.DUMMYFUNCTION("""COMPUTED_VALUE"""),45901.0)</f>
        <v>45901</v>
      </c>
      <c r="I475" s="115" t="str">
        <f>IFERROR(__xludf.DUMMYFUNCTION("""COMPUTED_VALUE"""),"22")</f>
        <v>22</v>
      </c>
      <c r="J475" s="115" t="str">
        <f>IFERROR(__xludf.DUMMYFUNCTION("""COMPUTED_VALUE"""),"Amit Kumar Pathak2025-09-0122")</f>
        <v>Amit Kumar Pathak2025-09-0122</v>
      </c>
      <c r="K475" s="115">
        <f>IFERROR(__xludf.DUMMYFUNCTION("""COMPUTED_VALUE"""),21264.0)</f>
        <v>21264</v>
      </c>
    </row>
    <row r="476">
      <c r="A476" s="115" t="str">
        <f>IFERROR(__xludf.DUMMYFUNCTION("""COMPUTED_VALUE"""),"NORTH")</f>
        <v>NORTH</v>
      </c>
      <c r="B476" s="115" t="str">
        <f>IFERROR(__xludf.DUMMYFUNCTION("""COMPUTED_VALUE"""),"Loveleen Singh")</f>
        <v>Loveleen Singh</v>
      </c>
      <c r="C476" s="115" t="str">
        <f>IFERROR(__xludf.DUMMYFUNCTION("""COMPUTED_VALUE"""),"EXTERNAL")</f>
        <v>EXTERNAL</v>
      </c>
      <c r="D476" s="115">
        <f>IFERROR(__xludf.DUMMYFUNCTION("""COMPUTED_VALUE"""),30002.0)</f>
        <v>30002</v>
      </c>
      <c r="E476" s="115">
        <f>IFERROR(__xludf.DUMMYFUNCTION("""COMPUTED_VALUE"""),2222.0)</f>
        <v>2222</v>
      </c>
      <c r="F476" s="115">
        <f>IFERROR(__xludf.DUMMYFUNCTION("""COMPUTED_VALUE"""),10479.0)</f>
        <v>10479</v>
      </c>
      <c r="G476" s="115">
        <f>IFERROR(__xludf.DUMMYFUNCTION("""COMPUTED_VALUE"""),536.0)</f>
        <v>536</v>
      </c>
      <c r="H476" s="116">
        <f>IFERROR(__xludf.DUMMYFUNCTION("""COMPUTED_VALUE"""),45901.0)</f>
        <v>45901</v>
      </c>
      <c r="I476" s="115" t="str">
        <f>IFERROR(__xludf.DUMMYFUNCTION("""COMPUTED_VALUE"""),"22")</f>
        <v>22</v>
      </c>
      <c r="J476" s="115" t="str">
        <f>IFERROR(__xludf.DUMMYFUNCTION("""COMPUTED_VALUE"""),"Loveleen Singh2025-09-0122")</f>
        <v>Loveleen Singh2025-09-0122</v>
      </c>
      <c r="K476" s="115">
        <f>IFERROR(__xludf.DUMMYFUNCTION("""COMPUTED_VALUE"""),32224.0)</f>
        <v>32224</v>
      </c>
    </row>
    <row r="477">
      <c r="A477" s="115" t="str">
        <f>IFERROR(__xludf.DUMMYFUNCTION("""COMPUTED_VALUE"""),"NORTH")</f>
        <v>NORTH</v>
      </c>
      <c r="B477" s="115" t="str">
        <f>IFERROR(__xludf.DUMMYFUNCTION("""COMPUTED_VALUE"""),"Loveleen Singh")</f>
        <v>Loveleen Singh</v>
      </c>
      <c r="C477" s="115" t="str">
        <f>IFERROR(__xludf.DUMMYFUNCTION("""COMPUTED_VALUE"""),"FLIPKART")</f>
        <v>FLIPKART</v>
      </c>
      <c r="D477" s="115">
        <f>IFERROR(__xludf.DUMMYFUNCTION("""COMPUTED_VALUE"""),147296.0)</f>
        <v>147296</v>
      </c>
      <c r="E477" s="115">
        <f>IFERROR(__xludf.DUMMYFUNCTION("""COMPUTED_VALUE"""),14143.0)</f>
        <v>14143</v>
      </c>
      <c r="F477" s="115">
        <f>IFERROR(__xludf.DUMMYFUNCTION("""COMPUTED_VALUE"""),98507.0)</f>
        <v>98507</v>
      </c>
      <c r="G477" s="115">
        <f>IFERROR(__xludf.DUMMYFUNCTION("""COMPUTED_VALUE"""),7867.0)</f>
        <v>7867</v>
      </c>
      <c r="H477" s="116">
        <f>IFERROR(__xludf.DUMMYFUNCTION("""COMPUTED_VALUE"""),45901.0)</f>
        <v>45901</v>
      </c>
      <c r="I477" s="115" t="str">
        <f>IFERROR(__xludf.DUMMYFUNCTION("""COMPUTED_VALUE"""),"22")</f>
        <v>22</v>
      </c>
      <c r="J477" s="115" t="str">
        <f>IFERROR(__xludf.DUMMYFUNCTION("""COMPUTED_VALUE"""),"Loveleen Singh2025-09-0122")</f>
        <v>Loveleen Singh2025-09-0122</v>
      </c>
      <c r="K477" s="115">
        <f>IFERROR(__xludf.DUMMYFUNCTION("""COMPUTED_VALUE"""),161439.0)</f>
        <v>161439</v>
      </c>
    </row>
    <row r="478">
      <c r="A478" s="115" t="str">
        <f>IFERROR(__xludf.DUMMYFUNCTION("""COMPUTED_VALUE"""),"NORTH")</f>
        <v>NORTH</v>
      </c>
      <c r="B478" s="115" t="str">
        <f>IFERROR(__xludf.DUMMYFUNCTION("""COMPUTED_VALUE"""),"Loveleen Singh")</f>
        <v>Loveleen Singh</v>
      </c>
      <c r="C478" s="115" t="str">
        <f>IFERROR(__xludf.DUMMYFUNCTION("""COMPUTED_VALUE"""),"MYNTRA")</f>
        <v>MYNTRA</v>
      </c>
      <c r="D478" s="115">
        <f>IFERROR(__xludf.DUMMYFUNCTION("""COMPUTED_VALUE"""),19372.0)</f>
        <v>19372</v>
      </c>
      <c r="E478" s="115">
        <f>IFERROR(__xludf.DUMMYFUNCTION("""COMPUTED_VALUE"""),5146.0)</f>
        <v>5146</v>
      </c>
      <c r="F478" s="115">
        <f>IFERROR(__xludf.DUMMYFUNCTION("""COMPUTED_VALUE"""),14709.0)</f>
        <v>14709</v>
      </c>
      <c r="G478" s="115">
        <f>IFERROR(__xludf.DUMMYFUNCTION("""COMPUTED_VALUE"""),3116.0)</f>
        <v>3116</v>
      </c>
      <c r="H478" s="116">
        <f>IFERROR(__xludf.DUMMYFUNCTION("""COMPUTED_VALUE"""),45901.0)</f>
        <v>45901</v>
      </c>
      <c r="I478" s="115" t="str">
        <f>IFERROR(__xludf.DUMMYFUNCTION("""COMPUTED_VALUE"""),"22")</f>
        <v>22</v>
      </c>
      <c r="J478" s="115" t="str">
        <f>IFERROR(__xludf.DUMMYFUNCTION("""COMPUTED_VALUE"""),"Loveleen Singh2025-09-0122")</f>
        <v>Loveleen Singh2025-09-0122</v>
      </c>
      <c r="K478" s="115">
        <f>IFERROR(__xludf.DUMMYFUNCTION("""COMPUTED_VALUE"""),24518.0)</f>
        <v>24518</v>
      </c>
    </row>
    <row r="479">
      <c r="A479" s="115" t="str">
        <f>IFERROR(__xludf.DUMMYFUNCTION("""COMPUTED_VALUE"""),"NORTH")</f>
        <v>NORTH</v>
      </c>
      <c r="B479" s="115" t="str">
        <f>IFERROR(__xludf.DUMMYFUNCTION("""COMPUTED_VALUE"""),"Manoj Harsh")</f>
        <v>Manoj Harsh</v>
      </c>
      <c r="C479" s="115" t="str">
        <f>IFERROR(__xludf.DUMMYFUNCTION("""COMPUTED_VALUE"""),"EXTERNAL")</f>
        <v>EXTERNAL</v>
      </c>
      <c r="D479" s="115">
        <f>IFERROR(__xludf.DUMMYFUNCTION("""COMPUTED_VALUE"""),33768.0)</f>
        <v>33768</v>
      </c>
      <c r="E479" s="115">
        <f>IFERROR(__xludf.DUMMYFUNCTION("""COMPUTED_VALUE"""),3216.0)</f>
        <v>3216</v>
      </c>
      <c r="F479" s="115">
        <f>IFERROR(__xludf.DUMMYFUNCTION("""COMPUTED_VALUE"""),13752.0)</f>
        <v>13752</v>
      </c>
      <c r="G479" s="115">
        <f>IFERROR(__xludf.DUMMYFUNCTION("""COMPUTED_VALUE"""),1161.0)</f>
        <v>1161</v>
      </c>
      <c r="H479" s="116">
        <f>IFERROR(__xludf.DUMMYFUNCTION("""COMPUTED_VALUE"""),45901.0)</f>
        <v>45901</v>
      </c>
      <c r="I479" s="115" t="str">
        <f>IFERROR(__xludf.DUMMYFUNCTION("""COMPUTED_VALUE"""),"22")</f>
        <v>22</v>
      </c>
      <c r="J479" s="115" t="str">
        <f>IFERROR(__xludf.DUMMYFUNCTION("""COMPUTED_VALUE"""),"Manoj Harsh2025-09-0122")</f>
        <v>Manoj Harsh2025-09-0122</v>
      </c>
      <c r="K479" s="115">
        <f>IFERROR(__xludf.DUMMYFUNCTION("""COMPUTED_VALUE"""),36984.0)</f>
        <v>36984</v>
      </c>
    </row>
    <row r="480">
      <c r="A480" s="115" t="str">
        <f>IFERROR(__xludf.DUMMYFUNCTION("""COMPUTED_VALUE"""),"NORTH")</f>
        <v>NORTH</v>
      </c>
      <c r="B480" s="115" t="str">
        <f>IFERROR(__xludf.DUMMYFUNCTION("""COMPUTED_VALUE"""),"Manoj Harsh")</f>
        <v>Manoj Harsh</v>
      </c>
      <c r="C480" s="115" t="str">
        <f>IFERROR(__xludf.DUMMYFUNCTION("""COMPUTED_VALUE"""),"FLIPKART")</f>
        <v>FLIPKART</v>
      </c>
      <c r="D480" s="115">
        <f>IFERROR(__xludf.DUMMYFUNCTION("""COMPUTED_VALUE"""),386125.0)</f>
        <v>386125</v>
      </c>
      <c r="E480" s="115">
        <f>IFERROR(__xludf.DUMMYFUNCTION("""COMPUTED_VALUE"""),39569.0)</f>
        <v>39569</v>
      </c>
      <c r="F480" s="115">
        <f>IFERROR(__xludf.DUMMYFUNCTION("""COMPUTED_VALUE"""),281270.0)</f>
        <v>281270</v>
      </c>
      <c r="G480" s="115">
        <f>IFERROR(__xludf.DUMMYFUNCTION("""COMPUTED_VALUE"""),25366.0)</f>
        <v>25366</v>
      </c>
      <c r="H480" s="116">
        <f>IFERROR(__xludf.DUMMYFUNCTION("""COMPUTED_VALUE"""),45901.0)</f>
        <v>45901</v>
      </c>
      <c r="I480" s="115" t="str">
        <f>IFERROR(__xludf.DUMMYFUNCTION("""COMPUTED_VALUE"""),"22")</f>
        <v>22</v>
      </c>
      <c r="J480" s="115" t="str">
        <f>IFERROR(__xludf.DUMMYFUNCTION("""COMPUTED_VALUE"""),"Manoj Harsh2025-09-0122")</f>
        <v>Manoj Harsh2025-09-0122</v>
      </c>
      <c r="K480" s="115">
        <f>IFERROR(__xludf.DUMMYFUNCTION("""COMPUTED_VALUE"""),425694.0)</f>
        <v>425694</v>
      </c>
    </row>
    <row r="481">
      <c r="A481" s="115" t="str">
        <f>IFERROR(__xludf.DUMMYFUNCTION("""COMPUTED_VALUE"""),"NORTH")</f>
        <v>NORTH</v>
      </c>
      <c r="B481" s="115" t="str">
        <f>IFERROR(__xludf.DUMMYFUNCTION("""COMPUTED_VALUE"""),"Manoj Harsh")</f>
        <v>Manoj Harsh</v>
      </c>
      <c r="C481" s="115" t="str">
        <f>IFERROR(__xludf.DUMMYFUNCTION("""COMPUTED_VALUE"""),"MYNTRA")</f>
        <v>MYNTRA</v>
      </c>
      <c r="D481" s="115">
        <f>IFERROR(__xludf.DUMMYFUNCTION("""COMPUTED_VALUE"""),33373.0)</f>
        <v>33373</v>
      </c>
      <c r="E481" s="115">
        <f>IFERROR(__xludf.DUMMYFUNCTION("""COMPUTED_VALUE"""),6441.0)</f>
        <v>6441</v>
      </c>
      <c r="F481" s="115">
        <f>IFERROR(__xludf.DUMMYFUNCTION("""COMPUTED_VALUE"""),26285.0)</f>
        <v>26285</v>
      </c>
      <c r="G481" s="115">
        <f>IFERROR(__xludf.DUMMYFUNCTION("""COMPUTED_VALUE"""),4360.0)</f>
        <v>4360</v>
      </c>
      <c r="H481" s="116">
        <f>IFERROR(__xludf.DUMMYFUNCTION("""COMPUTED_VALUE"""),45901.0)</f>
        <v>45901</v>
      </c>
      <c r="I481" s="115" t="str">
        <f>IFERROR(__xludf.DUMMYFUNCTION("""COMPUTED_VALUE"""),"22")</f>
        <v>22</v>
      </c>
      <c r="J481" s="115" t="str">
        <f>IFERROR(__xludf.DUMMYFUNCTION("""COMPUTED_VALUE"""),"Manoj Harsh2025-09-0122")</f>
        <v>Manoj Harsh2025-09-0122</v>
      </c>
      <c r="K481" s="115">
        <f>IFERROR(__xludf.DUMMYFUNCTION("""COMPUTED_VALUE"""),39814.0)</f>
        <v>39814</v>
      </c>
    </row>
    <row r="482">
      <c r="A482" s="115" t="str">
        <f>IFERROR(__xludf.DUMMYFUNCTION("""COMPUTED_VALUE"""),"NORTH")</f>
        <v>NORTH</v>
      </c>
      <c r="B482" s="115" t="str">
        <f>IFERROR(__xludf.DUMMYFUNCTION("""COMPUTED_VALUE"""),"Pradeep Kothari")</f>
        <v>Pradeep Kothari</v>
      </c>
      <c r="C482" s="115" t="str">
        <f>IFERROR(__xludf.DUMMYFUNCTION("""COMPUTED_VALUE"""),"EXTERNAL")</f>
        <v>EXTERNAL</v>
      </c>
      <c r="D482" s="115">
        <f>IFERROR(__xludf.DUMMYFUNCTION("""COMPUTED_VALUE"""),19395.0)</f>
        <v>19395</v>
      </c>
      <c r="E482" s="115">
        <f>IFERROR(__xludf.DUMMYFUNCTION("""COMPUTED_VALUE"""),2020.0)</f>
        <v>2020</v>
      </c>
      <c r="F482" s="115">
        <f>IFERROR(__xludf.DUMMYFUNCTION("""COMPUTED_VALUE"""),7434.0)</f>
        <v>7434</v>
      </c>
      <c r="G482" s="115">
        <f>IFERROR(__xludf.DUMMYFUNCTION("""COMPUTED_VALUE"""),719.0)</f>
        <v>719</v>
      </c>
      <c r="H482" s="116">
        <f>IFERROR(__xludf.DUMMYFUNCTION("""COMPUTED_VALUE"""),45901.0)</f>
        <v>45901</v>
      </c>
      <c r="I482" s="115" t="str">
        <f>IFERROR(__xludf.DUMMYFUNCTION("""COMPUTED_VALUE"""),"22")</f>
        <v>22</v>
      </c>
      <c r="J482" s="115" t="str">
        <f>IFERROR(__xludf.DUMMYFUNCTION("""COMPUTED_VALUE"""),"Pradeep Kothari2025-09-0122")</f>
        <v>Pradeep Kothari2025-09-0122</v>
      </c>
      <c r="K482" s="115">
        <f>IFERROR(__xludf.DUMMYFUNCTION("""COMPUTED_VALUE"""),21415.0)</f>
        <v>21415</v>
      </c>
    </row>
    <row r="483">
      <c r="A483" s="115" t="str">
        <f>IFERROR(__xludf.DUMMYFUNCTION("""COMPUTED_VALUE"""),"NORTH")</f>
        <v>NORTH</v>
      </c>
      <c r="B483" s="115" t="str">
        <f>IFERROR(__xludf.DUMMYFUNCTION("""COMPUTED_VALUE"""),"Pradeep Kothari")</f>
        <v>Pradeep Kothari</v>
      </c>
      <c r="C483" s="115" t="str">
        <f>IFERROR(__xludf.DUMMYFUNCTION("""COMPUTED_VALUE"""),"FLIPKART")</f>
        <v>FLIPKART</v>
      </c>
      <c r="D483" s="115">
        <f>IFERROR(__xludf.DUMMYFUNCTION("""COMPUTED_VALUE"""),136679.0)</f>
        <v>136679</v>
      </c>
      <c r="E483" s="115">
        <f>IFERROR(__xludf.DUMMYFUNCTION("""COMPUTED_VALUE"""),16444.0)</f>
        <v>16444</v>
      </c>
      <c r="F483" s="115">
        <f>IFERROR(__xludf.DUMMYFUNCTION("""COMPUTED_VALUE"""),100002.0)</f>
        <v>100002</v>
      </c>
      <c r="G483" s="115">
        <f>IFERROR(__xludf.DUMMYFUNCTION("""COMPUTED_VALUE"""),10609.0)</f>
        <v>10609</v>
      </c>
      <c r="H483" s="116">
        <f>IFERROR(__xludf.DUMMYFUNCTION("""COMPUTED_VALUE"""),45901.0)</f>
        <v>45901</v>
      </c>
      <c r="I483" s="115" t="str">
        <f>IFERROR(__xludf.DUMMYFUNCTION("""COMPUTED_VALUE"""),"22")</f>
        <v>22</v>
      </c>
      <c r="J483" s="115" t="str">
        <f>IFERROR(__xludf.DUMMYFUNCTION("""COMPUTED_VALUE"""),"Pradeep Kothari2025-09-0122")</f>
        <v>Pradeep Kothari2025-09-0122</v>
      </c>
      <c r="K483" s="115">
        <f>IFERROR(__xludf.DUMMYFUNCTION("""COMPUTED_VALUE"""),153123.0)</f>
        <v>153123</v>
      </c>
    </row>
    <row r="484">
      <c r="A484" s="115" t="str">
        <f>IFERROR(__xludf.DUMMYFUNCTION("""COMPUTED_VALUE"""),"NORTH")</f>
        <v>NORTH</v>
      </c>
      <c r="B484" s="115" t="str">
        <f>IFERROR(__xludf.DUMMYFUNCTION("""COMPUTED_VALUE"""),"Pradeep Kothari")</f>
        <v>Pradeep Kothari</v>
      </c>
      <c r="C484" s="115" t="str">
        <f>IFERROR(__xludf.DUMMYFUNCTION("""COMPUTED_VALUE"""),"MYNTRA")</f>
        <v>MYNTRA</v>
      </c>
      <c r="D484" s="115">
        <f>IFERROR(__xludf.DUMMYFUNCTION("""COMPUTED_VALUE"""),23228.0)</f>
        <v>23228</v>
      </c>
      <c r="E484" s="115">
        <f>IFERROR(__xludf.DUMMYFUNCTION("""COMPUTED_VALUE"""),5690.0)</f>
        <v>5690</v>
      </c>
      <c r="F484" s="115">
        <f>IFERROR(__xludf.DUMMYFUNCTION("""COMPUTED_VALUE"""),19185.0)</f>
        <v>19185</v>
      </c>
      <c r="G484" s="115">
        <f>IFERROR(__xludf.DUMMYFUNCTION("""COMPUTED_VALUE"""),4036.0)</f>
        <v>4036</v>
      </c>
      <c r="H484" s="116">
        <f>IFERROR(__xludf.DUMMYFUNCTION("""COMPUTED_VALUE"""),45901.0)</f>
        <v>45901</v>
      </c>
      <c r="I484" s="115" t="str">
        <f>IFERROR(__xludf.DUMMYFUNCTION("""COMPUTED_VALUE"""),"22")</f>
        <v>22</v>
      </c>
      <c r="J484" s="115" t="str">
        <f>IFERROR(__xludf.DUMMYFUNCTION("""COMPUTED_VALUE"""),"Pradeep Kothari2025-09-0122")</f>
        <v>Pradeep Kothari2025-09-0122</v>
      </c>
      <c r="K484" s="115">
        <f>IFERROR(__xludf.DUMMYFUNCTION("""COMPUTED_VALUE"""),28918.0)</f>
        <v>28918</v>
      </c>
    </row>
    <row r="485">
      <c r="A485" s="115" t="str">
        <f>IFERROR(__xludf.DUMMYFUNCTION("""COMPUTED_VALUE"""),"SOUTH")</f>
        <v>SOUTH</v>
      </c>
      <c r="B485" s="115" t="str">
        <f>IFERROR(__xludf.DUMMYFUNCTION("""COMPUTED_VALUE"""),"Kandula Sampath")</f>
        <v>Kandula Sampath</v>
      </c>
      <c r="C485" s="115" t="str">
        <f>IFERROR(__xludf.DUMMYFUNCTION("""COMPUTED_VALUE"""),"EXTERNAL")</f>
        <v>EXTERNAL</v>
      </c>
      <c r="D485" s="115">
        <f>IFERROR(__xludf.DUMMYFUNCTION("""COMPUTED_VALUE"""),40524.0)</f>
        <v>40524</v>
      </c>
      <c r="E485" s="115">
        <f>IFERROR(__xludf.DUMMYFUNCTION("""COMPUTED_VALUE"""),4225.0)</f>
        <v>4225</v>
      </c>
      <c r="F485" s="115">
        <f>IFERROR(__xludf.DUMMYFUNCTION("""COMPUTED_VALUE"""),17137.0)</f>
        <v>17137</v>
      </c>
      <c r="G485" s="115">
        <f>IFERROR(__xludf.DUMMYFUNCTION("""COMPUTED_VALUE"""),1500.0)</f>
        <v>1500</v>
      </c>
      <c r="H485" s="116">
        <f>IFERROR(__xludf.DUMMYFUNCTION("""COMPUTED_VALUE"""),45901.0)</f>
        <v>45901</v>
      </c>
      <c r="I485" s="115" t="str">
        <f>IFERROR(__xludf.DUMMYFUNCTION("""COMPUTED_VALUE"""),"22")</f>
        <v>22</v>
      </c>
      <c r="J485" s="115" t="str">
        <f>IFERROR(__xludf.DUMMYFUNCTION("""COMPUTED_VALUE"""),"Kandula Sampath2025-09-0122")</f>
        <v>Kandula Sampath2025-09-0122</v>
      </c>
      <c r="K485" s="115">
        <f>IFERROR(__xludf.DUMMYFUNCTION("""COMPUTED_VALUE"""),44749.0)</f>
        <v>44749</v>
      </c>
    </row>
    <row r="486">
      <c r="A486" s="115" t="str">
        <f>IFERROR(__xludf.DUMMYFUNCTION("""COMPUTED_VALUE"""),"SOUTH")</f>
        <v>SOUTH</v>
      </c>
      <c r="B486" s="115" t="str">
        <f>IFERROR(__xludf.DUMMYFUNCTION("""COMPUTED_VALUE"""),"Kandula Sampath")</f>
        <v>Kandula Sampath</v>
      </c>
      <c r="C486" s="115" t="str">
        <f>IFERROR(__xludf.DUMMYFUNCTION("""COMPUTED_VALUE"""),"FLIPKART")</f>
        <v>FLIPKART</v>
      </c>
      <c r="D486" s="115">
        <f>IFERROR(__xludf.DUMMYFUNCTION("""COMPUTED_VALUE"""),337614.0)</f>
        <v>337614</v>
      </c>
      <c r="E486" s="115">
        <f>IFERROR(__xludf.DUMMYFUNCTION("""COMPUTED_VALUE"""),32479.0)</f>
        <v>32479</v>
      </c>
      <c r="F486" s="115">
        <f>IFERROR(__xludf.DUMMYFUNCTION("""COMPUTED_VALUE"""),250633.0)</f>
        <v>250633</v>
      </c>
      <c r="G486" s="115">
        <f>IFERROR(__xludf.DUMMYFUNCTION("""COMPUTED_VALUE"""),20566.0)</f>
        <v>20566</v>
      </c>
      <c r="H486" s="116">
        <f>IFERROR(__xludf.DUMMYFUNCTION("""COMPUTED_VALUE"""),45901.0)</f>
        <v>45901</v>
      </c>
      <c r="I486" s="115" t="str">
        <f>IFERROR(__xludf.DUMMYFUNCTION("""COMPUTED_VALUE"""),"22")</f>
        <v>22</v>
      </c>
      <c r="J486" s="115" t="str">
        <f>IFERROR(__xludf.DUMMYFUNCTION("""COMPUTED_VALUE"""),"Kandula Sampath2025-09-0122")</f>
        <v>Kandula Sampath2025-09-0122</v>
      </c>
      <c r="K486" s="115">
        <f>IFERROR(__xludf.DUMMYFUNCTION("""COMPUTED_VALUE"""),370093.0)</f>
        <v>370093</v>
      </c>
    </row>
    <row r="487">
      <c r="A487" s="115" t="str">
        <f>IFERROR(__xludf.DUMMYFUNCTION("""COMPUTED_VALUE"""),"SOUTH")</f>
        <v>SOUTH</v>
      </c>
      <c r="B487" s="115" t="str">
        <f>IFERROR(__xludf.DUMMYFUNCTION("""COMPUTED_VALUE"""),"Kandula Sampath")</f>
        <v>Kandula Sampath</v>
      </c>
      <c r="C487" s="115" t="str">
        <f>IFERROR(__xludf.DUMMYFUNCTION("""COMPUTED_VALUE"""),"MYNTRA")</f>
        <v>MYNTRA</v>
      </c>
      <c r="D487" s="115">
        <f>IFERROR(__xludf.DUMMYFUNCTION("""COMPUTED_VALUE"""),35205.0)</f>
        <v>35205</v>
      </c>
      <c r="E487" s="115">
        <f>IFERROR(__xludf.DUMMYFUNCTION("""COMPUTED_VALUE"""),7613.0)</f>
        <v>7613</v>
      </c>
      <c r="F487" s="115">
        <f>IFERROR(__xludf.DUMMYFUNCTION("""COMPUTED_VALUE"""),28754.0)</f>
        <v>28754</v>
      </c>
      <c r="G487" s="115">
        <f>IFERROR(__xludf.DUMMYFUNCTION("""COMPUTED_VALUE"""),4942.0)</f>
        <v>4942</v>
      </c>
      <c r="H487" s="116">
        <f>IFERROR(__xludf.DUMMYFUNCTION("""COMPUTED_VALUE"""),45901.0)</f>
        <v>45901</v>
      </c>
      <c r="I487" s="115" t="str">
        <f>IFERROR(__xludf.DUMMYFUNCTION("""COMPUTED_VALUE"""),"22")</f>
        <v>22</v>
      </c>
      <c r="J487" s="115" t="str">
        <f>IFERROR(__xludf.DUMMYFUNCTION("""COMPUTED_VALUE"""),"Kandula Sampath2025-09-0122")</f>
        <v>Kandula Sampath2025-09-0122</v>
      </c>
      <c r="K487" s="115">
        <f>IFERROR(__xludf.DUMMYFUNCTION("""COMPUTED_VALUE"""),42818.0)</f>
        <v>42818</v>
      </c>
    </row>
    <row r="488">
      <c r="A488" s="115" t="str">
        <f>IFERROR(__xludf.DUMMYFUNCTION("""COMPUTED_VALUE"""),"SOUTH")</f>
        <v>SOUTH</v>
      </c>
      <c r="B488" s="115" t="str">
        <f>IFERROR(__xludf.DUMMYFUNCTION("""COMPUTED_VALUE"""),"Martin A")</f>
        <v>Martin A</v>
      </c>
      <c r="C488" s="115" t="str">
        <f>IFERROR(__xludf.DUMMYFUNCTION("""COMPUTED_VALUE"""),"EXTERNAL")</f>
        <v>EXTERNAL</v>
      </c>
      <c r="D488" s="115">
        <f>IFERROR(__xludf.DUMMYFUNCTION("""COMPUTED_VALUE"""),40352.0)</f>
        <v>40352</v>
      </c>
      <c r="E488" s="115">
        <f>IFERROR(__xludf.DUMMYFUNCTION("""COMPUTED_VALUE"""),2658.0)</f>
        <v>2658</v>
      </c>
      <c r="F488" s="115">
        <f>IFERROR(__xludf.DUMMYFUNCTION("""COMPUTED_VALUE"""),17080.0)</f>
        <v>17080</v>
      </c>
      <c r="G488" s="115">
        <f>IFERROR(__xludf.DUMMYFUNCTION("""COMPUTED_VALUE"""),1209.0)</f>
        <v>1209</v>
      </c>
      <c r="H488" s="116">
        <f>IFERROR(__xludf.DUMMYFUNCTION("""COMPUTED_VALUE"""),45901.0)</f>
        <v>45901</v>
      </c>
      <c r="I488" s="115" t="str">
        <f>IFERROR(__xludf.DUMMYFUNCTION("""COMPUTED_VALUE"""),"22")</f>
        <v>22</v>
      </c>
      <c r="J488" s="115" t="str">
        <f>IFERROR(__xludf.DUMMYFUNCTION("""COMPUTED_VALUE"""),"Martin A2025-09-0122")</f>
        <v>Martin A2025-09-0122</v>
      </c>
      <c r="K488" s="115">
        <f>IFERROR(__xludf.DUMMYFUNCTION("""COMPUTED_VALUE"""),43010.0)</f>
        <v>43010</v>
      </c>
    </row>
    <row r="489">
      <c r="A489" s="115" t="str">
        <f>IFERROR(__xludf.DUMMYFUNCTION("""COMPUTED_VALUE"""),"SOUTH")</f>
        <v>SOUTH</v>
      </c>
      <c r="B489" s="115" t="str">
        <f>IFERROR(__xludf.DUMMYFUNCTION("""COMPUTED_VALUE"""),"Martin A")</f>
        <v>Martin A</v>
      </c>
      <c r="C489" s="115" t="str">
        <f>IFERROR(__xludf.DUMMYFUNCTION("""COMPUTED_VALUE"""),"FLIPKART")</f>
        <v>FLIPKART</v>
      </c>
      <c r="D489" s="115">
        <f>IFERROR(__xludf.DUMMYFUNCTION("""COMPUTED_VALUE"""),309325.0)</f>
        <v>309325</v>
      </c>
      <c r="E489" s="115">
        <f>IFERROR(__xludf.DUMMYFUNCTION("""COMPUTED_VALUE"""),28619.0)</f>
        <v>28619</v>
      </c>
      <c r="F489" s="115">
        <f>IFERROR(__xludf.DUMMYFUNCTION("""COMPUTED_VALUE"""),228473.0)</f>
        <v>228473</v>
      </c>
      <c r="G489" s="115">
        <f>IFERROR(__xludf.DUMMYFUNCTION("""COMPUTED_VALUE"""),18645.0)</f>
        <v>18645</v>
      </c>
      <c r="H489" s="116">
        <f>IFERROR(__xludf.DUMMYFUNCTION("""COMPUTED_VALUE"""),45901.0)</f>
        <v>45901</v>
      </c>
      <c r="I489" s="115" t="str">
        <f>IFERROR(__xludf.DUMMYFUNCTION("""COMPUTED_VALUE"""),"22")</f>
        <v>22</v>
      </c>
      <c r="J489" s="115" t="str">
        <f>IFERROR(__xludf.DUMMYFUNCTION("""COMPUTED_VALUE"""),"Martin A2025-09-0122")</f>
        <v>Martin A2025-09-0122</v>
      </c>
      <c r="K489" s="115">
        <f>IFERROR(__xludf.DUMMYFUNCTION("""COMPUTED_VALUE"""),337944.0)</f>
        <v>337944</v>
      </c>
    </row>
    <row r="490">
      <c r="A490" s="115" t="str">
        <f>IFERROR(__xludf.DUMMYFUNCTION("""COMPUTED_VALUE"""),"SOUTH")</f>
        <v>SOUTH</v>
      </c>
      <c r="B490" s="115" t="str">
        <f>IFERROR(__xludf.DUMMYFUNCTION("""COMPUTED_VALUE"""),"Martin A")</f>
        <v>Martin A</v>
      </c>
      <c r="C490" s="115" t="str">
        <f>IFERROR(__xludf.DUMMYFUNCTION("""COMPUTED_VALUE"""),"MYNTRA")</f>
        <v>MYNTRA</v>
      </c>
      <c r="D490" s="115">
        <f>IFERROR(__xludf.DUMMYFUNCTION("""COMPUTED_VALUE"""),27951.0)</f>
        <v>27951</v>
      </c>
      <c r="E490" s="115">
        <f>IFERROR(__xludf.DUMMYFUNCTION("""COMPUTED_VALUE"""),6615.0)</f>
        <v>6615</v>
      </c>
      <c r="F490" s="115">
        <f>IFERROR(__xludf.DUMMYFUNCTION("""COMPUTED_VALUE"""),23427.0)</f>
        <v>23427</v>
      </c>
      <c r="G490" s="115">
        <f>IFERROR(__xludf.DUMMYFUNCTION("""COMPUTED_VALUE"""),4441.0)</f>
        <v>4441</v>
      </c>
      <c r="H490" s="116">
        <f>IFERROR(__xludf.DUMMYFUNCTION("""COMPUTED_VALUE"""),45901.0)</f>
        <v>45901</v>
      </c>
      <c r="I490" s="115" t="str">
        <f>IFERROR(__xludf.DUMMYFUNCTION("""COMPUTED_VALUE"""),"22")</f>
        <v>22</v>
      </c>
      <c r="J490" s="115" t="str">
        <f>IFERROR(__xludf.DUMMYFUNCTION("""COMPUTED_VALUE"""),"Martin A2025-09-0122")</f>
        <v>Martin A2025-09-0122</v>
      </c>
      <c r="K490" s="115">
        <f>IFERROR(__xludf.DUMMYFUNCTION("""COMPUTED_VALUE"""),34566.0)</f>
        <v>34566</v>
      </c>
    </row>
    <row r="491">
      <c r="A491" s="115" t="str">
        <f>IFERROR(__xludf.DUMMYFUNCTION("""COMPUTED_VALUE"""),"SOUTH")</f>
        <v>SOUTH</v>
      </c>
      <c r="B491" s="115" t="str">
        <f>IFERROR(__xludf.DUMMYFUNCTION("""COMPUTED_VALUE"""),"Premkumar M")</f>
        <v>Premkumar M</v>
      </c>
      <c r="C491" s="115" t="str">
        <f>IFERROR(__xludf.DUMMYFUNCTION("""COMPUTED_VALUE"""),"EXTERNAL")</f>
        <v>EXTERNAL</v>
      </c>
      <c r="D491" s="115">
        <f>IFERROR(__xludf.DUMMYFUNCTION("""COMPUTED_VALUE"""),33861.0)</f>
        <v>33861</v>
      </c>
      <c r="E491" s="115">
        <f>IFERROR(__xludf.DUMMYFUNCTION("""COMPUTED_VALUE"""),2129.0)</f>
        <v>2129</v>
      </c>
      <c r="F491" s="115">
        <f>IFERROR(__xludf.DUMMYFUNCTION("""COMPUTED_VALUE"""),17378.0)</f>
        <v>17378</v>
      </c>
      <c r="G491" s="115">
        <f>IFERROR(__xludf.DUMMYFUNCTION("""COMPUTED_VALUE"""),900.0)</f>
        <v>900</v>
      </c>
      <c r="H491" s="116">
        <f>IFERROR(__xludf.DUMMYFUNCTION("""COMPUTED_VALUE"""),45901.0)</f>
        <v>45901</v>
      </c>
      <c r="I491" s="115" t="str">
        <f>IFERROR(__xludf.DUMMYFUNCTION("""COMPUTED_VALUE"""),"22")</f>
        <v>22</v>
      </c>
      <c r="J491" s="115" t="str">
        <f>IFERROR(__xludf.DUMMYFUNCTION("""COMPUTED_VALUE"""),"Premkumar M2025-09-0122")</f>
        <v>Premkumar M2025-09-0122</v>
      </c>
      <c r="K491" s="115">
        <f>IFERROR(__xludf.DUMMYFUNCTION("""COMPUTED_VALUE"""),35990.0)</f>
        <v>35990</v>
      </c>
    </row>
    <row r="492">
      <c r="A492" s="115" t="str">
        <f>IFERROR(__xludf.DUMMYFUNCTION("""COMPUTED_VALUE"""),"SOUTH")</f>
        <v>SOUTH</v>
      </c>
      <c r="B492" s="115" t="str">
        <f>IFERROR(__xludf.DUMMYFUNCTION("""COMPUTED_VALUE"""),"Premkumar M")</f>
        <v>Premkumar M</v>
      </c>
      <c r="C492" s="115" t="str">
        <f>IFERROR(__xludf.DUMMYFUNCTION("""COMPUTED_VALUE"""),"FLIPKART")</f>
        <v>FLIPKART</v>
      </c>
      <c r="D492" s="115">
        <f>IFERROR(__xludf.DUMMYFUNCTION("""COMPUTED_VALUE"""),292026.0)</f>
        <v>292026</v>
      </c>
      <c r="E492" s="115">
        <f>IFERROR(__xludf.DUMMYFUNCTION("""COMPUTED_VALUE"""),21162.0)</f>
        <v>21162</v>
      </c>
      <c r="F492" s="115">
        <f>IFERROR(__xludf.DUMMYFUNCTION("""COMPUTED_VALUE"""),230477.0)</f>
        <v>230477</v>
      </c>
      <c r="G492" s="115">
        <f>IFERROR(__xludf.DUMMYFUNCTION("""COMPUTED_VALUE"""),12592.0)</f>
        <v>12592</v>
      </c>
      <c r="H492" s="116">
        <f>IFERROR(__xludf.DUMMYFUNCTION("""COMPUTED_VALUE"""),45901.0)</f>
        <v>45901</v>
      </c>
      <c r="I492" s="115" t="str">
        <f>IFERROR(__xludf.DUMMYFUNCTION("""COMPUTED_VALUE"""),"22")</f>
        <v>22</v>
      </c>
      <c r="J492" s="115" t="str">
        <f>IFERROR(__xludf.DUMMYFUNCTION("""COMPUTED_VALUE"""),"Premkumar M2025-09-0122")</f>
        <v>Premkumar M2025-09-0122</v>
      </c>
      <c r="K492" s="115">
        <f>IFERROR(__xludf.DUMMYFUNCTION("""COMPUTED_VALUE"""),313188.0)</f>
        <v>313188</v>
      </c>
    </row>
    <row r="493">
      <c r="A493" s="115" t="str">
        <f>IFERROR(__xludf.DUMMYFUNCTION("""COMPUTED_VALUE"""),"SOUTH")</f>
        <v>SOUTH</v>
      </c>
      <c r="B493" s="115" t="str">
        <f>IFERROR(__xludf.DUMMYFUNCTION("""COMPUTED_VALUE"""),"Premkumar M")</f>
        <v>Premkumar M</v>
      </c>
      <c r="C493" s="115" t="str">
        <f>IFERROR(__xludf.DUMMYFUNCTION("""COMPUTED_VALUE"""),"MYNTRA")</f>
        <v>MYNTRA</v>
      </c>
      <c r="D493" s="115">
        <f>IFERROR(__xludf.DUMMYFUNCTION("""COMPUTED_VALUE"""),15387.0)</f>
        <v>15387</v>
      </c>
      <c r="E493" s="115">
        <f>IFERROR(__xludf.DUMMYFUNCTION("""COMPUTED_VALUE"""),3003.0)</f>
        <v>3003</v>
      </c>
      <c r="F493" s="115">
        <f>IFERROR(__xludf.DUMMYFUNCTION("""COMPUTED_VALUE"""),13315.0)</f>
        <v>13315</v>
      </c>
      <c r="G493" s="115">
        <f>IFERROR(__xludf.DUMMYFUNCTION("""COMPUTED_VALUE"""),1904.0)</f>
        <v>1904</v>
      </c>
      <c r="H493" s="116">
        <f>IFERROR(__xludf.DUMMYFUNCTION("""COMPUTED_VALUE"""),45901.0)</f>
        <v>45901</v>
      </c>
      <c r="I493" s="115" t="str">
        <f>IFERROR(__xludf.DUMMYFUNCTION("""COMPUTED_VALUE"""),"22")</f>
        <v>22</v>
      </c>
      <c r="J493" s="115" t="str">
        <f>IFERROR(__xludf.DUMMYFUNCTION("""COMPUTED_VALUE"""),"Premkumar M2025-09-0122")</f>
        <v>Premkumar M2025-09-0122</v>
      </c>
      <c r="K493" s="115">
        <f>IFERROR(__xludf.DUMMYFUNCTION("""COMPUTED_VALUE"""),18390.0)</f>
        <v>18390</v>
      </c>
    </row>
    <row r="494">
      <c r="A494" s="115" t="str">
        <f>IFERROR(__xludf.DUMMYFUNCTION("""COMPUTED_VALUE"""),"SOUTH")</f>
        <v>SOUTH</v>
      </c>
      <c r="B494" s="115" t="str">
        <f>IFERROR(__xludf.DUMMYFUNCTION("""COMPUTED_VALUE"""),"Vineeth V")</f>
        <v>Vineeth V</v>
      </c>
      <c r="C494" s="115" t="str">
        <f>IFERROR(__xludf.DUMMYFUNCTION("""COMPUTED_VALUE"""),"EXTERNAL")</f>
        <v>EXTERNAL</v>
      </c>
      <c r="D494" s="115">
        <f>IFERROR(__xludf.DUMMYFUNCTION("""COMPUTED_VALUE"""),23688.0)</f>
        <v>23688</v>
      </c>
      <c r="E494" s="115">
        <f>IFERROR(__xludf.DUMMYFUNCTION("""COMPUTED_VALUE"""),692.0)</f>
        <v>692</v>
      </c>
      <c r="F494" s="115">
        <f>IFERROR(__xludf.DUMMYFUNCTION("""COMPUTED_VALUE"""),13077.0)</f>
        <v>13077</v>
      </c>
      <c r="G494" s="115">
        <f>IFERROR(__xludf.DUMMYFUNCTION("""COMPUTED_VALUE"""),426.0)</f>
        <v>426</v>
      </c>
      <c r="H494" s="116">
        <f>IFERROR(__xludf.DUMMYFUNCTION("""COMPUTED_VALUE"""),45901.0)</f>
        <v>45901</v>
      </c>
      <c r="I494" s="115" t="str">
        <f>IFERROR(__xludf.DUMMYFUNCTION("""COMPUTED_VALUE"""),"22")</f>
        <v>22</v>
      </c>
      <c r="J494" s="115" t="str">
        <f>IFERROR(__xludf.DUMMYFUNCTION("""COMPUTED_VALUE"""),"Vineeth V2025-09-0122")</f>
        <v>Vineeth V2025-09-0122</v>
      </c>
      <c r="K494" s="115">
        <f>IFERROR(__xludf.DUMMYFUNCTION("""COMPUTED_VALUE"""),24380.0)</f>
        <v>24380</v>
      </c>
    </row>
    <row r="495">
      <c r="A495" s="115" t="str">
        <f>IFERROR(__xludf.DUMMYFUNCTION("""COMPUTED_VALUE"""),"SOUTH")</f>
        <v>SOUTH</v>
      </c>
      <c r="B495" s="115" t="str">
        <f>IFERROR(__xludf.DUMMYFUNCTION("""COMPUTED_VALUE"""),"Vineeth V")</f>
        <v>Vineeth V</v>
      </c>
      <c r="C495" s="115" t="str">
        <f>IFERROR(__xludf.DUMMYFUNCTION("""COMPUTED_VALUE"""),"FLIPKART")</f>
        <v>FLIPKART</v>
      </c>
      <c r="D495" s="115">
        <f>IFERROR(__xludf.DUMMYFUNCTION("""COMPUTED_VALUE"""),259737.0)</f>
        <v>259737</v>
      </c>
      <c r="E495" s="115">
        <f>IFERROR(__xludf.DUMMYFUNCTION("""COMPUTED_VALUE"""),17681.0)</f>
        <v>17681</v>
      </c>
      <c r="F495" s="115">
        <f>IFERROR(__xludf.DUMMYFUNCTION("""COMPUTED_VALUE"""),219068.0)</f>
        <v>219068</v>
      </c>
      <c r="G495" s="115">
        <f>IFERROR(__xludf.DUMMYFUNCTION("""COMPUTED_VALUE"""),11371.0)</f>
        <v>11371</v>
      </c>
      <c r="H495" s="116">
        <f>IFERROR(__xludf.DUMMYFUNCTION("""COMPUTED_VALUE"""),45901.0)</f>
        <v>45901</v>
      </c>
      <c r="I495" s="115" t="str">
        <f>IFERROR(__xludf.DUMMYFUNCTION("""COMPUTED_VALUE"""),"22")</f>
        <v>22</v>
      </c>
      <c r="J495" s="115" t="str">
        <f>IFERROR(__xludf.DUMMYFUNCTION("""COMPUTED_VALUE"""),"Vineeth V2025-09-0122")</f>
        <v>Vineeth V2025-09-0122</v>
      </c>
      <c r="K495" s="115">
        <f>IFERROR(__xludf.DUMMYFUNCTION("""COMPUTED_VALUE"""),277418.0)</f>
        <v>277418</v>
      </c>
    </row>
    <row r="496">
      <c r="A496" s="115" t="str">
        <f>IFERROR(__xludf.DUMMYFUNCTION("""COMPUTED_VALUE"""),"SOUTH")</f>
        <v>SOUTH</v>
      </c>
      <c r="B496" s="115" t="str">
        <f>IFERROR(__xludf.DUMMYFUNCTION("""COMPUTED_VALUE"""),"Vineeth V")</f>
        <v>Vineeth V</v>
      </c>
      <c r="C496" s="115" t="str">
        <f>IFERROR(__xludf.DUMMYFUNCTION("""COMPUTED_VALUE"""),"MYNTRA")</f>
        <v>MYNTRA</v>
      </c>
      <c r="D496" s="115">
        <f>IFERROR(__xludf.DUMMYFUNCTION("""COMPUTED_VALUE"""),22050.0)</f>
        <v>22050</v>
      </c>
      <c r="E496" s="115">
        <f>IFERROR(__xludf.DUMMYFUNCTION("""COMPUTED_VALUE"""),4116.0)</f>
        <v>4116</v>
      </c>
      <c r="F496" s="115">
        <f>IFERROR(__xludf.DUMMYFUNCTION("""COMPUTED_VALUE"""),19516.0)</f>
        <v>19516</v>
      </c>
      <c r="G496" s="115">
        <f>IFERROR(__xludf.DUMMYFUNCTION("""COMPUTED_VALUE"""),2705.0)</f>
        <v>2705</v>
      </c>
      <c r="H496" s="116">
        <f>IFERROR(__xludf.DUMMYFUNCTION("""COMPUTED_VALUE"""),45901.0)</f>
        <v>45901</v>
      </c>
      <c r="I496" s="115" t="str">
        <f>IFERROR(__xludf.DUMMYFUNCTION("""COMPUTED_VALUE"""),"22")</f>
        <v>22</v>
      </c>
      <c r="J496" s="115" t="str">
        <f>IFERROR(__xludf.DUMMYFUNCTION("""COMPUTED_VALUE"""),"Vineeth V2025-09-0122")</f>
        <v>Vineeth V2025-09-0122</v>
      </c>
      <c r="K496" s="115">
        <f>IFERROR(__xludf.DUMMYFUNCTION("""COMPUTED_VALUE"""),26166.0)</f>
        <v>26166</v>
      </c>
    </row>
    <row r="497">
      <c r="A497" s="115" t="str">
        <f>IFERROR(__xludf.DUMMYFUNCTION("""COMPUTED_VALUE"""),"WEST")</f>
        <v>WEST</v>
      </c>
      <c r="B497" s="115" t="str">
        <f>IFERROR(__xludf.DUMMYFUNCTION("""COMPUTED_VALUE"""),"Ashish Jakar")</f>
        <v>Ashish Jakar</v>
      </c>
      <c r="C497" s="115" t="str">
        <f>IFERROR(__xludf.DUMMYFUNCTION("""COMPUTED_VALUE"""),"EXTERNAL")</f>
        <v>EXTERNAL</v>
      </c>
      <c r="D497" s="115">
        <f>IFERROR(__xludf.DUMMYFUNCTION("""COMPUTED_VALUE"""),61458.0)</f>
        <v>61458</v>
      </c>
      <c r="E497" s="115">
        <f>IFERROR(__xludf.DUMMYFUNCTION("""COMPUTED_VALUE"""),7023.0)</f>
        <v>7023</v>
      </c>
      <c r="F497" s="115">
        <f>IFERROR(__xludf.DUMMYFUNCTION("""COMPUTED_VALUE"""),25656.0)</f>
        <v>25656</v>
      </c>
      <c r="G497" s="115">
        <f>IFERROR(__xludf.DUMMYFUNCTION("""COMPUTED_VALUE"""),2635.0)</f>
        <v>2635</v>
      </c>
      <c r="H497" s="116">
        <f>IFERROR(__xludf.DUMMYFUNCTION("""COMPUTED_VALUE"""),45901.0)</f>
        <v>45901</v>
      </c>
      <c r="I497" s="115" t="str">
        <f>IFERROR(__xludf.DUMMYFUNCTION("""COMPUTED_VALUE"""),"22")</f>
        <v>22</v>
      </c>
      <c r="J497" s="115" t="str">
        <f>IFERROR(__xludf.DUMMYFUNCTION("""COMPUTED_VALUE"""),"Ashish Jakar2025-09-0122")</f>
        <v>Ashish Jakar2025-09-0122</v>
      </c>
      <c r="K497" s="115">
        <f>IFERROR(__xludf.DUMMYFUNCTION("""COMPUTED_VALUE"""),68481.0)</f>
        <v>68481</v>
      </c>
    </row>
    <row r="498">
      <c r="A498" s="115" t="str">
        <f>IFERROR(__xludf.DUMMYFUNCTION("""COMPUTED_VALUE"""),"WEST")</f>
        <v>WEST</v>
      </c>
      <c r="B498" s="115" t="str">
        <f>IFERROR(__xludf.DUMMYFUNCTION("""COMPUTED_VALUE"""),"Ashish Jakar")</f>
        <v>Ashish Jakar</v>
      </c>
      <c r="C498" s="115" t="str">
        <f>IFERROR(__xludf.DUMMYFUNCTION("""COMPUTED_VALUE"""),"FLIPKART")</f>
        <v>FLIPKART</v>
      </c>
      <c r="D498" s="115">
        <f>IFERROR(__xludf.DUMMYFUNCTION("""COMPUTED_VALUE"""),329061.0)</f>
        <v>329061</v>
      </c>
      <c r="E498" s="115">
        <f>IFERROR(__xludf.DUMMYFUNCTION("""COMPUTED_VALUE"""),35131.0)</f>
        <v>35131</v>
      </c>
      <c r="F498" s="115">
        <f>IFERROR(__xludf.DUMMYFUNCTION("""COMPUTED_VALUE"""),242268.0)</f>
        <v>242268</v>
      </c>
      <c r="G498" s="115">
        <f>IFERROR(__xludf.DUMMYFUNCTION("""COMPUTED_VALUE"""),21408.0)</f>
        <v>21408</v>
      </c>
      <c r="H498" s="116">
        <f>IFERROR(__xludf.DUMMYFUNCTION("""COMPUTED_VALUE"""),45901.0)</f>
        <v>45901</v>
      </c>
      <c r="I498" s="115" t="str">
        <f>IFERROR(__xludf.DUMMYFUNCTION("""COMPUTED_VALUE"""),"22")</f>
        <v>22</v>
      </c>
      <c r="J498" s="115" t="str">
        <f>IFERROR(__xludf.DUMMYFUNCTION("""COMPUTED_VALUE"""),"Ashish Jakar2025-09-0122")</f>
        <v>Ashish Jakar2025-09-0122</v>
      </c>
      <c r="K498" s="115">
        <f>IFERROR(__xludf.DUMMYFUNCTION("""COMPUTED_VALUE"""),364192.0)</f>
        <v>364192</v>
      </c>
    </row>
    <row r="499">
      <c r="A499" s="115" t="str">
        <f>IFERROR(__xludf.DUMMYFUNCTION("""COMPUTED_VALUE"""),"WEST")</f>
        <v>WEST</v>
      </c>
      <c r="B499" s="115" t="str">
        <f>IFERROR(__xludf.DUMMYFUNCTION("""COMPUTED_VALUE"""),"Ashish Jakar")</f>
        <v>Ashish Jakar</v>
      </c>
      <c r="C499" s="115" t="str">
        <f>IFERROR(__xludf.DUMMYFUNCTION("""COMPUTED_VALUE"""),"MYNTRA")</f>
        <v>MYNTRA</v>
      </c>
      <c r="D499" s="115">
        <f>IFERROR(__xludf.DUMMYFUNCTION("""COMPUTED_VALUE"""),42778.0)</f>
        <v>42778</v>
      </c>
      <c r="E499" s="115">
        <f>IFERROR(__xludf.DUMMYFUNCTION("""COMPUTED_VALUE"""),10643.0)</f>
        <v>10643</v>
      </c>
      <c r="F499" s="115">
        <f>IFERROR(__xludf.DUMMYFUNCTION("""COMPUTED_VALUE"""),35549.0)</f>
        <v>35549</v>
      </c>
      <c r="G499" s="115">
        <f>IFERROR(__xludf.DUMMYFUNCTION("""COMPUTED_VALUE"""),6797.0)</f>
        <v>6797</v>
      </c>
      <c r="H499" s="116">
        <f>IFERROR(__xludf.DUMMYFUNCTION("""COMPUTED_VALUE"""),45901.0)</f>
        <v>45901</v>
      </c>
      <c r="I499" s="115" t="str">
        <f>IFERROR(__xludf.DUMMYFUNCTION("""COMPUTED_VALUE"""),"22")</f>
        <v>22</v>
      </c>
      <c r="J499" s="115" t="str">
        <f>IFERROR(__xludf.DUMMYFUNCTION("""COMPUTED_VALUE"""),"Ashish Jakar2025-09-0122")</f>
        <v>Ashish Jakar2025-09-0122</v>
      </c>
      <c r="K499" s="115">
        <f>IFERROR(__xludf.DUMMYFUNCTION("""COMPUTED_VALUE"""),53421.0)</f>
        <v>53421</v>
      </c>
    </row>
    <row r="500">
      <c r="A500" s="115" t="str">
        <f>IFERROR(__xludf.DUMMYFUNCTION("""COMPUTED_VALUE"""),"WEST")</f>
        <v>WEST</v>
      </c>
      <c r="B500" s="115" t="str">
        <f>IFERROR(__xludf.DUMMYFUNCTION("""COMPUTED_VALUE"""),"Ashvani Bhatt")</f>
        <v>Ashvani Bhatt</v>
      </c>
      <c r="C500" s="115" t="str">
        <f>IFERROR(__xludf.DUMMYFUNCTION("""COMPUTED_VALUE"""),"EXTERNAL")</f>
        <v>EXTERNAL</v>
      </c>
      <c r="D500" s="115">
        <f>IFERROR(__xludf.DUMMYFUNCTION("""COMPUTED_VALUE"""),40058.0)</f>
        <v>40058</v>
      </c>
      <c r="E500" s="115">
        <f>IFERROR(__xludf.DUMMYFUNCTION("""COMPUTED_VALUE"""),4132.0)</f>
        <v>4132</v>
      </c>
      <c r="F500" s="115">
        <f>IFERROR(__xludf.DUMMYFUNCTION("""COMPUTED_VALUE"""),17087.0)</f>
        <v>17087</v>
      </c>
      <c r="G500" s="115">
        <f>IFERROR(__xludf.DUMMYFUNCTION("""COMPUTED_VALUE"""),1697.0)</f>
        <v>1697</v>
      </c>
      <c r="H500" s="116">
        <f>IFERROR(__xludf.DUMMYFUNCTION("""COMPUTED_VALUE"""),45901.0)</f>
        <v>45901</v>
      </c>
      <c r="I500" s="115" t="str">
        <f>IFERROR(__xludf.DUMMYFUNCTION("""COMPUTED_VALUE"""),"22")</f>
        <v>22</v>
      </c>
      <c r="J500" s="115" t="str">
        <f>IFERROR(__xludf.DUMMYFUNCTION("""COMPUTED_VALUE"""),"Ashvani Bhatt2025-09-0122")</f>
        <v>Ashvani Bhatt2025-09-0122</v>
      </c>
      <c r="K500" s="115">
        <f>IFERROR(__xludf.DUMMYFUNCTION("""COMPUTED_VALUE"""),44190.0)</f>
        <v>44190</v>
      </c>
    </row>
    <row r="501">
      <c r="A501" s="115" t="str">
        <f>IFERROR(__xludf.DUMMYFUNCTION("""COMPUTED_VALUE"""),"WEST")</f>
        <v>WEST</v>
      </c>
      <c r="B501" s="115" t="str">
        <f>IFERROR(__xludf.DUMMYFUNCTION("""COMPUTED_VALUE"""),"Ashvani Bhatt")</f>
        <v>Ashvani Bhatt</v>
      </c>
      <c r="C501" s="115" t="str">
        <f>IFERROR(__xludf.DUMMYFUNCTION("""COMPUTED_VALUE"""),"FLIPKART")</f>
        <v>FLIPKART</v>
      </c>
      <c r="D501" s="115">
        <f>IFERROR(__xludf.DUMMYFUNCTION("""COMPUTED_VALUE"""),264708.0)</f>
        <v>264708</v>
      </c>
      <c r="E501" s="115">
        <f>IFERROR(__xludf.DUMMYFUNCTION("""COMPUTED_VALUE"""),30207.0)</f>
        <v>30207</v>
      </c>
      <c r="F501" s="115">
        <f>IFERROR(__xludf.DUMMYFUNCTION("""COMPUTED_VALUE"""),200928.0)</f>
        <v>200928</v>
      </c>
      <c r="G501" s="115">
        <f>IFERROR(__xludf.DUMMYFUNCTION("""COMPUTED_VALUE"""),20464.0)</f>
        <v>20464</v>
      </c>
      <c r="H501" s="116">
        <f>IFERROR(__xludf.DUMMYFUNCTION("""COMPUTED_VALUE"""),45901.0)</f>
        <v>45901</v>
      </c>
      <c r="I501" s="115" t="str">
        <f>IFERROR(__xludf.DUMMYFUNCTION("""COMPUTED_VALUE"""),"22")</f>
        <v>22</v>
      </c>
      <c r="J501" s="115" t="str">
        <f>IFERROR(__xludf.DUMMYFUNCTION("""COMPUTED_VALUE"""),"Ashvani Bhatt2025-09-0122")</f>
        <v>Ashvani Bhatt2025-09-0122</v>
      </c>
      <c r="K501" s="115">
        <f>IFERROR(__xludf.DUMMYFUNCTION("""COMPUTED_VALUE"""),294915.0)</f>
        <v>294915</v>
      </c>
    </row>
    <row r="502">
      <c r="A502" s="115" t="str">
        <f>IFERROR(__xludf.DUMMYFUNCTION("""COMPUTED_VALUE"""),"WEST")</f>
        <v>WEST</v>
      </c>
      <c r="B502" s="115" t="str">
        <f>IFERROR(__xludf.DUMMYFUNCTION("""COMPUTED_VALUE"""),"Ashvani Bhatt")</f>
        <v>Ashvani Bhatt</v>
      </c>
      <c r="C502" s="115" t="str">
        <f>IFERROR(__xludf.DUMMYFUNCTION("""COMPUTED_VALUE"""),"MYNTRA")</f>
        <v>MYNTRA</v>
      </c>
      <c r="D502" s="115">
        <f>IFERROR(__xludf.DUMMYFUNCTION("""COMPUTED_VALUE"""),32966.0)</f>
        <v>32966</v>
      </c>
      <c r="E502" s="115">
        <f>IFERROR(__xludf.DUMMYFUNCTION("""COMPUTED_VALUE"""),8209.0)</f>
        <v>8209</v>
      </c>
      <c r="F502" s="115">
        <f>IFERROR(__xludf.DUMMYFUNCTION("""COMPUTED_VALUE"""),28084.0)</f>
        <v>28084</v>
      </c>
      <c r="G502" s="115">
        <f>IFERROR(__xludf.DUMMYFUNCTION("""COMPUTED_VALUE"""),5883.0)</f>
        <v>5883</v>
      </c>
      <c r="H502" s="116">
        <f>IFERROR(__xludf.DUMMYFUNCTION("""COMPUTED_VALUE"""),45901.0)</f>
        <v>45901</v>
      </c>
      <c r="I502" s="115" t="str">
        <f>IFERROR(__xludf.DUMMYFUNCTION("""COMPUTED_VALUE"""),"22")</f>
        <v>22</v>
      </c>
      <c r="J502" s="115" t="str">
        <f>IFERROR(__xludf.DUMMYFUNCTION("""COMPUTED_VALUE"""),"Ashvani Bhatt2025-09-0122")</f>
        <v>Ashvani Bhatt2025-09-0122</v>
      </c>
      <c r="K502" s="115">
        <f>IFERROR(__xludf.DUMMYFUNCTION("""COMPUTED_VALUE"""),41175.0)</f>
        <v>41175</v>
      </c>
    </row>
    <row r="503">
      <c r="A503" s="115"/>
      <c r="B503" s="115"/>
      <c r="C503" s="115" t="str">
        <f>IFERROR(__xludf.DUMMYFUNCTION("""COMPUTED_VALUE"""),"EXTERNAL")</f>
        <v>EXTERNAL</v>
      </c>
      <c r="D503" s="115">
        <f>IFERROR(__xludf.DUMMYFUNCTION("""COMPUTED_VALUE"""),728.0)</f>
        <v>728</v>
      </c>
      <c r="E503" s="115">
        <f>IFERROR(__xludf.DUMMYFUNCTION("""COMPUTED_VALUE"""),78.0)</f>
        <v>78</v>
      </c>
      <c r="F503" s="115">
        <f>IFERROR(__xludf.DUMMYFUNCTION("""COMPUTED_VALUE"""),226.0)</f>
        <v>226</v>
      </c>
      <c r="G503" s="115">
        <f>IFERROR(__xludf.DUMMYFUNCTION("""COMPUTED_VALUE"""),59.0)</f>
        <v>59</v>
      </c>
      <c r="H503" s="116">
        <f>IFERROR(__xludf.DUMMYFUNCTION("""COMPUTED_VALUE"""),45901.0)</f>
        <v>45901</v>
      </c>
      <c r="I503" s="115" t="str">
        <f>IFERROR(__xludf.DUMMYFUNCTION("""COMPUTED_VALUE"""),"22")</f>
        <v>22</v>
      </c>
      <c r="J503" s="115" t="str">
        <f>IFERROR(__xludf.DUMMYFUNCTION("""COMPUTED_VALUE"""),"2025-09-0122")</f>
        <v>2025-09-0122</v>
      </c>
      <c r="K503" s="115">
        <f>IFERROR(__xludf.DUMMYFUNCTION("""COMPUTED_VALUE"""),806.0)</f>
        <v>806</v>
      </c>
    </row>
    <row r="504">
      <c r="A504" s="115"/>
      <c r="B504" s="115"/>
      <c r="C504" s="115" t="str">
        <f>IFERROR(__xludf.DUMMYFUNCTION("""COMPUTED_VALUE"""),"FLIPKART")</f>
        <v>FLIPKART</v>
      </c>
      <c r="D504" s="115">
        <f>IFERROR(__xludf.DUMMYFUNCTION("""COMPUTED_VALUE"""),6786.0)</f>
        <v>6786</v>
      </c>
      <c r="E504" s="115">
        <f>IFERROR(__xludf.DUMMYFUNCTION("""COMPUTED_VALUE"""),547.0)</f>
        <v>547</v>
      </c>
      <c r="F504" s="115">
        <f>IFERROR(__xludf.DUMMYFUNCTION("""COMPUTED_VALUE"""),4467.0)</f>
        <v>4467</v>
      </c>
      <c r="G504" s="115">
        <f>IFERROR(__xludf.DUMMYFUNCTION("""COMPUTED_VALUE"""),401.0)</f>
        <v>401</v>
      </c>
      <c r="H504" s="116">
        <f>IFERROR(__xludf.DUMMYFUNCTION("""COMPUTED_VALUE"""),45901.0)</f>
        <v>45901</v>
      </c>
      <c r="I504" s="115" t="str">
        <f>IFERROR(__xludf.DUMMYFUNCTION("""COMPUTED_VALUE"""),"22")</f>
        <v>22</v>
      </c>
      <c r="J504" s="115" t="str">
        <f>IFERROR(__xludf.DUMMYFUNCTION("""COMPUTED_VALUE"""),"2025-09-0122")</f>
        <v>2025-09-0122</v>
      </c>
      <c r="K504" s="115">
        <f>IFERROR(__xludf.DUMMYFUNCTION("""COMPUTED_VALUE"""),7333.0)</f>
        <v>7333</v>
      </c>
    </row>
    <row r="505">
      <c r="A505" s="115"/>
      <c r="B505" s="115"/>
      <c r="C505" s="115" t="str">
        <f>IFERROR(__xludf.DUMMYFUNCTION("""COMPUTED_VALUE"""),"MYNTRA")</f>
        <v>MYNTRA</v>
      </c>
      <c r="D505" s="115">
        <f>IFERROR(__xludf.DUMMYFUNCTION("""COMPUTED_VALUE"""),521.0)</f>
        <v>521</v>
      </c>
      <c r="E505" s="115">
        <f>IFERROR(__xludf.DUMMYFUNCTION("""COMPUTED_VALUE"""),118.0)</f>
        <v>118</v>
      </c>
      <c r="F505" s="115">
        <f>IFERROR(__xludf.DUMMYFUNCTION("""COMPUTED_VALUE"""),377.0)</f>
        <v>377</v>
      </c>
      <c r="G505" s="115">
        <f>IFERROR(__xludf.DUMMYFUNCTION("""COMPUTED_VALUE"""),73.0)</f>
        <v>73</v>
      </c>
      <c r="H505" s="116">
        <f>IFERROR(__xludf.DUMMYFUNCTION("""COMPUTED_VALUE"""),45901.0)</f>
        <v>45901</v>
      </c>
      <c r="I505" s="115" t="str">
        <f>IFERROR(__xludf.DUMMYFUNCTION("""COMPUTED_VALUE"""),"22")</f>
        <v>22</v>
      </c>
      <c r="J505" s="115" t="str">
        <f>IFERROR(__xludf.DUMMYFUNCTION("""COMPUTED_VALUE"""),"2025-09-0122")</f>
        <v>2025-09-0122</v>
      </c>
      <c r="K505" s="115">
        <f>IFERROR(__xludf.DUMMYFUNCTION("""COMPUTED_VALUE"""),639.0)</f>
        <v>639</v>
      </c>
    </row>
    <row r="506">
      <c r="A506" s="115" t="str">
        <f>IFERROR(__xludf.DUMMYFUNCTION("""COMPUTED_VALUE"""),"EAST")</f>
        <v>EAST</v>
      </c>
      <c r="B506" s="115" t="str">
        <f>IFERROR(__xludf.DUMMYFUNCTION("""COMPUTED_VALUE"""),"Ashish Ranjan")</f>
        <v>Ashish Ranjan</v>
      </c>
      <c r="C506" s="115" t="str">
        <f>IFERROR(__xludf.DUMMYFUNCTION("""COMPUTED_VALUE"""),"EXTERNAL")</f>
        <v>EXTERNAL</v>
      </c>
      <c r="D506" s="115">
        <f>IFERROR(__xludf.DUMMYFUNCTION("""COMPUTED_VALUE"""),3069.0)</f>
        <v>3069</v>
      </c>
      <c r="E506" s="115">
        <f>IFERROR(__xludf.DUMMYFUNCTION("""COMPUTED_VALUE"""),131.0)</f>
        <v>131</v>
      </c>
      <c r="F506" s="115">
        <f>IFERROR(__xludf.DUMMYFUNCTION("""COMPUTED_VALUE"""),14.0)</f>
        <v>14</v>
      </c>
      <c r="G506" s="115">
        <f>IFERROR(__xludf.DUMMYFUNCTION("""COMPUTED_VALUE"""),0.0)</f>
        <v>0</v>
      </c>
      <c r="H506" s="116">
        <f>IFERROR(__xludf.DUMMYFUNCTION("""COMPUTED_VALUE"""),45902.0)</f>
        <v>45902</v>
      </c>
      <c r="I506" s="115" t="str">
        <f>IFERROR(__xludf.DUMMYFUNCTION("""COMPUTED_VALUE"""),"08")</f>
        <v>08</v>
      </c>
      <c r="J506" s="115" t="str">
        <f>IFERROR(__xludf.DUMMYFUNCTION("""COMPUTED_VALUE"""),"Ashish Ranjan2025-09-0208")</f>
        <v>Ashish Ranjan2025-09-0208</v>
      </c>
      <c r="K506" s="115">
        <f>IFERROR(__xludf.DUMMYFUNCTION("""COMPUTED_VALUE"""),3200.0)</f>
        <v>3200</v>
      </c>
    </row>
    <row r="507">
      <c r="A507" s="115" t="str">
        <f>IFERROR(__xludf.DUMMYFUNCTION("""COMPUTED_VALUE"""),"EAST")</f>
        <v>EAST</v>
      </c>
      <c r="B507" s="115" t="str">
        <f>IFERROR(__xludf.DUMMYFUNCTION("""COMPUTED_VALUE"""),"Ashish Ranjan")</f>
        <v>Ashish Ranjan</v>
      </c>
      <c r="C507" s="115" t="str">
        <f>IFERROR(__xludf.DUMMYFUNCTION("""COMPUTED_VALUE"""),"FLIPKART")</f>
        <v>FLIPKART</v>
      </c>
      <c r="D507" s="115">
        <f>IFERROR(__xludf.DUMMYFUNCTION("""COMPUTED_VALUE"""),53951.0)</f>
        <v>53951</v>
      </c>
      <c r="E507" s="115">
        <f>IFERROR(__xludf.DUMMYFUNCTION("""COMPUTED_VALUE"""),4839.0)</f>
        <v>4839</v>
      </c>
      <c r="F507" s="115">
        <f>IFERROR(__xludf.DUMMYFUNCTION("""COMPUTED_VALUE"""),353.0)</f>
        <v>353</v>
      </c>
      <c r="G507" s="115">
        <f>IFERROR(__xludf.DUMMYFUNCTION("""COMPUTED_VALUE"""),71.0)</f>
        <v>71</v>
      </c>
      <c r="H507" s="116">
        <f>IFERROR(__xludf.DUMMYFUNCTION("""COMPUTED_VALUE"""),45902.0)</f>
        <v>45902</v>
      </c>
      <c r="I507" s="115" t="str">
        <f>IFERROR(__xludf.DUMMYFUNCTION("""COMPUTED_VALUE"""),"08")</f>
        <v>08</v>
      </c>
      <c r="J507" s="115" t="str">
        <f>IFERROR(__xludf.DUMMYFUNCTION("""COMPUTED_VALUE"""),"Ashish Ranjan2025-09-0208")</f>
        <v>Ashish Ranjan2025-09-0208</v>
      </c>
      <c r="K507" s="115">
        <f>IFERROR(__xludf.DUMMYFUNCTION("""COMPUTED_VALUE"""),58790.0)</f>
        <v>58790</v>
      </c>
    </row>
    <row r="508">
      <c r="A508" s="115" t="str">
        <f>IFERROR(__xludf.DUMMYFUNCTION("""COMPUTED_VALUE"""),"EAST")</f>
        <v>EAST</v>
      </c>
      <c r="B508" s="115" t="str">
        <f>IFERROR(__xludf.DUMMYFUNCTION("""COMPUTED_VALUE"""),"Ashish Ranjan")</f>
        <v>Ashish Ranjan</v>
      </c>
      <c r="C508" s="115" t="str">
        <f>IFERROR(__xludf.DUMMYFUNCTION("""COMPUTED_VALUE"""),"MYNTRA")</f>
        <v>MYNTRA</v>
      </c>
      <c r="D508" s="115">
        <f>IFERROR(__xludf.DUMMYFUNCTION("""COMPUTED_VALUE"""),4834.0)</f>
        <v>4834</v>
      </c>
      <c r="E508" s="115">
        <f>IFERROR(__xludf.DUMMYFUNCTION("""COMPUTED_VALUE"""),1021.0)</f>
        <v>1021</v>
      </c>
      <c r="F508" s="115">
        <f>IFERROR(__xludf.DUMMYFUNCTION("""COMPUTED_VALUE"""),49.0)</f>
        <v>49</v>
      </c>
      <c r="G508" s="115">
        <f>IFERROR(__xludf.DUMMYFUNCTION("""COMPUTED_VALUE"""),14.0)</f>
        <v>14</v>
      </c>
      <c r="H508" s="116">
        <f>IFERROR(__xludf.DUMMYFUNCTION("""COMPUTED_VALUE"""),45902.0)</f>
        <v>45902</v>
      </c>
      <c r="I508" s="115" t="str">
        <f>IFERROR(__xludf.DUMMYFUNCTION("""COMPUTED_VALUE"""),"08")</f>
        <v>08</v>
      </c>
      <c r="J508" s="115" t="str">
        <f>IFERROR(__xludf.DUMMYFUNCTION("""COMPUTED_VALUE"""),"Ashish Ranjan2025-09-0208")</f>
        <v>Ashish Ranjan2025-09-0208</v>
      </c>
      <c r="K508" s="115">
        <f>IFERROR(__xludf.DUMMYFUNCTION("""COMPUTED_VALUE"""),5855.0)</f>
        <v>5855</v>
      </c>
    </row>
    <row r="509">
      <c r="A509" s="115" t="str">
        <f>IFERROR(__xludf.DUMMYFUNCTION("""COMPUTED_VALUE"""),"EAST")</f>
        <v>EAST</v>
      </c>
      <c r="B509" s="115" t="str">
        <f>IFERROR(__xludf.DUMMYFUNCTION("""COMPUTED_VALUE"""),"Girish Chand")</f>
        <v>Girish Chand</v>
      </c>
      <c r="C509" s="115" t="str">
        <f>IFERROR(__xludf.DUMMYFUNCTION("""COMPUTED_VALUE"""),"EXTERNAL")</f>
        <v>EXTERNAL</v>
      </c>
      <c r="D509" s="115">
        <f>IFERROR(__xludf.DUMMYFUNCTION("""COMPUTED_VALUE"""),1587.0)</f>
        <v>1587</v>
      </c>
      <c r="E509" s="115">
        <f>IFERROR(__xludf.DUMMYFUNCTION("""COMPUTED_VALUE"""),116.0)</f>
        <v>116</v>
      </c>
      <c r="F509" s="115">
        <f>IFERROR(__xludf.DUMMYFUNCTION("""COMPUTED_VALUE"""),6.0)</f>
        <v>6</v>
      </c>
      <c r="G509" s="115">
        <f>IFERROR(__xludf.DUMMYFUNCTION("""COMPUTED_VALUE"""),0.0)</f>
        <v>0</v>
      </c>
      <c r="H509" s="116">
        <f>IFERROR(__xludf.DUMMYFUNCTION("""COMPUTED_VALUE"""),45902.0)</f>
        <v>45902</v>
      </c>
      <c r="I509" s="115" t="str">
        <f>IFERROR(__xludf.DUMMYFUNCTION("""COMPUTED_VALUE"""),"08")</f>
        <v>08</v>
      </c>
      <c r="J509" s="115" t="str">
        <f>IFERROR(__xludf.DUMMYFUNCTION("""COMPUTED_VALUE"""),"Girish Chand2025-09-0208")</f>
        <v>Girish Chand2025-09-0208</v>
      </c>
      <c r="K509" s="115">
        <f>IFERROR(__xludf.DUMMYFUNCTION("""COMPUTED_VALUE"""),1703.0)</f>
        <v>1703</v>
      </c>
    </row>
    <row r="510">
      <c r="A510" s="115" t="str">
        <f>IFERROR(__xludf.DUMMYFUNCTION("""COMPUTED_VALUE"""),"EAST")</f>
        <v>EAST</v>
      </c>
      <c r="B510" s="115" t="str">
        <f>IFERROR(__xludf.DUMMYFUNCTION("""COMPUTED_VALUE"""),"Girish Chand")</f>
        <v>Girish Chand</v>
      </c>
      <c r="C510" s="115" t="str">
        <f>IFERROR(__xludf.DUMMYFUNCTION("""COMPUTED_VALUE"""),"FLIPKART")</f>
        <v>FLIPKART</v>
      </c>
      <c r="D510" s="115">
        <f>IFERROR(__xludf.DUMMYFUNCTION("""COMPUTED_VALUE"""),30690.0)</f>
        <v>30690</v>
      </c>
      <c r="E510" s="115">
        <f>IFERROR(__xludf.DUMMYFUNCTION("""COMPUTED_VALUE"""),2957.0)</f>
        <v>2957</v>
      </c>
      <c r="F510" s="115">
        <f>IFERROR(__xludf.DUMMYFUNCTION("""COMPUTED_VALUE"""),181.0)</f>
        <v>181</v>
      </c>
      <c r="G510" s="115">
        <f>IFERROR(__xludf.DUMMYFUNCTION("""COMPUTED_VALUE"""),41.0)</f>
        <v>41</v>
      </c>
      <c r="H510" s="116">
        <f>IFERROR(__xludf.DUMMYFUNCTION("""COMPUTED_VALUE"""),45902.0)</f>
        <v>45902</v>
      </c>
      <c r="I510" s="115" t="str">
        <f>IFERROR(__xludf.DUMMYFUNCTION("""COMPUTED_VALUE"""),"08")</f>
        <v>08</v>
      </c>
      <c r="J510" s="115" t="str">
        <f>IFERROR(__xludf.DUMMYFUNCTION("""COMPUTED_VALUE"""),"Girish Chand2025-09-0208")</f>
        <v>Girish Chand2025-09-0208</v>
      </c>
      <c r="K510" s="115">
        <f>IFERROR(__xludf.DUMMYFUNCTION("""COMPUTED_VALUE"""),33647.0)</f>
        <v>33647</v>
      </c>
    </row>
    <row r="511">
      <c r="A511" s="115" t="str">
        <f>IFERROR(__xludf.DUMMYFUNCTION("""COMPUTED_VALUE"""),"EAST")</f>
        <v>EAST</v>
      </c>
      <c r="B511" s="115" t="str">
        <f>IFERROR(__xludf.DUMMYFUNCTION("""COMPUTED_VALUE"""),"Girish Chand")</f>
        <v>Girish Chand</v>
      </c>
      <c r="C511" s="115" t="str">
        <f>IFERROR(__xludf.DUMMYFUNCTION("""COMPUTED_VALUE"""),"MYNTRA")</f>
        <v>MYNTRA</v>
      </c>
      <c r="D511" s="115">
        <f>IFERROR(__xludf.DUMMYFUNCTION("""COMPUTED_VALUE"""),2480.0)</f>
        <v>2480</v>
      </c>
      <c r="E511" s="115">
        <f>IFERROR(__xludf.DUMMYFUNCTION("""COMPUTED_VALUE"""),607.0)</f>
        <v>607</v>
      </c>
      <c r="F511" s="115">
        <f>IFERROR(__xludf.DUMMYFUNCTION("""COMPUTED_VALUE"""),15.0)</f>
        <v>15</v>
      </c>
      <c r="G511" s="115">
        <f>IFERROR(__xludf.DUMMYFUNCTION("""COMPUTED_VALUE"""),3.0)</f>
        <v>3</v>
      </c>
      <c r="H511" s="116">
        <f>IFERROR(__xludf.DUMMYFUNCTION("""COMPUTED_VALUE"""),45902.0)</f>
        <v>45902</v>
      </c>
      <c r="I511" s="115" t="str">
        <f>IFERROR(__xludf.DUMMYFUNCTION("""COMPUTED_VALUE"""),"08")</f>
        <v>08</v>
      </c>
      <c r="J511" s="115" t="str">
        <f>IFERROR(__xludf.DUMMYFUNCTION("""COMPUTED_VALUE"""),"Girish Chand2025-09-0208")</f>
        <v>Girish Chand2025-09-0208</v>
      </c>
      <c r="K511" s="115">
        <f>IFERROR(__xludf.DUMMYFUNCTION("""COMPUTED_VALUE"""),3087.0)</f>
        <v>3087</v>
      </c>
    </row>
    <row r="512">
      <c r="A512" s="115" t="str">
        <f>IFERROR(__xludf.DUMMYFUNCTION("""COMPUTED_VALUE"""),"EAST")</f>
        <v>EAST</v>
      </c>
      <c r="B512" s="115" t="str">
        <f>IFERROR(__xludf.DUMMYFUNCTION("""COMPUTED_VALUE"""),"Parag Kashyap")</f>
        <v>Parag Kashyap</v>
      </c>
      <c r="C512" s="115" t="str">
        <f>IFERROR(__xludf.DUMMYFUNCTION("""COMPUTED_VALUE"""),"EXTERNAL")</f>
        <v>EXTERNAL</v>
      </c>
      <c r="D512" s="115">
        <f>IFERROR(__xludf.DUMMYFUNCTION("""COMPUTED_VALUE"""),1831.0)</f>
        <v>1831</v>
      </c>
      <c r="E512" s="115">
        <f>IFERROR(__xludf.DUMMYFUNCTION("""COMPUTED_VALUE"""),77.0)</f>
        <v>77</v>
      </c>
      <c r="F512" s="115">
        <f>IFERROR(__xludf.DUMMYFUNCTION("""COMPUTED_VALUE"""),5.0)</f>
        <v>5</v>
      </c>
      <c r="G512" s="115">
        <f>IFERROR(__xludf.DUMMYFUNCTION("""COMPUTED_VALUE"""),1.0)</f>
        <v>1</v>
      </c>
      <c r="H512" s="116">
        <f>IFERROR(__xludf.DUMMYFUNCTION("""COMPUTED_VALUE"""),45902.0)</f>
        <v>45902</v>
      </c>
      <c r="I512" s="115" t="str">
        <f>IFERROR(__xludf.DUMMYFUNCTION("""COMPUTED_VALUE"""),"08")</f>
        <v>08</v>
      </c>
      <c r="J512" s="115" t="str">
        <f>IFERROR(__xludf.DUMMYFUNCTION("""COMPUTED_VALUE"""),"Parag Kashyap2025-09-0208")</f>
        <v>Parag Kashyap2025-09-0208</v>
      </c>
      <c r="K512" s="115">
        <f>IFERROR(__xludf.DUMMYFUNCTION("""COMPUTED_VALUE"""),1908.0)</f>
        <v>1908</v>
      </c>
    </row>
    <row r="513">
      <c r="A513" s="115" t="str">
        <f>IFERROR(__xludf.DUMMYFUNCTION("""COMPUTED_VALUE"""),"EAST")</f>
        <v>EAST</v>
      </c>
      <c r="B513" s="115" t="str">
        <f>IFERROR(__xludf.DUMMYFUNCTION("""COMPUTED_VALUE"""),"Parag Kashyap")</f>
        <v>Parag Kashyap</v>
      </c>
      <c r="C513" s="115" t="str">
        <f>IFERROR(__xludf.DUMMYFUNCTION("""COMPUTED_VALUE"""),"FLIPKART")</f>
        <v>FLIPKART</v>
      </c>
      <c r="D513" s="115">
        <f>IFERROR(__xludf.DUMMYFUNCTION("""COMPUTED_VALUE"""),30005.0)</f>
        <v>30005</v>
      </c>
      <c r="E513" s="115">
        <f>IFERROR(__xludf.DUMMYFUNCTION("""COMPUTED_VALUE"""),2019.0)</f>
        <v>2019</v>
      </c>
      <c r="F513" s="115">
        <f>IFERROR(__xludf.DUMMYFUNCTION("""COMPUTED_VALUE"""),118.0)</f>
        <v>118</v>
      </c>
      <c r="G513" s="115">
        <f>IFERROR(__xludf.DUMMYFUNCTION("""COMPUTED_VALUE"""),30.0)</f>
        <v>30</v>
      </c>
      <c r="H513" s="116">
        <f>IFERROR(__xludf.DUMMYFUNCTION("""COMPUTED_VALUE"""),45902.0)</f>
        <v>45902</v>
      </c>
      <c r="I513" s="115" t="str">
        <f>IFERROR(__xludf.DUMMYFUNCTION("""COMPUTED_VALUE"""),"08")</f>
        <v>08</v>
      </c>
      <c r="J513" s="115" t="str">
        <f>IFERROR(__xludf.DUMMYFUNCTION("""COMPUTED_VALUE"""),"Parag Kashyap2025-09-0208")</f>
        <v>Parag Kashyap2025-09-0208</v>
      </c>
      <c r="K513" s="115">
        <f>IFERROR(__xludf.DUMMYFUNCTION("""COMPUTED_VALUE"""),32024.0)</f>
        <v>32024</v>
      </c>
    </row>
    <row r="514">
      <c r="A514" s="115" t="str">
        <f>IFERROR(__xludf.DUMMYFUNCTION("""COMPUTED_VALUE"""),"EAST")</f>
        <v>EAST</v>
      </c>
      <c r="B514" s="115" t="str">
        <f>IFERROR(__xludf.DUMMYFUNCTION("""COMPUTED_VALUE"""),"Parag Kashyap")</f>
        <v>Parag Kashyap</v>
      </c>
      <c r="C514" s="115" t="str">
        <f>IFERROR(__xludf.DUMMYFUNCTION("""COMPUTED_VALUE"""),"MYNTRA")</f>
        <v>MYNTRA</v>
      </c>
      <c r="D514" s="115">
        <f>IFERROR(__xludf.DUMMYFUNCTION("""COMPUTED_VALUE"""),3605.0)</f>
        <v>3605</v>
      </c>
      <c r="E514" s="115">
        <f>IFERROR(__xludf.DUMMYFUNCTION("""COMPUTED_VALUE"""),550.0)</f>
        <v>550</v>
      </c>
      <c r="F514" s="115">
        <f>IFERROR(__xludf.DUMMYFUNCTION("""COMPUTED_VALUE"""),21.0)</f>
        <v>21</v>
      </c>
      <c r="G514" s="115">
        <f>IFERROR(__xludf.DUMMYFUNCTION("""COMPUTED_VALUE"""),3.0)</f>
        <v>3</v>
      </c>
      <c r="H514" s="116">
        <f>IFERROR(__xludf.DUMMYFUNCTION("""COMPUTED_VALUE"""),45902.0)</f>
        <v>45902</v>
      </c>
      <c r="I514" s="115" t="str">
        <f>IFERROR(__xludf.DUMMYFUNCTION("""COMPUTED_VALUE"""),"08")</f>
        <v>08</v>
      </c>
      <c r="J514" s="115" t="str">
        <f>IFERROR(__xludf.DUMMYFUNCTION("""COMPUTED_VALUE"""),"Parag Kashyap2025-09-0208")</f>
        <v>Parag Kashyap2025-09-0208</v>
      </c>
      <c r="K514" s="115">
        <f>IFERROR(__xludf.DUMMYFUNCTION("""COMPUTED_VALUE"""),4155.0)</f>
        <v>4155</v>
      </c>
    </row>
    <row r="515">
      <c r="A515" s="115" t="str">
        <f>IFERROR(__xludf.DUMMYFUNCTION("""COMPUTED_VALUE"""),"NORTH")</f>
        <v>NORTH</v>
      </c>
      <c r="B515" s="115" t="str">
        <f>IFERROR(__xludf.DUMMYFUNCTION("""COMPUTED_VALUE"""),"Amit Kumar Pathak")</f>
        <v>Amit Kumar Pathak</v>
      </c>
      <c r="C515" s="115" t="str">
        <f>IFERROR(__xludf.DUMMYFUNCTION("""COMPUTED_VALUE"""),"EXTERNAL")</f>
        <v>EXTERNAL</v>
      </c>
      <c r="D515" s="115">
        <f>IFERROR(__xludf.DUMMYFUNCTION("""COMPUTED_VALUE"""),4518.0)</f>
        <v>4518</v>
      </c>
      <c r="E515" s="115">
        <f>IFERROR(__xludf.DUMMYFUNCTION("""COMPUTED_VALUE"""),249.0)</f>
        <v>249</v>
      </c>
      <c r="F515" s="115">
        <f>IFERROR(__xludf.DUMMYFUNCTION("""COMPUTED_VALUE"""),15.0)</f>
        <v>15</v>
      </c>
      <c r="G515" s="115">
        <f>IFERROR(__xludf.DUMMYFUNCTION("""COMPUTED_VALUE"""),5.0)</f>
        <v>5</v>
      </c>
      <c r="H515" s="116">
        <f>IFERROR(__xludf.DUMMYFUNCTION("""COMPUTED_VALUE"""),45902.0)</f>
        <v>45902</v>
      </c>
      <c r="I515" s="115" t="str">
        <f>IFERROR(__xludf.DUMMYFUNCTION("""COMPUTED_VALUE"""),"08")</f>
        <v>08</v>
      </c>
      <c r="J515" s="115" t="str">
        <f>IFERROR(__xludf.DUMMYFUNCTION("""COMPUTED_VALUE"""),"Amit Kumar Pathak2025-09-0208")</f>
        <v>Amit Kumar Pathak2025-09-0208</v>
      </c>
      <c r="K515" s="115">
        <f>IFERROR(__xludf.DUMMYFUNCTION("""COMPUTED_VALUE"""),4767.0)</f>
        <v>4767</v>
      </c>
    </row>
    <row r="516">
      <c r="A516" s="115" t="str">
        <f>IFERROR(__xludf.DUMMYFUNCTION("""COMPUTED_VALUE"""),"NORTH")</f>
        <v>NORTH</v>
      </c>
      <c r="B516" s="115" t="str">
        <f>IFERROR(__xludf.DUMMYFUNCTION("""COMPUTED_VALUE"""),"Amit Kumar Pathak")</f>
        <v>Amit Kumar Pathak</v>
      </c>
      <c r="C516" s="115" t="str">
        <f>IFERROR(__xludf.DUMMYFUNCTION("""COMPUTED_VALUE"""),"FLIPKART")</f>
        <v>FLIPKART</v>
      </c>
      <c r="D516" s="115">
        <f>IFERROR(__xludf.DUMMYFUNCTION("""COMPUTED_VALUE"""),31362.0)</f>
        <v>31362</v>
      </c>
      <c r="E516" s="115">
        <f>IFERROR(__xludf.DUMMYFUNCTION("""COMPUTED_VALUE"""),3463.0)</f>
        <v>3463</v>
      </c>
      <c r="F516" s="115">
        <f>IFERROR(__xludf.DUMMYFUNCTION("""COMPUTED_VALUE"""),141.0)</f>
        <v>141</v>
      </c>
      <c r="G516" s="115">
        <f>IFERROR(__xludf.DUMMYFUNCTION("""COMPUTED_VALUE"""),32.0)</f>
        <v>32</v>
      </c>
      <c r="H516" s="116">
        <f>IFERROR(__xludf.DUMMYFUNCTION("""COMPUTED_VALUE"""),45902.0)</f>
        <v>45902</v>
      </c>
      <c r="I516" s="115" t="str">
        <f>IFERROR(__xludf.DUMMYFUNCTION("""COMPUTED_VALUE"""),"08")</f>
        <v>08</v>
      </c>
      <c r="J516" s="115" t="str">
        <f>IFERROR(__xludf.DUMMYFUNCTION("""COMPUTED_VALUE"""),"Amit Kumar Pathak2025-09-0208")</f>
        <v>Amit Kumar Pathak2025-09-0208</v>
      </c>
      <c r="K516" s="115">
        <f>IFERROR(__xludf.DUMMYFUNCTION("""COMPUTED_VALUE"""),34825.0)</f>
        <v>34825</v>
      </c>
    </row>
    <row r="517">
      <c r="A517" s="115" t="str">
        <f>IFERROR(__xludf.DUMMYFUNCTION("""COMPUTED_VALUE"""),"NORTH")</f>
        <v>NORTH</v>
      </c>
      <c r="B517" s="115" t="str">
        <f>IFERROR(__xludf.DUMMYFUNCTION("""COMPUTED_VALUE"""),"Amit Kumar Pathak")</f>
        <v>Amit Kumar Pathak</v>
      </c>
      <c r="C517" s="115" t="str">
        <f>IFERROR(__xludf.DUMMYFUNCTION("""COMPUTED_VALUE"""),"MYNTRA")</f>
        <v>MYNTRA</v>
      </c>
      <c r="D517" s="115">
        <f>IFERROR(__xludf.DUMMYFUNCTION("""COMPUTED_VALUE"""),3098.0)</f>
        <v>3098</v>
      </c>
      <c r="E517" s="115">
        <f>IFERROR(__xludf.DUMMYFUNCTION("""COMPUTED_VALUE"""),871.0)</f>
        <v>871</v>
      </c>
      <c r="F517" s="115">
        <f>IFERROR(__xludf.DUMMYFUNCTION("""COMPUTED_VALUE"""),11.0)</f>
        <v>11</v>
      </c>
      <c r="G517" s="115">
        <f>IFERROR(__xludf.DUMMYFUNCTION("""COMPUTED_VALUE"""),4.0)</f>
        <v>4</v>
      </c>
      <c r="H517" s="116">
        <f>IFERROR(__xludf.DUMMYFUNCTION("""COMPUTED_VALUE"""),45902.0)</f>
        <v>45902</v>
      </c>
      <c r="I517" s="115" t="str">
        <f>IFERROR(__xludf.DUMMYFUNCTION("""COMPUTED_VALUE"""),"08")</f>
        <v>08</v>
      </c>
      <c r="J517" s="115" t="str">
        <f>IFERROR(__xludf.DUMMYFUNCTION("""COMPUTED_VALUE"""),"Amit Kumar Pathak2025-09-0208")</f>
        <v>Amit Kumar Pathak2025-09-0208</v>
      </c>
      <c r="K517" s="115">
        <f>IFERROR(__xludf.DUMMYFUNCTION("""COMPUTED_VALUE"""),3969.0)</f>
        <v>3969</v>
      </c>
    </row>
    <row r="518">
      <c r="A518" s="115" t="str">
        <f>IFERROR(__xludf.DUMMYFUNCTION("""COMPUTED_VALUE"""),"NORTH")</f>
        <v>NORTH</v>
      </c>
      <c r="B518" s="115" t="str">
        <f>IFERROR(__xludf.DUMMYFUNCTION("""COMPUTED_VALUE"""),"Loveleen Singh")</f>
        <v>Loveleen Singh</v>
      </c>
      <c r="C518" s="115" t="str">
        <f>IFERROR(__xludf.DUMMYFUNCTION("""COMPUTED_VALUE"""),"EXTERNAL")</f>
        <v>EXTERNAL</v>
      </c>
      <c r="D518" s="115">
        <f>IFERROR(__xludf.DUMMYFUNCTION("""COMPUTED_VALUE"""),1064.0)</f>
        <v>1064</v>
      </c>
      <c r="E518" s="115">
        <f>IFERROR(__xludf.DUMMYFUNCTION("""COMPUTED_VALUE"""),58.0)</f>
        <v>58</v>
      </c>
      <c r="F518" s="115">
        <f>IFERROR(__xludf.DUMMYFUNCTION("""COMPUTED_VALUE"""),5.0)</f>
        <v>5</v>
      </c>
      <c r="G518" s="115">
        <f>IFERROR(__xludf.DUMMYFUNCTION("""COMPUTED_VALUE"""),0.0)</f>
        <v>0</v>
      </c>
      <c r="H518" s="116">
        <f>IFERROR(__xludf.DUMMYFUNCTION("""COMPUTED_VALUE"""),45902.0)</f>
        <v>45902</v>
      </c>
      <c r="I518" s="115" t="str">
        <f>IFERROR(__xludf.DUMMYFUNCTION("""COMPUTED_VALUE"""),"08")</f>
        <v>08</v>
      </c>
      <c r="J518" s="115" t="str">
        <f>IFERROR(__xludf.DUMMYFUNCTION("""COMPUTED_VALUE"""),"Loveleen Singh2025-09-0208")</f>
        <v>Loveleen Singh2025-09-0208</v>
      </c>
      <c r="K518" s="115">
        <f>IFERROR(__xludf.DUMMYFUNCTION("""COMPUTED_VALUE"""),1122.0)</f>
        <v>1122</v>
      </c>
    </row>
    <row r="519">
      <c r="A519" s="115" t="str">
        <f>IFERROR(__xludf.DUMMYFUNCTION("""COMPUTED_VALUE"""),"NORTH")</f>
        <v>NORTH</v>
      </c>
      <c r="B519" s="115" t="str">
        <f>IFERROR(__xludf.DUMMYFUNCTION("""COMPUTED_VALUE"""),"Loveleen Singh")</f>
        <v>Loveleen Singh</v>
      </c>
      <c r="C519" s="115" t="str">
        <f>IFERROR(__xludf.DUMMYFUNCTION("""COMPUTED_VALUE"""),"FLIPKART")</f>
        <v>FLIPKART</v>
      </c>
      <c r="D519" s="115">
        <f>IFERROR(__xludf.DUMMYFUNCTION("""COMPUTED_VALUE"""),6058.0)</f>
        <v>6058</v>
      </c>
      <c r="E519" s="115">
        <f>IFERROR(__xludf.DUMMYFUNCTION("""COMPUTED_VALUE"""),545.0)</f>
        <v>545</v>
      </c>
      <c r="F519" s="115">
        <f>IFERROR(__xludf.DUMMYFUNCTION("""COMPUTED_VALUE"""),117.0)</f>
        <v>117</v>
      </c>
      <c r="G519" s="115">
        <f>IFERROR(__xludf.DUMMYFUNCTION("""COMPUTED_VALUE"""),2.0)</f>
        <v>2</v>
      </c>
      <c r="H519" s="116">
        <f>IFERROR(__xludf.DUMMYFUNCTION("""COMPUTED_VALUE"""),45902.0)</f>
        <v>45902</v>
      </c>
      <c r="I519" s="115" t="str">
        <f>IFERROR(__xludf.DUMMYFUNCTION("""COMPUTED_VALUE"""),"08")</f>
        <v>08</v>
      </c>
      <c r="J519" s="115" t="str">
        <f>IFERROR(__xludf.DUMMYFUNCTION("""COMPUTED_VALUE"""),"Loveleen Singh2025-09-0208")</f>
        <v>Loveleen Singh2025-09-0208</v>
      </c>
      <c r="K519" s="115">
        <f>IFERROR(__xludf.DUMMYFUNCTION("""COMPUTED_VALUE"""),6603.0)</f>
        <v>6603</v>
      </c>
    </row>
    <row r="520">
      <c r="A520" s="115" t="str">
        <f>IFERROR(__xludf.DUMMYFUNCTION("""COMPUTED_VALUE"""),"NORTH")</f>
        <v>NORTH</v>
      </c>
      <c r="B520" s="115" t="str">
        <f>IFERROR(__xludf.DUMMYFUNCTION("""COMPUTED_VALUE"""),"Loveleen Singh")</f>
        <v>Loveleen Singh</v>
      </c>
      <c r="C520" s="115" t="str">
        <f>IFERROR(__xludf.DUMMYFUNCTION("""COMPUTED_VALUE"""),"MYNTRA")</f>
        <v>MYNTRA</v>
      </c>
      <c r="D520" s="115">
        <f>IFERROR(__xludf.DUMMYFUNCTION("""COMPUTED_VALUE"""),1144.0)</f>
        <v>1144</v>
      </c>
      <c r="E520" s="115">
        <f>IFERROR(__xludf.DUMMYFUNCTION("""COMPUTED_VALUE"""),205.0)</f>
        <v>205</v>
      </c>
      <c r="F520" s="115">
        <f>IFERROR(__xludf.DUMMYFUNCTION("""COMPUTED_VALUE"""),16.0)</f>
        <v>16</v>
      </c>
      <c r="G520" s="115">
        <f>IFERROR(__xludf.DUMMYFUNCTION("""COMPUTED_VALUE"""),0.0)</f>
        <v>0</v>
      </c>
      <c r="H520" s="116">
        <f>IFERROR(__xludf.DUMMYFUNCTION("""COMPUTED_VALUE"""),45902.0)</f>
        <v>45902</v>
      </c>
      <c r="I520" s="115" t="str">
        <f>IFERROR(__xludf.DUMMYFUNCTION("""COMPUTED_VALUE"""),"08")</f>
        <v>08</v>
      </c>
      <c r="J520" s="115" t="str">
        <f>IFERROR(__xludf.DUMMYFUNCTION("""COMPUTED_VALUE"""),"Loveleen Singh2025-09-0208")</f>
        <v>Loveleen Singh2025-09-0208</v>
      </c>
      <c r="K520" s="115">
        <f>IFERROR(__xludf.DUMMYFUNCTION("""COMPUTED_VALUE"""),1349.0)</f>
        <v>1349</v>
      </c>
    </row>
    <row r="521">
      <c r="A521" s="115" t="str">
        <f>IFERROR(__xludf.DUMMYFUNCTION("""COMPUTED_VALUE"""),"NORTH")</f>
        <v>NORTH</v>
      </c>
      <c r="B521" s="115" t="str">
        <f>IFERROR(__xludf.DUMMYFUNCTION("""COMPUTED_VALUE"""),"Manoj Harsh")</f>
        <v>Manoj Harsh</v>
      </c>
      <c r="C521" s="115" t="str">
        <f>IFERROR(__xludf.DUMMYFUNCTION("""COMPUTED_VALUE"""),"EXTERNAL")</f>
        <v>EXTERNAL</v>
      </c>
      <c r="D521" s="115">
        <f>IFERROR(__xludf.DUMMYFUNCTION("""COMPUTED_VALUE"""),1481.0)</f>
        <v>1481</v>
      </c>
      <c r="E521" s="115">
        <f>IFERROR(__xludf.DUMMYFUNCTION("""COMPUTED_VALUE"""),198.0)</f>
        <v>198</v>
      </c>
      <c r="F521" s="115">
        <f>IFERROR(__xludf.DUMMYFUNCTION("""COMPUTED_VALUE"""),9.0)</f>
        <v>9</v>
      </c>
      <c r="G521" s="115">
        <f>IFERROR(__xludf.DUMMYFUNCTION("""COMPUTED_VALUE"""),0.0)</f>
        <v>0</v>
      </c>
      <c r="H521" s="116">
        <f>IFERROR(__xludf.DUMMYFUNCTION("""COMPUTED_VALUE"""),45902.0)</f>
        <v>45902</v>
      </c>
      <c r="I521" s="115" t="str">
        <f>IFERROR(__xludf.DUMMYFUNCTION("""COMPUTED_VALUE"""),"08")</f>
        <v>08</v>
      </c>
      <c r="J521" s="115" t="str">
        <f>IFERROR(__xludf.DUMMYFUNCTION("""COMPUTED_VALUE"""),"Manoj Harsh2025-09-0208")</f>
        <v>Manoj Harsh2025-09-0208</v>
      </c>
      <c r="K521" s="115">
        <f>IFERROR(__xludf.DUMMYFUNCTION("""COMPUTED_VALUE"""),1679.0)</f>
        <v>1679</v>
      </c>
    </row>
    <row r="522">
      <c r="A522" s="115" t="str">
        <f>IFERROR(__xludf.DUMMYFUNCTION("""COMPUTED_VALUE"""),"NORTH")</f>
        <v>NORTH</v>
      </c>
      <c r="B522" s="115" t="str">
        <f>IFERROR(__xludf.DUMMYFUNCTION("""COMPUTED_VALUE"""),"Manoj Harsh")</f>
        <v>Manoj Harsh</v>
      </c>
      <c r="C522" s="115" t="str">
        <f>IFERROR(__xludf.DUMMYFUNCTION("""COMPUTED_VALUE"""),"FLIPKART")</f>
        <v>FLIPKART</v>
      </c>
      <c r="D522" s="115">
        <f>IFERROR(__xludf.DUMMYFUNCTION("""COMPUTED_VALUE"""),22144.0)</f>
        <v>22144</v>
      </c>
      <c r="E522" s="115">
        <f>IFERROR(__xludf.DUMMYFUNCTION("""COMPUTED_VALUE"""),3869.0)</f>
        <v>3869</v>
      </c>
      <c r="F522" s="115">
        <f>IFERROR(__xludf.DUMMYFUNCTION("""COMPUTED_VALUE"""),251.0)</f>
        <v>251</v>
      </c>
      <c r="G522" s="115">
        <f>IFERROR(__xludf.DUMMYFUNCTION("""COMPUTED_VALUE"""),22.0)</f>
        <v>22</v>
      </c>
      <c r="H522" s="116">
        <f>IFERROR(__xludf.DUMMYFUNCTION("""COMPUTED_VALUE"""),45902.0)</f>
        <v>45902</v>
      </c>
      <c r="I522" s="115" t="str">
        <f>IFERROR(__xludf.DUMMYFUNCTION("""COMPUTED_VALUE"""),"08")</f>
        <v>08</v>
      </c>
      <c r="J522" s="115" t="str">
        <f>IFERROR(__xludf.DUMMYFUNCTION("""COMPUTED_VALUE"""),"Manoj Harsh2025-09-0208")</f>
        <v>Manoj Harsh2025-09-0208</v>
      </c>
      <c r="K522" s="115">
        <f>IFERROR(__xludf.DUMMYFUNCTION("""COMPUTED_VALUE"""),26013.0)</f>
        <v>26013</v>
      </c>
    </row>
    <row r="523">
      <c r="A523" s="115" t="str">
        <f>IFERROR(__xludf.DUMMYFUNCTION("""COMPUTED_VALUE"""),"NORTH")</f>
        <v>NORTH</v>
      </c>
      <c r="B523" s="115" t="str">
        <f>IFERROR(__xludf.DUMMYFUNCTION("""COMPUTED_VALUE"""),"Manoj Harsh")</f>
        <v>Manoj Harsh</v>
      </c>
      <c r="C523" s="115" t="str">
        <f>IFERROR(__xludf.DUMMYFUNCTION("""COMPUTED_VALUE"""),"MYNTRA")</f>
        <v>MYNTRA</v>
      </c>
      <c r="D523" s="115">
        <f>IFERROR(__xludf.DUMMYFUNCTION("""COMPUTED_VALUE"""),2040.0)</f>
        <v>2040</v>
      </c>
      <c r="E523" s="115">
        <f>IFERROR(__xludf.DUMMYFUNCTION("""COMPUTED_VALUE"""),885.0)</f>
        <v>885</v>
      </c>
      <c r="F523" s="115">
        <f>IFERROR(__xludf.DUMMYFUNCTION("""COMPUTED_VALUE"""),17.0)</f>
        <v>17</v>
      </c>
      <c r="G523" s="115">
        <f>IFERROR(__xludf.DUMMYFUNCTION("""COMPUTED_VALUE"""),4.0)</f>
        <v>4</v>
      </c>
      <c r="H523" s="116">
        <f>IFERROR(__xludf.DUMMYFUNCTION("""COMPUTED_VALUE"""),45902.0)</f>
        <v>45902</v>
      </c>
      <c r="I523" s="115" t="str">
        <f>IFERROR(__xludf.DUMMYFUNCTION("""COMPUTED_VALUE"""),"08")</f>
        <v>08</v>
      </c>
      <c r="J523" s="115" t="str">
        <f>IFERROR(__xludf.DUMMYFUNCTION("""COMPUTED_VALUE"""),"Manoj Harsh2025-09-0208")</f>
        <v>Manoj Harsh2025-09-0208</v>
      </c>
      <c r="K523" s="115">
        <f>IFERROR(__xludf.DUMMYFUNCTION("""COMPUTED_VALUE"""),2925.0)</f>
        <v>2925</v>
      </c>
    </row>
    <row r="524">
      <c r="A524" s="115" t="str">
        <f>IFERROR(__xludf.DUMMYFUNCTION("""COMPUTED_VALUE"""),"NORTH")</f>
        <v>NORTH</v>
      </c>
      <c r="B524" s="115" t="str">
        <f>IFERROR(__xludf.DUMMYFUNCTION("""COMPUTED_VALUE"""),"Pradeep Kothari")</f>
        <v>Pradeep Kothari</v>
      </c>
      <c r="C524" s="115" t="str">
        <f>IFERROR(__xludf.DUMMYFUNCTION("""COMPUTED_VALUE"""),"EXTERNAL")</f>
        <v>EXTERNAL</v>
      </c>
      <c r="D524" s="115">
        <f>IFERROR(__xludf.DUMMYFUNCTION("""COMPUTED_VALUE"""),756.0)</f>
        <v>756</v>
      </c>
      <c r="E524" s="115">
        <f>IFERROR(__xludf.DUMMYFUNCTION("""COMPUTED_VALUE"""),103.0)</f>
        <v>103</v>
      </c>
      <c r="F524" s="115">
        <f>IFERROR(__xludf.DUMMYFUNCTION("""COMPUTED_VALUE"""),8.0)</f>
        <v>8</v>
      </c>
      <c r="G524" s="115">
        <f>IFERROR(__xludf.DUMMYFUNCTION("""COMPUTED_VALUE"""),1.0)</f>
        <v>1</v>
      </c>
      <c r="H524" s="116">
        <f>IFERROR(__xludf.DUMMYFUNCTION("""COMPUTED_VALUE"""),45902.0)</f>
        <v>45902</v>
      </c>
      <c r="I524" s="115" t="str">
        <f>IFERROR(__xludf.DUMMYFUNCTION("""COMPUTED_VALUE"""),"08")</f>
        <v>08</v>
      </c>
      <c r="J524" s="115" t="str">
        <f>IFERROR(__xludf.DUMMYFUNCTION("""COMPUTED_VALUE"""),"Pradeep Kothari2025-09-0208")</f>
        <v>Pradeep Kothari2025-09-0208</v>
      </c>
      <c r="K524" s="115">
        <f>IFERROR(__xludf.DUMMYFUNCTION("""COMPUTED_VALUE"""),859.0)</f>
        <v>859</v>
      </c>
    </row>
    <row r="525">
      <c r="A525" s="115" t="str">
        <f>IFERROR(__xludf.DUMMYFUNCTION("""COMPUTED_VALUE"""),"NORTH")</f>
        <v>NORTH</v>
      </c>
      <c r="B525" s="115" t="str">
        <f>IFERROR(__xludf.DUMMYFUNCTION("""COMPUTED_VALUE"""),"Pradeep Kothari")</f>
        <v>Pradeep Kothari</v>
      </c>
      <c r="C525" s="115" t="str">
        <f>IFERROR(__xludf.DUMMYFUNCTION("""COMPUTED_VALUE"""),"FLIPKART")</f>
        <v>FLIPKART</v>
      </c>
      <c r="D525" s="115">
        <f>IFERROR(__xludf.DUMMYFUNCTION("""COMPUTED_VALUE"""),7135.0)</f>
        <v>7135</v>
      </c>
      <c r="E525" s="115">
        <f>IFERROR(__xludf.DUMMYFUNCTION("""COMPUTED_VALUE"""),906.0)</f>
        <v>906</v>
      </c>
      <c r="F525" s="115">
        <f>IFERROR(__xludf.DUMMYFUNCTION("""COMPUTED_VALUE"""),157.0)</f>
        <v>157</v>
      </c>
      <c r="G525" s="115">
        <f>IFERROR(__xludf.DUMMYFUNCTION("""COMPUTED_VALUE"""),11.0)</f>
        <v>11</v>
      </c>
      <c r="H525" s="116">
        <f>IFERROR(__xludf.DUMMYFUNCTION("""COMPUTED_VALUE"""),45902.0)</f>
        <v>45902</v>
      </c>
      <c r="I525" s="115" t="str">
        <f>IFERROR(__xludf.DUMMYFUNCTION("""COMPUTED_VALUE"""),"08")</f>
        <v>08</v>
      </c>
      <c r="J525" s="115" t="str">
        <f>IFERROR(__xludf.DUMMYFUNCTION("""COMPUTED_VALUE"""),"Pradeep Kothari2025-09-0208")</f>
        <v>Pradeep Kothari2025-09-0208</v>
      </c>
      <c r="K525" s="115">
        <f>IFERROR(__xludf.DUMMYFUNCTION("""COMPUTED_VALUE"""),8041.0)</f>
        <v>8041</v>
      </c>
    </row>
    <row r="526">
      <c r="A526" s="115" t="str">
        <f>IFERROR(__xludf.DUMMYFUNCTION("""COMPUTED_VALUE"""),"NORTH")</f>
        <v>NORTH</v>
      </c>
      <c r="B526" s="115" t="str">
        <f>IFERROR(__xludf.DUMMYFUNCTION("""COMPUTED_VALUE"""),"Pradeep Kothari")</f>
        <v>Pradeep Kothari</v>
      </c>
      <c r="C526" s="115" t="str">
        <f>IFERROR(__xludf.DUMMYFUNCTION("""COMPUTED_VALUE"""),"MYNTRA")</f>
        <v>MYNTRA</v>
      </c>
      <c r="D526" s="115">
        <f>IFERROR(__xludf.DUMMYFUNCTION("""COMPUTED_VALUE"""),1406.0)</f>
        <v>1406</v>
      </c>
      <c r="E526" s="115">
        <f>IFERROR(__xludf.DUMMYFUNCTION("""COMPUTED_VALUE"""),371.0)</f>
        <v>371</v>
      </c>
      <c r="F526" s="115">
        <f>IFERROR(__xludf.DUMMYFUNCTION("""COMPUTED_VALUE"""),24.0)</f>
        <v>24</v>
      </c>
      <c r="G526" s="115">
        <f>IFERROR(__xludf.DUMMYFUNCTION("""COMPUTED_VALUE"""),4.0)</f>
        <v>4</v>
      </c>
      <c r="H526" s="116">
        <f>IFERROR(__xludf.DUMMYFUNCTION("""COMPUTED_VALUE"""),45902.0)</f>
        <v>45902</v>
      </c>
      <c r="I526" s="115" t="str">
        <f>IFERROR(__xludf.DUMMYFUNCTION("""COMPUTED_VALUE"""),"08")</f>
        <v>08</v>
      </c>
      <c r="J526" s="115" t="str">
        <f>IFERROR(__xludf.DUMMYFUNCTION("""COMPUTED_VALUE"""),"Pradeep Kothari2025-09-0208")</f>
        <v>Pradeep Kothari2025-09-0208</v>
      </c>
      <c r="K526" s="115">
        <f>IFERROR(__xludf.DUMMYFUNCTION("""COMPUTED_VALUE"""),1777.0)</f>
        <v>1777</v>
      </c>
    </row>
    <row r="527">
      <c r="A527" s="115" t="str">
        <f>IFERROR(__xludf.DUMMYFUNCTION("""COMPUTED_VALUE"""),"SOUTH")</f>
        <v>SOUTH</v>
      </c>
      <c r="B527" s="115" t="str">
        <f>IFERROR(__xludf.DUMMYFUNCTION("""COMPUTED_VALUE"""),"Kandula Sampath")</f>
        <v>Kandula Sampath</v>
      </c>
      <c r="C527" s="115" t="str">
        <f>IFERROR(__xludf.DUMMYFUNCTION("""COMPUTED_VALUE"""),"EXTERNAL")</f>
        <v>EXTERNAL</v>
      </c>
      <c r="D527" s="115">
        <f>IFERROR(__xludf.DUMMYFUNCTION("""COMPUTED_VALUE"""),5184.0)</f>
        <v>5184</v>
      </c>
      <c r="E527" s="115">
        <f>IFERROR(__xludf.DUMMYFUNCTION("""COMPUTED_VALUE"""),382.0)</f>
        <v>382</v>
      </c>
      <c r="F527" s="115">
        <f>IFERROR(__xludf.DUMMYFUNCTION("""COMPUTED_VALUE"""),66.0)</f>
        <v>66</v>
      </c>
      <c r="G527" s="115">
        <f>IFERROR(__xludf.DUMMYFUNCTION("""COMPUTED_VALUE"""),2.0)</f>
        <v>2</v>
      </c>
      <c r="H527" s="116">
        <f>IFERROR(__xludf.DUMMYFUNCTION("""COMPUTED_VALUE"""),45902.0)</f>
        <v>45902</v>
      </c>
      <c r="I527" s="115" t="str">
        <f>IFERROR(__xludf.DUMMYFUNCTION("""COMPUTED_VALUE"""),"08")</f>
        <v>08</v>
      </c>
      <c r="J527" s="115" t="str">
        <f>IFERROR(__xludf.DUMMYFUNCTION("""COMPUTED_VALUE"""),"Kandula Sampath2025-09-0208")</f>
        <v>Kandula Sampath2025-09-0208</v>
      </c>
      <c r="K527" s="115">
        <f>IFERROR(__xludf.DUMMYFUNCTION("""COMPUTED_VALUE"""),5566.0)</f>
        <v>5566</v>
      </c>
    </row>
    <row r="528">
      <c r="A528" s="115" t="str">
        <f>IFERROR(__xludf.DUMMYFUNCTION("""COMPUTED_VALUE"""),"SOUTH")</f>
        <v>SOUTH</v>
      </c>
      <c r="B528" s="115" t="str">
        <f>IFERROR(__xludf.DUMMYFUNCTION("""COMPUTED_VALUE"""),"Kandula Sampath")</f>
        <v>Kandula Sampath</v>
      </c>
      <c r="C528" s="115" t="str">
        <f>IFERROR(__xludf.DUMMYFUNCTION("""COMPUTED_VALUE"""),"FLIPKART")</f>
        <v>FLIPKART</v>
      </c>
      <c r="D528" s="115">
        <f>IFERROR(__xludf.DUMMYFUNCTION("""COMPUTED_VALUE"""),55087.0)</f>
        <v>55087</v>
      </c>
      <c r="E528" s="115">
        <f>IFERROR(__xludf.DUMMYFUNCTION("""COMPUTED_VALUE"""),4148.0)</f>
        <v>4148</v>
      </c>
      <c r="F528" s="115">
        <f>IFERROR(__xludf.DUMMYFUNCTION("""COMPUTED_VALUE"""),1792.0)</f>
        <v>1792</v>
      </c>
      <c r="G528" s="115">
        <f>IFERROR(__xludf.DUMMYFUNCTION("""COMPUTED_VALUE"""),41.0)</f>
        <v>41</v>
      </c>
      <c r="H528" s="116">
        <f>IFERROR(__xludf.DUMMYFUNCTION("""COMPUTED_VALUE"""),45902.0)</f>
        <v>45902</v>
      </c>
      <c r="I528" s="115" t="str">
        <f>IFERROR(__xludf.DUMMYFUNCTION("""COMPUTED_VALUE"""),"08")</f>
        <v>08</v>
      </c>
      <c r="J528" s="115" t="str">
        <f>IFERROR(__xludf.DUMMYFUNCTION("""COMPUTED_VALUE"""),"Kandula Sampath2025-09-0208")</f>
        <v>Kandula Sampath2025-09-0208</v>
      </c>
      <c r="K528" s="115">
        <f>IFERROR(__xludf.DUMMYFUNCTION("""COMPUTED_VALUE"""),59235.0)</f>
        <v>59235</v>
      </c>
    </row>
    <row r="529">
      <c r="A529" s="115" t="str">
        <f>IFERROR(__xludf.DUMMYFUNCTION("""COMPUTED_VALUE"""),"SOUTH")</f>
        <v>SOUTH</v>
      </c>
      <c r="B529" s="115" t="str">
        <f>IFERROR(__xludf.DUMMYFUNCTION("""COMPUTED_VALUE"""),"Kandula Sampath")</f>
        <v>Kandula Sampath</v>
      </c>
      <c r="C529" s="115" t="str">
        <f>IFERROR(__xludf.DUMMYFUNCTION("""COMPUTED_VALUE"""),"MYNTRA")</f>
        <v>MYNTRA</v>
      </c>
      <c r="D529" s="115">
        <f>IFERROR(__xludf.DUMMYFUNCTION("""COMPUTED_VALUE"""),6011.0)</f>
        <v>6011</v>
      </c>
      <c r="E529" s="115">
        <f>IFERROR(__xludf.DUMMYFUNCTION("""COMPUTED_VALUE"""),1079.0)</f>
        <v>1079</v>
      </c>
      <c r="F529" s="115">
        <f>IFERROR(__xludf.DUMMYFUNCTION("""COMPUTED_VALUE"""),218.0)</f>
        <v>218</v>
      </c>
      <c r="G529" s="115">
        <f>IFERROR(__xludf.DUMMYFUNCTION("""COMPUTED_VALUE"""),7.0)</f>
        <v>7</v>
      </c>
      <c r="H529" s="116">
        <f>IFERROR(__xludf.DUMMYFUNCTION("""COMPUTED_VALUE"""),45902.0)</f>
        <v>45902</v>
      </c>
      <c r="I529" s="115" t="str">
        <f>IFERROR(__xludf.DUMMYFUNCTION("""COMPUTED_VALUE"""),"08")</f>
        <v>08</v>
      </c>
      <c r="J529" s="115" t="str">
        <f>IFERROR(__xludf.DUMMYFUNCTION("""COMPUTED_VALUE"""),"Kandula Sampath2025-09-0208")</f>
        <v>Kandula Sampath2025-09-0208</v>
      </c>
      <c r="K529" s="115">
        <f>IFERROR(__xludf.DUMMYFUNCTION("""COMPUTED_VALUE"""),7090.0)</f>
        <v>7090</v>
      </c>
    </row>
    <row r="530">
      <c r="A530" s="115" t="str">
        <f>IFERROR(__xludf.DUMMYFUNCTION("""COMPUTED_VALUE"""),"SOUTH")</f>
        <v>SOUTH</v>
      </c>
      <c r="B530" s="115" t="str">
        <f>IFERROR(__xludf.DUMMYFUNCTION("""COMPUTED_VALUE"""),"Martin A")</f>
        <v>Martin A</v>
      </c>
      <c r="C530" s="115" t="str">
        <f>IFERROR(__xludf.DUMMYFUNCTION("""COMPUTED_VALUE"""),"EXTERNAL")</f>
        <v>EXTERNAL</v>
      </c>
      <c r="D530" s="115">
        <f>IFERROR(__xludf.DUMMYFUNCTION("""COMPUTED_VALUE"""),4846.0)</f>
        <v>4846</v>
      </c>
      <c r="E530" s="115">
        <f>IFERROR(__xludf.DUMMYFUNCTION("""COMPUTED_VALUE"""),243.0)</f>
        <v>243</v>
      </c>
      <c r="F530" s="115">
        <f>IFERROR(__xludf.DUMMYFUNCTION("""COMPUTED_VALUE"""),27.0)</f>
        <v>27</v>
      </c>
      <c r="G530" s="115">
        <f>IFERROR(__xludf.DUMMYFUNCTION("""COMPUTED_VALUE"""),1.0)</f>
        <v>1</v>
      </c>
      <c r="H530" s="116">
        <f>IFERROR(__xludf.DUMMYFUNCTION("""COMPUTED_VALUE"""),45902.0)</f>
        <v>45902</v>
      </c>
      <c r="I530" s="115" t="str">
        <f>IFERROR(__xludf.DUMMYFUNCTION("""COMPUTED_VALUE"""),"08")</f>
        <v>08</v>
      </c>
      <c r="J530" s="115" t="str">
        <f>IFERROR(__xludf.DUMMYFUNCTION("""COMPUTED_VALUE"""),"Martin A2025-09-0208")</f>
        <v>Martin A2025-09-0208</v>
      </c>
      <c r="K530" s="115">
        <f>IFERROR(__xludf.DUMMYFUNCTION("""COMPUTED_VALUE"""),5089.0)</f>
        <v>5089</v>
      </c>
    </row>
    <row r="531">
      <c r="A531" s="115" t="str">
        <f>IFERROR(__xludf.DUMMYFUNCTION("""COMPUTED_VALUE"""),"SOUTH")</f>
        <v>SOUTH</v>
      </c>
      <c r="B531" s="115" t="str">
        <f>IFERROR(__xludf.DUMMYFUNCTION("""COMPUTED_VALUE"""),"Martin A")</f>
        <v>Martin A</v>
      </c>
      <c r="C531" s="115" t="str">
        <f>IFERROR(__xludf.DUMMYFUNCTION("""COMPUTED_VALUE"""),"FLIPKART")</f>
        <v>FLIPKART</v>
      </c>
      <c r="D531" s="115">
        <f>IFERROR(__xludf.DUMMYFUNCTION("""COMPUTED_VALUE"""),41625.0)</f>
        <v>41625</v>
      </c>
      <c r="E531" s="115">
        <f>IFERROR(__xludf.DUMMYFUNCTION("""COMPUTED_VALUE"""),3957.0)</f>
        <v>3957</v>
      </c>
      <c r="F531" s="115">
        <f>IFERROR(__xludf.DUMMYFUNCTION("""COMPUTED_VALUE"""),437.0)</f>
        <v>437</v>
      </c>
      <c r="G531" s="115">
        <f>IFERROR(__xludf.DUMMYFUNCTION("""COMPUTED_VALUE"""),38.0)</f>
        <v>38</v>
      </c>
      <c r="H531" s="116">
        <f>IFERROR(__xludf.DUMMYFUNCTION("""COMPUTED_VALUE"""),45902.0)</f>
        <v>45902</v>
      </c>
      <c r="I531" s="115" t="str">
        <f>IFERROR(__xludf.DUMMYFUNCTION("""COMPUTED_VALUE"""),"08")</f>
        <v>08</v>
      </c>
      <c r="J531" s="115" t="str">
        <f>IFERROR(__xludf.DUMMYFUNCTION("""COMPUTED_VALUE"""),"Martin A2025-09-0208")</f>
        <v>Martin A2025-09-0208</v>
      </c>
      <c r="K531" s="115">
        <f>IFERROR(__xludf.DUMMYFUNCTION("""COMPUTED_VALUE"""),45582.0)</f>
        <v>45582</v>
      </c>
    </row>
    <row r="532">
      <c r="A532" s="115" t="str">
        <f>IFERROR(__xludf.DUMMYFUNCTION("""COMPUTED_VALUE"""),"SOUTH")</f>
        <v>SOUTH</v>
      </c>
      <c r="B532" s="115" t="str">
        <f>IFERROR(__xludf.DUMMYFUNCTION("""COMPUTED_VALUE"""),"Martin A")</f>
        <v>Martin A</v>
      </c>
      <c r="C532" s="115" t="str">
        <f>IFERROR(__xludf.DUMMYFUNCTION("""COMPUTED_VALUE"""),"MYNTRA")</f>
        <v>MYNTRA</v>
      </c>
      <c r="D532" s="115">
        <f>IFERROR(__xludf.DUMMYFUNCTION("""COMPUTED_VALUE"""),4274.0)</f>
        <v>4274</v>
      </c>
      <c r="E532" s="115">
        <f>IFERROR(__xludf.DUMMYFUNCTION("""COMPUTED_VALUE"""),1078.0)</f>
        <v>1078</v>
      </c>
      <c r="F532" s="115">
        <f>IFERROR(__xludf.DUMMYFUNCTION("""COMPUTED_VALUE"""),59.0)</f>
        <v>59</v>
      </c>
      <c r="G532" s="115">
        <f>IFERROR(__xludf.DUMMYFUNCTION("""COMPUTED_VALUE"""),8.0)</f>
        <v>8</v>
      </c>
      <c r="H532" s="116">
        <f>IFERROR(__xludf.DUMMYFUNCTION("""COMPUTED_VALUE"""),45902.0)</f>
        <v>45902</v>
      </c>
      <c r="I532" s="115" t="str">
        <f>IFERROR(__xludf.DUMMYFUNCTION("""COMPUTED_VALUE"""),"08")</f>
        <v>08</v>
      </c>
      <c r="J532" s="115" t="str">
        <f>IFERROR(__xludf.DUMMYFUNCTION("""COMPUTED_VALUE"""),"Martin A2025-09-0208")</f>
        <v>Martin A2025-09-0208</v>
      </c>
      <c r="K532" s="115">
        <f>IFERROR(__xludf.DUMMYFUNCTION("""COMPUTED_VALUE"""),5352.0)</f>
        <v>5352</v>
      </c>
    </row>
    <row r="533">
      <c r="A533" s="115" t="str">
        <f>IFERROR(__xludf.DUMMYFUNCTION("""COMPUTED_VALUE"""),"SOUTH")</f>
        <v>SOUTH</v>
      </c>
      <c r="B533" s="115" t="str">
        <f>IFERROR(__xludf.DUMMYFUNCTION("""COMPUTED_VALUE"""),"Premkumar M")</f>
        <v>Premkumar M</v>
      </c>
      <c r="C533" s="115" t="str">
        <f>IFERROR(__xludf.DUMMYFUNCTION("""COMPUTED_VALUE"""),"EXTERNAL")</f>
        <v>EXTERNAL</v>
      </c>
      <c r="D533" s="115">
        <f>IFERROR(__xludf.DUMMYFUNCTION("""COMPUTED_VALUE"""),1218.0)</f>
        <v>1218</v>
      </c>
      <c r="E533" s="115">
        <f>IFERROR(__xludf.DUMMYFUNCTION("""COMPUTED_VALUE"""),46.0)</f>
        <v>46</v>
      </c>
      <c r="F533" s="115">
        <f>IFERROR(__xludf.DUMMYFUNCTION("""COMPUTED_VALUE"""),13.0)</f>
        <v>13</v>
      </c>
      <c r="G533" s="115">
        <f>IFERROR(__xludf.DUMMYFUNCTION("""COMPUTED_VALUE"""),1.0)</f>
        <v>1</v>
      </c>
      <c r="H533" s="116">
        <f>IFERROR(__xludf.DUMMYFUNCTION("""COMPUTED_VALUE"""),45902.0)</f>
        <v>45902</v>
      </c>
      <c r="I533" s="115" t="str">
        <f>IFERROR(__xludf.DUMMYFUNCTION("""COMPUTED_VALUE"""),"08")</f>
        <v>08</v>
      </c>
      <c r="J533" s="115" t="str">
        <f>IFERROR(__xludf.DUMMYFUNCTION("""COMPUTED_VALUE"""),"Premkumar M2025-09-0208")</f>
        <v>Premkumar M2025-09-0208</v>
      </c>
      <c r="K533" s="115">
        <f>IFERROR(__xludf.DUMMYFUNCTION("""COMPUTED_VALUE"""),1264.0)</f>
        <v>1264</v>
      </c>
    </row>
    <row r="534">
      <c r="A534" s="115" t="str">
        <f>IFERROR(__xludf.DUMMYFUNCTION("""COMPUTED_VALUE"""),"SOUTH")</f>
        <v>SOUTH</v>
      </c>
      <c r="B534" s="115" t="str">
        <f>IFERROR(__xludf.DUMMYFUNCTION("""COMPUTED_VALUE"""),"Premkumar M")</f>
        <v>Premkumar M</v>
      </c>
      <c r="C534" s="115" t="str">
        <f>IFERROR(__xludf.DUMMYFUNCTION("""COMPUTED_VALUE"""),"FLIPKART")</f>
        <v>FLIPKART</v>
      </c>
      <c r="D534" s="115">
        <f>IFERROR(__xludf.DUMMYFUNCTION("""COMPUTED_VALUE"""),11473.0)</f>
        <v>11473</v>
      </c>
      <c r="E534" s="115">
        <f>IFERROR(__xludf.DUMMYFUNCTION("""COMPUTED_VALUE"""),829.0)</f>
        <v>829</v>
      </c>
      <c r="F534" s="115">
        <f>IFERROR(__xludf.DUMMYFUNCTION("""COMPUTED_VALUE"""),241.0)</f>
        <v>241</v>
      </c>
      <c r="G534" s="115">
        <f>IFERROR(__xludf.DUMMYFUNCTION("""COMPUTED_VALUE"""),25.0)</f>
        <v>25</v>
      </c>
      <c r="H534" s="116">
        <f>IFERROR(__xludf.DUMMYFUNCTION("""COMPUTED_VALUE"""),45902.0)</f>
        <v>45902</v>
      </c>
      <c r="I534" s="115" t="str">
        <f>IFERROR(__xludf.DUMMYFUNCTION("""COMPUTED_VALUE"""),"08")</f>
        <v>08</v>
      </c>
      <c r="J534" s="115" t="str">
        <f>IFERROR(__xludf.DUMMYFUNCTION("""COMPUTED_VALUE"""),"Premkumar M2025-09-0208")</f>
        <v>Premkumar M2025-09-0208</v>
      </c>
      <c r="K534" s="115">
        <f>IFERROR(__xludf.DUMMYFUNCTION("""COMPUTED_VALUE"""),12302.0)</f>
        <v>12302</v>
      </c>
    </row>
    <row r="535">
      <c r="A535" s="115" t="str">
        <f>IFERROR(__xludf.DUMMYFUNCTION("""COMPUTED_VALUE"""),"SOUTH")</f>
        <v>SOUTH</v>
      </c>
      <c r="B535" s="115" t="str">
        <f>IFERROR(__xludf.DUMMYFUNCTION("""COMPUTED_VALUE"""),"Premkumar M")</f>
        <v>Premkumar M</v>
      </c>
      <c r="C535" s="115" t="str">
        <f>IFERROR(__xludf.DUMMYFUNCTION("""COMPUTED_VALUE"""),"MYNTRA")</f>
        <v>MYNTRA</v>
      </c>
      <c r="D535" s="115">
        <f>IFERROR(__xludf.DUMMYFUNCTION("""COMPUTED_VALUE"""),793.0)</f>
        <v>793</v>
      </c>
      <c r="E535" s="115">
        <f>IFERROR(__xludf.DUMMYFUNCTION("""COMPUTED_VALUE"""),132.0)</f>
        <v>132</v>
      </c>
      <c r="F535" s="115">
        <f>IFERROR(__xludf.DUMMYFUNCTION("""COMPUTED_VALUE"""),7.0)</f>
        <v>7</v>
      </c>
      <c r="G535" s="115">
        <f>IFERROR(__xludf.DUMMYFUNCTION("""COMPUTED_VALUE"""),1.0)</f>
        <v>1</v>
      </c>
      <c r="H535" s="116">
        <f>IFERROR(__xludf.DUMMYFUNCTION("""COMPUTED_VALUE"""),45902.0)</f>
        <v>45902</v>
      </c>
      <c r="I535" s="115" t="str">
        <f>IFERROR(__xludf.DUMMYFUNCTION("""COMPUTED_VALUE"""),"08")</f>
        <v>08</v>
      </c>
      <c r="J535" s="115" t="str">
        <f>IFERROR(__xludf.DUMMYFUNCTION("""COMPUTED_VALUE"""),"Premkumar M2025-09-0208")</f>
        <v>Premkumar M2025-09-0208</v>
      </c>
      <c r="K535" s="115">
        <f>IFERROR(__xludf.DUMMYFUNCTION("""COMPUTED_VALUE"""),925.0)</f>
        <v>925</v>
      </c>
    </row>
    <row r="536">
      <c r="A536" s="115" t="str">
        <f>IFERROR(__xludf.DUMMYFUNCTION("""COMPUTED_VALUE"""),"SOUTH")</f>
        <v>SOUTH</v>
      </c>
      <c r="B536" s="115" t="str">
        <f>IFERROR(__xludf.DUMMYFUNCTION("""COMPUTED_VALUE"""),"Vineeth V")</f>
        <v>Vineeth V</v>
      </c>
      <c r="C536" s="115" t="str">
        <f>IFERROR(__xludf.DUMMYFUNCTION("""COMPUTED_VALUE"""),"EXTERNAL")</f>
        <v>EXTERNAL</v>
      </c>
      <c r="D536" s="115">
        <f>IFERROR(__xludf.DUMMYFUNCTION("""COMPUTED_VALUE"""),377.0)</f>
        <v>377</v>
      </c>
      <c r="E536" s="115">
        <f>IFERROR(__xludf.DUMMYFUNCTION("""COMPUTED_VALUE"""),4.0)</f>
        <v>4</v>
      </c>
      <c r="F536" s="115">
        <f>IFERROR(__xludf.DUMMYFUNCTION("""COMPUTED_VALUE"""),5.0)</f>
        <v>5</v>
      </c>
      <c r="G536" s="115">
        <f>IFERROR(__xludf.DUMMYFUNCTION("""COMPUTED_VALUE"""),0.0)</f>
        <v>0</v>
      </c>
      <c r="H536" s="116">
        <f>IFERROR(__xludf.DUMMYFUNCTION("""COMPUTED_VALUE"""),45902.0)</f>
        <v>45902</v>
      </c>
      <c r="I536" s="115" t="str">
        <f>IFERROR(__xludf.DUMMYFUNCTION("""COMPUTED_VALUE"""),"08")</f>
        <v>08</v>
      </c>
      <c r="J536" s="115" t="str">
        <f>IFERROR(__xludf.DUMMYFUNCTION("""COMPUTED_VALUE"""),"Vineeth V2025-09-0208")</f>
        <v>Vineeth V2025-09-0208</v>
      </c>
      <c r="K536" s="115">
        <f>IFERROR(__xludf.DUMMYFUNCTION("""COMPUTED_VALUE"""),381.0)</f>
        <v>381</v>
      </c>
    </row>
    <row r="537">
      <c r="A537" s="115" t="str">
        <f>IFERROR(__xludf.DUMMYFUNCTION("""COMPUTED_VALUE"""),"SOUTH")</f>
        <v>SOUTH</v>
      </c>
      <c r="B537" s="115" t="str">
        <f>IFERROR(__xludf.DUMMYFUNCTION("""COMPUTED_VALUE"""),"Vineeth V")</f>
        <v>Vineeth V</v>
      </c>
      <c r="C537" s="115" t="str">
        <f>IFERROR(__xludf.DUMMYFUNCTION("""COMPUTED_VALUE"""),"FLIPKART")</f>
        <v>FLIPKART</v>
      </c>
      <c r="D537" s="115">
        <f>IFERROR(__xludf.DUMMYFUNCTION("""COMPUTED_VALUE"""),3295.0)</f>
        <v>3295</v>
      </c>
      <c r="E537" s="115">
        <f>IFERROR(__xludf.DUMMYFUNCTION("""COMPUTED_VALUE"""),313.0)</f>
        <v>313</v>
      </c>
      <c r="F537" s="115">
        <f>IFERROR(__xludf.DUMMYFUNCTION("""COMPUTED_VALUE"""),120.0)</f>
        <v>120</v>
      </c>
      <c r="G537" s="115">
        <f>IFERROR(__xludf.DUMMYFUNCTION("""COMPUTED_VALUE"""),4.0)</f>
        <v>4</v>
      </c>
      <c r="H537" s="116">
        <f>IFERROR(__xludf.DUMMYFUNCTION("""COMPUTED_VALUE"""),45902.0)</f>
        <v>45902</v>
      </c>
      <c r="I537" s="115" t="str">
        <f>IFERROR(__xludf.DUMMYFUNCTION("""COMPUTED_VALUE"""),"08")</f>
        <v>08</v>
      </c>
      <c r="J537" s="115" t="str">
        <f>IFERROR(__xludf.DUMMYFUNCTION("""COMPUTED_VALUE"""),"Vineeth V2025-09-0208")</f>
        <v>Vineeth V2025-09-0208</v>
      </c>
      <c r="K537" s="115">
        <f>IFERROR(__xludf.DUMMYFUNCTION("""COMPUTED_VALUE"""),3608.0)</f>
        <v>3608</v>
      </c>
    </row>
    <row r="538">
      <c r="A538" s="115" t="str">
        <f>IFERROR(__xludf.DUMMYFUNCTION("""COMPUTED_VALUE"""),"SOUTH")</f>
        <v>SOUTH</v>
      </c>
      <c r="B538" s="115" t="str">
        <f>IFERROR(__xludf.DUMMYFUNCTION("""COMPUTED_VALUE"""),"Vineeth V")</f>
        <v>Vineeth V</v>
      </c>
      <c r="C538" s="115" t="str">
        <f>IFERROR(__xludf.DUMMYFUNCTION("""COMPUTED_VALUE"""),"MYNTRA")</f>
        <v>MYNTRA</v>
      </c>
      <c r="D538" s="115">
        <f>IFERROR(__xludf.DUMMYFUNCTION("""COMPUTED_VALUE"""),386.0)</f>
        <v>386</v>
      </c>
      <c r="E538" s="115">
        <f>IFERROR(__xludf.DUMMYFUNCTION("""COMPUTED_VALUE"""),100.0)</f>
        <v>100</v>
      </c>
      <c r="F538" s="115">
        <f>IFERROR(__xludf.DUMMYFUNCTION("""COMPUTED_VALUE"""),7.0)</f>
        <v>7</v>
      </c>
      <c r="G538" s="115">
        <f>IFERROR(__xludf.DUMMYFUNCTION("""COMPUTED_VALUE"""),0.0)</f>
        <v>0</v>
      </c>
      <c r="H538" s="116">
        <f>IFERROR(__xludf.DUMMYFUNCTION("""COMPUTED_VALUE"""),45902.0)</f>
        <v>45902</v>
      </c>
      <c r="I538" s="115" t="str">
        <f>IFERROR(__xludf.DUMMYFUNCTION("""COMPUTED_VALUE"""),"08")</f>
        <v>08</v>
      </c>
      <c r="J538" s="115" t="str">
        <f>IFERROR(__xludf.DUMMYFUNCTION("""COMPUTED_VALUE"""),"Vineeth V2025-09-0208")</f>
        <v>Vineeth V2025-09-0208</v>
      </c>
      <c r="K538" s="115">
        <f>IFERROR(__xludf.DUMMYFUNCTION("""COMPUTED_VALUE"""),486.0)</f>
        <v>486</v>
      </c>
    </row>
    <row r="539">
      <c r="A539" s="115" t="str">
        <f>IFERROR(__xludf.DUMMYFUNCTION("""COMPUTED_VALUE"""),"WEST")</f>
        <v>WEST</v>
      </c>
      <c r="B539" s="115" t="str">
        <f>IFERROR(__xludf.DUMMYFUNCTION("""COMPUTED_VALUE"""),"Ashish Jakar")</f>
        <v>Ashish Jakar</v>
      </c>
      <c r="C539" s="115" t="str">
        <f>IFERROR(__xludf.DUMMYFUNCTION("""COMPUTED_VALUE"""),"EXTERNAL")</f>
        <v>EXTERNAL</v>
      </c>
      <c r="D539" s="115">
        <f>IFERROR(__xludf.DUMMYFUNCTION("""COMPUTED_VALUE"""),2216.0)</f>
        <v>2216</v>
      </c>
      <c r="E539" s="115">
        <f>IFERROR(__xludf.DUMMYFUNCTION("""COMPUTED_VALUE"""),341.0)</f>
        <v>341</v>
      </c>
      <c r="F539" s="115">
        <f>IFERROR(__xludf.DUMMYFUNCTION("""COMPUTED_VALUE"""),4.0)</f>
        <v>4</v>
      </c>
      <c r="G539" s="115">
        <f>IFERROR(__xludf.DUMMYFUNCTION("""COMPUTED_VALUE"""),2.0)</f>
        <v>2</v>
      </c>
      <c r="H539" s="116">
        <f>IFERROR(__xludf.DUMMYFUNCTION("""COMPUTED_VALUE"""),45902.0)</f>
        <v>45902</v>
      </c>
      <c r="I539" s="115" t="str">
        <f>IFERROR(__xludf.DUMMYFUNCTION("""COMPUTED_VALUE"""),"08")</f>
        <v>08</v>
      </c>
      <c r="J539" s="115" t="str">
        <f>IFERROR(__xludf.DUMMYFUNCTION("""COMPUTED_VALUE"""),"Ashish Jakar2025-09-0208")</f>
        <v>Ashish Jakar2025-09-0208</v>
      </c>
      <c r="K539" s="115">
        <f>IFERROR(__xludf.DUMMYFUNCTION("""COMPUTED_VALUE"""),2557.0)</f>
        <v>2557</v>
      </c>
    </row>
    <row r="540">
      <c r="A540" s="115" t="str">
        <f>IFERROR(__xludf.DUMMYFUNCTION("""COMPUTED_VALUE"""),"WEST")</f>
        <v>WEST</v>
      </c>
      <c r="B540" s="115" t="str">
        <f>IFERROR(__xludf.DUMMYFUNCTION("""COMPUTED_VALUE"""),"Ashish Jakar")</f>
        <v>Ashish Jakar</v>
      </c>
      <c r="C540" s="115" t="str">
        <f>IFERROR(__xludf.DUMMYFUNCTION("""COMPUTED_VALUE"""),"FLIPKART")</f>
        <v>FLIPKART</v>
      </c>
      <c r="D540" s="115">
        <f>IFERROR(__xludf.DUMMYFUNCTION("""COMPUTED_VALUE"""),15066.0)</f>
        <v>15066</v>
      </c>
      <c r="E540" s="115">
        <f>IFERROR(__xludf.DUMMYFUNCTION("""COMPUTED_VALUE"""),2344.0)</f>
        <v>2344</v>
      </c>
      <c r="F540" s="115">
        <f>IFERROR(__xludf.DUMMYFUNCTION("""COMPUTED_VALUE"""),97.0)</f>
        <v>97</v>
      </c>
      <c r="G540" s="115">
        <f>IFERROR(__xludf.DUMMYFUNCTION("""COMPUTED_VALUE"""),13.0)</f>
        <v>13</v>
      </c>
      <c r="H540" s="116">
        <f>IFERROR(__xludf.DUMMYFUNCTION("""COMPUTED_VALUE"""),45902.0)</f>
        <v>45902</v>
      </c>
      <c r="I540" s="115" t="str">
        <f>IFERROR(__xludf.DUMMYFUNCTION("""COMPUTED_VALUE"""),"08")</f>
        <v>08</v>
      </c>
      <c r="J540" s="115" t="str">
        <f>IFERROR(__xludf.DUMMYFUNCTION("""COMPUTED_VALUE"""),"Ashish Jakar2025-09-0208")</f>
        <v>Ashish Jakar2025-09-0208</v>
      </c>
      <c r="K540" s="115">
        <f>IFERROR(__xludf.DUMMYFUNCTION("""COMPUTED_VALUE"""),17410.0)</f>
        <v>17410</v>
      </c>
    </row>
    <row r="541">
      <c r="A541" s="115" t="str">
        <f>IFERROR(__xludf.DUMMYFUNCTION("""COMPUTED_VALUE"""),"WEST")</f>
        <v>WEST</v>
      </c>
      <c r="B541" s="115" t="str">
        <f>IFERROR(__xludf.DUMMYFUNCTION("""COMPUTED_VALUE"""),"Ashish Jakar")</f>
        <v>Ashish Jakar</v>
      </c>
      <c r="C541" s="115" t="str">
        <f>IFERROR(__xludf.DUMMYFUNCTION("""COMPUTED_VALUE"""),"MYNTRA")</f>
        <v>MYNTRA</v>
      </c>
      <c r="D541" s="115">
        <f>IFERROR(__xludf.DUMMYFUNCTION("""COMPUTED_VALUE"""),1922.0)</f>
        <v>1922</v>
      </c>
      <c r="E541" s="115">
        <f>IFERROR(__xludf.DUMMYFUNCTION("""COMPUTED_VALUE"""),809.0)</f>
        <v>809</v>
      </c>
      <c r="F541" s="115">
        <f>IFERROR(__xludf.DUMMYFUNCTION("""COMPUTED_VALUE"""),21.0)</f>
        <v>21</v>
      </c>
      <c r="G541" s="115">
        <f>IFERROR(__xludf.DUMMYFUNCTION("""COMPUTED_VALUE"""),3.0)</f>
        <v>3</v>
      </c>
      <c r="H541" s="116">
        <f>IFERROR(__xludf.DUMMYFUNCTION("""COMPUTED_VALUE"""),45902.0)</f>
        <v>45902</v>
      </c>
      <c r="I541" s="115" t="str">
        <f>IFERROR(__xludf.DUMMYFUNCTION("""COMPUTED_VALUE"""),"08")</f>
        <v>08</v>
      </c>
      <c r="J541" s="115" t="str">
        <f>IFERROR(__xludf.DUMMYFUNCTION("""COMPUTED_VALUE"""),"Ashish Jakar2025-09-0208")</f>
        <v>Ashish Jakar2025-09-0208</v>
      </c>
      <c r="K541" s="115">
        <f>IFERROR(__xludf.DUMMYFUNCTION("""COMPUTED_VALUE"""),2731.0)</f>
        <v>2731</v>
      </c>
    </row>
    <row r="542">
      <c r="A542" s="115" t="str">
        <f>IFERROR(__xludf.DUMMYFUNCTION("""COMPUTED_VALUE"""),"WEST")</f>
        <v>WEST</v>
      </c>
      <c r="B542" s="115" t="str">
        <f>IFERROR(__xludf.DUMMYFUNCTION("""COMPUTED_VALUE"""),"Ashvani Bhatt")</f>
        <v>Ashvani Bhatt</v>
      </c>
      <c r="C542" s="115" t="str">
        <f>IFERROR(__xludf.DUMMYFUNCTION("""COMPUTED_VALUE"""),"EXTERNAL")</f>
        <v>EXTERNAL</v>
      </c>
      <c r="D542" s="115">
        <f>IFERROR(__xludf.DUMMYFUNCTION("""COMPUTED_VALUE"""),2454.0)</f>
        <v>2454</v>
      </c>
      <c r="E542" s="115">
        <f>IFERROR(__xludf.DUMMYFUNCTION("""COMPUTED_VALUE"""),155.0)</f>
        <v>155</v>
      </c>
      <c r="F542" s="115">
        <f>IFERROR(__xludf.DUMMYFUNCTION("""COMPUTED_VALUE"""),15.0)</f>
        <v>15</v>
      </c>
      <c r="G542" s="115">
        <f>IFERROR(__xludf.DUMMYFUNCTION("""COMPUTED_VALUE"""),0.0)</f>
        <v>0</v>
      </c>
      <c r="H542" s="116">
        <f>IFERROR(__xludf.DUMMYFUNCTION("""COMPUTED_VALUE"""),45902.0)</f>
        <v>45902</v>
      </c>
      <c r="I542" s="115" t="str">
        <f>IFERROR(__xludf.DUMMYFUNCTION("""COMPUTED_VALUE"""),"08")</f>
        <v>08</v>
      </c>
      <c r="J542" s="115" t="str">
        <f>IFERROR(__xludf.DUMMYFUNCTION("""COMPUTED_VALUE"""),"Ashvani Bhatt2025-09-0208")</f>
        <v>Ashvani Bhatt2025-09-0208</v>
      </c>
      <c r="K542" s="115">
        <f>IFERROR(__xludf.DUMMYFUNCTION("""COMPUTED_VALUE"""),2609.0)</f>
        <v>2609</v>
      </c>
    </row>
    <row r="543">
      <c r="A543" s="115" t="str">
        <f>IFERROR(__xludf.DUMMYFUNCTION("""COMPUTED_VALUE"""),"WEST")</f>
        <v>WEST</v>
      </c>
      <c r="B543" s="115" t="str">
        <f>IFERROR(__xludf.DUMMYFUNCTION("""COMPUTED_VALUE"""),"Ashvani Bhatt")</f>
        <v>Ashvani Bhatt</v>
      </c>
      <c r="C543" s="115" t="str">
        <f>IFERROR(__xludf.DUMMYFUNCTION("""COMPUTED_VALUE"""),"FLIPKART")</f>
        <v>FLIPKART</v>
      </c>
      <c r="D543" s="115">
        <f>IFERROR(__xludf.DUMMYFUNCTION("""COMPUTED_VALUE"""),22182.0)</f>
        <v>22182</v>
      </c>
      <c r="E543" s="115">
        <f>IFERROR(__xludf.DUMMYFUNCTION("""COMPUTED_VALUE"""),1819.0)</f>
        <v>1819</v>
      </c>
      <c r="F543" s="115">
        <f>IFERROR(__xludf.DUMMYFUNCTION("""COMPUTED_VALUE"""),206.0)</f>
        <v>206</v>
      </c>
      <c r="G543" s="115">
        <f>IFERROR(__xludf.DUMMYFUNCTION("""COMPUTED_VALUE"""),27.0)</f>
        <v>27</v>
      </c>
      <c r="H543" s="116">
        <f>IFERROR(__xludf.DUMMYFUNCTION("""COMPUTED_VALUE"""),45902.0)</f>
        <v>45902</v>
      </c>
      <c r="I543" s="115" t="str">
        <f>IFERROR(__xludf.DUMMYFUNCTION("""COMPUTED_VALUE"""),"08")</f>
        <v>08</v>
      </c>
      <c r="J543" s="115" t="str">
        <f>IFERROR(__xludf.DUMMYFUNCTION("""COMPUTED_VALUE"""),"Ashvani Bhatt2025-09-0208")</f>
        <v>Ashvani Bhatt2025-09-0208</v>
      </c>
      <c r="K543" s="115">
        <f>IFERROR(__xludf.DUMMYFUNCTION("""COMPUTED_VALUE"""),24001.0)</f>
        <v>24001</v>
      </c>
    </row>
    <row r="544">
      <c r="A544" s="115" t="str">
        <f>IFERROR(__xludf.DUMMYFUNCTION("""COMPUTED_VALUE"""),"WEST")</f>
        <v>WEST</v>
      </c>
      <c r="B544" s="115" t="str">
        <f>IFERROR(__xludf.DUMMYFUNCTION("""COMPUTED_VALUE"""),"Ashvani Bhatt")</f>
        <v>Ashvani Bhatt</v>
      </c>
      <c r="C544" s="115" t="str">
        <f>IFERROR(__xludf.DUMMYFUNCTION("""COMPUTED_VALUE"""),"MYNTRA")</f>
        <v>MYNTRA</v>
      </c>
      <c r="D544" s="115">
        <f>IFERROR(__xludf.DUMMYFUNCTION("""COMPUTED_VALUE"""),3058.0)</f>
        <v>3058</v>
      </c>
      <c r="E544" s="115">
        <f>IFERROR(__xludf.DUMMYFUNCTION("""COMPUTED_VALUE"""),789.0)</f>
        <v>789</v>
      </c>
      <c r="F544" s="115">
        <f>IFERROR(__xludf.DUMMYFUNCTION("""COMPUTED_VALUE"""),18.0)</f>
        <v>18</v>
      </c>
      <c r="G544" s="115">
        <f>IFERROR(__xludf.DUMMYFUNCTION("""COMPUTED_VALUE"""),10.0)</f>
        <v>10</v>
      </c>
      <c r="H544" s="116">
        <f>IFERROR(__xludf.DUMMYFUNCTION("""COMPUTED_VALUE"""),45902.0)</f>
        <v>45902</v>
      </c>
      <c r="I544" s="115" t="str">
        <f>IFERROR(__xludf.DUMMYFUNCTION("""COMPUTED_VALUE"""),"08")</f>
        <v>08</v>
      </c>
      <c r="J544" s="115" t="str">
        <f>IFERROR(__xludf.DUMMYFUNCTION("""COMPUTED_VALUE"""),"Ashvani Bhatt2025-09-0208")</f>
        <v>Ashvani Bhatt2025-09-0208</v>
      </c>
      <c r="K544" s="115">
        <f>IFERROR(__xludf.DUMMYFUNCTION("""COMPUTED_VALUE"""),3847.0)</f>
        <v>3847</v>
      </c>
    </row>
    <row r="545">
      <c r="A545" s="115"/>
      <c r="B545" s="115"/>
      <c r="C545" s="115" t="str">
        <f>IFERROR(__xludf.DUMMYFUNCTION("""COMPUTED_VALUE"""),"EXTERNAL")</f>
        <v>EXTERNAL</v>
      </c>
      <c r="D545" s="115">
        <f>IFERROR(__xludf.DUMMYFUNCTION("""COMPUTED_VALUE"""),50.0)</f>
        <v>50</v>
      </c>
      <c r="E545" s="115">
        <f>IFERROR(__xludf.DUMMYFUNCTION("""COMPUTED_VALUE"""),0.0)</f>
        <v>0</v>
      </c>
      <c r="F545" s="115">
        <f>IFERROR(__xludf.DUMMYFUNCTION("""COMPUTED_VALUE"""),0.0)</f>
        <v>0</v>
      </c>
      <c r="G545" s="115">
        <f>IFERROR(__xludf.DUMMYFUNCTION("""COMPUTED_VALUE"""),0.0)</f>
        <v>0</v>
      </c>
      <c r="H545" s="116">
        <f>IFERROR(__xludf.DUMMYFUNCTION("""COMPUTED_VALUE"""),45902.0)</f>
        <v>45902</v>
      </c>
      <c r="I545" s="115" t="str">
        <f>IFERROR(__xludf.DUMMYFUNCTION("""COMPUTED_VALUE"""),"08")</f>
        <v>08</v>
      </c>
      <c r="J545" s="115" t="str">
        <f>IFERROR(__xludf.DUMMYFUNCTION("""COMPUTED_VALUE"""),"2025-09-0208")</f>
        <v>2025-09-0208</v>
      </c>
      <c r="K545" s="115">
        <f>IFERROR(__xludf.DUMMYFUNCTION("""COMPUTED_VALUE"""),50.0)</f>
        <v>50</v>
      </c>
    </row>
    <row r="546">
      <c r="A546" s="115"/>
      <c r="B546" s="115"/>
      <c r="C546" s="115" t="str">
        <f>IFERROR(__xludf.DUMMYFUNCTION("""COMPUTED_VALUE"""),"FLIPKART")</f>
        <v>FLIPKART</v>
      </c>
      <c r="D546" s="115">
        <f>IFERROR(__xludf.DUMMYFUNCTION("""COMPUTED_VALUE"""),724.0)</f>
        <v>724</v>
      </c>
      <c r="E546" s="115">
        <f>IFERROR(__xludf.DUMMYFUNCTION("""COMPUTED_VALUE"""),43.0)</f>
        <v>43</v>
      </c>
      <c r="F546" s="115">
        <f>IFERROR(__xludf.DUMMYFUNCTION("""COMPUTED_VALUE"""),0.0)</f>
        <v>0</v>
      </c>
      <c r="G546" s="115">
        <f>IFERROR(__xludf.DUMMYFUNCTION("""COMPUTED_VALUE"""),0.0)</f>
        <v>0</v>
      </c>
      <c r="H546" s="116">
        <f>IFERROR(__xludf.DUMMYFUNCTION("""COMPUTED_VALUE"""),45902.0)</f>
        <v>45902</v>
      </c>
      <c r="I546" s="115" t="str">
        <f>IFERROR(__xludf.DUMMYFUNCTION("""COMPUTED_VALUE"""),"08")</f>
        <v>08</v>
      </c>
      <c r="J546" s="115" t="str">
        <f>IFERROR(__xludf.DUMMYFUNCTION("""COMPUTED_VALUE"""),"2025-09-0208")</f>
        <v>2025-09-0208</v>
      </c>
      <c r="K546" s="115">
        <f>IFERROR(__xludf.DUMMYFUNCTION("""COMPUTED_VALUE"""),767.0)</f>
        <v>767</v>
      </c>
    </row>
    <row r="547">
      <c r="A547" s="115"/>
      <c r="B547" s="115"/>
      <c r="C547" s="115" t="str">
        <f>IFERROR(__xludf.DUMMYFUNCTION("""COMPUTED_VALUE"""),"MYNTRA")</f>
        <v>MYNTRA</v>
      </c>
      <c r="D547" s="115">
        <f>IFERROR(__xludf.DUMMYFUNCTION("""COMPUTED_VALUE"""),98.0)</f>
        <v>98</v>
      </c>
      <c r="E547" s="115">
        <f>IFERROR(__xludf.DUMMYFUNCTION("""COMPUTED_VALUE"""),8.0)</f>
        <v>8</v>
      </c>
      <c r="F547" s="115">
        <f>IFERROR(__xludf.DUMMYFUNCTION("""COMPUTED_VALUE"""),0.0)</f>
        <v>0</v>
      </c>
      <c r="G547" s="115">
        <f>IFERROR(__xludf.DUMMYFUNCTION("""COMPUTED_VALUE"""),0.0)</f>
        <v>0</v>
      </c>
      <c r="H547" s="116">
        <f>IFERROR(__xludf.DUMMYFUNCTION("""COMPUTED_VALUE"""),45902.0)</f>
        <v>45902</v>
      </c>
      <c r="I547" s="115" t="str">
        <f>IFERROR(__xludf.DUMMYFUNCTION("""COMPUTED_VALUE"""),"08")</f>
        <v>08</v>
      </c>
      <c r="J547" s="115" t="str">
        <f>IFERROR(__xludf.DUMMYFUNCTION("""COMPUTED_VALUE"""),"2025-09-0208")</f>
        <v>2025-09-0208</v>
      </c>
      <c r="K547" s="115">
        <f>IFERROR(__xludf.DUMMYFUNCTION("""COMPUTED_VALUE"""),106.0)</f>
        <v>106</v>
      </c>
    </row>
    <row r="548">
      <c r="A548" s="115" t="str">
        <f>IFERROR(__xludf.DUMMYFUNCTION("""COMPUTED_VALUE"""),"EAST")</f>
        <v>EAST</v>
      </c>
      <c r="B548" s="115" t="str">
        <f>IFERROR(__xludf.DUMMYFUNCTION("""COMPUTED_VALUE"""),"Ashish Ranjan")</f>
        <v>Ashish Ranjan</v>
      </c>
      <c r="C548" s="115" t="str">
        <f>IFERROR(__xludf.DUMMYFUNCTION("""COMPUTED_VALUE"""),"EXTERNAL")</f>
        <v>EXTERNAL</v>
      </c>
      <c r="D548" s="115">
        <f>IFERROR(__xludf.DUMMYFUNCTION("""COMPUTED_VALUE"""),11763.0)</f>
        <v>11763</v>
      </c>
      <c r="E548" s="115">
        <f>IFERROR(__xludf.DUMMYFUNCTION("""COMPUTED_VALUE"""),605.0)</f>
        <v>605</v>
      </c>
      <c r="F548" s="115">
        <f>IFERROR(__xludf.DUMMYFUNCTION("""COMPUTED_VALUE"""),173.0)</f>
        <v>173</v>
      </c>
      <c r="G548" s="115">
        <f>IFERROR(__xludf.DUMMYFUNCTION("""COMPUTED_VALUE"""),0.0)</f>
        <v>0</v>
      </c>
      <c r="H548" s="116">
        <f>IFERROR(__xludf.DUMMYFUNCTION("""COMPUTED_VALUE"""),45902.0)</f>
        <v>45902</v>
      </c>
      <c r="I548" s="115" t="str">
        <f>IFERROR(__xludf.DUMMYFUNCTION("""COMPUTED_VALUE"""),"09")</f>
        <v>09</v>
      </c>
      <c r="J548" s="115" t="str">
        <f>IFERROR(__xludf.DUMMYFUNCTION("""COMPUTED_VALUE"""),"Ashish Ranjan2025-09-0209")</f>
        <v>Ashish Ranjan2025-09-0209</v>
      </c>
      <c r="K548" s="115">
        <f>IFERROR(__xludf.DUMMYFUNCTION("""COMPUTED_VALUE"""),12368.0)</f>
        <v>12368</v>
      </c>
    </row>
    <row r="549">
      <c r="A549" s="115" t="str">
        <f>IFERROR(__xludf.DUMMYFUNCTION("""COMPUTED_VALUE"""),"EAST")</f>
        <v>EAST</v>
      </c>
      <c r="B549" s="115" t="str">
        <f>IFERROR(__xludf.DUMMYFUNCTION("""COMPUTED_VALUE"""),"Ashish Ranjan")</f>
        <v>Ashish Ranjan</v>
      </c>
      <c r="C549" s="115" t="str">
        <f>IFERROR(__xludf.DUMMYFUNCTION("""COMPUTED_VALUE"""),"FLIPKART")</f>
        <v>FLIPKART</v>
      </c>
      <c r="D549" s="115">
        <f>IFERROR(__xludf.DUMMYFUNCTION("""COMPUTED_VALUE"""),187672.0)</f>
        <v>187672</v>
      </c>
      <c r="E549" s="115">
        <f>IFERROR(__xludf.DUMMYFUNCTION("""COMPUTED_VALUE"""),17024.0)</f>
        <v>17024</v>
      </c>
      <c r="F549" s="115">
        <f>IFERROR(__xludf.DUMMYFUNCTION("""COMPUTED_VALUE"""),4865.0)</f>
        <v>4865</v>
      </c>
      <c r="G549" s="115">
        <f>IFERROR(__xludf.DUMMYFUNCTION("""COMPUTED_VALUE"""),269.0)</f>
        <v>269</v>
      </c>
      <c r="H549" s="116">
        <f>IFERROR(__xludf.DUMMYFUNCTION("""COMPUTED_VALUE"""),45902.0)</f>
        <v>45902</v>
      </c>
      <c r="I549" s="115" t="str">
        <f>IFERROR(__xludf.DUMMYFUNCTION("""COMPUTED_VALUE"""),"09")</f>
        <v>09</v>
      </c>
      <c r="J549" s="115" t="str">
        <f>IFERROR(__xludf.DUMMYFUNCTION("""COMPUTED_VALUE"""),"Ashish Ranjan2025-09-0209")</f>
        <v>Ashish Ranjan2025-09-0209</v>
      </c>
      <c r="K549" s="115">
        <f>IFERROR(__xludf.DUMMYFUNCTION("""COMPUTED_VALUE"""),204696.0)</f>
        <v>204696</v>
      </c>
    </row>
    <row r="550">
      <c r="A550" s="115" t="str">
        <f>IFERROR(__xludf.DUMMYFUNCTION("""COMPUTED_VALUE"""),"EAST")</f>
        <v>EAST</v>
      </c>
      <c r="B550" s="115" t="str">
        <f>IFERROR(__xludf.DUMMYFUNCTION("""COMPUTED_VALUE"""),"Ashish Ranjan")</f>
        <v>Ashish Ranjan</v>
      </c>
      <c r="C550" s="115" t="str">
        <f>IFERROR(__xludf.DUMMYFUNCTION("""COMPUTED_VALUE"""),"MYNTRA")</f>
        <v>MYNTRA</v>
      </c>
      <c r="D550" s="115">
        <f>IFERROR(__xludf.DUMMYFUNCTION("""COMPUTED_VALUE"""),17444.0)</f>
        <v>17444</v>
      </c>
      <c r="E550" s="115">
        <f>IFERROR(__xludf.DUMMYFUNCTION("""COMPUTED_VALUE"""),3483.0)</f>
        <v>3483</v>
      </c>
      <c r="F550" s="115">
        <f>IFERROR(__xludf.DUMMYFUNCTION("""COMPUTED_VALUE"""),555.0)</f>
        <v>555</v>
      </c>
      <c r="G550" s="115">
        <f>IFERROR(__xludf.DUMMYFUNCTION("""COMPUTED_VALUE"""),36.0)</f>
        <v>36</v>
      </c>
      <c r="H550" s="116">
        <f>IFERROR(__xludf.DUMMYFUNCTION("""COMPUTED_VALUE"""),45902.0)</f>
        <v>45902</v>
      </c>
      <c r="I550" s="115" t="str">
        <f>IFERROR(__xludf.DUMMYFUNCTION("""COMPUTED_VALUE"""),"09")</f>
        <v>09</v>
      </c>
      <c r="J550" s="115" t="str">
        <f>IFERROR(__xludf.DUMMYFUNCTION("""COMPUTED_VALUE"""),"Ashish Ranjan2025-09-0209")</f>
        <v>Ashish Ranjan2025-09-0209</v>
      </c>
      <c r="K550" s="115">
        <f>IFERROR(__xludf.DUMMYFUNCTION("""COMPUTED_VALUE"""),20927.0)</f>
        <v>20927</v>
      </c>
    </row>
    <row r="551">
      <c r="A551" s="115" t="str">
        <f>IFERROR(__xludf.DUMMYFUNCTION("""COMPUTED_VALUE"""),"EAST")</f>
        <v>EAST</v>
      </c>
      <c r="B551" s="115" t="str">
        <f>IFERROR(__xludf.DUMMYFUNCTION("""COMPUTED_VALUE"""),"Girish Chand")</f>
        <v>Girish Chand</v>
      </c>
      <c r="C551" s="115" t="str">
        <f>IFERROR(__xludf.DUMMYFUNCTION("""COMPUTED_VALUE"""),"EXTERNAL")</f>
        <v>EXTERNAL</v>
      </c>
      <c r="D551" s="115">
        <f>IFERROR(__xludf.DUMMYFUNCTION("""COMPUTED_VALUE"""),6393.0)</f>
        <v>6393</v>
      </c>
      <c r="E551" s="115">
        <f>IFERROR(__xludf.DUMMYFUNCTION("""COMPUTED_VALUE"""),390.0)</f>
        <v>390</v>
      </c>
      <c r="F551" s="115">
        <f>IFERROR(__xludf.DUMMYFUNCTION("""COMPUTED_VALUE"""),70.0)</f>
        <v>70</v>
      </c>
      <c r="G551" s="115">
        <f>IFERROR(__xludf.DUMMYFUNCTION("""COMPUTED_VALUE"""),4.0)</f>
        <v>4</v>
      </c>
      <c r="H551" s="116">
        <f>IFERROR(__xludf.DUMMYFUNCTION("""COMPUTED_VALUE"""),45902.0)</f>
        <v>45902</v>
      </c>
      <c r="I551" s="115" t="str">
        <f>IFERROR(__xludf.DUMMYFUNCTION("""COMPUTED_VALUE"""),"09")</f>
        <v>09</v>
      </c>
      <c r="J551" s="115" t="str">
        <f>IFERROR(__xludf.DUMMYFUNCTION("""COMPUTED_VALUE"""),"Girish Chand2025-09-0209")</f>
        <v>Girish Chand2025-09-0209</v>
      </c>
      <c r="K551" s="115">
        <f>IFERROR(__xludf.DUMMYFUNCTION("""COMPUTED_VALUE"""),6783.0)</f>
        <v>6783</v>
      </c>
    </row>
    <row r="552">
      <c r="A552" s="115" t="str">
        <f>IFERROR(__xludf.DUMMYFUNCTION("""COMPUTED_VALUE"""),"EAST")</f>
        <v>EAST</v>
      </c>
      <c r="B552" s="115" t="str">
        <f>IFERROR(__xludf.DUMMYFUNCTION("""COMPUTED_VALUE"""),"Girish Chand")</f>
        <v>Girish Chand</v>
      </c>
      <c r="C552" s="115" t="str">
        <f>IFERROR(__xludf.DUMMYFUNCTION("""COMPUTED_VALUE"""),"FLIPKART")</f>
        <v>FLIPKART</v>
      </c>
      <c r="D552" s="115">
        <f>IFERROR(__xludf.DUMMYFUNCTION("""COMPUTED_VALUE"""),115745.0)</f>
        <v>115745</v>
      </c>
      <c r="E552" s="115">
        <f>IFERROR(__xludf.DUMMYFUNCTION("""COMPUTED_VALUE"""),8443.0)</f>
        <v>8443</v>
      </c>
      <c r="F552" s="115">
        <f>IFERROR(__xludf.DUMMYFUNCTION("""COMPUTED_VALUE"""),2538.0)</f>
        <v>2538</v>
      </c>
      <c r="G552" s="115">
        <f>IFERROR(__xludf.DUMMYFUNCTION("""COMPUTED_VALUE"""),157.0)</f>
        <v>157</v>
      </c>
      <c r="H552" s="116">
        <f>IFERROR(__xludf.DUMMYFUNCTION("""COMPUTED_VALUE"""),45902.0)</f>
        <v>45902</v>
      </c>
      <c r="I552" s="115" t="str">
        <f>IFERROR(__xludf.DUMMYFUNCTION("""COMPUTED_VALUE"""),"09")</f>
        <v>09</v>
      </c>
      <c r="J552" s="115" t="str">
        <f>IFERROR(__xludf.DUMMYFUNCTION("""COMPUTED_VALUE"""),"Girish Chand2025-09-0209")</f>
        <v>Girish Chand2025-09-0209</v>
      </c>
      <c r="K552" s="115">
        <f>IFERROR(__xludf.DUMMYFUNCTION("""COMPUTED_VALUE"""),124188.0)</f>
        <v>124188</v>
      </c>
    </row>
    <row r="553">
      <c r="A553" s="115" t="str">
        <f>IFERROR(__xludf.DUMMYFUNCTION("""COMPUTED_VALUE"""),"EAST")</f>
        <v>EAST</v>
      </c>
      <c r="B553" s="115" t="str">
        <f>IFERROR(__xludf.DUMMYFUNCTION("""COMPUTED_VALUE"""),"Girish Chand")</f>
        <v>Girish Chand</v>
      </c>
      <c r="C553" s="115" t="str">
        <f>IFERROR(__xludf.DUMMYFUNCTION("""COMPUTED_VALUE"""),"MYNTRA")</f>
        <v>MYNTRA</v>
      </c>
      <c r="D553" s="115">
        <f>IFERROR(__xludf.DUMMYFUNCTION("""COMPUTED_VALUE"""),9369.0)</f>
        <v>9369</v>
      </c>
      <c r="E553" s="115">
        <f>IFERROR(__xludf.DUMMYFUNCTION("""COMPUTED_VALUE"""),1464.0)</f>
        <v>1464</v>
      </c>
      <c r="F553" s="115">
        <f>IFERROR(__xludf.DUMMYFUNCTION("""COMPUTED_VALUE"""),237.0)</f>
        <v>237</v>
      </c>
      <c r="G553" s="115">
        <f>IFERROR(__xludf.DUMMYFUNCTION("""COMPUTED_VALUE"""),18.0)</f>
        <v>18</v>
      </c>
      <c r="H553" s="116">
        <f>IFERROR(__xludf.DUMMYFUNCTION("""COMPUTED_VALUE"""),45902.0)</f>
        <v>45902</v>
      </c>
      <c r="I553" s="115" t="str">
        <f>IFERROR(__xludf.DUMMYFUNCTION("""COMPUTED_VALUE"""),"09")</f>
        <v>09</v>
      </c>
      <c r="J553" s="115" t="str">
        <f>IFERROR(__xludf.DUMMYFUNCTION("""COMPUTED_VALUE"""),"Girish Chand2025-09-0209")</f>
        <v>Girish Chand2025-09-0209</v>
      </c>
      <c r="K553" s="115">
        <f>IFERROR(__xludf.DUMMYFUNCTION("""COMPUTED_VALUE"""),10833.0)</f>
        <v>10833</v>
      </c>
    </row>
    <row r="554">
      <c r="A554" s="115" t="str">
        <f>IFERROR(__xludf.DUMMYFUNCTION("""COMPUTED_VALUE"""),"EAST")</f>
        <v>EAST</v>
      </c>
      <c r="B554" s="115" t="str">
        <f>IFERROR(__xludf.DUMMYFUNCTION("""COMPUTED_VALUE"""),"Parag Kashyap")</f>
        <v>Parag Kashyap</v>
      </c>
      <c r="C554" s="115" t="str">
        <f>IFERROR(__xludf.DUMMYFUNCTION("""COMPUTED_VALUE"""),"EXTERNAL")</f>
        <v>EXTERNAL</v>
      </c>
      <c r="D554" s="115">
        <f>IFERROR(__xludf.DUMMYFUNCTION("""COMPUTED_VALUE"""),5680.0)</f>
        <v>5680</v>
      </c>
      <c r="E554" s="115">
        <f>IFERROR(__xludf.DUMMYFUNCTION("""COMPUTED_VALUE"""),186.0)</f>
        <v>186</v>
      </c>
      <c r="F554" s="115">
        <f>IFERROR(__xludf.DUMMYFUNCTION("""COMPUTED_VALUE"""),54.0)</f>
        <v>54</v>
      </c>
      <c r="G554" s="115">
        <f>IFERROR(__xludf.DUMMYFUNCTION("""COMPUTED_VALUE"""),2.0)</f>
        <v>2</v>
      </c>
      <c r="H554" s="116">
        <f>IFERROR(__xludf.DUMMYFUNCTION("""COMPUTED_VALUE"""),45902.0)</f>
        <v>45902</v>
      </c>
      <c r="I554" s="115" t="str">
        <f>IFERROR(__xludf.DUMMYFUNCTION("""COMPUTED_VALUE"""),"09")</f>
        <v>09</v>
      </c>
      <c r="J554" s="115" t="str">
        <f>IFERROR(__xludf.DUMMYFUNCTION("""COMPUTED_VALUE"""),"Parag Kashyap2025-09-0209")</f>
        <v>Parag Kashyap2025-09-0209</v>
      </c>
      <c r="K554" s="115">
        <f>IFERROR(__xludf.DUMMYFUNCTION("""COMPUTED_VALUE"""),5866.0)</f>
        <v>5866</v>
      </c>
    </row>
    <row r="555">
      <c r="A555" s="115" t="str">
        <f>IFERROR(__xludf.DUMMYFUNCTION("""COMPUTED_VALUE"""),"EAST")</f>
        <v>EAST</v>
      </c>
      <c r="B555" s="115" t="str">
        <f>IFERROR(__xludf.DUMMYFUNCTION("""COMPUTED_VALUE"""),"Parag Kashyap")</f>
        <v>Parag Kashyap</v>
      </c>
      <c r="C555" s="115" t="str">
        <f>IFERROR(__xludf.DUMMYFUNCTION("""COMPUTED_VALUE"""),"FLIPKART")</f>
        <v>FLIPKART</v>
      </c>
      <c r="D555" s="115">
        <f>IFERROR(__xludf.DUMMYFUNCTION("""COMPUTED_VALUE"""),91491.0)</f>
        <v>91491</v>
      </c>
      <c r="E555" s="115">
        <f>IFERROR(__xludf.DUMMYFUNCTION("""COMPUTED_VALUE"""),4638.0)</f>
        <v>4638</v>
      </c>
      <c r="F555" s="115">
        <f>IFERROR(__xludf.DUMMYFUNCTION("""COMPUTED_VALUE"""),1517.0)</f>
        <v>1517</v>
      </c>
      <c r="G555" s="115">
        <f>IFERROR(__xludf.DUMMYFUNCTION("""COMPUTED_VALUE"""),73.0)</f>
        <v>73</v>
      </c>
      <c r="H555" s="116">
        <f>IFERROR(__xludf.DUMMYFUNCTION("""COMPUTED_VALUE"""),45902.0)</f>
        <v>45902</v>
      </c>
      <c r="I555" s="115" t="str">
        <f>IFERROR(__xludf.DUMMYFUNCTION("""COMPUTED_VALUE"""),"09")</f>
        <v>09</v>
      </c>
      <c r="J555" s="115" t="str">
        <f>IFERROR(__xludf.DUMMYFUNCTION("""COMPUTED_VALUE"""),"Parag Kashyap2025-09-0209")</f>
        <v>Parag Kashyap2025-09-0209</v>
      </c>
      <c r="K555" s="115">
        <f>IFERROR(__xludf.DUMMYFUNCTION("""COMPUTED_VALUE"""),96129.0)</f>
        <v>96129</v>
      </c>
    </row>
    <row r="556">
      <c r="A556" s="115" t="str">
        <f>IFERROR(__xludf.DUMMYFUNCTION("""COMPUTED_VALUE"""),"EAST")</f>
        <v>EAST</v>
      </c>
      <c r="B556" s="115" t="str">
        <f>IFERROR(__xludf.DUMMYFUNCTION("""COMPUTED_VALUE"""),"Parag Kashyap")</f>
        <v>Parag Kashyap</v>
      </c>
      <c r="C556" s="115" t="str">
        <f>IFERROR(__xludf.DUMMYFUNCTION("""COMPUTED_VALUE"""),"MYNTRA")</f>
        <v>MYNTRA</v>
      </c>
      <c r="D556" s="115">
        <f>IFERROR(__xludf.DUMMYFUNCTION("""COMPUTED_VALUE"""),10185.0)</f>
        <v>10185</v>
      </c>
      <c r="E556" s="115">
        <f>IFERROR(__xludf.DUMMYFUNCTION("""COMPUTED_VALUE"""),1286.0)</f>
        <v>1286</v>
      </c>
      <c r="F556" s="115">
        <f>IFERROR(__xludf.DUMMYFUNCTION("""COMPUTED_VALUE"""),253.0)</f>
        <v>253</v>
      </c>
      <c r="G556" s="115">
        <f>IFERROR(__xludf.DUMMYFUNCTION("""COMPUTED_VALUE"""),16.0)</f>
        <v>16</v>
      </c>
      <c r="H556" s="116">
        <f>IFERROR(__xludf.DUMMYFUNCTION("""COMPUTED_VALUE"""),45902.0)</f>
        <v>45902</v>
      </c>
      <c r="I556" s="115" t="str">
        <f>IFERROR(__xludf.DUMMYFUNCTION("""COMPUTED_VALUE"""),"09")</f>
        <v>09</v>
      </c>
      <c r="J556" s="115" t="str">
        <f>IFERROR(__xludf.DUMMYFUNCTION("""COMPUTED_VALUE"""),"Parag Kashyap2025-09-0209")</f>
        <v>Parag Kashyap2025-09-0209</v>
      </c>
      <c r="K556" s="115">
        <f>IFERROR(__xludf.DUMMYFUNCTION("""COMPUTED_VALUE"""),11471.0)</f>
        <v>11471</v>
      </c>
    </row>
    <row r="557">
      <c r="A557" s="115" t="str">
        <f>IFERROR(__xludf.DUMMYFUNCTION("""COMPUTED_VALUE"""),"NORTH")</f>
        <v>NORTH</v>
      </c>
      <c r="B557" s="115" t="str">
        <f>IFERROR(__xludf.DUMMYFUNCTION("""COMPUTED_VALUE"""),"Amit Kumar Pathak")</f>
        <v>Amit Kumar Pathak</v>
      </c>
      <c r="C557" s="115" t="str">
        <f>IFERROR(__xludf.DUMMYFUNCTION("""COMPUTED_VALUE"""),"EXTERNAL")</f>
        <v>EXTERNAL</v>
      </c>
      <c r="D557" s="115">
        <f>IFERROR(__xludf.DUMMYFUNCTION("""COMPUTED_VALUE"""),9135.0)</f>
        <v>9135</v>
      </c>
      <c r="E557" s="115">
        <f>IFERROR(__xludf.DUMMYFUNCTION("""COMPUTED_VALUE"""),660.0)</f>
        <v>660</v>
      </c>
      <c r="F557" s="115">
        <f>IFERROR(__xludf.DUMMYFUNCTION("""COMPUTED_VALUE"""),113.0)</f>
        <v>113</v>
      </c>
      <c r="G557" s="115">
        <f>IFERROR(__xludf.DUMMYFUNCTION("""COMPUTED_VALUE"""),12.0)</f>
        <v>12</v>
      </c>
      <c r="H557" s="116">
        <f>IFERROR(__xludf.DUMMYFUNCTION("""COMPUTED_VALUE"""),45902.0)</f>
        <v>45902</v>
      </c>
      <c r="I557" s="115" t="str">
        <f>IFERROR(__xludf.DUMMYFUNCTION("""COMPUTED_VALUE"""),"09")</f>
        <v>09</v>
      </c>
      <c r="J557" s="115" t="str">
        <f>IFERROR(__xludf.DUMMYFUNCTION("""COMPUTED_VALUE"""),"Amit Kumar Pathak2025-09-0209")</f>
        <v>Amit Kumar Pathak2025-09-0209</v>
      </c>
      <c r="K557" s="115">
        <f>IFERROR(__xludf.DUMMYFUNCTION("""COMPUTED_VALUE"""),9795.0)</f>
        <v>9795</v>
      </c>
    </row>
    <row r="558">
      <c r="A558" s="115" t="str">
        <f>IFERROR(__xludf.DUMMYFUNCTION("""COMPUTED_VALUE"""),"NORTH")</f>
        <v>NORTH</v>
      </c>
      <c r="B558" s="115" t="str">
        <f>IFERROR(__xludf.DUMMYFUNCTION("""COMPUTED_VALUE"""),"Amit Kumar Pathak")</f>
        <v>Amit Kumar Pathak</v>
      </c>
      <c r="C558" s="115" t="str">
        <f>IFERROR(__xludf.DUMMYFUNCTION("""COMPUTED_VALUE"""),"FLIPKART")</f>
        <v>FLIPKART</v>
      </c>
      <c r="D558" s="115">
        <f>IFERROR(__xludf.DUMMYFUNCTION("""COMPUTED_VALUE"""),64948.0)</f>
        <v>64948</v>
      </c>
      <c r="E558" s="115">
        <f>IFERROR(__xludf.DUMMYFUNCTION("""COMPUTED_VALUE"""),8497.0)</f>
        <v>8497</v>
      </c>
      <c r="F558" s="115">
        <f>IFERROR(__xludf.DUMMYFUNCTION("""COMPUTED_VALUE"""),1408.0)</f>
        <v>1408</v>
      </c>
      <c r="G558" s="115">
        <f>IFERROR(__xludf.DUMMYFUNCTION("""COMPUTED_VALUE"""),108.0)</f>
        <v>108</v>
      </c>
      <c r="H558" s="116">
        <f>IFERROR(__xludf.DUMMYFUNCTION("""COMPUTED_VALUE"""),45902.0)</f>
        <v>45902</v>
      </c>
      <c r="I558" s="115" t="str">
        <f>IFERROR(__xludf.DUMMYFUNCTION("""COMPUTED_VALUE"""),"09")</f>
        <v>09</v>
      </c>
      <c r="J558" s="115" t="str">
        <f>IFERROR(__xludf.DUMMYFUNCTION("""COMPUTED_VALUE"""),"Amit Kumar Pathak2025-09-0209")</f>
        <v>Amit Kumar Pathak2025-09-0209</v>
      </c>
      <c r="K558" s="115">
        <f>IFERROR(__xludf.DUMMYFUNCTION("""COMPUTED_VALUE"""),73445.0)</f>
        <v>73445</v>
      </c>
    </row>
    <row r="559">
      <c r="A559" s="115" t="str">
        <f>IFERROR(__xludf.DUMMYFUNCTION("""COMPUTED_VALUE"""),"NORTH")</f>
        <v>NORTH</v>
      </c>
      <c r="B559" s="115" t="str">
        <f>IFERROR(__xludf.DUMMYFUNCTION("""COMPUTED_VALUE"""),"Amit Kumar Pathak")</f>
        <v>Amit Kumar Pathak</v>
      </c>
      <c r="C559" s="115" t="str">
        <f>IFERROR(__xludf.DUMMYFUNCTION("""COMPUTED_VALUE"""),"MYNTRA")</f>
        <v>MYNTRA</v>
      </c>
      <c r="D559" s="115">
        <f>IFERROR(__xludf.DUMMYFUNCTION("""COMPUTED_VALUE"""),6371.0)</f>
        <v>6371</v>
      </c>
      <c r="E559" s="115">
        <f>IFERROR(__xludf.DUMMYFUNCTION("""COMPUTED_VALUE"""),2154.0)</f>
        <v>2154</v>
      </c>
      <c r="F559" s="115">
        <f>IFERROR(__xludf.DUMMYFUNCTION("""COMPUTED_VALUE"""),177.0)</f>
        <v>177</v>
      </c>
      <c r="G559" s="115">
        <f>IFERROR(__xludf.DUMMYFUNCTION("""COMPUTED_VALUE"""),27.0)</f>
        <v>27</v>
      </c>
      <c r="H559" s="116">
        <f>IFERROR(__xludf.DUMMYFUNCTION("""COMPUTED_VALUE"""),45902.0)</f>
        <v>45902</v>
      </c>
      <c r="I559" s="115" t="str">
        <f>IFERROR(__xludf.DUMMYFUNCTION("""COMPUTED_VALUE"""),"09")</f>
        <v>09</v>
      </c>
      <c r="J559" s="115" t="str">
        <f>IFERROR(__xludf.DUMMYFUNCTION("""COMPUTED_VALUE"""),"Amit Kumar Pathak2025-09-0209")</f>
        <v>Amit Kumar Pathak2025-09-0209</v>
      </c>
      <c r="K559" s="115">
        <f>IFERROR(__xludf.DUMMYFUNCTION("""COMPUTED_VALUE"""),8525.0)</f>
        <v>8525</v>
      </c>
    </row>
    <row r="560">
      <c r="A560" s="115" t="str">
        <f>IFERROR(__xludf.DUMMYFUNCTION("""COMPUTED_VALUE"""),"NORTH")</f>
        <v>NORTH</v>
      </c>
      <c r="B560" s="115" t="str">
        <f>IFERROR(__xludf.DUMMYFUNCTION("""COMPUTED_VALUE"""),"Loveleen Singh")</f>
        <v>Loveleen Singh</v>
      </c>
      <c r="C560" s="115" t="str">
        <f>IFERROR(__xludf.DUMMYFUNCTION("""COMPUTED_VALUE"""),"EXTERNAL")</f>
        <v>EXTERNAL</v>
      </c>
      <c r="D560" s="115">
        <f>IFERROR(__xludf.DUMMYFUNCTION("""COMPUTED_VALUE"""),3973.0)</f>
        <v>3973</v>
      </c>
      <c r="E560" s="115">
        <f>IFERROR(__xludf.DUMMYFUNCTION("""COMPUTED_VALUE"""),192.0)</f>
        <v>192</v>
      </c>
      <c r="F560" s="115">
        <f>IFERROR(__xludf.DUMMYFUNCTION("""COMPUTED_VALUE"""),47.0)</f>
        <v>47</v>
      </c>
      <c r="G560" s="115">
        <f>IFERROR(__xludf.DUMMYFUNCTION("""COMPUTED_VALUE"""),1.0)</f>
        <v>1</v>
      </c>
      <c r="H560" s="116">
        <f>IFERROR(__xludf.DUMMYFUNCTION("""COMPUTED_VALUE"""),45902.0)</f>
        <v>45902</v>
      </c>
      <c r="I560" s="115" t="str">
        <f>IFERROR(__xludf.DUMMYFUNCTION("""COMPUTED_VALUE"""),"09")</f>
        <v>09</v>
      </c>
      <c r="J560" s="115" t="str">
        <f>IFERROR(__xludf.DUMMYFUNCTION("""COMPUTED_VALUE"""),"Loveleen Singh2025-09-0209")</f>
        <v>Loveleen Singh2025-09-0209</v>
      </c>
      <c r="K560" s="115">
        <f>IFERROR(__xludf.DUMMYFUNCTION("""COMPUTED_VALUE"""),4165.0)</f>
        <v>4165</v>
      </c>
    </row>
    <row r="561">
      <c r="A561" s="115" t="str">
        <f>IFERROR(__xludf.DUMMYFUNCTION("""COMPUTED_VALUE"""),"NORTH")</f>
        <v>NORTH</v>
      </c>
      <c r="B561" s="115" t="str">
        <f>IFERROR(__xludf.DUMMYFUNCTION("""COMPUTED_VALUE"""),"Loveleen Singh")</f>
        <v>Loveleen Singh</v>
      </c>
      <c r="C561" s="115" t="str">
        <f>IFERROR(__xludf.DUMMYFUNCTION("""COMPUTED_VALUE"""),"FLIPKART")</f>
        <v>FLIPKART</v>
      </c>
      <c r="D561" s="115">
        <f>IFERROR(__xludf.DUMMYFUNCTION("""COMPUTED_VALUE"""),24405.0)</f>
        <v>24405</v>
      </c>
      <c r="E561" s="115">
        <f>IFERROR(__xludf.DUMMYFUNCTION("""COMPUTED_VALUE"""),1632.0)</f>
        <v>1632</v>
      </c>
      <c r="F561" s="115">
        <f>IFERROR(__xludf.DUMMYFUNCTION("""COMPUTED_VALUE"""),632.0)</f>
        <v>632</v>
      </c>
      <c r="G561" s="115">
        <f>IFERROR(__xludf.DUMMYFUNCTION("""COMPUTED_VALUE"""),20.0)</f>
        <v>20</v>
      </c>
      <c r="H561" s="116">
        <f>IFERROR(__xludf.DUMMYFUNCTION("""COMPUTED_VALUE"""),45902.0)</f>
        <v>45902</v>
      </c>
      <c r="I561" s="115" t="str">
        <f>IFERROR(__xludf.DUMMYFUNCTION("""COMPUTED_VALUE"""),"09")</f>
        <v>09</v>
      </c>
      <c r="J561" s="115" t="str">
        <f>IFERROR(__xludf.DUMMYFUNCTION("""COMPUTED_VALUE"""),"Loveleen Singh2025-09-0209")</f>
        <v>Loveleen Singh2025-09-0209</v>
      </c>
      <c r="K561" s="115">
        <f>IFERROR(__xludf.DUMMYFUNCTION("""COMPUTED_VALUE"""),26037.0)</f>
        <v>26037</v>
      </c>
    </row>
    <row r="562">
      <c r="A562" s="115" t="str">
        <f>IFERROR(__xludf.DUMMYFUNCTION("""COMPUTED_VALUE"""),"NORTH")</f>
        <v>NORTH</v>
      </c>
      <c r="B562" s="115" t="str">
        <f>IFERROR(__xludf.DUMMYFUNCTION("""COMPUTED_VALUE"""),"Loveleen Singh")</f>
        <v>Loveleen Singh</v>
      </c>
      <c r="C562" s="115" t="str">
        <f>IFERROR(__xludf.DUMMYFUNCTION("""COMPUTED_VALUE"""),"MYNTRA")</f>
        <v>MYNTRA</v>
      </c>
      <c r="D562" s="115">
        <f>IFERROR(__xludf.DUMMYFUNCTION("""COMPUTED_VALUE"""),4330.0)</f>
        <v>4330</v>
      </c>
      <c r="E562" s="115">
        <f>IFERROR(__xludf.DUMMYFUNCTION("""COMPUTED_VALUE"""),618.0)</f>
        <v>618</v>
      </c>
      <c r="F562" s="115">
        <f>IFERROR(__xludf.DUMMYFUNCTION("""COMPUTED_VALUE"""),122.0)</f>
        <v>122</v>
      </c>
      <c r="G562" s="115">
        <f>IFERROR(__xludf.DUMMYFUNCTION("""COMPUTED_VALUE"""),5.0)</f>
        <v>5</v>
      </c>
      <c r="H562" s="116">
        <f>IFERROR(__xludf.DUMMYFUNCTION("""COMPUTED_VALUE"""),45902.0)</f>
        <v>45902</v>
      </c>
      <c r="I562" s="115" t="str">
        <f>IFERROR(__xludf.DUMMYFUNCTION("""COMPUTED_VALUE"""),"09")</f>
        <v>09</v>
      </c>
      <c r="J562" s="115" t="str">
        <f>IFERROR(__xludf.DUMMYFUNCTION("""COMPUTED_VALUE"""),"Loveleen Singh2025-09-0209")</f>
        <v>Loveleen Singh2025-09-0209</v>
      </c>
      <c r="K562" s="115">
        <f>IFERROR(__xludf.DUMMYFUNCTION("""COMPUTED_VALUE"""),4948.0)</f>
        <v>4948</v>
      </c>
    </row>
    <row r="563">
      <c r="A563" s="115" t="str">
        <f>IFERROR(__xludf.DUMMYFUNCTION("""COMPUTED_VALUE"""),"NORTH")</f>
        <v>NORTH</v>
      </c>
      <c r="B563" s="115" t="str">
        <f>IFERROR(__xludf.DUMMYFUNCTION("""COMPUTED_VALUE"""),"Manoj Harsh")</f>
        <v>Manoj Harsh</v>
      </c>
      <c r="C563" s="115" t="str">
        <f>IFERROR(__xludf.DUMMYFUNCTION("""COMPUTED_VALUE"""),"EXTERNAL")</f>
        <v>EXTERNAL</v>
      </c>
      <c r="D563" s="115">
        <f>IFERROR(__xludf.DUMMYFUNCTION("""COMPUTED_VALUE"""),6144.0)</f>
        <v>6144</v>
      </c>
      <c r="E563" s="115">
        <f>IFERROR(__xludf.DUMMYFUNCTION("""COMPUTED_VALUE"""),498.0)</f>
        <v>498</v>
      </c>
      <c r="F563" s="115">
        <f>IFERROR(__xludf.DUMMYFUNCTION("""COMPUTED_VALUE"""),61.0)</f>
        <v>61</v>
      </c>
      <c r="G563" s="115">
        <f>IFERROR(__xludf.DUMMYFUNCTION("""COMPUTED_VALUE"""),0.0)</f>
        <v>0</v>
      </c>
      <c r="H563" s="116">
        <f>IFERROR(__xludf.DUMMYFUNCTION("""COMPUTED_VALUE"""),45902.0)</f>
        <v>45902</v>
      </c>
      <c r="I563" s="115" t="str">
        <f>IFERROR(__xludf.DUMMYFUNCTION("""COMPUTED_VALUE"""),"09")</f>
        <v>09</v>
      </c>
      <c r="J563" s="115" t="str">
        <f>IFERROR(__xludf.DUMMYFUNCTION("""COMPUTED_VALUE"""),"Manoj Harsh2025-09-0209")</f>
        <v>Manoj Harsh2025-09-0209</v>
      </c>
      <c r="K563" s="115">
        <f>IFERROR(__xludf.DUMMYFUNCTION("""COMPUTED_VALUE"""),6642.0)</f>
        <v>6642</v>
      </c>
    </row>
    <row r="564">
      <c r="A564" s="115" t="str">
        <f>IFERROR(__xludf.DUMMYFUNCTION("""COMPUTED_VALUE"""),"NORTH")</f>
        <v>NORTH</v>
      </c>
      <c r="B564" s="115" t="str">
        <f>IFERROR(__xludf.DUMMYFUNCTION("""COMPUTED_VALUE"""),"Manoj Harsh")</f>
        <v>Manoj Harsh</v>
      </c>
      <c r="C564" s="115" t="str">
        <f>IFERROR(__xludf.DUMMYFUNCTION("""COMPUTED_VALUE"""),"FLIPKART")</f>
        <v>FLIPKART</v>
      </c>
      <c r="D564" s="115">
        <f>IFERROR(__xludf.DUMMYFUNCTION("""COMPUTED_VALUE"""),86125.0)</f>
        <v>86125</v>
      </c>
      <c r="E564" s="115">
        <f>IFERROR(__xludf.DUMMYFUNCTION("""COMPUTED_VALUE"""),8658.0)</f>
        <v>8658</v>
      </c>
      <c r="F564" s="115">
        <f>IFERROR(__xludf.DUMMYFUNCTION("""COMPUTED_VALUE"""),1813.0)</f>
        <v>1813</v>
      </c>
      <c r="G564" s="115">
        <f>IFERROR(__xludf.DUMMYFUNCTION("""COMPUTED_VALUE"""),110.0)</f>
        <v>110</v>
      </c>
      <c r="H564" s="116">
        <f>IFERROR(__xludf.DUMMYFUNCTION("""COMPUTED_VALUE"""),45902.0)</f>
        <v>45902</v>
      </c>
      <c r="I564" s="115" t="str">
        <f>IFERROR(__xludf.DUMMYFUNCTION("""COMPUTED_VALUE"""),"09")</f>
        <v>09</v>
      </c>
      <c r="J564" s="115" t="str">
        <f>IFERROR(__xludf.DUMMYFUNCTION("""COMPUTED_VALUE"""),"Manoj Harsh2025-09-0209")</f>
        <v>Manoj Harsh2025-09-0209</v>
      </c>
      <c r="K564" s="115">
        <f>IFERROR(__xludf.DUMMYFUNCTION("""COMPUTED_VALUE"""),94783.0)</f>
        <v>94783</v>
      </c>
    </row>
    <row r="565">
      <c r="A565" s="115" t="str">
        <f>IFERROR(__xludf.DUMMYFUNCTION("""COMPUTED_VALUE"""),"NORTH")</f>
        <v>NORTH</v>
      </c>
      <c r="B565" s="115" t="str">
        <f>IFERROR(__xludf.DUMMYFUNCTION("""COMPUTED_VALUE"""),"Manoj Harsh")</f>
        <v>Manoj Harsh</v>
      </c>
      <c r="C565" s="115" t="str">
        <f>IFERROR(__xludf.DUMMYFUNCTION("""COMPUTED_VALUE"""),"MYNTRA")</f>
        <v>MYNTRA</v>
      </c>
      <c r="D565" s="115">
        <f>IFERROR(__xludf.DUMMYFUNCTION("""COMPUTED_VALUE"""),7851.0)</f>
        <v>7851</v>
      </c>
      <c r="E565" s="115">
        <f>IFERROR(__xludf.DUMMYFUNCTION("""COMPUTED_VALUE"""),1804.0)</f>
        <v>1804</v>
      </c>
      <c r="F565" s="115">
        <f>IFERROR(__xludf.DUMMYFUNCTION("""COMPUTED_VALUE"""),203.0)</f>
        <v>203</v>
      </c>
      <c r="G565" s="115">
        <f>IFERROR(__xludf.DUMMYFUNCTION("""COMPUTED_VALUE"""),18.0)</f>
        <v>18</v>
      </c>
      <c r="H565" s="116">
        <f>IFERROR(__xludf.DUMMYFUNCTION("""COMPUTED_VALUE"""),45902.0)</f>
        <v>45902</v>
      </c>
      <c r="I565" s="115" t="str">
        <f>IFERROR(__xludf.DUMMYFUNCTION("""COMPUTED_VALUE"""),"09")</f>
        <v>09</v>
      </c>
      <c r="J565" s="115" t="str">
        <f>IFERROR(__xludf.DUMMYFUNCTION("""COMPUTED_VALUE"""),"Manoj Harsh2025-09-0209")</f>
        <v>Manoj Harsh2025-09-0209</v>
      </c>
      <c r="K565" s="115">
        <f>IFERROR(__xludf.DUMMYFUNCTION("""COMPUTED_VALUE"""),9655.0)</f>
        <v>9655</v>
      </c>
    </row>
    <row r="566">
      <c r="A566" s="115" t="str">
        <f>IFERROR(__xludf.DUMMYFUNCTION("""COMPUTED_VALUE"""),"NORTH")</f>
        <v>NORTH</v>
      </c>
      <c r="B566" s="115" t="str">
        <f>IFERROR(__xludf.DUMMYFUNCTION("""COMPUTED_VALUE"""),"Pradeep Kothari")</f>
        <v>Pradeep Kothari</v>
      </c>
      <c r="C566" s="115" t="str">
        <f>IFERROR(__xludf.DUMMYFUNCTION("""COMPUTED_VALUE"""),"EXTERNAL")</f>
        <v>EXTERNAL</v>
      </c>
      <c r="D566" s="115">
        <f>IFERROR(__xludf.DUMMYFUNCTION("""COMPUTED_VALUE"""),4058.0)</f>
        <v>4058</v>
      </c>
      <c r="E566" s="115">
        <f>IFERROR(__xludf.DUMMYFUNCTION("""COMPUTED_VALUE"""),358.0)</f>
        <v>358</v>
      </c>
      <c r="F566" s="115">
        <f>IFERROR(__xludf.DUMMYFUNCTION("""COMPUTED_VALUE"""),74.0)</f>
        <v>74</v>
      </c>
      <c r="G566" s="115">
        <f>IFERROR(__xludf.DUMMYFUNCTION("""COMPUTED_VALUE"""),1.0)</f>
        <v>1</v>
      </c>
      <c r="H566" s="116">
        <f>IFERROR(__xludf.DUMMYFUNCTION("""COMPUTED_VALUE"""),45902.0)</f>
        <v>45902</v>
      </c>
      <c r="I566" s="115" t="str">
        <f>IFERROR(__xludf.DUMMYFUNCTION("""COMPUTED_VALUE"""),"09")</f>
        <v>09</v>
      </c>
      <c r="J566" s="115" t="str">
        <f>IFERROR(__xludf.DUMMYFUNCTION("""COMPUTED_VALUE"""),"Pradeep Kothari2025-09-0209")</f>
        <v>Pradeep Kothari2025-09-0209</v>
      </c>
      <c r="K566" s="115">
        <f>IFERROR(__xludf.DUMMYFUNCTION("""COMPUTED_VALUE"""),4416.0)</f>
        <v>4416</v>
      </c>
    </row>
    <row r="567">
      <c r="A567" s="115" t="str">
        <f>IFERROR(__xludf.DUMMYFUNCTION("""COMPUTED_VALUE"""),"NORTH")</f>
        <v>NORTH</v>
      </c>
      <c r="B567" s="115" t="str">
        <f>IFERROR(__xludf.DUMMYFUNCTION("""COMPUTED_VALUE"""),"Pradeep Kothari")</f>
        <v>Pradeep Kothari</v>
      </c>
      <c r="C567" s="115" t="str">
        <f>IFERROR(__xludf.DUMMYFUNCTION("""COMPUTED_VALUE"""),"FLIPKART")</f>
        <v>FLIPKART</v>
      </c>
      <c r="D567" s="115">
        <f>IFERROR(__xludf.DUMMYFUNCTION("""COMPUTED_VALUE"""),33590.0)</f>
        <v>33590</v>
      </c>
      <c r="E567" s="115">
        <f>IFERROR(__xludf.DUMMYFUNCTION("""COMPUTED_VALUE"""),3618.0)</f>
        <v>3618</v>
      </c>
      <c r="F567" s="115">
        <f>IFERROR(__xludf.DUMMYFUNCTION("""COMPUTED_VALUE"""),1168.0)</f>
        <v>1168</v>
      </c>
      <c r="G567" s="115">
        <f>IFERROR(__xludf.DUMMYFUNCTION("""COMPUTED_VALUE"""),59.0)</f>
        <v>59</v>
      </c>
      <c r="H567" s="116">
        <f>IFERROR(__xludf.DUMMYFUNCTION("""COMPUTED_VALUE"""),45902.0)</f>
        <v>45902</v>
      </c>
      <c r="I567" s="115" t="str">
        <f>IFERROR(__xludf.DUMMYFUNCTION("""COMPUTED_VALUE"""),"09")</f>
        <v>09</v>
      </c>
      <c r="J567" s="115" t="str">
        <f>IFERROR(__xludf.DUMMYFUNCTION("""COMPUTED_VALUE"""),"Pradeep Kothari2025-09-0209")</f>
        <v>Pradeep Kothari2025-09-0209</v>
      </c>
      <c r="K567" s="115">
        <f>IFERROR(__xludf.DUMMYFUNCTION("""COMPUTED_VALUE"""),37208.0)</f>
        <v>37208</v>
      </c>
    </row>
    <row r="568">
      <c r="A568" s="115" t="str">
        <f>IFERROR(__xludf.DUMMYFUNCTION("""COMPUTED_VALUE"""),"NORTH")</f>
        <v>NORTH</v>
      </c>
      <c r="B568" s="115" t="str">
        <f>IFERROR(__xludf.DUMMYFUNCTION("""COMPUTED_VALUE"""),"Pradeep Kothari")</f>
        <v>Pradeep Kothari</v>
      </c>
      <c r="C568" s="115" t="str">
        <f>IFERROR(__xludf.DUMMYFUNCTION("""COMPUTED_VALUE"""),"MYNTRA")</f>
        <v>MYNTRA</v>
      </c>
      <c r="D568" s="115">
        <f>IFERROR(__xludf.DUMMYFUNCTION("""COMPUTED_VALUE"""),6133.0)</f>
        <v>6133</v>
      </c>
      <c r="E568" s="115">
        <f>IFERROR(__xludf.DUMMYFUNCTION("""COMPUTED_VALUE"""),1291.0)</f>
        <v>1291</v>
      </c>
      <c r="F568" s="115">
        <f>IFERROR(__xludf.DUMMYFUNCTION("""COMPUTED_VALUE"""),313.0)</f>
        <v>313</v>
      </c>
      <c r="G568" s="115">
        <f>IFERROR(__xludf.DUMMYFUNCTION("""COMPUTED_VALUE"""),22.0)</f>
        <v>22</v>
      </c>
      <c r="H568" s="116">
        <f>IFERROR(__xludf.DUMMYFUNCTION("""COMPUTED_VALUE"""),45902.0)</f>
        <v>45902</v>
      </c>
      <c r="I568" s="115" t="str">
        <f>IFERROR(__xludf.DUMMYFUNCTION("""COMPUTED_VALUE"""),"09")</f>
        <v>09</v>
      </c>
      <c r="J568" s="115" t="str">
        <f>IFERROR(__xludf.DUMMYFUNCTION("""COMPUTED_VALUE"""),"Pradeep Kothari2025-09-0209")</f>
        <v>Pradeep Kothari2025-09-0209</v>
      </c>
      <c r="K568" s="115">
        <f>IFERROR(__xludf.DUMMYFUNCTION("""COMPUTED_VALUE"""),7424.0)</f>
        <v>7424</v>
      </c>
    </row>
    <row r="569">
      <c r="A569" s="115" t="str">
        <f>IFERROR(__xludf.DUMMYFUNCTION("""COMPUTED_VALUE"""),"SOUTH")</f>
        <v>SOUTH</v>
      </c>
      <c r="B569" s="115" t="str">
        <f>IFERROR(__xludf.DUMMYFUNCTION("""COMPUTED_VALUE"""),"Kandula Sampath")</f>
        <v>Kandula Sampath</v>
      </c>
      <c r="C569" s="115" t="str">
        <f>IFERROR(__xludf.DUMMYFUNCTION("""COMPUTED_VALUE"""),"EXTERNAL")</f>
        <v>EXTERNAL</v>
      </c>
      <c r="D569" s="115">
        <f>IFERROR(__xludf.DUMMYFUNCTION("""COMPUTED_VALUE"""),14171.0)</f>
        <v>14171</v>
      </c>
      <c r="E569" s="115">
        <f>IFERROR(__xludf.DUMMYFUNCTION("""COMPUTED_VALUE"""),1063.0)</f>
        <v>1063</v>
      </c>
      <c r="F569" s="115">
        <f>IFERROR(__xludf.DUMMYFUNCTION("""COMPUTED_VALUE"""),393.0)</f>
        <v>393</v>
      </c>
      <c r="G569" s="115">
        <f>IFERROR(__xludf.DUMMYFUNCTION("""COMPUTED_VALUE"""),8.0)</f>
        <v>8</v>
      </c>
      <c r="H569" s="116">
        <f>IFERROR(__xludf.DUMMYFUNCTION("""COMPUTED_VALUE"""),45902.0)</f>
        <v>45902</v>
      </c>
      <c r="I569" s="115" t="str">
        <f>IFERROR(__xludf.DUMMYFUNCTION("""COMPUTED_VALUE"""),"09")</f>
        <v>09</v>
      </c>
      <c r="J569" s="115" t="str">
        <f>IFERROR(__xludf.DUMMYFUNCTION("""COMPUTED_VALUE"""),"Kandula Sampath2025-09-0209")</f>
        <v>Kandula Sampath2025-09-0209</v>
      </c>
      <c r="K569" s="115">
        <f>IFERROR(__xludf.DUMMYFUNCTION("""COMPUTED_VALUE"""),15234.0)</f>
        <v>15234</v>
      </c>
    </row>
    <row r="570">
      <c r="A570" s="115" t="str">
        <f>IFERROR(__xludf.DUMMYFUNCTION("""COMPUTED_VALUE"""),"SOUTH")</f>
        <v>SOUTH</v>
      </c>
      <c r="B570" s="115" t="str">
        <f>IFERROR(__xludf.DUMMYFUNCTION("""COMPUTED_VALUE"""),"Kandula Sampath")</f>
        <v>Kandula Sampath</v>
      </c>
      <c r="C570" s="115" t="str">
        <f>IFERROR(__xludf.DUMMYFUNCTION("""COMPUTED_VALUE"""),"FLIPKART")</f>
        <v>FLIPKART</v>
      </c>
      <c r="D570" s="115">
        <f>IFERROR(__xludf.DUMMYFUNCTION("""COMPUTED_VALUE"""),140753.0)</f>
        <v>140753</v>
      </c>
      <c r="E570" s="115">
        <f>IFERROR(__xludf.DUMMYFUNCTION("""COMPUTED_VALUE"""),10449.0)</f>
        <v>10449</v>
      </c>
      <c r="F570" s="115">
        <f>IFERROR(__xludf.DUMMYFUNCTION("""COMPUTED_VALUE"""),8398.0)</f>
        <v>8398</v>
      </c>
      <c r="G570" s="115">
        <f>IFERROR(__xludf.DUMMYFUNCTION("""COMPUTED_VALUE"""),147.0)</f>
        <v>147</v>
      </c>
      <c r="H570" s="116">
        <f>IFERROR(__xludf.DUMMYFUNCTION("""COMPUTED_VALUE"""),45902.0)</f>
        <v>45902</v>
      </c>
      <c r="I570" s="115" t="str">
        <f>IFERROR(__xludf.DUMMYFUNCTION("""COMPUTED_VALUE"""),"09")</f>
        <v>09</v>
      </c>
      <c r="J570" s="115" t="str">
        <f>IFERROR(__xludf.DUMMYFUNCTION("""COMPUTED_VALUE"""),"Kandula Sampath2025-09-0209")</f>
        <v>Kandula Sampath2025-09-0209</v>
      </c>
      <c r="K570" s="115">
        <f>IFERROR(__xludf.DUMMYFUNCTION("""COMPUTED_VALUE"""),151202.0)</f>
        <v>151202</v>
      </c>
    </row>
    <row r="571">
      <c r="A571" s="115" t="str">
        <f>IFERROR(__xludf.DUMMYFUNCTION("""COMPUTED_VALUE"""),"SOUTH")</f>
        <v>SOUTH</v>
      </c>
      <c r="B571" s="115" t="str">
        <f>IFERROR(__xludf.DUMMYFUNCTION("""COMPUTED_VALUE"""),"Kandula Sampath")</f>
        <v>Kandula Sampath</v>
      </c>
      <c r="C571" s="115" t="str">
        <f>IFERROR(__xludf.DUMMYFUNCTION("""COMPUTED_VALUE"""),"MYNTRA")</f>
        <v>MYNTRA</v>
      </c>
      <c r="D571" s="115">
        <f>IFERROR(__xludf.DUMMYFUNCTION("""COMPUTED_VALUE"""),15011.0)</f>
        <v>15011</v>
      </c>
      <c r="E571" s="115">
        <f>IFERROR(__xludf.DUMMYFUNCTION("""COMPUTED_VALUE"""),2551.0)</f>
        <v>2551</v>
      </c>
      <c r="F571" s="115">
        <f>IFERROR(__xludf.DUMMYFUNCTION("""COMPUTED_VALUE"""),1114.0)</f>
        <v>1114</v>
      </c>
      <c r="G571" s="115">
        <f>IFERROR(__xludf.DUMMYFUNCTION("""COMPUTED_VALUE"""),24.0)</f>
        <v>24</v>
      </c>
      <c r="H571" s="116">
        <f>IFERROR(__xludf.DUMMYFUNCTION("""COMPUTED_VALUE"""),45902.0)</f>
        <v>45902</v>
      </c>
      <c r="I571" s="115" t="str">
        <f>IFERROR(__xludf.DUMMYFUNCTION("""COMPUTED_VALUE"""),"09")</f>
        <v>09</v>
      </c>
      <c r="J571" s="115" t="str">
        <f>IFERROR(__xludf.DUMMYFUNCTION("""COMPUTED_VALUE"""),"Kandula Sampath2025-09-0209")</f>
        <v>Kandula Sampath2025-09-0209</v>
      </c>
      <c r="K571" s="115">
        <f>IFERROR(__xludf.DUMMYFUNCTION("""COMPUTED_VALUE"""),17562.0)</f>
        <v>17562</v>
      </c>
    </row>
    <row r="572">
      <c r="A572" s="115" t="str">
        <f>IFERROR(__xludf.DUMMYFUNCTION("""COMPUTED_VALUE"""),"SOUTH")</f>
        <v>SOUTH</v>
      </c>
      <c r="B572" s="115" t="str">
        <f>IFERROR(__xludf.DUMMYFUNCTION("""COMPUTED_VALUE"""),"Martin A")</f>
        <v>Martin A</v>
      </c>
      <c r="C572" s="115" t="str">
        <f>IFERROR(__xludf.DUMMYFUNCTION("""COMPUTED_VALUE"""),"EXTERNAL")</f>
        <v>EXTERNAL</v>
      </c>
      <c r="D572" s="115">
        <f>IFERROR(__xludf.DUMMYFUNCTION("""COMPUTED_VALUE"""),13604.0)</f>
        <v>13604</v>
      </c>
      <c r="E572" s="115">
        <f>IFERROR(__xludf.DUMMYFUNCTION("""COMPUTED_VALUE"""),750.0)</f>
        <v>750</v>
      </c>
      <c r="F572" s="115">
        <f>IFERROR(__xludf.DUMMYFUNCTION("""COMPUTED_VALUE"""),259.0)</f>
        <v>259</v>
      </c>
      <c r="G572" s="115">
        <f>IFERROR(__xludf.DUMMYFUNCTION("""COMPUTED_VALUE"""),7.0)</f>
        <v>7</v>
      </c>
      <c r="H572" s="116">
        <f>IFERROR(__xludf.DUMMYFUNCTION("""COMPUTED_VALUE"""),45902.0)</f>
        <v>45902</v>
      </c>
      <c r="I572" s="115" t="str">
        <f>IFERROR(__xludf.DUMMYFUNCTION("""COMPUTED_VALUE"""),"09")</f>
        <v>09</v>
      </c>
      <c r="J572" s="115" t="str">
        <f>IFERROR(__xludf.DUMMYFUNCTION("""COMPUTED_VALUE"""),"Martin A2025-09-0209")</f>
        <v>Martin A2025-09-0209</v>
      </c>
      <c r="K572" s="115">
        <f>IFERROR(__xludf.DUMMYFUNCTION("""COMPUTED_VALUE"""),14354.0)</f>
        <v>14354</v>
      </c>
    </row>
    <row r="573">
      <c r="A573" s="115" t="str">
        <f>IFERROR(__xludf.DUMMYFUNCTION("""COMPUTED_VALUE"""),"SOUTH")</f>
        <v>SOUTH</v>
      </c>
      <c r="B573" s="115" t="str">
        <f>IFERROR(__xludf.DUMMYFUNCTION("""COMPUTED_VALUE"""),"Martin A")</f>
        <v>Martin A</v>
      </c>
      <c r="C573" s="115" t="str">
        <f>IFERROR(__xludf.DUMMYFUNCTION("""COMPUTED_VALUE"""),"FLIPKART")</f>
        <v>FLIPKART</v>
      </c>
      <c r="D573" s="115">
        <f>IFERROR(__xludf.DUMMYFUNCTION("""COMPUTED_VALUE"""),111180.0)</f>
        <v>111180</v>
      </c>
      <c r="E573" s="115">
        <f>IFERROR(__xludf.DUMMYFUNCTION("""COMPUTED_VALUE"""),10626.0)</f>
        <v>10626</v>
      </c>
      <c r="F573" s="115">
        <f>IFERROR(__xludf.DUMMYFUNCTION("""COMPUTED_VALUE"""),4289.0)</f>
        <v>4289</v>
      </c>
      <c r="G573" s="115">
        <f>IFERROR(__xludf.DUMMYFUNCTION("""COMPUTED_VALUE"""),186.0)</f>
        <v>186</v>
      </c>
      <c r="H573" s="116">
        <f>IFERROR(__xludf.DUMMYFUNCTION("""COMPUTED_VALUE"""),45902.0)</f>
        <v>45902</v>
      </c>
      <c r="I573" s="115" t="str">
        <f>IFERROR(__xludf.DUMMYFUNCTION("""COMPUTED_VALUE"""),"09")</f>
        <v>09</v>
      </c>
      <c r="J573" s="115" t="str">
        <f>IFERROR(__xludf.DUMMYFUNCTION("""COMPUTED_VALUE"""),"Martin A2025-09-0209")</f>
        <v>Martin A2025-09-0209</v>
      </c>
      <c r="K573" s="115">
        <f>IFERROR(__xludf.DUMMYFUNCTION("""COMPUTED_VALUE"""),121806.0)</f>
        <v>121806</v>
      </c>
    </row>
    <row r="574">
      <c r="A574" s="115" t="str">
        <f>IFERROR(__xludf.DUMMYFUNCTION("""COMPUTED_VALUE"""),"SOUTH")</f>
        <v>SOUTH</v>
      </c>
      <c r="B574" s="115" t="str">
        <f>IFERROR(__xludf.DUMMYFUNCTION("""COMPUTED_VALUE"""),"Martin A")</f>
        <v>Martin A</v>
      </c>
      <c r="C574" s="115" t="str">
        <f>IFERROR(__xludf.DUMMYFUNCTION("""COMPUTED_VALUE"""),"MYNTRA")</f>
        <v>MYNTRA</v>
      </c>
      <c r="D574" s="115">
        <f>IFERROR(__xludf.DUMMYFUNCTION("""COMPUTED_VALUE"""),11362.0)</f>
        <v>11362</v>
      </c>
      <c r="E574" s="115">
        <f>IFERROR(__xludf.DUMMYFUNCTION("""COMPUTED_VALUE"""),2612.0)</f>
        <v>2612</v>
      </c>
      <c r="F574" s="115">
        <f>IFERROR(__xludf.DUMMYFUNCTION("""COMPUTED_VALUE"""),594.0)</f>
        <v>594</v>
      </c>
      <c r="G574" s="115">
        <f>IFERROR(__xludf.DUMMYFUNCTION("""COMPUTED_VALUE"""),37.0)</f>
        <v>37</v>
      </c>
      <c r="H574" s="116">
        <f>IFERROR(__xludf.DUMMYFUNCTION("""COMPUTED_VALUE"""),45902.0)</f>
        <v>45902</v>
      </c>
      <c r="I574" s="115" t="str">
        <f>IFERROR(__xludf.DUMMYFUNCTION("""COMPUTED_VALUE"""),"09")</f>
        <v>09</v>
      </c>
      <c r="J574" s="115" t="str">
        <f>IFERROR(__xludf.DUMMYFUNCTION("""COMPUTED_VALUE"""),"Martin A2025-09-0209")</f>
        <v>Martin A2025-09-0209</v>
      </c>
      <c r="K574" s="115">
        <f>IFERROR(__xludf.DUMMYFUNCTION("""COMPUTED_VALUE"""),13974.0)</f>
        <v>13974</v>
      </c>
    </row>
    <row r="575">
      <c r="A575" s="115" t="str">
        <f>IFERROR(__xludf.DUMMYFUNCTION("""COMPUTED_VALUE"""),"SOUTH")</f>
        <v>SOUTH</v>
      </c>
      <c r="B575" s="115" t="str">
        <f>IFERROR(__xludf.DUMMYFUNCTION("""COMPUTED_VALUE"""),"Premkumar M")</f>
        <v>Premkumar M</v>
      </c>
      <c r="C575" s="115" t="str">
        <f>IFERROR(__xludf.DUMMYFUNCTION("""COMPUTED_VALUE"""),"EXTERNAL")</f>
        <v>EXTERNAL</v>
      </c>
      <c r="D575" s="115">
        <f>IFERROR(__xludf.DUMMYFUNCTION("""COMPUTED_VALUE"""),5436.0)</f>
        <v>5436</v>
      </c>
      <c r="E575" s="115">
        <f>IFERROR(__xludf.DUMMYFUNCTION("""COMPUTED_VALUE"""),269.0)</f>
        <v>269</v>
      </c>
      <c r="F575" s="115">
        <f>IFERROR(__xludf.DUMMYFUNCTION("""COMPUTED_VALUE"""),85.0)</f>
        <v>85</v>
      </c>
      <c r="G575" s="115">
        <f>IFERROR(__xludf.DUMMYFUNCTION("""COMPUTED_VALUE"""),1.0)</f>
        <v>1</v>
      </c>
      <c r="H575" s="116">
        <f>IFERROR(__xludf.DUMMYFUNCTION("""COMPUTED_VALUE"""),45902.0)</f>
        <v>45902</v>
      </c>
      <c r="I575" s="115" t="str">
        <f>IFERROR(__xludf.DUMMYFUNCTION("""COMPUTED_VALUE"""),"09")</f>
        <v>09</v>
      </c>
      <c r="J575" s="115" t="str">
        <f>IFERROR(__xludf.DUMMYFUNCTION("""COMPUTED_VALUE"""),"Premkumar M2025-09-0209")</f>
        <v>Premkumar M2025-09-0209</v>
      </c>
      <c r="K575" s="115">
        <f>IFERROR(__xludf.DUMMYFUNCTION("""COMPUTED_VALUE"""),5705.0)</f>
        <v>5705</v>
      </c>
    </row>
    <row r="576">
      <c r="A576" s="115" t="str">
        <f>IFERROR(__xludf.DUMMYFUNCTION("""COMPUTED_VALUE"""),"SOUTH")</f>
        <v>SOUTH</v>
      </c>
      <c r="B576" s="115" t="str">
        <f>IFERROR(__xludf.DUMMYFUNCTION("""COMPUTED_VALUE"""),"Premkumar M")</f>
        <v>Premkumar M</v>
      </c>
      <c r="C576" s="115" t="str">
        <f>IFERROR(__xludf.DUMMYFUNCTION("""COMPUTED_VALUE"""),"FLIPKART")</f>
        <v>FLIPKART</v>
      </c>
      <c r="D576" s="115">
        <f>IFERROR(__xludf.DUMMYFUNCTION("""COMPUTED_VALUE"""),53631.0)</f>
        <v>53631</v>
      </c>
      <c r="E576" s="115">
        <f>IFERROR(__xludf.DUMMYFUNCTION("""COMPUTED_VALUE"""),3177.0)</f>
        <v>3177</v>
      </c>
      <c r="F576" s="115">
        <f>IFERROR(__xludf.DUMMYFUNCTION("""COMPUTED_VALUE"""),1445.0)</f>
        <v>1445</v>
      </c>
      <c r="G576" s="115">
        <f>IFERROR(__xludf.DUMMYFUNCTION("""COMPUTED_VALUE"""),47.0)</f>
        <v>47</v>
      </c>
      <c r="H576" s="116">
        <f>IFERROR(__xludf.DUMMYFUNCTION("""COMPUTED_VALUE"""),45902.0)</f>
        <v>45902</v>
      </c>
      <c r="I576" s="115" t="str">
        <f>IFERROR(__xludf.DUMMYFUNCTION("""COMPUTED_VALUE"""),"09")</f>
        <v>09</v>
      </c>
      <c r="J576" s="115" t="str">
        <f>IFERROR(__xludf.DUMMYFUNCTION("""COMPUTED_VALUE"""),"Premkumar M2025-09-0209")</f>
        <v>Premkumar M2025-09-0209</v>
      </c>
      <c r="K576" s="115">
        <f>IFERROR(__xludf.DUMMYFUNCTION("""COMPUTED_VALUE"""),56808.0)</f>
        <v>56808</v>
      </c>
    </row>
    <row r="577">
      <c r="A577" s="115" t="str">
        <f>IFERROR(__xludf.DUMMYFUNCTION("""COMPUTED_VALUE"""),"SOUTH")</f>
        <v>SOUTH</v>
      </c>
      <c r="B577" s="115" t="str">
        <f>IFERROR(__xludf.DUMMYFUNCTION("""COMPUTED_VALUE"""),"Premkumar M")</f>
        <v>Premkumar M</v>
      </c>
      <c r="C577" s="115" t="str">
        <f>IFERROR(__xludf.DUMMYFUNCTION("""COMPUTED_VALUE"""),"MYNTRA")</f>
        <v>MYNTRA</v>
      </c>
      <c r="D577" s="115">
        <f>IFERROR(__xludf.DUMMYFUNCTION("""COMPUTED_VALUE"""),3519.0)</f>
        <v>3519</v>
      </c>
      <c r="E577" s="115">
        <f>IFERROR(__xludf.DUMMYFUNCTION("""COMPUTED_VALUE"""),565.0)</f>
        <v>565</v>
      </c>
      <c r="F577" s="115">
        <f>IFERROR(__xludf.DUMMYFUNCTION("""COMPUTED_VALUE"""),107.0)</f>
        <v>107</v>
      </c>
      <c r="G577" s="115">
        <f>IFERROR(__xludf.DUMMYFUNCTION("""COMPUTED_VALUE"""),8.0)</f>
        <v>8</v>
      </c>
      <c r="H577" s="116">
        <f>IFERROR(__xludf.DUMMYFUNCTION("""COMPUTED_VALUE"""),45902.0)</f>
        <v>45902</v>
      </c>
      <c r="I577" s="115" t="str">
        <f>IFERROR(__xludf.DUMMYFUNCTION("""COMPUTED_VALUE"""),"09")</f>
        <v>09</v>
      </c>
      <c r="J577" s="115" t="str">
        <f>IFERROR(__xludf.DUMMYFUNCTION("""COMPUTED_VALUE"""),"Premkumar M2025-09-0209")</f>
        <v>Premkumar M2025-09-0209</v>
      </c>
      <c r="K577" s="115">
        <f>IFERROR(__xludf.DUMMYFUNCTION("""COMPUTED_VALUE"""),4084.0)</f>
        <v>4084</v>
      </c>
    </row>
    <row r="578">
      <c r="A578" s="115" t="str">
        <f>IFERROR(__xludf.DUMMYFUNCTION("""COMPUTED_VALUE"""),"SOUTH")</f>
        <v>SOUTH</v>
      </c>
      <c r="B578" s="115" t="str">
        <f>IFERROR(__xludf.DUMMYFUNCTION("""COMPUTED_VALUE"""),"Vineeth V")</f>
        <v>Vineeth V</v>
      </c>
      <c r="C578" s="115" t="str">
        <f>IFERROR(__xludf.DUMMYFUNCTION("""COMPUTED_VALUE"""),"EXTERNAL")</f>
        <v>EXTERNAL</v>
      </c>
      <c r="D578" s="115">
        <f>IFERROR(__xludf.DUMMYFUNCTION("""COMPUTED_VALUE"""),2029.0)</f>
        <v>2029</v>
      </c>
      <c r="E578" s="115">
        <f>IFERROR(__xludf.DUMMYFUNCTION("""COMPUTED_VALUE"""),34.0)</f>
        <v>34</v>
      </c>
      <c r="F578" s="115">
        <f>IFERROR(__xludf.DUMMYFUNCTION("""COMPUTED_VALUE"""),19.0)</f>
        <v>19</v>
      </c>
      <c r="G578" s="115">
        <f>IFERROR(__xludf.DUMMYFUNCTION("""COMPUTED_VALUE"""),0.0)</f>
        <v>0</v>
      </c>
      <c r="H578" s="116">
        <f>IFERROR(__xludf.DUMMYFUNCTION("""COMPUTED_VALUE"""),45902.0)</f>
        <v>45902</v>
      </c>
      <c r="I578" s="115" t="str">
        <f>IFERROR(__xludf.DUMMYFUNCTION("""COMPUTED_VALUE"""),"09")</f>
        <v>09</v>
      </c>
      <c r="J578" s="115" t="str">
        <f>IFERROR(__xludf.DUMMYFUNCTION("""COMPUTED_VALUE"""),"Vineeth V2025-09-0209")</f>
        <v>Vineeth V2025-09-0209</v>
      </c>
      <c r="K578" s="115">
        <f>IFERROR(__xludf.DUMMYFUNCTION("""COMPUTED_VALUE"""),2063.0)</f>
        <v>2063</v>
      </c>
    </row>
    <row r="579">
      <c r="A579" s="115" t="str">
        <f>IFERROR(__xludf.DUMMYFUNCTION("""COMPUTED_VALUE"""),"SOUTH")</f>
        <v>SOUTH</v>
      </c>
      <c r="B579" s="115" t="str">
        <f>IFERROR(__xludf.DUMMYFUNCTION("""COMPUTED_VALUE"""),"Vineeth V")</f>
        <v>Vineeth V</v>
      </c>
      <c r="C579" s="115" t="str">
        <f>IFERROR(__xludf.DUMMYFUNCTION("""COMPUTED_VALUE"""),"FLIPKART")</f>
        <v>FLIPKART</v>
      </c>
      <c r="D579" s="115">
        <f>IFERROR(__xludf.DUMMYFUNCTION("""COMPUTED_VALUE"""),22270.0)</f>
        <v>22270</v>
      </c>
      <c r="E579" s="115">
        <f>IFERROR(__xludf.DUMMYFUNCTION("""COMPUTED_VALUE"""),1370.0)</f>
        <v>1370</v>
      </c>
      <c r="F579" s="115">
        <f>IFERROR(__xludf.DUMMYFUNCTION("""COMPUTED_VALUE"""),419.0)</f>
        <v>419</v>
      </c>
      <c r="G579" s="115">
        <f>IFERROR(__xludf.DUMMYFUNCTION("""COMPUTED_VALUE"""),12.0)</f>
        <v>12</v>
      </c>
      <c r="H579" s="116">
        <f>IFERROR(__xludf.DUMMYFUNCTION("""COMPUTED_VALUE"""),45902.0)</f>
        <v>45902</v>
      </c>
      <c r="I579" s="115" t="str">
        <f>IFERROR(__xludf.DUMMYFUNCTION("""COMPUTED_VALUE"""),"09")</f>
        <v>09</v>
      </c>
      <c r="J579" s="115" t="str">
        <f>IFERROR(__xludf.DUMMYFUNCTION("""COMPUTED_VALUE"""),"Vineeth V2025-09-0209")</f>
        <v>Vineeth V2025-09-0209</v>
      </c>
      <c r="K579" s="115">
        <f>IFERROR(__xludf.DUMMYFUNCTION("""COMPUTED_VALUE"""),23640.0)</f>
        <v>23640</v>
      </c>
    </row>
    <row r="580">
      <c r="A580" s="115" t="str">
        <f>IFERROR(__xludf.DUMMYFUNCTION("""COMPUTED_VALUE"""),"SOUTH")</f>
        <v>SOUTH</v>
      </c>
      <c r="B580" s="115" t="str">
        <f>IFERROR(__xludf.DUMMYFUNCTION("""COMPUTED_VALUE"""),"Vineeth V")</f>
        <v>Vineeth V</v>
      </c>
      <c r="C580" s="115" t="str">
        <f>IFERROR(__xludf.DUMMYFUNCTION("""COMPUTED_VALUE"""),"MYNTRA")</f>
        <v>MYNTRA</v>
      </c>
      <c r="D580" s="115">
        <f>IFERROR(__xludf.DUMMYFUNCTION("""COMPUTED_VALUE"""),2283.0)</f>
        <v>2283</v>
      </c>
      <c r="E580" s="115">
        <f>IFERROR(__xludf.DUMMYFUNCTION("""COMPUTED_VALUE"""),331.0)</f>
        <v>331</v>
      </c>
      <c r="F580" s="115">
        <f>IFERROR(__xludf.DUMMYFUNCTION("""COMPUTED_VALUE"""),41.0)</f>
        <v>41</v>
      </c>
      <c r="G580" s="115">
        <f>IFERROR(__xludf.DUMMYFUNCTION("""COMPUTED_VALUE"""),1.0)</f>
        <v>1</v>
      </c>
      <c r="H580" s="116">
        <f>IFERROR(__xludf.DUMMYFUNCTION("""COMPUTED_VALUE"""),45902.0)</f>
        <v>45902</v>
      </c>
      <c r="I580" s="115" t="str">
        <f>IFERROR(__xludf.DUMMYFUNCTION("""COMPUTED_VALUE"""),"09")</f>
        <v>09</v>
      </c>
      <c r="J580" s="115" t="str">
        <f>IFERROR(__xludf.DUMMYFUNCTION("""COMPUTED_VALUE"""),"Vineeth V2025-09-0209")</f>
        <v>Vineeth V2025-09-0209</v>
      </c>
      <c r="K580" s="115">
        <f>IFERROR(__xludf.DUMMYFUNCTION("""COMPUTED_VALUE"""),2614.0)</f>
        <v>2614</v>
      </c>
    </row>
    <row r="581">
      <c r="A581" s="115" t="str">
        <f>IFERROR(__xludf.DUMMYFUNCTION("""COMPUTED_VALUE"""),"WEST")</f>
        <v>WEST</v>
      </c>
      <c r="B581" s="115" t="str">
        <f>IFERROR(__xludf.DUMMYFUNCTION("""COMPUTED_VALUE"""),"Ashish Jakar")</f>
        <v>Ashish Jakar</v>
      </c>
      <c r="C581" s="115" t="str">
        <f>IFERROR(__xludf.DUMMYFUNCTION("""COMPUTED_VALUE"""),"EXTERNAL")</f>
        <v>EXTERNAL</v>
      </c>
      <c r="D581" s="115">
        <f>IFERROR(__xludf.DUMMYFUNCTION("""COMPUTED_VALUE"""),13102.0)</f>
        <v>13102</v>
      </c>
      <c r="E581" s="115">
        <f>IFERROR(__xludf.DUMMYFUNCTION("""COMPUTED_VALUE"""),1304.0)</f>
        <v>1304</v>
      </c>
      <c r="F581" s="115">
        <f>IFERROR(__xludf.DUMMYFUNCTION("""COMPUTED_VALUE"""),375.0)</f>
        <v>375</v>
      </c>
      <c r="G581" s="115">
        <f>IFERROR(__xludf.DUMMYFUNCTION("""COMPUTED_VALUE"""),10.0)</f>
        <v>10</v>
      </c>
      <c r="H581" s="116">
        <f>IFERROR(__xludf.DUMMYFUNCTION("""COMPUTED_VALUE"""),45902.0)</f>
        <v>45902</v>
      </c>
      <c r="I581" s="115" t="str">
        <f>IFERROR(__xludf.DUMMYFUNCTION("""COMPUTED_VALUE"""),"09")</f>
        <v>09</v>
      </c>
      <c r="J581" s="115" t="str">
        <f>IFERROR(__xludf.DUMMYFUNCTION("""COMPUTED_VALUE"""),"Ashish Jakar2025-09-0209")</f>
        <v>Ashish Jakar2025-09-0209</v>
      </c>
      <c r="K581" s="115">
        <f>IFERROR(__xludf.DUMMYFUNCTION("""COMPUTED_VALUE"""),14406.0)</f>
        <v>14406</v>
      </c>
    </row>
    <row r="582">
      <c r="A582" s="115" t="str">
        <f>IFERROR(__xludf.DUMMYFUNCTION("""COMPUTED_VALUE"""),"WEST")</f>
        <v>WEST</v>
      </c>
      <c r="B582" s="115" t="str">
        <f>IFERROR(__xludf.DUMMYFUNCTION("""COMPUTED_VALUE"""),"Ashish Jakar")</f>
        <v>Ashish Jakar</v>
      </c>
      <c r="C582" s="115" t="str">
        <f>IFERROR(__xludf.DUMMYFUNCTION("""COMPUTED_VALUE"""),"FLIPKART")</f>
        <v>FLIPKART</v>
      </c>
      <c r="D582" s="115">
        <f>IFERROR(__xludf.DUMMYFUNCTION("""COMPUTED_VALUE"""),76617.0)</f>
        <v>76617</v>
      </c>
      <c r="E582" s="115">
        <f>IFERROR(__xludf.DUMMYFUNCTION("""COMPUTED_VALUE"""),8169.0)</f>
        <v>8169</v>
      </c>
      <c r="F582" s="115">
        <f>IFERROR(__xludf.DUMMYFUNCTION("""COMPUTED_VALUE"""),1599.0)</f>
        <v>1599</v>
      </c>
      <c r="G582" s="115">
        <f>IFERROR(__xludf.DUMMYFUNCTION("""COMPUTED_VALUE"""),133.0)</f>
        <v>133</v>
      </c>
      <c r="H582" s="116">
        <f>IFERROR(__xludf.DUMMYFUNCTION("""COMPUTED_VALUE"""),45902.0)</f>
        <v>45902</v>
      </c>
      <c r="I582" s="115" t="str">
        <f>IFERROR(__xludf.DUMMYFUNCTION("""COMPUTED_VALUE"""),"09")</f>
        <v>09</v>
      </c>
      <c r="J582" s="115" t="str">
        <f>IFERROR(__xludf.DUMMYFUNCTION("""COMPUTED_VALUE"""),"Ashish Jakar2025-09-0209")</f>
        <v>Ashish Jakar2025-09-0209</v>
      </c>
      <c r="K582" s="115">
        <f>IFERROR(__xludf.DUMMYFUNCTION("""COMPUTED_VALUE"""),84786.0)</f>
        <v>84786</v>
      </c>
    </row>
    <row r="583">
      <c r="A583" s="115" t="str">
        <f>IFERROR(__xludf.DUMMYFUNCTION("""COMPUTED_VALUE"""),"WEST")</f>
        <v>WEST</v>
      </c>
      <c r="B583" s="115" t="str">
        <f>IFERROR(__xludf.DUMMYFUNCTION("""COMPUTED_VALUE"""),"Ashish Jakar")</f>
        <v>Ashish Jakar</v>
      </c>
      <c r="C583" s="115" t="str">
        <f>IFERROR(__xludf.DUMMYFUNCTION("""COMPUTED_VALUE"""),"MYNTRA")</f>
        <v>MYNTRA</v>
      </c>
      <c r="D583" s="115">
        <f>IFERROR(__xludf.DUMMYFUNCTION("""COMPUTED_VALUE"""),10012.0)</f>
        <v>10012</v>
      </c>
      <c r="E583" s="115">
        <f>IFERROR(__xludf.DUMMYFUNCTION("""COMPUTED_VALUE"""),2733.0)</f>
        <v>2733</v>
      </c>
      <c r="F583" s="115">
        <f>IFERROR(__xludf.DUMMYFUNCTION("""COMPUTED_VALUE"""),296.0)</f>
        <v>296</v>
      </c>
      <c r="G583" s="115">
        <f>IFERROR(__xludf.DUMMYFUNCTION("""COMPUTED_VALUE"""),34.0)</f>
        <v>34</v>
      </c>
      <c r="H583" s="116">
        <f>IFERROR(__xludf.DUMMYFUNCTION("""COMPUTED_VALUE"""),45902.0)</f>
        <v>45902</v>
      </c>
      <c r="I583" s="115" t="str">
        <f>IFERROR(__xludf.DUMMYFUNCTION("""COMPUTED_VALUE"""),"09")</f>
        <v>09</v>
      </c>
      <c r="J583" s="115" t="str">
        <f>IFERROR(__xludf.DUMMYFUNCTION("""COMPUTED_VALUE"""),"Ashish Jakar2025-09-0209")</f>
        <v>Ashish Jakar2025-09-0209</v>
      </c>
      <c r="K583" s="115">
        <f>IFERROR(__xludf.DUMMYFUNCTION("""COMPUTED_VALUE"""),12745.0)</f>
        <v>12745</v>
      </c>
    </row>
    <row r="584">
      <c r="A584" s="115" t="str">
        <f>IFERROR(__xludf.DUMMYFUNCTION("""COMPUTED_VALUE"""),"WEST")</f>
        <v>WEST</v>
      </c>
      <c r="B584" s="115" t="str">
        <f>IFERROR(__xludf.DUMMYFUNCTION("""COMPUTED_VALUE"""),"Ashvani Bhatt")</f>
        <v>Ashvani Bhatt</v>
      </c>
      <c r="C584" s="115" t="str">
        <f>IFERROR(__xludf.DUMMYFUNCTION("""COMPUTED_VALUE"""),"EXTERNAL")</f>
        <v>EXTERNAL</v>
      </c>
      <c r="D584" s="115">
        <f>IFERROR(__xludf.DUMMYFUNCTION("""COMPUTED_VALUE"""),10139.0)</f>
        <v>10139</v>
      </c>
      <c r="E584" s="115">
        <f>IFERROR(__xludf.DUMMYFUNCTION("""COMPUTED_VALUE"""),529.0)</f>
        <v>529</v>
      </c>
      <c r="F584" s="115">
        <f>IFERROR(__xludf.DUMMYFUNCTION("""COMPUTED_VALUE"""),141.0)</f>
        <v>141</v>
      </c>
      <c r="G584" s="115">
        <f>IFERROR(__xludf.DUMMYFUNCTION("""COMPUTED_VALUE"""),2.0)</f>
        <v>2</v>
      </c>
      <c r="H584" s="116">
        <f>IFERROR(__xludf.DUMMYFUNCTION("""COMPUTED_VALUE"""),45902.0)</f>
        <v>45902</v>
      </c>
      <c r="I584" s="115" t="str">
        <f>IFERROR(__xludf.DUMMYFUNCTION("""COMPUTED_VALUE"""),"09")</f>
        <v>09</v>
      </c>
      <c r="J584" s="115" t="str">
        <f>IFERROR(__xludf.DUMMYFUNCTION("""COMPUTED_VALUE"""),"Ashvani Bhatt2025-09-0209")</f>
        <v>Ashvani Bhatt2025-09-0209</v>
      </c>
      <c r="K584" s="115">
        <f>IFERROR(__xludf.DUMMYFUNCTION("""COMPUTED_VALUE"""),10668.0)</f>
        <v>10668</v>
      </c>
    </row>
    <row r="585">
      <c r="A585" s="115" t="str">
        <f>IFERROR(__xludf.DUMMYFUNCTION("""COMPUTED_VALUE"""),"WEST")</f>
        <v>WEST</v>
      </c>
      <c r="B585" s="115" t="str">
        <f>IFERROR(__xludf.DUMMYFUNCTION("""COMPUTED_VALUE"""),"Ashvani Bhatt")</f>
        <v>Ashvani Bhatt</v>
      </c>
      <c r="C585" s="115" t="str">
        <f>IFERROR(__xludf.DUMMYFUNCTION("""COMPUTED_VALUE"""),"FLIPKART")</f>
        <v>FLIPKART</v>
      </c>
      <c r="D585" s="115">
        <f>IFERROR(__xludf.DUMMYFUNCTION("""COMPUTED_VALUE"""),83077.0)</f>
        <v>83077</v>
      </c>
      <c r="E585" s="115">
        <f>IFERROR(__xludf.DUMMYFUNCTION("""COMPUTED_VALUE"""),6053.0)</f>
        <v>6053</v>
      </c>
      <c r="F585" s="115">
        <f>IFERROR(__xludf.DUMMYFUNCTION("""COMPUTED_VALUE"""),2367.0)</f>
        <v>2367</v>
      </c>
      <c r="G585" s="115">
        <f>IFERROR(__xludf.DUMMYFUNCTION("""COMPUTED_VALUE"""),115.0)</f>
        <v>115</v>
      </c>
      <c r="H585" s="116">
        <f>IFERROR(__xludf.DUMMYFUNCTION("""COMPUTED_VALUE"""),45902.0)</f>
        <v>45902</v>
      </c>
      <c r="I585" s="115" t="str">
        <f>IFERROR(__xludf.DUMMYFUNCTION("""COMPUTED_VALUE"""),"09")</f>
        <v>09</v>
      </c>
      <c r="J585" s="115" t="str">
        <f>IFERROR(__xludf.DUMMYFUNCTION("""COMPUTED_VALUE"""),"Ashvani Bhatt2025-09-0209")</f>
        <v>Ashvani Bhatt2025-09-0209</v>
      </c>
      <c r="K585" s="115">
        <f>IFERROR(__xludf.DUMMYFUNCTION("""COMPUTED_VALUE"""),89130.0)</f>
        <v>89130</v>
      </c>
    </row>
    <row r="586">
      <c r="A586" s="115" t="str">
        <f>IFERROR(__xludf.DUMMYFUNCTION("""COMPUTED_VALUE"""),"WEST")</f>
        <v>WEST</v>
      </c>
      <c r="B586" s="115" t="str">
        <f>IFERROR(__xludf.DUMMYFUNCTION("""COMPUTED_VALUE"""),"Ashvani Bhatt")</f>
        <v>Ashvani Bhatt</v>
      </c>
      <c r="C586" s="115" t="str">
        <f>IFERROR(__xludf.DUMMYFUNCTION("""COMPUTED_VALUE"""),"MYNTRA")</f>
        <v>MYNTRA</v>
      </c>
      <c r="D586" s="115">
        <f>IFERROR(__xludf.DUMMYFUNCTION("""COMPUTED_VALUE"""),10127.0)</f>
        <v>10127</v>
      </c>
      <c r="E586" s="115">
        <f>IFERROR(__xludf.DUMMYFUNCTION("""COMPUTED_VALUE"""),2110.0)</f>
        <v>2110</v>
      </c>
      <c r="F586" s="115">
        <f>IFERROR(__xludf.DUMMYFUNCTION("""COMPUTED_VALUE"""),369.0)</f>
        <v>369</v>
      </c>
      <c r="G586" s="115">
        <f>IFERROR(__xludf.DUMMYFUNCTION("""COMPUTED_VALUE"""),30.0)</f>
        <v>30</v>
      </c>
      <c r="H586" s="116">
        <f>IFERROR(__xludf.DUMMYFUNCTION("""COMPUTED_VALUE"""),45902.0)</f>
        <v>45902</v>
      </c>
      <c r="I586" s="115" t="str">
        <f>IFERROR(__xludf.DUMMYFUNCTION("""COMPUTED_VALUE"""),"09")</f>
        <v>09</v>
      </c>
      <c r="J586" s="115" t="str">
        <f>IFERROR(__xludf.DUMMYFUNCTION("""COMPUTED_VALUE"""),"Ashvani Bhatt2025-09-0209")</f>
        <v>Ashvani Bhatt2025-09-0209</v>
      </c>
      <c r="K586" s="115">
        <f>IFERROR(__xludf.DUMMYFUNCTION("""COMPUTED_VALUE"""),12237.0)</f>
        <v>12237</v>
      </c>
    </row>
    <row r="587">
      <c r="A587" s="115"/>
      <c r="B587" s="115"/>
      <c r="C587" s="115" t="str">
        <f>IFERROR(__xludf.DUMMYFUNCTION("""COMPUTED_VALUE"""),"EXTERNAL")</f>
        <v>EXTERNAL</v>
      </c>
      <c r="D587" s="115">
        <f>IFERROR(__xludf.DUMMYFUNCTION("""COMPUTED_VALUE"""),99.0)</f>
        <v>99</v>
      </c>
      <c r="E587" s="115">
        <f>IFERROR(__xludf.DUMMYFUNCTION("""COMPUTED_VALUE"""),5.0)</f>
        <v>5</v>
      </c>
      <c r="F587" s="115">
        <f>IFERROR(__xludf.DUMMYFUNCTION("""COMPUTED_VALUE"""),0.0)</f>
        <v>0</v>
      </c>
      <c r="G587" s="115">
        <f>IFERROR(__xludf.DUMMYFUNCTION("""COMPUTED_VALUE"""),5.0)</f>
        <v>5</v>
      </c>
      <c r="H587" s="116">
        <f>IFERROR(__xludf.DUMMYFUNCTION("""COMPUTED_VALUE"""),45902.0)</f>
        <v>45902</v>
      </c>
      <c r="I587" s="115" t="str">
        <f>IFERROR(__xludf.DUMMYFUNCTION("""COMPUTED_VALUE"""),"09")</f>
        <v>09</v>
      </c>
      <c r="J587" s="115" t="str">
        <f>IFERROR(__xludf.DUMMYFUNCTION("""COMPUTED_VALUE"""),"2025-09-0209")</f>
        <v>2025-09-0209</v>
      </c>
      <c r="K587" s="115">
        <f>IFERROR(__xludf.DUMMYFUNCTION("""COMPUTED_VALUE"""),104.0)</f>
        <v>104</v>
      </c>
    </row>
    <row r="588">
      <c r="A588" s="115"/>
      <c r="B588" s="115"/>
      <c r="C588" s="115" t="str">
        <f>IFERROR(__xludf.DUMMYFUNCTION("""COMPUTED_VALUE"""),"FLIPKART")</f>
        <v>FLIPKART</v>
      </c>
      <c r="D588" s="115">
        <f>IFERROR(__xludf.DUMMYFUNCTION("""COMPUTED_VALUE"""),1630.0)</f>
        <v>1630</v>
      </c>
      <c r="E588" s="115">
        <f>IFERROR(__xludf.DUMMYFUNCTION("""COMPUTED_VALUE"""),111.0)</f>
        <v>111</v>
      </c>
      <c r="F588" s="115">
        <f>IFERROR(__xludf.DUMMYFUNCTION("""COMPUTED_VALUE"""),22.0)</f>
        <v>22</v>
      </c>
      <c r="G588" s="115">
        <f>IFERROR(__xludf.DUMMYFUNCTION("""COMPUTED_VALUE"""),19.0)</f>
        <v>19</v>
      </c>
      <c r="H588" s="116">
        <f>IFERROR(__xludf.DUMMYFUNCTION("""COMPUTED_VALUE"""),45902.0)</f>
        <v>45902</v>
      </c>
      <c r="I588" s="115" t="str">
        <f>IFERROR(__xludf.DUMMYFUNCTION("""COMPUTED_VALUE"""),"09")</f>
        <v>09</v>
      </c>
      <c r="J588" s="115" t="str">
        <f>IFERROR(__xludf.DUMMYFUNCTION("""COMPUTED_VALUE"""),"2025-09-0209")</f>
        <v>2025-09-0209</v>
      </c>
      <c r="K588" s="115">
        <f>IFERROR(__xludf.DUMMYFUNCTION("""COMPUTED_VALUE"""),1741.0)</f>
        <v>1741</v>
      </c>
    </row>
    <row r="589">
      <c r="A589" s="115"/>
      <c r="B589" s="115"/>
      <c r="C589" s="115" t="str">
        <f>IFERROR(__xludf.DUMMYFUNCTION("""COMPUTED_VALUE"""),"MYNTRA")</f>
        <v>MYNTRA</v>
      </c>
      <c r="D589" s="115">
        <f>IFERROR(__xludf.DUMMYFUNCTION("""COMPUTED_VALUE"""),184.0)</f>
        <v>184</v>
      </c>
      <c r="E589" s="115">
        <f>IFERROR(__xludf.DUMMYFUNCTION("""COMPUTED_VALUE"""),32.0)</f>
        <v>32</v>
      </c>
      <c r="F589" s="115">
        <f>IFERROR(__xludf.DUMMYFUNCTION("""COMPUTED_VALUE"""),2.0)</f>
        <v>2</v>
      </c>
      <c r="G589" s="115">
        <f>IFERROR(__xludf.DUMMYFUNCTION("""COMPUTED_VALUE"""),0.0)</f>
        <v>0</v>
      </c>
      <c r="H589" s="116">
        <f>IFERROR(__xludf.DUMMYFUNCTION("""COMPUTED_VALUE"""),45902.0)</f>
        <v>45902</v>
      </c>
      <c r="I589" s="115" t="str">
        <f>IFERROR(__xludf.DUMMYFUNCTION("""COMPUTED_VALUE"""),"09")</f>
        <v>09</v>
      </c>
      <c r="J589" s="115" t="str">
        <f>IFERROR(__xludf.DUMMYFUNCTION("""COMPUTED_VALUE"""),"2025-09-0209")</f>
        <v>2025-09-0209</v>
      </c>
      <c r="K589" s="115">
        <f>IFERROR(__xludf.DUMMYFUNCTION("""COMPUTED_VALUE"""),216.0)</f>
        <v>216</v>
      </c>
    </row>
    <row r="590">
      <c r="A590" s="115" t="str">
        <f>IFERROR(__xludf.DUMMYFUNCTION("""COMPUTED_VALUE"""),"EAST")</f>
        <v>EAST</v>
      </c>
      <c r="B590" s="115" t="str">
        <f>IFERROR(__xludf.DUMMYFUNCTION("""COMPUTED_VALUE"""),"Ashish Ranjan")</f>
        <v>Ashish Ranjan</v>
      </c>
      <c r="C590" s="115" t="str">
        <f>IFERROR(__xludf.DUMMYFUNCTION("""COMPUTED_VALUE"""),"EXTERNAL")</f>
        <v>EXTERNAL</v>
      </c>
      <c r="D590" s="115">
        <f>IFERROR(__xludf.DUMMYFUNCTION("""COMPUTED_VALUE"""),21776.0)</f>
        <v>21776</v>
      </c>
      <c r="E590" s="115">
        <f>IFERROR(__xludf.DUMMYFUNCTION("""COMPUTED_VALUE"""),1246.0)</f>
        <v>1246</v>
      </c>
      <c r="F590" s="115">
        <f>IFERROR(__xludf.DUMMYFUNCTION("""COMPUTED_VALUE"""),1088.0)</f>
        <v>1088</v>
      </c>
      <c r="G590" s="115">
        <f>IFERROR(__xludf.DUMMYFUNCTION("""COMPUTED_VALUE"""),21.0)</f>
        <v>21</v>
      </c>
      <c r="H590" s="116">
        <f>IFERROR(__xludf.DUMMYFUNCTION("""COMPUTED_VALUE"""),45902.0)</f>
        <v>45902</v>
      </c>
      <c r="I590" s="115" t="str">
        <f>IFERROR(__xludf.DUMMYFUNCTION("""COMPUTED_VALUE"""),"10")</f>
        <v>10</v>
      </c>
      <c r="J590" s="115" t="str">
        <f>IFERROR(__xludf.DUMMYFUNCTION("""COMPUTED_VALUE"""),"Ashish Ranjan2025-09-0210")</f>
        <v>Ashish Ranjan2025-09-0210</v>
      </c>
      <c r="K590" s="115">
        <f>IFERROR(__xludf.DUMMYFUNCTION("""COMPUTED_VALUE"""),23022.0)</f>
        <v>23022</v>
      </c>
    </row>
    <row r="591">
      <c r="A591" s="115" t="str">
        <f>IFERROR(__xludf.DUMMYFUNCTION("""COMPUTED_VALUE"""),"EAST")</f>
        <v>EAST</v>
      </c>
      <c r="B591" s="115" t="str">
        <f>IFERROR(__xludf.DUMMYFUNCTION("""COMPUTED_VALUE"""),"Ashish Ranjan")</f>
        <v>Ashish Ranjan</v>
      </c>
      <c r="C591" s="115" t="str">
        <f>IFERROR(__xludf.DUMMYFUNCTION("""COMPUTED_VALUE"""),"FLIPKART")</f>
        <v>FLIPKART</v>
      </c>
      <c r="D591" s="115">
        <f>IFERROR(__xludf.DUMMYFUNCTION("""COMPUTED_VALUE"""),335592.0)</f>
        <v>335592</v>
      </c>
      <c r="E591" s="115">
        <f>IFERROR(__xludf.DUMMYFUNCTION("""COMPUTED_VALUE"""),31211.0)</f>
        <v>31211</v>
      </c>
      <c r="F591" s="115">
        <f>IFERROR(__xludf.DUMMYFUNCTION("""COMPUTED_VALUE"""),30330.0)</f>
        <v>30330</v>
      </c>
      <c r="G591" s="115">
        <f>IFERROR(__xludf.DUMMYFUNCTION("""COMPUTED_VALUE"""),971.0)</f>
        <v>971</v>
      </c>
      <c r="H591" s="116">
        <f>IFERROR(__xludf.DUMMYFUNCTION("""COMPUTED_VALUE"""),45902.0)</f>
        <v>45902</v>
      </c>
      <c r="I591" s="115" t="str">
        <f>IFERROR(__xludf.DUMMYFUNCTION("""COMPUTED_VALUE"""),"10")</f>
        <v>10</v>
      </c>
      <c r="J591" s="115" t="str">
        <f>IFERROR(__xludf.DUMMYFUNCTION("""COMPUTED_VALUE"""),"Ashish Ranjan2025-09-0210")</f>
        <v>Ashish Ranjan2025-09-0210</v>
      </c>
      <c r="K591" s="115">
        <f>IFERROR(__xludf.DUMMYFUNCTION("""COMPUTED_VALUE"""),366803.0)</f>
        <v>366803</v>
      </c>
    </row>
    <row r="592">
      <c r="A592" s="115" t="str">
        <f>IFERROR(__xludf.DUMMYFUNCTION("""COMPUTED_VALUE"""),"EAST")</f>
        <v>EAST</v>
      </c>
      <c r="B592" s="115" t="str">
        <f>IFERROR(__xludf.DUMMYFUNCTION("""COMPUTED_VALUE"""),"Ashish Ranjan")</f>
        <v>Ashish Ranjan</v>
      </c>
      <c r="C592" s="115" t="str">
        <f>IFERROR(__xludf.DUMMYFUNCTION("""COMPUTED_VALUE"""),"MYNTRA")</f>
        <v>MYNTRA</v>
      </c>
      <c r="D592" s="115">
        <f>IFERROR(__xludf.DUMMYFUNCTION("""COMPUTED_VALUE"""),31441.0)</f>
        <v>31441</v>
      </c>
      <c r="E592" s="115">
        <f>IFERROR(__xludf.DUMMYFUNCTION("""COMPUTED_VALUE"""),6382.0)</f>
        <v>6382</v>
      </c>
      <c r="F592" s="115">
        <f>IFERROR(__xludf.DUMMYFUNCTION("""COMPUTED_VALUE"""),3101.0)</f>
        <v>3101</v>
      </c>
      <c r="G592" s="115">
        <f>IFERROR(__xludf.DUMMYFUNCTION("""COMPUTED_VALUE"""),138.0)</f>
        <v>138</v>
      </c>
      <c r="H592" s="116">
        <f>IFERROR(__xludf.DUMMYFUNCTION("""COMPUTED_VALUE"""),45902.0)</f>
        <v>45902</v>
      </c>
      <c r="I592" s="115" t="str">
        <f>IFERROR(__xludf.DUMMYFUNCTION("""COMPUTED_VALUE"""),"10")</f>
        <v>10</v>
      </c>
      <c r="J592" s="115" t="str">
        <f>IFERROR(__xludf.DUMMYFUNCTION("""COMPUTED_VALUE"""),"Ashish Ranjan2025-09-0210")</f>
        <v>Ashish Ranjan2025-09-0210</v>
      </c>
      <c r="K592" s="115">
        <f>IFERROR(__xludf.DUMMYFUNCTION("""COMPUTED_VALUE"""),37823.0)</f>
        <v>37823</v>
      </c>
    </row>
    <row r="593">
      <c r="A593" s="115" t="str">
        <f>IFERROR(__xludf.DUMMYFUNCTION("""COMPUTED_VALUE"""),"EAST")</f>
        <v>EAST</v>
      </c>
      <c r="B593" s="115" t="str">
        <f>IFERROR(__xludf.DUMMYFUNCTION("""COMPUTED_VALUE"""),"Girish Chand")</f>
        <v>Girish Chand</v>
      </c>
      <c r="C593" s="115" t="str">
        <f>IFERROR(__xludf.DUMMYFUNCTION("""COMPUTED_VALUE"""),"EXTERNAL")</f>
        <v>EXTERNAL</v>
      </c>
      <c r="D593" s="115">
        <f>IFERROR(__xludf.DUMMYFUNCTION("""COMPUTED_VALUE"""),13820.0)</f>
        <v>13820</v>
      </c>
      <c r="E593" s="115">
        <f>IFERROR(__xludf.DUMMYFUNCTION("""COMPUTED_VALUE"""),903.0)</f>
        <v>903</v>
      </c>
      <c r="F593" s="115">
        <f>IFERROR(__xludf.DUMMYFUNCTION("""COMPUTED_VALUE"""),413.0)</f>
        <v>413</v>
      </c>
      <c r="G593" s="115">
        <f>IFERROR(__xludf.DUMMYFUNCTION("""COMPUTED_VALUE"""),15.0)</f>
        <v>15</v>
      </c>
      <c r="H593" s="116">
        <f>IFERROR(__xludf.DUMMYFUNCTION("""COMPUTED_VALUE"""),45902.0)</f>
        <v>45902</v>
      </c>
      <c r="I593" s="115" t="str">
        <f>IFERROR(__xludf.DUMMYFUNCTION("""COMPUTED_VALUE"""),"10")</f>
        <v>10</v>
      </c>
      <c r="J593" s="115" t="str">
        <f>IFERROR(__xludf.DUMMYFUNCTION("""COMPUTED_VALUE"""),"Girish Chand2025-09-0210")</f>
        <v>Girish Chand2025-09-0210</v>
      </c>
      <c r="K593" s="115">
        <f>IFERROR(__xludf.DUMMYFUNCTION("""COMPUTED_VALUE"""),14723.0)</f>
        <v>14723</v>
      </c>
    </row>
    <row r="594">
      <c r="A594" s="115" t="str">
        <f>IFERROR(__xludf.DUMMYFUNCTION("""COMPUTED_VALUE"""),"EAST")</f>
        <v>EAST</v>
      </c>
      <c r="B594" s="115" t="str">
        <f>IFERROR(__xludf.DUMMYFUNCTION("""COMPUTED_VALUE"""),"Girish Chand")</f>
        <v>Girish Chand</v>
      </c>
      <c r="C594" s="115" t="str">
        <f>IFERROR(__xludf.DUMMYFUNCTION("""COMPUTED_VALUE"""),"FLIPKART")</f>
        <v>FLIPKART</v>
      </c>
      <c r="D594" s="115">
        <f>IFERROR(__xludf.DUMMYFUNCTION("""COMPUTED_VALUE"""),244828.0)</f>
        <v>244828</v>
      </c>
      <c r="E594" s="115">
        <f>IFERROR(__xludf.DUMMYFUNCTION("""COMPUTED_VALUE"""),18479.0)</f>
        <v>18479</v>
      </c>
      <c r="F594" s="115">
        <f>IFERROR(__xludf.DUMMYFUNCTION("""COMPUTED_VALUE"""),14083.0)</f>
        <v>14083</v>
      </c>
      <c r="G594" s="115">
        <f>IFERROR(__xludf.DUMMYFUNCTION("""COMPUTED_VALUE"""),496.0)</f>
        <v>496</v>
      </c>
      <c r="H594" s="116">
        <f>IFERROR(__xludf.DUMMYFUNCTION("""COMPUTED_VALUE"""),45902.0)</f>
        <v>45902</v>
      </c>
      <c r="I594" s="115" t="str">
        <f>IFERROR(__xludf.DUMMYFUNCTION("""COMPUTED_VALUE"""),"10")</f>
        <v>10</v>
      </c>
      <c r="J594" s="115" t="str">
        <f>IFERROR(__xludf.DUMMYFUNCTION("""COMPUTED_VALUE"""),"Girish Chand2025-09-0210")</f>
        <v>Girish Chand2025-09-0210</v>
      </c>
      <c r="K594" s="115">
        <f>IFERROR(__xludf.DUMMYFUNCTION("""COMPUTED_VALUE"""),263307.0)</f>
        <v>263307</v>
      </c>
    </row>
    <row r="595">
      <c r="A595" s="115" t="str">
        <f>IFERROR(__xludf.DUMMYFUNCTION("""COMPUTED_VALUE"""),"EAST")</f>
        <v>EAST</v>
      </c>
      <c r="B595" s="115" t="str">
        <f>IFERROR(__xludf.DUMMYFUNCTION("""COMPUTED_VALUE"""),"Girish Chand")</f>
        <v>Girish Chand</v>
      </c>
      <c r="C595" s="115" t="str">
        <f>IFERROR(__xludf.DUMMYFUNCTION("""COMPUTED_VALUE"""),"MYNTRA")</f>
        <v>MYNTRA</v>
      </c>
      <c r="D595" s="115">
        <f>IFERROR(__xludf.DUMMYFUNCTION("""COMPUTED_VALUE"""),18985.0)</f>
        <v>18985</v>
      </c>
      <c r="E595" s="115">
        <f>IFERROR(__xludf.DUMMYFUNCTION("""COMPUTED_VALUE"""),3177.0)</f>
        <v>3177</v>
      </c>
      <c r="F595" s="115">
        <f>IFERROR(__xludf.DUMMYFUNCTION("""COMPUTED_VALUE"""),1332.0)</f>
        <v>1332</v>
      </c>
      <c r="G595" s="115">
        <f>IFERROR(__xludf.DUMMYFUNCTION("""COMPUTED_VALUE"""),74.0)</f>
        <v>74</v>
      </c>
      <c r="H595" s="116">
        <f>IFERROR(__xludf.DUMMYFUNCTION("""COMPUTED_VALUE"""),45902.0)</f>
        <v>45902</v>
      </c>
      <c r="I595" s="115" t="str">
        <f>IFERROR(__xludf.DUMMYFUNCTION("""COMPUTED_VALUE"""),"10")</f>
        <v>10</v>
      </c>
      <c r="J595" s="115" t="str">
        <f>IFERROR(__xludf.DUMMYFUNCTION("""COMPUTED_VALUE"""),"Girish Chand2025-09-0210")</f>
        <v>Girish Chand2025-09-0210</v>
      </c>
      <c r="K595" s="115">
        <f>IFERROR(__xludf.DUMMYFUNCTION("""COMPUTED_VALUE"""),22162.0)</f>
        <v>22162</v>
      </c>
    </row>
    <row r="596">
      <c r="A596" s="115" t="str">
        <f>IFERROR(__xludf.DUMMYFUNCTION("""COMPUTED_VALUE"""),"EAST")</f>
        <v>EAST</v>
      </c>
      <c r="B596" s="115" t="str">
        <f>IFERROR(__xludf.DUMMYFUNCTION("""COMPUTED_VALUE"""),"Parag Kashyap")</f>
        <v>Parag Kashyap</v>
      </c>
      <c r="C596" s="115" t="str">
        <f>IFERROR(__xludf.DUMMYFUNCTION("""COMPUTED_VALUE"""),"EXTERNAL")</f>
        <v>EXTERNAL</v>
      </c>
      <c r="D596" s="115">
        <f>IFERROR(__xludf.DUMMYFUNCTION("""COMPUTED_VALUE"""),11384.0)</f>
        <v>11384</v>
      </c>
      <c r="E596" s="115">
        <f>IFERROR(__xludf.DUMMYFUNCTION("""COMPUTED_VALUE"""),388.0)</f>
        <v>388</v>
      </c>
      <c r="F596" s="115">
        <f>IFERROR(__xludf.DUMMYFUNCTION("""COMPUTED_VALUE"""),283.0)</f>
        <v>283</v>
      </c>
      <c r="G596" s="115">
        <f>IFERROR(__xludf.DUMMYFUNCTION("""COMPUTED_VALUE"""),6.0)</f>
        <v>6</v>
      </c>
      <c r="H596" s="116">
        <f>IFERROR(__xludf.DUMMYFUNCTION("""COMPUTED_VALUE"""),45902.0)</f>
        <v>45902</v>
      </c>
      <c r="I596" s="115" t="str">
        <f>IFERROR(__xludf.DUMMYFUNCTION("""COMPUTED_VALUE"""),"10")</f>
        <v>10</v>
      </c>
      <c r="J596" s="115" t="str">
        <f>IFERROR(__xludf.DUMMYFUNCTION("""COMPUTED_VALUE"""),"Parag Kashyap2025-09-0210")</f>
        <v>Parag Kashyap2025-09-0210</v>
      </c>
      <c r="K596" s="115">
        <f>IFERROR(__xludf.DUMMYFUNCTION("""COMPUTED_VALUE"""),11772.0)</f>
        <v>11772</v>
      </c>
    </row>
    <row r="597">
      <c r="A597" s="115" t="str">
        <f>IFERROR(__xludf.DUMMYFUNCTION("""COMPUTED_VALUE"""),"EAST")</f>
        <v>EAST</v>
      </c>
      <c r="B597" s="115" t="str">
        <f>IFERROR(__xludf.DUMMYFUNCTION("""COMPUTED_VALUE"""),"Parag Kashyap")</f>
        <v>Parag Kashyap</v>
      </c>
      <c r="C597" s="115" t="str">
        <f>IFERROR(__xludf.DUMMYFUNCTION("""COMPUTED_VALUE"""),"FLIPKART")</f>
        <v>FLIPKART</v>
      </c>
      <c r="D597" s="115">
        <f>IFERROR(__xludf.DUMMYFUNCTION("""COMPUTED_VALUE"""),177860.0)</f>
        <v>177860</v>
      </c>
      <c r="E597" s="115">
        <f>IFERROR(__xludf.DUMMYFUNCTION("""COMPUTED_VALUE"""),8775.0)</f>
        <v>8775</v>
      </c>
      <c r="F597" s="115">
        <f>IFERROR(__xludf.DUMMYFUNCTION("""COMPUTED_VALUE"""),8497.0)</f>
        <v>8497</v>
      </c>
      <c r="G597" s="115">
        <f>IFERROR(__xludf.DUMMYFUNCTION("""COMPUTED_VALUE"""),180.0)</f>
        <v>180</v>
      </c>
      <c r="H597" s="116">
        <f>IFERROR(__xludf.DUMMYFUNCTION("""COMPUTED_VALUE"""),45902.0)</f>
        <v>45902</v>
      </c>
      <c r="I597" s="115" t="str">
        <f>IFERROR(__xludf.DUMMYFUNCTION("""COMPUTED_VALUE"""),"10")</f>
        <v>10</v>
      </c>
      <c r="J597" s="115" t="str">
        <f>IFERROR(__xludf.DUMMYFUNCTION("""COMPUTED_VALUE"""),"Parag Kashyap2025-09-0210")</f>
        <v>Parag Kashyap2025-09-0210</v>
      </c>
      <c r="K597" s="115">
        <f>IFERROR(__xludf.DUMMYFUNCTION("""COMPUTED_VALUE"""),186635.0)</f>
        <v>186635</v>
      </c>
    </row>
    <row r="598">
      <c r="A598" s="115" t="str">
        <f>IFERROR(__xludf.DUMMYFUNCTION("""COMPUTED_VALUE"""),"EAST")</f>
        <v>EAST</v>
      </c>
      <c r="B598" s="115" t="str">
        <f>IFERROR(__xludf.DUMMYFUNCTION("""COMPUTED_VALUE"""),"Parag Kashyap")</f>
        <v>Parag Kashyap</v>
      </c>
      <c r="C598" s="115" t="str">
        <f>IFERROR(__xludf.DUMMYFUNCTION("""COMPUTED_VALUE"""),"MYNTRA")</f>
        <v>MYNTRA</v>
      </c>
      <c r="D598" s="115">
        <f>IFERROR(__xludf.DUMMYFUNCTION("""COMPUTED_VALUE"""),18210.0)</f>
        <v>18210</v>
      </c>
      <c r="E598" s="115">
        <f>IFERROR(__xludf.DUMMYFUNCTION("""COMPUTED_VALUE"""),2320.0)</f>
        <v>2320</v>
      </c>
      <c r="F598" s="115">
        <f>IFERROR(__xludf.DUMMYFUNCTION("""COMPUTED_VALUE"""),1090.0)</f>
        <v>1090</v>
      </c>
      <c r="G598" s="115">
        <f>IFERROR(__xludf.DUMMYFUNCTION("""COMPUTED_VALUE"""),33.0)</f>
        <v>33</v>
      </c>
      <c r="H598" s="116">
        <f>IFERROR(__xludf.DUMMYFUNCTION("""COMPUTED_VALUE"""),45902.0)</f>
        <v>45902</v>
      </c>
      <c r="I598" s="115" t="str">
        <f>IFERROR(__xludf.DUMMYFUNCTION("""COMPUTED_VALUE"""),"10")</f>
        <v>10</v>
      </c>
      <c r="J598" s="115" t="str">
        <f>IFERROR(__xludf.DUMMYFUNCTION("""COMPUTED_VALUE"""),"Parag Kashyap2025-09-0210")</f>
        <v>Parag Kashyap2025-09-0210</v>
      </c>
      <c r="K598" s="115">
        <f>IFERROR(__xludf.DUMMYFUNCTION("""COMPUTED_VALUE"""),20530.0)</f>
        <v>20530</v>
      </c>
    </row>
    <row r="599">
      <c r="A599" s="115" t="str">
        <f>IFERROR(__xludf.DUMMYFUNCTION("""COMPUTED_VALUE"""),"NORTH")</f>
        <v>NORTH</v>
      </c>
      <c r="B599" s="115" t="str">
        <f>IFERROR(__xludf.DUMMYFUNCTION("""COMPUTED_VALUE"""),"Amit Kumar Pathak")</f>
        <v>Amit Kumar Pathak</v>
      </c>
      <c r="C599" s="115" t="str">
        <f>IFERROR(__xludf.DUMMYFUNCTION("""COMPUTED_VALUE"""),"EXTERNAL")</f>
        <v>EXTERNAL</v>
      </c>
      <c r="D599" s="115">
        <f>IFERROR(__xludf.DUMMYFUNCTION("""COMPUTED_VALUE"""),13883.0)</f>
        <v>13883</v>
      </c>
      <c r="E599" s="115">
        <f>IFERROR(__xludf.DUMMYFUNCTION("""COMPUTED_VALUE"""),1184.0)</f>
        <v>1184</v>
      </c>
      <c r="F599" s="115">
        <f>IFERROR(__xludf.DUMMYFUNCTION("""COMPUTED_VALUE"""),518.0)</f>
        <v>518</v>
      </c>
      <c r="G599" s="115">
        <f>IFERROR(__xludf.DUMMYFUNCTION("""COMPUTED_VALUE"""),38.0)</f>
        <v>38</v>
      </c>
      <c r="H599" s="116">
        <f>IFERROR(__xludf.DUMMYFUNCTION("""COMPUTED_VALUE"""),45902.0)</f>
        <v>45902</v>
      </c>
      <c r="I599" s="115" t="str">
        <f>IFERROR(__xludf.DUMMYFUNCTION("""COMPUTED_VALUE"""),"10")</f>
        <v>10</v>
      </c>
      <c r="J599" s="115" t="str">
        <f>IFERROR(__xludf.DUMMYFUNCTION("""COMPUTED_VALUE"""),"Amit Kumar Pathak2025-09-0210")</f>
        <v>Amit Kumar Pathak2025-09-0210</v>
      </c>
      <c r="K599" s="115">
        <f>IFERROR(__xludf.DUMMYFUNCTION("""COMPUTED_VALUE"""),15067.0)</f>
        <v>15067</v>
      </c>
    </row>
    <row r="600">
      <c r="A600" s="115" t="str">
        <f>IFERROR(__xludf.DUMMYFUNCTION("""COMPUTED_VALUE"""),"NORTH")</f>
        <v>NORTH</v>
      </c>
      <c r="B600" s="115" t="str">
        <f>IFERROR(__xludf.DUMMYFUNCTION("""COMPUTED_VALUE"""),"Amit Kumar Pathak")</f>
        <v>Amit Kumar Pathak</v>
      </c>
      <c r="C600" s="115" t="str">
        <f>IFERROR(__xludf.DUMMYFUNCTION("""COMPUTED_VALUE"""),"FLIPKART")</f>
        <v>FLIPKART</v>
      </c>
      <c r="D600" s="115">
        <f>IFERROR(__xludf.DUMMYFUNCTION("""COMPUTED_VALUE"""),97863.0)</f>
        <v>97863</v>
      </c>
      <c r="E600" s="115">
        <f>IFERROR(__xludf.DUMMYFUNCTION("""COMPUTED_VALUE"""),13707.0)</f>
        <v>13707</v>
      </c>
      <c r="F600" s="115">
        <f>IFERROR(__xludf.DUMMYFUNCTION("""COMPUTED_VALUE"""),7048.0)</f>
        <v>7048</v>
      </c>
      <c r="G600" s="115">
        <f>IFERROR(__xludf.DUMMYFUNCTION("""COMPUTED_VALUE"""),542.0)</f>
        <v>542</v>
      </c>
      <c r="H600" s="116">
        <f>IFERROR(__xludf.DUMMYFUNCTION("""COMPUTED_VALUE"""),45902.0)</f>
        <v>45902</v>
      </c>
      <c r="I600" s="115" t="str">
        <f>IFERROR(__xludf.DUMMYFUNCTION("""COMPUTED_VALUE"""),"10")</f>
        <v>10</v>
      </c>
      <c r="J600" s="115" t="str">
        <f>IFERROR(__xludf.DUMMYFUNCTION("""COMPUTED_VALUE"""),"Amit Kumar Pathak2025-09-0210")</f>
        <v>Amit Kumar Pathak2025-09-0210</v>
      </c>
      <c r="K600" s="115">
        <f>IFERROR(__xludf.DUMMYFUNCTION("""COMPUTED_VALUE"""),111570.0)</f>
        <v>111570</v>
      </c>
    </row>
    <row r="601">
      <c r="A601" s="115" t="str">
        <f>IFERROR(__xludf.DUMMYFUNCTION("""COMPUTED_VALUE"""),"NORTH")</f>
        <v>NORTH</v>
      </c>
      <c r="B601" s="115" t="str">
        <f>IFERROR(__xludf.DUMMYFUNCTION("""COMPUTED_VALUE"""),"Amit Kumar Pathak")</f>
        <v>Amit Kumar Pathak</v>
      </c>
      <c r="C601" s="115" t="str">
        <f>IFERROR(__xludf.DUMMYFUNCTION("""COMPUTED_VALUE"""),"MYNTRA")</f>
        <v>MYNTRA</v>
      </c>
      <c r="D601" s="115">
        <f>IFERROR(__xludf.DUMMYFUNCTION("""COMPUTED_VALUE"""),9196.0)</f>
        <v>9196</v>
      </c>
      <c r="E601" s="115">
        <f>IFERROR(__xludf.DUMMYFUNCTION("""COMPUTED_VALUE"""),3184.0)</f>
        <v>3184</v>
      </c>
      <c r="F601" s="115">
        <f>IFERROR(__xludf.DUMMYFUNCTION("""COMPUTED_VALUE"""),891.0)</f>
        <v>891</v>
      </c>
      <c r="G601" s="115">
        <f>IFERROR(__xludf.DUMMYFUNCTION("""COMPUTED_VALUE"""),155.0)</f>
        <v>155</v>
      </c>
      <c r="H601" s="116">
        <f>IFERROR(__xludf.DUMMYFUNCTION("""COMPUTED_VALUE"""),45902.0)</f>
        <v>45902</v>
      </c>
      <c r="I601" s="115" t="str">
        <f>IFERROR(__xludf.DUMMYFUNCTION("""COMPUTED_VALUE"""),"10")</f>
        <v>10</v>
      </c>
      <c r="J601" s="115" t="str">
        <f>IFERROR(__xludf.DUMMYFUNCTION("""COMPUTED_VALUE"""),"Amit Kumar Pathak2025-09-0210")</f>
        <v>Amit Kumar Pathak2025-09-0210</v>
      </c>
      <c r="K601" s="115">
        <f>IFERROR(__xludf.DUMMYFUNCTION("""COMPUTED_VALUE"""),12380.0)</f>
        <v>12380</v>
      </c>
    </row>
    <row r="602">
      <c r="A602" s="115" t="str">
        <f>IFERROR(__xludf.DUMMYFUNCTION("""COMPUTED_VALUE"""),"NORTH")</f>
        <v>NORTH</v>
      </c>
      <c r="B602" s="115" t="str">
        <f>IFERROR(__xludf.DUMMYFUNCTION("""COMPUTED_VALUE"""),"Loveleen Singh")</f>
        <v>Loveleen Singh</v>
      </c>
      <c r="C602" s="115" t="str">
        <f>IFERROR(__xludf.DUMMYFUNCTION("""COMPUTED_VALUE"""),"EXTERNAL")</f>
        <v>EXTERNAL</v>
      </c>
      <c r="D602" s="115">
        <f>IFERROR(__xludf.DUMMYFUNCTION("""COMPUTED_VALUE"""),10154.0)</f>
        <v>10154</v>
      </c>
      <c r="E602" s="115">
        <f>IFERROR(__xludf.DUMMYFUNCTION("""COMPUTED_VALUE"""),443.0)</f>
        <v>443</v>
      </c>
      <c r="F602" s="115">
        <f>IFERROR(__xludf.DUMMYFUNCTION("""COMPUTED_VALUE"""),236.0)</f>
        <v>236</v>
      </c>
      <c r="G602" s="115">
        <f>IFERROR(__xludf.DUMMYFUNCTION("""COMPUTED_VALUE"""),5.0)</f>
        <v>5</v>
      </c>
      <c r="H602" s="116">
        <f>IFERROR(__xludf.DUMMYFUNCTION("""COMPUTED_VALUE"""),45902.0)</f>
        <v>45902</v>
      </c>
      <c r="I602" s="115" t="str">
        <f>IFERROR(__xludf.DUMMYFUNCTION("""COMPUTED_VALUE"""),"10")</f>
        <v>10</v>
      </c>
      <c r="J602" s="115" t="str">
        <f>IFERROR(__xludf.DUMMYFUNCTION("""COMPUTED_VALUE"""),"Loveleen Singh2025-09-0210")</f>
        <v>Loveleen Singh2025-09-0210</v>
      </c>
      <c r="K602" s="115">
        <f>IFERROR(__xludf.DUMMYFUNCTION("""COMPUTED_VALUE"""),10597.0)</f>
        <v>10597</v>
      </c>
    </row>
    <row r="603">
      <c r="A603" s="115" t="str">
        <f>IFERROR(__xludf.DUMMYFUNCTION("""COMPUTED_VALUE"""),"NORTH")</f>
        <v>NORTH</v>
      </c>
      <c r="B603" s="115" t="str">
        <f>IFERROR(__xludf.DUMMYFUNCTION("""COMPUTED_VALUE"""),"Loveleen Singh")</f>
        <v>Loveleen Singh</v>
      </c>
      <c r="C603" s="115" t="str">
        <f>IFERROR(__xludf.DUMMYFUNCTION("""COMPUTED_VALUE"""),"FLIPKART")</f>
        <v>FLIPKART</v>
      </c>
      <c r="D603" s="115">
        <f>IFERROR(__xludf.DUMMYFUNCTION("""COMPUTED_VALUE"""),57390.0)</f>
        <v>57390</v>
      </c>
      <c r="E603" s="115">
        <f>IFERROR(__xludf.DUMMYFUNCTION("""COMPUTED_VALUE"""),3601.0)</f>
        <v>3601</v>
      </c>
      <c r="F603" s="115">
        <f>IFERROR(__xludf.DUMMYFUNCTION("""COMPUTED_VALUE"""),2640.0)</f>
        <v>2640</v>
      </c>
      <c r="G603" s="115">
        <f>IFERROR(__xludf.DUMMYFUNCTION("""COMPUTED_VALUE"""),68.0)</f>
        <v>68</v>
      </c>
      <c r="H603" s="116">
        <f>IFERROR(__xludf.DUMMYFUNCTION("""COMPUTED_VALUE"""),45902.0)</f>
        <v>45902</v>
      </c>
      <c r="I603" s="115" t="str">
        <f>IFERROR(__xludf.DUMMYFUNCTION("""COMPUTED_VALUE"""),"10")</f>
        <v>10</v>
      </c>
      <c r="J603" s="115" t="str">
        <f>IFERROR(__xludf.DUMMYFUNCTION("""COMPUTED_VALUE"""),"Loveleen Singh2025-09-0210")</f>
        <v>Loveleen Singh2025-09-0210</v>
      </c>
      <c r="K603" s="115">
        <f>IFERROR(__xludf.DUMMYFUNCTION("""COMPUTED_VALUE"""),60991.0)</f>
        <v>60991</v>
      </c>
    </row>
    <row r="604">
      <c r="A604" s="115" t="str">
        <f>IFERROR(__xludf.DUMMYFUNCTION("""COMPUTED_VALUE"""),"NORTH")</f>
        <v>NORTH</v>
      </c>
      <c r="B604" s="115" t="str">
        <f>IFERROR(__xludf.DUMMYFUNCTION("""COMPUTED_VALUE"""),"Loveleen Singh")</f>
        <v>Loveleen Singh</v>
      </c>
      <c r="C604" s="115" t="str">
        <f>IFERROR(__xludf.DUMMYFUNCTION("""COMPUTED_VALUE"""),"MYNTRA")</f>
        <v>MYNTRA</v>
      </c>
      <c r="D604" s="115">
        <f>IFERROR(__xludf.DUMMYFUNCTION("""COMPUTED_VALUE"""),8998.0)</f>
        <v>8998</v>
      </c>
      <c r="E604" s="115">
        <f>IFERROR(__xludf.DUMMYFUNCTION("""COMPUTED_VALUE"""),1359.0)</f>
        <v>1359</v>
      </c>
      <c r="F604" s="115">
        <f>IFERROR(__xludf.DUMMYFUNCTION("""COMPUTED_VALUE"""),537.0)</f>
        <v>537</v>
      </c>
      <c r="G604" s="115">
        <f>IFERROR(__xludf.DUMMYFUNCTION("""COMPUTED_VALUE"""),26.0)</f>
        <v>26</v>
      </c>
      <c r="H604" s="116">
        <f>IFERROR(__xludf.DUMMYFUNCTION("""COMPUTED_VALUE"""),45902.0)</f>
        <v>45902</v>
      </c>
      <c r="I604" s="115" t="str">
        <f>IFERROR(__xludf.DUMMYFUNCTION("""COMPUTED_VALUE"""),"10")</f>
        <v>10</v>
      </c>
      <c r="J604" s="115" t="str">
        <f>IFERROR(__xludf.DUMMYFUNCTION("""COMPUTED_VALUE"""),"Loveleen Singh2025-09-0210")</f>
        <v>Loveleen Singh2025-09-0210</v>
      </c>
      <c r="K604" s="115">
        <f>IFERROR(__xludf.DUMMYFUNCTION("""COMPUTED_VALUE"""),10357.0)</f>
        <v>10357</v>
      </c>
    </row>
    <row r="605">
      <c r="A605" s="115" t="str">
        <f>IFERROR(__xludf.DUMMYFUNCTION("""COMPUTED_VALUE"""),"NORTH")</f>
        <v>NORTH</v>
      </c>
      <c r="B605" s="115" t="str">
        <f>IFERROR(__xludf.DUMMYFUNCTION("""COMPUTED_VALUE"""),"Manoj Harsh")</f>
        <v>Manoj Harsh</v>
      </c>
      <c r="C605" s="115" t="str">
        <f>IFERROR(__xludf.DUMMYFUNCTION("""COMPUTED_VALUE"""),"EXTERNAL")</f>
        <v>EXTERNAL</v>
      </c>
      <c r="D605" s="115">
        <f>IFERROR(__xludf.DUMMYFUNCTION("""COMPUTED_VALUE"""),15008.0)</f>
        <v>15008</v>
      </c>
      <c r="E605" s="115">
        <f>IFERROR(__xludf.DUMMYFUNCTION("""COMPUTED_VALUE"""),1061.0)</f>
        <v>1061</v>
      </c>
      <c r="F605" s="115">
        <f>IFERROR(__xludf.DUMMYFUNCTION("""COMPUTED_VALUE"""),374.0)</f>
        <v>374</v>
      </c>
      <c r="G605" s="115">
        <f>IFERROR(__xludf.DUMMYFUNCTION("""COMPUTED_VALUE"""),20.0)</f>
        <v>20</v>
      </c>
      <c r="H605" s="116">
        <f>IFERROR(__xludf.DUMMYFUNCTION("""COMPUTED_VALUE"""),45902.0)</f>
        <v>45902</v>
      </c>
      <c r="I605" s="115" t="str">
        <f>IFERROR(__xludf.DUMMYFUNCTION("""COMPUTED_VALUE"""),"10")</f>
        <v>10</v>
      </c>
      <c r="J605" s="115" t="str">
        <f>IFERROR(__xludf.DUMMYFUNCTION("""COMPUTED_VALUE"""),"Manoj Harsh2025-09-0210")</f>
        <v>Manoj Harsh2025-09-0210</v>
      </c>
      <c r="K605" s="115">
        <f>IFERROR(__xludf.DUMMYFUNCTION("""COMPUTED_VALUE"""),16069.0)</f>
        <v>16069</v>
      </c>
    </row>
    <row r="606">
      <c r="A606" s="115" t="str">
        <f>IFERROR(__xludf.DUMMYFUNCTION("""COMPUTED_VALUE"""),"NORTH")</f>
        <v>NORTH</v>
      </c>
      <c r="B606" s="115" t="str">
        <f>IFERROR(__xludf.DUMMYFUNCTION("""COMPUTED_VALUE"""),"Manoj Harsh")</f>
        <v>Manoj Harsh</v>
      </c>
      <c r="C606" s="115" t="str">
        <f>IFERROR(__xludf.DUMMYFUNCTION("""COMPUTED_VALUE"""),"FLIPKART")</f>
        <v>FLIPKART</v>
      </c>
      <c r="D606" s="115">
        <f>IFERROR(__xludf.DUMMYFUNCTION("""COMPUTED_VALUE"""),202089.0)</f>
        <v>202089</v>
      </c>
      <c r="E606" s="115">
        <f>IFERROR(__xludf.DUMMYFUNCTION("""COMPUTED_VALUE"""),17395.0)</f>
        <v>17395</v>
      </c>
      <c r="F606" s="115">
        <f>IFERROR(__xludf.DUMMYFUNCTION("""COMPUTED_VALUE"""),9656.0)</f>
        <v>9656</v>
      </c>
      <c r="G606" s="115">
        <f>IFERROR(__xludf.DUMMYFUNCTION("""COMPUTED_VALUE"""),421.0)</f>
        <v>421</v>
      </c>
      <c r="H606" s="116">
        <f>IFERROR(__xludf.DUMMYFUNCTION("""COMPUTED_VALUE"""),45902.0)</f>
        <v>45902</v>
      </c>
      <c r="I606" s="115" t="str">
        <f>IFERROR(__xludf.DUMMYFUNCTION("""COMPUTED_VALUE"""),"10")</f>
        <v>10</v>
      </c>
      <c r="J606" s="115" t="str">
        <f>IFERROR(__xludf.DUMMYFUNCTION("""COMPUTED_VALUE"""),"Manoj Harsh2025-09-0210")</f>
        <v>Manoj Harsh2025-09-0210</v>
      </c>
      <c r="K606" s="115">
        <f>IFERROR(__xludf.DUMMYFUNCTION("""COMPUTED_VALUE"""),219484.0)</f>
        <v>219484</v>
      </c>
    </row>
    <row r="607">
      <c r="A607" s="115" t="str">
        <f>IFERROR(__xludf.DUMMYFUNCTION("""COMPUTED_VALUE"""),"NORTH")</f>
        <v>NORTH</v>
      </c>
      <c r="B607" s="115" t="str">
        <f>IFERROR(__xludf.DUMMYFUNCTION("""COMPUTED_VALUE"""),"Manoj Harsh")</f>
        <v>Manoj Harsh</v>
      </c>
      <c r="C607" s="115" t="str">
        <f>IFERROR(__xludf.DUMMYFUNCTION("""COMPUTED_VALUE"""),"MYNTRA")</f>
        <v>MYNTRA</v>
      </c>
      <c r="D607" s="115">
        <f>IFERROR(__xludf.DUMMYFUNCTION("""COMPUTED_VALUE"""),17877.0)</f>
        <v>17877</v>
      </c>
      <c r="E607" s="115">
        <f>IFERROR(__xludf.DUMMYFUNCTION("""COMPUTED_VALUE"""),3439.0)</f>
        <v>3439</v>
      </c>
      <c r="F607" s="115">
        <f>IFERROR(__xludf.DUMMYFUNCTION("""COMPUTED_VALUE"""),1059.0)</f>
        <v>1059</v>
      </c>
      <c r="G607" s="115">
        <f>IFERROR(__xludf.DUMMYFUNCTION("""COMPUTED_VALUE"""),58.0)</f>
        <v>58</v>
      </c>
      <c r="H607" s="116">
        <f>IFERROR(__xludf.DUMMYFUNCTION("""COMPUTED_VALUE"""),45902.0)</f>
        <v>45902</v>
      </c>
      <c r="I607" s="115" t="str">
        <f>IFERROR(__xludf.DUMMYFUNCTION("""COMPUTED_VALUE"""),"10")</f>
        <v>10</v>
      </c>
      <c r="J607" s="115" t="str">
        <f>IFERROR(__xludf.DUMMYFUNCTION("""COMPUTED_VALUE"""),"Manoj Harsh2025-09-0210")</f>
        <v>Manoj Harsh2025-09-0210</v>
      </c>
      <c r="K607" s="115">
        <f>IFERROR(__xludf.DUMMYFUNCTION("""COMPUTED_VALUE"""),21316.0)</f>
        <v>21316</v>
      </c>
    </row>
    <row r="608">
      <c r="A608" s="115" t="str">
        <f>IFERROR(__xludf.DUMMYFUNCTION("""COMPUTED_VALUE"""),"NORTH")</f>
        <v>NORTH</v>
      </c>
      <c r="B608" s="115" t="str">
        <f>IFERROR(__xludf.DUMMYFUNCTION("""COMPUTED_VALUE"""),"Pradeep Kothari")</f>
        <v>Pradeep Kothari</v>
      </c>
      <c r="C608" s="115" t="str">
        <f>IFERROR(__xludf.DUMMYFUNCTION("""COMPUTED_VALUE"""),"EXTERNAL")</f>
        <v>EXTERNAL</v>
      </c>
      <c r="D608" s="115">
        <f>IFERROR(__xludf.DUMMYFUNCTION("""COMPUTED_VALUE"""),9623.0)</f>
        <v>9623</v>
      </c>
      <c r="E608" s="115">
        <f>IFERROR(__xludf.DUMMYFUNCTION("""COMPUTED_VALUE"""),759.0)</f>
        <v>759</v>
      </c>
      <c r="F608" s="115">
        <f>IFERROR(__xludf.DUMMYFUNCTION("""COMPUTED_VALUE"""),355.0)</f>
        <v>355</v>
      </c>
      <c r="G608" s="115">
        <f>IFERROR(__xludf.DUMMYFUNCTION("""COMPUTED_VALUE"""),23.0)</f>
        <v>23</v>
      </c>
      <c r="H608" s="116">
        <f>IFERROR(__xludf.DUMMYFUNCTION("""COMPUTED_VALUE"""),45902.0)</f>
        <v>45902</v>
      </c>
      <c r="I608" s="115" t="str">
        <f>IFERROR(__xludf.DUMMYFUNCTION("""COMPUTED_VALUE"""),"10")</f>
        <v>10</v>
      </c>
      <c r="J608" s="115" t="str">
        <f>IFERROR(__xludf.DUMMYFUNCTION("""COMPUTED_VALUE"""),"Pradeep Kothari2025-09-0210")</f>
        <v>Pradeep Kothari2025-09-0210</v>
      </c>
      <c r="K608" s="115">
        <f>IFERROR(__xludf.DUMMYFUNCTION("""COMPUTED_VALUE"""),10382.0)</f>
        <v>10382</v>
      </c>
    </row>
    <row r="609">
      <c r="A609" s="115" t="str">
        <f>IFERROR(__xludf.DUMMYFUNCTION("""COMPUTED_VALUE"""),"NORTH")</f>
        <v>NORTH</v>
      </c>
      <c r="B609" s="115" t="str">
        <f>IFERROR(__xludf.DUMMYFUNCTION("""COMPUTED_VALUE"""),"Pradeep Kothari")</f>
        <v>Pradeep Kothari</v>
      </c>
      <c r="C609" s="115" t="str">
        <f>IFERROR(__xludf.DUMMYFUNCTION("""COMPUTED_VALUE"""),"FLIPKART")</f>
        <v>FLIPKART</v>
      </c>
      <c r="D609" s="115">
        <f>IFERROR(__xludf.DUMMYFUNCTION("""COMPUTED_VALUE"""),75460.0)</f>
        <v>75460</v>
      </c>
      <c r="E609" s="115">
        <f>IFERROR(__xludf.DUMMYFUNCTION("""COMPUTED_VALUE"""),7753.0)</f>
        <v>7753</v>
      </c>
      <c r="F609" s="115">
        <f>IFERROR(__xludf.DUMMYFUNCTION("""COMPUTED_VALUE"""),5594.0)</f>
        <v>5594</v>
      </c>
      <c r="G609" s="115">
        <f>IFERROR(__xludf.DUMMYFUNCTION("""COMPUTED_VALUE"""),291.0)</f>
        <v>291</v>
      </c>
      <c r="H609" s="116">
        <f>IFERROR(__xludf.DUMMYFUNCTION("""COMPUTED_VALUE"""),45902.0)</f>
        <v>45902</v>
      </c>
      <c r="I609" s="115" t="str">
        <f>IFERROR(__xludf.DUMMYFUNCTION("""COMPUTED_VALUE"""),"10")</f>
        <v>10</v>
      </c>
      <c r="J609" s="115" t="str">
        <f>IFERROR(__xludf.DUMMYFUNCTION("""COMPUTED_VALUE"""),"Pradeep Kothari2025-09-0210")</f>
        <v>Pradeep Kothari2025-09-0210</v>
      </c>
      <c r="K609" s="115">
        <f>IFERROR(__xludf.DUMMYFUNCTION("""COMPUTED_VALUE"""),83213.0)</f>
        <v>83213</v>
      </c>
    </row>
    <row r="610">
      <c r="A610" s="115" t="str">
        <f>IFERROR(__xludf.DUMMYFUNCTION("""COMPUTED_VALUE"""),"NORTH")</f>
        <v>NORTH</v>
      </c>
      <c r="B610" s="115" t="str">
        <f>IFERROR(__xludf.DUMMYFUNCTION("""COMPUTED_VALUE"""),"Pradeep Kothari")</f>
        <v>Pradeep Kothari</v>
      </c>
      <c r="C610" s="115" t="str">
        <f>IFERROR(__xludf.DUMMYFUNCTION("""COMPUTED_VALUE"""),"MYNTRA")</f>
        <v>MYNTRA</v>
      </c>
      <c r="D610" s="115">
        <f>IFERROR(__xludf.DUMMYFUNCTION("""COMPUTED_VALUE"""),13293.0)</f>
        <v>13293</v>
      </c>
      <c r="E610" s="115">
        <f>IFERROR(__xludf.DUMMYFUNCTION("""COMPUTED_VALUE"""),2880.0)</f>
        <v>2880</v>
      </c>
      <c r="F610" s="115">
        <f>IFERROR(__xludf.DUMMYFUNCTION("""COMPUTED_VALUE"""),1378.0)</f>
        <v>1378</v>
      </c>
      <c r="G610" s="115">
        <f>IFERROR(__xludf.DUMMYFUNCTION("""COMPUTED_VALUE"""),124.0)</f>
        <v>124</v>
      </c>
      <c r="H610" s="116">
        <f>IFERROR(__xludf.DUMMYFUNCTION("""COMPUTED_VALUE"""),45902.0)</f>
        <v>45902</v>
      </c>
      <c r="I610" s="115" t="str">
        <f>IFERROR(__xludf.DUMMYFUNCTION("""COMPUTED_VALUE"""),"10")</f>
        <v>10</v>
      </c>
      <c r="J610" s="115" t="str">
        <f>IFERROR(__xludf.DUMMYFUNCTION("""COMPUTED_VALUE"""),"Pradeep Kothari2025-09-0210")</f>
        <v>Pradeep Kothari2025-09-0210</v>
      </c>
      <c r="K610" s="115">
        <f>IFERROR(__xludf.DUMMYFUNCTION("""COMPUTED_VALUE"""),16173.0)</f>
        <v>16173</v>
      </c>
    </row>
    <row r="611">
      <c r="A611" s="115" t="str">
        <f>IFERROR(__xludf.DUMMYFUNCTION("""COMPUTED_VALUE"""),"SOUTH")</f>
        <v>SOUTH</v>
      </c>
      <c r="B611" s="115" t="str">
        <f>IFERROR(__xludf.DUMMYFUNCTION("""COMPUTED_VALUE"""),"Kandula Sampath")</f>
        <v>Kandula Sampath</v>
      </c>
      <c r="C611" s="115" t="str">
        <f>IFERROR(__xludf.DUMMYFUNCTION("""COMPUTED_VALUE"""),"EXTERNAL")</f>
        <v>EXTERNAL</v>
      </c>
      <c r="D611" s="115">
        <f>IFERROR(__xludf.DUMMYFUNCTION("""COMPUTED_VALUE"""),24958.0)</f>
        <v>24958</v>
      </c>
      <c r="E611" s="115">
        <f>IFERROR(__xludf.DUMMYFUNCTION("""COMPUTED_VALUE"""),2116.0)</f>
        <v>2116</v>
      </c>
      <c r="F611" s="115">
        <f>IFERROR(__xludf.DUMMYFUNCTION("""COMPUTED_VALUE"""),1407.0)</f>
        <v>1407</v>
      </c>
      <c r="G611" s="115">
        <f>IFERROR(__xludf.DUMMYFUNCTION("""COMPUTED_VALUE"""),25.0)</f>
        <v>25</v>
      </c>
      <c r="H611" s="116">
        <f>IFERROR(__xludf.DUMMYFUNCTION("""COMPUTED_VALUE"""),45902.0)</f>
        <v>45902</v>
      </c>
      <c r="I611" s="115" t="str">
        <f>IFERROR(__xludf.DUMMYFUNCTION("""COMPUTED_VALUE"""),"10")</f>
        <v>10</v>
      </c>
      <c r="J611" s="115" t="str">
        <f>IFERROR(__xludf.DUMMYFUNCTION("""COMPUTED_VALUE"""),"Kandula Sampath2025-09-0210")</f>
        <v>Kandula Sampath2025-09-0210</v>
      </c>
      <c r="K611" s="115">
        <f>IFERROR(__xludf.DUMMYFUNCTION("""COMPUTED_VALUE"""),27074.0)</f>
        <v>27074</v>
      </c>
    </row>
    <row r="612">
      <c r="A612" s="115" t="str">
        <f>IFERROR(__xludf.DUMMYFUNCTION("""COMPUTED_VALUE"""),"SOUTH")</f>
        <v>SOUTH</v>
      </c>
      <c r="B612" s="115" t="str">
        <f>IFERROR(__xludf.DUMMYFUNCTION("""COMPUTED_VALUE"""),"Kandula Sampath")</f>
        <v>Kandula Sampath</v>
      </c>
      <c r="C612" s="115" t="str">
        <f>IFERROR(__xludf.DUMMYFUNCTION("""COMPUTED_VALUE"""),"FLIPKART")</f>
        <v>FLIPKART</v>
      </c>
      <c r="D612" s="115">
        <f>IFERROR(__xludf.DUMMYFUNCTION("""COMPUTED_VALUE"""),233787.0)</f>
        <v>233787</v>
      </c>
      <c r="E612" s="115">
        <f>IFERROR(__xludf.DUMMYFUNCTION("""COMPUTED_VALUE"""),18239.0)</f>
        <v>18239</v>
      </c>
      <c r="F612" s="115">
        <f>IFERROR(__xludf.DUMMYFUNCTION("""COMPUTED_VALUE"""),25839.0)</f>
        <v>25839</v>
      </c>
      <c r="G612" s="115">
        <f>IFERROR(__xludf.DUMMYFUNCTION("""COMPUTED_VALUE"""),407.0)</f>
        <v>407</v>
      </c>
      <c r="H612" s="116">
        <f>IFERROR(__xludf.DUMMYFUNCTION("""COMPUTED_VALUE"""),45902.0)</f>
        <v>45902</v>
      </c>
      <c r="I612" s="115" t="str">
        <f>IFERROR(__xludf.DUMMYFUNCTION("""COMPUTED_VALUE"""),"10")</f>
        <v>10</v>
      </c>
      <c r="J612" s="115" t="str">
        <f>IFERROR(__xludf.DUMMYFUNCTION("""COMPUTED_VALUE"""),"Kandula Sampath2025-09-0210")</f>
        <v>Kandula Sampath2025-09-0210</v>
      </c>
      <c r="K612" s="115">
        <f>IFERROR(__xludf.DUMMYFUNCTION("""COMPUTED_VALUE"""),252026.0)</f>
        <v>252026</v>
      </c>
    </row>
    <row r="613">
      <c r="A613" s="115" t="str">
        <f>IFERROR(__xludf.DUMMYFUNCTION("""COMPUTED_VALUE"""),"SOUTH")</f>
        <v>SOUTH</v>
      </c>
      <c r="B613" s="115" t="str">
        <f>IFERROR(__xludf.DUMMYFUNCTION("""COMPUTED_VALUE"""),"Kandula Sampath")</f>
        <v>Kandula Sampath</v>
      </c>
      <c r="C613" s="115" t="str">
        <f>IFERROR(__xludf.DUMMYFUNCTION("""COMPUTED_VALUE"""),"MYNTRA")</f>
        <v>MYNTRA</v>
      </c>
      <c r="D613" s="115">
        <f>IFERROR(__xludf.DUMMYFUNCTION("""COMPUTED_VALUE"""),24230.0)</f>
        <v>24230</v>
      </c>
      <c r="E613" s="115">
        <f>IFERROR(__xludf.DUMMYFUNCTION("""COMPUTED_VALUE"""),4406.0)</f>
        <v>4406</v>
      </c>
      <c r="F613" s="115">
        <f>IFERROR(__xludf.DUMMYFUNCTION("""COMPUTED_VALUE"""),3226.0)</f>
        <v>3226</v>
      </c>
      <c r="G613" s="115">
        <f>IFERROR(__xludf.DUMMYFUNCTION("""COMPUTED_VALUE"""),104.0)</f>
        <v>104</v>
      </c>
      <c r="H613" s="116">
        <f>IFERROR(__xludf.DUMMYFUNCTION("""COMPUTED_VALUE"""),45902.0)</f>
        <v>45902</v>
      </c>
      <c r="I613" s="115" t="str">
        <f>IFERROR(__xludf.DUMMYFUNCTION("""COMPUTED_VALUE"""),"10")</f>
        <v>10</v>
      </c>
      <c r="J613" s="115" t="str">
        <f>IFERROR(__xludf.DUMMYFUNCTION("""COMPUTED_VALUE"""),"Kandula Sampath2025-09-0210")</f>
        <v>Kandula Sampath2025-09-0210</v>
      </c>
      <c r="K613" s="115">
        <f>IFERROR(__xludf.DUMMYFUNCTION("""COMPUTED_VALUE"""),28636.0)</f>
        <v>28636</v>
      </c>
    </row>
    <row r="614">
      <c r="A614" s="115" t="str">
        <f>IFERROR(__xludf.DUMMYFUNCTION("""COMPUTED_VALUE"""),"SOUTH")</f>
        <v>SOUTH</v>
      </c>
      <c r="B614" s="115" t="str">
        <f>IFERROR(__xludf.DUMMYFUNCTION("""COMPUTED_VALUE"""),"Martin A")</f>
        <v>Martin A</v>
      </c>
      <c r="C614" s="115" t="str">
        <f>IFERROR(__xludf.DUMMYFUNCTION("""COMPUTED_VALUE"""),"EXTERNAL")</f>
        <v>EXTERNAL</v>
      </c>
      <c r="D614" s="115">
        <f>IFERROR(__xludf.DUMMYFUNCTION("""COMPUTED_VALUE"""),21810.0)</f>
        <v>21810</v>
      </c>
      <c r="E614" s="115">
        <f>IFERROR(__xludf.DUMMYFUNCTION("""COMPUTED_VALUE"""),1353.0)</f>
        <v>1353</v>
      </c>
      <c r="F614" s="115">
        <f>IFERROR(__xludf.DUMMYFUNCTION("""COMPUTED_VALUE"""),1164.0)</f>
        <v>1164</v>
      </c>
      <c r="G614" s="115">
        <f>IFERROR(__xludf.DUMMYFUNCTION("""COMPUTED_VALUE"""),18.0)</f>
        <v>18</v>
      </c>
      <c r="H614" s="116">
        <f>IFERROR(__xludf.DUMMYFUNCTION("""COMPUTED_VALUE"""),45902.0)</f>
        <v>45902</v>
      </c>
      <c r="I614" s="115" t="str">
        <f>IFERROR(__xludf.DUMMYFUNCTION("""COMPUTED_VALUE"""),"10")</f>
        <v>10</v>
      </c>
      <c r="J614" s="115" t="str">
        <f>IFERROR(__xludf.DUMMYFUNCTION("""COMPUTED_VALUE"""),"Martin A2025-09-0210")</f>
        <v>Martin A2025-09-0210</v>
      </c>
      <c r="K614" s="115">
        <f>IFERROR(__xludf.DUMMYFUNCTION("""COMPUTED_VALUE"""),23163.0)</f>
        <v>23163</v>
      </c>
    </row>
    <row r="615">
      <c r="A615" s="115" t="str">
        <f>IFERROR(__xludf.DUMMYFUNCTION("""COMPUTED_VALUE"""),"SOUTH")</f>
        <v>SOUTH</v>
      </c>
      <c r="B615" s="115" t="str">
        <f>IFERROR(__xludf.DUMMYFUNCTION("""COMPUTED_VALUE"""),"Martin A")</f>
        <v>Martin A</v>
      </c>
      <c r="C615" s="115" t="str">
        <f>IFERROR(__xludf.DUMMYFUNCTION("""COMPUTED_VALUE"""),"FLIPKART")</f>
        <v>FLIPKART</v>
      </c>
      <c r="D615" s="115">
        <f>IFERROR(__xludf.DUMMYFUNCTION("""COMPUTED_VALUE"""),175875.0)</f>
        <v>175875</v>
      </c>
      <c r="E615" s="115">
        <f>IFERROR(__xludf.DUMMYFUNCTION("""COMPUTED_VALUE"""),16879.0)</f>
        <v>16879</v>
      </c>
      <c r="F615" s="115">
        <f>IFERROR(__xludf.DUMMYFUNCTION("""COMPUTED_VALUE"""),16435.0)</f>
        <v>16435</v>
      </c>
      <c r="G615" s="115">
        <f>IFERROR(__xludf.DUMMYFUNCTION("""COMPUTED_VALUE"""),508.0)</f>
        <v>508</v>
      </c>
      <c r="H615" s="116">
        <f>IFERROR(__xludf.DUMMYFUNCTION("""COMPUTED_VALUE"""),45902.0)</f>
        <v>45902</v>
      </c>
      <c r="I615" s="115" t="str">
        <f>IFERROR(__xludf.DUMMYFUNCTION("""COMPUTED_VALUE"""),"10")</f>
        <v>10</v>
      </c>
      <c r="J615" s="115" t="str">
        <f>IFERROR(__xludf.DUMMYFUNCTION("""COMPUTED_VALUE"""),"Martin A2025-09-0210")</f>
        <v>Martin A2025-09-0210</v>
      </c>
      <c r="K615" s="115">
        <f>IFERROR(__xludf.DUMMYFUNCTION("""COMPUTED_VALUE"""),192754.0)</f>
        <v>192754</v>
      </c>
    </row>
    <row r="616">
      <c r="A616" s="115" t="str">
        <f>IFERROR(__xludf.DUMMYFUNCTION("""COMPUTED_VALUE"""),"SOUTH")</f>
        <v>SOUTH</v>
      </c>
      <c r="B616" s="115" t="str">
        <f>IFERROR(__xludf.DUMMYFUNCTION("""COMPUTED_VALUE"""),"Martin A")</f>
        <v>Martin A</v>
      </c>
      <c r="C616" s="115" t="str">
        <f>IFERROR(__xludf.DUMMYFUNCTION("""COMPUTED_VALUE"""),"MYNTRA")</f>
        <v>MYNTRA</v>
      </c>
      <c r="D616" s="115">
        <f>IFERROR(__xludf.DUMMYFUNCTION("""COMPUTED_VALUE"""),17359.0)</f>
        <v>17359</v>
      </c>
      <c r="E616" s="115">
        <f>IFERROR(__xludf.DUMMYFUNCTION("""COMPUTED_VALUE"""),4158.0)</f>
        <v>4158</v>
      </c>
      <c r="F616" s="115">
        <f>IFERROR(__xludf.DUMMYFUNCTION("""COMPUTED_VALUE"""),2142.0)</f>
        <v>2142</v>
      </c>
      <c r="G616" s="115">
        <f>IFERROR(__xludf.DUMMYFUNCTION("""COMPUTED_VALUE"""),153.0)</f>
        <v>153</v>
      </c>
      <c r="H616" s="116">
        <f>IFERROR(__xludf.DUMMYFUNCTION("""COMPUTED_VALUE"""),45902.0)</f>
        <v>45902</v>
      </c>
      <c r="I616" s="115" t="str">
        <f>IFERROR(__xludf.DUMMYFUNCTION("""COMPUTED_VALUE"""),"10")</f>
        <v>10</v>
      </c>
      <c r="J616" s="115" t="str">
        <f>IFERROR(__xludf.DUMMYFUNCTION("""COMPUTED_VALUE"""),"Martin A2025-09-0210")</f>
        <v>Martin A2025-09-0210</v>
      </c>
      <c r="K616" s="115">
        <f>IFERROR(__xludf.DUMMYFUNCTION("""COMPUTED_VALUE"""),21517.0)</f>
        <v>21517</v>
      </c>
    </row>
    <row r="617">
      <c r="A617" s="115" t="str">
        <f>IFERROR(__xludf.DUMMYFUNCTION("""COMPUTED_VALUE"""),"SOUTH")</f>
        <v>SOUTH</v>
      </c>
      <c r="B617" s="115" t="str">
        <f>IFERROR(__xludf.DUMMYFUNCTION("""COMPUTED_VALUE"""),"Premkumar M")</f>
        <v>Premkumar M</v>
      </c>
      <c r="C617" s="115" t="str">
        <f>IFERROR(__xludf.DUMMYFUNCTION("""COMPUTED_VALUE"""),"EXTERNAL")</f>
        <v>EXTERNAL</v>
      </c>
      <c r="D617" s="115">
        <f>IFERROR(__xludf.DUMMYFUNCTION("""COMPUTED_VALUE"""),12006.0)</f>
        <v>12006</v>
      </c>
      <c r="E617" s="115">
        <f>IFERROR(__xludf.DUMMYFUNCTION("""COMPUTED_VALUE"""),612.0)</f>
        <v>612</v>
      </c>
      <c r="F617" s="115">
        <f>IFERROR(__xludf.DUMMYFUNCTION("""COMPUTED_VALUE"""),422.0)</f>
        <v>422</v>
      </c>
      <c r="G617" s="115">
        <f>IFERROR(__xludf.DUMMYFUNCTION("""COMPUTED_VALUE"""),3.0)</f>
        <v>3</v>
      </c>
      <c r="H617" s="116">
        <f>IFERROR(__xludf.DUMMYFUNCTION("""COMPUTED_VALUE"""),45902.0)</f>
        <v>45902</v>
      </c>
      <c r="I617" s="115" t="str">
        <f>IFERROR(__xludf.DUMMYFUNCTION("""COMPUTED_VALUE"""),"10")</f>
        <v>10</v>
      </c>
      <c r="J617" s="115" t="str">
        <f>IFERROR(__xludf.DUMMYFUNCTION("""COMPUTED_VALUE"""),"Premkumar M2025-09-0210")</f>
        <v>Premkumar M2025-09-0210</v>
      </c>
      <c r="K617" s="115">
        <f>IFERROR(__xludf.DUMMYFUNCTION("""COMPUTED_VALUE"""),12618.0)</f>
        <v>12618</v>
      </c>
    </row>
    <row r="618">
      <c r="A618" s="115" t="str">
        <f>IFERROR(__xludf.DUMMYFUNCTION("""COMPUTED_VALUE"""),"SOUTH")</f>
        <v>SOUTH</v>
      </c>
      <c r="B618" s="115" t="str">
        <f>IFERROR(__xludf.DUMMYFUNCTION("""COMPUTED_VALUE"""),"Premkumar M")</f>
        <v>Premkumar M</v>
      </c>
      <c r="C618" s="115" t="str">
        <f>IFERROR(__xludf.DUMMYFUNCTION("""COMPUTED_VALUE"""),"FLIPKART")</f>
        <v>FLIPKART</v>
      </c>
      <c r="D618" s="115">
        <f>IFERROR(__xludf.DUMMYFUNCTION("""COMPUTED_VALUE"""),117134.0)</f>
        <v>117134</v>
      </c>
      <c r="E618" s="115">
        <f>IFERROR(__xludf.DUMMYFUNCTION("""COMPUTED_VALUE"""),6782.0)</f>
        <v>6782</v>
      </c>
      <c r="F618" s="115">
        <f>IFERROR(__xludf.DUMMYFUNCTION("""COMPUTED_VALUE"""),6978.0)</f>
        <v>6978</v>
      </c>
      <c r="G618" s="115">
        <f>IFERROR(__xludf.DUMMYFUNCTION("""COMPUTED_VALUE"""),98.0)</f>
        <v>98</v>
      </c>
      <c r="H618" s="116">
        <f>IFERROR(__xludf.DUMMYFUNCTION("""COMPUTED_VALUE"""),45902.0)</f>
        <v>45902</v>
      </c>
      <c r="I618" s="115" t="str">
        <f>IFERROR(__xludf.DUMMYFUNCTION("""COMPUTED_VALUE"""),"10")</f>
        <v>10</v>
      </c>
      <c r="J618" s="115" t="str">
        <f>IFERROR(__xludf.DUMMYFUNCTION("""COMPUTED_VALUE"""),"Premkumar M2025-09-0210")</f>
        <v>Premkumar M2025-09-0210</v>
      </c>
      <c r="K618" s="115">
        <f>IFERROR(__xludf.DUMMYFUNCTION("""COMPUTED_VALUE"""),123916.0)</f>
        <v>123916</v>
      </c>
    </row>
    <row r="619">
      <c r="A619" s="115" t="str">
        <f>IFERROR(__xludf.DUMMYFUNCTION("""COMPUTED_VALUE"""),"SOUTH")</f>
        <v>SOUTH</v>
      </c>
      <c r="B619" s="115" t="str">
        <f>IFERROR(__xludf.DUMMYFUNCTION("""COMPUTED_VALUE"""),"Premkumar M")</f>
        <v>Premkumar M</v>
      </c>
      <c r="C619" s="115" t="str">
        <f>IFERROR(__xludf.DUMMYFUNCTION("""COMPUTED_VALUE"""),"MYNTRA")</f>
        <v>MYNTRA</v>
      </c>
      <c r="D619" s="115">
        <f>IFERROR(__xludf.DUMMYFUNCTION("""COMPUTED_VALUE"""),6792.0)</f>
        <v>6792</v>
      </c>
      <c r="E619" s="115">
        <f>IFERROR(__xludf.DUMMYFUNCTION("""COMPUTED_VALUE"""),1088.0)</f>
        <v>1088</v>
      </c>
      <c r="F619" s="115">
        <f>IFERROR(__xludf.DUMMYFUNCTION("""COMPUTED_VALUE"""),476.0)</f>
        <v>476</v>
      </c>
      <c r="G619" s="115">
        <f>IFERROR(__xludf.DUMMYFUNCTION("""COMPUTED_VALUE"""),16.0)</f>
        <v>16</v>
      </c>
      <c r="H619" s="116">
        <f>IFERROR(__xludf.DUMMYFUNCTION("""COMPUTED_VALUE"""),45902.0)</f>
        <v>45902</v>
      </c>
      <c r="I619" s="115" t="str">
        <f>IFERROR(__xludf.DUMMYFUNCTION("""COMPUTED_VALUE"""),"10")</f>
        <v>10</v>
      </c>
      <c r="J619" s="115" t="str">
        <f>IFERROR(__xludf.DUMMYFUNCTION("""COMPUTED_VALUE"""),"Premkumar M2025-09-0210")</f>
        <v>Premkumar M2025-09-0210</v>
      </c>
      <c r="K619" s="115">
        <f>IFERROR(__xludf.DUMMYFUNCTION("""COMPUTED_VALUE"""),7880.0)</f>
        <v>7880</v>
      </c>
    </row>
    <row r="620">
      <c r="A620" s="115" t="str">
        <f>IFERROR(__xludf.DUMMYFUNCTION("""COMPUTED_VALUE"""),"SOUTH")</f>
        <v>SOUTH</v>
      </c>
      <c r="B620" s="115" t="str">
        <f>IFERROR(__xludf.DUMMYFUNCTION("""COMPUTED_VALUE"""),"Vineeth V")</f>
        <v>Vineeth V</v>
      </c>
      <c r="C620" s="115" t="str">
        <f>IFERROR(__xludf.DUMMYFUNCTION("""COMPUTED_VALUE"""),"EXTERNAL")</f>
        <v>EXTERNAL</v>
      </c>
      <c r="D620" s="115">
        <f>IFERROR(__xludf.DUMMYFUNCTION("""COMPUTED_VALUE"""),6463.0)</f>
        <v>6463</v>
      </c>
      <c r="E620" s="115">
        <f>IFERROR(__xludf.DUMMYFUNCTION("""COMPUTED_VALUE"""),124.0)</f>
        <v>124</v>
      </c>
      <c r="F620" s="115">
        <f>IFERROR(__xludf.DUMMYFUNCTION("""COMPUTED_VALUE"""),148.0)</f>
        <v>148</v>
      </c>
      <c r="G620" s="115">
        <f>IFERROR(__xludf.DUMMYFUNCTION("""COMPUTED_VALUE"""),0.0)</f>
        <v>0</v>
      </c>
      <c r="H620" s="116">
        <f>IFERROR(__xludf.DUMMYFUNCTION("""COMPUTED_VALUE"""),45902.0)</f>
        <v>45902</v>
      </c>
      <c r="I620" s="115" t="str">
        <f>IFERROR(__xludf.DUMMYFUNCTION("""COMPUTED_VALUE"""),"10")</f>
        <v>10</v>
      </c>
      <c r="J620" s="115" t="str">
        <f>IFERROR(__xludf.DUMMYFUNCTION("""COMPUTED_VALUE"""),"Vineeth V2025-09-0210")</f>
        <v>Vineeth V2025-09-0210</v>
      </c>
      <c r="K620" s="115">
        <f>IFERROR(__xludf.DUMMYFUNCTION("""COMPUTED_VALUE"""),6587.0)</f>
        <v>6587</v>
      </c>
    </row>
    <row r="621">
      <c r="A621" s="115" t="str">
        <f>IFERROR(__xludf.DUMMYFUNCTION("""COMPUTED_VALUE"""),"SOUTH")</f>
        <v>SOUTH</v>
      </c>
      <c r="B621" s="115" t="str">
        <f>IFERROR(__xludf.DUMMYFUNCTION("""COMPUTED_VALUE"""),"Vineeth V")</f>
        <v>Vineeth V</v>
      </c>
      <c r="C621" s="115" t="str">
        <f>IFERROR(__xludf.DUMMYFUNCTION("""COMPUTED_VALUE"""),"FLIPKART")</f>
        <v>FLIPKART</v>
      </c>
      <c r="D621" s="115">
        <f>IFERROR(__xludf.DUMMYFUNCTION("""COMPUTED_VALUE"""),73514.0)</f>
        <v>73514</v>
      </c>
      <c r="E621" s="115">
        <f>IFERROR(__xludf.DUMMYFUNCTION("""COMPUTED_VALUE"""),4085.0)</f>
        <v>4085</v>
      </c>
      <c r="F621" s="115">
        <f>IFERROR(__xludf.DUMMYFUNCTION("""COMPUTED_VALUE"""),2655.0)</f>
        <v>2655</v>
      </c>
      <c r="G621" s="115">
        <f>IFERROR(__xludf.DUMMYFUNCTION("""COMPUTED_VALUE"""),22.0)</f>
        <v>22</v>
      </c>
      <c r="H621" s="116">
        <f>IFERROR(__xludf.DUMMYFUNCTION("""COMPUTED_VALUE"""),45902.0)</f>
        <v>45902</v>
      </c>
      <c r="I621" s="115" t="str">
        <f>IFERROR(__xludf.DUMMYFUNCTION("""COMPUTED_VALUE"""),"10")</f>
        <v>10</v>
      </c>
      <c r="J621" s="115" t="str">
        <f>IFERROR(__xludf.DUMMYFUNCTION("""COMPUTED_VALUE"""),"Vineeth V2025-09-0210")</f>
        <v>Vineeth V2025-09-0210</v>
      </c>
      <c r="K621" s="115">
        <f>IFERROR(__xludf.DUMMYFUNCTION("""COMPUTED_VALUE"""),77599.0)</f>
        <v>77599</v>
      </c>
    </row>
    <row r="622">
      <c r="A622" s="115" t="str">
        <f>IFERROR(__xludf.DUMMYFUNCTION("""COMPUTED_VALUE"""),"SOUTH")</f>
        <v>SOUTH</v>
      </c>
      <c r="B622" s="115" t="str">
        <f>IFERROR(__xludf.DUMMYFUNCTION("""COMPUTED_VALUE"""),"Vineeth V")</f>
        <v>Vineeth V</v>
      </c>
      <c r="C622" s="115" t="str">
        <f>IFERROR(__xludf.DUMMYFUNCTION("""COMPUTED_VALUE"""),"MYNTRA")</f>
        <v>MYNTRA</v>
      </c>
      <c r="D622" s="115">
        <f>IFERROR(__xludf.DUMMYFUNCTION("""COMPUTED_VALUE"""),7027.0)</f>
        <v>7027</v>
      </c>
      <c r="E622" s="115">
        <f>IFERROR(__xludf.DUMMYFUNCTION("""COMPUTED_VALUE"""),1040.0)</f>
        <v>1040</v>
      </c>
      <c r="F622" s="115">
        <f>IFERROR(__xludf.DUMMYFUNCTION("""COMPUTED_VALUE"""),286.0)</f>
        <v>286</v>
      </c>
      <c r="G622" s="115">
        <f>IFERROR(__xludf.DUMMYFUNCTION("""COMPUTED_VALUE"""),5.0)</f>
        <v>5</v>
      </c>
      <c r="H622" s="116">
        <f>IFERROR(__xludf.DUMMYFUNCTION("""COMPUTED_VALUE"""),45902.0)</f>
        <v>45902</v>
      </c>
      <c r="I622" s="115" t="str">
        <f>IFERROR(__xludf.DUMMYFUNCTION("""COMPUTED_VALUE"""),"10")</f>
        <v>10</v>
      </c>
      <c r="J622" s="115" t="str">
        <f>IFERROR(__xludf.DUMMYFUNCTION("""COMPUTED_VALUE"""),"Vineeth V2025-09-0210")</f>
        <v>Vineeth V2025-09-0210</v>
      </c>
      <c r="K622" s="115">
        <f>IFERROR(__xludf.DUMMYFUNCTION("""COMPUTED_VALUE"""),8067.0)</f>
        <v>8067</v>
      </c>
    </row>
    <row r="623">
      <c r="A623" s="115" t="str">
        <f>IFERROR(__xludf.DUMMYFUNCTION("""COMPUTED_VALUE"""),"WEST")</f>
        <v>WEST</v>
      </c>
      <c r="B623" s="115" t="str">
        <f>IFERROR(__xludf.DUMMYFUNCTION("""COMPUTED_VALUE"""),"Ashish Jakar")</f>
        <v>Ashish Jakar</v>
      </c>
      <c r="C623" s="115" t="str">
        <f>IFERROR(__xludf.DUMMYFUNCTION("""COMPUTED_VALUE"""),"EXTERNAL")</f>
        <v>EXTERNAL</v>
      </c>
      <c r="D623" s="115">
        <f>IFERROR(__xludf.DUMMYFUNCTION("""COMPUTED_VALUE"""),28774.0)</f>
        <v>28774</v>
      </c>
      <c r="E623" s="115">
        <f>IFERROR(__xludf.DUMMYFUNCTION("""COMPUTED_VALUE"""),2765.0)</f>
        <v>2765</v>
      </c>
      <c r="F623" s="115">
        <f>IFERROR(__xludf.DUMMYFUNCTION("""COMPUTED_VALUE"""),1320.0)</f>
        <v>1320</v>
      </c>
      <c r="G623" s="115">
        <f>IFERROR(__xludf.DUMMYFUNCTION("""COMPUTED_VALUE"""),55.0)</f>
        <v>55</v>
      </c>
      <c r="H623" s="116">
        <f>IFERROR(__xludf.DUMMYFUNCTION("""COMPUTED_VALUE"""),45902.0)</f>
        <v>45902</v>
      </c>
      <c r="I623" s="115" t="str">
        <f>IFERROR(__xludf.DUMMYFUNCTION("""COMPUTED_VALUE"""),"10")</f>
        <v>10</v>
      </c>
      <c r="J623" s="115" t="str">
        <f>IFERROR(__xludf.DUMMYFUNCTION("""COMPUTED_VALUE"""),"Ashish Jakar2025-09-0210")</f>
        <v>Ashish Jakar2025-09-0210</v>
      </c>
      <c r="K623" s="115">
        <f>IFERROR(__xludf.DUMMYFUNCTION("""COMPUTED_VALUE"""),31539.0)</f>
        <v>31539</v>
      </c>
    </row>
    <row r="624">
      <c r="A624" s="115" t="str">
        <f>IFERROR(__xludf.DUMMYFUNCTION("""COMPUTED_VALUE"""),"WEST")</f>
        <v>WEST</v>
      </c>
      <c r="B624" s="115" t="str">
        <f>IFERROR(__xludf.DUMMYFUNCTION("""COMPUTED_VALUE"""),"Ashish Jakar")</f>
        <v>Ashish Jakar</v>
      </c>
      <c r="C624" s="115" t="str">
        <f>IFERROR(__xludf.DUMMYFUNCTION("""COMPUTED_VALUE"""),"FLIPKART")</f>
        <v>FLIPKART</v>
      </c>
      <c r="D624" s="115">
        <f>IFERROR(__xludf.DUMMYFUNCTION("""COMPUTED_VALUE"""),166057.0)</f>
        <v>166057</v>
      </c>
      <c r="E624" s="115">
        <f>IFERROR(__xludf.DUMMYFUNCTION("""COMPUTED_VALUE"""),16148.0)</f>
        <v>16148</v>
      </c>
      <c r="F624" s="115">
        <f>IFERROR(__xludf.DUMMYFUNCTION("""COMPUTED_VALUE"""),10610.0)</f>
        <v>10610</v>
      </c>
      <c r="G624" s="115">
        <f>IFERROR(__xludf.DUMMYFUNCTION("""COMPUTED_VALUE"""),395.0)</f>
        <v>395</v>
      </c>
      <c r="H624" s="116">
        <f>IFERROR(__xludf.DUMMYFUNCTION("""COMPUTED_VALUE"""),45902.0)</f>
        <v>45902</v>
      </c>
      <c r="I624" s="115" t="str">
        <f>IFERROR(__xludf.DUMMYFUNCTION("""COMPUTED_VALUE"""),"10")</f>
        <v>10</v>
      </c>
      <c r="J624" s="115" t="str">
        <f>IFERROR(__xludf.DUMMYFUNCTION("""COMPUTED_VALUE"""),"Ashish Jakar2025-09-0210")</f>
        <v>Ashish Jakar2025-09-0210</v>
      </c>
      <c r="K624" s="115">
        <f>IFERROR(__xludf.DUMMYFUNCTION("""COMPUTED_VALUE"""),182205.0)</f>
        <v>182205</v>
      </c>
    </row>
    <row r="625">
      <c r="A625" s="115" t="str">
        <f>IFERROR(__xludf.DUMMYFUNCTION("""COMPUTED_VALUE"""),"WEST")</f>
        <v>WEST</v>
      </c>
      <c r="B625" s="115" t="str">
        <f>IFERROR(__xludf.DUMMYFUNCTION("""COMPUTED_VALUE"""),"Ashish Jakar")</f>
        <v>Ashish Jakar</v>
      </c>
      <c r="C625" s="115" t="str">
        <f>IFERROR(__xludf.DUMMYFUNCTION("""COMPUTED_VALUE"""),"MYNTRA")</f>
        <v>MYNTRA</v>
      </c>
      <c r="D625" s="115">
        <f>IFERROR(__xludf.DUMMYFUNCTION("""COMPUTED_VALUE"""),20844.0)</f>
        <v>20844</v>
      </c>
      <c r="E625" s="115">
        <f>IFERROR(__xludf.DUMMYFUNCTION("""COMPUTED_VALUE"""),5462.0)</f>
        <v>5462</v>
      </c>
      <c r="F625" s="115">
        <f>IFERROR(__xludf.DUMMYFUNCTION("""COMPUTED_VALUE"""),1730.0)</f>
        <v>1730</v>
      </c>
      <c r="G625" s="115">
        <f>IFERROR(__xludf.DUMMYFUNCTION("""COMPUTED_VALUE"""),135.0)</f>
        <v>135</v>
      </c>
      <c r="H625" s="116">
        <f>IFERROR(__xludf.DUMMYFUNCTION("""COMPUTED_VALUE"""),45902.0)</f>
        <v>45902</v>
      </c>
      <c r="I625" s="115" t="str">
        <f>IFERROR(__xludf.DUMMYFUNCTION("""COMPUTED_VALUE"""),"10")</f>
        <v>10</v>
      </c>
      <c r="J625" s="115" t="str">
        <f>IFERROR(__xludf.DUMMYFUNCTION("""COMPUTED_VALUE"""),"Ashish Jakar2025-09-0210")</f>
        <v>Ashish Jakar2025-09-0210</v>
      </c>
      <c r="K625" s="115">
        <f>IFERROR(__xludf.DUMMYFUNCTION("""COMPUTED_VALUE"""),26306.0)</f>
        <v>26306</v>
      </c>
    </row>
    <row r="626">
      <c r="A626" s="115" t="str">
        <f>IFERROR(__xludf.DUMMYFUNCTION("""COMPUTED_VALUE"""),"WEST")</f>
        <v>WEST</v>
      </c>
      <c r="B626" s="115" t="str">
        <f>IFERROR(__xludf.DUMMYFUNCTION("""COMPUTED_VALUE"""),"Ashvani Bhatt")</f>
        <v>Ashvani Bhatt</v>
      </c>
      <c r="C626" s="115" t="str">
        <f>IFERROR(__xludf.DUMMYFUNCTION("""COMPUTED_VALUE"""),"EXTERNAL")</f>
        <v>EXTERNAL</v>
      </c>
      <c r="D626" s="115">
        <f>IFERROR(__xludf.DUMMYFUNCTION("""COMPUTED_VALUE"""),18841.0)</f>
        <v>18841</v>
      </c>
      <c r="E626" s="115">
        <f>IFERROR(__xludf.DUMMYFUNCTION("""COMPUTED_VALUE"""),1251.0)</f>
        <v>1251</v>
      </c>
      <c r="F626" s="115">
        <f>IFERROR(__xludf.DUMMYFUNCTION("""COMPUTED_VALUE"""),888.0)</f>
        <v>888</v>
      </c>
      <c r="G626" s="115">
        <f>IFERROR(__xludf.DUMMYFUNCTION("""COMPUTED_VALUE"""),10.0)</f>
        <v>10</v>
      </c>
      <c r="H626" s="116">
        <f>IFERROR(__xludf.DUMMYFUNCTION("""COMPUTED_VALUE"""),45902.0)</f>
        <v>45902</v>
      </c>
      <c r="I626" s="115" t="str">
        <f>IFERROR(__xludf.DUMMYFUNCTION("""COMPUTED_VALUE"""),"10")</f>
        <v>10</v>
      </c>
      <c r="J626" s="115" t="str">
        <f>IFERROR(__xludf.DUMMYFUNCTION("""COMPUTED_VALUE"""),"Ashvani Bhatt2025-09-0210")</f>
        <v>Ashvani Bhatt2025-09-0210</v>
      </c>
      <c r="K626" s="115">
        <f>IFERROR(__xludf.DUMMYFUNCTION("""COMPUTED_VALUE"""),20092.0)</f>
        <v>20092</v>
      </c>
    </row>
    <row r="627">
      <c r="A627" s="115" t="str">
        <f>IFERROR(__xludf.DUMMYFUNCTION("""COMPUTED_VALUE"""),"WEST")</f>
        <v>WEST</v>
      </c>
      <c r="B627" s="115" t="str">
        <f>IFERROR(__xludf.DUMMYFUNCTION("""COMPUTED_VALUE"""),"Ashvani Bhatt")</f>
        <v>Ashvani Bhatt</v>
      </c>
      <c r="C627" s="115" t="str">
        <f>IFERROR(__xludf.DUMMYFUNCTION("""COMPUTED_VALUE"""),"FLIPKART")</f>
        <v>FLIPKART</v>
      </c>
      <c r="D627" s="115">
        <f>IFERROR(__xludf.DUMMYFUNCTION("""COMPUTED_VALUE"""),148284.0)</f>
        <v>148284</v>
      </c>
      <c r="E627" s="115">
        <f>IFERROR(__xludf.DUMMYFUNCTION("""COMPUTED_VALUE"""),12475.0)</f>
        <v>12475</v>
      </c>
      <c r="F627" s="115">
        <f>IFERROR(__xludf.DUMMYFUNCTION("""COMPUTED_VALUE"""),13147.0)</f>
        <v>13147</v>
      </c>
      <c r="G627" s="115">
        <f>IFERROR(__xludf.DUMMYFUNCTION("""COMPUTED_VALUE"""),401.0)</f>
        <v>401</v>
      </c>
      <c r="H627" s="116">
        <f>IFERROR(__xludf.DUMMYFUNCTION("""COMPUTED_VALUE"""),45902.0)</f>
        <v>45902</v>
      </c>
      <c r="I627" s="115" t="str">
        <f>IFERROR(__xludf.DUMMYFUNCTION("""COMPUTED_VALUE"""),"10")</f>
        <v>10</v>
      </c>
      <c r="J627" s="115" t="str">
        <f>IFERROR(__xludf.DUMMYFUNCTION("""COMPUTED_VALUE"""),"Ashvani Bhatt2025-09-0210")</f>
        <v>Ashvani Bhatt2025-09-0210</v>
      </c>
      <c r="K627" s="115">
        <f>IFERROR(__xludf.DUMMYFUNCTION("""COMPUTED_VALUE"""),160759.0)</f>
        <v>160759</v>
      </c>
    </row>
    <row r="628">
      <c r="A628" s="115" t="str">
        <f>IFERROR(__xludf.DUMMYFUNCTION("""COMPUTED_VALUE"""),"WEST")</f>
        <v>WEST</v>
      </c>
      <c r="B628" s="115" t="str">
        <f>IFERROR(__xludf.DUMMYFUNCTION("""COMPUTED_VALUE"""),"Ashvani Bhatt")</f>
        <v>Ashvani Bhatt</v>
      </c>
      <c r="C628" s="115" t="str">
        <f>IFERROR(__xludf.DUMMYFUNCTION("""COMPUTED_VALUE"""),"MYNTRA")</f>
        <v>MYNTRA</v>
      </c>
      <c r="D628" s="115">
        <f>IFERROR(__xludf.DUMMYFUNCTION("""COMPUTED_VALUE"""),18001.0)</f>
        <v>18001</v>
      </c>
      <c r="E628" s="115">
        <f>IFERROR(__xludf.DUMMYFUNCTION("""COMPUTED_VALUE"""),4137.0)</f>
        <v>4137</v>
      </c>
      <c r="F628" s="115">
        <f>IFERROR(__xludf.DUMMYFUNCTION("""COMPUTED_VALUE"""),1988.0)</f>
        <v>1988</v>
      </c>
      <c r="G628" s="115">
        <f>IFERROR(__xludf.DUMMYFUNCTION("""COMPUTED_VALUE"""),118.0)</f>
        <v>118</v>
      </c>
      <c r="H628" s="116">
        <f>IFERROR(__xludf.DUMMYFUNCTION("""COMPUTED_VALUE"""),45902.0)</f>
        <v>45902</v>
      </c>
      <c r="I628" s="115" t="str">
        <f>IFERROR(__xludf.DUMMYFUNCTION("""COMPUTED_VALUE"""),"10")</f>
        <v>10</v>
      </c>
      <c r="J628" s="115" t="str">
        <f>IFERROR(__xludf.DUMMYFUNCTION("""COMPUTED_VALUE"""),"Ashvani Bhatt2025-09-0210")</f>
        <v>Ashvani Bhatt2025-09-0210</v>
      </c>
      <c r="K628" s="115">
        <f>IFERROR(__xludf.DUMMYFUNCTION("""COMPUTED_VALUE"""),22138.0)</f>
        <v>22138</v>
      </c>
    </row>
    <row r="629">
      <c r="A629" s="115"/>
      <c r="B629" s="115"/>
      <c r="C629" s="115" t="str">
        <f>IFERROR(__xludf.DUMMYFUNCTION("""COMPUTED_VALUE"""),"EXTERNAL")</f>
        <v>EXTERNAL</v>
      </c>
      <c r="D629" s="115">
        <f>IFERROR(__xludf.DUMMYFUNCTION("""COMPUTED_VALUE"""),224.0)</f>
        <v>224</v>
      </c>
      <c r="E629" s="115">
        <f>IFERROR(__xludf.DUMMYFUNCTION("""COMPUTED_VALUE"""),13.0)</f>
        <v>13</v>
      </c>
      <c r="F629" s="115">
        <f>IFERROR(__xludf.DUMMYFUNCTION("""COMPUTED_VALUE"""),6.0)</f>
        <v>6</v>
      </c>
      <c r="G629" s="115">
        <f>IFERROR(__xludf.DUMMYFUNCTION("""COMPUTED_VALUE"""),11.0)</f>
        <v>11</v>
      </c>
      <c r="H629" s="116">
        <f>IFERROR(__xludf.DUMMYFUNCTION("""COMPUTED_VALUE"""),45902.0)</f>
        <v>45902</v>
      </c>
      <c r="I629" s="115" t="str">
        <f>IFERROR(__xludf.DUMMYFUNCTION("""COMPUTED_VALUE"""),"10")</f>
        <v>10</v>
      </c>
      <c r="J629" s="115" t="str">
        <f>IFERROR(__xludf.DUMMYFUNCTION("""COMPUTED_VALUE"""),"2025-09-0210")</f>
        <v>2025-09-0210</v>
      </c>
      <c r="K629" s="115">
        <f>IFERROR(__xludf.DUMMYFUNCTION("""COMPUTED_VALUE"""),237.0)</f>
        <v>237</v>
      </c>
    </row>
    <row r="630">
      <c r="A630" s="115"/>
      <c r="B630" s="115"/>
      <c r="C630" s="115" t="str">
        <f>IFERROR(__xludf.DUMMYFUNCTION("""COMPUTED_VALUE"""),"FLIPKART")</f>
        <v>FLIPKART</v>
      </c>
      <c r="D630" s="115">
        <f>IFERROR(__xludf.DUMMYFUNCTION("""COMPUTED_VALUE"""),3070.0)</f>
        <v>3070</v>
      </c>
      <c r="E630" s="115">
        <f>IFERROR(__xludf.DUMMYFUNCTION("""COMPUTED_VALUE"""),214.0)</f>
        <v>214</v>
      </c>
      <c r="F630" s="115">
        <f>IFERROR(__xludf.DUMMYFUNCTION("""COMPUTED_VALUE"""),89.0)</f>
        <v>89</v>
      </c>
      <c r="G630" s="115">
        <f>IFERROR(__xludf.DUMMYFUNCTION("""COMPUTED_VALUE"""),65.0)</f>
        <v>65</v>
      </c>
      <c r="H630" s="116">
        <f>IFERROR(__xludf.DUMMYFUNCTION("""COMPUTED_VALUE"""),45902.0)</f>
        <v>45902</v>
      </c>
      <c r="I630" s="115" t="str">
        <f>IFERROR(__xludf.DUMMYFUNCTION("""COMPUTED_VALUE"""),"10")</f>
        <v>10</v>
      </c>
      <c r="J630" s="115" t="str">
        <f>IFERROR(__xludf.DUMMYFUNCTION("""COMPUTED_VALUE"""),"2025-09-0210")</f>
        <v>2025-09-0210</v>
      </c>
      <c r="K630" s="115">
        <f>IFERROR(__xludf.DUMMYFUNCTION("""COMPUTED_VALUE"""),3284.0)</f>
        <v>3284</v>
      </c>
    </row>
    <row r="631">
      <c r="A631" s="115"/>
      <c r="B631" s="115"/>
      <c r="C631" s="115" t="str">
        <f>IFERROR(__xludf.DUMMYFUNCTION("""COMPUTED_VALUE"""),"MYNTRA")</f>
        <v>MYNTRA</v>
      </c>
      <c r="D631" s="115">
        <f>IFERROR(__xludf.DUMMYFUNCTION("""COMPUTED_VALUE"""),299.0)</f>
        <v>299</v>
      </c>
      <c r="E631" s="115">
        <f>IFERROR(__xludf.DUMMYFUNCTION("""COMPUTED_VALUE"""),48.0)</f>
        <v>48</v>
      </c>
      <c r="F631" s="115">
        <f>IFERROR(__xludf.DUMMYFUNCTION("""COMPUTED_VALUE"""),13.0)</f>
        <v>13</v>
      </c>
      <c r="G631" s="115">
        <f>IFERROR(__xludf.DUMMYFUNCTION("""COMPUTED_VALUE"""),2.0)</f>
        <v>2</v>
      </c>
      <c r="H631" s="116">
        <f>IFERROR(__xludf.DUMMYFUNCTION("""COMPUTED_VALUE"""),45902.0)</f>
        <v>45902</v>
      </c>
      <c r="I631" s="115" t="str">
        <f>IFERROR(__xludf.DUMMYFUNCTION("""COMPUTED_VALUE"""),"10")</f>
        <v>10</v>
      </c>
      <c r="J631" s="115" t="str">
        <f>IFERROR(__xludf.DUMMYFUNCTION("""COMPUTED_VALUE"""),"2025-09-0210")</f>
        <v>2025-09-0210</v>
      </c>
      <c r="K631" s="115">
        <f>IFERROR(__xludf.DUMMYFUNCTION("""COMPUTED_VALUE"""),347.0)</f>
        <v>347</v>
      </c>
    </row>
    <row r="632">
      <c r="A632" s="115" t="str">
        <f>IFERROR(__xludf.DUMMYFUNCTION("""COMPUTED_VALUE"""),"EAST")</f>
        <v>EAST</v>
      </c>
      <c r="B632" s="115" t="str">
        <f>IFERROR(__xludf.DUMMYFUNCTION("""COMPUTED_VALUE"""),"Ashish Ranjan")</f>
        <v>Ashish Ranjan</v>
      </c>
      <c r="C632" s="115" t="str">
        <f>IFERROR(__xludf.DUMMYFUNCTION("""COMPUTED_VALUE"""),"EXTERNAL")</f>
        <v>EXTERNAL</v>
      </c>
      <c r="D632" s="115">
        <f>IFERROR(__xludf.DUMMYFUNCTION("""COMPUTED_VALUE"""),29604.0)</f>
        <v>29604</v>
      </c>
      <c r="E632" s="115">
        <f>IFERROR(__xludf.DUMMYFUNCTION("""COMPUTED_VALUE"""),1853.0)</f>
        <v>1853</v>
      </c>
      <c r="F632" s="115">
        <f>IFERROR(__xludf.DUMMYFUNCTION("""COMPUTED_VALUE"""),3249.0)</f>
        <v>3249</v>
      </c>
      <c r="G632" s="115">
        <f>IFERROR(__xludf.DUMMYFUNCTION("""COMPUTED_VALUE"""),70.0)</f>
        <v>70</v>
      </c>
      <c r="H632" s="116">
        <f>IFERROR(__xludf.DUMMYFUNCTION("""COMPUTED_VALUE"""),45902.0)</f>
        <v>45902</v>
      </c>
      <c r="I632" s="115" t="str">
        <f>IFERROR(__xludf.DUMMYFUNCTION("""COMPUTED_VALUE"""),"11")</f>
        <v>11</v>
      </c>
      <c r="J632" s="115" t="str">
        <f>IFERROR(__xludf.DUMMYFUNCTION("""COMPUTED_VALUE"""),"Ashish Ranjan2025-09-0211")</f>
        <v>Ashish Ranjan2025-09-0211</v>
      </c>
      <c r="K632" s="115">
        <f>IFERROR(__xludf.DUMMYFUNCTION("""COMPUTED_VALUE"""),31457.0)</f>
        <v>31457</v>
      </c>
    </row>
    <row r="633">
      <c r="A633" s="115" t="str">
        <f>IFERROR(__xludf.DUMMYFUNCTION("""COMPUTED_VALUE"""),"EAST")</f>
        <v>EAST</v>
      </c>
      <c r="B633" s="115" t="str">
        <f>IFERROR(__xludf.DUMMYFUNCTION("""COMPUTED_VALUE"""),"Ashish Ranjan")</f>
        <v>Ashish Ranjan</v>
      </c>
      <c r="C633" s="115" t="str">
        <f>IFERROR(__xludf.DUMMYFUNCTION("""COMPUTED_VALUE"""),"FLIPKART")</f>
        <v>FLIPKART</v>
      </c>
      <c r="D633" s="115">
        <f>IFERROR(__xludf.DUMMYFUNCTION("""COMPUTED_VALUE"""),446077.0)</f>
        <v>446077</v>
      </c>
      <c r="E633" s="115">
        <f>IFERROR(__xludf.DUMMYFUNCTION("""COMPUTED_VALUE"""),43414.0)</f>
        <v>43414</v>
      </c>
      <c r="F633" s="115">
        <f>IFERROR(__xludf.DUMMYFUNCTION("""COMPUTED_VALUE"""),88498.0)</f>
        <v>88498</v>
      </c>
      <c r="G633" s="115">
        <f>IFERROR(__xludf.DUMMYFUNCTION("""COMPUTED_VALUE"""),2508.0)</f>
        <v>2508</v>
      </c>
      <c r="H633" s="116">
        <f>IFERROR(__xludf.DUMMYFUNCTION("""COMPUTED_VALUE"""),45902.0)</f>
        <v>45902</v>
      </c>
      <c r="I633" s="115" t="str">
        <f>IFERROR(__xludf.DUMMYFUNCTION("""COMPUTED_VALUE"""),"11")</f>
        <v>11</v>
      </c>
      <c r="J633" s="115" t="str">
        <f>IFERROR(__xludf.DUMMYFUNCTION("""COMPUTED_VALUE"""),"Ashish Ranjan2025-09-0211")</f>
        <v>Ashish Ranjan2025-09-0211</v>
      </c>
      <c r="K633" s="115">
        <f>IFERROR(__xludf.DUMMYFUNCTION("""COMPUTED_VALUE"""),489491.0)</f>
        <v>489491</v>
      </c>
    </row>
    <row r="634">
      <c r="A634" s="115" t="str">
        <f>IFERROR(__xludf.DUMMYFUNCTION("""COMPUTED_VALUE"""),"EAST")</f>
        <v>EAST</v>
      </c>
      <c r="B634" s="115" t="str">
        <f>IFERROR(__xludf.DUMMYFUNCTION("""COMPUTED_VALUE"""),"Ashish Ranjan")</f>
        <v>Ashish Ranjan</v>
      </c>
      <c r="C634" s="115" t="str">
        <f>IFERROR(__xludf.DUMMYFUNCTION("""COMPUTED_VALUE"""),"MYNTRA")</f>
        <v>MYNTRA</v>
      </c>
      <c r="D634" s="115">
        <f>IFERROR(__xludf.DUMMYFUNCTION("""COMPUTED_VALUE"""),42381.0)</f>
        <v>42381</v>
      </c>
      <c r="E634" s="115">
        <f>IFERROR(__xludf.DUMMYFUNCTION("""COMPUTED_VALUE"""),9013.0)</f>
        <v>9013</v>
      </c>
      <c r="F634" s="115">
        <f>IFERROR(__xludf.DUMMYFUNCTION("""COMPUTED_VALUE"""),8918.0)</f>
        <v>8918</v>
      </c>
      <c r="G634" s="115">
        <f>IFERROR(__xludf.DUMMYFUNCTION("""COMPUTED_VALUE"""),516.0)</f>
        <v>516</v>
      </c>
      <c r="H634" s="116">
        <f>IFERROR(__xludf.DUMMYFUNCTION("""COMPUTED_VALUE"""),45902.0)</f>
        <v>45902</v>
      </c>
      <c r="I634" s="115" t="str">
        <f>IFERROR(__xludf.DUMMYFUNCTION("""COMPUTED_VALUE"""),"11")</f>
        <v>11</v>
      </c>
      <c r="J634" s="115" t="str">
        <f>IFERROR(__xludf.DUMMYFUNCTION("""COMPUTED_VALUE"""),"Ashish Ranjan2025-09-0211")</f>
        <v>Ashish Ranjan2025-09-0211</v>
      </c>
      <c r="K634" s="115">
        <f>IFERROR(__xludf.DUMMYFUNCTION("""COMPUTED_VALUE"""),51394.0)</f>
        <v>51394</v>
      </c>
    </row>
    <row r="635">
      <c r="A635" s="115" t="str">
        <f>IFERROR(__xludf.DUMMYFUNCTION("""COMPUTED_VALUE"""),"EAST")</f>
        <v>EAST</v>
      </c>
      <c r="B635" s="115" t="str">
        <f>IFERROR(__xludf.DUMMYFUNCTION("""COMPUTED_VALUE"""),"Girish Chand")</f>
        <v>Girish Chand</v>
      </c>
      <c r="C635" s="115" t="str">
        <f>IFERROR(__xludf.DUMMYFUNCTION("""COMPUTED_VALUE"""),"EXTERNAL")</f>
        <v>EXTERNAL</v>
      </c>
      <c r="D635" s="115">
        <f>IFERROR(__xludf.DUMMYFUNCTION("""COMPUTED_VALUE"""),18691.0)</f>
        <v>18691</v>
      </c>
      <c r="E635" s="115">
        <f>IFERROR(__xludf.DUMMYFUNCTION("""COMPUTED_VALUE"""),1521.0)</f>
        <v>1521</v>
      </c>
      <c r="F635" s="115">
        <f>IFERROR(__xludf.DUMMYFUNCTION("""COMPUTED_VALUE"""),1274.0)</f>
        <v>1274</v>
      </c>
      <c r="G635" s="115">
        <f>IFERROR(__xludf.DUMMYFUNCTION("""COMPUTED_VALUE"""),20.0)</f>
        <v>20</v>
      </c>
      <c r="H635" s="116">
        <f>IFERROR(__xludf.DUMMYFUNCTION("""COMPUTED_VALUE"""),45902.0)</f>
        <v>45902</v>
      </c>
      <c r="I635" s="115" t="str">
        <f>IFERROR(__xludf.DUMMYFUNCTION("""COMPUTED_VALUE"""),"11")</f>
        <v>11</v>
      </c>
      <c r="J635" s="115" t="str">
        <f>IFERROR(__xludf.DUMMYFUNCTION("""COMPUTED_VALUE"""),"Girish Chand2025-09-0211")</f>
        <v>Girish Chand2025-09-0211</v>
      </c>
      <c r="K635" s="115">
        <f>IFERROR(__xludf.DUMMYFUNCTION("""COMPUTED_VALUE"""),20212.0)</f>
        <v>20212</v>
      </c>
    </row>
    <row r="636">
      <c r="A636" s="115" t="str">
        <f>IFERROR(__xludf.DUMMYFUNCTION("""COMPUTED_VALUE"""),"EAST")</f>
        <v>EAST</v>
      </c>
      <c r="B636" s="115" t="str">
        <f>IFERROR(__xludf.DUMMYFUNCTION("""COMPUTED_VALUE"""),"Girish Chand")</f>
        <v>Girish Chand</v>
      </c>
      <c r="C636" s="115" t="str">
        <f>IFERROR(__xludf.DUMMYFUNCTION("""COMPUTED_VALUE"""),"FLIPKART")</f>
        <v>FLIPKART</v>
      </c>
      <c r="D636" s="115">
        <f>IFERROR(__xludf.DUMMYFUNCTION("""COMPUTED_VALUE"""),329851.0)</f>
        <v>329851</v>
      </c>
      <c r="E636" s="115">
        <f>IFERROR(__xludf.DUMMYFUNCTION("""COMPUTED_VALUE"""),27816.0)</f>
        <v>27816</v>
      </c>
      <c r="F636" s="115">
        <f>IFERROR(__xludf.DUMMYFUNCTION("""COMPUTED_VALUE"""),43522.0)</f>
        <v>43522</v>
      </c>
      <c r="G636" s="115">
        <f>IFERROR(__xludf.DUMMYFUNCTION("""COMPUTED_VALUE"""),1033.0)</f>
        <v>1033</v>
      </c>
      <c r="H636" s="116">
        <f>IFERROR(__xludf.DUMMYFUNCTION("""COMPUTED_VALUE"""),45902.0)</f>
        <v>45902</v>
      </c>
      <c r="I636" s="115" t="str">
        <f>IFERROR(__xludf.DUMMYFUNCTION("""COMPUTED_VALUE"""),"11")</f>
        <v>11</v>
      </c>
      <c r="J636" s="115" t="str">
        <f>IFERROR(__xludf.DUMMYFUNCTION("""COMPUTED_VALUE"""),"Girish Chand2025-09-0211")</f>
        <v>Girish Chand2025-09-0211</v>
      </c>
      <c r="K636" s="115">
        <f>IFERROR(__xludf.DUMMYFUNCTION("""COMPUTED_VALUE"""),357667.0)</f>
        <v>357667</v>
      </c>
    </row>
    <row r="637">
      <c r="A637" s="115" t="str">
        <f>IFERROR(__xludf.DUMMYFUNCTION("""COMPUTED_VALUE"""),"EAST")</f>
        <v>EAST</v>
      </c>
      <c r="B637" s="115" t="str">
        <f>IFERROR(__xludf.DUMMYFUNCTION("""COMPUTED_VALUE"""),"Girish Chand")</f>
        <v>Girish Chand</v>
      </c>
      <c r="C637" s="115" t="str">
        <f>IFERROR(__xludf.DUMMYFUNCTION("""COMPUTED_VALUE"""),"MYNTRA")</f>
        <v>MYNTRA</v>
      </c>
      <c r="D637" s="115">
        <f>IFERROR(__xludf.DUMMYFUNCTION("""COMPUTED_VALUE"""),25386.0)</f>
        <v>25386</v>
      </c>
      <c r="E637" s="115">
        <f>IFERROR(__xludf.DUMMYFUNCTION("""COMPUTED_VALUE"""),4747.0)</f>
        <v>4747</v>
      </c>
      <c r="F637" s="115">
        <f>IFERROR(__xludf.DUMMYFUNCTION("""COMPUTED_VALUE"""),3961.0)</f>
        <v>3961</v>
      </c>
      <c r="G637" s="115">
        <f>IFERROR(__xludf.DUMMYFUNCTION("""COMPUTED_VALUE"""),207.0)</f>
        <v>207</v>
      </c>
      <c r="H637" s="116">
        <f>IFERROR(__xludf.DUMMYFUNCTION("""COMPUTED_VALUE"""),45902.0)</f>
        <v>45902</v>
      </c>
      <c r="I637" s="115" t="str">
        <f>IFERROR(__xludf.DUMMYFUNCTION("""COMPUTED_VALUE"""),"11")</f>
        <v>11</v>
      </c>
      <c r="J637" s="115" t="str">
        <f>IFERROR(__xludf.DUMMYFUNCTION("""COMPUTED_VALUE"""),"Girish Chand2025-09-0211")</f>
        <v>Girish Chand2025-09-0211</v>
      </c>
      <c r="K637" s="115">
        <f>IFERROR(__xludf.DUMMYFUNCTION("""COMPUTED_VALUE"""),30133.0)</f>
        <v>30133</v>
      </c>
    </row>
    <row r="638">
      <c r="A638" s="115" t="str">
        <f>IFERROR(__xludf.DUMMYFUNCTION("""COMPUTED_VALUE"""),"EAST")</f>
        <v>EAST</v>
      </c>
      <c r="B638" s="115" t="str">
        <f>IFERROR(__xludf.DUMMYFUNCTION("""COMPUTED_VALUE"""),"Parag Kashyap")</f>
        <v>Parag Kashyap</v>
      </c>
      <c r="C638" s="115" t="str">
        <f>IFERROR(__xludf.DUMMYFUNCTION("""COMPUTED_VALUE"""),"EXTERNAL")</f>
        <v>EXTERNAL</v>
      </c>
      <c r="D638" s="115">
        <f>IFERROR(__xludf.DUMMYFUNCTION("""COMPUTED_VALUE"""),16340.0)</f>
        <v>16340</v>
      </c>
      <c r="E638" s="115">
        <f>IFERROR(__xludf.DUMMYFUNCTION("""COMPUTED_VALUE"""),637.0)</f>
        <v>637</v>
      </c>
      <c r="F638" s="115">
        <f>IFERROR(__xludf.DUMMYFUNCTION("""COMPUTED_VALUE"""),910.0)</f>
        <v>910</v>
      </c>
      <c r="G638" s="115">
        <f>IFERROR(__xludf.DUMMYFUNCTION("""COMPUTED_VALUE"""),11.0)</f>
        <v>11</v>
      </c>
      <c r="H638" s="116">
        <f>IFERROR(__xludf.DUMMYFUNCTION("""COMPUTED_VALUE"""),45902.0)</f>
        <v>45902</v>
      </c>
      <c r="I638" s="115" t="str">
        <f>IFERROR(__xludf.DUMMYFUNCTION("""COMPUTED_VALUE"""),"11")</f>
        <v>11</v>
      </c>
      <c r="J638" s="115" t="str">
        <f>IFERROR(__xludf.DUMMYFUNCTION("""COMPUTED_VALUE"""),"Parag Kashyap2025-09-0211")</f>
        <v>Parag Kashyap2025-09-0211</v>
      </c>
      <c r="K638" s="115">
        <f>IFERROR(__xludf.DUMMYFUNCTION("""COMPUTED_VALUE"""),16977.0)</f>
        <v>16977</v>
      </c>
    </row>
    <row r="639">
      <c r="A639" s="115" t="str">
        <f>IFERROR(__xludf.DUMMYFUNCTION("""COMPUTED_VALUE"""),"EAST")</f>
        <v>EAST</v>
      </c>
      <c r="B639" s="115" t="str">
        <f>IFERROR(__xludf.DUMMYFUNCTION("""COMPUTED_VALUE"""),"Parag Kashyap")</f>
        <v>Parag Kashyap</v>
      </c>
      <c r="C639" s="115" t="str">
        <f>IFERROR(__xludf.DUMMYFUNCTION("""COMPUTED_VALUE"""),"FLIPKART")</f>
        <v>FLIPKART</v>
      </c>
      <c r="D639" s="115">
        <f>IFERROR(__xludf.DUMMYFUNCTION("""COMPUTED_VALUE"""),242447.0)</f>
        <v>242447</v>
      </c>
      <c r="E639" s="115">
        <f>IFERROR(__xludf.DUMMYFUNCTION("""COMPUTED_VALUE"""),12409.0)</f>
        <v>12409</v>
      </c>
      <c r="F639" s="115">
        <f>IFERROR(__xludf.DUMMYFUNCTION("""COMPUTED_VALUE"""),26768.0)</f>
        <v>26768</v>
      </c>
      <c r="G639" s="115">
        <f>IFERROR(__xludf.DUMMYFUNCTION("""COMPUTED_VALUE"""),397.0)</f>
        <v>397</v>
      </c>
      <c r="H639" s="116">
        <f>IFERROR(__xludf.DUMMYFUNCTION("""COMPUTED_VALUE"""),45902.0)</f>
        <v>45902</v>
      </c>
      <c r="I639" s="115" t="str">
        <f>IFERROR(__xludf.DUMMYFUNCTION("""COMPUTED_VALUE"""),"11")</f>
        <v>11</v>
      </c>
      <c r="J639" s="115" t="str">
        <f>IFERROR(__xludf.DUMMYFUNCTION("""COMPUTED_VALUE"""),"Parag Kashyap2025-09-0211")</f>
        <v>Parag Kashyap2025-09-0211</v>
      </c>
      <c r="K639" s="115">
        <f>IFERROR(__xludf.DUMMYFUNCTION("""COMPUTED_VALUE"""),254856.0)</f>
        <v>254856</v>
      </c>
    </row>
    <row r="640">
      <c r="A640" s="115" t="str">
        <f>IFERROR(__xludf.DUMMYFUNCTION("""COMPUTED_VALUE"""),"EAST")</f>
        <v>EAST</v>
      </c>
      <c r="B640" s="115" t="str">
        <f>IFERROR(__xludf.DUMMYFUNCTION("""COMPUTED_VALUE"""),"Parag Kashyap")</f>
        <v>Parag Kashyap</v>
      </c>
      <c r="C640" s="115" t="str">
        <f>IFERROR(__xludf.DUMMYFUNCTION("""COMPUTED_VALUE"""),"MYNTRA")</f>
        <v>MYNTRA</v>
      </c>
      <c r="D640" s="115">
        <f>IFERROR(__xludf.DUMMYFUNCTION("""COMPUTED_VALUE"""),24779.0)</f>
        <v>24779</v>
      </c>
      <c r="E640" s="115">
        <f>IFERROR(__xludf.DUMMYFUNCTION("""COMPUTED_VALUE"""),3305.0)</f>
        <v>3305</v>
      </c>
      <c r="F640" s="115">
        <f>IFERROR(__xludf.DUMMYFUNCTION("""COMPUTED_VALUE"""),3232.0)</f>
        <v>3232</v>
      </c>
      <c r="G640" s="115">
        <f>IFERROR(__xludf.DUMMYFUNCTION("""COMPUTED_VALUE"""),82.0)</f>
        <v>82</v>
      </c>
      <c r="H640" s="116">
        <f>IFERROR(__xludf.DUMMYFUNCTION("""COMPUTED_VALUE"""),45902.0)</f>
        <v>45902</v>
      </c>
      <c r="I640" s="115" t="str">
        <f>IFERROR(__xludf.DUMMYFUNCTION("""COMPUTED_VALUE"""),"11")</f>
        <v>11</v>
      </c>
      <c r="J640" s="115" t="str">
        <f>IFERROR(__xludf.DUMMYFUNCTION("""COMPUTED_VALUE"""),"Parag Kashyap2025-09-0211")</f>
        <v>Parag Kashyap2025-09-0211</v>
      </c>
      <c r="K640" s="115">
        <f>IFERROR(__xludf.DUMMYFUNCTION("""COMPUTED_VALUE"""),28084.0)</f>
        <v>28084</v>
      </c>
    </row>
    <row r="641">
      <c r="A641" s="115" t="str">
        <f>IFERROR(__xludf.DUMMYFUNCTION("""COMPUTED_VALUE"""),"NORTH")</f>
        <v>NORTH</v>
      </c>
      <c r="B641" s="115" t="str">
        <f>IFERROR(__xludf.DUMMYFUNCTION("""COMPUTED_VALUE"""),"Amit Kumar Pathak")</f>
        <v>Amit Kumar Pathak</v>
      </c>
      <c r="C641" s="115" t="str">
        <f>IFERROR(__xludf.DUMMYFUNCTION("""COMPUTED_VALUE"""),"EXTERNAL")</f>
        <v>EXTERNAL</v>
      </c>
      <c r="D641" s="115">
        <f>IFERROR(__xludf.DUMMYFUNCTION("""COMPUTED_VALUE"""),17235.0)</f>
        <v>17235</v>
      </c>
      <c r="E641" s="115">
        <f>IFERROR(__xludf.DUMMYFUNCTION("""COMPUTED_VALUE"""),1597.0)</f>
        <v>1597</v>
      </c>
      <c r="F641" s="115">
        <f>IFERROR(__xludf.DUMMYFUNCTION("""COMPUTED_VALUE"""),1405.0)</f>
        <v>1405</v>
      </c>
      <c r="G641" s="115">
        <f>IFERROR(__xludf.DUMMYFUNCTION("""COMPUTED_VALUE"""),75.0)</f>
        <v>75</v>
      </c>
      <c r="H641" s="116">
        <f>IFERROR(__xludf.DUMMYFUNCTION("""COMPUTED_VALUE"""),45902.0)</f>
        <v>45902</v>
      </c>
      <c r="I641" s="115" t="str">
        <f>IFERROR(__xludf.DUMMYFUNCTION("""COMPUTED_VALUE"""),"11")</f>
        <v>11</v>
      </c>
      <c r="J641" s="115" t="str">
        <f>IFERROR(__xludf.DUMMYFUNCTION("""COMPUTED_VALUE"""),"Amit Kumar Pathak2025-09-0211")</f>
        <v>Amit Kumar Pathak2025-09-0211</v>
      </c>
      <c r="K641" s="115">
        <f>IFERROR(__xludf.DUMMYFUNCTION("""COMPUTED_VALUE"""),18832.0)</f>
        <v>18832</v>
      </c>
    </row>
    <row r="642">
      <c r="A642" s="115" t="str">
        <f>IFERROR(__xludf.DUMMYFUNCTION("""COMPUTED_VALUE"""),"NORTH")</f>
        <v>NORTH</v>
      </c>
      <c r="B642" s="115" t="str">
        <f>IFERROR(__xludf.DUMMYFUNCTION("""COMPUTED_VALUE"""),"Amit Kumar Pathak")</f>
        <v>Amit Kumar Pathak</v>
      </c>
      <c r="C642" s="115" t="str">
        <f>IFERROR(__xludf.DUMMYFUNCTION("""COMPUTED_VALUE"""),"FLIPKART")</f>
        <v>FLIPKART</v>
      </c>
      <c r="D642" s="115">
        <f>IFERROR(__xludf.DUMMYFUNCTION("""COMPUTED_VALUE"""),120683.0)</f>
        <v>120683</v>
      </c>
      <c r="E642" s="115">
        <f>IFERROR(__xludf.DUMMYFUNCTION("""COMPUTED_VALUE"""),17833.0)</f>
        <v>17833</v>
      </c>
      <c r="F642" s="115">
        <f>IFERROR(__xludf.DUMMYFUNCTION("""COMPUTED_VALUE"""),18781.0)</f>
        <v>18781</v>
      </c>
      <c r="G642" s="115">
        <f>IFERROR(__xludf.DUMMYFUNCTION("""COMPUTED_VALUE"""),1419.0)</f>
        <v>1419</v>
      </c>
      <c r="H642" s="116">
        <f>IFERROR(__xludf.DUMMYFUNCTION("""COMPUTED_VALUE"""),45902.0)</f>
        <v>45902</v>
      </c>
      <c r="I642" s="115" t="str">
        <f>IFERROR(__xludf.DUMMYFUNCTION("""COMPUTED_VALUE"""),"11")</f>
        <v>11</v>
      </c>
      <c r="J642" s="115" t="str">
        <f>IFERROR(__xludf.DUMMYFUNCTION("""COMPUTED_VALUE"""),"Amit Kumar Pathak2025-09-0211")</f>
        <v>Amit Kumar Pathak2025-09-0211</v>
      </c>
      <c r="K642" s="115">
        <f>IFERROR(__xludf.DUMMYFUNCTION("""COMPUTED_VALUE"""),138516.0)</f>
        <v>138516</v>
      </c>
    </row>
    <row r="643">
      <c r="A643" s="115" t="str">
        <f>IFERROR(__xludf.DUMMYFUNCTION("""COMPUTED_VALUE"""),"NORTH")</f>
        <v>NORTH</v>
      </c>
      <c r="B643" s="115" t="str">
        <f>IFERROR(__xludf.DUMMYFUNCTION("""COMPUTED_VALUE"""),"Amit Kumar Pathak")</f>
        <v>Amit Kumar Pathak</v>
      </c>
      <c r="C643" s="115" t="str">
        <f>IFERROR(__xludf.DUMMYFUNCTION("""COMPUTED_VALUE"""),"MYNTRA")</f>
        <v>MYNTRA</v>
      </c>
      <c r="D643" s="115">
        <f>IFERROR(__xludf.DUMMYFUNCTION("""COMPUTED_VALUE"""),11024.0)</f>
        <v>11024</v>
      </c>
      <c r="E643" s="115">
        <f>IFERROR(__xludf.DUMMYFUNCTION("""COMPUTED_VALUE"""),4090.0)</f>
        <v>4090</v>
      </c>
      <c r="F643" s="115">
        <f>IFERROR(__xludf.DUMMYFUNCTION("""COMPUTED_VALUE"""),2313.0)</f>
        <v>2313</v>
      </c>
      <c r="G643" s="115">
        <f>IFERROR(__xludf.DUMMYFUNCTION("""COMPUTED_VALUE"""),428.0)</f>
        <v>428</v>
      </c>
      <c r="H643" s="116">
        <f>IFERROR(__xludf.DUMMYFUNCTION("""COMPUTED_VALUE"""),45902.0)</f>
        <v>45902</v>
      </c>
      <c r="I643" s="115" t="str">
        <f>IFERROR(__xludf.DUMMYFUNCTION("""COMPUTED_VALUE"""),"11")</f>
        <v>11</v>
      </c>
      <c r="J643" s="115" t="str">
        <f>IFERROR(__xludf.DUMMYFUNCTION("""COMPUTED_VALUE"""),"Amit Kumar Pathak2025-09-0211")</f>
        <v>Amit Kumar Pathak2025-09-0211</v>
      </c>
      <c r="K643" s="115">
        <f>IFERROR(__xludf.DUMMYFUNCTION("""COMPUTED_VALUE"""),15114.0)</f>
        <v>15114</v>
      </c>
    </row>
    <row r="644">
      <c r="A644" s="115" t="str">
        <f>IFERROR(__xludf.DUMMYFUNCTION("""COMPUTED_VALUE"""),"NORTH")</f>
        <v>NORTH</v>
      </c>
      <c r="B644" s="115" t="str">
        <f>IFERROR(__xludf.DUMMYFUNCTION("""COMPUTED_VALUE"""),"Loveleen Singh")</f>
        <v>Loveleen Singh</v>
      </c>
      <c r="C644" s="115" t="str">
        <f>IFERROR(__xludf.DUMMYFUNCTION("""COMPUTED_VALUE"""),"EXTERNAL")</f>
        <v>EXTERNAL</v>
      </c>
      <c r="D644" s="115">
        <f>IFERROR(__xludf.DUMMYFUNCTION("""COMPUTED_VALUE"""),17368.0)</f>
        <v>17368</v>
      </c>
      <c r="E644" s="115">
        <f>IFERROR(__xludf.DUMMYFUNCTION("""COMPUTED_VALUE"""),1001.0)</f>
        <v>1001</v>
      </c>
      <c r="F644" s="115">
        <f>IFERROR(__xludf.DUMMYFUNCTION("""COMPUTED_VALUE"""),903.0)</f>
        <v>903</v>
      </c>
      <c r="G644" s="115">
        <f>IFERROR(__xludf.DUMMYFUNCTION("""COMPUTED_VALUE"""),20.0)</f>
        <v>20</v>
      </c>
      <c r="H644" s="116">
        <f>IFERROR(__xludf.DUMMYFUNCTION("""COMPUTED_VALUE"""),45902.0)</f>
        <v>45902</v>
      </c>
      <c r="I644" s="115" t="str">
        <f>IFERROR(__xludf.DUMMYFUNCTION("""COMPUTED_VALUE"""),"11")</f>
        <v>11</v>
      </c>
      <c r="J644" s="115" t="str">
        <f>IFERROR(__xludf.DUMMYFUNCTION("""COMPUTED_VALUE"""),"Loveleen Singh2025-09-0211")</f>
        <v>Loveleen Singh2025-09-0211</v>
      </c>
      <c r="K644" s="115">
        <f>IFERROR(__xludf.DUMMYFUNCTION("""COMPUTED_VALUE"""),18369.0)</f>
        <v>18369</v>
      </c>
    </row>
    <row r="645">
      <c r="A645" s="115" t="str">
        <f>IFERROR(__xludf.DUMMYFUNCTION("""COMPUTED_VALUE"""),"NORTH")</f>
        <v>NORTH</v>
      </c>
      <c r="B645" s="115" t="str">
        <f>IFERROR(__xludf.DUMMYFUNCTION("""COMPUTED_VALUE"""),"Loveleen Singh")</f>
        <v>Loveleen Singh</v>
      </c>
      <c r="C645" s="115" t="str">
        <f>IFERROR(__xludf.DUMMYFUNCTION("""COMPUTED_VALUE"""),"FLIPKART")</f>
        <v>FLIPKART</v>
      </c>
      <c r="D645" s="115">
        <f>IFERROR(__xludf.DUMMYFUNCTION("""COMPUTED_VALUE"""),93570.0)</f>
        <v>93570</v>
      </c>
      <c r="E645" s="115">
        <f>IFERROR(__xludf.DUMMYFUNCTION("""COMPUTED_VALUE"""),6877.0)</f>
        <v>6877</v>
      </c>
      <c r="F645" s="115">
        <f>IFERROR(__xludf.DUMMYFUNCTION("""COMPUTED_VALUE"""),8473.0)</f>
        <v>8473</v>
      </c>
      <c r="G645" s="115">
        <f>IFERROR(__xludf.DUMMYFUNCTION("""COMPUTED_VALUE"""),223.0)</f>
        <v>223</v>
      </c>
      <c r="H645" s="116">
        <f>IFERROR(__xludf.DUMMYFUNCTION("""COMPUTED_VALUE"""),45902.0)</f>
        <v>45902</v>
      </c>
      <c r="I645" s="115" t="str">
        <f>IFERROR(__xludf.DUMMYFUNCTION("""COMPUTED_VALUE"""),"11")</f>
        <v>11</v>
      </c>
      <c r="J645" s="115" t="str">
        <f>IFERROR(__xludf.DUMMYFUNCTION("""COMPUTED_VALUE"""),"Loveleen Singh2025-09-0211")</f>
        <v>Loveleen Singh2025-09-0211</v>
      </c>
      <c r="K645" s="115">
        <f>IFERROR(__xludf.DUMMYFUNCTION("""COMPUTED_VALUE"""),100447.0)</f>
        <v>100447</v>
      </c>
    </row>
    <row r="646">
      <c r="A646" s="115" t="str">
        <f>IFERROR(__xludf.DUMMYFUNCTION("""COMPUTED_VALUE"""),"NORTH")</f>
        <v>NORTH</v>
      </c>
      <c r="B646" s="115" t="str">
        <f>IFERROR(__xludf.DUMMYFUNCTION("""COMPUTED_VALUE"""),"Loveleen Singh")</f>
        <v>Loveleen Singh</v>
      </c>
      <c r="C646" s="115" t="str">
        <f>IFERROR(__xludf.DUMMYFUNCTION("""COMPUTED_VALUE"""),"MYNTRA")</f>
        <v>MYNTRA</v>
      </c>
      <c r="D646" s="115">
        <f>IFERROR(__xludf.DUMMYFUNCTION("""COMPUTED_VALUE"""),14038.0)</f>
        <v>14038</v>
      </c>
      <c r="E646" s="115">
        <f>IFERROR(__xludf.DUMMYFUNCTION("""COMPUTED_VALUE"""),2780.0)</f>
        <v>2780</v>
      </c>
      <c r="F646" s="115">
        <f>IFERROR(__xludf.DUMMYFUNCTION("""COMPUTED_VALUE"""),1617.0)</f>
        <v>1617</v>
      </c>
      <c r="G646" s="115">
        <f>IFERROR(__xludf.DUMMYFUNCTION("""COMPUTED_VALUE"""),71.0)</f>
        <v>71</v>
      </c>
      <c r="H646" s="116">
        <f>IFERROR(__xludf.DUMMYFUNCTION("""COMPUTED_VALUE"""),45902.0)</f>
        <v>45902</v>
      </c>
      <c r="I646" s="115" t="str">
        <f>IFERROR(__xludf.DUMMYFUNCTION("""COMPUTED_VALUE"""),"11")</f>
        <v>11</v>
      </c>
      <c r="J646" s="115" t="str">
        <f>IFERROR(__xludf.DUMMYFUNCTION("""COMPUTED_VALUE"""),"Loveleen Singh2025-09-0211")</f>
        <v>Loveleen Singh2025-09-0211</v>
      </c>
      <c r="K646" s="115">
        <f>IFERROR(__xludf.DUMMYFUNCTION("""COMPUTED_VALUE"""),16818.0)</f>
        <v>16818</v>
      </c>
    </row>
    <row r="647">
      <c r="A647" s="115" t="str">
        <f>IFERROR(__xludf.DUMMYFUNCTION("""COMPUTED_VALUE"""),"NORTH")</f>
        <v>NORTH</v>
      </c>
      <c r="B647" s="115" t="str">
        <f>IFERROR(__xludf.DUMMYFUNCTION("""COMPUTED_VALUE"""),"Manoj Harsh")</f>
        <v>Manoj Harsh</v>
      </c>
      <c r="C647" s="115" t="str">
        <f>IFERROR(__xludf.DUMMYFUNCTION("""COMPUTED_VALUE"""),"EXTERNAL")</f>
        <v>EXTERNAL</v>
      </c>
      <c r="D647" s="115">
        <f>IFERROR(__xludf.DUMMYFUNCTION("""COMPUTED_VALUE"""),23450.0)</f>
        <v>23450</v>
      </c>
      <c r="E647" s="115">
        <f>IFERROR(__xludf.DUMMYFUNCTION("""COMPUTED_VALUE"""),1749.0)</f>
        <v>1749</v>
      </c>
      <c r="F647" s="115">
        <f>IFERROR(__xludf.DUMMYFUNCTION("""COMPUTED_VALUE"""),1297.0)</f>
        <v>1297</v>
      </c>
      <c r="G647" s="115">
        <f>IFERROR(__xludf.DUMMYFUNCTION("""COMPUTED_VALUE"""),39.0)</f>
        <v>39</v>
      </c>
      <c r="H647" s="116">
        <f>IFERROR(__xludf.DUMMYFUNCTION("""COMPUTED_VALUE"""),45902.0)</f>
        <v>45902</v>
      </c>
      <c r="I647" s="115" t="str">
        <f>IFERROR(__xludf.DUMMYFUNCTION("""COMPUTED_VALUE"""),"11")</f>
        <v>11</v>
      </c>
      <c r="J647" s="115" t="str">
        <f>IFERROR(__xludf.DUMMYFUNCTION("""COMPUTED_VALUE"""),"Manoj Harsh2025-09-0211")</f>
        <v>Manoj Harsh2025-09-0211</v>
      </c>
      <c r="K647" s="115">
        <f>IFERROR(__xludf.DUMMYFUNCTION("""COMPUTED_VALUE"""),25199.0)</f>
        <v>25199</v>
      </c>
    </row>
    <row r="648">
      <c r="A648" s="115" t="str">
        <f>IFERROR(__xludf.DUMMYFUNCTION("""COMPUTED_VALUE"""),"NORTH")</f>
        <v>NORTH</v>
      </c>
      <c r="B648" s="115" t="str">
        <f>IFERROR(__xludf.DUMMYFUNCTION("""COMPUTED_VALUE"""),"Manoj Harsh")</f>
        <v>Manoj Harsh</v>
      </c>
      <c r="C648" s="115" t="str">
        <f>IFERROR(__xludf.DUMMYFUNCTION("""COMPUTED_VALUE"""),"FLIPKART")</f>
        <v>FLIPKART</v>
      </c>
      <c r="D648" s="115">
        <f>IFERROR(__xludf.DUMMYFUNCTION("""COMPUTED_VALUE"""),301553.0)</f>
        <v>301553</v>
      </c>
      <c r="E648" s="115">
        <f>IFERROR(__xludf.DUMMYFUNCTION("""COMPUTED_VALUE"""),26938.0)</f>
        <v>26938</v>
      </c>
      <c r="F648" s="115">
        <f>IFERROR(__xludf.DUMMYFUNCTION("""COMPUTED_VALUE"""),32722.0)</f>
        <v>32722</v>
      </c>
      <c r="G648" s="115">
        <f>IFERROR(__xludf.DUMMYFUNCTION("""COMPUTED_VALUE"""),1085.0)</f>
        <v>1085</v>
      </c>
      <c r="H648" s="116">
        <f>IFERROR(__xludf.DUMMYFUNCTION("""COMPUTED_VALUE"""),45902.0)</f>
        <v>45902</v>
      </c>
      <c r="I648" s="115" t="str">
        <f>IFERROR(__xludf.DUMMYFUNCTION("""COMPUTED_VALUE"""),"11")</f>
        <v>11</v>
      </c>
      <c r="J648" s="115" t="str">
        <f>IFERROR(__xludf.DUMMYFUNCTION("""COMPUTED_VALUE"""),"Manoj Harsh2025-09-0211")</f>
        <v>Manoj Harsh2025-09-0211</v>
      </c>
      <c r="K648" s="115">
        <f>IFERROR(__xludf.DUMMYFUNCTION("""COMPUTED_VALUE"""),328491.0)</f>
        <v>328491</v>
      </c>
    </row>
    <row r="649">
      <c r="A649" s="115" t="str">
        <f>IFERROR(__xludf.DUMMYFUNCTION("""COMPUTED_VALUE"""),"NORTH")</f>
        <v>NORTH</v>
      </c>
      <c r="B649" s="115" t="str">
        <f>IFERROR(__xludf.DUMMYFUNCTION("""COMPUTED_VALUE"""),"Manoj Harsh")</f>
        <v>Manoj Harsh</v>
      </c>
      <c r="C649" s="115" t="str">
        <f>IFERROR(__xludf.DUMMYFUNCTION("""COMPUTED_VALUE"""),"MYNTRA")</f>
        <v>MYNTRA</v>
      </c>
      <c r="D649" s="115">
        <f>IFERROR(__xludf.DUMMYFUNCTION("""COMPUTED_VALUE"""),26351.0)</f>
        <v>26351</v>
      </c>
      <c r="E649" s="115">
        <f>IFERROR(__xludf.DUMMYFUNCTION("""COMPUTED_VALUE"""),5140.0)</f>
        <v>5140</v>
      </c>
      <c r="F649" s="115">
        <f>IFERROR(__xludf.DUMMYFUNCTION("""COMPUTED_VALUE"""),3559.0)</f>
        <v>3559</v>
      </c>
      <c r="G649" s="115">
        <f>IFERROR(__xludf.DUMMYFUNCTION("""COMPUTED_VALUE"""),213.0)</f>
        <v>213</v>
      </c>
      <c r="H649" s="116">
        <f>IFERROR(__xludf.DUMMYFUNCTION("""COMPUTED_VALUE"""),45902.0)</f>
        <v>45902</v>
      </c>
      <c r="I649" s="115" t="str">
        <f>IFERROR(__xludf.DUMMYFUNCTION("""COMPUTED_VALUE"""),"11")</f>
        <v>11</v>
      </c>
      <c r="J649" s="115" t="str">
        <f>IFERROR(__xludf.DUMMYFUNCTION("""COMPUTED_VALUE"""),"Manoj Harsh2025-09-0211")</f>
        <v>Manoj Harsh2025-09-0211</v>
      </c>
      <c r="K649" s="115">
        <f>IFERROR(__xludf.DUMMYFUNCTION("""COMPUTED_VALUE"""),31491.0)</f>
        <v>31491</v>
      </c>
    </row>
    <row r="650">
      <c r="A650" s="115" t="str">
        <f>IFERROR(__xludf.DUMMYFUNCTION("""COMPUTED_VALUE"""),"NORTH")</f>
        <v>NORTH</v>
      </c>
      <c r="B650" s="115" t="str">
        <f>IFERROR(__xludf.DUMMYFUNCTION("""COMPUTED_VALUE"""),"Pradeep Kothari")</f>
        <v>Pradeep Kothari</v>
      </c>
      <c r="C650" s="115" t="str">
        <f>IFERROR(__xludf.DUMMYFUNCTION("""COMPUTED_VALUE"""),"EXTERNAL")</f>
        <v>EXTERNAL</v>
      </c>
      <c r="D650" s="115">
        <f>IFERROR(__xludf.DUMMYFUNCTION("""COMPUTED_VALUE"""),14531.0)</f>
        <v>14531</v>
      </c>
      <c r="E650" s="115">
        <f>IFERROR(__xludf.DUMMYFUNCTION("""COMPUTED_VALUE"""),1265.0)</f>
        <v>1265</v>
      </c>
      <c r="F650" s="115">
        <f>IFERROR(__xludf.DUMMYFUNCTION("""COMPUTED_VALUE"""),1083.0)</f>
        <v>1083</v>
      </c>
      <c r="G650" s="115">
        <f>IFERROR(__xludf.DUMMYFUNCTION("""COMPUTED_VALUE"""),49.0)</f>
        <v>49</v>
      </c>
      <c r="H650" s="116">
        <f>IFERROR(__xludf.DUMMYFUNCTION("""COMPUTED_VALUE"""),45902.0)</f>
        <v>45902</v>
      </c>
      <c r="I650" s="115" t="str">
        <f>IFERROR(__xludf.DUMMYFUNCTION("""COMPUTED_VALUE"""),"11")</f>
        <v>11</v>
      </c>
      <c r="J650" s="115" t="str">
        <f>IFERROR(__xludf.DUMMYFUNCTION("""COMPUTED_VALUE"""),"Pradeep Kothari2025-09-0211")</f>
        <v>Pradeep Kothari2025-09-0211</v>
      </c>
      <c r="K650" s="115">
        <f>IFERROR(__xludf.DUMMYFUNCTION("""COMPUTED_VALUE"""),15796.0)</f>
        <v>15796</v>
      </c>
    </row>
    <row r="651">
      <c r="A651" s="115" t="str">
        <f>IFERROR(__xludf.DUMMYFUNCTION("""COMPUTED_VALUE"""),"NORTH")</f>
        <v>NORTH</v>
      </c>
      <c r="B651" s="115" t="str">
        <f>IFERROR(__xludf.DUMMYFUNCTION("""COMPUTED_VALUE"""),"Pradeep Kothari")</f>
        <v>Pradeep Kothari</v>
      </c>
      <c r="C651" s="115" t="str">
        <f>IFERROR(__xludf.DUMMYFUNCTION("""COMPUTED_VALUE"""),"FLIPKART")</f>
        <v>FLIPKART</v>
      </c>
      <c r="D651" s="115">
        <f>IFERROR(__xludf.DUMMYFUNCTION("""COMPUTED_VALUE"""),108315.0)</f>
        <v>108315</v>
      </c>
      <c r="E651" s="115">
        <f>IFERROR(__xludf.DUMMYFUNCTION("""COMPUTED_VALUE"""),12209.0)</f>
        <v>12209</v>
      </c>
      <c r="F651" s="115">
        <f>IFERROR(__xludf.DUMMYFUNCTION("""COMPUTED_VALUE"""),16255.0)</f>
        <v>16255</v>
      </c>
      <c r="G651" s="115">
        <f>IFERROR(__xludf.DUMMYFUNCTION("""COMPUTED_VALUE"""),759.0)</f>
        <v>759</v>
      </c>
      <c r="H651" s="116">
        <f>IFERROR(__xludf.DUMMYFUNCTION("""COMPUTED_VALUE"""),45902.0)</f>
        <v>45902</v>
      </c>
      <c r="I651" s="115" t="str">
        <f>IFERROR(__xludf.DUMMYFUNCTION("""COMPUTED_VALUE"""),"11")</f>
        <v>11</v>
      </c>
      <c r="J651" s="115" t="str">
        <f>IFERROR(__xludf.DUMMYFUNCTION("""COMPUTED_VALUE"""),"Pradeep Kothari2025-09-0211")</f>
        <v>Pradeep Kothari2025-09-0211</v>
      </c>
      <c r="K651" s="115">
        <f>IFERROR(__xludf.DUMMYFUNCTION("""COMPUTED_VALUE"""),120524.0)</f>
        <v>120524</v>
      </c>
    </row>
    <row r="652">
      <c r="A652" s="115" t="str">
        <f>IFERROR(__xludf.DUMMYFUNCTION("""COMPUTED_VALUE"""),"NORTH")</f>
        <v>NORTH</v>
      </c>
      <c r="B652" s="115" t="str">
        <f>IFERROR(__xludf.DUMMYFUNCTION("""COMPUTED_VALUE"""),"Pradeep Kothari")</f>
        <v>Pradeep Kothari</v>
      </c>
      <c r="C652" s="115" t="str">
        <f>IFERROR(__xludf.DUMMYFUNCTION("""COMPUTED_VALUE"""),"MYNTRA")</f>
        <v>MYNTRA</v>
      </c>
      <c r="D652" s="115">
        <f>IFERROR(__xludf.DUMMYFUNCTION("""COMPUTED_VALUE"""),18826.0)</f>
        <v>18826</v>
      </c>
      <c r="E652" s="115">
        <f>IFERROR(__xludf.DUMMYFUNCTION("""COMPUTED_VALUE"""),4569.0)</f>
        <v>4569</v>
      </c>
      <c r="F652" s="115">
        <f>IFERROR(__xludf.DUMMYFUNCTION("""COMPUTED_VALUE"""),3814.0)</f>
        <v>3814</v>
      </c>
      <c r="G652" s="115">
        <f>IFERROR(__xludf.DUMMYFUNCTION("""COMPUTED_VALUE"""),360.0)</f>
        <v>360</v>
      </c>
      <c r="H652" s="116">
        <f>IFERROR(__xludf.DUMMYFUNCTION("""COMPUTED_VALUE"""),45902.0)</f>
        <v>45902</v>
      </c>
      <c r="I652" s="115" t="str">
        <f>IFERROR(__xludf.DUMMYFUNCTION("""COMPUTED_VALUE"""),"11")</f>
        <v>11</v>
      </c>
      <c r="J652" s="115" t="str">
        <f>IFERROR(__xludf.DUMMYFUNCTION("""COMPUTED_VALUE"""),"Pradeep Kothari2025-09-0211")</f>
        <v>Pradeep Kothari2025-09-0211</v>
      </c>
      <c r="K652" s="115">
        <f>IFERROR(__xludf.DUMMYFUNCTION("""COMPUTED_VALUE"""),23395.0)</f>
        <v>23395</v>
      </c>
    </row>
    <row r="653">
      <c r="A653" s="115" t="str">
        <f>IFERROR(__xludf.DUMMYFUNCTION("""COMPUTED_VALUE"""),"SOUTH")</f>
        <v>SOUTH</v>
      </c>
      <c r="B653" s="115" t="str">
        <f>IFERROR(__xludf.DUMMYFUNCTION("""COMPUTED_VALUE"""),"Kandula Sampath")</f>
        <v>Kandula Sampath</v>
      </c>
      <c r="C653" s="115" t="str">
        <f>IFERROR(__xludf.DUMMYFUNCTION("""COMPUTED_VALUE"""),"EXTERNAL")</f>
        <v>EXTERNAL</v>
      </c>
      <c r="D653" s="115">
        <f>IFERROR(__xludf.DUMMYFUNCTION("""COMPUTED_VALUE"""),31712.0)</f>
        <v>31712</v>
      </c>
      <c r="E653" s="115">
        <f>IFERROR(__xludf.DUMMYFUNCTION("""COMPUTED_VALUE"""),3146.0)</f>
        <v>3146</v>
      </c>
      <c r="F653" s="115">
        <f>IFERROR(__xludf.DUMMYFUNCTION("""COMPUTED_VALUE"""),3272.0)</f>
        <v>3272</v>
      </c>
      <c r="G653" s="115">
        <f>IFERROR(__xludf.DUMMYFUNCTION("""COMPUTED_VALUE"""),66.0)</f>
        <v>66</v>
      </c>
      <c r="H653" s="116">
        <f>IFERROR(__xludf.DUMMYFUNCTION("""COMPUTED_VALUE"""),45902.0)</f>
        <v>45902</v>
      </c>
      <c r="I653" s="115" t="str">
        <f>IFERROR(__xludf.DUMMYFUNCTION("""COMPUTED_VALUE"""),"11")</f>
        <v>11</v>
      </c>
      <c r="J653" s="115" t="str">
        <f>IFERROR(__xludf.DUMMYFUNCTION("""COMPUTED_VALUE"""),"Kandula Sampath2025-09-0211")</f>
        <v>Kandula Sampath2025-09-0211</v>
      </c>
      <c r="K653" s="115">
        <f>IFERROR(__xludf.DUMMYFUNCTION("""COMPUTED_VALUE"""),34858.0)</f>
        <v>34858</v>
      </c>
    </row>
    <row r="654">
      <c r="A654" s="115" t="str">
        <f>IFERROR(__xludf.DUMMYFUNCTION("""COMPUTED_VALUE"""),"SOUTH")</f>
        <v>SOUTH</v>
      </c>
      <c r="B654" s="115" t="str">
        <f>IFERROR(__xludf.DUMMYFUNCTION("""COMPUTED_VALUE"""),"Kandula Sampath")</f>
        <v>Kandula Sampath</v>
      </c>
      <c r="C654" s="115" t="str">
        <f>IFERROR(__xludf.DUMMYFUNCTION("""COMPUTED_VALUE"""),"FLIPKART")</f>
        <v>FLIPKART</v>
      </c>
      <c r="D654" s="115">
        <f>IFERROR(__xludf.DUMMYFUNCTION("""COMPUTED_VALUE"""),287409.0)</f>
        <v>287409</v>
      </c>
      <c r="E654" s="115">
        <f>IFERROR(__xludf.DUMMYFUNCTION("""COMPUTED_VALUE"""),25227.0)</f>
        <v>25227</v>
      </c>
      <c r="F654" s="115">
        <f>IFERROR(__xludf.DUMMYFUNCTION("""COMPUTED_VALUE"""),57062.0)</f>
        <v>57062</v>
      </c>
      <c r="G654" s="115">
        <f>IFERROR(__xludf.DUMMYFUNCTION("""COMPUTED_VALUE"""),929.0)</f>
        <v>929</v>
      </c>
      <c r="H654" s="116">
        <f>IFERROR(__xludf.DUMMYFUNCTION("""COMPUTED_VALUE"""),45902.0)</f>
        <v>45902</v>
      </c>
      <c r="I654" s="115" t="str">
        <f>IFERROR(__xludf.DUMMYFUNCTION("""COMPUTED_VALUE"""),"11")</f>
        <v>11</v>
      </c>
      <c r="J654" s="115" t="str">
        <f>IFERROR(__xludf.DUMMYFUNCTION("""COMPUTED_VALUE"""),"Kandula Sampath2025-09-0211")</f>
        <v>Kandula Sampath2025-09-0211</v>
      </c>
      <c r="K654" s="115">
        <f>IFERROR(__xludf.DUMMYFUNCTION("""COMPUTED_VALUE"""),312636.0)</f>
        <v>312636</v>
      </c>
    </row>
    <row r="655">
      <c r="A655" s="115" t="str">
        <f>IFERROR(__xludf.DUMMYFUNCTION("""COMPUTED_VALUE"""),"SOUTH")</f>
        <v>SOUTH</v>
      </c>
      <c r="B655" s="115" t="str">
        <f>IFERROR(__xludf.DUMMYFUNCTION("""COMPUTED_VALUE"""),"Kandula Sampath")</f>
        <v>Kandula Sampath</v>
      </c>
      <c r="C655" s="115" t="str">
        <f>IFERROR(__xludf.DUMMYFUNCTION("""COMPUTED_VALUE"""),"MYNTRA")</f>
        <v>MYNTRA</v>
      </c>
      <c r="D655" s="115">
        <f>IFERROR(__xludf.DUMMYFUNCTION("""COMPUTED_VALUE"""),29785.0)</f>
        <v>29785</v>
      </c>
      <c r="E655" s="115">
        <f>IFERROR(__xludf.DUMMYFUNCTION("""COMPUTED_VALUE"""),6275.0)</f>
        <v>6275</v>
      </c>
      <c r="F655" s="115">
        <f>IFERROR(__xludf.DUMMYFUNCTION("""COMPUTED_VALUE"""),7050.0)</f>
        <v>7050</v>
      </c>
      <c r="G655" s="115">
        <f>IFERROR(__xludf.DUMMYFUNCTION("""COMPUTED_VALUE"""),242.0)</f>
        <v>242</v>
      </c>
      <c r="H655" s="116">
        <f>IFERROR(__xludf.DUMMYFUNCTION("""COMPUTED_VALUE"""),45902.0)</f>
        <v>45902</v>
      </c>
      <c r="I655" s="115" t="str">
        <f>IFERROR(__xludf.DUMMYFUNCTION("""COMPUTED_VALUE"""),"11")</f>
        <v>11</v>
      </c>
      <c r="J655" s="115" t="str">
        <f>IFERROR(__xludf.DUMMYFUNCTION("""COMPUTED_VALUE"""),"Kandula Sampath2025-09-0211")</f>
        <v>Kandula Sampath2025-09-0211</v>
      </c>
      <c r="K655" s="115">
        <f>IFERROR(__xludf.DUMMYFUNCTION("""COMPUTED_VALUE"""),36060.0)</f>
        <v>36060</v>
      </c>
    </row>
    <row r="656">
      <c r="A656" s="115" t="str">
        <f>IFERROR(__xludf.DUMMYFUNCTION("""COMPUTED_VALUE"""),"SOUTH")</f>
        <v>SOUTH</v>
      </c>
      <c r="B656" s="115" t="str">
        <f>IFERROR(__xludf.DUMMYFUNCTION("""COMPUTED_VALUE"""),"Martin A")</f>
        <v>Martin A</v>
      </c>
      <c r="C656" s="115" t="str">
        <f>IFERROR(__xludf.DUMMYFUNCTION("""COMPUTED_VALUE"""),"EXTERNAL")</f>
        <v>EXTERNAL</v>
      </c>
      <c r="D656" s="115">
        <f>IFERROR(__xludf.DUMMYFUNCTION("""COMPUTED_VALUE"""),28403.0)</f>
        <v>28403</v>
      </c>
      <c r="E656" s="115">
        <f>IFERROR(__xludf.DUMMYFUNCTION("""COMPUTED_VALUE"""),1875.0)</f>
        <v>1875</v>
      </c>
      <c r="F656" s="115">
        <f>IFERROR(__xludf.DUMMYFUNCTION("""COMPUTED_VALUE"""),2817.0)</f>
        <v>2817</v>
      </c>
      <c r="G656" s="115">
        <f>IFERROR(__xludf.DUMMYFUNCTION("""COMPUTED_VALUE"""),68.0)</f>
        <v>68</v>
      </c>
      <c r="H656" s="116">
        <f>IFERROR(__xludf.DUMMYFUNCTION("""COMPUTED_VALUE"""),45902.0)</f>
        <v>45902</v>
      </c>
      <c r="I656" s="115" t="str">
        <f>IFERROR(__xludf.DUMMYFUNCTION("""COMPUTED_VALUE"""),"11")</f>
        <v>11</v>
      </c>
      <c r="J656" s="115" t="str">
        <f>IFERROR(__xludf.DUMMYFUNCTION("""COMPUTED_VALUE"""),"Martin A2025-09-0211")</f>
        <v>Martin A2025-09-0211</v>
      </c>
      <c r="K656" s="115">
        <f>IFERROR(__xludf.DUMMYFUNCTION("""COMPUTED_VALUE"""),30278.0)</f>
        <v>30278</v>
      </c>
    </row>
    <row r="657">
      <c r="A657" s="115" t="str">
        <f>IFERROR(__xludf.DUMMYFUNCTION("""COMPUTED_VALUE"""),"SOUTH")</f>
        <v>SOUTH</v>
      </c>
      <c r="B657" s="115" t="str">
        <f>IFERROR(__xludf.DUMMYFUNCTION("""COMPUTED_VALUE"""),"Martin A")</f>
        <v>Martin A</v>
      </c>
      <c r="C657" s="115" t="str">
        <f>IFERROR(__xludf.DUMMYFUNCTION("""COMPUTED_VALUE"""),"FLIPKART")</f>
        <v>FLIPKART</v>
      </c>
      <c r="D657" s="115">
        <f>IFERROR(__xludf.DUMMYFUNCTION("""COMPUTED_VALUE"""),221661.0)</f>
        <v>221661</v>
      </c>
      <c r="E657" s="115">
        <f>IFERROR(__xludf.DUMMYFUNCTION("""COMPUTED_VALUE"""),22163.0)</f>
        <v>22163</v>
      </c>
      <c r="F657" s="115">
        <f>IFERROR(__xludf.DUMMYFUNCTION("""COMPUTED_VALUE"""),39632.0)</f>
        <v>39632</v>
      </c>
      <c r="G657" s="115">
        <f>IFERROR(__xludf.DUMMYFUNCTION("""COMPUTED_VALUE"""),1175.0)</f>
        <v>1175</v>
      </c>
      <c r="H657" s="116">
        <f>IFERROR(__xludf.DUMMYFUNCTION("""COMPUTED_VALUE"""),45902.0)</f>
        <v>45902</v>
      </c>
      <c r="I657" s="115" t="str">
        <f>IFERROR(__xludf.DUMMYFUNCTION("""COMPUTED_VALUE"""),"11")</f>
        <v>11</v>
      </c>
      <c r="J657" s="115" t="str">
        <f>IFERROR(__xludf.DUMMYFUNCTION("""COMPUTED_VALUE"""),"Martin A2025-09-0211")</f>
        <v>Martin A2025-09-0211</v>
      </c>
      <c r="K657" s="115">
        <f>IFERROR(__xludf.DUMMYFUNCTION("""COMPUTED_VALUE"""),243824.0)</f>
        <v>243824</v>
      </c>
    </row>
    <row r="658">
      <c r="A658" s="115" t="str">
        <f>IFERROR(__xludf.DUMMYFUNCTION("""COMPUTED_VALUE"""),"SOUTH")</f>
        <v>SOUTH</v>
      </c>
      <c r="B658" s="115" t="str">
        <f>IFERROR(__xludf.DUMMYFUNCTION("""COMPUTED_VALUE"""),"Martin A")</f>
        <v>Martin A</v>
      </c>
      <c r="C658" s="115" t="str">
        <f>IFERROR(__xludf.DUMMYFUNCTION("""COMPUTED_VALUE"""),"MYNTRA")</f>
        <v>MYNTRA</v>
      </c>
      <c r="D658" s="115">
        <f>IFERROR(__xludf.DUMMYFUNCTION("""COMPUTED_VALUE"""),21443.0)</f>
        <v>21443</v>
      </c>
      <c r="E658" s="115">
        <f>IFERROR(__xludf.DUMMYFUNCTION("""COMPUTED_VALUE"""),5339.0)</f>
        <v>5339</v>
      </c>
      <c r="F658" s="115">
        <f>IFERROR(__xludf.DUMMYFUNCTION("""COMPUTED_VALUE"""),4761.0)</f>
        <v>4761</v>
      </c>
      <c r="G658" s="115">
        <f>IFERROR(__xludf.DUMMYFUNCTION("""COMPUTED_VALUE"""),336.0)</f>
        <v>336</v>
      </c>
      <c r="H658" s="116">
        <f>IFERROR(__xludf.DUMMYFUNCTION("""COMPUTED_VALUE"""),45902.0)</f>
        <v>45902</v>
      </c>
      <c r="I658" s="115" t="str">
        <f>IFERROR(__xludf.DUMMYFUNCTION("""COMPUTED_VALUE"""),"11")</f>
        <v>11</v>
      </c>
      <c r="J658" s="115" t="str">
        <f>IFERROR(__xludf.DUMMYFUNCTION("""COMPUTED_VALUE"""),"Martin A2025-09-0211")</f>
        <v>Martin A2025-09-0211</v>
      </c>
      <c r="K658" s="115">
        <f>IFERROR(__xludf.DUMMYFUNCTION("""COMPUTED_VALUE"""),26782.0)</f>
        <v>26782</v>
      </c>
    </row>
    <row r="659">
      <c r="A659" s="115" t="str">
        <f>IFERROR(__xludf.DUMMYFUNCTION("""COMPUTED_VALUE"""),"SOUTH")</f>
        <v>SOUTH</v>
      </c>
      <c r="B659" s="115" t="str">
        <f>IFERROR(__xludf.DUMMYFUNCTION("""COMPUTED_VALUE"""),"Premkumar M")</f>
        <v>Premkumar M</v>
      </c>
      <c r="C659" s="115" t="str">
        <f>IFERROR(__xludf.DUMMYFUNCTION("""COMPUTED_VALUE"""),"EXTERNAL")</f>
        <v>EXTERNAL</v>
      </c>
      <c r="D659" s="115">
        <f>IFERROR(__xludf.DUMMYFUNCTION("""COMPUTED_VALUE"""),19732.0)</f>
        <v>19732</v>
      </c>
      <c r="E659" s="115">
        <f>IFERROR(__xludf.DUMMYFUNCTION("""COMPUTED_VALUE"""),1102.0)</f>
        <v>1102</v>
      </c>
      <c r="F659" s="115">
        <f>IFERROR(__xludf.DUMMYFUNCTION("""COMPUTED_VALUE"""),1413.0)</f>
        <v>1413</v>
      </c>
      <c r="G659" s="115">
        <f>IFERROR(__xludf.DUMMYFUNCTION("""COMPUTED_VALUE"""),13.0)</f>
        <v>13</v>
      </c>
      <c r="H659" s="116">
        <f>IFERROR(__xludf.DUMMYFUNCTION("""COMPUTED_VALUE"""),45902.0)</f>
        <v>45902</v>
      </c>
      <c r="I659" s="115" t="str">
        <f>IFERROR(__xludf.DUMMYFUNCTION("""COMPUTED_VALUE"""),"11")</f>
        <v>11</v>
      </c>
      <c r="J659" s="115" t="str">
        <f>IFERROR(__xludf.DUMMYFUNCTION("""COMPUTED_VALUE"""),"Premkumar M2025-09-0211")</f>
        <v>Premkumar M2025-09-0211</v>
      </c>
      <c r="K659" s="115">
        <f>IFERROR(__xludf.DUMMYFUNCTION("""COMPUTED_VALUE"""),20834.0)</f>
        <v>20834</v>
      </c>
    </row>
    <row r="660">
      <c r="A660" s="115" t="str">
        <f>IFERROR(__xludf.DUMMYFUNCTION("""COMPUTED_VALUE"""),"SOUTH")</f>
        <v>SOUTH</v>
      </c>
      <c r="B660" s="115" t="str">
        <f>IFERROR(__xludf.DUMMYFUNCTION("""COMPUTED_VALUE"""),"Premkumar M")</f>
        <v>Premkumar M</v>
      </c>
      <c r="C660" s="115" t="str">
        <f>IFERROR(__xludf.DUMMYFUNCTION("""COMPUTED_VALUE"""),"FLIPKART")</f>
        <v>FLIPKART</v>
      </c>
      <c r="D660" s="115">
        <f>IFERROR(__xludf.DUMMYFUNCTION("""COMPUTED_VALUE"""),187433.0)</f>
        <v>187433</v>
      </c>
      <c r="E660" s="115">
        <f>IFERROR(__xludf.DUMMYFUNCTION("""COMPUTED_VALUE"""),11304.0)</f>
        <v>11304</v>
      </c>
      <c r="F660" s="115">
        <f>IFERROR(__xludf.DUMMYFUNCTION("""COMPUTED_VALUE"""),21517.0)</f>
        <v>21517</v>
      </c>
      <c r="G660" s="115">
        <f>IFERROR(__xludf.DUMMYFUNCTION("""COMPUTED_VALUE"""),224.0)</f>
        <v>224</v>
      </c>
      <c r="H660" s="116">
        <f>IFERROR(__xludf.DUMMYFUNCTION("""COMPUTED_VALUE"""),45902.0)</f>
        <v>45902</v>
      </c>
      <c r="I660" s="115" t="str">
        <f>IFERROR(__xludf.DUMMYFUNCTION("""COMPUTED_VALUE"""),"11")</f>
        <v>11</v>
      </c>
      <c r="J660" s="115" t="str">
        <f>IFERROR(__xludf.DUMMYFUNCTION("""COMPUTED_VALUE"""),"Premkumar M2025-09-0211")</f>
        <v>Premkumar M2025-09-0211</v>
      </c>
      <c r="K660" s="115">
        <f>IFERROR(__xludf.DUMMYFUNCTION("""COMPUTED_VALUE"""),198737.0)</f>
        <v>198737</v>
      </c>
    </row>
    <row r="661">
      <c r="A661" s="115" t="str">
        <f>IFERROR(__xludf.DUMMYFUNCTION("""COMPUTED_VALUE"""),"SOUTH")</f>
        <v>SOUTH</v>
      </c>
      <c r="B661" s="115" t="str">
        <f>IFERROR(__xludf.DUMMYFUNCTION("""COMPUTED_VALUE"""),"Premkumar M")</f>
        <v>Premkumar M</v>
      </c>
      <c r="C661" s="115" t="str">
        <f>IFERROR(__xludf.DUMMYFUNCTION("""COMPUTED_VALUE"""),"MYNTRA")</f>
        <v>MYNTRA</v>
      </c>
      <c r="D661" s="115">
        <f>IFERROR(__xludf.DUMMYFUNCTION("""COMPUTED_VALUE"""),10736.0)</f>
        <v>10736</v>
      </c>
      <c r="E661" s="115">
        <f>IFERROR(__xludf.DUMMYFUNCTION("""COMPUTED_VALUE"""),1810.0)</f>
        <v>1810</v>
      </c>
      <c r="F661" s="115">
        <f>IFERROR(__xludf.DUMMYFUNCTION("""COMPUTED_VALUE"""),1493.0)</f>
        <v>1493</v>
      </c>
      <c r="G661" s="115">
        <f>IFERROR(__xludf.DUMMYFUNCTION("""COMPUTED_VALUE"""),39.0)</f>
        <v>39</v>
      </c>
      <c r="H661" s="116">
        <f>IFERROR(__xludf.DUMMYFUNCTION("""COMPUTED_VALUE"""),45902.0)</f>
        <v>45902</v>
      </c>
      <c r="I661" s="115" t="str">
        <f>IFERROR(__xludf.DUMMYFUNCTION("""COMPUTED_VALUE"""),"11")</f>
        <v>11</v>
      </c>
      <c r="J661" s="115" t="str">
        <f>IFERROR(__xludf.DUMMYFUNCTION("""COMPUTED_VALUE"""),"Premkumar M2025-09-0211")</f>
        <v>Premkumar M2025-09-0211</v>
      </c>
      <c r="K661" s="115">
        <f>IFERROR(__xludf.DUMMYFUNCTION("""COMPUTED_VALUE"""),12546.0)</f>
        <v>12546</v>
      </c>
    </row>
    <row r="662">
      <c r="A662" s="115" t="str">
        <f>IFERROR(__xludf.DUMMYFUNCTION("""COMPUTED_VALUE"""),"SOUTH")</f>
        <v>SOUTH</v>
      </c>
      <c r="B662" s="115" t="str">
        <f>IFERROR(__xludf.DUMMYFUNCTION("""COMPUTED_VALUE"""),"Vineeth V")</f>
        <v>Vineeth V</v>
      </c>
      <c r="C662" s="115" t="str">
        <f>IFERROR(__xludf.DUMMYFUNCTION("""COMPUTED_VALUE"""),"EXTERNAL")</f>
        <v>EXTERNAL</v>
      </c>
      <c r="D662" s="115">
        <f>IFERROR(__xludf.DUMMYFUNCTION("""COMPUTED_VALUE"""),13249.0)</f>
        <v>13249</v>
      </c>
      <c r="E662" s="115">
        <f>IFERROR(__xludf.DUMMYFUNCTION("""COMPUTED_VALUE"""),258.0)</f>
        <v>258</v>
      </c>
      <c r="F662" s="115">
        <f>IFERROR(__xludf.DUMMYFUNCTION("""COMPUTED_VALUE"""),671.0)</f>
        <v>671</v>
      </c>
      <c r="G662" s="115">
        <f>IFERROR(__xludf.DUMMYFUNCTION("""COMPUTED_VALUE"""),3.0)</f>
        <v>3</v>
      </c>
      <c r="H662" s="116">
        <f>IFERROR(__xludf.DUMMYFUNCTION("""COMPUTED_VALUE"""),45902.0)</f>
        <v>45902</v>
      </c>
      <c r="I662" s="115" t="str">
        <f>IFERROR(__xludf.DUMMYFUNCTION("""COMPUTED_VALUE"""),"11")</f>
        <v>11</v>
      </c>
      <c r="J662" s="115" t="str">
        <f>IFERROR(__xludf.DUMMYFUNCTION("""COMPUTED_VALUE"""),"Vineeth V2025-09-0211")</f>
        <v>Vineeth V2025-09-0211</v>
      </c>
      <c r="K662" s="115">
        <f>IFERROR(__xludf.DUMMYFUNCTION("""COMPUTED_VALUE"""),13507.0)</f>
        <v>13507</v>
      </c>
    </row>
    <row r="663">
      <c r="A663" s="115" t="str">
        <f>IFERROR(__xludf.DUMMYFUNCTION("""COMPUTED_VALUE"""),"SOUTH")</f>
        <v>SOUTH</v>
      </c>
      <c r="B663" s="115" t="str">
        <f>IFERROR(__xludf.DUMMYFUNCTION("""COMPUTED_VALUE"""),"Vineeth V")</f>
        <v>Vineeth V</v>
      </c>
      <c r="C663" s="115" t="str">
        <f>IFERROR(__xludf.DUMMYFUNCTION("""COMPUTED_VALUE"""),"FLIPKART")</f>
        <v>FLIPKART</v>
      </c>
      <c r="D663" s="115">
        <f>IFERROR(__xludf.DUMMYFUNCTION("""COMPUTED_VALUE"""),148838.0)</f>
        <v>148838</v>
      </c>
      <c r="E663" s="115">
        <f>IFERROR(__xludf.DUMMYFUNCTION("""COMPUTED_VALUE"""),8953.0)</f>
        <v>8953</v>
      </c>
      <c r="F663" s="115">
        <f>IFERROR(__xludf.DUMMYFUNCTION("""COMPUTED_VALUE"""),11845.0)</f>
        <v>11845</v>
      </c>
      <c r="G663" s="115">
        <f>IFERROR(__xludf.DUMMYFUNCTION("""COMPUTED_VALUE"""),70.0)</f>
        <v>70</v>
      </c>
      <c r="H663" s="116">
        <f>IFERROR(__xludf.DUMMYFUNCTION("""COMPUTED_VALUE"""),45902.0)</f>
        <v>45902</v>
      </c>
      <c r="I663" s="115" t="str">
        <f>IFERROR(__xludf.DUMMYFUNCTION("""COMPUTED_VALUE"""),"11")</f>
        <v>11</v>
      </c>
      <c r="J663" s="115" t="str">
        <f>IFERROR(__xludf.DUMMYFUNCTION("""COMPUTED_VALUE"""),"Vineeth V2025-09-0211")</f>
        <v>Vineeth V2025-09-0211</v>
      </c>
      <c r="K663" s="115">
        <f>IFERROR(__xludf.DUMMYFUNCTION("""COMPUTED_VALUE"""),157791.0)</f>
        <v>157791</v>
      </c>
    </row>
    <row r="664">
      <c r="A664" s="115" t="str">
        <f>IFERROR(__xludf.DUMMYFUNCTION("""COMPUTED_VALUE"""),"SOUTH")</f>
        <v>SOUTH</v>
      </c>
      <c r="B664" s="115" t="str">
        <f>IFERROR(__xludf.DUMMYFUNCTION("""COMPUTED_VALUE"""),"Vineeth V")</f>
        <v>Vineeth V</v>
      </c>
      <c r="C664" s="115" t="str">
        <f>IFERROR(__xludf.DUMMYFUNCTION("""COMPUTED_VALUE"""),"MYNTRA")</f>
        <v>MYNTRA</v>
      </c>
      <c r="D664" s="115">
        <f>IFERROR(__xludf.DUMMYFUNCTION("""COMPUTED_VALUE"""),13774.0)</f>
        <v>13774</v>
      </c>
      <c r="E664" s="115">
        <f>IFERROR(__xludf.DUMMYFUNCTION("""COMPUTED_VALUE"""),2173.0)</f>
        <v>2173</v>
      </c>
      <c r="F664" s="115">
        <f>IFERROR(__xludf.DUMMYFUNCTION("""COMPUTED_VALUE"""),1308.0)</f>
        <v>1308</v>
      </c>
      <c r="G664" s="115">
        <f>IFERROR(__xludf.DUMMYFUNCTION("""COMPUTED_VALUE"""),18.0)</f>
        <v>18</v>
      </c>
      <c r="H664" s="116">
        <f>IFERROR(__xludf.DUMMYFUNCTION("""COMPUTED_VALUE"""),45902.0)</f>
        <v>45902</v>
      </c>
      <c r="I664" s="115" t="str">
        <f>IFERROR(__xludf.DUMMYFUNCTION("""COMPUTED_VALUE"""),"11")</f>
        <v>11</v>
      </c>
      <c r="J664" s="115" t="str">
        <f>IFERROR(__xludf.DUMMYFUNCTION("""COMPUTED_VALUE"""),"Vineeth V2025-09-0211")</f>
        <v>Vineeth V2025-09-0211</v>
      </c>
      <c r="K664" s="115">
        <f>IFERROR(__xludf.DUMMYFUNCTION("""COMPUTED_VALUE"""),15947.0)</f>
        <v>15947</v>
      </c>
    </row>
    <row r="665">
      <c r="A665" s="115" t="str">
        <f>IFERROR(__xludf.DUMMYFUNCTION("""COMPUTED_VALUE"""),"WEST")</f>
        <v>WEST</v>
      </c>
      <c r="B665" s="115" t="str">
        <f>IFERROR(__xludf.DUMMYFUNCTION("""COMPUTED_VALUE"""),"Ashish Jakar")</f>
        <v>Ashish Jakar</v>
      </c>
      <c r="C665" s="115" t="str">
        <f>IFERROR(__xludf.DUMMYFUNCTION("""COMPUTED_VALUE"""),"EXTERNAL")</f>
        <v>EXTERNAL</v>
      </c>
      <c r="D665" s="115">
        <f>IFERROR(__xludf.DUMMYFUNCTION("""COMPUTED_VALUE"""),41304.0)</f>
        <v>41304</v>
      </c>
      <c r="E665" s="115">
        <f>IFERROR(__xludf.DUMMYFUNCTION("""COMPUTED_VALUE"""),4204.0)</f>
        <v>4204</v>
      </c>
      <c r="F665" s="115">
        <f>IFERROR(__xludf.DUMMYFUNCTION("""COMPUTED_VALUE"""),3211.0)</f>
        <v>3211</v>
      </c>
      <c r="G665" s="115">
        <f>IFERROR(__xludf.DUMMYFUNCTION("""COMPUTED_VALUE"""),154.0)</f>
        <v>154</v>
      </c>
      <c r="H665" s="116">
        <f>IFERROR(__xludf.DUMMYFUNCTION("""COMPUTED_VALUE"""),45902.0)</f>
        <v>45902</v>
      </c>
      <c r="I665" s="115" t="str">
        <f>IFERROR(__xludf.DUMMYFUNCTION("""COMPUTED_VALUE"""),"11")</f>
        <v>11</v>
      </c>
      <c r="J665" s="115" t="str">
        <f>IFERROR(__xludf.DUMMYFUNCTION("""COMPUTED_VALUE"""),"Ashish Jakar2025-09-0211")</f>
        <v>Ashish Jakar2025-09-0211</v>
      </c>
      <c r="K665" s="115">
        <f>IFERROR(__xludf.DUMMYFUNCTION("""COMPUTED_VALUE"""),45508.0)</f>
        <v>45508</v>
      </c>
    </row>
    <row r="666">
      <c r="A666" s="115" t="str">
        <f>IFERROR(__xludf.DUMMYFUNCTION("""COMPUTED_VALUE"""),"WEST")</f>
        <v>WEST</v>
      </c>
      <c r="B666" s="115" t="str">
        <f>IFERROR(__xludf.DUMMYFUNCTION("""COMPUTED_VALUE"""),"Ashish Jakar")</f>
        <v>Ashish Jakar</v>
      </c>
      <c r="C666" s="115" t="str">
        <f>IFERROR(__xludf.DUMMYFUNCTION("""COMPUTED_VALUE"""),"FLIPKART")</f>
        <v>FLIPKART</v>
      </c>
      <c r="D666" s="115">
        <f>IFERROR(__xludf.DUMMYFUNCTION("""COMPUTED_VALUE"""),234825.0)</f>
        <v>234825</v>
      </c>
      <c r="E666" s="115">
        <f>IFERROR(__xludf.DUMMYFUNCTION("""COMPUTED_VALUE"""),23687.0)</f>
        <v>23687</v>
      </c>
      <c r="F666" s="115">
        <f>IFERROR(__xludf.DUMMYFUNCTION("""COMPUTED_VALUE"""),32767.0)</f>
        <v>32767</v>
      </c>
      <c r="G666" s="115">
        <f>IFERROR(__xludf.DUMMYFUNCTION("""COMPUTED_VALUE"""),1108.0)</f>
        <v>1108</v>
      </c>
      <c r="H666" s="116">
        <f>IFERROR(__xludf.DUMMYFUNCTION("""COMPUTED_VALUE"""),45902.0)</f>
        <v>45902</v>
      </c>
      <c r="I666" s="115" t="str">
        <f>IFERROR(__xludf.DUMMYFUNCTION("""COMPUTED_VALUE"""),"11")</f>
        <v>11</v>
      </c>
      <c r="J666" s="115" t="str">
        <f>IFERROR(__xludf.DUMMYFUNCTION("""COMPUTED_VALUE"""),"Ashish Jakar2025-09-0211")</f>
        <v>Ashish Jakar2025-09-0211</v>
      </c>
      <c r="K666" s="115">
        <f>IFERROR(__xludf.DUMMYFUNCTION("""COMPUTED_VALUE"""),258512.0)</f>
        <v>258512</v>
      </c>
    </row>
    <row r="667">
      <c r="A667" s="115" t="str">
        <f>IFERROR(__xludf.DUMMYFUNCTION("""COMPUTED_VALUE"""),"WEST")</f>
        <v>WEST</v>
      </c>
      <c r="B667" s="115" t="str">
        <f>IFERROR(__xludf.DUMMYFUNCTION("""COMPUTED_VALUE"""),"Ashish Jakar")</f>
        <v>Ashish Jakar</v>
      </c>
      <c r="C667" s="115" t="str">
        <f>IFERROR(__xludf.DUMMYFUNCTION("""COMPUTED_VALUE"""),"MYNTRA")</f>
        <v>MYNTRA</v>
      </c>
      <c r="D667" s="115">
        <f>IFERROR(__xludf.DUMMYFUNCTION("""COMPUTED_VALUE"""),28713.0)</f>
        <v>28713</v>
      </c>
      <c r="E667" s="115">
        <f>IFERROR(__xludf.DUMMYFUNCTION("""COMPUTED_VALUE"""),7956.0)</f>
        <v>7956</v>
      </c>
      <c r="F667" s="115">
        <f>IFERROR(__xludf.DUMMYFUNCTION("""COMPUTED_VALUE"""),5129.0)</f>
        <v>5129</v>
      </c>
      <c r="G667" s="115">
        <f>IFERROR(__xludf.DUMMYFUNCTION("""COMPUTED_VALUE"""),397.0)</f>
        <v>397</v>
      </c>
      <c r="H667" s="116">
        <f>IFERROR(__xludf.DUMMYFUNCTION("""COMPUTED_VALUE"""),45902.0)</f>
        <v>45902</v>
      </c>
      <c r="I667" s="115" t="str">
        <f>IFERROR(__xludf.DUMMYFUNCTION("""COMPUTED_VALUE"""),"11")</f>
        <v>11</v>
      </c>
      <c r="J667" s="115" t="str">
        <f>IFERROR(__xludf.DUMMYFUNCTION("""COMPUTED_VALUE"""),"Ashish Jakar2025-09-0211")</f>
        <v>Ashish Jakar2025-09-0211</v>
      </c>
      <c r="K667" s="115">
        <f>IFERROR(__xludf.DUMMYFUNCTION("""COMPUTED_VALUE"""),36669.0)</f>
        <v>36669</v>
      </c>
    </row>
    <row r="668">
      <c r="A668" s="115" t="str">
        <f>IFERROR(__xludf.DUMMYFUNCTION("""COMPUTED_VALUE"""),"WEST")</f>
        <v>WEST</v>
      </c>
      <c r="B668" s="115" t="str">
        <f>IFERROR(__xludf.DUMMYFUNCTION("""COMPUTED_VALUE"""),"Ashvani Bhatt")</f>
        <v>Ashvani Bhatt</v>
      </c>
      <c r="C668" s="115" t="str">
        <f>IFERROR(__xludf.DUMMYFUNCTION("""COMPUTED_VALUE"""),"EXTERNAL")</f>
        <v>EXTERNAL</v>
      </c>
      <c r="D668" s="115">
        <f>IFERROR(__xludf.DUMMYFUNCTION("""COMPUTED_VALUE"""),26574.0)</f>
        <v>26574</v>
      </c>
      <c r="E668" s="115">
        <f>IFERROR(__xludf.DUMMYFUNCTION("""COMPUTED_VALUE"""),2034.0)</f>
        <v>2034</v>
      </c>
      <c r="F668" s="115">
        <f>IFERROR(__xludf.DUMMYFUNCTION("""COMPUTED_VALUE"""),2538.0)</f>
        <v>2538</v>
      </c>
      <c r="G668" s="115">
        <f>IFERROR(__xludf.DUMMYFUNCTION("""COMPUTED_VALUE"""),46.0)</f>
        <v>46</v>
      </c>
      <c r="H668" s="116">
        <f>IFERROR(__xludf.DUMMYFUNCTION("""COMPUTED_VALUE"""),45902.0)</f>
        <v>45902</v>
      </c>
      <c r="I668" s="115" t="str">
        <f>IFERROR(__xludf.DUMMYFUNCTION("""COMPUTED_VALUE"""),"11")</f>
        <v>11</v>
      </c>
      <c r="J668" s="115" t="str">
        <f>IFERROR(__xludf.DUMMYFUNCTION("""COMPUTED_VALUE"""),"Ashvani Bhatt2025-09-0211")</f>
        <v>Ashvani Bhatt2025-09-0211</v>
      </c>
      <c r="K668" s="115">
        <f>IFERROR(__xludf.DUMMYFUNCTION("""COMPUTED_VALUE"""),28608.0)</f>
        <v>28608</v>
      </c>
    </row>
    <row r="669">
      <c r="A669" s="115" t="str">
        <f>IFERROR(__xludf.DUMMYFUNCTION("""COMPUTED_VALUE"""),"WEST")</f>
        <v>WEST</v>
      </c>
      <c r="B669" s="115" t="str">
        <f>IFERROR(__xludf.DUMMYFUNCTION("""COMPUTED_VALUE"""),"Ashvani Bhatt")</f>
        <v>Ashvani Bhatt</v>
      </c>
      <c r="C669" s="115" t="str">
        <f>IFERROR(__xludf.DUMMYFUNCTION("""COMPUTED_VALUE"""),"FLIPKART")</f>
        <v>FLIPKART</v>
      </c>
      <c r="D669" s="115">
        <f>IFERROR(__xludf.DUMMYFUNCTION("""COMPUTED_VALUE"""),201259.0)</f>
        <v>201259</v>
      </c>
      <c r="E669" s="115">
        <f>IFERROR(__xludf.DUMMYFUNCTION("""COMPUTED_VALUE"""),19268.0)</f>
        <v>19268</v>
      </c>
      <c r="F669" s="115">
        <f>IFERROR(__xludf.DUMMYFUNCTION("""COMPUTED_VALUE"""),37264.0)</f>
        <v>37264</v>
      </c>
      <c r="G669" s="115">
        <f>IFERROR(__xludf.DUMMYFUNCTION("""COMPUTED_VALUE"""),975.0)</f>
        <v>975</v>
      </c>
      <c r="H669" s="116">
        <f>IFERROR(__xludf.DUMMYFUNCTION("""COMPUTED_VALUE"""),45902.0)</f>
        <v>45902</v>
      </c>
      <c r="I669" s="115" t="str">
        <f>IFERROR(__xludf.DUMMYFUNCTION("""COMPUTED_VALUE"""),"11")</f>
        <v>11</v>
      </c>
      <c r="J669" s="115" t="str">
        <f>IFERROR(__xludf.DUMMYFUNCTION("""COMPUTED_VALUE"""),"Ashvani Bhatt2025-09-0211")</f>
        <v>Ashvani Bhatt2025-09-0211</v>
      </c>
      <c r="K669" s="115">
        <f>IFERROR(__xludf.DUMMYFUNCTION("""COMPUTED_VALUE"""),220527.0)</f>
        <v>220527</v>
      </c>
    </row>
    <row r="670">
      <c r="A670" s="115" t="str">
        <f>IFERROR(__xludf.DUMMYFUNCTION("""COMPUTED_VALUE"""),"WEST")</f>
        <v>WEST</v>
      </c>
      <c r="B670" s="115" t="str">
        <f>IFERROR(__xludf.DUMMYFUNCTION("""COMPUTED_VALUE"""),"Ashvani Bhatt")</f>
        <v>Ashvani Bhatt</v>
      </c>
      <c r="C670" s="115" t="str">
        <f>IFERROR(__xludf.DUMMYFUNCTION("""COMPUTED_VALUE"""),"MYNTRA")</f>
        <v>MYNTRA</v>
      </c>
      <c r="D670" s="115">
        <f>IFERROR(__xludf.DUMMYFUNCTION("""COMPUTED_VALUE"""),24500.0)</f>
        <v>24500</v>
      </c>
      <c r="E670" s="115">
        <f>IFERROR(__xludf.DUMMYFUNCTION("""COMPUTED_VALUE"""),6113.0)</f>
        <v>6113</v>
      </c>
      <c r="F670" s="115">
        <f>IFERROR(__xludf.DUMMYFUNCTION("""COMPUTED_VALUE"""),5646.0)</f>
        <v>5646</v>
      </c>
      <c r="G670" s="115">
        <f>IFERROR(__xludf.DUMMYFUNCTION("""COMPUTED_VALUE"""),352.0)</f>
        <v>352</v>
      </c>
      <c r="H670" s="116">
        <f>IFERROR(__xludf.DUMMYFUNCTION("""COMPUTED_VALUE"""),45902.0)</f>
        <v>45902</v>
      </c>
      <c r="I670" s="115" t="str">
        <f>IFERROR(__xludf.DUMMYFUNCTION("""COMPUTED_VALUE"""),"11")</f>
        <v>11</v>
      </c>
      <c r="J670" s="115" t="str">
        <f>IFERROR(__xludf.DUMMYFUNCTION("""COMPUTED_VALUE"""),"Ashvani Bhatt2025-09-0211")</f>
        <v>Ashvani Bhatt2025-09-0211</v>
      </c>
      <c r="K670" s="115">
        <f>IFERROR(__xludf.DUMMYFUNCTION("""COMPUTED_VALUE"""),30613.0)</f>
        <v>30613</v>
      </c>
    </row>
    <row r="671">
      <c r="A671" s="115"/>
      <c r="B671" s="115"/>
      <c r="C671" s="115" t="str">
        <f>IFERROR(__xludf.DUMMYFUNCTION("""COMPUTED_VALUE"""),"EXTERNAL")</f>
        <v>EXTERNAL</v>
      </c>
      <c r="D671" s="115">
        <f>IFERROR(__xludf.DUMMYFUNCTION("""COMPUTED_VALUE"""),385.0)</f>
        <v>385</v>
      </c>
      <c r="E671" s="115">
        <f>IFERROR(__xludf.DUMMYFUNCTION("""COMPUTED_VALUE"""),19.0)</f>
        <v>19</v>
      </c>
      <c r="F671" s="115">
        <f>IFERROR(__xludf.DUMMYFUNCTION("""COMPUTED_VALUE"""),15.0)</f>
        <v>15</v>
      </c>
      <c r="G671" s="115">
        <f>IFERROR(__xludf.DUMMYFUNCTION("""COMPUTED_VALUE"""),11.0)</f>
        <v>11</v>
      </c>
      <c r="H671" s="116">
        <f>IFERROR(__xludf.DUMMYFUNCTION("""COMPUTED_VALUE"""),45902.0)</f>
        <v>45902</v>
      </c>
      <c r="I671" s="115" t="str">
        <f>IFERROR(__xludf.DUMMYFUNCTION("""COMPUTED_VALUE"""),"11")</f>
        <v>11</v>
      </c>
      <c r="J671" s="115" t="str">
        <f>IFERROR(__xludf.DUMMYFUNCTION("""COMPUTED_VALUE"""),"2025-09-0211")</f>
        <v>2025-09-0211</v>
      </c>
      <c r="K671" s="115">
        <f>IFERROR(__xludf.DUMMYFUNCTION("""COMPUTED_VALUE"""),404.0)</f>
        <v>404</v>
      </c>
    </row>
    <row r="672">
      <c r="A672" s="115"/>
      <c r="B672" s="115"/>
      <c r="C672" s="115" t="str">
        <f>IFERROR(__xludf.DUMMYFUNCTION("""COMPUTED_VALUE"""),"FLIPKART")</f>
        <v>FLIPKART</v>
      </c>
      <c r="D672" s="115">
        <f>IFERROR(__xludf.DUMMYFUNCTION("""COMPUTED_VALUE"""),4683.0)</f>
        <v>4683</v>
      </c>
      <c r="E672" s="115">
        <f>IFERROR(__xludf.DUMMYFUNCTION("""COMPUTED_VALUE"""),354.0)</f>
        <v>354</v>
      </c>
      <c r="F672" s="115">
        <f>IFERROR(__xludf.DUMMYFUNCTION("""COMPUTED_VALUE"""),341.0)</f>
        <v>341</v>
      </c>
      <c r="G672" s="115">
        <f>IFERROR(__xludf.DUMMYFUNCTION("""COMPUTED_VALUE"""),73.0)</f>
        <v>73</v>
      </c>
      <c r="H672" s="116">
        <f>IFERROR(__xludf.DUMMYFUNCTION("""COMPUTED_VALUE"""),45902.0)</f>
        <v>45902</v>
      </c>
      <c r="I672" s="115" t="str">
        <f>IFERROR(__xludf.DUMMYFUNCTION("""COMPUTED_VALUE"""),"11")</f>
        <v>11</v>
      </c>
      <c r="J672" s="115" t="str">
        <f>IFERROR(__xludf.DUMMYFUNCTION("""COMPUTED_VALUE"""),"2025-09-0211")</f>
        <v>2025-09-0211</v>
      </c>
      <c r="K672" s="115">
        <f>IFERROR(__xludf.DUMMYFUNCTION("""COMPUTED_VALUE"""),5037.0)</f>
        <v>5037</v>
      </c>
    </row>
    <row r="673">
      <c r="A673" s="115"/>
      <c r="B673" s="115"/>
      <c r="C673" s="115" t="str">
        <f>IFERROR(__xludf.DUMMYFUNCTION("""COMPUTED_VALUE"""),"MYNTRA")</f>
        <v>MYNTRA</v>
      </c>
      <c r="D673" s="115">
        <f>IFERROR(__xludf.DUMMYFUNCTION("""COMPUTED_VALUE"""),400.0)</f>
        <v>400</v>
      </c>
      <c r="E673" s="115">
        <f>IFERROR(__xludf.DUMMYFUNCTION("""COMPUTED_VALUE"""),78.0)</f>
        <v>78</v>
      </c>
      <c r="F673" s="115">
        <f>IFERROR(__xludf.DUMMYFUNCTION("""COMPUTED_VALUE"""),38.0)</f>
        <v>38</v>
      </c>
      <c r="G673" s="115">
        <f>IFERROR(__xludf.DUMMYFUNCTION("""COMPUTED_VALUE"""),2.0)</f>
        <v>2</v>
      </c>
      <c r="H673" s="116">
        <f>IFERROR(__xludf.DUMMYFUNCTION("""COMPUTED_VALUE"""),45902.0)</f>
        <v>45902</v>
      </c>
      <c r="I673" s="115" t="str">
        <f>IFERROR(__xludf.DUMMYFUNCTION("""COMPUTED_VALUE"""),"11")</f>
        <v>11</v>
      </c>
      <c r="J673" s="115" t="str">
        <f>IFERROR(__xludf.DUMMYFUNCTION("""COMPUTED_VALUE"""),"2025-09-0211")</f>
        <v>2025-09-0211</v>
      </c>
      <c r="K673" s="115">
        <f>IFERROR(__xludf.DUMMYFUNCTION("""COMPUTED_VALUE"""),478.0)</f>
        <v>478</v>
      </c>
    </row>
    <row r="674">
      <c r="A674" s="115" t="str">
        <f>IFERROR(__xludf.DUMMYFUNCTION("""COMPUTED_VALUE"""),"EAST")</f>
        <v>EAST</v>
      </c>
      <c r="B674" s="115" t="str">
        <f>IFERROR(__xludf.DUMMYFUNCTION("""COMPUTED_VALUE"""),"Ashish Ranjan")</f>
        <v>Ashish Ranjan</v>
      </c>
      <c r="C674" s="115" t="str">
        <f>IFERROR(__xludf.DUMMYFUNCTION("""COMPUTED_VALUE"""),"EXTERNAL")</f>
        <v>EXTERNAL</v>
      </c>
      <c r="D674" s="115">
        <f>IFERROR(__xludf.DUMMYFUNCTION("""COMPUTED_VALUE"""),33254.0)</f>
        <v>33254</v>
      </c>
      <c r="E674" s="115">
        <f>IFERROR(__xludf.DUMMYFUNCTION("""COMPUTED_VALUE"""),2293.0)</f>
        <v>2293</v>
      </c>
      <c r="F674" s="115">
        <f>IFERROR(__xludf.DUMMYFUNCTION("""COMPUTED_VALUE"""),6338.0)</f>
        <v>6338</v>
      </c>
      <c r="G674" s="115">
        <f>IFERROR(__xludf.DUMMYFUNCTION("""COMPUTED_VALUE"""),150.0)</f>
        <v>150</v>
      </c>
      <c r="H674" s="116">
        <f>IFERROR(__xludf.DUMMYFUNCTION("""COMPUTED_VALUE"""),45902.0)</f>
        <v>45902</v>
      </c>
      <c r="I674" s="115" t="str">
        <f>IFERROR(__xludf.DUMMYFUNCTION("""COMPUTED_VALUE"""),"12")</f>
        <v>12</v>
      </c>
      <c r="J674" s="115" t="str">
        <f>IFERROR(__xludf.DUMMYFUNCTION("""COMPUTED_VALUE"""),"Ashish Ranjan2025-09-0212")</f>
        <v>Ashish Ranjan2025-09-0212</v>
      </c>
      <c r="K674" s="115">
        <f>IFERROR(__xludf.DUMMYFUNCTION("""COMPUTED_VALUE"""),35547.0)</f>
        <v>35547</v>
      </c>
    </row>
    <row r="675">
      <c r="A675" s="115" t="str">
        <f>IFERROR(__xludf.DUMMYFUNCTION("""COMPUTED_VALUE"""),"EAST")</f>
        <v>EAST</v>
      </c>
      <c r="B675" s="115" t="str">
        <f>IFERROR(__xludf.DUMMYFUNCTION("""COMPUTED_VALUE"""),"Ashish Ranjan")</f>
        <v>Ashish Ranjan</v>
      </c>
      <c r="C675" s="115" t="str">
        <f>IFERROR(__xludf.DUMMYFUNCTION("""COMPUTED_VALUE"""),"FLIPKART")</f>
        <v>FLIPKART</v>
      </c>
      <c r="D675" s="115">
        <f>IFERROR(__xludf.DUMMYFUNCTION("""COMPUTED_VALUE"""),494117.0)</f>
        <v>494117</v>
      </c>
      <c r="E675" s="115">
        <f>IFERROR(__xludf.DUMMYFUNCTION("""COMPUTED_VALUE"""),50256.0)</f>
        <v>50256</v>
      </c>
      <c r="F675" s="115">
        <f>IFERROR(__xludf.DUMMYFUNCTION("""COMPUTED_VALUE"""),166762.0)</f>
        <v>166762</v>
      </c>
      <c r="G675" s="115">
        <f>IFERROR(__xludf.DUMMYFUNCTION("""COMPUTED_VALUE"""),5156.0)</f>
        <v>5156</v>
      </c>
      <c r="H675" s="116">
        <f>IFERROR(__xludf.DUMMYFUNCTION("""COMPUTED_VALUE"""),45902.0)</f>
        <v>45902</v>
      </c>
      <c r="I675" s="115" t="str">
        <f>IFERROR(__xludf.DUMMYFUNCTION("""COMPUTED_VALUE"""),"12")</f>
        <v>12</v>
      </c>
      <c r="J675" s="115" t="str">
        <f>IFERROR(__xludf.DUMMYFUNCTION("""COMPUTED_VALUE"""),"Ashish Ranjan2025-09-0212")</f>
        <v>Ashish Ranjan2025-09-0212</v>
      </c>
      <c r="K675" s="115">
        <f>IFERROR(__xludf.DUMMYFUNCTION("""COMPUTED_VALUE"""),544373.0)</f>
        <v>544373</v>
      </c>
    </row>
    <row r="676">
      <c r="A676" s="115" t="str">
        <f>IFERROR(__xludf.DUMMYFUNCTION("""COMPUTED_VALUE"""),"EAST")</f>
        <v>EAST</v>
      </c>
      <c r="B676" s="115" t="str">
        <f>IFERROR(__xludf.DUMMYFUNCTION("""COMPUTED_VALUE"""),"Ashish Ranjan")</f>
        <v>Ashish Ranjan</v>
      </c>
      <c r="C676" s="115" t="str">
        <f>IFERROR(__xludf.DUMMYFUNCTION("""COMPUTED_VALUE"""),"MYNTRA")</f>
        <v>MYNTRA</v>
      </c>
      <c r="D676" s="115">
        <f>IFERROR(__xludf.DUMMYFUNCTION("""COMPUTED_VALUE"""),47314.0)</f>
        <v>47314</v>
      </c>
      <c r="E676" s="115">
        <f>IFERROR(__xludf.DUMMYFUNCTION("""COMPUTED_VALUE"""),10439.0)</f>
        <v>10439</v>
      </c>
      <c r="F676" s="115">
        <f>IFERROR(__xludf.DUMMYFUNCTION("""COMPUTED_VALUE"""),16833.0)</f>
        <v>16833</v>
      </c>
      <c r="G676" s="115">
        <f>IFERROR(__xludf.DUMMYFUNCTION("""COMPUTED_VALUE"""),1212.0)</f>
        <v>1212</v>
      </c>
      <c r="H676" s="116">
        <f>IFERROR(__xludf.DUMMYFUNCTION("""COMPUTED_VALUE"""),45902.0)</f>
        <v>45902</v>
      </c>
      <c r="I676" s="115" t="str">
        <f>IFERROR(__xludf.DUMMYFUNCTION("""COMPUTED_VALUE"""),"12")</f>
        <v>12</v>
      </c>
      <c r="J676" s="115" t="str">
        <f>IFERROR(__xludf.DUMMYFUNCTION("""COMPUTED_VALUE"""),"Ashish Ranjan2025-09-0212")</f>
        <v>Ashish Ranjan2025-09-0212</v>
      </c>
      <c r="K676" s="115">
        <f>IFERROR(__xludf.DUMMYFUNCTION("""COMPUTED_VALUE"""),57753.0)</f>
        <v>57753</v>
      </c>
    </row>
    <row r="677">
      <c r="A677" s="115" t="str">
        <f>IFERROR(__xludf.DUMMYFUNCTION("""COMPUTED_VALUE"""),"EAST")</f>
        <v>EAST</v>
      </c>
      <c r="B677" s="115" t="str">
        <f>IFERROR(__xludf.DUMMYFUNCTION("""COMPUTED_VALUE"""),"Girish Chand")</f>
        <v>Girish Chand</v>
      </c>
      <c r="C677" s="115" t="str">
        <f>IFERROR(__xludf.DUMMYFUNCTION("""COMPUTED_VALUE"""),"EXTERNAL")</f>
        <v>EXTERNAL</v>
      </c>
      <c r="D677" s="115">
        <f>IFERROR(__xludf.DUMMYFUNCTION("""COMPUTED_VALUE"""),20835.0)</f>
        <v>20835</v>
      </c>
      <c r="E677" s="115">
        <f>IFERROR(__xludf.DUMMYFUNCTION("""COMPUTED_VALUE"""),1878.0)</f>
        <v>1878</v>
      </c>
      <c r="F677" s="115">
        <f>IFERROR(__xludf.DUMMYFUNCTION("""COMPUTED_VALUE"""),2656.0)</f>
        <v>2656</v>
      </c>
      <c r="G677" s="115">
        <f>IFERROR(__xludf.DUMMYFUNCTION("""COMPUTED_VALUE"""),48.0)</f>
        <v>48</v>
      </c>
      <c r="H677" s="116">
        <f>IFERROR(__xludf.DUMMYFUNCTION("""COMPUTED_VALUE"""),45902.0)</f>
        <v>45902</v>
      </c>
      <c r="I677" s="115" t="str">
        <f>IFERROR(__xludf.DUMMYFUNCTION("""COMPUTED_VALUE"""),"12")</f>
        <v>12</v>
      </c>
      <c r="J677" s="115" t="str">
        <f>IFERROR(__xludf.DUMMYFUNCTION("""COMPUTED_VALUE"""),"Girish Chand2025-09-0212")</f>
        <v>Girish Chand2025-09-0212</v>
      </c>
      <c r="K677" s="115">
        <f>IFERROR(__xludf.DUMMYFUNCTION("""COMPUTED_VALUE"""),22713.0)</f>
        <v>22713</v>
      </c>
    </row>
    <row r="678">
      <c r="A678" s="115" t="str">
        <f>IFERROR(__xludf.DUMMYFUNCTION("""COMPUTED_VALUE"""),"EAST")</f>
        <v>EAST</v>
      </c>
      <c r="B678" s="115" t="str">
        <f>IFERROR(__xludf.DUMMYFUNCTION("""COMPUTED_VALUE"""),"Girish Chand")</f>
        <v>Girish Chand</v>
      </c>
      <c r="C678" s="115" t="str">
        <f>IFERROR(__xludf.DUMMYFUNCTION("""COMPUTED_VALUE"""),"FLIPKART")</f>
        <v>FLIPKART</v>
      </c>
      <c r="D678" s="115">
        <f>IFERROR(__xludf.DUMMYFUNCTION("""COMPUTED_VALUE"""),365485.0)</f>
        <v>365485</v>
      </c>
      <c r="E678" s="115">
        <f>IFERROR(__xludf.DUMMYFUNCTION("""COMPUTED_VALUE"""),33081.0)</f>
        <v>33081</v>
      </c>
      <c r="F678" s="115">
        <f>IFERROR(__xludf.DUMMYFUNCTION("""COMPUTED_VALUE"""),87606.0)</f>
        <v>87606</v>
      </c>
      <c r="G678" s="115">
        <f>IFERROR(__xludf.DUMMYFUNCTION("""COMPUTED_VALUE"""),1976.0)</f>
        <v>1976</v>
      </c>
      <c r="H678" s="116">
        <f>IFERROR(__xludf.DUMMYFUNCTION("""COMPUTED_VALUE"""),45902.0)</f>
        <v>45902</v>
      </c>
      <c r="I678" s="115" t="str">
        <f>IFERROR(__xludf.DUMMYFUNCTION("""COMPUTED_VALUE"""),"12")</f>
        <v>12</v>
      </c>
      <c r="J678" s="115" t="str">
        <f>IFERROR(__xludf.DUMMYFUNCTION("""COMPUTED_VALUE"""),"Girish Chand2025-09-0212")</f>
        <v>Girish Chand2025-09-0212</v>
      </c>
      <c r="K678" s="115">
        <f>IFERROR(__xludf.DUMMYFUNCTION("""COMPUTED_VALUE"""),398566.0)</f>
        <v>398566</v>
      </c>
    </row>
    <row r="679">
      <c r="A679" s="115" t="str">
        <f>IFERROR(__xludf.DUMMYFUNCTION("""COMPUTED_VALUE"""),"EAST")</f>
        <v>EAST</v>
      </c>
      <c r="B679" s="115" t="str">
        <f>IFERROR(__xludf.DUMMYFUNCTION("""COMPUTED_VALUE"""),"Girish Chand")</f>
        <v>Girish Chand</v>
      </c>
      <c r="C679" s="115" t="str">
        <f>IFERROR(__xludf.DUMMYFUNCTION("""COMPUTED_VALUE"""),"MYNTRA")</f>
        <v>MYNTRA</v>
      </c>
      <c r="D679" s="115">
        <f>IFERROR(__xludf.DUMMYFUNCTION("""COMPUTED_VALUE"""),28431.0)</f>
        <v>28431</v>
      </c>
      <c r="E679" s="115">
        <f>IFERROR(__xludf.DUMMYFUNCTION("""COMPUTED_VALUE"""),5503.0)</f>
        <v>5503</v>
      </c>
      <c r="F679" s="115">
        <f>IFERROR(__xludf.DUMMYFUNCTION("""COMPUTED_VALUE"""),7704.0)</f>
        <v>7704</v>
      </c>
      <c r="G679" s="115">
        <f>IFERROR(__xludf.DUMMYFUNCTION("""COMPUTED_VALUE"""),384.0)</f>
        <v>384</v>
      </c>
      <c r="H679" s="116">
        <f>IFERROR(__xludf.DUMMYFUNCTION("""COMPUTED_VALUE"""),45902.0)</f>
        <v>45902</v>
      </c>
      <c r="I679" s="115" t="str">
        <f>IFERROR(__xludf.DUMMYFUNCTION("""COMPUTED_VALUE"""),"12")</f>
        <v>12</v>
      </c>
      <c r="J679" s="115" t="str">
        <f>IFERROR(__xludf.DUMMYFUNCTION("""COMPUTED_VALUE"""),"Girish Chand2025-09-0212")</f>
        <v>Girish Chand2025-09-0212</v>
      </c>
      <c r="K679" s="115">
        <f>IFERROR(__xludf.DUMMYFUNCTION("""COMPUTED_VALUE"""),33934.0)</f>
        <v>33934</v>
      </c>
    </row>
    <row r="680">
      <c r="A680" s="115" t="str">
        <f>IFERROR(__xludf.DUMMYFUNCTION("""COMPUTED_VALUE"""),"EAST")</f>
        <v>EAST</v>
      </c>
      <c r="B680" s="115" t="str">
        <f>IFERROR(__xludf.DUMMYFUNCTION("""COMPUTED_VALUE"""),"Parag Kashyap")</f>
        <v>Parag Kashyap</v>
      </c>
      <c r="C680" s="115" t="str">
        <f>IFERROR(__xludf.DUMMYFUNCTION("""COMPUTED_VALUE"""),"EXTERNAL")</f>
        <v>EXTERNAL</v>
      </c>
      <c r="D680" s="115">
        <f>IFERROR(__xludf.DUMMYFUNCTION("""COMPUTED_VALUE"""),18995.0)</f>
        <v>18995</v>
      </c>
      <c r="E680" s="115">
        <f>IFERROR(__xludf.DUMMYFUNCTION("""COMPUTED_VALUE"""),855.0)</f>
        <v>855</v>
      </c>
      <c r="F680" s="115">
        <f>IFERROR(__xludf.DUMMYFUNCTION("""COMPUTED_VALUE"""),1917.0)</f>
        <v>1917</v>
      </c>
      <c r="G680" s="115">
        <f>IFERROR(__xludf.DUMMYFUNCTION("""COMPUTED_VALUE"""),28.0)</f>
        <v>28</v>
      </c>
      <c r="H680" s="116">
        <f>IFERROR(__xludf.DUMMYFUNCTION("""COMPUTED_VALUE"""),45902.0)</f>
        <v>45902</v>
      </c>
      <c r="I680" s="115" t="str">
        <f>IFERROR(__xludf.DUMMYFUNCTION("""COMPUTED_VALUE"""),"12")</f>
        <v>12</v>
      </c>
      <c r="J680" s="115" t="str">
        <f>IFERROR(__xludf.DUMMYFUNCTION("""COMPUTED_VALUE"""),"Parag Kashyap2025-09-0212")</f>
        <v>Parag Kashyap2025-09-0212</v>
      </c>
      <c r="K680" s="115">
        <f>IFERROR(__xludf.DUMMYFUNCTION("""COMPUTED_VALUE"""),19850.0)</f>
        <v>19850</v>
      </c>
    </row>
    <row r="681">
      <c r="A681" s="115" t="str">
        <f>IFERROR(__xludf.DUMMYFUNCTION("""COMPUTED_VALUE"""),"EAST")</f>
        <v>EAST</v>
      </c>
      <c r="B681" s="115" t="str">
        <f>IFERROR(__xludf.DUMMYFUNCTION("""COMPUTED_VALUE"""),"Parag Kashyap")</f>
        <v>Parag Kashyap</v>
      </c>
      <c r="C681" s="115" t="str">
        <f>IFERROR(__xludf.DUMMYFUNCTION("""COMPUTED_VALUE"""),"FLIPKART")</f>
        <v>FLIPKART</v>
      </c>
      <c r="D681" s="115">
        <f>IFERROR(__xludf.DUMMYFUNCTION("""COMPUTED_VALUE"""),275299.0)</f>
        <v>275299</v>
      </c>
      <c r="E681" s="115">
        <f>IFERROR(__xludf.DUMMYFUNCTION("""COMPUTED_VALUE"""),15217.0)</f>
        <v>15217</v>
      </c>
      <c r="F681" s="115">
        <f>IFERROR(__xludf.DUMMYFUNCTION("""COMPUTED_VALUE"""),55366.0)</f>
        <v>55366</v>
      </c>
      <c r="G681" s="115">
        <f>IFERROR(__xludf.DUMMYFUNCTION("""COMPUTED_VALUE"""),675.0)</f>
        <v>675</v>
      </c>
      <c r="H681" s="116">
        <f>IFERROR(__xludf.DUMMYFUNCTION("""COMPUTED_VALUE"""),45902.0)</f>
        <v>45902</v>
      </c>
      <c r="I681" s="115" t="str">
        <f>IFERROR(__xludf.DUMMYFUNCTION("""COMPUTED_VALUE"""),"12")</f>
        <v>12</v>
      </c>
      <c r="J681" s="115" t="str">
        <f>IFERROR(__xludf.DUMMYFUNCTION("""COMPUTED_VALUE"""),"Parag Kashyap2025-09-0212")</f>
        <v>Parag Kashyap2025-09-0212</v>
      </c>
      <c r="K681" s="115">
        <f>IFERROR(__xludf.DUMMYFUNCTION("""COMPUTED_VALUE"""),290516.0)</f>
        <v>290516</v>
      </c>
    </row>
    <row r="682">
      <c r="A682" s="115" t="str">
        <f>IFERROR(__xludf.DUMMYFUNCTION("""COMPUTED_VALUE"""),"EAST")</f>
        <v>EAST</v>
      </c>
      <c r="B682" s="115" t="str">
        <f>IFERROR(__xludf.DUMMYFUNCTION("""COMPUTED_VALUE"""),"Parag Kashyap")</f>
        <v>Parag Kashyap</v>
      </c>
      <c r="C682" s="115" t="str">
        <f>IFERROR(__xludf.DUMMYFUNCTION("""COMPUTED_VALUE"""),"MYNTRA")</f>
        <v>MYNTRA</v>
      </c>
      <c r="D682" s="115">
        <f>IFERROR(__xludf.DUMMYFUNCTION("""COMPUTED_VALUE"""),28773.0)</f>
        <v>28773</v>
      </c>
      <c r="E682" s="115">
        <f>IFERROR(__xludf.DUMMYFUNCTION("""COMPUTED_VALUE"""),4045.0)</f>
        <v>4045</v>
      </c>
      <c r="F682" s="115">
        <f>IFERROR(__xludf.DUMMYFUNCTION("""COMPUTED_VALUE"""),6452.0)</f>
        <v>6452</v>
      </c>
      <c r="G682" s="115">
        <f>IFERROR(__xludf.DUMMYFUNCTION("""COMPUTED_VALUE"""),186.0)</f>
        <v>186</v>
      </c>
      <c r="H682" s="116">
        <f>IFERROR(__xludf.DUMMYFUNCTION("""COMPUTED_VALUE"""),45902.0)</f>
        <v>45902</v>
      </c>
      <c r="I682" s="115" t="str">
        <f>IFERROR(__xludf.DUMMYFUNCTION("""COMPUTED_VALUE"""),"12")</f>
        <v>12</v>
      </c>
      <c r="J682" s="115" t="str">
        <f>IFERROR(__xludf.DUMMYFUNCTION("""COMPUTED_VALUE"""),"Parag Kashyap2025-09-0212")</f>
        <v>Parag Kashyap2025-09-0212</v>
      </c>
      <c r="K682" s="115">
        <f>IFERROR(__xludf.DUMMYFUNCTION("""COMPUTED_VALUE"""),32818.0)</f>
        <v>32818</v>
      </c>
    </row>
    <row r="683">
      <c r="A683" s="115" t="str">
        <f>IFERROR(__xludf.DUMMYFUNCTION("""COMPUTED_VALUE"""),"NORTH")</f>
        <v>NORTH</v>
      </c>
      <c r="B683" s="115" t="str">
        <f>IFERROR(__xludf.DUMMYFUNCTION("""COMPUTED_VALUE"""),"Amit Kumar Pathak")</f>
        <v>Amit Kumar Pathak</v>
      </c>
      <c r="C683" s="115" t="str">
        <f>IFERROR(__xludf.DUMMYFUNCTION("""COMPUTED_VALUE"""),"EXTERNAL")</f>
        <v>EXTERNAL</v>
      </c>
      <c r="D683" s="115">
        <f>IFERROR(__xludf.DUMMYFUNCTION("""COMPUTED_VALUE"""),19200.0)</f>
        <v>19200</v>
      </c>
      <c r="E683" s="115">
        <f>IFERROR(__xludf.DUMMYFUNCTION("""COMPUTED_VALUE"""),1765.0)</f>
        <v>1765</v>
      </c>
      <c r="F683" s="115">
        <f>IFERROR(__xludf.DUMMYFUNCTION("""COMPUTED_VALUE"""),2457.0)</f>
        <v>2457</v>
      </c>
      <c r="G683" s="115">
        <f>IFERROR(__xludf.DUMMYFUNCTION("""COMPUTED_VALUE"""),126.0)</f>
        <v>126</v>
      </c>
      <c r="H683" s="116">
        <f>IFERROR(__xludf.DUMMYFUNCTION("""COMPUTED_VALUE"""),45902.0)</f>
        <v>45902</v>
      </c>
      <c r="I683" s="115" t="str">
        <f>IFERROR(__xludf.DUMMYFUNCTION("""COMPUTED_VALUE"""),"12")</f>
        <v>12</v>
      </c>
      <c r="J683" s="115" t="str">
        <f>IFERROR(__xludf.DUMMYFUNCTION("""COMPUTED_VALUE"""),"Amit Kumar Pathak2025-09-0212")</f>
        <v>Amit Kumar Pathak2025-09-0212</v>
      </c>
      <c r="K683" s="115">
        <f>IFERROR(__xludf.DUMMYFUNCTION("""COMPUTED_VALUE"""),20965.0)</f>
        <v>20965</v>
      </c>
    </row>
    <row r="684">
      <c r="A684" s="115" t="str">
        <f>IFERROR(__xludf.DUMMYFUNCTION("""COMPUTED_VALUE"""),"NORTH")</f>
        <v>NORTH</v>
      </c>
      <c r="B684" s="115" t="str">
        <f>IFERROR(__xludf.DUMMYFUNCTION("""COMPUTED_VALUE"""),"Amit Kumar Pathak")</f>
        <v>Amit Kumar Pathak</v>
      </c>
      <c r="C684" s="115" t="str">
        <f>IFERROR(__xludf.DUMMYFUNCTION("""COMPUTED_VALUE"""),"FLIPKART")</f>
        <v>FLIPKART</v>
      </c>
      <c r="D684" s="115">
        <f>IFERROR(__xludf.DUMMYFUNCTION("""COMPUTED_VALUE"""),133207.0)</f>
        <v>133207</v>
      </c>
      <c r="E684" s="115">
        <f>IFERROR(__xludf.DUMMYFUNCTION("""COMPUTED_VALUE"""),19406.0)</f>
        <v>19406</v>
      </c>
      <c r="F684" s="115">
        <f>IFERROR(__xludf.DUMMYFUNCTION("""COMPUTED_VALUE"""),32318.0)</f>
        <v>32318</v>
      </c>
      <c r="G684" s="115">
        <f>IFERROR(__xludf.DUMMYFUNCTION("""COMPUTED_VALUE"""),2713.0)</f>
        <v>2713</v>
      </c>
      <c r="H684" s="116">
        <f>IFERROR(__xludf.DUMMYFUNCTION("""COMPUTED_VALUE"""),45902.0)</f>
        <v>45902</v>
      </c>
      <c r="I684" s="115" t="str">
        <f>IFERROR(__xludf.DUMMYFUNCTION("""COMPUTED_VALUE"""),"12")</f>
        <v>12</v>
      </c>
      <c r="J684" s="115" t="str">
        <f>IFERROR(__xludf.DUMMYFUNCTION("""COMPUTED_VALUE"""),"Amit Kumar Pathak2025-09-0212")</f>
        <v>Amit Kumar Pathak2025-09-0212</v>
      </c>
      <c r="K684" s="115">
        <f>IFERROR(__xludf.DUMMYFUNCTION("""COMPUTED_VALUE"""),152613.0)</f>
        <v>152613</v>
      </c>
    </row>
    <row r="685">
      <c r="A685" s="115" t="str">
        <f>IFERROR(__xludf.DUMMYFUNCTION("""COMPUTED_VALUE"""),"NORTH")</f>
        <v>NORTH</v>
      </c>
      <c r="B685" s="115" t="str">
        <f>IFERROR(__xludf.DUMMYFUNCTION("""COMPUTED_VALUE"""),"Amit Kumar Pathak")</f>
        <v>Amit Kumar Pathak</v>
      </c>
      <c r="C685" s="115" t="str">
        <f>IFERROR(__xludf.DUMMYFUNCTION("""COMPUTED_VALUE"""),"MYNTRA")</f>
        <v>MYNTRA</v>
      </c>
      <c r="D685" s="115">
        <f>IFERROR(__xludf.DUMMYFUNCTION("""COMPUTED_VALUE"""),12111.0)</f>
        <v>12111</v>
      </c>
      <c r="E685" s="115">
        <f>IFERROR(__xludf.DUMMYFUNCTION("""COMPUTED_VALUE"""),4506.0)</f>
        <v>4506</v>
      </c>
      <c r="F685" s="115">
        <f>IFERROR(__xludf.DUMMYFUNCTION("""COMPUTED_VALUE"""),3750.0)</f>
        <v>3750</v>
      </c>
      <c r="G685" s="115">
        <f>IFERROR(__xludf.DUMMYFUNCTION("""COMPUTED_VALUE"""),728.0)</f>
        <v>728</v>
      </c>
      <c r="H685" s="116">
        <f>IFERROR(__xludf.DUMMYFUNCTION("""COMPUTED_VALUE"""),45902.0)</f>
        <v>45902</v>
      </c>
      <c r="I685" s="115" t="str">
        <f>IFERROR(__xludf.DUMMYFUNCTION("""COMPUTED_VALUE"""),"12")</f>
        <v>12</v>
      </c>
      <c r="J685" s="115" t="str">
        <f>IFERROR(__xludf.DUMMYFUNCTION("""COMPUTED_VALUE"""),"Amit Kumar Pathak2025-09-0212")</f>
        <v>Amit Kumar Pathak2025-09-0212</v>
      </c>
      <c r="K685" s="115">
        <f>IFERROR(__xludf.DUMMYFUNCTION("""COMPUTED_VALUE"""),16617.0)</f>
        <v>16617</v>
      </c>
    </row>
    <row r="686">
      <c r="A686" s="115" t="str">
        <f>IFERROR(__xludf.DUMMYFUNCTION("""COMPUTED_VALUE"""),"NORTH")</f>
        <v>NORTH</v>
      </c>
      <c r="B686" s="115" t="str">
        <f>IFERROR(__xludf.DUMMYFUNCTION("""COMPUTED_VALUE"""),"Loveleen Singh")</f>
        <v>Loveleen Singh</v>
      </c>
      <c r="C686" s="115" t="str">
        <f>IFERROR(__xludf.DUMMYFUNCTION("""COMPUTED_VALUE"""),"EXTERNAL")</f>
        <v>EXTERNAL</v>
      </c>
      <c r="D686" s="115">
        <f>IFERROR(__xludf.DUMMYFUNCTION("""COMPUTED_VALUE"""),23318.0)</f>
        <v>23318</v>
      </c>
      <c r="E686" s="115">
        <f>IFERROR(__xludf.DUMMYFUNCTION("""COMPUTED_VALUE"""),1477.0)</f>
        <v>1477</v>
      </c>
      <c r="F686" s="115">
        <f>IFERROR(__xludf.DUMMYFUNCTION("""COMPUTED_VALUE"""),2142.0)</f>
        <v>2142</v>
      </c>
      <c r="G686" s="115">
        <f>IFERROR(__xludf.DUMMYFUNCTION("""COMPUTED_VALUE"""),54.0)</f>
        <v>54</v>
      </c>
      <c r="H686" s="116">
        <f>IFERROR(__xludf.DUMMYFUNCTION("""COMPUTED_VALUE"""),45902.0)</f>
        <v>45902</v>
      </c>
      <c r="I686" s="115" t="str">
        <f>IFERROR(__xludf.DUMMYFUNCTION("""COMPUTED_VALUE"""),"12")</f>
        <v>12</v>
      </c>
      <c r="J686" s="115" t="str">
        <f>IFERROR(__xludf.DUMMYFUNCTION("""COMPUTED_VALUE"""),"Loveleen Singh2025-09-0212")</f>
        <v>Loveleen Singh2025-09-0212</v>
      </c>
      <c r="K686" s="115">
        <f>IFERROR(__xludf.DUMMYFUNCTION("""COMPUTED_VALUE"""),24795.0)</f>
        <v>24795</v>
      </c>
    </row>
    <row r="687">
      <c r="A687" s="115" t="str">
        <f>IFERROR(__xludf.DUMMYFUNCTION("""COMPUTED_VALUE"""),"NORTH")</f>
        <v>NORTH</v>
      </c>
      <c r="B687" s="115" t="str">
        <f>IFERROR(__xludf.DUMMYFUNCTION("""COMPUTED_VALUE"""),"Loveleen Singh")</f>
        <v>Loveleen Singh</v>
      </c>
      <c r="C687" s="115" t="str">
        <f>IFERROR(__xludf.DUMMYFUNCTION("""COMPUTED_VALUE"""),"FLIPKART")</f>
        <v>FLIPKART</v>
      </c>
      <c r="D687" s="115">
        <f>IFERROR(__xludf.DUMMYFUNCTION("""COMPUTED_VALUE"""),123154.0)</f>
        <v>123154</v>
      </c>
      <c r="E687" s="115">
        <f>IFERROR(__xludf.DUMMYFUNCTION("""COMPUTED_VALUE"""),9681.0)</f>
        <v>9681</v>
      </c>
      <c r="F687" s="115">
        <f>IFERROR(__xludf.DUMMYFUNCTION("""COMPUTED_VALUE"""),20160.0)</f>
        <v>20160</v>
      </c>
      <c r="G687" s="115">
        <f>IFERROR(__xludf.DUMMYFUNCTION("""COMPUTED_VALUE"""),647.0)</f>
        <v>647</v>
      </c>
      <c r="H687" s="116">
        <f>IFERROR(__xludf.DUMMYFUNCTION("""COMPUTED_VALUE"""),45902.0)</f>
        <v>45902</v>
      </c>
      <c r="I687" s="115" t="str">
        <f>IFERROR(__xludf.DUMMYFUNCTION("""COMPUTED_VALUE"""),"12")</f>
        <v>12</v>
      </c>
      <c r="J687" s="115" t="str">
        <f>IFERROR(__xludf.DUMMYFUNCTION("""COMPUTED_VALUE"""),"Loveleen Singh2025-09-0212")</f>
        <v>Loveleen Singh2025-09-0212</v>
      </c>
      <c r="K687" s="115">
        <f>IFERROR(__xludf.DUMMYFUNCTION("""COMPUTED_VALUE"""),132835.0)</f>
        <v>132835</v>
      </c>
    </row>
    <row r="688">
      <c r="A688" s="115" t="str">
        <f>IFERROR(__xludf.DUMMYFUNCTION("""COMPUTED_VALUE"""),"NORTH")</f>
        <v>NORTH</v>
      </c>
      <c r="B688" s="115" t="str">
        <f>IFERROR(__xludf.DUMMYFUNCTION("""COMPUTED_VALUE"""),"Loveleen Singh")</f>
        <v>Loveleen Singh</v>
      </c>
      <c r="C688" s="115" t="str">
        <f>IFERROR(__xludf.DUMMYFUNCTION("""COMPUTED_VALUE"""),"MYNTRA")</f>
        <v>MYNTRA</v>
      </c>
      <c r="D688" s="115">
        <f>IFERROR(__xludf.DUMMYFUNCTION("""COMPUTED_VALUE"""),18481.0)</f>
        <v>18481</v>
      </c>
      <c r="E688" s="115">
        <f>IFERROR(__xludf.DUMMYFUNCTION("""COMPUTED_VALUE"""),3892.0)</f>
        <v>3892</v>
      </c>
      <c r="F688" s="115">
        <f>IFERROR(__xludf.DUMMYFUNCTION("""COMPUTED_VALUE"""),3602.0)</f>
        <v>3602</v>
      </c>
      <c r="G688" s="115">
        <f>IFERROR(__xludf.DUMMYFUNCTION("""COMPUTED_VALUE"""),212.0)</f>
        <v>212</v>
      </c>
      <c r="H688" s="116">
        <f>IFERROR(__xludf.DUMMYFUNCTION("""COMPUTED_VALUE"""),45902.0)</f>
        <v>45902</v>
      </c>
      <c r="I688" s="115" t="str">
        <f>IFERROR(__xludf.DUMMYFUNCTION("""COMPUTED_VALUE"""),"12")</f>
        <v>12</v>
      </c>
      <c r="J688" s="115" t="str">
        <f>IFERROR(__xludf.DUMMYFUNCTION("""COMPUTED_VALUE"""),"Loveleen Singh2025-09-0212")</f>
        <v>Loveleen Singh2025-09-0212</v>
      </c>
      <c r="K688" s="115">
        <f>IFERROR(__xludf.DUMMYFUNCTION("""COMPUTED_VALUE"""),22373.0)</f>
        <v>22373</v>
      </c>
    </row>
    <row r="689">
      <c r="A689" s="115" t="str">
        <f>IFERROR(__xludf.DUMMYFUNCTION("""COMPUTED_VALUE"""),"NORTH")</f>
        <v>NORTH</v>
      </c>
      <c r="B689" s="115" t="str">
        <f>IFERROR(__xludf.DUMMYFUNCTION("""COMPUTED_VALUE"""),"Manoj Harsh")</f>
        <v>Manoj Harsh</v>
      </c>
      <c r="C689" s="115" t="str">
        <f>IFERROR(__xludf.DUMMYFUNCTION("""COMPUTED_VALUE"""),"EXTERNAL")</f>
        <v>EXTERNAL</v>
      </c>
      <c r="D689" s="115">
        <f>IFERROR(__xludf.DUMMYFUNCTION("""COMPUTED_VALUE"""),29030.0)</f>
        <v>29030</v>
      </c>
      <c r="E689" s="115">
        <f>IFERROR(__xludf.DUMMYFUNCTION("""COMPUTED_VALUE"""),2306.0)</f>
        <v>2306</v>
      </c>
      <c r="F689" s="115">
        <f>IFERROR(__xludf.DUMMYFUNCTION("""COMPUTED_VALUE"""),3020.0)</f>
        <v>3020</v>
      </c>
      <c r="G689" s="115">
        <f>IFERROR(__xludf.DUMMYFUNCTION("""COMPUTED_VALUE"""),68.0)</f>
        <v>68</v>
      </c>
      <c r="H689" s="116">
        <f>IFERROR(__xludf.DUMMYFUNCTION("""COMPUTED_VALUE"""),45902.0)</f>
        <v>45902</v>
      </c>
      <c r="I689" s="115" t="str">
        <f>IFERROR(__xludf.DUMMYFUNCTION("""COMPUTED_VALUE"""),"12")</f>
        <v>12</v>
      </c>
      <c r="J689" s="115" t="str">
        <f>IFERROR(__xludf.DUMMYFUNCTION("""COMPUTED_VALUE"""),"Manoj Harsh2025-09-0212")</f>
        <v>Manoj Harsh2025-09-0212</v>
      </c>
      <c r="K689" s="115">
        <f>IFERROR(__xludf.DUMMYFUNCTION("""COMPUTED_VALUE"""),31336.0)</f>
        <v>31336</v>
      </c>
    </row>
    <row r="690">
      <c r="A690" s="115" t="str">
        <f>IFERROR(__xludf.DUMMYFUNCTION("""COMPUTED_VALUE"""),"NORTH")</f>
        <v>NORTH</v>
      </c>
      <c r="B690" s="115" t="str">
        <f>IFERROR(__xludf.DUMMYFUNCTION("""COMPUTED_VALUE"""),"Manoj Harsh")</f>
        <v>Manoj Harsh</v>
      </c>
      <c r="C690" s="115" t="str">
        <f>IFERROR(__xludf.DUMMYFUNCTION("""COMPUTED_VALUE"""),"FLIPKART")</f>
        <v>FLIPKART</v>
      </c>
      <c r="D690" s="115">
        <f>IFERROR(__xludf.DUMMYFUNCTION("""COMPUTED_VALUE"""),351993.0)</f>
        <v>351993</v>
      </c>
      <c r="E690" s="115">
        <f>IFERROR(__xludf.DUMMYFUNCTION("""COMPUTED_VALUE"""),33790.0)</f>
        <v>33790</v>
      </c>
      <c r="F690" s="115">
        <f>IFERROR(__xludf.DUMMYFUNCTION("""COMPUTED_VALUE"""),71634.0)</f>
        <v>71634</v>
      </c>
      <c r="G690" s="115">
        <f>IFERROR(__xludf.DUMMYFUNCTION("""COMPUTED_VALUE"""),2249.0)</f>
        <v>2249</v>
      </c>
      <c r="H690" s="116">
        <f>IFERROR(__xludf.DUMMYFUNCTION("""COMPUTED_VALUE"""),45902.0)</f>
        <v>45902</v>
      </c>
      <c r="I690" s="115" t="str">
        <f>IFERROR(__xludf.DUMMYFUNCTION("""COMPUTED_VALUE"""),"12")</f>
        <v>12</v>
      </c>
      <c r="J690" s="115" t="str">
        <f>IFERROR(__xludf.DUMMYFUNCTION("""COMPUTED_VALUE"""),"Manoj Harsh2025-09-0212")</f>
        <v>Manoj Harsh2025-09-0212</v>
      </c>
      <c r="K690" s="115">
        <f>IFERROR(__xludf.DUMMYFUNCTION("""COMPUTED_VALUE"""),385783.0)</f>
        <v>385783</v>
      </c>
    </row>
    <row r="691">
      <c r="A691" s="115" t="str">
        <f>IFERROR(__xludf.DUMMYFUNCTION("""COMPUTED_VALUE"""),"NORTH")</f>
        <v>NORTH</v>
      </c>
      <c r="B691" s="115" t="str">
        <f>IFERROR(__xludf.DUMMYFUNCTION("""COMPUTED_VALUE"""),"Manoj Harsh")</f>
        <v>Manoj Harsh</v>
      </c>
      <c r="C691" s="115" t="str">
        <f>IFERROR(__xludf.DUMMYFUNCTION("""COMPUTED_VALUE"""),"MYNTRA")</f>
        <v>MYNTRA</v>
      </c>
      <c r="D691" s="115">
        <f>IFERROR(__xludf.DUMMYFUNCTION("""COMPUTED_VALUE"""),30636.0)</f>
        <v>30636</v>
      </c>
      <c r="E691" s="115">
        <f>IFERROR(__xludf.DUMMYFUNCTION("""COMPUTED_VALUE"""),6299.0)</f>
        <v>6299</v>
      </c>
      <c r="F691" s="115">
        <f>IFERROR(__xludf.DUMMYFUNCTION("""COMPUTED_VALUE"""),7644.0)</f>
        <v>7644</v>
      </c>
      <c r="G691" s="115">
        <f>IFERROR(__xludf.DUMMYFUNCTION("""COMPUTED_VALUE"""),438.0)</f>
        <v>438</v>
      </c>
      <c r="H691" s="116">
        <f>IFERROR(__xludf.DUMMYFUNCTION("""COMPUTED_VALUE"""),45902.0)</f>
        <v>45902</v>
      </c>
      <c r="I691" s="115" t="str">
        <f>IFERROR(__xludf.DUMMYFUNCTION("""COMPUTED_VALUE"""),"12")</f>
        <v>12</v>
      </c>
      <c r="J691" s="115" t="str">
        <f>IFERROR(__xludf.DUMMYFUNCTION("""COMPUTED_VALUE"""),"Manoj Harsh2025-09-0212")</f>
        <v>Manoj Harsh2025-09-0212</v>
      </c>
      <c r="K691" s="115">
        <f>IFERROR(__xludf.DUMMYFUNCTION("""COMPUTED_VALUE"""),36935.0)</f>
        <v>36935</v>
      </c>
    </row>
    <row r="692">
      <c r="A692" s="115" t="str">
        <f>IFERROR(__xludf.DUMMYFUNCTION("""COMPUTED_VALUE"""),"NORTH")</f>
        <v>NORTH</v>
      </c>
      <c r="B692" s="115" t="str">
        <f>IFERROR(__xludf.DUMMYFUNCTION("""COMPUTED_VALUE"""),"Pradeep Kothari")</f>
        <v>Pradeep Kothari</v>
      </c>
      <c r="C692" s="115" t="str">
        <f>IFERROR(__xludf.DUMMYFUNCTION("""COMPUTED_VALUE"""),"EXTERNAL")</f>
        <v>EXTERNAL</v>
      </c>
      <c r="D692" s="115">
        <f>IFERROR(__xludf.DUMMYFUNCTION("""COMPUTED_VALUE"""),16958.0)</f>
        <v>16958</v>
      </c>
      <c r="E692" s="115">
        <f>IFERROR(__xludf.DUMMYFUNCTION("""COMPUTED_VALUE"""),1569.0)</f>
        <v>1569</v>
      </c>
      <c r="F692" s="115">
        <f>IFERROR(__xludf.DUMMYFUNCTION("""COMPUTED_VALUE"""),2238.0)</f>
        <v>2238</v>
      </c>
      <c r="G692" s="115">
        <f>IFERROR(__xludf.DUMMYFUNCTION("""COMPUTED_VALUE"""),100.0)</f>
        <v>100</v>
      </c>
      <c r="H692" s="116">
        <f>IFERROR(__xludf.DUMMYFUNCTION("""COMPUTED_VALUE"""),45902.0)</f>
        <v>45902</v>
      </c>
      <c r="I692" s="115" t="str">
        <f>IFERROR(__xludf.DUMMYFUNCTION("""COMPUTED_VALUE"""),"12")</f>
        <v>12</v>
      </c>
      <c r="J692" s="115" t="str">
        <f>IFERROR(__xludf.DUMMYFUNCTION("""COMPUTED_VALUE"""),"Pradeep Kothari2025-09-0212")</f>
        <v>Pradeep Kothari2025-09-0212</v>
      </c>
      <c r="K692" s="115">
        <f>IFERROR(__xludf.DUMMYFUNCTION("""COMPUTED_VALUE"""),18527.0)</f>
        <v>18527</v>
      </c>
    </row>
    <row r="693">
      <c r="A693" s="115" t="str">
        <f>IFERROR(__xludf.DUMMYFUNCTION("""COMPUTED_VALUE"""),"NORTH")</f>
        <v>NORTH</v>
      </c>
      <c r="B693" s="115" t="str">
        <f>IFERROR(__xludf.DUMMYFUNCTION("""COMPUTED_VALUE"""),"Pradeep Kothari")</f>
        <v>Pradeep Kothari</v>
      </c>
      <c r="C693" s="115" t="str">
        <f>IFERROR(__xludf.DUMMYFUNCTION("""COMPUTED_VALUE"""),"FLIPKART")</f>
        <v>FLIPKART</v>
      </c>
      <c r="D693" s="115">
        <f>IFERROR(__xludf.DUMMYFUNCTION("""COMPUTED_VALUE"""),122402.0)</f>
        <v>122402</v>
      </c>
      <c r="E693" s="115">
        <f>IFERROR(__xludf.DUMMYFUNCTION("""COMPUTED_VALUE"""),14844.0)</f>
        <v>14844</v>
      </c>
      <c r="F693" s="115">
        <f>IFERROR(__xludf.DUMMYFUNCTION("""COMPUTED_VALUE"""),31880.0)</f>
        <v>31880</v>
      </c>
      <c r="G693" s="115">
        <f>IFERROR(__xludf.DUMMYFUNCTION("""COMPUTED_VALUE"""),1529.0)</f>
        <v>1529</v>
      </c>
      <c r="H693" s="116">
        <f>IFERROR(__xludf.DUMMYFUNCTION("""COMPUTED_VALUE"""),45902.0)</f>
        <v>45902</v>
      </c>
      <c r="I693" s="115" t="str">
        <f>IFERROR(__xludf.DUMMYFUNCTION("""COMPUTED_VALUE"""),"12")</f>
        <v>12</v>
      </c>
      <c r="J693" s="115" t="str">
        <f>IFERROR(__xludf.DUMMYFUNCTION("""COMPUTED_VALUE"""),"Pradeep Kothari2025-09-0212")</f>
        <v>Pradeep Kothari2025-09-0212</v>
      </c>
      <c r="K693" s="115">
        <f>IFERROR(__xludf.DUMMYFUNCTION("""COMPUTED_VALUE"""),137246.0)</f>
        <v>137246</v>
      </c>
    </row>
    <row r="694">
      <c r="A694" s="115" t="str">
        <f>IFERROR(__xludf.DUMMYFUNCTION("""COMPUTED_VALUE"""),"NORTH")</f>
        <v>NORTH</v>
      </c>
      <c r="B694" s="115" t="str">
        <f>IFERROR(__xludf.DUMMYFUNCTION("""COMPUTED_VALUE"""),"Pradeep Kothari")</f>
        <v>Pradeep Kothari</v>
      </c>
      <c r="C694" s="115" t="str">
        <f>IFERROR(__xludf.DUMMYFUNCTION("""COMPUTED_VALUE"""),"MYNTRA")</f>
        <v>MYNTRA</v>
      </c>
      <c r="D694" s="115">
        <f>IFERROR(__xludf.DUMMYFUNCTION("""COMPUTED_VALUE"""),21169.0)</f>
        <v>21169</v>
      </c>
      <c r="E694" s="115">
        <f>IFERROR(__xludf.DUMMYFUNCTION("""COMPUTED_VALUE"""),5416.0)</f>
        <v>5416</v>
      </c>
      <c r="F694" s="115">
        <f>IFERROR(__xludf.DUMMYFUNCTION("""COMPUTED_VALUE"""),6931.0)</f>
        <v>6931</v>
      </c>
      <c r="G694" s="115">
        <f>IFERROR(__xludf.DUMMYFUNCTION("""COMPUTED_VALUE"""),795.0)</f>
        <v>795</v>
      </c>
      <c r="H694" s="116">
        <f>IFERROR(__xludf.DUMMYFUNCTION("""COMPUTED_VALUE"""),45902.0)</f>
        <v>45902</v>
      </c>
      <c r="I694" s="115" t="str">
        <f>IFERROR(__xludf.DUMMYFUNCTION("""COMPUTED_VALUE"""),"12")</f>
        <v>12</v>
      </c>
      <c r="J694" s="115" t="str">
        <f>IFERROR(__xludf.DUMMYFUNCTION("""COMPUTED_VALUE"""),"Pradeep Kothari2025-09-0212")</f>
        <v>Pradeep Kothari2025-09-0212</v>
      </c>
      <c r="K694" s="115">
        <f>IFERROR(__xludf.DUMMYFUNCTION("""COMPUTED_VALUE"""),26585.0)</f>
        <v>26585</v>
      </c>
    </row>
    <row r="695">
      <c r="A695" s="115" t="str">
        <f>IFERROR(__xludf.DUMMYFUNCTION("""COMPUTED_VALUE"""),"SOUTH")</f>
        <v>SOUTH</v>
      </c>
      <c r="B695" s="115" t="str">
        <f>IFERROR(__xludf.DUMMYFUNCTION("""COMPUTED_VALUE"""),"Kandula Sampath")</f>
        <v>Kandula Sampath</v>
      </c>
      <c r="C695" s="115" t="str">
        <f>IFERROR(__xludf.DUMMYFUNCTION("""COMPUTED_VALUE"""),"EXTERNAL")</f>
        <v>EXTERNAL</v>
      </c>
      <c r="D695" s="115">
        <f>IFERROR(__xludf.DUMMYFUNCTION("""COMPUTED_VALUE"""),35146.0)</f>
        <v>35146</v>
      </c>
      <c r="E695" s="115">
        <f>IFERROR(__xludf.DUMMYFUNCTION("""COMPUTED_VALUE"""),3800.0)</f>
        <v>3800</v>
      </c>
      <c r="F695" s="115">
        <f>IFERROR(__xludf.DUMMYFUNCTION("""COMPUTED_VALUE"""),5490.0)</f>
        <v>5490</v>
      </c>
      <c r="G695" s="115">
        <f>IFERROR(__xludf.DUMMYFUNCTION("""COMPUTED_VALUE"""),148.0)</f>
        <v>148</v>
      </c>
      <c r="H695" s="116">
        <f>IFERROR(__xludf.DUMMYFUNCTION("""COMPUTED_VALUE"""),45902.0)</f>
        <v>45902</v>
      </c>
      <c r="I695" s="115" t="str">
        <f>IFERROR(__xludf.DUMMYFUNCTION("""COMPUTED_VALUE"""),"12")</f>
        <v>12</v>
      </c>
      <c r="J695" s="115" t="str">
        <f>IFERROR(__xludf.DUMMYFUNCTION("""COMPUTED_VALUE"""),"Kandula Sampath2025-09-0212")</f>
        <v>Kandula Sampath2025-09-0212</v>
      </c>
      <c r="K695" s="115">
        <f>IFERROR(__xludf.DUMMYFUNCTION("""COMPUTED_VALUE"""),38946.0)</f>
        <v>38946</v>
      </c>
    </row>
    <row r="696">
      <c r="A696" s="115" t="str">
        <f>IFERROR(__xludf.DUMMYFUNCTION("""COMPUTED_VALUE"""),"SOUTH")</f>
        <v>SOUTH</v>
      </c>
      <c r="B696" s="115" t="str">
        <f>IFERROR(__xludf.DUMMYFUNCTION("""COMPUTED_VALUE"""),"Kandula Sampath")</f>
        <v>Kandula Sampath</v>
      </c>
      <c r="C696" s="115" t="str">
        <f>IFERROR(__xludf.DUMMYFUNCTION("""COMPUTED_VALUE"""),"FLIPKART")</f>
        <v>FLIPKART</v>
      </c>
      <c r="D696" s="115">
        <f>IFERROR(__xludf.DUMMYFUNCTION("""COMPUTED_VALUE"""),312223.0)</f>
        <v>312223</v>
      </c>
      <c r="E696" s="115">
        <f>IFERROR(__xludf.DUMMYFUNCTION("""COMPUTED_VALUE"""),29751.0)</f>
        <v>29751</v>
      </c>
      <c r="F696" s="115">
        <f>IFERROR(__xludf.DUMMYFUNCTION("""COMPUTED_VALUE"""),93336.0)</f>
        <v>93336</v>
      </c>
      <c r="G696" s="115">
        <f>IFERROR(__xludf.DUMMYFUNCTION("""COMPUTED_VALUE"""),2038.0)</f>
        <v>2038</v>
      </c>
      <c r="H696" s="116">
        <f>IFERROR(__xludf.DUMMYFUNCTION("""COMPUTED_VALUE"""),45902.0)</f>
        <v>45902</v>
      </c>
      <c r="I696" s="115" t="str">
        <f>IFERROR(__xludf.DUMMYFUNCTION("""COMPUTED_VALUE"""),"12")</f>
        <v>12</v>
      </c>
      <c r="J696" s="115" t="str">
        <f>IFERROR(__xludf.DUMMYFUNCTION("""COMPUTED_VALUE"""),"Kandula Sampath2025-09-0212")</f>
        <v>Kandula Sampath2025-09-0212</v>
      </c>
      <c r="K696" s="115">
        <f>IFERROR(__xludf.DUMMYFUNCTION("""COMPUTED_VALUE"""),341974.0)</f>
        <v>341974</v>
      </c>
    </row>
    <row r="697">
      <c r="A697" s="115" t="str">
        <f>IFERROR(__xludf.DUMMYFUNCTION("""COMPUTED_VALUE"""),"SOUTH")</f>
        <v>SOUTH</v>
      </c>
      <c r="B697" s="115" t="str">
        <f>IFERROR(__xludf.DUMMYFUNCTION("""COMPUTED_VALUE"""),"Kandula Sampath")</f>
        <v>Kandula Sampath</v>
      </c>
      <c r="C697" s="115" t="str">
        <f>IFERROR(__xludf.DUMMYFUNCTION("""COMPUTED_VALUE"""),"MYNTRA")</f>
        <v>MYNTRA</v>
      </c>
      <c r="D697" s="115">
        <f>IFERROR(__xludf.DUMMYFUNCTION("""COMPUTED_VALUE"""),32115.0)</f>
        <v>32115</v>
      </c>
      <c r="E697" s="115">
        <f>IFERROR(__xludf.DUMMYFUNCTION("""COMPUTED_VALUE"""),7411.0)</f>
        <v>7411</v>
      </c>
      <c r="F697" s="115">
        <f>IFERROR(__xludf.DUMMYFUNCTION("""COMPUTED_VALUE"""),11346.0)</f>
        <v>11346</v>
      </c>
      <c r="G697" s="115">
        <f>IFERROR(__xludf.DUMMYFUNCTION("""COMPUTED_VALUE"""),505.0)</f>
        <v>505</v>
      </c>
      <c r="H697" s="116">
        <f>IFERROR(__xludf.DUMMYFUNCTION("""COMPUTED_VALUE"""),45902.0)</f>
        <v>45902</v>
      </c>
      <c r="I697" s="115" t="str">
        <f>IFERROR(__xludf.DUMMYFUNCTION("""COMPUTED_VALUE"""),"12")</f>
        <v>12</v>
      </c>
      <c r="J697" s="115" t="str">
        <f>IFERROR(__xludf.DUMMYFUNCTION("""COMPUTED_VALUE"""),"Kandula Sampath2025-09-0212")</f>
        <v>Kandula Sampath2025-09-0212</v>
      </c>
      <c r="K697" s="115">
        <f>IFERROR(__xludf.DUMMYFUNCTION("""COMPUTED_VALUE"""),39526.0)</f>
        <v>39526</v>
      </c>
    </row>
    <row r="698">
      <c r="A698" s="115" t="str">
        <f>IFERROR(__xludf.DUMMYFUNCTION("""COMPUTED_VALUE"""),"SOUTH")</f>
        <v>SOUTH</v>
      </c>
      <c r="B698" s="115" t="str">
        <f>IFERROR(__xludf.DUMMYFUNCTION("""COMPUTED_VALUE"""),"Martin A")</f>
        <v>Martin A</v>
      </c>
      <c r="C698" s="115" t="str">
        <f>IFERROR(__xludf.DUMMYFUNCTION("""COMPUTED_VALUE"""),"EXTERNAL")</f>
        <v>EXTERNAL</v>
      </c>
      <c r="D698" s="115">
        <f>IFERROR(__xludf.DUMMYFUNCTION("""COMPUTED_VALUE"""),31993.0)</f>
        <v>31993</v>
      </c>
      <c r="E698" s="115">
        <f>IFERROR(__xludf.DUMMYFUNCTION("""COMPUTED_VALUE"""),2198.0)</f>
        <v>2198</v>
      </c>
      <c r="F698" s="115">
        <f>IFERROR(__xludf.DUMMYFUNCTION("""COMPUTED_VALUE"""),5077.0)</f>
        <v>5077</v>
      </c>
      <c r="G698" s="115">
        <f>IFERROR(__xludf.DUMMYFUNCTION("""COMPUTED_VALUE"""),139.0)</f>
        <v>139</v>
      </c>
      <c r="H698" s="116">
        <f>IFERROR(__xludf.DUMMYFUNCTION("""COMPUTED_VALUE"""),45902.0)</f>
        <v>45902</v>
      </c>
      <c r="I698" s="115" t="str">
        <f>IFERROR(__xludf.DUMMYFUNCTION("""COMPUTED_VALUE"""),"12")</f>
        <v>12</v>
      </c>
      <c r="J698" s="115" t="str">
        <f>IFERROR(__xludf.DUMMYFUNCTION("""COMPUTED_VALUE"""),"Martin A2025-09-0212")</f>
        <v>Martin A2025-09-0212</v>
      </c>
      <c r="K698" s="115">
        <f>IFERROR(__xludf.DUMMYFUNCTION("""COMPUTED_VALUE"""),34191.0)</f>
        <v>34191</v>
      </c>
    </row>
    <row r="699">
      <c r="A699" s="115" t="str">
        <f>IFERROR(__xludf.DUMMYFUNCTION("""COMPUTED_VALUE"""),"SOUTH")</f>
        <v>SOUTH</v>
      </c>
      <c r="B699" s="115" t="str">
        <f>IFERROR(__xludf.DUMMYFUNCTION("""COMPUTED_VALUE"""),"Martin A")</f>
        <v>Martin A</v>
      </c>
      <c r="C699" s="115" t="str">
        <f>IFERROR(__xludf.DUMMYFUNCTION("""COMPUTED_VALUE"""),"FLIPKART")</f>
        <v>FLIPKART</v>
      </c>
      <c r="D699" s="115">
        <f>IFERROR(__xludf.DUMMYFUNCTION("""COMPUTED_VALUE"""),245555.0)</f>
        <v>245555</v>
      </c>
      <c r="E699" s="115">
        <f>IFERROR(__xludf.DUMMYFUNCTION("""COMPUTED_VALUE"""),24947.0)</f>
        <v>24947</v>
      </c>
      <c r="F699" s="115">
        <f>IFERROR(__xludf.DUMMYFUNCTION("""COMPUTED_VALUE"""),69128.0)</f>
        <v>69128</v>
      </c>
      <c r="G699" s="115">
        <f>IFERROR(__xludf.DUMMYFUNCTION("""COMPUTED_VALUE"""),2107.0)</f>
        <v>2107</v>
      </c>
      <c r="H699" s="116">
        <f>IFERROR(__xludf.DUMMYFUNCTION("""COMPUTED_VALUE"""),45902.0)</f>
        <v>45902</v>
      </c>
      <c r="I699" s="115" t="str">
        <f>IFERROR(__xludf.DUMMYFUNCTION("""COMPUTED_VALUE"""),"12")</f>
        <v>12</v>
      </c>
      <c r="J699" s="115" t="str">
        <f>IFERROR(__xludf.DUMMYFUNCTION("""COMPUTED_VALUE"""),"Martin A2025-09-0212")</f>
        <v>Martin A2025-09-0212</v>
      </c>
      <c r="K699" s="115">
        <f>IFERROR(__xludf.DUMMYFUNCTION("""COMPUTED_VALUE"""),270502.0)</f>
        <v>270502</v>
      </c>
    </row>
    <row r="700">
      <c r="A700" s="115" t="str">
        <f>IFERROR(__xludf.DUMMYFUNCTION("""COMPUTED_VALUE"""),"SOUTH")</f>
        <v>SOUTH</v>
      </c>
      <c r="B700" s="115" t="str">
        <f>IFERROR(__xludf.DUMMYFUNCTION("""COMPUTED_VALUE"""),"Martin A")</f>
        <v>Martin A</v>
      </c>
      <c r="C700" s="115" t="str">
        <f>IFERROR(__xludf.DUMMYFUNCTION("""COMPUTED_VALUE"""),"MYNTRA")</f>
        <v>MYNTRA</v>
      </c>
      <c r="D700" s="115">
        <f>IFERROR(__xludf.DUMMYFUNCTION("""COMPUTED_VALUE"""),23419.0)</f>
        <v>23419</v>
      </c>
      <c r="E700" s="115">
        <f>IFERROR(__xludf.DUMMYFUNCTION("""COMPUTED_VALUE"""),6117.0)</f>
        <v>6117</v>
      </c>
      <c r="F700" s="115">
        <f>IFERROR(__xludf.DUMMYFUNCTION("""COMPUTED_VALUE"""),8019.0)</f>
        <v>8019</v>
      </c>
      <c r="G700" s="115">
        <f>IFERROR(__xludf.DUMMYFUNCTION("""COMPUTED_VALUE"""),650.0)</f>
        <v>650</v>
      </c>
      <c r="H700" s="116">
        <f>IFERROR(__xludf.DUMMYFUNCTION("""COMPUTED_VALUE"""),45902.0)</f>
        <v>45902</v>
      </c>
      <c r="I700" s="115" t="str">
        <f>IFERROR(__xludf.DUMMYFUNCTION("""COMPUTED_VALUE"""),"12")</f>
        <v>12</v>
      </c>
      <c r="J700" s="115" t="str">
        <f>IFERROR(__xludf.DUMMYFUNCTION("""COMPUTED_VALUE"""),"Martin A2025-09-0212")</f>
        <v>Martin A2025-09-0212</v>
      </c>
      <c r="K700" s="115">
        <f>IFERROR(__xludf.DUMMYFUNCTION("""COMPUTED_VALUE"""),29536.0)</f>
        <v>29536</v>
      </c>
    </row>
    <row r="701">
      <c r="A701" s="115" t="str">
        <f>IFERROR(__xludf.DUMMYFUNCTION("""COMPUTED_VALUE"""),"SOUTH")</f>
        <v>SOUTH</v>
      </c>
      <c r="B701" s="115" t="str">
        <f>IFERROR(__xludf.DUMMYFUNCTION("""COMPUTED_VALUE"""),"Premkumar M")</f>
        <v>Premkumar M</v>
      </c>
      <c r="C701" s="115" t="str">
        <f>IFERROR(__xludf.DUMMYFUNCTION("""COMPUTED_VALUE"""),"EXTERNAL")</f>
        <v>EXTERNAL</v>
      </c>
      <c r="D701" s="115">
        <f>IFERROR(__xludf.DUMMYFUNCTION("""COMPUTED_VALUE"""),25277.0)</f>
        <v>25277</v>
      </c>
      <c r="E701" s="115">
        <f>IFERROR(__xludf.DUMMYFUNCTION("""COMPUTED_VALUE"""),1597.0)</f>
        <v>1597</v>
      </c>
      <c r="F701" s="115">
        <f>IFERROR(__xludf.DUMMYFUNCTION("""COMPUTED_VALUE"""),3039.0)</f>
        <v>3039</v>
      </c>
      <c r="G701" s="115">
        <f>IFERROR(__xludf.DUMMYFUNCTION("""COMPUTED_VALUE"""),23.0)</f>
        <v>23</v>
      </c>
      <c r="H701" s="116">
        <f>IFERROR(__xludf.DUMMYFUNCTION("""COMPUTED_VALUE"""),45902.0)</f>
        <v>45902</v>
      </c>
      <c r="I701" s="115" t="str">
        <f>IFERROR(__xludf.DUMMYFUNCTION("""COMPUTED_VALUE"""),"12")</f>
        <v>12</v>
      </c>
      <c r="J701" s="115" t="str">
        <f>IFERROR(__xludf.DUMMYFUNCTION("""COMPUTED_VALUE"""),"Premkumar M2025-09-0212")</f>
        <v>Premkumar M2025-09-0212</v>
      </c>
      <c r="K701" s="115">
        <f>IFERROR(__xludf.DUMMYFUNCTION("""COMPUTED_VALUE"""),26874.0)</f>
        <v>26874</v>
      </c>
    </row>
    <row r="702">
      <c r="A702" s="115" t="str">
        <f>IFERROR(__xludf.DUMMYFUNCTION("""COMPUTED_VALUE"""),"SOUTH")</f>
        <v>SOUTH</v>
      </c>
      <c r="B702" s="115" t="str">
        <f>IFERROR(__xludf.DUMMYFUNCTION("""COMPUTED_VALUE"""),"Premkumar M")</f>
        <v>Premkumar M</v>
      </c>
      <c r="C702" s="115" t="str">
        <f>IFERROR(__xludf.DUMMYFUNCTION("""COMPUTED_VALUE"""),"FLIPKART")</f>
        <v>FLIPKART</v>
      </c>
      <c r="D702" s="115">
        <f>IFERROR(__xludf.DUMMYFUNCTION("""COMPUTED_VALUE"""),232815.0)</f>
        <v>232815</v>
      </c>
      <c r="E702" s="115">
        <f>IFERROR(__xludf.DUMMYFUNCTION("""COMPUTED_VALUE"""),15835.0)</f>
        <v>15835</v>
      </c>
      <c r="F702" s="115">
        <f>IFERROR(__xludf.DUMMYFUNCTION("""COMPUTED_VALUE"""),45075.0)</f>
        <v>45075</v>
      </c>
      <c r="G702" s="115">
        <f>IFERROR(__xludf.DUMMYFUNCTION("""COMPUTED_VALUE"""),417.0)</f>
        <v>417</v>
      </c>
      <c r="H702" s="116">
        <f>IFERROR(__xludf.DUMMYFUNCTION("""COMPUTED_VALUE"""),45902.0)</f>
        <v>45902</v>
      </c>
      <c r="I702" s="115" t="str">
        <f>IFERROR(__xludf.DUMMYFUNCTION("""COMPUTED_VALUE"""),"12")</f>
        <v>12</v>
      </c>
      <c r="J702" s="115" t="str">
        <f>IFERROR(__xludf.DUMMYFUNCTION("""COMPUTED_VALUE"""),"Premkumar M2025-09-0212")</f>
        <v>Premkumar M2025-09-0212</v>
      </c>
      <c r="K702" s="115">
        <f>IFERROR(__xludf.DUMMYFUNCTION("""COMPUTED_VALUE"""),248650.0)</f>
        <v>248650</v>
      </c>
    </row>
    <row r="703">
      <c r="A703" s="115" t="str">
        <f>IFERROR(__xludf.DUMMYFUNCTION("""COMPUTED_VALUE"""),"SOUTH")</f>
        <v>SOUTH</v>
      </c>
      <c r="B703" s="115" t="str">
        <f>IFERROR(__xludf.DUMMYFUNCTION("""COMPUTED_VALUE"""),"Premkumar M")</f>
        <v>Premkumar M</v>
      </c>
      <c r="C703" s="115" t="str">
        <f>IFERROR(__xludf.DUMMYFUNCTION("""COMPUTED_VALUE"""),"MYNTRA")</f>
        <v>MYNTRA</v>
      </c>
      <c r="D703" s="115">
        <f>IFERROR(__xludf.DUMMYFUNCTION("""COMPUTED_VALUE"""),13303.0)</f>
        <v>13303</v>
      </c>
      <c r="E703" s="115">
        <f>IFERROR(__xludf.DUMMYFUNCTION("""COMPUTED_VALUE"""),2520.0)</f>
        <v>2520</v>
      </c>
      <c r="F703" s="115">
        <f>IFERROR(__xludf.DUMMYFUNCTION("""COMPUTED_VALUE"""),3117.0)</f>
        <v>3117</v>
      </c>
      <c r="G703" s="115">
        <f>IFERROR(__xludf.DUMMYFUNCTION("""COMPUTED_VALUE"""),60.0)</f>
        <v>60</v>
      </c>
      <c r="H703" s="116">
        <f>IFERROR(__xludf.DUMMYFUNCTION("""COMPUTED_VALUE"""),45902.0)</f>
        <v>45902</v>
      </c>
      <c r="I703" s="115" t="str">
        <f>IFERROR(__xludf.DUMMYFUNCTION("""COMPUTED_VALUE"""),"12")</f>
        <v>12</v>
      </c>
      <c r="J703" s="115" t="str">
        <f>IFERROR(__xludf.DUMMYFUNCTION("""COMPUTED_VALUE"""),"Premkumar M2025-09-0212")</f>
        <v>Premkumar M2025-09-0212</v>
      </c>
      <c r="K703" s="115">
        <f>IFERROR(__xludf.DUMMYFUNCTION("""COMPUTED_VALUE"""),15823.0)</f>
        <v>15823</v>
      </c>
    </row>
    <row r="704">
      <c r="A704" s="115" t="str">
        <f>IFERROR(__xludf.DUMMYFUNCTION("""COMPUTED_VALUE"""),"SOUTH")</f>
        <v>SOUTH</v>
      </c>
      <c r="B704" s="115" t="str">
        <f>IFERROR(__xludf.DUMMYFUNCTION("""COMPUTED_VALUE"""),"Vineeth V")</f>
        <v>Vineeth V</v>
      </c>
      <c r="C704" s="115" t="str">
        <f>IFERROR(__xludf.DUMMYFUNCTION("""COMPUTED_VALUE"""),"EXTERNAL")</f>
        <v>EXTERNAL</v>
      </c>
      <c r="D704" s="115">
        <f>IFERROR(__xludf.DUMMYFUNCTION("""COMPUTED_VALUE"""),18075.0)</f>
        <v>18075</v>
      </c>
      <c r="E704" s="115">
        <f>IFERROR(__xludf.DUMMYFUNCTION("""COMPUTED_VALUE"""),387.0)</f>
        <v>387</v>
      </c>
      <c r="F704" s="115">
        <f>IFERROR(__xludf.DUMMYFUNCTION("""COMPUTED_VALUE"""),1780.0)</f>
        <v>1780</v>
      </c>
      <c r="G704" s="115">
        <f>IFERROR(__xludf.DUMMYFUNCTION("""COMPUTED_VALUE"""),4.0)</f>
        <v>4</v>
      </c>
      <c r="H704" s="116">
        <f>IFERROR(__xludf.DUMMYFUNCTION("""COMPUTED_VALUE"""),45902.0)</f>
        <v>45902</v>
      </c>
      <c r="I704" s="115" t="str">
        <f>IFERROR(__xludf.DUMMYFUNCTION("""COMPUTED_VALUE"""),"12")</f>
        <v>12</v>
      </c>
      <c r="J704" s="115" t="str">
        <f>IFERROR(__xludf.DUMMYFUNCTION("""COMPUTED_VALUE"""),"Vineeth V2025-09-0212")</f>
        <v>Vineeth V2025-09-0212</v>
      </c>
      <c r="K704" s="115">
        <f>IFERROR(__xludf.DUMMYFUNCTION("""COMPUTED_VALUE"""),18462.0)</f>
        <v>18462</v>
      </c>
    </row>
    <row r="705">
      <c r="A705" s="115" t="str">
        <f>IFERROR(__xludf.DUMMYFUNCTION("""COMPUTED_VALUE"""),"SOUTH")</f>
        <v>SOUTH</v>
      </c>
      <c r="B705" s="115" t="str">
        <f>IFERROR(__xludf.DUMMYFUNCTION("""COMPUTED_VALUE"""),"Vineeth V")</f>
        <v>Vineeth V</v>
      </c>
      <c r="C705" s="115" t="str">
        <f>IFERROR(__xludf.DUMMYFUNCTION("""COMPUTED_VALUE"""),"FLIPKART")</f>
        <v>FLIPKART</v>
      </c>
      <c r="D705" s="115">
        <f>IFERROR(__xludf.DUMMYFUNCTION("""COMPUTED_VALUE"""),204773.0)</f>
        <v>204773</v>
      </c>
      <c r="E705" s="115">
        <f>IFERROR(__xludf.DUMMYFUNCTION("""COMPUTED_VALUE"""),13340.0)</f>
        <v>13340</v>
      </c>
      <c r="F705" s="115">
        <f>IFERROR(__xludf.DUMMYFUNCTION("""COMPUTED_VALUE"""),30809.0)</f>
        <v>30809</v>
      </c>
      <c r="G705" s="115">
        <f>IFERROR(__xludf.DUMMYFUNCTION("""COMPUTED_VALUE"""),178.0)</f>
        <v>178</v>
      </c>
      <c r="H705" s="116">
        <f>IFERROR(__xludf.DUMMYFUNCTION("""COMPUTED_VALUE"""),45902.0)</f>
        <v>45902</v>
      </c>
      <c r="I705" s="115" t="str">
        <f>IFERROR(__xludf.DUMMYFUNCTION("""COMPUTED_VALUE"""),"12")</f>
        <v>12</v>
      </c>
      <c r="J705" s="115" t="str">
        <f>IFERROR(__xludf.DUMMYFUNCTION("""COMPUTED_VALUE"""),"Vineeth V2025-09-0212")</f>
        <v>Vineeth V2025-09-0212</v>
      </c>
      <c r="K705" s="115">
        <f>IFERROR(__xludf.DUMMYFUNCTION("""COMPUTED_VALUE"""),218113.0)</f>
        <v>218113</v>
      </c>
    </row>
    <row r="706">
      <c r="A706" s="115" t="str">
        <f>IFERROR(__xludf.DUMMYFUNCTION("""COMPUTED_VALUE"""),"SOUTH")</f>
        <v>SOUTH</v>
      </c>
      <c r="B706" s="115" t="str">
        <f>IFERROR(__xludf.DUMMYFUNCTION("""COMPUTED_VALUE"""),"Vineeth V")</f>
        <v>Vineeth V</v>
      </c>
      <c r="C706" s="115" t="str">
        <f>IFERROR(__xludf.DUMMYFUNCTION("""COMPUTED_VALUE"""),"MYNTRA")</f>
        <v>MYNTRA</v>
      </c>
      <c r="D706" s="115">
        <f>IFERROR(__xludf.DUMMYFUNCTION("""COMPUTED_VALUE"""),18694.0)</f>
        <v>18694</v>
      </c>
      <c r="E706" s="115">
        <f>IFERROR(__xludf.DUMMYFUNCTION("""COMPUTED_VALUE"""),3224.0)</f>
        <v>3224</v>
      </c>
      <c r="F706" s="115">
        <f>IFERROR(__xludf.DUMMYFUNCTION("""COMPUTED_VALUE"""),3281.0)</f>
        <v>3281</v>
      </c>
      <c r="G706" s="115">
        <f>IFERROR(__xludf.DUMMYFUNCTION("""COMPUTED_VALUE"""),53.0)</f>
        <v>53</v>
      </c>
      <c r="H706" s="116">
        <f>IFERROR(__xludf.DUMMYFUNCTION("""COMPUTED_VALUE"""),45902.0)</f>
        <v>45902</v>
      </c>
      <c r="I706" s="115" t="str">
        <f>IFERROR(__xludf.DUMMYFUNCTION("""COMPUTED_VALUE"""),"12")</f>
        <v>12</v>
      </c>
      <c r="J706" s="115" t="str">
        <f>IFERROR(__xludf.DUMMYFUNCTION("""COMPUTED_VALUE"""),"Vineeth V2025-09-0212")</f>
        <v>Vineeth V2025-09-0212</v>
      </c>
      <c r="K706" s="115">
        <f>IFERROR(__xludf.DUMMYFUNCTION("""COMPUTED_VALUE"""),21918.0)</f>
        <v>21918</v>
      </c>
    </row>
    <row r="707">
      <c r="A707" s="115" t="str">
        <f>IFERROR(__xludf.DUMMYFUNCTION("""COMPUTED_VALUE"""),"WEST")</f>
        <v>WEST</v>
      </c>
      <c r="B707" s="115" t="str">
        <f>IFERROR(__xludf.DUMMYFUNCTION("""COMPUTED_VALUE"""),"Ashish Jakar")</f>
        <v>Ashish Jakar</v>
      </c>
      <c r="C707" s="115" t="str">
        <f>IFERROR(__xludf.DUMMYFUNCTION("""COMPUTED_VALUE"""),"EXTERNAL")</f>
        <v>EXTERNAL</v>
      </c>
      <c r="D707" s="115">
        <f>IFERROR(__xludf.DUMMYFUNCTION("""COMPUTED_VALUE"""),48864.0)</f>
        <v>48864</v>
      </c>
      <c r="E707" s="115">
        <f>IFERROR(__xludf.DUMMYFUNCTION("""COMPUTED_VALUE"""),5070.0)</f>
        <v>5070</v>
      </c>
      <c r="F707" s="115">
        <f>IFERROR(__xludf.DUMMYFUNCTION("""COMPUTED_VALUE"""),6173.0)</f>
        <v>6173</v>
      </c>
      <c r="G707" s="115">
        <f>IFERROR(__xludf.DUMMYFUNCTION("""COMPUTED_VALUE"""),304.0)</f>
        <v>304</v>
      </c>
      <c r="H707" s="116">
        <f>IFERROR(__xludf.DUMMYFUNCTION("""COMPUTED_VALUE"""),45902.0)</f>
        <v>45902</v>
      </c>
      <c r="I707" s="115" t="str">
        <f>IFERROR(__xludf.DUMMYFUNCTION("""COMPUTED_VALUE"""),"12")</f>
        <v>12</v>
      </c>
      <c r="J707" s="115" t="str">
        <f>IFERROR(__xludf.DUMMYFUNCTION("""COMPUTED_VALUE"""),"Ashish Jakar2025-09-0212")</f>
        <v>Ashish Jakar2025-09-0212</v>
      </c>
      <c r="K707" s="115">
        <f>IFERROR(__xludf.DUMMYFUNCTION("""COMPUTED_VALUE"""),53934.0)</f>
        <v>53934</v>
      </c>
    </row>
    <row r="708">
      <c r="A708" s="115" t="str">
        <f>IFERROR(__xludf.DUMMYFUNCTION("""COMPUTED_VALUE"""),"WEST")</f>
        <v>WEST</v>
      </c>
      <c r="B708" s="115" t="str">
        <f>IFERROR(__xludf.DUMMYFUNCTION("""COMPUTED_VALUE"""),"Ashish Jakar")</f>
        <v>Ashish Jakar</v>
      </c>
      <c r="C708" s="115" t="str">
        <f>IFERROR(__xludf.DUMMYFUNCTION("""COMPUTED_VALUE"""),"FLIPKART")</f>
        <v>FLIPKART</v>
      </c>
      <c r="D708" s="115">
        <f>IFERROR(__xludf.DUMMYFUNCTION("""COMPUTED_VALUE"""),273620.0)</f>
        <v>273620</v>
      </c>
      <c r="E708" s="115">
        <f>IFERROR(__xludf.DUMMYFUNCTION("""COMPUTED_VALUE"""),27993.0)</f>
        <v>27993</v>
      </c>
      <c r="F708" s="115">
        <f>IFERROR(__xludf.DUMMYFUNCTION("""COMPUTED_VALUE"""),64622.0)</f>
        <v>64622</v>
      </c>
      <c r="G708" s="115">
        <f>IFERROR(__xludf.DUMMYFUNCTION("""COMPUTED_VALUE"""),2387.0)</f>
        <v>2387</v>
      </c>
      <c r="H708" s="116">
        <f>IFERROR(__xludf.DUMMYFUNCTION("""COMPUTED_VALUE"""),45902.0)</f>
        <v>45902</v>
      </c>
      <c r="I708" s="115" t="str">
        <f>IFERROR(__xludf.DUMMYFUNCTION("""COMPUTED_VALUE"""),"12")</f>
        <v>12</v>
      </c>
      <c r="J708" s="115" t="str">
        <f>IFERROR(__xludf.DUMMYFUNCTION("""COMPUTED_VALUE"""),"Ashish Jakar2025-09-0212")</f>
        <v>Ashish Jakar2025-09-0212</v>
      </c>
      <c r="K708" s="115">
        <f>IFERROR(__xludf.DUMMYFUNCTION("""COMPUTED_VALUE"""),301613.0)</f>
        <v>301613</v>
      </c>
    </row>
    <row r="709">
      <c r="A709" s="115" t="str">
        <f>IFERROR(__xludf.DUMMYFUNCTION("""COMPUTED_VALUE"""),"WEST")</f>
        <v>WEST</v>
      </c>
      <c r="B709" s="115" t="str">
        <f>IFERROR(__xludf.DUMMYFUNCTION("""COMPUTED_VALUE"""),"Ashish Jakar")</f>
        <v>Ashish Jakar</v>
      </c>
      <c r="C709" s="115" t="str">
        <f>IFERROR(__xludf.DUMMYFUNCTION("""COMPUTED_VALUE"""),"MYNTRA")</f>
        <v>MYNTRA</v>
      </c>
      <c r="D709" s="115">
        <f>IFERROR(__xludf.DUMMYFUNCTION("""COMPUTED_VALUE"""),33027.0)</f>
        <v>33027</v>
      </c>
      <c r="E709" s="115">
        <f>IFERROR(__xludf.DUMMYFUNCTION("""COMPUTED_VALUE"""),9422.0)</f>
        <v>9422</v>
      </c>
      <c r="F709" s="115">
        <f>IFERROR(__xludf.DUMMYFUNCTION("""COMPUTED_VALUE"""),9630.0)</f>
        <v>9630</v>
      </c>
      <c r="G709" s="115">
        <f>IFERROR(__xludf.DUMMYFUNCTION("""COMPUTED_VALUE"""),896.0)</f>
        <v>896</v>
      </c>
      <c r="H709" s="116">
        <f>IFERROR(__xludf.DUMMYFUNCTION("""COMPUTED_VALUE"""),45902.0)</f>
        <v>45902</v>
      </c>
      <c r="I709" s="115" t="str">
        <f>IFERROR(__xludf.DUMMYFUNCTION("""COMPUTED_VALUE"""),"12")</f>
        <v>12</v>
      </c>
      <c r="J709" s="115" t="str">
        <f>IFERROR(__xludf.DUMMYFUNCTION("""COMPUTED_VALUE"""),"Ashish Jakar2025-09-0212")</f>
        <v>Ashish Jakar2025-09-0212</v>
      </c>
      <c r="K709" s="115">
        <f>IFERROR(__xludf.DUMMYFUNCTION("""COMPUTED_VALUE"""),42449.0)</f>
        <v>42449</v>
      </c>
    </row>
    <row r="710">
      <c r="A710" s="115" t="str">
        <f>IFERROR(__xludf.DUMMYFUNCTION("""COMPUTED_VALUE"""),"WEST")</f>
        <v>WEST</v>
      </c>
      <c r="B710" s="115" t="str">
        <f>IFERROR(__xludf.DUMMYFUNCTION("""COMPUTED_VALUE"""),"Ashvani Bhatt")</f>
        <v>Ashvani Bhatt</v>
      </c>
      <c r="C710" s="115" t="str">
        <f>IFERROR(__xludf.DUMMYFUNCTION("""COMPUTED_VALUE"""),"EXTERNAL")</f>
        <v>EXTERNAL</v>
      </c>
      <c r="D710" s="115">
        <f>IFERROR(__xludf.DUMMYFUNCTION("""COMPUTED_VALUE"""),31248.0)</f>
        <v>31248</v>
      </c>
      <c r="E710" s="115">
        <f>IFERROR(__xludf.DUMMYFUNCTION("""COMPUTED_VALUE"""),2647.0)</f>
        <v>2647</v>
      </c>
      <c r="F710" s="115">
        <f>IFERROR(__xludf.DUMMYFUNCTION("""COMPUTED_VALUE"""),4962.0)</f>
        <v>4962</v>
      </c>
      <c r="G710" s="115">
        <f>IFERROR(__xludf.DUMMYFUNCTION("""COMPUTED_VALUE"""),119.0)</f>
        <v>119</v>
      </c>
      <c r="H710" s="116">
        <f>IFERROR(__xludf.DUMMYFUNCTION("""COMPUTED_VALUE"""),45902.0)</f>
        <v>45902</v>
      </c>
      <c r="I710" s="115" t="str">
        <f>IFERROR(__xludf.DUMMYFUNCTION("""COMPUTED_VALUE"""),"12")</f>
        <v>12</v>
      </c>
      <c r="J710" s="115" t="str">
        <f>IFERROR(__xludf.DUMMYFUNCTION("""COMPUTED_VALUE"""),"Ashvani Bhatt2025-09-0212")</f>
        <v>Ashvani Bhatt2025-09-0212</v>
      </c>
      <c r="K710" s="115">
        <f>IFERROR(__xludf.DUMMYFUNCTION("""COMPUTED_VALUE"""),33895.0)</f>
        <v>33895</v>
      </c>
    </row>
    <row r="711">
      <c r="A711" s="115" t="str">
        <f>IFERROR(__xludf.DUMMYFUNCTION("""COMPUTED_VALUE"""),"WEST")</f>
        <v>WEST</v>
      </c>
      <c r="B711" s="115" t="str">
        <f>IFERROR(__xludf.DUMMYFUNCTION("""COMPUTED_VALUE"""),"Ashvani Bhatt")</f>
        <v>Ashvani Bhatt</v>
      </c>
      <c r="C711" s="115" t="str">
        <f>IFERROR(__xludf.DUMMYFUNCTION("""COMPUTED_VALUE"""),"FLIPKART")</f>
        <v>FLIPKART</v>
      </c>
      <c r="D711" s="115">
        <f>IFERROR(__xludf.DUMMYFUNCTION("""COMPUTED_VALUE"""),232138.0)</f>
        <v>232138</v>
      </c>
      <c r="E711" s="115">
        <f>IFERROR(__xludf.DUMMYFUNCTION("""COMPUTED_VALUE"""),23794.0)</f>
        <v>23794</v>
      </c>
      <c r="F711" s="115">
        <f>IFERROR(__xludf.DUMMYFUNCTION("""COMPUTED_VALUE"""),69620.0)</f>
        <v>69620</v>
      </c>
      <c r="G711" s="115">
        <f>IFERROR(__xludf.DUMMYFUNCTION("""COMPUTED_VALUE"""),2041.0)</f>
        <v>2041</v>
      </c>
      <c r="H711" s="116">
        <f>IFERROR(__xludf.DUMMYFUNCTION("""COMPUTED_VALUE"""),45902.0)</f>
        <v>45902</v>
      </c>
      <c r="I711" s="115" t="str">
        <f>IFERROR(__xludf.DUMMYFUNCTION("""COMPUTED_VALUE"""),"12")</f>
        <v>12</v>
      </c>
      <c r="J711" s="115" t="str">
        <f>IFERROR(__xludf.DUMMYFUNCTION("""COMPUTED_VALUE"""),"Ashvani Bhatt2025-09-0212")</f>
        <v>Ashvani Bhatt2025-09-0212</v>
      </c>
      <c r="K711" s="115">
        <f>IFERROR(__xludf.DUMMYFUNCTION("""COMPUTED_VALUE"""),255932.0)</f>
        <v>255932</v>
      </c>
    </row>
    <row r="712">
      <c r="A712" s="115" t="str">
        <f>IFERROR(__xludf.DUMMYFUNCTION("""COMPUTED_VALUE"""),"WEST")</f>
        <v>WEST</v>
      </c>
      <c r="B712" s="115" t="str">
        <f>IFERROR(__xludf.DUMMYFUNCTION("""COMPUTED_VALUE"""),"Ashvani Bhatt")</f>
        <v>Ashvani Bhatt</v>
      </c>
      <c r="C712" s="115" t="str">
        <f>IFERROR(__xludf.DUMMYFUNCTION("""COMPUTED_VALUE"""),"MYNTRA")</f>
        <v>MYNTRA</v>
      </c>
      <c r="D712" s="115">
        <f>IFERROR(__xludf.DUMMYFUNCTION("""COMPUTED_VALUE"""),28145.0)</f>
        <v>28145</v>
      </c>
      <c r="E712" s="115">
        <f>IFERROR(__xludf.DUMMYFUNCTION("""COMPUTED_VALUE"""),7387.0)</f>
        <v>7387</v>
      </c>
      <c r="F712" s="115">
        <f>IFERROR(__xludf.DUMMYFUNCTION("""COMPUTED_VALUE"""),9971.0)</f>
        <v>9971</v>
      </c>
      <c r="G712" s="115">
        <f>IFERROR(__xludf.DUMMYFUNCTION("""COMPUTED_VALUE"""),819.0)</f>
        <v>819</v>
      </c>
      <c r="H712" s="116">
        <f>IFERROR(__xludf.DUMMYFUNCTION("""COMPUTED_VALUE"""),45902.0)</f>
        <v>45902</v>
      </c>
      <c r="I712" s="115" t="str">
        <f>IFERROR(__xludf.DUMMYFUNCTION("""COMPUTED_VALUE"""),"12")</f>
        <v>12</v>
      </c>
      <c r="J712" s="115" t="str">
        <f>IFERROR(__xludf.DUMMYFUNCTION("""COMPUTED_VALUE"""),"Ashvani Bhatt2025-09-0212")</f>
        <v>Ashvani Bhatt2025-09-0212</v>
      </c>
      <c r="K712" s="115">
        <f>IFERROR(__xludf.DUMMYFUNCTION("""COMPUTED_VALUE"""),35532.0)</f>
        <v>35532</v>
      </c>
    </row>
    <row r="713">
      <c r="A713" s="115"/>
      <c r="B713" s="115"/>
      <c r="C713" s="115" t="str">
        <f>IFERROR(__xludf.DUMMYFUNCTION("""COMPUTED_VALUE"""),"EXTERNAL")</f>
        <v>EXTERNAL</v>
      </c>
      <c r="D713" s="115">
        <f>IFERROR(__xludf.DUMMYFUNCTION("""COMPUTED_VALUE"""),514.0)</f>
        <v>514</v>
      </c>
      <c r="E713" s="115">
        <f>IFERROR(__xludf.DUMMYFUNCTION("""COMPUTED_VALUE"""),29.0)</f>
        <v>29</v>
      </c>
      <c r="F713" s="115">
        <f>IFERROR(__xludf.DUMMYFUNCTION("""COMPUTED_VALUE"""),33.0)</f>
        <v>33</v>
      </c>
      <c r="G713" s="115">
        <f>IFERROR(__xludf.DUMMYFUNCTION("""COMPUTED_VALUE"""),9.0)</f>
        <v>9</v>
      </c>
      <c r="H713" s="116">
        <f>IFERROR(__xludf.DUMMYFUNCTION("""COMPUTED_VALUE"""),45902.0)</f>
        <v>45902</v>
      </c>
      <c r="I713" s="115" t="str">
        <f>IFERROR(__xludf.DUMMYFUNCTION("""COMPUTED_VALUE"""),"12")</f>
        <v>12</v>
      </c>
      <c r="J713" s="115" t="str">
        <f>IFERROR(__xludf.DUMMYFUNCTION("""COMPUTED_VALUE"""),"2025-09-0212")</f>
        <v>2025-09-0212</v>
      </c>
      <c r="K713" s="115">
        <f>IFERROR(__xludf.DUMMYFUNCTION("""COMPUTED_VALUE"""),543.0)</f>
        <v>543</v>
      </c>
    </row>
    <row r="714">
      <c r="A714" s="115"/>
      <c r="B714" s="115"/>
      <c r="C714" s="115" t="str">
        <f>IFERROR(__xludf.DUMMYFUNCTION("""COMPUTED_VALUE"""),"FLIPKART")</f>
        <v>FLIPKART</v>
      </c>
      <c r="D714" s="115">
        <f>IFERROR(__xludf.DUMMYFUNCTION("""COMPUTED_VALUE"""),5898.0)</f>
        <v>5898</v>
      </c>
      <c r="E714" s="115">
        <f>IFERROR(__xludf.DUMMYFUNCTION("""COMPUTED_VALUE"""),459.0)</f>
        <v>459</v>
      </c>
      <c r="F714" s="115">
        <f>IFERROR(__xludf.DUMMYFUNCTION("""COMPUTED_VALUE"""),912.0)</f>
        <v>912</v>
      </c>
      <c r="G714" s="115">
        <f>IFERROR(__xludf.DUMMYFUNCTION("""COMPUTED_VALUE"""),74.0)</f>
        <v>74</v>
      </c>
      <c r="H714" s="116">
        <f>IFERROR(__xludf.DUMMYFUNCTION("""COMPUTED_VALUE"""),45902.0)</f>
        <v>45902</v>
      </c>
      <c r="I714" s="115" t="str">
        <f>IFERROR(__xludf.DUMMYFUNCTION("""COMPUTED_VALUE"""),"12")</f>
        <v>12</v>
      </c>
      <c r="J714" s="115" t="str">
        <f>IFERROR(__xludf.DUMMYFUNCTION("""COMPUTED_VALUE"""),"2025-09-0212")</f>
        <v>2025-09-0212</v>
      </c>
      <c r="K714" s="115">
        <f>IFERROR(__xludf.DUMMYFUNCTION("""COMPUTED_VALUE"""),6357.0)</f>
        <v>6357</v>
      </c>
    </row>
    <row r="715">
      <c r="A715" s="115"/>
      <c r="B715" s="115"/>
      <c r="C715" s="115" t="str">
        <f>IFERROR(__xludf.DUMMYFUNCTION("""COMPUTED_VALUE"""),"MYNTRA")</f>
        <v>MYNTRA</v>
      </c>
      <c r="D715" s="115">
        <f>IFERROR(__xludf.DUMMYFUNCTION("""COMPUTED_VALUE"""),489.0)</f>
        <v>489</v>
      </c>
      <c r="E715" s="115">
        <f>IFERROR(__xludf.DUMMYFUNCTION("""COMPUTED_VALUE"""),122.0)</f>
        <v>122</v>
      </c>
      <c r="F715" s="115">
        <f>IFERROR(__xludf.DUMMYFUNCTION("""COMPUTED_VALUE"""),92.0)</f>
        <v>92</v>
      </c>
      <c r="G715" s="115">
        <f>IFERROR(__xludf.DUMMYFUNCTION("""COMPUTED_VALUE"""),13.0)</f>
        <v>13</v>
      </c>
      <c r="H715" s="116">
        <f>IFERROR(__xludf.DUMMYFUNCTION("""COMPUTED_VALUE"""),45902.0)</f>
        <v>45902</v>
      </c>
      <c r="I715" s="115" t="str">
        <f>IFERROR(__xludf.DUMMYFUNCTION("""COMPUTED_VALUE"""),"12")</f>
        <v>12</v>
      </c>
      <c r="J715" s="115" t="str">
        <f>IFERROR(__xludf.DUMMYFUNCTION("""COMPUTED_VALUE"""),"2025-09-0212")</f>
        <v>2025-09-0212</v>
      </c>
      <c r="K715" s="115">
        <f>IFERROR(__xludf.DUMMYFUNCTION("""COMPUTED_VALUE"""),611.0)</f>
        <v>611</v>
      </c>
    </row>
    <row r="716">
      <c r="A716" s="115" t="str">
        <f>IFERROR(__xludf.DUMMYFUNCTION("""COMPUTED_VALUE"""),"EAST")</f>
        <v>EAST</v>
      </c>
      <c r="B716" s="115" t="str">
        <f>IFERROR(__xludf.DUMMYFUNCTION("""COMPUTED_VALUE"""),"Ashish Ranjan")</f>
        <v>Ashish Ranjan</v>
      </c>
      <c r="C716" s="115" t="str">
        <f>IFERROR(__xludf.DUMMYFUNCTION("""COMPUTED_VALUE"""),"EXTERNAL")</f>
        <v>EXTERNAL</v>
      </c>
      <c r="D716" s="115">
        <f>IFERROR(__xludf.DUMMYFUNCTION("""COMPUTED_VALUE"""),35034.0)</f>
        <v>35034</v>
      </c>
      <c r="E716" s="115">
        <f>IFERROR(__xludf.DUMMYFUNCTION("""COMPUTED_VALUE"""),2479.0)</f>
        <v>2479</v>
      </c>
      <c r="F716" s="115">
        <f>IFERROR(__xludf.DUMMYFUNCTION("""COMPUTED_VALUE"""),9505.0)</f>
        <v>9505</v>
      </c>
      <c r="G716" s="115">
        <f>IFERROR(__xludf.DUMMYFUNCTION("""COMPUTED_VALUE"""),236.0)</f>
        <v>236</v>
      </c>
      <c r="H716" s="116">
        <f>IFERROR(__xludf.DUMMYFUNCTION("""COMPUTED_VALUE"""),45902.0)</f>
        <v>45902</v>
      </c>
      <c r="I716" s="115" t="str">
        <f>IFERROR(__xludf.DUMMYFUNCTION("""COMPUTED_VALUE"""),"13")</f>
        <v>13</v>
      </c>
      <c r="J716" s="115" t="str">
        <f>IFERROR(__xludf.DUMMYFUNCTION("""COMPUTED_VALUE"""),"Ashish Ranjan2025-09-0213")</f>
        <v>Ashish Ranjan2025-09-0213</v>
      </c>
      <c r="K716" s="115">
        <f>IFERROR(__xludf.DUMMYFUNCTION("""COMPUTED_VALUE"""),37513.0)</f>
        <v>37513</v>
      </c>
    </row>
    <row r="717">
      <c r="A717" s="115" t="str">
        <f>IFERROR(__xludf.DUMMYFUNCTION("""COMPUTED_VALUE"""),"EAST")</f>
        <v>EAST</v>
      </c>
      <c r="B717" s="115" t="str">
        <f>IFERROR(__xludf.DUMMYFUNCTION("""COMPUTED_VALUE"""),"Ashish Ranjan")</f>
        <v>Ashish Ranjan</v>
      </c>
      <c r="C717" s="115" t="str">
        <f>IFERROR(__xludf.DUMMYFUNCTION("""COMPUTED_VALUE"""),"FLIPKART")</f>
        <v>FLIPKART</v>
      </c>
      <c r="D717" s="115">
        <f>IFERROR(__xludf.DUMMYFUNCTION("""COMPUTED_VALUE"""),516584.0)</f>
        <v>516584</v>
      </c>
      <c r="E717" s="115">
        <f>IFERROR(__xludf.DUMMYFUNCTION("""COMPUTED_VALUE"""),53631.0)</f>
        <v>53631</v>
      </c>
      <c r="F717" s="115">
        <f>IFERROR(__xludf.DUMMYFUNCTION("""COMPUTED_VALUE"""),243844.0)</f>
        <v>243844</v>
      </c>
      <c r="G717" s="115">
        <f>IFERROR(__xludf.DUMMYFUNCTION("""COMPUTED_VALUE"""),8951.0)</f>
        <v>8951</v>
      </c>
      <c r="H717" s="116">
        <f>IFERROR(__xludf.DUMMYFUNCTION("""COMPUTED_VALUE"""),45902.0)</f>
        <v>45902</v>
      </c>
      <c r="I717" s="115" t="str">
        <f>IFERROR(__xludf.DUMMYFUNCTION("""COMPUTED_VALUE"""),"13")</f>
        <v>13</v>
      </c>
      <c r="J717" s="115" t="str">
        <f>IFERROR(__xludf.DUMMYFUNCTION("""COMPUTED_VALUE"""),"Ashish Ranjan2025-09-0213")</f>
        <v>Ashish Ranjan2025-09-0213</v>
      </c>
      <c r="K717" s="115">
        <f>IFERROR(__xludf.DUMMYFUNCTION("""COMPUTED_VALUE"""),570215.0)</f>
        <v>570215</v>
      </c>
    </row>
    <row r="718">
      <c r="A718" s="115" t="str">
        <f>IFERROR(__xludf.DUMMYFUNCTION("""COMPUTED_VALUE"""),"EAST")</f>
        <v>EAST</v>
      </c>
      <c r="B718" s="115" t="str">
        <f>IFERROR(__xludf.DUMMYFUNCTION("""COMPUTED_VALUE"""),"Ashish Ranjan")</f>
        <v>Ashish Ranjan</v>
      </c>
      <c r="C718" s="115" t="str">
        <f>IFERROR(__xludf.DUMMYFUNCTION("""COMPUTED_VALUE"""),"MYNTRA")</f>
        <v>MYNTRA</v>
      </c>
      <c r="D718" s="115">
        <f>IFERROR(__xludf.DUMMYFUNCTION("""COMPUTED_VALUE"""),49432.0)</f>
        <v>49432</v>
      </c>
      <c r="E718" s="115">
        <f>IFERROR(__xludf.DUMMYFUNCTION("""COMPUTED_VALUE"""),11233.0)</f>
        <v>11233</v>
      </c>
      <c r="F718" s="115">
        <f>IFERROR(__xludf.DUMMYFUNCTION("""COMPUTED_VALUE"""),24499.0)</f>
        <v>24499</v>
      </c>
      <c r="G718" s="115">
        <f>IFERROR(__xludf.DUMMYFUNCTION("""COMPUTED_VALUE"""),2147.0)</f>
        <v>2147</v>
      </c>
      <c r="H718" s="116">
        <f>IFERROR(__xludf.DUMMYFUNCTION("""COMPUTED_VALUE"""),45902.0)</f>
        <v>45902</v>
      </c>
      <c r="I718" s="115" t="str">
        <f>IFERROR(__xludf.DUMMYFUNCTION("""COMPUTED_VALUE"""),"13")</f>
        <v>13</v>
      </c>
      <c r="J718" s="115" t="str">
        <f>IFERROR(__xludf.DUMMYFUNCTION("""COMPUTED_VALUE"""),"Ashish Ranjan2025-09-0213")</f>
        <v>Ashish Ranjan2025-09-0213</v>
      </c>
      <c r="K718" s="115">
        <f>IFERROR(__xludf.DUMMYFUNCTION("""COMPUTED_VALUE"""),60665.0)</f>
        <v>60665</v>
      </c>
    </row>
    <row r="719">
      <c r="A719" s="115" t="str">
        <f>IFERROR(__xludf.DUMMYFUNCTION("""COMPUTED_VALUE"""),"EAST")</f>
        <v>EAST</v>
      </c>
      <c r="B719" s="115" t="str">
        <f>IFERROR(__xludf.DUMMYFUNCTION("""COMPUTED_VALUE"""),"Girish Chand")</f>
        <v>Girish Chand</v>
      </c>
      <c r="C719" s="115" t="str">
        <f>IFERROR(__xludf.DUMMYFUNCTION("""COMPUTED_VALUE"""),"EXTERNAL")</f>
        <v>EXTERNAL</v>
      </c>
      <c r="D719" s="115">
        <f>IFERROR(__xludf.DUMMYFUNCTION("""COMPUTED_VALUE"""),21808.0)</f>
        <v>21808</v>
      </c>
      <c r="E719" s="115">
        <f>IFERROR(__xludf.DUMMYFUNCTION("""COMPUTED_VALUE"""),2107.0)</f>
        <v>2107</v>
      </c>
      <c r="F719" s="115">
        <f>IFERROR(__xludf.DUMMYFUNCTION("""COMPUTED_VALUE"""),4162.0)</f>
        <v>4162</v>
      </c>
      <c r="G719" s="115">
        <f>IFERROR(__xludf.DUMMYFUNCTION("""COMPUTED_VALUE"""),89.0)</f>
        <v>89</v>
      </c>
      <c r="H719" s="116">
        <f>IFERROR(__xludf.DUMMYFUNCTION("""COMPUTED_VALUE"""),45902.0)</f>
        <v>45902</v>
      </c>
      <c r="I719" s="115" t="str">
        <f>IFERROR(__xludf.DUMMYFUNCTION("""COMPUTED_VALUE"""),"13")</f>
        <v>13</v>
      </c>
      <c r="J719" s="115" t="str">
        <f>IFERROR(__xludf.DUMMYFUNCTION("""COMPUTED_VALUE"""),"Girish Chand2025-09-0213")</f>
        <v>Girish Chand2025-09-0213</v>
      </c>
      <c r="K719" s="115">
        <f>IFERROR(__xludf.DUMMYFUNCTION("""COMPUTED_VALUE"""),23915.0)</f>
        <v>23915</v>
      </c>
    </row>
    <row r="720">
      <c r="A720" s="115" t="str">
        <f>IFERROR(__xludf.DUMMYFUNCTION("""COMPUTED_VALUE"""),"EAST")</f>
        <v>EAST</v>
      </c>
      <c r="B720" s="115" t="str">
        <f>IFERROR(__xludf.DUMMYFUNCTION("""COMPUTED_VALUE"""),"Girish Chand")</f>
        <v>Girish Chand</v>
      </c>
      <c r="C720" s="115" t="str">
        <f>IFERROR(__xludf.DUMMYFUNCTION("""COMPUTED_VALUE"""),"FLIPKART")</f>
        <v>FLIPKART</v>
      </c>
      <c r="D720" s="115">
        <f>IFERROR(__xludf.DUMMYFUNCTION("""COMPUTED_VALUE"""),378372.0)</f>
        <v>378372</v>
      </c>
      <c r="E720" s="115">
        <f>IFERROR(__xludf.DUMMYFUNCTION("""COMPUTED_VALUE"""),35703.0)</f>
        <v>35703</v>
      </c>
      <c r="F720" s="115">
        <f>IFERROR(__xludf.DUMMYFUNCTION("""COMPUTED_VALUE"""),135672.0)</f>
        <v>135672</v>
      </c>
      <c r="G720" s="115">
        <f>IFERROR(__xludf.DUMMYFUNCTION("""COMPUTED_VALUE"""),3442.0)</f>
        <v>3442</v>
      </c>
      <c r="H720" s="116">
        <f>IFERROR(__xludf.DUMMYFUNCTION("""COMPUTED_VALUE"""),45902.0)</f>
        <v>45902</v>
      </c>
      <c r="I720" s="115" t="str">
        <f>IFERROR(__xludf.DUMMYFUNCTION("""COMPUTED_VALUE"""),"13")</f>
        <v>13</v>
      </c>
      <c r="J720" s="115" t="str">
        <f>IFERROR(__xludf.DUMMYFUNCTION("""COMPUTED_VALUE"""),"Girish Chand2025-09-0213")</f>
        <v>Girish Chand2025-09-0213</v>
      </c>
      <c r="K720" s="115">
        <f>IFERROR(__xludf.DUMMYFUNCTION("""COMPUTED_VALUE"""),414075.0)</f>
        <v>414075</v>
      </c>
    </row>
    <row r="721">
      <c r="A721" s="115" t="str">
        <f>IFERROR(__xludf.DUMMYFUNCTION("""COMPUTED_VALUE"""),"EAST")</f>
        <v>EAST</v>
      </c>
      <c r="B721" s="115" t="str">
        <f>IFERROR(__xludf.DUMMYFUNCTION("""COMPUTED_VALUE"""),"Girish Chand")</f>
        <v>Girish Chand</v>
      </c>
      <c r="C721" s="115" t="str">
        <f>IFERROR(__xludf.DUMMYFUNCTION("""COMPUTED_VALUE"""),"MYNTRA")</f>
        <v>MYNTRA</v>
      </c>
      <c r="D721" s="115">
        <f>IFERROR(__xludf.DUMMYFUNCTION("""COMPUTED_VALUE"""),29765.0)</f>
        <v>29765</v>
      </c>
      <c r="E721" s="115">
        <f>IFERROR(__xludf.DUMMYFUNCTION("""COMPUTED_VALUE"""),6010.0)</f>
        <v>6010</v>
      </c>
      <c r="F721" s="115">
        <f>IFERROR(__xludf.DUMMYFUNCTION("""COMPUTED_VALUE"""),11758.0)</f>
        <v>11758</v>
      </c>
      <c r="G721" s="115">
        <f>IFERROR(__xludf.DUMMYFUNCTION("""COMPUTED_VALUE"""),743.0)</f>
        <v>743</v>
      </c>
      <c r="H721" s="116">
        <f>IFERROR(__xludf.DUMMYFUNCTION("""COMPUTED_VALUE"""),45902.0)</f>
        <v>45902</v>
      </c>
      <c r="I721" s="115" t="str">
        <f>IFERROR(__xludf.DUMMYFUNCTION("""COMPUTED_VALUE"""),"13")</f>
        <v>13</v>
      </c>
      <c r="J721" s="115" t="str">
        <f>IFERROR(__xludf.DUMMYFUNCTION("""COMPUTED_VALUE"""),"Girish Chand2025-09-0213")</f>
        <v>Girish Chand2025-09-0213</v>
      </c>
      <c r="K721" s="115">
        <f>IFERROR(__xludf.DUMMYFUNCTION("""COMPUTED_VALUE"""),35775.0)</f>
        <v>35775</v>
      </c>
    </row>
    <row r="722">
      <c r="A722" s="115" t="str">
        <f>IFERROR(__xludf.DUMMYFUNCTION("""COMPUTED_VALUE"""),"EAST")</f>
        <v>EAST</v>
      </c>
      <c r="B722" s="115" t="str">
        <f>IFERROR(__xludf.DUMMYFUNCTION("""COMPUTED_VALUE"""),"Parag Kashyap")</f>
        <v>Parag Kashyap</v>
      </c>
      <c r="C722" s="115" t="str">
        <f>IFERROR(__xludf.DUMMYFUNCTION("""COMPUTED_VALUE"""),"EXTERNAL")</f>
        <v>EXTERNAL</v>
      </c>
      <c r="D722" s="115">
        <f>IFERROR(__xludf.DUMMYFUNCTION("""COMPUTED_VALUE"""),20069.0)</f>
        <v>20069</v>
      </c>
      <c r="E722" s="115">
        <f>IFERROR(__xludf.DUMMYFUNCTION("""COMPUTED_VALUE"""),998.0)</f>
        <v>998</v>
      </c>
      <c r="F722" s="115">
        <f>IFERROR(__xludf.DUMMYFUNCTION("""COMPUTED_VALUE"""),3051.0)</f>
        <v>3051</v>
      </c>
      <c r="G722" s="115">
        <f>IFERROR(__xludf.DUMMYFUNCTION("""COMPUTED_VALUE"""),39.0)</f>
        <v>39</v>
      </c>
      <c r="H722" s="116">
        <f>IFERROR(__xludf.DUMMYFUNCTION("""COMPUTED_VALUE"""),45902.0)</f>
        <v>45902</v>
      </c>
      <c r="I722" s="115" t="str">
        <f>IFERROR(__xludf.DUMMYFUNCTION("""COMPUTED_VALUE"""),"13")</f>
        <v>13</v>
      </c>
      <c r="J722" s="115" t="str">
        <f>IFERROR(__xludf.DUMMYFUNCTION("""COMPUTED_VALUE"""),"Parag Kashyap2025-09-0213")</f>
        <v>Parag Kashyap2025-09-0213</v>
      </c>
      <c r="K722" s="115">
        <f>IFERROR(__xludf.DUMMYFUNCTION("""COMPUTED_VALUE"""),21067.0)</f>
        <v>21067</v>
      </c>
    </row>
    <row r="723">
      <c r="A723" s="115" t="str">
        <f>IFERROR(__xludf.DUMMYFUNCTION("""COMPUTED_VALUE"""),"EAST")</f>
        <v>EAST</v>
      </c>
      <c r="B723" s="115" t="str">
        <f>IFERROR(__xludf.DUMMYFUNCTION("""COMPUTED_VALUE"""),"Parag Kashyap")</f>
        <v>Parag Kashyap</v>
      </c>
      <c r="C723" s="115" t="str">
        <f>IFERROR(__xludf.DUMMYFUNCTION("""COMPUTED_VALUE"""),"FLIPKART")</f>
        <v>FLIPKART</v>
      </c>
      <c r="D723" s="115">
        <f>IFERROR(__xludf.DUMMYFUNCTION("""COMPUTED_VALUE"""),288273.0)</f>
        <v>288273</v>
      </c>
      <c r="E723" s="115">
        <f>IFERROR(__xludf.DUMMYFUNCTION("""COMPUTED_VALUE"""),17085.0)</f>
        <v>17085</v>
      </c>
      <c r="F723" s="115">
        <f>IFERROR(__xludf.DUMMYFUNCTION("""COMPUTED_VALUE"""),88777.0)</f>
        <v>88777</v>
      </c>
      <c r="G723" s="115">
        <f>IFERROR(__xludf.DUMMYFUNCTION("""COMPUTED_VALUE"""),1175.0)</f>
        <v>1175</v>
      </c>
      <c r="H723" s="116">
        <f>IFERROR(__xludf.DUMMYFUNCTION("""COMPUTED_VALUE"""),45902.0)</f>
        <v>45902</v>
      </c>
      <c r="I723" s="115" t="str">
        <f>IFERROR(__xludf.DUMMYFUNCTION("""COMPUTED_VALUE"""),"13")</f>
        <v>13</v>
      </c>
      <c r="J723" s="115" t="str">
        <f>IFERROR(__xludf.DUMMYFUNCTION("""COMPUTED_VALUE"""),"Parag Kashyap2025-09-0213")</f>
        <v>Parag Kashyap2025-09-0213</v>
      </c>
      <c r="K723" s="115">
        <f>IFERROR(__xludf.DUMMYFUNCTION("""COMPUTED_VALUE"""),305358.0)</f>
        <v>305358</v>
      </c>
    </row>
    <row r="724">
      <c r="A724" s="115" t="str">
        <f>IFERROR(__xludf.DUMMYFUNCTION("""COMPUTED_VALUE"""),"EAST")</f>
        <v>EAST</v>
      </c>
      <c r="B724" s="115" t="str">
        <f>IFERROR(__xludf.DUMMYFUNCTION("""COMPUTED_VALUE"""),"Parag Kashyap")</f>
        <v>Parag Kashyap</v>
      </c>
      <c r="C724" s="115" t="str">
        <f>IFERROR(__xludf.DUMMYFUNCTION("""COMPUTED_VALUE"""),"MYNTRA")</f>
        <v>MYNTRA</v>
      </c>
      <c r="D724" s="115">
        <f>IFERROR(__xludf.DUMMYFUNCTION("""COMPUTED_VALUE"""),30098.0)</f>
        <v>30098</v>
      </c>
      <c r="E724" s="115">
        <f>IFERROR(__xludf.DUMMYFUNCTION("""COMPUTED_VALUE"""),4540.0)</f>
        <v>4540</v>
      </c>
      <c r="F724" s="115">
        <f>IFERROR(__xludf.DUMMYFUNCTION("""COMPUTED_VALUE"""),10059.0)</f>
        <v>10059</v>
      </c>
      <c r="G724" s="115">
        <f>IFERROR(__xludf.DUMMYFUNCTION("""COMPUTED_VALUE"""),344.0)</f>
        <v>344</v>
      </c>
      <c r="H724" s="116">
        <f>IFERROR(__xludf.DUMMYFUNCTION("""COMPUTED_VALUE"""),45902.0)</f>
        <v>45902</v>
      </c>
      <c r="I724" s="115" t="str">
        <f>IFERROR(__xludf.DUMMYFUNCTION("""COMPUTED_VALUE"""),"13")</f>
        <v>13</v>
      </c>
      <c r="J724" s="115" t="str">
        <f>IFERROR(__xludf.DUMMYFUNCTION("""COMPUTED_VALUE"""),"Parag Kashyap2025-09-0213")</f>
        <v>Parag Kashyap2025-09-0213</v>
      </c>
      <c r="K724" s="115">
        <f>IFERROR(__xludf.DUMMYFUNCTION("""COMPUTED_VALUE"""),34638.0)</f>
        <v>34638</v>
      </c>
    </row>
    <row r="725">
      <c r="A725" s="115" t="str">
        <f>IFERROR(__xludf.DUMMYFUNCTION("""COMPUTED_VALUE"""),"NORTH")</f>
        <v>NORTH</v>
      </c>
      <c r="B725" s="115" t="str">
        <f>IFERROR(__xludf.DUMMYFUNCTION("""COMPUTED_VALUE"""),"Amit Kumar Pathak")</f>
        <v>Amit Kumar Pathak</v>
      </c>
      <c r="C725" s="115" t="str">
        <f>IFERROR(__xludf.DUMMYFUNCTION("""COMPUTED_VALUE"""),"EXTERNAL")</f>
        <v>EXTERNAL</v>
      </c>
      <c r="D725" s="115">
        <f>IFERROR(__xludf.DUMMYFUNCTION("""COMPUTED_VALUE"""),20070.0)</f>
        <v>20070</v>
      </c>
      <c r="E725" s="115">
        <f>IFERROR(__xludf.DUMMYFUNCTION("""COMPUTED_VALUE"""),1951.0)</f>
        <v>1951</v>
      </c>
      <c r="F725" s="115">
        <f>IFERROR(__xludf.DUMMYFUNCTION("""COMPUTED_VALUE"""),3543.0)</f>
        <v>3543</v>
      </c>
      <c r="G725" s="115">
        <f>IFERROR(__xludf.DUMMYFUNCTION("""COMPUTED_VALUE"""),218.0)</f>
        <v>218</v>
      </c>
      <c r="H725" s="116">
        <f>IFERROR(__xludf.DUMMYFUNCTION("""COMPUTED_VALUE"""),45902.0)</f>
        <v>45902</v>
      </c>
      <c r="I725" s="115" t="str">
        <f>IFERROR(__xludf.DUMMYFUNCTION("""COMPUTED_VALUE"""),"13")</f>
        <v>13</v>
      </c>
      <c r="J725" s="115" t="str">
        <f>IFERROR(__xludf.DUMMYFUNCTION("""COMPUTED_VALUE"""),"Amit Kumar Pathak2025-09-0213")</f>
        <v>Amit Kumar Pathak2025-09-0213</v>
      </c>
      <c r="K725" s="115">
        <f>IFERROR(__xludf.DUMMYFUNCTION("""COMPUTED_VALUE"""),22021.0)</f>
        <v>22021</v>
      </c>
    </row>
    <row r="726">
      <c r="A726" s="115" t="str">
        <f>IFERROR(__xludf.DUMMYFUNCTION("""COMPUTED_VALUE"""),"NORTH")</f>
        <v>NORTH</v>
      </c>
      <c r="B726" s="115" t="str">
        <f>IFERROR(__xludf.DUMMYFUNCTION("""COMPUTED_VALUE"""),"Amit Kumar Pathak")</f>
        <v>Amit Kumar Pathak</v>
      </c>
      <c r="C726" s="115" t="str">
        <f>IFERROR(__xludf.DUMMYFUNCTION("""COMPUTED_VALUE"""),"FLIPKART")</f>
        <v>FLIPKART</v>
      </c>
      <c r="D726" s="115">
        <f>IFERROR(__xludf.DUMMYFUNCTION("""COMPUTED_VALUE"""),139794.0)</f>
        <v>139794</v>
      </c>
      <c r="E726" s="115">
        <f>IFERROR(__xludf.DUMMYFUNCTION("""COMPUTED_VALUE"""),20416.0)</f>
        <v>20416</v>
      </c>
      <c r="F726" s="115">
        <f>IFERROR(__xludf.DUMMYFUNCTION("""COMPUTED_VALUE"""),46551.0)</f>
        <v>46551</v>
      </c>
      <c r="G726" s="115">
        <f>IFERROR(__xludf.DUMMYFUNCTION("""COMPUTED_VALUE"""),4159.0)</f>
        <v>4159</v>
      </c>
      <c r="H726" s="116">
        <f>IFERROR(__xludf.DUMMYFUNCTION("""COMPUTED_VALUE"""),45902.0)</f>
        <v>45902</v>
      </c>
      <c r="I726" s="115" t="str">
        <f>IFERROR(__xludf.DUMMYFUNCTION("""COMPUTED_VALUE"""),"13")</f>
        <v>13</v>
      </c>
      <c r="J726" s="115" t="str">
        <f>IFERROR(__xludf.DUMMYFUNCTION("""COMPUTED_VALUE"""),"Amit Kumar Pathak2025-09-0213")</f>
        <v>Amit Kumar Pathak2025-09-0213</v>
      </c>
      <c r="K726" s="115">
        <f>IFERROR(__xludf.DUMMYFUNCTION("""COMPUTED_VALUE"""),160210.0)</f>
        <v>160210</v>
      </c>
    </row>
    <row r="727">
      <c r="A727" s="115" t="str">
        <f>IFERROR(__xludf.DUMMYFUNCTION("""COMPUTED_VALUE"""),"NORTH")</f>
        <v>NORTH</v>
      </c>
      <c r="B727" s="115" t="str">
        <f>IFERROR(__xludf.DUMMYFUNCTION("""COMPUTED_VALUE"""),"Amit Kumar Pathak")</f>
        <v>Amit Kumar Pathak</v>
      </c>
      <c r="C727" s="115" t="str">
        <f>IFERROR(__xludf.DUMMYFUNCTION("""COMPUTED_VALUE"""),"MYNTRA")</f>
        <v>MYNTRA</v>
      </c>
      <c r="D727" s="115">
        <f>IFERROR(__xludf.DUMMYFUNCTION("""COMPUTED_VALUE"""),12662.0)</f>
        <v>12662</v>
      </c>
      <c r="E727" s="115">
        <f>IFERROR(__xludf.DUMMYFUNCTION("""COMPUTED_VALUE"""),4742.0)</f>
        <v>4742</v>
      </c>
      <c r="F727" s="115">
        <f>IFERROR(__xludf.DUMMYFUNCTION("""COMPUTED_VALUE"""),5334.0)</f>
        <v>5334</v>
      </c>
      <c r="G727" s="115">
        <f>IFERROR(__xludf.DUMMYFUNCTION("""COMPUTED_VALUE"""),1126.0)</f>
        <v>1126</v>
      </c>
      <c r="H727" s="116">
        <f>IFERROR(__xludf.DUMMYFUNCTION("""COMPUTED_VALUE"""),45902.0)</f>
        <v>45902</v>
      </c>
      <c r="I727" s="115" t="str">
        <f>IFERROR(__xludf.DUMMYFUNCTION("""COMPUTED_VALUE"""),"13")</f>
        <v>13</v>
      </c>
      <c r="J727" s="115" t="str">
        <f>IFERROR(__xludf.DUMMYFUNCTION("""COMPUTED_VALUE"""),"Amit Kumar Pathak2025-09-0213")</f>
        <v>Amit Kumar Pathak2025-09-0213</v>
      </c>
      <c r="K727" s="115">
        <f>IFERROR(__xludf.DUMMYFUNCTION("""COMPUTED_VALUE"""),17404.0)</f>
        <v>17404</v>
      </c>
    </row>
    <row r="728">
      <c r="A728" s="115" t="str">
        <f>IFERROR(__xludf.DUMMYFUNCTION("""COMPUTED_VALUE"""),"NORTH")</f>
        <v>NORTH</v>
      </c>
      <c r="B728" s="115" t="str">
        <f>IFERROR(__xludf.DUMMYFUNCTION("""COMPUTED_VALUE"""),"Loveleen Singh")</f>
        <v>Loveleen Singh</v>
      </c>
      <c r="C728" s="115" t="str">
        <f>IFERROR(__xludf.DUMMYFUNCTION("""COMPUTED_VALUE"""),"EXTERNAL")</f>
        <v>EXTERNAL</v>
      </c>
      <c r="D728" s="115">
        <f>IFERROR(__xludf.DUMMYFUNCTION("""COMPUTED_VALUE"""),26074.0)</f>
        <v>26074</v>
      </c>
      <c r="E728" s="115">
        <f>IFERROR(__xludf.DUMMYFUNCTION("""COMPUTED_VALUE"""),1741.0)</f>
        <v>1741</v>
      </c>
      <c r="F728" s="115">
        <f>IFERROR(__xludf.DUMMYFUNCTION("""COMPUTED_VALUE"""),3640.0)</f>
        <v>3640</v>
      </c>
      <c r="G728" s="115">
        <f>IFERROR(__xludf.DUMMYFUNCTION("""COMPUTED_VALUE"""),90.0)</f>
        <v>90</v>
      </c>
      <c r="H728" s="116">
        <f>IFERROR(__xludf.DUMMYFUNCTION("""COMPUTED_VALUE"""),45902.0)</f>
        <v>45902</v>
      </c>
      <c r="I728" s="115" t="str">
        <f>IFERROR(__xludf.DUMMYFUNCTION("""COMPUTED_VALUE"""),"13")</f>
        <v>13</v>
      </c>
      <c r="J728" s="115" t="str">
        <f>IFERROR(__xludf.DUMMYFUNCTION("""COMPUTED_VALUE"""),"Loveleen Singh2025-09-0213")</f>
        <v>Loveleen Singh2025-09-0213</v>
      </c>
      <c r="K728" s="115">
        <f>IFERROR(__xludf.DUMMYFUNCTION("""COMPUTED_VALUE"""),27815.0)</f>
        <v>27815</v>
      </c>
    </row>
    <row r="729">
      <c r="A729" s="115" t="str">
        <f>IFERROR(__xludf.DUMMYFUNCTION("""COMPUTED_VALUE"""),"NORTH")</f>
        <v>NORTH</v>
      </c>
      <c r="B729" s="115" t="str">
        <f>IFERROR(__xludf.DUMMYFUNCTION("""COMPUTED_VALUE"""),"Loveleen Singh")</f>
        <v>Loveleen Singh</v>
      </c>
      <c r="C729" s="115" t="str">
        <f>IFERROR(__xludf.DUMMYFUNCTION("""COMPUTED_VALUE"""),"FLIPKART")</f>
        <v>FLIPKART</v>
      </c>
      <c r="D729" s="115">
        <f>IFERROR(__xludf.DUMMYFUNCTION("""COMPUTED_VALUE"""),136512.0)</f>
        <v>136512</v>
      </c>
      <c r="E729" s="115">
        <f>IFERROR(__xludf.DUMMYFUNCTION("""COMPUTED_VALUE"""),11235.0)</f>
        <v>11235</v>
      </c>
      <c r="F729" s="115">
        <f>IFERROR(__xludf.DUMMYFUNCTION("""COMPUTED_VALUE"""),34636.0)</f>
        <v>34636</v>
      </c>
      <c r="G729" s="115">
        <f>IFERROR(__xludf.DUMMYFUNCTION("""COMPUTED_VALUE"""),1214.0)</f>
        <v>1214</v>
      </c>
      <c r="H729" s="116">
        <f>IFERROR(__xludf.DUMMYFUNCTION("""COMPUTED_VALUE"""),45902.0)</f>
        <v>45902</v>
      </c>
      <c r="I729" s="115" t="str">
        <f>IFERROR(__xludf.DUMMYFUNCTION("""COMPUTED_VALUE"""),"13")</f>
        <v>13</v>
      </c>
      <c r="J729" s="115" t="str">
        <f>IFERROR(__xludf.DUMMYFUNCTION("""COMPUTED_VALUE"""),"Loveleen Singh2025-09-0213")</f>
        <v>Loveleen Singh2025-09-0213</v>
      </c>
      <c r="K729" s="115">
        <f>IFERROR(__xludf.DUMMYFUNCTION("""COMPUTED_VALUE"""),147747.0)</f>
        <v>147747</v>
      </c>
    </row>
    <row r="730">
      <c r="A730" s="115" t="str">
        <f>IFERROR(__xludf.DUMMYFUNCTION("""COMPUTED_VALUE"""),"NORTH")</f>
        <v>NORTH</v>
      </c>
      <c r="B730" s="115" t="str">
        <f>IFERROR(__xludf.DUMMYFUNCTION("""COMPUTED_VALUE"""),"Loveleen Singh")</f>
        <v>Loveleen Singh</v>
      </c>
      <c r="C730" s="115" t="str">
        <f>IFERROR(__xludf.DUMMYFUNCTION("""COMPUTED_VALUE"""),"MYNTRA")</f>
        <v>MYNTRA</v>
      </c>
      <c r="D730" s="115">
        <f>IFERROR(__xludf.DUMMYFUNCTION("""COMPUTED_VALUE"""),20459.0)</f>
        <v>20459</v>
      </c>
      <c r="E730" s="115">
        <f>IFERROR(__xludf.DUMMYFUNCTION("""COMPUTED_VALUE"""),4431.0)</f>
        <v>4431</v>
      </c>
      <c r="F730" s="115">
        <f>IFERROR(__xludf.DUMMYFUNCTION("""COMPUTED_VALUE"""),6215.0)</f>
        <v>6215</v>
      </c>
      <c r="G730" s="115">
        <f>IFERROR(__xludf.DUMMYFUNCTION("""COMPUTED_VALUE"""),451.0)</f>
        <v>451</v>
      </c>
      <c r="H730" s="116">
        <f>IFERROR(__xludf.DUMMYFUNCTION("""COMPUTED_VALUE"""),45902.0)</f>
        <v>45902</v>
      </c>
      <c r="I730" s="115" t="str">
        <f>IFERROR(__xludf.DUMMYFUNCTION("""COMPUTED_VALUE"""),"13")</f>
        <v>13</v>
      </c>
      <c r="J730" s="115" t="str">
        <f>IFERROR(__xludf.DUMMYFUNCTION("""COMPUTED_VALUE"""),"Loveleen Singh2025-09-0213")</f>
        <v>Loveleen Singh2025-09-0213</v>
      </c>
      <c r="K730" s="115">
        <f>IFERROR(__xludf.DUMMYFUNCTION("""COMPUTED_VALUE"""),24890.0)</f>
        <v>24890</v>
      </c>
    </row>
    <row r="731">
      <c r="A731" s="115" t="str">
        <f>IFERROR(__xludf.DUMMYFUNCTION("""COMPUTED_VALUE"""),"NORTH")</f>
        <v>NORTH</v>
      </c>
      <c r="B731" s="115" t="str">
        <f>IFERROR(__xludf.DUMMYFUNCTION("""COMPUTED_VALUE"""),"Manoj Harsh")</f>
        <v>Manoj Harsh</v>
      </c>
      <c r="C731" s="115" t="str">
        <f>IFERROR(__xludf.DUMMYFUNCTION("""COMPUTED_VALUE"""),"EXTERNAL")</f>
        <v>EXTERNAL</v>
      </c>
      <c r="D731" s="115">
        <f>IFERROR(__xludf.DUMMYFUNCTION("""COMPUTED_VALUE"""),31159.0)</f>
        <v>31159</v>
      </c>
      <c r="E731" s="115">
        <f>IFERROR(__xludf.DUMMYFUNCTION("""COMPUTED_VALUE"""),2672.0)</f>
        <v>2672</v>
      </c>
      <c r="F731" s="115">
        <f>IFERROR(__xludf.DUMMYFUNCTION("""COMPUTED_VALUE"""),5156.0)</f>
        <v>5156</v>
      </c>
      <c r="G731" s="115">
        <f>IFERROR(__xludf.DUMMYFUNCTION("""COMPUTED_VALUE"""),126.0)</f>
        <v>126</v>
      </c>
      <c r="H731" s="116">
        <f>IFERROR(__xludf.DUMMYFUNCTION("""COMPUTED_VALUE"""),45902.0)</f>
        <v>45902</v>
      </c>
      <c r="I731" s="115" t="str">
        <f>IFERROR(__xludf.DUMMYFUNCTION("""COMPUTED_VALUE"""),"13")</f>
        <v>13</v>
      </c>
      <c r="J731" s="115" t="str">
        <f>IFERROR(__xludf.DUMMYFUNCTION("""COMPUTED_VALUE"""),"Manoj Harsh2025-09-0213")</f>
        <v>Manoj Harsh2025-09-0213</v>
      </c>
      <c r="K731" s="115">
        <f>IFERROR(__xludf.DUMMYFUNCTION("""COMPUTED_VALUE"""),33831.0)</f>
        <v>33831</v>
      </c>
    </row>
    <row r="732">
      <c r="A732" s="115" t="str">
        <f>IFERROR(__xludf.DUMMYFUNCTION("""COMPUTED_VALUE"""),"NORTH")</f>
        <v>NORTH</v>
      </c>
      <c r="B732" s="115" t="str">
        <f>IFERROR(__xludf.DUMMYFUNCTION("""COMPUTED_VALUE"""),"Manoj Harsh")</f>
        <v>Manoj Harsh</v>
      </c>
      <c r="C732" s="115" t="str">
        <f>IFERROR(__xludf.DUMMYFUNCTION("""COMPUTED_VALUE"""),"FLIPKART")</f>
        <v>FLIPKART</v>
      </c>
      <c r="D732" s="115">
        <f>IFERROR(__xludf.DUMMYFUNCTION("""COMPUTED_VALUE"""),374030.0)</f>
        <v>374030</v>
      </c>
      <c r="E732" s="115">
        <f>IFERROR(__xludf.DUMMYFUNCTION("""COMPUTED_VALUE"""),37551.0)</f>
        <v>37551</v>
      </c>
      <c r="F732" s="115">
        <f>IFERROR(__xludf.DUMMYFUNCTION("""COMPUTED_VALUE"""),116409.0)</f>
        <v>116409</v>
      </c>
      <c r="G732" s="115">
        <f>IFERROR(__xludf.DUMMYFUNCTION("""COMPUTED_VALUE"""),3896.0)</f>
        <v>3896</v>
      </c>
      <c r="H732" s="116">
        <f>IFERROR(__xludf.DUMMYFUNCTION("""COMPUTED_VALUE"""),45902.0)</f>
        <v>45902</v>
      </c>
      <c r="I732" s="115" t="str">
        <f>IFERROR(__xludf.DUMMYFUNCTION("""COMPUTED_VALUE"""),"13")</f>
        <v>13</v>
      </c>
      <c r="J732" s="115" t="str">
        <f>IFERROR(__xludf.DUMMYFUNCTION("""COMPUTED_VALUE"""),"Manoj Harsh2025-09-0213")</f>
        <v>Manoj Harsh2025-09-0213</v>
      </c>
      <c r="K732" s="115">
        <f>IFERROR(__xludf.DUMMYFUNCTION("""COMPUTED_VALUE"""),411581.0)</f>
        <v>411581</v>
      </c>
    </row>
    <row r="733">
      <c r="A733" s="115" t="str">
        <f>IFERROR(__xludf.DUMMYFUNCTION("""COMPUTED_VALUE"""),"NORTH")</f>
        <v>NORTH</v>
      </c>
      <c r="B733" s="115" t="str">
        <f>IFERROR(__xludf.DUMMYFUNCTION("""COMPUTED_VALUE"""),"Manoj Harsh")</f>
        <v>Manoj Harsh</v>
      </c>
      <c r="C733" s="115" t="str">
        <f>IFERROR(__xludf.DUMMYFUNCTION("""COMPUTED_VALUE"""),"MYNTRA")</f>
        <v>MYNTRA</v>
      </c>
      <c r="D733" s="115">
        <f>IFERROR(__xludf.DUMMYFUNCTION("""COMPUTED_VALUE"""),32500.0)</f>
        <v>32500</v>
      </c>
      <c r="E733" s="115">
        <f>IFERROR(__xludf.DUMMYFUNCTION("""COMPUTED_VALUE"""),7002.0)</f>
        <v>7002</v>
      </c>
      <c r="F733" s="115">
        <f>IFERROR(__xludf.DUMMYFUNCTION("""COMPUTED_VALUE"""),12052.0)</f>
        <v>12052</v>
      </c>
      <c r="G733" s="115">
        <f>IFERROR(__xludf.DUMMYFUNCTION("""COMPUTED_VALUE"""),773.0)</f>
        <v>773</v>
      </c>
      <c r="H733" s="116">
        <f>IFERROR(__xludf.DUMMYFUNCTION("""COMPUTED_VALUE"""),45902.0)</f>
        <v>45902</v>
      </c>
      <c r="I733" s="115" t="str">
        <f>IFERROR(__xludf.DUMMYFUNCTION("""COMPUTED_VALUE"""),"13")</f>
        <v>13</v>
      </c>
      <c r="J733" s="115" t="str">
        <f>IFERROR(__xludf.DUMMYFUNCTION("""COMPUTED_VALUE"""),"Manoj Harsh2025-09-0213")</f>
        <v>Manoj Harsh2025-09-0213</v>
      </c>
      <c r="K733" s="115">
        <f>IFERROR(__xludf.DUMMYFUNCTION("""COMPUTED_VALUE"""),39502.0)</f>
        <v>39502</v>
      </c>
    </row>
    <row r="734">
      <c r="A734" s="115" t="str">
        <f>IFERROR(__xludf.DUMMYFUNCTION("""COMPUTED_VALUE"""),"NORTH")</f>
        <v>NORTH</v>
      </c>
      <c r="B734" s="115" t="str">
        <f>IFERROR(__xludf.DUMMYFUNCTION("""COMPUTED_VALUE"""),"Pradeep Kothari")</f>
        <v>Pradeep Kothari</v>
      </c>
      <c r="C734" s="115" t="str">
        <f>IFERROR(__xludf.DUMMYFUNCTION("""COMPUTED_VALUE"""),"EXTERNAL")</f>
        <v>EXTERNAL</v>
      </c>
      <c r="D734" s="115">
        <f>IFERROR(__xludf.DUMMYFUNCTION("""COMPUTED_VALUE"""),17842.0)</f>
        <v>17842</v>
      </c>
      <c r="E734" s="115">
        <f>IFERROR(__xludf.DUMMYFUNCTION("""COMPUTED_VALUE"""),1805.0)</f>
        <v>1805</v>
      </c>
      <c r="F734" s="115">
        <f>IFERROR(__xludf.DUMMYFUNCTION("""COMPUTED_VALUE"""),3507.0)</f>
        <v>3507</v>
      </c>
      <c r="G734" s="115">
        <f>IFERROR(__xludf.DUMMYFUNCTION("""COMPUTED_VALUE"""),151.0)</f>
        <v>151</v>
      </c>
      <c r="H734" s="116">
        <f>IFERROR(__xludf.DUMMYFUNCTION("""COMPUTED_VALUE"""),45902.0)</f>
        <v>45902</v>
      </c>
      <c r="I734" s="115" t="str">
        <f>IFERROR(__xludf.DUMMYFUNCTION("""COMPUTED_VALUE"""),"13")</f>
        <v>13</v>
      </c>
      <c r="J734" s="115" t="str">
        <f>IFERROR(__xludf.DUMMYFUNCTION("""COMPUTED_VALUE"""),"Pradeep Kothari2025-09-0213")</f>
        <v>Pradeep Kothari2025-09-0213</v>
      </c>
      <c r="K734" s="115">
        <f>IFERROR(__xludf.DUMMYFUNCTION("""COMPUTED_VALUE"""),19647.0)</f>
        <v>19647</v>
      </c>
    </row>
    <row r="735">
      <c r="A735" s="115" t="str">
        <f>IFERROR(__xludf.DUMMYFUNCTION("""COMPUTED_VALUE"""),"NORTH")</f>
        <v>NORTH</v>
      </c>
      <c r="B735" s="115" t="str">
        <f>IFERROR(__xludf.DUMMYFUNCTION("""COMPUTED_VALUE"""),"Pradeep Kothari")</f>
        <v>Pradeep Kothari</v>
      </c>
      <c r="C735" s="115" t="str">
        <f>IFERROR(__xludf.DUMMYFUNCTION("""COMPUTED_VALUE"""),"FLIPKART")</f>
        <v>FLIPKART</v>
      </c>
      <c r="D735" s="115">
        <f>IFERROR(__xludf.DUMMYFUNCTION("""COMPUTED_VALUE"""),128422.0)</f>
        <v>128422</v>
      </c>
      <c r="E735" s="115">
        <f>IFERROR(__xludf.DUMMYFUNCTION("""COMPUTED_VALUE"""),16044.0)</f>
        <v>16044</v>
      </c>
      <c r="F735" s="115">
        <f>IFERROR(__xludf.DUMMYFUNCTION("""COMPUTED_VALUE"""),48370.0)</f>
        <v>48370</v>
      </c>
      <c r="G735" s="115">
        <f>IFERROR(__xludf.DUMMYFUNCTION("""COMPUTED_VALUE"""),2672.0)</f>
        <v>2672</v>
      </c>
      <c r="H735" s="116">
        <f>IFERROR(__xludf.DUMMYFUNCTION("""COMPUTED_VALUE"""),45902.0)</f>
        <v>45902</v>
      </c>
      <c r="I735" s="115" t="str">
        <f>IFERROR(__xludf.DUMMYFUNCTION("""COMPUTED_VALUE"""),"13")</f>
        <v>13</v>
      </c>
      <c r="J735" s="115" t="str">
        <f>IFERROR(__xludf.DUMMYFUNCTION("""COMPUTED_VALUE"""),"Pradeep Kothari2025-09-0213")</f>
        <v>Pradeep Kothari2025-09-0213</v>
      </c>
      <c r="K735" s="115">
        <f>IFERROR(__xludf.DUMMYFUNCTION("""COMPUTED_VALUE"""),144466.0)</f>
        <v>144466</v>
      </c>
    </row>
    <row r="736">
      <c r="A736" s="115" t="str">
        <f>IFERROR(__xludf.DUMMYFUNCTION("""COMPUTED_VALUE"""),"NORTH")</f>
        <v>NORTH</v>
      </c>
      <c r="B736" s="115" t="str">
        <f>IFERROR(__xludf.DUMMYFUNCTION("""COMPUTED_VALUE"""),"Pradeep Kothari")</f>
        <v>Pradeep Kothari</v>
      </c>
      <c r="C736" s="115" t="str">
        <f>IFERROR(__xludf.DUMMYFUNCTION("""COMPUTED_VALUE"""),"MYNTRA")</f>
        <v>MYNTRA</v>
      </c>
      <c r="D736" s="115">
        <f>IFERROR(__xludf.DUMMYFUNCTION("""COMPUTED_VALUE"""),22046.0)</f>
        <v>22046</v>
      </c>
      <c r="E736" s="115">
        <f>IFERROR(__xludf.DUMMYFUNCTION("""COMPUTED_VALUE"""),5826.0)</f>
        <v>5826</v>
      </c>
      <c r="F736" s="115">
        <f>IFERROR(__xludf.DUMMYFUNCTION("""COMPUTED_VALUE"""),10137.0)</f>
        <v>10137</v>
      </c>
      <c r="G736" s="115">
        <f>IFERROR(__xludf.DUMMYFUNCTION("""COMPUTED_VALUE"""),1361.0)</f>
        <v>1361</v>
      </c>
      <c r="H736" s="116">
        <f>IFERROR(__xludf.DUMMYFUNCTION("""COMPUTED_VALUE"""),45902.0)</f>
        <v>45902</v>
      </c>
      <c r="I736" s="115" t="str">
        <f>IFERROR(__xludf.DUMMYFUNCTION("""COMPUTED_VALUE"""),"13")</f>
        <v>13</v>
      </c>
      <c r="J736" s="115" t="str">
        <f>IFERROR(__xludf.DUMMYFUNCTION("""COMPUTED_VALUE"""),"Pradeep Kothari2025-09-0213")</f>
        <v>Pradeep Kothari2025-09-0213</v>
      </c>
      <c r="K736" s="115">
        <f>IFERROR(__xludf.DUMMYFUNCTION("""COMPUTED_VALUE"""),27872.0)</f>
        <v>27872</v>
      </c>
    </row>
    <row r="737">
      <c r="A737" s="115" t="str">
        <f>IFERROR(__xludf.DUMMYFUNCTION("""COMPUTED_VALUE"""),"SOUTH")</f>
        <v>SOUTH</v>
      </c>
      <c r="B737" s="115" t="str">
        <f>IFERROR(__xludf.DUMMYFUNCTION("""COMPUTED_VALUE"""),"Kandula Sampath")</f>
        <v>Kandula Sampath</v>
      </c>
      <c r="C737" s="115" t="str">
        <f>IFERROR(__xludf.DUMMYFUNCTION("""COMPUTED_VALUE"""),"EXTERNAL")</f>
        <v>EXTERNAL</v>
      </c>
      <c r="D737" s="115">
        <f>IFERROR(__xludf.DUMMYFUNCTION("""COMPUTED_VALUE"""),36314.0)</f>
        <v>36314</v>
      </c>
      <c r="E737" s="115">
        <f>IFERROR(__xludf.DUMMYFUNCTION("""COMPUTED_VALUE"""),4088.0)</f>
        <v>4088</v>
      </c>
      <c r="F737" s="115">
        <f>IFERROR(__xludf.DUMMYFUNCTION("""COMPUTED_VALUE"""),7727.0)</f>
        <v>7727</v>
      </c>
      <c r="G737" s="115">
        <f>IFERROR(__xludf.DUMMYFUNCTION("""COMPUTED_VALUE"""),258.0)</f>
        <v>258</v>
      </c>
      <c r="H737" s="116">
        <f>IFERROR(__xludf.DUMMYFUNCTION("""COMPUTED_VALUE"""),45902.0)</f>
        <v>45902</v>
      </c>
      <c r="I737" s="115" t="str">
        <f>IFERROR(__xludf.DUMMYFUNCTION("""COMPUTED_VALUE"""),"13")</f>
        <v>13</v>
      </c>
      <c r="J737" s="115" t="str">
        <f>IFERROR(__xludf.DUMMYFUNCTION("""COMPUTED_VALUE"""),"Kandula Sampath2025-09-0213")</f>
        <v>Kandula Sampath2025-09-0213</v>
      </c>
      <c r="K737" s="115">
        <f>IFERROR(__xludf.DUMMYFUNCTION("""COMPUTED_VALUE"""),40402.0)</f>
        <v>40402</v>
      </c>
    </row>
    <row r="738">
      <c r="A738" s="115" t="str">
        <f>IFERROR(__xludf.DUMMYFUNCTION("""COMPUTED_VALUE"""),"SOUTH")</f>
        <v>SOUTH</v>
      </c>
      <c r="B738" s="115" t="str">
        <f>IFERROR(__xludf.DUMMYFUNCTION("""COMPUTED_VALUE"""),"Kandula Sampath")</f>
        <v>Kandula Sampath</v>
      </c>
      <c r="C738" s="115" t="str">
        <f>IFERROR(__xludf.DUMMYFUNCTION("""COMPUTED_VALUE"""),"FLIPKART")</f>
        <v>FLIPKART</v>
      </c>
      <c r="D738" s="115">
        <f>IFERROR(__xludf.DUMMYFUNCTION("""COMPUTED_VALUE"""),319725.0)</f>
        <v>319725</v>
      </c>
      <c r="E738" s="115">
        <f>IFERROR(__xludf.DUMMYFUNCTION("""COMPUTED_VALUE"""),31514.0)</f>
        <v>31514</v>
      </c>
      <c r="F738" s="115">
        <f>IFERROR(__xludf.DUMMYFUNCTION("""COMPUTED_VALUE"""),126389.0)</f>
        <v>126389</v>
      </c>
      <c r="G738" s="115">
        <f>IFERROR(__xludf.DUMMYFUNCTION("""COMPUTED_VALUE"""),3582.0)</f>
        <v>3582</v>
      </c>
      <c r="H738" s="116">
        <f>IFERROR(__xludf.DUMMYFUNCTION("""COMPUTED_VALUE"""),45902.0)</f>
        <v>45902</v>
      </c>
      <c r="I738" s="115" t="str">
        <f>IFERROR(__xludf.DUMMYFUNCTION("""COMPUTED_VALUE"""),"13")</f>
        <v>13</v>
      </c>
      <c r="J738" s="115" t="str">
        <f>IFERROR(__xludf.DUMMYFUNCTION("""COMPUTED_VALUE"""),"Kandula Sampath2025-09-0213")</f>
        <v>Kandula Sampath2025-09-0213</v>
      </c>
      <c r="K738" s="115">
        <f>IFERROR(__xludf.DUMMYFUNCTION("""COMPUTED_VALUE"""),351239.0)</f>
        <v>351239</v>
      </c>
    </row>
    <row r="739">
      <c r="A739" s="115" t="str">
        <f>IFERROR(__xludf.DUMMYFUNCTION("""COMPUTED_VALUE"""),"SOUTH")</f>
        <v>SOUTH</v>
      </c>
      <c r="B739" s="115" t="str">
        <f>IFERROR(__xludf.DUMMYFUNCTION("""COMPUTED_VALUE"""),"Kandula Sampath")</f>
        <v>Kandula Sampath</v>
      </c>
      <c r="C739" s="115" t="str">
        <f>IFERROR(__xludf.DUMMYFUNCTION("""COMPUTED_VALUE"""),"MYNTRA")</f>
        <v>MYNTRA</v>
      </c>
      <c r="D739" s="115">
        <f>IFERROR(__xludf.DUMMYFUNCTION("""COMPUTED_VALUE"""),32847.0)</f>
        <v>32847</v>
      </c>
      <c r="E739" s="115">
        <f>IFERROR(__xludf.DUMMYFUNCTION("""COMPUTED_VALUE"""),7863.0)</f>
        <v>7863</v>
      </c>
      <c r="F739" s="115">
        <f>IFERROR(__xludf.DUMMYFUNCTION("""COMPUTED_VALUE"""),15045.0)</f>
        <v>15045</v>
      </c>
      <c r="G739" s="115">
        <f>IFERROR(__xludf.DUMMYFUNCTION("""COMPUTED_VALUE"""),863.0)</f>
        <v>863</v>
      </c>
      <c r="H739" s="116">
        <f>IFERROR(__xludf.DUMMYFUNCTION("""COMPUTED_VALUE"""),45902.0)</f>
        <v>45902</v>
      </c>
      <c r="I739" s="115" t="str">
        <f>IFERROR(__xludf.DUMMYFUNCTION("""COMPUTED_VALUE"""),"13")</f>
        <v>13</v>
      </c>
      <c r="J739" s="115" t="str">
        <f>IFERROR(__xludf.DUMMYFUNCTION("""COMPUTED_VALUE"""),"Kandula Sampath2025-09-0213")</f>
        <v>Kandula Sampath2025-09-0213</v>
      </c>
      <c r="K739" s="115">
        <f>IFERROR(__xludf.DUMMYFUNCTION("""COMPUTED_VALUE"""),40710.0)</f>
        <v>40710</v>
      </c>
    </row>
    <row r="740">
      <c r="A740" s="115" t="str">
        <f>IFERROR(__xludf.DUMMYFUNCTION("""COMPUTED_VALUE"""),"SOUTH")</f>
        <v>SOUTH</v>
      </c>
      <c r="B740" s="115" t="str">
        <f>IFERROR(__xludf.DUMMYFUNCTION("""COMPUTED_VALUE"""),"Martin A")</f>
        <v>Martin A</v>
      </c>
      <c r="C740" s="115" t="str">
        <f>IFERROR(__xludf.DUMMYFUNCTION("""COMPUTED_VALUE"""),"EXTERNAL")</f>
        <v>EXTERNAL</v>
      </c>
      <c r="D740" s="115">
        <f>IFERROR(__xludf.DUMMYFUNCTION("""COMPUTED_VALUE"""),34214.0)</f>
        <v>34214</v>
      </c>
      <c r="E740" s="115">
        <f>IFERROR(__xludf.DUMMYFUNCTION("""COMPUTED_VALUE"""),2382.0)</f>
        <v>2382</v>
      </c>
      <c r="F740" s="115">
        <f>IFERROR(__xludf.DUMMYFUNCTION("""COMPUTED_VALUE"""),7357.0)</f>
        <v>7357</v>
      </c>
      <c r="G740" s="115">
        <f>IFERROR(__xludf.DUMMYFUNCTION("""COMPUTED_VALUE"""),213.0)</f>
        <v>213</v>
      </c>
      <c r="H740" s="116">
        <f>IFERROR(__xludf.DUMMYFUNCTION("""COMPUTED_VALUE"""),45902.0)</f>
        <v>45902</v>
      </c>
      <c r="I740" s="115" t="str">
        <f>IFERROR(__xludf.DUMMYFUNCTION("""COMPUTED_VALUE"""),"13")</f>
        <v>13</v>
      </c>
      <c r="J740" s="115" t="str">
        <f>IFERROR(__xludf.DUMMYFUNCTION("""COMPUTED_VALUE"""),"Martin A2025-09-0213")</f>
        <v>Martin A2025-09-0213</v>
      </c>
      <c r="K740" s="115">
        <f>IFERROR(__xludf.DUMMYFUNCTION("""COMPUTED_VALUE"""),36596.0)</f>
        <v>36596</v>
      </c>
    </row>
    <row r="741">
      <c r="A741" s="115" t="str">
        <f>IFERROR(__xludf.DUMMYFUNCTION("""COMPUTED_VALUE"""),"SOUTH")</f>
        <v>SOUTH</v>
      </c>
      <c r="B741" s="115" t="str">
        <f>IFERROR(__xludf.DUMMYFUNCTION("""COMPUTED_VALUE"""),"Martin A")</f>
        <v>Martin A</v>
      </c>
      <c r="C741" s="115" t="str">
        <f>IFERROR(__xludf.DUMMYFUNCTION("""COMPUTED_VALUE"""),"FLIPKART")</f>
        <v>FLIPKART</v>
      </c>
      <c r="D741" s="115">
        <f>IFERROR(__xludf.DUMMYFUNCTION("""COMPUTED_VALUE"""),259680.0)</f>
        <v>259680</v>
      </c>
      <c r="E741" s="115">
        <f>IFERROR(__xludf.DUMMYFUNCTION("""COMPUTED_VALUE"""),26337.0)</f>
        <v>26337</v>
      </c>
      <c r="F741" s="115">
        <f>IFERROR(__xludf.DUMMYFUNCTION("""COMPUTED_VALUE"""),98962.0)</f>
        <v>98962</v>
      </c>
      <c r="G741" s="115">
        <f>IFERROR(__xludf.DUMMYFUNCTION("""COMPUTED_VALUE"""),3518.0)</f>
        <v>3518</v>
      </c>
      <c r="H741" s="116">
        <f>IFERROR(__xludf.DUMMYFUNCTION("""COMPUTED_VALUE"""),45902.0)</f>
        <v>45902</v>
      </c>
      <c r="I741" s="115" t="str">
        <f>IFERROR(__xludf.DUMMYFUNCTION("""COMPUTED_VALUE"""),"13")</f>
        <v>13</v>
      </c>
      <c r="J741" s="115" t="str">
        <f>IFERROR(__xludf.DUMMYFUNCTION("""COMPUTED_VALUE"""),"Martin A2025-09-0213")</f>
        <v>Martin A2025-09-0213</v>
      </c>
      <c r="K741" s="115">
        <f>IFERROR(__xludf.DUMMYFUNCTION("""COMPUTED_VALUE"""),286017.0)</f>
        <v>286017</v>
      </c>
    </row>
    <row r="742">
      <c r="A742" s="115" t="str">
        <f>IFERROR(__xludf.DUMMYFUNCTION("""COMPUTED_VALUE"""),"SOUTH")</f>
        <v>SOUTH</v>
      </c>
      <c r="B742" s="115" t="str">
        <f>IFERROR(__xludf.DUMMYFUNCTION("""COMPUTED_VALUE"""),"Martin A")</f>
        <v>Martin A</v>
      </c>
      <c r="C742" s="115" t="str">
        <f>IFERROR(__xludf.DUMMYFUNCTION("""COMPUTED_VALUE"""),"MYNTRA")</f>
        <v>MYNTRA</v>
      </c>
      <c r="D742" s="115">
        <f>IFERROR(__xludf.DUMMYFUNCTION("""COMPUTED_VALUE"""),24590.0)</f>
        <v>24590</v>
      </c>
      <c r="E742" s="115">
        <f>IFERROR(__xludf.DUMMYFUNCTION("""COMPUTED_VALUE"""),6390.0)</f>
        <v>6390</v>
      </c>
      <c r="F742" s="115">
        <f>IFERROR(__xludf.DUMMYFUNCTION("""COMPUTED_VALUE"""),11272.0)</f>
        <v>11272</v>
      </c>
      <c r="G742" s="115">
        <f>IFERROR(__xludf.DUMMYFUNCTION("""COMPUTED_VALUE"""),1035.0)</f>
        <v>1035</v>
      </c>
      <c r="H742" s="116">
        <f>IFERROR(__xludf.DUMMYFUNCTION("""COMPUTED_VALUE"""),45902.0)</f>
        <v>45902</v>
      </c>
      <c r="I742" s="115" t="str">
        <f>IFERROR(__xludf.DUMMYFUNCTION("""COMPUTED_VALUE"""),"13")</f>
        <v>13</v>
      </c>
      <c r="J742" s="115" t="str">
        <f>IFERROR(__xludf.DUMMYFUNCTION("""COMPUTED_VALUE"""),"Martin A2025-09-0213")</f>
        <v>Martin A2025-09-0213</v>
      </c>
      <c r="K742" s="115">
        <f>IFERROR(__xludf.DUMMYFUNCTION("""COMPUTED_VALUE"""),30980.0)</f>
        <v>30980</v>
      </c>
    </row>
    <row r="743">
      <c r="A743" s="115" t="str">
        <f>IFERROR(__xludf.DUMMYFUNCTION("""COMPUTED_VALUE"""),"SOUTH")</f>
        <v>SOUTH</v>
      </c>
      <c r="B743" s="115" t="str">
        <f>IFERROR(__xludf.DUMMYFUNCTION("""COMPUTED_VALUE"""),"Premkumar M")</f>
        <v>Premkumar M</v>
      </c>
      <c r="C743" s="115" t="str">
        <f>IFERROR(__xludf.DUMMYFUNCTION("""COMPUTED_VALUE"""),"EXTERNAL")</f>
        <v>EXTERNAL</v>
      </c>
      <c r="D743" s="115">
        <f>IFERROR(__xludf.DUMMYFUNCTION("""COMPUTED_VALUE"""),28057.0)</f>
        <v>28057</v>
      </c>
      <c r="E743" s="115">
        <f>IFERROR(__xludf.DUMMYFUNCTION("""COMPUTED_VALUE"""),1910.0)</f>
        <v>1910</v>
      </c>
      <c r="F743" s="115">
        <f>IFERROR(__xludf.DUMMYFUNCTION("""COMPUTED_VALUE"""),5047.0)</f>
        <v>5047</v>
      </c>
      <c r="G743" s="115">
        <f>IFERROR(__xludf.DUMMYFUNCTION("""COMPUTED_VALUE"""),48.0)</f>
        <v>48</v>
      </c>
      <c r="H743" s="116">
        <f>IFERROR(__xludf.DUMMYFUNCTION("""COMPUTED_VALUE"""),45902.0)</f>
        <v>45902</v>
      </c>
      <c r="I743" s="115" t="str">
        <f>IFERROR(__xludf.DUMMYFUNCTION("""COMPUTED_VALUE"""),"13")</f>
        <v>13</v>
      </c>
      <c r="J743" s="115" t="str">
        <f>IFERROR(__xludf.DUMMYFUNCTION("""COMPUTED_VALUE"""),"Premkumar M2025-09-0213")</f>
        <v>Premkumar M2025-09-0213</v>
      </c>
      <c r="K743" s="115">
        <f>IFERROR(__xludf.DUMMYFUNCTION("""COMPUTED_VALUE"""),29967.0)</f>
        <v>29967</v>
      </c>
    </row>
    <row r="744">
      <c r="A744" s="115" t="str">
        <f>IFERROR(__xludf.DUMMYFUNCTION("""COMPUTED_VALUE"""),"SOUTH")</f>
        <v>SOUTH</v>
      </c>
      <c r="B744" s="115" t="str">
        <f>IFERROR(__xludf.DUMMYFUNCTION("""COMPUTED_VALUE"""),"Premkumar M")</f>
        <v>Premkumar M</v>
      </c>
      <c r="C744" s="115" t="str">
        <f>IFERROR(__xludf.DUMMYFUNCTION("""COMPUTED_VALUE"""),"FLIPKART")</f>
        <v>FLIPKART</v>
      </c>
      <c r="D744" s="115">
        <f>IFERROR(__xludf.DUMMYFUNCTION("""COMPUTED_VALUE"""),255080.0)</f>
        <v>255080</v>
      </c>
      <c r="E744" s="115">
        <f>IFERROR(__xludf.DUMMYFUNCTION("""COMPUTED_VALUE"""),18280.0)</f>
        <v>18280</v>
      </c>
      <c r="F744" s="115">
        <f>IFERROR(__xludf.DUMMYFUNCTION("""COMPUTED_VALUE"""),73354.0)</f>
        <v>73354</v>
      </c>
      <c r="G744" s="115">
        <f>IFERROR(__xludf.DUMMYFUNCTION("""COMPUTED_VALUE"""),805.0)</f>
        <v>805</v>
      </c>
      <c r="H744" s="116">
        <f>IFERROR(__xludf.DUMMYFUNCTION("""COMPUTED_VALUE"""),45902.0)</f>
        <v>45902</v>
      </c>
      <c r="I744" s="115" t="str">
        <f>IFERROR(__xludf.DUMMYFUNCTION("""COMPUTED_VALUE"""),"13")</f>
        <v>13</v>
      </c>
      <c r="J744" s="115" t="str">
        <f>IFERROR(__xludf.DUMMYFUNCTION("""COMPUTED_VALUE"""),"Premkumar M2025-09-0213")</f>
        <v>Premkumar M2025-09-0213</v>
      </c>
      <c r="K744" s="115">
        <f>IFERROR(__xludf.DUMMYFUNCTION("""COMPUTED_VALUE"""),273360.0)</f>
        <v>273360</v>
      </c>
    </row>
    <row r="745">
      <c r="A745" s="115" t="str">
        <f>IFERROR(__xludf.DUMMYFUNCTION("""COMPUTED_VALUE"""),"SOUTH")</f>
        <v>SOUTH</v>
      </c>
      <c r="B745" s="115" t="str">
        <f>IFERROR(__xludf.DUMMYFUNCTION("""COMPUTED_VALUE"""),"Premkumar M")</f>
        <v>Premkumar M</v>
      </c>
      <c r="C745" s="115" t="str">
        <f>IFERROR(__xludf.DUMMYFUNCTION("""COMPUTED_VALUE"""),"MYNTRA")</f>
        <v>MYNTRA</v>
      </c>
      <c r="D745" s="115">
        <f>IFERROR(__xludf.DUMMYFUNCTION("""COMPUTED_VALUE"""),14467.0)</f>
        <v>14467</v>
      </c>
      <c r="E745" s="115">
        <f>IFERROR(__xludf.DUMMYFUNCTION("""COMPUTED_VALUE"""),2828.0)</f>
        <v>2828</v>
      </c>
      <c r="F745" s="115">
        <f>IFERROR(__xludf.DUMMYFUNCTION("""COMPUTED_VALUE"""),4958.0)</f>
        <v>4958</v>
      </c>
      <c r="G745" s="115">
        <f>IFERROR(__xludf.DUMMYFUNCTION("""COMPUTED_VALUE"""),141.0)</f>
        <v>141</v>
      </c>
      <c r="H745" s="116">
        <f>IFERROR(__xludf.DUMMYFUNCTION("""COMPUTED_VALUE"""),45902.0)</f>
        <v>45902</v>
      </c>
      <c r="I745" s="115" t="str">
        <f>IFERROR(__xludf.DUMMYFUNCTION("""COMPUTED_VALUE"""),"13")</f>
        <v>13</v>
      </c>
      <c r="J745" s="115" t="str">
        <f>IFERROR(__xludf.DUMMYFUNCTION("""COMPUTED_VALUE"""),"Premkumar M2025-09-0213")</f>
        <v>Premkumar M2025-09-0213</v>
      </c>
      <c r="K745" s="115">
        <f>IFERROR(__xludf.DUMMYFUNCTION("""COMPUTED_VALUE"""),17295.0)</f>
        <v>17295</v>
      </c>
    </row>
    <row r="746">
      <c r="A746" s="115" t="str">
        <f>IFERROR(__xludf.DUMMYFUNCTION("""COMPUTED_VALUE"""),"SOUTH")</f>
        <v>SOUTH</v>
      </c>
      <c r="B746" s="115" t="str">
        <f>IFERROR(__xludf.DUMMYFUNCTION("""COMPUTED_VALUE"""),"Vineeth V")</f>
        <v>Vineeth V</v>
      </c>
      <c r="C746" s="115" t="str">
        <f>IFERROR(__xludf.DUMMYFUNCTION("""COMPUTED_VALUE"""),"EXTERNAL")</f>
        <v>EXTERNAL</v>
      </c>
      <c r="D746" s="115">
        <f>IFERROR(__xludf.DUMMYFUNCTION("""COMPUTED_VALUE"""),20343.0)</f>
        <v>20343</v>
      </c>
      <c r="E746" s="115">
        <f>IFERROR(__xludf.DUMMYFUNCTION("""COMPUTED_VALUE"""),502.0)</f>
        <v>502</v>
      </c>
      <c r="F746" s="115">
        <f>IFERROR(__xludf.DUMMYFUNCTION("""COMPUTED_VALUE"""),3317.0)</f>
        <v>3317</v>
      </c>
      <c r="G746" s="115">
        <f>IFERROR(__xludf.DUMMYFUNCTION("""COMPUTED_VALUE"""),9.0)</f>
        <v>9</v>
      </c>
      <c r="H746" s="116">
        <f>IFERROR(__xludf.DUMMYFUNCTION("""COMPUTED_VALUE"""),45902.0)</f>
        <v>45902</v>
      </c>
      <c r="I746" s="115" t="str">
        <f>IFERROR(__xludf.DUMMYFUNCTION("""COMPUTED_VALUE"""),"13")</f>
        <v>13</v>
      </c>
      <c r="J746" s="115" t="str">
        <f>IFERROR(__xludf.DUMMYFUNCTION("""COMPUTED_VALUE"""),"Vineeth V2025-09-0213")</f>
        <v>Vineeth V2025-09-0213</v>
      </c>
      <c r="K746" s="115">
        <f>IFERROR(__xludf.DUMMYFUNCTION("""COMPUTED_VALUE"""),20845.0)</f>
        <v>20845</v>
      </c>
    </row>
    <row r="747">
      <c r="A747" s="115" t="str">
        <f>IFERROR(__xludf.DUMMYFUNCTION("""COMPUTED_VALUE"""),"SOUTH")</f>
        <v>SOUTH</v>
      </c>
      <c r="B747" s="115" t="str">
        <f>IFERROR(__xludf.DUMMYFUNCTION("""COMPUTED_VALUE"""),"Vineeth V")</f>
        <v>Vineeth V</v>
      </c>
      <c r="C747" s="115" t="str">
        <f>IFERROR(__xludf.DUMMYFUNCTION("""COMPUTED_VALUE"""),"FLIPKART")</f>
        <v>FLIPKART</v>
      </c>
      <c r="D747" s="115">
        <f>IFERROR(__xludf.DUMMYFUNCTION("""COMPUTED_VALUE"""),229237.0)</f>
        <v>229237</v>
      </c>
      <c r="E747" s="115">
        <f>IFERROR(__xludf.DUMMYFUNCTION("""COMPUTED_VALUE"""),16345.0)</f>
        <v>16345</v>
      </c>
      <c r="F747" s="115">
        <f>IFERROR(__xludf.DUMMYFUNCTION("""COMPUTED_VALUE"""),57750.0)</f>
        <v>57750</v>
      </c>
      <c r="G747" s="115">
        <f>IFERROR(__xludf.DUMMYFUNCTION("""COMPUTED_VALUE"""),499.0)</f>
        <v>499</v>
      </c>
      <c r="H747" s="116">
        <f>IFERROR(__xludf.DUMMYFUNCTION("""COMPUTED_VALUE"""),45902.0)</f>
        <v>45902</v>
      </c>
      <c r="I747" s="115" t="str">
        <f>IFERROR(__xludf.DUMMYFUNCTION("""COMPUTED_VALUE"""),"13")</f>
        <v>13</v>
      </c>
      <c r="J747" s="115" t="str">
        <f>IFERROR(__xludf.DUMMYFUNCTION("""COMPUTED_VALUE"""),"Vineeth V2025-09-0213")</f>
        <v>Vineeth V2025-09-0213</v>
      </c>
      <c r="K747" s="115">
        <f>IFERROR(__xludf.DUMMYFUNCTION("""COMPUTED_VALUE"""),245582.0)</f>
        <v>245582</v>
      </c>
    </row>
    <row r="748">
      <c r="A748" s="115" t="str">
        <f>IFERROR(__xludf.DUMMYFUNCTION("""COMPUTED_VALUE"""),"SOUTH")</f>
        <v>SOUTH</v>
      </c>
      <c r="B748" s="115" t="str">
        <f>IFERROR(__xludf.DUMMYFUNCTION("""COMPUTED_VALUE"""),"Vineeth V")</f>
        <v>Vineeth V</v>
      </c>
      <c r="C748" s="115" t="str">
        <f>IFERROR(__xludf.DUMMYFUNCTION("""COMPUTED_VALUE"""),"MYNTRA")</f>
        <v>MYNTRA</v>
      </c>
      <c r="D748" s="115">
        <f>IFERROR(__xludf.DUMMYFUNCTION("""COMPUTED_VALUE"""),20767.0)</f>
        <v>20767</v>
      </c>
      <c r="E748" s="115">
        <f>IFERROR(__xludf.DUMMYFUNCTION("""COMPUTED_VALUE"""),3821.0)</f>
        <v>3821</v>
      </c>
      <c r="F748" s="115">
        <f>IFERROR(__xludf.DUMMYFUNCTION("""COMPUTED_VALUE"""),5847.0)</f>
        <v>5847</v>
      </c>
      <c r="G748" s="115">
        <f>IFERROR(__xludf.DUMMYFUNCTION("""COMPUTED_VALUE"""),107.0)</f>
        <v>107</v>
      </c>
      <c r="H748" s="116">
        <f>IFERROR(__xludf.DUMMYFUNCTION("""COMPUTED_VALUE"""),45902.0)</f>
        <v>45902</v>
      </c>
      <c r="I748" s="115" t="str">
        <f>IFERROR(__xludf.DUMMYFUNCTION("""COMPUTED_VALUE"""),"13")</f>
        <v>13</v>
      </c>
      <c r="J748" s="115" t="str">
        <f>IFERROR(__xludf.DUMMYFUNCTION("""COMPUTED_VALUE"""),"Vineeth V2025-09-0213")</f>
        <v>Vineeth V2025-09-0213</v>
      </c>
      <c r="K748" s="115">
        <f>IFERROR(__xludf.DUMMYFUNCTION("""COMPUTED_VALUE"""),24588.0)</f>
        <v>24588</v>
      </c>
    </row>
    <row r="749">
      <c r="A749" s="115" t="str">
        <f>IFERROR(__xludf.DUMMYFUNCTION("""COMPUTED_VALUE"""),"WEST")</f>
        <v>WEST</v>
      </c>
      <c r="B749" s="115" t="str">
        <f>IFERROR(__xludf.DUMMYFUNCTION("""COMPUTED_VALUE"""),"Ashish Jakar")</f>
        <v>Ashish Jakar</v>
      </c>
      <c r="C749" s="115" t="str">
        <f>IFERROR(__xludf.DUMMYFUNCTION("""COMPUTED_VALUE"""),"EXTERNAL")</f>
        <v>EXTERNAL</v>
      </c>
      <c r="D749" s="115">
        <f>IFERROR(__xludf.DUMMYFUNCTION("""COMPUTED_VALUE"""),52521.0)</f>
        <v>52521</v>
      </c>
      <c r="E749" s="115">
        <f>IFERROR(__xludf.DUMMYFUNCTION("""COMPUTED_VALUE"""),5541.0)</f>
        <v>5541</v>
      </c>
      <c r="F749" s="115">
        <f>IFERROR(__xludf.DUMMYFUNCTION("""COMPUTED_VALUE"""),9786.0)</f>
        <v>9786</v>
      </c>
      <c r="G749" s="115">
        <f>IFERROR(__xludf.DUMMYFUNCTION("""COMPUTED_VALUE"""),512.0)</f>
        <v>512</v>
      </c>
      <c r="H749" s="116">
        <f>IFERROR(__xludf.DUMMYFUNCTION("""COMPUTED_VALUE"""),45902.0)</f>
        <v>45902</v>
      </c>
      <c r="I749" s="115" t="str">
        <f>IFERROR(__xludf.DUMMYFUNCTION("""COMPUTED_VALUE"""),"13")</f>
        <v>13</v>
      </c>
      <c r="J749" s="115" t="str">
        <f>IFERROR(__xludf.DUMMYFUNCTION("""COMPUTED_VALUE"""),"Ashish Jakar2025-09-0213")</f>
        <v>Ashish Jakar2025-09-0213</v>
      </c>
      <c r="K749" s="115">
        <f>IFERROR(__xludf.DUMMYFUNCTION("""COMPUTED_VALUE"""),58062.0)</f>
        <v>58062</v>
      </c>
    </row>
    <row r="750">
      <c r="A750" s="115" t="str">
        <f>IFERROR(__xludf.DUMMYFUNCTION("""COMPUTED_VALUE"""),"WEST")</f>
        <v>WEST</v>
      </c>
      <c r="B750" s="115" t="str">
        <f>IFERROR(__xludf.DUMMYFUNCTION("""COMPUTED_VALUE"""),"Ashish Jakar")</f>
        <v>Ashish Jakar</v>
      </c>
      <c r="C750" s="115" t="str">
        <f>IFERROR(__xludf.DUMMYFUNCTION("""COMPUTED_VALUE"""),"FLIPKART")</f>
        <v>FLIPKART</v>
      </c>
      <c r="D750" s="115">
        <f>IFERROR(__xludf.DUMMYFUNCTION("""COMPUTED_VALUE"""),291623.0)</f>
        <v>291623</v>
      </c>
      <c r="E750" s="115">
        <f>IFERROR(__xludf.DUMMYFUNCTION("""COMPUTED_VALUE"""),30141.0)</f>
        <v>30141</v>
      </c>
      <c r="F750" s="115">
        <f>IFERROR(__xludf.DUMMYFUNCTION("""COMPUTED_VALUE"""),99396.0)</f>
        <v>99396</v>
      </c>
      <c r="G750" s="115">
        <f>IFERROR(__xludf.DUMMYFUNCTION("""COMPUTED_VALUE"""),4173.0)</f>
        <v>4173</v>
      </c>
      <c r="H750" s="116">
        <f>IFERROR(__xludf.DUMMYFUNCTION("""COMPUTED_VALUE"""),45902.0)</f>
        <v>45902</v>
      </c>
      <c r="I750" s="115" t="str">
        <f>IFERROR(__xludf.DUMMYFUNCTION("""COMPUTED_VALUE"""),"13")</f>
        <v>13</v>
      </c>
      <c r="J750" s="115" t="str">
        <f>IFERROR(__xludf.DUMMYFUNCTION("""COMPUTED_VALUE"""),"Ashish Jakar2025-09-0213")</f>
        <v>Ashish Jakar2025-09-0213</v>
      </c>
      <c r="K750" s="115">
        <f>IFERROR(__xludf.DUMMYFUNCTION("""COMPUTED_VALUE"""),321764.0)</f>
        <v>321764</v>
      </c>
    </row>
    <row r="751">
      <c r="A751" s="115" t="str">
        <f>IFERROR(__xludf.DUMMYFUNCTION("""COMPUTED_VALUE"""),"WEST")</f>
        <v>WEST</v>
      </c>
      <c r="B751" s="115" t="str">
        <f>IFERROR(__xludf.DUMMYFUNCTION("""COMPUTED_VALUE"""),"Ashish Jakar")</f>
        <v>Ashish Jakar</v>
      </c>
      <c r="C751" s="115" t="str">
        <f>IFERROR(__xludf.DUMMYFUNCTION("""COMPUTED_VALUE"""),"MYNTRA")</f>
        <v>MYNTRA</v>
      </c>
      <c r="D751" s="115">
        <f>IFERROR(__xludf.DUMMYFUNCTION("""COMPUTED_VALUE"""),35035.0)</f>
        <v>35035</v>
      </c>
      <c r="E751" s="115">
        <f>IFERROR(__xludf.DUMMYFUNCTION("""COMPUTED_VALUE"""),10113.0)</f>
        <v>10113</v>
      </c>
      <c r="F751" s="115">
        <f>IFERROR(__xludf.DUMMYFUNCTION("""COMPUTED_VALUE"""),14429.0)</f>
        <v>14429</v>
      </c>
      <c r="G751" s="115">
        <f>IFERROR(__xludf.DUMMYFUNCTION("""COMPUTED_VALUE"""),1558.0)</f>
        <v>1558</v>
      </c>
      <c r="H751" s="116">
        <f>IFERROR(__xludf.DUMMYFUNCTION("""COMPUTED_VALUE"""),45902.0)</f>
        <v>45902</v>
      </c>
      <c r="I751" s="115" t="str">
        <f>IFERROR(__xludf.DUMMYFUNCTION("""COMPUTED_VALUE"""),"13")</f>
        <v>13</v>
      </c>
      <c r="J751" s="115" t="str">
        <f>IFERROR(__xludf.DUMMYFUNCTION("""COMPUTED_VALUE"""),"Ashish Jakar2025-09-0213")</f>
        <v>Ashish Jakar2025-09-0213</v>
      </c>
      <c r="K751" s="115">
        <f>IFERROR(__xludf.DUMMYFUNCTION("""COMPUTED_VALUE"""),45148.0)</f>
        <v>45148</v>
      </c>
    </row>
    <row r="752">
      <c r="A752" s="115" t="str">
        <f>IFERROR(__xludf.DUMMYFUNCTION("""COMPUTED_VALUE"""),"WEST")</f>
        <v>WEST</v>
      </c>
      <c r="B752" s="115" t="str">
        <f>IFERROR(__xludf.DUMMYFUNCTION("""COMPUTED_VALUE"""),"Ashvani Bhatt")</f>
        <v>Ashvani Bhatt</v>
      </c>
      <c r="C752" s="115" t="str">
        <f>IFERROR(__xludf.DUMMYFUNCTION("""COMPUTED_VALUE"""),"EXTERNAL")</f>
        <v>EXTERNAL</v>
      </c>
      <c r="D752" s="115">
        <f>IFERROR(__xludf.DUMMYFUNCTION("""COMPUTED_VALUE"""),33501.0)</f>
        <v>33501</v>
      </c>
      <c r="E752" s="115">
        <f>IFERROR(__xludf.DUMMYFUNCTION("""COMPUTED_VALUE"""),3180.0)</f>
        <v>3180</v>
      </c>
      <c r="F752" s="115">
        <f>IFERROR(__xludf.DUMMYFUNCTION("""COMPUTED_VALUE"""),7321.0)</f>
        <v>7321</v>
      </c>
      <c r="G752" s="115">
        <f>IFERROR(__xludf.DUMMYFUNCTION("""COMPUTED_VALUE"""),204.0)</f>
        <v>204</v>
      </c>
      <c r="H752" s="116">
        <f>IFERROR(__xludf.DUMMYFUNCTION("""COMPUTED_VALUE"""),45902.0)</f>
        <v>45902</v>
      </c>
      <c r="I752" s="115" t="str">
        <f>IFERROR(__xludf.DUMMYFUNCTION("""COMPUTED_VALUE"""),"13")</f>
        <v>13</v>
      </c>
      <c r="J752" s="115" t="str">
        <f>IFERROR(__xludf.DUMMYFUNCTION("""COMPUTED_VALUE"""),"Ashvani Bhatt2025-09-0213")</f>
        <v>Ashvani Bhatt2025-09-0213</v>
      </c>
      <c r="K752" s="115">
        <f>IFERROR(__xludf.DUMMYFUNCTION("""COMPUTED_VALUE"""),36681.0)</f>
        <v>36681</v>
      </c>
    </row>
    <row r="753">
      <c r="A753" s="115" t="str">
        <f>IFERROR(__xludf.DUMMYFUNCTION("""COMPUTED_VALUE"""),"WEST")</f>
        <v>WEST</v>
      </c>
      <c r="B753" s="115" t="str">
        <f>IFERROR(__xludf.DUMMYFUNCTION("""COMPUTED_VALUE"""),"Ashvani Bhatt")</f>
        <v>Ashvani Bhatt</v>
      </c>
      <c r="C753" s="115" t="str">
        <f>IFERROR(__xludf.DUMMYFUNCTION("""COMPUTED_VALUE"""),"FLIPKART")</f>
        <v>FLIPKART</v>
      </c>
      <c r="D753" s="115">
        <f>IFERROR(__xludf.DUMMYFUNCTION("""COMPUTED_VALUE"""),246246.0)</f>
        <v>246246</v>
      </c>
      <c r="E753" s="115">
        <f>IFERROR(__xludf.DUMMYFUNCTION("""COMPUTED_VALUE"""),26650.0)</f>
        <v>26650</v>
      </c>
      <c r="F753" s="115">
        <f>IFERROR(__xludf.DUMMYFUNCTION("""COMPUTED_VALUE"""),101649.0)</f>
        <v>101649</v>
      </c>
      <c r="G753" s="115">
        <f>IFERROR(__xludf.DUMMYFUNCTION("""COMPUTED_VALUE"""),3565.0)</f>
        <v>3565</v>
      </c>
      <c r="H753" s="116">
        <f>IFERROR(__xludf.DUMMYFUNCTION("""COMPUTED_VALUE"""),45902.0)</f>
        <v>45902</v>
      </c>
      <c r="I753" s="115" t="str">
        <f>IFERROR(__xludf.DUMMYFUNCTION("""COMPUTED_VALUE"""),"13")</f>
        <v>13</v>
      </c>
      <c r="J753" s="115" t="str">
        <f>IFERROR(__xludf.DUMMYFUNCTION("""COMPUTED_VALUE"""),"Ashvani Bhatt2025-09-0213")</f>
        <v>Ashvani Bhatt2025-09-0213</v>
      </c>
      <c r="K753" s="115">
        <f>IFERROR(__xludf.DUMMYFUNCTION("""COMPUTED_VALUE"""),272896.0)</f>
        <v>272896</v>
      </c>
    </row>
    <row r="754">
      <c r="A754" s="115" t="str">
        <f>IFERROR(__xludf.DUMMYFUNCTION("""COMPUTED_VALUE"""),"WEST")</f>
        <v>WEST</v>
      </c>
      <c r="B754" s="115" t="str">
        <f>IFERROR(__xludf.DUMMYFUNCTION("""COMPUTED_VALUE"""),"Ashvani Bhatt")</f>
        <v>Ashvani Bhatt</v>
      </c>
      <c r="C754" s="115" t="str">
        <f>IFERROR(__xludf.DUMMYFUNCTION("""COMPUTED_VALUE"""),"MYNTRA")</f>
        <v>MYNTRA</v>
      </c>
      <c r="D754" s="115">
        <f>IFERROR(__xludf.DUMMYFUNCTION("""COMPUTED_VALUE"""),29495.0)</f>
        <v>29495</v>
      </c>
      <c r="E754" s="115">
        <f>IFERROR(__xludf.DUMMYFUNCTION("""COMPUTED_VALUE"""),8072.0)</f>
        <v>8072</v>
      </c>
      <c r="F754" s="115">
        <f>IFERROR(__xludf.DUMMYFUNCTION("""COMPUTED_VALUE"""),14387.0)</f>
        <v>14387</v>
      </c>
      <c r="G754" s="115">
        <f>IFERROR(__xludf.DUMMYFUNCTION("""COMPUTED_VALUE"""),1490.0)</f>
        <v>1490</v>
      </c>
      <c r="H754" s="116">
        <f>IFERROR(__xludf.DUMMYFUNCTION("""COMPUTED_VALUE"""),45902.0)</f>
        <v>45902</v>
      </c>
      <c r="I754" s="115" t="str">
        <f>IFERROR(__xludf.DUMMYFUNCTION("""COMPUTED_VALUE"""),"13")</f>
        <v>13</v>
      </c>
      <c r="J754" s="115" t="str">
        <f>IFERROR(__xludf.DUMMYFUNCTION("""COMPUTED_VALUE"""),"Ashvani Bhatt2025-09-0213")</f>
        <v>Ashvani Bhatt2025-09-0213</v>
      </c>
      <c r="K754" s="115">
        <f>IFERROR(__xludf.DUMMYFUNCTION("""COMPUTED_VALUE"""),37567.0)</f>
        <v>37567</v>
      </c>
    </row>
    <row r="755">
      <c r="A755" s="115"/>
      <c r="B755" s="115"/>
      <c r="C755" s="115" t="str">
        <f>IFERROR(__xludf.DUMMYFUNCTION("""COMPUTED_VALUE"""),"EXTERNAL")</f>
        <v>EXTERNAL</v>
      </c>
      <c r="D755" s="115">
        <f>IFERROR(__xludf.DUMMYFUNCTION("""COMPUTED_VALUE"""),634.0)</f>
        <v>634</v>
      </c>
      <c r="E755" s="115">
        <f>IFERROR(__xludf.DUMMYFUNCTION("""COMPUTED_VALUE"""),58.0)</f>
        <v>58</v>
      </c>
      <c r="F755" s="115">
        <f>IFERROR(__xludf.DUMMYFUNCTION("""COMPUTED_VALUE"""),63.0)</f>
        <v>63</v>
      </c>
      <c r="G755" s="115">
        <f>IFERROR(__xludf.DUMMYFUNCTION("""COMPUTED_VALUE"""),8.0)</f>
        <v>8</v>
      </c>
      <c r="H755" s="116">
        <f>IFERROR(__xludf.DUMMYFUNCTION("""COMPUTED_VALUE"""),45902.0)</f>
        <v>45902</v>
      </c>
      <c r="I755" s="115" t="str">
        <f>IFERROR(__xludf.DUMMYFUNCTION("""COMPUTED_VALUE"""),"13")</f>
        <v>13</v>
      </c>
      <c r="J755" s="115" t="str">
        <f>IFERROR(__xludf.DUMMYFUNCTION("""COMPUTED_VALUE"""),"2025-09-0213")</f>
        <v>2025-09-0213</v>
      </c>
      <c r="K755" s="115">
        <f>IFERROR(__xludf.DUMMYFUNCTION("""COMPUTED_VALUE"""),692.0)</f>
        <v>692</v>
      </c>
    </row>
    <row r="756">
      <c r="A756" s="115"/>
      <c r="B756" s="115"/>
      <c r="C756" s="115" t="str">
        <f>IFERROR(__xludf.DUMMYFUNCTION("""COMPUTED_VALUE"""),"FLIPKART")</f>
        <v>FLIPKART</v>
      </c>
      <c r="D756" s="115">
        <f>IFERROR(__xludf.DUMMYFUNCTION("""COMPUTED_VALUE"""),6980.0)</f>
        <v>6980</v>
      </c>
      <c r="E756" s="115">
        <f>IFERROR(__xludf.DUMMYFUNCTION("""COMPUTED_VALUE"""),576.0)</f>
        <v>576</v>
      </c>
      <c r="F756" s="115">
        <f>IFERROR(__xludf.DUMMYFUNCTION("""COMPUTED_VALUE"""),1619.0)</f>
        <v>1619</v>
      </c>
      <c r="G756" s="115">
        <f>IFERROR(__xludf.DUMMYFUNCTION("""COMPUTED_VALUE"""),88.0)</f>
        <v>88</v>
      </c>
      <c r="H756" s="116">
        <f>IFERROR(__xludf.DUMMYFUNCTION("""COMPUTED_VALUE"""),45902.0)</f>
        <v>45902</v>
      </c>
      <c r="I756" s="115" t="str">
        <f>IFERROR(__xludf.DUMMYFUNCTION("""COMPUTED_VALUE"""),"13")</f>
        <v>13</v>
      </c>
      <c r="J756" s="115" t="str">
        <f>IFERROR(__xludf.DUMMYFUNCTION("""COMPUTED_VALUE"""),"2025-09-0213")</f>
        <v>2025-09-0213</v>
      </c>
      <c r="K756" s="115">
        <f>IFERROR(__xludf.DUMMYFUNCTION("""COMPUTED_VALUE"""),7556.0)</f>
        <v>7556</v>
      </c>
    </row>
    <row r="757">
      <c r="A757" s="115"/>
      <c r="B757" s="115"/>
      <c r="C757" s="115" t="str">
        <f>IFERROR(__xludf.DUMMYFUNCTION("""COMPUTED_VALUE"""),"MYNTRA")</f>
        <v>MYNTRA</v>
      </c>
      <c r="D757" s="115">
        <f>IFERROR(__xludf.DUMMYFUNCTION("""COMPUTED_VALUE"""),595.0)</f>
        <v>595</v>
      </c>
      <c r="E757" s="115">
        <f>IFERROR(__xludf.DUMMYFUNCTION("""COMPUTED_VALUE"""),150.0)</f>
        <v>150</v>
      </c>
      <c r="F757" s="115">
        <f>IFERROR(__xludf.DUMMYFUNCTION("""COMPUTED_VALUE"""),166.0)</f>
        <v>166</v>
      </c>
      <c r="G757" s="115">
        <f>IFERROR(__xludf.DUMMYFUNCTION("""COMPUTED_VALUE"""),18.0)</f>
        <v>18</v>
      </c>
      <c r="H757" s="116">
        <f>IFERROR(__xludf.DUMMYFUNCTION("""COMPUTED_VALUE"""),45902.0)</f>
        <v>45902</v>
      </c>
      <c r="I757" s="115" t="str">
        <f>IFERROR(__xludf.DUMMYFUNCTION("""COMPUTED_VALUE"""),"13")</f>
        <v>13</v>
      </c>
      <c r="J757" s="115" t="str">
        <f>IFERROR(__xludf.DUMMYFUNCTION("""COMPUTED_VALUE"""),"2025-09-0213")</f>
        <v>2025-09-0213</v>
      </c>
      <c r="K757" s="115">
        <f>IFERROR(__xludf.DUMMYFUNCTION("""COMPUTED_VALUE"""),745.0)</f>
        <v>745</v>
      </c>
    </row>
    <row r="758">
      <c r="A758" s="115" t="str">
        <f>IFERROR(__xludf.DUMMYFUNCTION("""COMPUTED_VALUE"""),"EAST")</f>
        <v>EAST</v>
      </c>
      <c r="B758" s="115" t="str">
        <f>IFERROR(__xludf.DUMMYFUNCTION("""COMPUTED_VALUE"""),"Ashish Ranjan")</f>
        <v>Ashish Ranjan</v>
      </c>
      <c r="C758" s="115" t="str">
        <f>IFERROR(__xludf.DUMMYFUNCTION("""COMPUTED_VALUE"""),"EXTERNAL")</f>
        <v>EXTERNAL</v>
      </c>
      <c r="D758" s="115">
        <f>IFERROR(__xludf.DUMMYFUNCTION("""COMPUTED_VALUE"""),36120.0)</f>
        <v>36120</v>
      </c>
      <c r="E758" s="115">
        <f>IFERROR(__xludf.DUMMYFUNCTION("""COMPUTED_VALUE"""),2583.0)</f>
        <v>2583</v>
      </c>
      <c r="F758" s="115">
        <f>IFERROR(__xludf.DUMMYFUNCTION("""COMPUTED_VALUE"""),12432.0)</f>
        <v>12432</v>
      </c>
      <c r="G758" s="115">
        <f>IFERROR(__xludf.DUMMYFUNCTION("""COMPUTED_VALUE"""),374.0)</f>
        <v>374</v>
      </c>
      <c r="H758" s="116">
        <f>IFERROR(__xludf.DUMMYFUNCTION("""COMPUTED_VALUE"""),45902.0)</f>
        <v>45902</v>
      </c>
      <c r="I758" s="115" t="str">
        <f>IFERROR(__xludf.DUMMYFUNCTION("""COMPUTED_VALUE"""),"14")</f>
        <v>14</v>
      </c>
      <c r="J758" s="115" t="str">
        <f>IFERROR(__xludf.DUMMYFUNCTION("""COMPUTED_VALUE"""),"Ashish Ranjan2025-09-0214")</f>
        <v>Ashish Ranjan2025-09-0214</v>
      </c>
      <c r="K758" s="115">
        <f>IFERROR(__xludf.DUMMYFUNCTION("""COMPUTED_VALUE"""),38703.0)</f>
        <v>38703</v>
      </c>
    </row>
    <row r="759">
      <c r="A759" s="115" t="str">
        <f>IFERROR(__xludf.DUMMYFUNCTION("""COMPUTED_VALUE"""),"EAST")</f>
        <v>EAST</v>
      </c>
      <c r="B759" s="115" t="str">
        <f>IFERROR(__xludf.DUMMYFUNCTION("""COMPUTED_VALUE"""),"Ashish Ranjan")</f>
        <v>Ashish Ranjan</v>
      </c>
      <c r="C759" s="115" t="str">
        <f>IFERROR(__xludf.DUMMYFUNCTION("""COMPUTED_VALUE"""),"FLIPKART")</f>
        <v>FLIPKART</v>
      </c>
      <c r="D759" s="115">
        <f>IFERROR(__xludf.DUMMYFUNCTION("""COMPUTED_VALUE"""),531190.0)</f>
        <v>531190</v>
      </c>
      <c r="E759" s="115">
        <f>IFERROR(__xludf.DUMMYFUNCTION("""COMPUTED_VALUE"""),55350.0)</f>
        <v>55350</v>
      </c>
      <c r="F759" s="115">
        <f>IFERROR(__xludf.DUMMYFUNCTION("""COMPUTED_VALUE"""),311981.0)</f>
        <v>311981</v>
      </c>
      <c r="G759" s="115">
        <f>IFERROR(__xludf.DUMMYFUNCTION("""COMPUTED_VALUE"""),13981.0)</f>
        <v>13981</v>
      </c>
      <c r="H759" s="116">
        <f>IFERROR(__xludf.DUMMYFUNCTION("""COMPUTED_VALUE"""),45902.0)</f>
        <v>45902</v>
      </c>
      <c r="I759" s="115" t="str">
        <f>IFERROR(__xludf.DUMMYFUNCTION("""COMPUTED_VALUE"""),"14")</f>
        <v>14</v>
      </c>
      <c r="J759" s="115" t="str">
        <f>IFERROR(__xludf.DUMMYFUNCTION("""COMPUTED_VALUE"""),"Ashish Ranjan2025-09-0214")</f>
        <v>Ashish Ranjan2025-09-0214</v>
      </c>
      <c r="K759" s="115">
        <f>IFERROR(__xludf.DUMMYFUNCTION("""COMPUTED_VALUE"""),586540.0)</f>
        <v>586540</v>
      </c>
    </row>
    <row r="760">
      <c r="A760" s="115" t="str">
        <f>IFERROR(__xludf.DUMMYFUNCTION("""COMPUTED_VALUE"""),"EAST")</f>
        <v>EAST</v>
      </c>
      <c r="B760" s="115" t="str">
        <f>IFERROR(__xludf.DUMMYFUNCTION("""COMPUTED_VALUE"""),"Ashish Ranjan")</f>
        <v>Ashish Ranjan</v>
      </c>
      <c r="C760" s="115" t="str">
        <f>IFERROR(__xludf.DUMMYFUNCTION("""COMPUTED_VALUE"""),"MYNTRA")</f>
        <v>MYNTRA</v>
      </c>
      <c r="D760" s="115">
        <f>IFERROR(__xludf.DUMMYFUNCTION("""COMPUTED_VALUE"""),50958.0)</f>
        <v>50958</v>
      </c>
      <c r="E760" s="115">
        <f>IFERROR(__xludf.DUMMYFUNCTION("""COMPUTED_VALUE"""),11525.0)</f>
        <v>11525</v>
      </c>
      <c r="F760" s="115">
        <f>IFERROR(__xludf.DUMMYFUNCTION("""COMPUTED_VALUE"""),31072.0)</f>
        <v>31072</v>
      </c>
      <c r="G760" s="115">
        <f>IFERROR(__xludf.DUMMYFUNCTION("""COMPUTED_VALUE"""),3181.0)</f>
        <v>3181</v>
      </c>
      <c r="H760" s="116">
        <f>IFERROR(__xludf.DUMMYFUNCTION("""COMPUTED_VALUE"""),45902.0)</f>
        <v>45902</v>
      </c>
      <c r="I760" s="115" t="str">
        <f>IFERROR(__xludf.DUMMYFUNCTION("""COMPUTED_VALUE"""),"14")</f>
        <v>14</v>
      </c>
      <c r="J760" s="115" t="str">
        <f>IFERROR(__xludf.DUMMYFUNCTION("""COMPUTED_VALUE"""),"Ashish Ranjan2025-09-0214")</f>
        <v>Ashish Ranjan2025-09-0214</v>
      </c>
      <c r="K760" s="115">
        <f>IFERROR(__xludf.DUMMYFUNCTION("""COMPUTED_VALUE"""),62483.0)</f>
        <v>62483</v>
      </c>
    </row>
    <row r="761">
      <c r="A761" s="115" t="str">
        <f>IFERROR(__xludf.DUMMYFUNCTION("""COMPUTED_VALUE"""),"EAST")</f>
        <v>EAST</v>
      </c>
      <c r="B761" s="115" t="str">
        <f>IFERROR(__xludf.DUMMYFUNCTION("""COMPUTED_VALUE"""),"Girish Chand")</f>
        <v>Girish Chand</v>
      </c>
      <c r="C761" s="115" t="str">
        <f>IFERROR(__xludf.DUMMYFUNCTION("""COMPUTED_VALUE"""),"EXTERNAL")</f>
        <v>EXTERNAL</v>
      </c>
      <c r="D761" s="115">
        <f>IFERROR(__xludf.DUMMYFUNCTION("""COMPUTED_VALUE"""),22365.0)</f>
        <v>22365</v>
      </c>
      <c r="E761" s="115">
        <f>IFERROR(__xludf.DUMMYFUNCTION("""COMPUTED_VALUE"""),2241.0)</f>
        <v>2241</v>
      </c>
      <c r="F761" s="115">
        <f>IFERROR(__xludf.DUMMYFUNCTION("""COMPUTED_VALUE"""),5566.0)</f>
        <v>5566</v>
      </c>
      <c r="G761" s="115">
        <f>IFERROR(__xludf.DUMMYFUNCTION("""COMPUTED_VALUE"""),142.0)</f>
        <v>142</v>
      </c>
      <c r="H761" s="116">
        <f>IFERROR(__xludf.DUMMYFUNCTION("""COMPUTED_VALUE"""),45902.0)</f>
        <v>45902</v>
      </c>
      <c r="I761" s="115" t="str">
        <f>IFERROR(__xludf.DUMMYFUNCTION("""COMPUTED_VALUE"""),"14")</f>
        <v>14</v>
      </c>
      <c r="J761" s="115" t="str">
        <f>IFERROR(__xludf.DUMMYFUNCTION("""COMPUTED_VALUE"""),"Girish Chand2025-09-0214")</f>
        <v>Girish Chand2025-09-0214</v>
      </c>
      <c r="K761" s="115">
        <f>IFERROR(__xludf.DUMMYFUNCTION("""COMPUTED_VALUE"""),24606.0)</f>
        <v>24606</v>
      </c>
    </row>
    <row r="762">
      <c r="A762" s="115" t="str">
        <f>IFERROR(__xludf.DUMMYFUNCTION("""COMPUTED_VALUE"""),"EAST")</f>
        <v>EAST</v>
      </c>
      <c r="B762" s="115" t="str">
        <f>IFERROR(__xludf.DUMMYFUNCTION("""COMPUTED_VALUE"""),"Girish Chand")</f>
        <v>Girish Chand</v>
      </c>
      <c r="C762" s="115" t="str">
        <f>IFERROR(__xludf.DUMMYFUNCTION("""COMPUTED_VALUE"""),"FLIPKART")</f>
        <v>FLIPKART</v>
      </c>
      <c r="D762" s="115">
        <f>IFERROR(__xludf.DUMMYFUNCTION("""COMPUTED_VALUE"""),384179.0)</f>
        <v>384179</v>
      </c>
      <c r="E762" s="115">
        <f>IFERROR(__xludf.DUMMYFUNCTION("""COMPUTED_VALUE"""),37125.0)</f>
        <v>37125</v>
      </c>
      <c r="F762" s="115">
        <f>IFERROR(__xludf.DUMMYFUNCTION("""COMPUTED_VALUE"""),179850.0)</f>
        <v>179850</v>
      </c>
      <c r="G762" s="115">
        <f>IFERROR(__xludf.DUMMYFUNCTION("""COMPUTED_VALUE"""),5819.0)</f>
        <v>5819</v>
      </c>
      <c r="H762" s="116">
        <f>IFERROR(__xludf.DUMMYFUNCTION("""COMPUTED_VALUE"""),45902.0)</f>
        <v>45902</v>
      </c>
      <c r="I762" s="115" t="str">
        <f>IFERROR(__xludf.DUMMYFUNCTION("""COMPUTED_VALUE"""),"14")</f>
        <v>14</v>
      </c>
      <c r="J762" s="115" t="str">
        <f>IFERROR(__xludf.DUMMYFUNCTION("""COMPUTED_VALUE"""),"Girish Chand2025-09-0214")</f>
        <v>Girish Chand2025-09-0214</v>
      </c>
      <c r="K762" s="115">
        <f>IFERROR(__xludf.DUMMYFUNCTION("""COMPUTED_VALUE"""),421304.0)</f>
        <v>421304</v>
      </c>
    </row>
    <row r="763">
      <c r="A763" s="115" t="str">
        <f>IFERROR(__xludf.DUMMYFUNCTION("""COMPUTED_VALUE"""),"EAST")</f>
        <v>EAST</v>
      </c>
      <c r="B763" s="115" t="str">
        <f>IFERROR(__xludf.DUMMYFUNCTION("""COMPUTED_VALUE"""),"Girish Chand")</f>
        <v>Girish Chand</v>
      </c>
      <c r="C763" s="115" t="str">
        <f>IFERROR(__xludf.DUMMYFUNCTION("""COMPUTED_VALUE"""),"MYNTRA")</f>
        <v>MYNTRA</v>
      </c>
      <c r="D763" s="115">
        <f>IFERROR(__xludf.DUMMYFUNCTION("""COMPUTED_VALUE"""),30242.0)</f>
        <v>30242</v>
      </c>
      <c r="E763" s="115">
        <f>IFERROR(__xludf.DUMMYFUNCTION("""COMPUTED_VALUE"""),6249.0)</f>
        <v>6249</v>
      </c>
      <c r="F763" s="115">
        <f>IFERROR(__xludf.DUMMYFUNCTION("""COMPUTED_VALUE"""),15492.0)</f>
        <v>15492</v>
      </c>
      <c r="G763" s="115">
        <f>IFERROR(__xludf.DUMMYFUNCTION("""COMPUTED_VALUE"""),1122.0)</f>
        <v>1122</v>
      </c>
      <c r="H763" s="116">
        <f>IFERROR(__xludf.DUMMYFUNCTION("""COMPUTED_VALUE"""),45902.0)</f>
        <v>45902</v>
      </c>
      <c r="I763" s="115" t="str">
        <f>IFERROR(__xludf.DUMMYFUNCTION("""COMPUTED_VALUE"""),"14")</f>
        <v>14</v>
      </c>
      <c r="J763" s="115" t="str">
        <f>IFERROR(__xludf.DUMMYFUNCTION("""COMPUTED_VALUE"""),"Girish Chand2025-09-0214")</f>
        <v>Girish Chand2025-09-0214</v>
      </c>
      <c r="K763" s="115">
        <f>IFERROR(__xludf.DUMMYFUNCTION("""COMPUTED_VALUE"""),36491.0)</f>
        <v>36491</v>
      </c>
    </row>
    <row r="764">
      <c r="A764" s="115" t="str">
        <f>IFERROR(__xludf.DUMMYFUNCTION("""COMPUTED_VALUE"""),"EAST")</f>
        <v>EAST</v>
      </c>
      <c r="B764" s="115" t="str">
        <f>IFERROR(__xludf.DUMMYFUNCTION("""COMPUTED_VALUE"""),"Parag Kashyap")</f>
        <v>Parag Kashyap</v>
      </c>
      <c r="C764" s="115" t="str">
        <f>IFERROR(__xludf.DUMMYFUNCTION("""COMPUTED_VALUE"""),"EXTERNAL")</f>
        <v>EXTERNAL</v>
      </c>
      <c r="D764" s="115">
        <f>IFERROR(__xludf.DUMMYFUNCTION("""COMPUTED_VALUE"""),20594.0)</f>
        <v>20594</v>
      </c>
      <c r="E764" s="115">
        <f>IFERROR(__xludf.DUMMYFUNCTION("""COMPUTED_VALUE"""),1100.0)</f>
        <v>1100</v>
      </c>
      <c r="F764" s="115">
        <f>IFERROR(__xludf.DUMMYFUNCTION("""COMPUTED_VALUE"""),4271.0)</f>
        <v>4271</v>
      </c>
      <c r="G764" s="115">
        <f>IFERROR(__xludf.DUMMYFUNCTION("""COMPUTED_VALUE"""),56.0)</f>
        <v>56</v>
      </c>
      <c r="H764" s="116">
        <f>IFERROR(__xludf.DUMMYFUNCTION("""COMPUTED_VALUE"""),45902.0)</f>
        <v>45902</v>
      </c>
      <c r="I764" s="115" t="str">
        <f>IFERROR(__xludf.DUMMYFUNCTION("""COMPUTED_VALUE"""),"14")</f>
        <v>14</v>
      </c>
      <c r="J764" s="115" t="str">
        <f>IFERROR(__xludf.DUMMYFUNCTION("""COMPUTED_VALUE"""),"Parag Kashyap2025-09-0214")</f>
        <v>Parag Kashyap2025-09-0214</v>
      </c>
      <c r="K764" s="115">
        <f>IFERROR(__xludf.DUMMYFUNCTION("""COMPUTED_VALUE"""),21694.0)</f>
        <v>21694</v>
      </c>
    </row>
    <row r="765">
      <c r="A765" s="115" t="str">
        <f>IFERROR(__xludf.DUMMYFUNCTION("""COMPUTED_VALUE"""),"EAST")</f>
        <v>EAST</v>
      </c>
      <c r="B765" s="115" t="str">
        <f>IFERROR(__xludf.DUMMYFUNCTION("""COMPUTED_VALUE"""),"Parag Kashyap")</f>
        <v>Parag Kashyap</v>
      </c>
      <c r="C765" s="115" t="str">
        <f>IFERROR(__xludf.DUMMYFUNCTION("""COMPUTED_VALUE"""),"FLIPKART")</f>
        <v>FLIPKART</v>
      </c>
      <c r="D765" s="115">
        <f>IFERROR(__xludf.DUMMYFUNCTION("""COMPUTED_VALUE"""),293097.0)</f>
        <v>293097</v>
      </c>
      <c r="E765" s="115">
        <f>IFERROR(__xludf.DUMMYFUNCTION("""COMPUTED_VALUE"""),17905.0)</f>
        <v>17905</v>
      </c>
      <c r="F765" s="115">
        <f>IFERROR(__xludf.DUMMYFUNCTION("""COMPUTED_VALUE"""),121967.0)</f>
        <v>121967</v>
      </c>
      <c r="G765" s="115">
        <f>IFERROR(__xludf.DUMMYFUNCTION("""COMPUTED_VALUE"""),1987.0)</f>
        <v>1987</v>
      </c>
      <c r="H765" s="116">
        <f>IFERROR(__xludf.DUMMYFUNCTION("""COMPUTED_VALUE"""),45902.0)</f>
        <v>45902</v>
      </c>
      <c r="I765" s="115" t="str">
        <f>IFERROR(__xludf.DUMMYFUNCTION("""COMPUTED_VALUE"""),"14")</f>
        <v>14</v>
      </c>
      <c r="J765" s="115" t="str">
        <f>IFERROR(__xludf.DUMMYFUNCTION("""COMPUTED_VALUE"""),"Parag Kashyap2025-09-0214")</f>
        <v>Parag Kashyap2025-09-0214</v>
      </c>
      <c r="K765" s="115">
        <f>IFERROR(__xludf.DUMMYFUNCTION("""COMPUTED_VALUE"""),311002.0)</f>
        <v>311002</v>
      </c>
    </row>
    <row r="766">
      <c r="A766" s="115" t="str">
        <f>IFERROR(__xludf.DUMMYFUNCTION("""COMPUTED_VALUE"""),"EAST")</f>
        <v>EAST</v>
      </c>
      <c r="B766" s="115" t="str">
        <f>IFERROR(__xludf.DUMMYFUNCTION("""COMPUTED_VALUE"""),"Parag Kashyap")</f>
        <v>Parag Kashyap</v>
      </c>
      <c r="C766" s="115" t="str">
        <f>IFERROR(__xludf.DUMMYFUNCTION("""COMPUTED_VALUE"""),"MYNTRA")</f>
        <v>MYNTRA</v>
      </c>
      <c r="D766" s="115">
        <f>IFERROR(__xludf.DUMMYFUNCTION("""COMPUTED_VALUE"""),30645.0)</f>
        <v>30645</v>
      </c>
      <c r="E766" s="115">
        <f>IFERROR(__xludf.DUMMYFUNCTION("""COMPUTED_VALUE"""),4736.0)</f>
        <v>4736</v>
      </c>
      <c r="F766" s="115">
        <f>IFERROR(__xludf.DUMMYFUNCTION("""COMPUTED_VALUE"""),13609.0)</f>
        <v>13609</v>
      </c>
      <c r="G766" s="115">
        <f>IFERROR(__xludf.DUMMYFUNCTION("""COMPUTED_VALUE"""),568.0)</f>
        <v>568</v>
      </c>
      <c r="H766" s="116">
        <f>IFERROR(__xludf.DUMMYFUNCTION("""COMPUTED_VALUE"""),45902.0)</f>
        <v>45902</v>
      </c>
      <c r="I766" s="115" t="str">
        <f>IFERROR(__xludf.DUMMYFUNCTION("""COMPUTED_VALUE"""),"14")</f>
        <v>14</v>
      </c>
      <c r="J766" s="115" t="str">
        <f>IFERROR(__xludf.DUMMYFUNCTION("""COMPUTED_VALUE"""),"Parag Kashyap2025-09-0214")</f>
        <v>Parag Kashyap2025-09-0214</v>
      </c>
      <c r="K766" s="115">
        <f>IFERROR(__xludf.DUMMYFUNCTION("""COMPUTED_VALUE"""),35381.0)</f>
        <v>35381</v>
      </c>
    </row>
    <row r="767">
      <c r="A767" s="115" t="str">
        <f>IFERROR(__xludf.DUMMYFUNCTION("""COMPUTED_VALUE"""),"NORTH")</f>
        <v>NORTH</v>
      </c>
      <c r="B767" s="115" t="str">
        <f>IFERROR(__xludf.DUMMYFUNCTION("""COMPUTED_VALUE"""),"Amit Kumar Pathak")</f>
        <v>Amit Kumar Pathak</v>
      </c>
      <c r="C767" s="115" t="str">
        <f>IFERROR(__xludf.DUMMYFUNCTION("""COMPUTED_VALUE"""),"EXTERNAL")</f>
        <v>EXTERNAL</v>
      </c>
      <c r="D767" s="115">
        <f>IFERROR(__xludf.DUMMYFUNCTION("""COMPUTED_VALUE"""),20673.0)</f>
        <v>20673</v>
      </c>
      <c r="E767" s="115">
        <f>IFERROR(__xludf.DUMMYFUNCTION("""COMPUTED_VALUE"""),2013.0)</f>
        <v>2013</v>
      </c>
      <c r="F767" s="115">
        <f>IFERROR(__xludf.DUMMYFUNCTION("""COMPUTED_VALUE"""),4709.0)</f>
        <v>4709</v>
      </c>
      <c r="G767" s="115">
        <f>IFERROR(__xludf.DUMMYFUNCTION("""COMPUTED_VALUE"""),292.0)</f>
        <v>292</v>
      </c>
      <c r="H767" s="116">
        <f>IFERROR(__xludf.DUMMYFUNCTION("""COMPUTED_VALUE"""),45902.0)</f>
        <v>45902</v>
      </c>
      <c r="I767" s="115" t="str">
        <f>IFERROR(__xludf.DUMMYFUNCTION("""COMPUTED_VALUE"""),"14")</f>
        <v>14</v>
      </c>
      <c r="J767" s="115" t="str">
        <f>IFERROR(__xludf.DUMMYFUNCTION("""COMPUTED_VALUE"""),"Amit Kumar Pathak2025-09-0214")</f>
        <v>Amit Kumar Pathak2025-09-0214</v>
      </c>
      <c r="K767" s="115">
        <f>IFERROR(__xludf.DUMMYFUNCTION("""COMPUTED_VALUE"""),22686.0)</f>
        <v>22686</v>
      </c>
    </row>
    <row r="768">
      <c r="A768" s="115" t="str">
        <f>IFERROR(__xludf.DUMMYFUNCTION("""COMPUTED_VALUE"""),"NORTH")</f>
        <v>NORTH</v>
      </c>
      <c r="B768" s="115" t="str">
        <f>IFERROR(__xludf.DUMMYFUNCTION("""COMPUTED_VALUE"""),"Amit Kumar Pathak")</f>
        <v>Amit Kumar Pathak</v>
      </c>
      <c r="C768" s="115" t="str">
        <f>IFERROR(__xludf.DUMMYFUNCTION("""COMPUTED_VALUE"""),"FLIPKART")</f>
        <v>FLIPKART</v>
      </c>
      <c r="D768" s="115">
        <f>IFERROR(__xludf.DUMMYFUNCTION("""COMPUTED_VALUE"""),144154.0)</f>
        <v>144154</v>
      </c>
      <c r="E768" s="115">
        <f>IFERROR(__xludf.DUMMYFUNCTION("""COMPUTED_VALUE"""),20923.0)</f>
        <v>20923</v>
      </c>
      <c r="F768" s="115">
        <f>IFERROR(__xludf.DUMMYFUNCTION("""COMPUTED_VALUE"""),60842.0)</f>
        <v>60842</v>
      </c>
      <c r="G768" s="115">
        <f>IFERROR(__xludf.DUMMYFUNCTION("""COMPUTED_VALUE"""),5722.0)</f>
        <v>5722</v>
      </c>
      <c r="H768" s="116">
        <f>IFERROR(__xludf.DUMMYFUNCTION("""COMPUTED_VALUE"""),45902.0)</f>
        <v>45902</v>
      </c>
      <c r="I768" s="115" t="str">
        <f>IFERROR(__xludf.DUMMYFUNCTION("""COMPUTED_VALUE"""),"14")</f>
        <v>14</v>
      </c>
      <c r="J768" s="115" t="str">
        <f>IFERROR(__xludf.DUMMYFUNCTION("""COMPUTED_VALUE"""),"Amit Kumar Pathak2025-09-0214")</f>
        <v>Amit Kumar Pathak2025-09-0214</v>
      </c>
      <c r="K768" s="115">
        <f>IFERROR(__xludf.DUMMYFUNCTION("""COMPUTED_VALUE"""),165077.0)</f>
        <v>165077</v>
      </c>
    </row>
    <row r="769">
      <c r="A769" s="115" t="str">
        <f>IFERROR(__xludf.DUMMYFUNCTION("""COMPUTED_VALUE"""),"NORTH")</f>
        <v>NORTH</v>
      </c>
      <c r="B769" s="115" t="str">
        <f>IFERROR(__xludf.DUMMYFUNCTION("""COMPUTED_VALUE"""),"Amit Kumar Pathak")</f>
        <v>Amit Kumar Pathak</v>
      </c>
      <c r="C769" s="115" t="str">
        <f>IFERROR(__xludf.DUMMYFUNCTION("""COMPUTED_VALUE"""),"MYNTRA")</f>
        <v>MYNTRA</v>
      </c>
      <c r="D769" s="115">
        <f>IFERROR(__xludf.DUMMYFUNCTION("""COMPUTED_VALUE"""),13128.0)</f>
        <v>13128</v>
      </c>
      <c r="E769" s="115">
        <f>IFERROR(__xludf.DUMMYFUNCTION("""COMPUTED_VALUE"""),4854.0)</f>
        <v>4854</v>
      </c>
      <c r="F769" s="115">
        <f>IFERROR(__xludf.DUMMYFUNCTION("""COMPUTED_VALUE"""),6844.0)</f>
        <v>6844</v>
      </c>
      <c r="G769" s="115">
        <f>IFERROR(__xludf.DUMMYFUNCTION("""COMPUTED_VALUE"""),1555.0)</f>
        <v>1555</v>
      </c>
      <c r="H769" s="116">
        <f>IFERROR(__xludf.DUMMYFUNCTION("""COMPUTED_VALUE"""),45902.0)</f>
        <v>45902</v>
      </c>
      <c r="I769" s="115" t="str">
        <f>IFERROR(__xludf.DUMMYFUNCTION("""COMPUTED_VALUE"""),"14")</f>
        <v>14</v>
      </c>
      <c r="J769" s="115" t="str">
        <f>IFERROR(__xludf.DUMMYFUNCTION("""COMPUTED_VALUE"""),"Amit Kumar Pathak2025-09-0214")</f>
        <v>Amit Kumar Pathak2025-09-0214</v>
      </c>
      <c r="K769" s="115">
        <f>IFERROR(__xludf.DUMMYFUNCTION("""COMPUTED_VALUE"""),17982.0)</f>
        <v>17982</v>
      </c>
    </row>
    <row r="770">
      <c r="A770" s="115" t="str">
        <f>IFERROR(__xludf.DUMMYFUNCTION("""COMPUTED_VALUE"""),"NORTH")</f>
        <v>NORTH</v>
      </c>
      <c r="B770" s="115" t="str">
        <f>IFERROR(__xludf.DUMMYFUNCTION("""COMPUTED_VALUE"""),"Loveleen Singh")</f>
        <v>Loveleen Singh</v>
      </c>
      <c r="C770" s="115" t="str">
        <f>IFERROR(__xludf.DUMMYFUNCTION("""COMPUTED_VALUE"""),"EXTERNAL")</f>
        <v>EXTERNAL</v>
      </c>
      <c r="D770" s="115">
        <f>IFERROR(__xludf.DUMMYFUNCTION("""COMPUTED_VALUE"""),27853.0)</f>
        <v>27853</v>
      </c>
      <c r="E770" s="115">
        <f>IFERROR(__xludf.DUMMYFUNCTION("""COMPUTED_VALUE"""),1940.0)</f>
        <v>1940</v>
      </c>
      <c r="F770" s="115">
        <f>IFERROR(__xludf.DUMMYFUNCTION("""COMPUTED_VALUE"""),5117.0)</f>
        <v>5117</v>
      </c>
      <c r="G770" s="115">
        <f>IFERROR(__xludf.DUMMYFUNCTION("""COMPUTED_VALUE"""),153.0)</f>
        <v>153</v>
      </c>
      <c r="H770" s="116">
        <f>IFERROR(__xludf.DUMMYFUNCTION("""COMPUTED_VALUE"""),45902.0)</f>
        <v>45902</v>
      </c>
      <c r="I770" s="115" t="str">
        <f>IFERROR(__xludf.DUMMYFUNCTION("""COMPUTED_VALUE"""),"14")</f>
        <v>14</v>
      </c>
      <c r="J770" s="115" t="str">
        <f>IFERROR(__xludf.DUMMYFUNCTION("""COMPUTED_VALUE"""),"Loveleen Singh2025-09-0214")</f>
        <v>Loveleen Singh2025-09-0214</v>
      </c>
      <c r="K770" s="115">
        <f>IFERROR(__xludf.DUMMYFUNCTION("""COMPUTED_VALUE"""),29793.0)</f>
        <v>29793</v>
      </c>
    </row>
    <row r="771">
      <c r="A771" s="115" t="str">
        <f>IFERROR(__xludf.DUMMYFUNCTION("""COMPUTED_VALUE"""),"NORTH")</f>
        <v>NORTH</v>
      </c>
      <c r="B771" s="115" t="str">
        <f>IFERROR(__xludf.DUMMYFUNCTION("""COMPUTED_VALUE"""),"Loveleen Singh")</f>
        <v>Loveleen Singh</v>
      </c>
      <c r="C771" s="115" t="str">
        <f>IFERROR(__xludf.DUMMYFUNCTION("""COMPUTED_VALUE"""),"FLIPKART")</f>
        <v>FLIPKART</v>
      </c>
      <c r="D771" s="115">
        <f>IFERROR(__xludf.DUMMYFUNCTION("""COMPUTED_VALUE"""),144034.0)</f>
        <v>144034</v>
      </c>
      <c r="E771" s="115">
        <f>IFERROR(__xludf.DUMMYFUNCTION("""COMPUTED_VALUE"""),12225.0)</f>
        <v>12225</v>
      </c>
      <c r="F771" s="115">
        <f>IFERROR(__xludf.DUMMYFUNCTION("""COMPUTED_VALUE"""),50199.0)</f>
        <v>50199</v>
      </c>
      <c r="G771" s="115">
        <f>IFERROR(__xludf.DUMMYFUNCTION("""COMPUTED_VALUE"""),1885.0)</f>
        <v>1885</v>
      </c>
      <c r="H771" s="116">
        <f>IFERROR(__xludf.DUMMYFUNCTION("""COMPUTED_VALUE"""),45902.0)</f>
        <v>45902</v>
      </c>
      <c r="I771" s="115" t="str">
        <f>IFERROR(__xludf.DUMMYFUNCTION("""COMPUTED_VALUE"""),"14")</f>
        <v>14</v>
      </c>
      <c r="J771" s="115" t="str">
        <f>IFERROR(__xludf.DUMMYFUNCTION("""COMPUTED_VALUE"""),"Loveleen Singh2025-09-0214")</f>
        <v>Loveleen Singh2025-09-0214</v>
      </c>
      <c r="K771" s="115">
        <f>IFERROR(__xludf.DUMMYFUNCTION("""COMPUTED_VALUE"""),156259.0)</f>
        <v>156259</v>
      </c>
    </row>
    <row r="772">
      <c r="A772" s="115" t="str">
        <f>IFERROR(__xludf.DUMMYFUNCTION("""COMPUTED_VALUE"""),"NORTH")</f>
        <v>NORTH</v>
      </c>
      <c r="B772" s="115" t="str">
        <f>IFERROR(__xludf.DUMMYFUNCTION("""COMPUTED_VALUE"""),"Loveleen Singh")</f>
        <v>Loveleen Singh</v>
      </c>
      <c r="C772" s="115" t="str">
        <f>IFERROR(__xludf.DUMMYFUNCTION("""COMPUTED_VALUE"""),"MYNTRA")</f>
        <v>MYNTRA</v>
      </c>
      <c r="D772" s="115">
        <f>IFERROR(__xludf.DUMMYFUNCTION("""COMPUTED_VALUE"""),21698.0)</f>
        <v>21698</v>
      </c>
      <c r="E772" s="115">
        <f>IFERROR(__xludf.DUMMYFUNCTION("""COMPUTED_VALUE"""),4796.0)</f>
        <v>4796</v>
      </c>
      <c r="F772" s="115">
        <f>IFERROR(__xludf.DUMMYFUNCTION("""COMPUTED_VALUE"""),8989.0)</f>
        <v>8989</v>
      </c>
      <c r="G772" s="115">
        <f>IFERROR(__xludf.DUMMYFUNCTION("""COMPUTED_VALUE"""),778.0)</f>
        <v>778</v>
      </c>
      <c r="H772" s="116">
        <f>IFERROR(__xludf.DUMMYFUNCTION("""COMPUTED_VALUE"""),45902.0)</f>
        <v>45902</v>
      </c>
      <c r="I772" s="115" t="str">
        <f>IFERROR(__xludf.DUMMYFUNCTION("""COMPUTED_VALUE"""),"14")</f>
        <v>14</v>
      </c>
      <c r="J772" s="115" t="str">
        <f>IFERROR(__xludf.DUMMYFUNCTION("""COMPUTED_VALUE"""),"Loveleen Singh2025-09-0214")</f>
        <v>Loveleen Singh2025-09-0214</v>
      </c>
      <c r="K772" s="115">
        <f>IFERROR(__xludf.DUMMYFUNCTION("""COMPUTED_VALUE"""),26494.0)</f>
        <v>26494</v>
      </c>
    </row>
    <row r="773">
      <c r="A773" s="115" t="str">
        <f>IFERROR(__xludf.DUMMYFUNCTION("""COMPUTED_VALUE"""),"NORTH")</f>
        <v>NORTH</v>
      </c>
      <c r="B773" s="115" t="str">
        <f>IFERROR(__xludf.DUMMYFUNCTION("""COMPUTED_VALUE"""),"Manoj Harsh")</f>
        <v>Manoj Harsh</v>
      </c>
      <c r="C773" s="115" t="str">
        <f>IFERROR(__xludf.DUMMYFUNCTION("""COMPUTED_VALUE"""),"EXTERNAL")</f>
        <v>EXTERNAL</v>
      </c>
      <c r="D773" s="115">
        <f>IFERROR(__xludf.DUMMYFUNCTION("""COMPUTED_VALUE"""),32520.0)</f>
        <v>32520</v>
      </c>
      <c r="E773" s="115">
        <f>IFERROR(__xludf.DUMMYFUNCTION("""COMPUTED_VALUE"""),2940.0)</f>
        <v>2940</v>
      </c>
      <c r="F773" s="115">
        <f>IFERROR(__xludf.DUMMYFUNCTION("""COMPUTED_VALUE"""),7161.0)</f>
        <v>7161</v>
      </c>
      <c r="G773" s="115">
        <f>IFERROR(__xludf.DUMMYFUNCTION("""COMPUTED_VALUE"""),200.0)</f>
        <v>200</v>
      </c>
      <c r="H773" s="116">
        <f>IFERROR(__xludf.DUMMYFUNCTION("""COMPUTED_VALUE"""),45902.0)</f>
        <v>45902</v>
      </c>
      <c r="I773" s="115" t="str">
        <f>IFERROR(__xludf.DUMMYFUNCTION("""COMPUTED_VALUE"""),"14")</f>
        <v>14</v>
      </c>
      <c r="J773" s="115" t="str">
        <f>IFERROR(__xludf.DUMMYFUNCTION("""COMPUTED_VALUE"""),"Manoj Harsh2025-09-0214")</f>
        <v>Manoj Harsh2025-09-0214</v>
      </c>
      <c r="K773" s="115">
        <f>IFERROR(__xludf.DUMMYFUNCTION("""COMPUTED_VALUE"""),35460.0)</f>
        <v>35460</v>
      </c>
    </row>
    <row r="774">
      <c r="A774" s="115" t="str">
        <f>IFERROR(__xludf.DUMMYFUNCTION("""COMPUTED_VALUE"""),"NORTH")</f>
        <v>NORTH</v>
      </c>
      <c r="B774" s="115" t="str">
        <f>IFERROR(__xludf.DUMMYFUNCTION("""COMPUTED_VALUE"""),"Manoj Harsh")</f>
        <v>Manoj Harsh</v>
      </c>
      <c r="C774" s="115" t="str">
        <f>IFERROR(__xludf.DUMMYFUNCTION("""COMPUTED_VALUE"""),"FLIPKART")</f>
        <v>FLIPKART</v>
      </c>
      <c r="D774" s="115">
        <f>IFERROR(__xludf.DUMMYFUNCTION("""COMPUTED_VALUE"""),388275.0)</f>
        <v>388275</v>
      </c>
      <c r="E774" s="115">
        <f>IFERROR(__xludf.DUMMYFUNCTION("""COMPUTED_VALUE"""),39714.0)</f>
        <v>39714</v>
      </c>
      <c r="F774" s="115">
        <f>IFERROR(__xludf.DUMMYFUNCTION("""COMPUTED_VALUE"""),159015.0)</f>
        <v>159015</v>
      </c>
      <c r="G774" s="115">
        <f>IFERROR(__xludf.DUMMYFUNCTION("""COMPUTED_VALUE"""),6133.0)</f>
        <v>6133</v>
      </c>
      <c r="H774" s="116">
        <f>IFERROR(__xludf.DUMMYFUNCTION("""COMPUTED_VALUE"""),45902.0)</f>
        <v>45902</v>
      </c>
      <c r="I774" s="115" t="str">
        <f>IFERROR(__xludf.DUMMYFUNCTION("""COMPUTED_VALUE"""),"14")</f>
        <v>14</v>
      </c>
      <c r="J774" s="115" t="str">
        <f>IFERROR(__xludf.DUMMYFUNCTION("""COMPUTED_VALUE"""),"Manoj Harsh2025-09-0214")</f>
        <v>Manoj Harsh2025-09-0214</v>
      </c>
      <c r="K774" s="115">
        <f>IFERROR(__xludf.DUMMYFUNCTION("""COMPUTED_VALUE"""),427989.0)</f>
        <v>427989</v>
      </c>
    </row>
    <row r="775">
      <c r="A775" s="115" t="str">
        <f>IFERROR(__xludf.DUMMYFUNCTION("""COMPUTED_VALUE"""),"NORTH")</f>
        <v>NORTH</v>
      </c>
      <c r="B775" s="115" t="str">
        <f>IFERROR(__xludf.DUMMYFUNCTION("""COMPUTED_VALUE"""),"Manoj Harsh")</f>
        <v>Manoj Harsh</v>
      </c>
      <c r="C775" s="115" t="str">
        <f>IFERROR(__xludf.DUMMYFUNCTION("""COMPUTED_VALUE"""),"MYNTRA")</f>
        <v>MYNTRA</v>
      </c>
      <c r="D775" s="115">
        <f>IFERROR(__xludf.DUMMYFUNCTION("""COMPUTED_VALUE"""),33779.0)</f>
        <v>33779</v>
      </c>
      <c r="E775" s="115">
        <f>IFERROR(__xludf.DUMMYFUNCTION("""COMPUTED_VALUE"""),7376.0)</f>
        <v>7376</v>
      </c>
      <c r="F775" s="115">
        <f>IFERROR(__xludf.DUMMYFUNCTION("""COMPUTED_VALUE"""),16254.0)</f>
        <v>16254</v>
      </c>
      <c r="G775" s="115">
        <f>IFERROR(__xludf.DUMMYFUNCTION("""COMPUTED_VALUE"""),1197.0)</f>
        <v>1197</v>
      </c>
      <c r="H775" s="116">
        <f>IFERROR(__xludf.DUMMYFUNCTION("""COMPUTED_VALUE"""),45902.0)</f>
        <v>45902</v>
      </c>
      <c r="I775" s="115" t="str">
        <f>IFERROR(__xludf.DUMMYFUNCTION("""COMPUTED_VALUE"""),"14")</f>
        <v>14</v>
      </c>
      <c r="J775" s="115" t="str">
        <f>IFERROR(__xludf.DUMMYFUNCTION("""COMPUTED_VALUE"""),"Manoj Harsh2025-09-0214")</f>
        <v>Manoj Harsh2025-09-0214</v>
      </c>
      <c r="K775" s="115">
        <f>IFERROR(__xludf.DUMMYFUNCTION("""COMPUTED_VALUE"""),41155.0)</f>
        <v>41155</v>
      </c>
    </row>
    <row r="776">
      <c r="A776" s="115" t="str">
        <f>IFERROR(__xludf.DUMMYFUNCTION("""COMPUTED_VALUE"""),"NORTH")</f>
        <v>NORTH</v>
      </c>
      <c r="B776" s="115" t="str">
        <f>IFERROR(__xludf.DUMMYFUNCTION("""COMPUTED_VALUE"""),"Pradeep Kothari")</f>
        <v>Pradeep Kothari</v>
      </c>
      <c r="C776" s="115" t="str">
        <f>IFERROR(__xludf.DUMMYFUNCTION("""COMPUTED_VALUE"""),"EXTERNAL")</f>
        <v>EXTERNAL</v>
      </c>
      <c r="D776" s="115">
        <f>IFERROR(__xludf.DUMMYFUNCTION("""COMPUTED_VALUE"""),18293.0)</f>
        <v>18293</v>
      </c>
      <c r="E776" s="115">
        <f>IFERROR(__xludf.DUMMYFUNCTION("""COMPUTED_VALUE"""),1900.0)</f>
        <v>1900</v>
      </c>
      <c r="F776" s="115">
        <f>IFERROR(__xludf.DUMMYFUNCTION("""COMPUTED_VALUE"""),4700.0)</f>
        <v>4700</v>
      </c>
      <c r="G776" s="115">
        <f>IFERROR(__xludf.DUMMYFUNCTION("""COMPUTED_VALUE"""),225.0)</f>
        <v>225</v>
      </c>
      <c r="H776" s="116">
        <f>IFERROR(__xludf.DUMMYFUNCTION("""COMPUTED_VALUE"""),45902.0)</f>
        <v>45902</v>
      </c>
      <c r="I776" s="115" t="str">
        <f>IFERROR(__xludf.DUMMYFUNCTION("""COMPUTED_VALUE"""),"14")</f>
        <v>14</v>
      </c>
      <c r="J776" s="115" t="str">
        <f>IFERROR(__xludf.DUMMYFUNCTION("""COMPUTED_VALUE"""),"Pradeep Kothari2025-09-0214")</f>
        <v>Pradeep Kothari2025-09-0214</v>
      </c>
      <c r="K776" s="115">
        <f>IFERROR(__xludf.DUMMYFUNCTION("""COMPUTED_VALUE"""),20193.0)</f>
        <v>20193</v>
      </c>
    </row>
    <row r="777">
      <c r="A777" s="115" t="str">
        <f>IFERROR(__xludf.DUMMYFUNCTION("""COMPUTED_VALUE"""),"NORTH")</f>
        <v>NORTH</v>
      </c>
      <c r="B777" s="115" t="str">
        <f>IFERROR(__xludf.DUMMYFUNCTION("""COMPUTED_VALUE"""),"Pradeep Kothari")</f>
        <v>Pradeep Kothari</v>
      </c>
      <c r="C777" s="115" t="str">
        <f>IFERROR(__xludf.DUMMYFUNCTION("""COMPUTED_VALUE"""),"FLIPKART")</f>
        <v>FLIPKART</v>
      </c>
      <c r="D777" s="115">
        <f>IFERROR(__xludf.DUMMYFUNCTION("""COMPUTED_VALUE"""),130798.0)</f>
        <v>130798</v>
      </c>
      <c r="E777" s="115">
        <f>IFERROR(__xludf.DUMMYFUNCTION("""COMPUTED_VALUE"""),16558.0)</f>
        <v>16558</v>
      </c>
      <c r="F777" s="115">
        <f>IFERROR(__xludf.DUMMYFUNCTION("""COMPUTED_VALUE"""),63667.0)</f>
        <v>63667</v>
      </c>
      <c r="G777" s="115">
        <f>IFERROR(__xludf.DUMMYFUNCTION("""COMPUTED_VALUE"""),4191.0)</f>
        <v>4191</v>
      </c>
      <c r="H777" s="116">
        <f>IFERROR(__xludf.DUMMYFUNCTION("""COMPUTED_VALUE"""),45902.0)</f>
        <v>45902</v>
      </c>
      <c r="I777" s="115" t="str">
        <f>IFERROR(__xludf.DUMMYFUNCTION("""COMPUTED_VALUE"""),"14")</f>
        <v>14</v>
      </c>
      <c r="J777" s="115" t="str">
        <f>IFERROR(__xludf.DUMMYFUNCTION("""COMPUTED_VALUE"""),"Pradeep Kothari2025-09-0214")</f>
        <v>Pradeep Kothari2025-09-0214</v>
      </c>
      <c r="K777" s="115">
        <f>IFERROR(__xludf.DUMMYFUNCTION("""COMPUTED_VALUE"""),147356.0)</f>
        <v>147356</v>
      </c>
    </row>
    <row r="778">
      <c r="A778" s="115" t="str">
        <f>IFERROR(__xludf.DUMMYFUNCTION("""COMPUTED_VALUE"""),"NORTH")</f>
        <v>NORTH</v>
      </c>
      <c r="B778" s="115" t="str">
        <f>IFERROR(__xludf.DUMMYFUNCTION("""COMPUTED_VALUE"""),"Pradeep Kothari")</f>
        <v>Pradeep Kothari</v>
      </c>
      <c r="C778" s="115" t="str">
        <f>IFERROR(__xludf.DUMMYFUNCTION("""COMPUTED_VALUE"""),"MYNTRA")</f>
        <v>MYNTRA</v>
      </c>
      <c r="D778" s="115">
        <f>IFERROR(__xludf.DUMMYFUNCTION("""COMPUTED_VALUE"""),22346.0)</f>
        <v>22346</v>
      </c>
      <c r="E778" s="115">
        <f>IFERROR(__xludf.DUMMYFUNCTION("""COMPUTED_VALUE"""),6022.0)</f>
        <v>6022</v>
      </c>
      <c r="F778" s="115">
        <f>IFERROR(__xludf.DUMMYFUNCTION("""COMPUTED_VALUE"""),12945.0)</f>
        <v>12945</v>
      </c>
      <c r="G778" s="115">
        <f>IFERROR(__xludf.DUMMYFUNCTION("""COMPUTED_VALUE"""),1941.0)</f>
        <v>1941</v>
      </c>
      <c r="H778" s="116">
        <f>IFERROR(__xludf.DUMMYFUNCTION("""COMPUTED_VALUE"""),45902.0)</f>
        <v>45902</v>
      </c>
      <c r="I778" s="115" t="str">
        <f>IFERROR(__xludf.DUMMYFUNCTION("""COMPUTED_VALUE"""),"14")</f>
        <v>14</v>
      </c>
      <c r="J778" s="115" t="str">
        <f>IFERROR(__xludf.DUMMYFUNCTION("""COMPUTED_VALUE"""),"Pradeep Kothari2025-09-0214")</f>
        <v>Pradeep Kothari2025-09-0214</v>
      </c>
      <c r="K778" s="115">
        <f>IFERROR(__xludf.DUMMYFUNCTION("""COMPUTED_VALUE"""),28368.0)</f>
        <v>28368</v>
      </c>
    </row>
    <row r="779">
      <c r="A779" s="115" t="str">
        <f>IFERROR(__xludf.DUMMYFUNCTION("""COMPUTED_VALUE"""),"SOUTH")</f>
        <v>SOUTH</v>
      </c>
      <c r="B779" s="115" t="str">
        <f>IFERROR(__xludf.DUMMYFUNCTION("""COMPUTED_VALUE"""),"Kandula Sampath")</f>
        <v>Kandula Sampath</v>
      </c>
      <c r="C779" s="115" t="str">
        <f>IFERROR(__xludf.DUMMYFUNCTION("""COMPUTED_VALUE"""),"EXTERNAL")</f>
        <v>EXTERNAL</v>
      </c>
      <c r="D779" s="115">
        <f>IFERROR(__xludf.DUMMYFUNCTION("""COMPUTED_VALUE"""),36996.0)</f>
        <v>36996</v>
      </c>
      <c r="E779" s="115">
        <f>IFERROR(__xludf.DUMMYFUNCTION("""COMPUTED_VALUE"""),4222.0)</f>
        <v>4222</v>
      </c>
      <c r="F779" s="115">
        <f>IFERROR(__xludf.DUMMYFUNCTION("""COMPUTED_VALUE"""),9534.0)</f>
        <v>9534</v>
      </c>
      <c r="G779" s="115">
        <f>IFERROR(__xludf.DUMMYFUNCTION("""COMPUTED_VALUE"""),395.0)</f>
        <v>395</v>
      </c>
      <c r="H779" s="116">
        <f>IFERROR(__xludf.DUMMYFUNCTION("""COMPUTED_VALUE"""),45902.0)</f>
        <v>45902</v>
      </c>
      <c r="I779" s="115" t="str">
        <f>IFERROR(__xludf.DUMMYFUNCTION("""COMPUTED_VALUE"""),"14")</f>
        <v>14</v>
      </c>
      <c r="J779" s="115" t="str">
        <f>IFERROR(__xludf.DUMMYFUNCTION("""COMPUTED_VALUE"""),"Kandula Sampath2025-09-0214")</f>
        <v>Kandula Sampath2025-09-0214</v>
      </c>
      <c r="K779" s="115">
        <f>IFERROR(__xludf.DUMMYFUNCTION("""COMPUTED_VALUE"""),41218.0)</f>
        <v>41218</v>
      </c>
    </row>
    <row r="780">
      <c r="A780" s="115" t="str">
        <f>IFERROR(__xludf.DUMMYFUNCTION("""COMPUTED_VALUE"""),"SOUTH")</f>
        <v>SOUTH</v>
      </c>
      <c r="B780" s="115" t="str">
        <f>IFERROR(__xludf.DUMMYFUNCTION("""COMPUTED_VALUE"""),"Kandula Sampath")</f>
        <v>Kandula Sampath</v>
      </c>
      <c r="C780" s="115" t="str">
        <f>IFERROR(__xludf.DUMMYFUNCTION("""COMPUTED_VALUE"""),"FLIPKART")</f>
        <v>FLIPKART</v>
      </c>
      <c r="D780" s="115">
        <f>IFERROR(__xludf.DUMMYFUNCTION("""COMPUTED_VALUE"""),324124.0)</f>
        <v>324124</v>
      </c>
      <c r="E780" s="115">
        <f>IFERROR(__xludf.DUMMYFUNCTION("""COMPUTED_VALUE"""),32412.0)</f>
        <v>32412</v>
      </c>
      <c r="F780" s="115">
        <f>IFERROR(__xludf.DUMMYFUNCTION("""COMPUTED_VALUE"""),153345.0)</f>
        <v>153345</v>
      </c>
      <c r="G780" s="115">
        <f>IFERROR(__xludf.DUMMYFUNCTION("""COMPUTED_VALUE"""),5414.0)</f>
        <v>5414</v>
      </c>
      <c r="H780" s="116">
        <f>IFERROR(__xludf.DUMMYFUNCTION("""COMPUTED_VALUE"""),45902.0)</f>
        <v>45902</v>
      </c>
      <c r="I780" s="115" t="str">
        <f>IFERROR(__xludf.DUMMYFUNCTION("""COMPUTED_VALUE"""),"14")</f>
        <v>14</v>
      </c>
      <c r="J780" s="115" t="str">
        <f>IFERROR(__xludf.DUMMYFUNCTION("""COMPUTED_VALUE"""),"Kandula Sampath2025-09-0214")</f>
        <v>Kandula Sampath2025-09-0214</v>
      </c>
      <c r="K780" s="115">
        <f>IFERROR(__xludf.DUMMYFUNCTION("""COMPUTED_VALUE"""),356536.0)</f>
        <v>356536</v>
      </c>
    </row>
    <row r="781">
      <c r="A781" s="115" t="str">
        <f>IFERROR(__xludf.DUMMYFUNCTION("""COMPUTED_VALUE"""),"SOUTH")</f>
        <v>SOUTH</v>
      </c>
      <c r="B781" s="115" t="str">
        <f>IFERROR(__xludf.DUMMYFUNCTION("""COMPUTED_VALUE"""),"Kandula Sampath")</f>
        <v>Kandula Sampath</v>
      </c>
      <c r="C781" s="115" t="str">
        <f>IFERROR(__xludf.DUMMYFUNCTION("""COMPUTED_VALUE"""),"MYNTRA")</f>
        <v>MYNTRA</v>
      </c>
      <c r="D781" s="115">
        <f>IFERROR(__xludf.DUMMYFUNCTION("""COMPUTED_VALUE"""),33323.0)</f>
        <v>33323</v>
      </c>
      <c r="E781" s="115">
        <f>IFERROR(__xludf.DUMMYFUNCTION("""COMPUTED_VALUE"""),8036.0)</f>
        <v>8036</v>
      </c>
      <c r="F781" s="115">
        <f>IFERROR(__xludf.DUMMYFUNCTION("""COMPUTED_VALUE"""),17993.0)</f>
        <v>17993</v>
      </c>
      <c r="G781" s="115">
        <f>IFERROR(__xludf.DUMMYFUNCTION("""COMPUTED_VALUE"""),1368.0)</f>
        <v>1368</v>
      </c>
      <c r="H781" s="116">
        <f>IFERROR(__xludf.DUMMYFUNCTION("""COMPUTED_VALUE"""),45902.0)</f>
        <v>45902</v>
      </c>
      <c r="I781" s="115" t="str">
        <f>IFERROR(__xludf.DUMMYFUNCTION("""COMPUTED_VALUE"""),"14")</f>
        <v>14</v>
      </c>
      <c r="J781" s="115" t="str">
        <f>IFERROR(__xludf.DUMMYFUNCTION("""COMPUTED_VALUE"""),"Kandula Sampath2025-09-0214")</f>
        <v>Kandula Sampath2025-09-0214</v>
      </c>
      <c r="K781" s="115">
        <f>IFERROR(__xludf.DUMMYFUNCTION("""COMPUTED_VALUE"""),41359.0)</f>
        <v>41359</v>
      </c>
    </row>
    <row r="782">
      <c r="A782" s="115" t="str">
        <f>IFERROR(__xludf.DUMMYFUNCTION("""COMPUTED_VALUE"""),"SOUTH")</f>
        <v>SOUTH</v>
      </c>
      <c r="B782" s="115" t="str">
        <f>IFERROR(__xludf.DUMMYFUNCTION("""COMPUTED_VALUE"""),"Martin A")</f>
        <v>Martin A</v>
      </c>
      <c r="C782" s="115" t="str">
        <f>IFERROR(__xludf.DUMMYFUNCTION("""COMPUTED_VALUE"""),"EXTERNAL")</f>
        <v>EXTERNAL</v>
      </c>
      <c r="D782" s="115">
        <f>IFERROR(__xludf.DUMMYFUNCTION("""COMPUTED_VALUE"""),35114.0)</f>
        <v>35114</v>
      </c>
      <c r="E782" s="115">
        <f>IFERROR(__xludf.DUMMYFUNCTION("""COMPUTED_VALUE"""),2482.0)</f>
        <v>2482</v>
      </c>
      <c r="F782" s="115">
        <f>IFERROR(__xludf.DUMMYFUNCTION("""COMPUTED_VALUE"""),9398.0)</f>
        <v>9398</v>
      </c>
      <c r="G782" s="115">
        <f>IFERROR(__xludf.DUMMYFUNCTION("""COMPUTED_VALUE"""),345.0)</f>
        <v>345</v>
      </c>
      <c r="H782" s="116">
        <f>IFERROR(__xludf.DUMMYFUNCTION("""COMPUTED_VALUE"""),45902.0)</f>
        <v>45902</v>
      </c>
      <c r="I782" s="115" t="str">
        <f>IFERROR(__xludf.DUMMYFUNCTION("""COMPUTED_VALUE"""),"14")</f>
        <v>14</v>
      </c>
      <c r="J782" s="115" t="str">
        <f>IFERROR(__xludf.DUMMYFUNCTION("""COMPUTED_VALUE"""),"Martin A2025-09-0214")</f>
        <v>Martin A2025-09-0214</v>
      </c>
      <c r="K782" s="115">
        <f>IFERROR(__xludf.DUMMYFUNCTION("""COMPUTED_VALUE"""),37596.0)</f>
        <v>37596</v>
      </c>
    </row>
    <row r="783">
      <c r="A783" s="115" t="str">
        <f>IFERROR(__xludf.DUMMYFUNCTION("""COMPUTED_VALUE"""),"SOUTH")</f>
        <v>SOUTH</v>
      </c>
      <c r="B783" s="115" t="str">
        <f>IFERROR(__xludf.DUMMYFUNCTION("""COMPUTED_VALUE"""),"Martin A")</f>
        <v>Martin A</v>
      </c>
      <c r="C783" s="115" t="str">
        <f>IFERROR(__xludf.DUMMYFUNCTION("""COMPUTED_VALUE"""),"FLIPKART")</f>
        <v>FLIPKART</v>
      </c>
      <c r="D783" s="115">
        <f>IFERROR(__xludf.DUMMYFUNCTION("""COMPUTED_VALUE"""),265519.0)</f>
        <v>265519</v>
      </c>
      <c r="E783" s="115">
        <f>IFERROR(__xludf.DUMMYFUNCTION("""COMPUTED_VALUE"""),27216.0)</f>
        <v>27216</v>
      </c>
      <c r="F783" s="115">
        <f>IFERROR(__xludf.DUMMYFUNCTION("""COMPUTED_VALUE"""),125928.0)</f>
        <v>125928</v>
      </c>
      <c r="G783" s="115">
        <f>IFERROR(__xludf.DUMMYFUNCTION("""COMPUTED_VALUE"""),5612.0)</f>
        <v>5612</v>
      </c>
      <c r="H783" s="116">
        <f>IFERROR(__xludf.DUMMYFUNCTION("""COMPUTED_VALUE"""),45902.0)</f>
        <v>45902</v>
      </c>
      <c r="I783" s="115" t="str">
        <f>IFERROR(__xludf.DUMMYFUNCTION("""COMPUTED_VALUE"""),"14")</f>
        <v>14</v>
      </c>
      <c r="J783" s="115" t="str">
        <f>IFERROR(__xludf.DUMMYFUNCTION("""COMPUTED_VALUE"""),"Martin A2025-09-0214")</f>
        <v>Martin A2025-09-0214</v>
      </c>
      <c r="K783" s="115">
        <f>IFERROR(__xludf.DUMMYFUNCTION("""COMPUTED_VALUE"""),292735.0)</f>
        <v>292735</v>
      </c>
    </row>
    <row r="784">
      <c r="A784" s="115" t="str">
        <f>IFERROR(__xludf.DUMMYFUNCTION("""COMPUTED_VALUE"""),"SOUTH")</f>
        <v>SOUTH</v>
      </c>
      <c r="B784" s="115" t="str">
        <f>IFERROR(__xludf.DUMMYFUNCTION("""COMPUTED_VALUE"""),"Martin A")</f>
        <v>Martin A</v>
      </c>
      <c r="C784" s="115" t="str">
        <f>IFERROR(__xludf.DUMMYFUNCTION("""COMPUTED_VALUE"""),"MYNTRA")</f>
        <v>MYNTRA</v>
      </c>
      <c r="D784" s="115">
        <f>IFERROR(__xludf.DUMMYFUNCTION("""COMPUTED_VALUE"""),24989.0)</f>
        <v>24989</v>
      </c>
      <c r="E784" s="115">
        <f>IFERROR(__xludf.DUMMYFUNCTION("""COMPUTED_VALUE"""),6525.0)</f>
        <v>6525</v>
      </c>
      <c r="F784" s="115">
        <f>IFERROR(__xludf.DUMMYFUNCTION("""COMPUTED_VALUE"""),14124.0)</f>
        <v>14124</v>
      </c>
      <c r="G784" s="115">
        <f>IFERROR(__xludf.DUMMYFUNCTION("""COMPUTED_VALUE"""),1522.0)</f>
        <v>1522</v>
      </c>
      <c r="H784" s="116">
        <f>IFERROR(__xludf.DUMMYFUNCTION("""COMPUTED_VALUE"""),45902.0)</f>
        <v>45902</v>
      </c>
      <c r="I784" s="115" t="str">
        <f>IFERROR(__xludf.DUMMYFUNCTION("""COMPUTED_VALUE"""),"14")</f>
        <v>14</v>
      </c>
      <c r="J784" s="115" t="str">
        <f>IFERROR(__xludf.DUMMYFUNCTION("""COMPUTED_VALUE"""),"Martin A2025-09-0214")</f>
        <v>Martin A2025-09-0214</v>
      </c>
      <c r="K784" s="115">
        <f>IFERROR(__xludf.DUMMYFUNCTION("""COMPUTED_VALUE"""),31514.0)</f>
        <v>31514</v>
      </c>
    </row>
    <row r="785">
      <c r="A785" s="115" t="str">
        <f>IFERROR(__xludf.DUMMYFUNCTION("""COMPUTED_VALUE"""),"SOUTH")</f>
        <v>SOUTH</v>
      </c>
      <c r="B785" s="115" t="str">
        <f>IFERROR(__xludf.DUMMYFUNCTION("""COMPUTED_VALUE"""),"Premkumar M")</f>
        <v>Premkumar M</v>
      </c>
      <c r="C785" s="115" t="str">
        <f>IFERROR(__xludf.DUMMYFUNCTION("""COMPUTED_VALUE"""),"EXTERNAL")</f>
        <v>EXTERNAL</v>
      </c>
      <c r="D785" s="115">
        <f>IFERROR(__xludf.DUMMYFUNCTION("""COMPUTED_VALUE"""),29532.0)</f>
        <v>29532</v>
      </c>
      <c r="E785" s="115">
        <f>IFERROR(__xludf.DUMMYFUNCTION("""COMPUTED_VALUE"""),2062.0)</f>
        <v>2062</v>
      </c>
      <c r="F785" s="115">
        <f>IFERROR(__xludf.DUMMYFUNCTION("""COMPUTED_VALUE"""),7200.0)</f>
        <v>7200</v>
      </c>
      <c r="G785" s="115">
        <f>IFERROR(__xludf.DUMMYFUNCTION("""COMPUTED_VALUE"""),92.0)</f>
        <v>92</v>
      </c>
      <c r="H785" s="116">
        <f>IFERROR(__xludf.DUMMYFUNCTION("""COMPUTED_VALUE"""),45902.0)</f>
        <v>45902</v>
      </c>
      <c r="I785" s="115" t="str">
        <f>IFERROR(__xludf.DUMMYFUNCTION("""COMPUTED_VALUE"""),"14")</f>
        <v>14</v>
      </c>
      <c r="J785" s="115" t="str">
        <f>IFERROR(__xludf.DUMMYFUNCTION("""COMPUTED_VALUE"""),"Premkumar M2025-09-0214")</f>
        <v>Premkumar M2025-09-0214</v>
      </c>
      <c r="K785" s="115">
        <f>IFERROR(__xludf.DUMMYFUNCTION("""COMPUTED_VALUE"""),31594.0)</f>
        <v>31594</v>
      </c>
    </row>
    <row r="786">
      <c r="A786" s="115" t="str">
        <f>IFERROR(__xludf.DUMMYFUNCTION("""COMPUTED_VALUE"""),"SOUTH")</f>
        <v>SOUTH</v>
      </c>
      <c r="B786" s="115" t="str">
        <f>IFERROR(__xludf.DUMMYFUNCTION("""COMPUTED_VALUE"""),"Premkumar M")</f>
        <v>Premkumar M</v>
      </c>
      <c r="C786" s="115" t="str">
        <f>IFERROR(__xludf.DUMMYFUNCTION("""COMPUTED_VALUE"""),"FLIPKART")</f>
        <v>FLIPKART</v>
      </c>
      <c r="D786" s="115">
        <f>IFERROR(__xludf.DUMMYFUNCTION("""COMPUTED_VALUE"""),266094.0)</f>
        <v>266094</v>
      </c>
      <c r="E786" s="115">
        <f>IFERROR(__xludf.DUMMYFUNCTION("""COMPUTED_VALUE"""),19233.0)</f>
        <v>19233</v>
      </c>
      <c r="F786" s="115">
        <f>IFERROR(__xludf.DUMMYFUNCTION("""COMPUTED_VALUE"""),103036.0)</f>
        <v>103036</v>
      </c>
      <c r="G786" s="115">
        <f>IFERROR(__xludf.DUMMYFUNCTION("""COMPUTED_VALUE"""),1371.0)</f>
        <v>1371</v>
      </c>
      <c r="H786" s="116">
        <f>IFERROR(__xludf.DUMMYFUNCTION("""COMPUTED_VALUE"""),45902.0)</f>
        <v>45902</v>
      </c>
      <c r="I786" s="115" t="str">
        <f>IFERROR(__xludf.DUMMYFUNCTION("""COMPUTED_VALUE"""),"14")</f>
        <v>14</v>
      </c>
      <c r="J786" s="115" t="str">
        <f>IFERROR(__xludf.DUMMYFUNCTION("""COMPUTED_VALUE"""),"Premkumar M2025-09-0214")</f>
        <v>Premkumar M2025-09-0214</v>
      </c>
      <c r="K786" s="115">
        <f>IFERROR(__xludf.DUMMYFUNCTION("""COMPUTED_VALUE"""),285327.0)</f>
        <v>285327</v>
      </c>
    </row>
    <row r="787">
      <c r="A787" s="115" t="str">
        <f>IFERROR(__xludf.DUMMYFUNCTION("""COMPUTED_VALUE"""),"SOUTH")</f>
        <v>SOUTH</v>
      </c>
      <c r="B787" s="115" t="str">
        <f>IFERROR(__xludf.DUMMYFUNCTION("""COMPUTED_VALUE"""),"Premkumar M")</f>
        <v>Premkumar M</v>
      </c>
      <c r="C787" s="115" t="str">
        <f>IFERROR(__xludf.DUMMYFUNCTION("""COMPUTED_VALUE"""),"MYNTRA")</f>
        <v>MYNTRA</v>
      </c>
      <c r="D787" s="115">
        <f>IFERROR(__xludf.DUMMYFUNCTION("""COMPUTED_VALUE"""),15052.0)</f>
        <v>15052</v>
      </c>
      <c r="E787" s="115">
        <f>IFERROR(__xludf.DUMMYFUNCTION("""COMPUTED_VALUE"""),2965.0)</f>
        <v>2965</v>
      </c>
      <c r="F787" s="115">
        <f>IFERROR(__xludf.DUMMYFUNCTION("""COMPUTED_VALUE"""),6918.0)</f>
        <v>6918</v>
      </c>
      <c r="G787" s="115">
        <f>IFERROR(__xludf.DUMMYFUNCTION("""COMPUTED_VALUE"""),256.0)</f>
        <v>256</v>
      </c>
      <c r="H787" s="116">
        <f>IFERROR(__xludf.DUMMYFUNCTION("""COMPUTED_VALUE"""),45902.0)</f>
        <v>45902</v>
      </c>
      <c r="I787" s="115" t="str">
        <f>IFERROR(__xludf.DUMMYFUNCTION("""COMPUTED_VALUE"""),"14")</f>
        <v>14</v>
      </c>
      <c r="J787" s="115" t="str">
        <f>IFERROR(__xludf.DUMMYFUNCTION("""COMPUTED_VALUE"""),"Premkumar M2025-09-0214")</f>
        <v>Premkumar M2025-09-0214</v>
      </c>
      <c r="K787" s="115">
        <f>IFERROR(__xludf.DUMMYFUNCTION("""COMPUTED_VALUE"""),18017.0)</f>
        <v>18017</v>
      </c>
    </row>
    <row r="788">
      <c r="A788" s="115" t="str">
        <f>IFERROR(__xludf.DUMMYFUNCTION("""COMPUTED_VALUE"""),"SOUTH")</f>
        <v>SOUTH</v>
      </c>
      <c r="B788" s="115" t="str">
        <f>IFERROR(__xludf.DUMMYFUNCTION("""COMPUTED_VALUE"""),"Vineeth V")</f>
        <v>Vineeth V</v>
      </c>
      <c r="C788" s="115" t="str">
        <f>IFERROR(__xludf.DUMMYFUNCTION("""COMPUTED_VALUE"""),"EXTERNAL")</f>
        <v>EXTERNAL</v>
      </c>
      <c r="D788" s="115">
        <f>IFERROR(__xludf.DUMMYFUNCTION("""COMPUTED_VALUE"""),21212.0)</f>
        <v>21212</v>
      </c>
      <c r="E788" s="115">
        <f>IFERROR(__xludf.DUMMYFUNCTION("""COMPUTED_VALUE"""),576.0)</f>
        <v>576</v>
      </c>
      <c r="F788" s="115">
        <f>IFERROR(__xludf.DUMMYFUNCTION("""COMPUTED_VALUE"""),5230.0)</f>
        <v>5230</v>
      </c>
      <c r="G788" s="115">
        <f>IFERROR(__xludf.DUMMYFUNCTION("""COMPUTED_VALUE"""),26.0)</f>
        <v>26</v>
      </c>
      <c r="H788" s="116">
        <f>IFERROR(__xludf.DUMMYFUNCTION("""COMPUTED_VALUE"""),45902.0)</f>
        <v>45902</v>
      </c>
      <c r="I788" s="115" t="str">
        <f>IFERROR(__xludf.DUMMYFUNCTION("""COMPUTED_VALUE"""),"14")</f>
        <v>14</v>
      </c>
      <c r="J788" s="115" t="str">
        <f>IFERROR(__xludf.DUMMYFUNCTION("""COMPUTED_VALUE"""),"Vineeth V2025-09-0214")</f>
        <v>Vineeth V2025-09-0214</v>
      </c>
      <c r="K788" s="115">
        <f>IFERROR(__xludf.DUMMYFUNCTION("""COMPUTED_VALUE"""),21788.0)</f>
        <v>21788</v>
      </c>
    </row>
    <row r="789">
      <c r="A789" s="115" t="str">
        <f>IFERROR(__xludf.DUMMYFUNCTION("""COMPUTED_VALUE"""),"SOUTH")</f>
        <v>SOUTH</v>
      </c>
      <c r="B789" s="115" t="str">
        <f>IFERROR(__xludf.DUMMYFUNCTION("""COMPUTED_VALUE"""),"Vineeth V")</f>
        <v>Vineeth V</v>
      </c>
      <c r="C789" s="115" t="str">
        <f>IFERROR(__xludf.DUMMYFUNCTION("""COMPUTED_VALUE"""),"FLIPKART")</f>
        <v>FLIPKART</v>
      </c>
      <c r="D789" s="115">
        <f>IFERROR(__xludf.DUMMYFUNCTION("""COMPUTED_VALUE"""),237955.0)</f>
        <v>237955</v>
      </c>
      <c r="E789" s="115">
        <f>IFERROR(__xludf.DUMMYFUNCTION("""COMPUTED_VALUE"""),17573.0)</f>
        <v>17573</v>
      </c>
      <c r="F789" s="115">
        <f>IFERROR(__xludf.DUMMYFUNCTION("""COMPUTED_VALUE"""),89272.0)</f>
        <v>89272</v>
      </c>
      <c r="G789" s="115">
        <f>IFERROR(__xludf.DUMMYFUNCTION("""COMPUTED_VALUE"""),1146.0)</f>
        <v>1146</v>
      </c>
      <c r="H789" s="116">
        <f>IFERROR(__xludf.DUMMYFUNCTION("""COMPUTED_VALUE"""),45902.0)</f>
        <v>45902</v>
      </c>
      <c r="I789" s="115" t="str">
        <f>IFERROR(__xludf.DUMMYFUNCTION("""COMPUTED_VALUE"""),"14")</f>
        <v>14</v>
      </c>
      <c r="J789" s="115" t="str">
        <f>IFERROR(__xludf.DUMMYFUNCTION("""COMPUTED_VALUE"""),"Vineeth V2025-09-0214")</f>
        <v>Vineeth V2025-09-0214</v>
      </c>
      <c r="K789" s="115">
        <f>IFERROR(__xludf.DUMMYFUNCTION("""COMPUTED_VALUE"""),255528.0)</f>
        <v>255528</v>
      </c>
    </row>
    <row r="790">
      <c r="A790" s="115" t="str">
        <f>IFERROR(__xludf.DUMMYFUNCTION("""COMPUTED_VALUE"""),"SOUTH")</f>
        <v>SOUTH</v>
      </c>
      <c r="B790" s="115" t="str">
        <f>IFERROR(__xludf.DUMMYFUNCTION("""COMPUTED_VALUE"""),"Vineeth V")</f>
        <v>Vineeth V</v>
      </c>
      <c r="C790" s="115" t="str">
        <f>IFERROR(__xludf.DUMMYFUNCTION("""COMPUTED_VALUE"""),"MYNTRA")</f>
        <v>MYNTRA</v>
      </c>
      <c r="D790" s="115">
        <f>IFERROR(__xludf.DUMMYFUNCTION("""COMPUTED_VALUE"""),21443.0)</f>
        <v>21443</v>
      </c>
      <c r="E790" s="115">
        <f>IFERROR(__xludf.DUMMYFUNCTION("""COMPUTED_VALUE"""),4091.0)</f>
        <v>4091</v>
      </c>
      <c r="F790" s="115">
        <f>IFERROR(__xludf.DUMMYFUNCTION("""COMPUTED_VALUE"""),8990.0)</f>
        <v>8990</v>
      </c>
      <c r="G790" s="115">
        <f>IFERROR(__xludf.DUMMYFUNCTION("""COMPUTED_VALUE"""),263.0)</f>
        <v>263</v>
      </c>
      <c r="H790" s="116">
        <f>IFERROR(__xludf.DUMMYFUNCTION("""COMPUTED_VALUE"""),45902.0)</f>
        <v>45902</v>
      </c>
      <c r="I790" s="115" t="str">
        <f>IFERROR(__xludf.DUMMYFUNCTION("""COMPUTED_VALUE"""),"14")</f>
        <v>14</v>
      </c>
      <c r="J790" s="115" t="str">
        <f>IFERROR(__xludf.DUMMYFUNCTION("""COMPUTED_VALUE"""),"Vineeth V2025-09-0214")</f>
        <v>Vineeth V2025-09-0214</v>
      </c>
      <c r="K790" s="115">
        <f>IFERROR(__xludf.DUMMYFUNCTION("""COMPUTED_VALUE"""),25534.0)</f>
        <v>25534</v>
      </c>
    </row>
    <row r="791">
      <c r="A791" s="115" t="str">
        <f>IFERROR(__xludf.DUMMYFUNCTION("""COMPUTED_VALUE"""),"WEST")</f>
        <v>WEST</v>
      </c>
      <c r="B791" s="115" t="str">
        <f>IFERROR(__xludf.DUMMYFUNCTION("""COMPUTED_VALUE"""),"Ashish Jakar")</f>
        <v>Ashish Jakar</v>
      </c>
      <c r="C791" s="115" t="str">
        <f>IFERROR(__xludf.DUMMYFUNCTION("""COMPUTED_VALUE"""),"EXTERNAL")</f>
        <v>EXTERNAL</v>
      </c>
      <c r="D791" s="115">
        <f>IFERROR(__xludf.DUMMYFUNCTION("""COMPUTED_VALUE"""),54643.0)</f>
        <v>54643</v>
      </c>
      <c r="E791" s="115">
        <f>IFERROR(__xludf.DUMMYFUNCTION("""COMPUTED_VALUE"""),5872.0)</f>
        <v>5872</v>
      </c>
      <c r="F791" s="115">
        <f>IFERROR(__xludf.DUMMYFUNCTION("""COMPUTED_VALUE"""),13175.0)</f>
        <v>13175</v>
      </c>
      <c r="G791" s="115">
        <f>IFERROR(__xludf.DUMMYFUNCTION("""COMPUTED_VALUE"""),795.0)</f>
        <v>795</v>
      </c>
      <c r="H791" s="116">
        <f>IFERROR(__xludf.DUMMYFUNCTION("""COMPUTED_VALUE"""),45902.0)</f>
        <v>45902</v>
      </c>
      <c r="I791" s="115" t="str">
        <f>IFERROR(__xludf.DUMMYFUNCTION("""COMPUTED_VALUE"""),"14")</f>
        <v>14</v>
      </c>
      <c r="J791" s="115" t="str">
        <f>IFERROR(__xludf.DUMMYFUNCTION("""COMPUTED_VALUE"""),"Ashish Jakar2025-09-0214")</f>
        <v>Ashish Jakar2025-09-0214</v>
      </c>
      <c r="K791" s="115">
        <f>IFERROR(__xludf.DUMMYFUNCTION("""COMPUTED_VALUE"""),60515.0)</f>
        <v>60515</v>
      </c>
    </row>
    <row r="792">
      <c r="A792" s="115" t="str">
        <f>IFERROR(__xludf.DUMMYFUNCTION("""COMPUTED_VALUE"""),"WEST")</f>
        <v>WEST</v>
      </c>
      <c r="B792" s="115" t="str">
        <f>IFERROR(__xludf.DUMMYFUNCTION("""COMPUTED_VALUE"""),"Ashish Jakar")</f>
        <v>Ashish Jakar</v>
      </c>
      <c r="C792" s="115" t="str">
        <f>IFERROR(__xludf.DUMMYFUNCTION("""COMPUTED_VALUE"""),"FLIPKART")</f>
        <v>FLIPKART</v>
      </c>
      <c r="D792" s="115">
        <f>IFERROR(__xludf.DUMMYFUNCTION("""COMPUTED_VALUE"""),299894.0)</f>
        <v>299894</v>
      </c>
      <c r="E792" s="115">
        <f>IFERROR(__xludf.DUMMYFUNCTION("""COMPUTED_VALUE"""),31541.0)</f>
        <v>31541</v>
      </c>
      <c r="F792" s="115">
        <f>IFERROR(__xludf.DUMMYFUNCTION("""COMPUTED_VALUE"""),131981.0)</f>
        <v>131981</v>
      </c>
      <c r="G792" s="115">
        <f>IFERROR(__xludf.DUMMYFUNCTION("""COMPUTED_VALUE"""),6402.0)</f>
        <v>6402</v>
      </c>
      <c r="H792" s="116">
        <f>IFERROR(__xludf.DUMMYFUNCTION("""COMPUTED_VALUE"""),45902.0)</f>
        <v>45902</v>
      </c>
      <c r="I792" s="115" t="str">
        <f>IFERROR(__xludf.DUMMYFUNCTION("""COMPUTED_VALUE"""),"14")</f>
        <v>14</v>
      </c>
      <c r="J792" s="115" t="str">
        <f>IFERROR(__xludf.DUMMYFUNCTION("""COMPUTED_VALUE"""),"Ashish Jakar2025-09-0214")</f>
        <v>Ashish Jakar2025-09-0214</v>
      </c>
      <c r="K792" s="115">
        <f>IFERROR(__xludf.DUMMYFUNCTION("""COMPUTED_VALUE"""),331435.0)</f>
        <v>331435</v>
      </c>
    </row>
    <row r="793">
      <c r="A793" s="115" t="str">
        <f>IFERROR(__xludf.DUMMYFUNCTION("""COMPUTED_VALUE"""),"WEST")</f>
        <v>WEST</v>
      </c>
      <c r="B793" s="115" t="str">
        <f>IFERROR(__xludf.DUMMYFUNCTION("""COMPUTED_VALUE"""),"Ashish Jakar")</f>
        <v>Ashish Jakar</v>
      </c>
      <c r="C793" s="115" t="str">
        <f>IFERROR(__xludf.DUMMYFUNCTION("""COMPUTED_VALUE"""),"MYNTRA")</f>
        <v>MYNTRA</v>
      </c>
      <c r="D793" s="115">
        <f>IFERROR(__xludf.DUMMYFUNCTION("""COMPUTED_VALUE"""),36068.0)</f>
        <v>36068</v>
      </c>
      <c r="E793" s="115">
        <f>IFERROR(__xludf.DUMMYFUNCTION("""COMPUTED_VALUE"""),10559.0)</f>
        <v>10559</v>
      </c>
      <c r="F793" s="115">
        <f>IFERROR(__xludf.DUMMYFUNCTION("""COMPUTED_VALUE"""),18899.0)</f>
        <v>18899</v>
      </c>
      <c r="G793" s="115">
        <f>IFERROR(__xludf.DUMMYFUNCTION("""COMPUTED_VALUE"""),2396.0)</f>
        <v>2396</v>
      </c>
      <c r="H793" s="116">
        <f>IFERROR(__xludf.DUMMYFUNCTION("""COMPUTED_VALUE"""),45902.0)</f>
        <v>45902</v>
      </c>
      <c r="I793" s="115" t="str">
        <f>IFERROR(__xludf.DUMMYFUNCTION("""COMPUTED_VALUE"""),"14")</f>
        <v>14</v>
      </c>
      <c r="J793" s="115" t="str">
        <f>IFERROR(__xludf.DUMMYFUNCTION("""COMPUTED_VALUE"""),"Ashish Jakar2025-09-0214")</f>
        <v>Ashish Jakar2025-09-0214</v>
      </c>
      <c r="K793" s="115">
        <f>IFERROR(__xludf.DUMMYFUNCTION("""COMPUTED_VALUE"""),46627.0)</f>
        <v>46627</v>
      </c>
    </row>
    <row r="794">
      <c r="A794" s="115" t="str">
        <f>IFERROR(__xludf.DUMMYFUNCTION("""COMPUTED_VALUE"""),"WEST")</f>
        <v>WEST</v>
      </c>
      <c r="B794" s="115" t="str">
        <f>IFERROR(__xludf.DUMMYFUNCTION("""COMPUTED_VALUE"""),"Ashvani Bhatt")</f>
        <v>Ashvani Bhatt</v>
      </c>
      <c r="C794" s="115" t="str">
        <f>IFERROR(__xludf.DUMMYFUNCTION("""COMPUTED_VALUE"""),"EXTERNAL")</f>
        <v>EXTERNAL</v>
      </c>
      <c r="D794" s="115">
        <f>IFERROR(__xludf.DUMMYFUNCTION("""COMPUTED_VALUE"""),35129.0)</f>
        <v>35129</v>
      </c>
      <c r="E794" s="115">
        <f>IFERROR(__xludf.DUMMYFUNCTION("""COMPUTED_VALUE"""),3357.0)</f>
        <v>3357</v>
      </c>
      <c r="F794" s="115">
        <f>IFERROR(__xludf.DUMMYFUNCTION("""COMPUTED_VALUE"""),9590.0)</f>
        <v>9590</v>
      </c>
      <c r="G794" s="115">
        <f>IFERROR(__xludf.DUMMYFUNCTION("""COMPUTED_VALUE"""),331.0)</f>
        <v>331</v>
      </c>
      <c r="H794" s="116">
        <f>IFERROR(__xludf.DUMMYFUNCTION("""COMPUTED_VALUE"""),45902.0)</f>
        <v>45902</v>
      </c>
      <c r="I794" s="115" t="str">
        <f>IFERROR(__xludf.DUMMYFUNCTION("""COMPUTED_VALUE"""),"14")</f>
        <v>14</v>
      </c>
      <c r="J794" s="115" t="str">
        <f>IFERROR(__xludf.DUMMYFUNCTION("""COMPUTED_VALUE"""),"Ashvani Bhatt2025-09-0214")</f>
        <v>Ashvani Bhatt2025-09-0214</v>
      </c>
      <c r="K794" s="115">
        <f>IFERROR(__xludf.DUMMYFUNCTION("""COMPUTED_VALUE"""),38486.0)</f>
        <v>38486</v>
      </c>
    </row>
    <row r="795">
      <c r="A795" s="115" t="str">
        <f>IFERROR(__xludf.DUMMYFUNCTION("""COMPUTED_VALUE"""),"WEST")</f>
        <v>WEST</v>
      </c>
      <c r="B795" s="115" t="str">
        <f>IFERROR(__xludf.DUMMYFUNCTION("""COMPUTED_VALUE"""),"Ashvani Bhatt")</f>
        <v>Ashvani Bhatt</v>
      </c>
      <c r="C795" s="115" t="str">
        <f>IFERROR(__xludf.DUMMYFUNCTION("""COMPUTED_VALUE"""),"FLIPKART")</f>
        <v>FLIPKART</v>
      </c>
      <c r="D795" s="115">
        <f>IFERROR(__xludf.DUMMYFUNCTION("""COMPUTED_VALUE"""),254304.0)</f>
        <v>254304</v>
      </c>
      <c r="E795" s="115">
        <f>IFERROR(__xludf.DUMMYFUNCTION("""COMPUTED_VALUE"""),27630.0)</f>
        <v>27630</v>
      </c>
      <c r="F795" s="115">
        <f>IFERROR(__xludf.DUMMYFUNCTION("""COMPUTED_VALUE"""),129555.0)</f>
        <v>129555</v>
      </c>
      <c r="G795" s="115">
        <f>IFERROR(__xludf.DUMMYFUNCTION("""COMPUTED_VALUE"""),5771.0)</f>
        <v>5771</v>
      </c>
      <c r="H795" s="116">
        <f>IFERROR(__xludf.DUMMYFUNCTION("""COMPUTED_VALUE"""),45902.0)</f>
        <v>45902</v>
      </c>
      <c r="I795" s="115" t="str">
        <f>IFERROR(__xludf.DUMMYFUNCTION("""COMPUTED_VALUE"""),"14")</f>
        <v>14</v>
      </c>
      <c r="J795" s="115" t="str">
        <f>IFERROR(__xludf.DUMMYFUNCTION("""COMPUTED_VALUE"""),"Ashvani Bhatt2025-09-0214")</f>
        <v>Ashvani Bhatt2025-09-0214</v>
      </c>
      <c r="K795" s="115">
        <f>IFERROR(__xludf.DUMMYFUNCTION("""COMPUTED_VALUE"""),281934.0)</f>
        <v>281934</v>
      </c>
    </row>
    <row r="796">
      <c r="A796" s="115" t="str">
        <f>IFERROR(__xludf.DUMMYFUNCTION("""COMPUTED_VALUE"""),"WEST")</f>
        <v>WEST</v>
      </c>
      <c r="B796" s="115" t="str">
        <f>IFERROR(__xludf.DUMMYFUNCTION("""COMPUTED_VALUE"""),"Ashvani Bhatt")</f>
        <v>Ashvani Bhatt</v>
      </c>
      <c r="C796" s="115" t="str">
        <f>IFERROR(__xludf.DUMMYFUNCTION("""COMPUTED_VALUE"""),"MYNTRA")</f>
        <v>MYNTRA</v>
      </c>
      <c r="D796" s="115">
        <f>IFERROR(__xludf.DUMMYFUNCTION("""COMPUTED_VALUE"""),30214.0)</f>
        <v>30214</v>
      </c>
      <c r="E796" s="115">
        <f>IFERROR(__xludf.DUMMYFUNCTION("""COMPUTED_VALUE"""),8383.0)</f>
        <v>8383</v>
      </c>
      <c r="F796" s="115">
        <f>IFERROR(__xludf.DUMMYFUNCTION("""COMPUTED_VALUE"""),18242.0)</f>
        <v>18242</v>
      </c>
      <c r="G796" s="115">
        <f>IFERROR(__xludf.DUMMYFUNCTION("""COMPUTED_VALUE"""),2216.0)</f>
        <v>2216</v>
      </c>
      <c r="H796" s="116">
        <f>IFERROR(__xludf.DUMMYFUNCTION("""COMPUTED_VALUE"""),45902.0)</f>
        <v>45902</v>
      </c>
      <c r="I796" s="115" t="str">
        <f>IFERROR(__xludf.DUMMYFUNCTION("""COMPUTED_VALUE"""),"14")</f>
        <v>14</v>
      </c>
      <c r="J796" s="115" t="str">
        <f>IFERROR(__xludf.DUMMYFUNCTION("""COMPUTED_VALUE"""),"Ashvani Bhatt2025-09-0214")</f>
        <v>Ashvani Bhatt2025-09-0214</v>
      </c>
      <c r="K796" s="115">
        <f>IFERROR(__xludf.DUMMYFUNCTION("""COMPUTED_VALUE"""),38597.0)</f>
        <v>38597</v>
      </c>
    </row>
    <row r="797">
      <c r="A797" s="115"/>
      <c r="B797" s="115"/>
      <c r="C797" s="115" t="str">
        <f>IFERROR(__xludf.DUMMYFUNCTION("""COMPUTED_VALUE"""),"EXTERNAL")</f>
        <v>EXTERNAL</v>
      </c>
      <c r="D797" s="115">
        <f>IFERROR(__xludf.DUMMYFUNCTION("""COMPUTED_VALUE"""),728.0)</f>
        <v>728</v>
      </c>
      <c r="E797" s="115">
        <f>IFERROR(__xludf.DUMMYFUNCTION("""COMPUTED_VALUE"""),59.0)</f>
        <v>59</v>
      </c>
      <c r="F797" s="115">
        <f>IFERROR(__xludf.DUMMYFUNCTION("""COMPUTED_VALUE"""),101.0)</f>
        <v>101</v>
      </c>
      <c r="G797" s="115">
        <f>IFERROR(__xludf.DUMMYFUNCTION("""COMPUTED_VALUE"""),3.0)</f>
        <v>3</v>
      </c>
      <c r="H797" s="116">
        <f>IFERROR(__xludf.DUMMYFUNCTION("""COMPUTED_VALUE"""),45902.0)</f>
        <v>45902</v>
      </c>
      <c r="I797" s="115" t="str">
        <f>IFERROR(__xludf.DUMMYFUNCTION("""COMPUTED_VALUE"""),"14")</f>
        <v>14</v>
      </c>
      <c r="J797" s="115" t="str">
        <f>IFERROR(__xludf.DUMMYFUNCTION("""COMPUTED_VALUE"""),"2025-09-0214")</f>
        <v>2025-09-0214</v>
      </c>
      <c r="K797" s="115">
        <f>IFERROR(__xludf.DUMMYFUNCTION("""COMPUTED_VALUE"""),787.0)</f>
        <v>787</v>
      </c>
    </row>
    <row r="798">
      <c r="A798" s="115"/>
      <c r="B798" s="115"/>
      <c r="C798" s="115" t="str">
        <f>IFERROR(__xludf.DUMMYFUNCTION("""COMPUTED_VALUE"""),"FLIPKART")</f>
        <v>FLIPKART</v>
      </c>
      <c r="D798" s="115">
        <f>IFERROR(__xludf.DUMMYFUNCTION("""COMPUTED_VALUE"""),7820.0)</f>
        <v>7820</v>
      </c>
      <c r="E798" s="115">
        <f>IFERROR(__xludf.DUMMYFUNCTION("""COMPUTED_VALUE"""),622.0)</f>
        <v>622</v>
      </c>
      <c r="F798" s="115">
        <f>IFERROR(__xludf.DUMMYFUNCTION("""COMPUTED_VALUE"""),2422.0)</f>
        <v>2422</v>
      </c>
      <c r="G798" s="115">
        <f>IFERROR(__xludf.DUMMYFUNCTION("""COMPUTED_VALUE"""),108.0)</f>
        <v>108</v>
      </c>
      <c r="H798" s="116">
        <f>IFERROR(__xludf.DUMMYFUNCTION("""COMPUTED_VALUE"""),45902.0)</f>
        <v>45902</v>
      </c>
      <c r="I798" s="115" t="str">
        <f>IFERROR(__xludf.DUMMYFUNCTION("""COMPUTED_VALUE"""),"14")</f>
        <v>14</v>
      </c>
      <c r="J798" s="115" t="str">
        <f>IFERROR(__xludf.DUMMYFUNCTION("""COMPUTED_VALUE"""),"2025-09-0214")</f>
        <v>2025-09-0214</v>
      </c>
      <c r="K798" s="115">
        <f>IFERROR(__xludf.DUMMYFUNCTION("""COMPUTED_VALUE"""),8442.0)</f>
        <v>8442</v>
      </c>
    </row>
    <row r="799">
      <c r="A799" s="115"/>
      <c r="B799" s="115"/>
      <c r="C799" s="115" t="str">
        <f>IFERROR(__xludf.DUMMYFUNCTION("""COMPUTED_VALUE"""),"MYNTRA")</f>
        <v>MYNTRA</v>
      </c>
      <c r="D799" s="115">
        <f>IFERROR(__xludf.DUMMYFUNCTION("""COMPUTED_VALUE"""),723.0)</f>
        <v>723</v>
      </c>
      <c r="E799" s="115">
        <f>IFERROR(__xludf.DUMMYFUNCTION("""COMPUTED_VALUE"""),159.0)</f>
        <v>159</v>
      </c>
      <c r="F799" s="115">
        <f>IFERROR(__xludf.DUMMYFUNCTION("""COMPUTED_VALUE"""),231.0)</f>
        <v>231</v>
      </c>
      <c r="G799" s="115">
        <f>IFERROR(__xludf.DUMMYFUNCTION("""COMPUTED_VALUE"""),37.0)</f>
        <v>37</v>
      </c>
      <c r="H799" s="116">
        <f>IFERROR(__xludf.DUMMYFUNCTION("""COMPUTED_VALUE"""),45902.0)</f>
        <v>45902</v>
      </c>
      <c r="I799" s="115" t="str">
        <f>IFERROR(__xludf.DUMMYFUNCTION("""COMPUTED_VALUE"""),"14")</f>
        <v>14</v>
      </c>
      <c r="J799" s="115" t="str">
        <f>IFERROR(__xludf.DUMMYFUNCTION("""COMPUTED_VALUE"""),"2025-09-0214")</f>
        <v>2025-09-0214</v>
      </c>
      <c r="K799" s="115">
        <f>IFERROR(__xludf.DUMMYFUNCTION("""COMPUTED_VALUE"""),882.0)</f>
        <v>882</v>
      </c>
    </row>
    <row r="800">
      <c r="A800" s="115" t="str">
        <f>IFERROR(__xludf.DUMMYFUNCTION("""COMPUTED_VALUE"""),"EAST")</f>
        <v>EAST</v>
      </c>
      <c r="B800" s="115" t="str">
        <f>IFERROR(__xludf.DUMMYFUNCTION("""COMPUTED_VALUE"""),"Ashish Ranjan")</f>
        <v>Ashish Ranjan</v>
      </c>
      <c r="C800" s="115" t="str">
        <f>IFERROR(__xludf.DUMMYFUNCTION("""COMPUTED_VALUE"""),"EXTERNAL")</f>
        <v>EXTERNAL</v>
      </c>
      <c r="D800" s="115">
        <f>IFERROR(__xludf.DUMMYFUNCTION("""COMPUTED_VALUE"""),37374.0)</f>
        <v>37374</v>
      </c>
      <c r="E800" s="115">
        <f>IFERROR(__xludf.DUMMYFUNCTION("""COMPUTED_VALUE"""),2650.0)</f>
        <v>2650</v>
      </c>
      <c r="F800" s="115">
        <f>IFERROR(__xludf.DUMMYFUNCTION("""COMPUTED_VALUE"""),14551.0)</f>
        <v>14551</v>
      </c>
      <c r="G800" s="115">
        <f>IFERROR(__xludf.DUMMYFUNCTION("""COMPUTED_VALUE"""),565.0)</f>
        <v>565</v>
      </c>
      <c r="H800" s="116">
        <f>IFERROR(__xludf.DUMMYFUNCTION("""COMPUTED_VALUE"""),45902.0)</f>
        <v>45902</v>
      </c>
      <c r="I800" s="115" t="str">
        <f>IFERROR(__xludf.DUMMYFUNCTION("""COMPUTED_VALUE"""),"15")</f>
        <v>15</v>
      </c>
      <c r="J800" s="115" t="str">
        <f>IFERROR(__xludf.DUMMYFUNCTION("""COMPUTED_VALUE"""),"Ashish Ranjan2025-09-0215")</f>
        <v>Ashish Ranjan2025-09-0215</v>
      </c>
      <c r="K800" s="115">
        <f>IFERROR(__xludf.DUMMYFUNCTION("""COMPUTED_VALUE"""),40024.0)</f>
        <v>40024</v>
      </c>
    </row>
    <row r="801">
      <c r="A801" s="115" t="str">
        <f>IFERROR(__xludf.DUMMYFUNCTION("""COMPUTED_VALUE"""),"EAST")</f>
        <v>EAST</v>
      </c>
      <c r="B801" s="115" t="str">
        <f>IFERROR(__xludf.DUMMYFUNCTION("""COMPUTED_VALUE"""),"Ashish Ranjan")</f>
        <v>Ashish Ranjan</v>
      </c>
      <c r="C801" s="115" t="str">
        <f>IFERROR(__xludf.DUMMYFUNCTION("""COMPUTED_VALUE"""),"FLIPKART")</f>
        <v>FLIPKART</v>
      </c>
      <c r="D801" s="115">
        <f>IFERROR(__xludf.DUMMYFUNCTION("""COMPUTED_VALUE"""),549268.0)</f>
        <v>549268</v>
      </c>
      <c r="E801" s="115">
        <f>IFERROR(__xludf.DUMMYFUNCTION("""COMPUTED_VALUE"""),56651.0)</f>
        <v>56651</v>
      </c>
      <c r="F801" s="115">
        <f>IFERROR(__xludf.DUMMYFUNCTION("""COMPUTED_VALUE"""),362872.0)</f>
        <v>362872</v>
      </c>
      <c r="G801" s="115">
        <f>IFERROR(__xludf.DUMMYFUNCTION("""COMPUTED_VALUE"""),19224.0)</f>
        <v>19224</v>
      </c>
      <c r="H801" s="116">
        <f>IFERROR(__xludf.DUMMYFUNCTION("""COMPUTED_VALUE"""),45902.0)</f>
        <v>45902</v>
      </c>
      <c r="I801" s="115" t="str">
        <f>IFERROR(__xludf.DUMMYFUNCTION("""COMPUTED_VALUE"""),"15")</f>
        <v>15</v>
      </c>
      <c r="J801" s="115" t="str">
        <f>IFERROR(__xludf.DUMMYFUNCTION("""COMPUTED_VALUE"""),"Ashish Ranjan2025-09-0215")</f>
        <v>Ashish Ranjan2025-09-0215</v>
      </c>
      <c r="K801" s="115">
        <f>IFERROR(__xludf.DUMMYFUNCTION("""COMPUTED_VALUE"""),605919.0)</f>
        <v>605919</v>
      </c>
    </row>
    <row r="802">
      <c r="A802" s="115" t="str">
        <f>IFERROR(__xludf.DUMMYFUNCTION("""COMPUTED_VALUE"""),"EAST")</f>
        <v>EAST</v>
      </c>
      <c r="B802" s="115" t="str">
        <f>IFERROR(__xludf.DUMMYFUNCTION("""COMPUTED_VALUE"""),"Ashish Ranjan")</f>
        <v>Ashish Ranjan</v>
      </c>
      <c r="C802" s="115" t="str">
        <f>IFERROR(__xludf.DUMMYFUNCTION("""COMPUTED_VALUE"""),"MYNTRA")</f>
        <v>MYNTRA</v>
      </c>
      <c r="D802" s="115">
        <f>IFERROR(__xludf.DUMMYFUNCTION("""COMPUTED_VALUE"""),52484.0)</f>
        <v>52484</v>
      </c>
      <c r="E802" s="115">
        <f>IFERROR(__xludf.DUMMYFUNCTION("""COMPUTED_VALUE"""),11702.0)</f>
        <v>11702</v>
      </c>
      <c r="F802" s="115">
        <f>IFERROR(__xludf.DUMMYFUNCTION("""COMPUTED_VALUE"""),35844.0)</f>
        <v>35844</v>
      </c>
      <c r="G802" s="115">
        <f>IFERROR(__xludf.DUMMYFUNCTION("""COMPUTED_VALUE"""),4142.0)</f>
        <v>4142</v>
      </c>
      <c r="H802" s="116">
        <f>IFERROR(__xludf.DUMMYFUNCTION("""COMPUTED_VALUE"""),45902.0)</f>
        <v>45902</v>
      </c>
      <c r="I802" s="115" t="str">
        <f>IFERROR(__xludf.DUMMYFUNCTION("""COMPUTED_VALUE"""),"15")</f>
        <v>15</v>
      </c>
      <c r="J802" s="115" t="str">
        <f>IFERROR(__xludf.DUMMYFUNCTION("""COMPUTED_VALUE"""),"Ashish Ranjan2025-09-0215")</f>
        <v>Ashish Ranjan2025-09-0215</v>
      </c>
      <c r="K802" s="115">
        <f>IFERROR(__xludf.DUMMYFUNCTION("""COMPUTED_VALUE"""),64186.0)</f>
        <v>64186</v>
      </c>
    </row>
    <row r="803">
      <c r="A803" s="115" t="str">
        <f>IFERROR(__xludf.DUMMYFUNCTION("""COMPUTED_VALUE"""),"EAST")</f>
        <v>EAST</v>
      </c>
      <c r="B803" s="115" t="str">
        <f>IFERROR(__xludf.DUMMYFUNCTION("""COMPUTED_VALUE"""),"Girish Chand")</f>
        <v>Girish Chand</v>
      </c>
      <c r="C803" s="115" t="str">
        <f>IFERROR(__xludf.DUMMYFUNCTION("""COMPUTED_VALUE"""),"EXTERNAL")</f>
        <v>EXTERNAL</v>
      </c>
      <c r="D803" s="115">
        <f>IFERROR(__xludf.DUMMYFUNCTION("""COMPUTED_VALUE"""),22739.0)</f>
        <v>22739</v>
      </c>
      <c r="E803" s="115">
        <f>IFERROR(__xludf.DUMMYFUNCTION("""COMPUTED_VALUE"""),2305.0)</f>
        <v>2305</v>
      </c>
      <c r="F803" s="115">
        <f>IFERROR(__xludf.DUMMYFUNCTION("""COMPUTED_VALUE"""),6678.0)</f>
        <v>6678</v>
      </c>
      <c r="G803" s="115">
        <f>IFERROR(__xludf.DUMMYFUNCTION("""COMPUTED_VALUE"""),219.0)</f>
        <v>219</v>
      </c>
      <c r="H803" s="116">
        <f>IFERROR(__xludf.DUMMYFUNCTION("""COMPUTED_VALUE"""),45902.0)</f>
        <v>45902</v>
      </c>
      <c r="I803" s="115" t="str">
        <f>IFERROR(__xludf.DUMMYFUNCTION("""COMPUTED_VALUE"""),"15")</f>
        <v>15</v>
      </c>
      <c r="J803" s="115" t="str">
        <f>IFERROR(__xludf.DUMMYFUNCTION("""COMPUTED_VALUE"""),"Girish Chand2025-09-0215")</f>
        <v>Girish Chand2025-09-0215</v>
      </c>
      <c r="K803" s="115">
        <f>IFERROR(__xludf.DUMMYFUNCTION("""COMPUTED_VALUE"""),25044.0)</f>
        <v>25044</v>
      </c>
    </row>
    <row r="804">
      <c r="A804" s="115" t="str">
        <f>IFERROR(__xludf.DUMMYFUNCTION("""COMPUTED_VALUE"""),"EAST")</f>
        <v>EAST</v>
      </c>
      <c r="B804" s="115" t="str">
        <f>IFERROR(__xludf.DUMMYFUNCTION("""COMPUTED_VALUE"""),"Girish Chand")</f>
        <v>Girish Chand</v>
      </c>
      <c r="C804" s="115" t="str">
        <f>IFERROR(__xludf.DUMMYFUNCTION("""COMPUTED_VALUE"""),"FLIPKART")</f>
        <v>FLIPKART</v>
      </c>
      <c r="D804" s="115">
        <f>IFERROR(__xludf.DUMMYFUNCTION("""COMPUTED_VALUE"""),388093.0)</f>
        <v>388093</v>
      </c>
      <c r="E804" s="115">
        <f>IFERROR(__xludf.DUMMYFUNCTION("""COMPUTED_VALUE"""),37749.0)</f>
        <v>37749</v>
      </c>
      <c r="F804" s="115">
        <f>IFERROR(__xludf.DUMMYFUNCTION("""COMPUTED_VALUE"""),214654.0)</f>
        <v>214654</v>
      </c>
      <c r="G804" s="115">
        <f>IFERROR(__xludf.DUMMYFUNCTION("""COMPUTED_VALUE"""),8713.0)</f>
        <v>8713</v>
      </c>
      <c r="H804" s="116">
        <f>IFERROR(__xludf.DUMMYFUNCTION("""COMPUTED_VALUE"""),45902.0)</f>
        <v>45902</v>
      </c>
      <c r="I804" s="115" t="str">
        <f>IFERROR(__xludf.DUMMYFUNCTION("""COMPUTED_VALUE"""),"15")</f>
        <v>15</v>
      </c>
      <c r="J804" s="115" t="str">
        <f>IFERROR(__xludf.DUMMYFUNCTION("""COMPUTED_VALUE"""),"Girish Chand2025-09-0215")</f>
        <v>Girish Chand2025-09-0215</v>
      </c>
      <c r="K804" s="115">
        <f>IFERROR(__xludf.DUMMYFUNCTION("""COMPUTED_VALUE"""),425842.0)</f>
        <v>425842</v>
      </c>
    </row>
    <row r="805">
      <c r="A805" s="115" t="str">
        <f>IFERROR(__xludf.DUMMYFUNCTION("""COMPUTED_VALUE"""),"EAST")</f>
        <v>EAST</v>
      </c>
      <c r="B805" s="115" t="str">
        <f>IFERROR(__xludf.DUMMYFUNCTION("""COMPUTED_VALUE"""),"Girish Chand")</f>
        <v>Girish Chand</v>
      </c>
      <c r="C805" s="115" t="str">
        <f>IFERROR(__xludf.DUMMYFUNCTION("""COMPUTED_VALUE"""),"MYNTRA")</f>
        <v>MYNTRA</v>
      </c>
      <c r="D805" s="115">
        <f>IFERROR(__xludf.DUMMYFUNCTION("""COMPUTED_VALUE"""),30620.0)</f>
        <v>30620</v>
      </c>
      <c r="E805" s="115">
        <f>IFERROR(__xludf.DUMMYFUNCTION("""COMPUTED_VALUE"""),6354.0)</f>
        <v>6354</v>
      </c>
      <c r="F805" s="115">
        <f>IFERROR(__xludf.DUMMYFUNCTION("""COMPUTED_VALUE"""),18427.0)</f>
        <v>18427</v>
      </c>
      <c r="G805" s="115">
        <f>IFERROR(__xludf.DUMMYFUNCTION("""COMPUTED_VALUE"""),1646.0)</f>
        <v>1646</v>
      </c>
      <c r="H805" s="116">
        <f>IFERROR(__xludf.DUMMYFUNCTION("""COMPUTED_VALUE"""),45902.0)</f>
        <v>45902</v>
      </c>
      <c r="I805" s="115" t="str">
        <f>IFERROR(__xludf.DUMMYFUNCTION("""COMPUTED_VALUE"""),"15")</f>
        <v>15</v>
      </c>
      <c r="J805" s="115" t="str">
        <f>IFERROR(__xludf.DUMMYFUNCTION("""COMPUTED_VALUE"""),"Girish Chand2025-09-0215")</f>
        <v>Girish Chand2025-09-0215</v>
      </c>
      <c r="K805" s="115">
        <f>IFERROR(__xludf.DUMMYFUNCTION("""COMPUTED_VALUE"""),36974.0)</f>
        <v>36974</v>
      </c>
    </row>
    <row r="806">
      <c r="A806" s="115" t="str">
        <f>IFERROR(__xludf.DUMMYFUNCTION("""COMPUTED_VALUE"""),"EAST")</f>
        <v>EAST</v>
      </c>
      <c r="B806" s="115" t="str">
        <f>IFERROR(__xludf.DUMMYFUNCTION("""COMPUTED_VALUE"""),"Parag Kashyap")</f>
        <v>Parag Kashyap</v>
      </c>
      <c r="C806" s="115" t="str">
        <f>IFERROR(__xludf.DUMMYFUNCTION("""COMPUTED_VALUE"""),"EXTERNAL")</f>
        <v>EXTERNAL</v>
      </c>
      <c r="D806" s="115">
        <f>IFERROR(__xludf.DUMMYFUNCTION("""COMPUTED_VALUE"""),20833.0)</f>
        <v>20833</v>
      </c>
      <c r="E806" s="115">
        <f>IFERROR(__xludf.DUMMYFUNCTION("""COMPUTED_VALUE"""),1151.0)</f>
        <v>1151</v>
      </c>
      <c r="F806" s="115">
        <f>IFERROR(__xludf.DUMMYFUNCTION("""COMPUTED_VALUE"""),5291.0)</f>
        <v>5291</v>
      </c>
      <c r="G806" s="115">
        <f>IFERROR(__xludf.DUMMYFUNCTION("""COMPUTED_VALUE"""),80.0)</f>
        <v>80</v>
      </c>
      <c r="H806" s="116">
        <f>IFERROR(__xludf.DUMMYFUNCTION("""COMPUTED_VALUE"""),45902.0)</f>
        <v>45902</v>
      </c>
      <c r="I806" s="115" t="str">
        <f>IFERROR(__xludf.DUMMYFUNCTION("""COMPUTED_VALUE"""),"15")</f>
        <v>15</v>
      </c>
      <c r="J806" s="115" t="str">
        <f>IFERROR(__xludf.DUMMYFUNCTION("""COMPUTED_VALUE"""),"Parag Kashyap2025-09-0215")</f>
        <v>Parag Kashyap2025-09-0215</v>
      </c>
      <c r="K806" s="115">
        <f>IFERROR(__xludf.DUMMYFUNCTION("""COMPUTED_VALUE"""),21984.0)</f>
        <v>21984</v>
      </c>
    </row>
    <row r="807">
      <c r="A807" s="115" t="str">
        <f>IFERROR(__xludf.DUMMYFUNCTION("""COMPUTED_VALUE"""),"EAST")</f>
        <v>EAST</v>
      </c>
      <c r="B807" s="115" t="str">
        <f>IFERROR(__xludf.DUMMYFUNCTION("""COMPUTED_VALUE"""),"Parag Kashyap")</f>
        <v>Parag Kashyap</v>
      </c>
      <c r="C807" s="115" t="str">
        <f>IFERROR(__xludf.DUMMYFUNCTION("""COMPUTED_VALUE"""),"FLIPKART")</f>
        <v>FLIPKART</v>
      </c>
      <c r="D807" s="115">
        <f>IFERROR(__xludf.DUMMYFUNCTION("""COMPUTED_VALUE"""),295094.0)</f>
        <v>295094</v>
      </c>
      <c r="E807" s="115">
        <f>IFERROR(__xludf.DUMMYFUNCTION("""COMPUTED_VALUE"""),18474.0)</f>
        <v>18474</v>
      </c>
      <c r="F807" s="115">
        <f>IFERROR(__xludf.DUMMYFUNCTION("""COMPUTED_VALUE"""),150090.0)</f>
        <v>150090</v>
      </c>
      <c r="G807" s="115">
        <f>IFERROR(__xludf.DUMMYFUNCTION("""COMPUTED_VALUE"""),3083.0)</f>
        <v>3083</v>
      </c>
      <c r="H807" s="116">
        <f>IFERROR(__xludf.DUMMYFUNCTION("""COMPUTED_VALUE"""),45902.0)</f>
        <v>45902</v>
      </c>
      <c r="I807" s="115" t="str">
        <f>IFERROR(__xludf.DUMMYFUNCTION("""COMPUTED_VALUE"""),"15")</f>
        <v>15</v>
      </c>
      <c r="J807" s="115" t="str">
        <f>IFERROR(__xludf.DUMMYFUNCTION("""COMPUTED_VALUE"""),"Parag Kashyap2025-09-0215")</f>
        <v>Parag Kashyap2025-09-0215</v>
      </c>
      <c r="K807" s="115">
        <f>IFERROR(__xludf.DUMMYFUNCTION("""COMPUTED_VALUE"""),313568.0)</f>
        <v>313568</v>
      </c>
    </row>
    <row r="808">
      <c r="A808" s="115" t="str">
        <f>IFERROR(__xludf.DUMMYFUNCTION("""COMPUTED_VALUE"""),"EAST")</f>
        <v>EAST</v>
      </c>
      <c r="B808" s="115" t="str">
        <f>IFERROR(__xludf.DUMMYFUNCTION("""COMPUTED_VALUE"""),"Parag Kashyap")</f>
        <v>Parag Kashyap</v>
      </c>
      <c r="C808" s="115" t="str">
        <f>IFERROR(__xludf.DUMMYFUNCTION("""COMPUTED_VALUE"""),"MYNTRA")</f>
        <v>MYNTRA</v>
      </c>
      <c r="D808" s="115">
        <f>IFERROR(__xludf.DUMMYFUNCTION("""COMPUTED_VALUE"""),30852.0)</f>
        <v>30852</v>
      </c>
      <c r="E808" s="115">
        <f>IFERROR(__xludf.DUMMYFUNCTION("""COMPUTED_VALUE"""),4939.0)</f>
        <v>4939</v>
      </c>
      <c r="F808" s="115">
        <f>IFERROR(__xludf.DUMMYFUNCTION("""COMPUTED_VALUE"""),16596.0)</f>
        <v>16596</v>
      </c>
      <c r="G808" s="115">
        <f>IFERROR(__xludf.DUMMYFUNCTION("""COMPUTED_VALUE"""),896.0)</f>
        <v>896</v>
      </c>
      <c r="H808" s="116">
        <f>IFERROR(__xludf.DUMMYFUNCTION("""COMPUTED_VALUE"""),45902.0)</f>
        <v>45902</v>
      </c>
      <c r="I808" s="115" t="str">
        <f>IFERROR(__xludf.DUMMYFUNCTION("""COMPUTED_VALUE"""),"15")</f>
        <v>15</v>
      </c>
      <c r="J808" s="115" t="str">
        <f>IFERROR(__xludf.DUMMYFUNCTION("""COMPUTED_VALUE"""),"Parag Kashyap2025-09-0215")</f>
        <v>Parag Kashyap2025-09-0215</v>
      </c>
      <c r="K808" s="115">
        <f>IFERROR(__xludf.DUMMYFUNCTION("""COMPUTED_VALUE"""),35791.0)</f>
        <v>35791</v>
      </c>
    </row>
    <row r="809">
      <c r="A809" s="115" t="str">
        <f>IFERROR(__xludf.DUMMYFUNCTION("""COMPUTED_VALUE"""),"NORTH")</f>
        <v>NORTH</v>
      </c>
      <c r="B809" s="115" t="str">
        <f>IFERROR(__xludf.DUMMYFUNCTION("""COMPUTED_VALUE"""),"Amit Kumar Pathak")</f>
        <v>Amit Kumar Pathak</v>
      </c>
      <c r="C809" s="115" t="str">
        <f>IFERROR(__xludf.DUMMYFUNCTION("""COMPUTED_VALUE"""),"EXTERNAL")</f>
        <v>EXTERNAL</v>
      </c>
      <c r="D809" s="115">
        <f>IFERROR(__xludf.DUMMYFUNCTION("""COMPUTED_VALUE"""),22342.0)</f>
        <v>22342</v>
      </c>
      <c r="E809" s="115">
        <f>IFERROR(__xludf.DUMMYFUNCTION("""COMPUTED_VALUE"""),2100.0)</f>
        <v>2100</v>
      </c>
      <c r="F809" s="115">
        <f>IFERROR(__xludf.DUMMYFUNCTION("""COMPUTED_VALUE"""),5630.0)</f>
        <v>5630</v>
      </c>
      <c r="G809" s="115">
        <f>IFERROR(__xludf.DUMMYFUNCTION("""COMPUTED_VALUE"""),366.0)</f>
        <v>366</v>
      </c>
      <c r="H809" s="116">
        <f>IFERROR(__xludf.DUMMYFUNCTION("""COMPUTED_VALUE"""),45902.0)</f>
        <v>45902</v>
      </c>
      <c r="I809" s="115" t="str">
        <f>IFERROR(__xludf.DUMMYFUNCTION("""COMPUTED_VALUE"""),"15")</f>
        <v>15</v>
      </c>
      <c r="J809" s="115" t="str">
        <f>IFERROR(__xludf.DUMMYFUNCTION("""COMPUTED_VALUE"""),"Amit Kumar Pathak2025-09-0215")</f>
        <v>Amit Kumar Pathak2025-09-0215</v>
      </c>
      <c r="K809" s="115">
        <f>IFERROR(__xludf.DUMMYFUNCTION("""COMPUTED_VALUE"""),24442.0)</f>
        <v>24442</v>
      </c>
    </row>
    <row r="810">
      <c r="A810" s="115" t="str">
        <f>IFERROR(__xludf.DUMMYFUNCTION("""COMPUTED_VALUE"""),"NORTH")</f>
        <v>NORTH</v>
      </c>
      <c r="B810" s="115" t="str">
        <f>IFERROR(__xludf.DUMMYFUNCTION("""COMPUTED_VALUE"""),"Amit Kumar Pathak")</f>
        <v>Amit Kumar Pathak</v>
      </c>
      <c r="C810" s="115" t="str">
        <f>IFERROR(__xludf.DUMMYFUNCTION("""COMPUTED_VALUE"""),"FLIPKART")</f>
        <v>FLIPKART</v>
      </c>
      <c r="D810" s="115">
        <f>IFERROR(__xludf.DUMMYFUNCTION("""COMPUTED_VALUE"""),154823.0)</f>
        <v>154823</v>
      </c>
      <c r="E810" s="115">
        <f>IFERROR(__xludf.DUMMYFUNCTION("""COMPUTED_VALUE"""),21477.0)</f>
        <v>21477</v>
      </c>
      <c r="F810" s="115">
        <f>IFERROR(__xludf.DUMMYFUNCTION("""COMPUTED_VALUE"""),72970.0)</f>
        <v>72970</v>
      </c>
      <c r="G810" s="115">
        <f>IFERROR(__xludf.DUMMYFUNCTION("""COMPUTED_VALUE"""),7186.0)</f>
        <v>7186</v>
      </c>
      <c r="H810" s="116">
        <f>IFERROR(__xludf.DUMMYFUNCTION("""COMPUTED_VALUE"""),45902.0)</f>
        <v>45902</v>
      </c>
      <c r="I810" s="115" t="str">
        <f>IFERROR(__xludf.DUMMYFUNCTION("""COMPUTED_VALUE"""),"15")</f>
        <v>15</v>
      </c>
      <c r="J810" s="115" t="str">
        <f>IFERROR(__xludf.DUMMYFUNCTION("""COMPUTED_VALUE"""),"Amit Kumar Pathak2025-09-0215")</f>
        <v>Amit Kumar Pathak2025-09-0215</v>
      </c>
      <c r="K810" s="115">
        <f>IFERROR(__xludf.DUMMYFUNCTION("""COMPUTED_VALUE"""),176300.0)</f>
        <v>176300</v>
      </c>
    </row>
    <row r="811">
      <c r="A811" s="115" t="str">
        <f>IFERROR(__xludf.DUMMYFUNCTION("""COMPUTED_VALUE"""),"NORTH")</f>
        <v>NORTH</v>
      </c>
      <c r="B811" s="115" t="str">
        <f>IFERROR(__xludf.DUMMYFUNCTION("""COMPUTED_VALUE"""),"Amit Kumar Pathak")</f>
        <v>Amit Kumar Pathak</v>
      </c>
      <c r="C811" s="115" t="str">
        <f>IFERROR(__xludf.DUMMYFUNCTION("""COMPUTED_VALUE"""),"MYNTRA")</f>
        <v>MYNTRA</v>
      </c>
      <c r="D811" s="115">
        <f>IFERROR(__xludf.DUMMYFUNCTION("""COMPUTED_VALUE"""),14530.0)</f>
        <v>14530</v>
      </c>
      <c r="E811" s="115">
        <f>IFERROR(__xludf.DUMMYFUNCTION("""COMPUTED_VALUE"""),5002.0)</f>
        <v>5002</v>
      </c>
      <c r="F811" s="115">
        <f>IFERROR(__xludf.DUMMYFUNCTION("""COMPUTED_VALUE"""),8177.0)</f>
        <v>8177</v>
      </c>
      <c r="G811" s="115">
        <f>IFERROR(__xludf.DUMMYFUNCTION("""COMPUTED_VALUE"""),1928.0)</f>
        <v>1928</v>
      </c>
      <c r="H811" s="116">
        <f>IFERROR(__xludf.DUMMYFUNCTION("""COMPUTED_VALUE"""),45902.0)</f>
        <v>45902</v>
      </c>
      <c r="I811" s="115" t="str">
        <f>IFERROR(__xludf.DUMMYFUNCTION("""COMPUTED_VALUE"""),"15")</f>
        <v>15</v>
      </c>
      <c r="J811" s="115" t="str">
        <f>IFERROR(__xludf.DUMMYFUNCTION("""COMPUTED_VALUE"""),"Amit Kumar Pathak2025-09-0215")</f>
        <v>Amit Kumar Pathak2025-09-0215</v>
      </c>
      <c r="K811" s="115">
        <f>IFERROR(__xludf.DUMMYFUNCTION("""COMPUTED_VALUE"""),19532.0)</f>
        <v>19532</v>
      </c>
    </row>
    <row r="812">
      <c r="A812" s="115" t="str">
        <f>IFERROR(__xludf.DUMMYFUNCTION("""COMPUTED_VALUE"""),"NORTH")</f>
        <v>NORTH</v>
      </c>
      <c r="B812" s="115" t="str">
        <f>IFERROR(__xludf.DUMMYFUNCTION("""COMPUTED_VALUE"""),"Loveleen Singh")</f>
        <v>Loveleen Singh</v>
      </c>
      <c r="C812" s="115" t="str">
        <f>IFERROR(__xludf.DUMMYFUNCTION("""COMPUTED_VALUE"""),"EXTERNAL")</f>
        <v>EXTERNAL</v>
      </c>
      <c r="D812" s="115">
        <f>IFERROR(__xludf.DUMMYFUNCTION("""COMPUTED_VALUE"""),28645.0)</f>
        <v>28645</v>
      </c>
      <c r="E812" s="115">
        <f>IFERROR(__xludf.DUMMYFUNCTION("""COMPUTED_VALUE"""),1990.0)</f>
        <v>1990</v>
      </c>
      <c r="F812" s="115">
        <f>IFERROR(__xludf.DUMMYFUNCTION("""COMPUTED_VALUE"""),6481.0)</f>
        <v>6481</v>
      </c>
      <c r="G812" s="115">
        <f>IFERROR(__xludf.DUMMYFUNCTION("""COMPUTED_VALUE"""),204.0)</f>
        <v>204</v>
      </c>
      <c r="H812" s="116">
        <f>IFERROR(__xludf.DUMMYFUNCTION("""COMPUTED_VALUE"""),45902.0)</f>
        <v>45902</v>
      </c>
      <c r="I812" s="115" t="str">
        <f>IFERROR(__xludf.DUMMYFUNCTION("""COMPUTED_VALUE"""),"15")</f>
        <v>15</v>
      </c>
      <c r="J812" s="115" t="str">
        <f>IFERROR(__xludf.DUMMYFUNCTION("""COMPUTED_VALUE"""),"Loveleen Singh2025-09-0215")</f>
        <v>Loveleen Singh2025-09-0215</v>
      </c>
      <c r="K812" s="115">
        <f>IFERROR(__xludf.DUMMYFUNCTION("""COMPUTED_VALUE"""),30635.0)</f>
        <v>30635</v>
      </c>
    </row>
    <row r="813">
      <c r="A813" s="115" t="str">
        <f>IFERROR(__xludf.DUMMYFUNCTION("""COMPUTED_VALUE"""),"NORTH")</f>
        <v>NORTH</v>
      </c>
      <c r="B813" s="115" t="str">
        <f>IFERROR(__xludf.DUMMYFUNCTION("""COMPUTED_VALUE"""),"Loveleen Singh")</f>
        <v>Loveleen Singh</v>
      </c>
      <c r="C813" s="115" t="str">
        <f>IFERROR(__xludf.DUMMYFUNCTION("""COMPUTED_VALUE"""),"FLIPKART")</f>
        <v>FLIPKART</v>
      </c>
      <c r="D813" s="115">
        <f>IFERROR(__xludf.DUMMYFUNCTION("""COMPUTED_VALUE"""),147372.0)</f>
        <v>147372</v>
      </c>
      <c r="E813" s="115">
        <f>IFERROR(__xludf.DUMMYFUNCTION("""COMPUTED_VALUE"""),12521.0)</f>
        <v>12521</v>
      </c>
      <c r="F813" s="115">
        <f>IFERROR(__xludf.DUMMYFUNCTION("""COMPUTED_VALUE"""),64404.0)</f>
        <v>64404</v>
      </c>
      <c r="G813" s="115">
        <f>IFERROR(__xludf.DUMMYFUNCTION("""COMPUTED_VALUE"""),2817.0)</f>
        <v>2817</v>
      </c>
      <c r="H813" s="116">
        <f>IFERROR(__xludf.DUMMYFUNCTION("""COMPUTED_VALUE"""),45902.0)</f>
        <v>45902</v>
      </c>
      <c r="I813" s="115" t="str">
        <f>IFERROR(__xludf.DUMMYFUNCTION("""COMPUTED_VALUE"""),"15")</f>
        <v>15</v>
      </c>
      <c r="J813" s="115" t="str">
        <f>IFERROR(__xludf.DUMMYFUNCTION("""COMPUTED_VALUE"""),"Loveleen Singh2025-09-0215")</f>
        <v>Loveleen Singh2025-09-0215</v>
      </c>
      <c r="K813" s="115">
        <f>IFERROR(__xludf.DUMMYFUNCTION("""COMPUTED_VALUE"""),159893.0)</f>
        <v>159893</v>
      </c>
    </row>
    <row r="814">
      <c r="A814" s="115" t="str">
        <f>IFERROR(__xludf.DUMMYFUNCTION("""COMPUTED_VALUE"""),"NORTH")</f>
        <v>NORTH</v>
      </c>
      <c r="B814" s="115" t="str">
        <f>IFERROR(__xludf.DUMMYFUNCTION("""COMPUTED_VALUE"""),"Loveleen Singh")</f>
        <v>Loveleen Singh</v>
      </c>
      <c r="C814" s="115" t="str">
        <f>IFERROR(__xludf.DUMMYFUNCTION("""COMPUTED_VALUE"""),"MYNTRA")</f>
        <v>MYNTRA</v>
      </c>
      <c r="D814" s="115">
        <f>IFERROR(__xludf.DUMMYFUNCTION("""COMPUTED_VALUE"""),22182.0)</f>
        <v>22182</v>
      </c>
      <c r="E814" s="115">
        <f>IFERROR(__xludf.DUMMYFUNCTION("""COMPUTED_VALUE"""),4913.0)</f>
        <v>4913</v>
      </c>
      <c r="F814" s="115">
        <f>IFERROR(__xludf.DUMMYFUNCTION("""COMPUTED_VALUE"""),11374.0)</f>
        <v>11374</v>
      </c>
      <c r="G814" s="115">
        <f>IFERROR(__xludf.DUMMYFUNCTION("""COMPUTED_VALUE"""),1180.0)</f>
        <v>1180</v>
      </c>
      <c r="H814" s="116">
        <f>IFERROR(__xludf.DUMMYFUNCTION("""COMPUTED_VALUE"""),45902.0)</f>
        <v>45902</v>
      </c>
      <c r="I814" s="115" t="str">
        <f>IFERROR(__xludf.DUMMYFUNCTION("""COMPUTED_VALUE"""),"15")</f>
        <v>15</v>
      </c>
      <c r="J814" s="115" t="str">
        <f>IFERROR(__xludf.DUMMYFUNCTION("""COMPUTED_VALUE"""),"Loveleen Singh2025-09-0215")</f>
        <v>Loveleen Singh2025-09-0215</v>
      </c>
      <c r="K814" s="115">
        <f>IFERROR(__xludf.DUMMYFUNCTION("""COMPUTED_VALUE"""),27095.0)</f>
        <v>27095</v>
      </c>
    </row>
    <row r="815">
      <c r="A815" s="115" t="str">
        <f>IFERROR(__xludf.DUMMYFUNCTION("""COMPUTED_VALUE"""),"NORTH")</f>
        <v>NORTH</v>
      </c>
      <c r="B815" s="115" t="str">
        <f>IFERROR(__xludf.DUMMYFUNCTION("""COMPUTED_VALUE"""),"Manoj Harsh")</f>
        <v>Manoj Harsh</v>
      </c>
      <c r="C815" s="115" t="str">
        <f>IFERROR(__xludf.DUMMYFUNCTION("""COMPUTED_VALUE"""),"EXTERNAL")</f>
        <v>EXTERNAL</v>
      </c>
      <c r="D815" s="115">
        <f>IFERROR(__xludf.DUMMYFUNCTION("""COMPUTED_VALUE"""),33331.0)</f>
        <v>33331</v>
      </c>
      <c r="E815" s="115">
        <f>IFERROR(__xludf.DUMMYFUNCTION("""COMPUTED_VALUE"""),3064.0)</f>
        <v>3064</v>
      </c>
      <c r="F815" s="115">
        <f>IFERROR(__xludf.DUMMYFUNCTION("""COMPUTED_VALUE"""),8946.0)</f>
        <v>8946</v>
      </c>
      <c r="G815" s="115">
        <f>IFERROR(__xludf.DUMMYFUNCTION("""COMPUTED_VALUE"""),306.0)</f>
        <v>306</v>
      </c>
      <c r="H815" s="116">
        <f>IFERROR(__xludf.DUMMYFUNCTION("""COMPUTED_VALUE"""),45902.0)</f>
        <v>45902</v>
      </c>
      <c r="I815" s="115" t="str">
        <f>IFERROR(__xludf.DUMMYFUNCTION("""COMPUTED_VALUE"""),"15")</f>
        <v>15</v>
      </c>
      <c r="J815" s="115" t="str">
        <f>IFERROR(__xludf.DUMMYFUNCTION("""COMPUTED_VALUE"""),"Manoj Harsh2025-09-0215")</f>
        <v>Manoj Harsh2025-09-0215</v>
      </c>
      <c r="K815" s="115">
        <f>IFERROR(__xludf.DUMMYFUNCTION("""COMPUTED_VALUE"""),36395.0)</f>
        <v>36395</v>
      </c>
    </row>
    <row r="816">
      <c r="A816" s="115" t="str">
        <f>IFERROR(__xludf.DUMMYFUNCTION("""COMPUTED_VALUE"""),"NORTH")</f>
        <v>NORTH</v>
      </c>
      <c r="B816" s="115" t="str">
        <f>IFERROR(__xludf.DUMMYFUNCTION("""COMPUTED_VALUE"""),"Manoj Harsh")</f>
        <v>Manoj Harsh</v>
      </c>
      <c r="C816" s="115" t="str">
        <f>IFERROR(__xludf.DUMMYFUNCTION("""COMPUTED_VALUE"""),"FLIPKART")</f>
        <v>FLIPKART</v>
      </c>
      <c r="D816" s="115">
        <f>IFERROR(__xludf.DUMMYFUNCTION("""COMPUTED_VALUE"""),395280.0)</f>
        <v>395280</v>
      </c>
      <c r="E816" s="115">
        <f>IFERROR(__xludf.DUMMYFUNCTION("""COMPUTED_VALUE"""),40973.0)</f>
        <v>40973</v>
      </c>
      <c r="F816" s="115">
        <f>IFERROR(__xludf.DUMMYFUNCTION("""COMPUTED_VALUE"""),197563.0)</f>
        <v>197563</v>
      </c>
      <c r="G816" s="115">
        <f>IFERROR(__xludf.DUMMYFUNCTION("""COMPUTED_VALUE"""),9160.0)</f>
        <v>9160</v>
      </c>
      <c r="H816" s="116">
        <f>IFERROR(__xludf.DUMMYFUNCTION("""COMPUTED_VALUE"""),45902.0)</f>
        <v>45902</v>
      </c>
      <c r="I816" s="115" t="str">
        <f>IFERROR(__xludf.DUMMYFUNCTION("""COMPUTED_VALUE"""),"15")</f>
        <v>15</v>
      </c>
      <c r="J816" s="115" t="str">
        <f>IFERROR(__xludf.DUMMYFUNCTION("""COMPUTED_VALUE"""),"Manoj Harsh2025-09-0215")</f>
        <v>Manoj Harsh2025-09-0215</v>
      </c>
      <c r="K816" s="115">
        <f>IFERROR(__xludf.DUMMYFUNCTION("""COMPUTED_VALUE"""),436253.0)</f>
        <v>436253</v>
      </c>
    </row>
    <row r="817">
      <c r="A817" s="115" t="str">
        <f>IFERROR(__xludf.DUMMYFUNCTION("""COMPUTED_VALUE"""),"NORTH")</f>
        <v>NORTH</v>
      </c>
      <c r="B817" s="115" t="str">
        <f>IFERROR(__xludf.DUMMYFUNCTION("""COMPUTED_VALUE"""),"Manoj Harsh")</f>
        <v>Manoj Harsh</v>
      </c>
      <c r="C817" s="115" t="str">
        <f>IFERROR(__xludf.DUMMYFUNCTION("""COMPUTED_VALUE"""),"MYNTRA")</f>
        <v>MYNTRA</v>
      </c>
      <c r="D817" s="115">
        <f>IFERROR(__xludf.DUMMYFUNCTION("""COMPUTED_VALUE"""),34281.0)</f>
        <v>34281</v>
      </c>
      <c r="E817" s="115">
        <f>IFERROR(__xludf.DUMMYFUNCTION("""COMPUTED_VALUE"""),7574.0)</f>
        <v>7574</v>
      </c>
      <c r="F817" s="115">
        <f>IFERROR(__xludf.DUMMYFUNCTION("""COMPUTED_VALUE"""),19620.0)</f>
        <v>19620</v>
      </c>
      <c r="G817" s="115">
        <f>IFERROR(__xludf.DUMMYFUNCTION("""COMPUTED_VALUE"""),1799.0)</f>
        <v>1799</v>
      </c>
      <c r="H817" s="116">
        <f>IFERROR(__xludf.DUMMYFUNCTION("""COMPUTED_VALUE"""),45902.0)</f>
        <v>45902</v>
      </c>
      <c r="I817" s="115" t="str">
        <f>IFERROR(__xludf.DUMMYFUNCTION("""COMPUTED_VALUE"""),"15")</f>
        <v>15</v>
      </c>
      <c r="J817" s="115" t="str">
        <f>IFERROR(__xludf.DUMMYFUNCTION("""COMPUTED_VALUE"""),"Manoj Harsh2025-09-0215")</f>
        <v>Manoj Harsh2025-09-0215</v>
      </c>
      <c r="K817" s="115">
        <f>IFERROR(__xludf.DUMMYFUNCTION("""COMPUTED_VALUE"""),41855.0)</f>
        <v>41855</v>
      </c>
    </row>
    <row r="818">
      <c r="A818" s="115" t="str">
        <f>IFERROR(__xludf.DUMMYFUNCTION("""COMPUTED_VALUE"""),"NORTH")</f>
        <v>NORTH</v>
      </c>
      <c r="B818" s="115" t="str">
        <f>IFERROR(__xludf.DUMMYFUNCTION("""COMPUTED_VALUE"""),"Pradeep Kothari")</f>
        <v>Pradeep Kothari</v>
      </c>
      <c r="C818" s="115" t="str">
        <f>IFERROR(__xludf.DUMMYFUNCTION("""COMPUTED_VALUE"""),"EXTERNAL")</f>
        <v>EXTERNAL</v>
      </c>
      <c r="D818" s="115">
        <f>IFERROR(__xludf.DUMMYFUNCTION("""COMPUTED_VALUE"""),18613.0)</f>
        <v>18613</v>
      </c>
      <c r="E818" s="115">
        <f>IFERROR(__xludf.DUMMYFUNCTION("""COMPUTED_VALUE"""),1923.0)</f>
        <v>1923</v>
      </c>
      <c r="F818" s="115">
        <f>IFERROR(__xludf.DUMMYFUNCTION("""COMPUTED_VALUE"""),5537.0)</f>
        <v>5537</v>
      </c>
      <c r="G818" s="115">
        <f>IFERROR(__xludf.DUMMYFUNCTION("""COMPUTED_VALUE"""),309.0)</f>
        <v>309</v>
      </c>
      <c r="H818" s="116">
        <f>IFERROR(__xludf.DUMMYFUNCTION("""COMPUTED_VALUE"""),45902.0)</f>
        <v>45902</v>
      </c>
      <c r="I818" s="115" t="str">
        <f>IFERROR(__xludf.DUMMYFUNCTION("""COMPUTED_VALUE"""),"15")</f>
        <v>15</v>
      </c>
      <c r="J818" s="115" t="str">
        <f>IFERROR(__xludf.DUMMYFUNCTION("""COMPUTED_VALUE"""),"Pradeep Kothari2025-09-0215")</f>
        <v>Pradeep Kothari2025-09-0215</v>
      </c>
      <c r="K818" s="115">
        <f>IFERROR(__xludf.DUMMYFUNCTION("""COMPUTED_VALUE"""),20536.0)</f>
        <v>20536</v>
      </c>
    </row>
    <row r="819">
      <c r="A819" s="115" t="str">
        <f>IFERROR(__xludf.DUMMYFUNCTION("""COMPUTED_VALUE"""),"NORTH")</f>
        <v>NORTH</v>
      </c>
      <c r="B819" s="115" t="str">
        <f>IFERROR(__xludf.DUMMYFUNCTION("""COMPUTED_VALUE"""),"Pradeep Kothari")</f>
        <v>Pradeep Kothari</v>
      </c>
      <c r="C819" s="115" t="str">
        <f>IFERROR(__xludf.DUMMYFUNCTION("""COMPUTED_VALUE"""),"FLIPKART")</f>
        <v>FLIPKART</v>
      </c>
      <c r="D819" s="115">
        <f>IFERROR(__xludf.DUMMYFUNCTION("""COMPUTED_VALUE"""),132494.0)</f>
        <v>132494</v>
      </c>
      <c r="E819" s="115">
        <f>IFERROR(__xludf.DUMMYFUNCTION("""COMPUTED_VALUE"""),16761.0)</f>
        <v>16761</v>
      </c>
      <c r="F819" s="115">
        <f>IFERROR(__xludf.DUMMYFUNCTION("""COMPUTED_VALUE"""),74872.0)</f>
        <v>74872</v>
      </c>
      <c r="G819" s="115">
        <f>IFERROR(__xludf.DUMMYFUNCTION("""COMPUTED_VALUE"""),5689.0)</f>
        <v>5689</v>
      </c>
      <c r="H819" s="116">
        <f>IFERROR(__xludf.DUMMYFUNCTION("""COMPUTED_VALUE"""),45902.0)</f>
        <v>45902</v>
      </c>
      <c r="I819" s="115" t="str">
        <f>IFERROR(__xludf.DUMMYFUNCTION("""COMPUTED_VALUE"""),"15")</f>
        <v>15</v>
      </c>
      <c r="J819" s="115" t="str">
        <f>IFERROR(__xludf.DUMMYFUNCTION("""COMPUTED_VALUE"""),"Pradeep Kothari2025-09-0215")</f>
        <v>Pradeep Kothari2025-09-0215</v>
      </c>
      <c r="K819" s="115">
        <f>IFERROR(__xludf.DUMMYFUNCTION("""COMPUTED_VALUE"""),149255.0)</f>
        <v>149255</v>
      </c>
    </row>
    <row r="820">
      <c r="A820" s="115" t="str">
        <f>IFERROR(__xludf.DUMMYFUNCTION("""COMPUTED_VALUE"""),"NORTH")</f>
        <v>NORTH</v>
      </c>
      <c r="B820" s="115" t="str">
        <f>IFERROR(__xludf.DUMMYFUNCTION("""COMPUTED_VALUE"""),"Pradeep Kothari")</f>
        <v>Pradeep Kothari</v>
      </c>
      <c r="C820" s="115" t="str">
        <f>IFERROR(__xludf.DUMMYFUNCTION("""COMPUTED_VALUE"""),"MYNTRA")</f>
        <v>MYNTRA</v>
      </c>
      <c r="D820" s="115">
        <f>IFERROR(__xludf.DUMMYFUNCTION("""COMPUTED_VALUE"""),22640.0)</f>
        <v>22640</v>
      </c>
      <c r="E820" s="115">
        <f>IFERROR(__xludf.DUMMYFUNCTION("""COMPUTED_VALUE"""),6124.0)</f>
        <v>6124</v>
      </c>
      <c r="F820" s="115">
        <f>IFERROR(__xludf.DUMMYFUNCTION("""COMPUTED_VALUE"""),14846.0)</f>
        <v>14846</v>
      </c>
      <c r="G820" s="115">
        <f>IFERROR(__xludf.DUMMYFUNCTION("""COMPUTED_VALUE"""),2527.0)</f>
        <v>2527</v>
      </c>
      <c r="H820" s="116">
        <f>IFERROR(__xludf.DUMMYFUNCTION("""COMPUTED_VALUE"""),45902.0)</f>
        <v>45902</v>
      </c>
      <c r="I820" s="115" t="str">
        <f>IFERROR(__xludf.DUMMYFUNCTION("""COMPUTED_VALUE"""),"15")</f>
        <v>15</v>
      </c>
      <c r="J820" s="115" t="str">
        <f>IFERROR(__xludf.DUMMYFUNCTION("""COMPUTED_VALUE"""),"Pradeep Kothari2025-09-0215")</f>
        <v>Pradeep Kothari2025-09-0215</v>
      </c>
      <c r="K820" s="115">
        <f>IFERROR(__xludf.DUMMYFUNCTION("""COMPUTED_VALUE"""),28764.0)</f>
        <v>28764</v>
      </c>
    </row>
    <row r="821">
      <c r="A821" s="115" t="str">
        <f>IFERROR(__xludf.DUMMYFUNCTION("""COMPUTED_VALUE"""),"SOUTH")</f>
        <v>SOUTH</v>
      </c>
      <c r="B821" s="115" t="str">
        <f>IFERROR(__xludf.DUMMYFUNCTION("""COMPUTED_VALUE"""),"Kandula Sampath")</f>
        <v>Kandula Sampath</v>
      </c>
      <c r="C821" s="115" t="str">
        <f>IFERROR(__xludf.DUMMYFUNCTION("""COMPUTED_VALUE"""),"EXTERNAL")</f>
        <v>EXTERNAL</v>
      </c>
      <c r="D821" s="115">
        <f>IFERROR(__xludf.DUMMYFUNCTION("""COMPUTED_VALUE"""),37893.0)</f>
        <v>37893</v>
      </c>
      <c r="E821" s="115">
        <f>IFERROR(__xludf.DUMMYFUNCTION("""COMPUTED_VALUE"""),4307.0)</f>
        <v>4307</v>
      </c>
      <c r="F821" s="115">
        <f>IFERROR(__xludf.DUMMYFUNCTION("""COMPUTED_VALUE"""),10901.0)</f>
        <v>10901</v>
      </c>
      <c r="G821" s="115">
        <f>IFERROR(__xludf.DUMMYFUNCTION("""COMPUTED_VALUE"""),521.0)</f>
        <v>521</v>
      </c>
      <c r="H821" s="116">
        <f>IFERROR(__xludf.DUMMYFUNCTION("""COMPUTED_VALUE"""),45902.0)</f>
        <v>45902</v>
      </c>
      <c r="I821" s="115" t="str">
        <f>IFERROR(__xludf.DUMMYFUNCTION("""COMPUTED_VALUE"""),"15")</f>
        <v>15</v>
      </c>
      <c r="J821" s="115" t="str">
        <f>IFERROR(__xludf.DUMMYFUNCTION("""COMPUTED_VALUE"""),"Kandula Sampath2025-09-0215")</f>
        <v>Kandula Sampath2025-09-0215</v>
      </c>
      <c r="K821" s="115">
        <f>IFERROR(__xludf.DUMMYFUNCTION("""COMPUTED_VALUE"""),42200.0)</f>
        <v>42200</v>
      </c>
    </row>
    <row r="822">
      <c r="A822" s="115" t="str">
        <f>IFERROR(__xludf.DUMMYFUNCTION("""COMPUTED_VALUE"""),"SOUTH")</f>
        <v>SOUTH</v>
      </c>
      <c r="B822" s="115" t="str">
        <f>IFERROR(__xludf.DUMMYFUNCTION("""COMPUTED_VALUE"""),"Kandula Sampath")</f>
        <v>Kandula Sampath</v>
      </c>
      <c r="C822" s="115" t="str">
        <f>IFERROR(__xludf.DUMMYFUNCTION("""COMPUTED_VALUE"""),"FLIPKART")</f>
        <v>FLIPKART</v>
      </c>
      <c r="D822" s="115">
        <f>IFERROR(__xludf.DUMMYFUNCTION("""COMPUTED_VALUE"""),328542.0)</f>
        <v>328542</v>
      </c>
      <c r="E822" s="115">
        <f>IFERROR(__xludf.DUMMYFUNCTION("""COMPUTED_VALUE"""),32929.0)</f>
        <v>32929</v>
      </c>
      <c r="F822" s="115">
        <f>IFERROR(__xludf.DUMMYFUNCTION("""COMPUTED_VALUE"""),173109.0)</f>
        <v>173109</v>
      </c>
      <c r="G822" s="115">
        <f>IFERROR(__xludf.DUMMYFUNCTION("""COMPUTED_VALUE"""),7232.0)</f>
        <v>7232</v>
      </c>
      <c r="H822" s="116">
        <f>IFERROR(__xludf.DUMMYFUNCTION("""COMPUTED_VALUE"""),45902.0)</f>
        <v>45902</v>
      </c>
      <c r="I822" s="115" t="str">
        <f>IFERROR(__xludf.DUMMYFUNCTION("""COMPUTED_VALUE"""),"15")</f>
        <v>15</v>
      </c>
      <c r="J822" s="115" t="str">
        <f>IFERROR(__xludf.DUMMYFUNCTION("""COMPUTED_VALUE"""),"Kandula Sampath2025-09-0215")</f>
        <v>Kandula Sampath2025-09-0215</v>
      </c>
      <c r="K822" s="115">
        <f>IFERROR(__xludf.DUMMYFUNCTION("""COMPUTED_VALUE"""),361471.0)</f>
        <v>361471</v>
      </c>
    </row>
    <row r="823">
      <c r="A823" s="115" t="str">
        <f>IFERROR(__xludf.DUMMYFUNCTION("""COMPUTED_VALUE"""),"SOUTH")</f>
        <v>SOUTH</v>
      </c>
      <c r="B823" s="115" t="str">
        <f>IFERROR(__xludf.DUMMYFUNCTION("""COMPUTED_VALUE"""),"Kandula Sampath")</f>
        <v>Kandula Sampath</v>
      </c>
      <c r="C823" s="115" t="str">
        <f>IFERROR(__xludf.DUMMYFUNCTION("""COMPUTED_VALUE"""),"MYNTRA")</f>
        <v>MYNTRA</v>
      </c>
      <c r="D823" s="115">
        <f>IFERROR(__xludf.DUMMYFUNCTION("""COMPUTED_VALUE"""),33683.0)</f>
        <v>33683</v>
      </c>
      <c r="E823" s="115">
        <f>IFERROR(__xludf.DUMMYFUNCTION("""COMPUTED_VALUE"""),8189.0)</f>
        <v>8189</v>
      </c>
      <c r="F823" s="115">
        <f>IFERROR(__xludf.DUMMYFUNCTION("""COMPUTED_VALUE"""),20104.0)</f>
        <v>20104</v>
      </c>
      <c r="G823" s="115">
        <f>IFERROR(__xludf.DUMMYFUNCTION("""COMPUTED_VALUE"""),1816.0)</f>
        <v>1816</v>
      </c>
      <c r="H823" s="116">
        <f>IFERROR(__xludf.DUMMYFUNCTION("""COMPUTED_VALUE"""),45902.0)</f>
        <v>45902</v>
      </c>
      <c r="I823" s="115" t="str">
        <f>IFERROR(__xludf.DUMMYFUNCTION("""COMPUTED_VALUE"""),"15")</f>
        <v>15</v>
      </c>
      <c r="J823" s="115" t="str">
        <f>IFERROR(__xludf.DUMMYFUNCTION("""COMPUTED_VALUE"""),"Kandula Sampath2025-09-0215")</f>
        <v>Kandula Sampath2025-09-0215</v>
      </c>
      <c r="K823" s="115">
        <f>IFERROR(__xludf.DUMMYFUNCTION("""COMPUTED_VALUE"""),41872.0)</f>
        <v>41872</v>
      </c>
    </row>
    <row r="824">
      <c r="A824" s="115" t="str">
        <f>IFERROR(__xludf.DUMMYFUNCTION("""COMPUTED_VALUE"""),"SOUTH")</f>
        <v>SOUTH</v>
      </c>
      <c r="B824" s="115" t="str">
        <f>IFERROR(__xludf.DUMMYFUNCTION("""COMPUTED_VALUE"""),"Martin A")</f>
        <v>Martin A</v>
      </c>
      <c r="C824" s="115" t="str">
        <f>IFERROR(__xludf.DUMMYFUNCTION("""COMPUTED_VALUE"""),"EXTERNAL")</f>
        <v>EXTERNAL</v>
      </c>
      <c r="D824" s="115">
        <f>IFERROR(__xludf.DUMMYFUNCTION("""COMPUTED_VALUE"""),35677.0)</f>
        <v>35677</v>
      </c>
      <c r="E824" s="115">
        <f>IFERROR(__xludf.DUMMYFUNCTION("""COMPUTED_VALUE"""),2527.0)</f>
        <v>2527</v>
      </c>
      <c r="F824" s="115">
        <f>IFERROR(__xludf.DUMMYFUNCTION("""COMPUTED_VALUE"""),10991.0)</f>
        <v>10991</v>
      </c>
      <c r="G824" s="115">
        <f>IFERROR(__xludf.DUMMYFUNCTION("""COMPUTED_VALUE"""),455.0)</f>
        <v>455</v>
      </c>
      <c r="H824" s="116">
        <f>IFERROR(__xludf.DUMMYFUNCTION("""COMPUTED_VALUE"""),45902.0)</f>
        <v>45902</v>
      </c>
      <c r="I824" s="115" t="str">
        <f>IFERROR(__xludf.DUMMYFUNCTION("""COMPUTED_VALUE"""),"15")</f>
        <v>15</v>
      </c>
      <c r="J824" s="115" t="str">
        <f>IFERROR(__xludf.DUMMYFUNCTION("""COMPUTED_VALUE"""),"Martin A2025-09-0215")</f>
        <v>Martin A2025-09-0215</v>
      </c>
      <c r="K824" s="115">
        <f>IFERROR(__xludf.DUMMYFUNCTION("""COMPUTED_VALUE"""),38204.0)</f>
        <v>38204</v>
      </c>
    </row>
    <row r="825">
      <c r="A825" s="115" t="str">
        <f>IFERROR(__xludf.DUMMYFUNCTION("""COMPUTED_VALUE"""),"SOUTH")</f>
        <v>SOUTH</v>
      </c>
      <c r="B825" s="115" t="str">
        <f>IFERROR(__xludf.DUMMYFUNCTION("""COMPUTED_VALUE"""),"Martin A")</f>
        <v>Martin A</v>
      </c>
      <c r="C825" s="115" t="str">
        <f>IFERROR(__xludf.DUMMYFUNCTION("""COMPUTED_VALUE"""),"FLIPKART")</f>
        <v>FLIPKART</v>
      </c>
      <c r="D825" s="115">
        <f>IFERROR(__xludf.DUMMYFUNCTION("""COMPUTED_VALUE"""),270264.0)</f>
        <v>270264</v>
      </c>
      <c r="E825" s="115">
        <f>IFERROR(__xludf.DUMMYFUNCTION("""COMPUTED_VALUE"""),27897.0)</f>
        <v>27897</v>
      </c>
      <c r="F825" s="115">
        <f>IFERROR(__xludf.DUMMYFUNCTION("""COMPUTED_VALUE"""),145677.0)</f>
        <v>145677</v>
      </c>
      <c r="G825" s="115">
        <f>IFERROR(__xludf.DUMMYFUNCTION("""COMPUTED_VALUE"""),7667.0)</f>
        <v>7667</v>
      </c>
      <c r="H825" s="116">
        <f>IFERROR(__xludf.DUMMYFUNCTION("""COMPUTED_VALUE"""),45902.0)</f>
        <v>45902</v>
      </c>
      <c r="I825" s="115" t="str">
        <f>IFERROR(__xludf.DUMMYFUNCTION("""COMPUTED_VALUE"""),"15")</f>
        <v>15</v>
      </c>
      <c r="J825" s="115" t="str">
        <f>IFERROR(__xludf.DUMMYFUNCTION("""COMPUTED_VALUE"""),"Martin A2025-09-0215")</f>
        <v>Martin A2025-09-0215</v>
      </c>
      <c r="K825" s="115">
        <f>IFERROR(__xludf.DUMMYFUNCTION("""COMPUTED_VALUE"""),298161.0)</f>
        <v>298161</v>
      </c>
    </row>
    <row r="826">
      <c r="A826" s="115" t="str">
        <f>IFERROR(__xludf.DUMMYFUNCTION("""COMPUTED_VALUE"""),"SOUTH")</f>
        <v>SOUTH</v>
      </c>
      <c r="B826" s="115" t="str">
        <f>IFERROR(__xludf.DUMMYFUNCTION("""COMPUTED_VALUE"""),"Martin A")</f>
        <v>Martin A</v>
      </c>
      <c r="C826" s="115" t="str">
        <f>IFERROR(__xludf.DUMMYFUNCTION("""COMPUTED_VALUE"""),"MYNTRA")</f>
        <v>MYNTRA</v>
      </c>
      <c r="D826" s="115">
        <f>IFERROR(__xludf.DUMMYFUNCTION("""COMPUTED_VALUE"""),25476.0)</f>
        <v>25476</v>
      </c>
      <c r="E826" s="115">
        <f>IFERROR(__xludf.DUMMYFUNCTION("""COMPUTED_VALUE"""),6667.0)</f>
        <v>6667</v>
      </c>
      <c r="F826" s="115">
        <f>IFERROR(__xludf.DUMMYFUNCTION("""COMPUTED_VALUE"""),16184.0)</f>
        <v>16184</v>
      </c>
      <c r="G826" s="115">
        <f>IFERROR(__xludf.DUMMYFUNCTION("""COMPUTED_VALUE"""),1999.0)</f>
        <v>1999</v>
      </c>
      <c r="H826" s="116">
        <f>IFERROR(__xludf.DUMMYFUNCTION("""COMPUTED_VALUE"""),45902.0)</f>
        <v>45902</v>
      </c>
      <c r="I826" s="115" t="str">
        <f>IFERROR(__xludf.DUMMYFUNCTION("""COMPUTED_VALUE"""),"15")</f>
        <v>15</v>
      </c>
      <c r="J826" s="115" t="str">
        <f>IFERROR(__xludf.DUMMYFUNCTION("""COMPUTED_VALUE"""),"Martin A2025-09-0215")</f>
        <v>Martin A2025-09-0215</v>
      </c>
      <c r="K826" s="115">
        <f>IFERROR(__xludf.DUMMYFUNCTION("""COMPUTED_VALUE"""),32143.0)</f>
        <v>32143</v>
      </c>
    </row>
    <row r="827">
      <c r="A827" s="115" t="str">
        <f>IFERROR(__xludf.DUMMYFUNCTION("""COMPUTED_VALUE"""),"SOUTH")</f>
        <v>SOUTH</v>
      </c>
      <c r="B827" s="115" t="str">
        <f>IFERROR(__xludf.DUMMYFUNCTION("""COMPUTED_VALUE"""),"Premkumar M")</f>
        <v>Premkumar M</v>
      </c>
      <c r="C827" s="115" t="str">
        <f>IFERROR(__xludf.DUMMYFUNCTION("""COMPUTED_VALUE"""),"EXTERNAL")</f>
        <v>EXTERNAL</v>
      </c>
      <c r="D827" s="115">
        <f>IFERROR(__xludf.DUMMYFUNCTION("""COMPUTED_VALUE"""),30331.0)</f>
        <v>30331</v>
      </c>
      <c r="E827" s="115">
        <f>IFERROR(__xludf.DUMMYFUNCTION("""COMPUTED_VALUE"""),2155.0)</f>
        <v>2155</v>
      </c>
      <c r="F827" s="115">
        <f>IFERROR(__xludf.DUMMYFUNCTION("""COMPUTED_VALUE"""),8925.0)</f>
        <v>8925</v>
      </c>
      <c r="G827" s="115">
        <f>IFERROR(__xludf.DUMMYFUNCTION("""COMPUTED_VALUE"""),136.0)</f>
        <v>136</v>
      </c>
      <c r="H827" s="116">
        <f>IFERROR(__xludf.DUMMYFUNCTION("""COMPUTED_VALUE"""),45902.0)</f>
        <v>45902</v>
      </c>
      <c r="I827" s="115" t="str">
        <f>IFERROR(__xludf.DUMMYFUNCTION("""COMPUTED_VALUE"""),"15")</f>
        <v>15</v>
      </c>
      <c r="J827" s="115" t="str">
        <f>IFERROR(__xludf.DUMMYFUNCTION("""COMPUTED_VALUE"""),"Premkumar M2025-09-0215")</f>
        <v>Premkumar M2025-09-0215</v>
      </c>
      <c r="K827" s="115">
        <f>IFERROR(__xludf.DUMMYFUNCTION("""COMPUTED_VALUE"""),32486.0)</f>
        <v>32486</v>
      </c>
    </row>
    <row r="828">
      <c r="A828" s="115" t="str">
        <f>IFERROR(__xludf.DUMMYFUNCTION("""COMPUTED_VALUE"""),"SOUTH")</f>
        <v>SOUTH</v>
      </c>
      <c r="B828" s="115" t="str">
        <f>IFERROR(__xludf.DUMMYFUNCTION("""COMPUTED_VALUE"""),"Premkumar M")</f>
        <v>Premkumar M</v>
      </c>
      <c r="C828" s="115" t="str">
        <f>IFERROR(__xludf.DUMMYFUNCTION("""COMPUTED_VALUE"""),"FLIPKART")</f>
        <v>FLIPKART</v>
      </c>
      <c r="D828" s="115">
        <f>IFERROR(__xludf.DUMMYFUNCTION("""COMPUTED_VALUE"""),271849.0)</f>
        <v>271849</v>
      </c>
      <c r="E828" s="115">
        <f>IFERROR(__xludf.DUMMYFUNCTION("""COMPUTED_VALUE"""),19783.0)</f>
        <v>19783</v>
      </c>
      <c r="F828" s="115">
        <f>IFERROR(__xludf.DUMMYFUNCTION("""COMPUTED_VALUE"""),126946.0)</f>
        <v>126946</v>
      </c>
      <c r="G828" s="115">
        <f>IFERROR(__xludf.DUMMYFUNCTION("""COMPUTED_VALUE"""),2270.0)</f>
        <v>2270</v>
      </c>
      <c r="H828" s="116">
        <f>IFERROR(__xludf.DUMMYFUNCTION("""COMPUTED_VALUE"""),45902.0)</f>
        <v>45902</v>
      </c>
      <c r="I828" s="115" t="str">
        <f>IFERROR(__xludf.DUMMYFUNCTION("""COMPUTED_VALUE"""),"15")</f>
        <v>15</v>
      </c>
      <c r="J828" s="115" t="str">
        <f>IFERROR(__xludf.DUMMYFUNCTION("""COMPUTED_VALUE"""),"Premkumar M2025-09-0215")</f>
        <v>Premkumar M2025-09-0215</v>
      </c>
      <c r="K828" s="115">
        <f>IFERROR(__xludf.DUMMYFUNCTION("""COMPUTED_VALUE"""),291632.0)</f>
        <v>291632</v>
      </c>
    </row>
    <row r="829">
      <c r="A829" s="115" t="str">
        <f>IFERROR(__xludf.DUMMYFUNCTION("""COMPUTED_VALUE"""),"SOUTH")</f>
        <v>SOUTH</v>
      </c>
      <c r="B829" s="115" t="str">
        <f>IFERROR(__xludf.DUMMYFUNCTION("""COMPUTED_VALUE"""),"Premkumar M")</f>
        <v>Premkumar M</v>
      </c>
      <c r="C829" s="115" t="str">
        <f>IFERROR(__xludf.DUMMYFUNCTION("""COMPUTED_VALUE"""),"MYNTRA")</f>
        <v>MYNTRA</v>
      </c>
      <c r="D829" s="115">
        <f>IFERROR(__xludf.DUMMYFUNCTION("""COMPUTED_VALUE"""),15309.0)</f>
        <v>15309</v>
      </c>
      <c r="E829" s="115">
        <f>IFERROR(__xludf.DUMMYFUNCTION("""COMPUTED_VALUE"""),3026.0)</f>
        <v>3026</v>
      </c>
      <c r="F829" s="115">
        <f>IFERROR(__xludf.DUMMYFUNCTION("""COMPUTED_VALUE"""),8332.0)</f>
        <v>8332</v>
      </c>
      <c r="G829" s="115">
        <f>IFERROR(__xludf.DUMMYFUNCTION("""COMPUTED_VALUE"""),415.0)</f>
        <v>415</v>
      </c>
      <c r="H829" s="116">
        <f>IFERROR(__xludf.DUMMYFUNCTION("""COMPUTED_VALUE"""),45902.0)</f>
        <v>45902</v>
      </c>
      <c r="I829" s="115" t="str">
        <f>IFERROR(__xludf.DUMMYFUNCTION("""COMPUTED_VALUE"""),"15")</f>
        <v>15</v>
      </c>
      <c r="J829" s="115" t="str">
        <f>IFERROR(__xludf.DUMMYFUNCTION("""COMPUTED_VALUE"""),"Premkumar M2025-09-0215")</f>
        <v>Premkumar M2025-09-0215</v>
      </c>
      <c r="K829" s="115">
        <f>IFERROR(__xludf.DUMMYFUNCTION("""COMPUTED_VALUE"""),18335.0)</f>
        <v>18335</v>
      </c>
    </row>
    <row r="830">
      <c r="A830" s="115" t="str">
        <f>IFERROR(__xludf.DUMMYFUNCTION("""COMPUTED_VALUE"""),"SOUTH")</f>
        <v>SOUTH</v>
      </c>
      <c r="B830" s="115" t="str">
        <f>IFERROR(__xludf.DUMMYFUNCTION("""COMPUTED_VALUE"""),"Vineeth V")</f>
        <v>Vineeth V</v>
      </c>
      <c r="C830" s="115" t="str">
        <f>IFERROR(__xludf.DUMMYFUNCTION("""COMPUTED_VALUE"""),"EXTERNAL")</f>
        <v>EXTERNAL</v>
      </c>
      <c r="D830" s="115">
        <f>IFERROR(__xludf.DUMMYFUNCTION("""COMPUTED_VALUE"""),21685.0)</f>
        <v>21685</v>
      </c>
      <c r="E830" s="115">
        <f>IFERROR(__xludf.DUMMYFUNCTION("""COMPUTED_VALUE"""),597.0)</f>
        <v>597</v>
      </c>
      <c r="F830" s="115">
        <f>IFERROR(__xludf.DUMMYFUNCTION("""COMPUTED_VALUE"""),6931.0)</f>
        <v>6931</v>
      </c>
      <c r="G830" s="115">
        <f>IFERROR(__xludf.DUMMYFUNCTION("""COMPUTED_VALUE"""),55.0)</f>
        <v>55</v>
      </c>
      <c r="H830" s="116">
        <f>IFERROR(__xludf.DUMMYFUNCTION("""COMPUTED_VALUE"""),45902.0)</f>
        <v>45902</v>
      </c>
      <c r="I830" s="115" t="str">
        <f>IFERROR(__xludf.DUMMYFUNCTION("""COMPUTED_VALUE"""),"15")</f>
        <v>15</v>
      </c>
      <c r="J830" s="115" t="str">
        <f>IFERROR(__xludf.DUMMYFUNCTION("""COMPUTED_VALUE"""),"Vineeth V2025-09-0215")</f>
        <v>Vineeth V2025-09-0215</v>
      </c>
      <c r="K830" s="115">
        <f>IFERROR(__xludf.DUMMYFUNCTION("""COMPUTED_VALUE"""),22282.0)</f>
        <v>22282</v>
      </c>
    </row>
    <row r="831">
      <c r="A831" s="115" t="str">
        <f>IFERROR(__xludf.DUMMYFUNCTION("""COMPUTED_VALUE"""),"SOUTH")</f>
        <v>SOUTH</v>
      </c>
      <c r="B831" s="115" t="str">
        <f>IFERROR(__xludf.DUMMYFUNCTION("""COMPUTED_VALUE"""),"Vineeth V")</f>
        <v>Vineeth V</v>
      </c>
      <c r="C831" s="115" t="str">
        <f>IFERROR(__xludf.DUMMYFUNCTION("""COMPUTED_VALUE"""),"FLIPKART")</f>
        <v>FLIPKART</v>
      </c>
      <c r="D831" s="115">
        <f>IFERROR(__xludf.DUMMYFUNCTION("""COMPUTED_VALUE"""),241391.0)</f>
        <v>241391</v>
      </c>
      <c r="E831" s="115">
        <f>IFERROR(__xludf.DUMMYFUNCTION("""COMPUTED_VALUE"""),18023.0)</f>
        <v>18023</v>
      </c>
      <c r="F831" s="115">
        <f>IFERROR(__xludf.DUMMYFUNCTION("""COMPUTED_VALUE"""),117825.0)</f>
        <v>117825</v>
      </c>
      <c r="G831" s="115">
        <f>IFERROR(__xludf.DUMMYFUNCTION("""COMPUTED_VALUE"""),2046.0)</f>
        <v>2046</v>
      </c>
      <c r="H831" s="116">
        <f>IFERROR(__xludf.DUMMYFUNCTION("""COMPUTED_VALUE"""),45902.0)</f>
        <v>45902</v>
      </c>
      <c r="I831" s="115" t="str">
        <f>IFERROR(__xludf.DUMMYFUNCTION("""COMPUTED_VALUE"""),"15")</f>
        <v>15</v>
      </c>
      <c r="J831" s="115" t="str">
        <f>IFERROR(__xludf.DUMMYFUNCTION("""COMPUTED_VALUE"""),"Vineeth V2025-09-0215")</f>
        <v>Vineeth V2025-09-0215</v>
      </c>
      <c r="K831" s="115">
        <f>IFERROR(__xludf.DUMMYFUNCTION("""COMPUTED_VALUE"""),259414.0)</f>
        <v>259414</v>
      </c>
    </row>
    <row r="832">
      <c r="A832" s="115" t="str">
        <f>IFERROR(__xludf.DUMMYFUNCTION("""COMPUTED_VALUE"""),"SOUTH")</f>
        <v>SOUTH</v>
      </c>
      <c r="B832" s="115" t="str">
        <f>IFERROR(__xludf.DUMMYFUNCTION("""COMPUTED_VALUE"""),"Vineeth V")</f>
        <v>Vineeth V</v>
      </c>
      <c r="C832" s="115" t="str">
        <f>IFERROR(__xludf.DUMMYFUNCTION("""COMPUTED_VALUE"""),"MYNTRA")</f>
        <v>MYNTRA</v>
      </c>
      <c r="D832" s="115">
        <f>IFERROR(__xludf.DUMMYFUNCTION("""COMPUTED_VALUE"""),21726.0)</f>
        <v>21726</v>
      </c>
      <c r="E832" s="115">
        <f>IFERROR(__xludf.DUMMYFUNCTION("""COMPUTED_VALUE"""),4168.0)</f>
        <v>4168</v>
      </c>
      <c r="F832" s="115">
        <f>IFERROR(__xludf.DUMMYFUNCTION("""COMPUTED_VALUE"""),11706.0)</f>
        <v>11706</v>
      </c>
      <c r="G832" s="115">
        <f>IFERROR(__xludf.DUMMYFUNCTION("""COMPUTED_VALUE"""),481.0)</f>
        <v>481</v>
      </c>
      <c r="H832" s="116">
        <f>IFERROR(__xludf.DUMMYFUNCTION("""COMPUTED_VALUE"""),45902.0)</f>
        <v>45902</v>
      </c>
      <c r="I832" s="115" t="str">
        <f>IFERROR(__xludf.DUMMYFUNCTION("""COMPUTED_VALUE"""),"15")</f>
        <v>15</v>
      </c>
      <c r="J832" s="115" t="str">
        <f>IFERROR(__xludf.DUMMYFUNCTION("""COMPUTED_VALUE"""),"Vineeth V2025-09-0215")</f>
        <v>Vineeth V2025-09-0215</v>
      </c>
      <c r="K832" s="115">
        <f>IFERROR(__xludf.DUMMYFUNCTION("""COMPUTED_VALUE"""),25894.0)</f>
        <v>25894</v>
      </c>
    </row>
    <row r="833">
      <c r="A833" s="115" t="str">
        <f>IFERROR(__xludf.DUMMYFUNCTION("""COMPUTED_VALUE"""),"WEST")</f>
        <v>WEST</v>
      </c>
      <c r="B833" s="115" t="str">
        <f>IFERROR(__xludf.DUMMYFUNCTION("""COMPUTED_VALUE"""),"Ashish Jakar")</f>
        <v>Ashish Jakar</v>
      </c>
      <c r="C833" s="115" t="str">
        <f>IFERROR(__xludf.DUMMYFUNCTION("""COMPUTED_VALUE"""),"EXTERNAL")</f>
        <v>EXTERNAL</v>
      </c>
      <c r="D833" s="115">
        <f>IFERROR(__xludf.DUMMYFUNCTION("""COMPUTED_VALUE"""),56254.0)</f>
        <v>56254</v>
      </c>
      <c r="E833" s="115">
        <f>IFERROR(__xludf.DUMMYFUNCTION("""COMPUTED_VALUE"""),5995.0)</f>
        <v>5995</v>
      </c>
      <c r="F833" s="115">
        <f>IFERROR(__xludf.DUMMYFUNCTION("""COMPUTED_VALUE"""),15949.0)</f>
        <v>15949</v>
      </c>
      <c r="G833" s="115">
        <f>IFERROR(__xludf.DUMMYFUNCTION("""COMPUTED_VALUE"""),1071.0)</f>
        <v>1071</v>
      </c>
      <c r="H833" s="116">
        <f>IFERROR(__xludf.DUMMYFUNCTION("""COMPUTED_VALUE"""),45902.0)</f>
        <v>45902</v>
      </c>
      <c r="I833" s="115" t="str">
        <f>IFERROR(__xludf.DUMMYFUNCTION("""COMPUTED_VALUE"""),"15")</f>
        <v>15</v>
      </c>
      <c r="J833" s="115" t="str">
        <f>IFERROR(__xludf.DUMMYFUNCTION("""COMPUTED_VALUE"""),"Ashish Jakar2025-09-0215")</f>
        <v>Ashish Jakar2025-09-0215</v>
      </c>
      <c r="K833" s="115">
        <f>IFERROR(__xludf.DUMMYFUNCTION("""COMPUTED_VALUE"""),62249.0)</f>
        <v>62249</v>
      </c>
    </row>
    <row r="834">
      <c r="A834" s="115" t="str">
        <f>IFERROR(__xludf.DUMMYFUNCTION("""COMPUTED_VALUE"""),"WEST")</f>
        <v>WEST</v>
      </c>
      <c r="B834" s="115" t="str">
        <f>IFERROR(__xludf.DUMMYFUNCTION("""COMPUTED_VALUE"""),"Ashish Jakar")</f>
        <v>Ashish Jakar</v>
      </c>
      <c r="C834" s="115" t="str">
        <f>IFERROR(__xludf.DUMMYFUNCTION("""COMPUTED_VALUE"""),"FLIPKART")</f>
        <v>FLIPKART</v>
      </c>
      <c r="D834" s="115">
        <f>IFERROR(__xludf.DUMMYFUNCTION("""COMPUTED_VALUE"""),306898.0)</f>
        <v>306898</v>
      </c>
      <c r="E834" s="115">
        <f>IFERROR(__xludf.DUMMYFUNCTION("""COMPUTED_VALUE"""),32074.0)</f>
        <v>32074</v>
      </c>
      <c r="F834" s="115">
        <f>IFERROR(__xludf.DUMMYFUNCTION("""COMPUTED_VALUE"""),158279.0)</f>
        <v>158279</v>
      </c>
      <c r="G834" s="115">
        <f>IFERROR(__xludf.DUMMYFUNCTION("""COMPUTED_VALUE"""),8670.0)</f>
        <v>8670</v>
      </c>
      <c r="H834" s="116">
        <f>IFERROR(__xludf.DUMMYFUNCTION("""COMPUTED_VALUE"""),45902.0)</f>
        <v>45902</v>
      </c>
      <c r="I834" s="115" t="str">
        <f>IFERROR(__xludf.DUMMYFUNCTION("""COMPUTED_VALUE"""),"15")</f>
        <v>15</v>
      </c>
      <c r="J834" s="115" t="str">
        <f>IFERROR(__xludf.DUMMYFUNCTION("""COMPUTED_VALUE"""),"Ashish Jakar2025-09-0215")</f>
        <v>Ashish Jakar2025-09-0215</v>
      </c>
      <c r="K834" s="115">
        <f>IFERROR(__xludf.DUMMYFUNCTION("""COMPUTED_VALUE"""),338972.0)</f>
        <v>338972</v>
      </c>
    </row>
    <row r="835">
      <c r="A835" s="115" t="str">
        <f>IFERROR(__xludf.DUMMYFUNCTION("""COMPUTED_VALUE"""),"WEST")</f>
        <v>WEST</v>
      </c>
      <c r="B835" s="115" t="str">
        <f>IFERROR(__xludf.DUMMYFUNCTION("""COMPUTED_VALUE"""),"Ashish Jakar")</f>
        <v>Ashish Jakar</v>
      </c>
      <c r="C835" s="115" t="str">
        <f>IFERROR(__xludf.DUMMYFUNCTION("""COMPUTED_VALUE"""),"MYNTRA")</f>
        <v>MYNTRA</v>
      </c>
      <c r="D835" s="115">
        <f>IFERROR(__xludf.DUMMYFUNCTION("""COMPUTED_VALUE"""),36866.0)</f>
        <v>36866</v>
      </c>
      <c r="E835" s="115">
        <f>IFERROR(__xludf.DUMMYFUNCTION("""COMPUTED_VALUE"""),10691.0)</f>
        <v>10691</v>
      </c>
      <c r="F835" s="115">
        <f>IFERROR(__xludf.DUMMYFUNCTION("""COMPUTED_VALUE"""),22423.0)</f>
        <v>22423</v>
      </c>
      <c r="G835" s="115">
        <f>IFERROR(__xludf.DUMMYFUNCTION("""COMPUTED_VALUE"""),3208.0)</f>
        <v>3208</v>
      </c>
      <c r="H835" s="116">
        <f>IFERROR(__xludf.DUMMYFUNCTION("""COMPUTED_VALUE"""),45902.0)</f>
        <v>45902</v>
      </c>
      <c r="I835" s="115" t="str">
        <f>IFERROR(__xludf.DUMMYFUNCTION("""COMPUTED_VALUE"""),"15")</f>
        <v>15</v>
      </c>
      <c r="J835" s="115" t="str">
        <f>IFERROR(__xludf.DUMMYFUNCTION("""COMPUTED_VALUE"""),"Ashish Jakar2025-09-0215")</f>
        <v>Ashish Jakar2025-09-0215</v>
      </c>
      <c r="K835" s="115">
        <f>IFERROR(__xludf.DUMMYFUNCTION("""COMPUTED_VALUE"""),47557.0)</f>
        <v>47557</v>
      </c>
    </row>
    <row r="836">
      <c r="A836" s="115" t="str">
        <f>IFERROR(__xludf.DUMMYFUNCTION("""COMPUTED_VALUE"""),"WEST")</f>
        <v>WEST</v>
      </c>
      <c r="B836" s="115" t="str">
        <f>IFERROR(__xludf.DUMMYFUNCTION("""COMPUTED_VALUE"""),"Ashvani Bhatt")</f>
        <v>Ashvani Bhatt</v>
      </c>
      <c r="C836" s="115" t="str">
        <f>IFERROR(__xludf.DUMMYFUNCTION("""COMPUTED_VALUE"""),"EXTERNAL")</f>
        <v>EXTERNAL</v>
      </c>
      <c r="D836" s="115">
        <f>IFERROR(__xludf.DUMMYFUNCTION("""COMPUTED_VALUE"""),36347.0)</f>
        <v>36347</v>
      </c>
      <c r="E836" s="115">
        <f>IFERROR(__xludf.DUMMYFUNCTION("""COMPUTED_VALUE"""),3469.0)</f>
        <v>3469</v>
      </c>
      <c r="F836" s="115">
        <f>IFERROR(__xludf.DUMMYFUNCTION("""COMPUTED_VALUE"""),11237.0)</f>
        <v>11237</v>
      </c>
      <c r="G836" s="115">
        <f>IFERROR(__xludf.DUMMYFUNCTION("""COMPUTED_VALUE"""),478.0)</f>
        <v>478</v>
      </c>
      <c r="H836" s="116">
        <f>IFERROR(__xludf.DUMMYFUNCTION("""COMPUTED_VALUE"""),45902.0)</f>
        <v>45902</v>
      </c>
      <c r="I836" s="115" t="str">
        <f>IFERROR(__xludf.DUMMYFUNCTION("""COMPUTED_VALUE"""),"15")</f>
        <v>15</v>
      </c>
      <c r="J836" s="115" t="str">
        <f>IFERROR(__xludf.DUMMYFUNCTION("""COMPUTED_VALUE"""),"Ashvani Bhatt2025-09-0215")</f>
        <v>Ashvani Bhatt2025-09-0215</v>
      </c>
      <c r="K836" s="115">
        <f>IFERROR(__xludf.DUMMYFUNCTION("""COMPUTED_VALUE"""),39816.0)</f>
        <v>39816</v>
      </c>
    </row>
    <row r="837">
      <c r="A837" s="115" t="str">
        <f>IFERROR(__xludf.DUMMYFUNCTION("""COMPUTED_VALUE"""),"WEST")</f>
        <v>WEST</v>
      </c>
      <c r="B837" s="115" t="str">
        <f>IFERROR(__xludf.DUMMYFUNCTION("""COMPUTED_VALUE"""),"Ashvani Bhatt")</f>
        <v>Ashvani Bhatt</v>
      </c>
      <c r="C837" s="115" t="str">
        <f>IFERROR(__xludf.DUMMYFUNCTION("""COMPUTED_VALUE"""),"FLIPKART")</f>
        <v>FLIPKART</v>
      </c>
      <c r="D837" s="115">
        <f>IFERROR(__xludf.DUMMYFUNCTION("""COMPUTED_VALUE"""),259936.0)</f>
        <v>259936</v>
      </c>
      <c r="E837" s="115">
        <f>IFERROR(__xludf.DUMMYFUNCTION("""COMPUTED_VALUE"""),28271.0)</f>
        <v>28271</v>
      </c>
      <c r="F837" s="115">
        <f>IFERROR(__xludf.DUMMYFUNCTION("""COMPUTED_VALUE"""),150180.0)</f>
        <v>150180</v>
      </c>
      <c r="G837" s="115">
        <f>IFERROR(__xludf.DUMMYFUNCTION("""COMPUTED_VALUE"""),8160.0)</f>
        <v>8160</v>
      </c>
      <c r="H837" s="116">
        <f>IFERROR(__xludf.DUMMYFUNCTION("""COMPUTED_VALUE"""),45902.0)</f>
        <v>45902</v>
      </c>
      <c r="I837" s="115" t="str">
        <f>IFERROR(__xludf.DUMMYFUNCTION("""COMPUTED_VALUE"""),"15")</f>
        <v>15</v>
      </c>
      <c r="J837" s="115" t="str">
        <f>IFERROR(__xludf.DUMMYFUNCTION("""COMPUTED_VALUE"""),"Ashvani Bhatt2025-09-0215")</f>
        <v>Ashvani Bhatt2025-09-0215</v>
      </c>
      <c r="K837" s="115">
        <f>IFERROR(__xludf.DUMMYFUNCTION("""COMPUTED_VALUE"""),288207.0)</f>
        <v>288207</v>
      </c>
    </row>
    <row r="838">
      <c r="A838" s="115" t="str">
        <f>IFERROR(__xludf.DUMMYFUNCTION("""COMPUTED_VALUE"""),"WEST")</f>
        <v>WEST</v>
      </c>
      <c r="B838" s="115" t="str">
        <f>IFERROR(__xludf.DUMMYFUNCTION("""COMPUTED_VALUE"""),"Ashvani Bhatt")</f>
        <v>Ashvani Bhatt</v>
      </c>
      <c r="C838" s="115" t="str">
        <f>IFERROR(__xludf.DUMMYFUNCTION("""COMPUTED_VALUE"""),"MYNTRA")</f>
        <v>MYNTRA</v>
      </c>
      <c r="D838" s="115">
        <f>IFERROR(__xludf.DUMMYFUNCTION("""COMPUTED_VALUE"""),30629.0)</f>
        <v>30629</v>
      </c>
      <c r="E838" s="115">
        <f>IFERROR(__xludf.DUMMYFUNCTION("""COMPUTED_VALUE"""),8586.0)</f>
        <v>8586</v>
      </c>
      <c r="F838" s="115">
        <f>IFERROR(__xludf.DUMMYFUNCTION("""COMPUTED_VALUE"""),20870.0)</f>
        <v>20870</v>
      </c>
      <c r="G838" s="115">
        <f>IFERROR(__xludf.DUMMYFUNCTION("""COMPUTED_VALUE"""),3147.0)</f>
        <v>3147</v>
      </c>
      <c r="H838" s="116">
        <f>IFERROR(__xludf.DUMMYFUNCTION("""COMPUTED_VALUE"""),45902.0)</f>
        <v>45902</v>
      </c>
      <c r="I838" s="115" t="str">
        <f>IFERROR(__xludf.DUMMYFUNCTION("""COMPUTED_VALUE"""),"15")</f>
        <v>15</v>
      </c>
      <c r="J838" s="115" t="str">
        <f>IFERROR(__xludf.DUMMYFUNCTION("""COMPUTED_VALUE"""),"Ashvani Bhatt2025-09-0215")</f>
        <v>Ashvani Bhatt2025-09-0215</v>
      </c>
      <c r="K838" s="115">
        <f>IFERROR(__xludf.DUMMYFUNCTION("""COMPUTED_VALUE"""),39215.0)</f>
        <v>39215</v>
      </c>
    </row>
    <row r="839">
      <c r="A839" s="115"/>
      <c r="B839" s="115"/>
      <c r="C839" s="115" t="str">
        <f>IFERROR(__xludf.DUMMYFUNCTION("""COMPUTED_VALUE"""),"EXTERNAL")</f>
        <v>EXTERNAL</v>
      </c>
      <c r="D839" s="115">
        <f>IFERROR(__xludf.DUMMYFUNCTION("""COMPUTED_VALUE"""),845.0)</f>
        <v>845</v>
      </c>
      <c r="E839" s="115">
        <f>IFERROR(__xludf.DUMMYFUNCTION("""COMPUTED_VALUE"""),62.0)</f>
        <v>62</v>
      </c>
      <c r="F839" s="115">
        <f>IFERROR(__xludf.DUMMYFUNCTION("""COMPUTED_VALUE"""),145.0)</f>
        <v>145</v>
      </c>
      <c r="G839" s="115">
        <f>IFERROR(__xludf.DUMMYFUNCTION("""COMPUTED_VALUE"""),4.0)</f>
        <v>4</v>
      </c>
      <c r="H839" s="116">
        <f>IFERROR(__xludf.DUMMYFUNCTION("""COMPUTED_VALUE"""),45902.0)</f>
        <v>45902</v>
      </c>
      <c r="I839" s="115" t="str">
        <f>IFERROR(__xludf.DUMMYFUNCTION("""COMPUTED_VALUE"""),"15")</f>
        <v>15</v>
      </c>
      <c r="J839" s="115" t="str">
        <f>IFERROR(__xludf.DUMMYFUNCTION("""COMPUTED_VALUE"""),"2025-09-0215")</f>
        <v>2025-09-0215</v>
      </c>
      <c r="K839" s="115">
        <f>IFERROR(__xludf.DUMMYFUNCTION("""COMPUTED_VALUE"""),907.0)</f>
        <v>907</v>
      </c>
    </row>
    <row r="840">
      <c r="A840" s="115"/>
      <c r="B840" s="115"/>
      <c r="C840" s="115" t="str">
        <f>IFERROR(__xludf.DUMMYFUNCTION("""COMPUTED_VALUE"""),"FLIPKART")</f>
        <v>FLIPKART</v>
      </c>
      <c r="D840" s="115">
        <f>IFERROR(__xludf.DUMMYFUNCTION("""COMPUTED_VALUE"""),8518.0)</f>
        <v>8518</v>
      </c>
      <c r="E840" s="115">
        <f>IFERROR(__xludf.DUMMYFUNCTION("""COMPUTED_VALUE"""),673.0)</f>
        <v>673</v>
      </c>
      <c r="F840" s="115">
        <f>IFERROR(__xludf.DUMMYFUNCTION("""COMPUTED_VALUE"""),3209.0)</f>
        <v>3209</v>
      </c>
      <c r="G840" s="115">
        <f>IFERROR(__xludf.DUMMYFUNCTION("""COMPUTED_VALUE"""),165.0)</f>
        <v>165</v>
      </c>
      <c r="H840" s="116">
        <f>IFERROR(__xludf.DUMMYFUNCTION("""COMPUTED_VALUE"""),45902.0)</f>
        <v>45902</v>
      </c>
      <c r="I840" s="115" t="str">
        <f>IFERROR(__xludf.DUMMYFUNCTION("""COMPUTED_VALUE"""),"15")</f>
        <v>15</v>
      </c>
      <c r="J840" s="115" t="str">
        <f>IFERROR(__xludf.DUMMYFUNCTION("""COMPUTED_VALUE"""),"2025-09-0215")</f>
        <v>2025-09-0215</v>
      </c>
      <c r="K840" s="115">
        <f>IFERROR(__xludf.DUMMYFUNCTION("""COMPUTED_VALUE"""),9191.0)</f>
        <v>9191</v>
      </c>
    </row>
    <row r="841">
      <c r="A841" s="115"/>
      <c r="B841" s="115"/>
      <c r="C841" s="115" t="str">
        <f>IFERROR(__xludf.DUMMYFUNCTION("""COMPUTED_VALUE"""),"MYNTRA")</f>
        <v>MYNTRA</v>
      </c>
      <c r="D841" s="115">
        <f>IFERROR(__xludf.DUMMYFUNCTION("""COMPUTED_VALUE"""),882.0)</f>
        <v>882</v>
      </c>
      <c r="E841" s="115">
        <f>IFERROR(__xludf.DUMMYFUNCTION("""COMPUTED_VALUE"""),173.0)</f>
        <v>173</v>
      </c>
      <c r="F841" s="115">
        <f>IFERROR(__xludf.DUMMYFUNCTION("""COMPUTED_VALUE"""),303.0)</f>
        <v>303</v>
      </c>
      <c r="G841" s="115">
        <f>IFERROR(__xludf.DUMMYFUNCTION("""COMPUTED_VALUE"""),47.0)</f>
        <v>47</v>
      </c>
      <c r="H841" s="116">
        <f>IFERROR(__xludf.DUMMYFUNCTION("""COMPUTED_VALUE"""),45902.0)</f>
        <v>45902</v>
      </c>
      <c r="I841" s="115" t="str">
        <f>IFERROR(__xludf.DUMMYFUNCTION("""COMPUTED_VALUE"""),"15")</f>
        <v>15</v>
      </c>
      <c r="J841" s="115" t="str">
        <f>IFERROR(__xludf.DUMMYFUNCTION("""COMPUTED_VALUE"""),"2025-09-0215")</f>
        <v>2025-09-0215</v>
      </c>
      <c r="K841" s="115">
        <f>IFERROR(__xludf.DUMMYFUNCTION("""COMPUTED_VALUE"""),1055.0)</f>
        <v>1055</v>
      </c>
    </row>
    <row r="842">
      <c r="A842" s="115" t="str">
        <f>IFERROR(__xludf.DUMMYFUNCTION("""COMPUTED_VALUE"""),"EAST")</f>
        <v>EAST</v>
      </c>
      <c r="B842" s="115" t="str">
        <f>IFERROR(__xludf.DUMMYFUNCTION("""COMPUTED_VALUE"""),"Ashish Ranjan")</f>
        <v>Ashish Ranjan</v>
      </c>
      <c r="C842" s="115" t="str">
        <f>IFERROR(__xludf.DUMMYFUNCTION("""COMPUTED_VALUE"""),"EXTERNAL")</f>
        <v>EXTERNAL</v>
      </c>
      <c r="D842" s="115">
        <f>IFERROR(__xludf.DUMMYFUNCTION("""COMPUTED_VALUE"""),38760.0)</f>
        <v>38760</v>
      </c>
      <c r="E842" s="115">
        <f>IFERROR(__xludf.DUMMYFUNCTION("""COMPUTED_VALUE"""),2714.0)</f>
        <v>2714</v>
      </c>
      <c r="F842" s="115">
        <f>IFERROR(__xludf.DUMMYFUNCTION("""COMPUTED_VALUE"""),16397.0)</f>
        <v>16397</v>
      </c>
      <c r="G842" s="115">
        <f>IFERROR(__xludf.DUMMYFUNCTION("""COMPUTED_VALUE"""),751.0)</f>
        <v>751</v>
      </c>
      <c r="H842" s="116">
        <f>IFERROR(__xludf.DUMMYFUNCTION("""COMPUTED_VALUE"""),45902.0)</f>
        <v>45902</v>
      </c>
      <c r="I842" s="115" t="str">
        <f>IFERROR(__xludf.DUMMYFUNCTION("""COMPUTED_VALUE"""),"16")</f>
        <v>16</v>
      </c>
      <c r="J842" s="115" t="str">
        <f>IFERROR(__xludf.DUMMYFUNCTION("""COMPUTED_VALUE"""),"Ashish Ranjan2025-09-0216")</f>
        <v>Ashish Ranjan2025-09-0216</v>
      </c>
      <c r="K842" s="115">
        <f>IFERROR(__xludf.DUMMYFUNCTION("""COMPUTED_VALUE"""),41474.0)</f>
        <v>41474</v>
      </c>
    </row>
    <row r="843">
      <c r="A843" s="115" t="str">
        <f>IFERROR(__xludf.DUMMYFUNCTION("""COMPUTED_VALUE"""),"EAST")</f>
        <v>EAST</v>
      </c>
      <c r="B843" s="115" t="str">
        <f>IFERROR(__xludf.DUMMYFUNCTION("""COMPUTED_VALUE"""),"Ashish Ranjan")</f>
        <v>Ashish Ranjan</v>
      </c>
      <c r="C843" s="115" t="str">
        <f>IFERROR(__xludf.DUMMYFUNCTION("""COMPUTED_VALUE"""),"FLIPKART")</f>
        <v>FLIPKART</v>
      </c>
      <c r="D843" s="115">
        <f>IFERROR(__xludf.DUMMYFUNCTION("""COMPUTED_VALUE"""),567348.0)</f>
        <v>567348</v>
      </c>
      <c r="E843" s="115">
        <f>IFERROR(__xludf.DUMMYFUNCTION("""COMPUTED_VALUE"""),57672.0)</f>
        <v>57672</v>
      </c>
      <c r="F843" s="115">
        <f>IFERROR(__xludf.DUMMYFUNCTION("""COMPUTED_VALUE"""),404690.0)</f>
        <v>404690</v>
      </c>
      <c r="G843" s="115">
        <f>IFERROR(__xludf.DUMMYFUNCTION("""COMPUTED_VALUE"""),24837.0)</f>
        <v>24837</v>
      </c>
      <c r="H843" s="116">
        <f>IFERROR(__xludf.DUMMYFUNCTION("""COMPUTED_VALUE"""),45902.0)</f>
        <v>45902</v>
      </c>
      <c r="I843" s="115" t="str">
        <f>IFERROR(__xludf.DUMMYFUNCTION("""COMPUTED_VALUE"""),"16")</f>
        <v>16</v>
      </c>
      <c r="J843" s="115" t="str">
        <f>IFERROR(__xludf.DUMMYFUNCTION("""COMPUTED_VALUE"""),"Ashish Ranjan2025-09-0216")</f>
        <v>Ashish Ranjan2025-09-0216</v>
      </c>
      <c r="K843" s="115">
        <f>IFERROR(__xludf.DUMMYFUNCTION("""COMPUTED_VALUE"""),625020.0)</f>
        <v>625020</v>
      </c>
    </row>
    <row r="844">
      <c r="A844" s="115" t="str">
        <f>IFERROR(__xludf.DUMMYFUNCTION("""COMPUTED_VALUE"""),"EAST")</f>
        <v>EAST</v>
      </c>
      <c r="B844" s="115" t="str">
        <f>IFERROR(__xludf.DUMMYFUNCTION("""COMPUTED_VALUE"""),"Ashish Ranjan")</f>
        <v>Ashish Ranjan</v>
      </c>
      <c r="C844" s="115" t="str">
        <f>IFERROR(__xludf.DUMMYFUNCTION("""COMPUTED_VALUE"""),"MYNTRA")</f>
        <v>MYNTRA</v>
      </c>
      <c r="D844" s="115">
        <f>IFERROR(__xludf.DUMMYFUNCTION("""COMPUTED_VALUE"""),54095.0)</f>
        <v>54095</v>
      </c>
      <c r="E844" s="115">
        <f>IFERROR(__xludf.DUMMYFUNCTION("""COMPUTED_VALUE"""),11882.0)</f>
        <v>11882</v>
      </c>
      <c r="F844" s="115">
        <f>IFERROR(__xludf.DUMMYFUNCTION("""COMPUTED_VALUE"""),39831.0)</f>
        <v>39831</v>
      </c>
      <c r="G844" s="115">
        <f>IFERROR(__xludf.DUMMYFUNCTION("""COMPUTED_VALUE"""),5362.0)</f>
        <v>5362</v>
      </c>
      <c r="H844" s="116">
        <f>IFERROR(__xludf.DUMMYFUNCTION("""COMPUTED_VALUE"""),45902.0)</f>
        <v>45902</v>
      </c>
      <c r="I844" s="115" t="str">
        <f>IFERROR(__xludf.DUMMYFUNCTION("""COMPUTED_VALUE"""),"16")</f>
        <v>16</v>
      </c>
      <c r="J844" s="115" t="str">
        <f>IFERROR(__xludf.DUMMYFUNCTION("""COMPUTED_VALUE"""),"Ashish Ranjan2025-09-0216")</f>
        <v>Ashish Ranjan2025-09-0216</v>
      </c>
      <c r="K844" s="115">
        <f>IFERROR(__xludf.DUMMYFUNCTION("""COMPUTED_VALUE"""),65977.0)</f>
        <v>65977</v>
      </c>
    </row>
    <row r="845">
      <c r="A845" s="115" t="str">
        <f>IFERROR(__xludf.DUMMYFUNCTION("""COMPUTED_VALUE"""),"EAST")</f>
        <v>EAST</v>
      </c>
      <c r="B845" s="115" t="str">
        <f>IFERROR(__xludf.DUMMYFUNCTION("""COMPUTED_VALUE"""),"Girish Chand")</f>
        <v>Girish Chand</v>
      </c>
      <c r="C845" s="115" t="str">
        <f>IFERROR(__xludf.DUMMYFUNCTION("""COMPUTED_VALUE"""),"EXTERNAL")</f>
        <v>EXTERNAL</v>
      </c>
      <c r="D845" s="115">
        <f>IFERROR(__xludf.DUMMYFUNCTION("""COMPUTED_VALUE"""),22951.0)</f>
        <v>22951</v>
      </c>
      <c r="E845" s="115">
        <f>IFERROR(__xludf.DUMMYFUNCTION("""COMPUTED_VALUE"""),2338.0)</f>
        <v>2338</v>
      </c>
      <c r="F845" s="115">
        <f>IFERROR(__xludf.DUMMYFUNCTION("""COMPUTED_VALUE"""),7618.0)</f>
        <v>7618</v>
      </c>
      <c r="G845" s="115">
        <f>IFERROR(__xludf.DUMMYFUNCTION("""COMPUTED_VALUE"""),303.0)</f>
        <v>303</v>
      </c>
      <c r="H845" s="116">
        <f>IFERROR(__xludf.DUMMYFUNCTION("""COMPUTED_VALUE"""),45902.0)</f>
        <v>45902</v>
      </c>
      <c r="I845" s="115" t="str">
        <f>IFERROR(__xludf.DUMMYFUNCTION("""COMPUTED_VALUE"""),"16")</f>
        <v>16</v>
      </c>
      <c r="J845" s="115" t="str">
        <f>IFERROR(__xludf.DUMMYFUNCTION("""COMPUTED_VALUE"""),"Girish Chand2025-09-0216")</f>
        <v>Girish Chand2025-09-0216</v>
      </c>
      <c r="K845" s="115">
        <f>IFERROR(__xludf.DUMMYFUNCTION("""COMPUTED_VALUE"""),25289.0)</f>
        <v>25289</v>
      </c>
    </row>
    <row r="846">
      <c r="A846" s="115" t="str">
        <f>IFERROR(__xludf.DUMMYFUNCTION("""COMPUTED_VALUE"""),"EAST")</f>
        <v>EAST</v>
      </c>
      <c r="B846" s="115" t="str">
        <f>IFERROR(__xludf.DUMMYFUNCTION("""COMPUTED_VALUE"""),"Girish Chand")</f>
        <v>Girish Chand</v>
      </c>
      <c r="C846" s="115" t="str">
        <f>IFERROR(__xludf.DUMMYFUNCTION("""COMPUTED_VALUE"""),"FLIPKART")</f>
        <v>FLIPKART</v>
      </c>
      <c r="D846" s="115">
        <f>IFERROR(__xludf.DUMMYFUNCTION("""COMPUTED_VALUE"""),390618.0)</f>
        <v>390618</v>
      </c>
      <c r="E846" s="115">
        <f>IFERROR(__xludf.DUMMYFUNCTION("""COMPUTED_VALUE"""),38220.0)</f>
        <v>38220</v>
      </c>
      <c r="F846" s="115">
        <f>IFERROR(__xludf.DUMMYFUNCTION("""COMPUTED_VALUE"""),242601.0)</f>
        <v>242601</v>
      </c>
      <c r="G846" s="115">
        <f>IFERROR(__xludf.DUMMYFUNCTION("""COMPUTED_VALUE"""),12189.0)</f>
        <v>12189</v>
      </c>
      <c r="H846" s="116">
        <f>IFERROR(__xludf.DUMMYFUNCTION("""COMPUTED_VALUE"""),45902.0)</f>
        <v>45902</v>
      </c>
      <c r="I846" s="115" t="str">
        <f>IFERROR(__xludf.DUMMYFUNCTION("""COMPUTED_VALUE"""),"16")</f>
        <v>16</v>
      </c>
      <c r="J846" s="115" t="str">
        <f>IFERROR(__xludf.DUMMYFUNCTION("""COMPUTED_VALUE"""),"Girish Chand2025-09-0216")</f>
        <v>Girish Chand2025-09-0216</v>
      </c>
      <c r="K846" s="115">
        <f>IFERROR(__xludf.DUMMYFUNCTION("""COMPUTED_VALUE"""),428838.0)</f>
        <v>428838</v>
      </c>
    </row>
    <row r="847">
      <c r="A847" s="115" t="str">
        <f>IFERROR(__xludf.DUMMYFUNCTION("""COMPUTED_VALUE"""),"EAST")</f>
        <v>EAST</v>
      </c>
      <c r="B847" s="115" t="str">
        <f>IFERROR(__xludf.DUMMYFUNCTION("""COMPUTED_VALUE"""),"Girish Chand")</f>
        <v>Girish Chand</v>
      </c>
      <c r="C847" s="115" t="str">
        <f>IFERROR(__xludf.DUMMYFUNCTION("""COMPUTED_VALUE"""),"MYNTRA")</f>
        <v>MYNTRA</v>
      </c>
      <c r="D847" s="115">
        <f>IFERROR(__xludf.DUMMYFUNCTION("""COMPUTED_VALUE"""),30813.0)</f>
        <v>30813</v>
      </c>
      <c r="E847" s="115">
        <f>IFERROR(__xludf.DUMMYFUNCTION("""COMPUTED_VALUE"""),6431.0)</f>
        <v>6431</v>
      </c>
      <c r="F847" s="115">
        <f>IFERROR(__xludf.DUMMYFUNCTION("""COMPUTED_VALUE"""),20632.0)</f>
        <v>20632</v>
      </c>
      <c r="G847" s="115">
        <f>IFERROR(__xludf.DUMMYFUNCTION("""COMPUTED_VALUE"""),2285.0)</f>
        <v>2285</v>
      </c>
      <c r="H847" s="116">
        <f>IFERROR(__xludf.DUMMYFUNCTION("""COMPUTED_VALUE"""),45902.0)</f>
        <v>45902</v>
      </c>
      <c r="I847" s="115" t="str">
        <f>IFERROR(__xludf.DUMMYFUNCTION("""COMPUTED_VALUE"""),"16")</f>
        <v>16</v>
      </c>
      <c r="J847" s="115" t="str">
        <f>IFERROR(__xludf.DUMMYFUNCTION("""COMPUTED_VALUE"""),"Girish Chand2025-09-0216")</f>
        <v>Girish Chand2025-09-0216</v>
      </c>
      <c r="K847" s="115">
        <f>IFERROR(__xludf.DUMMYFUNCTION("""COMPUTED_VALUE"""),37244.0)</f>
        <v>37244</v>
      </c>
    </row>
    <row r="848">
      <c r="A848" s="115" t="str">
        <f>IFERROR(__xludf.DUMMYFUNCTION("""COMPUTED_VALUE"""),"EAST")</f>
        <v>EAST</v>
      </c>
      <c r="B848" s="115" t="str">
        <f>IFERROR(__xludf.DUMMYFUNCTION("""COMPUTED_VALUE"""),"Parag Kashyap")</f>
        <v>Parag Kashyap</v>
      </c>
      <c r="C848" s="115" t="str">
        <f>IFERROR(__xludf.DUMMYFUNCTION("""COMPUTED_VALUE"""),"EXTERNAL")</f>
        <v>EXTERNAL</v>
      </c>
      <c r="D848" s="115">
        <f>IFERROR(__xludf.DUMMYFUNCTION("""COMPUTED_VALUE"""),21031.0)</f>
        <v>21031</v>
      </c>
      <c r="E848" s="115">
        <f>IFERROR(__xludf.DUMMYFUNCTION("""COMPUTED_VALUE"""),1172.0)</f>
        <v>1172</v>
      </c>
      <c r="F848" s="115">
        <f>IFERROR(__xludf.DUMMYFUNCTION("""COMPUTED_VALUE"""),6308.0)</f>
        <v>6308</v>
      </c>
      <c r="G848" s="115">
        <f>IFERROR(__xludf.DUMMYFUNCTION("""COMPUTED_VALUE"""),127.0)</f>
        <v>127</v>
      </c>
      <c r="H848" s="116">
        <f>IFERROR(__xludf.DUMMYFUNCTION("""COMPUTED_VALUE"""),45902.0)</f>
        <v>45902</v>
      </c>
      <c r="I848" s="115" t="str">
        <f>IFERROR(__xludf.DUMMYFUNCTION("""COMPUTED_VALUE"""),"16")</f>
        <v>16</v>
      </c>
      <c r="J848" s="115" t="str">
        <f>IFERROR(__xludf.DUMMYFUNCTION("""COMPUTED_VALUE"""),"Parag Kashyap2025-09-0216")</f>
        <v>Parag Kashyap2025-09-0216</v>
      </c>
      <c r="K848" s="115">
        <f>IFERROR(__xludf.DUMMYFUNCTION("""COMPUTED_VALUE"""),22203.0)</f>
        <v>22203</v>
      </c>
    </row>
    <row r="849">
      <c r="A849" s="115" t="str">
        <f>IFERROR(__xludf.DUMMYFUNCTION("""COMPUTED_VALUE"""),"EAST")</f>
        <v>EAST</v>
      </c>
      <c r="B849" s="115" t="str">
        <f>IFERROR(__xludf.DUMMYFUNCTION("""COMPUTED_VALUE"""),"Parag Kashyap")</f>
        <v>Parag Kashyap</v>
      </c>
      <c r="C849" s="115" t="str">
        <f>IFERROR(__xludf.DUMMYFUNCTION("""COMPUTED_VALUE"""),"FLIPKART")</f>
        <v>FLIPKART</v>
      </c>
      <c r="D849" s="115">
        <f>IFERROR(__xludf.DUMMYFUNCTION("""COMPUTED_VALUE"""),296569.0)</f>
        <v>296569</v>
      </c>
      <c r="E849" s="115">
        <f>IFERROR(__xludf.DUMMYFUNCTION("""COMPUTED_VALUE"""),18765.0)</f>
        <v>18765</v>
      </c>
      <c r="F849" s="115">
        <f>IFERROR(__xludf.DUMMYFUNCTION("""COMPUTED_VALUE"""),174978.0)</f>
        <v>174978</v>
      </c>
      <c r="G849" s="115">
        <f>IFERROR(__xludf.DUMMYFUNCTION("""COMPUTED_VALUE"""),4516.0)</f>
        <v>4516</v>
      </c>
      <c r="H849" s="116">
        <f>IFERROR(__xludf.DUMMYFUNCTION("""COMPUTED_VALUE"""),45902.0)</f>
        <v>45902</v>
      </c>
      <c r="I849" s="115" t="str">
        <f>IFERROR(__xludf.DUMMYFUNCTION("""COMPUTED_VALUE"""),"16")</f>
        <v>16</v>
      </c>
      <c r="J849" s="115" t="str">
        <f>IFERROR(__xludf.DUMMYFUNCTION("""COMPUTED_VALUE"""),"Parag Kashyap2025-09-0216")</f>
        <v>Parag Kashyap2025-09-0216</v>
      </c>
      <c r="K849" s="115">
        <f>IFERROR(__xludf.DUMMYFUNCTION("""COMPUTED_VALUE"""),315334.0)</f>
        <v>315334</v>
      </c>
    </row>
    <row r="850">
      <c r="A850" s="115" t="str">
        <f>IFERROR(__xludf.DUMMYFUNCTION("""COMPUTED_VALUE"""),"EAST")</f>
        <v>EAST</v>
      </c>
      <c r="B850" s="115" t="str">
        <f>IFERROR(__xludf.DUMMYFUNCTION("""COMPUTED_VALUE"""),"Parag Kashyap")</f>
        <v>Parag Kashyap</v>
      </c>
      <c r="C850" s="115" t="str">
        <f>IFERROR(__xludf.DUMMYFUNCTION("""COMPUTED_VALUE"""),"MYNTRA")</f>
        <v>MYNTRA</v>
      </c>
      <c r="D850" s="115">
        <f>IFERROR(__xludf.DUMMYFUNCTION("""COMPUTED_VALUE"""),30973.0)</f>
        <v>30973</v>
      </c>
      <c r="E850" s="115">
        <f>IFERROR(__xludf.DUMMYFUNCTION("""COMPUTED_VALUE"""),4989.0)</f>
        <v>4989</v>
      </c>
      <c r="F850" s="115">
        <f>IFERROR(__xludf.DUMMYFUNCTION("""COMPUTED_VALUE"""),19229.0)</f>
        <v>19229</v>
      </c>
      <c r="G850" s="115">
        <f>IFERROR(__xludf.DUMMYFUNCTION("""COMPUTED_VALUE"""),1226.0)</f>
        <v>1226</v>
      </c>
      <c r="H850" s="116">
        <f>IFERROR(__xludf.DUMMYFUNCTION("""COMPUTED_VALUE"""),45902.0)</f>
        <v>45902</v>
      </c>
      <c r="I850" s="115" t="str">
        <f>IFERROR(__xludf.DUMMYFUNCTION("""COMPUTED_VALUE"""),"16")</f>
        <v>16</v>
      </c>
      <c r="J850" s="115" t="str">
        <f>IFERROR(__xludf.DUMMYFUNCTION("""COMPUTED_VALUE"""),"Parag Kashyap2025-09-0216")</f>
        <v>Parag Kashyap2025-09-0216</v>
      </c>
      <c r="K850" s="115">
        <f>IFERROR(__xludf.DUMMYFUNCTION("""COMPUTED_VALUE"""),35962.0)</f>
        <v>35962</v>
      </c>
    </row>
    <row r="851">
      <c r="A851" s="115" t="str">
        <f>IFERROR(__xludf.DUMMYFUNCTION("""COMPUTED_VALUE"""),"NORTH")</f>
        <v>NORTH</v>
      </c>
      <c r="B851" s="115" t="str">
        <f>IFERROR(__xludf.DUMMYFUNCTION("""COMPUTED_VALUE"""),"Amit Kumar Pathak")</f>
        <v>Amit Kumar Pathak</v>
      </c>
      <c r="C851" s="115" t="str">
        <f>IFERROR(__xludf.DUMMYFUNCTION("""COMPUTED_VALUE"""),"EXTERNAL")</f>
        <v>EXTERNAL</v>
      </c>
      <c r="D851" s="115">
        <f>IFERROR(__xludf.DUMMYFUNCTION("""COMPUTED_VALUE"""),24248.0)</f>
        <v>24248</v>
      </c>
      <c r="E851" s="115">
        <f>IFERROR(__xludf.DUMMYFUNCTION("""COMPUTED_VALUE"""),2169.0)</f>
        <v>2169</v>
      </c>
      <c r="F851" s="115">
        <f>IFERROR(__xludf.DUMMYFUNCTION("""COMPUTED_VALUE"""),6585.0)</f>
        <v>6585</v>
      </c>
      <c r="G851" s="115">
        <f>IFERROR(__xludf.DUMMYFUNCTION("""COMPUTED_VALUE"""),440.0)</f>
        <v>440</v>
      </c>
      <c r="H851" s="116">
        <f>IFERROR(__xludf.DUMMYFUNCTION("""COMPUTED_VALUE"""),45902.0)</f>
        <v>45902</v>
      </c>
      <c r="I851" s="115" t="str">
        <f>IFERROR(__xludf.DUMMYFUNCTION("""COMPUTED_VALUE"""),"16")</f>
        <v>16</v>
      </c>
      <c r="J851" s="115" t="str">
        <f>IFERROR(__xludf.DUMMYFUNCTION("""COMPUTED_VALUE"""),"Amit Kumar Pathak2025-09-0216")</f>
        <v>Amit Kumar Pathak2025-09-0216</v>
      </c>
      <c r="K851" s="115">
        <f>IFERROR(__xludf.DUMMYFUNCTION("""COMPUTED_VALUE"""),26417.0)</f>
        <v>26417</v>
      </c>
    </row>
    <row r="852">
      <c r="A852" s="115" t="str">
        <f>IFERROR(__xludf.DUMMYFUNCTION("""COMPUTED_VALUE"""),"NORTH")</f>
        <v>NORTH</v>
      </c>
      <c r="B852" s="115" t="str">
        <f>IFERROR(__xludf.DUMMYFUNCTION("""COMPUTED_VALUE"""),"Amit Kumar Pathak")</f>
        <v>Amit Kumar Pathak</v>
      </c>
      <c r="C852" s="115" t="str">
        <f>IFERROR(__xludf.DUMMYFUNCTION("""COMPUTED_VALUE"""),"FLIPKART")</f>
        <v>FLIPKART</v>
      </c>
      <c r="D852" s="115">
        <f>IFERROR(__xludf.DUMMYFUNCTION("""COMPUTED_VALUE"""),167432.0)</f>
        <v>167432</v>
      </c>
      <c r="E852" s="115">
        <f>IFERROR(__xludf.DUMMYFUNCTION("""COMPUTED_VALUE"""),21926.0)</f>
        <v>21926</v>
      </c>
      <c r="F852" s="115">
        <f>IFERROR(__xludf.DUMMYFUNCTION("""COMPUTED_VALUE"""),84506.0)</f>
        <v>84506</v>
      </c>
      <c r="G852" s="115">
        <f>IFERROR(__xludf.DUMMYFUNCTION("""COMPUTED_VALUE"""),8583.0)</f>
        <v>8583</v>
      </c>
      <c r="H852" s="116">
        <f>IFERROR(__xludf.DUMMYFUNCTION("""COMPUTED_VALUE"""),45902.0)</f>
        <v>45902</v>
      </c>
      <c r="I852" s="115" t="str">
        <f>IFERROR(__xludf.DUMMYFUNCTION("""COMPUTED_VALUE"""),"16")</f>
        <v>16</v>
      </c>
      <c r="J852" s="115" t="str">
        <f>IFERROR(__xludf.DUMMYFUNCTION("""COMPUTED_VALUE"""),"Amit Kumar Pathak2025-09-0216")</f>
        <v>Amit Kumar Pathak2025-09-0216</v>
      </c>
      <c r="K852" s="115">
        <f>IFERROR(__xludf.DUMMYFUNCTION("""COMPUTED_VALUE"""),189358.0)</f>
        <v>189358</v>
      </c>
    </row>
    <row r="853">
      <c r="A853" s="115" t="str">
        <f>IFERROR(__xludf.DUMMYFUNCTION("""COMPUTED_VALUE"""),"NORTH")</f>
        <v>NORTH</v>
      </c>
      <c r="B853" s="115" t="str">
        <f>IFERROR(__xludf.DUMMYFUNCTION("""COMPUTED_VALUE"""),"Amit Kumar Pathak")</f>
        <v>Amit Kumar Pathak</v>
      </c>
      <c r="C853" s="115" t="str">
        <f>IFERROR(__xludf.DUMMYFUNCTION("""COMPUTED_VALUE"""),"MYNTRA")</f>
        <v>MYNTRA</v>
      </c>
      <c r="D853" s="115">
        <f>IFERROR(__xludf.DUMMYFUNCTION("""COMPUTED_VALUE"""),16245.0)</f>
        <v>16245</v>
      </c>
      <c r="E853" s="115">
        <f>IFERROR(__xludf.DUMMYFUNCTION("""COMPUTED_VALUE"""),5078.0)</f>
        <v>5078</v>
      </c>
      <c r="F853" s="115">
        <f>IFERROR(__xludf.DUMMYFUNCTION("""COMPUTED_VALUE"""),9583.0)</f>
        <v>9583</v>
      </c>
      <c r="G853" s="115">
        <f>IFERROR(__xludf.DUMMYFUNCTION("""COMPUTED_VALUE"""),2243.0)</f>
        <v>2243</v>
      </c>
      <c r="H853" s="116">
        <f>IFERROR(__xludf.DUMMYFUNCTION("""COMPUTED_VALUE"""),45902.0)</f>
        <v>45902</v>
      </c>
      <c r="I853" s="115" t="str">
        <f>IFERROR(__xludf.DUMMYFUNCTION("""COMPUTED_VALUE"""),"16")</f>
        <v>16</v>
      </c>
      <c r="J853" s="115" t="str">
        <f>IFERROR(__xludf.DUMMYFUNCTION("""COMPUTED_VALUE"""),"Amit Kumar Pathak2025-09-0216")</f>
        <v>Amit Kumar Pathak2025-09-0216</v>
      </c>
      <c r="K853" s="115">
        <f>IFERROR(__xludf.DUMMYFUNCTION("""COMPUTED_VALUE"""),21323.0)</f>
        <v>21323</v>
      </c>
    </row>
    <row r="854">
      <c r="A854" s="115" t="str">
        <f>IFERROR(__xludf.DUMMYFUNCTION("""COMPUTED_VALUE"""),"NORTH")</f>
        <v>NORTH</v>
      </c>
      <c r="B854" s="115" t="str">
        <f>IFERROR(__xludf.DUMMYFUNCTION("""COMPUTED_VALUE"""),"Loveleen Singh")</f>
        <v>Loveleen Singh</v>
      </c>
      <c r="C854" s="115" t="str">
        <f>IFERROR(__xludf.DUMMYFUNCTION("""COMPUTED_VALUE"""),"EXTERNAL")</f>
        <v>EXTERNAL</v>
      </c>
      <c r="D854" s="115">
        <f>IFERROR(__xludf.DUMMYFUNCTION("""COMPUTED_VALUE"""),28980.0)</f>
        <v>28980</v>
      </c>
      <c r="E854" s="115">
        <f>IFERROR(__xludf.DUMMYFUNCTION("""COMPUTED_VALUE"""),2039.0)</f>
        <v>2039</v>
      </c>
      <c r="F854" s="115">
        <f>IFERROR(__xludf.DUMMYFUNCTION("""COMPUTED_VALUE"""),7688.0)</f>
        <v>7688</v>
      </c>
      <c r="G854" s="115">
        <f>IFERROR(__xludf.DUMMYFUNCTION("""COMPUTED_VALUE"""),264.0)</f>
        <v>264</v>
      </c>
      <c r="H854" s="116">
        <f>IFERROR(__xludf.DUMMYFUNCTION("""COMPUTED_VALUE"""),45902.0)</f>
        <v>45902</v>
      </c>
      <c r="I854" s="115" t="str">
        <f>IFERROR(__xludf.DUMMYFUNCTION("""COMPUTED_VALUE"""),"16")</f>
        <v>16</v>
      </c>
      <c r="J854" s="115" t="str">
        <f>IFERROR(__xludf.DUMMYFUNCTION("""COMPUTED_VALUE"""),"Loveleen Singh2025-09-0216")</f>
        <v>Loveleen Singh2025-09-0216</v>
      </c>
      <c r="K854" s="115">
        <f>IFERROR(__xludf.DUMMYFUNCTION("""COMPUTED_VALUE"""),31019.0)</f>
        <v>31019</v>
      </c>
    </row>
    <row r="855">
      <c r="A855" s="115" t="str">
        <f>IFERROR(__xludf.DUMMYFUNCTION("""COMPUTED_VALUE"""),"NORTH")</f>
        <v>NORTH</v>
      </c>
      <c r="B855" s="115" t="str">
        <f>IFERROR(__xludf.DUMMYFUNCTION("""COMPUTED_VALUE"""),"Loveleen Singh")</f>
        <v>Loveleen Singh</v>
      </c>
      <c r="C855" s="115" t="str">
        <f>IFERROR(__xludf.DUMMYFUNCTION("""COMPUTED_VALUE"""),"FLIPKART")</f>
        <v>FLIPKART</v>
      </c>
      <c r="D855" s="115">
        <f>IFERROR(__xludf.DUMMYFUNCTION("""COMPUTED_VALUE"""),149172.0)</f>
        <v>149172</v>
      </c>
      <c r="E855" s="115">
        <f>IFERROR(__xludf.DUMMYFUNCTION("""COMPUTED_VALUE"""),12862.0)</f>
        <v>12862</v>
      </c>
      <c r="F855" s="115">
        <f>IFERROR(__xludf.DUMMYFUNCTION("""COMPUTED_VALUE"""),77097.0)</f>
        <v>77097</v>
      </c>
      <c r="G855" s="115">
        <f>IFERROR(__xludf.DUMMYFUNCTION("""COMPUTED_VALUE"""),3691.0)</f>
        <v>3691</v>
      </c>
      <c r="H855" s="116">
        <f>IFERROR(__xludf.DUMMYFUNCTION("""COMPUTED_VALUE"""),45902.0)</f>
        <v>45902</v>
      </c>
      <c r="I855" s="115" t="str">
        <f>IFERROR(__xludf.DUMMYFUNCTION("""COMPUTED_VALUE"""),"16")</f>
        <v>16</v>
      </c>
      <c r="J855" s="115" t="str">
        <f>IFERROR(__xludf.DUMMYFUNCTION("""COMPUTED_VALUE"""),"Loveleen Singh2025-09-0216")</f>
        <v>Loveleen Singh2025-09-0216</v>
      </c>
      <c r="K855" s="115">
        <f>IFERROR(__xludf.DUMMYFUNCTION("""COMPUTED_VALUE"""),162034.0)</f>
        <v>162034</v>
      </c>
    </row>
    <row r="856">
      <c r="A856" s="115" t="str">
        <f>IFERROR(__xludf.DUMMYFUNCTION("""COMPUTED_VALUE"""),"NORTH")</f>
        <v>NORTH</v>
      </c>
      <c r="B856" s="115" t="str">
        <f>IFERROR(__xludf.DUMMYFUNCTION("""COMPUTED_VALUE"""),"Loveleen Singh")</f>
        <v>Loveleen Singh</v>
      </c>
      <c r="C856" s="115" t="str">
        <f>IFERROR(__xludf.DUMMYFUNCTION("""COMPUTED_VALUE"""),"MYNTRA")</f>
        <v>MYNTRA</v>
      </c>
      <c r="D856" s="115">
        <f>IFERROR(__xludf.DUMMYFUNCTION("""COMPUTED_VALUE"""),22511.0)</f>
        <v>22511</v>
      </c>
      <c r="E856" s="115">
        <f>IFERROR(__xludf.DUMMYFUNCTION("""COMPUTED_VALUE"""),4994.0)</f>
        <v>4994</v>
      </c>
      <c r="F856" s="115">
        <f>IFERROR(__xludf.DUMMYFUNCTION("""COMPUTED_VALUE"""),13602.0)</f>
        <v>13602</v>
      </c>
      <c r="G856" s="115">
        <f>IFERROR(__xludf.DUMMYFUNCTION("""COMPUTED_VALUE"""),1565.0)</f>
        <v>1565</v>
      </c>
      <c r="H856" s="116">
        <f>IFERROR(__xludf.DUMMYFUNCTION("""COMPUTED_VALUE"""),45902.0)</f>
        <v>45902</v>
      </c>
      <c r="I856" s="115" t="str">
        <f>IFERROR(__xludf.DUMMYFUNCTION("""COMPUTED_VALUE"""),"16")</f>
        <v>16</v>
      </c>
      <c r="J856" s="115" t="str">
        <f>IFERROR(__xludf.DUMMYFUNCTION("""COMPUTED_VALUE"""),"Loveleen Singh2025-09-0216")</f>
        <v>Loveleen Singh2025-09-0216</v>
      </c>
      <c r="K856" s="115">
        <f>IFERROR(__xludf.DUMMYFUNCTION("""COMPUTED_VALUE"""),27505.0)</f>
        <v>27505</v>
      </c>
    </row>
    <row r="857">
      <c r="A857" s="115" t="str">
        <f>IFERROR(__xludf.DUMMYFUNCTION("""COMPUTED_VALUE"""),"NORTH")</f>
        <v>NORTH</v>
      </c>
      <c r="B857" s="115" t="str">
        <f>IFERROR(__xludf.DUMMYFUNCTION("""COMPUTED_VALUE"""),"Manoj Harsh")</f>
        <v>Manoj Harsh</v>
      </c>
      <c r="C857" s="115" t="str">
        <f>IFERROR(__xludf.DUMMYFUNCTION("""COMPUTED_VALUE"""),"EXTERNAL")</f>
        <v>EXTERNAL</v>
      </c>
      <c r="D857" s="115">
        <f>IFERROR(__xludf.DUMMYFUNCTION("""COMPUTED_VALUE"""),33655.0)</f>
        <v>33655</v>
      </c>
      <c r="E857" s="115">
        <f>IFERROR(__xludf.DUMMYFUNCTION("""COMPUTED_VALUE"""),3122.0)</f>
        <v>3122</v>
      </c>
      <c r="F857" s="115">
        <f>IFERROR(__xludf.DUMMYFUNCTION("""COMPUTED_VALUE"""),10420.0)</f>
        <v>10420</v>
      </c>
      <c r="G857" s="115">
        <f>IFERROR(__xludf.DUMMYFUNCTION("""COMPUTED_VALUE"""),441.0)</f>
        <v>441</v>
      </c>
      <c r="H857" s="116">
        <f>IFERROR(__xludf.DUMMYFUNCTION("""COMPUTED_VALUE"""),45902.0)</f>
        <v>45902</v>
      </c>
      <c r="I857" s="115" t="str">
        <f>IFERROR(__xludf.DUMMYFUNCTION("""COMPUTED_VALUE"""),"16")</f>
        <v>16</v>
      </c>
      <c r="J857" s="115" t="str">
        <f>IFERROR(__xludf.DUMMYFUNCTION("""COMPUTED_VALUE"""),"Manoj Harsh2025-09-0216")</f>
        <v>Manoj Harsh2025-09-0216</v>
      </c>
      <c r="K857" s="115">
        <f>IFERROR(__xludf.DUMMYFUNCTION("""COMPUTED_VALUE"""),36777.0)</f>
        <v>36777</v>
      </c>
    </row>
    <row r="858">
      <c r="A858" s="115" t="str">
        <f>IFERROR(__xludf.DUMMYFUNCTION("""COMPUTED_VALUE"""),"NORTH")</f>
        <v>NORTH</v>
      </c>
      <c r="B858" s="115" t="str">
        <f>IFERROR(__xludf.DUMMYFUNCTION("""COMPUTED_VALUE"""),"Manoj Harsh")</f>
        <v>Manoj Harsh</v>
      </c>
      <c r="C858" s="115" t="str">
        <f>IFERROR(__xludf.DUMMYFUNCTION("""COMPUTED_VALUE"""),"FLIPKART")</f>
        <v>FLIPKART</v>
      </c>
      <c r="D858" s="115">
        <f>IFERROR(__xludf.DUMMYFUNCTION("""COMPUTED_VALUE"""),398292.0)</f>
        <v>398292</v>
      </c>
      <c r="E858" s="115">
        <f>IFERROR(__xludf.DUMMYFUNCTION("""COMPUTED_VALUE"""),41649.0)</f>
        <v>41649</v>
      </c>
      <c r="F858" s="115">
        <f>IFERROR(__xludf.DUMMYFUNCTION("""COMPUTED_VALUE"""),230574.0)</f>
        <v>230574</v>
      </c>
      <c r="G858" s="115">
        <f>IFERROR(__xludf.DUMMYFUNCTION("""COMPUTED_VALUE"""),12847.0)</f>
        <v>12847</v>
      </c>
      <c r="H858" s="116">
        <f>IFERROR(__xludf.DUMMYFUNCTION("""COMPUTED_VALUE"""),45902.0)</f>
        <v>45902</v>
      </c>
      <c r="I858" s="115" t="str">
        <f>IFERROR(__xludf.DUMMYFUNCTION("""COMPUTED_VALUE"""),"16")</f>
        <v>16</v>
      </c>
      <c r="J858" s="115" t="str">
        <f>IFERROR(__xludf.DUMMYFUNCTION("""COMPUTED_VALUE"""),"Manoj Harsh2025-09-0216")</f>
        <v>Manoj Harsh2025-09-0216</v>
      </c>
      <c r="K858" s="115">
        <f>IFERROR(__xludf.DUMMYFUNCTION("""COMPUTED_VALUE"""),439941.0)</f>
        <v>439941</v>
      </c>
    </row>
    <row r="859">
      <c r="A859" s="115" t="str">
        <f>IFERROR(__xludf.DUMMYFUNCTION("""COMPUTED_VALUE"""),"NORTH")</f>
        <v>NORTH</v>
      </c>
      <c r="B859" s="115" t="str">
        <f>IFERROR(__xludf.DUMMYFUNCTION("""COMPUTED_VALUE"""),"Manoj Harsh")</f>
        <v>Manoj Harsh</v>
      </c>
      <c r="C859" s="115" t="str">
        <f>IFERROR(__xludf.DUMMYFUNCTION("""COMPUTED_VALUE"""),"MYNTRA")</f>
        <v>MYNTRA</v>
      </c>
      <c r="D859" s="115">
        <f>IFERROR(__xludf.DUMMYFUNCTION("""COMPUTED_VALUE"""),34473.0)</f>
        <v>34473</v>
      </c>
      <c r="E859" s="115">
        <f>IFERROR(__xludf.DUMMYFUNCTION("""COMPUTED_VALUE"""),7662.0)</f>
        <v>7662</v>
      </c>
      <c r="F859" s="115">
        <f>IFERROR(__xludf.DUMMYFUNCTION("""COMPUTED_VALUE"""),22424.0)</f>
        <v>22424</v>
      </c>
      <c r="G859" s="115">
        <f>IFERROR(__xludf.DUMMYFUNCTION("""COMPUTED_VALUE"""),2540.0)</f>
        <v>2540</v>
      </c>
      <c r="H859" s="116">
        <f>IFERROR(__xludf.DUMMYFUNCTION("""COMPUTED_VALUE"""),45902.0)</f>
        <v>45902</v>
      </c>
      <c r="I859" s="115" t="str">
        <f>IFERROR(__xludf.DUMMYFUNCTION("""COMPUTED_VALUE"""),"16")</f>
        <v>16</v>
      </c>
      <c r="J859" s="115" t="str">
        <f>IFERROR(__xludf.DUMMYFUNCTION("""COMPUTED_VALUE"""),"Manoj Harsh2025-09-0216")</f>
        <v>Manoj Harsh2025-09-0216</v>
      </c>
      <c r="K859" s="115">
        <f>IFERROR(__xludf.DUMMYFUNCTION("""COMPUTED_VALUE"""),42135.0)</f>
        <v>42135</v>
      </c>
    </row>
    <row r="860">
      <c r="A860" s="115" t="str">
        <f>IFERROR(__xludf.DUMMYFUNCTION("""COMPUTED_VALUE"""),"NORTH")</f>
        <v>NORTH</v>
      </c>
      <c r="B860" s="115" t="str">
        <f>IFERROR(__xludf.DUMMYFUNCTION("""COMPUTED_VALUE"""),"Pradeep Kothari")</f>
        <v>Pradeep Kothari</v>
      </c>
      <c r="C860" s="115" t="str">
        <f>IFERROR(__xludf.DUMMYFUNCTION("""COMPUTED_VALUE"""),"EXTERNAL")</f>
        <v>EXTERNAL</v>
      </c>
      <c r="D860" s="115">
        <f>IFERROR(__xludf.DUMMYFUNCTION("""COMPUTED_VALUE"""),18974.0)</f>
        <v>18974</v>
      </c>
      <c r="E860" s="115">
        <f>IFERROR(__xludf.DUMMYFUNCTION("""COMPUTED_VALUE"""),1940.0)</f>
        <v>1940</v>
      </c>
      <c r="F860" s="115">
        <f>IFERROR(__xludf.DUMMYFUNCTION("""COMPUTED_VALUE"""),6177.0)</f>
        <v>6177</v>
      </c>
      <c r="G860" s="115">
        <f>IFERROR(__xludf.DUMMYFUNCTION("""COMPUTED_VALUE"""),413.0)</f>
        <v>413</v>
      </c>
      <c r="H860" s="116">
        <f>IFERROR(__xludf.DUMMYFUNCTION("""COMPUTED_VALUE"""),45902.0)</f>
        <v>45902</v>
      </c>
      <c r="I860" s="115" t="str">
        <f>IFERROR(__xludf.DUMMYFUNCTION("""COMPUTED_VALUE"""),"16")</f>
        <v>16</v>
      </c>
      <c r="J860" s="115" t="str">
        <f>IFERROR(__xludf.DUMMYFUNCTION("""COMPUTED_VALUE"""),"Pradeep Kothari2025-09-0216")</f>
        <v>Pradeep Kothari2025-09-0216</v>
      </c>
      <c r="K860" s="115">
        <f>IFERROR(__xludf.DUMMYFUNCTION("""COMPUTED_VALUE"""),20914.0)</f>
        <v>20914</v>
      </c>
    </row>
    <row r="861">
      <c r="A861" s="115" t="str">
        <f>IFERROR(__xludf.DUMMYFUNCTION("""COMPUTED_VALUE"""),"NORTH")</f>
        <v>NORTH</v>
      </c>
      <c r="B861" s="115" t="str">
        <f>IFERROR(__xludf.DUMMYFUNCTION("""COMPUTED_VALUE"""),"Pradeep Kothari")</f>
        <v>Pradeep Kothari</v>
      </c>
      <c r="C861" s="115" t="str">
        <f>IFERROR(__xludf.DUMMYFUNCTION("""COMPUTED_VALUE"""),"FLIPKART")</f>
        <v>FLIPKART</v>
      </c>
      <c r="D861" s="115">
        <f>IFERROR(__xludf.DUMMYFUNCTION("""COMPUTED_VALUE"""),134823.0)</f>
        <v>134823</v>
      </c>
      <c r="E861" s="115">
        <f>IFERROR(__xludf.DUMMYFUNCTION("""COMPUTED_VALUE"""),16889.0)</f>
        <v>16889</v>
      </c>
      <c r="F861" s="115">
        <f>IFERROR(__xludf.DUMMYFUNCTION("""COMPUTED_VALUE"""),83706.0)</f>
        <v>83706</v>
      </c>
      <c r="G861" s="115">
        <f>IFERROR(__xludf.DUMMYFUNCTION("""COMPUTED_VALUE"""),7192.0)</f>
        <v>7192</v>
      </c>
      <c r="H861" s="116">
        <f>IFERROR(__xludf.DUMMYFUNCTION("""COMPUTED_VALUE"""),45902.0)</f>
        <v>45902</v>
      </c>
      <c r="I861" s="115" t="str">
        <f>IFERROR(__xludf.DUMMYFUNCTION("""COMPUTED_VALUE"""),"16")</f>
        <v>16</v>
      </c>
      <c r="J861" s="115" t="str">
        <f>IFERROR(__xludf.DUMMYFUNCTION("""COMPUTED_VALUE"""),"Pradeep Kothari2025-09-0216")</f>
        <v>Pradeep Kothari2025-09-0216</v>
      </c>
      <c r="K861" s="115">
        <f>IFERROR(__xludf.DUMMYFUNCTION("""COMPUTED_VALUE"""),151712.0)</f>
        <v>151712</v>
      </c>
    </row>
    <row r="862">
      <c r="A862" s="115" t="str">
        <f>IFERROR(__xludf.DUMMYFUNCTION("""COMPUTED_VALUE"""),"NORTH")</f>
        <v>NORTH</v>
      </c>
      <c r="B862" s="115" t="str">
        <f>IFERROR(__xludf.DUMMYFUNCTION("""COMPUTED_VALUE"""),"Pradeep Kothari")</f>
        <v>Pradeep Kothari</v>
      </c>
      <c r="C862" s="115" t="str">
        <f>IFERROR(__xludf.DUMMYFUNCTION("""COMPUTED_VALUE"""),"MYNTRA")</f>
        <v>MYNTRA</v>
      </c>
      <c r="D862" s="115">
        <f>IFERROR(__xludf.DUMMYFUNCTION("""COMPUTED_VALUE"""),23141.0)</f>
        <v>23141</v>
      </c>
      <c r="E862" s="115">
        <f>IFERROR(__xludf.DUMMYFUNCTION("""COMPUTED_VALUE"""),6193.0)</f>
        <v>6193</v>
      </c>
      <c r="F862" s="115">
        <f>IFERROR(__xludf.DUMMYFUNCTION("""COMPUTED_VALUE"""),16512.0)</f>
        <v>16512</v>
      </c>
      <c r="G862" s="115">
        <f>IFERROR(__xludf.DUMMYFUNCTION("""COMPUTED_VALUE"""),3085.0)</f>
        <v>3085</v>
      </c>
      <c r="H862" s="116">
        <f>IFERROR(__xludf.DUMMYFUNCTION("""COMPUTED_VALUE"""),45902.0)</f>
        <v>45902</v>
      </c>
      <c r="I862" s="115" t="str">
        <f>IFERROR(__xludf.DUMMYFUNCTION("""COMPUTED_VALUE"""),"16")</f>
        <v>16</v>
      </c>
      <c r="J862" s="115" t="str">
        <f>IFERROR(__xludf.DUMMYFUNCTION("""COMPUTED_VALUE"""),"Pradeep Kothari2025-09-0216")</f>
        <v>Pradeep Kothari2025-09-0216</v>
      </c>
      <c r="K862" s="115">
        <f>IFERROR(__xludf.DUMMYFUNCTION("""COMPUTED_VALUE"""),29334.0)</f>
        <v>29334</v>
      </c>
    </row>
    <row r="863">
      <c r="A863" s="115" t="str">
        <f>IFERROR(__xludf.DUMMYFUNCTION("""COMPUTED_VALUE"""),"SOUTH")</f>
        <v>SOUTH</v>
      </c>
      <c r="B863" s="115" t="str">
        <f>IFERROR(__xludf.DUMMYFUNCTION("""COMPUTED_VALUE"""),"Kandula Sampath")</f>
        <v>Kandula Sampath</v>
      </c>
      <c r="C863" s="115" t="str">
        <f>IFERROR(__xludf.DUMMYFUNCTION("""COMPUTED_VALUE"""),"EXTERNAL")</f>
        <v>EXTERNAL</v>
      </c>
      <c r="D863" s="115">
        <f>IFERROR(__xludf.DUMMYFUNCTION("""COMPUTED_VALUE"""),38566.0)</f>
        <v>38566</v>
      </c>
      <c r="E863" s="115">
        <f>IFERROR(__xludf.DUMMYFUNCTION("""COMPUTED_VALUE"""),4365.0)</f>
        <v>4365</v>
      </c>
      <c r="F863" s="115">
        <f>IFERROR(__xludf.DUMMYFUNCTION("""COMPUTED_VALUE"""),12219.0)</f>
        <v>12219</v>
      </c>
      <c r="G863" s="115">
        <f>IFERROR(__xludf.DUMMYFUNCTION("""COMPUTED_VALUE"""),649.0)</f>
        <v>649</v>
      </c>
      <c r="H863" s="116">
        <f>IFERROR(__xludf.DUMMYFUNCTION("""COMPUTED_VALUE"""),45902.0)</f>
        <v>45902</v>
      </c>
      <c r="I863" s="115" t="str">
        <f>IFERROR(__xludf.DUMMYFUNCTION("""COMPUTED_VALUE"""),"16")</f>
        <v>16</v>
      </c>
      <c r="J863" s="115" t="str">
        <f>IFERROR(__xludf.DUMMYFUNCTION("""COMPUTED_VALUE"""),"Kandula Sampath2025-09-0216")</f>
        <v>Kandula Sampath2025-09-0216</v>
      </c>
      <c r="K863" s="115">
        <f>IFERROR(__xludf.DUMMYFUNCTION("""COMPUTED_VALUE"""),42931.0)</f>
        <v>42931</v>
      </c>
    </row>
    <row r="864">
      <c r="A864" s="115" t="str">
        <f>IFERROR(__xludf.DUMMYFUNCTION("""COMPUTED_VALUE"""),"SOUTH")</f>
        <v>SOUTH</v>
      </c>
      <c r="B864" s="115" t="str">
        <f>IFERROR(__xludf.DUMMYFUNCTION("""COMPUTED_VALUE"""),"Kandula Sampath")</f>
        <v>Kandula Sampath</v>
      </c>
      <c r="C864" s="115" t="str">
        <f>IFERROR(__xludf.DUMMYFUNCTION("""COMPUTED_VALUE"""),"FLIPKART")</f>
        <v>FLIPKART</v>
      </c>
      <c r="D864" s="115">
        <f>IFERROR(__xludf.DUMMYFUNCTION("""COMPUTED_VALUE"""),331095.0)</f>
        <v>331095</v>
      </c>
      <c r="E864" s="115">
        <f>IFERROR(__xludf.DUMMYFUNCTION("""COMPUTED_VALUE"""),33460.0)</f>
        <v>33460</v>
      </c>
      <c r="F864" s="115">
        <f>IFERROR(__xludf.DUMMYFUNCTION("""COMPUTED_VALUE"""),191198.0)</f>
        <v>191198</v>
      </c>
      <c r="G864" s="115">
        <f>IFERROR(__xludf.DUMMYFUNCTION("""COMPUTED_VALUE"""),9213.0)</f>
        <v>9213</v>
      </c>
      <c r="H864" s="116">
        <f>IFERROR(__xludf.DUMMYFUNCTION("""COMPUTED_VALUE"""),45902.0)</f>
        <v>45902</v>
      </c>
      <c r="I864" s="115" t="str">
        <f>IFERROR(__xludf.DUMMYFUNCTION("""COMPUTED_VALUE"""),"16")</f>
        <v>16</v>
      </c>
      <c r="J864" s="115" t="str">
        <f>IFERROR(__xludf.DUMMYFUNCTION("""COMPUTED_VALUE"""),"Kandula Sampath2025-09-0216")</f>
        <v>Kandula Sampath2025-09-0216</v>
      </c>
      <c r="K864" s="115">
        <f>IFERROR(__xludf.DUMMYFUNCTION("""COMPUTED_VALUE"""),364555.0)</f>
        <v>364555</v>
      </c>
    </row>
    <row r="865">
      <c r="A865" s="115" t="str">
        <f>IFERROR(__xludf.DUMMYFUNCTION("""COMPUTED_VALUE"""),"SOUTH")</f>
        <v>SOUTH</v>
      </c>
      <c r="B865" s="115" t="str">
        <f>IFERROR(__xludf.DUMMYFUNCTION("""COMPUTED_VALUE"""),"Kandula Sampath")</f>
        <v>Kandula Sampath</v>
      </c>
      <c r="C865" s="115" t="str">
        <f>IFERROR(__xludf.DUMMYFUNCTION("""COMPUTED_VALUE"""),"MYNTRA")</f>
        <v>MYNTRA</v>
      </c>
      <c r="D865" s="115">
        <f>IFERROR(__xludf.DUMMYFUNCTION("""COMPUTED_VALUE"""),33890.0)</f>
        <v>33890</v>
      </c>
      <c r="E865" s="115">
        <f>IFERROR(__xludf.DUMMYFUNCTION("""COMPUTED_VALUE"""),8296.0)</f>
        <v>8296</v>
      </c>
      <c r="F865" s="115">
        <f>IFERROR(__xludf.DUMMYFUNCTION("""COMPUTED_VALUE"""),22039.0)</f>
        <v>22039</v>
      </c>
      <c r="G865" s="115">
        <f>IFERROR(__xludf.DUMMYFUNCTION("""COMPUTED_VALUE"""),2292.0)</f>
        <v>2292</v>
      </c>
      <c r="H865" s="116">
        <f>IFERROR(__xludf.DUMMYFUNCTION("""COMPUTED_VALUE"""),45902.0)</f>
        <v>45902</v>
      </c>
      <c r="I865" s="115" t="str">
        <f>IFERROR(__xludf.DUMMYFUNCTION("""COMPUTED_VALUE"""),"16")</f>
        <v>16</v>
      </c>
      <c r="J865" s="115" t="str">
        <f>IFERROR(__xludf.DUMMYFUNCTION("""COMPUTED_VALUE"""),"Kandula Sampath2025-09-0216")</f>
        <v>Kandula Sampath2025-09-0216</v>
      </c>
      <c r="K865" s="115">
        <f>IFERROR(__xludf.DUMMYFUNCTION("""COMPUTED_VALUE"""),42186.0)</f>
        <v>42186</v>
      </c>
    </row>
    <row r="866">
      <c r="A866" s="115" t="str">
        <f>IFERROR(__xludf.DUMMYFUNCTION("""COMPUTED_VALUE"""),"SOUTH")</f>
        <v>SOUTH</v>
      </c>
      <c r="B866" s="115" t="str">
        <f>IFERROR(__xludf.DUMMYFUNCTION("""COMPUTED_VALUE"""),"Martin A")</f>
        <v>Martin A</v>
      </c>
      <c r="C866" s="115" t="str">
        <f>IFERROR(__xludf.DUMMYFUNCTION("""COMPUTED_VALUE"""),"EXTERNAL")</f>
        <v>EXTERNAL</v>
      </c>
      <c r="D866" s="115">
        <f>IFERROR(__xludf.DUMMYFUNCTION("""COMPUTED_VALUE"""),36698.0)</f>
        <v>36698</v>
      </c>
      <c r="E866" s="115">
        <f>IFERROR(__xludf.DUMMYFUNCTION("""COMPUTED_VALUE"""),2585.0)</f>
        <v>2585</v>
      </c>
      <c r="F866" s="115">
        <f>IFERROR(__xludf.DUMMYFUNCTION("""COMPUTED_VALUE"""),12401.0)</f>
        <v>12401</v>
      </c>
      <c r="G866" s="115">
        <f>IFERROR(__xludf.DUMMYFUNCTION("""COMPUTED_VALUE"""),566.0)</f>
        <v>566</v>
      </c>
      <c r="H866" s="116">
        <f>IFERROR(__xludf.DUMMYFUNCTION("""COMPUTED_VALUE"""),45902.0)</f>
        <v>45902</v>
      </c>
      <c r="I866" s="115" t="str">
        <f>IFERROR(__xludf.DUMMYFUNCTION("""COMPUTED_VALUE"""),"16")</f>
        <v>16</v>
      </c>
      <c r="J866" s="115" t="str">
        <f>IFERROR(__xludf.DUMMYFUNCTION("""COMPUTED_VALUE"""),"Martin A2025-09-0216")</f>
        <v>Martin A2025-09-0216</v>
      </c>
      <c r="K866" s="115">
        <f>IFERROR(__xludf.DUMMYFUNCTION("""COMPUTED_VALUE"""),39283.0)</f>
        <v>39283</v>
      </c>
    </row>
    <row r="867">
      <c r="A867" s="115" t="str">
        <f>IFERROR(__xludf.DUMMYFUNCTION("""COMPUTED_VALUE"""),"SOUTH")</f>
        <v>SOUTH</v>
      </c>
      <c r="B867" s="115" t="str">
        <f>IFERROR(__xludf.DUMMYFUNCTION("""COMPUTED_VALUE"""),"Martin A")</f>
        <v>Martin A</v>
      </c>
      <c r="C867" s="115" t="str">
        <f>IFERROR(__xludf.DUMMYFUNCTION("""COMPUTED_VALUE"""),"FLIPKART")</f>
        <v>FLIPKART</v>
      </c>
      <c r="D867" s="115">
        <f>IFERROR(__xludf.DUMMYFUNCTION("""COMPUTED_VALUE"""),279430.0)</f>
        <v>279430</v>
      </c>
      <c r="E867" s="115">
        <f>IFERROR(__xludf.DUMMYFUNCTION("""COMPUTED_VALUE"""),28601.0)</f>
        <v>28601</v>
      </c>
      <c r="F867" s="115">
        <f>IFERROR(__xludf.DUMMYFUNCTION("""COMPUTED_VALUE"""),163331.0)</f>
        <v>163331</v>
      </c>
      <c r="G867" s="115">
        <f>IFERROR(__xludf.DUMMYFUNCTION("""COMPUTED_VALUE"""),9872.0)</f>
        <v>9872</v>
      </c>
      <c r="H867" s="116">
        <f>IFERROR(__xludf.DUMMYFUNCTION("""COMPUTED_VALUE"""),45902.0)</f>
        <v>45902</v>
      </c>
      <c r="I867" s="115" t="str">
        <f>IFERROR(__xludf.DUMMYFUNCTION("""COMPUTED_VALUE"""),"16")</f>
        <v>16</v>
      </c>
      <c r="J867" s="115" t="str">
        <f>IFERROR(__xludf.DUMMYFUNCTION("""COMPUTED_VALUE"""),"Martin A2025-09-0216")</f>
        <v>Martin A2025-09-0216</v>
      </c>
      <c r="K867" s="115">
        <f>IFERROR(__xludf.DUMMYFUNCTION("""COMPUTED_VALUE"""),308031.0)</f>
        <v>308031</v>
      </c>
    </row>
    <row r="868">
      <c r="A868" s="115" t="str">
        <f>IFERROR(__xludf.DUMMYFUNCTION("""COMPUTED_VALUE"""),"SOUTH")</f>
        <v>SOUTH</v>
      </c>
      <c r="B868" s="115" t="str">
        <f>IFERROR(__xludf.DUMMYFUNCTION("""COMPUTED_VALUE"""),"Martin A")</f>
        <v>Martin A</v>
      </c>
      <c r="C868" s="115" t="str">
        <f>IFERROR(__xludf.DUMMYFUNCTION("""COMPUTED_VALUE"""),"MYNTRA")</f>
        <v>MYNTRA</v>
      </c>
      <c r="D868" s="115">
        <f>IFERROR(__xludf.DUMMYFUNCTION("""COMPUTED_VALUE"""),26477.0)</f>
        <v>26477</v>
      </c>
      <c r="E868" s="115">
        <f>IFERROR(__xludf.DUMMYFUNCTION("""COMPUTED_VALUE"""),6779.0)</f>
        <v>6779</v>
      </c>
      <c r="F868" s="115">
        <f>IFERROR(__xludf.DUMMYFUNCTION("""COMPUTED_VALUE"""),18031.0)</f>
        <v>18031</v>
      </c>
      <c r="G868" s="115">
        <f>IFERROR(__xludf.DUMMYFUNCTION("""COMPUTED_VALUE"""),2516.0)</f>
        <v>2516</v>
      </c>
      <c r="H868" s="116">
        <f>IFERROR(__xludf.DUMMYFUNCTION("""COMPUTED_VALUE"""),45902.0)</f>
        <v>45902</v>
      </c>
      <c r="I868" s="115" t="str">
        <f>IFERROR(__xludf.DUMMYFUNCTION("""COMPUTED_VALUE"""),"16")</f>
        <v>16</v>
      </c>
      <c r="J868" s="115" t="str">
        <f>IFERROR(__xludf.DUMMYFUNCTION("""COMPUTED_VALUE"""),"Martin A2025-09-0216")</f>
        <v>Martin A2025-09-0216</v>
      </c>
      <c r="K868" s="115">
        <f>IFERROR(__xludf.DUMMYFUNCTION("""COMPUTED_VALUE"""),33256.0)</f>
        <v>33256</v>
      </c>
    </row>
    <row r="869">
      <c r="A869" s="115" t="str">
        <f>IFERROR(__xludf.DUMMYFUNCTION("""COMPUTED_VALUE"""),"SOUTH")</f>
        <v>SOUTH</v>
      </c>
      <c r="B869" s="115" t="str">
        <f>IFERROR(__xludf.DUMMYFUNCTION("""COMPUTED_VALUE"""),"Premkumar M")</f>
        <v>Premkumar M</v>
      </c>
      <c r="C869" s="115" t="str">
        <f>IFERROR(__xludf.DUMMYFUNCTION("""COMPUTED_VALUE"""),"EXTERNAL")</f>
        <v>EXTERNAL</v>
      </c>
      <c r="D869" s="115">
        <f>IFERROR(__xludf.DUMMYFUNCTION("""COMPUTED_VALUE"""),30965.0)</f>
        <v>30965</v>
      </c>
      <c r="E869" s="115">
        <f>IFERROR(__xludf.DUMMYFUNCTION("""COMPUTED_VALUE"""),2219.0)</f>
        <v>2219</v>
      </c>
      <c r="F869" s="115">
        <f>IFERROR(__xludf.DUMMYFUNCTION("""COMPUTED_VALUE"""),10485.0)</f>
        <v>10485</v>
      </c>
      <c r="G869" s="115">
        <f>IFERROR(__xludf.DUMMYFUNCTION("""COMPUTED_VALUE"""),222.0)</f>
        <v>222</v>
      </c>
      <c r="H869" s="116">
        <f>IFERROR(__xludf.DUMMYFUNCTION("""COMPUTED_VALUE"""),45902.0)</f>
        <v>45902</v>
      </c>
      <c r="I869" s="115" t="str">
        <f>IFERROR(__xludf.DUMMYFUNCTION("""COMPUTED_VALUE"""),"16")</f>
        <v>16</v>
      </c>
      <c r="J869" s="115" t="str">
        <f>IFERROR(__xludf.DUMMYFUNCTION("""COMPUTED_VALUE"""),"Premkumar M2025-09-0216")</f>
        <v>Premkumar M2025-09-0216</v>
      </c>
      <c r="K869" s="115">
        <f>IFERROR(__xludf.DUMMYFUNCTION("""COMPUTED_VALUE"""),33184.0)</f>
        <v>33184</v>
      </c>
    </row>
    <row r="870">
      <c r="A870" s="115" t="str">
        <f>IFERROR(__xludf.DUMMYFUNCTION("""COMPUTED_VALUE"""),"SOUTH")</f>
        <v>SOUTH</v>
      </c>
      <c r="B870" s="115" t="str">
        <f>IFERROR(__xludf.DUMMYFUNCTION("""COMPUTED_VALUE"""),"Premkumar M")</f>
        <v>Premkumar M</v>
      </c>
      <c r="C870" s="115" t="str">
        <f>IFERROR(__xludf.DUMMYFUNCTION("""COMPUTED_VALUE"""),"FLIPKART")</f>
        <v>FLIPKART</v>
      </c>
      <c r="D870" s="115">
        <f>IFERROR(__xludf.DUMMYFUNCTION("""COMPUTED_VALUE"""),277070.0)</f>
        <v>277070</v>
      </c>
      <c r="E870" s="115">
        <f>IFERROR(__xludf.DUMMYFUNCTION("""COMPUTED_VALUE"""),20349.0)</f>
        <v>20349</v>
      </c>
      <c r="F870" s="115">
        <f>IFERROR(__xludf.DUMMYFUNCTION("""COMPUTED_VALUE"""),149295.0)</f>
        <v>149295</v>
      </c>
      <c r="G870" s="115">
        <f>IFERROR(__xludf.DUMMYFUNCTION("""COMPUTED_VALUE"""),3285.0)</f>
        <v>3285</v>
      </c>
      <c r="H870" s="116">
        <f>IFERROR(__xludf.DUMMYFUNCTION("""COMPUTED_VALUE"""),45902.0)</f>
        <v>45902</v>
      </c>
      <c r="I870" s="115" t="str">
        <f>IFERROR(__xludf.DUMMYFUNCTION("""COMPUTED_VALUE"""),"16")</f>
        <v>16</v>
      </c>
      <c r="J870" s="115" t="str">
        <f>IFERROR(__xludf.DUMMYFUNCTION("""COMPUTED_VALUE"""),"Premkumar M2025-09-0216")</f>
        <v>Premkumar M2025-09-0216</v>
      </c>
      <c r="K870" s="115">
        <f>IFERROR(__xludf.DUMMYFUNCTION("""COMPUTED_VALUE"""),297419.0)</f>
        <v>297419</v>
      </c>
    </row>
    <row r="871">
      <c r="A871" s="115" t="str">
        <f>IFERROR(__xludf.DUMMYFUNCTION("""COMPUTED_VALUE"""),"SOUTH")</f>
        <v>SOUTH</v>
      </c>
      <c r="B871" s="115" t="str">
        <f>IFERROR(__xludf.DUMMYFUNCTION("""COMPUTED_VALUE"""),"Premkumar M")</f>
        <v>Premkumar M</v>
      </c>
      <c r="C871" s="115" t="str">
        <f>IFERROR(__xludf.DUMMYFUNCTION("""COMPUTED_VALUE"""),"MYNTRA")</f>
        <v>MYNTRA</v>
      </c>
      <c r="D871" s="115">
        <f>IFERROR(__xludf.DUMMYFUNCTION("""COMPUTED_VALUE"""),15537.0)</f>
        <v>15537</v>
      </c>
      <c r="E871" s="115">
        <f>IFERROR(__xludf.DUMMYFUNCTION("""COMPUTED_VALUE"""),3108.0)</f>
        <v>3108</v>
      </c>
      <c r="F871" s="115">
        <f>IFERROR(__xludf.DUMMYFUNCTION("""COMPUTED_VALUE"""),9645.0)</f>
        <v>9645</v>
      </c>
      <c r="G871" s="115">
        <f>IFERROR(__xludf.DUMMYFUNCTION("""COMPUTED_VALUE"""),576.0)</f>
        <v>576</v>
      </c>
      <c r="H871" s="116">
        <f>IFERROR(__xludf.DUMMYFUNCTION("""COMPUTED_VALUE"""),45902.0)</f>
        <v>45902</v>
      </c>
      <c r="I871" s="115" t="str">
        <f>IFERROR(__xludf.DUMMYFUNCTION("""COMPUTED_VALUE"""),"16")</f>
        <v>16</v>
      </c>
      <c r="J871" s="115" t="str">
        <f>IFERROR(__xludf.DUMMYFUNCTION("""COMPUTED_VALUE"""),"Premkumar M2025-09-0216")</f>
        <v>Premkumar M2025-09-0216</v>
      </c>
      <c r="K871" s="115">
        <f>IFERROR(__xludf.DUMMYFUNCTION("""COMPUTED_VALUE"""),18645.0)</f>
        <v>18645</v>
      </c>
    </row>
    <row r="872">
      <c r="A872" s="115" t="str">
        <f>IFERROR(__xludf.DUMMYFUNCTION("""COMPUTED_VALUE"""),"SOUTH")</f>
        <v>SOUTH</v>
      </c>
      <c r="B872" s="115" t="str">
        <f>IFERROR(__xludf.DUMMYFUNCTION("""COMPUTED_VALUE"""),"Vineeth V")</f>
        <v>Vineeth V</v>
      </c>
      <c r="C872" s="115" t="str">
        <f>IFERROR(__xludf.DUMMYFUNCTION("""COMPUTED_VALUE"""),"EXTERNAL")</f>
        <v>EXTERNAL</v>
      </c>
      <c r="D872" s="115">
        <f>IFERROR(__xludf.DUMMYFUNCTION("""COMPUTED_VALUE"""),21957.0)</f>
        <v>21957</v>
      </c>
      <c r="E872" s="115">
        <f>IFERROR(__xludf.DUMMYFUNCTION("""COMPUTED_VALUE"""),604.0)</f>
        <v>604</v>
      </c>
      <c r="F872" s="115">
        <f>IFERROR(__xludf.DUMMYFUNCTION("""COMPUTED_VALUE"""),8449.0)</f>
        <v>8449</v>
      </c>
      <c r="G872" s="115">
        <f>IFERROR(__xludf.DUMMYFUNCTION("""COMPUTED_VALUE"""),79.0)</f>
        <v>79</v>
      </c>
      <c r="H872" s="116">
        <f>IFERROR(__xludf.DUMMYFUNCTION("""COMPUTED_VALUE"""),45902.0)</f>
        <v>45902</v>
      </c>
      <c r="I872" s="115" t="str">
        <f>IFERROR(__xludf.DUMMYFUNCTION("""COMPUTED_VALUE"""),"16")</f>
        <v>16</v>
      </c>
      <c r="J872" s="115" t="str">
        <f>IFERROR(__xludf.DUMMYFUNCTION("""COMPUTED_VALUE"""),"Vineeth V2025-09-0216")</f>
        <v>Vineeth V2025-09-0216</v>
      </c>
      <c r="K872" s="115">
        <f>IFERROR(__xludf.DUMMYFUNCTION("""COMPUTED_VALUE"""),22561.0)</f>
        <v>22561</v>
      </c>
    </row>
    <row r="873">
      <c r="A873" s="115" t="str">
        <f>IFERROR(__xludf.DUMMYFUNCTION("""COMPUTED_VALUE"""),"SOUTH")</f>
        <v>SOUTH</v>
      </c>
      <c r="B873" s="115" t="str">
        <f>IFERROR(__xludf.DUMMYFUNCTION("""COMPUTED_VALUE"""),"Vineeth V")</f>
        <v>Vineeth V</v>
      </c>
      <c r="C873" s="115" t="str">
        <f>IFERROR(__xludf.DUMMYFUNCTION("""COMPUTED_VALUE"""),"FLIPKART")</f>
        <v>FLIPKART</v>
      </c>
      <c r="D873" s="115">
        <f>IFERROR(__xludf.DUMMYFUNCTION("""COMPUTED_VALUE"""),243693.0)</f>
        <v>243693</v>
      </c>
      <c r="E873" s="115">
        <f>IFERROR(__xludf.DUMMYFUNCTION("""COMPUTED_VALUE"""),18183.0)</f>
        <v>18183</v>
      </c>
      <c r="F873" s="115">
        <f>IFERROR(__xludf.DUMMYFUNCTION("""COMPUTED_VALUE"""),144672.0)</f>
        <v>144672</v>
      </c>
      <c r="G873" s="115">
        <f>IFERROR(__xludf.DUMMYFUNCTION("""COMPUTED_VALUE"""),3316.0)</f>
        <v>3316</v>
      </c>
      <c r="H873" s="116">
        <f>IFERROR(__xludf.DUMMYFUNCTION("""COMPUTED_VALUE"""),45902.0)</f>
        <v>45902</v>
      </c>
      <c r="I873" s="115" t="str">
        <f>IFERROR(__xludf.DUMMYFUNCTION("""COMPUTED_VALUE"""),"16")</f>
        <v>16</v>
      </c>
      <c r="J873" s="115" t="str">
        <f>IFERROR(__xludf.DUMMYFUNCTION("""COMPUTED_VALUE"""),"Vineeth V2025-09-0216")</f>
        <v>Vineeth V2025-09-0216</v>
      </c>
      <c r="K873" s="115">
        <f>IFERROR(__xludf.DUMMYFUNCTION("""COMPUTED_VALUE"""),261876.0)</f>
        <v>261876</v>
      </c>
    </row>
    <row r="874">
      <c r="A874" s="115" t="str">
        <f>IFERROR(__xludf.DUMMYFUNCTION("""COMPUTED_VALUE"""),"SOUTH")</f>
        <v>SOUTH</v>
      </c>
      <c r="B874" s="115" t="str">
        <f>IFERROR(__xludf.DUMMYFUNCTION("""COMPUTED_VALUE"""),"Vineeth V")</f>
        <v>Vineeth V</v>
      </c>
      <c r="C874" s="115" t="str">
        <f>IFERROR(__xludf.DUMMYFUNCTION("""COMPUTED_VALUE"""),"MYNTRA")</f>
        <v>MYNTRA</v>
      </c>
      <c r="D874" s="115">
        <f>IFERROR(__xludf.DUMMYFUNCTION("""COMPUTED_VALUE"""),21919.0)</f>
        <v>21919</v>
      </c>
      <c r="E874" s="115">
        <f>IFERROR(__xludf.DUMMYFUNCTION("""COMPUTED_VALUE"""),4200.0)</f>
        <v>4200</v>
      </c>
      <c r="F874" s="115">
        <f>IFERROR(__xludf.DUMMYFUNCTION("""COMPUTED_VALUE"""),14171.0)</f>
        <v>14171</v>
      </c>
      <c r="G874" s="115">
        <f>IFERROR(__xludf.DUMMYFUNCTION("""COMPUTED_VALUE"""),792.0)</f>
        <v>792</v>
      </c>
      <c r="H874" s="116">
        <f>IFERROR(__xludf.DUMMYFUNCTION("""COMPUTED_VALUE"""),45902.0)</f>
        <v>45902</v>
      </c>
      <c r="I874" s="115" t="str">
        <f>IFERROR(__xludf.DUMMYFUNCTION("""COMPUTED_VALUE"""),"16")</f>
        <v>16</v>
      </c>
      <c r="J874" s="115" t="str">
        <f>IFERROR(__xludf.DUMMYFUNCTION("""COMPUTED_VALUE"""),"Vineeth V2025-09-0216")</f>
        <v>Vineeth V2025-09-0216</v>
      </c>
      <c r="K874" s="115">
        <f>IFERROR(__xludf.DUMMYFUNCTION("""COMPUTED_VALUE"""),26119.0)</f>
        <v>26119</v>
      </c>
    </row>
    <row r="875">
      <c r="A875" s="115" t="str">
        <f>IFERROR(__xludf.DUMMYFUNCTION("""COMPUTED_VALUE"""),"WEST")</f>
        <v>WEST</v>
      </c>
      <c r="B875" s="115" t="str">
        <f>IFERROR(__xludf.DUMMYFUNCTION("""COMPUTED_VALUE"""),"Ashish Jakar")</f>
        <v>Ashish Jakar</v>
      </c>
      <c r="C875" s="115" t="str">
        <f>IFERROR(__xludf.DUMMYFUNCTION("""COMPUTED_VALUE"""),"EXTERNAL")</f>
        <v>EXTERNAL</v>
      </c>
      <c r="D875" s="115">
        <f>IFERROR(__xludf.DUMMYFUNCTION("""COMPUTED_VALUE"""),58204.0)</f>
        <v>58204</v>
      </c>
      <c r="E875" s="115">
        <f>IFERROR(__xludf.DUMMYFUNCTION("""COMPUTED_VALUE"""),6075.0)</f>
        <v>6075</v>
      </c>
      <c r="F875" s="115">
        <f>IFERROR(__xludf.DUMMYFUNCTION("""COMPUTED_VALUE"""),18295.0)</f>
        <v>18295</v>
      </c>
      <c r="G875" s="115">
        <f>IFERROR(__xludf.DUMMYFUNCTION("""COMPUTED_VALUE"""),1359.0)</f>
        <v>1359</v>
      </c>
      <c r="H875" s="116">
        <f>IFERROR(__xludf.DUMMYFUNCTION("""COMPUTED_VALUE"""),45902.0)</f>
        <v>45902</v>
      </c>
      <c r="I875" s="115" t="str">
        <f>IFERROR(__xludf.DUMMYFUNCTION("""COMPUTED_VALUE"""),"16")</f>
        <v>16</v>
      </c>
      <c r="J875" s="115" t="str">
        <f>IFERROR(__xludf.DUMMYFUNCTION("""COMPUTED_VALUE"""),"Ashish Jakar2025-09-0216")</f>
        <v>Ashish Jakar2025-09-0216</v>
      </c>
      <c r="K875" s="115">
        <f>IFERROR(__xludf.DUMMYFUNCTION("""COMPUTED_VALUE"""),64279.0)</f>
        <v>64279</v>
      </c>
    </row>
    <row r="876">
      <c r="A876" s="115" t="str">
        <f>IFERROR(__xludf.DUMMYFUNCTION("""COMPUTED_VALUE"""),"WEST")</f>
        <v>WEST</v>
      </c>
      <c r="B876" s="115" t="str">
        <f>IFERROR(__xludf.DUMMYFUNCTION("""COMPUTED_VALUE"""),"Ashish Jakar")</f>
        <v>Ashish Jakar</v>
      </c>
      <c r="C876" s="115" t="str">
        <f>IFERROR(__xludf.DUMMYFUNCTION("""COMPUTED_VALUE"""),"FLIPKART")</f>
        <v>FLIPKART</v>
      </c>
      <c r="D876" s="115">
        <f>IFERROR(__xludf.DUMMYFUNCTION("""COMPUTED_VALUE"""),315599.0)</f>
        <v>315599</v>
      </c>
      <c r="E876" s="115">
        <f>IFERROR(__xludf.DUMMYFUNCTION("""COMPUTED_VALUE"""),32559.0)</f>
        <v>32559</v>
      </c>
      <c r="F876" s="115">
        <f>IFERROR(__xludf.DUMMYFUNCTION("""COMPUTED_VALUE"""),181332.0)</f>
        <v>181332</v>
      </c>
      <c r="G876" s="115">
        <f>IFERROR(__xludf.DUMMYFUNCTION("""COMPUTED_VALUE"""),11172.0)</f>
        <v>11172</v>
      </c>
      <c r="H876" s="116">
        <f>IFERROR(__xludf.DUMMYFUNCTION("""COMPUTED_VALUE"""),45902.0)</f>
        <v>45902</v>
      </c>
      <c r="I876" s="115" t="str">
        <f>IFERROR(__xludf.DUMMYFUNCTION("""COMPUTED_VALUE"""),"16")</f>
        <v>16</v>
      </c>
      <c r="J876" s="115" t="str">
        <f>IFERROR(__xludf.DUMMYFUNCTION("""COMPUTED_VALUE"""),"Ashish Jakar2025-09-0216")</f>
        <v>Ashish Jakar2025-09-0216</v>
      </c>
      <c r="K876" s="115">
        <f>IFERROR(__xludf.DUMMYFUNCTION("""COMPUTED_VALUE"""),348158.0)</f>
        <v>348158</v>
      </c>
    </row>
    <row r="877">
      <c r="A877" s="115" t="str">
        <f>IFERROR(__xludf.DUMMYFUNCTION("""COMPUTED_VALUE"""),"WEST")</f>
        <v>WEST</v>
      </c>
      <c r="B877" s="115" t="str">
        <f>IFERROR(__xludf.DUMMYFUNCTION("""COMPUTED_VALUE"""),"Ashish Jakar")</f>
        <v>Ashish Jakar</v>
      </c>
      <c r="C877" s="115" t="str">
        <f>IFERROR(__xludf.DUMMYFUNCTION("""COMPUTED_VALUE"""),"MYNTRA")</f>
        <v>MYNTRA</v>
      </c>
      <c r="D877" s="115">
        <f>IFERROR(__xludf.DUMMYFUNCTION("""COMPUTED_VALUE"""),38005.0)</f>
        <v>38005</v>
      </c>
      <c r="E877" s="115">
        <f>IFERROR(__xludf.DUMMYFUNCTION("""COMPUTED_VALUE"""),10842.0)</f>
        <v>10842</v>
      </c>
      <c r="F877" s="115">
        <f>IFERROR(__xludf.DUMMYFUNCTION("""COMPUTED_VALUE"""),25287.0)</f>
        <v>25287</v>
      </c>
      <c r="G877" s="115">
        <f>IFERROR(__xludf.DUMMYFUNCTION("""COMPUTED_VALUE"""),4065.0)</f>
        <v>4065</v>
      </c>
      <c r="H877" s="116">
        <f>IFERROR(__xludf.DUMMYFUNCTION("""COMPUTED_VALUE"""),45902.0)</f>
        <v>45902</v>
      </c>
      <c r="I877" s="115" t="str">
        <f>IFERROR(__xludf.DUMMYFUNCTION("""COMPUTED_VALUE"""),"16")</f>
        <v>16</v>
      </c>
      <c r="J877" s="115" t="str">
        <f>IFERROR(__xludf.DUMMYFUNCTION("""COMPUTED_VALUE"""),"Ashish Jakar2025-09-0216")</f>
        <v>Ashish Jakar2025-09-0216</v>
      </c>
      <c r="K877" s="115">
        <f>IFERROR(__xludf.DUMMYFUNCTION("""COMPUTED_VALUE"""),48847.0)</f>
        <v>48847</v>
      </c>
    </row>
    <row r="878">
      <c r="A878" s="115" t="str">
        <f>IFERROR(__xludf.DUMMYFUNCTION("""COMPUTED_VALUE"""),"WEST")</f>
        <v>WEST</v>
      </c>
      <c r="B878" s="115" t="str">
        <f>IFERROR(__xludf.DUMMYFUNCTION("""COMPUTED_VALUE"""),"Ashvani Bhatt")</f>
        <v>Ashvani Bhatt</v>
      </c>
      <c r="C878" s="115" t="str">
        <f>IFERROR(__xludf.DUMMYFUNCTION("""COMPUTED_VALUE"""),"EXTERNAL")</f>
        <v>EXTERNAL</v>
      </c>
      <c r="D878" s="115">
        <f>IFERROR(__xludf.DUMMYFUNCTION("""COMPUTED_VALUE"""),37086.0)</f>
        <v>37086</v>
      </c>
      <c r="E878" s="115">
        <f>IFERROR(__xludf.DUMMYFUNCTION("""COMPUTED_VALUE"""),3579.0)</f>
        <v>3579</v>
      </c>
      <c r="F878" s="115">
        <f>IFERROR(__xludf.DUMMYFUNCTION("""COMPUTED_VALUE"""),12664.0)</f>
        <v>12664</v>
      </c>
      <c r="G878" s="115">
        <f>IFERROR(__xludf.DUMMYFUNCTION("""COMPUTED_VALUE"""),618.0)</f>
        <v>618</v>
      </c>
      <c r="H878" s="116">
        <f>IFERROR(__xludf.DUMMYFUNCTION("""COMPUTED_VALUE"""),45902.0)</f>
        <v>45902</v>
      </c>
      <c r="I878" s="115" t="str">
        <f>IFERROR(__xludf.DUMMYFUNCTION("""COMPUTED_VALUE"""),"16")</f>
        <v>16</v>
      </c>
      <c r="J878" s="115" t="str">
        <f>IFERROR(__xludf.DUMMYFUNCTION("""COMPUTED_VALUE"""),"Ashvani Bhatt2025-09-0216")</f>
        <v>Ashvani Bhatt2025-09-0216</v>
      </c>
      <c r="K878" s="115">
        <f>IFERROR(__xludf.DUMMYFUNCTION("""COMPUTED_VALUE"""),40665.0)</f>
        <v>40665</v>
      </c>
    </row>
    <row r="879">
      <c r="A879" s="115" t="str">
        <f>IFERROR(__xludf.DUMMYFUNCTION("""COMPUTED_VALUE"""),"WEST")</f>
        <v>WEST</v>
      </c>
      <c r="B879" s="115" t="str">
        <f>IFERROR(__xludf.DUMMYFUNCTION("""COMPUTED_VALUE"""),"Ashvani Bhatt")</f>
        <v>Ashvani Bhatt</v>
      </c>
      <c r="C879" s="115" t="str">
        <f>IFERROR(__xludf.DUMMYFUNCTION("""COMPUTED_VALUE"""),"FLIPKART")</f>
        <v>FLIPKART</v>
      </c>
      <c r="D879" s="115">
        <f>IFERROR(__xludf.DUMMYFUNCTION("""COMPUTED_VALUE"""),263527.0)</f>
        <v>263527</v>
      </c>
      <c r="E879" s="115">
        <f>IFERROR(__xludf.DUMMYFUNCTION("""COMPUTED_VALUE"""),28934.0)</f>
        <v>28934</v>
      </c>
      <c r="F879" s="115">
        <f>IFERROR(__xludf.DUMMYFUNCTION("""COMPUTED_VALUE"""),166915.0)</f>
        <v>166915</v>
      </c>
      <c r="G879" s="115">
        <f>IFERROR(__xludf.DUMMYFUNCTION("""COMPUTED_VALUE"""),10672.0)</f>
        <v>10672</v>
      </c>
      <c r="H879" s="116">
        <f>IFERROR(__xludf.DUMMYFUNCTION("""COMPUTED_VALUE"""),45902.0)</f>
        <v>45902</v>
      </c>
      <c r="I879" s="115" t="str">
        <f>IFERROR(__xludf.DUMMYFUNCTION("""COMPUTED_VALUE"""),"16")</f>
        <v>16</v>
      </c>
      <c r="J879" s="115" t="str">
        <f>IFERROR(__xludf.DUMMYFUNCTION("""COMPUTED_VALUE"""),"Ashvani Bhatt2025-09-0216")</f>
        <v>Ashvani Bhatt2025-09-0216</v>
      </c>
      <c r="K879" s="115">
        <f>IFERROR(__xludf.DUMMYFUNCTION("""COMPUTED_VALUE"""),292461.0)</f>
        <v>292461</v>
      </c>
    </row>
    <row r="880">
      <c r="A880" s="115" t="str">
        <f>IFERROR(__xludf.DUMMYFUNCTION("""COMPUTED_VALUE"""),"WEST")</f>
        <v>WEST</v>
      </c>
      <c r="B880" s="115" t="str">
        <f>IFERROR(__xludf.DUMMYFUNCTION("""COMPUTED_VALUE"""),"Ashvani Bhatt")</f>
        <v>Ashvani Bhatt</v>
      </c>
      <c r="C880" s="115" t="str">
        <f>IFERROR(__xludf.DUMMYFUNCTION("""COMPUTED_VALUE"""),"MYNTRA")</f>
        <v>MYNTRA</v>
      </c>
      <c r="D880" s="115">
        <f>IFERROR(__xludf.DUMMYFUNCTION("""COMPUTED_VALUE"""),30871.0)</f>
        <v>30871</v>
      </c>
      <c r="E880" s="115">
        <f>IFERROR(__xludf.DUMMYFUNCTION("""COMPUTED_VALUE"""),8730.0)</f>
        <v>8730</v>
      </c>
      <c r="F880" s="115">
        <f>IFERROR(__xludf.DUMMYFUNCTION("""COMPUTED_VALUE"""),23029.0)</f>
        <v>23029</v>
      </c>
      <c r="G880" s="115">
        <f>IFERROR(__xludf.DUMMYFUNCTION("""COMPUTED_VALUE"""),3997.0)</f>
        <v>3997</v>
      </c>
      <c r="H880" s="116">
        <f>IFERROR(__xludf.DUMMYFUNCTION("""COMPUTED_VALUE"""),45902.0)</f>
        <v>45902</v>
      </c>
      <c r="I880" s="115" t="str">
        <f>IFERROR(__xludf.DUMMYFUNCTION("""COMPUTED_VALUE"""),"16")</f>
        <v>16</v>
      </c>
      <c r="J880" s="115" t="str">
        <f>IFERROR(__xludf.DUMMYFUNCTION("""COMPUTED_VALUE"""),"Ashvani Bhatt2025-09-0216")</f>
        <v>Ashvani Bhatt2025-09-0216</v>
      </c>
      <c r="K880" s="115">
        <f>IFERROR(__xludf.DUMMYFUNCTION("""COMPUTED_VALUE"""),39601.0)</f>
        <v>39601</v>
      </c>
    </row>
    <row r="881">
      <c r="A881" s="115"/>
      <c r="B881" s="115"/>
      <c r="C881" s="115" t="str">
        <f>IFERROR(__xludf.DUMMYFUNCTION("""COMPUTED_VALUE"""),"EXTERNAL")</f>
        <v>EXTERNAL</v>
      </c>
      <c r="D881" s="115">
        <f>IFERROR(__xludf.DUMMYFUNCTION("""COMPUTED_VALUE"""),911.0)</f>
        <v>911</v>
      </c>
      <c r="E881" s="115">
        <f>IFERROR(__xludf.DUMMYFUNCTION("""COMPUTED_VALUE"""),62.0)</f>
        <v>62</v>
      </c>
      <c r="F881" s="115">
        <f>IFERROR(__xludf.DUMMYFUNCTION("""COMPUTED_VALUE"""),183.0)</f>
        <v>183</v>
      </c>
      <c r="G881" s="115">
        <f>IFERROR(__xludf.DUMMYFUNCTION("""COMPUTED_VALUE"""),6.0)</f>
        <v>6</v>
      </c>
      <c r="H881" s="116">
        <f>IFERROR(__xludf.DUMMYFUNCTION("""COMPUTED_VALUE"""),45902.0)</f>
        <v>45902</v>
      </c>
      <c r="I881" s="115" t="str">
        <f>IFERROR(__xludf.DUMMYFUNCTION("""COMPUTED_VALUE"""),"16")</f>
        <v>16</v>
      </c>
      <c r="J881" s="115" t="str">
        <f>IFERROR(__xludf.DUMMYFUNCTION("""COMPUTED_VALUE"""),"2025-09-0216")</f>
        <v>2025-09-0216</v>
      </c>
      <c r="K881" s="115">
        <f>IFERROR(__xludf.DUMMYFUNCTION("""COMPUTED_VALUE"""),973.0)</f>
        <v>973</v>
      </c>
    </row>
    <row r="882">
      <c r="A882" s="115"/>
      <c r="B882" s="115"/>
      <c r="C882" s="115" t="str">
        <f>IFERROR(__xludf.DUMMYFUNCTION("""COMPUTED_VALUE"""),"FLIPKART")</f>
        <v>FLIPKART</v>
      </c>
      <c r="D882" s="115">
        <f>IFERROR(__xludf.DUMMYFUNCTION("""COMPUTED_VALUE"""),8711.0)</f>
        <v>8711</v>
      </c>
      <c r="E882" s="115">
        <f>IFERROR(__xludf.DUMMYFUNCTION("""COMPUTED_VALUE"""),697.0)</f>
        <v>697</v>
      </c>
      <c r="F882" s="115">
        <f>IFERROR(__xludf.DUMMYFUNCTION("""COMPUTED_VALUE"""),3962.0)</f>
        <v>3962</v>
      </c>
      <c r="G882" s="115">
        <f>IFERROR(__xludf.DUMMYFUNCTION("""COMPUTED_VALUE"""),221.0)</f>
        <v>221</v>
      </c>
      <c r="H882" s="116">
        <f>IFERROR(__xludf.DUMMYFUNCTION("""COMPUTED_VALUE"""),45902.0)</f>
        <v>45902</v>
      </c>
      <c r="I882" s="115" t="str">
        <f>IFERROR(__xludf.DUMMYFUNCTION("""COMPUTED_VALUE"""),"16")</f>
        <v>16</v>
      </c>
      <c r="J882" s="115" t="str">
        <f>IFERROR(__xludf.DUMMYFUNCTION("""COMPUTED_VALUE"""),"2025-09-0216")</f>
        <v>2025-09-0216</v>
      </c>
      <c r="K882" s="115">
        <f>IFERROR(__xludf.DUMMYFUNCTION("""COMPUTED_VALUE"""),9408.0)</f>
        <v>9408</v>
      </c>
    </row>
    <row r="883">
      <c r="A883" s="115"/>
      <c r="B883" s="115"/>
      <c r="C883" s="115" t="str">
        <f>IFERROR(__xludf.DUMMYFUNCTION("""COMPUTED_VALUE"""),"MYNTRA")</f>
        <v>MYNTRA</v>
      </c>
      <c r="D883" s="115">
        <f>IFERROR(__xludf.DUMMYFUNCTION("""COMPUTED_VALUE"""),951.0)</f>
        <v>951</v>
      </c>
      <c r="E883" s="115">
        <f>IFERROR(__xludf.DUMMYFUNCTION("""COMPUTED_VALUE"""),176.0)</f>
        <v>176</v>
      </c>
      <c r="F883" s="115">
        <f>IFERROR(__xludf.DUMMYFUNCTION("""COMPUTED_VALUE"""),406.0)</f>
        <v>406</v>
      </c>
      <c r="G883" s="115">
        <f>IFERROR(__xludf.DUMMYFUNCTION("""COMPUTED_VALUE"""),62.0)</f>
        <v>62</v>
      </c>
      <c r="H883" s="116">
        <f>IFERROR(__xludf.DUMMYFUNCTION("""COMPUTED_VALUE"""),45902.0)</f>
        <v>45902</v>
      </c>
      <c r="I883" s="115" t="str">
        <f>IFERROR(__xludf.DUMMYFUNCTION("""COMPUTED_VALUE"""),"16")</f>
        <v>16</v>
      </c>
      <c r="J883" s="115" t="str">
        <f>IFERROR(__xludf.DUMMYFUNCTION("""COMPUTED_VALUE"""),"2025-09-0216")</f>
        <v>2025-09-0216</v>
      </c>
      <c r="K883" s="115">
        <f>IFERROR(__xludf.DUMMYFUNCTION("""COMPUTED_VALUE"""),1127.0)</f>
        <v>1127</v>
      </c>
    </row>
    <row r="884">
      <c r="A884" s="115" t="str">
        <f>IFERROR(__xludf.DUMMYFUNCTION("""COMPUTED_VALUE"""),"EAST")</f>
        <v>EAST</v>
      </c>
      <c r="B884" s="115" t="str">
        <f>IFERROR(__xludf.DUMMYFUNCTION("""COMPUTED_VALUE"""),"Ashish Ranjan")</f>
        <v>Ashish Ranjan</v>
      </c>
      <c r="C884" s="115" t="str">
        <f>IFERROR(__xludf.DUMMYFUNCTION("""COMPUTED_VALUE"""),"EXTERNAL")</f>
        <v>EXTERNAL</v>
      </c>
      <c r="D884" s="115">
        <f>IFERROR(__xludf.DUMMYFUNCTION("""COMPUTED_VALUE"""),39841.0)</f>
        <v>39841</v>
      </c>
      <c r="E884" s="115">
        <f>IFERROR(__xludf.DUMMYFUNCTION("""COMPUTED_VALUE"""),2754.0)</f>
        <v>2754</v>
      </c>
      <c r="F884" s="115">
        <f>IFERROR(__xludf.DUMMYFUNCTION("""COMPUTED_VALUE"""),18207.0)</f>
        <v>18207</v>
      </c>
      <c r="G884" s="115">
        <f>IFERROR(__xludf.DUMMYFUNCTION("""COMPUTED_VALUE"""),892.0)</f>
        <v>892</v>
      </c>
      <c r="H884" s="116">
        <f>IFERROR(__xludf.DUMMYFUNCTION("""COMPUTED_VALUE"""),45902.0)</f>
        <v>45902</v>
      </c>
      <c r="I884" s="115" t="str">
        <f>IFERROR(__xludf.DUMMYFUNCTION("""COMPUTED_VALUE"""),"17")</f>
        <v>17</v>
      </c>
      <c r="J884" s="115" t="str">
        <f>IFERROR(__xludf.DUMMYFUNCTION("""COMPUTED_VALUE"""),"Ashish Ranjan2025-09-0217")</f>
        <v>Ashish Ranjan2025-09-0217</v>
      </c>
      <c r="K884" s="115">
        <f>IFERROR(__xludf.DUMMYFUNCTION("""COMPUTED_VALUE"""),42595.0)</f>
        <v>42595</v>
      </c>
    </row>
    <row r="885">
      <c r="A885" s="115" t="str">
        <f>IFERROR(__xludf.DUMMYFUNCTION("""COMPUTED_VALUE"""),"EAST")</f>
        <v>EAST</v>
      </c>
      <c r="B885" s="115" t="str">
        <f>IFERROR(__xludf.DUMMYFUNCTION("""COMPUTED_VALUE"""),"Ashish Ranjan")</f>
        <v>Ashish Ranjan</v>
      </c>
      <c r="C885" s="115" t="str">
        <f>IFERROR(__xludf.DUMMYFUNCTION("""COMPUTED_VALUE"""),"FLIPKART")</f>
        <v>FLIPKART</v>
      </c>
      <c r="D885" s="115">
        <f>IFERROR(__xludf.DUMMYFUNCTION("""COMPUTED_VALUE"""),582604.0)</f>
        <v>582604</v>
      </c>
      <c r="E885" s="115">
        <f>IFERROR(__xludf.DUMMYFUNCTION("""COMPUTED_VALUE"""),58679.0)</f>
        <v>58679</v>
      </c>
      <c r="F885" s="115">
        <f>IFERROR(__xludf.DUMMYFUNCTION("""COMPUTED_VALUE"""),443858.0)</f>
        <v>443858</v>
      </c>
      <c r="G885" s="115">
        <f>IFERROR(__xludf.DUMMYFUNCTION("""COMPUTED_VALUE"""),30556.0)</f>
        <v>30556</v>
      </c>
      <c r="H885" s="116">
        <f>IFERROR(__xludf.DUMMYFUNCTION("""COMPUTED_VALUE"""),45902.0)</f>
        <v>45902</v>
      </c>
      <c r="I885" s="115" t="str">
        <f>IFERROR(__xludf.DUMMYFUNCTION("""COMPUTED_VALUE"""),"17")</f>
        <v>17</v>
      </c>
      <c r="J885" s="115" t="str">
        <f>IFERROR(__xludf.DUMMYFUNCTION("""COMPUTED_VALUE"""),"Ashish Ranjan2025-09-0217")</f>
        <v>Ashish Ranjan2025-09-0217</v>
      </c>
      <c r="K885" s="115">
        <f>IFERROR(__xludf.DUMMYFUNCTION("""COMPUTED_VALUE"""),641283.0)</f>
        <v>641283</v>
      </c>
    </row>
    <row r="886">
      <c r="A886" s="115" t="str">
        <f>IFERROR(__xludf.DUMMYFUNCTION("""COMPUTED_VALUE"""),"EAST")</f>
        <v>EAST</v>
      </c>
      <c r="B886" s="115" t="str">
        <f>IFERROR(__xludf.DUMMYFUNCTION("""COMPUTED_VALUE"""),"Ashish Ranjan")</f>
        <v>Ashish Ranjan</v>
      </c>
      <c r="C886" s="115" t="str">
        <f>IFERROR(__xludf.DUMMYFUNCTION("""COMPUTED_VALUE"""),"MYNTRA")</f>
        <v>MYNTRA</v>
      </c>
      <c r="D886" s="115">
        <f>IFERROR(__xludf.DUMMYFUNCTION("""COMPUTED_VALUE"""),55818.0)</f>
        <v>55818</v>
      </c>
      <c r="E886" s="115">
        <f>IFERROR(__xludf.DUMMYFUNCTION("""COMPUTED_VALUE"""),12024.0)</f>
        <v>12024</v>
      </c>
      <c r="F886" s="115">
        <f>IFERROR(__xludf.DUMMYFUNCTION("""COMPUTED_VALUE"""),43552.0)</f>
        <v>43552</v>
      </c>
      <c r="G886" s="115">
        <f>IFERROR(__xludf.DUMMYFUNCTION("""COMPUTED_VALUE"""),6381.0)</f>
        <v>6381</v>
      </c>
      <c r="H886" s="116">
        <f>IFERROR(__xludf.DUMMYFUNCTION("""COMPUTED_VALUE"""),45902.0)</f>
        <v>45902</v>
      </c>
      <c r="I886" s="115" t="str">
        <f>IFERROR(__xludf.DUMMYFUNCTION("""COMPUTED_VALUE"""),"17")</f>
        <v>17</v>
      </c>
      <c r="J886" s="115" t="str">
        <f>IFERROR(__xludf.DUMMYFUNCTION("""COMPUTED_VALUE"""),"Ashish Ranjan2025-09-0217")</f>
        <v>Ashish Ranjan2025-09-0217</v>
      </c>
      <c r="K886" s="115">
        <f>IFERROR(__xludf.DUMMYFUNCTION("""COMPUTED_VALUE"""),67842.0)</f>
        <v>67842</v>
      </c>
    </row>
    <row r="887">
      <c r="A887" s="115" t="str">
        <f>IFERROR(__xludf.DUMMYFUNCTION("""COMPUTED_VALUE"""),"EAST")</f>
        <v>EAST</v>
      </c>
      <c r="B887" s="115" t="str">
        <f>IFERROR(__xludf.DUMMYFUNCTION("""COMPUTED_VALUE"""),"Girish Chand")</f>
        <v>Girish Chand</v>
      </c>
      <c r="C887" s="115" t="str">
        <f>IFERROR(__xludf.DUMMYFUNCTION("""COMPUTED_VALUE"""),"EXTERNAL")</f>
        <v>EXTERNAL</v>
      </c>
      <c r="D887" s="115">
        <f>IFERROR(__xludf.DUMMYFUNCTION("""COMPUTED_VALUE"""),23159.0)</f>
        <v>23159</v>
      </c>
      <c r="E887" s="115">
        <f>IFERROR(__xludf.DUMMYFUNCTION("""COMPUTED_VALUE"""),2386.0)</f>
        <v>2386</v>
      </c>
      <c r="F887" s="115">
        <f>IFERROR(__xludf.DUMMYFUNCTION("""COMPUTED_VALUE"""),8405.0)</f>
        <v>8405</v>
      </c>
      <c r="G887" s="115">
        <f>IFERROR(__xludf.DUMMYFUNCTION("""COMPUTED_VALUE"""),424.0)</f>
        <v>424</v>
      </c>
      <c r="H887" s="116">
        <f>IFERROR(__xludf.DUMMYFUNCTION("""COMPUTED_VALUE"""),45902.0)</f>
        <v>45902</v>
      </c>
      <c r="I887" s="115" t="str">
        <f>IFERROR(__xludf.DUMMYFUNCTION("""COMPUTED_VALUE"""),"17")</f>
        <v>17</v>
      </c>
      <c r="J887" s="115" t="str">
        <f>IFERROR(__xludf.DUMMYFUNCTION("""COMPUTED_VALUE"""),"Girish Chand2025-09-0217")</f>
        <v>Girish Chand2025-09-0217</v>
      </c>
      <c r="K887" s="115">
        <f>IFERROR(__xludf.DUMMYFUNCTION("""COMPUTED_VALUE"""),25545.0)</f>
        <v>25545</v>
      </c>
    </row>
    <row r="888">
      <c r="A888" s="115" t="str">
        <f>IFERROR(__xludf.DUMMYFUNCTION("""COMPUTED_VALUE"""),"EAST")</f>
        <v>EAST</v>
      </c>
      <c r="B888" s="115" t="str">
        <f>IFERROR(__xludf.DUMMYFUNCTION("""COMPUTED_VALUE"""),"Girish Chand")</f>
        <v>Girish Chand</v>
      </c>
      <c r="C888" s="115" t="str">
        <f>IFERROR(__xludf.DUMMYFUNCTION("""COMPUTED_VALUE"""),"FLIPKART")</f>
        <v>FLIPKART</v>
      </c>
      <c r="D888" s="115">
        <f>IFERROR(__xludf.DUMMYFUNCTION("""COMPUTED_VALUE"""),393078.0)</f>
        <v>393078</v>
      </c>
      <c r="E888" s="115">
        <f>IFERROR(__xludf.DUMMYFUNCTION("""COMPUTED_VALUE"""),38658.0)</f>
        <v>38658</v>
      </c>
      <c r="F888" s="115">
        <f>IFERROR(__xludf.DUMMYFUNCTION("""COMPUTED_VALUE"""),263783.0)</f>
        <v>263783</v>
      </c>
      <c r="G888" s="115">
        <f>IFERROR(__xludf.DUMMYFUNCTION("""COMPUTED_VALUE"""),16318.0)</f>
        <v>16318</v>
      </c>
      <c r="H888" s="116">
        <f>IFERROR(__xludf.DUMMYFUNCTION("""COMPUTED_VALUE"""),45902.0)</f>
        <v>45902</v>
      </c>
      <c r="I888" s="115" t="str">
        <f>IFERROR(__xludf.DUMMYFUNCTION("""COMPUTED_VALUE"""),"17")</f>
        <v>17</v>
      </c>
      <c r="J888" s="115" t="str">
        <f>IFERROR(__xludf.DUMMYFUNCTION("""COMPUTED_VALUE"""),"Girish Chand2025-09-0217")</f>
        <v>Girish Chand2025-09-0217</v>
      </c>
      <c r="K888" s="115">
        <f>IFERROR(__xludf.DUMMYFUNCTION("""COMPUTED_VALUE"""),431736.0)</f>
        <v>431736</v>
      </c>
    </row>
    <row r="889">
      <c r="A889" s="115" t="str">
        <f>IFERROR(__xludf.DUMMYFUNCTION("""COMPUTED_VALUE"""),"EAST")</f>
        <v>EAST</v>
      </c>
      <c r="B889" s="115" t="str">
        <f>IFERROR(__xludf.DUMMYFUNCTION("""COMPUTED_VALUE"""),"Girish Chand")</f>
        <v>Girish Chand</v>
      </c>
      <c r="C889" s="115" t="str">
        <f>IFERROR(__xludf.DUMMYFUNCTION("""COMPUTED_VALUE"""),"MYNTRA")</f>
        <v>MYNTRA</v>
      </c>
      <c r="D889" s="115">
        <f>IFERROR(__xludf.DUMMYFUNCTION("""COMPUTED_VALUE"""),31031.0)</f>
        <v>31031</v>
      </c>
      <c r="E889" s="115">
        <f>IFERROR(__xludf.DUMMYFUNCTION("""COMPUTED_VALUE"""),6483.0)</f>
        <v>6483</v>
      </c>
      <c r="F889" s="115">
        <f>IFERROR(__xludf.DUMMYFUNCTION("""COMPUTED_VALUE"""),22328.0)</f>
        <v>22328</v>
      </c>
      <c r="G889" s="115">
        <f>IFERROR(__xludf.DUMMYFUNCTION("""COMPUTED_VALUE"""),2949.0)</f>
        <v>2949</v>
      </c>
      <c r="H889" s="116">
        <f>IFERROR(__xludf.DUMMYFUNCTION("""COMPUTED_VALUE"""),45902.0)</f>
        <v>45902</v>
      </c>
      <c r="I889" s="115" t="str">
        <f>IFERROR(__xludf.DUMMYFUNCTION("""COMPUTED_VALUE"""),"17")</f>
        <v>17</v>
      </c>
      <c r="J889" s="115" t="str">
        <f>IFERROR(__xludf.DUMMYFUNCTION("""COMPUTED_VALUE"""),"Girish Chand2025-09-0217")</f>
        <v>Girish Chand2025-09-0217</v>
      </c>
      <c r="K889" s="115">
        <f>IFERROR(__xludf.DUMMYFUNCTION("""COMPUTED_VALUE"""),37514.0)</f>
        <v>37514</v>
      </c>
    </row>
    <row r="890">
      <c r="A890" s="115" t="str">
        <f>IFERROR(__xludf.DUMMYFUNCTION("""COMPUTED_VALUE"""),"EAST")</f>
        <v>EAST</v>
      </c>
      <c r="B890" s="115" t="str">
        <f>IFERROR(__xludf.DUMMYFUNCTION("""COMPUTED_VALUE"""),"Parag Kashyap")</f>
        <v>Parag Kashyap</v>
      </c>
      <c r="C890" s="115" t="str">
        <f>IFERROR(__xludf.DUMMYFUNCTION("""COMPUTED_VALUE"""),"EXTERNAL")</f>
        <v>EXTERNAL</v>
      </c>
      <c r="D890" s="115">
        <f>IFERROR(__xludf.DUMMYFUNCTION("""COMPUTED_VALUE"""),21120.0)</f>
        <v>21120</v>
      </c>
      <c r="E890" s="115">
        <f>IFERROR(__xludf.DUMMYFUNCTION("""COMPUTED_VALUE"""),1180.0)</f>
        <v>1180</v>
      </c>
      <c r="F890" s="115">
        <f>IFERROR(__xludf.DUMMYFUNCTION("""COMPUTED_VALUE"""),7138.0)</f>
        <v>7138</v>
      </c>
      <c r="G890" s="115">
        <f>IFERROR(__xludf.DUMMYFUNCTION("""COMPUTED_VALUE"""),167.0)</f>
        <v>167</v>
      </c>
      <c r="H890" s="116">
        <f>IFERROR(__xludf.DUMMYFUNCTION("""COMPUTED_VALUE"""),45902.0)</f>
        <v>45902</v>
      </c>
      <c r="I890" s="115" t="str">
        <f>IFERROR(__xludf.DUMMYFUNCTION("""COMPUTED_VALUE"""),"17")</f>
        <v>17</v>
      </c>
      <c r="J890" s="115" t="str">
        <f>IFERROR(__xludf.DUMMYFUNCTION("""COMPUTED_VALUE"""),"Parag Kashyap2025-09-0217")</f>
        <v>Parag Kashyap2025-09-0217</v>
      </c>
      <c r="K890" s="115">
        <f>IFERROR(__xludf.DUMMYFUNCTION("""COMPUTED_VALUE"""),22300.0)</f>
        <v>22300</v>
      </c>
    </row>
    <row r="891">
      <c r="A891" s="115" t="str">
        <f>IFERROR(__xludf.DUMMYFUNCTION("""COMPUTED_VALUE"""),"EAST")</f>
        <v>EAST</v>
      </c>
      <c r="B891" s="115" t="str">
        <f>IFERROR(__xludf.DUMMYFUNCTION("""COMPUTED_VALUE"""),"Parag Kashyap")</f>
        <v>Parag Kashyap</v>
      </c>
      <c r="C891" s="115" t="str">
        <f>IFERROR(__xludf.DUMMYFUNCTION("""COMPUTED_VALUE"""),"FLIPKART")</f>
        <v>FLIPKART</v>
      </c>
      <c r="D891" s="115">
        <f>IFERROR(__xludf.DUMMYFUNCTION("""COMPUTED_VALUE"""),297532.0)</f>
        <v>297532</v>
      </c>
      <c r="E891" s="115">
        <f>IFERROR(__xludf.DUMMYFUNCTION("""COMPUTED_VALUE"""),19037.0)</f>
        <v>19037</v>
      </c>
      <c r="F891" s="115">
        <f>IFERROR(__xludf.DUMMYFUNCTION("""COMPUTED_VALUE"""),196019.0)</f>
        <v>196019</v>
      </c>
      <c r="G891" s="115">
        <f>IFERROR(__xludf.DUMMYFUNCTION("""COMPUTED_VALUE"""),6210.0)</f>
        <v>6210</v>
      </c>
      <c r="H891" s="116">
        <f>IFERROR(__xludf.DUMMYFUNCTION("""COMPUTED_VALUE"""),45902.0)</f>
        <v>45902</v>
      </c>
      <c r="I891" s="115" t="str">
        <f>IFERROR(__xludf.DUMMYFUNCTION("""COMPUTED_VALUE"""),"17")</f>
        <v>17</v>
      </c>
      <c r="J891" s="115" t="str">
        <f>IFERROR(__xludf.DUMMYFUNCTION("""COMPUTED_VALUE"""),"Parag Kashyap2025-09-0217")</f>
        <v>Parag Kashyap2025-09-0217</v>
      </c>
      <c r="K891" s="115">
        <f>IFERROR(__xludf.DUMMYFUNCTION("""COMPUTED_VALUE"""),316569.0)</f>
        <v>316569</v>
      </c>
    </row>
    <row r="892">
      <c r="A892" s="115" t="str">
        <f>IFERROR(__xludf.DUMMYFUNCTION("""COMPUTED_VALUE"""),"EAST")</f>
        <v>EAST</v>
      </c>
      <c r="B892" s="115" t="str">
        <f>IFERROR(__xludf.DUMMYFUNCTION("""COMPUTED_VALUE"""),"Parag Kashyap")</f>
        <v>Parag Kashyap</v>
      </c>
      <c r="C892" s="115" t="str">
        <f>IFERROR(__xludf.DUMMYFUNCTION("""COMPUTED_VALUE"""),"MYNTRA")</f>
        <v>MYNTRA</v>
      </c>
      <c r="D892" s="115">
        <f>IFERROR(__xludf.DUMMYFUNCTION("""COMPUTED_VALUE"""),31039.0)</f>
        <v>31039</v>
      </c>
      <c r="E892" s="115">
        <f>IFERROR(__xludf.DUMMYFUNCTION("""COMPUTED_VALUE"""),5034.0)</f>
        <v>5034</v>
      </c>
      <c r="F892" s="115">
        <f>IFERROR(__xludf.DUMMYFUNCTION("""COMPUTED_VALUE"""),21406.0)</f>
        <v>21406</v>
      </c>
      <c r="G892" s="115">
        <f>IFERROR(__xludf.DUMMYFUNCTION("""COMPUTED_VALUE"""),1650.0)</f>
        <v>1650</v>
      </c>
      <c r="H892" s="116">
        <f>IFERROR(__xludf.DUMMYFUNCTION("""COMPUTED_VALUE"""),45902.0)</f>
        <v>45902</v>
      </c>
      <c r="I892" s="115" t="str">
        <f>IFERROR(__xludf.DUMMYFUNCTION("""COMPUTED_VALUE"""),"17")</f>
        <v>17</v>
      </c>
      <c r="J892" s="115" t="str">
        <f>IFERROR(__xludf.DUMMYFUNCTION("""COMPUTED_VALUE"""),"Parag Kashyap2025-09-0217")</f>
        <v>Parag Kashyap2025-09-0217</v>
      </c>
      <c r="K892" s="115">
        <f>IFERROR(__xludf.DUMMYFUNCTION("""COMPUTED_VALUE"""),36073.0)</f>
        <v>36073</v>
      </c>
    </row>
    <row r="893">
      <c r="A893" s="115" t="str">
        <f>IFERROR(__xludf.DUMMYFUNCTION("""COMPUTED_VALUE"""),"NORTH")</f>
        <v>NORTH</v>
      </c>
      <c r="B893" s="115" t="str">
        <f>IFERROR(__xludf.DUMMYFUNCTION("""COMPUTED_VALUE"""),"Amit Kumar Pathak")</f>
        <v>Amit Kumar Pathak</v>
      </c>
      <c r="C893" s="115" t="str">
        <f>IFERROR(__xludf.DUMMYFUNCTION("""COMPUTED_VALUE"""),"EXTERNAL")</f>
        <v>EXTERNAL</v>
      </c>
      <c r="D893" s="115">
        <f>IFERROR(__xludf.DUMMYFUNCTION("""COMPUTED_VALUE"""),25102.0)</f>
        <v>25102</v>
      </c>
      <c r="E893" s="115">
        <f>IFERROR(__xludf.DUMMYFUNCTION("""COMPUTED_VALUE"""),2196.0)</f>
        <v>2196</v>
      </c>
      <c r="F893" s="115">
        <f>IFERROR(__xludf.DUMMYFUNCTION("""COMPUTED_VALUE"""),7397.0)</f>
        <v>7397</v>
      </c>
      <c r="G893" s="115">
        <f>IFERROR(__xludf.DUMMYFUNCTION("""COMPUTED_VALUE"""),522.0)</f>
        <v>522</v>
      </c>
      <c r="H893" s="116">
        <f>IFERROR(__xludf.DUMMYFUNCTION("""COMPUTED_VALUE"""),45902.0)</f>
        <v>45902</v>
      </c>
      <c r="I893" s="115" t="str">
        <f>IFERROR(__xludf.DUMMYFUNCTION("""COMPUTED_VALUE"""),"17")</f>
        <v>17</v>
      </c>
      <c r="J893" s="115" t="str">
        <f>IFERROR(__xludf.DUMMYFUNCTION("""COMPUTED_VALUE"""),"Amit Kumar Pathak2025-09-0217")</f>
        <v>Amit Kumar Pathak2025-09-0217</v>
      </c>
      <c r="K893" s="115">
        <f>IFERROR(__xludf.DUMMYFUNCTION("""COMPUTED_VALUE"""),27298.0)</f>
        <v>27298</v>
      </c>
    </row>
    <row r="894">
      <c r="A894" s="115" t="str">
        <f>IFERROR(__xludf.DUMMYFUNCTION("""COMPUTED_VALUE"""),"NORTH")</f>
        <v>NORTH</v>
      </c>
      <c r="B894" s="115" t="str">
        <f>IFERROR(__xludf.DUMMYFUNCTION("""COMPUTED_VALUE"""),"Amit Kumar Pathak")</f>
        <v>Amit Kumar Pathak</v>
      </c>
      <c r="C894" s="115" t="str">
        <f>IFERROR(__xludf.DUMMYFUNCTION("""COMPUTED_VALUE"""),"FLIPKART")</f>
        <v>FLIPKART</v>
      </c>
      <c r="D894" s="115">
        <f>IFERROR(__xludf.DUMMYFUNCTION("""COMPUTED_VALUE"""),172361.0)</f>
        <v>172361</v>
      </c>
      <c r="E894" s="115">
        <f>IFERROR(__xludf.DUMMYFUNCTION("""COMPUTED_VALUE"""),22177.0)</f>
        <v>22177</v>
      </c>
      <c r="F894" s="115">
        <f>IFERROR(__xludf.DUMMYFUNCTION("""COMPUTED_VALUE"""),94712.0)</f>
        <v>94712</v>
      </c>
      <c r="G894" s="115">
        <f>IFERROR(__xludf.DUMMYFUNCTION("""COMPUTED_VALUE"""),9886.0)</f>
        <v>9886</v>
      </c>
      <c r="H894" s="116">
        <f>IFERROR(__xludf.DUMMYFUNCTION("""COMPUTED_VALUE"""),45902.0)</f>
        <v>45902</v>
      </c>
      <c r="I894" s="115" t="str">
        <f>IFERROR(__xludf.DUMMYFUNCTION("""COMPUTED_VALUE"""),"17")</f>
        <v>17</v>
      </c>
      <c r="J894" s="115" t="str">
        <f>IFERROR(__xludf.DUMMYFUNCTION("""COMPUTED_VALUE"""),"Amit Kumar Pathak2025-09-0217")</f>
        <v>Amit Kumar Pathak2025-09-0217</v>
      </c>
      <c r="K894" s="115">
        <f>IFERROR(__xludf.DUMMYFUNCTION("""COMPUTED_VALUE"""),194538.0)</f>
        <v>194538</v>
      </c>
    </row>
    <row r="895">
      <c r="A895" s="115" t="str">
        <f>IFERROR(__xludf.DUMMYFUNCTION("""COMPUTED_VALUE"""),"NORTH")</f>
        <v>NORTH</v>
      </c>
      <c r="B895" s="115" t="str">
        <f>IFERROR(__xludf.DUMMYFUNCTION("""COMPUTED_VALUE"""),"Amit Kumar Pathak")</f>
        <v>Amit Kumar Pathak</v>
      </c>
      <c r="C895" s="115" t="str">
        <f>IFERROR(__xludf.DUMMYFUNCTION("""COMPUTED_VALUE"""),"MYNTRA")</f>
        <v>MYNTRA</v>
      </c>
      <c r="D895" s="115">
        <f>IFERROR(__xludf.DUMMYFUNCTION("""COMPUTED_VALUE"""),16836.0)</f>
        <v>16836</v>
      </c>
      <c r="E895" s="115">
        <f>IFERROR(__xludf.DUMMYFUNCTION("""COMPUTED_VALUE"""),5139.0)</f>
        <v>5139</v>
      </c>
      <c r="F895" s="115">
        <f>IFERROR(__xludf.DUMMYFUNCTION("""COMPUTED_VALUE"""),10774.0)</f>
        <v>10774</v>
      </c>
      <c r="G895" s="115">
        <f>IFERROR(__xludf.DUMMYFUNCTION("""COMPUTED_VALUE"""),2545.0)</f>
        <v>2545</v>
      </c>
      <c r="H895" s="116">
        <f>IFERROR(__xludf.DUMMYFUNCTION("""COMPUTED_VALUE"""),45902.0)</f>
        <v>45902</v>
      </c>
      <c r="I895" s="115" t="str">
        <f>IFERROR(__xludf.DUMMYFUNCTION("""COMPUTED_VALUE"""),"17")</f>
        <v>17</v>
      </c>
      <c r="J895" s="115" t="str">
        <f>IFERROR(__xludf.DUMMYFUNCTION("""COMPUTED_VALUE"""),"Amit Kumar Pathak2025-09-0217")</f>
        <v>Amit Kumar Pathak2025-09-0217</v>
      </c>
      <c r="K895" s="115">
        <f>IFERROR(__xludf.DUMMYFUNCTION("""COMPUTED_VALUE"""),21975.0)</f>
        <v>21975</v>
      </c>
    </row>
    <row r="896">
      <c r="A896" s="115" t="str">
        <f>IFERROR(__xludf.DUMMYFUNCTION("""COMPUTED_VALUE"""),"NORTH")</f>
        <v>NORTH</v>
      </c>
      <c r="B896" s="115" t="str">
        <f>IFERROR(__xludf.DUMMYFUNCTION("""COMPUTED_VALUE"""),"Loveleen Singh")</f>
        <v>Loveleen Singh</v>
      </c>
      <c r="C896" s="115" t="str">
        <f>IFERROR(__xludf.DUMMYFUNCTION("""COMPUTED_VALUE"""),"EXTERNAL")</f>
        <v>EXTERNAL</v>
      </c>
      <c r="D896" s="115">
        <f>IFERROR(__xludf.DUMMYFUNCTION("""COMPUTED_VALUE"""),29216.0)</f>
        <v>29216</v>
      </c>
      <c r="E896" s="115">
        <f>IFERROR(__xludf.DUMMYFUNCTION("""COMPUTED_VALUE"""),2060.0)</f>
        <v>2060</v>
      </c>
      <c r="F896" s="115">
        <f>IFERROR(__xludf.DUMMYFUNCTION("""COMPUTED_VALUE"""),8835.0)</f>
        <v>8835</v>
      </c>
      <c r="G896" s="115">
        <f>IFERROR(__xludf.DUMMYFUNCTION("""COMPUTED_VALUE"""),343.0)</f>
        <v>343</v>
      </c>
      <c r="H896" s="116">
        <f>IFERROR(__xludf.DUMMYFUNCTION("""COMPUTED_VALUE"""),45902.0)</f>
        <v>45902</v>
      </c>
      <c r="I896" s="115" t="str">
        <f>IFERROR(__xludf.DUMMYFUNCTION("""COMPUTED_VALUE"""),"17")</f>
        <v>17</v>
      </c>
      <c r="J896" s="115" t="str">
        <f>IFERROR(__xludf.DUMMYFUNCTION("""COMPUTED_VALUE"""),"Loveleen Singh2025-09-0217")</f>
        <v>Loveleen Singh2025-09-0217</v>
      </c>
      <c r="K896" s="115">
        <f>IFERROR(__xludf.DUMMYFUNCTION("""COMPUTED_VALUE"""),31276.0)</f>
        <v>31276</v>
      </c>
    </row>
    <row r="897">
      <c r="A897" s="115" t="str">
        <f>IFERROR(__xludf.DUMMYFUNCTION("""COMPUTED_VALUE"""),"NORTH")</f>
        <v>NORTH</v>
      </c>
      <c r="B897" s="115" t="str">
        <f>IFERROR(__xludf.DUMMYFUNCTION("""COMPUTED_VALUE"""),"Loveleen Singh")</f>
        <v>Loveleen Singh</v>
      </c>
      <c r="C897" s="115" t="str">
        <f>IFERROR(__xludf.DUMMYFUNCTION("""COMPUTED_VALUE"""),"FLIPKART")</f>
        <v>FLIPKART</v>
      </c>
      <c r="D897" s="115">
        <f>IFERROR(__xludf.DUMMYFUNCTION("""COMPUTED_VALUE"""),150384.0)</f>
        <v>150384</v>
      </c>
      <c r="E897" s="115">
        <f>IFERROR(__xludf.DUMMYFUNCTION("""COMPUTED_VALUE"""),13047.0)</f>
        <v>13047</v>
      </c>
      <c r="F897" s="115">
        <f>IFERROR(__xludf.DUMMYFUNCTION("""COMPUTED_VALUE"""),88146.0)</f>
        <v>88146</v>
      </c>
      <c r="G897" s="115">
        <f>IFERROR(__xludf.DUMMYFUNCTION("""COMPUTED_VALUE"""),4884.0)</f>
        <v>4884</v>
      </c>
      <c r="H897" s="116">
        <f>IFERROR(__xludf.DUMMYFUNCTION("""COMPUTED_VALUE"""),45902.0)</f>
        <v>45902</v>
      </c>
      <c r="I897" s="115" t="str">
        <f>IFERROR(__xludf.DUMMYFUNCTION("""COMPUTED_VALUE"""),"17")</f>
        <v>17</v>
      </c>
      <c r="J897" s="115" t="str">
        <f>IFERROR(__xludf.DUMMYFUNCTION("""COMPUTED_VALUE"""),"Loveleen Singh2025-09-0217")</f>
        <v>Loveleen Singh2025-09-0217</v>
      </c>
      <c r="K897" s="115">
        <f>IFERROR(__xludf.DUMMYFUNCTION("""COMPUTED_VALUE"""),163431.0)</f>
        <v>163431</v>
      </c>
    </row>
    <row r="898">
      <c r="A898" s="115" t="str">
        <f>IFERROR(__xludf.DUMMYFUNCTION("""COMPUTED_VALUE"""),"NORTH")</f>
        <v>NORTH</v>
      </c>
      <c r="B898" s="115" t="str">
        <f>IFERROR(__xludf.DUMMYFUNCTION("""COMPUTED_VALUE"""),"Loveleen Singh")</f>
        <v>Loveleen Singh</v>
      </c>
      <c r="C898" s="115" t="str">
        <f>IFERROR(__xludf.DUMMYFUNCTION("""COMPUTED_VALUE"""),"MYNTRA")</f>
        <v>MYNTRA</v>
      </c>
      <c r="D898" s="115">
        <f>IFERROR(__xludf.DUMMYFUNCTION("""COMPUTED_VALUE"""),22677.0)</f>
        <v>22677</v>
      </c>
      <c r="E898" s="115">
        <f>IFERROR(__xludf.DUMMYFUNCTION("""COMPUTED_VALUE"""),5062.0)</f>
        <v>5062</v>
      </c>
      <c r="F898" s="115">
        <f>IFERROR(__xludf.DUMMYFUNCTION("""COMPUTED_VALUE"""),15499.0)</f>
        <v>15499</v>
      </c>
      <c r="G898" s="115">
        <f>IFERROR(__xludf.DUMMYFUNCTION("""COMPUTED_VALUE"""),2043.0)</f>
        <v>2043</v>
      </c>
      <c r="H898" s="116">
        <f>IFERROR(__xludf.DUMMYFUNCTION("""COMPUTED_VALUE"""),45902.0)</f>
        <v>45902</v>
      </c>
      <c r="I898" s="115" t="str">
        <f>IFERROR(__xludf.DUMMYFUNCTION("""COMPUTED_VALUE"""),"17")</f>
        <v>17</v>
      </c>
      <c r="J898" s="115" t="str">
        <f>IFERROR(__xludf.DUMMYFUNCTION("""COMPUTED_VALUE"""),"Loveleen Singh2025-09-0217")</f>
        <v>Loveleen Singh2025-09-0217</v>
      </c>
      <c r="K898" s="115">
        <f>IFERROR(__xludf.DUMMYFUNCTION("""COMPUTED_VALUE"""),27739.0)</f>
        <v>27739</v>
      </c>
    </row>
    <row r="899">
      <c r="A899" s="115" t="str">
        <f>IFERROR(__xludf.DUMMYFUNCTION("""COMPUTED_VALUE"""),"NORTH")</f>
        <v>NORTH</v>
      </c>
      <c r="B899" s="115" t="str">
        <f>IFERROR(__xludf.DUMMYFUNCTION("""COMPUTED_VALUE"""),"Manoj Harsh")</f>
        <v>Manoj Harsh</v>
      </c>
      <c r="C899" s="115" t="str">
        <f>IFERROR(__xludf.DUMMYFUNCTION("""COMPUTED_VALUE"""),"EXTERNAL")</f>
        <v>EXTERNAL</v>
      </c>
      <c r="D899" s="115">
        <f>IFERROR(__xludf.DUMMYFUNCTION("""COMPUTED_VALUE"""),33908.0)</f>
        <v>33908</v>
      </c>
      <c r="E899" s="115">
        <f>IFERROR(__xludf.DUMMYFUNCTION("""COMPUTED_VALUE"""),3149.0)</f>
        <v>3149</v>
      </c>
      <c r="F899" s="115">
        <f>IFERROR(__xludf.DUMMYFUNCTION("""COMPUTED_VALUE"""),11691.0)</f>
        <v>11691</v>
      </c>
      <c r="G899" s="115">
        <f>IFERROR(__xludf.DUMMYFUNCTION("""COMPUTED_VALUE"""),589.0)</f>
        <v>589</v>
      </c>
      <c r="H899" s="116">
        <f>IFERROR(__xludf.DUMMYFUNCTION("""COMPUTED_VALUE"""),45902.0)</f>
        <v>45902</v>
      </c>
      <c r="I899" s="115" t="str">
        <f>IFERROR(__xludf.DUMMYFUNCTION("""COMPUTED_VALUE"""),"17")</f>
        <v>17</v>
      </c>
      <c r="J899" s="115" t="str">
        <f>IFERROR(__xludf.DUMMYFUNCTION("""COMPUTED_VALUE"""),"Manoj Harsh2025-09-0217")</f>
        <v>Manoj Harsh2025-09-0217</v>
      </c>
      <c r="K899" s="115">
        <f>IFERROR(__xludf.DUMMYFUNCTION("""COMPUTED_VALUE"""),37057.0)</f>
        <v>37057</v>
      </c>
    </row>
    <row r="900">
      <c r="A900" s="115" t="str">
        <f>IFERROR(__xludf.DUMMYFUNCTION("""COMPUTED_VALUE"""),"NORTH")</f>
        <v>NORTH</v>
      </c>
      <c r="B900" s="115" t="str">
        <f>IFERROR(__xludf.DUMMYFUNCTION("""COMPUTED_VALUE"""),"Manoj Harsh")</f>
        <v>Manoj Harsh</v>
      </c>
      <c r="C900" s="115" t="str">
        <f>IFERROR(__xludf.DUMMYFUNCTION("""COMPUTED_VALUE"""),"FLIPKART")</f>
        <v>FLIPKART</v>
      </c>
      <c r="D900" s="115">
        <f>IFERROR(__xludf.DUMMYFUNCTION("""COMPUTED_VALUE"""),400862.0)</f>
        <v>400862</v>
      </c>
      <c r="E900" s="115">
        <f>IFERROR(__xludf.DUMMYFUNCTION("""COMPUTED_VALUE"""),42187.0)</f>
        <v>42187</v>
      </c>
      <c r="F900" s="115">
        <f>IFERROR(__xludf.DUMMYFUNCTION("""COMPUTED_VALUE"""),257587.0)</f>
        <v>257587</v>
      </c>
      <c r="G900" s="115">
        <f>IFERROR(__xludf.DUMMYFUNCTION("""COMPUTED_VALUE"""),16946.0)</f>
        <v>16946</v>
      </c>
      <c r="H900" s="116">
        <f>IFERROR(__xludf.DUMMYFUNCTION("""COMPUTED_VALUE"""),45902.0)</f>
        <v>45902</v>
      </c>
      <c r="I900" s="115" t="str">
        <f>IFERROR(__xludf.DUMMYFUNCTION("""COMPUTED_VALUE"""),"17")</f>
        <v>17</v>
      </c>
      <c r="J900" s="115" t="str">
        <f>IFERROR(__xludf.DUMMYFUNCTION("""COMPUTED_VALUE"""),"Manoj Harsh2025-09-0217")</f>
        <v>Manoj Harsh2025-09-0217</v>
      </c>
      <c r="K900" s="115">
        <f>IFERROR(__xludf.DUMMYFUNCTION("""COMPUTED_VALUE"""),443049.0)</f>
        <v>443049</v>
      </c>
    </row>
    <row r="901">
      <c r="A901" s="115" t="str">
        <f>IFERROR(__xludf.DUMMYFUNCTION("""COMPUTED_VALUE"""),"NORTH")</f>
        <v>NORTH</v>
      </c>
      <c r="B901" s="115" t="str">
        <f>IFERROR(__xludf.DUMMYFUNCTION("""COMPUTED_VALUE"""),"Manoj Harsh")</f>
        <v>Manoj Harsh</v>
      </c>
      <c r="C901" s="115" t="str">
        <f>IFERROR(__xludf.DUMMYFUNCTION("""COMPUTED_VALUE"""),"MYNTRA")</f>
        <v>MYNTRA</v>
      </c>
      <c r="D901" s="115">
        <f>IFERROR(__xludf.DUMMYFUNCTION("""COMPUTED_VALUE"""),34738.0)</f>
        <v>34738</v>
      </c>
      <c r="E901" s="115">
        <f>IFERROR(__xludf.DUMMYFUNCTION("""COMPUTED_VALUE"""),7745.0)</f>
        <v>7745</v>
      </c>
      <c r="F901" s="115">
        <f>IFERROR(__xludf.DUMMYFUNCTION("""COMPUTED_VALUE"""),24711.0)</f>
        <v>24711</v>
      </c>
      <c r="G901" s="115">
        <f>IFERROR(__xludf.DUMMYFUNCTION("""COMPUTED_VALUE"""),3351.0)</f>
        <v>3351</v>
      </c>
      <c r="H901" s="116">
        <f>IFERROR(__xludf.DUMMYFUNCTION("""COMPUTED_VALUE"""),45902.0)</f>
        <v>45902</v>
      </c>
      <c r="I901" s="115" t="str">
        <f>IFERROR(__xludf.DUMMYFUNCTION("""COMPUTED_VALUE"""),"17")</f>
        <v>17</v>
      </c>
      <c r="J901" s="115" t="str">
        <f>IFERROR(__xludf.DUMMYFUNCTION("""COMPUTED_VALUE"""),"Manoj Harsh2025-09-0217")</f>
        <v>Manoj Harsh2025-09-0217</v>
      </c>
      <c r="K901" s="115">
        <f>IFERROR(__xludf.DUMMYFUNCTION("""COMPUTED_VALUE"""),42483.0)</f>
        <v>42483</v>
      </c>
    </row>
    <row r="902">
      <c r="A902" s="115" t="str">
        <f>IFERROR(__xludf.DUMMYFUNCTION("""COMPUTED_VALUE"""),"NORTH")</f>
        <v>NORTH</v>
      </c>
      <c r="B902" s="115" t="str">
        <f>IFERROR(__xludf.DUMMYFUNCTION("""COMPUTED_VALUE"""),"Pradeep Kothari")</f>
        <v>Pradeep Kothari</v>
      </c>
      <c r="C902" s="115" t="str">
        <f>IFERROR(__xludf.DUMMYFUNCTION("""COMPUTED_VALUE"""),"EXTERNAL")</f>
        <v>EXTERNAL</v>
      </c>
      <c r="D902" s="115">
        <f>IFERROR(__xludf.DUMMYFUNCTION("""COMPUTED_VALUE"""),19133.0)</f>
        <v>19133</v>
      </c>
      <c r="E902" s="115">
        <f>IFERROR(__xludf.DUMMYFUNCTION("""COMPUTED_VALUE"""),1964.0)</f>
        <v>1964</v>
      </c>
      <c r="F902" s="115">
        <f>IFERROR(__xludf.DUMMYFUNCTION("""COMPUTED_VALUE"""),6694.0)</f>
        <v>6694</v>
      </c>
      <c r="G902" s="115">
        <f>IFERROR(__xludf.DUMMYFUNCTION("""COMPUTED_VALUE"""),492.0)</f>
        <v>492</v>
      </c>
      <c r="H902" s="116">
        <f>IFERROR(__xludf.DUMMYFUNCTION("""COMPUTED_VALUE"""),45902.0)</f>
        <v>45902</v>
      </c>
      <c r="I902" s="115" t="str">
        <f>IFERROR(__xludf.DUMMYFUNCTION("""COMPUTED_VALUE"""),"17")</f>
        <v>17</v>
      </c>
      <c r="J902" s="115" t="str">
        <f>IFERROR(__xludf.DUMMYFUNCTION("""COMPUTED_VALUE"""),"Pradeep Kothari2025-09-0217")</f>
        <v>Pradeep Kothari2025-09-0217</v>
      </c>
      <c r="K902" s="115">
        <f>IFERROR(__xludf.DUMMYFUNCTION("""COMPUTED_VALUE"""),21097.0)</f>
        <v>21097</v>
      </c>
    </row>
    <row r="903">
      <c r="A903" s="115" t="str">
        <f>IFERROR(__xludf.DUMMYFUNCTION("""COMPUTED_VALUE"""),"NORTH")</f>
        <v>NORTH</v>
      </c>
      <c r="B903" s="115" t="str">
        <f>IFERROR(__xludf.DUMMYFUNCTION("""COMPUTED_VALUE"""),"Pradeep Kothari")</f>
        <v>Pradeep Kothari</v>
      </c>
      <c r="C903" s="115" t="str">
        <f>IFERROR(__xludf.DUMMYFUNCTION("""COMPUTED_VALUE"""),"FLIPKART")</f>
        <v>FLIPKART</v>
      </c>
      <c r="D903" s="115">
        <f>IFERROR(__xludf.DUMMYFUNCTION("""COMPUTED_VALUE"""),136216.0)</f>
        <v>136216</v>
      </c>
      <c r="E903" s="115">
        <f>IFERROR(__xludf.DUMMYFUNCTION("""COMPUTED_VALUE"""),17055.0)</f>
        <v>17055</v>
      </c>
      <c r="F903" s="115">
        <f>IFERROR(__xludf.DUMMYFUNCTION("""COMPUTED_VALUE"""),90786.0)</f>
        <v>90786</v>
      </c>
      <c r="G903" s="115">
        <f>IFERROR(__xludf.DUMMYFUNCTION("""COMPUTED_VALUE"""),8595.0)</f>
        <v>8595</v>
      </c>
      <c r="H903" s="116">
        <f>IFERROR(__xludf.DUMMYFUNCTION("""COMPUTED_VALUE"""),45902.0)</f>
        <v>45902</v>
      </c>
      <c r="I903" s="115" t="str">
        <f>IFERROR(__xludf.DUMMYFUNCTION("""COMPUTED_VALUE"""),"17")</f>
        <v>17</v>
      </c>
      <c r="J903" s="115" t="str">
        <f>IFERROR(__xludf.DUMMYFUNCTION("""COMPUTED_VALUE"""),"Pradeep Kothari2025-09-0217")</f>
        <v>Pradeep Kothari2025-09-0217</v>
      </c>
      <c r="K903" s="115">
        <f>IFERROR(__xludf.DUMMYFUNCTION("""COMPUTED_VALUE"""),153271.0)</f>
        <v>153271</v>
      </c>
    </row>
    <row r="904">
      <c r="A904" s="115" t="str">
        <f>IFERROR(__xludf.DUMMYFUNCTION("""COMPUTED_VALUE"""),"NORTH")</f>
        <v>NORTH</v>
      </c>
      <c r="B904" s="115" t="str">
        <f>IFERROR(__xludf.DUMMYFUNCTION("""COMPUTED_VALUE"""),"Pradeep Kothari")</f>
        <v>Pradeep Kothari</v>
      </c>
      <c r="C904" s="115" t="str">
        <f>IFERROR(__xludf.DUMMYFUNCTION("""COMPUTED_VALUE"""),"MYNTRA")</f>
        <v>MYNTRA</v>
      </c>
      <c r="D904" s="115">
        <f>IFERROR(__xludf.DUMMYFUNCTION("""COMPUTED_VALUE"""),23360.0)</f>
        <v>23360</v>
      </c>
      <c r="E904" s="115">
        <f>IFERROR(__xludf.DUMMYFUNCTION("""COMPUTED_VALUE"""),6266.0)</f>
        <v>6266</v>
      </c>
      <c r="F904" s="115">
        <f>IFERROR(__xludf.DUMMYFUNCTION("""COMPUTED_VALUE"""),17708.0)</f>
        <v>17708</v>
      </c>
      <c r="G904" s="115">
        <f>IFERROR(__xludf.DUMMYFUNCTION("""COMPUTED_VALUE"""),3609.0)</f>
        <v>3609</v>
      </c>
      <c r="H904" s="116">
        <f>IFERROR(__xludf.DUMMYFUNCTION("""COMPUTED_VALUE"""),45902.0)</f>
        <v>45902</v>
      </c>
      <c r="I904" s="115" t="str">
        <f>IFERROR(__xludf.DUMMYFUNCTION("""COMPUTED_VALUE"""),"17")</f>
        <v>17</v>
      </c>
      <c r="J904" s="115" t="str">
        <f>IFERROR(__xludf.DUMMYFUNCTION("""COMPUTED_VALUE"""),"Pradeep Kothari2025-09-0217")</f>
        <v>Pradeep Kothari2025-09-0217</v>
      </c>
      <c r="K904" s="115">
        <f>IFERROR(__xludf.DUMMYFUNCTION("""COMPUTED_VALUE"""),29626.0)</f>
        <v>29626</v>
      </c>
    </row>
    <row r="905">
      <c r="A905" s="115" t="str">
        <f>IFERROR(__xludf.DUMMYFUNCTION("""COMPUTED_VALUE"""),"SOUTH")</f>
        <v>SOUTH</v>
      </c>
      <c r="B905" s="115" t="str">
        <f>IFERROR(__xludf.DUMMYFUNCTION("""COMPUTED_VALUE"""),"Kandula Sampath")</f>
        <v>Kandula Sampath</v>
      </c>
      <c r="C905" s="115" t="str">
        <f>IFERROR(__xludf.DUMMYFUNCTION("""COMPUTED_VALUE"""),"EXTERNAL")</f>
        <v>EXTERNAL</v>
      </c>
      <c r="D905" s="115">
        <f>IFERROR(__xludf.DUMMYFUNCTION("""COMPUTED_VALUE"""),38783.0)</f>
        <v>38783</v>
      </c>
      <c r="E905" s="115">
        <f>IFERROR(__xludf.DUMMYFUNCTION("""COMPUTED_VALUE"""),4397.0)</f>
        <v>4397</v>
      </c>
      <c r="F905" s="115">
        <f>IFERROR(__xludf.DUMMYFUNCTION("""COMPUTED_VALUE"""),13472.0)</f>
        <v>13472</v>
      </c>
      <c r="G905" s="115">
        <f>IFERROR(__xludf.DUMMYFUNCTION("""COMPUTED_VALUE"""),768.0)</f>
        <v>768</v>
      </c>
      <c r="H905" s="116">
        <f>IFERROR(__xludf.DUMMYFUNCTION("""COMPUTED_VALUE"""),45902.0)</f>
        <v>45902</v>
      </c>
      <c r="I905" s="115" t="str">
        <f>IFERROR(__xludf.DUMMYFUNCTION("""COMPUTED_VALUE"""),"17")</f>
        <v>17</v>
      </c>
      <c r="J905" s="115" t="str">
        <f>IFERROR(__xludf.DUMMYFUNCTION("""COMPUTED_VALUE"""),"Kandula Sampath2025-09-0217")</f>
        <v>Kandula Sampath2025-09-0217</v>
      </c>
      <c r="K905" s="115">
        <f>IFERROR(__xludf.DUMMYFUNCTION("""COMPUTED_VALUE"""),43180.0)</f>
        <v>43180</v>
      </c>
    </row>
    <row r="906">
      <c r="A906" s="115" t="str">
        <f>IFERROR(__xludf.DUMMYFUNCTION("""COMPUTED_VALUE"""),"SOUTH")</f>
        <v>SOUTH</v>
      </c>
      <c r="B906" s="115" t="str">
        <f>IFERROR(__xludf.DUMMYFUNCTION("""COMPUTED_VALUE"""),"Kandula Sampath")</f>
        <v>Kandula Sampath</v>
      </c>
      <c r="C906" s="115" t="str">
        <f>IFERROR(__xludf.DUMMYFUNCTION("""COMPUTED_VALUE"""),"FLIPKART")</f>
        <v>FLIPKART</v>
      </c>
      <c r="D906" s="115">
        <f>IFERROR(__xludf.DUMMYFUNCTION("""COMPUTED_VALUE"""),331888.0)</f>
        <v>331888</v>
      </c>
      <c r="E906" s="115">
        <f>IFERROR(__xludf.DUMMYFUNCTION("""COMPUTED_VALUE"""),33720.0)</f>
        <v>33720</v>
      </c>
      <c r="F906" s="115">
        <f>IFERROR(__xludf.DUMMYFUNCTION("""COMPUTED_VALUE"""),208975.0)</f>
        <v>208975</v>
      </c>
      <c r="G906" s="115">
        <f>IFERROR(__xludf.DUMMYFUNCTION("""COMPUTED_VALUE"""),11554.0)</f>
        <v>11554</v>
      </c>
      <c r="H906" s="116">
        <f>IFERROR(__xludf.DUMMYFUNCTION("""COMPUTED_VALUE"""),45902.0)</f>
        <v>45902</v>
      </c>
      <c r="I906" s="115" t="str">
        <f>IFERROR(__xludf.DUMMYFUNCTION("""COMPUTED_VALUE"""),"17")</f>
        <v>17</v>
      </c>
      <c r="J906" s="115" t="str">
        <f>IFERROR(__xludf.DUMMYFUNCTION("""COMPUTED_VALUE"""),"Kandula Sampath2025-09-0217")</f>
        <v>Kandula Sampath2025-09-0217</v>
      </c>
      <c r="K906" s="115">
        <f>IFERROR(__xludf.DUMMYFUNCTION("""COMPUTED_VALUE"""),365608.0)</f>
        <v>365608</v>
      </c>
    </row>
    <row r="907">
      <c r="A907" s="115" t="str">
        <f>IFERROR(__xludf.DUMMYFUNCTION("""COMPUTED_VALUE"""),"SOUTH")</f>
        <v>SOUTH</v>
      </c>
      <c r="B907" s="115" t="str">
        <f>IFERROR(__xludf.DUMMYFUNCTION("""COMPUTED_VALUE"""),"Kandula Sampath")</f>
        <v>Kandula Sampath</v>
      </c>
      <c r="C907" s="115" t="str">
        <f>IFERROR(__xludf.DUMMYFUNCTION("""COMPUTED_VALUE"""),"MYNTRA")</f>
        <v>MYNTRA</v>
      </c>
      <c r="D907" s="115">
        <f>IFERROR(__xludf.DUMMYFUNCTION("""COMPUTED_VALUE"""),33934.0)</f>
        <v>33934</v>
      </c>
      <c r="E907" s="115">
        <f>IFERROR(__xludf.DUMMYFUNCTION("""COMPUTED_VALUE"""),8354.0)</f>
        <v>8354</v>
      </c>
      <c r="F907" s="115">
        <f>IFERROR(__xludf.DUMMYFUNCTION("""COMPUTED_VALUE"""),23823.0)</f>
        <v>23823</v>
      </c>
      <c r="G907" s="115">
        <f>IFERROR(__xludf.DUMMYFUNCTION("""COMPUTED_VALUE"""),2844.0)</f>
        <v>2844</v>
      </c>
      <c r="H907" s="116">
        <f>IFERROR(__xludf.DUMMYFUNCTION("""COMPUTED_VALUE"""),45902.0)</f>
        <v>45902</v>
      </c>
      <c r="I907" s="115" t="str">
        <f>IFERROR(__xludf.DUMMYFUNCTION("""COMPUTED_VALUE"""),"17")</f>
        <v>17</v>
      </c>
      <c r="J907" s="115" t="str">
        <f>IFERROR(__xludf.DUMMYFUNCTION("""COMPUTED_VALUE"""),"Kandula Sampath2025-09-0217")</f>
        <v>Kandula Sampath2025-09-0217</v>
      </c>
      <c r="K907" s="115">
        <f>IFERROR(__xludf.DUMMYFUNCTION("""COMPUTED_VALUE"""),42288.0)</f>
        <v>42288</v>
      </c>
    </row>
    <row r="908">
      <c r="A908" s="115" t="str">
        <f>IFERROR(__xludf.DUMMYFUNCTION("""COMPUTED_VALUE"""),"SOUTH")</f>
        <v>SOUTH</v>
      </c>
      <c r="B908" s="115" t="str">
        <f>IFERROR(__xludf.DUMMYFUNCTION("""COMPUTED_VALUE"""),"Martin A")</f>
        <v>Martin A</v>
      </c>
      <c r="C908" s="115" t="str">
        <f>IFERROR(__xludf.DUMMYFUNCTION("""COMPUTED_VALUE"""),"EXTERNAL")</f>
        <v>EXTERNAL</v>
      </c>
      <c r="D908" s="115">
        <f>IFERROR(__xludf.DUMMYFUNCTION("""COMPUTED_VALUE"""),37900.0)</f>
        <v>37900</v>
      </c>
      <c r="E908" s="115">
        <f>IFERROR(__xludf.DUMMYFUNCTION("""COMPUTED_VALUE"""),2642.0)</f>
        <v>2642</v>
      </c>
      <c r="F908" s="115">
        <f>IFERROR(__xludf.DUMMYFUNCTION("""COMPUTED_VALUE"""),13717.0)</f>
        <v>13717</v>
      </c>
      <c r="G908" s="115">
        <f>IFERROR(__xludf.DUMMYFUNCTION("""COMPUTED_VALUE"""),681.0)</f>
        <v>681</v>
      </c>
      <c r="H908" s="116">
        <f>IFERROR(__xludf.DUMMYFUNCTION("""COMPUTED_VALUE"""),45902.0)</f>
        <v>45902</v>
      </c>
      <c r="I908" s="115" t="str">
        <f>IFERROR(__xludf.DUMMYFUNCTION("""COMPUTED_VALUE"""),"17")</f>
        <v>17</v>
      </c>
      <c r="J908" s="115" t="str">
        <f>IFERROR(__xludf.DUMMYFUNCTION("""COMPUTED_VALUE"""),"Martin A2025-09-0217")</f>
        <v>Martin A2025-09-0217</v>
      </c>
      <c r="K908" s="115">
        <f>IFERROR(__xludf.DUMMYFUNCTION("""COMPUTED_VALUE"""),40542.0)</f>
        <v>40542</v>
      </c>
    </row>
    <row r="909">
      <c r="A909" s="115" t="str">
        <f>IFERROR(__xludf.DUMMYFUNCTION("""COMPUTED_VALUE"""),"SOUTH")</f>
        <v>SOUTH</v>
      </c>
      <c r="B909" s="115" t="str">
        <f>IFERROR(__xludf.DUMMYFUNCTION("""COMPUTED_VALUE"""),"Martin A")</f>
        <v>Martin A</v>
      </c>
      <c r="C909" s="115" t="str">
        <f>IFERROR(__xludf.DUMMYFUNCTION("""COMPUTED_VALUE"""),"FLIPKART")</f>
        <v>FLIPKART</v>
      </c>
      <c r="D909" s="115">
        <f>IFERROR(__xludf.DUMMYFUNCTION("""COMPUTED_VALUE"""),289115.0)</f>
        <v>289115</v>
      </c>
      <c r="E909" s="115">
        <f>IFERROR(__xludf.DUMMYFUNCTION("""COMPUTED_VALUE"""),29104.0)</f>
        <v>29104</v>
      </c>
      <c r="F909" s="115">
        <f>IFERROR(__xludf.DUMMYFUNCTION("""COMPUTED_VALUE"""),181114.0)</f>
        <v>181114</v>
      </c>
      <c r="G909" s="115">
        <f>IFERROR(__xludf.DUMMYFUNCTION("""COMPUTED_VALUE"""),12249.0)</f>
        <v>12249</v>
      </c>
      <c r="H909" s="116">
        <f>IFERROR(__xludf.DUMMYFUNCTION("""COMPUTED_VALUE"""),45902.0)</f>
        <v>45902</v>
      </c>
      <c r="I909" s="115" t="str">
        <f>IFERROR(__xludf.DUMMYFUNCTION("""COMPUTED_VALUE"""),"17")</f>
        <v>17</v>
      </c>
      <c r="J909" s="115" t="str">
        <f>IFERROR(__xludf.DUMMYFUNCTION("""COMPUTED_VALUE"""),"Martin A2025-09-0217")</f>
        <v>Martin A2025-09-0217</v>
      </c>
      <c r="K909" s="115">
        <f>IFERROR(__xludf.DUMMYFUNCTION("""COMPUTED_VALUE"""),318219.0)</f>
        <v>318219</v>
      </c>
    </row>
    <row r="910">
      <c r="A910" s="115" t="str">
        <f>IFERROR(__xludf.DUMMYFUNCTION("""COMPUTED_VALUE"""),"SOUTH")</f>
        <v>SOUTH</v>
      </c>
      <c r="B910" s="115" t="str">
        <f>IFERROR(__xludf.DUMMYFUNCTION("""COMPUTED_VALUE"""),"Martin A")</f>
        <v>Martin A</v>
      </c>
      <c r="C910" s="115" t="str">
        <f>IFERROR(__xludf.DUMMYFUNCTION("""COMPUTED_VALUE"""),"MYNTRA")</f>
        <v>MYNTRA</v>
      </c>
      <c r="D910" s="115">
        <f>IFERROR(__xludf.DUMMYFUNCTION("""COMPUTED_VALUE"""),27340.0)</f>
        <v>27340</v>
      </c>
      <c r="E910" s="115">
        <f>IFERROR(__xludf.DUMMYFUNCTION("""COMPUTED_VALUE"""),6882.0)</f>
        <v>6882</v>
      </c>
      <c r="F910" s="115">
        <f>IFERROR(__xludf.DUMMYFUNCTION("""COMPUTED_VALUE"""),19735.0)</f>
        <v>19735</v>
      </c>
      <c r="G910" s="115">
        <f>IFERROR(__xludf.DUMMYFUNCTION("""COMPUTED_VALUE"""),3118.0)</f>
        <v>3118</v>
      </c>
      <c r="H910" s="116">
        <f>IFERROR(__xludf.DUMMYFUNCTION("""COMPUTED_VALUE"""),45902.0)</f>
        <v>45902</v>
      </c>
      <c r="I910" s="115" t="str">
        <f>IFERROR(__xludf.DUMMYFUNCTION("""COMPUTED_VALUE"""),"17")</f>
        <v>17</v>
      </c>
      <c r="J910" s="115" t="str">
        <f>IFERROR(__xludf.DUMMYFUNCTION("""COMPUTED_VALUE"""),"Martin A2025-09-0217")</f>
        <v>Martin A2025-09-0217</v>
      </c>
      <c r="K910" s="115">
        <f>IFERROR(__xludf.DUMMYFUNCTION("""COMPUTED_VALUE"""),34222.0)</f>
        <v>34222</v>
      </c>
    </row>
    <row r="911">
      <c r="A911" s="115" t="str">
        <f>IFERROR(__xludf.DUMMYFUNCTION("""COMPUTED_VALUE"""),"SOUTH")</f>
        <v>SOUTH</v>
      </c>
      <c r="B911" s="115" t="str">
        <f>IFERROR(__xludf.DUMMYFUNCTION("""COMPUTED_VALUE"""),"Premkumar M")</f>
        <v>Premkumar M</v>
      </c>
      <c r="C911" s="115" t="str">
        <f>IFERROR(__xludf.DUMMYFUNCTION("""COMPUTED_VALUE"""),"EXTERNAL")</f>
        <v>EXTERNAL</v>
      </c>
      <c r="D911" s="115">
        <f>IFERROR(__xludf.DUMMYFUNCTION("""COMPUTED_VALUE"""),31444.0)</f>
        <v>31444</v>
      </c>
      <c r="E911" s="115">
        <f>IFERROR(__xludf.DUMMYFUNCTION("""COMPUTED_VALUE"""),2249.0)</f>
        <v>2249</v>
      </c>
      <c r="F911" s="115">
        <f>IFERROR(__xludf.DUMMYFUNCTION("""COMPUTED_VALUE"""),12018.0)</f>
        <v>12018</v>
      </c>
      <c r="G911" s="115">
        <f>IFERROR(__xludf.DUMMYFUNCTION("""COMPUTED_VALUE"""),297.0)</f>
        <v>297</v>
      </c>
      <c r="H911" s="116">
        <f>IFERROR(__xludf.DUMMYFUNCTION("""COMPUTED_VALUE"""),45902.0)</f>
        <v>45902</v>
      </c>
      <c r="I911" s="115" t="str">
        <f>IFERROR(__xludf.DUMMYFUNCTION("""COMPUTED_VALUE"""),"17")</f>
        <v>17</v>
      </c>
      <c r="J911" s="115" t="str">
        <f>IFERROR(__xludf.DUMMYFUNCTION("""COMPUTED_VALUE"""),"Premkumar M2025-09-0217")</f>
        <v>Premkumar M2025-09-0217</v>
      </c>
      <c r="K911" s="115">
        <f>IFERROR(__xludf.DUMMYFUNCTION("""COMPUTED_VALUE"""),33693.0)</f>
        <v>33693</v>
      </c>
    </row>
    <row r="912">
      <c r="A912" s="115" t="str">
        <f>IFERROR(__xludf.DUMMYFUNCTION("""COMPUTED_VALUE"""),"SOUTH")</f>
        <v>SOUTH</v>
      </c>
      <c r="B912" s="115" t="str">
        <f>IFERROR(__xludf.DUMMYFUNCTION("""COMPUTED_VALUE"""),"Premkumar M")</f>
        <v>Premkumar M</v>
      </c>
      <c r="C912" s="115" t="str">
        <f>IFERROR(__xludf.DUMMYFUNCTION("""COMPUTED_VALUE"""),"FLIPKART")</f>
        <v>FLIPKART</v>
      </c>
      <c r="D912" s="115">
        <f>IFERROR(__xludf.DUMMYFUNCTION("""COMPUTED_VALUE"""),281063.0)</f>
        <v>281063</v>
      </c>
      <c r="E912" s="115">
        <f>IFERROR(__xludf.DUMMYFUNCTION("""COMPUTED_VALUE"""),20731.0)</f>
        <v>20731</v>
      </c>
      <c r="F912" s="115">
        <f>IFERROR(__xludf.DUMMYFUNCTION("""COMPUTED_VALUE"""),170023.0)</f>
        <v>170023</v>
      </c>
      <c r="G912" s="115">
        <f>IFERROR(__xludf.DUMMYFUNCTION("""COMPUTED_VALUE"""),4563.0)</f>
        <v>4563</v>
      </c>
      <c r="H912" s="116">
        <f>IFERROR(__xludf.DUMMYFUNCTION("""COMPUTED_VALUE"""),45902.0)</f>
        <v>45902</v>
      </c>
      <c r="I912" s="115" t="str">
        <f>IFERROR(__xludf.DUMMYFUNCTION("""COMPUTED_VALUE"""),"17")</f>
        <v>17</v>
      </c>
      <c r="J912" s="115" t="str">
        <f>IFERROR(__xludf.DUMMYFUNCTION("""COMPUTED_VALUE"""),"Premkumar M2025-09-0217")</f>
        <v>Premkumar M2025-09-0217</v>
      </c>
      <c r="K912" s="115">
        <f>IFERROR(__xludf.DUMMYFUNCTION("""COMPUTED_VALUE"""),301794.0)</f>
        <v>301794</v>
      </c>
    </row>
    <row r="913">
      <c r="A913" s="115" t="str">
        <f>IFERROR(__xludf.DUMMYFUNCTION("""COMPUTED_VALUE"""),"SOUTH")</f>
        <v>SOUTH</v>
      </c>
      <c r="B913" s="115" t="str">
        <f>IFERROR(__xludf.DUMMYFUNCTION("""COMPUTED_VALUE"""),"Premkumar M")</f>
        <v>Premkumar M</v>
      </c>
      <c r="C913" s="115" t="str">
        <f>IFERROR(__xludf.DUMMYFUNCTION("""COMPUTED_VALUE"""),"MYNTRA")</f>
        <v>MYNTRA</v>
      </c>
      <c r="D913" s="115">
        <f>IFERROR(__xludf.DUMMYFUNCTION("""COMPUTED_VALUE"""),15704.0)</f>
        <v>15704</v>
      </c>
      <c r="E913" s="115">
        <f>IFERROR(__xludf.DUMMYFUNCTION("""COMPUTED_VALUE"""),3153.0)</f>
        <v>3153</v>
      </c>
      <c r="F913" s="115">
        <f>IFERROR(__xludf.DUMMYFUNCTION("""COMPUTED_VALUE"""),10829.0)</f>
        <v>10829</v>
      </c>
      <c r="G913" s="115">
        <f>IFERROR(__xludf.DUMMYFUNCTION("""COMPUTED_VALUE"""),791.0)</f>
        <v>791</v>
      </c>
      <c r="H913" s="116">
        <f>IFERROR(__xludf.DUMMYFUNCTION("""COMPUTED_VALUE"""),45902.0)</f>
        <v>45902</v>
      </c>
      <c r="I913" s="115" t="str">
        <f>IFERROR(__xludf.DUMMYFUNCTION("""COMPUTED_VALUE"""),"17")</f>
        <v>17</v>
      </c>
      <c r="J913" s="115" t="str">
        <f>IFERROR(__xludf.DUMMYFUNCTION("""COMPUTED_VALUE"""),"Premkumar M2025-09-0217")</f>
        <v>Premkumar M2025-09-0217</v>
      </c>
      <c r="K913" s="115">
        <f>IFERROR(__xludf.DUMMYFUNCTION("""COMPUTED_VALUE"""),18857.0)</f>
        <v>18857</v>
      </c>
    </row>
    <row r="914">
      <c r="A914" s="115" t="str">
        <f>IFERROR(__xludf.DUMMYFUNCTION("""COMPUTED_VALUE"""),"SOUTH")</f>
        <v>SOUTH</v>
      </c>
      <c r="B914" s="115" t="str">
        <f>IFERROR(__xludf.DUMMYFUNCTION("""COMPUTED_VALUE"""),"Vineeth V")</f>
        <v>Vineeth V</v>
      </c>
      <c r="C914" s="115" t="str">
        <f>IFERROR(__xludf.DUMMYFUNCTION("""COMPUTED_VALUE"""),"EXTERNAL")</f>
        <v>EXTERNAL</v>
      </c>
      <c r="D914" s="115">
        <f>IFERROR(__xludf.DUMMYFUNCTION("""COMPUTED_VALUE"""),22135.0)</f>
        <v>22135</v>
      </c>
      <c r="E914" s="115">
        <f>IFERROR(__xludf.DUMMYFUNCTION("""COMPUTED_VALUE"""),607.0)</f>
        <v>607</v>
      </c>
      <c r="F914" s="115">
        <f>IFERROR(__xludf.DUMMYFUNCTION("""COMPUTED_VALUE"""),9767.0)</f>
        <v>9767</v>
      </c>
      <c r="G914" s="115">
        <f>IFERROR(__xludf.DUMMYFUNCTION("""COMPUTED_VALUE"""),120.0)</f>
        <v>120</v>
      </c>
      <c r="H914" s="116">
        <f>IFERROR(__xludf.DUMMYFUNCTION("""COMPUTED_VALUE"""),45902.0)</f>
        <v>45902</v>
      </c>
      <c r="I914" s="115" t="str">
        <f>IFERROR(__xludf.DUMMYFUNCTION("""COMPUTED_VALUE"""),"17")</f>
        <v>17</v>
      </c>
      <c r="J914" s="115" t="str">
        <f>IFERROR(__xludf.DUMMYFUNCTION("""COMPUTED_VALUE"""),"Vineeth V2025-09-0217")</f>
        <v>Vineeth V2025-09-0217</v>
      </c>
      <c r="K914" s="115">
        <f>IFERROR(__xludf.DUMMYFUNCTION("""COMPUTED_VALUE"""),22742.0)</f>
        <v>22742</v>
      </c>
    </row>
    <row r="915">
      <c r="A915" s="115" t="str">
        <f>IFERROR(__xludf.DUMMYFUNCTION("""COMPUTED_VALUE"""),"SOUTH")</f>
        <v>SOUTH</v>
      </c>
      <c r="B915" s="115" t="str">
        <f>IFERROR(__xludf.DUMMYFUNCTION("""COMPUTED_VALUE"""),"Vineeth V")</f>
        <v>Vineeth V</v>
      </c>
      <c r="C915" s="115" t="str">
        <f>IFERROR(__xludf.DUMMYFUNCTION("""COMPUTED_VALUE"""),"FLIPKART")</f>
        <v>FLIPKART</v>
      </c>
      <c r="D915" s="115">
        <f>IFERROR(__xludf.DUMMYFUNCTION("""COMPUTED_VALUE"""),245056.0)</f>
        <v>245056</v>
      </c>
      <c r="E915" s="115">
        <f>IFERROR(__xludf.DUMMYFUNCTION("""COMPUTED_VALUE"""),18289.0)</f>
        <v>18289</v>
      </c>
      <c r="F915" s="115">
        <f>IFERROR(__xludf.DUMMYFUNCTION("""COMPUTED_VALUE"""),166882.0)</f>
        <v>166882</v>
      </c>
      <c r="G915" s="115">
        <f>IFERROR(__xludf.DUMMYFUNCTION("""COMPUTED_VALUE"""),4679.0)</f>
        <v>4679</v>
      </c>
      <c r="H915" s="116">
        <f>IFERROR(__xludf.DUMMYFUNCTION("""COMPUTED_VALUE"""),45902.0)</f>
        <v>45902</v>
      </c>
      <c r="I915" s="115" t="str">
        <f>IFERROR(__xludf.DUMMYFUNCTION("""COMPUTED_VALUE"""),"17")</f>
        <v>17</v>
      </c>
      <c r="J915" s="115" t="str">
        <f>IFERROR(__xludf.DUMMYFUNCTION("""COMPUTED_VALUE"""),"Vineeth V2025-09-0217")</f>
        <v>Vineeth V2025-09-0217</v>
      </c>
      <c r="K915" s="115">
        <f>IFERROR(__xludf.DUMMYFUNCTION("""COMPUTED_VALUE"""),263345.0)</f>
        <v>263345</v>
      </c>
    </row>
    <row r="916">
      <c r="A916" s="115" t="str">
        <f>IFERROR(__xludf.DUMMYFUNCTION("""COMPUTED_VALUE"""),"SOUTH")</f>
        <v>SOUTH</v>
      </c>
      <c r="B916" s="115" t="str">
        <f>IFERROR(__xludf.DUMMYFUNCTION("""COMPUTED_VALUE"""),"Vineeth V")</f>
        <v>Vineeth V</v>
      </c>
      <c r="C916" s="115" t="str">
        <f>IFERROR(__xludf.DUMMYFUNCTION("""COMPUTED_VALUE"""),"MYNTRA")</f>
        <v>MYNTRA</v>
      </c>
      <c r="D916" s="115">
        <f>IFERROR(__xludf.DUMMYFUNCTION("""COMPUTED_VALUE"""),22015.0)</f>
        <v>22015</v>
      </c>
      <c r="E916" s="115">
        <f>IFERROR(__xludf.DUMMYFUNCTION("""COMPUTED_VALUE"""),4216.0)</f>
        <v>4216</v>
      </c>
      <c r="F916" s="115">
        <f>IFERROR(__xludf.DUMMYFUNCTION("""COMPUTED_VALUE"""),16146.0)</f>
        <v>16146</v>
      </c>
      <c r="G916" s="115">
        <f>IFERROR(__xludf.DUMMYFUNCTION("""COMPUTED_VALUE"""),1172.0)</f>
        <v>1172</v>
      </c>
      <c r="H916" s="116">
        <f>IFERROR(__xludf.DUMMYFUNCTION("""COMPUTED_VALUE"""),45902.0)</f>
        <v>45902</v>
      </c>
      <c r="I916" s="115" t="str">
        <f>IFERROR(__xludf.DUMMYFUNCTION("""COMPUTED_VALUE"""),"17")</f>
        <v>17</v>
      </c>
      <c r="J916" s="115" t="str">
        <f>IFERROR(__xludf.DUMMYFUNCTION("""COMPUTED_VALUE"""),"Vineeth V2025-09-0217")</f>
        <v>Vineeth V2025-09-0217</v>
      </c>
      <c r="K916" s="115">
        <f>IFERROR(__xludf.DUMMYFUNCTION("""COMPUTED_VALUE"""),26231.0)</f>
        <v>26231</v>
      </c>
    </row>
    <row r="917">
      <c r="A917" s="115" t="str">
        <f>IFERROR(__xludf.DUMMYFUNCTION("""COMPUTED_VALUE"""),"WEST")</f>
        <v>WEST</v>
      </c>
      <c r="B917" s="115" t="str">
        <f>IFERROR(__xludf.DUMMYFUNCTION("""COMPUTED_VALUE"""),"Ashish Jakar")</f>
        <v>Ashish Jakar</v>
      </c>
      <c r="C917" s="115" t="str">
        <f>IFERROR(__xludf.DUMMYFUNCTION("""COMPUTED_VALUE"""),"EXTERNAL")</f>
        <v>EXTERNAL</v>
      </c>
      <c r="D917" s="115">
        <f>IFERROR(__xludf.DUMMYFUNCTION("""COMPUTED_VALUE"""),59454.0)</f>
        <v>59454</v>
      </c>
      <c r="E917" s="115">
        <f>IFERROR(__xludf.DUMMYFUNCTION("""COMPUTED_VALUE"""),6166.0)</f>
        <v>6166</v>
      </c>
      <c r="F917" s="115">
        <f>IFERROR(__xludf.DUMMYFUNCTION("""COMPUTED_VALUE"""),20344.0)</f>
        <v>20344</v>
      </c>
      <c r="G917" s="115">
        <f>IFERROR(__xludf.DUMMYFUNCTION("""COMPUTED_VALUE"""),1616.0)</f>
        <v>1616</v>
      </c>
      <c r="H917" s="116">
        <f>IFERROR(__xludf.DUMMYFUNCTION("""COMPUTED_VALUE"""),45902.0)</f>
        <v>45902</v>
      </c>
      <c r="I917" s="115" t="str">
        <f>IFERROR(__xludf.DUMMYFUNCTION("""COMPUTED_VALUE"""),"17")</f>
        <v>17</v>
      </c>
      <c r="J917" s="115" t="str">
        <f>IFERROR(__xludf.DUMMYFUNCTION("""COMPUTED_VALUE"""),"Ashish Jakar2025-09-0217")</f>
        <v>Ashish Jakar2025-09-0217</v>
      </c>
      <c r="K917" s="115">
        <f>IFERROR(__xludf.DUMMYFUNCTION("""COMPUTED_VALUE"""),65620.0)</f>
        <v>65620</v>
      </c>
    </row>
    <row r="918">
      <c r="A918" s="115" t="str">
        <f>IFERROR(__xludf.DUMMYFUNCTION("""COMPUTED_VALUE"""),"WEST")</f>
        <v>WEST</v>
      </c>
      <c r="B918" s="115" t="str">
        <f>IFERROR(__xludf.DUMMYFUNCTION("""COMPUTED_VALUE"""),"Ashish Jakar")</f>
        <v>Ashish Jakar</v>
      </c>
      <c r="C918" s="115" t="str">
        <f>IFERROR(__xludf.DUMMYFUNCTION("""COMPUTED_VALUE"""),"FLIPKART")</f>
        <v>FLIPKART</v>
      </c>
      <c r="D918" s="115">
        <f>IFERROR(__xludf.DUMMYFUNCTION("""COMPUTED_VALUE"""),320661.0)</f>
        <v>320661</v>
      </c>
      <c r="E918" s="115">
        <f>IFERROR(__xludf.DUMMYFUNCTION("""COMPUTED_VALUE"""),32954.0)</f>
        <v>32954</v>
      </c>
      <c r="F918" s="115">
        <f>IFERROR(__xludf.DUMMYFUNCTION("""COMPUTED_VALUE"""),200718.0)</f>
        <v>200718</v>
      </c>
      <c r="G918" s="115">
        <f>IFERROR(__xludf.DUMMYFUNCTION("""COMPUTED_VALUE"""),13388.0)</f>
        <v>13388</v>
      </c>
      <c r="H918" s="116">
        <f>IFERROR(__xludf.DUMMYFUNCTION("""COMPUTED_VALUE"""),45902.0)</f>
        <v>45902</v>
      </c>
      <c r="I918" s="115" t="str">
        <f>IFERROR(__xludf.DUMMYFUNCTION("""COMPUTED_VALUE"""),"17")</f>
        <v>17</v>
      </c>
      <c r="J918" s="115" t="str">
        <f>IFERROR(__xludf.DUMMYFUNCTION("""COMPUTED_VALUE"""),"Ashish Jakar2025-09-0217")</f>
        <v>Ashish Jakar2025-09-0217</v>
      </c>
      <c r="K918" s="115">
        <f>IFERROR(__xludf.DUMMYFUNCTION("""COMPUTED_VALUE"""),353615.0)</f>
        <v>353615</v>
      </c>
    </row>
    <row r="919">
      <c r="A919" s="115" t="str">
        <f>IFERROR(__xludf.DUMMYFUNCTION("""COMPUTED_VALUE"""),"WEST")</f>
        <v>WEST</v>
      </c>
      <c r="B919" s="115" t="str">
        <f>IFERROR(__xludf.DUMMYFUNCTION("""COMPUTED_VALUE"""),"Ashish Jakar")</f>
        <v>Ashish Jakar</v>
      </c>
      <c r="C919" s="115" t="str">
        <f>IFERROR(__xludf.DUMMYFUNCTION("""COMPUTED_VALUE"""),"MYNTRA")</f>
        <v>MYNTRA</v>
      </c>
      <c r="D919" s="115">
        <f>IFERROR(__xludf.DUMMYFUNCTION("""COMPUTED_VALUE"""),38707.0)</f>
        <v>38707</v>
      </c>
      <c r="E919" s="115">
        <f>IFERROR(__xludf.DUMMYFUNCTION("""COMPUTED_VALUE"""),10943.0)</f>
        <v>10943</v>
      </c>
      <c r="F919" s="115">
        <f>IFERROR(__xludf.DUMMYFUNCTION("""COMPUTED_VALUE"""),27808.0)</f>
        <v>27808</v>
      </c>
      <c r="G919" s="115">
        <f>IFERROR(__xludf.DUMMYFUNCTION("""COMPUTED_VALUE"""),4828.0)</f>
        <v>4828</v>
      </c>
      <c r="H919" s="116">
        <f>IFERROR(__xludf.DUMMYFUNCTION("""COMPUTED_VALUE"""),45902.0)</f>
        <v>45902</v>
      </c>
      <c r="I919" s="115" t="str">
        <f>IFERROR(__xludf.DUMMYFUNCTION("""COMPUTED_VALUE"""),"17")</f>
        <v>17</v>
      </c>
      <c r="J919" s="115" t="str">
        <f>IFERROR(__xludf.DUMMYFUNCTION("""COMPUTED_VALUE"""),"Ashish Jakar2025-09-0217")</f>
        <v>Ashish Jakar2025-09-0217</v>
      </c>
      <c r="K919" s="115">
        <f>IFERROR(__xludf.DUMMYFUNCTION("""COMPUTED_VALUE"""),49650.0)</f>
        <v>49650</v>
      </c>
    </row>
    <row r="920">
      <c r="A920" s="115" t="str">
        <f>IFERROR(__xludf.DUMMYFUNCTION("""COMPUTED_VALUE"""),"WEST")</f>
        <v>WEST</v>
      </c>
      <c r="B920" s="115" t="str">
        <f>IFERROR(__xludf.DUMMYFUNCTION("""COMPUTED_VALUE"""),"Ashvani Bhatt")</f>
        <v>Ashvani Bhatt</v>
      </c>
      <c r="C920" s="115" t="str">
        <f>IFERROR(__xludf.DUMMYFUNCTION("""COMPUTED_VALUE"""),"EXTERNAL")</f>
        <v>EXTERNAL</v>
      </c>
      <c r="D920" s="115">
        <f>IFERROR(__xludf.DUMMYFUNCTION("""COMPUTED_VALUE"""),37596.0)</f>
        <v>37596</v>
      </c>
      <c r="E920" s="115">
        <f>IFERROR(__xludf.DUMMYFUNCTION("""COMPUTED_VALUE"""),3658.0)</f>
        <v>3658</v>
      </c>
      <c r="F920" s="115">
        <f>IFERROR(__xludf.DUMMYFUNCTION("""COMPUTED_VALUE"""),13775.0)</f>
        <v>13775</v>
      </c>
      <c r="G920" s="115">
        <f>IFERROR(__xludf.DUMMYFUNCTION("""COMPUTED_VALUE"""),758.0)</f>
        <v>758</v>
      </c>
      <c r="H920" s="116">
        <f>IFERROR(__xludf.DUMMYFUNCTION("""COMPUTED_VALUE"""),45902.0)</f>
        <v>45902</v>
      </c>
      <c r="I920" s="115" t="str">
        <f>IFERROR(__xludf.DUMMYFUNCTION("""COMPUTED_VALUE"""),"17")</f>
        <v>17</v>
      </c>
      <c r="J920" s="115" t="str">
        <f>IFERROR(__xludf.DUMMYFUNCTION("""COMPUTED_VALUE"""),"Ashvani Bhatt2025-09-0217")</f>
        <v>Ashvani Bhatt2025-09-0217</v>
      </c>
      <c r="K920" s="115">
        <f>IFERROR(__xludf.DUMMYFUNCTION("""COMPUTED_VALUE"""),41254.0)</f>
        <v>41254</v>
      </c>
    </row>
    <row r="921">
      <c r="A921" s="115" t="str">
        <f>IFERROR(__xludf.DUMMYFUNCTION("""COMPUTED_VALUE"""),"WEST")</f>
        <v>WEST</v>
      </c>
      <c r="B921" s="115" t="str">
        <f>IFERROR(__xludf.DUMMYFUNCTION("""COMPUTED_VALUE"""),"Ashvani Bhatt")</f>
        <v>Ashvani Bhatt</v>
      </c>
      <c r="C921" s="115" t="str">
        <f>IFERROR(__xludf.DUMMYFUNCTION("""COMPUTED_VALUE"""),"FLIPKART")</f>
        <v>FLIPKART</v>
      </c>
      <c r="D921" s="115">
        <f>IFERROR(__xludf.DUMMYFUNCTION("""COMPUTED_VALUE"""),265762.0)</f>
        <v>265762</v>
      </c>
      <c r="E921" s="115">
        <f>IFERROR(__xludf.DUMMYFUNCTION("""COMPUTED_VALUE"""),29462.0)</f>
        <v>29462</v>
      </c>
      <c r="F921" s="115">
        <f>IFERROR(__xludf.DUMMYFUNCTION("""COMPUTED_VALUE"""),180178.0)</f>
        <v>180178</v>
      </c>
      <c r="G921" s="115">
        <f>IFERROR(__xludf.DUMMYFUNCTION("""COMPUTED_VALUE"""),13132.0)</f>
        <v>13132</v>
      </c>
      <c r="H921" s="116">
        <f>IFERROR(__xludf.DUMMYFUNCTION("""COMPUTED_VALUE"""),45902.0)</f>
        <v>45902</v>
      </c>
      <c r="I921" s="115" t="str">
        <f>IFERROR(__xludf.DUMMYFUNCTION("""COMPUTED_VALUE"""),"17")</f>
        <v>17</v>
      </c>
      <c r="J921" s="115" t="str">
        <f>IFERROR(__xludf.DUMMYFUNCTION("""COMPUTED_VALUE"""),"Ashvani Bhatt2025-09-0217")</f>
        <v>Ashvani Bhatt2025-09-0217</v>
      </c>
      <c r="K921" s="115">
        <f>IFERROR(__xludf.DUMMYFUNCTION("""COMPUTED_VALUE"""),295224.0)</f>
        <v>295224</v>
      </c>
    </row>
    <row r="922">
      <c r="A922" s="115" t="str">
        <f>IFERROR(__xludf.DUMMYFUNCTION("""COMPUTED_VALUE"""),"WEST")</f>
        <v>WEST</v>
      </c>
      <c r="B922" s="115" t="str">
        <f>IFERROR(__xludf.DUMMYFUNCTION("""COMPUTED_VALUE"""),"Ashvani Bhatt")</f>
        <v>Ashvani Bhatt</v>
      </c>
      <c r="C922" s="115" t="str">
        <f>IFERROR(__xludf.DUMMYFUNCTION("""COMPUTED_VALUE"""),"MYNTRA")</f>
        <v>MYNTRA</v>
      </c>
      <c r="D922" s="115">
        <f>IFERROR(__xludf.DUMMYFUNCTION("""COMPUTED_VALUE"""),30995.0)</f>
        <v>30995</v>
      </c>
      <c r="E922" s="115">
        <f>IFERROR(__xludf.DUMMYFUNCTION("""COMPUTED_VALUE"""),8854.0)</f>
        <v>8854</v>
      </c>
      <c r="F922" s="115">
        <f>IFERROR(__xludf.DUMMYFUNCTION("""COMPUTED_VALUE"""),24457.0)</f>
        <v>24457</v>
      </c>
      <c r="G922" s="115">
        <f>IFERROR(__xludf.DUMMYFUNCTION("""COMPUTED_VALUE"""),4707.0)</f>
        <v>4707</v>
      </c>
      <c r="H922" s="116">
        <f>IFERROR(__xludf.DUMMYFUNCTION("""COMPUTED_VALUE"""),45902.0)</f>
        <v>45902</v>
      </c>
      <c r="I922" s="115" t="str">
        <f>IFERROR(__xludf.DUMMYFUNCTION("""COMPUTED_VALUE"""),"17")</f>
        <v>17</v>
      </c>
      <c r="J922" s="115" t="str">
        <f>IFERROR(__xludf.DUMMYFUNCTION("""COMPUTED_VALUE"""),"Ashvani Bhatt2025-09-0217")</f>
        <v>Ashvani Bhatt2025-09-0217</v>
      </c>
      <c r="K922" s="115">
        <f>IFERROR(__xludf.DUMMYFUNCTION("""COMPUTED_VALUE"""),39849.0)</f>
        <v>39849</v>
      </c>
    </row>
    <row r="923">
      <c r="A923" s="115"/>
      <c r="B923" s="115"/>
      <c r="C923" s="115" t="str">
        <f>IFERROR(__xludf.DUMMYFUNCTION("""COMPUTED_VALUE"""),"EXTERNAL")</f>
        <v>EXTERNAL</v>
      </c>
      <c r="D923" s="115">
        <f>IFERROR(__xludf.DUMMYFUNCTION("""COMPUTED_VALUE"""),521.0)</f>
        <v>521</v>
      </c>
      <c r="E923" s="115">
        <f>IFERROR(__xludf.DUMMYFUNCTION("""COMPUTED_VALUE"""),15.0)</f>
        <v>15</v>
      </c>
      <c r="F923" s="115">
        <f>IFERROR(__xludf.DUMMYFUNCTION("""COMPUTED_VALUE"""),96.0)</f>
        <v>96</v>
      </c>
      <c r="G923" s="115">
        <f>IFERROR(__xludf.DUMMYFUNCTION("""COMPUTED_VALUE"""),3.0)</f>
        <v>3</v>
      </c>
      <c r="H923" s="116">
        <f>IFERROR(__xludf.DUMMYFUNCTION("""COMPUTED_VALUE"""),45902.0)</f>
        <v>45902</v>
      </c>
      <c r="I923" s="115" t="str">
        <f>IFERROR(__xludf.DUMMYFUNCTION("""COMPUTED_VALUE"""),"17")</f>
        <v>17</v>
      </c>
      <c r="J923" s="115" t="str">
        <f>IFERROR(__xludf.DUMMYFUNCTION("""COMPUTED_VALUE"""),"2025-09-0217")</f>
        <v>2025-09-0217</v>
      </c>
      <c r="K923" s="115">
        <f>IFERROR(__xludf.DUMMYFUNCTION("""COMPUTED_VALUE"""),536.0)</f>
        <v>536</v>
      </c>
    </row>
    <row r="924">
      <c r="A924" s="115"/>
      <c r="B924" s="115"/>
      <c r="C924" s="115" t="str">
        <f>IFERROR(__xludf.DUMMYFUNCTION("""COMPUTED_VALUE"""),"FLIPKART")</f>
        <v>FLIPKART</v>
      </c>
      <c r="D924" s="115">
        <f>IFERROR(__xludf.DUMMYFUNCTION("""COMPUTED_VALUE"""),3450.0)</f>
        <v>3450</v>
      </c>
      <c r="E924" s="115">
        <f>IFERROR(__xludf.DUMMYFUNCTION("""COMPUTED_VALUE"""),238.0)</f>
        <v>238</v>
      </c>
      <c r="F924" s="115">
        <f>IFERROR(__xludf.DUMMYFUNCTION("""COMPUTED_VALUE"""),1947.0)</f>
        <v>1947</v>
      </c>
      <c r="G924" s="115">
        <f>IFERROR(__xludf.DUMMYFUNCTION("""COMPUTED_VALUE"""),67.0)</f>
        <v>67</v>
      </c>
      <c r="H924" s="116">
        <f>IFERROR(__xludf.DUMMYFUNCTION("""COMPUTED_VALUE"""),45902.0)</f>
        <v>45902</v>
      </c>
      <c r="I924" s="115" t="str">
        <f>IFERROR(__xludf.DUMMYFUNCTION("""COMPUTED_VALUE"""),"17")</f>
        <v>17</v>
      </c>
      <c r="J924" s="115" t="str">
        <f>IFERROR(__xludf.DUMMYFUNCTION("""COMPUTED_VALUE"""),"2025-09-0217")</f>
        <v>2025-09-0217</v>
      </c>
      <c r="K924" s="115">
        <f>IFERROR(__xludf.DUMMYFUNCTION("""COMPUTED_VALUE"""),3688.0)</f>
        <v>3688</v>
      </c>
    </row>
    <row r="925">
      <c r="A925" s="115"/>
      <c r="B925" s="115"/>
      <c r="C925" s="115" t="str">
        <f>IFERROR(__xludf.DUMMYFUNCTION("""COMPUTED_VALUE"""),"MYNTRA")</f>
        <v>MYNTRA</v>
      </c>
      <c r="D925" s="115">
        <f>IFERROR(__xludf.DUMMYFUNCTION("""COMPUTED_VALUE"""),362.0)</f>
        <v>362</v>
      </c>
      <c r="E925" s="115">
        <f>IFERROR(__xludf.DUMMYFUNCTION("""COMPUTED_VALUE"""),52.0)</f>
        <v>52</v>
      </c>
      <c r="F925" s="115">
        <f>IFERROR(__xludf.DUMMYFUNCTION("""COMPUTED_VALUE"""),168.0)</f>
        <v>168</v>
      </c>
      <c r="G925" s="115">
        <f>IFERROR(__xludf.DUMMYFUNCTION("""COMPUTED_VALUE"""),20.0)</f>
        <v>20</v>
      </c>
      <c r="H925" s="116">
        <f>IFERROR(__xludf.DUMMYFUNCTION("""COMPUTED_VALUE"""),45902.0)</f>
        <v>45902</v>
      </c>
      <c r="I925" s="115" t="str">
        <f>IFERROR(__xludf.DUMMYFUNCTION("""COMPUTED_VALUE"""),"17")</f>
        <v>17</v>
      </c>
      <c r="J925" s="115" t="str">
        <f>IFERROR(__xludf.DUMMYFUNCTION("""COMPUTED_VALUE"""),"2025-09-0217")</f>
        <v>2025-09-0217</v>
      </c>
      <c r="K925" s="115">
        <f>IFERROR(__xludf.DUMMYFUNCTION("""COMPUTED_VALUE"""),414.0)</f>
        <v>414</v>
      </c>
    </row>
    <row r="926">
      <c r="A926" s="115" t="str">
        <f>IFERROR(__xludf.DUMMYFUNCTION("""COMPUTED_VALUE"""),"EAST")</f>
        <v>EAST</v>
      </c>
      <c r="B926" s="115" t="str">
        <f>IFERROR(__xludf.DUMMYFUNCTION("""COMPUTED_VALUE"""),"Ashish Ranjan")</f>
        <v>Ashish Ranjan</v>
      </c>
      <c r="C926" s="115" t="str">
        <f>IFERROR(__xludf.DUMMYFUNCTION("""COMPUTED_VALUE"""),"EXTERNAL")</f>
        <v>EXTERNAL</v>
      </c>
      <c r="D926" s="115">
        <f>IFERROR(__xludf.DUMMYFUNCTION("""COMPUTED_VALUE"""),40340.0)</f>
        <v>40340</v>
      </c>
      <c r="E926" s="115">
        <f>IFERROR(__xludf.DUMMYFUNCTION("""COMPUTED_VALUE"""),2779.0)</f>
        <v>2779</v>
      </c>
      <c r="F926" s="115">
        <f>IFERROR(__xludf.DUMMYFUNCTION("""COMPUTED_VALUE"""),19766.0)</f>
        <v>19766</v>
      </c>
      <c r="G926" s="115">
        <f>IFERROR(__xludf.DUMMYFUNCTION("""COMPUTED_VALUE"""),1049.0)</f>
        <v>1049</v>
      </c>
      <c r="H926" s="116">
        <f>IFERROR(__xludf.DUMMYFUNCTION("""COMPUTED_VALUE"""),45902.0)</f>
        <v>45902</v>
      </c>
      <c r="I926" s="115" t="str">
        <f>IFERROR(__xludf.DUMMYFUNCTION("""COMPUTED_VALUE"""),"18")</f>
        <v>18</v>
      </c>
      <c r="J926" s="115" t="str">
        <f>IFERROR(__xludf.DUMMYFUNCTION("""COMPUTED_VALUE"""),"Ashish Ranjan2025-09-0218")</f>
        <v>Ashish Ranjan2025-09-0218</v>
      </c>
      <c r="K926" s="115">
        <f>IFERROR(__xludf.DUMMYFUNCTION("""COMPUTED_VALUE"""),43119.0)</f>
        <v>43119</v>
      </c>
    </row>
    <row r="927">
      <c r="A927" s="115" t="str">
        <f>IFERROR(__xludf.DUMMYFUNCTION("""COMPUTED_VALUE"""),"EAST")</f>
        <v>EAST</v>
      </c>
      <c r="B927" s="115" t="str">
        <f>IFERROR(__xludf.DUMMYFUNCTION("""COMPUTED_VALUE"""),"Ashish Ranjan")</f>
        <v>Ashish Ranjan</v>
      </c>
      <c r="C927" s="115" t="str">
        <f>IFERROR(__xludf.DUMMYFUNCTION("""COMPUTED_VALUE"""),"FLIPKART")</f>
        <v>FLIPKART</v>
      </c>
      <c r="D927" s="115">
        <f>IFERROR(__xludf.DUMMYFUNCTION("""COMPUTED_VALUE"""),589359.0)</f>
        <v>589359</v>
      </c>
      <c r="E927" s="115">
        <f>IFERROR(__xludf.DUMMYFUNCTION("""COMPUTED_VALUE"""),59415.0)</f>
        <v>59415</v>
      </c>
      <c r="F927" s="115">
        <f>IFERROR(__xludf.DUMMYFUNCTION("""COMPUTED_VALUE"""),476347.0)</f>
        <v>476347</v>
      </c>
      <c r="G927" s="115">
        <f>IFERROR(__xludf.DUMMYFUNCTION("""COMPUTED_VALUE"""),36305.0)</f>
        <v>36305</v>
      </c>
      <c r="H927" s="116">
        <f>IFERROR(__xludf.DUMMYFUNCTION("""COMPUTED_VALUE"""),45902.0)</f>
        <v>45902</v>
      </c>
      <c r="I927" s="115" t="str">
        <f>IFERROR(__xludf.DUMMYFUNCTION("""COMPUTED_VALUE"""),"18")</f>
        <v>18</v>
      </c>
      <c r="J927" s="115" t="str">
        <f>IFERROR(__xludf.DUMMYFUNCTION("""COMPUTED_VALUE"""),"Ashish Ranjan2025-09-0218")</f>
        <v>Ashish Ranjan2025-09-0218</v>
      </c>
      <c r="K927" s="115">
        <f>IFERROR(__xludf.DUMMYFUNCTION("""COMPUTED_VALUE"""),648774.0)</f>
        <v>648774</v>
      </c>
    </row>
    <row r="928">
      <c r="A928" s="115" t="str">
        <f>IFERROR(__xludf.DUMMYFUNCTION("""COMPUTED_VALUE"""),"EAST")</f>
        <v>EAST</v>
      </c>
      <c r="B928" s="115" t="str">
        <f>IFERROR(__xludf.DUMMYFUNCTION("""COMPUTED_VALUE"""),"Ashish Ranjan")</f>
        <v>Ashish Ranjan</v>
      </c>
      <c r="C928" s="115" t="str">
        <f>IFERROR(__xludf.DUMMYFUNCTION("""COMPUTED_VALUE"""),"MYNTRA")</f>
        <v>MYNTRA</v>
      </c>
      <c r="D928" s="115">
        <f>IFERROR(__xludf.DUMMYFUNCTION("""COMPUTED_VALUE"""),56677.0)</f>
        <v>56677</v>
      </c>
      <c r="E928" s="115">
        <f>IFERROR(__xludf.DUMMYFUNCTION("""COMPUTED_VALUE"""),12106.0)</f>
        <v>12106</v>
      </c>
      <c r="F928" s="115">
        <f>IFERROR(__xludf.DUMMYFUNCTION("""COMPUTED_VALUE"""),46529.0)</f>
        <v>46529</v>
      </c>
      <c r="G928" s="115">
        <f>IFERROR(__xludf.DUMMYFUNCTION("""COMPUTED_VALUE"""),7452.0)</f>
        <v>7452</v>
      </c>
      <c r="H928" s="116">
        <f>IFERROR(__xludf.DUMMYFUNCTION("""COMPUTED_VALUE"""),45902.0)</f>
        <v>45902</v>
      </c>
      <c r="I928" s="115" t="str">
        <f>IFERROR(__xludf.DUMMYFUNCTION("""COMPUTED_VALUE"""),"18")</f>
        <v>18</v>
      </c>
      <c r="J928" s="115" t="str">
        <f>IFERROR(__xludf.DUMMYFUNCTION("""COMPUTED_VALUE"""),"Ashish Ranjan2025-09-0218")</f>
        <v>Ashish Ranjan2025-09-0218</v>
      </c>
      <c r="K928" s="115">
        <f>IFERROR(__xludf.DUMMYFUNCTION("""COMPUTED_VALUE"""),68783.0)</f>
        <v>68783</v>
      </c>
    </row>
    <row r="929">
      <c r="A929" s="115" t="str">
        <f>IFERROR(__xludf.DUMMYFUNCTION("""COMPUTED_VALUE"""),"EAST")</f>
        <v>EAST</v>
      </c>
      <c r="B929" s="115" t="str">
        <f>IFERROR(__xludf.DUMMYFUNCTION("""COMPUTED_VALUE"""),"Girish Chand")</f>
        <v>Girish Chand</v>
      </c>
      <c r="C929" s="115" t="str">
        <f>IFERROR(__xludf.DUMMYFUNCTION("""COMPUTED_VALUE"""),"EXTERNAL")</f>
        <v>EXTERNAL</v>
      </c>
      <c r="D929" s="115">
        <f>IFERROR(__xludf.DUMMYFUNCTION("""COMPUTED_VALUE"""),23233.0)</f>
        <v>23233</v>
      </c>
      <c r="E929" s="115">
        <f>IFERROR(__xludf.DUMMYFUNCTION("""COMPUTED_VALUE"""),2398.0)</f>
        <v>2398</v>
      </c>
      <c r="F929" s="115">
        <f>IFERROR(__xludf.DUMMYFUNCTION("""COMPUTED_VALUE"""),8969.0)</f>
        <v>8969</v>
      </c>
      <c r="G929" s="115">
        <f>IFERROR(__xludf.DUMMYFUNCTION("""COMPUTED_VALUE"""),534.0)</f>
        <v>534</v>
      </c>
      <c r="H929" s="116">
        <f>IFERROR(__xludf.DUMMYFUNCTION("""COMPUTED_VALUE"""),45902.0)</f>
        <v>45902</v>
      </c>
      <c r="I929" s="115" t="str">
        <f>IFERROR(__xludf.DUMMYFUNCTION("""COMPUTED_VALUE"""),"18")</f>
        <v>18</v>
      </c>
      <c r="J929" s="115" t="str">
        <f>IFERROR(__xludf.DUMMYFUNCTION("""COMPUTED_VALUE"""),"Girish Chand2025-09-0218")</f>
        <v>Girish Chand2025-09-0218</v>
      </c>
      <c r="K929" s="115">
        <f>IFERROR(__xludf.DUMMYFUNCTION("""COMPUTED_VALUE"""),25631.0)</f>
        <v>25631</v>
      </c>
    </row>
    <row r="930">
      <c r="A930" s="115" t="str">
        <f>IFERROR(__xludf.DUMMYFUNCTION("""COMPUTED_VALUE"""),"EAST")</f>
        <v>EAST</v>
      </c>
      <c r="B930" s="115" t="str">
        <f>IFERROR(__xludf.DUMMYFUNCTION("""COMPUTED_VALUE"""),"Girish Chand")</f>
        <v>Girish Chand</v>
      </c>
      <c r="C930" s="115" t="str">
        <f>IFERROR(__xludf.DUMMYFUNCTION("""COMPUTED_VALUE"""),"FLIPKART")</f>
        <v>FLIPKART</v>
      </c>
      <c r="D930" s="115">
        <f>IFERROR(__xludf.DUMMYFUNCTION("""COMPUTED_VALUE"""),394130.0)</f>
        <v>394130</v>
      </c>
      <c r="E930" s="115">
        <f>IFERROR(__xludf.DUMMYFUNCTION("""COMPUTED_VALUE"""),38935.0)</f>
        <v>38935</v>
      </c>
      <c r="F930" s="115">
        <f>IFERROR(__xludf.DUMMYFUNCTION("""COMPUTED_VALUE"""),278554.0)</f>
        <v>278554</v>
      </c>
      <c r="G930" s="115">
        <f>IFERROR(__xludf.DUMMYFUNCTION("""COMPUTED_VALUE"""),20355.0)</f>
        <v>20355</v>
      </c>
      <c r="H930" s="116">
        <f>IFERROR(__xludf.DUMMYFUNCTION("""COMPUTED_VALUE"""),45902.0)</f>
        <v>45902</v>
      </c>
      <c r="I930" s="115" t="str">
        <f>IFERROR(__xludf.DUMMYFUNCTION("""COMPUTED_VALUE"""),"18")</f>
        <v>18</v>
      </c>
      <c r="J930" s="115" t="str">
        <f>IFERROR(__xludf.DUMMYFUNCTION("""COMPUTED_VALUE"""),"Girish Chand2025-09-0218")</f>
        <v>Girish Chand2025-09-0218</v>
      </c>
      <c r="K930" s="115">
        <f>IFERROR(__xludf.DUMMYFUNCTION("""COMPUTED_VALUE"""),433065.0)</f>
        <v>433065</v>
      </c>
    </row>
    <row r="931">
      <c r="A931" s="115" t="str">
        <f>IFERROR(__xludf.DUMMYFUNCTION("""COMPUTED_VALUE"""),"EAST")</f>
        <v>EAST</v>
      </c>
      <c r="B931" s="115" t="str">
        <f>IFERROR(__xludf.DUMMYFUNCTION("""COMPUTED_VALUE"""),"Girish Chand")</f>
        <v>Girish Chand</v>
      </c>
      <c r="C931" s="115" t="str">
        <f>IFERROR(__xludf.DUMMYFUNCTION("""COMPUTED_VALUE"""),"MYNTRA")</f>
        <v>MYNTRA</v>
      </c>
      <c r="D931" s="115">
        <f>IFERROR(__xludf.DUMMYFUNCTION("""COMPUTED_VALUE"""),31125.0)</f>
        <v>31125</v>
      </c>
      <c r="E931" s="115">
        <f>IFERROR(__xludf.DUMMYFUNCTION("""COMPUTED_VALUE"""),6515.0)</f>
        <v>6515</v>
      </c>
      <c r="F931" s="115">
        <f>IFERROR(__xludf.DUMMYFUNCTION("""COMPUTED_VALUE"""),23469.0)</f>
        <v>23469</v>
      </c>
      <c r="G931" s="115">
        <f>IFERROR(__xludf.DUMMYFUNCTION("""COMPUTED_VALUE"""),3609.0)</f>
        <v>3609</v>
      </c>
      <c r="H931" s="116">
        <f>IFERROR(__xludf.DUMMYFUNCTION("""COMPUTED_VALUE"""),45902.0)</f>
        <v>45902</v>
      </c>
      <c r="I931" s="115" t="str">
        <f>IFERROR(__xludf.DUMMYFUNCTION("""COMPUTED_VALUE"""),"18")</f>
        <v>18</v>
      </c>
      <c r="J931" s="115" t="str">
        <f>IFERROR(__xludf.DUMMYFUNCTION("""COMPUTED_VALUE"""),"Girish Chand2025-09-0218")</f>
        <v>Girish Chand2025-09-0218</v>
      </c>
      <c r="K931" s="115">
        <f>IFERROR(__xludf.DUMMYFUNCTION("""COMPUTED_VALUE"""),37640.0)</f>
        <v>37640</v>
      </c>
    </row>
    <row r="932">
      <c r="A932" s="115" t="str">
        <f>IFERROR(__xludf.DUMMYFUNCTION("""COMPUTED_VALUE"""),"EAST")</f>
        <v>EAST</v>
      </c>
      <c r="B932" s="115" t="str">
        <f>IFERROR(__xludf.DUMMYFUNCTION("""COMPUTED_VALUE"""),"Parag Kashyap")</f>
        <v>Parag Kashyap</v>
      </c>
      <c r="C932" s="115" t="str">
        <f>IFERROR(__xludf.DUMMYFUNCTION("""COMPUTED_VALUE"""),"EXTERNAL")</f>
        <v>EXTERNAL</v>
      </c>
      <c r="D932" s="115">
        <f>IFERROR(__xludf.DUMMYFUNCTION("""COMPUTED_VALUE"""),21210.0)</f>
        <v>21210</v>
      </c>
      <c r="E932" s="115">
        <f>IFERROR(__xludf.DUMMYFUNCTION("""COMPUTED_VALUE"""),1191.0)</f>
        <v>1191</v>
      </c>
      <c r="F932" s="115">
        <f>IFERROR(__xludf.DUMMYFUNCTION("""COMPUTED_VALUE"""),7798.0)</f>
        <v>7798</v>
      </c>
      <c r="G932" s="115">
        <f>IFERROR(__xludf.DUMMYFUNCTION("""COMPUTED_VALUE"""),229.0)</f>
        <v>229</v>
      </c>
      <c r="H932" s="116">
        <f>IFERROR(__xludf.DUMMYFUNCTION("""COMPUTED_VALUE"""),45902.0)</f>
        <v>45902</v>
      </c>
      <c r="I932" s="115" t="str">
        <f>IFERROR(__xludf.DUMMYFUNCTION("""COMPUTED_VALUE"""),"18")</f>
        <v>18</v>
      </c>
      <c r="J932" s="115" t="str">
        <f>IFERROR(__xludf.DUMMYFUNCTION("""COMPUTED_VALUE"""),"Parag Kashyap2025-09-0218")</f>
        <v>Parag Kashyap2025-09-0218</v>
      </c>
      <c r="K932" s="115">
        <f>IFERROR(__xludf.DUMMYFUNCTION("""COMPUTED_VALUE"""),22401.0)</f>
        <v>22401</v>
      </c>
    </row>
    <row r="933">
      <c r="A933" s="115" t="str">
        <f>IFERROR(__xludf.DUMMYFUNCTION("""COMPUTED_VALUE"""),"EAST")</f>
        <v>EAST</v>
      </c>
      <c r="B933" s="115" t="str">
        <f>IFERROR(__xludf.DUMMYFUNCTION("""COMPUTED_VALUE"""),"Parag Kashyap")</f>
        <v>Parag Kashyap</v>
      </c>
      <c r="C933" s="115" t="str">
        <f>IFERROR(__xludf.DUMMYFUNCTION("""COMPUTED_VALUE"""),"FLIPKART")</f>
        <v>FLIPKART</v>
      </c>
      <c r="D933" s="115">
        <f>IFERROR(__xludf.DUMMYFUNCTION("""COMPUTED_VALUE"""),298108.0)</f>
        <v>298108</v>
      </c>
      <c r="E933" s="115">
        <f>IFERROR(__xludf.DUMMYFUNCTION("""COMPUTED_VALUE"""),19295.0)</f>
        <v>19295</v>
      </c>
      <c r="F933" s="115">
        <f>IFERROR(__xludf.DUMMYFUNCTION("""COMPUTED_VALUE"""),212216.0)</f>
        <v>212216</v>
      </c>
      <c r="G933" s="115">
        <f>IFERROR(__xludf.DUMMYFUNCTION("""COMPUTED_VALUE"""),8237.0)</f>
        <v>8237</v>
      </c>
      <c r="H933" s="116">
        <f>IFERROR(__xludf.DUMMYFUNCTION("""COMPUTED_VALUE"""),45902.0)</f>
        <v>45902</v>
      </c>
      <c r="I933" s="115" t="str">
        <f>IFERROR(__xludf.DUMMYFUNCTION("""COMPUTED_VALUE"""),"18")</f>
        <v>18</v>
      </c>
      <c r="J933" s="115" t="str">
        <f>IFERROR(__xludf.DUMMYFUNCTION("""COMPUTED_VALUE"""),"Parag Kashyap2025-09-0218")</f>
        <v>Parag Kashyap2025-09-0218</v>
      </c>
      <c r="K933" s="115">
        <f>IFERROR(__xludf.DUMMYFUNCTION("""COMPUTED_VALUE"""),317403.0)</f>
        <v>317403</v>
      </c>
    </row>
    <row r="934">
      <c r="A934" s="115" t="str">
        <f>IFERROR(__xludf.DUMMYFUNCTION("""COMPUTED_VALUE"""),"EAST")</f>
        <v>EAST</v>
      </c>
      <c r="B934" s="115" t="str">
        <f>IFERROR(__xludf.DUMMYFUNCTION("""COMPUTED_VALUE"""),"Parag Kashyap")</f>
        <v>Parag Kashyap</v>
      </c>
      <c r="C934" s="115" t="str">
        <f>IFERROR(__xludf.DUMMYFUNCTION("""COMPUTED_VALUE"""),"MYNTRA")</f>
        <v>MYNTRA</v>
      </c>
      <c r="D934" s="115">
        <f>IFERROR(__xludf.DUMMYFUNCTION("""COMPUTED_VALUE"""),31114.0)</f>
        <v>31114</v>
      </c>
      <c r="E934" s="115">
        <f>IFERROR(__xludf.DUMMYFUNCTION("""COMPUTED_VALUE"""),5054.0)</f>
        <v>5054</v>
      </c>
      <c r="F934" s="115">
        <f>IFERROR(__xludf.DUMMYFUNCTION("""COMPUTED_VALUE"""),22950.0)</f>
        <v>22950</v>
      </c>
      <c r="G934" s="115">
        <f>IFERROR(__xludf.DUMMYFUNCTION("""COMPUTED_VALUE"""),2180.0)</f>
        <v>2180</v>
      </c>
      <c r="H934" s="116">
        <f>IFERROR(__xludf.DUMMYFUNCTION("""COMPUTED_VALUE"""),45902.0)</f>
        <v>45902</v>
      </c>
      <c r="I934" s="115" t="str">
        <f>IFERROR(__xludf.DUMMYFUNCTION("""COMPUTED_VALUE"""),"18")</f>
        <v>18</v>
      </c>
      <c r="J934" s="115" t="str">
        <f>IFERROR(__xludf.DUMMYFUNCTION("""COMPUTED_VALUE"""),"Parag Kashyap2025-09-0218")</f>
        <v>Parag Kashyap2025-09-0218</v>
      </c>
      <c r="K934" s="115">
        <f>IFERROR(__xludf.DUMMYFUNCTION("""COMPUTED_VALUE"""),36168.0)</f>
        <v>36168</v>
      </c>
    </row>
    <row r="935">
      <c r="A935" s="115" t="str">
        <f>IFERROR(__xludf.DUMMYFUNCTION("""COMPUTED_VALUE"""),"NORTH")</f>
        <v>NORTH</v>
      </c>
      <c r="B935" s="115" t="str">
        <f>IFERROR(__xludf.DUMMYFUNCTION("""COMPUTED_VALUE"""),"Amit Kumar Pathak")</f>
        <v>Amit Kumar Pathak</v>
      </c>
      <c r="C935" s="115" t="str">
        <f>IFERROR(__xludf.DUMMYFUNCTION("""COMPUTED_VALUE"""),"EXTERNAL")</f>
        <v>EXTERNAL</v>
      </c>
      <c r="D935" s="115">
        <f>IFERROR(__xludf.DUMMYFUNCTION("""COMPUTED_VALUE"""),25472.0)</f>
        <v>25472</v>
      </c>
      <c r="E935" s="115">
        <f>IFERROR(__xludf.DUMMYFUNCTION("""COMPUTED_VALUE"""),2202.0)</f>
        <v>2202</v>
      </c>
      <c r="F935" s="115">
        <f>IFERROR(__xludf.DUMMYFUNCTION("""COMPUTED_VALUE"""),8150.0)</f>
        <v>8150</v>
      </c>
      <c r="G935" s="115">
        <f>IFERROR(__xludf.DUMMYFUNCTION("""COMPUTED_VALUE"""),614.0)</f>
        <v>614</v>
      </c>
      <c r="H935" s="116">
        <f>IFERROR(__xludf.DUMMYFUNCTION("""COMPUTED_VALUE"""),45902.0)</f>
        <v>45902</v>
      </c>
      <c r="I935" s="115" t="str">
        <f>IFERROR(__xludf.DUMMYFUNCTION("""COMPUTED_VALUE"""),"18")</f>
        <v>18</v>
      </c>
      <c r="J935" s="115" t="str">
        <f>IFERROR(__xludf.DUMMYFUNCTION("""COMPUTED_VALUE"""),"Amit Kumar Pathak2025-09-0218")</f>
        <v>Amit Kumar Pathak2025-09-0218</v>
      </c>
      <c r="K935" s="115">
        <f>IFERROR(__xludf.DUMMYFUNCTION("""COMPUTED_VALUE"""),27674.0)</f>
        <v>27674</v>
      </c>
    </row>
    <row r="936">
      <c r="A936" s="115" t="str">
        <f>IFERROR(__xludf.DUMMYFUNCTION("""COMPUTED_VALUE"""),"NORTH")</f>
        <v>NORTH</v>
      </c>
      <c r="B936" s="115" t="str">
        <f>IFERROR(__xludf.DUMMYFUNCTION("""COMPUTED_VALUE"""),"Amit Kumar Pathak")</f>
        <v>Amit Kumar Pathak</v>
      </c>
      <c r="C936" s="115" t="str">
        <f>IFERROR(__xludf.DUMMYFUNCTION("""COMPUTED_VALUE"""),"FLIPKART")</f>
        <v>FLIPKART</v>
      </c>
      <c r="D936" s="115">
        <f>IFERROR(__xludf.DUMMYFUNCTION("""COMPUTED_VALUE"""),174681.0)</f>
        <v>174681</v>
      </c>
      <c r="E936" s="115">
        <f>IFERROR(__xludf.DUMMYFUNCTION("""COMPUTED_VALUE"""),22295.0)</f>
        <v>22295</v>
      </c>
      <c r="F936" s="115">
        <f>IFERROR(__xludf.DUMMYFUNCTION("""COMPUTED_VALUE"""),104107.0)</f>
        <v>104107</v>
      </c>
      <c r="G936" s="115">
        <f>IFERROR(__xludf.DUMMYFUNCTION("""COMPUTED_VALUE"""),11057.0)</f>
        <v>11057</v>
      </c>
      <c r="H936" s="116">
        <f>IFERROR(__xludf.DUMMYFUNCTION("""COMPUTED_VALUE"""),45902.0)</f>
        <v>45902</v>
      </c>
      <c r="I936" s="115" t="str">
        <f>IFERROR(__xludf.DUMMYFUNCTION("""COMPUTED_VALUE"""),"18")</f>
        <v>18</v>
      </c>
      <c r="J936" s="115" t="str">
        <f>IFERROR(__xludf.DUMMYFUNCTION("""COMPUTED_VALUE"""),"Amit Kumar Pathak2025-09-0218")</f>
        <v>Amit Kumar Pathak2025-09-0218</v>
      </c>
      <c r="K936" s="115">
        <f>IFERROR(__xludf.DUMMYFUNCTION("""COMPUTED_VALUE"""),196976.0)</f>
        <v>196976</v>
      </c>
    </row>
    <row r="937">
      <c r="A937" s="115" t="str">
        <f>IFERROR(__xludf.DUMMYFUNCTION("""COMPUTED_VALUE"""),"NORTH")</f>
        <v>NORTH</v>
      </c>
      <c r="B937" s="115" t="str">
        <f>IFERROR(__xludf.DUMMYFUNCTION("""COMPUTED_VALUE"""),"Amit Kumar Pathak")</f>
        <v>Amit Kumar Pathak</v>
      </c>
      <c r="C937" s="115" t="str">
        <f>IFERROR(__xludf.DUMMYFUNCTION("""COMPUTED_VALUE"""),"MYNTRA")</f>
        <v>MYNTRA</v>
      </c>
      <c r="D937" s="115">
        <f>IFERROR(__xludf.DUMMYFUNCTION("""COMPUTED_VALUE"""),17136.0)</f>
        <v>17136</v>
      </c>
      <c r="E937" s="115">
        <f>IFERROR(__xludf.DUMMYFUNCTION("""COMPUTED_VALUE"""),5168.0)</f>
        <v>5168</v>
      </c>
      <c r="F937" s="115">
        <f>IFERROR(__xludf.DUMMYFUNCTION("""COMPUTED_VALUE"""),11935.0)</f>
        <v>11935</v>
      </c>
      <c r="G937" s="115">
        <f>IFERROR(__xludf.DUMMYFUNCTION("""COMPUTED_VALUE"""),2850.0)</f>
        <v>2850</v>
      </c>
      <c r="H937" s="116">
        <f>IFERROR(__xludf.DUMMYFUNCTION("""COMPUTED_VALUE"""),45902.0)</f>
        <v>45902</v>
      </c>
      <c r="I937" s="115" t="str">
        <f>IFERROR(__xludf.DUMMYFUNCTION("""COMPUTED_VALUE"""),"18")</f>
        <v>18</v>
      </c>
      <c r="J937" s="115" t="str">
        <f>IFERROR(__xludf.DUMMYFUNCTION("""COMPUTED_VALUE"""),"Amit Kumar Pathak2025-09-0218")</f>
        <v>Amit Kumar Pathak2025-09-0218</v>
      </c>
      <c r="K937" s="115">
        <f>IFERROR(__xludf.DUMMYFUNCTION("""COMPUTED_VALUE"""),22304.0)</f>
        <v>22304</v>
      </c>
    </row>
    <row r="938">
      <c r="A938" s="115" t="str">
        <f>IFERROR(__xludf.DUMMYFUNCTION("""COMPUTED_VALUE"""),"NORTH")</f>
        <v>NORTH</v>
      </c>
      <c r="B938" s="115" t="str">
        <f>IFERROR(__xludf.DUMMYFUNCTION("""COMPUTED_VALUE"""),"Loveleen Singh")</f>
        <v>Loveleen Singh</v>
      </c>
      <c r="C938" s="115" t="str">
        <f>IFERROR(__xludf.DUMMYFUNCTION("""COMPUTED_VALUE"""),"EXTERNAL")</f>
        <v>EXTERNAL</v>
      </c>
      <c r="D938" s="115">
        <f>IFERROR(__xludf.DUMMYFUNCTION("""COMPUTED_VALUE"""),29287.0)</f>
        <v>29287</v>
      </c>
      <c r="E938" s="115">
        <f>IFERROR(__xludf.DUMMYFUNCTION("""COMPUTED_VALUE"""),2077.0)</f>
        <v>2077</v>
      </c>
      <c r="F938" s="115">
        <f>IFERROR(__xludf.DUMMYFUNCTION("""COMPUTED_VALUE"""),9686.0)</f>
        <v>9686</v>
      </c>
      <c r="G938" s="115">
        <f>IFERROR(__xludf.DUMMYFUNCTION("""COMPUTED_VALUE"""),446.0)</f>
        <v>446</v>
      </c>
      <c r="H938" s="116">
        <f>IFERROR(__xludf.DUMMYFUNCTION("""COMPUTED_VALUE"""),45902.0)</f>
        <v>45902</v>
      </c>
      <c r="I938" s="115" t="str">
        <f>IFERROR(__xludf.DUMMYFUNCTION("""COMPUTED_VALUE"""),"18")</f>
        <v>18</v>
      </c>
      <c r="J938" s="115" t="str">
        <f>IFERROR(__xludf.DUMMYFUNCTION("""COMPUTED_VALUE"""),"Loveleen Singh2025-09-0218")</f>
        <v>Loveleen Singh2025-09-0218</v>
      </c>
      <c r="K938" s="115">
        <f>IFERROR(__xludf.DUMMYFUNCTION("""COMPUTED_VALUE"""),31364.0)</f>
        <v>31364</v>
      </c>
    </row>
    <row r="939">
      <c r="A939" s="115" t="str">
        <f>IFERROR(__xludf.DUMMYFUNCTION("""COMPUTED_VALUE"""),"NORTH")</f>
        <v>NORTH</v>
      </c>
      <c r="B939" s="115" t="str">
        <f>IFERROR(__xludf.DUMMYFUNCTION("""COMPUTED_VALUE"""),"Loveleen Singh")</f>
        <v>Loveleen Singh</v>
      </c>
      <c r="C939" s="115" t="str">
        <f>IFERROR(__xludf.DUMMYFUNCTION("""COMPUTED_VALUE"""),"FLIPKART")</f>
        <v>FLIPKART</v>
      </c>
      <c r="D939" s="115">
        <f>IFERROR(__xludf.DUMMYFUNCTION("""COMPUTED_VALUE"""),150896.0)</f>
        <v>150896</v>
      </c>
      <c r="E939" s="115">
        <f>IFERROR(__xludf.DUMMYFUNCTION("""COMPUTED_VALUE"""),13145.0)</f>
        <v>13145</v>
      </c>
      <c r="F939" s="115">
        <f>IFERROR(__xludf.DUMMYFUNCTION("""COMPUTED_VALUE"""),96642.0)</f>
        <v>96642</v>
      </c>
      <c r="G939" s="115">
        <f>IFERROR(__xludf.DUMMYFUNCTION("""COMPUTED_VALUE"""),5979.0)</f>
        <v>5979</v>
      </c>
      <c r="H939" s="116">
        <f>IFERROR(__xludf.DUMMYFUNCTION("""COMPUTED_VALUE"""),45902.0)</f>
        <v>45902</v>
      </c>
      <c r="I939" s="115" t="str">
        <f>IFERROR(__xludf.DUMMYFUNCTION("""COMPUTED_VALUE"""),"18")</f>
        <v>18</v>
      </c>
      <c r="J939" s="115" t="str">
        <f>IFERROR(__xludf.DUMMYFUNCTION("""COMPUTED_VALUE"""),"Loveleen Singh2025-09-0218")</f>
        <v>Loveleen Singh2025-09-0218</v>
      </c>
      <c r="K939" s="115">
        <f>IFERROR(__xludf.DUMMYFUNCTION("""COMPUTED_VALUE"""),164041.0)</f>
        <v>164041</v>
      </c>
    </row>
    <row r="940">
      <c r="A940" s="115" t="str">
        <f>IFERROR(__xludf.DUMMYFUNCTION("""COMPUTED_VALUE"""),"NORTH")</f>
        <v>NORTH</v>
      </c>
      <c r="B940" s="115" t="str">
        <f>IFERROR(__xludf.DUMMYFUNCTION("""COMPUTED_VALUE"""),"Loveleen Singh")</f>
        <v>Loveleen Singh</v>
      </c>
      <c r="C940" s="115" t="str">
        <f>IFERROR(__xludf.DUMMYFUNCTION("""COMPUTED_VALUE"""),"MYNTRA")</f>
        <v>MYNTRA</v>
      </c>
      <c r="D940" s="115">
        <f>IFERROR(__xludf.DUMMYFUNCTION("""COMPUTED_VALUE"""),22756.0)</f>
        <v>22756</v>
      </c>
      <c r="E940" s="115">
        <f>IFERROR(__xludf.DUMMYFUNCTION("""COMPUTED_VALUE"""),5104.0)</f>
        <v>5104</v>
      </c>
      <c r="F940" s="115">
        <f>IFERROR(__xludf.DUMMYFUNCTION("""COMPUTED_VALUE"""),16721.0)</f>
        <v>16721</v>
      </c>
      <c r="G940" s="115">
        <f>IFERROR(__xludf.DUMMYFUNCTION("""COMPUTED_VALUE"""),2482.0)</f>
        <v>2482</v>
      </c>
      <c r="H940" s="116">
        <f>IFERROR(__xludf.DUMMYFUNCTION("""COMPUTED_VALUE"""),45902.0)</f>
        <v>45902</v>
      </c>
      <c r="I940" s="115" t="str">
        <f>IFERROR(__xludf.DUMMYFUNCTION("""COMPUTED_VALUE"""),"18")</f>
        <v>18</v>
      </c>
      <c r="J940" s="115" t="str">
        <f>IFERROR(__xludf.DUMMYFUNCTION("""COMPUTED_VALUE"""),"Loveleen Singh2025-09-0218")</f>
        <v>Loveleen Singh2025-09-0218</v>
      </c>
      <c r="K940" s="115">
        <f>IFERROR(__xludf.DUMMYFUNCTION("""COMPUTED_VALUE"""),27860.0)</f>
        <v>27860</v>
      </c>
    </row>
    <row r="941">
      <c r="A941" s="115" t="str">
        <f>IFERROR(__xludf.DUMMYFUNCTION("""COMPUTED_VALUE"""),"NORTH")</f>
        <v>NORTH</v>
      </c>
      <c r="B941" s="115" t="str">
        <f>IFERROR(__xludf.DUMMYFUNCTION("""COMPUTED_VALUE"""),"Manoj Harsh")</f>
        <v>Manoj Harsh</v>
      </c>
      <c r="C941" s="115" t="str">
        <f>IFERROR(__xludf.DUMMYFUNCTION("""COMPUTED_VALUE"""),"EXTERNAL")</f>
        <v>EXTERNAL</v>
      </c>
      <c r="D941" s="115">
        <f>IFERROR(__xludf.DUMMYFUNCTION("""COMPUTED_VALUE"""),33971.0)</f>
        <v>33971</v>
      </c>
      <c r="E941" s="115">
        <f>IFERROR(__xludf.DUMMYFUNCTION("""COMPUTED_VALUE"""),3163.0)</f>
        <v>3163</v>
      </c>
      <c r="F941" s="115">
        <f>IFERROR(__xludf.DUMMYFUNCTION("""COMPUTED_VALUE"""),12669.0)</f>
        <v>12669</v>
      </c>
      <c r="G941" s="115">
        <f>IFERROR(__xludf.DUMMYFUNCTION("""COMPUTED_VALUE"""),729.0)</f>
        <v>729</v>
      </c>
      <c r="H941" s="116">
        <f>IFERROR(__xludf.DUMMYFUNCTION("""COMPUTED_VALUE"""),45902.0)</f>
        <v>45902</v>
      </c>
      <c r="I941" s="115" t="str">
        <f>IFERROR(__xludf.DUMMYFUNCTION("""COMPUTED_VALUE"""),"18")</f>
        <v>18</v>
      </c>
      <c r="J941" s="115" t="str">
        <f>IFERROR(__xludf.DUMMYFUNCTION("""COMPUTED_VALUE"""),"Manoj Harsh2025-09-0218")</f>
        <v>Manoj Harsh2025-09-0218</v>
      </c>
      <c r="K941" s="115">
        <f>IFERROR(__xludf.DUMMYFUNCTION("""COMPUTED_VALUE"""),37134.0)</f>
        <v>37134</v>
      </c>
    </row>
    <row r="942">
      <c r="A942" s="115" t="str">
        <f>IFERROR(__xludf.DUMMYFUNCTION("""COMPUTED_VALUE"""),"NORTH")</f>
        <v>NORTH</v>
      </c>
      <c r="B942" s="115" t="str">
        <f>IFERROR(__xludf.DUMMYFUNCTION("""COMPUTED_VALUE"""),"Manoj Harsh")</f>
        <v>Manoj Harsh</v>
      </c>
      <c r="C942" s="115" t="str">
        <f>IFERROR(__xludf.DUMMYFUNCTION("""COMPUTED_VALUE"""),"FLIPKART")</f>
        <v>FLIPKART</v>
      </c>
      <c r="D942" s="115">
        <f>IFERROR(__xludf.DUMMYFUNCTION("""COMPUTED_VALUE"""),401477.0)</f>
        <v>401477</v>
      </c>
      <c r="E942" s="115">
        <f>IFERROR(__xludf.DUMMYFUNCTION("""COMPUTED_VALUE"""),42474.0)</f>
        <v>42474</v>
      </c>
      <c r="F942" s="115">
        <f>IFERROR(__xludf.DUMMYFUNCTION("""COMPUTED_VALUE"""),276495.0)</f>
        <v>276495</v>
      </c>
      <c r="G942" s="115">
        <f>IFERROR(__xludf.DUMMYFUNCTION("""COMPUTED_VALUE"""),20874.0)</f>
        <v>20874</v>
      </c>
      <c r="H942" s="116">
        <f>IFERROR(__xludf.DUMMYFUNCTION("""COMPUTED_VALUE"""),45902.0)</f>
        <v>45902</v>
      </c>
      <c r="I942" s="115" t="str">
        <f>IFERROR(__xludf.DUMMYFUNCTION("""COMPUTED_VALUE"""),"18")</f>
        <v>18</v>
      </c>
      <c r="J942" s="115" t="str">
        <f>IFERROR(__xludf.DUMMYFUNCTION("""COMPUTED_VALUE"""),"Manoj Harsh2025-09-0218")</f>
        <v>Manoj Harsh2025-09-0218</v>
      </c>
      <c r="K942" s="115">
        <f>IFERROR(__xludf.DUMMYFUNCTION("""COMPUTED_VALUE"""),443951.0)</f>
        <v>443951</v>
      </c>
    </row>
    <row r="943">
      <c r="A943" s="115" t="str">
        <f>IFERROR(__xludf.DUMMYFUNCTION("""COMPUTED_VALUE"""),"NORTH")</f>
        <v>NORTH</v>
      </c>
      <c r="B943" s="115" t="str">
        <f>IFERROR(__xludf.DUMMYFUNCTION("""COMPUTED_VALUE"""),"Manoj Harsh")</f>
        <v>Manoj Harsh</v>
      </c>
      <c r="C943" s="115" t="str">
        <f>IFERROR(__xludf.DUMMYFUNCTION("""COMPUTED_VALUE"""),"MYNTRA")</f>
        <v>MYNTRA</v>
      </c>
      <c r="D943" s="115">
        <f>IFERROR(__xludf.DUMMYFUNCTION("""COMPUTED_VALUE"""),34772.0)</f>
        <v>34772</v>
      </c>
      <c r="E943" s="115">
        <f>IFERROR(__xludf.DUMMYFUNCTION("""COMPUTED_VALUE"""),7791.0)</f>
        <v>7791</v>
      </c>
      <c r="F943" s="115">
        <f>IFERROR(__xludf.DUMMYFUNCTION("""COMPUTED_VALUE"""),26268.0)</f>
        <v>26268</v>
      </c>
      <c r="G943" s="115">
        <f>IFERROR(__xludf.DUMMYFUNCTION("""COMPUTED_VALUE"""),4178.0)</f>
        <v>4178</v>
      </c>
      <c r="H943" s="116">
        <f>IFERROR(__xludf.DUMMYFUNCTION("""COMPUTED_VALUE"""),45902.0)</f>
        <v>45902</v>
      </c>
      <c r="I943" s="115" t="str">
        <f>IFERROR(__xludf.DUMMYFUNCTION("""COMPUTED_VALUE"""),"18")</f>
        <v>18</v>
      </c>
      <c r="J943" s="115" t="str">
        <f>IFERROR(__xludf.DUMMYFUNCTION("""COMPUTED_VALUE"""),"Manoj Harsh2025-09-0218")</f>
        <v>Manoj Harsh2025-09-0218</v>
      </c>
      <c r="K943" s="115">
        <f>IFERROR(__xludf.DUMMYFUNCTION("""COMPUTED_VALUE"""),42563.0)</f>
        <v>42563</v>
      </c>
    </row>
    <row r="944">
      <c r="A944" s="115" t="str">
        <f>IFERROR(__xludf.DUMMYFUNCTION("""COMPUTED_VALUE"""),"NORTH")</f>
        <v>NORTH</v>
      </c>
      <c r="B944" s="115" t="str">
        <f>IFERROR(__xludf.DUMMYFUNCTION("""COMPUTED_VALUE"""),"Pradeep Kothari")</f>
        <v>Pradeep Kothari</v>
      </c>
      <c r="C944" s="115" t="str">
        <f>IFERROR(__xludf.DUMMYFUNCTION("""COMPUTED_VALUE"""),"EXTERNAL")</f>
        <v>EXTERNAL</v>
      </c>
      <c r="D944" s="115">
        <f>IFERROR(__xludf.DUMMYFUNCTION("""COMPUTED_VALUE"""),19161.0)</f>
        <v>19161</v>
      </c>
      <c r="E944" s="115">
        <f>IFERROR(__xludf.DUMMYFUNCTION("""COMPUTED_VALUE"""),1972.0)</f>
        <v>1972</v>
      </c>
      <c r="F944" s="115">
        <f>IFERROR(__xludf.DUMMYFUNCTION("""COMPUTED_VALUE"""),7097.0)</f>
        <v>7097</v>
      </c>
      <c r="G944" s="115">
        <f>IFERROR(__xludf.DUMMYFUNCTION("""COMPUTED_VALUE"""),551.0)</f>
        <v>551</v>
      </c>
      <c r="H944" s="116">
        <f>IFERROR(__xludf.DUMMYFUNCTION("""COMPUTED_VALUE"""),45902.0)</f>
        <v>45902</v>
      </c>
      <c r="I944" s="115" t="str">
        <f>IFERROR(__xludf.DUMMYFUNCTION("""COMPUTED_VALUE"""),"18")</f>
        <v>18</v>
      </c>
      <c r="J944" s="115" t="str">
        <f>IFERROR(__xludf.DUMMYFUNCTION("""COMPUTED_VALUE"""),"Pradeep Kothari2025-09-0218")</f>
        <v>Pradeep Kothari2025-09-0218</v>
      </c>
      <c r="K944" s="115">
        <f>IFERROR(__xludf.DUMMYFUNCTION("""COMPUTED_VALUE"""),21133.0)</f>
        <v>21133</v>
      </c>
    </row>
    <row r="945">
      <c r="A945" s="115" t="str">
        <f>IFERROR(__xludf.DUMMYFUNCTION("""COMPUTED_VALUE"""),"NORTH")</f>
        <v>NORTH</v>
      </c>
      <c r="B945" s="115" t="str">
        <f>IFERROR(__xludf.DUMMYFUNCTION("""COMPUTED_VALUE"""),"Pradeep Kothari")</f>
        <v>Pradeep Kothari</v>
      </c>
      <c r="C945" s="115" t="str">
        <f>IFERROR(__xludf.DUMMYFUNCTION("""COMPUTED_VALUE"""),"FLIPKART")</f>
        <v>FLIPKART</v>
      </c>
      <c r="D945" s="115">
        <f>IFERROR(__xludf.DUMMYFUNCTION("""COMPUTED_VALUE"""),136633.0)</f>
        <v>136633</v>
      </c>
      <c r="E945" s="115">
        <f>IFERROR(__xludf.DUMMYFUNCTION("""COMPUTED_VALUE"""),17166.0)</f>
        <v>17166</v>
      </c>
      <c r="F945" s="115">
        <f>IFERROR(__xludf.DUMMYFUNCTION("""COMPUTED_VALUE"""),95659.0)</f>
        <v>95659</v>
      </c>
      <c r="G945" s="115">
        <f>IFERROR(__xludf.DUMMYFUNCTION("""COMPUTED_VALUE"""),9704.0)</f>
        <v>9704</v>
      </c>
      <c r="H945" s="116">
        <f>IFERROR(__xludf.DUMMYFUNCTION("""COMPUTED_VALUE"""),45902.0)</f>
        <v>45902</v>
      </c>
      <c r="I945" s="115" t="str">
        <f>IFERROR(__xludf.DUMMYFUNCTION("""COMPUTED_VALUE"""),"18")</f>
        <v>18</v>
      </c>
      <c r="J945" s="115" t="str">
        <f>IFERROR(__xludf.DUMMYFUNCTION("""COMPUTED_VALUE"""),"Pradeep Kothari2025-09-0218")</f>
        <v>Pradeep Kothari2025-09-0218</v>
      </c>
      <c r="K945" s="115">
        <f>IFERROR(__xludf.DUMMYFUNCTION("""COMPUTED_VALUE"""),153799.0)</f>
        <v>153799</v>
      </c>
    </row>
    <row r="946">
      <c r="A946" s="115" t="str">
        <f>IFERROR(__xludf.DUMMYFUNCTION("""COMPUTED_VALUE"""),"NORTH")</f>
        <v>NORTH</v>
      </c>
      <c r="B946" s="115" t="str">
        <f>IFERROR(__xludf.DUMMYFUNCTION("""COMPUTED_VALUE"""),"Pradeep Kothari")</f>
        <v>Pradeep Kothari</v>
      </c>
      <c r="C946" s="115" t="str">
        <f>IFERROR(__xludf.DUMMYFUNCTION("""COMPUTED_VALUE"""),"MYNTRA")</f>
        <v>MYNTRA</v>
      </c>
      <c r="D946" s="115">
        <f>IFERROR(__xludf.DUMMYFUNCTION("""COMPUTED_VALUE"""),23395.0)</f>
        <v>23395</v>
      </c>
      <c r="E946" s="115">
        <f>IFERROR(__xludf.DUMMYFUNCTION("""COMPUTED_VALUE"""),6310.0)</f>
        <v>6310</v>
      </c>
      <c r="F946" s="115">
        <f>IFERROR(__xludf.DUMMYFUNCTION("""COMPUTED_VALUE"""),18502.0)</f>
        <v>18502</v>
      </c>
      <c r="G946" s="115">
        <f>IFERROR(__xludf.DUMMYFUNCTION("""COMPUTED_VALUE"""),4002.0)</f>
        <v>4002</v>
      </c>
      <c r="H946" s="116">
        <f>IFERROR(__xludf.DUMMYFUNCTION("""COMPUTED_VALUE"""),45902.0)</f>
        <v>45902</v>
      </c>
      <c r="I946" s="115" t="str">
        <f>IFERROR(__xludf.DUMMYFUNCTION("""COMPUTED_VALUE"""),"18")</f>
        <v>18</v>
      </c>
      <c r="J946" s="115" t="str">
        <f>IFERROR(__xludf.DUMMYFUNCTION("""COMPUTED_VALUE"""),"Pradeep Kothari2025-09-0218")</f>
        <v>Pradeep Kothari2025-09-0218</v>
      </c>
      <c r="K946" s="115">
        <f>IFERROR(__xludf.DUMMYFUNCTION("""COMPUTED_VALUE"""),29705.0)</f>
        <v>29705</v>
      </c>
    </row>
    <row r="947">
      <c r="A947" s="115" t="str">
        <f>IFERROR(__xludf.DUMMYFUNCTION("""COMPUTED_VALUE"""),"SOUTH")</f>
        <v>SOUTH</v>
      </c>
      <c r="B947" s="115" t="str">
        <f>IFERROR(__xludf.DUMMYFUNCTION("""COMPUTED_VALUE"""),"Kandula Sampath")</f>
        <v>Kandula Sampath</v>
      </c>
      <c r="C947" s="115" t="str">
        <f>IFERROR(__xludf.DUMMYFUNCTION("""COMPUTED_VALUE"""),"EXTERNAL")</f>
        <v>EXTERNAL</v>
      </c>
      <c r="D947" s="115">
        <f>IFERROR(__xludf.DUMMYFUNCTION("""COMPUTED_VALUE"""),38838.0)</f>
        <v>38838</v>
      </c>
      <c r="E947" s="115">
        <f>IFERROR(__xludf.DUMMYFUNCTION("""COMPUTED_VALUE"""),4413.0)</f>
        <v>4413</v>
      </c>
      <c r="F947" s="115">
        <f>IFERROR(__xludf.DUMMYFUNCTION("""COMPUTED_VALUE"""),14611.0)</f>
        <v>14611</v>
      </c>
      <c r="G947" s="115">
        <f>IFERROR(__xludf.DUMMYFUNCTION("""COMPUTED_VALUE"""),941.0)</f>
        <v>941</v>
      </c>
      <c r="H947" s="116">
        <f>IFERROR(__xludf.DUMMYFUNCTION("""COMPUTED_VALUE"""),45902.0)</f>
        <v>45902</v>
      </c>
      <c r="I947" s="115" t="str">
        <f>IFERROR(__xludf.DUMMYFUNCTION("""COMPUTED_VALUE"""),"18")</f>
        <v>18</v>
      </c>
      <c r="J947" s="115" t="str">
        <f>IFERROR(__xludf.DUMMYFUNCTION("""COMPUTED_VALUE"""),"Kandula Sampath2025-09-0218")</f>
        <v>Kandula Sampath2025-09-0218</v>
      </c>
      <c r="K947" s="115">
        <f>IFERROR(__xludf.DUMMYFUNCTION("""COMPUTED_VALUE"""),43251.0)</f>
        <v>43251</v>
      </c>
    </row>
    <row r="948">
      <c r="A948" s="115" t="str">
        <f>IFERROR(__xludf.DUMMYFUNCTION("""COMPUTED_VALUE"""),"SOUTH")</f>
        <v>SOUTH</v>
      </c>
      <c r="B948" s="115" t="str">
        <f>IFERROR(__xludf.DUMMYFUNCTION("""COMPUTED_VALUE"""),"Kandula Sampath")</f>
        <v>Kandula Sampath</v>
      </c>
      <c r="C948" s="115" t="str">
        <f>IFERROR(__xludf.DUMMYFUNCTION("""COMPUTED_VALUE"""),"FLIPKART")</f>
        <v>FLIPKART</v>
      </c>
      <c r="D948" s="115">
        <f>IFERROR(__xludf.DUMMYFUNCTION("""COMPUTED_VALUE"""),332169.0)</f>
        <v>332169</v>
      </c>
      <c r="E948" s="115">
        <f>IFERROR(__xludf.DUMMYFUNCTION("""COMPUTED_VALUE"""),33947.0)</f>
        <v>33947</v>
      </c>
      <c r="F948" s="115">
        <f>IFERROR(__xludf.DUMMYFUNCTION("""COMPUTED_VALUE"""),224849.0)</f>
        <v>224849</v>
      </c>
      <c r="G948" s="115">
        <f>IFERROR(__xludf.DUMMYFUNCTION("""COMPUTED_VALUE"""),14272.0)</f>
        <v>14272</v>
      </c>
      <c r="H948" s="116">
        <f>IFERROR(__xludf.DUMMYFUNCTION("""COMPUTED_VALUE"""),45902.0)</f>
        <v>45902</v>
      </c>
      <c r="I948" s="115" t="str">
        <f>IFERROR(__xludf.DUMMYFUNCTION("""COMPUTED_VALUE"""),"18")</f>
        <v>18</v>
      </c>
      <c r="J948" s="115" t="str">
        <f>IFERROR(__xludf.DUMMYFUNCTION("""COMPUTED_VALUE"""),"Kandula Sampath2025-09-0218")</f>
        <v>Kandula Sampath2025-09-0218</v>
      </c>
      <c r="K948" s="115">
        <f>IFERROR(__xludf.DUMMYFUNCTION("""COMPUTED_VALUE"""),366116.0)</f>
        <v>366116</v>
      </c>
    </row>
    <row r="949">
      <c r="A949" s="115" t="str">
        <f>IFERROR(__xludf.DUMMYFUNCTION("""COMPUTED_VALUE"""),"SOUTH")</f>
        <v>SOUTH</v>
      </c>
      <c r="B949" s="115" t="str">
        <f>IFERROR(__xludf.DUMMYFUNCTION("""COMPUTED_VALUE"""),"Kandula Sampath")</f>
        <v>Kandula Sampath</v>
      </c>
      <c r="C949" s="115" t="str">
        <f>IFERROR(__xludf.DUMMYFUNCTION("""COMPUTED_VALUE"""),"MYNTRA")</f>
        <v>MYNTRA</v>
      </c>
      <c r="D949" s="115">
        <f>IFERROR(__xludf.DUMMYFUNCTION("""COMPUTED_VALUE"""),33958.0)</f>
        <v>33958</v>
      </c>
      <c r="E949" s="115">
        <f>IFERROR(__xludf.DUMMYFUNCTION("""COMPUTED_VALUE"""),8390.0)</f>
        <v>8390</v>
      </c>
      <c r="F949" s="115">
        <f>IFERROR(__xludf.DUMMYFUNCTION("""COMPUTED_VALUE"""),25494.0)</f>
        <v>25494</v>
      </c>
      <c r="G949" s="115">
        <f>IFERROR(__xludf.DUMMYFUNCTION("""COMPUTED_VALUE"""),3519.0)</f>
        <v>3519</v>
      </c>
      <c r="H949" s="116">
        <f>IFERROR(__xludf.DUMMYFUNCTION("""COMPUTED_VALUE"""),45902.0)</f>
        <v>45902</v>
      </c>
      <c r="I949" s="115" t="str">
        <f>IFERROR(__xludf.DUMMYFUNCTION("""COMPUTED_VALUE"""),"18")</f>
        <v>18</v>
      </c>
      <c r="J949" s="115" t="str">
        <f>IFERROR(__xludf.DUMMYFUNCTION("""COMPUTED_VALUE"""),"Kandula Sampath2025-09-0218")</f>
        <v>Kandula Sampath2025-09-0218</v>
      </c>
      <c r="K949" s="115">
        <f>IFERROR(__xludf.DUMMYFUNCTION("""COMPUTED_VALUE"""),42348.0)</f>
        <v>42348</v>
      </c>
    </row>
    <row r="950">
      <c r="A950" s="115" t="str">
        <f>IFERROR(__xludf.DUMMYFUNCTION("""COMPUTED_VALUE"""),"SOUTH")</f>
        <v>SOUTH</v>
      </c>
      <c r="B950" s="115" t="str">
        <f>IFERROR(__xludf.DUMMYFUNCTION("""COMPUTED_VALUE"""),"Martin A")</f>
        <v>Martin A</v>
      </c>
      <c r="C950" s="115" t="str">
        <f>IFERROR(__xludf.DUMMYFUNCTION("""COMPUTED_VALUE"""),"EXTERNAL")</f>
        <v>EXTERNAL</v>
      </c>
      <c r="D950" s="115">
        <f>IFERROR(__xludf.DUMMYFUNCTION("""COMPUTED_VALUE"""),38590.0)</f>
        <v>38590</v>
      </c>
      <c r="E950" s="115">
        <f>IFERROR(__xludf.DUMMYFUNCTION("""COMPUTED_VALUE"""),2680.0)</f>
        <v>2680</v>
      </c>
      <c r="F950" s="115">
        <f>IFERROR(__xludf.DUMMYFUNCTION("""COMPUTED_VALUE"""),14855.0)</f>
        <v>14855</v>
      </c>
      <c r="G950" s="115">
        <f>IFERROR(__xludf.DUMMYFUNCTION("""COMPUTED_VALUE"""),834.0)</f>
        <v>834</v>
      </c>
      <c r="H950" s="116">
        <f>IFERROR(__xludf.DUMMYFUNCTION("""COMPUTED_VALUE"""),45902.0)</f>
        <v>45902</v>
      </c>
      <c r="I950" s="115" t="str">
        <f>IFERROR(__xludf.DUMMYFUNCTION("""COMPUTED_VALUE"""),"18")</f>
        <v>18</v>
      </c>
      <c r="J950" s="115" t="str">
        <f>IFERROR(__xludf.DUMMYFUNCTION("""COMPUTED_VALUE"""),"Martin A2025-09-0218")</f>
        <v>Martin A2025-09-0218</v>
      </c>
      <c r="K950" s="115">
        <f>IFERROR(__xludf.DUMMYFUNCTION("""COMPUTED_VALUE"""),41270.0)</f>
        <v>41270</v>
      </c>
    </row>
    <row r="951">
      <c r="A951" s="115" t="str">
        <f>IFERROR(__xludf.DUMMYFUNCTION("""COMPUTED_VALUE"""),"SOUTH")</f>
        <v>SOUTH</v>
      </c>
      <c r="B951" s="115" t="str">
        <f>IFERROR(__xludf.DUMMYFUNCTION("""COMPUTED_VALUE"""),"Martin A")</f>
        <v>Martin A</v>
      </c>
      <c r="C951" s="115" t="str">
        <f>IFERROR(__xludf.DUMMYFUNCTION("""COMPUTED_VALUE"""),"FLIPKART")</f>
        <v>FLIPKART</v>
      </c>
      <c r="D951" s="115">
        <f>IFERROR(__xludf.DUMMYFUNCTION("""COMPUTED_VALUE"""),293397.0)</f>
        <v>293397</v>
      </c>
      <c r="E951" s="115">
        <f>IFERROR(__xludf.DUMMYFUNCTION("""COMPUTED_VALUE"""),29484.0)</f>
        <v>29484</v>
      </c>
      <c r="F951" s="115">
        <f>IFERROR(__xludf.DUMMYFUNCTION("""COMPUTED_VALUE"""),196398.0)</f>
        <v>196398</v>
      </c>
      <c r="G951" s="115">
        <f>IFERROR(__xludf.DUMMYFUNCTION("""COMPUTED_VALUE"""),14546.0)</f>
        <v>14546</v>
      </c>
      <c r="H951" s="116">
        <f>IFERROR(__xludf.DUMMYFUNCTION("""COMPUTED_VALUE"""),45902.0)</f>
        <v>45902</v>
      </c>
      <c r="I951" s="115" t="str">
        <f>IFERROR(__xludf.DUMMYFUNCTION("""COMPUTED_VALUE"""),"18")</f>
        <v>18</v>
      </c>
      <c r="J951" s="115" t="str">
        <f>IFERROR(__xludf.DUMMYFUNCTION("""COMPUTED_VALUE"""),"Martin A2025-09-0218")</f>
        <v>Martin A2025-09-0218</v>
      </c>
      <c r="K951" s="115">
        <f>IFERROR(__xludf.DUMMYFUNCTION("""COMPUTED_VALUE"""),322881.0)</f>
        <v>322881</v>
      </c>
    </row>
    <row r="952">
      <c r="A952" s="115" t="str">
        <f>IFERROR(__xludf.DUMMYFUNCTION("""COMPUTED_VALUE"""),"SOUTH")</f>
        <v>SOUTH</v>
      </c>
      <c r="B952" s="115" t="str">
        <f>IFERROR(__xludf.DUMMYFUNCTION("""COMPUTED_VALUE"""),"Martin A")</f>
        <v>Martin A</v>
      </c>
      <c r="C952" s="115" t="str">
        <f>IFERROR(__xludf.DUMMYFUNCTION("""COMPUTED_VALUE"""),"MYNTRA")</f>
        <v>MYNTRA</v>
      </c>
      <c r="D952" s="115">
        <f>IFERROR(__xludf.DUMMYFUNCTION("""COMPUTED_VALUE"""),27745.0)</f>
        <v>27745</v>
      </c>
      <c r="E952" s="115">
        <f>IFERROR(__xludf.DUMMYFUNCTION("""COMPUTED_VALUE"""),6931.0)</f>
        <v>6931</v>
      </c>
      <c r="F952" s="115">
        <f>IFERROR(__xludf.DUMMYFUNCTION("""COMPUTED_VALUE"""),21213.0)</f>
        <v>21213</v>
      </c>
      <c r="G952" s="115">
        <f>IFERROR(__xludf.DUMMYFUNCTION("""COMPUTED_VALUE"""),3647.0)</f>
        <v>3647</v>
      </c>
      <c r="H952" s="116">
        <f>IFERROR(__xludf.DUMMYFUNCTION("""COMPUTED_VALUE"""),45902.0)</f>
        <v>45902</v>
      </c>
      <c r="I952" s="115" t="str">
        <f>IFERROR(__xludf.DUMMYFUNCTION("""COMPUTED_VALUE"""),"18")</f>
        <v>18</v>
      </c>
      <c r="J952" s="115" t="str">
        <f>IFERROR(__xludf.DUMMYFUNCTION("""COMPUTED_VALUE"""),"Martin A2025-09-0218")</f>
        <v>Martin A2025-09-0218</v>
      </c>
      <c r="K952" s="115">
        <f>IFERROR(__xludf.DUMMYFUNCTION("""COMPUTED_VALUE"""),34676.0)</f>
        <v>34676</v>
      </c>
    </row>
    <row r="953">
      <c r="A953" s="115" t="str">
        <f>IFERROR(__xludf.DUMMYFUNCTION("""COMPUTED_VALUE"""),"SOUTH")</f>
        <v>SOUTH</v>
      </c>
      <c r="B953" s="115" t="str">
        <f>IFERROR(__xludf.DUMMYFUNCTION("""COMPUTED_VALUE"""),"Premkumar M")</f>
        <v>Premkumar M</v>
      </c>
      <c r="C953" s="115" t="str">
        <f>IFERROR(__xludf.DUMMYFUNCTION("""COMPUTED_VALUE"""),"EXTERNAL")</f>
        <v>EXTERNAL</v>
      </c>
      <c r="D953" s="115">
        <f>IFERROR(__xludf.DUMMYFUNCTION("""COMPUTED_VALUE"""),31612.0)</f>
        <v>31612</v>
      </c>
      <c r="E953" s="115">
        <f>IFERROR(__xludf.DUMMYFUNCTION("""COMPUTED_VALUE"""),2280.0)</f>
        <v>2280</v>
      </c>
      <c r="F953" s="115">
        <f>IFERROR(__xludf.DUMMYFUNCTION("""COMPUTED_VALUE"""),13467.0)</f>
        <v>13467</v>
      </c>
      <c r="G953" s="115">
        <f>IFERROR(__xludf.DUMMYFUNCTION("""COMPUTED_VALUE"""),394.0)</f>
        <v>394</v>
      </c>
      <c r="H953" s="116">
        <f>IFERROR(__xludf.DUMMYFUNCTION("""COMPUTED_VALUE"""),45902.0)</f>
        <v>45902</v>
      </c>
      <c r="I953" s="115" t="str">
        <f>IFERROR(__xludf.DUMMYFUNCTION("""COMPUTED_VALUE"""),"18")</f>
        <v>18</v>
      </c>
      <c r="J953" s="115" t="str">
        <f>IFERROR(__xludf.DUMMYFUNCTION("""COMPUTED_VALUE"""),"Premkumar M2025-09-0218")</f>
        <v>Premkumar M2025-09-0218</v>
      </c>
      <c r="K953" s="115">
        <f>IFERROR(__xludf.DUMMYFUNCTION("""COMPUTED_VALUE"""),33892.0)</f>
        <v>33892</v>
      </c>
    </row>
    <row r="954">
      <c r="A954" s="115" t="str">
        <f>IFERROR(__xludf.DUMMYFUNCTION("""COMPUTED_VALUE"""),"SOUTH")</f>
        <v>SOUTH</v>
      </c>
      <c r="B954" s="115" t="str">
        <f>IFERROR(__xludf.DUMMYFUNCTION("""COMPUTED_VALUE"""),"Premkumar M")</f>
        <v>Premkumar M</v>
      </c>
      <c r="C954" s="115" t="str">
        <f>IFERROR(__xludf.DUMMYFUNCTION("""COMPUTED_VALUE"""),"FLIPKART")</f>
        <v>FLIPKART</v>
      </c>
      <c r="D954" s="115">
        <f>IFERROR(__xludf.DUMMYFUNCTION("""COMPUTED_VALUE"""),282722.0)</f>
        <v>282722</v>
      </c>
      <c r="E954" s="115">
        <f>IFERROR(__xludf.DUMMYFUNCTION("""COMPUTED_VALUE"""),20970.0)</f>
        <v>20970</v>
      </c>
      <c r="F954" s="115">
        <f>IFERROR(__xludf.DUMMYFUNCTION("""COMPUTED_VALUE"""),189124.0)</f>
        <v>189124</v>
      </c>
      <c r="G954" s="115">
        <f>IFERROR(__xludf.DUMMYFUNCTION("""COMPUTED_VALUE"""),6229.0)</f>
        <v>6229</v>
      </c>
      <c r="H954" s="116">
        <f>IFERROR(__xludf.DUMMYFUNCTION("""COMPUTED_VALUE"""),45902.0)</f>
        <v>45902</v>
      </c>
      <c r="I954" s="115" t="str">
        <f>IFERROR(__xludf.DUMMYFUNCTION("""COMPUTED_VALUE"""),"18")</f>
        <v>18</v>
      </c>
      <c r="J954" s="115" t="str">
        <f>IFERROR(__xludf.DUMMYFUNCTION("""COMPUTED_VALUE"""),"Premkumar M2025-09-0218")</f>
        <v>Premkumar M2025-09-0218</v>
      </c>
      <c r="K954" s="115">
        <f>IFERROR(__xludf.DUMMYFUNCTION("""COMPUTED_VALUE"""),303692.0)</f>
        <v>303692</v>
      </c>
    </row>
    <row r="955">
      <c r="A955" s="115" t="str">
        <f>IFERROR(__xludf.DUMMYFUNCTION("""COMPUTED_VALUE"""),"SOUTH")</f>
        <v>SOUTH</v>
      </c>
      <c r="B955" s="115" t="str">
        <f>IFERROR(__xludf.DUMMYFUNCTION("""COMPUTED_VALUE"""),"Premkumar M")</f>
        <v>Premkumar M</v>
      </c>
      <c r="C955" s="115" t="str">
        <f>IFERROR(__xludf.DUMMYFUNCTION("""COMPUTED_VALUE"""),"MYNTRA")</f>
        <v>MYNTRA</v>
      </c>
      <c r="D955" s="115">
        <f>IFERROR(__xludf.DUMMYFUNCTION("""COMPUTED_VALUE"""),15748.0)</f>
        <v>15748</v>
      </c>
      <c r="E955" s="115">
        <f>IFERROR(__xludf.DUMMYFUNCTION("""COMPUTED_VALUE"""),3169.0)</f>
        <v>3169</v>
      </c>
      <c r="F955" s="115">
        <f>IFERROR(__xludf.DUMMYFUNCTION("""COMPUTED_VALUE"""),11908.0)</f>
        <v>11908</v>
      </c>
      <c r="G955" s="115">
        <f>IFERROR(__xludf.DUMMYFUNCTION("""COMPUTED_VALUE"""),1025.0)</f>
        <v>1025</v>
      </c>
      <c r="H955" s="116">
        <f>IFERROR(__xludf.DUMMYFUNCTION("""COMPUTED_VALUE"""),45902.0)</f>
        <v>45902</v>
      </c>
      <c r="I955" s="115" t="str">
        <f>IFERROR(__xludf.DUMMYFUNCTION("""COMPUTED_VALUE"""),"18")</f>
        <v>18</v>
      </c>
      <c r="J955" s="115" t="str">
        <f>IFERROR(__xludf.DUMMYFUNCTION("""COMPUTED_VALUE"""),"Premkumar M2025-09-0218")</f>
        <v>Premkumar M2025-09-0218</v>
      </c>
      <c r="K955" s="115">
        <f>IFERROR(__xludf.DUMMYFUNCTION("""COMPUTED_VALUE"""),18917.0)</f>
        <v>18917</v>
      </c>
    </row>
    <row r="956">
      <c r="A956" s="115" t="str">
        <f>IFERROR(__xludf.DUMMYFUNCTION("""COMPUTED_VALUE"""),"SOUTH")</f>
        <v>SOUTH</v>
      </c>
      <c r="B956" s="115" t="str">
        <f>IFERROR(__xludf.DUMMYFUNCTION("""COMPUTED_VALUE"""),"Vineeth V")</f>
        <v>Vineeth V</v>
      </c>
      <c r="C956" s="115" t="str">
        <f>IFERROR(__xludf.DUMMYFUNCTION("""COMPUTED_VALUE"""),"EXTERNAL")</f>
        <v>EXTERNAL</v>
      </c>
      <c r="D956" s="115">
        <f>IFERROR(__xludf.DUMMYFUNCTION("""COMPUTED_VALUE"""),22212.0)</f>
        <v>22212</v>
      </c>
      <c r="E956" s="115">
        <f>IFERROR(__xludf.DUMMYFUNCTION("""COMPUTED_VALUE"""),610.0)</f>
        <v>610</v>
      </c>
      <c r="F956" s="115">
        <f>IFERROR(__xludf.DUMMYFUNCTION("""COMPUTED_VALUE"""),10799.0)</f>
        <v>10799</v>
      </c>
      <c r="G956" s="115">
        <f>IFERROR(__xludf.DUMMYFUNCTION("""COMPUTED_VALUE"""),160.0)</f>
        <v>160</v>
      </c>
      <c r="H956" s="116">
        <f>IFERROR(__xludf.DUMMYFUNCTION("""COMPUTED_VALUE"""),45902.0)</f>
        <v>45902</v>
      </c>
      <c r="I956" s="115" t="str">
        <f>IFERROR(__xludf.DUMMYFUNCTION("""COMPUTED_VALUE"""),"18")</f>
        <v>18</v>
      </c>
      <c r="J956" s="115" t="str">
        <f>IFERROR(__xludf.DUMMYFUNCTION("""COMPUTED_VALUE"""),"Vineeth V2025-09-0218")</f>
        <v>Vineeth V2025-09-0218</v>
      </c>
      <c r="K956" s="115">
        <f>IFERROR(__xludf.DUMMYFUNCTION("""COMPUTED_VALUE"""),22822.0)</f>
        <v>22822</v>
      </c>
    </row>
    <row r="957">
      <c r="A957" s="115" t="str">
        <f>IFERROR(__xludf.DUMMYFUNCTION("""COMPUTED_VALUE"""),"SOUTH")</f>
        <v>SOUTH</v>
      </c>
      <c r="B957" s="115" t="str">
        <f>IFERROR(__xludf.DUMMYFUNCTION("""COMPUTED_VALUE"""),"Vineeth V")</f>
        <v>Vineeth V</v>
      </c>
      <c r="C957" s="115" t="str">
        <f>IFERROR(__xludf.DUMMYFUNCTION("""COMPUTED_VALUE"""),"FLIPKART")</f>
        <v>FLIPKART</v>
      </c>
      <c r="D957" s="115">
        <f>IFERROR(__xludf.DUMMYFUNCTION("""COMPUTED_VALUE"""),246059.0)</f>
        <v>246059</v>
      </c>
      <c r="E957" s="115">
        <f>IFERROR(__xludf.DUMMYFUNCTION("""COMPUTED_VALUE"""),18368.0)</f>
        <v>18368</v>
      </c>
      <c r="F957" s="115">
        <f>IFERROR(__xludf.DUMMYFUNCTION("""COMPUTED_VALUE"""),183946.0)</f>
        <v>183946</v>
      </c>
      <c r="G957" s="115">
        <f>IFERROR(__xludf.DUMMYFUNCTION("""COMPUTED_VALUE"""),6488.0)</f>
        <v>6488</v>
      </c>
      <c r="H957" s="116">
        <f>IFERROR(__xludf.DUMMYFUNCTION("""COMPUTED_VALUE"""),45902.0)</f>
        <v>45902</v>
      </c>
      <c r="I957" s="115" t="str">
        <f>IFERROR(__xludf.DUMMYFUNCTION("""COMPUTED_VALUE"""),"18")</f>
        <v>18</v>
      </c>
      <c r="J957" s="115" t="str">
        <f>IFERROR(__xludf.DUMMYFUNCTION("""COMPUTED_VALUE"""),"Vineeth V2025-09-0218")</f>
        <v>Vineeth V2025-09-0218</v>
      </c>
      <c r="K957" s="115">
        <f>IFERROR(__xludf.DUMMYFUNCTION("""COMPUTED_VALUE"""),264427.0)</f>
        <v>264427</v>
      </c>
    </row>
    <row r="958">
      <c r="A958" s="115" t="str">
        <f>IFERROR(__xludf.DUMMYFUNCTION("""COMPUTED_VALUE"""),"SOUTH")</f>
        <v>SOUTH</v>
      </c>
      <c r="B958" s="115" t="str">
        <f>IFERROR(__xludf.DUMMYFUNCTION("""COMPUTED_VALUE"""),"Vineeth V")</f>
        <v>Vineeth V</v>
      </c>
      <c r="C958" s="115" t="str">
        <f>IFERROR(__xludf.DUMMYFUNCTION("""COMPUTED_VALUE"""),"MYNTRA")</f>
        <v>MYNTRA</v>
      </c>
      <c r="D958" s="115">
        <f>IFERROR(__xludf.DUMMYFUNCTION("""COMPUTED_VALUE"""),22078.0)</f>
        <v>22078</v>
      </c>
      <c r="E958" s="115">
        <f>IFERROR(__xludf.DUMMYFUNCTION("""COMPUTED_VALUE"""),4228.0)</f>
        <v>4228</v>
      </c>
      <c r="F958" s="115">
        <f>IFERROR(__xludf.DUMMYFUNCTION("""COMPUTED_VALUE"""),17634.0)</f>
        <v>17634</v>
      </c>
      <c r="G958" s="115">
        <f>IFERROR(__xludf.DUMMYFUNCTION("""COMPUTED_VALUE"""),1582.0)</f>
        <v>1582</v>
      </c>
      <c r="H958" s="116">
        <f>IFERROR(__xludf.DUMMYFUNCTION("""COMPUTED_VALUE"""),45902.0)</f>
        <v>45902</v>
      </c>
      <c r="I958" s="115" t="str">
        <f>IFERROR(__xludf.DUMMYFUNCTION("""COMPUTED_VALUE"""),"18")</f>
        <v>18</v>
      </c>
      <c r="J958" s="115" t="str">
        <f>IFERROR(__xludf.DUMMYFUNCTION("""COMPUTED_VALUE"""),"Vineeth V2025-09-0218")</f>
        <v>Vineeth V2025-09-0218</v>
      </c>
      <c r="K958" s="115">
        <f>IFERROR(__xludf.DUMMYFUNCTION("""COMPUTED_VALUE"""),26306.0)</f>
        <v>26306</v>
      </c>
    </row>
    <row r="959">
      <c r="A959" s="115" t="str">
        <f>IFERROR(__xludf.DUMMYFUNCTION("""COMPUTED_VALUE"""),"WEST")</f>
        <v>WEST</v>
      </c>
      <c r="B959" s="115" t="str">
        <f>IFERROR(__xludf.DUMMYFUNCTION("""COMPUTED_VALUE"""),"Ashish Jakar")</f>
        <v>Ashish Jakar</v>
      </c>
      <c r="C959" s="115" t="str">
        <f>IFERROR(__xludf.DUMMYFUNCTION("""COMPUTED_VALUE"""),"EXTERNAL")</f>
        <v>EXTERNAL</v>
      </c>
      <c r="D959" s="115">
        <f>IFERROR(__xludf.DUMMYFUNCTION("""COMPUTED_VALUE"""),59886.0)</f>
        <v>59886</v>
      </c>
      <c r="E959" s="115">
        <f>IFERROR(__xludf.DUMMYFUNCTION("""COMPUTED_VALUE"""),6202.0)</f>
        <v>6202</v>
      </c>
      <c r="F959" s="115">
        <f>IFERROR(__xludf.DUMMYFUNCTION("""COMPUTED_VALUE"""),21993.0)</f>
        <v>21993</v>
      </c>
      <c r="G959" s="115">
        <f>IFERROR(__xludf.DUMMYFUNCTION("""COMPUTED_VALUE"""),1865.0)</f>
        <v>1865</v>
      </c>
      <c r="H959" s="116">
        <f>IFERROR(__xludf.DUMMYFUNCTION("""COMPUTED_VALUE"""),45902.0)</f>
        <v>45902</v>
      </c>
      <c r="I959" s="115" t="str">
        <f>IFERROR(__xludf.DUMMYFUNCTION("""COMPUTED_VALUE"""),"18")</f>
        <v>18</v>
      </c>
      <c r="J959" s="115" t="str">
        <f>IFERROR(__xludf.DUMMYFUNCTION("""COMPUTED_VALUE"""),"Ashish Jakar2025-09-0218")</f>
        <v>Ashish Jakar2025-09-0218</v>
      </c>
      <c r="K959" s="115">
        <f>IFERROR(__xludf.DUMMYFUNCTION("""COMPUTED_VALUE"""),66088.0)</f>
        <v>66088</v>
      </c>
    </row>
    <row r="960">
      <c r="A960" s="115" t="str">
        <f>IFERROR(__xludf.DUMMYFUNCTION("""COMPUTED_VALUE"""),"WEST")</f>
        <v>WEST</v>
      </c>
      <c r="B960" s="115" t="str">
        <f>IFERROR(__xludf.DUMMYFUNCTION("""COMPUTED_VALUE"""),"Ashish Jakar")</f>
        <v>Ashish Jakar</v>
      </c>
      <c r="C960" s="115" t="str">
        <f>IFERROR(__xludf.DUMMYFUNCTION("""COMPUTED_VALUE"""),"FLIPKART")</f>
        <v>FLIPKART</v>
      </c>
      <c r="D960" s="115">
        <f>IFERROR(__xludf.DUMMYFUNCTION("""COMPUTED_VALUE"""),323304.0)</f>
        <v>323304</v>
      </c>
      <c r="E960" s="115">
        <f>IFERROR(__xludf.DUMMYFUNCTION("""COMPUTED_VALUE"""),33185.0)</f>
        <v>33185</v>
      </c>
      <c r="F960" s="115">
        <f>IFERROR(__xludf.DUMMYFUNCTION("""COMPUTED_VALUE"""),215770.0)</f>
        <v>215770</v>
      </c>
      <c r="G960" s="115">
        <f>IFERROR(__xludf.DUMMYFUNCTION("""COMPUTED_VALUE"""),15802.0)</f>
        <v>15802</v>
      </c>
      <c r="H960" s="116">
        <f>IFERROR(__xludf.DUMMYFUNCTION("""COMPUTED_VALUE"""),45902.0)</f>
        <v>45902</v>
      </c>
      <c r="I960" s="115" t="str">
        <f>IFERROR(__xludf.DUMMYFUNCTION("""COMPUTED_VALUE"""),"18")</f>
        <v>18</v>
      </c>
      <c r="J960" s="115" t="str">
        <f>IFERROR(__xludf.DUMMYFUNCTION("""COMPUTED_VALUE"""),"Ashish Jakar2025-09-0218")</f>
        <v>Ashish Jakar2025-09-0218</v>
      </c>
      <c r="K960" s="115">
        <f>IFERROR(__xludf.DUMMYFUNCTION("""COMPUTED_VALUE"""),356489.0)</f>
        <v>356489</v>
      </c>
    </row>
    <row r="961">
      <c r="A961" s="115" t="str">
        <f>IFERROR(__xludf.DUMMYFUNCTION("""COMPUTED_VALUE"""),"WEST")</f>
        <v>WEST</v>
      </c>
      <c r="B961" s="115" t="str">
        <f>IFERROR(__xludf.DUMMYFUNCTION("""COMPUTED_VALUE"""),"Ashish Jakar")</f>
        <v>Ashish Jakar</v>
      </c>
      <c r="C961" s="115" t="str">
        <f>IFERROR(__xludf.DUMMYFUNCTION("""COMPUTED_VALUE"""),"MYNTRA")</f>
        <v>MYNTRA</v>
      </c>
      <c r="D961" s="115">
        <f>IFERROR(__xludf.DUMMYFUNCTION("""COMPUTED_VALUE"""),38992.0)</f>
        <v>38992</v>
      </c>
      <c r="E961" s="115">
        <f>IFERROR(__xludf.DUMMYFUNCTION("""COMPUTED_VALUE"""),10998.0)</f>
        <v>10998</v>
      </c>
      <c r="F961" s="115">
        <f>IFERROR(__xludf.DUMMYFUNCTION("""COMPUTED_VALUE"""),29842.0)</f>
        <v>29842</v>
      </c>
      <c r="G961" s="115">
        <f>IFERROR(__xludf.DUMMYFUNCTION("""COMPUTED_VALUE"""),5515.0)</f>
        <v>5515</v>
      </c>
      <c r="H961" s="116">
        <f>IFERROR(__xludf.DUMMYFUNCTION("""COMPUTED_VALUE"""),45902.0)</f>
        <v>45902</v>
      </c>
      <c r="I961" s="115" t="str">
        <f>IFERROR(__xludf.DUMMYFUNCTION("""COMPUTED_VALUE"""),"18")</f>
        <v>18</v>
      </c>
      <c r="J961" s="115" t="str">
        <f>IFERROR(__xludf.DUMMYFUNCTION("""COMPUTED_VALUE"""),"Ashish Jakar2025-09-0218")</f>
        <v>Ashish Jakar2025-09-0218</v>
      </c>
      <c r="K961" s="115">
        <f>IFERROR(__xludf.DUMMYFUNCTION("""COMPUTED_VALUE"""),49990.0)</f>
        <v>49990</v>
      </c>
    </row>
    <row r="962">
      <c r="A962" s="115" t="str">
        <f>IFERROR(__xludf.DUMMYFUNCTION("""COMPUTED_VALUE"""),"WEST")</f>
        <v>WEST</v>
      </c>
      <c r="B962" s="115" t="str">
        <f>IFERROR(__xludf.DUMMYFUNCTION("""COMPUTED_VALUE"""),"Ashvani Bhatt")</f>
        <v>Ashvani Bhatt</v>
      </c>
      <c r="C962" s="115" t="str">
        <f>IFERROR(__xludf.DUMMYFUNCTION("""COMPUTED_VALUE"""),"EXTERNAL")</f>
        <v>EXTERNAL</v>
      </c>
      <c r="D962" s="115">
        <f>IFERROR(__xludf.DUMMYFUNCTION("""COMPUTED_VALUE"""),37845.0)</f>
        <v>37845</v>
      </c>
      <c r="E962" s="115">
        <f>IFERROR(__xludf.DUMMYFUNCTION("""COMPUTED_VALUE"""),3703.0)</f>
        <v>3703</v>
      </c>
      <c r="F962" s="115">
        <f>IFERROR(__xludf.DUMMYFUNCTION("""COMPUTED_VALUE"""),14580.0)</f>
        <v>14580</v>
      </c>
      <c r="G962" s="115">
        <f>IFERROR(__xludf.DUMMYFUNCTION("""COMPUTED_VALUE"""),903.0)</f>
        <v>903</v>
      </c>
      <c r="H962" s="116">
        <f>IFERROR(__xludf.DUMMYFUNCTION("""COMPUTED_VALUE"""),45902.0)</f>
        <v>45902</v>
      </c>
      <c r="I962" s="115" t="str">
        <f>IFERROR(__xludf.DUMMYFUNCTION("""COMPUTED_VALUE"""),"18")</f>
        <v>18</v>
      </c>
      <c r="J962" s="115" t="str">
        <f>IFERROR(__xludf.DUMMYFUNCTION("""COMPUTED_VALUE"""),"Ashvani Bhatt2025-09-0218")</f>
        <v>Ashvani Bhatt2025-09-0218</v>
      </c>
      <c r="K962" s="115">
        <f>IFERROR(__xludf.DUMMYFUNCTION("""COMPUTED_VALUE"""),41548.0)</f>
        <v>41548</v>
      </c>
    </row>
    <row r="963">
      <c r="A963" s="115" t="str">
        <f>IFERROR(__xludf.DUMMYFUNCTION("""COMPUTED_VALUE"""),"WEST")</f>
        <v>WEST</v>
      </c>
      <c r="B963" s="115" t="str">
        <f>IFERROR(__xludf.DUMMYFUNCTION("""COMPUTED_VALUE"""),"Ashvani Bhatt")</f>
        <v>Ashvani Bhatt</v>
      </c>
      <c r="C963" s="115" t="str">
        <f>IFERROR(__xludf.DUMMYFUNCTION("""COMPUTED_VALUE"""),"FLIPKART")</f>
        <v>FLIPKART</v>
      </c>
      <c r="D963" s="115">
        <f>IFERROR(__xludf.DUMMYFUNCTION("""COMPUTED_VALUE"""),266842.0)</f>
        <v>266842</v>
      </c>
      <c r="E963" s="115">
        <f>IFERROR(__xludf.DUMMYFUNCTION("""COMPUTED_VALUE"""),29654.0)</f>
        <v>29654</v>
      </c>
      <c r="F963" s="115">
        <f>IFERROR(__xludf.DUMMYFUNCTION("""COMPUTED_VALUE"""),189919.0)</f>
        <v>189919</v>
      </c>
      <c r="G963" s="115">
        <f>IFERROR(__xludf.DUMMYFUNCTION("""COMPUTED_VALUE"""),15445.0)</f>
        <v>15445</v>
      </c>
      <c r="H963" s="116">
        <f>IFERROR(__xludf.DUMMYFUNCTION("""COMPUTED_VALUE"""),45902.0)</f>
        <v>45902</v>
      </c>
      <c r="I963" s="115" t="str">
        <f>IFERROR(__xludf.DUMMYFUNCTION("""COMPUTED_VALUE"""),"18")</f>
        <v>18</v>
      </c>
      <c r="J963" s="115" t="str">
        <f>IFERROR(__xludf.DUMMYFUNCTION("""COMPUTED_VALUE"""),"Ashvani Bhatt2025-09-0218")</f>
        <v>Ashvani Bhatt2025-09-0218</v>
      </c>
      <c r="K963" s="115">
        <f>IFERROR(__xludf.DUMMYFUNCTION("""COMPUTED_VALUE"""),296496.0)</f>
        <v>296496</v>
      </c>
    </row>
    <row r="964">
      <c r="A964" s="115" t="str">
        <f>IFERROR(__xludf.DUMMYFUNCTION("""COMPUTED_VALUE"""),"WEST")</f>
        <v>WEST</v>
      </c>
      <c r="B964" s="115" t="str">
        <f>IFERROR(__xludf.DUMMYFUNCTION("""COMPUTED_VALUE"""),"Ashvani Bhatt")</f>
        <v>Ashvani Bhatt</v>
      </c>
      <c r="C964" s="115" t="str">
        <f>IFERROR(__xludf.DUMMYFUNCTION("""COMPUTED_VALUE"""),"MYNTRA")</f>
        <v>MYNTRA</v>
      </c>
      <c r="D964" s="115">
        <f>IFERROR(__xludf.DUMMYFUNCTION("""COMPUTED_VALUE"""),31092.0)</f>
        <v>31092</v>
      </c>
      <c r="E964" s="115">
        <f>IFERROR(__xludf.DUMMYFUNCTION("""COMPUTED_VALUE"""),8910.0)</f>
        <v>8910</v>
      </c>
      <c r="F964" s="115">
        <f>IFERROR(__xludf.DUMMYFUNCTION("""COMPUTED_VALUE"""),25361.0)</f>
        <v>25361</v>
      </c>
      <c r="G964" s="115">
        <f>IFERROR(__xludf.DUMMYFUNCTION("""COMPUTED_VALUE"""),5373.0)</f>
        <v>5373</v>
      </c>
      <c r="H964" s="116">
        <f>IFERROR(__xludf.DUMMYFUNCTION("""COMPUTED_VALUE"""),45902.0)</f>
        <v>45902</v>
      </c>
      <c r="I964" s="115" t="str">
        <f>IFERROR(__xludf.DUMMYFUNCTION("""COMPUTED_VALUE"""),"18")</f>
        <v>18</v>
      </c>
      <c r="J964" s="115" t="str">
        <f>IFERROR(__xludf.DUMMYFUNCTION("""COMPUTED_VALUE"""),"Ashvani Bhatt2025-09-0218")</f>
        <v>Ashvani Bhatt2025-09-0218</v>
      </c>
      <c r="K964" s="115">
        <f>IFERROR(__xludf.DUMMYFUNCTION("""COMPUTED_VALUE"""),40002.0)</f>
        <v>40002</v>
      </c>
    </row>
    <row r="965">
      <c r="A965" s="115"/>
      <c r="B965" s="115"/>
      <c r="C965" s="115" t="str">
        <f>IFERROR(__xludf.DUMMYFUNCTION("""COMPUTED_VALUE"""),"EXTERNAL")</f>
        <v>EXTERNAL</v>
      </c>
      <c r="D965" s="115">
        <f>IFERROR(__xludf.DUMMYFUNCTION("""COMPUTED_VALUE"""),523.0)</f>
        <v>523</v>
      </c>
      <c r="E965" s="115">
        <f>IFERROR(__xludf.DUMMYFUNCTION("""COMPUTED_VALUE"""),22.0)</f>
        <v>22</v>
      </c>
      <c r="F965" s="115">
        <f>IFERROR(__xludf.DUMMYFUNCTION("""COMPUTED_VALUE"""),116.0)</f>
        <v>116</v>
      </c>
      <c r="G965" s="115">
        <f>IFERROR(__xludf.DUMMYFUNCTION("""COMPUTED_VALUE"""),5.0)</f>
        <v>5</v>
      </c>
      <c r="H965" s="116">
        <f>IFERROR(__xludf.DUMMYFUNCTION("""COMPUTED_VALUE"""),45902.0)</f>
        <v>45902</v>
      </c>
      <c r="I965" s="115" t="str">
        <f>IFERROR(__xludf.DUMMYFUNCTION("""COMPUTED_VALUE"""),"18")</f>
        <v>18</v>
      </c>
      <c r="J965" s="115" t="str">
        <f>IFERROR(__xludf.DUMMYFUNCTION("""COMPUTED_VALUE"""),"2025-09-0218")</f>
        <v>2025-09-0218</v>
      </c>
      <c r="K965" s="115">
        <f>IFERROR(__xludf.DUMMYFUNCTION("""COMPUTED_VALUE"""),545.0)</f>
        <v>545</v>
      </c>
    </row>
    <row r="966">
      <c r="A966" s="115"/>
      <c r="B966" s="115"/>
      <c r="C966" s="115" t="str">
        <f>IFERROR(__xludf.DUMMYFUNCTION("""COMPUTED_VALUE"""),"FLIPKART")</f>
        <v>FLIPKART</v>
      </c>
      <c r="D966" s="115">
        <f>IFERROR(__xludf.DUMMYFUNCTION("""COMPUTED_VALUE"""),3459.0)</f>
        <v>3459</v>
      </c>
      <c r="E966" s="115">
        <f>IFERROR(__xludf.DUMMYFUNCTION("""COMPUTED_VALUE"""),249.0)</f>
        <v>249</v>
      </c>
      <c r="F966" s="115">
        <f>IFERROR(__xludf.DUMMYFUNCTION("""COMPUTED_VALUE"""),2288.0)</f>
        <v>2288</v>
      </c>
      <c r="G966" s="115">
        <f>IFERROR(__xludf.DUMMYFUNCTION("""COMPUTED_VALUE"""),95.0)</f>
        <v>95</v>
      </c>
      <c r="H966" s="116">
        <f>IFERROR(__xludf.DUMMYFUNCTION("""COMPUTED_VALUE"""),45902.0)</f>
        <v>45902</v>
      </c>
      <c r="I966" s="115" t="str">
        <f>IFERROR(__xludf.DUMMYFUNCTION("""COMPUTED_VALUE"""),"18")</f>
        <v>18</v>
      </c>
      <c r="J966" s="115" t="str">
        <f>IFERROR(__xludf.DUMMYFUNCTION("""COMPUTED_VALUE"""),"2025-09-0218")</f>
        <v>2025-09-0218</v>
      </c>
      <c r="K966" s="115">
        <f>IFERROR(__xludf.DUMMYFUNCTION("""COMPUTED_VALUE"""),3708.0)</f>
        <v>3708</v>
      </c>
    </row>
    <row r="967">
      <c r="A967" s="115"/>
      <c r="B967" s="115"/>
      <c r="C967" s="115" t="str">
        <f>IFERROR(__xludf.DUMMYFUNCTION("""COMPUTED_VALUE"""),"MYNTRA")</f>
        <v>MYNTRA</v>
      </c>
      <c r="D967" s="115">
        <f>IFERROR(__xludf.DUMMYFUNCTION("""COMPUTED_VALUE"""),363.0)</f>
        <v>363</v>
      </c>
      <c r="E967" s="115">
        <f>IFERROR(__xludf.DUMMYFUNCTION("""COMPUTED_VALUE"""),61.0)</f>
        <v>61</v>
      </c>
      <c r="F967" s="115">
        <f>IFERROR(__xludf.DUMMYFUNCTION("""COMPUTED_VALUE"""),207.0)</f>
        <v>207</v>
      </c>
      <c r="G967" s="115">
        <f>IFERROR(__xludf.DUMMYFUNCTION("""COMPUTED_VALUE"""),23.0)</f>
        <v>23</v>
      </c>
      <c r="H967" s="116">
        <f>IFERROR(__xludf.DUMMYFUNCTION("""COMPUTED_VALUE"""),45902.0)</f>
        <v>45902</v>
      </c>
      <c r="I967" s="115" t="str">
        <f>IFERROR(__xludf.DUMMYFUNCTION("""COMPUTED_VALUE"""),"18")</f>
        <v>18</v>
      </c>
      <c r="J967" s="115" t="str">
        <f>IFERROR(__xludf.DUMMYFUNCTION("""COMPUTED_VALUE"""),"2025-09-0218")</f>
        <v>2025-09-0218</v>
      </c>
      <c r="K967" s="115">
        <f>IFERROR(__xludf.DUMMYFUNCTION("""COMPUTED_VALUE"""),424.0)</f>
        <v>424</v>
      </c>
    </row>
    <row r="968">
      <c r="A968" s="115" t="str">
        <f>IFERROR(__xludf.DUMMYFUNCTION("""COMPUTED_VALUE"""),"EAST")</f>
        <v>EAST</v>
      </c>
      <c r="B968" s="115" t="str">
        <f>IFERROR(__xludf.DUMMYFUNCTION("""COMPUTED_VALUE"""),"Ashish Ranjan")</f>
        <v>Ashish Ranjan</v>
      </c>
      <c r="C968" s="115" t="str">
        <f>IFERROR(__xludf.DUMMYFUNCTION("""COMPUTED_VALUE"""),"EXTERNAL")</f>
        <v>EXTERNAL</v>
      </c>
      <c r="D968" s="115">
        <f>IFERROR(__xludf.DUMMYFUNCTION("""COMPUTED_VALUE"""),40525.0)</f>
        <v>40525</v>
      </c>
      <c r="E968" s="115">
        <f>IFERROR(__xludf.DUMMYFUNCTION("""COMPUTED_VALUE"""),2799.0)</f>
        <v>2799</v>
      </c>
      <c r="F968" s="115">
        <f>IFERROR(__xludf.DUMMYFUNCTION("""COMPUTED_VALUE"""),20893.0)</f>
        <v>20893</v>
      </c>
      <c r="G968" s="115">
        <f>IFERROR(__xludf.DUMMYFUNCTION("""COMPUTED_VALUE"""),1194.0)</f>
        <v>1194</v>
      </c>
      <c r="H968" s="116">
        <f>IFERROR(__xludf.DUMMYFUNCTION("""COMPUTED_VALUE"""),45902.0)</f>
        <v>45902</v>
      </c>
      <c r="I968" s="115" t="str">
        <f>IFERROR(__xludf.DUMMYFUNCTION("""COMPUTED_VALUE"""),"19")</f>
        <v>19</v>
      </c>
      <c r="J968" s="115" t="str">
        <f>IFERROR(__xludf.DUMMYFUNCTION("""COMPUTED_VALUE"""),"Ashish Ranjan2025-09-0219")</f>
        <v>Ashish Ranjan2025-09-0219</v>
      </c>
      <c r="K968" s="115">
        <f>IFERROR(__xludf.DUMMYFUNCTION("""COMPUTED_VALUE"""),43324.0)</f>
        <v>43324</v>
      </c>
    </row>
    <row r="969">
      <c r="A969" s="115" t="str">
        <f>IFERROR(__xludf.DUMMYFUNCTION("""COMPUTED_VALUE"""),"EAST")</f>
        <v>EAST</v>
      </c>
      <c r="B969" s="115" t="str">
        <f>IFERROR(__xludf.DUMMYFUNCTION("""COMPUTED_VALUE"""),"Ashish Ranjan")</f>
        <v>Ashish Ranjan</v>
      </c>
      <c r="C969" s="115" t="str">
        <f>IFERROR(__xludf.DUMMYFUNCTION("""COMPUTED_VALUE"""),"FLIPKART")</f>
        <v>FLIPKART</v>
      </c>
      <c r="D969" s="115">
        <f>IFERROR(__xludf.DUMMYFUNCTION("""COMPUTED_VALUE"""),592029.0)</f>
        <v>592029</v>
      </c>
      <c r="E969" s="115">
        <f>IFERROR(__xludf.DUMMYFUNCTION("""COMPUTED_VALUE"""),60096.0)</f>
        <v>60096</v>
      </c>
      <c r="F969" s="115">
        <f>IFERROR(__xludf.DUMMYFUNCTION("""COMPUTED_VALUE"""),500266.0)</f>
        <v>500266</v>
      </c>
      <c r="G969" s="115">
        <f>IFERROR(__xludf.DUMMYFUNCTION("""COMPUTED_VALUE"""),41480.0)</f>
        <v>41480</v>
      </c>
      <c r="H969" s="116">
        <f>IFERROR(__xludf.DUMMYFUNCTION("""COMPUTED_VALUE"""),45902.0)</f>
        <v>45902</v>
      </c>
      <c r="I969" s="115" t="str">
        <f>IFERROR(__xludf.DUMMYFUNCTION("""COMPUTED_VALUE"""),"19")</f>
        <v>19</v>
      </c>
      <c r="J969" s="115" t="str">
        <f>IFERROR(__xludf.DUMMYFUNCTION("""COMPUTED_VALUE"""),"Ashish Ranjan2025-09-0219")</f>
        <v>Ashish Ranjan2025-09-0219</v>
      </c>
      <c r="K969" s="115">
        <f>IFERROR(__xludf.DUMMYFUNCTION("""COMPUTED_VALUE"""),652125.0)</f>
        <v>652125</v>
      </c>
    </row>
    <row r="970">
      <c r="A970" s="115" t="str">
        <f>IFERROR(__xludf.DUMMYFUNCTION("""COMPUTED_VALUE"""),"EAST")</f>
        <v>EAST</v>
      </c>
      <c r="B970" s="115" t="str">
        <f>IFERROR(__xludf.DUMMYFUNCTION("""COMPUTED_VALUE"""),"Ashish Ranjan")</f>
        <v>Ashish Ranjan</v>
      </c>
      <c r="C970" s="115" t="str">
        <f>IFERROR(__xludf.DUMMYFUNCTION("""COMPUTED_VALUE"""),"MYNTRA")</f>
        <v>MYNTRA</v>
      </c>
      <c r="D970" s="115">
        <f>IFERROR(__xludf.DUMMYFUNCTION("""COMPUTED_VALUE"""),56998.0)</f>
        <v>56998</v>
      </c>
      <c r="E970" s="115">
        <f>IFERROR(__xludf.DUMMYFUNCTION("""COMPUTED_VALUE"""),12146.0)</f>
        <v>12146</v>
      </c>
      <c r="F970" s="115">
        <f>IFERROR(__xludf.DUMMYFUNCTION("""COMPUTED_VALUE"""),48923.0)</f>
        <v>48923</v>
      </c>
      <c r="G970" s="115">
        <f>IFERROR(__xludf.DUMMYFUNCTION("""COMPUTED_VALUE"""),8343.0)</f>
        <v>8343</v>
      </c>
      <c r="H970" s="116">
        <f>IFERROR(__xludf.DUMMYFUNCTION("""COMPUTED_VALUE"""),45902.0)</f>
        <v>45902</v>
      </c>
      <c r="I970" s="115" t="str">
        <f>IFERROR(__xludf.DUMMYFUNCTION("""COMPUTED_VALUE"""),"19")</f>
        <v>19</v>
      </c>
      <c r="J970" s="115" t="str">
        <f>IFERROR(__xludf.DUMMYFUNCTION("""COMPUTED_VALUE"""),"Ashish Ranjan2025-09-0219")</f>
        <v>Ashish Ranjan2025-09-0219</v>
      </c>
      <c r="K970" s="115">
        <f>IFERROR(__xludf.DUMMYFUNCTION("""COMPUTED_VALUE"""),69144.0)</f>
        <v>69144</v>
      </c>
    </row>
    <row r="971">
      <c r="A971" s="115" t="str">
        <f>IFERROR(__xludf.DUMMYFUNCTION("""COMPUTED_VALUE"""),"EAST")</f>
        <v>EAST</v>
      </c>
      <c r="B971" s="115" t="str">
        <f>IFERROR(__xludf.DUMMYFUNCTION("""COMPUTED_VALUE"""),"Girish Chand")</f>
        <v>Girish Chand</v>
      </c>
      <c r="C971" s="115" t="str">
        <f>IFERROR(__xludf.DUMMYFUNCTION("""COMPUTED_VALUE"""),"EXTERNAL")</f>
        <v>EXTERNAL</v>
      </c>
      <c r="D971" s="115">
        <f>IFERROR(__xludf.DUMMYFUNCTION("""COMPUTED_VALUE"""),23291.0)</f>
        <v>23291</v>
      </c>
      <c r="E971" s="115">
        <f>IFERROR(__xludf.DUMMYFUNCTION("""COMPUTED_VALUE"""),2407.0)</f>
        <v>2407</v>
      </c>
      <c r="F971" s="115">
        <f>IFERROR(__xludf.DUMMYFUNCTION("""COMPUTED_VALUE"""),9353.0)</f>
        <v>9353</v>
      </c>
      <c r="G971" s="115">
        <f>IFERROR(__xludf.DUMMYFUNCTION("""COMPUTED_VALUE"""),618.0)</f>
        <v>618</v>
      </c>
      <c r="H971" s="116">
        <f>IFERROR(__xludf.DUMMYFUNCTION("""COMPUTED_VALUE"""),45902.0)</f>
        <v>45902</v>
      </c>
      <c r="I971" s="115" t="str">
        <f>IFERROR(__xludf.DUMMYFUNCTION("""COMPUTED_VALUE"""),"19")</f>
        <v>19</v>
      </c>
      <c r="J971" s="115" t="str">
        <f>IFERROR(__xludf.DUMMYFUNCTION("""COMPUTED_VALUE"""),"Girish Chand2025-09-0219")</f>
        <v>Girish Chand2025-09-0219</v>
      </c>
      <c r="K971" s="115">
        <f>IFERROR(__xludf.DUMMYFUNCTION("""COMPUTED_VALUE"""),25698.0)</f>
        <v>25698</v>
      </c>
    </row>
    <row r="972">
      <c r="A972" s="115" t="str">
        <f>IFERROR(__xludf.DUMMYFUNCTION("""COMPUTED_VALUE"""),"EAST")</f>
        <v>EAST</v>
      </c>
      <c r="B972" s="115" t="str">
        <f>IFERROR(__xludf.DUMMYFUNCTION("""COMPUTED_VALUE"""),"Girish Chand")</f>
        <v>Girish Chand</v>
      </c>
      <c r="C972" s="115" t="str">
        <f>IFERROR(__xludf.DUMMYFUNCTION("""COMPUTED_VALUE"""),"FLIPKART")</f>
        <v>FLIPKART</v>
      </c>
      <c r="D972" s="115">
        <f>IFERROR(__xludf.DUMMYFUNCTION("""COMPUTED_VALUE"""),394699.0)</f>
        <v>394699</v>
      </c>
      <c r="E972" s="115">
        <f>IFERROR(__xludf.DUMMYFUNCTION("""COMPUTED_VALUE"""),39162.0)</f>
        <v>39162</v>
      </c>
      <c r="F972" s="115">
        <f>IFERROR(__xludf.DUMMYFUNCTION("""COMPUTED_VALUE"""),287282.0)</f>
        <v>287282</v>
      </c>
      <c r="G972" s="115">
        <f>IFERROR(__xludf.DUMMYFUNCTION("""COMPUTED_VALUE"""),23902.0)</f>
        <v>23902</v>
      </c>
      <c r="H972" s="116">
        <f>IFERROR(__xludf.DUMMYFUNCTION("""COMPUTED_VALUE"""),45902.0)</f>
        <v>45902</v>
      </c>
      <c r="I972" s="115" t="str">
        <f>IFERROR(__xludf.DUMMYFUNCTION("""COMPUTED_VALUE"""),"19")</f>
        <v>19</v>
      </c>
      <c r="J972" s="115" t="str">
        <f>IFERROR(__xludf.DUMMYFUNCTION("""COMPUTED_VALUE"""),"Girish Chand2025-09-0219")</f>
        <v>Girish Chand2025-09-0219</v>
      </c>
      <c r="K972" s="115">
        <f>IFERROR(__xludf.DUMMYFUNCTION("""COMPUTED_VALUE"""),433861.0)</f>
        <v>433861</v>
      </c>
    </row>
    <row r="973">
      <c r="A973" s="115" t="str">
        <f>IFERROR(__xludf.DUMMYFUNCTION("""COMPUTED_VALUE"""),"EAST")</f>
        <v>EAST</v>
      </c>
      <c r="B973" s="115" t="str">
        <f>IFERROR(__xludf.DUMMYFUNCTION("""COMPUTED_VALUE"""),"Girish Chand")</f>
        <v>Girish Chand</v>
      </c>
      <c r="C973" s="115" t="str">
        <f>IFERROR(__xludf.DUMMYFUNCTION("""COMPUTED_VALUE"""),"MYNTRA")</f>
        <v>MYNTRA</v>
      </c>
      <c r="D973" s="115">
        <f>IFERROR(__xludf.DUMMYFUNCTION("""COMPUTED_VALUE"""),31173.0)</f>
        <v>31173</v>
      </c>
      <c r="E973" s="115">
        <f>IFERROR(__xludf.DUMMYFUNCTION("""COMPUTED_VALUE"""),6526.0)</f>
        <v>6526</v>
      </c>
      <c r="F973" s="115">
        <f>IFERROR(__xludf.DUMMYFUNCTION("""COMPUTED_VALUE"""),24211.0)</f>
        <v>24211</v>
      </c>
      <c r="G973" s="115">
        <f>IFERROR(__xludf.DUMMYFUNCTION("""COMPUTED_VALUE"""),4131.0)</f>
        <v>4131</v>
      </c>
      <c r="H973" s="116">
        <f>IFERROR(__xludf.DUMMYFUNCTION("""COMPUTED_VALUE"""),45902.0)</f>
        <v>45902</v>
      </c>
      <c r="I973" s="115" t="str">
        <f>IFERROR(__xludf.DUMMYFUNCTION("""COMPUTED_VALUE"""),"19")</f>
        <v>19</v>
      </c>
      <c r="J973" s="115" t="str">
        <f>IFERROR(__xludf.DUMMYFUNCTION("""COMPUTED_VALUE"""),"Girish Chand2025-09-0219")</f>
        <v>Girish Chand2025-09-0219</v>
      </c>
      <c r="K973" s="115">
        <f>IFERROR(__xludf.DUMMYFUNCTION("""COMPUTED_VALUE"""),37699.0)</f>
        <v>37699</v>
      </c>
    </row>
    <row r="974">
      <c r="A974" s="115" t="str">
        <f>IFERROR(__xludf.DUMMYFUNCTION("""COMPUTED_VALUE"""),"EAST")</f>
        <v>EAST</v>
      </c>
      <c r="B974" s="115" t="str">
        <f>IFERROR(__xludf.DUMMYFUNCTION("""COMPUTED_VALUE"""),"Parag Kashyap")</f>
        <v>Parag Kashyap</v>
      </c>
      <c r="C974" s="115" t="str">
        <f>IFERROR(__xludf.DUMMYFUNCTION("""COMPUTED_VALUE"""),"EXTERNAL")</f>
        <v>EXTERNAL</v>
      </c>
      <c r="D974" s="115">
        <f>IFERROR(__xludf.DUMMYFUNCTION("""COMPUTED_VALUE"""),21235.0)</f>
        <v>21235</v>
      </c>
      <c r="E974" s="115">
        <f>IFERROR(__xludf.DUMMYFUNCTION("""COMPUTED_VALUE"""),1194.0)</f>
        <v>1194</v>
      </c>
      <c r="F974" s="115">
        <f>IFERROR(__xludf.DUMMYFUNCTION("""COMPUTED_VALUE"""),8292.0)</f>
        <v>8292</v>
      </c>
      <c r="G974" s="115">
        <f>IFERROR(__xludf.DUMMYFUNCTION("""COMPUTED_VALUE"""),316.0)</f>
        <v>316</v>
      </c>
      <c r="H974" s="116">
        <f>IFERROR(__xludf.DUMMYFUNCTION("""COMPUTED_VALUE"""),45902.0)</f>
        <v>45902</v>
      </c>
      <c r="I974" s="115" t="str">
        <f>IFERROR(__xludf.DUMMYFUNCTION("""COMPUTED_VALUE"""),"19")</f>
        <v>19</v>
      </c>
      <c r="J974" s="115" t="str">
        <f>IFERROR(__xludf.DUMMYFUNCTION("""COMPUTED_VALUE"""),"Parag Kashyap2025-09-0219")</f>
        <v>Parag Kashyap2025-09-0219</v>
      </c>
      <c r="K974" s="115">
        <f>IFERROR(__xludf.DUMMYFUNCTION("""COMPUTED_VALUE"""),22429.0)</f>
        <v>22429</v>
      </c>
    </row>
    <row r="975">
      <c r="A975" s="115" t="str">
        <f>IFERROR(__xludf.DUMMYFUNCTION("""COMPUTED_VALUE"""),"EAST")</f>
        <v>EAST</v>
      </c>
      <c r="B975" s="115" t="str">
        <f>IFERROR(__xludf.DUMMYFUNCTION("""COMPUTED_VALUE"""),"Parag Kashyap")</f>
        <v>Parag Kashyap</v>
      </c>
      <c r="C975" s="115" t="str">
        <f>IFERROR(__xludf.DUMMYFUNCTION("""COMPUTED_VALUE"""),"FLIPKART")</f>
        <v>FLIPKART</v>
      </c>
      <c r="D975" s="115">
        <f>IFERROR(__xludf.DUMMYFUNCTION("""COMPUTED_VALUE"""),298371.0)</f>
        <v>298371</v>
      </c>
      <c r="E975" s="115">
        <f>IFERROR(__xludf.DUMMYFUNCTION("""COMPUTED_VALUE"""),19558.0)</f>
        <v>19558</v>
      </c>
      <c r="F975" s="115">
        <f>IFERROR(__xludf.DUMMYFUNCTION("""COMPUTED_VALUE"""),223282.0)</f>
        <v>223282</v>
      </c>
      <c r="G975" s="115">
        <f>IFERROR(__xludf.DUMMYFUNCTION("""COMPUTED_VALUE"""),10713.0)</f>
        <v>10713</v>
      </c>
      <c r="H975" s="116">
        <f>IFERROR(__xludf.DUMMYFUNCTION("""COMPUTED_VALUE"""),45902.0)</f>
        <v>45902</v>
      </c>
      <c r="I975" s="115" t="str">
        <f>IFERROR(__xludf.DUMMYFUNCTION("""COMPUTED_VALUE"""),"19")</f>
        <v>19</v>
      </c>
      <c r="J975" s="115" t="str">
        <f>IFERROR(__xludf.DUMMYFUNCTION("""COMPUTED_VALUE"""),"Parag Kashyap2025-09-0219")</f>
        <v>Parag Kashyap2025-09-0219</v>
      </c>
      <c r="K975" s="115">
        <f>IFERROR(__xludf.DUMMYFUNCTION("""COMPUTED_VALUE"""),317929.0)</f>
        <v>317929</v>
      </c>
    </row>
    <row r="976">
      <c r="A976" s="115" t="str">
        <f>IFERROR(__xludf.DUMMYFUNCTION("""COMPUTED_VALUE"""),"EAST")</f>
        <v>EAST</v>
      </c>
      <c r="B976" s="115" t="str">
        <f>IFERROR(__xludf.DUMMYFUNCTION("""COMPUTED_VALUE"""),"Parag Kashyap")</f>
        <v>Parag Kashyap</v>
      </c>
      <c r="C976" s="115" t="str">
        <f>IFERROR(__xludf.DUMMYFUNCTION("""COMPUTED_VALUE"""),"MYNTRA")</f>
        <v>MYNTRA</v>
      </c>
      <c r="D976" s="115">
        <f>IFERROR(__xludf.DUMMYFUNCTION("""COMPUTED_VALUE"""),31146.0)</f>
        <v>31146</v>
      </c>
      <c r="E976" s="115">
        <f>IFERROR(__xludf.DUMMYFUNCTION("""COMPUTED_VALUE"""),5066.0)</f>
        <v>5066</v>
      </c>
      <c r="F976" s="115">
        <f>IFERROR(__xludf.DUMMYFUNCTION("""COMPUTED_VALUE"""),23918.0)</f>
        <v>23918</v>
      </c>
      <c r="G976" s="115">
        <f>IFERROR(__xludf.DUMMYFUNCTION("""COMPUTED_VALUE"""),2757.0)</f>
        <v>2757</v>
      </c>
      <c r="H976" s="116">
        <f>IFERROR(__xludf.DUMMYFUNCTION("""COMPUTED_VALUE"""),45902.0)</f>
        <v>45902</v>
      </c>
      <c r="I976" s="115" t="str">
        <f>IFERROR(__xludf.DUMMYFUNCTION("""COMPUTED_VALUE"""),"19")</f>
        <v>19</v>
      </c>
      <c r="J976" s="115" t="str">
        <f>IFERROR(__xludf.DUMMYFUNCTION("""COMPUTED_VALUE"""),"Parag Kashyap2025-09-0219")</f>
        <v>Parag Kashyap2025-09-0219</v>
      </c>
      <c r="K976" s="115">
        <f>IFERROR(__xludf.DUMMYFUNCTION("""COMPUTED_VALUE"""),36212.0)</f>
        <v>36212</v>
      </c>
    </row>
    <row r="977">
      <c r="A977" s="115" t="str">
        <f>IFERROR(__xludf.DUMMYFUNCTION("""COMPUTED_VALUE"""),"NORTH")</f>
        <v>NORTH</v>
      </c>
      <c r="B977" s="115" t="str">
        <f>IFERROR(__xludf.DUMMYFUNCTION("""COMPUTED_VALUE"""),"Amit Kumar Pathak")</f>
        <v>Amit Kumar Pathak</v>
      </c>
      <c r="C977" s="115" t="str">
        <f>IFERROR(__xludf.DUMMYFUNCTION("""COMPUTED_VALUE"""),"EXTERNAL")</f>
        <v>EXTERNAL</v>
      </c>
      <c r="D977" s="115">
        <f>IFERROR(__xludf.DUMMYFUNCTION("""COMPUTED_VALUE"""),25560.0)</f>
        <v>25560</v>
      </c>
      <c r="E977" s="115">
        <f>IFERROR(__xludf.DUMMYFUNCTION("""COMPUTED_VALUE"""),2212.0)</f>
        <v>2212</v>
      </c>
      <c r="F977" s="115">
        <f>IFERROR(__xludf.DUMMYFUNCTION("""COMPUTED_VALUE"""),8782.0)</f>
        <v>8782</v>
      </c>
      <c r="G977" s="115">
        <f>IFERROR(__xludf.DUMMYFUNCTION("""COMPUTED_VALUE"""),679.0)</f>
        <v>679</v>
      </c>
      <c r="H977" s="116">
        <f>IFERROR(__xludf.DUMMYFUNCTION("""COMPUTED_VALUE"""),45902.0)</f>
        <v>45902</v>
      </c>
      <c r="I977" s="115" t="str">
        <f>IFERROR(__xludf.DUMMYFUNCTION("""COMPUTED_VALUE"""),"19")</f>
        <v>19</v>
      </c>
      <c r="J977" s="115" t="str">
        <f>IFERROR(__xludf.DUMMYFUNCTION("""COMPUTED_VALUE"""),"Amit Kumar Pathak2025-09-0219")</f>
        <v>Amit Kumar Pathak2025-09-0219</v>
      </c>
      <c r="K977" s="115">
        <f>IFERROR(__xludf.DUMMYFUNCTION("""COMPUTED_VALUE"""),27772.0)</f>
        <v>27772</v>
      </c>
    </row>
    <row r="978">
      <c r="A978" s="115" t="str">
        <f>IFERROR(__xludf.DUMMYFUNCTION("""COMPUTED_VALUE"""),"NORTH")</f>
        <v>NORTH</v>
      </c>
      <c r="B978" s="115" t="str">
        <f>IFERROR(__xludf.DUMMYFUNCTION("""COMPUTED_VALUE"""),"Amit Kumar Pathak")</f>
        <v>Amit Kumar Pathak</v>
      </c>
      <c r="C978" s="115" t="str">
        <f>IFERROR(__xludf.DUMMYFUNCTION("""COMPUTED_VALUE"""),"FLIPKART")</f>
        <v>FLIPKART</v>
      </c>
      <c r="D978" s="115">
        <f>IFERROR(__xludf.DUMMYFUNCTION("""COMPUTED_VALUE"""),175320.0)</f>
        <v>175320</v>
      </c>
      <c r="E978" s="115">
        <f>IFERROR(__xludf.DUMMYFUNCTION("""COMPUTED_VALUE"""),22378.0)</f>
        <v>22378</v>
      </c>
      <c r="F978" s="115">
        <f>IFERROR(__xludf.DUMMYFUNCTION("""COMPUTED_VALUE"""),112164.0)</f>
        <v>112164</v>
      </c>
      <c r="G978" s="115">
        <f>IFERROR(__xludf.DUMMYFUNCTION("""COMPUTED_VALUE"""),12344.0)</f>
        <v>12344</v>
      </c>
      <c r="H978" s="116">
        <f>IFERROR(__xludf.DUMMYFUNCTION("""COMPUTED_VALUE"""),45902.0)</f>
        <v>45902</v>
      </c>
      <c r="I978" s="115" t="str">
        <f>IFERROR(__xludf.DUMMYFUNCTION("""COMPUTED_VALUE"""),"19")</f>
        <v>19</v>
      </c>
      <c r="J978" s="115" t="str">
        <f>IFERROR(__xludf.DUMMYFUNCTION("""COMPUTED_VALUE"""),"Amit Kumar Pathak2025-09-0219")</f>
        <v>Amit Kumar Pathak2025-09-0219</v>
      </c>
      <c r="K978" s="115">
        <f>IFERROR(__xludf.DUMMYFUNCTION("""COMPUTED_VALUE"""),197698.0)</f>
        <v>197698</v>
      </c>
    </row>
    <row r="979">
      <c r="A979" s="115" t="str">
        <f>IFERROR(__xludf.DUMMYFUNCTION("""COMPUTED_VALUE"""),"NORTH")</f>
        <v>NORTH</v>
      </c>
      <c r="B979" s="115" t="str">
        <f>IFERROR(__xludf.DUMMYFUNCTION("""COMPUTED_VALUE"""),"Amit Kumar Pathak")</f>
        <v>Amit Kumar Pathak</v>
      </c>
      <c r="C979" s="115" t="str">
        <f>IFERROR(__xludf.DUMMYFUNCTION("""COMPUTED_VALUE"""),"MYNTRA")</f>
        <v>MYNTRA</v>
      </c>
      <c r="D979" s="115">
        <f>IFERROR(__xludf.DUMMYFUNCTION("""COMPUTED_VALUE"""),17197.0)</f>
        <v>17197</v>
      </c>
      <c r="E979" s="115">
        <f>IFERROR(__xludf.DUMMYFUNCTION("""COMPUTED_VALUE"""),5175.0)</f>
        <v>5175</v>
      </c>
      <c r="F979" s="115">
        <f>IFERROR(__xludf.DUMMYFUNCTION("""COMPUTED_VALUE"""),12876.0)</f>
        <v>12876</v>
      </c>
      <c r="G979" s="115">
        <f>IFERROR(__xludf.DUMMYFUNCTION("""COMPUTED_VALUE"""),3116.0)</f>
        <v>3116</v>
      </c>
      <c r="H979" s="116">
        <f>IFERROR(__xludf.DUMMYFUNCTION("""COMPUTED_VALUE"""),45902.0)</f>
        <v>45902</v>
      </c>
      <c r="I979" s="115" t="str">
        <f>IFERROR(__xludf.DUMMYFUNCTION("""COMPUTED_VALUE"""),"19")</f>
        <v>19</v>
      </c>
      <c r="J979" s="115" t="str">
        <f>IFERROR(__xludf.DUMMYFUNCTION("""COMPUTED_VALUE"""),"Amit Kumar Pathak2025-09-0219")</f>
        <v>Amit Kumar Pathak2025-09-0219</v>
      </c>
      <c r="K979" s="115">
        <f>IFERROR(__xludf.DUMMYFUNCTION("""COMPUTED_VALUE"""),22372.0)</f>
        <v>22372</v>
      </c>
    </row>
    <row r="980">
      <c r="A980" s="115" t="str">
        <f>IFERROR(__xludf.DUMMYFUNCTION("""COMPUTED_VALUE"""),"NORTH")</f>
        <v>NORTH</v>
      </c>
      <c r="B980" s="115" t="str">
        <f>IFERROR(__xludf.DUMMYFUNCTION("""COMPUTED_VALUE"""),"Loveleen Singh")</f>
        <v>Loveleen Singh</v>
      </c>
      <c r="C980" s="115" t="str">
        <f>IFERROR(__xludf.DUMMYFUNCTION("""COMPUTED_VALUE"""),"EXTERNAL")</f>
        <v>EXTERNAL</v>
      </c>
      <c r="D980" s="115">
        <f>IFERROR(__xludf.DUMMYFUNCTION("""COMPUTED_VALUE"""),29312.0)</f>
        <v>29312</v>
      </c>
      <c r="E980" s="115">
        <f>IFERROR(__xludf.DUMMYFUNCTION("""COMPUTED_VALUE"""),2079.0)</f>
        <v>2079</v>
      </c>
      <c r="F980" s="115">
        <f>IFERROR(__xludf.DUMMYFUNCTION("""COMPUTED_VALUE"""),10256.0)</f>
        <v>10256</v>
      </c>
      <c r="G980" s="115">
        <f>IFERROR(__xludf.DUMMYFUNCTION("""COMPUTED_VALUE"""),530.0)</f>
        <v>530</v>
      </c>
      <c r="H980" s="116">
        <f>IFERROR(__xludf.DUMMYFUNCTION("""COMPUTED_VALUE"""),45902.0)</f>
        <v>45902</v>
      </c>
      <c r="I980" s="115" t="str">
        <f>IFERROR(__xludf.DUMMYFUNCTION("""COMPUTED_VALUE"""),"19")</f>
        <v>19</v>
      </c>
      <c r="J980" s="115" t="str">
        <f>IFERROR(__xludf.DUMMYFUNCTION("""COMPUTED_VALUE"""),"Loveleen Singh2025-09-0219")</f>
        <v>Loveleen Singh2025-09-0219</v>
      </c>
      <c r="K980" s="115">
        <f>IFERROR(__xludf.DUMMYFUNCTION("""COMPUTED_VALUE"""),31391.0)</f>
        <v>31391</v>
      </c>
    </row>
    <row r="981">
      <c r="A981" s="115" t="str">
        <f>IFERROR(__xludf.DUMMYFUNCTION("""COMPUTED_VALUE"""),"NORTH")</f>
        <v>NORTH</v>
      </c>
      <c r="B981" s="115" t="str">
        <f>IFERROR(__xludf.DUMMYFUNCTION("""COMPUTED_VALUE"""),"Loveleen Singh")</f>
        <v>Loveleen Singh</v>
      </c>
      <c r="C981" s="115" t="str">
        <f>IFERROR(__xludf.DUMMYFUNCTION("""COMPUTED_VALUE"""),"FLIPKART")</f>
        <v>FLIPKART</v>
      </c>
      <c r="D981" s="115">
        <f>IFERROR(__xludf.DUMMYFUNCTION("""COMPUTED_VALUE"""),151118.0)</f>
        <v>151118</v>
      </c>
      <c r="E981" s="115">
        <f>IFERROR(__xludf.DUMMYFUNCTION("""COMPUTED_VALUE"""),13184.0)</f>
        <v>13184</v>
      </c>
      <c r="F981" s="115">
        <f>IFERROR(__xludf.DUMMYFUNCTION("""COMPUTED_VALUE"""),102293.0)</f>
        <v>102293</v>
      </c>
      <c r="G981" s="115">
        <f>IFERROR(__xludf.DUMMYFUNCTION("""COMPUTED_VALUE"""),6976.0)</f>
        <v>6976</v>
      </c>
      <c r="H981" s="116">
        <f>IFERROR(__xludf.DUMMYFUNCTION("""COMPUTED_VALUE"""),45902.0)</f>
        <v>45902</v>
      </c>
      <c r="I981" s="115" t="str">
        <f>IFERROR(__xludf.DUMMYFUNCTION("""COMPUTED_VALUE"""),"19")</f>
        <v>19</v>
      </c>
      <c r="J981" s="115" t="str">
        <f>IFERROR(__xludf.DUMMYFUNCTION("""COMPUTED_VALUE"""),"Loveleen Singh2025-09-0219")</f>
        <v>Loveleen Singh2025-09-0219</v>
      </c>
      <c r="K981" s="115">
        <f>IFERROR(__xludf.DUMMYFUNCTION("""COMPUTED_VALUE"""),164302.0)</f>
        <v>164302</v>
      </c>
    </row>
    <row r="982">
      <c r="A982" s="115" t="str">
        <f>IFERROR(__xludf.DUMMYFUNCTION("""COMPUTED_VALUE"""),"NORTH")</f>
        <v>NORTH</v>
      </c>
      <c r="B982" s="115" t="str">
        <f>IFERROR(__xludf.DUMMYFUNCTION("""COMPUTED_VALUE"""),"Loveleen Singh")</f>
        <v>Loveleen Singh</v>
      </c>
      <c r="C982" s="115" t="str">
        <f>IFERROR(__xludf.DUMMYFUNCTION("""COMPUTED_VALUE"""),"MYNTRA")</f>
        <v>MYNTRA</v>
      </c>
      <c r="D982" s="115">
        <f>IFERROR(__xludf.DUMMYFUNCTION("""COMPUTED_VALUE"""),22793.0)</f>
        <v>22793</v>
      </c>
      <c r="E982" s="115">
        <f>IFERROR(__xludf.DUMMYFUNCTION("""COMPUTED_VALUE"""),5118.0)</f>
        <v>5118</v>
      </c>
      <c r="F982" s="115">
        <f>IFERROR(__xludf.DUMMYFUNCTION("""COMPUTED_VALUE"""),17543.0)</f>
        <v>17543</v>
      </c>
      <c r="G982" s="115">
        <f>IFERROR(__xludf.DUMMYFUNCTION("""COMPUTED_VALUE"""),2844.0)</f>
        <v>2844</v>
      </c>
      <c r="H982" s="116">
        <f>IFERROR(__xludf.DUMMYFUNCTION("""COMPUTED_VALUE"""),45902.0)</f>
        <v>45902</v>
      </c>
      <c r="I982" s="115" t="str">
        <f>IFERROR(__xludf.DUMMYFUNCTION("""COMPUTED_VALUE"""),"19")</f>
        <v>19</v>
      </c>
      <c r="J982" s="115" t="str">
        <f>IFERROR(__xludf.DUMMYFUNCTION("""COMPUTED_VALUE"""),"Loveleen Singh2025-09-0219")</f>
        <v>Loveleen Singh2025-09-0219</v>
      </c>
      <c r="K982" s="115">
        <f>IFERROR(__xludf.DUMMYFUNCTION("""COMPUTED_VALUE"""),27911.0)</f>
        <v>27911</v>
      </c>
    </row>
    <row r="983">
      <c r="A983" s="115" t="str">
        <f>IFERROR(__xludf.DUMMYFUNCTION("""COMPUTED_VALUE"""),"NORTH")</f>
        <v>NORTH</v>
      </c>
      <c r="B983" s="115" t="str">
        <f>IFERROR(__xludf.DUMMYFUNCTION("""COMPUTED_VALUE"""),"Manoj Harsh")</f>
        <v>Manoj Harsh</v>
      </c>
      <c r="C983" s="115" t="str">
        <f>IFERROR(__xludf.DUMMYFUNCTION("""COMPUTED_VALUE"""),"EXTERNAL")</f>
        <v>EXTERNAL</v>
      </c>
      <c r="D983" s="115">
        <f>IFERROR(__xludf.DUMMYFUNCTION("""COMPUTED_VALUE"""),34048.0)</f>
        <v>34048</v>
      </c>
      <c r="E983" s="115">
        <f>IFERROR(__xludf.DUMMYFUNCTION("""COMPUTED_VALUE"""),3172.0)</f>
        <v>3172</v>
      </c>
      <c r="F983" s="115">
        <f>IFERROR(__xludf.DUMMYFUNCTION("""COMPUTED_VALUE"""),13312.0)</f>
        <v>13312</v>
      </c>
      <c r="G983" s="115">
        <f>IFERROR(__xludf.DUMMYFUNCTION("""COMPUTED_VALUE"""),880.0)</f>
        <v>880</v>
      </c>
      <c r="H983" s="116">
        <f>IFERROR(__xludf.DUMMYFUNCTION("""COMPUTED_VALUE"""),45902.0)</f>
        <v>45902</v>
      </c>
      <c r="I983" s="115" t="str">
        <f>IFERROR(__xludf.DUMMYFUNCTION("""COMPUTED_VALUE"""),"19")</f>
        <v>19</v>
      </c>
      <c r="J983" s="115" t="str">
        <f>IFERROR(__xludf.DUMMYFUNCTION("""COMPUTED_VALUE"""),"Manoj Harsh2025-09-0219")</f>
        <v>Manoj Harsh2025-09-0219</v>
      </c>
      <c r="K983" s="115">
        <f>IFERROR(__xludf.DUMMYFUNCTION("""COMPUTED_VALUE"""),37220.0)</f>
        <v>37220</v>
      </c>
    </row>
    <row r="984">
      <c r="A984" s="115" t="str">
        <f>IFERROR(__xludf.DUMMYFUNCTION("""COMPUTED_VALUE"""),"NORTH")</f>
        <v>NORTH</v>
      </c>
      <c r="B984" s="115" t="str">
        <f>IFERROR(__xludf.DUMMYFUNCTION("""COMPUTED_VALUE"""),"Manoj Harsh")</f>
        <v>Manoj Harsh</v>
      </c>
      <c r="C984" s="115" t="str">
        <f>IFERROR(__xludf.DUMMYFUNCTION("""COMPUTED_VALUE"""),"FLIPKART")</f>
        <v>FLIPKART</v>
      </c>
      <c r="D984" s="115">
        <f>IFERROR(__xludf.DUMMYFUNCTION("""COMPUTED_VALUE"""),402203.0)</f>
        <v>402203</v>
      </c>
      <c r="E984" s="115">
        <f>IFERROR(__xludf.DUMMYFUNCTION("""COMPUTED_VALUE"""),42700.0)</f>
        <v>42700</v>
      </c>
      <c r="F984" s="115">
        <f>IFERROR(__xludf.DUMMYFUNCTION("""COMPUTED_VALUE"""),288417.0)</f>
        <v>288417</v>
      </c>
      <c r="G984" s="115">
        <f>IFERROR(__xludf.DUMMYFUNCTION("""COMPUTED_VALUE"""),24486.0)</f>
        <v>24486</v>
      </c>
      <c r="H984" s="116">
        <f>IFERROR(__xludf.DUMMYFUNCTION("""COMPUTED_VALUE"""),45902.0)</f>
        <v>45902</v>
      </c>
      <c r="I984" s="115" t="str">
        <f>IFERROR(__xludf.DUMMYFUNCTION("""COMPUTED_VALUE"""),"19")</f>
        <v>19</v>
      </c>
      <c r="J984" s="115" t="str">
        <f>IFERROR(__xludf.DUMMYFUNCTION("""COMPUTED_VALUE"""),"Manoj Harsh2025-09-0219")</f>
        <v>Manoj Harsh2025-09-0219</v>
      </c>
      <c r="K984" s="115">
        <f>IFERROR(__xludf.DUMMYFUNCTION("""COMPUTED_VALUE"""),444903.0)</f>
        <v>444903</v>
      </c>
    </row>
    <row r="985">
      <c r="A985" s="115" t="str">
        <f>IFERROR(__xludf.DUMMYFUNCTION("""COMPUTED_VALUE"""),"NORTH")</f>
        <v>NORTH</v>
      </c>
      <c r="B985" s="115" t="str">
        <f>IFERROR(__xludf.DUMMYFUNCTION("""COMPUTED_VALUE"""),"Manoj Harsh")</f>
        <v>Manoj Harsh</v>
      </c>
      <c r="C985" s="115" t="str">
        <f>IFERROR(__xludf.DUMMYFUNCTION("""COMPUTED_VALUE"""),"MYNTRA")</f>
        <v>MYNTRA</v>
      </c>
      <c r="D985" s="115">
        <f>IFERROR(__xludf.DUMMYFUNCTION("""COMPUTED_VALUE"""),34846.0)</f>
        <v>34846</v>
      </c>
      <c r="E985" s="115">
        <f>IFERROR(__xludf.DUMMYFUNCTION("""COMPUTED_VALUE"""),7803.0)</f>
        <v>7803</v>
      </c>
      <c r="F985" s="115">
        <f>IFERROR(__xludf.DUMMYFUNCTION("""COMPUTED_VALUE"""),27203.0)</f>
        <v>27203</v>
      </c>
      <c r="G985" s="115">
        <f>IFERROR(__xludf.DUMMYFUNCTION("""COMPUTED_VALUE"""),4806.0)</f>
        <v>4806</v>
      </c>
      <c r="H985" s="116">
        <f>IFERROR(__xludf.DUMMYFUNCTION("""COMPUTED_VALUE"""),45902.0)</f>
        <v>45902</v>
      </c>
      <c r="I985" s="115" t="str">
        <f>IFERROR(__xludf.DUMMYFUNCTION("""COMPUTED_VALUE"""),"19")</f>
        <v>19</v>
      </c>
      <c r="J985" s="115" t="str">
        <f>IFERROR(__xludf.DUMMYFUNCTION("""COMPUTED_VALUE"""),"Manoj Harsh2025-09-0219")</f>
        <v>Manoj Harsh2025-09-0219</v>
      </c>
      <c r="K985" s="115">
        <f>IFERROR(__xludf.DUMMYFUNCTION("""COMPUTED_VALUE"""),42649.0)</f>
        <v>42649</v>
      </c>
    </row>
    <row r="986">
      <c r="A986" s="115" t="str">
        <f>IFERROR(__xludf.DUMMYFUNCTION("""COMPUTED_VALUE"""),"NORTH")</f>
        <v>NORTH</v>
      </c>
      <c r="B986" s="115" t="str">
        <f>IFERROR(__xludf.DUMMYFUNCTION("""COMPUTED_VALUE"""),"Pradeep Kothari")</f>
        <v>Pradeep Kothari</v>
      </c>
      <c r="C986" s="115" t="str">
        <f>IFERROR(__xludf.DUMMYFUNCTION("""COMPUTED_VALUE"""),"EXTERNAL")</f>
        <v>EXTERNAL</v>
      </c>
      <c r="D986" s="115">
        <f>IFERROR(__xludf.DUMMYFUNCTION("""COMPUTED_VALUE"""),19198.0)</f>
        <v>19198</v>
      </c>
      <c r="E986" s="115">
        <f>IFERROR(__xludf.DUMMYFUNCTION("""COMPUTED_VALUE"""),1981.0)</f>
        <v>1981</v>
      </c>
      <c r="F986" s="115">
        <f>IFERROR(__xludf.DUMMYFUNCTION("""COMPUTED_VALUE"""),7347.0)</f>
        <v>7347</v>
      </c>
      <c r="G986" s="115">
        <f>IFERROR(__xludf.DUMMYFUNCTION("""COMPUTED_VALUE"""),612.0)</f>
        <v>612</v>
      </c>
      <c r="H986" s="116">
        <f>IFERROR(__xludf.DUMMYFUNCTION("""COMPUTED_VALUE"""),45902.0)</f>
        <v>45902</v>
      </c>
      <c r="I986" s="115" t="str">
        <f>IFERROR(__xludf.DUMMYFUNCTION("""COMPUTED_VALUE"""),"19")</f>
        <v>19</v>
      </c>
      <c r="J986" s="115" t="str">
        <f>IFERROR(__xludf.DUMMYFUNCTION("""COMPUTED_VALUE"""),"Pradeep Kothari2025-09-0219")</f>
        <v>Pradeep Kothari2025-09-0219</v>
      </c>
      <c r="K986" s="115">
        <f>IFERROR(__xludf.DUMMYFUNCTION("""COMPUTED_VALUE"""),21179.0)</f>
        <v>21179</v>
      </c>
    </row>
    <row r="987">
      <c r="A987" s="115" t="str">
        <f>IFERROR(__xludf.DUMMYFUNCTION("""COMPUTED_VALUE"""),"NORTH")</f>
        <v>NORTH</v>
      </c>
      <c r="B987" s="115" t="str">
        <f>IFERROR(__xludf.DUMMYFUNCTION("""COMPUTED_VALUE"""),"Pradeep Kothari")</f>
        <v>Pradeep Kothari</v>
      </c>
      <c r="C987" s="115" t="str">
        <f>IFERROR(__xludf.DUMMYFUNCTION("""COMPUTED_VALUE"""),"FLIPKART")</f>
        <v>FLIPKART</v>
      </c>
      <c r="D987" s="115">
        <f>IFERROR(__xludf.DUMMYFUNCTION("""COMPUTED_VALUE"""),137063.0)</f>
        <v>137063</v>
      </c>
      <c r="E987" s="115">
        <f>IFERROR(__xludf.DUMMYFUNCTION("""COMPUTED_VALUE"""),17211.0)</f>
        <v>17211</v>
      </c>
      <c r="F987" s="115">
        <f>IFERROR(__xludf.DUMMYFUNCTION("""COMPUTED_VALUE"""),98960.0)</f>
        <v>98960</v>
      </c>
      <c r="G987" s="115">
        <f>IFERROR(__xludf.DUMMYFUNCTION("""COMPUTED_VALUE"""),10627.0)</f>
        <v>10627</v>
      </c>
      <c r="H987" s="116">
        <f>IFERROR(__xludf.DUMMYFUNCTION("""COMPUTED_VALUE"""),45902.0)</f>
        <v>45902</v>
      </c>
      <c r="I987" s="115" t="str">
        <f>IFERROR(__xludf.DUMMYFUNCTION("""COMPUTED_VALUE"""),"19")</f>
        <v>19</v>
      </c>
      <c r="J987" s="115" t="str">
        <f>IFERROR(__xludf.DUMMYFUNCTION("""COMPUTED_VALUE"""),"Pradeep Kothari2025-09-0219")</f>
        <v>Pradeep Kothari2025-09-0219</v>
      </c>
      <c r="K987" s="115">
        <f>IFERROR(__xludf.DUMMYFUNCTION("""COMPUTED_VALUE"""),154274.0)</f>
        <v>154274</v>
      </c>
    </row>
    <row r="988">
      <c r="A988" s="115" t="str">
        <f>IFERROR(__xludf.DUMMYFUNCTION("""COMPUTED_VALUE"""),"NORTH")</f>
        <v>NORTH</v>
      </c>
      <c r="B988" s="115" t="str">
        <f>IFERROR(__xludf.DUMMYFUNCTION("""COMPUTED_VALUE"""),"Pradeep Kothari")</f>
        <v>Pradeep Kothari</v>
      </c>
      <c r="C988" s="115" t="str">
        <f>IFERROR(__xludf.DUMMYFUNCTION("""COMPUTED_VALUE"""),"MYNTRA")</f>
        <v>MYNTRA</v>
      </c>
      <c r="D988" s="115">
        <f>IFERROR(__xludf.DUMMYFUNCTION("""COMPUTED_VALUE"""),23447.0)</f>
        <v>23447</v>
      </c>
      <c r="E988" s="115">
        <f>IFERROR(__xludf.DUMMYFUNCTION("""COMPUTED_VALUE"""),6333.0)</f>
        <v>6333</v>
      </c>
      <c r="F988" s="115">
        <f>IFERROR(__xludf.DUMMYFUNCTION("""COMPUTED_VALUE"""),18977.0)</f>
        <v>18977</v>
      </c>
      <c r="G988" s="115">
        <f>IFERROR(__xludf.DUMMYFUNCTION("""COMPUTED_VALUE"""),4299.0)</f>
        <v>4299</v>
      </c>
      <c r="H988" s="116">
        <f>IFERROR(__xludf.DUMMYFUNCTION("""COMPUTED_VALUE"""),45902.0)</f>
        <v>45902</v>
      </c>
      <c r="I988" s="115" t="str">
        <f>IFERROR(__xludf.DUMMYFUNCTION("""COMPUTED_VALUE"""),"19")</f>
        <v>19</v>
      </c>
      <c r="J988" s="115" t="str">
        <f>IFERROR(__xludf.DUMMYFUNCTION("""COMPUTED_VALUE"""),"Pradeep Kothari2025-09-0219")</f>
        <v>Pradeep Kothari2025-09-0219</v>
      </c>
      <c r="K988" s="115">
        <f>IFERROR(__xludf.DUMMYFUNCTION("""COMPUTED_VALUE"""),29780.0)</f>
        <v>29780</v>
      </c>
    </row>
    <row r="989">
      <c r="A989" s="115" t="str">
        <f>IFERROR(__xludf.DUMMYFUNCTION("""COMPUTED_VALUE"""),"SOUTH")</f>
        <v>SOUTH</v>
      </c>
      <c r="B989" s="115" t="str">
        <f>IFERROR(__xludf.DUMMYFUNCTION("""COMPUTED_VALUE"""),"Kandula Sampath")</f>
        <v>Kandula Sampath</v>
      </c>
      <c r="C989" s="115" t="str">
        <f>IFERROR(__xludf.DUMMYFUNCTION("""COMPUTED_VALUE"""),"EXTERNAL")</f>
        <v>EXTERNAL</v>
      </c>
      <c r="D989" s="115">
        <f>IFERROR(__xludf.DUMMYFUNCTION("""COMPUTED_VALUE"""),38879.0)</f>
        <v>38879</v>
      </c>
      <c r="E989" s="115">
        <f>IFERROR(__xludf.DUMMYFUNCTION("""COMPUTED_VALUE"""),4434.0)</f>
        <v>4434</v>
      </c>
      <c r="F989" s="115">
        <f>IFERROR(__xludf.DUMMYFUNCTION("""COMPUTED_VALUE"""),15481.0)</f>
        <v>15481</v>
      </c>
      <c r="G989" s="115">
        <f>IFERROR(__xludf.DUMMYFUNCTION("""COMPUTED_VALUE"""),1118.0)</f>
        <v>1118</v>
      </c>
      <c r="H989" s="116">
        <f>IFERROR(__xludf.DUMMYFUNCTION("""COMPUTED_VALUE"""),45902.0)</f>
        <v>45902</v>
      </c>
      <c r="I989" s="115" t="str">
        <f>IFERROR(__xludf.DUMMYFUNCTION("""COMPUTED_VALUE"""),"19")</f>
        <v>19</v>
      </c>
      <c r="J989" s="115" t="str">
        <f>IFERROR(__xludf.DUMMYFUNCTION("""COMPUTED_VALUE"""),"Kandula Sampath2025-09-0219")</f>
        <v>Kandula Sampath2025-09-0219</v>
      </c>
      <c r="K989" s="115">
        <f>IFERROR(__xludf.DUMMYFUNCTION("""COMPUTED_VALUE"""),43313.0)</f>
        <v>43313</v>
      </c>
    </row>
    <row r="990">
      <c r="A990" s="115" t="str">
        <f>IFERROR(__xludf.DUMMYFUNCTION("""COMPUTED_VALUE"""),"SOUTH")</f>
        <v>SOUTH</v>
      </c>
      <c r="B990" s="115" t="str">
        <f>IFERROR(__xludf.DUMMYFUNCTION("""COMPUTED_VALUE"""),"Kandula Sampath")</f>
        <v>Kandula Sampath</v>
      </c>
      <c r="C990" s="115" t="str">
        <f>IFERROR(__xludf.DUMMYFUNCTION("""COMPUTED_VALUE"""),"FLIPKART")</f>
        <v>FLIPKART</v>
      </c>
      <c r="D990" s="115">
        <f>IFERROR(__xludf.DUMMYFUNCTION("""COMPUTED_VALUE"""),332474.0)</f>
        <v>332474</v>
      </c>
      <c r="E990" s="115">
        <f>IFERROR(__xludf.DUMMYFUNCTION("""COMPUTED_VALUE"""),34175.0)</f>
        <v>34175</v>
      </c>
      <c r="F990" s="115">
        <f>IFERROR(__xludf.DUMMYFUNCTION("""COMPUTED_VALUE"""),236255.0)</f>
        <v>236255</v>
      </c>
      <c r="G990" s="115">
        <f>IFERROR(__xludf.DUMMYFUNCTION("""COMPUTED_VALUE"""),17152.0)</f>
        <v>17152</v>
      </c>
      <c r="H990" s="116">
        <f>IFERROR(__xludf.DUMMYFUNCTION("""COMPUTED_VALUE"""),45902.0)</f>
        <v>45902</v>
      </c>
      <c r="I990" s="115" t="str">
        <f>IFERROR(__xludf.DUMMYFUNCTION("""COMPUTED_VALUE"""),"19")</f>
        <v>19</v>
      </c>
      <c r="J990" s="115" t="str">
        <f>IFERROR(__xludf.DUMMYFUNCTION("""COMPUTED_VALUE"""),"Kandula Sampath2025-09-0219")</f>
        <v>Kandula Sampath2025-09-0219</v>
      </c>
      <c r="K990" s="115">
        <f>IFERROR(__xludf.DUMMYFUNCTION("""COMPUTED_VALUE"""),366649.0)</f>
        <v>366649</v>
      </c>
    </row>
    <row r="991">
      <c r="A991" s="115" t="str">
        <f>IFERROR(__xludf.DUMMYFUNCTION("""COMPUTED_VALUE"""),"SOUTH")</f>
        <v>SOUTH</v>
      </c>
      <c r="B991" s="115" t="str">
        <f>IFERROR(__xludf.DUMMYFUNCTION("""COMPUTED_VALUE"""),"Kandula Sampath")</f>
        <v>Kandula Sampath</v>
      </c>
      <c r="C991" s="115" t="str">
        <f>IFERROR(__xludf.DUMMYFUNCTION("""COMPUTED_VALUE"""),"MYNTRA")</f>
        <v>MYNTRA</v>
      </c>
      <c r="D991" s="115">
        <f>IFERROR(__xludf.DUMMYFUNCTION("""COMPUTED_VALUE"""),33977.0)</f>
        <v>33977</v>
      </c>
      <c r="E991" s="115">
        <f>IFERROR(__xludf.DUMMYFUNCTION("""COMPUTED_VALUE"""),8410.0)</f>
        <v>8410</v>
      </c>
      <c r="F991" s="115">
        <f>IFERROR(__xludf.DUMMYFUNCTION("""COMPUTED_VALUE"""),26656.0)</f>
        <v>26656</v>
      </c>
      <c r="G991" s="115">
        <f>IFERROR(__xludf.DUMMYFUNCTION("""COMPUTED_VALUE"""),4165.0)</f>
        <v>4165</v>
      </c>
      <c r="H991" s="116">
        <f>IFERROR(__xludf.DUMMYFUNCTION("""COMPUTED_VALUE"""),45902.0)</f>
        <v>45902</v>
      </c>
      <c r="I991" s="115" t="str">
        <f>IFERROR(__xludf.DUMMYFUNCTION("""COMPUTED_VALUE"""),"19")</f>
        <v>19</v>
      </c>
      <c r="J991" s="115" t="str">
        <f>IFERROR(__xludf.DUMMYFUNCTION("""COMPUTED_VALUE"""),"Kandula Sampath2025-09-0219")</f>
        <v>Kandula Sampath2025-09-0219</v>
      </c>
      <c r="K991" s="115">
        <f>IFERROR(__xludf.DUMMYFUNCTION("""COMPUTED_VALUE"""),42387.0)</f>
        <v>42387</v>
      </c>
    </row>
    <row r="992">
      <c r="A992" s="115" t="str">
        <f>IFERROR(__xludf.DUMMYFUNCTION("""COMPUTED_VALUE"""),"SOUTH")</f>
        <v>SOUTH</v>
      </c>
      <c r="B992" s="115" t="str">
        <f>IFERROR(__xludf.DUMMYFUNCTION("""COMPUTED_VALUE"""),"Martin A")</f>
        <v>Martin A</v>
      </c>
      <c r="C992" s="115" t="str">
        <f>IFERROR(__xludf.DUMMYFUNCTION("""COMPUTED_VALUE"""),"EXTERNAL")</f>
        <v>EXTERNAL</v>
      </c>
      <c r="D992" s="115">
        <f>IFERROR(__xludf.DUMMYFUNCTION("""COMPUTED_VALUE"""),38970.0)</f>
        <v>38970</v>
      </c>
      <c r="E992" s="115">
        <f>IFERROR(__xludf.DUMMYFUNCTION("""COMPUTED_VALUE"""),2691.0)</f>
        <v>2691</v>
      </c>
      <c r="F992" s="115">
        <f>IFERROR(__xludf.DUMMYFUNCTION("""COMPUTED_VALUE"""),15789.0)</f>
        <v>15789</v>
      </c>
      <c r="G992" s="115">
        <f>IFERROR(__xludf.DUMMYFUNCTION("""COMPUTED_VALUE"""),958.0)</f>
        <v>958</v>
      </c>
      <c r="H992" s="116">
        <f>IFERROR(__xludf.DUMMYFUNCTION("""COMPUTED_VALUE"""),45902.0)</f>
        <v>45902</v>
      </c>
      <c r="I992" s="115" t="str">
        <f>IFERROR(__xludf.DUMMYFUNCTION("""COMPUTED_VALUE"""),"19")</f>
        <v>19</v>
      </c>
      <c r="J992" s="115" t="str">
        <f>IFERROR(__xludf.DUMMYFUNCTION("""COMPUTED_VALUE"""),"Martin A2025-09-0219")</f>
        <v>Martin A2025-09-0219</v>
      </c>
      <c r="K992" s="115">
        <f>IFERROR(__xludf.DUMMYFUNCTION("""COMPUTED_VALUE"""),41661.0)</f>
        <v>41661</v>
      </c>
    </row>
    <row r="993">
      <c r="A993" s="115" t="str">
        <f>IFERROR(__xludf.DUMMYFUNCTION("""COMPUTED_VALUE"""),"SOUTH")</f>
        <v>SOUTH</v>
      </c>
      <c r="B993" s="115" t="str">
        <f>IFERROR(__xludf.DUMMYFUNCTION("""COMPUTED_VALUE"""),"Martin A")</f>
        <v>Martin A</v>
      </c>
      <c r="C993" s="115" t="str">
        <f>IFERROR(__xludf.DUMMYFUNCTION("""COMPUTED_VALUE"""),"FLIPKART")</f>
        <v>FLIPKART</v>
      </c>
      <c r="D993" s="115">
        <f>IFERROR(__xludf.DUMMYFUNCTION("""COMPUTED_VALUE"""),295727.0)</f>
        <v>295727</v>
      </c>
      <c r="E993" s="115">
        <f>IFERROR(__xludf.DUMMYFUNCTION("""COMPUTED_VALUE"""),29784.0)</f>
        <v>29784</v>
      </c>
      <c r="F993" s="115">
        <f>IFERROR(__xludf.DUMMYFUNCTION("""COMPUTED_VALUE"""),208816.0)</f>
        <v>208816</v>
      </c>
      <c r="G993" s="115">
        <f>IFERROR(__xludf.DUMMYFUNCTION("""COMPUTED_VALUE"""),16880.0)</f>
        <v>16880</v>
      </c>
      <c r="H993" s="116">
        <f>IFERROR(__xludf.DUMMYFUNCTION("""COMPUTED_VALUE"""),45902.0)</f>
        <v>45902</v>
      </c>
      <c r="I993" s="115" t="str">
        <f>IFERROR(__xludf.DUMMYFUNCTION("""COMPUTED_VALUE"""),"19")</f>
        <v>19</v>
      </c>
      <c r="J993" s="115" t="str">
        <f>IFERROR(__xludf.DUMMYFUNCTION("""COMPUTED_VALUE"""),"Martin A2025-09-0219")</f>
        <v>Martin A2025-09-0219</v>
      </c>
      <c r="K993" s="115">
        <f>IFERROR(__xludf.DUMMYFUNCTION("""COMPUTED_VALUE"""),325511.0)</f>
        <v>325511</v>
      </c>
    </row>
    <row r="994">
      <c r="A994" s="115" t="str">
        <f>IFERROR(__xludf.DUMMYFUNCTION("""COMPUTED_VALUE"""),"SOUTH")</f>
        <v>SOUTH</v>
      </c>
      <c r="B994" s="115" t="str">
        <f>IFERROR(__xludf.DUMMYFUNCTION("""COMPUTED_VALUE"""),"Martin A")</f>
        <v>Martin A</v>
      </c>
      <c r="C994" s="115" t="str">
        <f>IFERROR(__xludf.DUMMYFUNCTION("""COMPUTED_VALUE"""),"MYNTRA")</f>
        <v>MYNTRA</v>
      </c>
      <c r="D994" s="115">
        <f>IFERROR(__xludf.DUMMYFUNCTION("""COMPUTED_VALUE"""),27943.0)</f>
        <v>27943</v>
      </c>
      <c r="E994" s="115">
        <f>IFERROR(__xludf.DUMMYFUNCTION("""COMPUTED_VALUE"""),6956.0)</f>
        <v>6956</v>
      </c>
      <c r="F994" s="115">
        <f>IFERROR(__xludf.DUMMYFUNCTION("""COMPUTED_VALUE"""),22367.0)</f>
        <v>22367</v>
      </c>
      <c r="G994" s="115">
        <f>IFERROR(__xludf.DUMMYFUNCTION("""COMPUTED_VALUE"""),4166.0)</f>
        <v>4166</v>
      </c>
      <c r="H994" s="116">
        <f>IFERROR(__xludf.DUMMYFUNCTION("""COMPUTED_VALUE"""),45902.0)</f>
        <v>45902</v>
      </c>
      <c r="I994" s="115" t="str">
        <f>IFERROR(__xludf.DUMMYFUNCTION("""COMPUTED_VALUE"""),"19")</f>
        <v>19</v>
      </c>
      <c r="J994" s="115" t="str">
        <f>IFERROR(__xludf.DUMMYFUNCTION("""COMPUTED_VALUE"""),"Martin A2025-09-0219")</f>
        <v>Martin A2025-09-0219</v>
      </c>
      <c r="K994" s="115">
        <f>IFERROR(__xludf.DUMMYFUNCTION("""COMPUTED_VALUE"""),34899.0)</f>
        <v>34899</v>
      </c>
    </row>
    <row r="995">
      <c r="A995" s="115" t="str">
        <f>IFERROR(__xludf.DUMMYFUNCTION("""COMPUTED_VALUE"""),"SOUTH")</f>
        <v>SOUTH</v>
      </c>
      <c r="B995" s="115" t="str">
        <f>IFERROR(__xludf.DUMMYFUNCTION("""COMPUTED_VALUE"""),"Premkumar M")</f>
        <v>Premkumar M</v>
      </c>
      <c r="C995" s="115" t="str">
        <f>IFERROR(__xludf.DUMMYFUNCTION("""COMPUTED_VALUE"""),"EXTERNAL")</f>
        <v>EXTERNAL</v>
      </c>
      <c r="D995" s="115">
        <f>IFERROR(__xludf.DUMMYFUNCTION("""COMPUTED_VALUE"""),31726.0)</f>
        <v>31726</v>
      </c>
      <c r="E995" s="115">
        <f>IFERROR(__xludf.DUMMYFUNCTION("""COMPUTED_VALUE"""),2290.0)</f>
        <v>2290</v>
      </c>
      <c r="F995" s="115">
        <f>IFERROR(__xludf.DUMMYFUNCTION("""COMPUTED_VALUE"""),14611.0)</f>
        <v>14611</v>
      </c>
      <c r="G995" s="115">
        <f>IFERROR(__xludf.DUMMYFUNCTION("""COMPUTED_VALUE"""),520.0)</f>
        <v>520</v>
      </c>
      <c r="H995" s="116">
        <f>IFERROR(__xludf.DUMMYFUNCTION("""COMPUTED_VALUE"""),45902.0)</f>
        <v>45902</v>
      </c>
      <c r="I995" s="115" t="str">
        <f>IFERROR(__xludf.DUMMYFUNCTION("""COMPUTED_VALUE"""),"19")</f>
        <v>19</v>
      </c>
      <c r="J995" s="115" t="str">
        <f>IFERROR(__xludf.DUMMYFUNCTION("""COMPUTED_VALUE"""),"Premkumar M2025-09-0219")</f>
        <v>Premkumar M2025-09-0219</v>
      </c>
      <c r="K995" s="115">
        <f>IFERROR(__xludf.DUMMYFUNCTION("""COMPUTED_VALUE"""),34016.0)</f>
        <v>34016</v>
      </c>
    </row>
    <row r="996">
      <c r="A996" s="115" t="str">
        <f>IFERROR(__xludf.DUMMYFUNCTION("""COMPUTED_VALUE"""),"SOUTH")</f>
        <v>SOUTH</v>
      </c>
      <c r="B996" s="115" t="str">
        <f>IFERROR(__xludf.DUMMYFUNCTION("""COMPUTED_VALUE"""),"Premkumar M")</f>
        <v>Premkumar M</v>
      </c>
      <c r="C996" s="115" t="str">
        <f>IFERROR(__xludf.DUMMYFUNCTION("""COMPUTED_VALUE"""),"FLIPKART")</f>
        <v>FLIPKART</v>
      </c>
      <c r="D996" s="115">
        <f>IFERROR(__xludf.DUMMYFUNCTION("""COMPUTED_VALUE"""),283775.0)</f>
        <v>283775</v>
      </c>
      <c r="E996" s="115">
        <f>IFERROR(__xludf.DUMMYFUNCTION("""COMPUTED_VALUE"""),21188.0)</f>
        <v>21188</v>
      </c>
      <c r="F996" s="115">
        <f>IFERROR(__xludf.DUMMYFUNCTION("""COMPUTED_VALUE"""),204700.0)</f>
        <v>204700</v>
      </c>
      <c r="G996" s="115">
        <f>IFERROR(__xludf.DUMMYFUNCTION("""COMPUTED_VALUE"""),8239.0)</f>
        <v>8239</v>
      </c>
      <c r="H996" s="116">
        <f>IFERROR(__xludf.DUMMYFUNCTION("""COMPUTED_VALUE"""),45902.0)</f>
        <v>45902</v>
      </c>
      <c r="I996" s="115" t="str">
        <f>IFERROR(__xludf.DUMMYFUNCTION("""COMPUTED_VALUE"""),"19")</f>
        <v>19</v>
      </c>
      <c r="J996" s="115" t="str">
        <f>IFERROR(__xludf.DUMMYFUNCTION("""COMPUTED_VALUE"""),"Premkumar M2025-09-0219")</f>
        <v>Premkumar M2025-09-0219</v>
      </c>
      <c r="K996" s="115">
        <f>IFERROR(__xludf.DUMMYFUNCTION("""COMPUTED_VALUE"""),304963.0)</f>
        <v>304963</v>
      </c>
    </row>
    <row r="997">
      <c r="A997" s="115" t="str">
        <f>IFERROR(__xludf.DUMMYFUNCTION("""COMPUTED_VALUE"""),"SOUTH")</f>
        <v>SOUTH</v>
      </c>
      <c r="B997" s="115" t="str">
        <f>IFERROR(__xludf.DUMMYFUNCTION("""COMPUTED_VALUE"""),"Premkumar M")</f>
        <v>Premkumar M</v>
      </c>
      <c r="C997" s="115" t="str">
        <f>IFERROR(__xludf.DUMMYFUNCTION("""COMPUTED_VALUE"""),"MYNTRA")</f>
        <v>MYNTRA</v>
      </c>
      <c r="D997" s="115">
        <f>IFERROR(__xludf.DUMMYFUNCTION("""COMPUTED_VALUE"""),15778.0)</f>
        <v>15778</v>
      </c>
      <c r="E997" s="115">
        <f>IFERROR(__xludf.DUMMYFUNCTION("""COMPUTED_VALUE"""),3204.0)</f>
        <v>3204</v>
      </c>
      <c r="F997" s="115">
        <f>IFERROR(__xludf.DUMMYFUNCTION("""COMPUTED_VALUE"""),12678.0)</f>
        <v>12678</v>
      </c>
      <c r="G997" s="115">
        <f>IFERROR(__xludf.DUMMYFUNCTION("""COMPUTED_VALUE"""),1353.0)</f>
        <v>1353</v>
      </c>
      <c r="H997" s="116">
        <f>IFERROR(__xludf.DUMMYFUNCTION("""COMPUTED_VALUE"""),45902.0)</f>
        <v>45902</v>
      </c>
      <c r="I997" s="115" t="str">
        <f>IFERROR(__xludf.DUMMYFUNCTION("""COMPUTED_VALUE"""),"19")</f>
        <v>19</v>
      </c>
      <c r="J997" s="115" t="str">
        <f>IFERROR(__xludf.DUMMYFUNCTION("""COMPUTED_VALUE"""),"Premkumar M2025-09-0219")</f>
        <v>Premkumar M2025-09-0219</v>
      </c>
      <c r="K997" s="115">
        <f>IFERROR(__xludf.DUMMYFUNCTION("""COMPUTED_VALUE"""),18982.0)</f>
        <v>18982</v>
      </c>
    </row>
    <row r="998">
      <c r="A998" s="115" t="str">
        <f>IFERROR(__xludf.DUMMYFUNCTION("""COMPUTED_VALUE"""),"SOUTH")</f>
        <v>SOUTH</v>
      </c>
      <c r="B998" s="115" t="str">
        <f>IFERROR(__xludf.DUMMYFUNCTION("""COMPUTED_VALUE"""),"Vineeth V")</f>
        <v>Vineeth V</v>
      </c>
      <c r="C998" s="115" t="str">
        <f>IFERROR(__xludf.DUMMYFUNCTION("""COMPUTED_VALUE"""),"EXTERNAL")</f>
        <v>EXTERNAL</v>
      </c>
      <c r="D998" s="115">
        <f>IFERROR(__xludf.DUMMYFUNCTION("""COMPUTED_VALUE"""),22236.0)</f>
        <v>22236</v>
      </c>
      <c r="E998" s="115">
        <f>IFERROR(__xludf.DUMMYFUNCTION("""COMPUTED_VALUE"""),612.0)</f>
        <v>612</v>
      </c>
      <c r="F998" s="115">
        <f>IFERROR(__xludf.DUMMYFUNCTION("""COMPUTED_VALUE"""),11472.0)</f>
        <v>11472</v>
      </c>
      <c r="G998" s="115">
        <f>IFERROR(__xludf.DUMMYFUNCTION("""COMPUTED_VALUE"""),221.0)</f>
        <v>221</v>
      </c>
      <c r="H998" s="116">
        <f>IFERROR(__xludf.DUMMYFUNCTION("""COMPUTED_VALUE"""),45902.0)</f>
        <v>45902</v>
      </c>
      <c r="I998" s="115" t="str">
        <f>IFERROR(__xludf.DUMMYFUNCTION("""COMPUTED_VALUE"""),"19")</f>
        <v>19</v>
      </c>
      <c r="J998" s="115" t="str">
        <f>IFERROR(__xludf.DUMMYFUNCTION("""COMPUTED_VALUE"""),"Vineeth V2025-09-0219")</f>
        <v>Vineeth V2025-09-0219</v>
      </c>
      <c r="K998" s="115">
        <f>IFERROR(__xludf.DUMMYFUNCTION("""COMPUTED_VALUE"""),22848.0)</f>
        <v>22848</v>
      </c>
    </row>
    <row r="999">
      <c r="A999" s="115" t="str">
        <f>IFERROR(__xludf.DUMMYFUNCTION("""COMPUTED_VALUE"""),"SOUTH")</f>
        <v>SOUTH</v>
      </c>
      <c r="B999" s="115" t="str">
        <f>IFERROR(__xludf.DUMMYFUNCTION("""COMPUTED_VALUE"""),"Vineeth V")</f>
        <v>Vineeth V</v>
      </c>
      <c r="C999" s="115" t="str">
        <f>IFERROR(__xludf.DUMMYFUNCTION("""COMPUTED_VALUE"""),"FLIPKART")</f>
        <v>FLIPKART</v>
      </c>
      <c r="D999" s="115">
        <f>IFERROR(__xludf.DUMMYFUNCTION("""COMPUTED_VALUE"""),246336.0)</f>
        <v>246336</v>
      </c>
      <c r="E999" s="115">
        <f>IFERROR(__xludf.DUMMYFUNCTION("""COMPUTED_VALUE"""),18421.0)</f>
        <v>18421</v>
      </c>
      <c r="F999" s="115">
        <f>IFERROR(__xludf.DUMMYFUNCTION("""COMPUTED_VALUE"""),195454.0)</f>
        <v>195454</v>
      </c>
      <c r="G999" s="115">
        <f>IFERROR(__xludf.DUMMYFUNCTION("""COMPUTED_VALUE"""),8322.0)</f>
        <v>8322</v>
      </c>
      <c r="H999" s="116">
        <f>IFERROR(__xludf.DUMMYFUNCTION("""COMPUTED_VALUE"""),45902.0)</f>
        <v>45902</v>
      </c>
      <c r="I999" s="115" t="str">
        <f>IFERROR(__xludf.DUMMYFUNCTION("""COMPUTED_VALUE"""),"19")</f>
        <v>19</v>
      </c>
      <c r="J999" s="115" t="str">
        <f>IFERROR(__xludf.DUMMYFUNCTION("""COMPUTED_VALUE"""),"Vineeth V2025-09-0219")</f>
        <v>Vineeth V2025-09-0219</v>
      </c>
      <c r="K999" s="115">
        <f>IFERROR(__xludf.DUMMYFUNCTION("""COMPUTED_VALUE"""),264757.0)</f>
        <v>264757</v>
      </c>
    </row>
    <row r="1000">
      <c r="A1000" s="115" t="str">
        <f>IFERROR(__xludf.DUMMYFUNCTION("""COMPUTED_VALUE"""),"SOUTH")</f>
        <v>SOUTH</v>
      </c>
      <c r="B1000" s="115" t="str">
        <f>IFERROR(__xludf.DUMMYFUNCTION("""COMPUTED_VALUE"""),"Vineeth V")</f>
        <v>Vineeth V</v>
      </c>
      <c r="C1000" s="115" t="str">
        <f>IFERROR(__xludf.DUMMYFUNCTION("""COMPUTED_VALUE"""),"MYNTRA")</f>
        <v>MYNTRA</v>
      </c>
      <c r="D1000" s="115">
        <f>IFERROR(__xludf.DUMMYFUNCTION("""COMPUTED_VALUE"""),22098.0)</f>
        <v>22098</v>
      </c>
      <c r="E1000" s="115">
        <f>IFERROR(__xludf.DUMMYFUNCTION("""COMPUTED_VALUE"""),4237.0)</f>
        <v>4237</v>
      </c>
      <c r="F1000" s="115">
        <f>IFERROR(__xludf.DUMMYFUNCTION("""COMPUTED_VALUE"""),18665.0)</f>
        <v>18665</v>
      </c>
      <c r="G1000" s="115">
        <f>IFERROR(__xludf.DUMMYFUNCTION("""COMPUTED_VALUE"""),2022.0)</f>
        <v>2022</v>
      </c>
      <c r="H1000" s="116">
        <f>IFERROR(__xludf.DUMMYFUNCTION("""COMPUTED_VALUE"""),45902.0)</f>
        <v>45902</v>
      </c>
      <c r="I1000" s="115" t="str">
        <f>IFERROR(__xludf.DUMMYFUNCTION("""COMPUTED_VALUE"""),"19")</f>
        <v>19</v>
      </c>
      <c r="J1000" s="115" t="str">
        <f>IFERROR(__xludf.DUMMYFUNCTION("""COMPUTED_VALUE"""),"Vineeth V2025-09-0219")</f>
        <v>Vineeth V2025-09-0219</v>
      </c>
      <c r="K1000" s="115">
        <f>IFERROR(__xludf.DUMMYFUNCTION("""COMPUTED_VALUE"""),26335.0)</f>
        <v>26335</v>
      </c>
    </row>
    <row r="1001">
      <c r="A1001" s="115" t="str">
        <f>IFERROR(__xludf.DUMMYFUNCTION("""COMPUTED_VALUE"""),"WEST")</f>
        <v>WEST</v>
      </c>
      <c r="B1001" s="115" t="str">
        <f>IFERROR(__xludf.DUMMYFUNCTION("""COMPUTED_VALUE"""),"Ashish Jakar")</f>
        <v>Ashish Jakar</v>
      </c>
      <c r="C1001" s="115" t="str">
        <f>IFERROR(__xludf.DUMMYFUNCTION("""COMPUTED_VALUE"""),"EXTERNAL")</f>
        <v>EXTERNAL</v>
      </c>
      <c r="D1001" s="115">
        <f>IFERROR(__xludf.DUMMYFUNCTION("""COMPUTED_VALUE"""),60036.0)</f>
        <v>60036</v>
      </c>
      <c r="E1001" s="115">
        <f>IFERROR(__xludf.DUMMYFUNCTION("""COMPUTED_VALUE"""),6217.0)</f>
        <v>6217</v>
      </c>
      <c r="F1001" s="115">
        <f>IFERROR(__xludf.DUMMYFUNCTION("""COMPUTED_VALUE"""),23154.0)</f>
        <v>23154</v>
      </c>
      <c r="G1001" s="115">
        <f>IFERROR(__xludf.DUMMYFUNCTION("""COMPUTED_VALUE"""),2091.0)</f>
        <v>2091</v>
      </c>
      <c r="H1001" s="116">
        <f>IFERROR(__xludf.DUMMYFUNCTION("""COMPUTED_VALUE"""),45902.0)</f>
        <v>45902</v>
      </c>
      <c r="I1001" s="115" t="str">
        <f>IFERROR(__xludf.DUMMYFUNCTION("""COMPUTED_VALUE"""),"19")</f>
        <v>19</v>
      </c>
      <c r="J1001" s="115" t="str">
        <f>IFERROR(__xludf.DUMMYFUNCTION("""COMPUTED_VALUE"""),"Ashish Jakar2025-09-0219")</f>
        <v>Ashish Jakar2025-09-0219</v>
      </c>
      <c r="K1001" s="115">
        <f>IFERROR(__xludf.DUMMYFUNCTION("""COMPUTED_VALUE"""),66253.0)</f>
        <v>66253</v>
      </c>
    </row>
    <row r="1002">
      <c r="A1002" s="115" t="str">
        <f>IFERROR(__xludf.DUMMYFUNCTION("""COMPUTED_VALUE"""),"WEST")</f>
        <v>WEST</v>
      </c>
      <c r="B1002" s="115" t="str">
        <f>IFERROR(__xludf.DUMMYFUNCTION("""COMPUTED_VALUE"""),"Ashish Jakar")</f>
        <v>Ashish Jakar</v>
      </c>
      <c r="C1002" s="115" t="str">
        <f>IFERROR(__xludf.DUMMYFUNCTION("""COMPUTED_VALUE"""),"FLIPKART")</f>
        <v>FLIPKART</v>
      </c>
      <c r="D1002" s="115">
        <f>IFERROR(__xludf.DUMMYFUNCTION("""COMPUTED_VALUE"""),324162.0)</f>
        <v>324162</v>
      </c>
      <c r="E1002" s="115">
        <f>IFERROR(__xludf.DUMMYFUNCTION("""COMPUTED_VALUE"""),33289.0)</f>
        <v>33289</v>
      </c>
      <c r="F1002" s="115">
        <f>IFERROR(__xludf.DUMMYFUNCTION("""COMPUTED_VALUE"""),226262.0)</f>
        <v>226262</v>
      </c>
      <c r="G1002" s="115">
        <f>IFERROR(__xludf.DUMMYFUNCTION("""COMPUTED_VALUE"""),17983.0)</f>
        <v>17983</v>
      </c>
      <c r="H1002" s="116">
        <f>IFERROR(__xludf.DUMMYFUNCTION("""COMPUTED_VALUE"""),45902.0)</f>
        <v>45902</v>
      </c>
      <c r="I1002" s="115" t="str">
        <f>IFERROR(__xludf.DUMMYFUNCTION("""COMPUTED_VALUE"""),"19")</f>
        <v>19</v>
      </c>
      <c r="J1002" s="115" t="str">
        <f>IFERROR(__xludf.DUMMYFUNCTION("""COMPUTED_VALUE"""),"Ashish Jakar2025-09-0219")</f>
        <v>Ashish Jakar2025-09-0219</v>
      </c>
      <c r="K1002" s="115">
        <f>IFERROR(__xludf.DUMMYFUNCTION("""COMPUTED_VALUE"""),357451.0)</f>
        <v>357451</v>
      </c>
    </row>
    <row r="1003">
      <c r="A1003" s="115" t="str">
        <f>IFERROR(__xludf.DUMMYFUNCTION("""COMPUTED_VALUE"""),"WEST")</f>
        <v>WEST</v>
      </c>
      <c r="B1003" s="115" t="str">
        <f>IFERROR(__xludf.DUMMYFUNCTION("""COMPUTED_VALUE"""),"Ashish Jakar")</f>
        <v>Ashish Jakar</v>
      </c>
      <c r="C1003" s="115" t="str">
        <f>IFERROR(__xludf.DUMMYFUNCTION("""COMPUTED_VALUE"""),"MYNTRA")</f>
        <v>MYNTRA</v>
      </c>
      <c r="D1003" s="115">
        <f>IFERROR(__xludf.DUMMYFUNCTION("""COMPUTED_VALUE"""),39067.0)</f>
        <v>39067</v>
      </c>
      <c r="E1003" s="115">
        <f>IFERROR(__xludf.DUMMYFUNCTION("""COMPUTED_VALUE"""),11027.0)</f>
        <v>11027</v>
      </c>
      <c r="F1003" s="115">
        <f>IFERROR(__xludf.DUMMYFUNCTION("""COMPUTED_VALUE"""),31077.0)</f>
        <v>31077</v>
      </c>
      <c r="G1003" s="115">
        <f>IFERROR(__xludf.DUMMYFUNCTION("""COMPUTED_VALUE"""),6288.0)</f>
        <v>6288</v>
      </c>
      <c r="H1003" s="116">
        <f>IFERROR(__xludf.DUMMYFUNCTION("""COMPUTED_VALUE"""),45902.0)</f>
        <v>45902</v>
      </c>
      <c r="I1003" s="115" t="str">
        <f>IFERROR(__xludf.DUMMYFUNCTION("""COMPUTED_VALUE"""),"19")</f>
        <v>19</v>
      </c>
      <c r="J1003" s="115" t="str">
        <f>IFERROR(__xludf.DUMMYFUNCTION("""COMPUTED_VALUE"""),"Ashish Jakar2025-09-0219")</f>
        <v>Ashish Jakar2025-09-0219</v>
      </c>
      <c r="K1003" s="115">
        <f>IFERROR(__xludf.DUMMYFUNCTION("""COMPUTED_VALUE"""),50094.0)</f>
        <v>50094</v>
      </c>
    </row>
    <row r="1004">
      <c r="A1004" s="115" t="str">
        <f>IFERROR(__xludf.DUMMYFUNCTION("""COMPUTED_VALUE"""),"WEST")</f>
        <v>WEST</v>
      </c>
      <c r="B1004" s="115" t="str">
        <f>IFERROR(__xludf.DUMMYFUNCTION("""COMPUTED_VALUE"""),"Ashvani Bhatt")</f>
        <v>Ashvani Bhatt</v>
      </c>
      <c r="C1004" s="115" t="str">
        <f>IFERROR(__xludf.DUMMYFUNCTION("""COMPUTED_VALUE"""),"EXTERNAL")</f>
        <v>EXTERNAL</v>
      </c>
      <c r="D1004" s="115">
        <f>IFERROR(__xludf.DUMMYFUNCTION("""COMPUTED_VALUE"""),37935.0)</f>
        <v>37935</v>
      </c>
      <c r="E1004" s="115">
        <f>IFERROR(__xludf.DUMMYFUNCTION("""COMPUTED_VALUE"""),3731.0)</f>
        <v>3731</v>
      </c>
      <c r="F1004" s="115">
        <f>IFERROR(__xludf.DUMMYFUNCTION("""COMPUTED_VALUE"""),15164.0)</f>
        <v>15164</v>
      </c>
      <c r="G1004" s="115">
        <f>IFERROR(__xludf.DUMMYFUNCTION("""COMPUTED_VALUE"""),1073.0)</f>
        <v>1073</v>
      </c>
      <c r="H1004" s="116">
        <f>IFERROR(__xludf.DUMMYFUNCTION("""COMPUTED_VALUE"""),45902.0)</f>
        <v>45902</v>
      </c>
      <c r="I1004" s="115" t="str">
        <f>IFERROR(__xludf.DUMMYFUNCTION("""COMPUTED_VALUE"""),"19")</f>
        <v>19</v>
      </c>
      <c r="J1004" s="115" t="str">
        <f>IFERROR(__xludf.DUMMYFUNCTION("""COMPUTED_VALUE"""),"Ashvani Bhatt2025-09-0219")</f>
        <v>Ashvani Bhatt2025-09-0219</v>
      </c>
      <c r="K1004" s="115">
        <f>IFERROR(__xludf.DUMMYFUNCTION("""COMPUTED_VALUE"""),41666.0)</f>
        <v>41666</v>
      </c>
    </row>
    <row r="1005">
      <c r="A1005" s="115" t="str">
        <f>IFERROR(__xludf.DUMMYFUNCTION("""COMPUTED_VALUE"""),"WEST")</f>
        <v>WEST</v>
      </c>
      <c r="B1005" s="115" t="str">
        <f>IFERROR(__xludf.DUMMYFUNCTION("""COMPUTED_VALUE"""),"Ashvani Bhatt")</f>
        <v>Ashvani Bhatt</v>
      </c>
      <c r="C1005" s="115" t="str">
        <f>IFERROR(__xludf.DUMMYFUNCTION("""COMPUTED_VALUE"""),"FLIPKART")</f>
        <v>FLIPKART</v>
      </c>
      <c r="D1005" s="115">
        <f>IFERROR(__xludf.DUMMYFUNCTION("""COMPUTED_VALUE"""),267325.0)</f>
        <v>267325</v>
      </c>
      <c r="E1005" s="115">
        <f>IFERROR(__xludf.DUMMYFUNCTION("""COMPUTED_VALUE"""),29781.0)</f>
        <v>29781</v>
      </c>
      <c r="F1005" s="115">
        <f>IFERROR(__xludf.DUMMYFUNCTION("""COMPUTED_VALUE"""),196618.0)</f>
        <v>196618</v>
      </c>
      <c r="G1005" s="115">
        <f>IFERROR(__xludf.DUMMYFUNCTION("""COMPUTED_VALUE"""),17534.0)</f>
        <v>17534</v>
      </c>
      <c r="H1005" s="116">
        <f>IFERROR(__xludf.DUMMYFUNCTION("""COMPUTED_VALUE"""),45902.0)</f>
        <v>45902</v>
      </c>
      <c r="I1005" s="115" t="str">
        <f>IFERROR(__xludf.DUMMYFUNCTION("""COMPUTED_VALUE"""),"19")</f>
        <v>19</v>
      </c>
      <c r="J1005" s="115" t="str">
        <f>IFERROR(__xludf.DUMMYFUNCTION("""COMPUTED_VALUE"""),"Ashvani Bhatt2025-09-0219")</f>
        <v>Ashvani Bhatt2025-09-0219</v>
      </c>
      <c r="K1005" s="115">
        <f>IFERROR(__xludf.DUMMYFUNCTION("""COMPUTED_VALUE"""),297106.0)</f>
        <v>297106</v>
      </c>
    </row>
    <row r="1006">
      <c r="A1006" s="115" t="str">
        <f>IFERROR(__xludf.DUMMYFUNCTION("""COMPUTED_VALUE"""),"WEST")</f>
        <v>WEST</v>
      </c>
      <c r="B1006" s="115" t="str">
        <f>IFERROR(__xludf.DUMMYFUNCTION("""COMPUTED_VALUE"""),"Ashvani Bhatt")</f>
        <v>Ashvani Bhatt</v>
      </c>
      <c r="C1006" s="115" t="str">
        <f>IFERROR(__xludf.DUMMYFUNCTION("""COMPUTED_VALUE"""),"MYNTRA")</f>
        <v>MYNTRA</v>
      </c>
      <c r="D1006" s="115">
        <f>IFERROR(__xludf.DUMMYFUNCTION("""COMPUTED_VALUE"""),31136.0)</f>
        <v>31136</v>
      </c>
      <c r="E1006" s="115">
        <f>IFERROR(__xludf.DUMMYFUNCTION("""COMPUTED_VALUE"""),8927.0)</f>
        <v>8927</v>
      </c>
      <c r="F1006" s="115">
        <f>IFERROR(__xludf.DUMMYFUNCTION("""COMPUTED_VALUE"""),25998.0)</f>
        <v>25998</v>
      </c>
      <c r="G1006" s="115">
        <f>IFERROR(__xludf.DUMMYFUNCTION("""COMPUTED_VALUE"""),5902.0)</f>
        <v>5902</v>
      </c>
      <c r="H1006" s="116">
        <f>IFERROR(__xludf.DUMMYFUNCTION("""COMPUTED_VALUE"""),45902.0)</f>
        <v>45902</v>
      </c>
      <c r="I1006" s="115" t="str">
        <f>IFERROR(__xludf.DUMMYFUNCTION("""COMPUTED_VALUE"""),"19")</f>
        <v>19</v>
      </c>
      <c r="J1006" s="115" t="str">
        <f>IFERROR(__xludf.DUMMYFUNCTION("""COMPUTED_VALUE"""),"Ashvani Bhatt2025-09-0219")</f>
        <v>Ashvani Bhatt2025-09-0219</v>
      </c>
      <c r="K1006" s="115">
        <f>IFERROR(__xludf.DUMMYFUNCTION("""COMPUTED_VALUE"""),40063.0)</f>
        <v>40063</v>
      </c>
    </row>
    <row r="1007">
      <c r="A1007" s="115"/>
      <c r="B1007" s="115"/>
      <c r="C1007" s="115" t="str">
        <f>IFERROR(__xludf.DUMMYFUNCTION("""COMPUTED_VALUE"""),"EXTERNAL")</f>
        <v>EXTERNAL</v>
      </c>
      <c r="D1007" s="115">
        <f>IFERROR(__xludf.DUMMYFUNCTION("""COMPUTED_VALUE"""),542.0)</f>
        <v>542</v>
      </c>
      <c r="E1007" s="115">
        <f>IFERROR(__xludf.DUMMYFUNCTION("""COMPUTED_VALUE"""),22.0)</f>
        <v>22</v>
      </c>
      <c r="F1007" s="115">
        <f>IFERROR(__xludf.DUMMYFUNCTION("""COMPUTED_VALUE"""),123.0)</f>
        <v>123</v>
      </c>
      <c r="G1007" s="115">
        <f>IFERROR(__xludf.DUMMYFUNCTION("""COMPUTED_VALUE"""),6.0)</f>
        <v>6</v>
      </c>
      <c r="H1007" s="116">
        <f>IFERROR(__xludf.DUMMYFUNCTION("""COMPUTED_VALUE"""),45902.0)</f>
        <v>45902</v>
      </c>
      <c r="I1007" s="115" t="str">
        <f>IFERROR(__xludf.DUMMYFUNCTION("""COMPUTED_VALUE"""),"19")</f>
        <v>19</v>
      </c>
      <c r="J1007" s="115" t="str">
        <f>IFERROR(__xludf.DUMMYFUNCTION("""COMPUTED_VALUE"""),"2025-09-0219")</f>
        <v>2025-09-0219</v>
      </c>
      <c r="K1007" s="115">
        <f>IFERROR(__xludf.DUMMYFUNCTION("""COMPUTED_VALUE"""),564.0)</f>
        <v>564</v>
      </c>
    </row>
    <row r="1008">
      <c r="A1008" s="115"/>
      <c r="B1008" s="115"/>
      <c r="C1008" s="115" t="str">
        <f>IFERROR(__xludf.DUMMYFUNCTION("""COMPUTED_VALUE"""),"FLIPKART")</f>
        <v>FLIPKART</v>
      </c>
      <c r="D1008" s="115">
        <f>IFERROR(__xludf.DUMMYFUNCTION("""COMPUTED_VALUE"""),3477.0)</f>
        <v>3477</v>
      </c>
      <c r="E1008" s="115">
        <f>IFERROR(__xludf.DUMMYFUNCTION("""COMPUTED_VALUE"""),250.0)</f>
        <v>250</v>
      </c>
      <c r="F1008" s="115">
        <f>IFERROR(__xludf.DUMMYFUNCTION("""COMPUTED_VALUE"""),2464.0)</f>
        <v>2464</v>
      </c>
      <c r="G1008" s="115">
        <f>IFERROR(__xludf.DUMMYFUNCTION("""COMPUTED_VALUE"""),113.0)</f>
        <v>113</v>
      </c>
      <c r="H1008" s="116">
        <f>IFERROR(__xludf.DUMMYFUNCTION("""COMPUTED_VALUE"""),45902.0)</f>
        <v>45902</v>
      </c>
      <c r="I1008" s="115" t="str">
        <f>IFERROR(__xludf.DUMMYFUNCTION("""COMPUTED_VALUE"""),"19")</f>
        <v>19</v>
      </c>
      <c r="J1008" s="115" t="str">
        <f>IFERROR(__xludf.DUMMYFUNCTION("""COMPUTED_VALUE"""),"2025-09-0219")</f>
        <v>2025-09-0219</v>
      </c>
      <c r="K1008" s="115">
        <f>IFERROR(__xludf.DUMMYFUNCTION("""COMPUTED_VALUE"""),3727.0)</f>
        <v>3727</v>
      </c>
    </row>
    <row r="1009">
      <c r="A1009" s="115"/>
      <c r="B1009" s="115"/>
      <c r="C1009" s="115" t="str">
        <f>IFERROR(__xludf.DUMMYFUNCTION("""COMPUTED_VALUE"""),"MYNTRA")</f>
        <v>MYNTRA</v>
      </c>
      <c r="D1009" s="115">
        <f>IFERROR(__xludf.DUMMYFUNCTION("""COMPUTED_VALUE"""),374.0)</f>
        <v>374</v>
      </c>
      <c r="E1009" s="115">
        <f>IFERROR(__xludf.DUMMYFUNCTION("""COMPUTED_VALUE"""),61.0)</f>
        <v>61</v>
      </c>
      <c r="F1009" s="115">
        <f>IFERROR(__xludf.DUMMYFUNCTION("""COMPUTED_VALUE"""),234.0)</f>
        <v>234</v>
      </c>
      <c r="G1009" s="115">
        <f>IFERROR(__xludf.DUMMYFUNCTION("""COMPUTED_VALUE"""),26.0)</f>
        <v>26</v>
      </c>
      <c r="H1009" s="116">
        <f>IFERROR(__xludf.DUMMYFUNCTION("""COMPUTED_VALUE"""),45902.0)</f>
        <v>45902</v>
      </c>
      <c r="I1009" s="115" t="str">
        <f>IFERROR(__xludf.DUMMYFUNCTION("""COMPUTED_VALUE"""),"19")</f>
        <v>19</v>
      </c>
      <c r="J1009" s="115" t="str">
        <f>IFERROR(__xludf.DUMMYFUNCTION("""COMPUTED_VALUE"""),"2025-09-0219")</f>
        <v>2025-09-0219</v>
      </c>
      <c r="K1009" s="115">
        <f>IFERROR(__xludf.DUMMYFUNCTION("""COMPUTED_VALUE"""),435.0)</f>
        <v>435</v>
      </c>
    </row>
    <row r="1010">
      <c r="A1010" s="115" t="str">
        <f>IFERROR(__xludf.DUMMYFUNCTION("""COMPUTED_VALUE"""),"EAST")</f>
        <v>EAST</v>
      </c>
      <c r="B1010" s="115" t="str">
        <f>IFERROR(__xludf.DUMMYFUNCTION("""COMPUTED_VALUE"""),"Ashish Ranjan")</f>
        <v>Ashish Ranjan</v>
      </c>
      <c r="C1010" s="115" t="str">
        <f>IFERROR(__xludf.DUMMYFUNCTION("""COMPUTED_VALUE"""),"EXTERNAL")</f>
        <v>EXTERNAL</v>
      </c>
      <c r="D1010" s="115">
        <f>IFERROR(__xludf.DUMMYFUNCTION("""COMPUTED_VALUE"""),40612.0)</f>
        <v>40612</v>
      </c>
      <c r="E1010" s="115">
        <f>IFERROR(__xludf.DUMMYFUNCTION("""COMPUTED_VALUE"""),2809.0)</f>
        <v>2809</v>
      </c>
      <c r="F1010" s="115">
        <f>IFERROR(__xludf.DUMMYFUNCTION("""COMPUTED_VALUE"""),21618.0)</f>
        <v>21618</v>
      </c>
      <c r="G1010" s="115">
        <f>IFERROR(__xludf.DUMMYFUNCTION("""COMPUTED_VALUE"""),1359.0)</f>
        <v>1359</v>
      </c>
      <c r="H1010" s="116">
        <f>IFERROR(__xludf.DUMMYFUNCTION("""COMPUTED_VALUE"""),45902.0)</f>
        <v>45902</v>
      </c>
      <c r="I1010" s="115" t="str">
        <f>IFERROR(__xludf.DUMMYFUNCTION("""COMPUTED_VALUE"""),"20")</f>
        <v>20</v>
      </c>
      <c r="J1010" s="115" t="str">
        <f>IFERROR(__xludf.DUMMYFUNCTION("""COMPUTED_VALUE"""),"Ashish Ranjan2025-09-0220")</f>
        <v>Ashish Ranjan2025-09-0220</v>
      </c>
      <c r="K1010" s="115">
        <f>IFERROR(__xludf.DUMMYFUNCTION("""COMPUTED_VALUE"""),43421.0)</f>
        <v>43421</v>
      </c>
    </row>
    <row r="1011">
      <c r="A1011" s="115" t="str">
        <f>IFERROR(__xludf.DUMMYFUNCTION("""COMPUTED_VALUE"""),"EAST")</f>
        <v>EAST</v>
      </c>
      <c r="B1011" s="115" t="str">
        <f>IFERROR(__xludf.DUMMYFUNCTION("""COMPUTED_VALUE"""),"Ashish Ranjan")</f>
        <v>Ashish Ranjan</v>
      </c>
      <c r="C1011" s="115" t="str">
        <f>IFERROR(__xludf.DUMMYFUNCTION("""COMPUTED_VALUE"""),"FLIPKART")</f>
        <v>FLIPKART</v>
      </c>
      <c r="D1011" s="115">
        <f>IFERROR(__xludf.DUMMYFUNCTION("""COMPUTED_VALUE"""),592841.0)</f>
        <v>592841</v>
      </c>
      <c r="E1011" s="115">
        <f>IFERROR(__xludf.DUMMYFUNCTION("""COMPUTED_VALUE"""),60577.0)</f>
        <v>60577</v>
      </c>
      <c r="F1011" s="115">
        <f>IFERROR(__xludf.DUMMYFUNCTION("""COMPUTED_VALUE"""),514763.0)</f>
        <v>514763</v>
      </c>
      <c r="G1011" s="115">
        <f>IFERROR(__xludf.DUMMYFUNCTION("""COMPUTED_VALUE"""),45750.0)</f>
        <v>45750</v>
      </c>
      <c r="H1011" s="116">
        <f>IFERROR(__xludf.DUMMYFUNCTION("""COMPUTED_VALUE"""),45902.0)</f>
        <v>45902</v>
      </c>
      <c r="I1011" s="115" t="str">
        <f>IFERROR(__xludf.DUMMYFUNCTION("""COMPUTED_VALUE"""),"20")</f>
        <v>20</v>
      </c>
      <c r="J1011" s="115" t="str">
        <f>IFERROR(__xludf.DUMMYFUNCTION("""COMPUTED_VALUE"""),"Ashish Ranjan2025-09-0220")</f>
        <v>Ashish Ranjan2025-09-0220</v>
      </c>
      <c r="K1011" s="115">
        <f>IFERROR(__xludf.DUMMYFUNCTION("""COMPUTED_VALUE"""),653418.0)</f>
        <v>653418</v>
      </c>
    </row>
    <row r="1012">
      <c r="A1012" s="115" t="str">
        <f>IFERROR(__xludf.DUMMYFUNCTION("""COMPUTED_VALUE"""),"EAST")</f>
        <v>EAST</v>
      </c>
      <c r="B1012" s="115" t="str">
        <f>IFERROR(__xludf.DUMMYFUNCTION("""COMPUTED_VALUE"""),"Ashish Ranjan")</f>
        <v>Ashish Ranjan</v>
      </c>
      <c r="C1012" s="115" t="str">
        <f>IFERROR(__xludf.DUMMYFUNCTION("""COMPUTED_VALUE"""),"MYNTRA")</f>
        <v>MYNTRA</v>
      </c>
      <c r="D1012" s="115">
        <f>IFERROR(__xludf.DUMMYFUNCTION("""COMPUTED_VALUE"""),57089.0)</f>
        <v>57089</v>
      </c>
      <c r="E1012" s="115">
        <f>IFERROR(__xludf.DUMMYFUNCTION("""COMPUTED_VALUE"""),12166.0)</f>
        <v>12166</v>
      </c>
      <c r="F1012" s="115">
        <f>IFERROR(__xludf.DUMMYFUNCTION("""COMPUTED_VALUE"""),50373.0)</f>
        <v>50373</v>
      </c>
      <c r="G1012" s="115">
        <f>IFERROR(__xludf.DUMMYFUNCTION("""COMPUTED_VALUE"""),9139.0)</f>
        <v>9139</v>
      </c>
      <c r="H1012" s="116">
        <f>IFERROR(__xludf.DUMMYFUNCTION("""COMPUTED_VALUE"""),45902.0)</f>
        <v>45902</v>
      </c>
      <c r="I1012" s="115" t="str">
        <f>IFERROR(__xludf.DUMMYFUNCTION("""COMPUTED_VALUE"""),"20")</f>
        <v>20</v>
      </c>
      <c r="J1012" s="115" t="str">
        <f>IFERROR(__xludf.DUMMYFUNCTION("""COMPUTED_VALUE"""),"Ashish Ranjan2025-09-0220")</f>
        <v>Ashish Ranjan2025-09-0220</v>
      </c>
      <c r="K1012" s="115">
        <f>IFERROR(__xludf.DUMMYFUNCTION("""COMPUTED_VALUE"""),69255.0)</f>
        <v>69255</v>
      </c>
    </row>
    <row r="1013">
      <c r="A1013" s="115" t="str">
        <f>IFERROR(__xludf.DUMMYFUNCTION("""COMPUTED_VALUE"""),"EAST")</f>
        <v>EAST</v>
      </c>
      <c r="B1013" s="115" t="str">
        <f>IFERROR(__xludf.DUMMYFUNCTION("""COMPUTED_VALUE"""),"Girish Chand")</f>
        <v>Girish Chand</v>
      </c>
      <c r="C1013" s="115" t="str">
        <f>IFERROR(__xludf.DUMMYFUNCTION("""COMPUTED_VALUE"""),"EXTERNAL")</f>
        <v>EXTERNAL</v>
      </c>
      <c r="D1013" s="115">
        <f>IFERROR(__xludf.DUMMYFUNCTION("""COMPUTED_VALUE"""),23313.0)</f>
        <v>23313</v>
      </c>
      <c r="E1013" s="115">
        <f>IFERROR(__xludf.DUMMYFUNCTION("""COMPUTED_VALUE"""),2412.0)</f>
        <v>2412</v>
      </c>
      <c r="F1013" s="115">
        <f>IFERROR(__xludf.DUMMYFUNCTION("""COMPUTED_VALUE"""),9551.0)</f>
        <v>9551</v>
      </c>
      <c r="G1013" s="115">
        <f>IFERROR(__xludf.DUMMYFUNCTION("""COMPUTED_VALUE"""),696.0)</f>
        <v>696</v>
      </c>
      <c r="H1013" s="116">
        <f>IFERROR(__xludf.DUMMYFUNCTION("""COMPUTED_VALUE"""),45902.0)</f>
        <v>45902</v>
      </c>
      <c r="I1013" s="115" t="str">
        <f>IFERROR(__xludf.DUMMYFUNCTION("""COMPUTED_VALUE"""),"20")</f>
        <v>20</v>
      </c>
      <c r="J1013" s="115" t="str">
        <f>IFERROR(__xludf.DUMMYFUNCTION("""COMPUTED_VALUE"""),"Girish Chand2025-09-0220")</f>
        <v>Girish Chand2025-09-0220</v>
      </c>
      <c r="K1013" s="115">
        <f>IFERROR(__xludf.DUMMYFUNCTION("""COMPUTED_VALUE"""),25725.0)</f>
        <v>25725</v>
      </c>
    </row>
    <row r="1014">
      <c r="A1014" s="115" t="str">
        <f>IFERROR(__xludf.DUMMYFUNCTION("""COMPUTED_VALUE"""),"EAST")</f>
        <v>EAST</v>
      </c>
      <c r="B1014" s="115" t="str">
        <f>IFERROR(__xludf.DUMMYFUNCTION("""COMPUTED_VALUE"""),"Girish Chand")</f>
        <v>Girish Chand</v>
      </c>
      <c r="C1014" s="115" t="str">
        <f>IFERROR(__xludf.DUMMYFUNCTION("""COMPUTED_VALUE"""),"FLIPKART")</f>
        <v>FLIPKART</v>
      </c>
      <c r="D1014" s="115">
        <f>IFERROR(__xludf.DUMMYFUNCTION("""COMPUTED_VALUE"""),394923.0)</f>
        <v>394923</v>
      </c>
      <c r="E1014" s="115">
        <f>IFERROR(__xludf.DUMMYFUNCTION("""COMPUTED_VALUE"""),39307.0)</f>
        <v>39307</v>
      </c>
      <c r="F1014" s="115">
        <f>IFERROR(__xludf.DUMMYFUNCTION("""COMPUTED_VALUE"""),291679.0)</f>
        <v>291679</v>
      </c>
      <c r="G1014" s="115">
        <f>IFERROR(__xludf.DUMMYFUNCTION("""COMPUTED_VALUE"""),26720.0)</f>
        <v>26720</v>
      </c>
      <c r="H1014" s="116">
        <f>IFERROR(__xludf.DUMMYFUNCTION("""COMPUTED_VALUE"""),45902.0)</f>
        <v>45902</v>
      </c>
      <c r="I1014" s="115" t="str">
        <f>IFERROR(__xludf.DUMMYFUNCTION("""COMPUTED_VALUE"""),"20")</f>
        <v>20</v>
      </c>
      <c r="J1014" s="115" t="str">
        <f>IFERROR(__xludf.DUMMYFUNCTION("""COMPUTED_VALUE"""),"Girish Chand2025-09-0220")</f>
        <v>Girish Chand2025-09-0220</v>
      </c>
      <c r="K1014" s="115">
        <f>IFERROR(__xludf.DUMMYFUNCTION("""COMPUTED_VALUE"""),434230.0)</f>
        <v>434230</v>
      </c>
    </row>
    <row r="1015">
      <c r="A1015" s="115" t="str">
        <f>IFERROR(__xludf.DUMMYFUNCTION("""COMPUTED_VALUE"""),"EAST")</f>
        <v>EAST</v>
      </c>
      <c r="B1015" s="115" t="str">
        <f>IFERROR(__xludf.DUMMYFUNCTION("""COMPUTED_VALUE"""),"Girish Chand")</f>
        <v>Girish Chand</v>
      </c>
      <c r="C1015" s="115" t="str">
        <f>IFERROR(__xludf.DUMMYFUNCTION("""COMPUTED_VALUE"""),"MYNTRA")</f>
        <v>MYNTRA</v>
      </c>
      <c r="D1015" s="115">
        <f>IFERROR(__xludf.DUMMYFUNCTION("""COMPUTED_VALUE"""),31182.0)</f>
        <v>31182</v>
      </c>
      <c r="E1015" s="115">
        <f>IFERROR(__xludf.DUMMYFUNCTION("""COMPUTED_VALUE"""),6541.0)</f>
        <v>6541</v>
      </c>
      <c r="F1015" s="115">
        <f>IFERROR(__xludf.DUMMYFUNCTION("""COMPUTED_VALUE"""),24565.0)</f>
        <v>24565</v>
      </c>
      <c r="G1015" s="115">
        <f>IFERROR(__xludf.DUMMYFUNCTION("""COMPUTED_VALUE"""),4592.0)</f>
        <v>4592</v>
      </c>
      <c r="H1015" s="116">
        <f>IFERROR(__xludf.DUMMYFUNCTION("""COMPUTED_VALUE"""),45902.0)</f>
        <v>45902</v>
      </c>
      <c r="I1015" s="115" t="str">
        <f>IFERROR(__xludf.DUMMYFUNCTION("""COMPUTED_VALUE"""),"20")</f>
        <v>20</v>
      </c>
      <c r="J1015" s="115" t="str">
        <f>IFERROR(__xludf.DUMMYFUNCTION("""COMPUTED_VALUE"""),"Girish Chand2025-09-0220")</f>
        <v>Girish Chand2025-09-0220</v>
      </c>
      <c r="K1015" s="115">
        <f>IFERROR(__xludf.DUMMYFUNCTION("""COMPUTED_VALUE"""),37723.0)</f>
        <v>37723</v>
      </c>
    </row>
    <row r="1016">
      <c r="A1016" s="115" t="str">
        <f>IFERROR(__xludf.DUMMYFUNCTION("""COMPUTED_VALUE"""),"EAST")</f>
        <v>EAST</v>
      </c>
      <c r="B1016" s="115" t="str">
        <f>IFERROR(__xludf.DUMMYFUNCTION("""COMPUTED_VALUE"""),"Parag Kashyap")</f>
        <v>Parag Kashyap</v>
      </c>
      <c r="C1016" s="115" t="str">
        <f>IFERROR(__xludf.DUMMYFUNCTION("""COMPUTED_VALUE"""),"EXTERNAL")</f>
        <v>EXTERNAL</v>
      </c>
      <c r="D1016" s="115">
        <f>IFERROR(__xludf.DUMMYFUNCTION("""COMPUTED_VALUE"""),21249.0)</f>
        <v>21249</v>
      </c>
      <c r="E1016" s="115">
        <f>IFERROR(__xludf.DUMMYFUNCTION("""COMPUTED_VALUE"""),1199.0)</f>
        <v>1199</v>
      </c>
      <c r="F1016" s="115">
        <f>IFERROR(__xludf.DUMMYFUNCTION("""COMPUTED_VALUE"""),8566.0)</f>
        <v>8566</v>
      </c>
      <c r="G1016" s="115">
        <f>IFERROR(__xludf.DUMMYFUNCTION("""COMPUTED_VALUE"""),371.0)</f>
        <v>371</v>
      </c>
      <c r="H1016" s="116">
        <f>IFERROR(__xludf.DUMMYFUNCTION("""COMPUTED_VALUE"""),45902.0)</f>
        <v>45902</v>
      </c>
      <c r="I1016" s="115" t="str">
        <f>IFERROR(__xludf.DUMMYFUNCTION("""COMPUTED_VALUE"""),"20")</f>
        <v>20</v>
      </c>
      <c r="J1016" s="115" t="str">
        <f>IFERROR(__xludf.DUMMYFUNCTION("""COMPUTED_VALUE"""),"Parag Kashyap2025-09-0220")</f>
        <v>Parag Kashyap2025-09-0220</v>
      </c>
      <c r="K1016" s="115">
        <f>IFERROR(__xludf.DUMMYFUNCTION("""COMPUTED_VALUE"""),22448.0)</f>
        <v>22448</v>
      </c>
    </row>
    <row r="1017">
      <c r="A1017" s="115" t="str">
        <f>IFERROR(__xludf.DUMMYFUNCTION("""COMPUTED_VALUE"""),"EAST")</f>
        <v>EAST</v>
      </c>
      <c r="B1017" s="115" t="str">
        <f>IFERROR(__xludf.DUMMYFUNCTION("""COMPUTED_VALUE"""),"Parag Kashyap")</f>
        <v>Parag Kashyap</v>
      </c>
      <c r="C1017" s="115" t="str">
        <f>IFERROR(__xludf.DUMMYFUNCTION("""COMPUTED_VALUE"""),"FLIPKART")</f>
        <v>FLIPKART</v>
      </c>
      <c r="D1017" s="115">
        <f>IFERROR(__xludf.DUMMYFUNCTION("""COMPUTED_VALUE"""),298525.0)</f>
        <v>298525</v>
      </c>
      <c r="E1017" s="115">
        <f>IFERROR(__xludf.DUMMYFUNCTION("""COMPUTED_VALUE"""),19817.0)</f>
        <v>19817</v>
      </c>
      <c r="F1017" s="115">
        <f>IFERROR(__xludf.DUMMYFUNCTION("""COMPUTED_VALUE"""),229493.0)</f>
        <v>229493</v>
      </c>
      <c r="G1017" s="115">
        <f>IFERROR(__xludf.DUMMYFUNCTION("""COMPUTED_VALUE"""),12898.0)</f>
        <v>12898</v>
      </c>
      <c r="H1017" s="116">
        <f>IFERROR(__xludf.DUMMYFUNCTION("""COMPUTED_VALUE"""),45902.0)</f>
        <v>45902</v>
      </c>
      <c r="I1017" s="115" t="str">
        <f>IFERROR(__xludf.DUMMYFUNCTION("""COMPUTED_VALUE"""),"20")</f>
        <v>20</v>
      </c>
      <c r="J1017" s="115" t="str">
        <f>IFERROR(__xludf.DUMMYFUNCTION("""COMPUTED_VALUE"""),"Parag Kashyap2025-09-0220")</f>
        <v>Parag Kashyap2025-09-0220</v>
      </c>
      <c r="K1017" s="115">
        <f>IFERROR(__xludf.DUMMYFUNCTION("""COMPUTED_VALUE"""),318342.0)</f>
        <v>318342</v>
      </c>
    </row>
    <row r="1018">
      <c r="A1018" s="115" t="str">
        <f>IFERROR(__xludf.DUMMYFUNCTION("""COMPUTED_VALUE"""),"EAST")</f>
        <v>EAST</v>
      </c>
      <c r="B1018" s="115" t="str">
        <f>IFERROR(__xludf.DUMMYFUNCTION("""COMPUTED_VALUE"""),"Parag Kashyap")</f>
        <v>Parag Kashyap</v>
      </c>
      <c r="C1018" s="115" t="str">
        <f>IFERROR(__xludf.DUMMYFUNCTION("""COMPUTED_VALUE"""),"MYNTRA")</f>
        <v>MYNTRA</v>
      </c>
      <c r="D1018" s="115">
        <f>IFERROR(__xludf.DUMMYFUNCTION("""COMPUTED_VALUE"""),31177.0)</f>
        <v>31177</v>
      </c>
      <c r="E1018" s="115">
        <f>IFERROR(__xludf.DUMMYFUNCTION("""COMPUTED_VALUE"""),5071.0)</f>
        <v>5071</v>
      </c>
      <c r="F1018" s="115">
        <f>IFERROR(__xludf.DUMMYFUNCTION("""COMPUTED_VALUE"""),24523.0)</f>
        <v>24523</v>
      </c>
      <c r="G1018" s="115">
        <f>IFERROR(__xludf.DUMMYFUNCTION("""COMPUTED_VALUE"""),3253.0)</f>
        <v>3253</v>
      </c>
      <c r="H1018" s="116">
        <f>IFERROR(__xludf.DUMMYFUNCTION("""COMPUTED_VALUE"""),45902.0)</f>
        <v>45902</v>
      </c>
      <c r="I1018" s="115" t="str">
        <f>IFERROR(__xludf.DUMMYFUNCTION("""COMPUTED_VALUE"""),"20")</f>
        <v>20</v>
      </c>
      <c r="J1018" s="115" t="str">
        <f>IFERROR(__xludf.DUMMYFUNCTION("""COMPUTED_VALUE"""),"Parag Kashyap2025-09-0220")</f>
        <v>Parag Kashyap2025-09-0220</v>
      </c>
      <c r="K1018" s="115">
        <f>IFERROR(__xludf.DUMMYFUNCTION("""COMPUTED_VALUE"""),36248.0)</f>
        <v>36248</v>
      </c>
    </row>
    <row r="1019">
      <c r="A1019" s="115" t="str">
        <f>IFERROR(__xludf.DUMMYFUNCTION("""COMPUTED_VALUE"""),"NORTH")</f>
        <v>NORTH</v>
      </c>
      <c r="B1019" s="115" t="str">
        <f>IFERROR(__xludf.DUMMYFUNCTION("""COMPUTED_VALUE"""),"Amit Kumar Pathak")</f>
        <v>Amit Kumar Pathak</v>
      </c>
      <c r="C1019" s="115" t="str">
        <f>IFERROR(__xludf.DUMMYFUNCTION("""COMPUTED_VALUE"""),"EXTERNAL")</f>
        <v>EXTERNAL</v>
      </c>
      <c r="D1019" s="115">
        <f>IFERROR(__xludf.DUMMYFUNCTION("""COMPUTED_VALUE"""),25587.0)</f>
        <v>25587</v>
      </c>
      <c r="E1019" s="115">
        <f>IFERROR(__xludf.DUMMYFUNCTION("""COMPUTED_VALUE"""),2213.0)</f>
        <v>2213</v>
      </c>
      <c r="F1019" s="115">
        <f>IFERROR(__xludf.DUMMYFUNCTION("""COMPUTED_VALUE"""),9246.0)</f>
        <v>9246</v>
      </c>
      <c r="G1019" s="115">
        <f>IFERROR(__xludf.DUMMYFUNCTION("""COMPUTED_VALUE"""),743.0)</f>
        <v>743</v>
      </c>
      <c r="H1019" s="116">
        <f>IFERROR(__xludf.DUMMYFUNCTION("""COMPUTED_VALUE"""),45902.0)</f>
        <v>45902</v>
      </c>
      <c r="I1019" s="115" t="str">
        <f>IFERROR(__xludf.DUMMYFUNCTION("""COMPUTED_VALUE"""),"20")</f>
        <v>20</v>
      </c>
      <c r="J1019" s="115" t="str">
        <f>IFERROR(__xludf.DUMMYFUNCTION("""COMPUTED_VALUE"""),"Amit Kumar Pathak2025-09-0220")</f>
        <v>Amit Kumar Pathak2025-09-0220</v>
      </c>
      <c r="K1019" s="115">
        <f>IFERROR(__xludf.DUMMYFUNCTION("""COMPUTED_VALUE"""),27800.0)</f>
        <v>27800</v>
      </c>
    </row>
    <row r="1020">
      <c r="A1020" s="115" t="str">
        <f>IFERROR(__xludf.DUMMYFUNCTION("""COMPUTED_VALUE"""),"NORTH")</f>
        <v>NORTH</v>
      </c>
      <c r="B1020" s="115" t="str">
        <f>IFERROR(__xludf.DUMMYFUNCTION("""COMPUTED_VALUE"""),"Amit Kumar Pathak")</f>
        <v>Amit Kumar Pathak</v>
      </c>
      <c r="C1020" s="115" t="str">
        <f>IFERROR(__xludf.DUMMYFUNCTION("""COMPUTED_VALUE"""),"FLIPKART")</f>
        <v>FLIPKART</v>
      </c>
      <c r="D1020" s="115">
        <f>IFERROR(__xludf.DUMMYFUNCTION("""COMPUTED_VALUE"""),175444.0)</f>
        <v>175444</v>
      </c>
      <c r="E1020" s="115">
        <f>IFERROR(__xludf.DUMMYFUNCTION("""COMPUTED_VALUE"""),22407.0)</f>
        <v>22407</v>
      </c>
      <c r="F1020" s="115">
        <f>IFERROR(__xludf.DUMMYFUNCTION("""COMPUTED_VALUE"""),117725.0)</f>
        <v>117725</v>
      </c>
      <c r="G1020" s="115">
        <f>IFERROR(__xludf.DUMMYFUNCTION("""COMPUTED_VALUE"""),13557.0)</f>
        <v>13557</v>
      </c>
      <c r="H1020" s="116">
        <f>IFERROR(__xludf.DUMMYFUNCTION("""COMPUTED_VALUE"""),45902.0)</f>
        <v>45902</v>
      </c>
      <c r="I1020" s="115" t="str">
        <f>IFERROR(__xludf.DUMMYFUNCTION("""COMPUTED_VALUE"""),"20")</f>
        <v>20</v>
      </c>
      <c r="J1020" s="115" t="str">
        <f>IFERROR(__xludf.DUMMYFUNCTION("""COMPUTED_VALUE"""),"Amit Kumar Pathak2025-09-0220")</f>
        <v>Amit Kumar Pathak2025-09-0220</v>
      </c>
      <c r="K1020" s="115">
        <f>IFERROR(__xludf.DUMMYFUNCTION("""COMPUTED_VALUE"""),197851.0)</f>
        <v>197851</v>
      </c>
    </row>
    <row r="1021">
      <c r="A1021" s="115" t="str">
        <f>IFERROR(__xludf.DUMMYFUNCTION("""COMPUTED_VALUE"""),"NORTH")</f>
        <v>NORTH</v>
      </c>
      <c r="B1021" s="115" t="str">
        <f>IFERROR(__xludf.DUMMYFUNCTION("""COMPUTED_VALUE"""),"Amit Kumar Pathak")</f>
        <v>Amit Kumar Pathak</v>
      </c>
      <c r="C1021" s="115" t="str">
        <f>IFERROR(__xludf.DUMMYFUNCTION("""COMPUTED_VALUE"""),"MYNTRA")</f>
        <v>MYNTRA</v>
      </c>
      <c r="D1021" s="115">
        <f>IFERROR(__xludf.DUMMYFUNCTION("""COMPUTED_VALUE"""),17199.0)</f>
        <v>17199</v>
      </c>
      <c r="E1021" s="115">
        <f>IFERROR(__xludf.DUMMYFUNCTION("""COMPUTED_VALUE"""),5180.0)</f>
        <v>5180</v>
      </c>
      <c r="F1021" s="115">
        <f>IFERROR(__xludf.DUMMYFUNCTION("""COMPUTED_VALUE"""),13551.0)</f>
        <v>13551</v>
      </c>
      <c r="G1021" s="115">
        <f>IFERROR(__xludf.DUMMYFUNCTION("""COMPUTED_VALUE"""),3364.0)</f>
        <v>3364</v>
      </c>
      <c r="H1021" s="116">
        <f>IFERROR(__xludf.DUMMYFUNCTION("""COMPUTED_VALUE"""),45902.0)</f>
        <v>45902</v>
      </c>
      <c r="I1021" s="115" t="str">
        <f>IFERROR(__xludf.DUMMYFUNCTION("""COMPUTED_VALUE"""),"20")</f>
        <v>20</v>
      </c>
      <c r="J1021" s="115" t="str">
        <f>IFERROR(__xludf.DUMMYFUNCTION("""COMPUTED_VALUE"""),"Amit Kumar Pathak2025-09-0220")</f>
        <v>Amit Kumar Pathak2025-09-0220</v>
      </c>
      <c r="K1021" s="115">
        <f>IFERROR(__xludf.DUMMYFUNCTION("""COMPUTED_VALUE"""),22379.0)</f>
        <v>22379</v>
      </c>
    </row>
    <row r="1022">
      <c r="A1022" s="115" t="str">
        <f>IFERROR(__xludf.DUMMYFUNCTION("""COMPUTED_VALUE"""),"NORTH")</f>
        <v>NORTH</v>
      </c>
      <c r="B1022" s="115" t="str">
        <f>IFERROR(__xludf.DUMMYFUNCTION("""COMPUTED_VALUE"""),"Loveleen Singh")</f>
        <v>Loveleen Singh</v>
      </c>
      <c r="C1022" s="115" t="str">
        <f>IFERROR(__xludf.DUMMYFUNCTION("""COMPUTED_VALUE"""),"EXTERNAL")</f>
        <v>EXTERNAL</v>
      </c>
      <c r="D1022" s="115">
        <f>IFERROR(__xludf.DUMMYFUNCTION("""COMPUTED_VALUE"""),29324.0)</f>
        <v>29324</v>
      </c>
      <c r="E1022" s="115">
        <f>IFERROR(__xludf.DUMMYFUNCTION("""COMPUTED_VALUE"""),2084.0)</f>
        <v>2084</v>
      </c>
      <c r="F1022" s="115">
        <f>IFERROR(__xludf.DUMMYFUNCTION("""COMPUTED_VALUE"""),10571.0)</f>
        <v>10571</v>
      </c>
      <c r="G1022" s="115">
        <f>IFERROR(__xludf.DUMMYFUNCTION("""COMPUTED_VALUE"""),604.0)</f>
        <v>604</v>
      </c>
      <c r="H1022" s="116">
        <f>IFERROR(__xludf.DUMMYFUNCTION("""COMPUTED_VALUE"""),45902.0)</f>
        <v>45902</v>
      </c>
      <c r="I1022" s="115" t="str">
        <f>IFERROR(__xludf.DUMMYFUNCTION("""COMPUTED_VALUE"""),"20")</f>
        <v>20</v>
      </c>
      <c r="J1022" s="115" t="str">
        <f>IFERROR(__xludf.DUMMYFUNCTION("""COMPUTED_VALUE"""),"Loveleen Singh2025-09-0220")</f>
        <v>Loveleen Singh2025-09-0220</v>
      </c>
      <c r="K1022" s="115">
        <f>IFERROR(__xludf.DUMMYFUNCTION("""COMPUTED_VALUE"""),31408.0)</f>
        <v>31408</v>
      </c>
    </row>
    <row r="1023">
      <c r="A1023" s="115" t="str">
        <f>IFERROR(__xludf.DUMMYFUNCTION("""COMPUTED_VALUE"""),"NORTH")</f>
        <v>NORTH</v>
      </c>
      <c r="B1023" s="115" t="str">
        <f>IFERROR(__xludf.DUMMYFUNCTION("""COMPUTED_VALUE"""),"Loveleen Singh")</f>
        <v>Loveleen Singh</v>
      </c>
      <c r="C1023" s="115" t="str">
        <f>IFERROR(__xludf.DUMMYFUNCTION("""COMPUTED_VALUE"""),"FLIPKART")</f>
        <v>FLIPKART</v>
      </c>
      <c r="D1023" s="115">
        <f>IFERROR(__xludf.DUMMYFUNCTION("""COMPUTED_VALUE"""),151263.0)</f>
        <v>151263</v>
      </c>
      <c r="E1023" s="115">
        <f>IFERROR(__xludf.DUMMYFUNCTION("""COMPUTED_VALUE"""),13216.0)</f>
        <v>13216</v>
      </c>
      <c r="F1023" s="115">
        <f>IFERROR(__xludf.DUMMYFUNCTION("""COMPUTED_VALUE"""),105173.0)</f>
        <v>105173</v>
      </c>
      <c r="G1023" s="115">
        <f>IFERROR(__xludf.DUMMYFUNCTION("""COMPUTED_VALUE"""),7967.0)</f>
        <v>7967</v>
      </c>
      <c r="H1023" s="116">
        <f>IFERROR(__xludf.DUMMYFUNCTION("""COMPUTED_VALUE"""),45902.0)</f>
        <v>45902</v>
      </c>
      <c r="I1023" s="115" t="str">
        <f>IFERROR(__xludf.DUMMYFUNCTION("""COMPUTED_VALUE"""),"20")</f>
        <v>20</v>
      </c>
      <c r="J1023" s="115" t="str">
        <f>IFERROR(__xludf.DUMMYFUNCTION("""COMPUTED_VALUE"""),"Loveleen Singh2025-09-0220")</f>
        <v>Loveleen Singh2025-09-0220</v>
      </c>
      <c r="K1023" s="115">
        <f>IFERROR(__xludf.DUMMYFUNCTION("""COMPUTED_VALUE"""),164479.0)</f>
        <v>164479</v>
      </c>
    </row>
    <row r="1024">
      <c r="A1024" s="115" t="str">
        <f>IFERROR(__xludf.DUMMYFUNCTION("""COMPUTED_VALUE"""),"NORTH")</f>
        <v>NORTH</v>
      </c>
      <c r="B1024" s="115" t="str">
        <f>IFERROR(__xludf.DUMMYFUNCTION("""COMPUTED_VALUE"""),"Loveleen Singh")</f>
        <v>Loveleen Singh</v>
      </c>
      <c r="C1024" s="115" t="str">
        <f>IFERROR(__xludf.DUMMYFUNCTION("""COMPUTED_VALUE"""),"MYNTRA")</f>
        <v>MYNTRA</v>
      </c>
      <c r="D1024" s="115">
        <f>IFERROR(__xludf.DUMMYFUNCTION("""COMPUTED_VALUE"""),22851.0)</f>
        <v>22851</v>
      </c>
      <c r="E1024" s="115">
        <f>IFERROR(__xludf.DUMMYFUNCTION("""COMPUTED_VALUE"""),5119.0)</f>
        <v>5119</v>
      </c>
      <c r="F1024" s="115">
        <f>IFERROR(__xludf.DUMMYFUNCTION("""COMPUTED_VALUE"""),17953.0)</f>
        <v>17953</v>
      </c>
      <c r="G1024" s="115">
        <f>IFERROR(__xludf.DUMMYFUNCTION("""COMPUTED_VALUE"""),3212.0)</f>
        <v>3212</v>
      </c>
      <c r="H1024" s="116">
        <f>IFERROR(__xludf.DUMMYFUNCTION("""COMPUTED_VALUE"""),45902.0)</f>
        <v>45902</v>
      </c>
      <c r="I1024" s="115" t="str">
        <f>IFERROR(__xludf.DUMMYFUNCTION("""COMPUTED_VALUE"""),"20")</f>
        <v>20</v>
      </c>
      <c r="J1024" s="115" t="str">
        <f>IFERROR(__xludf.DUMMYFUNCTION("""COMPUTED_VALUE"""),"Loveleen Singh2025-09-0220")</f>
        <v>Loveleen Singh2025-09-0220</v>
      </c>
      <c r="K1024" s="115">
        <f>IFERROR(__xludf.DUMMYFUNCTION("""COMPUTED_VALUE"""),27970.0)</f>
        <v>27970</v>
      </c>
    </row>
    <row r="1025">
      <c r="A1025" s="115" t="str">
        <f>IFERROR(__xludf.DUMMYFUNCTION("""COMPUTED_VALUE"""),"NORTH")</f>
        <v>NORTH</v>
      </c>
      <c r="B1025" s="115" t="str">
        <f>IFERROR(__xludf.DUMMYFUNCTION("""COMPUTED_VALUE"""),"Manoj Harsh")</f>
        <v>Manoj Harsh</v>
      </c>
      <c r="C1025" s="115" t="str">
        <f>IFERROR(__xludf.DUMMYFUNCTION("""COMPUTED_VALUE"""),"EXTERNAL")</f>
        <v>EXTERNAL</v>
      </c>
      <c r="D1025" s="115">
        <f>IFERROR(__xludf.DUMMYFUNCTION("""COMPUTED_VALUE"""),34083.0)</f>
        <v>34083</v>
      </c>
      <c r="E1025" s="115">
        <f>IFERROR(__xludf.DUMMYFUNCTION("""COMPUTED_VALUE"""),3175.0)</f>
        <v>3175</v>
      </c>
      <c r="F1025" s="115">
        <f>IFERROR(__xludf.DUMMYFUNCTION("""COMPUTED_VALUE"""),13625.0)</f>
        <v>13625</v>
      </c>
      <c r="G1025" s="115">
        <f>IFERROR(__xludf.DUMMYFUNCTION("""COMPUTED_VALUE"""),1004.0)</f>
        <v>1004</v>
      </c>
      <c r="H1025" s="116">
        <f>IFERROR(__xludf.DUMMYFUNCTION("""COMPUTED_VALUE"""),45902.0)</f>
        <v>45902</v>
      </c>
      <c r="I1025" s="115" t="str">
        <f>IFERROR(__xludf.DUMMYFUNCTION("""COMPUTED_VALUE"""),"20")</f>
        <v>20</v>
      </c>
      <c r="J1025" s="115" t="str">
        <f>IFERROR(__xludf.DUMMYFUNCTION("""COMPUTED_VALUE"""),"Manoj Harsh2025-09-0220")</f>
        <v>Manoj Harsh2025-09-0220</v>
      </c>
      <c r="K1025" s="115">
        <f>IFERROR(__xludf.DUMMYFUNCTION("""COMPUTED_VALUE"""),37258.0)</f>
        <v>37258</v>
      </c>
    </row>
    <row r="1026">
      <c r="A1026" s="115" t="str">
        <f>IFERROR(__xludf.DUMMYFUNCTION("""COMPUTED_VALUE"""),"NORTH")</f>
        <v>NORTH</v>
      </c>
      <c r="B1026" s="115" t="str">
        <f>IFERROR(__xludf.DUMMYFUNCTION("""COMPUTED_VALUE"""),"Manoj Harsh")</f>
        <v>Manoj Harsh</v>
      </c>
      <c r="C1026" s="115" t="str">
        <f>IFERROR(__xludf.DUMMYFUNCTION("""COMPUTED_VALUE"""),"FLIPKART")</f>
        <v>FLIPKART</v>
      </c>
      <c r="D1026" s="115">
        <f>IFERROR(__xludf.DUMMYFUNCTION("""COMPUTED_VALUE"""),402405.0)</f>
        <v>402405</v>
      </c>
      <c r="E1026" s="115">
        <f>IFERROR(__xludf.DUMMYFUNCTION("""COMPUTED_VALUE"""),42830.0)</f>
        <v>42830</v>
      </c>
      <c r="F1026" s="115">
        <f>IFERROR(__xludf.DUMMYFUNCTION("""COMPUTED_VALUE"""),294466.0)</f>
        <v>294466</v>
      </c>
      <c r="G1026" s="115">
        <f>IFERROR(__xludf.DUMMYFUNCTION("""COMPUTED_VALUE"""),27290.0)</f>
        <v>27290</v>
      </c>
      <c r="H1026" s="116">
        <f>IFERROR(__xludf.DUMMYFUNCTION("""COMPUTED_VALUE"""),45902.0)</f>
        <v>45902</v>
      </c>
      <c r="I1026" s="115" t="str">
        <f>IFERROR(__xludf.DUMMYFUNCTION("""COMPUTED_VALUE"""),"20")</f>
        <v>20</v>
      </c>
      <c r="J1026" s="115" t="str">
        <f>IFERROR(__xludf.DUMMYFUNCTION("""COMPUTED_VALUE"""),"Manoj Harsh2025-09-0220")</f>
        <v>Manoj Harsh2025-09-0220</v>
      </c>
      <c r="K1026" s="115">
        <f>IFERROR(__xludf.DUMMYFUNCTION("""COMPUTED_VALUE"""),445235.0)</f>
        <v>445235</v>
      </c>
    </row>
    <row r="1027">
      <c r="A1027" s="115" t="str">
        <f>IFERROR(__xludf.DUMMYFUNCTION("""COMPUTED_VALUE"""),"NORTH")</f>
        <v>NORTH</v>
      </c>
      <c r="B1027" s="115" t="str">
        <f>IFERROR(__xludf.DUMMYFUNCTION("""COMPUTED_VALUE"""),"Manoj Harsh")</f>
        <v>Manoj Harsh</v>
      </c>
      <c r="C1027" s="115" t="str">
        <f>IFERROR(__xludf.DUMMYFUNCTION("""COMPUTED_VALUE"""),"MYNTRA")</f>
        <v>MYNTRA</v>
      </c>
      <c r="D1027" s="115">
        <f>IFERROR(__xludf.DUMMYFUNCTION("""COMPUTED_VALUE"""),34856.0)</f>
        <v>34856</v>
      </c>
      <c r="E1027" s="115">
        <f>IFERROR(__xludf.DUMMYFUNCTION("""COMPUTED_VALUE"""),7816.0)</f>
        <v>7816</v>
      </c>
      <c r="F1027" s="115">
        <f>IFERROR(__xludf.DUMMYFUNCTION("""COMPUTED_VALUE"""),27678.0)</f>
        <v>27678</v>
      </c>
      <c r="G1027" s="115">
        <f>IFERROR(__xludf.DUMMYFUNCTION("""COMPUTED_VALUE"""),5274.0)</f>
        <v>5274</v>
      </c>
      <c r="H1027" s="116">
        <f>IFERROR(__xludf.DUMMYFUNCTION("""COMPUTED_VALUE"""),45902.0)</f>
        <v>45902</v>
      </c>
      <c r="I1027" s="115" t="str">
        <f>IFERROR(__xludf.DUMMYFUNCTION("""COMPUTED_VALUE"""),"20")</f>
        <v>20</v>
      </c>
      <c r="J1027" s="115" t="str">
        <f>IFERROR(__xludf.DUMMYFUNCTION("""COMPUTED_VALUE"""),"Manoj Harsh2025-09-0220")</f>
        <v>Manoj Harsh2025-09-0220</v>
      </c>
      <c r="K1027" s="115">
        <f>IFERROR(__xludf.DUMMYFUNCTION("""COMPUTED_VALUE"""),42672.0)</f>
        <v>42672</v>
      </c>
    </row>
    <row r="1028">
      <c r="A1028" s="115" t="str">
        <f>IFERROR(__xludf.DUMMYFUNCTION("""COMPUTED_VALUE"""),"NORTH")</f>
        <v>NORTH</v>
      </c>
      <c r="B1028" s="115" t="str">
        <f>IFERROR(__xludf.DUMMYFUNCTION("""COMPUTED_VALUE"""),"Pradeep Kothari")</f>
        <v>Pradeep Kothari</v>
      </c>
      <c r="C1028" s="115" t="str">
        <f>IFERROR(__xludf.DUMMYFUNCTION("""COMPUTED_VALUE"""),"EXTERNAL")</f>
        <v>EXTERNAL</v>
      </c>
      <c r="D1028" s="115">
        <f>IFERROR(__xludf.DUMMYFUNCTION("""COMPUTED_VALUE"""),19211.0)</f>
        <v>19211</v>
      </c>
      <c r="E1028" s="115">
        <f>IFERROR(__xludf.DUMMYFUNCTION("""COMPUTED_VALUE"""),1982.0)</f>
        <v>1982</v>
      </c>
      <c r="F1028" s="115">
        <f>IFERROR(__xludf.DUMMYFUNCTION("""COMPUTED_VALUE"""),7466.0)</f>
        <v>7466</v>
      </c>
      <c r="G1028" s="115">
        <f>IFERROR(__xludf.DUMMYFUNCTION("""COMPUTED_VALUE"""),672.0)</f>
        <v>672</v>
      </c>
      <c r="H1028" s="116">
        <f>IFERROR(__xludf.DUMMYFUNCTION("""COMPUTED_VALUE"""),45902.0)</f>
        <v>45902</v>
      </c>
      <c r="I1028" s="115" t="str">
        <f>IFERROR(__xludf.DUMMYFUNCTION("""COMPUTED_VALUE"""),"20")</f>
        <v>20</v>
      </c>
      <c r="J1028" s="115" t="str">
        <f>IFERROR(__xludf.DUMMYFUNCTION("""COMPUTED_VALUE"""),"Pradeep Kothari2025-09-0220")</f>
        <v>Pradeep Kothari2025-09-0220</v>
      </c>
      <c r="K1028" s="115">
        <f>IFERROR(__xludf.DUMMYFUNCTION("""COMPUTED_VALUE"""),21193.0)</f>
        <v>21193</v>
      </c>
    </row>
    <row r="1029">
      <c r="A1029" s="115" t="str">
        <f>IFERROR(__xludf.DUMMYFUNCTION("""COMPUTED_VALUE"""),"NORTH")</f>
        <v>NORTH</v>
      </c>
      <c r="B1029" s="115" t="str">
        <f>IFERROR(__xludf.DUMMYFUNCTION("""COMPUTED_VALUE"""),"Pradeep Kothari")</f>
        <v>Pradeep Kothari</v>
      </c>
      <c r="C1029" s="115" t="str">
        <f>IFERROR(__xludf.DUMMYFUNCTION("""COMPUTED_VALUE"""),"FLIPKART")</f>
        <v>FLIPKART</v>
      </c>
      <c r="D1029" s="115">
        <f>IFERROR(__xludf.DUMMYFUNCTION("""COMPUTED_VALUE"""),137201.0)</f>
        <v>137201</v>
      </c>
      <c r="E1029" s="115">
        <f>IFERROR(__xludf.DUMMYFUNCTION("""COMPUTED_VALUE"""),17233.0)</f>
        <v>17233</v>
      </c>
      <c r="F1029" s="115">
        <f>IFERROR(__xludf.DUMMYFUNCTION("""COMPUTED_VALUE"""),100819.0)</f>
        <v>100819</v>
      </c>
      <c r="G1029" s="115">
        <f>IFERROR(__xludf.DUMMYFUNCTION("""COMPUTED_VALUE"""),11347.0)</f>
        <v>11347</v>
      </c>
      <c r="H1029" s="116">
        <f>IFERROR(__xludf.DUMMYFUNCTION("""COMPUTED_VALUE"""),45902.0)</f>
        <v>45902</v>
      </c>
      <c r="I1029" s="115" t="str">
        <f>IFERROR(__xludf.DUMMYFUNCTION("""COMPUTED_VALUE"""),"20")</f>
        <v>20</v>
      </c>
      <c r="J1029" s="115" t="str">
        <f>IFERROR(__xludf.DUMMYFUNCTION("""COMPUTED_VALUE"""),"Pradeep Kothari2025-09-0220")</f>
        <v>Pradeep Kothari2025-09-0220</v>
      </c>
      <c r="K1029" s="115">
        <f>IFERROR(__xludf.DUMMYFUNCTION("""COMPUTED_VALUE"""),154434.0)</f>
        <v>154434</v>
      </c>
    </row>
    <row r="1030">
      <c r="A1030" s="115" t="str">
        <f>IFERROR(__xludf.DUMMYFUNCTION("""COMPUTED_VALUE"""),"NORTH")</f>
        <v>NORTH</v>
      </c>
      <c r="B1030" s="115" t="str">
        <f>IFERROR(__xludf.DUMMYFUNCTION("""COMPUTED_VALUE"""),"Pradeep Kothari")</f>
        <v>Pradeep Kothari</v>
      </c>
      <c r="C1030" s="115" t="str">
        <f>IFERROR(__xludf.DUMMYFUNCTION("""COMPUTED_VALUE"""),"MYNTRA")</f>
        <v>MYNTRA</v>
      </c>
      <c r="D1030" s="115">
        <f>IFERROR(__xludf.DUMMYFUNCTION("""COMPUTED_VALUE"""),23465.0)</f>
        <v>23465</v>
      </c>
      <c r="E1030" s="115">
        <f>IFERROR(__xludf.DUMMYFUNCTION("""COMPUTED_VALUE"""),6338.0)</f>
        <v>6338</v>
      </c>
      <c r="F1030" s="115">
        <f>IFERROR(__xludf.DUMMYFUNCTION("""COMPUTED_VALUE"""),19196.0)</f>
        <v>19196</v>
      </c>
      <c r="G1030" s="115">
        <f>IFERROR(__xludf.DUMMYFUNCTION("""COMPUTED_VALUE"""),4585.0)</f>
        <v>4585</v>
      </c>
      <c r="H1030" s="116">
        <f>IFERROR(__xludf.DUMMYFUNCTION("""COMPUTED_VALUE"""),45902.0)</f>
        <v>45902</v>
      </c>
      <c r="I1030" s="115" t="str">
        <f>IFERROR(__xludf.DUMMYFUNCTION("""COMPUTED_VALUE"""),"20")</f>
        <v>20</v>
      </c>
      <c r="J1030" s="115" t="str">
        <f>IFERROR(__xludf.DUMMYFUNCTION("""COMPUTED_VALUE"""),"Pradeep Kothari2025-09-0220")</f>
        <v>Pradeep Kothari2025-09-0220</v>
      </c>
      <c r="K1030" s="115">
        <f>IFERROR(__xludf.DUMMYFUNCTION("""COMPUTED_VALUE"""),29803.0)</f>
        <v>29803</v>
      </c>
    </row>
    <row r="1031">
      <c r="A1031" s="115" t="str">
        <f>IFERROR(__xludf.DUMMYFUNCTION("""COMPUTED_VALUE"""),"SOUTH")</f>
        <v>SOUTH</v>
      </c>
      <c r="B1031" s="115" t="str">
        <f>IFERROR(__xludf.DUMMYFUNCTION("""COMPUTED_VALUE"""),"Kandula Sampath")</f>
        <v>Kandula Sampath</v>
      </c>
      <c r="C1031" s="115" t="str">
        <f>IFERROR(__xludf.DUMMYFUNCTION("""COMPUTED_VALUE"""),"EXTERNAL")</f>
        <v>EXTERNAL</v>
      </c>
      <c r="D1031" s="115">
        <f>IFERROR(__xludf.DUMMYFUNCTION("""COMPUTED_VALUE"""),38903.0)</f>
        <v>38903</v>
      </c>
      <c r="E1031" s="115">
        <f>IFERROR(__xludf.DUMMYFUNCTION("""COMPUTED_VALUE"""),4443.0)</f>
        <v>4443</v>
      </c>
      <c r="F1031" s="115">
        <f>IFERROR(__xludf.DUMMYFUNCTION("""COMPUTED_VALUE"""),15978.0)</f>
        <v>15978</v>
      </c>
      <c r="G1031" s="115">
        <f>IFERROR(__xludf.DUMMYFUNCTION("""COMPUTED_VALUE"""),1281.0)</f>
        <v>1281</v>
      </c>
      <c r="H1031" s="116">
        <f>IFERROR(__xludf.DUMMYFUNCTION("""COMPUTED_VALUE"""),45902.0)</f>
        <v>45902</v>
      </c>
      <c r="I1031" s="115" t="str">
        <f>IFERROR(__xludf.DUMMYFUNCTION("""COMPUTED_VALUE"""),"20")</f>
        <v>20</v>
      </c>
      <c r="J1031" s="115" t="str">
        <f>IFERROR(__xludf.DUMMYFUNCTION("""COMPUTED_VALUE"""),"Kandula Sampath2025-09-0220")</f>
        <v>Kandula Sampath2025-09-0220</v>
      </c>
      <c r="K1031" s="115">
        <f>IFERROR(__xludf.DUMMYFUNCTION("""COMPUTED_VALUE"""),43346.0)</f>
        <v>43346</v>
      </c>
    </row>
    <row r="1032">
      <c r="A1032" s="115" t="str">
        <f>IFERROR(__xludf.DUMMYFUNCTION("""COMPUTED_VALUE"""),"SOUTH")</f>
        <v>SOUTH</v>
      </c>
      <c r="B1032" s="115" t="str">
        <f>IFERROR(__xludf.DUMMYFUNCTION("""COMPUTED_VALUE"""),"Kandula Sampath")</f>
        <v>Kandula Sampath</v>
      </c>
      <c r="C1032" s="115" t="str">
        <f>IFERROR(__xludf.DUMMYFUNCTION("""COMPUTED_VALUE"""),"FLIPKART")</f>
        <v>FLIPKART</v>
      </c>
      <c r="D1032" s="115">
        <f>IFERROR(__xludf.DUMMYFUNCTION("""COMPUTED_VALUE"""),332848.0)</f>
        <v>332848</v>
      </c>
      <c r="E1032" s="115">
        <f>IFERROR(__xludf.DUMMYFUNCTION("""COMPUTED_VALUE"""),34331.0)</f>
        <v>34331</v>
      </c>
      <c r="F1032" s="115">
        <f>IFERROR(__xludf.DUMMYFUNCTION("""COMPUTED_VALUE"""),243562.0)</f>
        <v>243562</v>
      </c>
      <c r="G1032" s="115">
        <f>IFERROR(__xludf.DUMMYFUNCTION("""COMPUTED_VALUE"""),19731.0)</f>
        <v>19731</v>
      </c>
      <c r="H1032" s="116">
        <f>IFERROR(__xludf.DUMMYFUNCTION("""COMPUTED_VALUE"""),45902.0)</f>
        <v>45902</v>
      </c>
      <c r="I1032" s="115" t="str">
        <f>IFERROR(__xludf.DUMMYFUNCTION("""COMPUTED_VALUE"""),"20")</f>
        <v>20</v>
      </c>
      <c r="J1032" s="115" t="str">
        <f>IFERROR(__xludf.DUMMYFUNCTION("""COMPUTED_VALUE"""),"Kandula Sampath2025-09-0220")</f>
        <v>Kandula Sampath2025-09-0220</v>
      </c>
      <c r="K1032" s="115">
        <f>IFERROR(__xludf.DUMMYFUNCTION("""COMPUTED_VALUE"""),367179.0)</f>
        <v>367179</v>
      </c>
    </row>
    <row r="1033">
      <c r="A1033" s="115" t="str">
        <f>IFERROR(__xludf.DUMMYFUNCTION("""COMPUTED_VALUE"""),"SOUTH")</f>
        <v>SOUTH</v>
      </c>
      <c r="B1033" s="115" t="str">
        <f>IFERROR(__xludf.DUMMYFUNCTION("""COMPUTED_VALUE"""),"Kandula Sampath")</f>
        <v>Kandula Sampath</v>
      </c>
      <c r="C1033" s="115" t="str">
        <f>IFERROR(__xludf.DUMMYFUNCTION("""COMPUTED_VALUE"""),"MYNTRA")</f>
        <v>MYNTRA</v>
      </c>
      <c r="D1033" s="115">
        <f>IFERROR(__xludf.DUMMYFUNCTION("""COMPUTED_VALUE"""),34000.0)</f>
        <v>34000</v>
      </c>
      <c r="E1033" s="115">
        <f>IFERROR(__xludf.DUMMYFUNCTION("""COMPUTED_VALUE"""),8419.0)</f>
        <v>8419</v>
      </c>
      <c r="F1033" s="115">
        <f>IFERROR(__xludf.DUMMYFUNCTION("""COMPUTED_VALUE"""),27381.0)</f>
        <v>27381</v>
      </c>
      <c r="G1033" s="115">
        <f>IFERROR(__xludf.DUMMYFUNCTION("""COMPUTED_VALUE"""),4788.0)</f>
        <v>4788</v>
      </c>
      <c r="H1033" s="116">
        <f>IFERROR(__xludf.DUMMYFUNCTION("""COMPUTED_VALUE"""),45902.0)</f>
        <v>45902</v>
      </c>
      <c r="I1033" s="115" t="str">
        <f>IFERROR(__xludf.DUMMYFUNCTION("""COMPUTED_VALUE"""),"20")</f>
        <v>20</v>
      </c>
      <c r="J1033" s="115" t="str">
        <f>IFERROR(__xludf.DUMMYFUNCTION("""COMPUTED_VALUE"""),"Kandula Sampath2025-09-0220")</f>
        <v>Kandula Sampath2025-09-0220</v>
      </c>
      <c r="K1033" s="115">
        <f>IFERROR(__xludf.DUMMYFUNCTION("""COMPUTED_VALUE"""),42419.0)</f>
        <v>42419</v>
      </c>
    </row>
    <row r="1034">
      <c r="A1034" s="115" t="str">
        <f>IFERROR(__xludf.DUMMYFUNCTION("""COMPUTED_VALUE"""),"SOUTH")</f>
        <v>SOUTH</v>
      </c>
      <c r="B1034" s="115" t="str">
        <f>IFERROR(__xludf.DUMMYFUNCTION("""COMPUTED_VALUE"""),"Martin A")</f>
        <v>Martin A</v>
      </c>
      <c r="C1034" s="115" t="str">
        <f>IFERROR(__xludf.DUMMYFUNCTION("""COMPUTED_VALUE"""),"EXTERNAL")</f>
        <v>EXTERNAL</v>
      </c>
      <c r="D1034" s="115">
        <f>IFERROR(__xludf.DUMMYFUNCTION("""COMPUTED_VALUE"""),39160.0)</f>
        <v>39160</v>
      </c>
      <c r="E1034" s="115">
        <f>IFERROR(__xludf.DUMMYFUNCTION("""COMPUTED_VALUE"""),2698.0)</f>
        <v>2698</v>
      </c>
      <c r="F1034" s="115">
        <f>IFERROR(__xludf.DUMMYFUNCTION("""COMPUTED_VALUE"""),16512.0)</f>
        <v>16512</v>
      </c>
      <c r="G1034" s="115">
        <f>IFERROR(__xludf.DUMMYFUNCTION("""COMPUTED_VALUE"""),1065.0)</f>
        <v>1065</v>
      </c>
      <c r="H1034" s="116">
        <f>IFERROR(__xludf.DUMMYFUNCTION("""COMPUTED_VALUE"""),45902.0)</f>
        <v>45902</v>
      </c>
      <c r="I1034" s="115" t="str">
        <f>IFERROR(__xludf.DUMMYFUNCTION("""COMPUTED_VALUE"""),"20")</f>
        <v>20</v>
      </c>
      <c r="J1034" s="115" t="str">
        <f>IFERROR(__xludf.DUMMYFUNCTION("""COMPUTED_VALUE"""),"Martin A2025-09-0220")</f>
        <v>Martin A2025-09-0220</v>
      </c>
      <c r="K1034" s="115">
        <f>IFERROR(__xludf.DUMMYFUNCTION("""COMPUTED_VALUE"""),41858.0)</f>
        <v>41858</v>
      </c>
    </row>
    <row r="1035">
      <c r="A1035" s="115" t="str">
        <f>IFERROR(__xludf.DUMMYFUNCTION("""COMPUTED_VALUE"""),"SOUTH")</f>
        <v>SOUTH</v>
      </c>
      <c r="B1035" s="115" t="str">
        <f>IFERROR(__xludf.DUMMYFUNCTION("""COMPUTED_VALUE"""),"Martin A")</f>
        <v>Martin A</v>
      </c>
      <c r="C1035" s="115" t="str">
        <f>IFERROR(__xludf.DUMMYFUNCTION("""COMPUTED_VALUE"""),"FLIPKART")</f>
        <v>FLIPKART</v>
      </c>
      <c r="D1035" s="115">
        <f>IFERROR(__xludf.DUMMYFUNCTION("""COMPUTED_VALUE"""),296673.0)</f>
        <v>296673</v>
      </c>
      <c r="E1035" s="115">
        <f>IFERROR(__xludf.DUMMYFUNCTION("""COMPUTED_VALUE"""),29892.0)</f>
        <v>29892</v>
      </c>
      <c r="F1035" s="115">
        <f>IFERROR(__xludf.DUMMYFUNCTION("""COMPUTED_VALUE"""),217524.0)</f>
        <v>217524</v>
      </c>
      <c r="G1035" s="115">
        <f>IFERROR(__xludf.DUMMYFUNCTION("""COMPUTED_VALUE"""),18797.0)</f>
        <v>18797</v>
      </c>
      <c r="H1035" s="116">
        <f>IFERROR(__xludf.DUMMYFUNCTION("""COMPUTED_VALUE"""),45902.0)</f>
        <v>45902</v>
      </c>
      <c r="I1035" s="115" t="str">
        <f>IFERROR(__xludf.DUMMYFUNCTION("""COMPUTED_VALUE"""),"20")</f>
        <v>20</v>
      </c>
      <c r="J1035" s="115" t="str">
        <f>IFERROR(__xludf.DUMMYFUNCTION("""COMPUTED_VALUE"""),"Martin A2025-09-0220")</f>
        <v>Martin A2025-09-0220</v>
      </c>
      <c r="K1035" s="115">
        <f>IFERROR(__xludf.DUMMYFUNCTION("""COMPUTED_VALUE"""),326565.0)</f>
        <v>326565</v>
      </c>
    </row>
    <row r="1036">
      <c r="A1036" s="115" t="str">
        <f>IFERROR(__xludf.DUMMYFUNCTION("""COMPUTED_VALUE"""),"SOUTH")</f>
        <v>SOUTH</v>
      </c>
      <c r="B1036" s="115" t="str">
        <f>IFERROR(__xludf.DUMMYFUNCTION("""COMPUTED_VALUE"""),"Martin A")</f>
        <v>Martin A</v>
      </c>
      <c r="C1036" s="115" t="str">
        <f>IFERROR(__xludf.DUMMYFUNCTION("""COMPUTED_VALUE"""),"MYNTRA")</f>
        <v>MYNTRA</v>
      </c>
      <c r="D1036" s="115">
        <f>IFERROR(__xludf.DUMMYFUNCTION("""COMPUTED_VALUE"""),28009.0)</f>
        <v>28009</v>
      </c>
      <c r="E1036" s="115">
        <f>IFERROR(__xludf.DUMMYFUNCTION("""COMPUTED_VALUE"""),6965.0)</f>
        <v>6965</v>
      </c>
      <c r="F1036" s="115">
        <f>IFERROR(__xludf.DUMMYFUNCTION("""COMPUTED_VALUE"""),23227.0)</f>
        <v>23227</v>
      </c>
      <c r="G1036" s="115">
        <f>IFERROR(__xludf.DUMMYFUNCTION("""COMPUTED_VALUE"""),4569.0)</f>
        <v>4569</v>
      </c>
      <c r="H1036" s="116">
        <f>IFERROR(__xludf.DUMMYFUNCTION("""COMPUTED_VALUE"""),45902.0)</f>
        <v>45902</v>
      </c>
      <c r="I1036" s="115" t="str">
        <f>IFERROR(__xludf.DUMMYFUNCTION("""COMPUTED_VALUE"""),"20")</f>
        <v>20</v>
      </c>
      <c r="J1036" s="115" t="str">
        <f>IFERROR(__xludf.DUMMYFUNCTION("""COMPUTED_VALUE"""),"Martin A2025-09-0220")</f>
        <v>Martin A2025-09-0220</v>
      </c>
      <c r="K1036" s="115">
        <f>IFERROR(__xludf.DUMMYFUNCTION("""COMPUTED_VALUE"""),34974.0)</f>
        <v>34974</v>
      </c>
    </row>
    <row r="1037">
      <c r="A1037" s="115" t="str">
        <f>IFERROR(__xludf.DUMMYFUNCTION("""COMPUTED_VALUE"""),"SOUTH")</f>
        <v>SOUTH</v>
      </c>
      <c r="B1037" s="115" t="str">
        <f>IFERROR(__xludf.DUMMYFUNCTION("""COMPUTED_VALUE"""),"Premkumar M")</f>
        <v>Premkumar M</v>
      </c>
      <c r="C1037" s="115" t="str">
        <f>IFERROR(__xludf.DUMMYFUNCTION("""COMPUTED_VALUE"""),"EXTERNAL")</f>
        <v>EXTERNAL</v>
      </c>
      <c r="D1037" s="115">
        <f>IFERROR(__xludf.DUMMYFUNCTION("""COMPUTED_VALUE"""),31763.0)</f>
        <v>31763</v>
      </c>
      <c r="E1037" s="115">
        <f>IFERROR(__xludf.DUMMYFUNCTION("""COMPUTED_VALUE"""),2296.0)</f>
        <v>2296</v>
      </c>
      <c r="F1037" s="115">
        <f>IFERROR(__xludf.DUMMYFUNCTION("""COMPUTED_VALUE"""),15502.0)</f>
        <v>15502</v>
      </c>
      <c r="G1037" s="115">
        <f>IFERROR(__xludf.DUMMYFUNCTION("""COMPUTED_VALUE"""),646.0)</f>
        <v>646</v>
      </c>
      <c r="H1037" s="116">
        <f>IFERROR(__xludf.DUMMYFUNCTION("""COMPUTED_VALUE"""),45902.0)</f>
        <v>45902</v>
      </c>
      <c r="I1037" s="115" t="str">
        <f>IFERROR(__xludf.DUMMYFUNCTION("""COMPUTED_VALUE"""),"20")</f>
        <v>20</v>
      </c>
      <c r="J1037" s="115" t="str">
        <f>IFERROR(__xludf.DUMMYFUNCTION("""COMPUTED_VALUE"""),"Premkumar M2025-09-0220")</f>
        <v>Premkumar M2025-09-0220</v>
      </c>
      <c r="K1037" s="115">
        <f>IFERROR(__xludf.DUMMYFUNCTION("""COMPUTED_VALUE"""),34059.0)</f>
        <v>34059</v>
      </c>
    </row>
    <row r="1038">
      <c r="A1038" s="115" t="str">
        <f>IFERROR(__xludf.DUMMYFUNCTION("""COMPUTED_VALUE"""),"SOUTH")</f>
        <v>SOUTH</v>
      </c>
      <c r="B1038" s="115" t="str">
        <f>IFERROR(__xludf.DUMMYFUNCTION("""COMPUTED_VALUE"""),"Premkumar M")</f>
        <v>Premkumar M</v>
      </c>
      <c r="C1038" s="115" t="str">
        <f>IFERROR(__xludf.DUMMYFUNCTION("""COMPUTED_VALUE"""),"FLIPKART")</f>
        <v>FLIPKART</v>
      </c>
      <c r="D1038" s="115">
        <f>IFERROR(__xludf.DUMMYFUNCTION("""COMPUTED_VALUE"""),284064.0)</f>
        <v>284064</v>
      </c>
      <c r="E1038" s="115">
        <f>IFERROR(__xludf.DUMMYFUNCTION("""COMPUTED_VALUE"""),21306.0)</f>
        <v>21306</v>
      </c>
      <c r="F1038" s="115">
        <f>IFERROR(__xludf.DUMMYFUNCTION("""COMPUTED_VALUE"""),216028.0)</f>
        <v>216028</v>
      </c>
      <c r="G1038" s="115">
        <f>IFERROR(__xludf.DUMMYFUNCTION("""COMPUTED_VALUE"""),10225.0)</f>
        <v>10225</v>
      </c>
      <c r="H1038" s="116">
        <f>IFERROR(__xludf.DUMMYFUNCTION("""COMPUTED_VALUE"""),45902.0)</f>
        <v>45902</v>
      </c>
      <c r="I1038" s="115" t="str">
        <f>IFERROR(__xludf.DUMMYFUNCTION("""COMPUTED_VALUE"""),"20")</f>
        <v>20</v>
      </c>
      <c r="J1038" s="115" t="str">
        <f>IFERROR(__xludf.DUMMYFUNCTION("""COMPUTED_VALUE"""),"Premkumar M2025-09-0220")</f>
        <v>Premkumar M2025-09-0220</v>
      </c>
      <c r="K1038" s="115">
        <f>IFERROR(__xludf.DUMMYFUNCTION("""COMPUTED_VALUE"""),305370.0)</f>
        <v>305370</v>
      </c>
    </row>
    <row r="1039">
      <c r="A1039" s="115" t="str">
        <f>IFERROR(__xludf.DUMMYFUNCTION("""COMPUTED_VALUE"""),"SOUTH")</f>
        <v>SOUTH</v>
      </c>
      <c r="B1039" s="115" t="str">
        <f>IFERROR(__xludf.DUMMYFUNCTION("""COMPUTED_VALUE"""),"Premkumar M")</f>
        <v>Premkumar M</v>
      </c>
      <c r="C1039" s="115" t="str">
        <f>IFERROR(__xludf.DUMMYFUNCTION("""COMPUTED_VALUE"""),"MYNTRA")</f>
        <v>MYNTRA</v>
      </c>
      <c r="D1039" s="115">
        <f>IFERROR(__xludf.DUMMYFUNCTION("""COMPUTED_VALUE"""),15796.0)</f>
        <v>15796</v>
      </c>
      <c r="E1039" s="115">
        <f>IFERROR(__xludf.DUMMYFUNCTION("""COMPUTED_VALUE"""),3208.0)</f>
        <v>3208</v>
      </c>
      <c r="F1039" s="115">
        <f>IFERROR(__xludf.DUMMYFUNCTION("""COMPUTED_VALUE"""),13279.0)</f>
        <v>13279</v>
      </c>
      <c r="G1039" s="115">
        <f>IFERROR(__xludf.DUMMYFUNCTION("""COMPUTED_VALUE"""),1687.0)</f>
        <v>1687</v>
      </c>
      <c r="H1039" s="116">
        <f>IFERROR(__xludf.DUMMYFUNCTION("""COMPUTED_VALUE"""),45902.0)</f>
        <v>45902</v>
      </c>
      <c r="I1039" s="115" t="str">
        <f>IFERROR(__xludf.DUMMYFUNCTION("""COMPUTED_VALUE"""),"20")</f>
        <v>20</v>
      </c>
      <c r="J1039" s="115" t="str">
        <f>IFERROR(__xludf.DUMMYFUNCTION("""COMPUTED_VALUE"""),"Premkumar M2025-09-0220")</f>
        <v>Premkumar M2025-09-0220</v>
      </c>
      <c r="K1039" s="115">
        <f>IFERROR(__xludf.DUMMYFUNCTION("""COMPUTED_VALUE"""),19004.0)</f>
        <v>19004</v>
      </c>
    </row>
    <row r="1040">
      <c r="A1040" s="115" t="str">
        <f>IFERROR(__xludf.DUMMYFUNCTION("""COMPUTED_VALUE"""),"SOUTH")</f>
        <v>SOUTH</v>
      </c>
      <c r="B1040" s="115" t="str">
        <f>IFERROR(__xludf.DUMMYFUNCTION("""COMPUTED_VALUE"""),"Vineeth V")</f>
        <v>Vineeth V</v>
      </c>
      <c r="C1040" s="115" t="str">
        <f>IFERROR(__xludf.DUMMYFUNCTION("""COMPUTED_VALUE"""),"EXTERNAL")</f>
        <v>EXTERNAL</v>
      </c>
      <c r="D1040" s="115">
        <f>IFERROR(__xludf.DUMMYFUNCTION("""COMPUTED_VALUE"""),22256.0)</f>
        <v>22256</v>
      </c>
      <c r="E1040" s="115">
        <f>IFERROR(__xludf.DUMMYFUNCTION("""COMPUTED_VALUE"""),612.0)</f>
        <v>612</v>
      </c>
      <c r="F1040" s="115">
        <f>IFERROR(__xludf.DUMMYFUNCTION("""COMPUTED_VALUE"""),11921.0)</f>
        <v>11921</v>
      </c>
      <c r="G1040" s="115">
        <f>IFERROR(__xludf.DUMMYFUNCTION("""COMPUTED_VALUE"""),270.0)</f>
        <v>270</v>
      </c>
      <c r="H1040" s="116">
        <f>IFERROR(__xludf.DUMMYFUNCTION("""COMPUTED_VALUE"""),45902.0)</f>
        <v>45902</v>
      </c>
      <c r="I1040" s="115" t="str">
        <f>IFERROR(__xludf.DUMMYFUNCTION("""COMPUTED_VALUE"""),"20")</f>
        <v>20</v>
      </c>
      <c r="J1040" s="115" t="str">
        <f>IFERROR(__xludf.DUMMYFUNCTION("""COMPUTED_VALUE"""),"Vineeth V2025-09-0220")</f>
        <v>Vineeth V2025-09-0220</v>
      </c>
      <c r="K1040" s="115">
        <f>IFERROR(__xludf.DUMMYFUNCTION("""COMPUTED_VALUE"""),22868.0)</f>
        <v>22868</v>
      </c>
    </row>
    <row r="1041">
      <c r="A1041" s="115" t="str">
        <f>IFERROR(__xludf.DUMMYFUNCTION("""COMPUTED_VALUE"""),"SOUTH")</f>
        <v>SOUTH</v>
      </c>
      <c r="B1041" s="115" t="str">
        <f>IFERROR(__xludf.DUMMYFUNCTION("""COMPUTED_VALUE"""),"Vineeth V")</f>
        <v>Vineeth V</v>
      </c>
      <c r="C1041" s="115" t="str">
        <f>IFERROR(__xludf.DUMMYFUNCTION("""COMPUTED_VALUE"""),"FLIPKART")</f>
        <v>FLIPKART</v>
      </c>
      <c r="D1041" s="115">
        <f>IFERROR(__xludf.DUMMYFUNCTION("""COMPUTED_VALUE"""),246525.0)</f>
        <v>246525</v>
      </c>
      <c r="E1041" s="115">
        <f>IFERROR(__xludf.DUMMYFUNCTION("""COMPUTED_VALUE"""),18458.0)</f>
        <v>18458</v>
      </c>
      <c r="F1041" s="115">
        <f>IFERROR(__xludf.DUMMYFUNCTION("""COMPUTED_VALUE"""),202576.0)</f>
        <v>202576</v>
      </c>
      <c r="G1041" s="115">
        <f>IFERROR(__xludf.DUMMYFUNCTION("""COMPUTED_VALUE"""),10138.0)</f>
        <v>10138</v>
      </c>
      <c r="H1041" s="116">
        <f>IFERROR(__xludf.DUMMYFUNCTION("""COMPUTED_VALUE"""),45902.0)</f>
        <v>45902</v>
      </c>
      <c r="I1041" s="115" t="str">
        <f>IFERROR(__xludf.DUMMYFUNCTION("""COMPUTED_VALUE"""),"20")</f>
        <v>20</v>
      </c>
      <c r="J1041" s="115" t="str">
        <f>IFERROR(__xludf.DUMMYFUNCTION("""COMPUTED_VALUE"""),"Vineeth V2025-09-0220")</f>
        <v>Vineeth V2025-09-0220</v>
      </c>
      <c r="K1041" s="115">
        <f>IFERROR(__xludf.DUMMYFUNCTION("""COMPUTED_VALUE"""),264983.0)</f>
        <v>264983</v>
      </c>
    </row>
    <row r="1042">
      <c r="A1042" s="115" t="str">
        <f>IFERROR(__xludf.DUMMYFUNCTION("""COMPUTED_VALUE"""),"SOUTH")</f>
        <v>SOUTH</v>
      </c>
      <c r="B1042" s="115" t="str">
        <f>IFERROR(__xludf.DUMMYFUNCTION("""COMPUTED_VALUE"""),"Vineeth V")</f>
        <v>Vineeth V</v>
      </c>
      <c r="C1042" s="115" t="str">
        <f>IFERROR(__xludf.DUMMYFUNCTION("""COMPUTED_VALUE"""),"MYNTRA")</f>
        <v>MYNTRA</v>
      </c>
      <c r="D1042" s="115">
        <f>IFERROR(__xludf.DUMMYFUNCTION("""COMPUTED_VALUE"""),22117.0)</f>
        <v>22117</v>
      </c>
      <c r="E1042" s="115">
        <f>IFERROR(__xludf.DUMMYFUNCTION("""COMPUTED_VALUE"""),4243.0)</f>
        <v>4243</v>
      </c>
      <c r="F1042" s="115">
        <f>IFERROR(__xludf.DUMMYFUNCTION("""COMPUTED_VALUE"""),19240.0)</f>
        <v>19240</v>
      </c>
      <c r="G1042" s="115">
        <f>IFERROR(__xludf.DUMMYFUNCTION("""COMPUTED_VALUE"""),2417.0)</f>
        <v>2417</v>
      </c>
      <c r="H1042" s="116">
        <f>IFERROR(__xludf.DUMMYFUNCTION("""COMPUTED_VALUE"""),45902.0)</f>
        <v>45902</v>
      </c>
      <c r="I1042" s="115" t="str">
        <f>IFERROR(__xludf.DUMMYFUNCTION("""COMPUTED_VALUE"""),"20")</f>
        <v>20</v>
      </c>
      <c r="J1042" s="115" t="str">
        <f>IFERROR(__xludf.DUMMYFUNCTION("""COMPUTED_VALUE"""),"Vineeth V2025-09-0220")</f>
        <v>Vineeth V2025-09-0220</v>
      </c>
      <c r="K1042" s="115">
        <f>IFERROR(__xludf.DUMMYFUNCTION("""COMPUTED_VALUE"""),26360.0)</f>
        <v>26360</v>
      </c>
    </row>
    <row r="1043">
      <c r="A1043" s="115" t="str">
        <f>IFERROR(__xludf.DUMMYFUNCTION("""COMPUTED_VALUE"""),"WEST")</f>
        <v>WEST</v>
      </c>
      <c r="B1043" s="115" t="str">
        <f>IFERROR(__xludf.DUMMYFUNCTION("""COMPUTED_VALUE"""),"Ashish Jakar")</f>
        <v>Ashish Jakar</v>
      </c>
      <c r="C1043" s="115" t="str">
        <f>IFERROR(__xludf.DUMMYFUNCTION("""COMPUTED_VALUE"""),"EXTERNAL")</f>
        <v>EXTERNAL</v>
      </c>
      <c r="D1043" s="115">
        <f>IFERROR(__xludf.DUMMYFUNCTION("""COMPUTED_VALUE"""),60181.0)</f>
        <v>60181</v>
      </c>
      <c r="E1043" s="115">
        <f>IFERROR(__xludf.DUMMYFUNCTION("""COMPUTED_VALUE"""),6226.0)</f>
        <v>6226</v>
      </c>
      <c r="F1043" s="115">
        <f>IFERROR(__xludf.DUMMYFUNCTION("""COMPUTED_VALUE"""),23871.0)</f>
        <v>23871</v>
      </c>
      <c r="G1043" s="115">
        <f>IFERROR(__xludf.DUMMYFUNCTION("""COMPUTED_VALUE"""),2271.0)</f>
        <v>2271</v>
      </c>
      <c r="H1043" s="116">
        <f>IFERROR(__xludf.DUMMYFUNCTION("""COMPUTED_VALUE"""),45902.0)</f>
        <v>45902</v>
      </c>
      <c r="I1043" s="115" t="str">
        <f>IFERROR(__xludf.DUMMYFUNCTION("""COMPUTED_VALUE"""),"20")</f>
        <v>20</v>
      </c>
      <c r="J1043" s="115" t="str">
        <f>IFERROR(__xludf.DUMMYFUNCTION("""COMPUTED_VALUE"""),"Ashish Jakar2025-09-0220")</f>
        <v>Ashish Jakar2025-09-0220</v>
      </c>
      <c r="K1043" s="115">
        <f>IFERROR(__xludf.DUMMYFUNCTION("""COMPUTED_VALUE"""),66407.0)</f>
        <v>66407</v>
      </c>
    </row>
    <row r="1044">
      <c r="A1044" s="115" t="str">
        <f>IFERROR(__xludf.DUMMYFUNCTION("""COMPUTED_VALUE"""),"WEST")</f>
        <v>WEST</v>
      </c>
      <c r="B1044" s="115" t="str">
        <f>IFERROR(__xludf.DUMMYFUNCTION("""COMPUTED_VALUE"""),"Ashish Jakar")</f>
        <v>Ashish Jakar</v>
      </c>
      <c r="C1044" s="115" t="str">
        <f>IFERROR(__xludf.DUMMYFUNCTION("""COMPUTED_VALUE"""),"FLIPKART")</f>
        <v>FLIPKART</v>
      </c>
      <c r="D1044" s="115">
        <f>IFERROR(__xludf.DUMMYFUNCTION("""COMPUTED_VALUE"""),324648.0)</f>
        <v>324648</v>
      </c>
      <c r="E1044" s="115">
        <f>IFERROR(__xludf.DUMMYFUNCTION("""COMPUTED_VALUE"""),33362.0)</f>
        <v>33362</v>
      </c>
      <c r="F1044" s="115">
        <f>IFERROR(__xludf.DUMMYFUNCTION("""COMPUTED_VALUE"""),232725.0)</f>
        <v>232725</v>
      </c>
      <c r="G1044" s="115">
        <f>IFERROR(__xludf.DUMMYFUNCTION("""COMPUTED_VALUE"""),19541.0)</f>
        <v>19541</v>
      </c>
      <c r="H1044" s="116">
        <f>IFERROR(__xludf.DUMMYFUNCTION("""COMPUTED_VALUE"""),45902.0)</f>
        <v>45902</v>
      </c>
      <c r="I1044" s="115" t="str">
        <f>IFERROR(__xludf.DUMMYFUNCTION("""COMPUTED_VALUE"""),"20")</f>
        <v>20</v>
      </c>
      <c r="J1044" s="115" t="str">
        <f>IFERROR(__xludf.DUMMYFUNCTION("""COMPUTED_VALUE"""),"Ashish Jakar2025-09-0220")</f>
        <v>Ashish Jakar2025-09-0220</v>
      </c>
      <c r="K1044" s="115">
        <f>IFERROR(__xludf.DUMMYFUNCTION("""COMPUTED_VALUE"""),358010.0)</f>
        <v>358010</v>
      </c>
    </row>
    <row r="1045">
      <c r="A1045" s="115" t="str">
        <f>IFERROR(__xludf.DUMMYFUNCTION("""COMPUTED_VALUE"""),"WEST")</f>
        <v>WEST</v>
      </c>
      <c r="B1045" s="115" t="str">
        <f>IFERROR(__xludf.DUMMYFUNCTION("""COMPUTED_VALUE"""),"Ashish Jakar")</f>
        <v>Ashish Jakar</v>
      </c>
      <c r="C1045" s="115" t="str">
        <f>IFERROR(__xludf.DUMMYFUNCTION("""COMPUTED_VALUE"""),"MYNTRA")</f>
        <v>MYNTRA</v>
      </c>
      <c r="D1045" s="115">
        <f>IFERROR(__xludf.DUMMYFUNCTION("""COMPUTED_VALUE"""),39115.0)</f>
        <v>39115</v>
      </c>
      <c r="E1045" s="115">
        <f>IFERROR(__xludf.DUMMYFUNCTION("""COMPUTED_VALUE"""),11035.0)</f>
        <v>11035</v>
      </c>
      <c r="F1045" s="115">
        <f>IFERROR(__xludf.DUMMYFUNCTION("""COMPUTED_VALUE"""),31802.0)</f>
        <v>31802</v>
      </c>
      <c r="G1045" s="115">
        <f>IFERROR(__xludf.DUMMYFUNCTION("""COMPUTED_VALUE"""),6831.0)</f>
        <v>6831</v>
      </c>
      <c r="H1045" s="116">
        <f>IFERROR(__xludf.DUMMYFUNCTION("""COMPUTED_VALUE"""),45902.0)</f>
        <v>45902</v>
      </c>
      <c r="I1045" s="115" t="str">
        <f>IFERROR(__xludf.DUMMYFUNCTION("""COMPUTED_VALUE"""),"20")</f>
        <v>20</v>
      </c>
      <c r="J1045" s="115" t="str">
        <f>IFERROR(__xludf.DUMMYFUNCTION("""COMPUTED_VALUE"""),"Ashish Jakar2025-09-0220")</f>
        <v>Ashish Jakar2025-09-0220</v>
      </c>
      <c r="K1045" s="115">
        <f>IFERROR(__xludf.DUMMYFUNCTION("""COMPUTED_VALUE"""),50150.0)</f>
        <v>50150</v>
      </c>
    </row>
    <row r="1046">
      <c r="A1046" s="115" t="str">
        <f>IFERROR(__xludf.DUMMYFUNCTION("""COMPUTED_VALUE"""),"WEST")</f>
        <v>WEST</v>
      </c>
      <c r="B1046" s="115" t="str">
        <f>IFERROR(__xludf.DUMMYFUNCTION("""COMPUTED_VALUE"""),"Ashvani Bhatt")</f>
        <v>Ashvani Bhatt</v>
      </c>
      <c r="C1046" s="115" t="str">
        <f>IFERROR(__xludf.DUMMYFUNCTION("""COMPUTED_VALUE"""),"EXTERNAL")</f>
        <v>EXTERNAL</v>
      </c>
      <c r="D1046" s="115">
        <f>IFERROR(__xludf.DUMMYFUNCTION("""COMPUTED_VALUE"""),37963.0)</f>
        <v>37963</v>
      </c>
      <c r="E1046" s="115">
        <f>IFERROR(__xludf.DUMMYFUNCTION("""COMPUTED_VALUE"""),3738.0)</f>
        <v>3738</v>
      </c>
      <c r="F1046" s="115">
        <f>IFERROR(__xludf.DUMMYFUNCTION("""COMPUTED_VALUE"""),15550.0)</f>
        <v>15550</v>
      </c>
      <c r="G1046" s="115">
        <f>IFERROR(__xludf.DUMMYFUNCTION("""COMPUTED_VALUE"""),1197.0)</f>
        <v>1197</v>
      </c>
      <c r="H1046" s="116">
        <f>IFERROR(__xludf.DUMMYFUNCTION("""COMPUTED_VALUE"""),45902.0)</f>
        <v>45902</v>
      </c>
      <c r="I1046" s="115" t="str">
        <f>IFERROR(__xludf.DUMMYFUNCTION("""COMPUTED_VALUE"""),"20")</f>
        <v>20</v>
      </c>
      <c r="J1046" s="115" t="str">
        <f>IFERROR(__xludf.DUMMYFUNCTION("""COMPUTED_VALUE"""),"Ashvani Bhatt2025-09-0220")</f>
        <v>Ashvani Bhatt2025-09-0220</v>
      </c>
      <c r="K1046" s="115">
        <f>IFERROR(__xludf.DUMMYFUNCTION("""COMPUTED_VALUE"""),41701.0)</f>
        <v>41701</v>
      </c>
    </row>
    <row r="1047">
      <c r="A1047" s="115" t="str">
        <f>IFERROR(__xludf.DUMMYFUNCTION("""COMPUTED_VALUE"""),"WEST")</f>
        <v>WEST</v>
      </c>
      <c r="B1047" s="115" t="str">
        <f>IFERROR(__xludf.DUMMYFUNCTION("""COMPUTED_VALUE"""),"Ashvani Bhatt")</f>
        <v>Ashvani Bhatt</v>
      </c>
      <c r="C1047" s="115" t="str">
        <f>IFERROR(__xludf.DUMMYFUNCTION("""COMPUTED_VALUE"""),"FLIPKART")</f>
        <v>FLIPKART</v>
      </c>
      <c r="D1047" s="115">
        <f>IFERROR(__xludf.DUMMYFUNCTION("""COMPUTED_VALUE"""),267489.0)</f>
        <v>267489</v>
      </c>
      <c r="E1047" s="115">
        <f>IFERROR(__xludf.DUMMYFUNCTION("""COMPUTED_VALUE"""),29873.0)</f>
        <v>29873</v>
      </c>
      <c r="F1047" s="115">
        <f>IFERROR(__xludf.DUMMYFUNCTION("""COMPUTED_VALUE"""),201006.0)</f>
        <v>201006</v>
      </c>
      <c r="G1047" s="115">
        <f>IFERROR(__xludf.DUMMYFUNCTION("""COMPUTED_VALUE"""),19240.0)</f>
        <v>19240</v>
      </c>
      <c r="H1047" s="116">
        <f>IFERROR(__xludf.DUMMYFUNCTION("""COMPUTED_VALUE"""),45902.0)</f>
        <v>45902</v>
      </c>
      <c r="I1047" s="115" t="str">
        <f>IFERROR(__xludf.DUMMYFUNCTION("""COMPUTED_VALUE"""),"20")</f>
        <v>20</v>
      </c>
      <c r="J1047" s="115" t="str">
        <f>IFERROR(__xludf.DUMMYFUNCTION("""COMPUTED_VALUE"""),"Ashvani Bhatt2025-09-0220")</f>
        <v>Ashvani Bhatt2025-09-0220</v>
      </c>
      <c r="K1047" s="115">
        <f>IFERROR(__xludf.DUMMYFUNCTION("""COMPUTED_VALUE"""),297362.0)</f>
        <v>297362</v>
      </c>
    </row>
    <row r="1048">
      <c r="A1048" s="115" t="str">
        <f>IFERROR(__xludf.DUMMYFUNCTION("""COMPUTED_VALUE"""),"WEST")</f>
        <v>WEST</v>
      </c>
      <c r="B1048" s="115" t="str">
        <f>IFERROR(__xludf.DUMMYFUNCTION("""COMPUTED_VALUE"""),"Ashvani Bhatt")</f>
        <v>Ashvani Bhatt</v>
      </c>
      <c r="C1048" s="115" t="str">
        <f>IFERROR(__xludf.DUMMYFUNCTION("""COMPUTED_VALUE"""),"MYNTRA")</f>
        <v>MYNTRA</v>
      </c>
      <c r="D1048" s="115">
        <f>IFERROR(__xludf.DUMMYFUNCTION("""COMPUTED_VALUE"""),31149.0)</f>
        <v>31149</v>
      </c>
      <c r="E1048" s="115">
        <f>IFERROR(__xludf.DUMMYFUNCTION("""COMPUTED_VALUE"""),8946.0)</f>
        <v>8946</v>
      </c>
      <c r="F1048" s="115">
        <f>IFERROR(__xludf.DUMMYFUNCTION("""COMPUTED_VALUE"""),26349.0)</f>
        <v>26349</v>
      </c>
      <c r="G1048" s="115">
        <f>IFERROR(__xludf.DUMMYFUNCTION("""COMPUTED_VALUE"""),6329.0)</f>
        <v>6329</v>
      </c>
      <c r="H1048" s="116">
        <f>IFERROR(__xludf.DUMMYFUNCTION("""COMPUTED_VALUE"""),45902.0)</f>
        <v>45902</v>
      </c>
      <c r="I1048" s="115" t="str">
        <f>IFERROR(__xludf.DUMMYFUNCTION("""COMPUTED_VALUE"""),"20")</f>
        <v>20</v>
      </c>
      <c r="J1048" s="115" t="str">
        <f>IFERROR(__xludf.DUMMYFUNCTION("""COMPUTED_VALUE"""),"Ashvani Bhatt2025-09-0220")</f>
        <v>Ashvani Bhatt2025-09-0220</v>
      </c>
      <c r="K1048" s="115">
        <f>IFERROR(__xludf.DUMMYFUNCTION("""COMPUTED_VALUE"""),40095.0)</f>
        <v>40095</v>
      </c>
    </row>
    <row r="1049">
      <c r="A1049" s="115"/>
      <c r="B1049" s="115"/>
      <c r="C1049" s="115" t="str">
        <f>IFERROR(__xludf.DUMMYFUNCTION("""COMPUTED_VALUE"""),"EXTERNAL")</f>
        <v>EXTERNAL</v>
      </c>
      <c r="D1049" s="115">
        <f>IFERROR(__xludf.DUMMYFUNCTION("""COMPUTED_VALUE"""),542.0)</f>
        <v>542</v>
      </c>
      <c r="E1049" s="115">
        <f>IFERROR(__xludf.DUMMYFUNCTION("""COMPUTED_VALUE"""),22.0)</f>
        <v>22</v>
      </c>
      <c r="F1049" s="115">
        <f>IFERROR(__xludf.DUMMYFUNCTION("""COMPUTED_VALUE"""),133.0)</f>
        <v>133</v>
      </c>
      <c r="G1049" s="115">
        <f>IFERROR(__xludf.DUMMYFUNCTION("""COMPUTED_VALUE"""),6.0)</f>
        <v>6</v>
      </c>
      <c r="H1049" s="116">
        <f>IFERROR(__xludf.DUMMYFUNCTION("""COMPUTED_VALUE"""),45902.0)</f>
        <v>45902</v>
      </c>
      <c r="I1049" s="115" t="str">
        <f>IFERROR(__xludf.DUMMYFUNCTION("""COMPUTED_VALUE"""),"20")</f>
        <v>20</v>
      </c>
      <c r="J1049" s="115" t="str">
        <f>IFERROR(__xludf.DUMMYFUNCTION("""COMPUTED_VALUE"""),"2025-09-0220")</f>
        <v>2025-09-0220</v>
      </c>
      <c r="K1049" s="115">
        <f>IFERROR(__xludf.DUMMYFUNCTION("""COMPUTED_VALUE"""),564.0)</f>
        <v>564</v>
      </c>
    </row>
    <row r="1050">
      <c r="A1050" s="115"/>
      <c r="B1050" s="115"/>
      <c r="C1050" s="115" t="str">
        <f>IFERROR(__xludf.DUMMYFUNCTION("""COMPUTED_VALUE"""),"FLIPKART")</f>
        <v>FLIPKART</v>
      </c>
      <c r="D1050" s="115">
        <f>IFERROR(__xludf.DUMMYFUNCTION("""COMPUTED_VALUE"""),3482.0)</f>
        <v>3482</v>
      </c>
      <c r="E1050" s="115">
        <f>IFERROR(__xludf.DUMMYFUNCTION("""COMPUTED_VALUE"""),250.0)</f>
        <v>250</v>
      </c>
      <c r="F1050" s="115">
        <f>IFERROR(__xludf.DUMMYFUNCTION("""COMPUTED_VALUE"""),2568.0)</f>
        <v>2568</v>
      </c>
      <c r="G1050" s="115">
        <f>IFERROR(__xludf.DUMMYFUNCTION("""COMPUTED_VALUE"""),120.0)</f>
        <v>120</v>
      </c>
      <c r="H1050" s="116">
        <f>IFERROR(__xludf.DUMMYFUNCTION("""COMPUTED_VALUE"""),45902.0)</f>
        <v>45902</v>
      </c>
      <c r="I1050" s="115" t="str">
        <f>IFERROR(__xludf.DUMMYFUNCTION("""COMPUTED_VALUE"""),"20")</f>
        <v>20</v>
      </c>
      <c r="J1050" s="115" t="str">
        <f>IFERROR(__xludf.DUMMYFUNCTION("""COMPUTED_VALUE"""),"2025-09-0220")</f>
        <v>2025-09-0220</v>
      </c>
      <c r="K1050" s="115">
        <f>IFERROR(__xludf.DUMMYFUNCTION("""COMPUTED_VALUE"""),3732.0)</f>
        <v>3732</v>
      </c>
    </row>
    <row r="1051">
      <c r="A1051" s="115"/>
      <c r="B1051" s="115"/>
      <c r="C1051" s="115" t="str">
        <f>IFERROR(__xludf.DUMMYFUNCTION("""COMPUTED_VALUE"""),"MYNTRA")</f>
        <v>MYNTRA</v>
      </c>
      <c r="D1051" s="115">
        <f>IFERROR(__xludf.DUMMYFUNCTION("""COMPUTED_VALUE"""),374.0)</f>
        <v>374</v>
      </c>
      <c r="E1051" s="115">
        <f>IFERROR(__xludf.DUMMYFUNCTION("""COMPUTED_VALUE"""),62.0)</f>
        <v>62</v>
      </c>
      <c r="F1051" s="115">
        <f>IFERROR(__xludf.DUMMYFUNCTION("""COMPUTED_VALUE"""),245.0)</f>
        <v>245</v>
      </c>
      <c r="G1051" s="115">
        <f>IFERROR(__xludf.DUMMYFUNCTION("""COMPUTED_VALUE"""),26.0)</f>
        <v>26</v>
      </c>
      <c r="H1051" s="116">
        <f>IFERROR(__xludf.DUMMYFUNCTION("""COMPUTED_VALUE"""),45902.0)</f>
        <v>45902</v>
      </c>
      <c r="I1051" s="115" t="str">
        <f>IFERROR(__xludf.DUMMYFUNCTION("""COMPUTED_VALUE"""),"20")</f>
        <v>20</v>
      </c>
      <c r="J1051" s="115" t="str">
        <f>IFERROR(__xludf.DUMMYFUNCTION("""COMPUTED_VALUE"""),"2025-09-0220")</f>
        <v>2025-09-0220</v>
      </c>
      <c r="K1051" s="115">
        <f>IFERROR(__xludf.DUMMYFUNCTION("""COMPUTED_VALUE"""),436.0)</f>
        <v>436</v>
      </c>
    </row>
    <row r="1052">
      <c r="A1052" s="115" t="str">
        <f>IFERROR(__xludf.DUMMYFUNCTION("""COMPUTED_VALUE"""),"EAST")</f>
        <v>EAST</v>
      </c>
      <c r="B1052" s="115" t="str">
        <f>IFERROR(__xludf.DUMMYFUNCTION("""COMPUTED_VALUE"""),"Ashish Ranjan")</f>
        <v>Ashish Ranjan</v>
      </c>
      <c r="C1052" s="115" t="str">
        <f>IFERROR(__xludf.DUMMYFUNCTION("""COMPUTED_VALUE"""),"EXTERNAL")</f>
        <v>EXTERNAL</v>
      </c>
      <c r="D1052" s="115">
        <f>IFERROR(__xludf.DUMMYFUNCTION("""COMPUTED_VALUE"""),40641.0)</f>
        <v>40641</v>
      </c>
      <c r="E1052" s="115">
        <f>IFERROR(__xludf.DUMMYFUNCTION("""COMPUTED_VALUE"""),2814.0)</f>
        <v>2814</v>
      </c>
      <c r="F1052" s="115">
        <f>IFERROR(__xludf.DUMMYFUNCTION("""COMPUTED_VALUE"""),21965.0)</f>
        <v>21965</v>
      </c>
      <c r="G1052" s="115">
        <f>IFERROR(__xludf.DUMMYFUNCTION("""COMPUTED_VALUE"""),1451.0)</f>
        <v>1451</v>
      </c>
      <c r="H1052" s="116">
        <f>IFERROR(__xludf.DUMMYFUNCTION("""COMPUTED_VALUE"""),45902.0)</f>
        <v>45902</v>
      </c>
      <c r="I1052" s="115" t="str">
        <f>IFERROR(__xludf.DUMMYFUNCTION("""COMPUTED_VALUE"""),"21")</f>
        <v>21</v>
      </c>
      <c r="J1052" s="115" t="str">
        <f>IFERROR(__xludf.DUMMYFUNCTION("""COMPUTED_VALUE"""),"Ashish Ranjan2025-09-0221")</f>
        <v>Ashish Ranjan2025-09-0221</v>
      </c>
      <c r="K1052" s="115">
        <f>IFERROR(__xludf.DUMMYFUNCTION("""COMPUTED_VALUE"""),43455.0)</f>
        <v>43455</v>
      </c>
    </row>
    <row r="1053">
      <c r="A1053" s="115" t="str">
        <f>IFERROR(__xludf.DUMMYFUNCTION("""COMPUTED_VALUE"""),"EAST")</f>
        <v>EAST</v>
      </c>
      <c r="B1053" s="115" t="str">
        <f>IFERROR(__xludf.DUMMYFUNCTION("""COMPUTED_VALUE"""),"Ashish Ranjan")</f>
        <v>Ashish Ranjan</v>
      </c>
      <c r="C1053" s="115" t="str">
        <f>IFERROR(__xludf.DUMMYFUNCTION("""COMPUTED_VALUE"""),"FLIPKART")</f>
        <v>FLIPKART</v>
      </c>
      <c r="D1053" s="115">
        <f>IFERROR(__xludf.DUMMYFUNCTION("""COMPUTED_VALUE"""),593279.0)</f>
        <v>593279</v>
      </c>
      <c r="E1053" s="115">
        <f>IFERROR(__xludf.DUMMYFUNCTION("""COMPUTED_VALUE"""),60887.0)</f>
        <v>60887</v>
      </c>
      <c r="F1053" s="115">
        <f>IFERROR(__xludf.DUMMYFUNCTION("""COMPUTED_VALUE"""),521957.0)</f>
        <v>521957</v>
      </c>
      <c r="G1053" s="115">
        <f>IFERROR(__xludf.DUMMYFUNCTION("""COMPUTED_VALUE"""),48571.0)</f>
        <v>48571</v>
      </c>
      <c r="H1053" s="116">
        <f>IFERROR(__xludf.DUMMYFUNCTION("""COMPUTED_VALUE"""),45902.0)</f>
        <v>45902</v>
      </c>
      <c r="I1053" s="115" t="str">
        <f>IFERROR(__xludf.DUMMYFUNCTION("""COMPUTED_VALUE"""),"21")</f>
        <v>21</v>
      </c>
      <c r="J1053" s="115" t="str">
        <f>IFERROR(__xludf.DUMMYFUNCTION("""COMPUTED_VALUE"""),"Ashish Ranjan2025-09-0221")</f>
        <v>Ashish Ranjan2025-09-0221</v>
      </c>
      <c r="K1053" s="115">
        <f>IFERROR(__xludf.DUMMYFUNCTION("""COMPUTED_VALUE"""),654166.0)</f>
        <v>654166</v>
      </c>
    </row>
    <row r="1054">
      <c r="A1054" s="115" t="str">
        <f>IFERROR(__xludf.DUMMYFUNCTION("""COMPUTED_VALUE"""),"EAST")</f>
        <v>EAST</v>
      </c>
      <c r="B1054" s="115" t="str">
        <f>IFERROR(__xludf.DUMMYFUNCTION("""COMPUTED_VALUE"""),"Ashish Ranjan")</f>
        <v>Ashish Ranjan</v>
      </c>
      <c r="C1054" s="115" t="str">
        <f>IFERROR(__xludf.DUMMYFUNCTION("""COMPUTED_VALUE"""),"MYNTRA")</f>
        <v>MYNTRA</v>
      </c>
      <c r="D1054" s="115">
        <f>IFERROR(__xludf.DUMMYFUNCTION("""COMPUTED_VALUE"""),57106.0)</f>
        <v>57106</v>
      </c>
      <c r="E1054" s="115">
        <f>IFERROR(__xludf.DUMMYFUNCTION("""COMPUTED_VALUE"""),12174.0)</f>
        <v>12174</v>
      </c>
      <c r="F1054" s="115">
        <f>IFERROR(__xludf.DUMMYFUNCTION("""COMPUTED_VALUE"""),51098.0)</f>
        <v>51098</v>
      </c>
      <c r="G1054" s="115">
        <f>IFERROR(__xludf.DUMMYFUNCTION("""COMPUTED_VALUE"""),9662.0)</f>
        <v>9662</v>
      </c>
      <c r="H1054" s="116">
        <f>IFERROR(__xludf.DUMMYFUNCTION("""COMPUTED_VALUE"""),45902.0)</f>
        <v>45902</v>
      </c>
      <c r="I1054" s="115" t="str">
        <f>IFERROR(__xludf.DUMMYFUNCTION("""COMPUTED_VALUE"""),"21")</f>
        <v>21</v>
      </c>
      <c r="J1054" s="115" t="str">
        <f>IFERROR(__xludf.DUMMYFUNCTION("""COMPUTED_VALUE"""),"Ashish Ranjan2025-09-0221")</f>
        <v>Ashish Ranjan2025-09-0221</v>
      </c>
      <c r="K1054" s="115">
        <f>IFERROR(__xludf.DUMMYFUNCTION("""COMPUTED_VALUE"""),69280.0)</f>
        <v>69280</v>
      </c>
    </row>
    <row r="1055">
      <c r="A1055" s="115" t="str">
        <f>IFERROR(__xludf.DUMMYFUNCTION("""COMPUTED_VALUE"""),"EAST")</f>
        <v>EAST</v>
      </c>
      <c r="B1055" s="115" t="str">
        <f>IFERROR(__xludf.DUMMYFUNCTION("""COMPUTED_VALUE"""),"Girish Chand")</f>
        <v>Girish Chand</v>
      </c>
      <c r="C1055" s="115" t="str">
        <f>IFERROR(__xludf.DUMMYFUNCTION("""COMPUTED_VALUE"""),"EXTERNAL")</f>
        <v>EXTERNAL</v>
      </c>
      <c r="D1055" s="115">
        <f>IFERROR(__xludf.DUMMYFUNCTION("""COMPUTED_VALUE"""),23317.0)</f>
        <v>23317</v>
      </c>
      <c r="E1055" s="115">
        <f>IFERROR(__xludf.DUMMYFUNCTION("""COMPUTED_VALUE"""),2424.0)</f>
        <v>2424</v>
      </c>
      <c r="F1055" s="115">
        <f>IFERROR(__xludf.DUMMYFUNCTION("""COMPUTED_VALUE"""),9629.0)</f>
        <v>9629</v>
      </c>
      <c r="G1055" s="115">
        <f>IFERROR(__xludf.DUMMYFUNCTION("""COMPUTED_VALUE"""),775.0)</f>
        <v>775</v>
      </c>
      <c r="H1055" s="116">
        <f>IFERROR(__xludf.DUMMYFUNCTION("""COMPUTED_VALUE"""),45902.0)</f>
        <v>45902</v>
      </c>
      <c r="I1055" s="115" t="str">
        <f>IFERROR(__xludf.DUMMYFUNCTION("""COMPUTED_VALUE"""),"21")</f>
        <v>21</v>
      </c>
      <c r="J1055" s="115" t="str">
        <f>IFERROR(__xludf.DUMMYFUNCTION("""COMPUTED_VALUE"""),"Girish Chand2025-09-0221")</f>
        <v>Girish Chand2025-09-0221</v>
      </c>
      <c r="K1055" s="115">
        <f>IFERROR(__xludf.DUMMYFUNCTION("""COMPUTED_VALUE"""),25741.0)</f>
        <v>25741</v>
      </c>
    </row>
    <row r="1056">
      <c r="A1056" s="115" t="str">
        <f>IFERROR(__xludf.DUMMYFUNCTION("""COMPUTED_VALUE"""),"EAST")</f>
        <v>EAST</v>
      </c>
      <c r="B1056" s="115" t="str">
        <f>IFERROR(__xludf.DUMMYFUNCTION("""COMPUTED_VALUE"""),"Girish Chand")</f>
        <v>Girish Chand</v>
      </c>
      <c r="C1056" s="115" t="str">
        <f>IFERROR(__xludf.DUMMYFUNCTION("""COMPUTED_VALUE"""),"FLIPKART")</f>
        <v>FLIPKART</v>
      </c>
      <c r="D1056" s="115">
        <f>IFERROR(__xludf.DUMMYFUNCTION("""COMPUTED_VALUE"""),395009.0)</f>
        <v>395009</v>
      </c>
      <c r="E1056" s="115">
        <f>IFERROR(__xludf.DUMMYFUNCTION("""COMPUTED_VALUE"""),39375.0)</f>
        <v>39375</v>
      </c>
      <c r="F1056" s="115">
        <f>IFERROR(__xludf.DUMMYFUNCTION("""COMPUTED_VALUE"""),293349.0)</f>
        <v>293349</v>
      </c>
      <c r="G1056" s="115">
        <f>IFERROR(__xludf.DUMMYFUNCTION("""COMPUTED_VALUE"""),28535.0)</f>
        <v>28535</v>
      </c>
      <c r="H1056" s="116">
        <f>IFERROR(__xludf.DUMMYFUNCTION("""COMPUTED_VALUE"""),45902.0)</f>
        <v>45902</v>
      </c>
      <c r="I1056" s="115" t="str">
        <f>IFERROR(__xludf.DUMMYFUNCTION("""COMPUTED_VALUE"""),"21")</f>
        <v>21</v>
      </c>
      <c r="J1056" s="115" t="str">
        <f>IFERROR(__xludf.DUMMYFUNCTION("""COMPUTED_VALUE"""),"Girish Chand2025-09-0221")</f>
        <v>Girish Chand2025-09-0221</v>
      </c>
      <c r="K1056" s="115">
        <f>IFERROR(__xludf.DUMMYFUNCTION("""COMPUTED_VALUE"""),434384.0)</f>
        <v>434384</v>
      </c>
    </row>
    <row r="1057">
      <c r="A1057" s="115" t="str">
        <f>IFERROR(__xludf.DUMMYFUNCTION("""COMPUTED_VALUE"""),"EAST")</f>
        <v>EAST</v>
      </c>
      <c r="B1057" s="115" t="str">
        <f>IFERROR(__xludf.DUMMYFUNCTION("""COMPUTED_VALUE"""),"Girish Chand")</f>
        <v>Girish Chand</v>
      </c>
      <c r="C1057" s="115" t="str">
        <f>IFERROR(__xludf.DUMMYFUNCTION("""COMPUTED_VALUE"""),"MYNTRA")</f>
        <v>MYNTRA</v>
      </c>
      <c r="D1057" s="115">
        <f>IFERROR(__xludf.DUMMYFUNCTION("""COMPUTED_VALUE"""),31189.0)</f>
        <v>31189</v>
      </c>
      <c r="E1057" s="115">
        <f>IFERROR(__xludf.DUMMYFUNCTION("""COMPUTED_VALUE"""),6547.0)</f>
        <v>6547</v>
      </c>
      <c r="F1057" s="115">
        <f>IFERROR(__xludf.DUMMYFUNCTION("""COMPUTED_VALUE"""),24701.0)</f>
        <v>24701</v>
      </c>
      <c r="G1057" s="115">
        <f>IFERROR(__xludf.DUMMYFUNCTION("""COMPUTED_VALUE"""),4837.0)</f>
        <v>4837</v>
      </c>
      <c r="H1057" s="116">
        <f>IFERROR(__xludf.DUMMYFUNCTION("""COMPUTED_VALUE"""),45902.0)</f>
        <v>45902</v>
      </c>
      <c r="I1057" s="115" t="str">
        <f>IFERROR(__xludf.DUMMYFUNCTION("""COMPUTED_VALUE"""),"21")</f>
        <v>21</v>
      </c>
      <c r="J1057" s="115" t="str">
        <f>IFERROR(__xludf.DUMMYFUNCTION("""COMPUTED_VALUE"""),"Girish Chand2025-09-0221")</f>
        <v>Girish Chand2025-09-0221</v>
      </c>
      <c r="K1057" s="115">
        <f>IFERROR(__xludf.DUMMYFUNCTION("""COMPUTED_VALUE"""),37736.0)</f>
        <v>37736</v>
      </c>
    </row>
    <row r="1058">
      <c r="A1058" s="115" t="str">
        <f>IFERROR(__xludf.DUMMYFUNCTION("""COMPUTED_VALUE"""),"EAST")</f>
        <v>EAST</v>
      </c>
      <c r="B1058" s="115" t="str">
        <f>IFERROR(__xludf.DUMMYFUNCTION("""COMPUTED_VALUE"""),"Parag Kashyap")</f>
        <v>Parag Kashyap</v>
      </c>
      <c r="C1058" s="115" t="str">
        <f>IFERROR(__xludf.DUMMYFUNCTION("""COMPUTED_VALUE"""),"EXTERNAL")</f>
        <v>EXTERNAL</v>
      </c>
      <c r="D1058" s="115">
        <f>IFERROR(__xludf.DUMMYFUNCTION("""COMPUTED_VALUE"""),21261.0)</f>
        <v>21261</v>
      </c>
      <c r="E1058" s="115">
        <f>IFERROR(__xludf.DUMMYFUNCTION("""COMPUTED_VALUE"""),1274.0)</f>
        <v>1274</v>
      </c>
      <c r="F1058" s="115">
        <f>IFERROR(__xludf.DUMMYFUNCTION("""COMPUTED_VALUE"""),8726.0)</f>
        <v>8726</v>
      </c>
      <c r="G1058" s="115">
        <f>IFERROR(__xludf.DUMMYFUNCTION("""COMPUTED_VALUE"""),414.0)</f>
        <v>414</v>
      </c>
      <c r="H1058" s="116">
        <f>IFERROR(__xludf.DUMMYFUNCTION("""COMPUTED_VALUE"""),45902.0)</f>
        <v>45902</v>
      </c>
      <c r="I1058" s="115" t="str">
        <f>IFERROR(__xludf.DUMMYFUNCTION("""COMPUTED_VALUE"""),"21")</f>
        <v>21</v>
      </c>
      <c r="J1058" s="115" t="str">
        <f>IFERROR(__xludf.DUMMYFUNCTION("""COMPUTED_VALUE"""),"Parag Kashyap2025-09-0221")</f>
        <v>Parag Kashyap2025-09-0221</v>
      </c>
      <c r="K1058" s="115">
        <f>IFERROR(__xludf.DUMMYFUNCTION("""COMPUTED_VALUE"""),22535.0)</f>
        <v>22535</v>
      </c>
    </row>
    <row r="1059">
      <c r="A1059" s="115" t="str">
        <f>IFERROR(__xludf.DUMMYFUNCTION("""COMPUTED_VALUE"""),"EAST")</f>
        <v>EAST</v>
      </c>
      <c r="B1059" s="115" t="str">
        <f>IFERROR(__xludf.DUMMYFUNCTION("""COMPUTED_VALUE"""),"Parag Kashyap")</f>
        <v>Parag Kashyap</v>
      </c>
      <c r="C1059" s="115" t="str">
        <f>IFERROR(__xludf.DUMMYFUNCTION("""COMPUTED_VALUE"""),"FLIPKART")</f>
        <v>FLIPKART</v>
      </c>
      <c r="D1059" s="115">
        <f>IFERROR(__xludf.DUMMYFUNCTION("""COMPUTED_VALUE"""),298691.0)</f>
        <v>298691</v>
      </c>
      <c r="E1059" s="115">
        <f>IFERROR(__xludf.DUMMYFUNCTION("""COMPUTED_VALUE"""),19934.0)</f>
        <v>19934</v>
      </c>
      <c r="F1059" s="115">
        <f>IFERROR(__xludf.DUMMYFUNCTION("""COMPUTED_VALUE"""),232831.0)</f>
        <v>232831</v>
      </c>
      <c r="G1059" s="115">
        <f>IFERROR(__xludf.DUMMYFUNCTION("""COMPUTED_VALUE"""),14347.0)</f>
        <v>14347</v>
      </c>
      <c r="H1059" s="116">
        <f>IFERROR(__xludf.DUMMYFUNCTION("""COMPUTED_VALUE"""),45902.0)</f>
        <v>45902</v>
      </c>
      <c r="I1059" s="115" t="str">
        <f>IFERROR(__xludf.DUMMYFUNCTION("""COMPUTED_VALUE"""),"21")</f>
        <v>21</v>
      </c>
      <c r="J1059" s="115" t="str">
        <f>IFERROR(__xludf.DUMMYFUNCTION("""COMPUTED_VALUE"""),"Parag Kashyap2025-09-0221")</f>
        <v>Parag Kashyap2025-09-0221</v>
      </c>
      <c r="K1059" s="115">
        <f>IFERROR(__xludf.DUMMYFUNCTION("""COMPUTED_VALUE"""),318625.0)</f>
        <v>318625</v>
      </c>
    </row>
    <row r="1060">
      <c r="A1060" s="115" t="str">
        <f>IFERROR(__xludf.DUMMYFUNCTION("""COMPUTED_VALUE"""),"EAST")</f>
        <v>EAST</v>
      </c>
      <c r="B1060" s="115" t="str">
        <f>IFERROR(__xludf.DUMMYFUNCTION("""COMPUTED_VALUE"""),"Parag Kashyap")</f>
        <v>Parag Kashyap</v>
      </c>
      <c r="C1060" s="115" t="str">
        <f>IFERROR(__xludf.DUMMYFUNCTION("""COMPUTED_VALUE"""),"MYNTRA")</f>
        <v>MYNTRA</v>
      </c>
      <c r="D1060" s="115">
        <f>IFERROR(__xludf.DUMMYFUNCTION("""COMPUTED_VALUE"""),31200.0)</f>
        <v>31200</v>
      </c>
      <c r="E1060" s="115">
        <f>IFERROR(__xludf.DUMMYFUNCTION("""COMPUTED_VALUE"""),5072.0)</f>
        <v>5072</v>
      </c>
      <c r="F1060" s="115">
        <f>IFERROR(__xludf.DUMMYFUNCTION("""COMPUTED_VALUE"""),24892.0)</f>
        <v>24892</v>
      </c>
      <c r="G1060" s="115">
        <f>IFERROR(__xludf.DUMMYFUNCTION("""COMPUTED_VALUE"""),3611.0)</f>
        <v>3611</v>
      </c>
      <c r="H1060" s="116">
        <f>IFERROR(__xludf.DUMMYFUNCTION("""COMPUTED_VALUE"""),45902.0)</f>
        <v>45902</v>
      </c>
      <c r="I1060" s="115" t="str">
        <f>IFERROR(__xludf.DUMMYFUNCTION("""COMPUTED_VALUE"""),"21")</f>
        <v>21</v>
      </c>
      <c r="J1060" s="115" t="str">
        <f>IFERROR(__xludf.DUMMYFUNCTION("""COMPUTED_VALUE"""),"Parag Kashyap2025-09-0221")</f>
        <v>Parag Kashyap2025-09-0221</v>
      </c>
      <c r="K1060" s="115">
        <f>IFERROR(__xludf.DUMMYFUNCTION("""COMPUTED_VALUE"""),36272.0)</f>
        <v>36272</v>
      </c>
    </row>
    <row r="1061">
      <c r="A1061" s="115" t="str">
        <f>IFERROR(__xludf.DUMMYFUNCTION("""COMPUTED_VALUE"""),"NORTH")</f>
        <v>NORTH</v>
      </c>
      <c r="B1061" s="115" t="str">
        <f>IFERROR(__xludf.DUMMYFUNCTION("""COMPUTED_VALUE"""),"Amit Kumar Pathak")</f>
        <v>Amit Kumar Pathak</v>
      </c>
      <c r="C1061" s="115" t="str">
        <f>IFERROR(__xludf.DUMMYFUNCTION("""COMPUTED_VALUE"""),"EXTERNAL")</f>
        <v>EXTERNAL</v>
      </c>
      <c r="D1061" s="115">
        <f>IFERROR(__xludf.DUMMYFUNCTION("""COMPUTED_VALUE"""),25595.0)</f>
        <v>25595</v>
      </c>
      <c r="E1061" s="115">
        <f>IFERROR(__xludf.DUMMYFUNCTION("""COMPUTED_VALUE"""),2215.0)</f>
        <v>2215</v>
      </c>
      <c r="F1061" s="115">
        <f>IFERROR(__xludf.DUMMYFUNCTION("""COMPUTED_VALUE"""),9483.0)</f>
        <v>9483</v>
      </c>
      <c r="G1061" s="115">
        <f>IFERROR(__xludf.DUMMYFUNCTION("""COMPUTED_VALUE"""),796.0)</f>
        <v>796</v>
      </c>
      <c r="H1061" s="116">
        <f>IFERROR(__xludf.DUMMYFUNCTION("""COMPUTED_VALUE"""),45902.0)</f>
        <v>45902</v>
      </c>
      <c r="I1061" s="115" t="str">
        <f>IFERROR(__xludf.DUMMYFUNCTION("""COMPUTED_VALUE"""),"21")</f>
        <v>21</v>
      </c>
      <c r="J1061" s="115" t="str">
        <f>IFERROR(__xludf.DUMMYFUNCTION("""COMPUTED_VALUE"""),"Amit Kumar Pathak2025-09-0221")</f>
        <v>Amit Kumar Pathak2025-09-0221</v>
      </c>
      <c r="K1061" s="115">
        <f>IFERROR(__xludf.DUMMYFUNCTION("""COMPUTED_VALUE"""),27810.0)</f>
        <v>27810</v>
      </c>
    </row>
    <row r="1062">
      <c r="A1062" s="115" t="str">
        <f>IFERROR(__xludf.DUMMYFUNCTION("""COMPUTED_VALUE"""),"NORTH")</f>
        <v>NORTH</v>
      </c>
      <c r="B1062" s="115" t="str">
        <f>IFERROR(__xludf.DUMMYFUNCTION("""COMPUTED_VALUE"""),"Amit Kumar Pathak")</f>
        <v>Amit Kumar Pathak</v>
      </c>
      <c r="C1062" s="115" t="str">
        <f>IFERROR(__xludf.DUMMYFUNCTION("""COMPUTED_VALUE"""),"FLIPKART")</f>
        <v>FLIPKART</v>
      </c>
      <c r="D1062" s="115">
        <f>IFERROR(__xludf.DUMMYFUNCTION("""COMPUTED_VALUE"""),175506.0)</f>
        <v>175506</v>
      </c>
      <c r="E1062" s="115">
        <f>IFERROR(__xludf.DUMMYFUNCTION("""COMPUTED_VALUE"""),22429.0)</f>
        <v>22429</v>
      </c>
      <c r="F1062" s="115">
        <f>IFERROR(__xludf.DUMMYFUNCTION("""COMPUTED_VALUE"""),120699.0)</f>
        <v>120699</v>
      </c>
      <c r="G1062" s="115">
        <f>IFERROR(__xludf.DUMMYFUNCTION("""COMPUTED_VALUE"""),14424.0)</f>
        <v>14424</v>
      </c>
      <c r="H1062" s="116">
        <f>IFERROR(__xludf.DUMMYFUNCTION("""COMPUTED_VALUE"""),45902.0)</f>
        <v>45902</v>
      </c>
      <c r="I1062" s="115" t="str">
        <f>IFERROR(__xludf.DUMMYFUNCTION("""COMPUTED_VALUE"""),"21")</f>
        <v>21</v>
      </c>
      <c r="J1062" s="115" t="str">
        <f>IFERROR(__xludf.DUMMYFUNCTION("""COMPUTED_VALUE"""),"Amit Kumar Pathak2025-09-0221")</f>
        <v>Amit Kumar Pathak2025-09-0221</v>
      </c>
      <c r="K1062" s="115">
        <f>IFERROR(__xludf.DUMMYFUNCTION("""COMPUTED_VALUE"""),197935.0)</f>
        <v>197935</v>
      </c>
    </row>
    <row r="1063">
      <c r="A1063" s="115" t="str">
        <f>IFERROR(__xludf.DUMMYFUNCTION("""COMPUTED_VALUE"""),"NORTH")</f>
        <v>NORTH</v>
      </c>
      <c r="B1063" s="115" t="str">
        <f>IFERROR(__xludf.DUMMYFUNCTION("""COMPUTED_VALUE"""),"Amit Kumar Pathak")</f>
        <v>Amit Kumar Pathak</v>
      </c>
      <c r="C1063" s="115" t="str">
        <f>IFERROR(__xludf.DUMMYFUNCTION("""COMPUTED_VALUE"""),"MYNTRA")</f>
        <v>MYNTRA</v>
      </c>
      <c r="D1063" s="115">
        <f>IFERROR(__xludf.DUMMYFUNCTION("""COMPUTED_VALUE"""),17205.0)</f>
        <v>17205</v>
      </c>
      <c r="E1063" s="115">
        <f>IFERROR(__xludf.DUMMYFUNCTION("""COMPUTED_VALUE"""),5183.0)</f>
        <v>5183</v>
      </c>
      <c r="F1063" s="115">
        <f>IFERROR(__xludf.DUMMYFUNCTION("""COMPUTED_VALUE"""),13853.0)</f>
        <v>13853</v>
      </c>
      <c r="G1063" s="115">
        <f>IFERROR(__xludf.DUMMYFUNCTION("""COMPUTED_VALUE"""),3581.0)</f>
        <v>3581</v>
      </c>
      <c r="H1063" s="116">
        <f>IFERROR(__xludf.DUMMYFUNCTION("""COMPUTED_VALUE"""),45902.0)</f>
        <v>45902</v>
      </c>
      <c r="I1063" s="115" t="str">
        <f>IFERROR(__xludf.DUMMYFUNCTION("""COMPUTED_VALUE"""),"21")</f>
        <v>21</v>
      </c>
      <c r="J1063" s="115" t="str">
        <f>IFERROR(__xludf.DUMMYFUNCTION("""COMPUTED_VALUE"""),"Amit Kumar Pathak2025-09-0221")</f>
        <v>Amit Kumar Pathak2025-09-0221</v>
      </c>
      <c r="K1063" s="115">
        <f>IFERROR(__xludf.DUMMYFUNCTION("""COMPUTED_VALUE"""),22388.0)</f>
        <v>22388</v>
      </c>
    </row>
    <row r="1064">
      <c r="A1064" s="115" t="str">
        <f>IFERROR(__xludf.DUMMYFUNCTION("""COMPUTED_VALUE"""),"NORTH")</f>
        <v>NORTH</v>
      </c>
      <c r="B1064" s="115" t="str">
        <f>IFERROR(__xludf.DUMMYFUNCTION("""COMPUTED_VALUE"""),"Loveleen Singh")</f>
        <v>Loveleen Singh</v>
      </c>
      <c r="C1064" s="115" t="str">
        <f>IFERROR(__xludf.DUMMYFUNCTION("""COMPUTED_VALUE"""),"EXTERNAL")</f>
        <v>EXTERNAL</v>
      </c>
      <c r="D1064" s="115">
        <f>IFERROR(__xludf.DUMMYFUNCTION("""COMPUTED_VALUE"""),29343.0)</f>
        <v>29343</v>
      </c>
      <c r="E1064" s="115">
        <f>IFERROR(__xludf.DUMMYFUNCTION("""COMPUTED_VALUE"""),2087.0)</f>
        <v>2087</v>
      </c>
      <c r="F1064" s="115">
        <f>IFERROR(__xludf.DUMMYFUNCTION("""COMPUTED_VALUE"""),10731.0)</f>
        <v>10731</v>
      </c>
      <c r="G1064" s="115">
        <f>IFERROR(__xludf.DUMMYFUNCTION("""COMPUTED_VALUE"""),638.0)</f>
        <v>638</v>
      </c>
      <c r="H1064" s="116">
        <f>IFERROR(__xludf.DUMMYFUNCTION("""COMPUTED_VALUE"""),45902.0)</f>
        <v>45902</v>
      </c>
      <c r="I1064" s="115" t="str">
        <f>IFERROR(__xludf.DUMMYFUNCTION("""COMPUTED_VALUE"""),"21")</f>
        <v>21</v>
      </c>
      <c r="J1064" s="115" t="str">
        <f>IFERROR(__xludf.DUMMYFUNCTION("""COMPUTED_VALUE"""),"Loveleen Singh2025-09-0221")</f>
        <v>Loveleen Singh2025-09-0221</v>
      </c>
      <c r="K1064" s="115">
        <f>IFERROR(__xludf.DUMMYFUNCTION("""COMPUTED_VALUE"""),31430.0)</f>
        <v>31430</v>
      </c>
    </row>
    <row r="1065">
      <c r="A1065" s="115" t="str">
        <f>IFERROR(__xludf.DUMMYFUNCTION("""COMPUTED_VALUE"""),"NORTH")</f>
        <v>NORTH</v>
      </c>
      <c r="B1065" s="115" t="str">
        <f>IFERROR(__xludf.DUMMYFUNCTION("""COMPUTED_VALUE"""),"Loveleen Singh")</f>
        <v>Loveleen Singh</v>
      </c>
      <c r="C1065" s="115" t="str">
        <f>IFERROR(__xludf.DUMMYFUNCTION("""COMPUTED_VALUE"""),"FLIPKART")</f>
        <v>FLIPKART</v>
      </c>
      <c r="D1065" s="115">
        <f>IFERROR(__xludf.DUMMYFUNCTION("""COMPUTED_VALUE"""),151439.0)</f>
        <v>151439</v>
      </c>
      <c r="E1065" s="115">
        <f>IFERROR(__xludf.DUMMYFUNCTION("""COMPUTED_VALUE"""),13233.0)</f>
        <v>13233</v>
      </c>
      <c r="F1065" s="115">
        <f>IFERROR(__xludf.DUMMYFUNCTION("""COMPUTED_VALUE"""),106353.0)</f>
        <v>106353</v>
      </c>
      <c r="G1065" s="115">
        <f>IFERROR(__xludf.DUMMYFUNCTION("""COMPUTED_VALUE"""),8494.0)</f>
        <v>8494</v>
      </c>
      <c r="H1065" s="116">
        <f>IFERROR(__xludf.DUMMYFUNCTION("""COMPUTED_VALUE"""),45902.0)</f>
        <v>45902</v>
      </c>
      <c r="I1065" s="115" t="str">
        <f>IFERROR(__xludf.DUMMYFUNCTION("""COMPUTED_VALUE"""),"21")</f>
        <v>21</v>
      </c>
      <c r="J1065" s="115" t="str">
        <f>IFERROR(__xludf.DUMMYFUNCTION("""COMPUTED_VALUE"""),"Loveleen Singh2025-09-0221")</f>
        <v>Loveleen Singh2025-09-0221</v>
      </c>
      <c r="K1065" s="115">
        <f>IFERROR(__xludf.DUMMYFUNCTION("""COMPUTED_VALUE"""),164672.0)</f>
        <v>164672</v>
      </c>
    </row>
    <row r="1066">
      <c r="A1066" s="115" t="str">
        <f>IFERROR(__xludf.DUMMYFUNCTION("""COMPUTED_VALUE"""),"NORTH")</f>
        <v>NORTH</v>
      </c>
      <c r="B1066" s="115" t="str">
        <f>IFERROR(__xludf.DUMMYFUNCTION("""COMPUTED_VALUE"""),"Loveleen Singh")</f>
        <v>Loveleen Singh</v>
      </c>
      <c r="C1066" s="115" t="str">
        <f>IFERROR(__xludf.DUMMYFUNCTION("""COMPUTED_VALUE"""),"MYNTRA")</f>
        <v>MYNTRA</v>
      </c>
      <c r="D1066" s="115">
        <f>IFERROR(__xludf.DUMMYFUNCTION("""COMPUTED_VALUE"""),22860.0)</f>
        <v>22860</v>
      </c>
      <c r="E1066" s="115">
        <f>IFERROR(__xludf.DUMMYFUNCTION("""COMPUTED_VALUE"""),5131.0)</f>
        <v>5131</v>
      </c>
      <c r="F1066" s="115">
        <f>IFERROR(__xludf.DUMMYFUNCTION("""COMPUTED_VALUE"""),18153.0)</f>
        <v>18153</v>
      </c>
      <c r="G1066" s="115">
        <f>IFERROR(__xludf.DUMMYFUNCTION("""COMPUTED_VALUE"""),3431.0)</f>
        <v>3431</v>
      </c>
      <c r="H1066" s="116">
        <f>IFERROR(__xludf.DUMMYFUNCTION("""COMPUTED_VALUE"""),45902.0)</f>
        <v>45902</v>
      </c>
      <c r="I1066" s="115" t="str">
        <f>IFERROR(__xludf.DUMMYFUNCTION("""COMPUTED_VALUE"""),"21")</f>
        <v>21</v>
      </c>
      <c r="J1066" s="115" t="str">
        <f>IFERROR(__xludf.DUMMYFUNCTION("""COMPUTED_VALUE"""),"Loveleen Singh2025-09-0221")</f>
        <v>Loveleen Singh2025-09-0221</v>
      </c>
      <c r="K1066" s="115">
        <f>IFERROR(__xludf.DUMMYFUNCTION("""COMPUTED_VALUE"""),27991.0)</f>
        <v>27991</v>
      </c>
    </row>
    <row r="1067">
      <c r="A1067" s="115" t="str">
        <f>IFERROR(__xludf.DUMMYFUNCTION("""COMPUTED_VALUE"""),"NORTH")</f>
        <v>NORTH</v>
      </c>
      <c r="B1067" s="115" t="str">
        <f>IFERROR(__xludf.DUMMYFUNCTION("""COMPUTED_VALUE"""),"Manoj Harsh")</f>
        <v>Manoj Harsh</v>
      </c>
      <c r="C1067" s="115" t="str">
        <f>IFERROR(__xludf.DUMMYFUNCTION("""COMPUTED_VALUE"""),"EXTERNAL")</f>
        <v>EXTERNAL</v>
      </c>
      <c r="D1067" s="115">
        <f>IFERROR(__xludf.DUMMYFUNCTION("""COMPUTED_VALUE"""),34114.0)</f>
        <v>34114</v>
      </c>
      <c r="E1067" s="115">
        <f>IFERROR(__xludf.DUMMYFUNCTION("""COMPUTED_VALUE"""),3180.0)</f>
        <v>3180</v>
      </c>
      <c r="F1067" s="115">
        <f>IFERROR(__xludf.DUMMYFUNCTION("""COMPUTED_VALUE"""),13800.0)</f>
        <v>13800</v>
      </c>
      <c r="G1067" s="115">
        <f>IFERROR(__xludf.DUMMYFUNCTION("""COMPUTED_VALUE"""),1093.0)</f>
        <v>1093</v>
      </c>
      <c r="H1067" s="116">
        <f>IFERROR(__xludf.DUMMYFUNCTION("""COMPUTED_VALUE"""),45902.0)</f>
        <v>45902</v>
      </c>
      <c r="I1067" s="115" t="str">
        <f>IFERROR(__xludf.DUMMYFUNCTION("""COMPUTED_VALUE"""),"21")</f>
        <v>21</v>
      </c>
      <c r="J1067" s="115" t="str">
        <f>IFERROR(__xludf.DUMMYFUNCTION("""COMPUTED_VALUE"""),"Manoj Harsh2025-09-0221")</f>
        <v>Manoj Harsh2025-09-0221</v>
      </c>
      <c r="K1067" s="115">
        <f>IFERROR(__xludf.DUMMYFUNCTION("""COMPUTED_VALUE"""),37294.0)</f>
        <v>37294</v>
      </c>
    </row>
    <row r="1068">
      <c r="A1068" s="115" t="str">
        <f>IFERROR(__xludf.DUMMYFUNCTION("""COMPUTED_VALUE"""),"NORTH")</f>
        <v>NORTH</v>
      </c>
      <c r="B1068" s="115" t="str">
        <f>IFERROR(__xludf.DUMMYFUNCTION("""COMPUTED_VALUE"""),"Manoj Harsh")</f>
        <v>Manoj Harsh</v>
      </c>
      <c r="C1068" s="115" t="str">
        <f>IFERROR(__xludf.DUMMYFUNCTION("""COMPUTED_VALUE"""),"FLIPKART")</f>
        <v>FLIPKART</v>
      </c>
      <c r="D1068" s="115">
        <f>IFERROR(__xludf.DUMMYFUNCTION("""COMPUTED_VALUE"""),402726.0)</f>
        <v>402726</v>
      </c>
      <c r="E1068" s="115">
        <f>IFERROR(__xludf.DUMMYFUNCTION("""COMPUTED_VALUE"""),42891.0)</f>
        <v>42891</v>
      </c>
      <c r="F1068" s="115">
        <f>IFERROR(__xludf.DUMMYFUNCTION("""COMPUTED_VALUE"""),297156.0)</f>
        <v>297156</v>
      </c>
      <c r="G1068" s="115">
        <f>IFERROR(__xludf.DUMMYFUNCTION("""COMPUTED_VALUE"""),28906.0)</f>
        <v>28906</v>
      </c>
      <c r="H1068" s="116">
        <f>IFERROR(__xludf.DUMMYFUNCTION("""COMPUTED_VALUE"""),45902.0)</f>
        <v>45902</v>
      </c>
      <c r="I1068" s="115" t="str">
        <f>IFERROR(__xludf.DUMMYFUNCTION("""COMPUTED_VALUE"""),"21")</f>
        <v>21</v>
      </c>
      <c r="J1068" s="115" t="str">
        <f>IFERROR(__xludf.DUMMYFUNCTION("""COMPUTED_VALUE"""),"Manoj Harsh2025-09-0221")</f>
        <v>Manoj Harsh2025-09-0221</v>
      </c>
      <c r="K1068" s="115">
        <f>IFERROR(__xludf.DUMMYFUNCTION("""COMPUTED_VALUE"""),445617.0)</f>
        <v>445617</v>
      </c>
    </row>
    <row r="1069">
      <c r="A1069" s="115" t="str">
        <f>IFERROR(__xludf.DUMMYFUNCTION("""COMPUTED_VALUE"""),"NORTH")</f>
        <v>NORTH</v>
      </c>
      <c r="B1069" s="115" t="str">
        <f>IFERROR(__xludf.DUMMYFUNCTION("""COMPUTED_VALUE"""),"Manoj Harsh")</f>
        <v>Manoj Harsh</v>
      </c>
      <c r="C1069" s="115" t="str">
        <f>IFERROR(__xludf.DUMMYFUNCTION("""COMPUTED_VALUE"""),"MYNTRA")</f>
        <v>MYNTRA</v>
      </c>
      <c r="D1069" s="115">
        <f>IFERROR(__xludf.DUMMYFUNCTION("""COMPUTED_VALUE"""),34873.0)</f>
        <v>34873</v>
      </c>
      <c r="E1069" s="115">
        <f>IFERROR(__xludf.DUMMYFUNCTION("""COMPUTED_VALUE"""),7831.0)</f>
        <v>7831</v>
      </c>
      <c r="F1069" s="115">
        <f>IFERROR(__xludf.DUMMYFUNCTION("""COMPUTED_VALUE"""),27876.0)</f>
        <v>27876</v>
      </c>
      <c r="G1069" s="115">
        <f>IFERROR(__xludf.DUMMYFUNCTION("""COMPUTED_VALUE"""),5557.0)</f>
        <v>5557</v>
      </c>
      <c r="H1069" s="116">
        <f>IFERROR(__xludf.DUMMYFUNCTION("""COMPUTED_VALUE"""),45902.0)</f>
        <v>45902</v>
      </c>
      <c r="I1069" s="115" t="str">
        <f>IFERROR(__xludf.DUMMYFUNCTION("""COMPUTED_VALUE"""),"21")</f>
        <v>21</v>
      </c>
      <c r="J1069" s="115" t="str">
        <f>IFERROR(__xludf.DUMMYFUNCTION("""COMPUTED_VALUE"""),"Manoj Harsh2025-09-0221")</f>
        <v>Manoj Harsh2025-09-0221</v>
      </c>
      <c r="K1069" s="115">
        <f>IFERROR(__xludf.DUMMYFUNCTION("""COMPUTED_VALUE"""),42704.0)</f>
        <v>42704</v>
      </c>
    </row>
    <row r="1070">
      <c r="A1070" s="115" t="str">
        <f>IFERROR(__xludf.DUMMYFUNCTION("""COMPUTED_VALUE"""),"NORTH")</f>
        <v>NORTH</v>
      </c>
      <c r="B1070" s="115" t="str">
        <f>IFERROR(__xludf.DUMMYFUNCTION("""COMPUTED_VALUE"""),"Pradeep Kothari")</f>
        <v>Pradeep Kothari</v>
      </c>
      <c r="C1070" s="115" t="str">
        <f>IFERROR(__xludf.DUMMYFUNCTION("""COMPUTED_VALUE"""),"EXTERNAL")</f>
        <v>EXTERNAL</v>
      </c>
      <c r="D1070" s="115">
        <f>IFERROR(__xludf.DUMMYFUNCTION("""COMPUTED_VALUE"""),19213.0)</f>
        <v>19213</v>
      </c>
      <c r="E1070" s="115">
        <f>IFERROR(__xludf.DUMMYFUNCTION("""COMPUTED_VALUE"""),1984.0)</f>
        <v>1984</v>
      </c>
      <c r="F1070" s="115">
        <f>IFERROR(__xludf.DUMMYFUNCTION("""COMPUTED_VALUE"""),7525.0)</f>
        <v>7525</v>
      </c>
      <c r="G1070" s="115">
        <f>IFERROR(__xludf.DUMMYFUNCTION("""COMPUTED_VALUE"""),718.0)</f>
        <v>718</v>
      </c>
      <c r="H1070" s="116">
        <f>IFERROR(__xludf.DUMMYFUNCTION("""COMPUTED_VALUE"""),45902.0)</f>
        <v>45902</v>
      </c>
      <c r="I1070" s="115" t="str">
        <f>IFERROR(__xludf.DUMMYFUNCTION("""COMPUTED_VALUE"""),"21")</f>
        <v>21</v>
      </c>
      <c r="J1070" s="115" t="str">
        <f>IFERROR(__xludf.DUMMYFUNCTION("""COMPUTED_VALUE"""),"Pradeep Kothari2025-09-0221")</f>
        <v>Pradeep Kothari2025-09-0221</v>
      </c>
      <c r="K1070" s="115">
        <f>IFERROR(__xludf.DUMMYFUNCTION("""COMPUTED_VALUE"""),21197.0)</f>
        <v>21197</v>
      </c>
    </row>
    <row r="1071">
      <c r="A1071" s="115" t="str">
        <f>IFERROR(__xludf.DUMMYFUNCTION("""COMPUTED_VALUE"""),"NORTH")</f>
        <v>NORTH</v>
      </c>
      <c r="B1071" s="115" t="str">
        <f>IFERROR(__xludf.DUMMYFUNCTION("""COMPUTED_VALUE"""),"Pradeep Kothari")</f>
        <v>Pradeep Kothari</v>
      </c>
      <c r="C1071" s="115" t="str">
        <f>IFERROR(__xludf.DUMMYFUNCTION("""COMPUTED_VALUE"""),"FLIPKART")</f>
        <v>FLIPKART</v>
      </c>
      <c r="D1071" s="115">
        <f>IFERROR(__xludf.DUMMYFUNCTION("""COMPUTED_VALUE"""),137304.0)</f>
        <v>137304</v>
      </c>
      <c r="E1071" s="115">
        <f>IFERROR(__xludf.DUMMYFUNCTION("""COMPUTED_VALUE"""),17238.0)</f>
        <v>17238</v>
      </c>
      <c r="F1071" s="115">
        <f>IFERROR(__xludf.DUMMYFUNCTION("""COMPUTED_VALUE"""),101598.0)</f>
        <v>101598</v>
      </c>
      <c r="G1071" s="115">
        <f>IFERROR(__xludf.DUMMYFUNCTION("""COMPUTED_VALUE"""),11828.0)</f>
        <v>11828</v>
      </c>
      <c r="H1071" s="116">
        <f>IFERROR(__xludf.DUMMYFUNCTION("""COMPUTED_VALUE"""),45902.0)</f>
        <v>45902</v>
      </c>
      <c r="I1071" s="115" t="str">
        <f>IFERROR(__xludf.DUMMYFUNCTION("""COMPUTED_VALUE"""),"21")</f>
        <v>21</v>
      </c>
      <c r="J1071" s="115" t="str">
        <f>IFERROR(__xludf.DUMMYFUNCTION("""COMPUTED_VALUE"""),"Pradeep Kothari2025-09-0221")</f>
        <v>Pradeep Kothari2025-09-0221</v>
      </c>
      <c r="K1071" s="115">
        <f>IFERROR(__xludf.DUMMYFUNCTION("""COMPUTED_VALUE"""),154542.0)</f>
        <v>154542</v>
      </c>
    </row>
    <row r="1072">
      <c r="A1072" s="115" t="str">
        <f>IFERROR(__xludf.DUMMYFUNCTION("""COMPUTED_VALUE"""),"NORTH")</f>
        <v>NORTH</v>
      </c>
      <c r="B1072" s="115" t="str">
        <f>IFERROR(__xludf.DUMMYFUNCTION("""COMPUTED_VALUE"""),"Pradeep Kothari")</f>
        <v>Pradeep Kothari</v>
      </c>
      <c r="C1072" s="115" t="str">
        <f>IFERROR(__xludf.DUMMYFUNCTION("""COMPUTED_VALUE"""),"MYNTRA")</f>
        <v>MYNTRA</v>
      </c>
      <c r="D1072" s="115">
        <f>IFERROR(__xludf.DUMMYFUNCTION("""COMPUTED_VALUE"""),23464.0)</f>
        <v>23464</v>
      </c>
      <c r="E1072" s="115">
        <f>IFERROR(__xludf.DUMMYFUNCTION("""COMPUTED_VALUE"""),6341.0)</f>
        <v>6341</v>
      </c>
      <c r="F1072" s="115">
        <f>IFERROR(__xludf.DUMMYFUNCTION("""COMPUTED_VALUE"""),19285.0)</f>
        <v>19285</v>
      </c>
      <c r="G1072" s="115">
        <f>IFERROR(__xludf.DUMMYFUNCTION("""COMPUTED_VALUE"""),4723.0)</f>
        <v>4723</v>
      </c>
      <c r="H1072" s="116">
        <f>IFERROR(__xludf.DUMMYFUNCTION("""COMPUTED_VALUE"""),45902.0)</f>
        <v>45902</v>
      </c>
      <c r="I1072" s="115" t="str">
        <f>IFERROR(__xludf.DUMMYFUNCTION("""COMPUTED_VALUE"""),"21")</f>
        <v>21</v>
      </c>
      <c r="J1072" s="115" t="str">
        <f>IFERROR(__xludf.DUMMYFUNCTION("""COMPUTED_VALUE"""),"Pradeep Kothari2025-09-0221")</f>
        <v>Pradeep Kothari2025-09-0221</v>
      </c>
      <c r="K1072" s="115">
        <f>IFERROR(__xludf.DUMMYFUNCTION("""COMPUTED_VALUE"""),29805.0)</f>
        <v>29805</v>
      </c>
    </row>
    <row r="1073">
      <c r="A1073" s="115" t="str">
        <f>IFERROR(__xludf.DUMMYFUNCTION("""COMPUTED_VALUE"""),"SOUTH")</f>
        <v>SOUTH</v>
      </c>
      <c r="B1073" s="115" t="str">
        <f>IFERROR(__xludf.DUMMYFUNCTION("""COMPUTED_VALUE"""),"Kandula Sampath")</f>
        <v>Kandula Sampath</v>
      </c>
      <c r="C1073" s="115" t="str">
        <f>IFERROR(__xludf.DUMMYFUNCTION("""COMPUTED_VALUE"""),"EXTERNAL")</f>
        <v>EXTERNAL</v>
      </c>
      <c r="D1073" s="115">
        <f>IFERROR(__xludf.DUMMYFUNCTION("""COMPUTED_VALUE"""),38925.0)</f>
        <v>38925</v>
      </c>
      <c r="E1073" s="115">
        <f>IFERROR(__xludf.DUMMYFUNCTION("""COMPUTED_VALUE"""),4445.0)</f>
        <v>4445</v>
      </c>
      <c r="F1073" s="115">
        <f>IFERROR(__xludf.DUMMYFUNCTION("""COMPUTED_VALUE"""),16211.0)</f>
        <v>16211</v>
      </c>
      <c r="G1073" s="115">
        <f>IFERROR(__xludf.DUMMYFUNCTION("""COMPUTED_VALUE"""),1382.0)</f>
        <v>1382</v>
      </c>
      <c r="H1073" s="116">
        <f>IFERROR(__xludf.DUMMYFUNCTION("""COMPUTED_VALUE"""),45902.0)</f>
        <v>45902</v>
      </c>
      <c r="I1073" s="115" t="str">
        <f>IFERROR(__xludf.DUMMYFUNCTION("""COMPUTED_VALUE"""),"21")</f>
        <v>21</v>
      </c>
      <c r="J1073" s="115" t="str">
        <f>IFERROR(__xludf.DUMMYFUNCTION("""COMPUTED_VALUE"""),"Kandula Sampath2025-09-0221")</f>
        <v>Kandula Sampath2025-09-0221</v>
      </c>
      <c r="K1073" s="115">
        <f>IFERROR(__xludf.DUMMYFUNCTION("""COMPUTED_VALUE"""),43370.0)</f>
        <v>43370</v>
      </c>
    </row>
    <row r="1074">
      <c r="A1074" s="115" t="str">
        <f>IFERROR(__xludf.DUMMYFUNCTION("""COMPUTED_VALUE"""),"SOUTH")</f>
        <v>SOUTH</v>
      </c>
      <c r="B1074" s="115" t="str">
        <f>IFERROR(__xludf.DUMMYFUNCTION("""COMPUTED_VALUE"""),"Kandula Sampath")</f>
        <v>Kandula Sampath</v>
      </c>
      <c r="C1074" s="115" t="str">
        <f>IFERROR(__xludf.DUMMYFUNCTION("""COMPUTED_VALUE"""),"FLIPKART")</f>
        <v>FLIPKART</v>
      </c>
      <c r="D1074" s="115">
        <f>IFERROR(__xludf.DUMMYFUNCTION("""COMPUTED_VALUE"""),333008.0)</f>
        <v>333008</v>
      </c>
      <c r="E1074" s="115">
        <f>IFERROR(__xludf.DUMMYFUNCTION("""COMPUTED_VALUE"""),34451.0)</f>
        <v>34451</v>
      </c>
      <c r="F1074" s="115">
        <f>IFERROR(__xludf.DUMMYFUNCTION("""COMPUTED_VALUE"""),247109.0)</f>
        <v>247109</v>
      </c>
      <c r="G1074" s="115">
        <f>IFERROR(__xludf.DUMMYFUNCTION("""COMPUTED_VALUE"""),21372.0)</f>
        <v>21372</v>
      </c>
      <c r="H1074" s="116">
        <f>IFERROR(__xludf.DUMMYFUNCTION("""COMPUTED_VALUE"""),45902.0)</f>
        <v>45902</v>
      </c>
      <c r="I1074" s="115" t="str">
        <f>IFERROR(__xludf.DUMMYFUNCTION("""COMPUTED_VALUE"""),"21")</f>
        <v>21</v>
      </c>
      <c r="J1074" s="115" t="str">
        <f>IFERROR(__xludf.DUMMYFUNCTION("""COMPUTED_VALUE"""),"Kandula Sampath2025-09-0221")</f>
        <v>Kandula Sampath2025-09-0221</v>
      </c>
      <c r="K1074" s="115">
        <f>IFERROR(__xludf.DUMMYFUNCTION("""COMPUTED_VALUE"""),367459.0)</f>
        <v>367459</v>
      </c>
    </row>
    <row r="1075">
      <c r="A1075" s="115" t="str">
        <f>IFERROR(__xludf.DUMMYFUNCTION("""COMPUTED_VALUE"""),"SOUTH")</f>
        <v>SOUTH</v>
      </c>
      <c r="B1075" s="115" t="str">
        <f>IFERROR(__xludf.DUMMYFUNCTION("""COMPUTED_VALUE"""),"Kandula Sampath")</f>
        <v>Kandula Sampath</v>
      </c>
      <c r="C1075" s="115" t="str">
        <f>IFERROR(__xludf.DUMMYFUNCTION("""COMPUTED_VALUE"""),"MYNTRA")</f>
        <v>MYNTRA</v>
      </c>
      <c r="D1075" s="115">
        <f>IFERROR(__xludf.DUMMYFUNCTION("""COMPUTED_VALUE"""),34020.0)</f>
        <v>34020</v>
      </c>
      <c r="E1075" s="115">
        <f>IFERROR(__xludf.DUMMYFUNCTION("""COMPUTED_VALUE"""),8426.0)</f>
        <v>8426</v>
      </c>
      <c r="F1075" s="115">
        <f>IFERROR(__xludf.DUMMYFUNCTION("""COMPUTED_VALUE"""),27721.0)</f>
        <v>27721</v>
      </c>
      <c r="G1075" s="115">
        <f>IFERROR(__xludf.DUMMYFUNCTION("""COMPUTED_VALUE"""),5198.0)</f>
        <v>5198</v>
      </c>
      <c r="H1075" s="116">
        <f>IFERROR(__xludf.DUMMYFUNCTION("""COMPUTED_VALUE"""),45902.0)</f>
        <v>45902</v>
      </c>
      <c r="I1075" s="115" t="str">
        <f>IFERROR(__xludf.DUMMYFUNCTION("""COMPUTED_VALUE"""),"21")</f>
        <v>21</v>
      </c>
      <c r="J1075" s="115" t="str">
        <f>IFERROR(__xludf.DUMMYFUNCTION("""COMPUTED_VALUE"""),"Kandula Sampath2025-09-0221")</f>
        <v>Kandula Sampath2025-09-0221</v>
      </c>
      <c r="K1075" s="115">
        <f>IFERROR(__xludf.DUMMYFUNCTION("""COMPUTED_VALUE"""),42446.0)</f>
        <v>42446</v>
      </c>
    </row>
    <row r="1076">
      <c r="A1076" s="115" t="str">
        <f>IFERROR(__xludf.DUMMYFUNCTION("""COMPUTED_VALUE"""),"SOUTH")</f>
        <v>SOUTH</v>
      </c>
      <c r="B1076" s="115" t="str">
        <f>IFERROR(__xludf.DUMMYFUNCTION("""COMPUTED_VALUE"""),"Martin A")</f>
        <v>Martin A</v>
      </c>
      <c r="C1076" s="115" t="str">
        <f>IFERROR(__xludf.DUMMYFUNCTION("""COMPUTED_VALUE"""),"EXTERNAL")</f>
        <v>EXTERNAL</v>
      </c>
      <c r="D1076" s="115">
        <f>IFERROR(__xludf.DUMMYFUNCTION("""COMPUTED_VALUE"""),39247.0)</f>
        <v>39247</v>
      </c>
      <c r="E1076" s="115">
        <f>IFERROR(__xludf.DUMMYFUNCTION("""COMPUTED_VALUE"""),2701.0)</f>
        <v>2701</v>
      </c>
      <c r="F1076" s="115">
        <f>IFERROR(__xludf.DUMMYFUNCTION("""COMPUTED_VALUE"""),16860.0)</f>
        <v>16860</v>
      </c>
      <c r="G1076" s="115">
        <f>IFERROR(__xludf.DUMMYFUNCTION("""COMPUTED_VALUE"""),1158.0)</f>
        <v>1158</v>
      </c>
      <c r="H1076" s="116">
        <f>IFERROR(__xludf.DUMMYFUNCTION("""COMPUTED_VALUE"""),45902.0)</f>
        <v>45902</v>
      </c>
      <c r="I1076" s="115" t="str">
        <f>IFERROR(__xludf.DUMMYFUNCTION("""COMPUTED_VALUE"""),"21")</f>
        <v>21</v>
      </c>
      <c r="J1076" s="115" t="str">
        <f>IFERROR(__xludf.DUMMYFUNCTION("""COMPUTED_VALUE"""),"Martin A2025-09-0221")</f>
        <v>Martin A2025-09-0221</v>
      </c>
      <c r="K1076" s="115">
        <f>IFERROR(__xludf.DUMMYFUNCTION("""COMPUTED_VALUE"""),41948.0)</f>
        <v>41948</v>
      </c>
    </row>
    <row r="1077">
      <c r="A1077" s="115" t="str">
        <f>IFERROR(__xludf.DUMMYFUNCTION("""COMPUTED_VALUE"""),"SOUTH")</f>
        <v>SOUTH</v>
      </c>
      <c r="B1077" s="115" t="str">
        <f>IFERROR(__xludf.DUMMYFUNCTION("""COMPUTED_VALUE"""),"Martin A")</f>
        <v>Martin A</v>
      </c>
      <c r="C1077" s="115" t="str">
        <f>IFERROR(__xludf.DUMMYFUNCTION("""COMPUTED_VALUE"""),"FLIPKART")</f>
        <v>FLIPKART</v>
      </c>
      <c r="D1077" s="115">
        <f>IFERROR(__xludf.DUMMYFUNCTION("""COMPUTED_VALUE"""),296985.0)</f>
        <v>296985</v>
      </c>
      <c r="E1077" s="115">
        <f>IFERROR(__xludf.DUMMYFUNCTION("""COMPUTED_VALUE"""),29957.0)</f>
        <v>29957</v>
      </c>
      <c r="F1077" s="115">
        <f>IFERROR(__xludf.DUMMYFUNCTION("""COMPUTED_VALUE"""),221747.0)</f>
        <v>221747</v>
      </c>
      <c r="G1077" s="115">
        <f>IFERROR(__xludf.DUMMYFUNCTION("""COMPUTED_VALUE"""),20141.0)</f>
        <v>20141</v>
      </c>
      <c r="H1077" s="116">
        <f>IFERROR(__xludf.DUMMYFUNCTION("""COMPUTED_VALUE"""),45902.0)</f>
        <v>45902</v>
      </c>
      <c r="I1077" s="115" t="str">
        <f>IFERROR(__xludf.DUMMYFUNCTION("""COMPUTED_VALUE"""),"21")</f>
        <v>21</v>
      </c>
      <c r="J1077" s="115" t="str">
        <f>IFERROR(__xludf.DUMMYFUNCTION("""COMPUTED_VALUE"""),"Martin A2025-09-0221")</f>
        <v>Martin A2025-09-0221</v>
      </c>
      <c r="K1077" s="115">
        <f>IFERROR(__xludf.DUMMYFUNCTION("""COMPUTED_VALUE"""),326942.0)</f>
        <v>326942</v>
      </c>
    </row>
    <row r="1078">
      <c r="A1078" s="115" t="str">
        <f>IFERROR(__xludf.DUMMYFUNCTION("""COMPUTED_VALUE"""),"SOUTH")</f>
        <v>SOUTH</v>
      </c>
      <c r="B1078" s="115" t="str">
        <f>IFERROR(__xludf.DUMMYFUNCTION("""COMPUTED_VALUE"""),"Martin A")</f>
        <v>Martin A</v>
      </c>
      <c r="C1078" s="115" t="str">
        <f>IFERROR(__xludf.DUMMYFUNCTION("""COMPUTED_VALUE"""),"MYNTRA")</f>
        <v>MYNTRA</v>
      </c>
      <c r="D1078" s="115">
        <f>IFERROR(__xludf.DUMMYFUNCTION("""COMPUTED_VALUE"""),28026.0)</f>
        <v>28026</v>
      </c>
      <c r="E1078" s="115">
        <f>IFERROR(__xludf.DUMMYFUNCTION("""COMPUTED_VALUE"""),6983.0)</f>
        <v>6983</v>
      </c>
      <c r="F1078" s="115">
        <f>IFERROR(__xludf.DUMMYFUNCTION("""COMPUTED_VALUE"""),23644.0)</f>
        <v>23644</v>
      </c>
      <c r="G1078" s="115">
        <f>IFERROR(__xludf.DUMMYFUNCTION("""COMPUTED_VALUE"""),4892.0)</f>
        <v>4892</v>
      </c>
      <c r="H1078" s="116">
        <f>IFERROR(__xludf.DUMMYFUNCTION("""COMPUTED_VALUE"""),45902.0)</f>
        <v>45902</v>
      </c>
      <c r="I1078" s="115" t="str">
        <f>IFERROR(__xludf.DUMMYFUNCTION("""COMPUTED_VALUE"""),"21")</f>
        <v>21</v>
      </c>
      <c r="J1078" s="115" t="str">
        <f>IFERROR(__xludf.DUMMYFUNCTION("""COMPUTED_VALUE"""),"Martin A2025-09-0221")</f>
        <v>Martin A2025-09-0221</v>
      </c>
      <c r="K1078" s="115">
        <f>IFERROR(__xludf.DUMMYFUNCTION("""COMPUTED_VALUE"""),35009.0)</f>
        <v>35009</v>
      </c>
    </row>
    <row r="1079">
      <c r="A1079" s="115" t="str">
        <f>IFERROR(__xludf.DUMMYFUNCTION("""COMPUTED_VALUE"""),"SOUTH")</f>
        <v>SOUTH</v>
      </c>
      <c r="B1079" s="115" t="str">
        <f>IFERROR(__xludf.DUMMYFUNCTION("""COMPUTED_VALUE"""),"Premkumar M")</f>
        <v>Premkumar M</v>
      </c>
      <c r="C1079" s="115" t="str">
        <f>IFERROR(__xludf.DUMMYFUNCTION("""COMPUTED_VALUE"""),"EXTERNAL")</f>
        <v>EXTERNAL</v>
      </c>
      <c r="D1079" s="115">
        <f>IFERROR(__xludf.DUMMYFUNCTION("""COMPUTED_VALUE"""),31782.0)</f>
        <v>31782</v>
      </c>
      <c r="E1079" s="115">
        <f>IFERROR(__xludf.DUMMYFUNCTION("""COMPUTED_VALUE"""),2301.0)</f>
        <v>2301</v>
      </c>
      <c r="F1079" s="115">
        <f>IFERROR(__xludf.DUMMYFUNCTION("""COMPUTED_VALUE"""),16051.0)</f>
        <v>16051</v>
      </c>
      <c r="G1079" s="115">
        <f>IFERROR(__xludf.DUMMYFUNCTION("""COMPUTED_VALUE"""),773.0)</f>
        <v>773</v>
      </c>
      <c r="H1079" s="116">
        <f>IFERROR(__xludf.DUMMYFUNCTION("""COMPUTED_VALUE"""),45902.0)</f>
        <v>45902</v>
      </c>
      <c r="I1079" s="115" t="str">
        <f>IFERROR(__xludf.DUMMYFUNCTION("""COMPUTED_VALUE"""),"21")</f>
        <v>21</v>
      </c>
      <c r="J1079" s="115" t="str">
        <f>IFERROR(__xludf.DUMMYFUNCTION("""COMPUTED_VALUE"""),"Premkumar M2025-09-0221")</f>
        <v>Premkumar M2025-09-0221</v>
      </c>
      <c r="K1079" s="115">
        <f>IFERROR(__xludf.DUMMYFUNCTION("""COMPUTED_VALUE"""),34083.0)</f>
        <v>34083</v>
      </c>
    </row>
    <row r="1080">
      <c r="A1080" s="115" t="str">
        <f>IFERROR(__xludf.DUMMYFUNCTION("""COMPUTED_VALUE"""),"SOUTH")</f>
        <v>SOUTH</v>
      </c>
      <c r="B1080" s="115" t="str">
        <f>IFERROR(__xludf.DUMMYFUNCTION("""COMPUTED_VALUE"""),"Premkumar M")</f>
        <v>Premkumar M</v>
      </c>
      <c r="C1080" s="115" t="str">
        <f>IFERROR(__xludf.DUMMYFUNCTION("""COMPUTED_VALUE"""),"FLIPKART")</f>
        <v>FLIPKART</v>
      </c>
      <c r="D1080" s="115">
        <f>IFERROR(__xludf.DUMMYFUNCTION("""COMPUTED_VALUE"""),284295.0)</f>
        <v>284295</v>
      </c>
      <c r="E1080" s="115">
        <f>IFERROR(__xludf.DUMMYFUNCTION("""COMPUTED_VALUE"""),21376.0)</f>
        <v>21376</v>
      </c>
      <c r="F1080" s="115">
        <f>IFERROR(__xludf.DUMMYFUNCTION("""COMPUTED_VALUE"""),222759.0)</f>
        <v>222759</v>
      </c>
      <c r="G1080" s="115">
        <f>IFERROR(__xludf.DUMMYFUNCTION("""COMPUTED_VALUE"""),12021.0)</f>
        <v>12021</v>
      </c>
      <c r="H1080" s="116">
        <f>IFERROR(__xludf.DUMMYFUNCTION("""COMPUTED_VALUE"""),45902.0)</f>
        <v>45902</v>
      </c>
      <c r="I1080" s="115" t="str">
        <f>IFERROR(__xludf.DUMMYFUNCTION("""COMPUTED_VALUE"""),"21")</f>
        <v>21</v>
      </c>
      <c r="J1080" s="115" t="str">
        <f>IFERROR(__xludf.DUMMYFUNCTION("""COMPUTED_VALUE"""),"Premkumar M2025-09-0221")</f>
        <v>Premkumar M2025-09-0221</v>
      </c>
      <c r="K1080" s="115">
        <f>IFERROR(__xludf.DUMMYFUNCTION("""COMPUTED_VALUE"""),305671.0)</f>
        <v>305671</v>
      </c>
    </row>
    <row r="1081">
      <c r="A1081" s="115" t="str">
        <f>IFERROR(__xludf.DUMMYFUNCTION("""COMPUTED_VALUE"""),"SOUTH")</f>
        <v>SOUTH</v>
      </c>
      <c r="B1081" s="115" t="str">
        <f>IFERROR(__xludf.DUMMYFUNCTION("""COMPUTED_VALUE"""),"Premkumar M")</f>
        <v>Premkumar M</v>
      </c>
      <c r="C1081" s="115" t="str">
        <f>IFERROR(__xludf.DUMMYFUNCTION("""COMPUTED_VALUE"""),"MYNTRA")</f>
        <v>MYNTRA</v>
      </c>
      <c r="D1081" s="115">
        <f>IFERROR(__xludf.DUMMYFUNCTION("""COMPUTED_VALUE"""),15799.0)</f>
        <v>15799</v>
      </c>
      <c r="E1081" s="115">
        <f>IFERROR(__xludf.DUMMYFUNCTION("""COMPUTED_VALUE"""),3214.0)</f>
        <v>3214</v>
      </c>
      <c r="F1081" s="115">
        <f>IFERROR(__xludf.DUMMYFUNCTION("""COMPUTED_VALUE"""),13628.0)</f>
        <v>13628</v>
      </c>
      <c r="G1081" s="115">
        <f>IFERROR(__xludf.DUMMYFUNCTION("""COMPUTED_VALUE"""),1985.0)</f>
        <v>1985</v>
      </c>
      <c r="H1081" s="116">
        <f>IFERROR(__xludf.DUMMYFUNCTION("""COMPUTED_VALUE"""),45902.0)</f>
        <v>45902</v>
      </c>
      <c r="I1081" s="115" t="str">
        <f>IFERROR(__xludf.DUMMYFUNCTION("""COMPUTED_VALUE"""),"21")</f>
        <v>21</v>
      </c>
      <c r="J1081" s="115" t="str">
        <f>IFERROR(__xludf.DUMMYFUNCTION("""COMPUTED_VALUE"""),"Premkumar M2025-09-0221")</f>
        <v>Premkumar M2025-09-0221</v>
      </c>
      <c r="K1081" s="115">
        <f>IFERROR(__xludf.DUMMYFUNCTION("""COMPUTED_VALUE"""),19013.0)</f>
        <v>19013</v>
      </c>
    </row>
    <row r="1082">
      <c r="A1082" s="115" t="str">
        <f>IFERROR(__xludf.DUMMYFUNCTION("""COMPUTED_VALUE"""),"SOUTH")</f>
        <v>SOUTH</v>
      </c>
      <c r="B1082" s="115" t="str">
        <f>IFERROR(__xludf.DUMMYFUNCTION("""COMPUTED_VALUE"""),"Vineeth V")</f>
        <v>Vineeth V</v>
      </c>
      <c r="C1082" s="115" t="str">
        <f>IFERROR(__xludf.DUMMYFUNCTION("""COMPUTED_VALUE"""),"EXTERNAL")</f>
        <v>EXTERNAL</v>
      </c>
      <c r="D1082" s="115">
        <f>IFERROR(__xludf.DUMMYFUNCTION("""COMPUTED_VALUE"""),22300.0)</f>
        <v>22300</v>
      </c>
      <c r="E1082" s="115">
        <f>IFERROR(__xludf.DUMMYFUNCTION("""COMPUTED_VALUE"""),612.0)</f>
        <v>612</v>
      </c>
      <c r="F1082" s="115">
        <f>IFERROR(__xludf.DUMMYFUNCTION("""COMPUTED_VALUE"""),12142.0)</f>
        <v>12142</v>
      </c>
      <c r="G1082" s="115">
        <f>IFERROR(__xludf.DUMMYFUNCTION("""COMPUTED_VALUE"""),322.0)</f>
        <v>322</v>
      </c>
      <c r="H1082" s="116">
        <f>IFERROR(__xludf.DUMMYFUNCTION("""COMPUTED_VALUE"""),45902.0)</f>
        <v>45902</v>
      </c>
      <c r="I1082" s="115" t="str">
        <f>IFERROR(__xludf.DUMMYFUNCTION("""COMPUTED_VALUE"""),"21")</f>
        <v>21</v>
      </c>
      <c r="J1082" s="115" t="str">
        <f>IFERROR(__xludf.DUMMYFUNCTION("""COMPUTED_VALUE"""),"Vineeth V2025-09-0221")</f>
        <v>Vineeth V2025-09-0221</v>
      </c>
      <c r="K1082" s="115">
        <f>IFERROR(__xludf.DUMMYFUNCTION("""COMPUTED_VALUE"""),22912.0)</f>
        <v>22912</v>
      </c>
    </row>
    <row r="1083">
      <c r="A1083" s="115" t="str">
        <f>IFERROR(__xludf.DUMMYFUNCTION("""COMPUTED_VALUE"""),"SOUTH")</f>
        <v>SOUTH</v>
      </c>
      <c r="B1083" s="115" t="str">
        <f>IFERROR(__xludf.DUMMYFUNCTION("""COMPUTED_VALUE"""),"Vineeth V")</f>
        <v>Vineeth V</v>
      </c>
      <c r="C1083" s="115" t="str">
        <f>IFERROR(__xludf.DUMMYFUNCTION("""COMPUTED_VALUE"""),"FLIPKART")</f>
        <v>FLIPKART</v>
      </c>
      <c r="D1083" s="115">
        <f>IFERROR(__xludf.DUMMYFUNCTION("""COMPUTED_VALUE"""),246757.0)</f>
        <v>246757</v>
      </c>
      <c r="E1083" s="115">
        <f>IFERROR(__xludf.DUMMYFUNCTION("""COMPUTED_VALUE"""),18489.0)</f>
        <v>18489</v>
      </c>
      <c r="F1083" s="115">
        <f>IFERROR(__xludf.DUMMYFUNCTION("""COMPUTED_VALUE"""),206177.0)</f>
        <v>206177</v>
      </c>
      <c r="G1083" s="115">
        <f>IFERROR(__xludf.DUMMYFUNCTION("""COMPUTED_VALUE"""),11639.0)</f>
        <v>11639</v>
      </c>
      <c r="H1083" s="116">
        <f>IFERROR(__xludf.DUMMYFUNCTION("""COMPUTED_VALUE"""),45902.0)</f>
        <v>45902</v>
      </c>
      <c r="I1083" s="115" t="str">
        <f>IFERROR(__xludf.DUMMYFUNCTION("""COMPUTED_VALUE"""),"21")</f>
        <v>21</v>
      </c>
      <c r="J1083" s="115" t="str">
        <f>IFERROR(__xludf.DUMMYFUNCTION("""COMPUTED_VALUE"""),"Vineeth V2025-09-0221")</f>
        <v>Vineeth V2025-09-0221</v>
      </c>
      <c r="K1083" s="115">
        <f>IFERROR(__xludf.DUMMYFUNCTION("""COMPUTED_VALUE"""),265246.0)</f>
        <v>265246</v>
      </c>
    </row>
    <row r="1084">
      <c r="A1084" s="115" t="str">
        <f>IFERROR(__xludf.DUMMYFUNCTION("""COMPUTED_VALUE"""),"SOUTH")</f>
        <v>SOUTH</v>
      </c>
      <c r="B1084" s="115" t="str">
        <f>IFERROR(__xludf.DUMMYFUNCTION("""COMPUTED_VALUE"""),"Vineeth V")</f>
        <v>Vineeth V</v>
      </c>
      <c r="C1084" s="115" t="str">
        <f>IFERROR(__xludf.DUMMYFUNCTION("""COMPUTED_VALUE"""),"MYNTRA")</f>
        <v>MYNTRA</v>
      </c>
      <c r="D1084" s="115">
        <f>IFERROR(__xludf.DUMMYFUNCTION("""COMPUTED_VALUE"""),22129.0)</f>
        <v>22129</v>
      </c>
      <c r="E1084" s="115">
        <f>IFERROR(__xludf.DUMMYFUNCTION("""COMPUTED_VALUE"""),4247.0)</f>
        <v>4247</v>
      </c>
      <c r="F1084" s="115">
        <f>IFERROR(__xludf.DUMMYFUNCTION("""COMPUTED_VALUE"""),19506.0)</f>
        <v>19506</v>
      </c>
      <c r="G1084" s="115">
        <f>IFERROR(__xludf.DUMMYFUNCTION("""COMPUTED_VALUE"""),2774.0)</f>
        <v>2774</v>
      </c>
      <c r="H1084" s="116">
        <f>IFERROR(__xludf.DUMMYFUNCTION("""COMPUTED_VALUE"""),45902.0)</f>
        <v>45902</v>
      </c>
      <c r="I1084" s="115" t="str">
        <f>IFERROR(__xludf.DUMMYFUNCTION("""COMPUTED_VALUE"""),"21")</f>
        <v>21</v>
      </c>
      <c r="J1084" s="115" t="str">
        <f>IFERROR(__xludf.DUMMYFUNCTION("""COMPUTED_VALUE"""),"Vineeth V2025-09-0221")</f>
        <v>Vineeth V2025-09-0221</v>
      </c>
      <c r="K1084" s="115">
        <f>IFERROR(__xludf.DUMMYFUNCTION("""COMPUTED_VALUE"""),26376.0)</f>
        <v>26376</v>
      </c>
    </row>
    <row r="1085">
      <c r="A1085" s="115" t="str">
        <f>IFERROR(__xludf.DUMMYFUNCTION("""COMPUTED_VALUE"""),"WEST")</f>
        <v>WEST</v>
      </c>
      <c r="B1085" s="115" t="str">
        <f>IFERROR(__xludf.DUMMYFUNCTION("""COMPUTED_VALUE"""),"Ashish Jakar")</f>
        <v>Ashish Jakar</v>
      </c>
      <c r="C1085" s="115" t="str">
        <f>IFERROR(__xludf.DUMMYFUNCTION("""COMPUTED_VALUE"""),"EXTERNAL")</f>
        <v>EXTERNAL</v>
      </c>
      <c r="D1085" s="115">
        <f>IFERROR(__xludf.DUMMYFUNCTION("""COMPUTED_VALUE"""),60206.0)</f>
        <v>60206</v>
      </c>
      <c r="E1085" s="115">
        <f>IFERROR(__xludf.DUMMYFUNCTION("""COMPUTED_VALUE"""),6240.0)</f>
        <v>6240</v>
      </c>
      <c r="F1085" s="115">
        <f>IFERROR(__xludf.DUMMYFUNCTION("""COMPUTED_VALUE"""),24277.0)</f>
        <v>24277</v>
      </c>
      <c r="G1085" s="115">
        <f>IFERROR(__xludf.DUMMYFUNCTION("""COMPUTED_VALUE"""),2441.0)</f>
        <v>2441</v>
      </c>
      <c r="H1085" s="116">
        <f>IFERROR(__xludf.DUMMYFUNCTION("""COMPUTED_VALUE"""),45902.0)</f>
        <v>45902</v>
      </c>
      <c r="I1085" s="115" t="str">
        <f>IFERROR(__xludf.DUMMYFUNCTION("""COMPUTED_VALUE"""),"21")</f>
        <v>21</v>
      </c>
      <c r="J1085" s="115" t="str">
        <f>IFERROR(__xludf.DUMMYFUNCTION("""COMPUTED_VALUE"""),"Ashish Jakar2025-09-0221")</f>
        <v>Ashish Jakar2025-09-0221</v>
      </c>
      <c r="K1085" s="115">
        <f>IFERROR(__xludf.DUMMYFUNCTION("""COMPUTED_VALUE"""),66446.0)</f>
        <v>66446</v>
      </c>
    </row>
    <row r="1086">
      <c r="A1086" s="115" t="str">
        <f>IFERROR(__xludf.DUMMYFUNCTION("""COMPUTED_VALUE"""),"WEST")</f>
        <v>WEST</v>
      </c>
      <c r="B1086" s="115" t="str">
        <f>IFERROR(__xludf.DUMMYFUNCTION("""COMPUTED_VALUE"""),"Ashish Jakar")</f>
        <v>Ashish Jakar</v>
      </c>
      <c r="C1086" s="115" t="str">
        <f>IFERROR(__xludf.DUMMYFUNCTION("""COMPUTED_VALUE"""),"FLIPKART")</f>
        <v>FLIPKART</v>
      </c>
      <c r="D1086" s="115">
        <f>IFERROR(__xludf.DUMMYFUNCTION("""COMPUTED_VALUE"""),324804.0)</f>
        <v>324804</v>
      </c>
      <c r="E1086" s="115">
        <f>IFERROR(__xludf.DUMMYFUNCTION("""COMPUTED_VALUE"""),33448.0)</f>
        <v>33448</v>
      </c>
      <c r="F1086" s="115">
        <f>IFERROR(__xludf.DUMMYFUNCTION("""COMPUTED_VALUE"""),236016.0)</f>
        <v>236016</v>
      </c>
      <c r="G1086" s="115">
        <f>IFERROR(__xludf.DUMMYFUNCTION("""COMPUTED_VALUE"""),20896.0)</f>
        <v>20896</v>
      </c>
      <c r="H1086" s="116">
        <f>IFERROR(__xludf.DUMMYFUNCTION("""COMPUTED_VALUE"""),45902.0)</f>
        <v>45902</v>
      </c>
      <c r="I1086" s="115" t="str">
        <f>IFERROR(__xludf.DUMMYFUNCTION("""COMPUTED_VALUE"""),"21")</f>
        <v>21</v>
      </c>
      <c r="J1086" s="115" t="str">
        <f>IFERROR(__xludf.DUMMYFUNCTION("""COMPUTED_VALUE"""),"Ashish Jakar2025-09-0221")</f>
        <v>Ashish Jakar2025-09-0221</v>
      </c>
      <c r="K1086" s="115">
        <f>IFERROR(__xludf.DUMMYFUNCTION("""COMPUTED_VALUE"""),358252.0)</f>
        <v>358252</v>
      </c>
    </row>
    <row r="1087">
      <c r="A1087" s="115" t="str">
        <f>IFERROR(__xludf.DUMMYFUNCTION("""COMPUTED_VALUE"""),"WEST")</f>
        <v>WEST</v>
      </c>
      <c r="B1087" s="115" t="str">
        <f>IFERROR(__xludf.DUMMYFUNCTION("""COMPUTED_VALUE"""),"Ashish Jakar")</f>
        <v>Ashish Jakar</v>
      </c>
      <c r="C1087" s="115" t="str">
        <f>IFERROR(__xludf.DUMMYFUNCTION("""COMPUTED_VALUE"""),"MYNTRA")</f>
        <v>MYNTRA</v>
      </c>
      <c r="D1087" s="115">
        <f>IFERROR(__xludf.DUMMYFUNCTION("""COMPUTED_VALUE"""),39136.0)</f>
        <v>39136</v>
      </c>
      <c r="E1087" s="115">
        <f>IFERROR(__xludf.DUMMYFUNCTION("""COMPUTED_VALUE"""),11066.0)</f>
        <v>11066</v>
      </c>
      <c r="F1087" s="115">
        <f>IFERROR(__xludf.DUMMYFUNCTION("""COMPUTED_VALUE"""),32154.0)</f>
        <v>32154</v>
      </c>
      <c r="G1087" s="115">
        <f>IFERROR(__xludf.DUMMYFUNCTION("""COMPUTED_VALUE"""),7274.0)</f>
        <v>7274</v>
      </c>
      <c r="H1087" s="116">
        <f>IFERROR(__xludf.DUMMYFUNCTION("""COMPUTED_VALUE"""),45902.0)</f>
        <v>45902</v>
      </c>
      <c r="I1087" s="115" t="str">
        <f>IFERROR(__xludf.DUMMYFUNCTION("""COMPUTED_VALUE"""),"21")</f>
        <v>21</v>
      </c>
      <c r="J1087" s="115" t="str">
        <f>IFERROR(__xludf.DUMMYFUNCTION("""COMPUTED_VALUE"""),"Ashish Jakar2025-09-0221")</f>
        <v>Ashish Jakar2025-09-0221</v>
      </c>
      <c r="K1087" s="115">
        <f>IFERROR(__xludf.DUMMYFUNCTION("""COMPUTED_VALUE"""),50202.0)</f>
        <v>50202</v>
      </c>
    </row>
    <row r="1088">
      <c r="A1088" s="115" t="str">
        <f>IFERROR(__xludf.DUMMYFUNCTION("""COMPUTED_VALUE"""),"WEST")</f>
        <v>WEST</v>
      </c>
      <c r="B1088" s="115" t="str">
        <f>IFERROR(__xludf.DUMMYFUNCTION("""COMPUTED_VALUE"""),"Ashvani Bhatt")</f>
        <v>Ashvani Bhatt</v>
      </c>
      <c r="C1088" s="115" t="str">
        <f>IFERROR(__xludf.DUMMYFUNCTION("""COMPUTED_VALUE"""),"EXTERNAL")</f>
        <v>EXTERNAL</v>
      </c>
      <c r="D1088" s="115">
        <f>IFERROR(__xludf.DUMMYFUNCTION("""COMPUTED_VALUE"""),38033.0)</f>
        <v>38033</v>
      </c>
      <c r="E1088" s="115">
        <f>IFERROR(__xludf.DUMMYFUNCTION("""COMPUTED_VALUE"""),3737.0)</f>
        <v>3737</v>
      </c>
      <c r="F1088" s="115">
        <f>IFERROR(__xludf.DUMMYFUNCTION("""COMPUTED_VALUE"""),15716.0)</f>
        <v>15716</v>
      </c>
      <c r="G1088" s="115">
        <f>IFERROR(__xludf.DUMMYFUNCTION("""COMPUTED_VALUE"""),1304.0)</f>
        <v>1304</v>
      </c>
      <c r="H1088" s="116">
        <f>IFERROR(__xludf.DUMMYFUNCTION("""COMPUTED_VALUE"""),45902.0)</f>
        <v>45902</v>
      </c>
      <c r="I1088" s="115" t="str">
        <f>IFERROR(__xludf.DUMMYFUNCTION("""COMPUTED_VALUE"""),"21")</f>
        <v>21</v>
      </c>
      <c r="J1088" s="115" t="str">
        <f>IFERROR(__xludf.DUMMYFUNCTION("""COMPUTED_VALUE"""),"Ashvani Bhatt2025-09-0221")</f>
        <v>Ashvani Bhatt2025-09-0221</v>
      </c>
      <c r="K1088" s="115">
        <f>IFERROR(__xludf.DUMMYFUNCTION("""COMPUTED_VALUE"""),41770.0)</f>
        <v>41770</v>
      </c>
    </row>
    <row r="1089">
      <c r="A1089" s="115" t="str">
        <f>IFERROR(__xludf.DUMMYFUNCTION("""COMPUTED_VALUE"""),"WEST")</f>
        <v>WEST</v>
      </c>
      <c r="B1089" s="115" t="str">
        <f>IFERROR(__xludf.DUMMYFUNCTION("""COMPUTED_VALUE"""),"Ashvani Bhatt")</f>
        <v>Ashvani Bhatt</v>
      </c>
      <c r="C1089" s="115" t="str">
        <f>IFERROR(__xludf.DUMMYFUNCTION("""COMPUTED_VALUE"""),"FLIPKART")</f>
        <v>FLIPKART</v>
      </c>
      <c r="D1089" s="115">
        <f>IFERROR(__xludf.DUMMYFUNCTION("""COMPUTED_VALUE"""),267600.0)</f>
        <v>267600</v>
      </c>
      <c r="E1089" s="115">
        <f>IFERROR(__xludf.DUMMYFUNCTION("""COMPUTED_VALUE"""),29904.0)</f>
        <v>29904</v>
      </c>
      <c r="F1089" s="115">
        <f>IFERROR(__xludf.DUMMYFUNCTION("""COMPUTED_VALUE"""),203075.0)</f>
        <v>203075</v>
      </c>
      <c r="G1089" s="115">
        <f>IFERROR(__xludf.DUMMYFUNCTION("""COMPUTED_VALUE"""),20427.0)</f>
        <v>20427</v>
      </c>
      <c r="H1089" s="116">
        <f>IFERROR(__xludf.DUMMYFUNCTION("""COMPUTED_VALUE"""),45902.0)</f>
        <v>45902</v>
      </c>
      <c r="I1089" s="115" t="str">
        <f>IFERROR(__xludf.DUMMYFUNCTION("""COMPUTED_VALUE"""),"21")</f>
        <v>21</v>
      </c>
      <c r="J1089" s="115" t="str">
        <f>IFERROR(__xludf.DUMMYFUNCTION("""COMPUTED_VALUE"""),"Ashvani Bhatt2025-09-0221")</f>
        <v>Ashvani Bhatt2025-09-0221</v>
      </c>
      <c r="K1089" s="115">
        <f>IFERROR(__xludf.DUMMYFUNCTION("""COMPUTED_VALUE"""),297504.0)</f>
        <v>297504</v>
      </c>
    </row>
    <row r="1090">
      <c r="A1090" s="115" t="str">
        <f>IFERROR(__xludf.DUMMYFUNCTION("""COMPUTED_VALUE"""),"WEST")</f>
        <v>WEST</v>
      </c>
      <c r="B1090" s="115" t="str">
        <f>IFERROR(__xludf.DUMMYFUNCTION("""COMPUTED_VALUE"""),"Ashvani Bhatt")</f>
        <v>Ashvani Bhatt</v>
      </c>
      <c r="C1090" s="115" t="str">
        <f>IFERROR(__xludf.DUMMYFUNCTION("""COMPUTED_VALUE"""),"MYNTRA")</f>
        <v>MYNTRA</v>
      </c>
      <c r="D1090" s="115">
        <f>IFERROR(__xludf.DUMMYFUNCTION("""COMPUTED_VALUE"""),31157.0)</f>
        <v>31157</v>
      </c>
      <c r="E1090" s="115">
        <f>IFERROR(__xludf.DUMMYFUNCTION("""COMPUTED_VALUE"""),8951.0)</f>
        <v>8951</v>
      </c>
      <c r="F1090" s="115">
        <f>IFERROR(__xludf.DUMMYFUNCTION("""COMPUTED_VALUE"""),26506.0)</f>
        <v>26506</v>
      </c>
      <c r="G1090" s="115">
        <f>IFERROR(__xludf.DUMMYFUNCTION("""COMPUTED_VALUE"""),6625.0)</f>
        <v>6625</v>
      </c>
      <c r="H1090" s="116">
        <f>IFERROR(__xludf.DUMMYFUNCTION("""COMPUTED_VALUE"""),45902.0)</f>
        <v>45902</v>
      </c>
      <c r="I1090" s="115" t="str">
        <f>IFERROR(__xludf.DUMMYFUNCTION("""COMPUTED_VALUE"""),"21")</f>
        <v>21</v>
      </c>
      <c r="J1090" s="115" t="str">
        <f>IFERROR(__xludf.DUMMYFUNCTION("""COMPUTED_VALUE"""),"Ashvani Bhatt2025-09-0221")</f>
        <v>Ashvani Bhatt2025-09-0221</v>
      </c>
      <c r="K1090" s="115">
        <f>IFERROR(__xludf.DUMMYFUNCTION("""COMPUTED_VALUE"""),40108.0)</f>
        <v>40108</v>
      </c>
    </row>
    <row r="1091">
      <c r="A1091" s="115"/>
      <c r="B1091" s="115"/>
      <c r="C1091" s="115" t="str">
        <f>IFERROR(__xludf.DUMMYFUNCTION("""COMPUTED_VALUE"""),"EXTERNAL")</f>
        <v>EXTERNAL</v>
      </c>
      <c r="D1091" s="115">
        <f>IFERROR(__xludf.DUMMYFUNCTION("""COMPUTED_VALUE"""),542.0)</f>
        <v>542</v>
      </c>
      <c r="E1091" s="115">
        <f>IFERROR(__xludf.DUMMYFUNCTION("""COMPUTED_VALUE"""),22.0)</f>
        <v>22</v>
      </c>
      <c r="F1091" s="115">
        <f>IFERROR(__xludf.DUMMYFUNCTION("""COMPUTED_VALUE"""),136.0)</f>
        <v>136</v>
      </c>
      <c r="G1091" s="115">
        <f>IFERROR(__xludf.DUMMYFUNCTION("""COMPUTED_VALUE"""),6.0)</f>
        <v>6</v>
      </c>
      <c r="H1091" s="116">
        <f>IFERROR(__xludf.DUMMYFUNCTION("""COMPUTED_VALUE"""),45902.0)</f>
        <v>45902</v>
      </c>
      <c r="I1091" s="115" t="str">
        <f>IFERROR(__xludf.DUMMYFUNCTION("""COMPUTED_VALUE"""),"21")</f>
        <v>21</v>
      </c>
      <c r="J1091" s="115" t="str">
        <f>IFERROR(__xludf.DUMMYFUNCTION("""COMPUTED_VALUE"""),"2025-09-0221")</f>
        <v>2025-09-0221</v>
      </c>
      <c r="K1091" s="115">
        <f>IFERROR(__xludf.DUMMYFUNCTION("""COMPUTED_VALUE"""),564.0)</f>
        <v>564</v>
      </c>
    </row>
    <row r="1092">
      <c r="A1092" s="115"/>
      <c r="B1092" s="115"/>
      <c r="C1092" s="115" t="str">
        <f>IFERROR(__xludf.DUMMYFUNCTION("""COMPUTED_VALUE"""),"FLIPKART")</f>
        <v>FLIPKART</v>
      </c>
      <c r="D1092" s="115">
        <f>IFERROR(__xludf.DUMMYFUNCTION("""COMPUTED_VALUE"""),3483.0)</f>
        <v>3483</v>
      </c>
      <c r="E1092" s="115">
        <f>IFERROR(__xludf.DUMMYFUNCTION("""COMPUTED_VALUE"""),250.0)</f>
        <v>250</v>
      </c>
      <c r="F1092" s="115">
        <f>IFERROR(__xludf.DUMMYFUNCTION("""COMPUTED_VALUE"""),2639.0)</f>
        <v>2639</v>
      </c>
      <c r="G1092" s="115">
        <f>IFERROR(__xludf.DUMMYFUNCTION("""COMPUTED_VALUE"""),137.0)</f>
        <v>137</v>
      </c>
      <c r="H1092" s="116">
        <f>IFERROR(__xludf.DUMMYFUNCTION("""COMPUTED_VALUE"""),45902.0)</f>
        <v>45902</v>
      </c>
      <c r="I1092" s="115" t="str">
        <f>IFERROR(__xludf.DUMMYFUNCTION("""COMPUTED_VALUE"""),"21")</f>
        <v>21</v>
      </c>
      <c r="J1092" s="115" t="str">
        <f>IFERROR(__xludf.DUMMYFUNCTION("""COMPUTED_VALUE"""),"2025-09-0221")</f>
        <v>2025-09-0221</v>
      </c>
      <c r="K1092" s="115">
        <f>IFERROR(__xludf.DUMMYFUNCTION("""COMPUTED_VALUE"""),3733.0)</f>
        <v>3733</v>
      </c>
    </row>
    <row r="1093">
      <c r="A1093" s="115"/>
      <c r="B1093" s="115"/>
      <c r="C1093" s="115" t="str">
        <f>IFERROR(__xludf.DUMMYFUNCTION("""COMPUTED_VALUE"""),"MYNTRA")</f>
        <v>MYNTRA</v>
      </c>
      <c r="D1093" s="115">
        <f>IFERROR(__xludf.DUMMYFUNCTION("""COMPUTED_VALUE"""),374.0)</f>
        <v>374</v>
      </c>
      <c r="E1093" s="115">
        <f>IFERROR(__xludf.DUMMYFUNCTION("""COMPUTED_VALUE"""),62.0)</f>
        <v>62</v>
      </c>
      <c r="F1093" s="115">
        <f>IFERROR(__xludf.DUMMYFUNCTION("""COMPUTED_VALUE"""),252.0)</f>
        <v>252</v>
      </c>
      <c r="G1093" s="115">
        <f>IFERROR(__xludf.DUMMYFUNCTION("""COMPUTED_VALUE"""),32.0)</f>
        <v>32</v>
      </c>
      <c r="H1093" s="116">
        <f>IFERROR(__xludf.DUMMYFUNCTION("""COMPUTED_VALUE"""),45902.0)</f>
        <v>45902</v>
      </c>
      <c r="I1093" s="115" t="str">
        <f>IFERROR(__xludf.DUMMYFUNCTION("""COMPUTED_VALUE"""),"21")</f>
        <v>21</v>
      </c>
      <c r="J1093" s="115" t="str">
        <f>IFERROR(__xludf.DUMMYFUNCTION("""COMPUTED_VALUE"""),"2025-09-0221")</f>
        <v>2025-09-0221</v>
      </c>
      <c r="K1093" s="115">
        <f>IFERROR(__xludf.DUMMYFUNCTION("""COMPUTED_VALUE"""),436.0)</f>
        <v>436</v>
      </c>
    </row>
    <row r="1094">
      <c r="A1094" s="115" t="str">
        <f>IFERROR(__xludf.DUMMYFUNCTION("""COMPUTED_VALUE"""),"EAST")</f>
        <v>EAST</v>
      </c>
      <c r="B1094" s="115" t="str">
        <f>IFERROR(__xludf.DUMMYFUNCTION("""COMPUTED_VALUE"""),"Ashish Ranjan")</f>
        <v>Ashish Ranjan</v>
      </c>
      <c r="C1094" s="115" t="str">
        <f>IFERROR(__xludf.DUMMYFUNCTION("""COMPUTED_VALUE"""),"EXTERNAL")</f>
        <v>EXTERNAL</v>
      </c>
      <c r="D1094" s="115">
        <f>IFERROR(__xludf.DUMMYFUNCTION("""COMPUTED_VALUE"""),40647.0)</f>
        <v>40647</v>
      </c>
      <c r="E1094" s="115">
        <f>IFERROR(__xludf.DUMMYFUNCTION("""COMPUTED_VALUE"""),2822.0)</f>
        <v>2822</v>
      </c>
      <c r="F1094" s="115">
        <f>IFERROR(__xludf.DUMMYFUNCTION("""COMPUTED_VALUE"""),22143.0)</f>
        <v>22143</v>
      </c>
      <c r="G1094" s="115">
        <f>IFERROR(__xludf.DUMMYFUNCTION("""COMPUTED_VALUE"""),1541.0)</f>
        <v>1541</v>
      </c>
      <c r="H1094" s="116">
        <f>IFERROR(__xludf.DUMMYFUNCTION("""COMPUTED_VALUE"""),45902.0)</f>
        <v>45902</v>
      </c>
      <c r="I1094" s="115" t="str">
        <f>IFERROR(__xludf.DUMMYFUNCTION("""COMPUTED_VALUE"""),"22")</f>
        <v>22</v>
      </c>
      <c r="J1094" s="115" t="str">
        <f>IFERROR(__xludf.DUMMYFUNCTION("""COMPUTED_VALUE"""),"Ashish Ranjan2025-09-0222")</f>
        <v>Ashish Ranjan2025-09-0222</v>
      </c>
      <c r="K1094" s="115">
        <f>IFERROR(__xludf.DUMMYFUNCTION("""COMPUTED_VALUE"""),43469.0)</f>
        <v>43469</v>
      </c>
    </row>
    <row r="1095">
      <c r="A1095" s="115" t="str">
        <f>IFERROR(__xludf.DUMMYFUNCTION("""COMPUTED_VALUE"""),"EAST")</f>
        <v>EAST</v>
      </c>
      <c r="B1095" s="115" t="str">
        <f>IFERROR(__xludf.DUMMYFUNCTION("""COMPUTED_VALUE"""),"Ashish Ranjan")</f>
        <v>Ashish Ranjan</v>
      </c>
      <c r="C1095" s="115" t="str">
        <f>IFERROR(__xludf.DUMMYFUNCTION("""COMPUTED_VALUE"""),"FLIPKART")</f>
        <v>FLIPKART</v>
      </c>
      <c r="D1095" s="115">
        <f>IFERROR(__xludf.DUMMYFUNCTION("""COMPUTED_VALUE"""),593554.0)</f>
        <v>593554</v>
      </c>
      <c r="E1095" s="115">
        <f>IFERROR(__xludf.DUMMYFUNCTION("""COMPUTED_VALUE"""),61040.0)</f>
        <v>61040</v>
      </c>
      <c r="F1095" s="115">
        <f>IFERROR(__xludf.DUMMYFUNCTION("""COMPUTED_VALUE"""),525172.0)</f>
        <v>525172</v>
      </c>
      <c r="G1095" s="115">
        <f>IFERROR(__xludf.DUMMYFUNCTION("""COMPUTED_VALUE"""),50444.0)</f>
        <v>50444</v>
      </c>
      <c r="H1095" s="116">
        <f>IFERROR(__xludf.DUMMYFUNCTION("""COMPUTED_VALUE"""),45902.0)</f>
        <v>45902</v>
      </c>
      <c r="I1095" s="115" t="str">
        <f>IFERROR(__xludf.DUMMYFUNCTION("""COMPUTED_VALUE"""),"22")</f>
        <v>22</v>
      </c>
      <c r="J1095" s="115" t="str">
        <f>IFERROR(__xludf.DUMMYFUNCTION("""COMPUTED_VALUE"""),"Ashish Ranjan2025-09-0222")</f>
        <v>Ashish Ranjan2025-09-0222</v>
      </c>
      <c r="K1095" s="115">
        <f>IFERROR(__xludf.DUMMYFUNCTION("""COMPUTED_VALUE"""),654594.0)</f>
        <v>654594</v>
      </c>
    </row>
    <row r="1096">
      <c r="A1096" s="115" t="str">
        <f>IFERROR(__xludf.DUMMYFUNCTION("""COMPUTED_VALUE"""),"EAST")</f>
        <v>EAST</v>
      </c>
      <c r="B1096" s="115" t="str">
        <f>IFERROR(__xludf.DUMMYFUNCTION("""COMPUTED_VALUE"""),"Ashish Ranjan")</f>
        <v>Ashish Ranjan</v>
      </c>
      <c r="C1096" s="115" t="str">
        <f>IFERROR(__xludf.DUMMYFUNCTION("""COMPUTED_VALUE"""),"MYNTRA")</f>
        <v>MYNTRA</v>
      </c>
      <c r="D1096" s="115">
        <f>IFERROR(__xludf.DUMMYFUNCTION("""COMPUTED_VALUE"""),57109.0)</f>
        <v>57109</v>
      </c>
      <c r="E1096" s="115">
        <f>IFERROR(__xludf.DUMMYFUNCTION("""COMPUTED_VALUE"""),12183.0)</f>
        <v>12183</v>
      </c>
      <c r="F1096" s="115">
        <f>IFERROR(__xludf.DUMMYFUNCTION("""COMPUTED_VALUE"""),51411.0)</f>
        <v>51411</v>
      </c>
      <c r="G1096" s="115">
        <f>IFERROR(__xludf.DUMMYFUNCTION("""COMPUTED_VALUE"""),10074.0)</f>
        <v>10074</v>
      </c>
      <c r="H1096" s="116">
        <f>IFERROR(__xludf.DUMMYFUNCTION("""COMPUTED_VALUE"""),45902.0)</f>
        <v>45902</v>
      </c>
      <c r="I1096" s="115" t="str">
        <f>IFERROR(__xludf.DUMMYFUNCTION("""COMPUTED_VALUE"""),"22")</f>
        <v>22</v>
      </c>
      <c r="J1096" s="115" t="str">
        <f>IFERROR(__xludf.DUMMYFUNCTION("""COMPUTED_VALUE"""),"Ashish Ranjan2025-09-0222")</f>
        <v>Ashish Ranjan2025-09-0222</v>
      </c>
      <c r="K1096" s="115">
        <f>IFERROR(__xludf.DUMMYFUNCTION("""COMPUTED_VALUE"""),69292.0)</f>
        <v>69292</v>
      </c>
    </row>
    <row r="1097">
      <c r="A1097" s="115" t="str">
        <f>IFERROR(__xludf.DUMMYFUNCTION("""COMPUTED_VALUE"""),"EAST")</f>
        <v>EAST</v>
      </c>
      <c r="B1097" s="115" t="str">
        <f>IFERROR(__xludf.DUMMYFUNCTION("""COMPUTED_VALUE"""),"Girish Chand")</f>
        <v>Girish Chand</v>
      </c>
      <c r="C1097" s="115" t="str">
        <f>IFERROR(__xludf.DUMMYFUNCTION("""COMPUTED_VALUE"""),"EXTERNAL")</f>
        <v>EXTERNAL</v>
      </c>
      <c r="D1097" s="115">
        <f>IFERROR(__xludf.DUMMYFUNCTION("""COMPUTED_VALUE"""),23321.0)</f>
        <v>23321</v>
      </c>
      <c r="E1097" s="115">
        <f>IFERROR(__xludf.DUMMYFUNCTION("""COMPUTED_VALUE"""),2424.0)</f>
        <v>2424</v>
      </c>
      <c r="F1097" s="115">
        <f>IFERROR(__xludf.DUMMYFUNCTION("""COMPUTED_VALUE"""),9656.0)</f>
        <v>9656</v>
      </c>
      <c r="G1097" s="115">
        <f>IFERROR(__xludf.DUMMYFUNCTION("""COMPUTED_VALUE"""),840.0)</f>
        <v>840</v>
      </c>
      <c r="H1097" s="116">
        <f>IFERROR(__xludf.DUMMYFUNCTION("""COMPUTED_VALUE"""),45902.0)</f>
        <v>45902</v>
      </c>
      <c r="I1097" s="115" t="str">
        <f>IFERROR(__xludf.DUMMYFUNCTION("""COMPUTED_VALUE"""),"22")</f>
        <v>22</v>
      </c>
      <c r="J1097" s="115" t="str">
        <f>IFERROR(__xludf.DUMMYFUNCTION("""COMPUTED_VALUE"""),"Girish Chand2025-09-0222")</f>
        <v>Girish Chand2025-09-0222</v>
      </c>
      <c r="K1097" s="115">
        <f>IFERROR(__xludf.DUMMYFUNCTION("""COMPUTED_VALUE"""),25745.0)</f>
        <v>25745</v>
      </c>
    </row>
    <row r="1098">
      <c r="A1098" s="115" t="str">
        <f>IFERROR(__xludf.DUMMYFUNCTION("""COMPUTED_VALUE"""),"EAST")</f>
        <v>EAST</v>
      </c>
      <c r="B1098" s="115" t="str">
        <f>IFERROR(__xludf.DUMMYFUNCTION("""COMPUTED_VALUE"""),"Girish Chand")</f>
        <v>Girish Chand</v>
      </c>
      <c r="C1098" s="115" t="str">
        <f>IFERROR(__xludf.DUMMYFUNCTION("""COMPUTED_VALUE"""),"FLIPKART")</f>
        <v>FLIPKART</v>
      </c>
      <c r="D1098" s="115">
        <f>IFERROR(__xludf.DUMMYFUNCTION("""COMPUTED_VALUE"""),395045.0)</f>
        <v>395045</v>
      </c>
      <c r="E1098" s="115">
        <f>IFERROR(__xludf.DUMMYFUNCTION("""COMPUTED_VALUE"""),39381.0)</f>
        <v>39381</v>
      </c>
      <c r="F1098" s="115">
        <f>IFERROR(__xludf.DUMMYFUNCTION("""COMPUTED_VALUE"""),293702.0)</f>
        <v>293702</v>
      </c>
      <c r="G1098" s="115">
        <f>IFERROR(__xludf.DUMMYFUNCTION("""COMPUTED_VALUE"""),29420.0)</f>
        <v>29420</v>
      </c>
      <c r="H1098" s="116">
        <f>IFERROR(__xludf.DUMMYFUNCTION("""COMPUTED_VALUE"""),45902.0)</f>
        <v>45902</v>
      </c>
      <c r="I1098" s="115" t="str">
        <f>IFERROR(__xludf.DUMMYFUNCTION("""COMPUTED_VALUE"""),"22")</f>
        <v>22</v>
      </c>
      <c r="J1098" s="115" t="str">
        <f>IFERROR(__xludf.DUMMYFUNCTION("""COMPUTED_VALUE"""),"Girish Chand2025-09-0222")</f>
        <v>Girish Chand2025-09-0222</v>
      </c>
      <c r="K1098" s="115">
        <f>IFERROR(__xludf.DUMMYFUNCTION("""COMPUTED_VALUE"""),434426.0)</f>
        <v>434426</v>
      </c>
    </row>
    <row r="1099">
      <c r="A1099" s="115" t="str">
        <f>IFERROR(__xludf.DUMMYFUNCTION("""COMPUTED_VALUE"""),"EAST")</f>
        <v>EAST</v>
      </c>
      <c r="B1099" s="115" t="str">
        <f>IFERROR(__xludf.DUMMYFUNCTION("""COMPUTED_VALUE"""),"Girish Chand")</f>
        <v>Girish Chand</v>
      </c>
      <c r="C1099" s="115" t="str">
        <f>IFERROR(__xludf.DUMMYFUNCTION("""COMPUTED_VALUE"""),"MYNTRA")</f>
        <v>MYNTRA</v>
      </c>
      <c r="D1099" s="115">
        <f>IFERROR(__xludf.DUMMYFUNCTION("""COMPUTED_VALUE"""),31192.0)</f>
        <v>31192</v>
      </c>
      <c r="E1099" s="115">
        <f>IFERROR(__xludf.DUMMYFUNCTION("""COMPUTED_VALUE"""),6548.0)</f>
        <v>6548</v>
      </c>
      <c r="F1099" s="115">
        <f>IFERROR(__xludf.DUMMYFUNCTION("""COMPUTED_VALUE"""),24740.0)</f>
        <v>24740</v>
      </c>
      <c r="G1099" s="115">
        <f>IFERROR(__xludf.DUMMYFUNCTION("""COMPUTED_VALUE"""),4955.0)</f>
        <v>4955</v>
      </c>
      <c r="H1099" s="116">
        <f>IFERROR(__xludf.DUMMYFUNCTION("""COMPUTED_VALUE"""),45902.0)</f>
        <v>45902</v>
      </c>
      <c r="I1099" s="115" t="str">
        <f>IFERROR(__xludf.DUMMYFUNCTION("""COMPUTED_VALUE"""),"22")</f>
        <v>22</v>
      </c>
      <c r="J1099" s="115" t="str">
        <f>IFERROR(__xludf.DUMMYFUNCTION("""COMPUTED_VALUE"""),"Girish Chand2025-09-0222")</f>
        <v>Girish Chand2025-09-0222</v>
      </c>
      <c r="K1099" s="115">
        <f>IFERROR(__xludf.DUMMYFUNCTION("""COMPUTED_VALUE"""),37740.0)</f>
        <v>37740</v>
      </c>
    </row>
    <row r="1100">
      <c r="A1100" s="115" t="str">
        <f>IFERROR(__xludf.DUMMYFUNCTION("""COMPUTED_VALUE"""),"EAST")</f>
        <v>EAST</v>
      </c>
      <c r="B1100" s="115" t="str">
        <f>IFERROR(__xludf.DUMMYFUNCTION("""COMPUTED_VALUE"""),"Parag Kashyap")</f>
        <v>Parag Kashyap</v>
      </c>
      <c r="C1100" s="115" t="str">
        <f>IFERROR(__xludf.DUMMYFUNCTION("""COMPUTED_VALUE"""),"EXTERNAL")</f>
        <v>EXTERNAL</v>
      </c>
      <c r="D1100" s="115">
        <f>IFERROR(__xludf.DUMMYFUNCTION("""COMPUTED_VALUE"""),21271.0)</f>
        <v>21271</v>
      </c>
      <c r="E1100" s="115">
        <f>IFERROR(__xludf.DUMMYFUNCTION("""COMPUTED_VALUE"""),1274.0)</f>
        <v>1274</v>
      </c>
      <c r="F1100" s="115">
        <f>IFERROR(__xludf.DUMMYFUNCTION("""COMPUTED_VALUE"""),8812.0)</f>
        <v>8812</v>
      </c>
      <c r="G1100" s="115">
        <f>IFERROR(__xludf.DUMMYFUNCTION("""COMPUTED_VALUE"""),474.0)</f>
        <v>474</v>
      </c>
      <c r="H1100" s="116">
        <f>IFERROR(__xludf.DUMMYFUNCTION("""COMPUTED_VALUE"""),45902.0)</f>
        <v>45902</v>
      </c>
      <c r="I1100" s="115" t="str">
        <f>IFERROR(__xludf.DUMMYFUNCTION("""COMPUTED_VALUE"""),"22")</f>
        <v>22</v>
      </c>
      <c r="J1100" s="115" t="str">
        <f>IFERROR(__xludf.DUMMYFUNCTION("""COMPUTED_VALUE"""),"Parag Kashyap2025-09-0222")</f>
        <v>Parag Kashyap2025-09-0222</v>
      </c>
      <c r="K1100" s="115">
        <f>IFERROR(__xludf.DUMMYFUNCTION("""COMPUTED_VALUE"""),22545.0)</f>
        <v>22545</v>
      </c>
    </row>
    <row r="1101">
      <c r="A1101" s="115" t="str">
        <f>IFERROR(__xludf.DUMMYFUNCTION("""COMPUTED_VALUE"""),"EAST")</f>
        <v>EAST</v>
      </c>
      <c r="B1101" s="115" t="str">
        <f>IFERROR(__xludf.DUMMYFUNCTION("""COMPUTED_VALUE"""),"Parag Kashyap")</f>
        <v>Parag Kashyap</v>
      </c>
      <c r="C1101" s="115" t="str">
        <f>IFERROR(__xludf.DUMMYFUNCTION("""COMPUTED_VALUE"""),"FLIPKART")</f>
        <v>FLIPKART</v>
      </c>
      <c r="D1101" s="115">
        <f>IFERROR(__xludf.DUMMYFUNCTION("""COMPUTED_VALUE"""),298804.0)</f>
        <v>298804</v>
      </c>
      <c r="E1101" s="115">
        <f>IFERROR(__xludf.DUMMYFUNCTION("""COMPUTED_VALUE"""),20051.0)</f>
        <v>20051</v>
      </c>
      <c r="F1101" s="115">
        <f>IFERROR(__xludf.DUMMYFUNCTION("""COMPUTED_VALUE"""),234328.0)</f>
        <v>234328</v>
      </c>
      <c r="G1101" s="115">
        <f>IFERROR(__xludf.DUMMYFUNCTION("""COMPUTED_VALUE"""),15455.0)</f>
        <v>15455</v>
      </c>
      <c r="H1101" s="116">
        <f>IFERROR(__xludf.DUMMYFUNCTION("""COMPUTED_VALUE"""),45902.0)</f>
        <v>45902</v>
      </c>
      <c r="I1101" s="115" t="str">
        <f>IFERROR(__xludf.DUMMYFUNCTION("""COMPUTED_VALUE"""),"22")</f>
        <v>22</v>
      </c>
      <c r="J1101" s="115" t="str">
        <f>IFERROR(__xludf.DUMMYFUNCTION("""COMPUTED_VALUE"""),"Parag Kashyap2025-09-0222")</f>
        <v>Parag Kashyap2025-09-0222</v>
      </c>
      <c r="K1101" s="115">
        <f>IFERROR(__xludf.DUMMYFUNCTION("""COMPUTED_VALUE"""),318855.0)</f>
        <v>318855</v>
      </c>
    </row>
    <row r="1102">
      <c r="A1102" s="115" t="str">
        <f>IFERROR(__xludf.DUMMYFUNCTION("""COMPUTED_VALUE"""),"EAST")</f>
        <v>EAST</v>
      </c>
      <c r="B1102" s="115" t="str">
        <f>IFERROR(__xludf.DUMMYFUNCTION("""COMPUTED_VALUE"""),"Parag Kashyap")</f>
        <v>Parag Kashyap</v>
      </c>
      <c r="C1102" s="115" t="str">
        <f>IFERROR(__xludf.DUMMYFUNCTION("""COMPUTED_VALUE"""),"MYNTRA")</f>
        <v>MYNTRA</v>
      </c>
      <c r="D1102" s="115">
        <f>IFERROR(__xludf.DUMMYFUNCTION("""COMPUTED_VALUE"""),31204.0)</f>
        <v>31204</v>
      </c>
      <c r="E1102" s="115">
        <f>IFERROR(__xludf.DUMMYFUNCTION("""COMPUTED_VALUE"""),5080.0)</f>
        <v>5080</v>
      </c>
      <c r="F1102" s="115">
        <f>IFERROR(__xludf.DUMMYFUNCTION("""COMPUTED_VALUE"""),25006.0)</f>
        <v>25006</v>
      </c>
      <c r="G1102" s="115">
        <f>IFERROR(__xludf.DUMMYFUNCTION("""COMPUTED_VALUE"""),3821.0)</f>
        <v>3821</v>
      </c>
      <c r="H1102" s="116">
        <f>IFERROR(__xludf.DUMMYFUNCTION("""COMPUTED_VALUE"""),45902.0)</f>
        <v>45902</v>
      </c>
      <c r="I1102" s="115" t="str">
        <f>IFERROR(__xludf.DUMMYFUNCTION("""COMPUTED_VALUE"""),"22")</f>
        <v>22</v>
      </c>
      <c r="J1102" s="115" t="str">
        <f>IFERROR(__xludf.DUMMYFUNCTION("""COMPUTED_VALUE"""),"Parag Kashyap2025-09-0222")</f>
        <v>Parag Kashyap2025-09-0222</v>
      </c>
      <c r="K1102" s="115">
        <f>IFERROR(__xludf.DUMMYFUNCTION("""COMPUTED_VALUE"""),36284.0)</f>
        <v>36284</v>
      </c>
    </row>
    <row r="1103">
      <c r="A1103" s="115" t="str">
        <f>IFERROR(__xludf.DUMMYFUNCTION("""COMPUTED_VALUE"""),"NORTH")</f>
        <v>NORTH</v>
      </c>
      <c r="B1103" s="115" t="str">
        <f>IFERROR(__xludf.DUMMYFUNCTION("""COMPUTED_VALUE"""),"Amit Kumar Pathak")</f>
        <v>Amit Kumar Pathak</v>
      </c>
      <c r="C1103" s="115" t="str">
        <f>IFERROR(__xludf.DUMMYFUNCTION("""COMPUTED_VALUE"""),"EXTERNAL")</f>
        <v>EXTERNAL</v>
      </c>
      <c r="D1103" s="115">
        <f>IFERROR(__xludf.DUMMYFUNCTION("""COMPUTED_VALUE"""),25612.0)</f>
        <v>25612</v>
      </c>
      <c r="E1103" s="115">
        <f>IFERROR(__xludf.DUMMYFUNCTION("""COMPUTED_VALUE"""),2217.0)</f>
        <v>2217</v>
      </c>
      <c r="F1103" s="115">
        <f>IFERROR(__xludf.DUMMYFUNCTION("""COMPUTED_VALUE"""),9584.0)</f>
        <v>9584</v>
      </c>
      <c r="G1103" s="115">
        <f>IFERROR(__xludf.DUMMYFUNCTION("""COMPUTED_VALUE"""),831.0)</f>
        <v>831</v>
      </c>
      <c r="H1103" s="116">
        <f>IFERROR(__xludf.DUMMYFUNCTION("""COMPUTED_VALUE"""),45902.0)</f>
        <v>45902</v>
      </c>
      <c r="I1103" s="115" t="str">
        <f>IFERROR(__xludf.DUMMYFUNCTION("""COMPUTED_VALUE"""),"22")</f>
        <v>22</v>
      </c>
      <c r="J1103" s="115" t="str">
        <f>IFERROR(__xludf.DUMMYFUNCTION("""COMPUTED_VALUE"""),"Amit Kumar Pathak2025-09-0222")</f>
        <v>Amit Kumar Pathak2025-09-0222</v>
      </c>
      <c r="K1103" s="115">
        <f>IFERROR(__xludf.DUMMYFUNCTION("""COMPUTED_VALUE"""),27829.0)</f>
        <v>27829</v>
      </c>
    </row>
    <row r="1104">
      <c r="A1104" s="115" t="str">
        <f>IFERROR(__xludf.DUMMYFUNCTION("""COMPUTED_VALUE"""),"NORTH")</f>
        <v>NORTH</v>
      </c>
      <c r="B1104" s="115" t="str">
        <f>IFERROR(__xludf.DUMMYFUNCTION("""COMPUTED_VALUE"""),"Amit Kumar Pathak")</f>
        <v>Amit Kumar Pathak</v>
      </c>
      <c r="C1104" s="115" t="str">
        <f>IFERROR(__xludf.DUMMYFUNCTION("""COMPUTED_VALUE"""),"FLIPKART")</f>
        <v>FLIPKART</v>
      </c>
      <c r="D1104" s="115">
        <f>IFERROR(__xludf.DUMMYFUNCTION("""COMPUTED_VALUE"""),175549.0)</f>
        <v>175549</v>
      </c>
      <c r="E1104" s="115">
        <f>IFERROR(__xludf.DUMMYFUNCTION("""COMPUTED_VALUE"""),22439.0)</f>
        <v>22439</v>
      </c>
      <c r="F1104" s="115">
        <f>IFERROR(__xludf.DUMMYFUNCTION("""COMPUTED_VALUE"""),121967.0)</f>
        <v>121967</v>
      </c>
      <c r="G1104" s="115">
        <f>IFERROR(__xludf.DUMMYFUNCTION("""COMPUTED_VALUE"""),14880.0)</f>
        <v>14880</v>
      </c>
      <c r="H1104" s="116">
        <f>IFERROR(__xludf.DUMMYFUNCTION("""COMPUTED_VALUE"""),45902.0)</f>
        <v>45902</v>
      </c>
      <c r="I1104" s="115" t="str">
        <f>IFERROR(__xludf.DUMMYFUNCTION("""COMPUTED_VALUE"""),"22")</f>
        <v>22</v>
      </c>
      <c r="J1104" s="115" t="str">
        <f>IFERROR(__xludf.DUMMYFUNCTION("""COMPUTED_VALUE"""),"Amit Kumar Pathak2025-09-0222")</f>
        <v>Amit Kumar Pathak2025-09-0222</v>
      </c>
      <c r="K1104" s="115">
        <f>IFERROR(__xludf.DUMMYFUNCTION("""COMPUTED_VALUE"""),197988.0)</f>
        <v>197988</v>
      </c>
    </row>
    <row r="1105">
      <c r="A1105" s="115" t="str">
        <f>IFERROR(__xludf.DUMMYFUNCTION("""COMPUTED_VALUE"""),"NORTH")</f>
        <v>NORTH</v>
      </c>
      <c r="B1105" s="115" t="str">
        <f>IFERROR(__xludf.DUMMYFUNCTION("""COMPUTED_VALUE"""),"Amit Kumar Pathak")</f>
        <v>Amit Kumar Pathak</v>
      </c>
      <c r="C1105" s="115" t="str">
        <f>IFERROR(__xludf.DUMMYFUNCTION("""COMPUTED_VALUE"""),"MYNTRA")</f>
        <v>MYNTRA</v>
      </c>
      <c r="D1105" s="115">
        <f>IFERROR(__xludf.DUMMYFUNCTION("""COMPUTED_VALUE"""),17208.0)</f>
        <v>17208</v>
      </c>
      <c r="E1105" s="115">
        <f>IFERROR(__xludf.DUMMYFUNCTION("""COMPUTED_VALUE"""),5185.0)</f>
        <v>5185</v>
      </c>
      <c r="F1105" s="115">
        <f>IFERROR(__xludf.DUMMYFUNCTION("""COMPUTED_VALUE"""),14002.0)</f>
        <v>14002</v>
      </c>
      <c r="G1105" s="115">
        <f>IFERROR(__xludf.DUMMYFUNCTION("""COMPUTED_VALUE"""),3674.0)</f>
        <v>3674</v>
      </c>
      <c r="H1105" s="116">
        <f>IFERROR(__xludf.DUMMYFUNCTION("""COMPUTED_VALUE"""),45902.0)</f>
        <v>45902</v>
      </c>
      <c r="I1105" s="115" t="str">
        <f>IFERROR(__xludf.DUMMYFUNCTION("""COMPUTED_VALUE"""),"22")</f>
        <v>22</v>
      </c>
      <c r="J1105" s="115" t="str">
        <f>IFERROR(__xludf.DUMMYFUNCTION("""COMPUTED_VALUE"""),"Amit Kumar Pathak2025-09-0222")</f>
        <v>Amit Kumar Pathak2025-09-0222</v>
      </c>
      <c r="K1105" s="115">
        <f>IFERROR(__xludf.DUMMYFUNCTION("""COMPUTED_VALUE"""),22393.0)</f>
        <v>22393</v>
      </c>
    </row>
    <row r="1106">
      <c r="A1106" s="115" t="str">
        <f>IFERROR(__xludf.DUMMYFUNCTION("""COMPUTED_VALUE"""),"NORTH")</f>
        <v>NORTH</v>
      </c>
      <c r="B1106" s="115" t="str">
        <f>IFERROR(__xludf.DUMMYFUNCTION("""COMPUTED_VALUE"""),"Loveleen Singh")</f>
        <v>Loveleen Singh</v>
      </c>
      <c r="C1106" s="115" t="str">
        <f>IFERROR(__xludf.DUMMYFUNCTION("""COMPUTED_VALUE"""),"EXTERNAL")</f>
        <v>EXTERNAL</v>
      </c>
      <c r="D1106" s="115">
        <f>IFERROR(__xludf.DUMMYFUNCTION("""COMPUTED_VALUE"""),29354.0)</f>
        <v>29354</v>
      </c>
      <c r="E1106" s="115">
        <f>IFERROR(__xludf.DUMMYFUNCTION("""COMPUTED_VALUE"""),2088.0)</f>
        <v>2088</v>
      </c>
      <c r="F1106" s="115">
        <f>IFERROR(__xludf.DUMMYFUNCTION("""COMPUTED_VALUE"""),10799.0)</f>
        <v>10799</v>
      </c>
      <c r="G1106" s="115">
        <f>IFERROR(__xludf.DUMMYFUNCTION("""COMPUTED_VALUE"""),691.0)</f>
        <v>691</v>
      </c>
      <c r="H1106" s="116">
        <f>IFERROR(__xludf.DUMMYFUNCTION("""COMPUTED_VALUE"""),45902.0)</f>
        <v>45902</v>
      </c>
      <c r="I1106" s="115" t="str">
        <f>IFERROR(__xludf.DUMMYFUNCTION("""COMPUTED_VALUE"""),"22")</f>
        <v>22</v>
      </c>
      <c r="J1106" s="115" t="str">
        <f>IFERROR(__xludf.DUMMYFUNCTION("""COMPUTED_VALUE"""),"Loveleen Singh2025-09-0222")</f>
        <v>Loveleen Singh2025-09-0222</v>
      </c>
      <c r="K1106" s="115">
        <f>IFERROR(__xludf.DUMMYFUNCTION("""COMPUTED_VALUE"""),31442.0)</f>
        <v>31442</v>
      </c>
    </row>
    <row r="1107">
      <c r="A1107" s="115" t="str">
        <f>IFERROR(__xludf.DUMMYFUNCTION("""COMPUTED_VALUE"""),"NORTH")</f>
        <v>NORTH</v>
      </c>
      <c r="B1107" s="115" t="str">
        <f>IFERROR(__xludf.DUMMYFUNCTION("""COMPUTED_VALUE"""),"Loveleen Singh")</f>
        <v>Loveleen Singh</v>
      </c>
      <c r="C1107" s="115" t="str">
        <f>IFERROR(__xludf.DUMMYFUNCTION("""COMPUTED_VALUE"""),"FLIPKART")</f>
        <v>FLIPKART</v>
      </c>
      <c r="D1107" s="115">
        <f>IFERROR(__xludf.DUMMYFUNCTION("""COMPUTED_VALUE"""),151455.0)</f>
        <v>151455</v>
      </c>
      <c r="E1107" s="115">
        <f>IFERROR(__xludf.DUMMYFUNCTION("""COMPUTED_VALUE"""),13252.0)</f>
        <v>13252</v>
      </c>
      <c r="F1107" s="115">
        <f>IFERROR(__xludf.DUMMYFUNCTION("""COMPUTED_VALUE"""),106819.0)</f>
        <v>106819</v>
      </c>
      <c r="G1107" s="115">
        <f>IFERROR(__xludf.DUMMYFUNCTION("""COMPUTED_VALUE"""),8787.0)</f>
        <v>8787</v>
      </c>
      <c r="H1107" s="116">
        <f>IFERROR(__xludf.DUMMYFUNCTION("""COMPUTED_VALUE"""),45902.0)</f>
        <v>45902</v>
      </c>
      <c r="I1107" s="115" t="str">
        <f>IFERROR(__xludf.DUMMYFUNCTION("""COMPUTED_VALUE"""),"22")</f>
        <v>22</v>
      </c>
      <c r="J1107" s="115" t="str">
        <f>IFERROR(__xludf.DUMMYFUNCTION("""COMPUTED_VALUE"""),"Loveleen Singh2025-09-0222")</f>
        <v>Loveleen Singh2025-09-0222</v>
      </c>
      <c r="K1107" s="115">
        <f>IFERROR(__xludf.DUMMYFUNCTION("""COMPUTED_VALUE"""),164707.0)</f>
        <v>164707</v>
      </c>
    </row>
    <row r="1108">
      <c r="A1108" s="115" t="str">
        <f>IFERROR(__xludf.DUMMYFUNCTION("""COMPUTED_VALUE"""),"NORTH")</f>
        <v>NORTH</v>
      </c>
      <c r="B1108" s="115" t="str">
        <f>IFERROR(__xludf.DUMMYFUNCTION("""COMPUTED_VALUE"""),"Loveleen Singh")</f>
        <v>Loveleen Singh</v>
      </c>
      <c r="C1108" s="115" t="str">
        <f>IFERROR(__xludf.DUMMYFUNCTION("""COMPUTED_VALUE"""),"MYNTRA")</f>
        <v>MYNTRA</v>
      </c>
      <c r="D1108" s="115">
        <f>IFERROR(__xludf.DUMMYFUNCTION("""COMPUTED_VALUE"""),22868.0)</f>
        <v>22868</v>
      </c>
      <c r="E1108" s="115">
        <f>IFERROR(__xludf.DUMMYFUNCTION("""COMPUTED_VALUE"""),5138.0)</f>
        <v>5138</v>
      </c>
      <c r="F1108" s="115">
        <f>IFERROR(__xludf.DUMMYFUNCTION("""COMPUTED_VALUE"""),18237.0)</f>
        <v>18237</v>
      </c>
      <c r="G1108" s="115">
        <f>IFERROR(__xludf.DUMMYFUNCTION("""COMPUTED_VALUE"""),3501.0)</f>
        <v>3501</v>
      </c>
      <c r="H1108" s="116">
        <f>IFERROR(__xludf.DUMMYFUNCTION("""COMPUTED_VALUE"""),45902.0)</f>
        <v>45902</v>
      </c>
      <c r="I1108" s="115" t="str">
        <f>IFERROR(__xludf.DUMMYFUNCTION("""COMPUTED_VALUE"""),"22")</f>
        <v>22</v>
      </c>
      <c r="J1108" s="115" t="str">
        <f>IFERROR(__xludf.DUMMYFUNCTION("""COMPUTED_VALUE"""),"Loveleen Singh2025-09-0222")</f>
        <v>Loveleen Singh2025-09-0222</v>
      </c>
      <c r="K1108" s="115">
        <f>IFERROR(__xludf.DUMMYFUNCTION("""COMPUTED_VALUE"""),28006.0)</f>
        <v>28006</v>
      </c>
    </row>
    <row r="1109">
      <c r="A1109" s="115" t="str">
        <f>IFERROR(__xludf.DUMMYFUNCTION("""COMPUTED_VALUE"""),"NORTH")</f>
        <v>NORTH</v>
      </c>
      <c r="B1109" s="115" t="str">
        <f>IFERROR(__xludf.DUMMYFUNCTION("""COMPUTED_VALUE"""),"Manoj Harsh")</f>
        <v>Manoj Harsh</v>
      </c>
      <c r="C1109" s="115" t="str">
        <f>IFERROR(__xludf.DUMMYFUNCTION("""COMPUTED_VALUE"""),"EXTERNAL")</f>
        <v>EXTERNAL</v>
      </c>
      <c r="D1109" s="115">
        <f>IFERROR(__xludf.DUMMYFUNCTION("""COMPUTED_VALUE"""),34128.0)</f>
        <v>34128</v>
      </c>
      <c r="E1109" s="115">
        <f>IFERROR(__xludf.DUMMYFUNCTION("""COMPUTED_VALUE"""),3178.0)</f>
        <v>3178</v>
      </c>
      <c r="F1109" s="115">
        <f>IFERROR(__xludf.DUMMYFUNCTION("""COMPUTED_VALUE"""),13952.0)</f>
        <v>13952</v>
      </c>
      <c r="G1109" s="115">
        <f>IFERROR(__xludf.DUMMYFUNCTION("""COMPUTED_VALUE"""),1161.0)</f>
        <v>1161</v>
      </c>
      <c r="H1109" s="116">
        <f>IFERROR(__xludf.DUMMYFUNCTION("""COMPUTED_VALUE"""),45902.0)</f>
        <v>45902</v>
      </c>
      <c r="I1109" s="115" t="str">
        <f>IFERROR(__xludf.DUMMYFUNCTION("""COMPUTED_VALUE"""),"22")</f>
        <v>22</v>
      </c>
      <c r="J1109" s="115" t="str">
        <f>IFERROR(__xludf.DUMMYFUNCTION("""COMPUTED_VALUE"""),"Manoj Harsh2025-09-0222")</f>
        <v>Manoj Harsh2025-09-0222</v>
      </c>
      <c r="K1109" s="115">
        <f>IFERROR(__xludf.DUMMYFUNCTION("""COMPUTED_VALUE"""),37306.0)</f>
        <v>37306</v>
      </c>
    </row>
    <row r="1110">
      <c r="A1110" s="115" t="str">
        <f>IFERROR(__xludf.DUMMYFUNCTION("""COMPUTED_VALUE"""),"NORTH")</f>
        <v>NORTH</v>
      </c>
      <c r="B1110" s="115" t="str">
        <f>IFERROR(__xludf.DUMMYFUNCTION("""COMPUTED_VALUE"""),"Manoj Harsh")</f>
        <v>Manoj Harsh</v>
      </c>
      <c r="C1110" s="115" t="str">
        <f>IFERROR(__xludf.DUMMYFUNCTION("""COMPUTED_VALUE"""),"FLIPKART")</f>
        <v>FLIPKART</v>
      </c>
      <c r="D1110" s="115">
        <f>IFERROR(__xludf.DUMMYFUNCTION("""COMPUTED_VALUE"""),402815.0)</f>
        <v>402815</v>
      </c>
      <c r="E1110" s="115">
        <f>IFERROR(__xludf.DUMMYFUNCTION("""COMPUTED_VALUE"""),42970.0)</f>
        <v>42970</v>
      </c>
      <c r="F1110" s="115">
        <f>IFERROR(__xludf.DUMMYFUNCTION("""COMPUTED_VALUE"""),298117.0)</f>
        <v>298117</v>
      </c>
      <c r="G1110" s="115">
        <f>IFERROR(__xludf.DUMMYFUNCTION("""COMPUTED_VALUE"""),29944.0)</f>
        <v>29944</v>
      </c>
      <c r="H1110" s="116">
        <f>IFERROR(__xludf.DUMMYFUNCTION("""COMPUTED_VALUE"""),45902.0)</f>
        <v>45902</v>
      </c>
      <c r="I1110" s="115" t="str">
        <f>IFERROR(__xludf.DUMMYFUNCTION("""COMPUTED_VALUE"""),"22")</f>
        <v>22</v>
      </c>
      <c r="J1110" s="115" t="str">
        <f>IFERROR(__xludf.DUMMYFUNCTION("""COMPUTED_VALUE"""),"Manoj Harsh2025-09-0222")</f>
        <v>Manoj Harsh2025-09-0222</v>
      </c>
      <c r="K1110" s="115">
        <f>IFERROR(__xludf.DUMMYFUNCTION("""COMPUTED_VALUE"""),445785.0)</f>
        <v>445785</v>
      </c>
    </row>
    <row r="1111">
      <c r="A1111" s="115" t="str">
        <f>IFERROR(__xludf.DUMMYFUNCTION("""COMPUTED_VALUE"""),"NORTH")</f>
        <v>NORTH</v>
      </c>
      <c r="B1111" s="115" t="str">
        <f>IFERROR(__xludf.DUMMYFUNCTION("""COMPUTED_VALUE"""),"Manoj Harsh")</f>
        <v>Manoj Harsh</v>
      </c>
      <c r="C1111" s="115" t="str">
        <f>IFERROR(__xludf.DUMMYFUNCTION("""COMPUTED_VALUE"""),"MYNTRA")</f>
        <v>MYNTRA</v>
      </c>
      <c r="D1111" s="115">
        <f>IFERROR(__xludf.DUMMYFUNCTION("""COMPUTED_VALUE"""),34877.0)</f>
        <v>34877</v>
      </c>
      <c r="E1111" s="115">
        <f>IFERROR(__xludf.DUMMYFUNCTION("""COMPUTED_VALUE"""),7852.0)</f>
        <v>7852</v>
      </c>
      <c r="F1111" s="115">
        <f>IFERROR(__xludf.DUMMYFUNCTION("""COMPUTED_VALUE"""),27937.0)</f>
        <v>27937</v>
      </c>
      <c r="G1111" s="115">
        <f>IFERROR(__xludf.DUMMYFUNCTION("""COMPUTED_VALUE"""),5744.0)</f>
        <v>5744</v>
      </c>
      <c r="H1111" s="116">
        <f>IFERROR(__xludf.DUMMYFUNCTION("""COMPUTED_VALUE"""),45902.0)</f>
        <v>45902</v>
      </c>
      <c r="I1111" s="115" t="str">
        <f>IFERROR(__xludf.DUMMYFUNCTION("""COMPUTED_VALUE"""),"22")</f>
        <v>22</v>
      </c>
      <c r="J1111" s="115" t="str">
        <f>IFERROR(__xludf.DUMMYFUNCTION("""COMPUTED_VALUE"""),"Manoj Harsh2025-09-0222")</f>
        <v>Manoj Harsh2025-09-0222</v>
      </c>
      <c r="K1111" s="115">
        <f>IFERROR(__xludf.DUMMYFUNCTION("""COMPUTED_VALUE"""),42729.0)</f>
        <v>42729</v>
      </c>
    </row>
    <row r="1112">
      <c r="A1112" s="115" t="str">
        <f>IFERROR(__xludf.DUMMYFUNCTION("""COMPUTED_VALUE"""),"NORTH")</f>
        <v>NORTH</v>
      </c>
      <c r="B1112" s="115" t="str">
        <f>IFERROR(__xludf.DUMMYFUNCTION("""COMPUTED_VALUE"""),"Pradeep Kothari")</f>
        <v>Pradeep Kothari</v>
      </c>
      <c r="C1112" s="115" t="str">
        <f>IFERROR(__xludf.DUMMYFUNCTION("""COMPUTED_VALUE"""),"EXTERNAL")</f>
        <v>EXTERNAL</v>
      </c>
      <c r="D1112" s="115">
        <f>IFERROR(__xludf.DUMMYFUNCTION("""COMPUTED_VALUE"""),19213.0)</f>
        <v>19213</v>
      </c>
      <c r="E1112" s="115">
        <f>IFERROR(__xludf.DUMMYFUNCTION("""COMPUTED_VALUE"""),1983.0)</f>
        <v>1983</v>
      </c>
      <c r="F1112" s="115">
        <f>IFERROR(__xludf.DUMMYFUNCTION("""COMPUTED_VALUE"""),7544.0)</f>
        <v>7544</v>
      </c>
      <c r="G1112" s="115">
        <f>IFERROR(__xludf.DUMMYFUNCTION("""COMPUTED_VALUE"""),735.0)</f>
        <v>735</v>
      </c>
      <c r="H1112" s="116">
        <f>IFERROR(__xludf.DUMMYFUNCTION("""COMPUTED_VALUE"""),45902.0)</f>
        <v>45902</v>
      </c>
      <c r="I1112" s="115" t="str">
        <f>IFERROR(__xludf.DUMMYFUNCTION("""COMPUTED_VALUE"""),"22")</f>
        <v>22</v>
      </c>
      <c r="J1112" s="115" t="str">
        <f>IFERROR(__xludf.DUMMYFUNCTION("""COMPUTED_VALUE"""),"Pradeep Kothari2025-09-0222")</f>
        <v>Pradeep Kothari2025-09-0222</v>
      </c>
      <c r="K1112" s="115">
        <f>IFERROR(__xludf.DUMMYFUNCTION("""COMPUTED_VALUE"""),21196.0)</f>
        <v>21196</v>
      </c>
    </row>
    <row r="1113">
      <c r="A1113" s="115" t="str">
        <f>IFERROR(__xludf.DUMMYFUNCTION("""COMPUTED_VALUE"""),"NORTH")</f>
        <v>NORTH</v>
      </c>
      <c r="B1113" s="115" t="str">
        <f>IFERROR(__xludf.DUMMYFUNCTION("""COMPUTED_VALUE"""),"Pradeep Kothari")</f>
        <v>Pradeep Kothari</v>
      </c>
      <c r="C1113" s="115" t="str">
        <f>IFERROR(__xludf.DUMMYFUNCTION("""COMPUTED_VALUE"""),"FLIPKART")</f>
        <v>FLIPKART</v>
      </c>
      <c r="D1113" s="115">
        <f>IFERROR(__xludf.DUMMYFUNCTION("""COMPUTED_VALUE"""),137345.0)</f>
        <v>137345</v>
      </c>
      <c r="E1113" s="115">
        <f>IFERROR(__xludf.DUMMYFUNCTION("""COMPUTED_VALUE"""),17234.0)</f>
        <v>17234</v>
      </c>
      <c r="F1113" s="115">
        <f>IFERROR(__xludf.DUMMYFUNCTION("""COMPUTED_VALUE"""),101835.0)</f>
        <v>101835</v>
      </c>
      <c r="G1113" s="115">
        <f>IFERROR(__xludf.DUMMYFUNCTION("""COMPUTED_VALUE"""),11967.0)</f>
        <v>11967</v>
      </c>
      <c r="H1113" s="116">
        <f>IFERROR(__xludf.DUMMYFUNCTION("""COMPUTED_VALUE"""),45902.0)</f>
        <v>45902</v>
      </c>
      <c r="I1113" s="115" t="str">
        <f>IFERROR(__xludf.DUMMYFUNCTION("""COMPUTED_VALUE"""),"22")</f>
        <v>22</v>
      </c>
      <c r="J1113" s="115" t="str">
        <f>IFERROR(__xludf.DUMMYFUNCTION("""COMPUTED_VALUE"""),"Pradeep Kothari2025-09-0222")</f>
        <v>Pradeep Kothari2025-09-0222</v>
      </c>
      <c r="K1113" s="115">
        <f>IFERROR(__xludf.DUMMYFUNCTION("""COMPUTED_VALUE"""),154579.0)</f>
        <v>154579</v>
      </c>
    </row>
    <row r="1114">
      <c r="A1114" s="115" t="str">
        <f>IFERROR(__xludf.DUMMYFUNCTION("""COMPUTED_VALUE"""),"NORTH")</f>
        <v>NORTH</v>
      </c>
      <c r="B1114" s="115" t="str">
        <f>IFERROR(__xludf.DUMMYFUNCTION("""COMPUTED_VALUE"""),"Pradeep Kothari")</f>
        <v>Pradeep Kothari</v>
      </c>
      <c r="C1114" s="115" t="str">
        <f>IFERROR(__xludf.DUMMYFUNCTION("""COMPUTED_VALUE"""),"MYNTRA")</f>
        <v>MYNTRA</v>
      </c>
      <c r="D1114" s="115">
        <f>IFERROR(__xludf.DUMMYFUNCTION("""COMPUTED_VALUE"""),23469.0)</f>
        <v>23469</v>
      </c>
      <c r="E1114" s="115">
        <f>IFERROR(__xludf.DUMMYFUNCTION("""COMPUTED_VALUE"""),6342.0)</f>
        <v>6342</v>
      </c>
      <c r="F1114" s="115">
        <f>IFERROR(__xludf.DUMMYFUNCTION("""COMPUTED_VALUE"""),19329.0)</f>
        <v>19329</v>
      </c>
      <c r="G1114" s="115">
        <f>IFERROR(__xludf.DUMMYFUNCTION("""COMPUTED_VALUE"""),4768.0)</f>
        <v>4768</v>
      </c>
      <c r="H1114" s="116">
        <f>IFERROR(__xludf.DUMMYFUNCTION("""COMPUTED_VALUE"""),45902.0)</f>
        <v>45902</v>
      </c>
      <c r="I1114" s="115" t="str">
        <f>IFERROR(__xludf.DUMMYFUNCTION("""COMPUTED_VALUE"""),"22")</f>
        <v>22</v>
      </c>
      <c r="J1114" s="115" t="str">
        <f>IFERROR(__xludf.DUMMYFUNCTION("""COMPUTED_VALUE"""),"Pradeep Kothari2025-09-0222")</f>
        <v>Pradeep Kothari2025-09-0222</v>
      </c>
      <c r="K1114" s="115">
        <f>IFERROR(__xludf.DUMMYFUNCTION("""COMPUTED_VALUE"""),29811.0)</f>
        <v>29811</v>
      </c>
    </row>
    <row r="1115">
      <c r="A1115" s="115" t="str">
        <f>IFERROR(__xludf.DUMMYFUNCTION("""COMPUTED_VALUE"""),"SOUTH")</f>
        <v>SOUTH</v>
      </c>
      <c r="B1115" s="115" t="str">
        <f>IFERROR(__xludf.DUMMYFUNCTION("""COMPUTED_VALUE"""),"Kandula Sampath")</f>
        <v>Kandula Sampath</v>
      </c>
      <c r="C1115" s="115" t="str">
        <f>IFERROR(__xludf.DUMMYFUNCTION("""COMPUTED_VALUE"""),"EXTERNAL")</f>
        <v>EXTERNAL</v>
      </c>
      <c r="D1115" s="115">
        <f>IFERROR(__xludf.DUMMYFUNCTION("""COMPUTED_VALUE"""),38934.0)</f>
        <v>38934</v>
      </c>
      <c r="E1115" s="115">
        <f>IFERROR(__xludf.DUMMYFUNCTION("""COMPUTED_VALUE"""),4451.0)</f>
        <v>4451</v>
      </c>
      <c r="F1115" s="115">
        <f>IFERROR(__xludf.DUMMYFUNCTION("""COMPUTED_VALUE"""),16301.0)</f>
        <v>16301</v>
      </c>
      <c r="G1115" s="115">
        <f>IFERROR(__xludf.DUMMYFUNCTION("""COMPUTED_VALUE"""),1497.0)</f>
        <v>1497</v>
      </c>
      <c r="H1115" s="116">
        <f>IFERROR(__xludf.DUMMYFUNCTION("""COMPUTED_VALUE"""),45902.0)</f>
        <v>45902</v>
      </c>
      <c r="I1115" s="115" t="str">
        <f>IFERROR(__xludf.DUMMYFUNCTION("""COMPUTED_VALUE"""),"22")</f>
        <v>22</v>
      </c>
      <c r="J1115" s="115" t="str">
        <f>IFERROR(__xludf.DUMMYFUNCTION("""COMPUTED_VALUE"""),"Kandula Sampath2025-09-0222")</f>
        <v>Kandula Sampath2025-09-0222</v>
      </c>
      <c r="K1115" s="115">
        <f>IFERROR(__xludf.DUMMYFUNCTION("""COMPUTED_VALUE"""),43385.0)</f>
        <v>43385</v>
      </c>
    </row>
    <row r="1116">
      <c r="A1116" s="115" t="str">
        <f>IFERROR(__xludf.DUMMYFUNCTION("""COMPUTED_VALUE"""),"SOUTH")</f>
        <v>SOUTH</v>
      </c>
      <c r="B1116" s="115" t="str">
        <f>IFERROR(__xludf.DUMMYFUNCTION("""COMPUTED_VALUE"""),"Kandula Sampath")</f>
        <v>Kandula Sampath</v>
      </c>
      <c r="C1116" s="115" t="str">
        <f>IFERROR(__xludf.DUMMYFUNCTION("""COMPUTED_VALUE"""),"FLIPKART")</f>
        <v>FLIPKART</v>
      </c>
      <c r="D1116" s="115">
        <f>IFERROR(__xludf.DUMMYFUNCTION("""COMPUTED_VALUE"""),333095.0)</f>
        <v>333095</v>
      </c>
      <c r="E1116" s="115">
        <f>IFERROR(__xludf.DUMMYFUNCTION("""COMPUTED_VALUE"""),34528.0)</f>
        <v>34528</v>
      </c>
      <c r="F1116" s="115">
        <f>IFERROR(__xludf.DUMMYFUNCTION("""COMPUTED_VALUE"""),248500.0)</f>
        <v>248500</v>
      </c>
      <c r="G1116" s="115">
        <f>IFERROR(__xludf.DUMMYFUNCTION("""COMPUTED_VALUE"""),22591.0)</f>
        <v>22591</v>
      </c>
      <c r="H1116" s="116">
        <f>IFERROR(__xludf.DUMMYFUNCTION("""COMPUTED_VALUE"""),45902.0)</f>
        <v>45902</v>
      </c>
      <c r="I1116" s="115" t="str">
        <f>IFERROR(__xludf.DUMMYFUNCTION("""COMPUTED_VALUE"""),"22")</f>
        <v>22</v>
      </c>
      <c r="J1116" s="115" t="str">
        <f>IFERROR(__xludf.DUMMYFUNCTION("""COMPUTED_VALUE"""),"Kandula Sampath2025-09-0222")</f>
        <v>Kandula Sampath2025-09-0222</v>
      </c>
      <c r="K1116" s="115">
        <f>IFERROR(__xludf.DUMMYFUNCTION("""COMPUTED_VALUE"""),367623.0)</f>
        <v>367623</v>
      </c>
    </row>
    <row r="1117">
      <c r="A1117" s="115" t="str">
        <f>IFERROR(__xludf.DUMMYFUNCTION("""COMPUTED_VALUE"""),"SOUTH")</f>
        <v>SOUTH</v>
      </c>
      <c r="B1117" s="115" t="str">
        <f>IFERROR(__xludf.DUMMYFUNCTION("""COMPUTED_VALUE"""),"Kandula Sampath")</f>
        <v>Kandula Sampath</v>
      </c>
      <c r="C1117" s="115" t="str">
        <f>IFERROR(__xludf.DUMMYFUNCTION("""COMPUTED_VALUE"""),"MYNTRA")</f>
        <v>MYNTRA</v>
      </c>
      <c r="D1117" s="115">
        <f>IFERROR(__xludf.DUMMYFUNCTION("""COMPUTED_VALUE"""),34030.0)</f>
        <v>34030</v>
      </c>
      <c r="E1117" s="115">
        <f>IFERROR(__xludf.DUMMYFUNCTION("""COMPUTED_VALUE"""),8435.0)</f>
        <v>8435</v>
      </c>
      <c r="F1117" s="115">
        <f>IFERROR(__xludf.DUMMYFUNCTION("""COMPUTED_VALUE"""),27853.0)</f>
        <v>27853</v>
      </c>
      <c r="G1117" s="115">
        <f>IFERROR(__xludf.DUMMYFUNCTION("""COMPUTED_VALUE"""),5533.0)</f>
        <v>5533</v>
      </c>
      <c r="H1117" s="116">
        <f>IFERROR(__xludf.DUMMYFUNCTION("""COMPUTED_VALUE"""),45902.0)</f>
        <v>45902</v>
      </c>
      <c r="I1117" s="115" t="str">
        <f>IFERROR(__xludf.DUMMYFUNCTION("""COMPUTED_VALUE"""),"22")</f>
        <v>22</v>
      </c>
      <c r="J1117" s="115" t="str">
        <f>IFERROR(__xludf.DUMMYFUNCTION("""COMPUTED_VALUE"""),"Kandula Sampath2025-09-0222")</f>
        <v>Kandula Sampath2025-09-0222</v>
      </c>
      <c r="K1117" s="115">
        <f>IFERROR(__xludf.DUMMYFUNCTION("""COMPUTED_VALUE"""),42465.0)</f>
        <v>42465</v>
      </c>
    </row>
    <row r="1118">
      <c r="A1118" s="115" t="str">
        <f>IFERROR(__xludf.DUMMYFUNCTION("""COMPUTED_VALUE"""),"SOUTH")</f>
        <v>SOUTH</v>
      </c>
      <c r="B1118" s="115" t="str">
        <f>IFERROR(__xludf.DUMMYFUNCTION("""COMPUTED_VALUE"""),"Martin A")</f>
        <v>Martin A</v>
      </c>
      <c r="C1118" s="115" t="str">
        <f>IFERROR(__xludf.DUMMYFUNCTION("""COMPUTED_VALUE"""),"EXTERNAL")</f>
        <v>EXTERNAL</v>
      </c>
      <c r="D1118" s="115">
        <f>IFERROR(__xludf.DUMMYFUNCTION("""COMPUTED_VALUE"""),39271.0)</f>
        <v>39271</v>
      </c>
      <c r="E1118" s="115">
        <f>IFERROR(__xludf.DUMMYFUNCTION("""COMPUTED_VALUE"""),2706.0)</f>
        <v>2706</v>
      </c>
      <c r="F1118" s="115">
        <f>IFERROR(__xludf.DUMMYFUNCTION("""COMPUTED_VALUE"""),17002.0)</f>
        <v>17002</v>
      </c>
      <c r="G1118" s="115">
        <f>IFERROR(__xludf.DUMMYFUNCTION("""COMPUTED_VALUE"""),1196.0)</f>
        <v>1196</v>
      </c>
      <c r="H1118" s="116">
        <f>IFERROR(__xludf.DUMMYFUNCTION("""COMPUTED_VALUE"""),45902.0)</f>
        <v>45902</v>
      </c>
      <c r="I1118" s="115" t="str">
        <f>IFERROR(__xludf.DUMMYFUNCTION("""COMPUTED_VALUE"""),"22")</f>
        <v>22</v>
      </c>
      <c r="J1118" s="115" t="str">
        <f>IFERROR(__xludf.DUMMYFUNCTION("""COMPUTED_VALUE"""),"Martin A2025-09-0222")</f>
        <v>Martin A2025-09-0222</v>
      </c>
      <c r="K1118" s="115">
        <f>IFERROR(__xludf.DUMMYFUNCTION("""COMPUTED_VALUE"""),41977.0)</f>
        <v>41977</v>
      </c>
    </row>
    <row r="1119">
      <c r="A1119" s="115" t="str">
        <f>IFERROR(__xludf.DUMMYFUNCTION("""COMPUTED_VALUE"""),"SOUTH")</f>
        <v>SOUTH</v>
      </c>
      <c r="B1119" s="115" t="str">
        <f>IFERROR(__xludf.DUMMYFUNCTION("""COMPUTED_VALUE"""),"Martin A")</f>
        <v>Martin A</v>
      </c>
      <c r="C1119" s="115" t="str">
        <f>IFERROR(__xludf.DUMMYFUNCTION("""COMPUTED_VALUE"""),"FLIPKART")</f>
        <v>FLIPKART</v>
      </c>
      <c r="D1119" s="115">
        <f>IFERROR(__xludf.DUMMYFUNCTION("""COMPUTED_VALUE"""),297224.0)</f>
        <v>297224</v>
      </c>
      <c r="E1119" s="115">
        <f>IFERROR(__xludf.DUMMYFUNCTION("""COMPUTED_VALUE"""),30038.0)</f>
        <v>30038</v>
      </c>
      <c r="F1119" s="115">
        <f>IFERROR(__xludf.DUMMYFUNCTION("""COMPUTED_VALUE"""),223397.0)</f>
        <v>223397</v>
      </c>
      <c r="G1119" s="115">
        <f>IFERROR(__xludf.DUMMYFUNCTION("""COMPUTED_VALUE"""),20762.0)</f>
        <v>20762</v>
      </c>
      <c r="H1119" s="116">
        <f>IFERROR(__xludf.DUMMYFUNCTION("""COMPUTED_VALUE"""),45902.0)</f>
        <v>45902</v>
      </c>
      <c r="I1119" s="115" t="str">
        <f>IFERROR(__xludf.DUMMYFUNCTION("""COMPUTED_VALUE"""),"22")</f>
        <v>22</v>
      </c>
      <c r="J1119" s="115" t="str">
        <f>IFERROR(__xludf.DUMMYFUNCTION("""COMPUTED_VALUE"""),"Martin A2025-09-0222")</f>
        <v>Martin A2025-09-0222</v>
      </c>
      <c r="K1119" s="115">
        <f>IFERROR(__xludf.DUMMYFUNCTION("""COMPUTED_VALUE"""),327262.0)</f>
        <v>327262</v>
      </c>
    </row>
    <row r="1120">
      <c r="A1120" s="115" t="str">
        <f>IFERROR(__xludf.DUMMYFUNCTION("""COMPUTED_VALUE"""),"SOUTH")</f>
        <v>SOUTH</v>
      </c>
      <c r="B1120" s="115" t="str">
        <f>IFERROR(__xludf.DUMMYFUNCTION("""COMPUTED_VALUE"""),"Martin A")</f>
        <v>Martin A</v>
      </c>
      <c r="C1120" s="115" t="str">
        <f>IFERROR(__xludf.DUMMYFUNCTION("""COMPUTED_VALUE"""),"MYNTRA")</f>
        <v>MYNTRA</v>
      </c>
      <c r="D1120" s="115">
        <f>IFERROR(__xludf.DUMMYFUNCTION("""COMPUTED_VALUE"""),28051.0)</f>
        <v>28051</v>
      </c>
      <c r="E1120" s="115">
        <f>IFERROR(__xludf.DUMMYFUNCTION("""COMPUTED_VALUE"""),7004.0)</f>
        <v>7004</v>
      </c>
      <c r="F1120" s="115">
        <f>IFERROR(__xludf.DUMMYFUNCTION("""COMPUTED_VALUE"""),23825.0)</f>
        <v>23825</v>
      </c>
      <c r="G1120" s="115">
        <f>IFERROR(__xludf.DUMMYFUNCTION("""COMPUTED_VALUE"""),5022.0)</f>
        <v>5022</v>
      </c>
      <c r="H1120" s="116">
        <f>IFERROR(__xludf.DUMMYFUNCTION("""COMPUTED_VALUE"""),45902.0)</f>
        <v>45902</v>
      </c>
      <c r="I1120" s="115" t="str">
        <f>IFERROR(__xludf.DUMMYFUNCTION("""COMPUTED_VALUE"""),"22")</f>
        <v>22</v>
      </c>
      <c r="J1120" s="115" t="str">
        <f>IFERROR(__xludf.DUMMYFUNCTION("""COMPUTED_VALUE"""),"Martin A2025-09-0222")</f>
        <v>Martin A2025-09-0222</v>
      </c>
      <c r="K1120" s="115">
        <f>IFERROR(__xludf.DUMMYFUNCTION("""COMPUTED_VALUE"""),35055.0)</f>
        <v>35055</v>
      </c>
    </row>
    <row r="1121">
      <c r="A1121" s="115" t="str">
        <f>IFERROR(__xludf.DUMMYFUNCTION("""COMPUTED_VALUE"""),"SOUTH")</f>
        <v>SOUTH</v>
      </c>
      <c r="B1121" s="115" t="str">
        <f>IFERROR(__xludf.DUMMYFUNCTION("""COMPUTED_VALUE"""),"Premkumar M")</f>
        <v>Premkumar M</v>
      </c>
      <c r="C1121" s="115" t="str">
        <f>IFERROR(__xludf.DUMMYFUNCTION("""COMPUTED_VALUE"""),"EXTERNAL")</f>
        <v>EXTERNAL</v>
      </c>
      <c r="D1121" s="115">
        <f>IFERROR(__xludf.DUMMYFUNCTION("""COMPUTED_VALUE"""),31794.0)</f>
        <v>31794</v>
      </c>
      <c r="E1121" s="115">
        <f>IFERROR(__xludf.DUMMYFUNCTION("""COMPUTED_VALUE"""),2303.0)</f>
        <v>2303</v>
      </c>
      <c r="F1121" s="115">
        <f>IFERROR(__xludf.DUMMYFUNCTION("""COMPUTED_VALUE"""),16387.0)</f>
        <v>16387</v>
      </c>
      <c r="G1121" s="115">
        <f>IFERROR(__xludf.DUMMYFUNCTION("""COMPUTED_VALUE"""),893.0)</f>
        <v>893</v>
      </c>
      <c r="H1121" s="116">
        <f>IFERROR(__xludf.DUMMYFUNCTION("""COMPUTED_VALUE"""),45902.0)</f>
        <v>45902</v>
      </c>
      <c r="I1121" s="115" t="str">
        <f>IFERROR(__xludf.DUMMYFUNCTION("""COMPUTED_VALUE"""),"22")</f>
        <v>22</v>
      </c>
      <c r="J1121" s="115" t="str">
        <f>IFERROR(__xludf.DUMMYFUNCTION("""COMPUTED_VALUE"""),"Premkumar M2025-09-0222")</f>
        <v>Premkumar M2025-09-0222</v>
      </c>
      <c r="K1121" s="115">
        <f>IFERROR(__xludf.DUMMYFUNCTION("""COMPUTED_VALUE"""),34097.0)</f>
        <v>34097</v>
      </c>
    </row>
    <row r="1122">
      <c r="A1122" s="115" t="str">
        <f>IFERROR(__xludf.DUMMYFUNCTION("""COMPUTED_VALUE"""),"SOUTH")</f>
        <v>SOUTH</v>
      </c>
      <c r="B1122" s="115" t="str">
        <f>IFERROR(__xludf.DUMMYFUNCTION("""COMPUTED_VALUE"""),"Premkumar M")</f>
        <v>Premkumar M</v>
      </c>
      <c r="C1122" s="115" t="str">
        <f>IFERROR(__xludf.DUMMYFUNCTION("""COMPUTED_VALUE"""),"FLIPKART")</f>
        <v>FLIPKART</v>
      </c>
      <c r="D1122" s="115">
        <f>IFERROR(__xludf.DUMMYFUNCTION("""COMPUTED_VALUE"""),284362.0)</f>
        <v>284362</v>
      </c>
      <c r="E1122" s="115">
        <f>IFERROR(__xludf.DUMMYFUNCTION("""COMPUTED_VALUE"""),21436.0)</f>
        <v>21436</v>
      </c>
      <c r="F1122" s="115">
        <f>IFERROR(__xludf.DUMMYFUNCTION("""COMPUTED_VALUE"""),225731.0)</f>
        <v>225731</v>
      </c>
      <c r="G1122" s="115">
        <f>IFERROR(__xludf.DUMMYFUNCTION("""COMPUTED_VALUE"""),13625.0)</f>
        <v>13625</v>
      </c>
      <c r="H1122" s="116">
        <f>IFERROR(__xludf.DUMMYFUNCTION("""COMPUTED_VALUE"""),45902.0)</f>
        <v>45902</v>
      </c>
      <c r="I1122" s="115" t="str">
        <f>IFERROR(__xludf.DUMMYFUNCTION("""COMPUTED_VALUE"""),"22")</f>
        <v>22</v>
      </c>
      <c r="J1122" s="115" t="str">
        <f>IFERROR(__xludf.DUMMYFUNCTION("""COMPUTED_VALUE"""),"Premkumar M2025-09-0222")</f>
        <v>Premkumar M2025-09-0222</v>
      </c>
      <c r="K1122" s="115">
        <f>IFERROR(__xludf.DUMMYFUNCTION("""COMPUTED_VALUE"""),305798.0)</f>
        <v>305798</v>
      </c>
    </row>
    <row r="1123">
      <c r="A1123" s="115" t="str">
        <f>IFERROR(__xludf.DUMMYFUNCTION("""COMPUTED_VALUE"""),"SOUTH")</f>
        <v>SOUTH</v>
      </c>
      <c r="B1123" s="115" t="str">
        <f>IFERROR(__xludf.DUMMYFUNCTION("""COMPUTED_VALUE"""),"Premkumar M")</f>
        <v>Premkumar M</v>
      </c>
      <c r="C1123" s="115" t="str">
        <f>IFERROR(__xludf.DUMMYFUNCTION("""COMPUTED_VALUE"""),"MYNTRA")</f>
        <v>MYNTRA</v>
      </c>
      <c r="D1123" s="115">
        <f>IFERROR(__xludf.DUMMYFUNCTION("""COMPUTED_VALUE"""),15800.0)</f>
        <v>15800</v>
      </c>
      <c r="E1123" s="115">
        <f>IFERROR(__xludf.DUMMYFUNCTION("""COMPUTED_VALUE"""),3220.0)</f>
        <v>3220</v>
      </c>
      <c r="F1123" s="115">
        <f>IFERROR(__xludf.DUMMYFUNCTION("""COMPUTED_VALUE"""),13799.0)</f>
        <v>13799</v>
      </c>
      <c r="G1123" s="115">
        <f>IFERROR(__xludf.DUMMYFUNCTION("""COMPUTED_VALUE"""),2212.0)</f>
        <v>2212</v>
      </c>
      <c r="H1123" s="116">
        <f>IFERROR(__xludf.DUMMYFUNCTION("""COMPUTED_VALUE"""),45902.0)</f>
        <v>45902</v>
      </c>
      <c r="I1123" s="115" t="str">
        <f>IFERROR(__xludf.DUMMYFUNCTION("""COMPUTED_VALUE"""),"22")</f>
        <v>22</v>
      </c>
      <c r="J1123" s="115" t="str">
        <f>IFERROR(__xludf.DUMMYFUNCTION("""COMPUTED_VALUE"""),"Premkumar M2025-09-0222")</f>
        <v>Premkumar M2025-09-0222</v>
      </c>
      <c r="K1123" s="115">
        <f>IFERROR(__xludf.DUMMYFUNCTION("""COMPUTED_VALUE"""),19020.0)</f>
        <v>19020</v>
      </c>
    </row>
    <row r="1124">
      <c r="A1124" s="115" t="str">
        <f>IFERROR(__xludf.DUMMYFUNCTION("""COMPUTED_VALUE"""),"SOUTH")</f>
        <v>SOUTH</v>
      </c>
      <c r="B1124" s="115" t="str">
        <f>IFERROR(__xludf.DUMMYFUNCTION("""COMPUTED_VALUE"""),"Vineeth V")</f>
        <v>Vineeth V</v>
      </c>
      <c r="C1124" s="115" t="str">
        <f>IFERROR(__xludf.DUMMYFUNCTION("""COMPUTED_VALUE"""),"EXTERNAL")</f>
        <v>EXTERNAL</v>
      </c>
      <c r="D1124" s="115">
        <f>IFERROR(__xludf.DUMMYFUNCTION("""COMPUTED_VALUE"""),22306.0)</f>
        <v>22306</v>
      </c>
      <c r="E1124" s="115">
        <f>IFERROR(__xludf.DUMMYFUNCTION("""COMPUTED_VALUE"""),613.0)</f>
        <v>613</v>
      </c>
      <c r="F1124" s="115">
        <f>IFERROR(__xludf.DUMMYFUNCTION("""COMPUTED_VALUE"""),12271.0)</f>
        <v>12271</v>
      </c>
      <c r="G1124" s="115">
        <f>IFERROR(__xludf.DUMMYFUNCTION("""COMPUTED_VALUE"""),357.0)</f>
        <v>357</v>
      </c>
      <c r="H1124" s="116">
        <f>IFERROR(__xludf.DUMMYFUNCTION("""COMPUTED_VALUE"""),45902.0)</f>
        <v>45902</v>
      </c>
      <c r="I1124" s="115" t="str">
        <f>IFERROR(__xludf.DUMMYFUNCTION("""COMPUTED_VALUE"""),"22")</f>
        <v>22</v>
      </c>
      <c r="J1124" s="115" t="str">
        <f>IFERROR(__xludf.DUMMYFUNCTION("""COMPUTED_VALUE"""),"Vineeth V2025-09-0222")</f>
        <v>Vineeth V2025-09-0222</v>
      </c>
      <c r="K1124" s="115">
        <f>IFERROR(__xludf.DUMMYFUNCTION("""COMPUTED_VALUE"""),22919.0)</f>
        <v>22919</v>
      </c>
    </row>
    <row r="1125">
      <c r="A1125" s="115" t="str">
        <f>IFERROR(__xludf.DUMMYFUNCTION("""COMPUTED_VALUE"""),"SOUTH")</f>
        <v>SOUTH</v>
      </c>
      <c r="B1125" s="115" t="str">
        <f>IFERROR(__xludf.DUMMYFUNCTION("""COMPUTED_VALUE"""),"Vineeth V")</f>
        <v>Vineeth V</v>
      </c>
      <c r="C1125" s="115" t="str">
        <f>IFERROR(__xludf.DUMMYFUNCTION("""COMPUTED_VALUE"""),"FLIPKART")</f>
        <v>FLIPKART</v>
      </c>
      <c r="D1125" s="115">
        <f>IFERROR(__xludf.DUMMYFUNCTION("""COMPUTED_VALUE"""),246839.0)</f>
        <v>246839</v>
      </c>
      <c r="E1125" s="115">
        <f>IFERROR(__xludf.DUMMYFUNCTION("""COMPUTED_VALUE"""),18522.0)</f>
        <v>18522</v>
      </c>
      <c r="F1125" s="115">
        <f>IFERROR(__xludf.DUMMYFUNCTION("""COMPUTED_VALUE"""),208091.0)</f>
        <v>208091</v>
      </c>
      <c r="G1125" s="115">
        <f>IFERROR(__xludf.DUMMYFUNCTION("""COMPUTED_VALUE"""),12620.0)</f>
        <v>12620</v>
      </c>
      <c r="H1125" s="116">
        <f>IFERROR(__xludf.DUMMYFUNCTION("""COMPUTED_VALUE"""),45902.0)</f>
        <v>45902</v>
      </c>
      <c r="I1125" s="115" t="str">
        <f>IFERROR(__xludf.DUMMYFUNCTION("""COMPUTED_VALUE"""),"22")</f>
        <v>22</v>
      </c>
      <c r="J1125" s="115" t="str">
        <f>IFERROR(__xludf.DUMMYFUNCTION("""COMPUTED_VALUE"""),"Vineeth V2025-09-0222")</f>
        <v>Vineeth V2025-09-0222</v>
      </c>
      <c r="K1125" s="115">
        <f>IFERROR(__xludf.DUMMYFUNCTION("""COMPUTED_VALUE"""),265361.0)</f>
        <v>265361</v>
      </c>
    </row>
    <row r="1126">
      <c r="A1126" s="115" t="str">
        <f>IFERROR(__xludf.DUMMYFUNCTION("""COMPUTED_VALUE"""),"SOUTH")</f>
        <v>SOUTH</v>
      </c>
      <c r="B1126" s="115" t="str">
        <f>IFERROR(__xludf.DUMMYFUNCTION("""COMPUTED_VALUE"""),"Vineeth V")</f>
        <v>Vineeth V</v>
      </c>
      <c r="C1126" s="115" t="str">
        <f>IFERROR(__xludf.DUMMYFUNCTION("""COMPUTED_VALUE"""),"MYNTRA")</f>
        <v>MYNTRA</v>
      </c>
      <c r="D1126" s="115">
        <f>IFERROR(__xludf.DUMMYFUNCTION("""COMPUTED_VALUE"""),22140.0)</f>
        <v>22140</v>
      </c>
      <c r="E1126" s="115">
        <f>IFERROR(__xludf.DUMMYFUNCTION("""COMPUTED_VALUE"""),4249.0)</f>
        <v>4249</v>
      </c>
      <c r="F1126" s="115">
        <f>IFERROR(__xludf.DUMMYFUNCTION("""COMPUTED_VALUE"""),19672.0)</f>
        <v>19672</v>
      </c>
      <c r="G1126" s="115">
        <f>IFERROR(__xludf.DUMMYFUNCTION("""COMPUTED_VALUE"""),3001.0)</f>
        <v>3001</v>
      </c>
      <c r="H1126" s="116">
        <f>IFERROR(__xludf.DUMMYFUNCTION("""COMPUTED_VALUE"""),45902.0)</f>
        <v>45902</v>
      </c>
      <c r="I1126" s="115" t="str">
        <f>IFERROR(__xludf.DUMMYFUNCTION("""COMPUTED_VALUE"""),"22")</f>
        <v>22</v>
      </c>
      <c r="J1126" s="115" t="str">
        <f>IFERROR(__xludf.DUMMYFUNCTION("""COMPUTED_VALUE"""),"Vineeth V2025-09-0222")</f>
        <v>Vineeth V2025-09-0222</v>
      </c>
      <c r="K1126" s="115">
        <f>IFERROR(__xludf.DUMMYFUNCTION("""COMPUTED_VALUE"""),26389.0)</f>
        <v>26389</v>
      </c>
    </row>
    <row r="1127">
      <c r="A1127" s="115" t="str">
        <f>IFERROR(__xludf.DUMMYFUNCTION("""COMPUTED_VALUE"""),"WEST")</f>
        <v>WEST</v>
      </c>
      <c r="B1127" s="115" t="str">
        <f>IFERROR(__xludf.DUMMYFUNCTION("""COMPUTED_VALUE"""),"Ashish Jakar")</f>
        <v>Ashish Jakar</v>
      </c>
      <c r="C1127" s="115" t="str">
        <f>IFERROR(__xludf.DUMMYFUNCTION("""COMPUTED_VALUE"""),"EXTERNAL")</f>
        <v>EXTERNAL</v>
      </c>
      <c r="D1127" s="115">
        <f>IFERROR(__xludf.DUMMYFUNCTION("""COMPUTED_VALUE"""),60250.0)</f>
        <v>60250</v>
      </c>
      <c r="E1127" s="115">
        <f>IFERROR(__xludf.DUMMYFUNCTION("""COMPUTED_VALUE"""),6247.0)</f>
        <v>6247</v>
      </c>
      <c r="F1127" s="115">
        <f>IFERROR(__xludf.DUMMYFUNCTION("""COMPUTED_VALUE"""),24510.0)</f>
        <v>24510</v>
      </c>
      <c r="G1127" s="115">
        <f>IFERROR(__xludf.DUMMYFUNCTION("""COMPUTED_VALUE"""),2542.0)</f>
        <v>2542</v>
      </c>
      <c r="H1127" s="116">
        <f>IFERROR(__xludf.DUMMYFUNCTION("""COMPUTED_VALUE"""),45902.0)</f>
        <v>45902</v>
      </c>
      <c r="I1127" s="115" t="str">
        <f>IFERROR(__xludf.DUMMYFUNCTION("""COMPUTED_VALUE"""),"22")</f>
        <v>22</v>
      </c>
      <c r="J1127" s="115" t="str">
        <f>IFERROR(__xludf.DUMMYFUNCTION("""COMPUTED_VALUE"""),"Ashish Jakar2025-09-0222")</f>
        <v>Ashish Jakar2025-09-0222</v>
      </c>
      <c r="K1127" s="115">
        <f>IFERROR(__xludf.DUMMYFUNCTION("""COMPUTED_VALUE"""),66497.0)</f>
        <v>66497</v>
      </c>
    </row>
    <row r="1128">
      <c r="A1128" s="115" t="str">
        <f>IFERROR(__xludf.DUMMYFUNCTION("""COMPUTED_VALUE"""),"WEST")</f>
        <v>WEST</v>
      </c>
      <c r="B1128" s="115" t="str">
        <f>IFERROR(__xludf.DUMMYFUNCTION("""COMPUTED_VALUE"""),"Ashish Jakar")</f>
        <v>Ashish Jakar</v>
      </c>
      <c r="C1128" s="115" t="str">
        <f>IFERROR(__xludf.DUMMYFUNCTION("""COMPUTED_VALUE"""),"FLIPKART")</f>
        <v>FLIPKART</v>
      </c>
      <c r="D1128" s="115">
        <f>IFERROR(__xludf.DUMMYFUNCTION("""COMPUTED_VALUE"""),324922.0)</f>
        <v>324922</v>
      </c>
      <c r="E1128" s="115">
        <f>IFERROR(__xludf.DUMMYFUNCTION("""COMPUTED_VALUE"""),33479.0)</f>
        <v>33479</v>
      </c>
      <c r="F1128" s="115">
        <f>IFERROR(__xludf.DUMMYFUNCTION("""COMPUTED_VALUE"""),237662.0)</f>
        <v>237662</v>
      </c>
      <c r="G1128" s="115">
        <f>IFERROR(__xludf.DUMMYFUNCTION("""COMPUTED_VALUE"""),21627.0)</f>
        <v>21627</v>
      </c>
      <c r="H1128" s="116">
        <f>IFERROR(__xludf.DUMMYFUNCTION("""COMPUTED_VALUE"""),45902.0)</f>
        <v>45902</v>
      </c>
      <c r="I1128" s="115" t="str">
        <f>IFERROR(__xludf.DUMMYFUNCTION("""COMPUTED_VALUE"""),"22")</f>
        <v>22</v>
      </c>
      <c r="J1128" s="115" t="str">
        <f>IFERROR(__xludf.DUMMYFUNCTION("""COMPUTED_VALUE"""),"Ashish Jakar2025-09-0222")</f>
        <v>Ashish Jakar2025-09-0222</v>
      </c>
      <c r="K1128" s="115">
        <f>IFERROR(__xludf.DUMMYFUNCTION("""COMPUTED_VALUE"""),358401.0)</f>
        <v>358401</v>
      </c>
    </row>
    <row r="1129">
      <c r="A1129" s="115" t="str">
        <f>IFERROR(__xludf.DUMMYFUNCTION("""COMPUTED_VALUE"""),"WEST")</f>
        <v>WEST</v>
      </c>
      <c r="B1129" s="115" t="str">
        <f>IFERROR(__xludf.DUMMYFUNCTION("""COMPUTED_VALUE"""),"Ashish Jakar")</f>
        <v>Ashish Jakar</v>
      </c>
      <c r="C1129" s="115" t="str">
        <f>IFERROR(__xludf.DUMMYFUNCTION("""COMPUTED_VALUE"""),"MYNTRA")</f>
        <v>MYNTRA</v>
      </c>
      <c r="D1129" s="115">
        <f>IFERROR(__xludf.DUMMYFUNCTION("""COMPUTED_VALUE"""),39162.0)</f>
        <v>39162</v>
      </c>
      <c r="E1129" s="115">
        <f>IFERROR(__xludf.DUMMYFUNCTION("""COMPUTED_VALUE"""),11075.0)</f>
        <v>11075</v>
      </c>
      <c r="F1129" s="115">
        <f>IFERROR(__xludf.DUMMYFUNCTION("""COMPUTED_VALUE"""),32321.0)</f>
        <v>32321</v>
      </c>
      <c r="G1129" s="115">
        <f>IFERROR(__xludf.DUMMYFUNCTION("""COMPUTED_VALUE"""),7508.0)</f>
        <v>7508</v>
      </c>
      <c r="H1129" s="116">
        <f>IFERROR(__xludf.DUMMYFUNCTION("""COMPUTED_VALUE"""),45902.0)</f>
        <v>45902</v>
      </c>
      <c r="I1129" s="115" t="str">
        <f>IFERROR(__xludf.DUMMYFUNCTION("""COMPUTED_VALUE"""),"22")</f>
        <v>22</v>
      </c>
      <c r="J1129" s="115" t="str">
        <f>IFERROR(__xludf.DUMMYFUNCTION("""COMPUTED_VALUE"""),"Ashish Jakar2025-09-0222")</f>
        <v>Ashish Jakar2025-09-0222</v>
      </c>
      <c r="K1129" s="115">
        <f>IFERROR(__xludf.DUMMYFUNCTION("""COMPUTED_VALUE"""),50237.0)</f>
        <v>50237</v>
      </c>
    </row>
    <row r="1130">
      <c r="A1130" s="115" t="str">
        <f>IFERROR(__xludf.DUMMYFUNCTION("""COMPUTED_VALUE"""),"WEST")</f>
        <v>WEST</v>
      </c>
      <c r="B1130" s="115" t="str">
        <f>IFERROR(__xludf.DUMMYFUNCTION("""COMPUTED_VALUE"""),"Ashvani Bhatt")</f>
        <v>Ashvani Bhatt</v>
      </c>
      <c r="C1130" s="115" t="str">
        <f>IFERROR(__xludf.DUMMYFUNCTION("""COMPUTED_VALUE"""),"EXTERNAL")</f>
        <v>EXTERNAL</v>
      </c>
      <c r="D1130" s="115">
        <f>IFERROR(__xludf.DUMMYFUNCTION("""COMPUTED_VALUE"""),38050.0)</f>
        <v>38050</v>
      </c>
      <c r="E1130" s="115">
        <f>IFERROR(__xludf.DUMMYFUNCTION("""COMPUTED_VALUE"""),3742.0)</f>
        <v>3742</v>
      </c>
      <c r="F1130" s="115">
        <f>IFERROR(__xludf.DUMMYFUNCTION("""COMPUTED_VALUE"""),15831.0)</f>
        <v>15831</v>
      </c>
      <c r="G1130" s="115">
        <f>IFERROR(__xludf.DUMMYFUNCTION("""COMPUTED_VALUE"""),1411.0)</f>
        <v>1411</v>
      </c>
      <c r="H1130" s="116">
        <f>IFERROR(__xludf.DUMMYFUNCTION("""COMPUTED_VALUE"""),45902.0)</f>
        <v>45902</v>
      </c>
      <c r="I1130" s="115" t="str">
        <f>IFERROR(__xludf.DUMMYFUNCTION("""COMPUTED_VALUE"""),"22")</f>
        <v>22</v>
      </c>
      <c r="J1130" s="115" t="str">
        <f>IFERROR(__xludf.DUMMYFUNCTION("""COMPUTED_VALUE"""),"Ashvani Bhatt2025-09-0222")</f>
        <v>Ashvani Bhatt2025-09-0222</v>
      </c>
      <c r="K1130" s="115">
        <f>IFERROR(__xludf.DUMMYFUNCTION("""COMPUTED_VALUE"""),41792.0)</f>
        <v>41792</v>
      </c>
    </row>
    <row r="1131">
      <c r="A1131" s="115" t="str">
        <f>IFERROR(__xludf.DUMMYFUNCTION("""COMPUTED_VALUE"""),"WEST")</f>
        <v>WEST</v>
      </c>
      <c r="B1131" s="115" t="str">
        <f>IFERROR(__xludf.DUMMYFUNCTION("""COMPUTED_VALUE"""),"Ashvani Bhatt")</f>
        <v>Ashvani Bhatt</v>
      </c>
      <c r="C1131" s="115" t="str">
        <f>IFERROR(__xludf.DUMMYFUNCTION("""COMPUTED_VALUE"""),"FLIPKART")</f>
        <v>FLIPKART</v>
      </c>
      <c r="D1131" s="115">
        <f>IFERROR(__xludf.DUMMYFUNCTION("""COMPUTED_VALUE"""),267695.0)</f>
        <v>267695</v>
      </c>
      <c r="E1131" s="115">
        <f>IFERROR(__xludf.DUMMYFUNCTION("""COMPUTED_VALUE"""),29920.0)</f>
        <v>29920</v>
      </c>
      <c r="F1131" s="115">
        <f>IFERROR(__xludf.DUMMYFUNCTION("""COMPUTED_VALUE"""),203895.0)</f>
        <v>203895</v>
      </c>
      <c r="G1131" s="115">
        <f>IFERROR(__xludf.DUMMYFUNCTION("""COMPUTED_VALUE"""),21270.0)</f>
        <v>21270</v>
      </c>
      <c r="H1131" s="116">
        <f>IFERROR(__xludf.DUMMYFUNCTION("""COMPUTED_VALUE"""),45902.0)</f>
        <v>45902</v>
      </c>
      <c r="I1131" s="115" t="str">
        <f>IFERROR(__xludf.DUMMYFUNCTION("""COMPUTED_VALUE"""),"22")</f>
        <v>22</v>
      </c>
      <c r="J1131" s="115" t="str">
        <f>IFERROR(__xludf.DUMMYFUNCTION("""COMPUTED_VALUE"""),"Ashvani Bhatt2025-09-0222")</f>
        <v>Ashvani Bhatt2025-09-0222</v>
      </c>
      <c r="K1131" s="115">
        <f>IFERROR(__xludf.DUMMYFUNCTION("""COMPUTED_VALUE"""),297615.0)</f>
        <v>297615</v>
      </c>
    </row>
    <row r="1132">
      <c r="A1132" s="115" t="str">
        <f>IFERROR(__xludf.DUMMYFUNCTION("""COMPUTED_VALUE"""),"WEST")</f>
        <v>WEST</v>
      </c>
      <c r="B1132" s="115" t="str">
        <f>IFERROR(__xludf.DUMMYFUNCTION("""COMPUTED_VALUE"""),"Ashvani Bhatt")</f>
        <v>Ashvani Bhatt</v>
      </c>
      <c r="C1132" s="115" t="str">
        <f>IFERROR(__xludf.DUMMYFUNCTION("""COMPUTED_VALUE"""),"MYNTRA")</f>
        <v>MYNTRA</v>
      </c>
      <c r="D1132" s="115">
        <f>IFERROR(__xludf.DUMMYFUNCTION("""COMPUTED_VALUE"""),31162.0)</f>
        <v>31162</v>
      </c>
      <c r="E1132" s="115">
        <f>IFERROR(__xludf.DUMMYFUNCTION("""COMPUTED_VALUE"""),8960.0)</f>
        <v>8960</v>
      </c>
      <c r="F1132" s="115">
        <f>IFERROR(__xludf.DUMMYFUNCTION("""COMPUTED_VALUE"""),26552.0)</f>
        <v>26552</v>
      </c>
      <c r="G1132" s="115">
        <f>IFERROR(__xludf.DUMMYFUNCTION("""COMPUTED_VALUE"""),6802.0)</f>
        <v>6802</v>
      </c>
      <c r="H1132" s="116">
        <f>IFERROR(__xludf.DUMMYFUNCTION("""COMPUTED_VALUE"""),45902.0)</f>
        <v>45902</v>
      </c>
      <c r="I1132" s="115" t="str">
        <f>IFERROR(__xludf.DUMMYFUNCTION("""COMPUTED_VALUE"""),"22")</f>
        <v>22</v>
      </c>
      <c r="J1132" s="115" t="str">
        <f>IFERROR(__xludf.DUMMYFUNCTION("""COMPUTED_VALUE"""),"Ashvani Bhatt2025-09-0222")</f>
        <v>Ashvani Bhatt2025-09-0222</v>
      </c>
      <c r="K1132" s="115">
        <f>IFERROR(__xludf.DUMMYFUNCTION("""COMPUTED_VALUE"""),40122.0)</f>
        <v>40122</v>
      </c>
    </row>
    <row r="1133">
      <c r="A1133" s="115"/>
      <c r="B1133" s="115"/>
      <c r="C1133" s="115" t="str">
        <f>IFERROR(__xludf.DUMMYFUNCTION("""COMPUTED_VALUE"""),"EXTERNAL")</f>
        <v>EXTERNAL</v>
      </c>
      <c r="D1133" s="115">
        <f>IFERROR(__xludf.DUMMYFUNCTION("""COMPUTED_VALUE"""),542.0)</f>
        <v>542</v>
      </c>
      <c r="E1133" s="115">
        <f>IFERROR(__xludf.DUMMYFUNCTION("""COMPUTED_VALUE"""),22.0)</f>
        <v>22</v>
      </c>
      <c r="F1133" s="115">
        <f>IFERROR(__xludf.DUMMYFUNCTION("""COMPUTED_VALUE"""),136.0)</f>
        <v>136</v>
      </c>
      <c r="G1133" s="115">
        <f>IFERROR(__xludf.DUMMYFUNCTION("""COMPUTED_VALUE"""),6.0)</f>
        <v>6</v>
      </c>
      <c r="H1133" s="116">
        <f>IFERROR(__xludf.DUMMYFUNCTION("""COMPUTED_VALUE"""),45902.0)</f>
        <v>45902</v>
      </c>
      <c r="I1133" s="115" t="str">
        <f>IFERROR(__xludf.DUMMYFUNCTION("""COMPUTED_VALUE"""),"22")</f>
        <v>22</v>
      </c>
      <c r="J1133" s="115" t="str">
        <f>IFERROR(__xludf.DUMMYFUNCTION("""COMPUTED_VALUE"""),"2025-09-0222")</f>
        <v>2025-09-0222</v>
      </c>
      <c r="K1133" s="115">
        <f>IFERROR(__xludf.DUMMYFUNCTION("""COMPUTED_VALUE"""),564.0)</f>
        <v>564</v>
      </c>
    </row>
    <row r="1134">
      <c r="A1134" s="115"/>
      <c r="B1134" s="115"/>
      <c r="C1134" s="115" t="str">
        <f>IFERROR(__xludf.DUMMYFUNCTION("""COMPUTED_VALUE"""),"FLIPKART")</f>
        <v>FLIPKART</v>
      </c>
      <c r="D1134" s="115">
        <f>IFERROR(__xludf.DUMMYFUNCTION("""COMPUTED_VALUE"""),3483.0)</f>
        <v>3483</v>
      </c>
      <c r="E1134" s="115">
        <f>IFERROR(__xludf.DUMMYFUNCTION("""COMPUTED_VALUE"""),250.0)</f>
        <v>250</v>
      </c>
      <c r="F1134" s="115">
        <f>IFERROR(__xludf.DUMMYFUNCTION("""COMPUTED_VALUE"""),2658.0)</f>
        <v>2658</v>
      </c>
      <c r="G1134" s="115">
        <f>IFERROR(__xludf.DUMMYFUNCTION("""COMPUTED_VALUE"""),139.0)</f>
        <v>139</v>
      </c>
      <c r="H1134" s="116">
        <f>IFERROR(__xludf.DUMMYFUNCTION("""COMPUTED_VALUE"""),45902.0)</f>
        <v>45902</v>
      </c>
      <c r="I1134" s="115" t="str">
        <f>IFERROR(__xludf.DUMMYFUNCTION("""COMPUTED_VALUE"""),"22")</f>
        <v>22</v>
      </c>
      <c r="J1134" s="115" t="str">
        <f>IFERROR(__xludf.DUMMYFUNCTION("""COMPUTED_VALUE"""),"2025-09-0222")</f>
        <v>2025-09-0222</v>
      </c>
      <c r="K1134" s="115">
        <f>IFERROR(__xludf.DUMMYFUNCTION("""COMPUTED_VALUE"""),3733.0)</f>
        <v>3733</v>
      </c>
    </row>
    <row r="1135">
      <c r="A1135" s="115"/>
      <c r="B1135" s="115"/>
      <c r="C1135" s="115" t="str">
        <f>IFERROR(__xludf.DUMMYFUNCTION("""COMPUTED_VALUE"""),"MYNTRA")</f>
        <v>MYNTRA</v>
      </c>
      <c r="D1135" s="115">
        <f>IFERROR(__xludf.DUMMYFUNCTION("""COMPUTED_VALUE"""),374.0)</f>
        <v>374</v>
      </c>
      <c r="E1135" s="115">
        <f>IFERROR(__xludf.DUMMYFUNCTION("""COMPUTED_VALUE"""),62.0)</f>
        <v>62</v>
      </c>
      <c r="F1135" s="115">
        <f>IFERROR(__xludf.DUMMYFUNCTION("""COMPUTED_VALUE"""),252.0)</f>
        <v>252</v>
      </c>
      <c r="G1135" s="115">
        <f>IFERROR(__xludf.DUMMYFUNCTION("""COMPUTED_VALUE"""),33.0)</f>
        <v>33</v>
      </c>
      <c r="H1135" s="116">
        <f>IFERROR(__xludf.DUMMYFUNCTION("""COMPUTED_VALUE"""),45902.0)</f>
        <v>45902</v>
      </c>
      <c r="I1135" s="115" t="str">
        <f>IFERROR(__xludf.DUMMYFUNCTION("""COMPUTED_VALUE"""),"22")</f>
        <v>22</v>
      </c>
      <c r="J1135" s="115" t="str">
        <f>IFERROR(__xludf.DUMMYFUNCTION("""COMPUTED_VALUE"""),"2025-09-0222")</f>
        <v>2025-09-0222</v>
      </c>
      <c r="K1135" s="115">
        <f>IFERROR(__xludf.DUMMYFUNCTION("""COMPUTED_VALUE"""),436.0)</f>
        <v>436</v>
      </c>
    </row>
    <row r="1136">
      <c r="A1136" s="115" t="str">
        <f>IFERROR(__xludf.DUMMYFUNCTION("""COMPUTED_VALUE"""),"EAST")</f>
        <v>EAST</v>
      </c>
      <c r="B1136" s="115" t="str">
        <f>IFERROR(__xludf.DUMMYFUNCTION("""COMPUTED_VALUE"""),"Ashish Ranjan")</f>
        <v>Ashish Ranjan</v>
      </c>
      <c r="C1136" s="115" t="str">
        <f>IFERROR(__xludf.DUMMYFUNCTION("""COMPUTED_VALUE"""),"EXTERNAL")</f>
        <v>EXTERNAL</v>
      </c>
      <c r="D1136" s="115">
        <f>IFERROR(__xludf.DUMMYFUNCTION("""COMPUTED_VALUE"""),3829.0)</f>
        <v>3829</v>
      </c>
      <c r="E1136" s="115">
        <f>IFERROR(__xludf.DUMMYFUNCTION("""COMPUTED_VALUE"""),356.0)</f>
        <v>356</v>
      </c>
      <c r="F1136" s="115">
        <f>IFERROR(__xludf.DUMMYFUNCTION("""COMPUTED_VALUE"""),14.0)</f>
        <v>14</v>
      </c>
      <c r="G1136" s="115">
        <f>IFERROR(__xludf.DUMMYFUNCTION("""COMPUTED_VALUE"""),3.0)</f>
        <v>3</v>
      </c>
      <c r="H1136" s="116">
        <f>IFERROR(__xludf.DUMMYFUNCTION("""COMPUTED_VALUE"""),45903.0)</f>
        <v>45903</v>
      </c>
      <c r="I1136" s="115" t="str">
        <f>IFERROR(__xludf.DUMMYFUNCTION("""COMPUTED_VALUE"""),"08")</f>
        <v>08</v>
      </c>
      <c r="J1136" s="115" t="str">
        <f>IFERROR(__xludf.DUMMYFUNCTION("""COMPUTED_VALUE"""),"Ashish Ranjan2025-09-0308")</f>
        <v>Ashish Ranjan2025-09-0308</v>
      </c>
      <c r="K1136" s="115">
        <f>IFERROR(__xludf.DUMMYFUNCTION("""COMPUTED_VALUE"""),4185.0)</f>
        <v>4185</v>
      </c>
    </row>
    <row r="1137">
      <c r="A1137" s="115" t="str">
        <f>IFERROR(__xludf.DUMMYFUNCTION("""COMPUTED_VALUE"""),"EAST")</f>
        <v>EAST</v>
      </c>
      <c r="B1137" s="115" t="str">
        <f>IFERROR(__xludf.DUMMYFUNCTION("""COMPUTED_VALUE"""),"Ashish Ranjan")</f>
        <v>Ashish Ranjan</v>
      </c>
      <c r="C1137" s="115" t="str">
        <f>IFERROR(__xludf.DUMMYFUNCTION("""COMPUTED_VALUE"""),"FLIPKART")</f>
        <v>FLIPKART</v>
      </c>
      <c r="D1137" s="115">
        <f>IFERROR(__xludf.DUMMYFUNCTION("""COMPUTED_VALUE"""),70866.0)</f>
        <v>70866</v>
      </c>
      <c r="E1137" s="115">
        <f>IFERROR(__xludf.DUMMYFUNCTION("""COMPUTED_VALUE"""),5061.0)</f>
        <v>5061</v>
      </c>
      <c r="F1137" s="115">
        <f>IFERROR(__xludf.DUMMYFUNCTION("""COMPUTED_VALUE"""),556.0)</f>
        <v>556</v>
      </c>
      <c r="G1137" s="115">
        <f>IFERROR(__xludf.DUMMYFUNCTION("""COMPUTED_VALUE"""),52.0)</f>
        <v>52</v>
      </c>
      <c r="H1137" s="116">
        <f>IFERROR(__xludf.DUMMYFUNCTION("""COMPUTED_VALUE"""),45903.0)</f>
        <v>45903</v>
      </c>
      <c r="I1137" s="115" t="str">
        <f>IFERROR(__xludf.DUMMYFUNCTION("""COMPUTED_VALUE"""),"08")</f>
        <v>08</v>
      </c>
      <c r="J1137" s="115" t="str">
        <f>IFERROR(__xludf.DUMMYFUNCTION("""COMPUTED_VALUE"""),"Ashish Ranjan2025-09-0308")</f>
        <v>Ashish Ranjan2025-09-0308</v>
      </c>
      <c r="K1137" s="115">
        <f>IFERROR(__xludf.DUMMYFUNCTION("""COMPUTED_VALUE"""),75927.0)</f>
        <v>75927</v>
      </c>
    </row>
    <row r="1138">
      <c r="A1138" s="115" t="str">
        <f>IFERROR(__xludf.DUMMYFUNCTION("""COMPUTED_VALUE"""),"EAST")</f>
        <v>EAST</v>
      </c>
      <c r="B1138" s="115" t="str">
        <f>IFERROR(__xludf.DUMMYFUNCTION("""COMPUTED_VALUE"""),"Ashish Ranjan")</f>
        <v>Ashish Ranjan</v>
      </c>
      <c r="C1138" s="115" t="str">
        <f>IFERROR(__xludf.DUMMYFUNCTION("""COMPUTED_VALUE"""),"MYNTRA")</f>
        <v>MYNTRA</v>
      </c>
      <c r="D1138" s="115">
        <f>IFERROR(__xludf.DUMMYFUNCTION("""COMPUTED_VALUE"""),5937.0)</f>
        <v>5937</v>
      </c>
      <c r="E1138" s="115">
        <f>IFERROR(__xludf.DUMMYFUNCTION("""COMPUTED_VALUE"""),1297.0)</f>
        <v>1297</v>
      </c>
      <c r="F1138" s="115">
        <f>IFERROR(__xludf.DUMMYFUNCTION("""COMPUTED_VALUE"""),35.0)</f>
        <v>35</v>
      </c>
      <c r="G1138" s="115">
        <f>IFERROR(__xludf.DUMMYFUNCTION("""COMPUTED_VALUE"""),3.0)</f>
        <v>3</v>
      </c>
      <c r="H1138" s="116">
        <f>IFERROR(__xludf.DUMMYFUNCTION("""COMPUTED_VALUE"""),45903.0)</f>
        <v>45903</v>
      </c>
      <c r="I1138" s="115" t="str">
        <f>IFERROR(__xludf.DUMMYFUNCTION("""COMPUTED_VALUE"""),"08")</f>
        <v>08</v>
      </c>
      <c r="J1138" s="115" t="str">
        <f>IFERROR(__xludf.DUMMYFUNCTION("""COMPUTED_VALUE"""),"Ashish Ranjan2025-09-0308")</f>
        <v>Ashish Ranjan2025-09-0308</v>
      </c>
      <c r="K1138" s="115">
        <f>IFERROR(__xludf.DUMMYFUNCTION("""COMPUTED_VALUE"""),7234.0)</f>
        <v>7234</v>
      </c>
    </row>
    <row r="1139">
      <c r="A1139" s="115" t="str">
        <f>IFERROR(__xludf.DUMMYFUNCTION("""COMPUTED_VALUE"""),"EAST")</f>
        <v>EAST</v>
      </c>
      <c r="B1139" s="115" t="str">
        <f>IFERROR(__xludf.DUMMYFUNCTION("""COMPUTED_VALUE"""),"Girish Chand")</f>
        <v>Girish Chand</v>
      </c>
      <c r="C1139" s="115" t="str">
        <f>IFERROR(__xludf.DUMMYFUNCTION("""COMPUTED_VALUE"""),"EXTERNAL")</f>
        <v>EXTERNAL</v>
      </c>
      <c r="D1139" s="115">
        <f>IFERROR(__xludf.DUMMYFUNCTION("""COMPUTED_VALUE"""),2075.0)</f>
        <v>2075</v>
      </c>
      <c r="E1139" s="115">
        <f>IFERROR(__xludf.DUMMYFUNCTION("""COMPUTED_VALUE"""),238.0)</f>
        <v>238</v>
      </c>
      <c r="F1139" s="115">
        <f>IFERROR(__xludf.DUMMYFUNCTION("""COMPUTED_VALUE"""),2.0)</f>
        <v>2</v>
      </c>
      <c r="G1139" s="115">
        <f>IFERROR(__xludf.DUMMYFUNCTION("""COMPUTED_VALUE"""),0.0)</f>
        <v>0</v>
      </c>
      <c r="H1139" s="116">
        <f>IFERROR(__xludf.DUMMYFUNCTION("""COMPUTED_VALUE"""),45903.0)</f>
        <v>45903</v>
      </c>
      <c r="I1139" s="115" t="str">
        <f>IFERROR(__xludf.DUMMYFUNCTION("""COMPUTED_VALUE"""),"08")</f>
        <v>08</v>
      </c>
      <c r="J1139" s="115" t="str">
        <f>IFERROR(__xludf.DUMMYFUNCTION("""COMPUTED_VALUE"""),"Girish Chand2025-09-0308")</f>
        <v>Girish Chand2025-09-0308</v>
      </c>
      <c r="K1139" s="115">
        <f>IFERROR(__xludf.DUMMYFUNCTION("""COMPUTED_VALUE"""),2313.0)</f>
        <v>2313</v>
      </c>
    </row>
    <row r="1140">
      <c r="A1140" s="115" t="str">
        <f>IFERROR(__xludf.DUMMYFUNCTION("""COMPUTED_VALUE"""),"EAST")</f>
        <v>EAST</v>
      </c>
      <c r="B1140" s="115" t="str">
        <f>IFERROR(__xludf.DUMMYFUNCTION("""COMPUTED_VALUE"""),"Girish Chand")</f>
        <v>Girish Chand</v>
      </c>
      <c r="C1140" s="115" t="str">
        <f>IFERROR(__xludf.DUMMYFUNCTION("""COMPUTED_VALUE"""),"FLIPKART")</f>
        <v>FLIPKART</v>
      </c>
      <c r="D1140" s="115">
        <f>IFERROR(__xludf.DUMMYFUNCTION("""COMPUTED_VALUE"""),41034.0)</f>
        <v>41034</v>
      </c>
      <c r="E1140" s="115">
        <f>IFERROR(__xludf.DUMMYFUNCTION("""COMPUTED_VALUE"""),3316.0)</f>
        <v>3316</v>
      </c>
      <c r="F1140" s="115">
        <f>IFERROR(__xludf.DUMMYFUNCTION("""COMPUTED_VALUE"""),264.0)</f>
        <v>264</v>
      </c>
      <c r="G1140" s="115">
        <f>IFERROR(__xludf.DUMMYFUNCTION("""COMPUTED_VALUE"""),26.0)</f>
        <v>26</v>
      </c>
      <c r="H1140" s="116">
        <f>IFERROR(__xludf.DUMMYFUNCTION("""COMPUTED_VALUE"""),45903.0)</f>
        <v>45903</v>
      </c>
      <c r="I1140" s="115" t="str">
        <f>IFERROR(__xludf.DUMMYFUNCTION("""COMPUTED_VALUE"""),"08")</f>
        <v>08</v>
      </c>
      <c r="J1140" s="115" t="str">
        <f>IFERROR(__xludf.DUMMYFUNCTION("""COMPUTED_VALUE"""),"Girish Chand2025-09-0308")</f>
        <v>Girish Chand2025-09-0308</v>
      </c>
      <c r="K1140" s="115">
        <f>IFERROR(__xludf.DUMMYFUNCTION("""COMPUTED_VALUE"""),44350.0)</f>
        <v>44350</v>
      </c>
    </row>
    <row r="1141">
      <c r="A1141" s="115" t="str">
        <f>IFERROR(__xludf.DUMMYFUNCTION("""COMPUTED_VALUE"""),"EAST")</f>
        <v>EAST</v>
      </c>
      <c r="B1141" s="115" t="str">
        <f>IFERROR(__xludf.DUMMYFUNCTION("""COMPUTED_VALUE"""),"Girish Chand")</f>
        <v>Girish Chand</v>
      </c>
      <c r="C1141" s="115" t="str">
        <f>IFERROR(__xludf.DUMMYFUNCTION("""COMPUTED_VALUE"""),"MYNTRA")</f>
        <v>MYNTRA</v>
      </c>
      <c r="D1141" s="115">
        <f>IFERROR(__xludf.DUMMYFUNCTION("""COMPUTED_VALUE"""),3668.0)</f>
        <v>3668</v>
      </c>
      <c r="E1141" s="115">
        <f>IFERROR(__xludf.DUMMYFUNCTION("""COMPUTED_VALUE"""),671.0)</f>
        <v>671</v>
      </c>
      <c r="F1141" s="115">
        <f>IFERROR(__xludf.DUMMYFUNCTION("""COMPUTED_VALUE"""),24.0)</f>
        <v>24</v>
      </c>
      <c r="G1141" s="115">
        <f>IFERROR(__xludf.DUMMYFUNCTION("""COMPUTED_VALUE"""),8.0)</f>
        <v>8</v>
      </c>
      <c r="H1141" s="116">
        <f>IFERROR(__xludf.DUMMYFUNCTION("""COMPUTED_VALUE"""),45903.0)</f>
        <v>45903</v>
      </c>
      <c r="I1141" s="115" t="str">
        <f>IFERROR(__xludf.DUMMYFUNCTION("""COMPUTED_VALUE"""),"08")</f>
        <v>08</v>
      </c>
      <c r="J1141" s="115" t="str">
        <f>IFERROR(__xludf.DUMMYFUNCTION("""COMPUTED_VALUE"""),"Girish Chand2025-09-0308")</f>
        <v>Girish Chand2025-09-0308</v>
      </c>
      <c r="K1141" s="115">
        <f>IFERROR(__xludf.DUMMYFUNCTION("""COMPUTED_VALUE"""),4339.0)</f>
        <v>4339</v>
      </c>
    </row>
    <row r="1142">
      <c r="A1142" s="115" t="str">
        <f>IFERROR(__xludf.DUMMYFUNCTION("""COMPUTED_VALUE"""),"EAST")</f>
        <v>EAST</v>
      </c>
      <c r="B1142" s="115" t="str">
        <f>IFERROR(__xludf.DUMMYFUNCTION("""COMPUTED_VALUE"""),"Parag Kashyap")</f>
        <v>Parag Kashyap</v>
      </c>
      <c r="C1142" s="115" t="str">
        <f>IFERROR(__xludf.DUMMYFUNCTION("""COMPUTED_VALUE"""),"EXTERNAL")</f>
        <v>EXTERNAL</v>
      </c>
      <c r="D1142" s="115">
        <f>IFERROR(__xludf.DUMMYFUNCTION("""COMPUTED_VALUE"""),2317.0)</f>
        <v>2317</v>
      </c>
      <c r="E1142" s="115">
        <f>IFERROR(__xludf.DUMMYFUNCTION("""COMPUTED_VALUE"""),136.0)</f>
        <v>136</v>
      </c>
      <c r="F1142" s="115">
        <f>IFERROR(__xludf.DUMMYFUNCTION("""COMPUTED_VALUE"""),7.0)</f>
        <v>7</v>
      </c>
      <c r="G1142" s="115">
        <f>IFERROR(__xludf.DUMMYFUNCTION("""COMPUTED_VALUE"""),0.0)</f>
        <v>0</v>
      </c>
      <c r="H1142" s="116">
        <f>IFERROR(__xludf.DUMMYFUNCTION("""COMPUTED_VALUE"""),45903.0)</f>
        <v>45903</v>
      </c>
      <c r="I1142" s="115" t="str">
        <f>IFERROR(__xludf.DUMMYFUNCTION("""COMPUTED_VALUE"""),"08")</f>
        <v>08</v>
      </c>
      <c r="J1142" s="115" t="str">
        <f>IFERROR(__xludf.DUMMYFUNCTION("""COMPUTED_VALUE"""),"Parag Kashyap2025-09-0308")</f>
        <v>Parag Kashyap2025-09-0308</v>
      </c>
      <c r="K1142" s="115">
        <f>IFERROR(__xludf.DUMMYFUNCTION("""COMPUTED_VALUE"""),2453.0)</f>
        <v>2453</v>
      </c>
    </row>
    <row r="1143">
      <c r="A1143" s="115" t="str">
        <f>IFERROR(__xludf.DUMMYFUNCTION("""COMPUTED_VALUE"""),"EAST")</f>
        <v>EAST</v>
      </c>
      <c r="B1143" s="115" t="str">
        <f>IFERROR(__xludf.DUMMYFUNCTION("""COMPUTED_VALUE"""),"Parag Kashyap")</f>
        <v>Parag Kashyap</v>
      </c>
      <c r="C1143" s="115" t="str">
        <f>IFERROR(__xludf.DUMMYFUNCTION("""COMPUTED_VALUE"""),"FLIPKART")</f>
        <v>FLIPKART</v>
      </c>
      <c r="D1143" s="115">
        <f>IFERROR(__xludf.DUMMYFUNCTION("""COMPUTED_VALUE"""),37089.0)</f>
        <v>37089</v>
      </c>
      <c r="E1143" s="115">
        <f>IFERROR(__xludf.DUMMYFUNCTION("""COMPUTED_VALUE"""),1640.0)</f>
        <v>1640</v>
      </c>
      <c r="F1143" s="115">
        <f>IFERROR(__xludf.DUMMYFUNCTION("""COMPUTED_VALUE"""),175.0)</f>
        <v>175</v>
      </c>
      <c r="G1143" s="115">
        <f>IFERROR(__xludf.DUMMYFUNCTION("""COMPUTED_VALUE"""),57.0)</f>
        <v>57</v>
      </c>
      <c r="H1143" s="116">
        <f>IFERROR(__xludf.DUMMYFUNCTION("""COMPUTED_VALUE"""),45903.0)</f>
        <v>45903</v>
      </c>
      <c r="I1143" s="115" t="str">
        <f>IFERROR(__xludf.DUMMYFUNCTION("""COMPUTED_VALUE"""),"08")</f>
        <v>08</v>
      </c>
      <c r="J1143" s="115" t="str">
        <f>IFERROR(__xludf.DUMMYFUNCTION("""COMPUTED_VALUE"""),"Parag Kashyap2025-09-0308")</f>
        <v>Parag Kashyap2025-09-0308</v>
      </c>
      <c r="K1143" s="115">
        <f>IFERROR(__xludf.DUMMYFUNCTION("""COMPUTED_VALUE"""),38729.0)</f>
        <v>38729</v>
      </c>
    </row>
    <row r="1144">
      <c r="A1144" s="115" t="str">
        <f>IFERROR(__xludf.DUMMYFUNCTION("""COMPUTED_VALUE"""),"EAST")</f>
        <v>EAST</v>
      </c>
      <c r="B1144" s="115" t="str">
        <f>IFERROR(__xludf.DUMMYFUNCTION("""COMPUTED_VALUE"""),"Parag Kashyap")</f>
        <v>Parag Kashyap</v>
      </c>
      <c r="C1144" s="115" t="str">
        <f>IFERROR(__xludf.DUMMYFUNCTION("""COMPUTED_VALUE"""),"MYNTRA")</f>
        <v>MYNTRA</v>
      </c>
      <c r="D1144" s="115">
        <f>IFERROR(__xludf.DUMMYFUNCTION("""COMPUTED_VALUE"""),4729.0)</f>
        <v>4729</v>
      </c>
      <c r="E1144" s="115">
        <f>IFERROR(__xludf.DUMMYFUNCTION("""COMPUTED_VALUE"""),453.0)</f>
        <v>453</v>
      </c>
      <c r="F1144" s="115">
        <f>IFERROR(__xludf.DUMMYFUNCTION("""COMPUTED_VALUE"""),31.0)</f>
        <v>31</v>
      </c>
      <c r="G1144" s="115">
        <f>IFERROR(__xludf.DUMMYFUNCTION("""COMPUTED_VALUE"""),1.0)</f>
        <v>1</v>
      </c>
      <c r="H1144" s="116">
        <f>IFERROR(__xludf.DUMMYFUNCTION("""COMPUTED_VALUE"""),45903.0)</f>
        <v>45903</v>
      </c>
      <c r="I1144" s="115" t="str">
        <f>IFERROR(__xludf.DUMMYFUNCTION("""COMPUTED_VALUE"""),"08")</f>
        <v>08</v>
      </c>
      <c r="J1144" s="115" t="str">
        <f>IFERROR(__xludf.DUMMYFUNCTION("""COMPUTED_VALUE"""),"Parag Kashyap2025-09-0308")</f>
        <v>Parag Kashyap2025-09-0308</v>
      </c>
      <c r="K1144" s="115">
        <f>IFERROR(__xludf.DUMMYFUNCTION("""COMPUTED_VALUE"""),5182.0)</f>
        <v>5182</v>
      </c>
    </row>
    <row r="1145">
      <c r="A1145" s="115" t="str">
        <f>IFERROR(__xludf.DUMMYFUNCTION("""COMPUTED_VALUE"""),"NORTH")</f>
        <v>NORTH</v>
      </c>
      <c r="B1145" s="115" t="str">
        <f>IFERROR(__xludf.DUMMYFUNCTION("""COMPUTED_VALUE"""),"Amit Kumar Pathak")</f>
        <v>Amit Kumar Pathak</v>
      </c>
      <c r="C1145" s="115" t="str">
        <f>IFERROR(__xludf.DUMMYFUNCTION("""COMPUTED_VALUE"""),"EXTERNAL")</f>
        <v>EXTERNAL</v>
      </c>
      <c r="D1145" s="115">
        <f>IFERROR(__xludf.DUMMYFUNCTION("""COMPUTED_VALUE"""),4369.0)</f>
        <v>4369</v>
      </c>
      <c r="E1145" s="115">
        <f>IFERROR(__xludf.DUMMYFUNCTION("""COMPUTED_VALUE"""),401.0)</f>
        <v>401</v>
      </c>
      <c r="F1145" s="115">
        <f>IFERROR(__xludf.DUMMYFUNCTION("""COMPUTED_VALUE"""),9.0)</f>
        <v>9</v>
      </c>
      <c r="G1145" s="115">
        <f>IFERROR(__xludf.DUMMYFUNCTION("""COMPUTED_VALUE"""),0.0)</f>
        <v>0</v>
      </c>
      <c r="H1145" s="116">
        <f>IFERROR(__xludf.DUMMYFUNCTION("""COMPUTED_VALUE"""),45903.0)</f>
        <v>45903</v>
      </c>
      <c r="I1145" s="115" t="str">
        <f>IFERROR(__xludf.DUMMYFUNCTION("""COMPUTED_VALUE"""),"08")</f>
        <v>08</v>
      </c>
      <c r="J1145" s="115" t="str">
        <f>IFERROR(__xludf.DUMMYFUNCTION("""COMPUTED_VALUE"""),"Amit Kumar Pathak2025-09-0308")</f>
        <v>Amit Kumar Pathak2025-09-0308</v>
      </c>
      <c r="K1145" s="115">
        <f>IFERROR(__xludf.DUMMYFUNCTION("""COMPUTED_VALUE"""),4770.0)</f>
        <v>4770</v>
      </c>
    </row>
    <row r="1146">
      <c r="A1146" s="115" t="str">
        <f>IFERROR(__xludf.DUMMYFUNCTION("""COMPUTED_VALUE"""),"NORTH")</f>
        <v>NORTH</v>
      </c>
      <c r="B1146" s="115" t="str">
        <f>IFERROR(__xludf.DUMMYFUNCTION("""COMPUTED_VALUE"""),"Amit Kumar Pathak")</f>
        <v>Amit Kumar Pathak</v>
      </c>
      <c r="C1146" s="115" t="str">
        <f>IFERROR(__xludf.DUMMYFUNCTION("""COMPUTED_VALUE"""),"FLIPKART")</f>
        <v>FLIPKART</v>
      </c>
      <c r="D1146" s="115">
        <f>IFERROR(__xludf.DUMMYFUNCTION("""COMPUTED_VALUE"""),38044.0)</f>
        <v>38044</v>
      </c>
      <c r="E1146" s="115">
        <f>IFERROR(__xludf.DUMMYFUNCTION("""COMPUTED_VALUE"""),3100.0)</f>
        <v>3100</v>
      </c>
      <c r="F1146" s="115">
        <f>IFERROR(__xludf.DUMMYFUNCTION("""COMPUTED_VALUE"""),133.0)</f>
        <v>133</v>
      </c>
      <c r="G1146" s="115">
        <f>IFERROR(__xludf.DUMMYFUNCTION("""COMPUTED_VALUE"""),9.0)</f>
        <v>9</v>
      </c>
      <c r="H1146" s="116">
        <f>IFERROR(__xludf.DUMMYFUNCTION("""COMPUTED_VALUE"""),45903.0)</f>
        <v>45903</v>
      </c>
      <c r="I1146" s="115" t="str">
        <f>IFERROR(__xludf.DUMMYFUNCTION("""COMPUTED_VALUE"""),"08")</f>
        <v>08</v>
      </c>
      <c r="J1146" s="115" t="str">
        <f>IFERROR(__xludf.DUMMYFUNCTION("""COMPUTED_VALUE"""),"Amit Kumar Pathak2025-09-0308")</f>
        <v>Amit Kumar Pathak2025-09-0308</v>
      </c>
      <c r="K1146" s="115">
        <f>IFERROR(__xludf.DUMMYFUNCTION("""COMPUTED_VALUE"""),41144.0)</f>
        <v>41144</v>
      </c>
    </row>
    <row r="1147">
      <c r="A1147" s="115" t="str">
        <f>IFERROR(__xludf.DUMMYFUNCTION("""COMPUTED_VALUE"""),"NORTH")</f>
        <v>NORTH</v>
      </c>
      <c r="B1147" s="115" t="str">
        <f>IFERROR(__xludf.DUMMYFUNCTION("""COMPUTED_VALUE"""),"Amit Kumar Pathak")</f>
        <v>Amit Kumar Pathak</v>
      </c>
      <c r="C1147" s="115" t="str">
        <f>IFERROR(__xludf.DUMMYFUNCTION("""COMPUTED_VALUE"""),"MYNTRA")</f>
        <v>MYNTRA</v>
      </c>
      <c r="D1147" s="115">
        <f>IFERROR(__xludf.DUMMYFUNCTION("""COMPUTED_VALUE"""),3870.0)</f>
        <v>3870</v>
      </c>
      <c r="E1147" s="115">
        <f>IFERROR(__xludf.DUMMYFUNCTION("""COMPUTED_VALUE"""),963.0)</f>
        <v>963</v>
      </c>
      <c r="F1147" s="115">
        <f>IFERROR(__xludf.DUMMYFUNCTION("""COMPUTED_VALUE"""),19.0)</f>
        <v>19</v>
      </c>
      <c r="G1147" s="115">
        <f>IFERROR(__xludf.DUMMYFUNCTION("""COMPUTED_VALUE"""),2.0)</f>
        <v>2</v>
      </c>
      <c r="H1147" s="116">
        <f>IFERROR(__xludf.DUMMYFUNCTION("""COMPUTED_VALUE"""),45903.0)</f>
        <v>45903</v>
      </c>
      <c r="I1147" s="115" t="str">
        <f>IFERROR(__xludf.DUMMYFUNCTION("""COMPUTED_VALUE"""),"08")</f>
        <v>08</v>
      </c>
      <c r="J1147" s="115" t="str">
        <f>IFERROR(__xludf.DUMMYFUNCTION("""COMPUTED_VALUE"""),"Amit Kumar Pathak2025-09-0308")</f>
        <v>Amit Kumar Pathak2025-09-0308</v>
      </c>
      <c r="K1147" s="115">
        <f>IFERROR(__xludf.DUMMYFUNCTION("""COMPUTED_VALUE"""),4833.0)</f>
        <v>4833</v>
      </c>
    </row>
    <row r="1148">
      <c r="A1148" s="115" t="str">
        <f>IFERROR(__xludf.DUMMYFUNCTION("""COMPUTED_VALUE"""),"NORTH")</f>
        <v>NORTH</v>
      </c>
      <c r="B1148" s="115" t="str">
        <f>IFERROR(__xludf.DUMMYFUNCTION("""COMPUTED_VALUE"""),"Loveleen Singh")</f>
        <v>Loveleen Singh</v>
      </c>
      <c r="C1148" s="115" t="str">
        <f>IFERROR(__xludf.DUMMYFUNCTION("""COMPUTED_VALUE"""),"EXTERNAL")</f>
        <v>EXTERNAL</v>
      </c>
      <c r="D1148" s="115">
        <f>IFERROR(__xludf.DUMMYFUNCTION("""COMPUTED_VALUE"""),1028.0)</f>
        <v>1028</v>
      </c>
      <c r="E1148" s="115">
        <f>IFERROR(__xludf.DUMMYFUNCTION("""COMPUTED_VALUE"""),61.0)</f>
        <v>61</v>
      </c>
      <c r="F1148" s="115">
        <f>IFERROR(__xludf.DUMMYFUNCTION("""COMPUTED_VALUE"""),4.0)</f>
        <v>4</v>
      </c>
      <c r="G1148" s="115">
        <f>IFERROR(__xludf.DUMMYFUNCTION("""COMPUTED_VALUE"""),2.0)</f>
        <v>2</v>
      </c>
      <c r="H1148" s="116">
        <f>IFERROR(__xludf.DUMMYFUNCTION("""COMPUTED_VALUE"""),45903.0)</f>
        <v>45903</v>
      </c>
      <c r="I1148" s="115" t="str">
        <f>IFERROR(__xludf.DUMMYFUNCTION("""COMPUTED_VALUE"""),"08")</f>
        <v>08</v>
      </c>
      <c r="J1148" s="115" t="str">
        <f>IFERROR(__xludf.DUMMYFUNCTION("""COMPUTED_VALUE"""),"Loveleen Singh2025-09-0308")</f>
        <v>Loveleen Singh2025-09-0308</v>
      </c>
      <c r="K1148" s="115">
        <f>IFERROR(__xludf.DUMMYFUNCTION("""COMPUTED_VALUE"""),1089.0)</f>
        <v>1089</v>
      </c>
    </row>
    <row r="1149">
      <c r="A1149" s="115" t="str">
        <f>IFERROR(__xludf.DUMMYFUNCTION("""COMPUTED_VALUE"""),"NORTH")</f>
        <v>NORTH</v>
      </c>
      <c r="B1149" s="115" t="str">
        <f>IFERROR(__xludf.DUMMYFUNCTION("""COMPUTED_VALUE"""),"Loveleen Singh")</f>
        <v>Loveleen Singh</v>
      </c>
      <c r="C1149" s="115" t="str">
        <f>IFERROR(__xludf.DUMMYFUNCTION("""COMPUTED_VALUE"""),"FLIPKART")</f>
        <v>FLIPKART</v>
      </c>
      <c r="D1149" s="115">
        <f>IFERROR(__xludf.DUMMYFUNCTION("""COMPUTED_VALUE"""),7769.0)</f>
        <v>7769</v>
      </c>
      <c r="E1149" s="115">
        <f>IFERROR(__xludf.DUMMYFUNCTION("""COMPUTED_VALUE"""),582.0)</f>
        <v>582</v>
      </c>
      <c r="F1149" s="115">
        <f>IFERROR(__xludf.DUMMYFUNCTION("""COMPUTED_VALUE"""),90.0)</f>
        <v>90</v>
      </c>
      <c r="G1149" s="115">
        <f>IFERROR(__xludf.DUMMYFUNCTION("""COMPUTED_VALUE"""),12.0)</f>
        <v>12</v>
      </c>
      <c r="H1149" s="116">
        <f>IFERROR(__xludf.DUMMYFUNCTION("""COMPUTED_VALUE"""),45903.0)</f>
        <v>45903</v>
      </c>
      <c r="I1149" s="115" t="str">
        <f>IFERROR(__xludf.DUMMYFUNCTION("""COMPUTED_VALUE"""),"08")</f>
        <v>08</v>
      </c>
      <c r="J1149" s="115" t="str">
        <f>IFERROR(__xludf.DUMMYFUNCTION("""COMPUTED_VALUE"""),"Loveleen Singh2025-09-0308")</f>
        <v>Loveleen Singh2025-09-0308</v>
      </c>
      <c r="K1149" s="115">
        <f>IFERROR(__xludf.DUMMYFUNCTION("""COMPUTED_VALUE"""),8351.0)</f>
        <v>8351</v>
      </c>
    </row>
    <row r="1150">
      <c r="A1150" s="115" t="str">
        <f>IFERROR(__xludf.DUMMYFUNCTION("""COMPUTED_VALUE"""),"NORTH")</f>
        <v>NORTH</v>
      </c>
      <c r="B1150" s="115" t="str">
        <f>IFERROR(__xludf.DUMMYFUNCTION("""COMPUTED_VALUE"""),"Loveleen Singh")</f>
        <v>Loveleen Singh</v>
      </c>
      <c r="C1150" s="115" t="str">
        <f>IFERROR(__xludf.DUMMYFUNCTION("""COMPUTED_VALUE"""),"MYNTRA")</f>
        <v>MYNTRA</v>
      </c>
      <c r="D1150" s="115">
        <f>IFERROR(__xludf.DUMMYFUNCTION("""COMPUTED_VALUE"""),1615.0)</f>
        <v>1615</v>
      </c>
      <c r="E1150" s="115">
        <f>IFERROR(__xludf.DUMMYFUNCTION("""COMPUTED_VALUE"""),337.0)</f>
        <v>337</v>
      </c>
      <c r="F1150" s="115">
        <f>IFERROR(__xludf.DUMMYFUNCTION("""COMPUTED_VALUE"""),13.0)</f>
        <v>13</v>
      </c>
      <c r="G1150" s="115">
        <f>IFERROR(__xludf.DUMMYFUNCTION("""COMPUTED_VALUE"""),1.0)</f>
        <v>1</v>
      </c>
      <c r="H1150" s="116">
        <f>IFERROR(__xludf.DUMMYFUNCTION("""COMPUTED_VALUE"""),45903.0)</f>
        <v>45903</v>
      </c>
      <c r="I1150" s="115" t="str">
        <f>IFERROR(__xludf.DUMMYFUNCTION("""COMPUTED_VALUE"""),"08")</f>
        <v>08</v>
      </c>
      <c r="J1150" s="115" t="str">
        <f>IFERROR(__xludf.DUMMYFUNCTION("""COMPUTED_VALUE"""),"Loveleen Singh2025-09-0308")</f>
        <v>Loveleen Singh2025-09-0308</v>
      </c>
      <c r="K1150" s="115">
        <f>IFERROR(__xludf.DUMMYFUNCTION("""COMPUTED_VALUE"""),1952.0)</f>
        <v>1952</v>
      </c>
    </row>
    <row r="1151">
      <c r="A1151" s="115" t="str">
        <f>IFERROR(__xludf.DUMMYFUNCTION("""COMPUTED_VALUE"""),"NORTH")</f>
        <v>NORTH</v>
      </c>
      <c r="B1151" s="115" t="str">
        <f>IFERROR(__xludf.DUMMYFUNCTION("""COMPUTED_VALUE"""),"Manoj Harsh")</f>
        <v>Manoj Harsh</v>
      </c>
      <c r="C1151" s="115" t="str">
        <f>IFERROR(__xludf.DUMMYFUNCTION("""COMPUTED_VALUE"""),"EXTERNAL")</f>
        <v>EXTERNAL</v>
      </c>
      <c r="D1151" s="115">
        <f>IFERROR(__xludf.DUMMYFUNCTION("""COMPUTED_VALUE"""),1986.0)</f>
        <v>1986</v>
      </c>
      <c r="E1151" s="115">
        <f>IFERROR(__xludf.DUMMYFUNCTION("""COMPUTED_VALUE"""),404.0)</f>
        <v>404</v>
      </c>
      <c r="F1151" s="115">
        <f>IFERROR(__xludf.DUMMYFUNCTION("""COMPUTED_VALUE"""),10.0)</f>
        <v>10</v>
      </c>
      <c r="G1151" s="115">
        <f>IFERROR(__xludf.DUMMYFUNCTION("""COMPUTED_VALUE"""),4.0)</f>
        <v>4</v>
      </c>
      <c r="H1151" s="116">
        <f>IFERROR(__xludf.DUMMYFUNCTION("""COMPUTED_VALUE"""),45903.0)</f>
        <v>45903</v>
      </c>
      <c r="I1151" s="115" t="str">
        <f>IFERROR(__xludf.DUMMYFUNCTION("""COMPUTED_VALUE"""),"08")</f>
        <v>08</v>
      </c>
      <c r="J1151" s="115" t="str">
        <f>IFERROR(__xludf.DUMMYFUNCTION("""COMPUTED_VALUE"""),"Manoj Harsh2025-09-0308")</f>
        <v>Manoj Harsh2025-09-0308</v>
      </c>
      <c r="K1151" s="115">
        <f>IFERROR(__xludf.DUMMYFUNCTION("""COMPUTED_VALUE"""),2390.0)</f>
        <v>2390</v>
      </c>
    </row>
    <row r="1152">
      <c r="A1152" s="115" t="str">
        <f>IFERROR(__xludf.DUMMYFUNCTION("""COMPUTED_VALUE"""),"NORTH")</f>
        <v>NORTH</v>
      </c>
      <c r="B1152" s="115" t="str">
        <f>IFERROR(__xludf.DUMMYFUNCTION("""COMPUTED_VALUE"""),"Manoj Harsh")</f>
        <v>Manoj Harsh</v>
      </c>
      <c r="C1152" s="115" t="str">
        <f>IFERROR(__xludf.DUMMYFUNCTION("""COMPUTED_VALUE"""),"FLIPKART")</f>
        <v>FLIPKART</v>
      </c>
      <c r="D1152" s="115">
        <f>IFERROR(__xludf.DUMMYFUNCTION("""COMPUTED_VALUE"""),28857.0)</f>
        <v>28857</v>
      </c>
      <c r="E1152" s="115">
        <f>IFERROR(__xludf.DUMMYFUNCTION("""COMPUTED_VALUE"""),3726.0)</f>
        <v>3726</v>
      </c>
      <c r="F1152" s="115">
        <f>IFERROR(__xludf.DUMMYFUNCTION("""COMPUTED_VALUE"""),399.0)</f>
        <v>399</v>
      </c>
      <c r="G1152" s="115">
        <f>IFERROR(__xludf.DUMMYFUNCTION("""COMPUTED_VALUE"""),31.0)</f>
        <v>31</v>
      </c>
      <c r="H1152" s="116">
        <f>IFERROR(__xludf.DUMMYFUNCTION("""COMPUTED_VALUE"""),45903.0)</f>
        <v>45903</v>
      </c>
      <c r="I1152" s="115" t="str">
        <f>IFERROR(__xludf.DUMMYFUNCTION("""COMPUTED_VALUE"""),"08")</f>
        <v>08</v>
      </c>
      <c r="J1152" s="115" t="str">
        <f>IFERROR(__xludf.DUMMYFUNCTION("""COMPUTED_VALUE"""),"Manoj Harsh2025-09-0308")</f>
        <v>Manoj Harsh2025-09-0308</v>
      </c>
      <c r="K1152" s="115">
        <f>IFERROR(__xludf.DUMMYFUNCTION("""COMPUTED_VALUE"""),32583.0)</f>
        <v>32583</v>
      </c>
    </row>
    <row r="1153">
      <c r="A1153" s="115" t="str">
        <f>IFERROR(__xludf.DUMMYFUNCTION("""COMPUTED_VALUE"""),"NORTH")</f>
        <v>NORTH</v>
      </c>
      <c r="B1153" s="115" t="str">
        <f>IFERROR(__xludf.DUMMYFUNCTION("""COMPUTED_VALUE"""),"Manoj Harsh")</f>
        <v>Manoj Harsh</v>
      </c>
      <c r="C1153" s="115" t="str">
        <f>IFERROR(__xludf.DUMMYFUNCTION("""COMPUTED_VALUE"""),"MYNTRA")</f>
        <v>MYNTRA</v>
      </c>
      <c r="D1153" s="115">
        <f>IFERROR(__xludf.DUMMYFUNCTION("""COMPUTED_VALUE"""),2829.0)</f>
        <v>2829</v>
      </c>
      <c r="E1153" s="115">
        <f>IFERROR(__xludf.DUMMYFUNCTION("""COMPUTED_VALUE"""),833.0)</f>
        <v>833</v>
      </c>
      <c r="F1153" s="115">
        <f>IFERROR(__xludf.DUMMYFUNCTION("""COMPUTED_VALUE"""),75.0)</f>
        <v>75</v>
      </c>
      <c r="G1153" s="115">
        <f>IFERROR(__xludf.DUMMYFUNCTION("""COMPUTED_VALUE"""),2.0)</f>
        <v>2</v>
      </c>
      <c r="H1153" s="116">
        <f>IFERROR(__xludf.DUMMYFUNCTION("""COMPUTED_VALUE"""),45903.0)</f>
        <v>45903</v>
      </c>
      <c r="I1153" s="115" t="str">
        <f>IFERROR(__xludf.DUMMYFUNCTION("""COMPUTED_VALUE"""),"08")</f>
        <v>08</v>
      </c>
      <c r="J1153" s="115" t="str">
        <f>IFERROR(__xludf.DUMMYFUNCTION("""COMPUTED_VALUE"""),"Manoj Harsh2025-09-0308")</f>
        <v>Manoj Harsh2025-09-0308</v>
      </c>
      <c r="K1153" s="115">
        <f>IFERROR(__xludf.DUMMYFUNCTION("""COMPUTED_VALUE"""),3662.0)</f>
        <v>3662</v>
      </c>
    </row>
    <row r="1154">
      <c r="A1154" s="115" t="str">
        <f>IFERROR(__xludf.DUMMYFUNCTION("""COMPUTED_VALUE"""),"NORTH")</f>
        <v>NORTH</v>
      </c>
      <c r="B1154" s="115" t="str">
        <f>IFERROR(__xludf.DUMMYFUNCTION("""COMPUTED_VALUE"""),"Pradeep Kothari")</f>
        <v>Pradeep Kothari</v>
      </c>
      <c r="C1154" s="115" t="str">
        <f>IFERROR(__xludf.DUMMYFUNCTION("""COMPUTED_VALUE"""),"EXTERNAL")</f>
        <v>EXTERNAL</v>
      </c>
      <c r="D1154" s="115">
        <f>IFERROR(__xludf.DUMMYFUNCTION("""COMPUTED_VALUE"""),962.0)</f>
        <v>962</v>
      </c>
      <c r="E1154" s="115">
        <f>IFERROR(__xludf.DUMMYFUNCTION("""COMPUTED_VALUE"""),177.0)</f>
        <v>177</v>
      </c>
      <c r="F1154" s="115">
        <f>IFERROR(__xludf.DUMMYFUNCTION("""COMPUTED_VALUE"""),10.0)</f>
        <v>10</v>
      </c>
      <c r="G1154" s="115">
        <f>IFERROR(__xludf.DUMMYFUNCTION("""COMPUTED_VALUE"""),3.0)</f>
        <v>3</v>
      </c>
      <c r="H1154" s="116">
        <f>IFERROR(__xludf.DUMMYFUNCTION("""COMPUTED_VALUE"""),45903.0)</f>
        <v>45903</v>
      </c>
      <c r="I1154" s="115" t="str">
        <f>IFERROR(__xludf.DUMMYFUNCTION("""COMPUTED_VALUE"""),"08")</f>
        <v>08</v>
      </c>
      <c r="J1154" s="115" t="str">
        <f>IFERROR(__xludf.DUMMYFUNCTION("""COMPUTED_VALUE"""),"Pradeep Kothari2025-09-0308")</f>
        <v>Pradeep Kothari2025-09-0308</v>
      </c>
      <c r="K1154" s="115">
        <f>IFERROR(__xludf.DUMMYFUNCTION("""COMPUTED_VALUE"""),1139.0)</f>
        <v>1139</v>
      </c>
    </row>
    <row r="1155">
      <c r="A1155" s="115" t="str">
        <f>IFERROR(__xludf.DUMMYFUNCTION("""COMPUTED_VALUE"""),"NORTH")</f>
        <v>NORTH</v>
      </c>
      <c r="B1155" s="115" t="str">
        <f>IFERROR(__xludf.DUMMYFUNCTION("""COMPUTED_VALUE"""),"Pradeep Kothari")</f>
        <v>Pradeep Kothari</v>
      </c>
      <c r="C1155" s="115" t="str">
        <f>IFERROR(__xludf.DUMMYFUNCTION("""COMPUTED_VALUE"""),"FLIPKART")</f>
        <v>FLIPKART</v>
      </c>
      <c r="D1155" s="115">
        <f>IFERROR(__xludf.DUMMYFUNCTION("""COMPUTED_VALUE"""),8196.0)</f>
        <v>8196</v>
      </c>
      <c r="E1155" s="115">
        <f>IFERROR(__xludf.DUMMYFUNCTION("""COMPUTED_VALUE"""),960.0)</f>
        <v>960</v>
      </c>
      <c r="F1155" s="115">
        <f>IFERROR(__xludf.DUMMYFUNCTION("""COMPUTED_VALUE"""),114.0)</f>
        <v>114</v>
      </c>
      <c r="G1155" s="115">
        <f>IFERROR(__xludf.DUMMYFUNCTION("""COMPUTED_VALUE"""),15.0)</f>
        <v>15</v>
      </c>
      <c r="H1155" s="116">
        <f>IFERROR(__xludf.DUMMYFUNCTION("""COMPUTED_VALUE"""),45903.0)</f>
        <v>45903</v>
      </c>
      <c r="I1155" s="115" t="str">
        <f>IFERROR(__xludf.DUMMYFUNCTION("""COMPUTED_VALUE"""),"08")</f>
        <v>08</v>
      </c>
      <c r="J1155" s="115" t="str">
        <f>IFERROR(__xludf.DUMMYFUNCTION("""COMPUTED_VALUE"""),"Pradeep Kothari2025-09-0308")</f>
        <v>Pradeep Kothari2025-09-0308</v>
      </c>
      <c r="K1155" s="115">
        <f>IFERROR(__xludf.DUMMYFUNCTION("""COMPUTED_VALUE"""),9156.0)</f>
        <v>9156</v>
      </c>
    </row>
    <row r="1156">
      <c r="A1156" s="115" t="str">
        <f>IFERROR(__xludf.DUMMYFUNCTION("""COMPUTED_VALUE"""),"NORTH")</f>
        <v>NORTH</v>
      </c>
      <c r="B1156" s="115" t="str">
        <f>IFERROR(__xludf.DUMMYFUNCTION("""COMPUTED_VALUE"""),"Pradeep Kothari")</f>
        <v>Pradeep Kothari</v>
      </c>
      <c r="C1156" s="115" t="str">
        <f>IFERROR(__xludf.DUMMYFUNCTION("""COMPUTED_VALUE"""),"MYNTRA")</f>
        <v>MYNTRA</v>
      </c>
      <c r="D1156" s="115">
        <f>IFERROR(__xludf.DUMMYFUNCTION("""COMPUTED_VALUE"""),1692.0)</f>
        <v>1692</v>
      </c>
      <c r="E1156" s="115">
        <f>IFERROR(__xludf.DUMMYFUNCTION("""COMPUTED_VALUE"""),409.0)</f>
        <v>409</v>
      </c>
      <c r="F1156" s="115">
        <f>IFERROR(__xludf.DUMMYFUNCTION("""COMPUTED_VALUE"""),35.0)</f>
        <v>35</v>
      </c>
      <c r="G1156" s="115">
        <f>IFERROR(__xludf.DUMMYFUNCTION("""COMPUTED_VALUE"""),2.0)</f>
        <v>2</v>
      </c>
      <c r="H1156" s="116">
        <f>IFERROR(__xludf.DUMMYFUNCTION("""COMPUTED_VALUE"""),45903.0)</f>
        <v>45903</v>
      </c>
      <c r="I1156" s="115" t="str">
        <f>IFERROR(__xludf.DUMMYFUNCTION("""COMPUTED_VALUE"""),"08")</f>
        <v>08</v>
      </c>
      <c r="J1156" s="115" t="str">
        <f>IFERROR(__xludf.DUMMYFUNCTION("""COMPUTED_VALUE"""),"Pradeep Kothari2025-09-0308")</f>
        <v>Pradeep Kothari2025-09-0308</v>
      </c>
      <c r="K1156" s="115">
        <f>IFERROR(__xludf.DUMMYFUNCTION("""COMPUTED_VALUE"""),2101.0)</f>
        <v>2101</v>
      </c>
    </row>
    <row r="1157">
      <c r="A1157" s="115" t="str">
        <f>IFERROR(__xludf.DUMMYFUNCTION("""COMPUTED_VALUE"""),"SOUTH")</f>
        <v>SOUTH</v>
      </c>
      <c r="B1157" s="115" t="str">
        <f>IFERROR(__xludf.DUMMYFUNCTION("""COMPUTED_VALUE"""),"Kandula Sampath")</f>
        <v>Kandula Sampath</v>
      </c>
      <c r="C1157" s="115" t="str">
        <f>IFERROR(__xludf.DUMMYFUNCTION("""COMPUTED_VALUE"""),"EXTERNAL")</f>
        <v>EXTERNAL</v>
      </c>
      <c r="D1157" s="115">
        <f>IFERROR(__xludf.DUMMYFUNCTION("""COMPUTED_VALUE"""),5125.0)</f>
        <v>5125</v>
      </c>
      <c r="E1157" s="115">
        <f>IFERROR(__xludf.DUMMYFUNCTION("""COMPUTED_VALUE"""),579.0)</f>
        <v>579</v>
      </c>
      <c r="F1157" s="115">
        <f>IFERROR(__xludf.DUMMYFUNCTION("""COMPUTED_VALUE"""),86.0)</f>
        <v>86</v>
      </c>
      <c r="G1157" s="115">
        <f>IFERROR(__xludf.DUMMYFUNCTION("""COMPUTED_VALUE"""),5.0)</f>
        <v>5</v>
      </c>
      <c r="H1157" s="116">
        <f>IFERROR(__xludf.DUMMYFUNCTION("""COMPUTED_VALUE"""),45903.0)</f>
        <v>45903</v>
      </c>
      <c r="I1157" s="115" t="str">
        <f>IFERROR(__xludf.DUMMYFUNCTION("""COMPUTED_VALUE"""),"08")</f>
        <v>08</v>
      </c>
      <c r="J1157" s="115" t="str">
        <f>IFERROR(__xludf.DUMMYFUNCTION("""COMPUTED_VALUE"""),"Kandula Sampath2025-09-0308")</f>
        <v>Kandula Sampath2025-09-0308</v>
      </c>
      <c r="K1157" s="115">
        <f>IFERROR(__xludf.DUMMYFUNCTION("""COMPUTED_VALUE"""),5704.0)</f>
        <v>5704</v>
      </c>
    </row>
    <row r="1158">
      <c r="A1158" s="115" t="str">
        <f>IFERROR(__xludf.DUMMYFUNCTION("""COMPUTED_VALUE"""),"SOUTH")</f>
        <v>SOUTH</v>
      </c>
      <c r="B1158" s="115" t="str">
        <f>IFERROR(__xludf.DUMMYFUNCTION("""COMPUTED_VALUE"""),"Kandula Sampath")</f>
        <v>Kandula Sampath</v>
      </c>
      <c r="C1158" s="115" t="str">
        <f>IFERROR(__xludf.DUMMYFUNCTION("""COMPUTED_VALUE"""),"FLIPKART")</f>
        <v>FLIPKART</v>
      </c>
      <c r="D1158" s="115">
        <f>IFERROR(__xludf.DUMMYFUNCTION("""COMPUTED_VALUE"""),55033.0)</f>
        <v>55033</v>
      </c>
      <c r="E1158" s="115">
        <f>IFERROR(__xludf.DUMMYFUNCTION("""COMPUTED_VALUE"""),3839.0)</f>
        <v>3839</v>
      </c>
      <c r="F1158" s="115">
        <f>IFERROR(__xludf.DUMMYFUNCTION("""COMPUTED_VALUE"""),1695.0)</f>
        <v>1695</v>
      </c>
      <c r="G1158" s="115">
        <f>IFERROR(__xludf.DUMMYFUNCTION("""COMPUTED_VALUE"""),41.0)</f>
        <v>41</v>
      </c>
      <c r="H1158" s="116">
        <f>IFERROR(__xludf.DUMMYFUNCTION("""COMPUTED_VALUE"""),45903.0)</f>
        <v>45903</v>
      </c>
      <c r="I1158" s="115" t="str">
        <f>IFERROR(__xludf.DUMMYFUNCTION("""COMPUTED_VALUE"""),"08")</f>
        <v>08</v>
      </c>
      <c r="J1158" s="115" t="str">
        <f>IFERROR(__xludf.DUMMYFUNCTION("""COMPUTED_VALUE"""),"Kandula Sampath2025-09-0308")</f>
        <v>Kandula Sampath2025-09-0308</v>
      </c>
      <c r="K1158" s="115">
        <f>IFERROR(__xludf.DUMMYFUNCTION("""COMPUTED_VALUE"""),58872.0)</f>
        <v>58872</v>
      </c>
    </row>
    <row r="1159">
      <c r="A1159" s="115" t="str">
        <f>IFERROR(__xludf.DUMMYFUNCTION("""COMPUTED_VALUE"""),"SOUTH")</f>
        <v>SOUTH</v>
      </c>
      <c r="B1159" s="115" t="str">
        <f>IFERROR(__xludf.DUMMYFUNCTION("""COMPUTED_VALUE"""),"Kandula Sampath")</f>
        <v>Kandula Sampath</v>
      </c>
      <c r="C1159" s="115" t="str">
        <f>IFERROR(__xludf.DUMMYFUNCTION("""COMPUTED_VALUE"""),"MYNTRA")</f>
        <v>MYNTRA</v>
      </c>
      <c r="D1159" s="115">
        <f>IFERROR(__xludf.DUMMYFUNCTION("""COMPUTED_VALUE"""),5402.0)</f>
        <v>5402</v>
      </c>
      <c r="E1159" s="115">
        <f>IFERROR(__xludf.DUMMYFUNCTION("""COMPUTED_VALUE"""),1092.0)</f>
        <v>1092</v>
      </c>
      <c r="F1159" s="115">
        <f>IFERROR(__xludf.DUMMYFUNCTION("""COMPUTED_VALUE"""),214.0)</f>
        <v>214</v>
      </c>
      <c r="G1159" s="115">
        <f>IFERROR(__xludf.DUMMYFUNCTION("""COMPUTED_VALUE"""),13.0)</f>
        <v>13</v>
      </c>
      <c r="H1159" s="116">
        <f>IFERROR(__xludf.DUMMYFUNCTION("""COMPUTED_VALUE"""),45903.0)</f>
        <v>45903</v>
      </c>
      <c r="I1159" s="115" t="str">
        <f>IFERROR(__xludf.DUMMYFUNCTION("""COMPUTED_VALUE"""),"08")</f>
        <v>08</v>
      </c>
      <c r="J1159" s="115" t="str">
        <f>IFERROR(__xludf.DUMMYFUNCTION("""COMPUTED_VALUE"""),"Kandula Sampath2025-09-0308")</f>
        <v>Kandula Sampath2025-09-0308</v>
      </c>
      <c r="K1159" s="115">
        <f>IFERROR(__xludf.DUMMYFUNCTION("""COMPUTED_VALUE"""),6494.0)</f>
        <v>6494</v>
      </c>
    </row>
    <row r="1160">
      <c r="A1160" s="115" t="str">
        <f>IFERROR(__xludf.DUMMYFUNCTION("""COMPUTED_VALUE"""),"SOUTH")</f>
        <v>SOUTH</v>
      </c>
      <c r="B1160" s="115" t="str">
        <f>IFERROR(__xludf.DUMMYFUNCTION("""COMPUTED_VALUE"""),"Martin A")</f>
        <v>Martin A</v>
      </c>
      <c r="C1160" s="115" t="str">
        <f>IFERROR(__xludf.DUMMYFUNCTION("""COMPUTED_VALUE"""),"EXTERNAL")</f>
        <v>EXTERNAL</v>
      </c>
      <c r="D1160" s="115">
        <f>IFERROR(__xludf.DUMMYFUNCTION("""COMPUTED_VALUE"""),4730.0)</f>
        <v>4730</v>
      </c>
      <c r="E1160" s="115">
        <f>IFERROR(__xludf.DUMMYFUNCTION("""COMPUTED_VALUE"""),468.0)</f>
        <v>468</v>
      </c>
      <c r="F1160" s="115">
        <f>IFERROR(__xludf.DUMMYFUNCTION("""COMPUTED_VALUE"""),27.0)</f>
        <v>27</v>
      </c>
      <c r="G1160" s="115">
        <f>IFERROR(__xludf.DUMMYFUNCTION("""COMPUTED_VALUE"""),7.0)</f>
        <v>7</v>
      </c>
      <c r="H1160" s="116">
        <f>IFERROR(__xludf.DUMMYFUNCTION("""COMPUTED_VALUE"""),45903.0)</f>
        <v>45903</v>
      </c>
      <c r="I1160" s="115" t="str">
        <f>IFERROR(__xludf.DUMMYFUNCTION("""COMPUTED_VALUE"""),"08")</f>
        <v>08</v>
      </c>
      <c r="J1160" s="115" t="str">
        <f>IFERROR(__xludf.DUMMYFUNCTION("""COMPUTED_VALUE"""),"Martin A2025-09-0308")</f>
        <v>Martin A2025-09-0308</v>
      </c>
      <c r="K1160" s="115">
        <f>IFERROR(__xludf.DUMMYFUNCTION("""COMPUTED_VALUE"""),5198.0)</f>
        <v>5198</v>
      </c>
    </row>
    <row r="1161">
      <c r="A1161" s="115" t="str">
        <f>IFERROR(__xludf.DUMMYFUNCTION("""COMPUTED_VALUE"""),"SOUTH")</f>
        <v>SOUTH</v>
      </c>
      <c r="B1161" s="115" t="str">
        <f>IFERROR(__xludf.DUMMYFUNCTION("""COMPUTED_VALUE"""),"Martin A")</f>
        <v>Martin A</v>
      </c>
      <c r="C1161" s="115" t="str">
        <f>IFERROR(__xludf.DUMMYFUNCTION("""COMPUTED_VALUE"""),"FLIPKART")</f>
        <v>FLIPKART</v>
      </c>
      <c r="D1161" s="115">
        <f>IFERROR(__xludf.DUMMYFUNCTION("""COMPUTED_VALUE"""),42369.0)</f>
        <v>42369</v>
      </c>
      <c r="E1161" s="115">
        <f>IFERROR(__xludf.DUMMYFUNCTION("""COMPUTED_VALUE"""),3741.0)</f>
        <v>3741</v>
      </c>
      <c r="F1161" s="115">
        <f>IFERROR(__xludf.DUMMYFUNCTION("""COMPUTED_VALUE"""),388.0)</f>
        <v>388</v>
      </c>
      <c r="G1161" s="115">
        <f>IFERROR(__xludf.DUMMYFUNCTION("""COMPUTED_VALUE"""),34.0)</f>
        <v>34</v>
      </c>
      <c r="H1161" s="116">
        <f>IFERROR(__xludf.DUMMYFUNCTION("""COMPUTED_VALUE"""),45903.0)</f>
        <v>45903</v>
      </c>
      <c r="I1161" s="115" t="str">
        <f>IFERROR(__xludf.DUMMYFUNCTION("""COMPUTED_VALUE"""),"08")</f>
        <v>08</v>
      </c>
      <c r="J1161" s="115" t="str">
        <f>IFERROR(__xludf.DUMMYFUNCTION("""COMPUTED_VALUE"""),"Martin A2025-09-0308")</f>
        <v>Martin A2025-09-0308</v>
      </c>
      <c r="K1161" s="115">
        <f>IFERROR(__xludf.DUMMYFUNCTION("""COMPUTED_VALUE"""),46110.0)</f>
        <v>46110</v>
      </c>
    </row>
    <row r="1162">
      <c r="A1162" s="115" t="str">
        <f>IFERROR(__xludf.DUMMYFUNCTION("""COMPUTED_VALUE"""),"SOUTH")</f>
        <v>SOUTH</v>
      </c>
      <c r="B1162" s="115" t="str">
        <f>IFERROR(__xludf.DUMMYFUNCTION("""COMPUTED_VALUE"""),"Martin A")</f>
        <v>Martin A</v>
      </c>
      <c r="C1162" s="115" t="str">
        <f>IFERROR(__xludf.DUMMYFUNCTION("""COMPUTED_VALUE"""),"MYNTRA")</f>
        <v>MYNTRA</v>
      </c>
      <c r="D1162" s="115">
        <f>IFERROR(__xludf.DUMMYFUNCTION("""COMPUTED_VALUE"""),4240.0)</f>
        <v>4240</v>
      </c>
      <c r="E1162" s="115">
        <f>IFERROR(__xludf.DUMMYFUNCTION("""COMPUTED_VALUE"""),1044.0)</f>
        <v>1044</v>
      </c>
      <c r="F1162" s="115">
        <f>IFERROR(__xludf.DUMMYFUNCTION("""COMPUTED_VALUE"""),48.0)</f>
        <v>48</v>
      </c>
      <c r="G1162" s="115">
        <f>IFERROR(__xludf.DUMMYFUNCTION("""COMPUTED_VALUE"""),4.0)</f>
        <v>4</v>
      </c>
      <c r="H1162" s="116">
        <f>IFERROR(__xludf.DUMMYFUNCTION("""COMPUTED_VALUE"""),45903.0)</f>
        <v>45903</v>
      </c>
      <c r="I1162" s="115" t="str">
        <f>IFERROR(__xludf.DUMMYFUNCTION("""COMPUTED_VALUE"""),"08")</f>
        <v>08</v>
      </c>
      <c r="J1162" s="115" t="str">
        <f>IFERROR(__xludf.DUMMYFUNCTION("""COMPUTED_VALUE"""),"Martin A2025-09-0308")</f>
        <v>Martin A2025-09-0308</v>
      </c>
      <c r="K1162" s="115">
        <f>IFERROR(__xludf.DUMMYFUNCTION("""COMPUTED_VALUE"""),5284.0)</f>
        <v>5284</v>
      </c>
    </row>
    <row r="1163">
      <c r="A1163" s="115" t="str">
        <f>IFERROR(__xludf.DUMMYFUNCTION("""COMPUTED_VALUE"""),"SOUTH")</f>
        <v>SOUTH</v>
      </c>
      <c r="B1163" s="115" t="str">
        <f>IFERROR(__xludf.DUMMYFUNCTION("""COMPUTED_VALUE"""),"Premkumar M")</f>
        <v>Premkumar M</v>
      </c>
      <c r="C1163" s="115" t="str">
        <f>IFERROR(__xludf.DUMMYFUNCTION("""COMPUTED_VALUE"""),"EXTERNAL")</f>
        <v>EXTERNAL</v>
      </c>
      <c r="D1163" s="115">
        <f>IFERROR(__xludf.DUMMYFUNCTION("""COMPUTED_VALUE"""),1132.0)</f>
        <v>1132</v>
      </c>
      <c r="E1163" s="115">
        <f>IFERROR(__xludf.DUMMYFUNCTION("""COMPUTED_VALUE"""),80.0)</f>
        <v>80</v>
      </c>
      <c r="F1163" s="115">
        <f>IFERROR(__xludf.DUMMYFUNCTION("""COMPUTED_VALUE"""),9.0)</f>
        <v>9</v>
      </c>
      <c r="G1163" s="115">
        <f>IFERROR(__xludf.DUMMYFUNCTION("""COMPUTED_VALUE"""),1.0)</f>
        <v>1</v>
      </c>
      <c r="H1163" s="116">
        <f>IFERROR(__xludf.DUMMYFUNCTION("""COMPUTED_VALUE"""),45903.0)</f>
        <v>45903</v>
      </c>
      <c r="I1163" s="115" t="str">
        <f>IFERROR(__xludf.DUMMYFUNCTION("""COMPUTED_VALUE"""),"08")</f>
        <v>08</v>
      </c>
      <c r="J1163" s="115" t="str">
        <f>IFERROR(__xludf.DUMMYFUNCTION("""COMPUTED_VALUE"""),"Premkumar M2025-09-0308")</f>
        <v>Premkumar M2025-09-0308</v>
      </c>
      <c r="K1163" s="115">
        <f>IFERROR(__xludf.DUMMYFUNCTION("""COMPUTED_VALUE"""),1212.0)</f>
        <v>1212</v>
      </c>
    </row>
    <row r="1164">
      <c r="A1164" s="115" t="str">
        <f>IFERROR(__xludf.DUMMYFUNCTION("""COMPUTED_VALUE"""),"SOUTH")</f>
        <v>SOUTH</v>
      </c>
      <c r="B1164" s="115" t="str">
        <f>IFERROR(__xludf.DUMMYFUNCTION("""COMPUTED_VALUE"""),"Premkumar M")</f>
        <v>Premkumar M</v>
      </c>
      <c r="C1164" s="115" t="str">
        <f>IFERROR(__xludf.DUMMYFUNCTION("""COMPUTED_VALUE"""),"FLIPKART")</f>
        <v>FLIPKART</v>
      </c>
      <c r="D1164" s="115">
        <f>IFERROR(__xludf.DUMMYFUNCTION("""COMPUTED_VALUE"""),10882.0)</f>
        <v>10882</v>
      </c>
      <c r="E1164" s="115">
        <f>IFERROR(__xludf.DUMMYFUNCTION("""COMPUTED_VALUE"""),561.0)</f>
        <v>561</v>
      </c>
      <c r="F1164" s="115">
        <f>IFERROR(__xludf.DUMMYFUNCTION("""COMPUTED_VALUE"""),168.0)</f>
        <v>168</v>
      </c>
      <c r="G1164" s="115">
        <f>IFERROR(__xludf.DUMMYFUNCTION("""COMPUTED_VALUE"""),14.0)</f>
        <v>14</v>
      </c>
      <c r="H1164" s="116">
        <f>IFERROR(__xludf.DUMMYFUNCTION("""COMPUTED_VALUE"""),45903.0)</f>
        <v>45903</v>
      </c>
      <c r="I1164" s="115" t="str">
        <f>IFERROR(__xludf.DUMMYFUNCTION("""COMPUTED_VALUE"""),"08")</f>
        <v>08</v>
      </c>
      <c r="J1164" s="115" t="str">
        <f>IFERROR(__xludf.DUMMYFUNCTION("""COMPUTED_VALUE"""),"Premkumar M2025-09-0308")</f>
        <v>Premkumar M2025-09-0308</v>
      </c>
      <c r="K1164" s="115">
        <f>IFERROR(__xludf.DUMMYFUNCTION("""COMPUTED_VALUE"""),11443.0)</f>
        <v>11443</v>
      </c>
    </row>
    <row r="1165">
      <c r="A1165" s="115" t="str">
        <f>IFERROR(__xludf.DUMMYFUNCTION("""COMPUTED_VALUE"""),"SOUTH")</f>
        <v>SOUTH</v>
      </c>
      <c r="B1165" s="115" t="str">
        <f>IFERROR(__xludf.DUMMYFUNCTION("""COMPUTED_VALUE"""),"Premkumar M")</f>
        <v>Premkumar M</v>
      </c>
      <c r="C1165" s="115" t="str">
        <f>IFERROR(__xludf.DUMMYFUNCTION("""COMPUTED_VALUE"""),"MYNTRA")</f>
        <v>MYNTRA</v>
      </c>
      <c r="D1165" s="115">
        <f>IFERROR(__xludf.DUMMYFUNCTION("""COMPUTED_VALUE"""),669.0)</f>
        <v>669</v>
      </c>
      <c r="E1165" s="115">
        <f>IFERROR(__xludf.DUMMYFUNCTION("""COMPUTED_VALUE"""),117.0)</f>
        <v>117</v>
      </c>
      <c r="F1165" s="115">
        <f>IFERROR(__xludf.DUMMYFUNCTION("""COMPUTED_VALUE"""),10.0)</f>
        <v>10</v>
      </c>
      <c r="G1165" s="115">
        <f>IFERROR(__xludf.DUMMYFUNCTION("""COMPUTED_VALUE"""),4.0)</f>
        <v>4</v>
      </c>
      <c r="H1165" s="116">
        <f>IFERROR(__xludf.DUMMYFUNCTION("""COMPUTED_VALUE"""),45903.0)</f>
        <v>45903</v>
      </c>
      <c r="I1165" s="115" t="str">
        <f>IFERROR(__xludf.DUMMYFUNCTION("""COMPUTED_VALUE"""),"08")</f>
        <v>08</v>
      </c>
      <c r="J1165" s="115" t="str">
        <f>IFERROR(__xludf.DUMMYFUNCTION("""COMPUTED_VALUE"""),"Premkumar M2025-09-0308")</f>
        <v>Premkumar M2025-09-0308</v>
      </c>
      <c r="K1165" s="115">
        <f>IFERROR(__xludf.DUMMYFUNCTION("""COMPUTED_VALUE"""),786.0)</f>
        <v>786</v>
      </c>
    </row>
    <row r="1166">
      <c r="A1166" s="115" t="str">
        <f>IFERROR(__xludf.DUMMYFUNCTION("""COMPUTED_VALUE"""),"SOUTH")</f>
        <v>SOUTH</v>
      </c>
      <c r="B1166" s="115" t="str">
        <f>IFERROR(__xludf.DUMMYFUNCTION("""COMPUTED_VALUE"""),"Vineeth V")</f>
        <v>Vineeth V</v>
      </c>
      <c r="C1166" s="115" t="str">
        <f>IFERROR(__xludf.DUMMYFUNCTION("""COMPUTED_VALUE"""),"EXTERNAL")</f>
        <v>EXTERNAL</v>
      </c>
      <c r="D1166" s="115">
        <f>IFERROR(__xludf.DUMMYFUNCTION("""COMPUTED_VALUE"""),381.0)</f>
        <v>381</v>
      </c>
      <c r="E1166" s="115">
        <f>IFERROR(__xludf.DUMMYFUNCTION("""COMPUTED_VALUE"""),26.0)</f>
        <v>26</v>
      </c>
      <c r="F1166" s="115">
        <f>IFERROR(__xludf.DUMMYFUNCTION("""COMPUTED_VALUE"""),1.0)</f>
        <v>1</v>
      </c>
      <c r="G1166" s="115">
        <f>IFERROR(__xludf.DUMMYFUNCTION("""COMPUTED_VALUE"""),0.0)</f>
        <v>0</v>
      </c>
      <c r="H1166" s="116">
        <f>IFERROR(__xludf.DUMMYFUNCTION("""COMPUTED_VALUE"""),45903.0)</f>
        <v>45903</v>
      </c>
      <c r="I1166" s="115" t="str">
        <f>IFERROR(__xludf.DUMMYFUNCTION("""COMPUTED_VALUE"""),"08")</f>
        <v>08</v>
      </c>
      <c r="J1166" s="115" t="str">
        <f>IFERROR(__xludf.DUMMYFUNCTION("""COMPUTED_VALUE"""),"Vineeth V2025-09-0308")</f>
        <v>Vineeth V2025-09-0308</v>
      </c>
      <c r="K1166" s="115">
        <f>IFERROR(__xludf.DUMMYFUNCTION("""COMPUTED_VALUE"""),407.0)</f>
        <v>407</v>
      </c>
    </row>
    <row r="1167">
      <c r="A1167" s="115" t="str">
        <f>IFERROR(__xludf.DUMMYFUNCTION("""COMPUTED_VALUE"""),"SOUTH")</f>
        <v>SOUTH</v>
      </c>
      <c r="B1167" s="115" t="str">
        <f>IFERROR(__xludf.DUMMYFUNCTION("""COMPUTED_VALUE"""),"Vineeth V")</f>
        <v>Vineeth V</v>
      </c>
      <c r="C1167" s="115" t="str">
        <f>IFERROR(__xludf.DUMMYFUNCTION("""COMPUTED_VALUE"""),"FLIPKART")</f>
        <v>FLIPKART</v>
      </c>
      <c r="D1167" s="115">
        <f>IFERROR(__xludf.DUMMYFUNCTION("""COMPUTED_VALUE"""),4122.0)</f>
        <v>4122</v>
      </c>
      <c r="E1167" s="115">
        <f>IFERROR(__xludf.DUMMYFUNCTION("""COMPUTED_VALUE"""),308.0)</f>
        <v>308</v>
      </c>
      <c r="F1167" s="115">
        <f>IFERROR(__xludf.DUMMYFUNCTION("""COMPUTED_VALUE"""),48.0)</f>
        <v>48</v>
      </c>
      <c r="G1167" s="115">
        <f>IFERROR(__xludf.DUMMYFUNCTION("""COMPUTED_VALUE"""),9.0)</f>
        <v>9</v>
      </c>
      <c r="H1167" s="116">
        <f>IFERROR(__xludf.DUMMYFUNCTION("""COMPUTED_VALUE"""),45903.0)</f>
        <v>45903</v>
      </c>
      <c r="I1167" s="115" t="str">
        <f>IFERROR(__xludf.DUMMYFUNCTION("""COMPUTED_VALUE"""),"08")</f>
        <v>08</v>
      </c>
      <c r="J1167" s="115" t="str">
        <f>IFERROR(__xludf.DUMMYFUNCTION("""COMPUTED_VALUE"""),"Vineeth V2025-09-0308")</f>
        <v>Vineeth V2025-09-0308</v>
      </c>
      <c r="K1167" s="115">
        <f>IFERROR(__xludf.DUMMYFUNCTION("""COMPUTED_VALUE"""),4430.0)</f>
        <v>4430</v>
      </c>
    </row>
    <row r="1168">
      <c r="A1168" s="115" t="str">
        <f>IFERROR(__xludf.DUMMYFUNCTION("""COMPUTED_VALUE"""),"SOUTH")</f>
        <v>SOUTH</v>
      </c>
      <c r="B1168" s="115" t="str">
        <f>IFERROR(__xludf.DUMMYFUNCTION("""COMPUTED_VALUE"""),"Vineeth V")</f>
        <v>Vineeth V</v>
      </c>
      <c r="C1168" s="115" t="str">
        <f>IFERROR(__xludf.DUMMYFUNCTION("""COMPUTED_VALUE"""),"MYNTRA")</f>
        <v>MYNTRA</v>
      </c>
      <c r="D1168" s="115">
        <f>IFERROR(__xludf.DUMMYFUNCTION("""COMPUTED_VALUE"""),505.0)</f>
        <v>505</v>
      </c>
      <c r="E1168" s="115">
        <f>IFERROR(__xludf.DUMMYFUNCTION("""COMPUTED_VALUE"""),93.0)</f>
        <v>93</v>
      </c>
      <c r="F1168" s="115">
        <f>IFERROR(__xludf.DUMMYFUNCTION("""COMPUTED_VALUE"""),15.0)</f>
        <v>15</v>
      </c>
      <c r="G1168" s="115">
        <f>IFERROR(__xludf.DUMMYFUNCTION("""COMPUTED_VALUE"""),3.0)</f>
        <v>3</v>
      </c>
      <c r="H1168" s="116">
        <f>IFERROR(__xludf.DUMMYFUNCTION("""COMPUTED_VALUE"""),45903.0)</f>
        <v>45903</v>
      </c>
      <c r="I1168" s="115" t="str">
        <f>IFERROR(__xludf.DUMMYFUNCTION("""COMPUTED_VALUE"""),"08")</f>
        <v>08</v>
      </c>
      <c r="J1168" s="115" t="str">
        <f>IFERROR(__xludf.DUMMYFUNCTION("""COMPUTED_VALUE"""),"Vineeth V2025-09-0308")</f>
        <v>Vineeth V2025-09-0308</v>
      </c>
      <c r="K1168" s="115">
        <f>IFERROR(__xludf.DUMMYFUNCTION("""COMPUTED_VALUE"""),598.0)</f>
        <v>598</v>
      </c>
    </row>
    <row r="1169">
      <c r="A1169" s="115" t="str">
        <f>IFERROR(__xludf.DUMMYFUNCTION("""COMPUTED_VALUE"""),"WEST")</f>
        <v>WEST</v>
      </c>
      <c r="B1169" s="115" t="str">
        <f>IFERROR(__xludf.DUMMYFUNCTION("""COMPUTED_VALUE"""),"Ashish Jakar")</f>
        <v>Ashish Jakar</v>
      </c>
      <c r="C1169" s="115" t="str">
        <f>IFERROR(__xludf.DUMMYFUNCTION("""COMPUTED_VALUE"""),"EXTERNAL")</f>
        <v>EXTERNAL</v>
      </c>
      <c r="D1169" s="115">
        <f>IFERROR(__xludf.DUMMYFUNCTION("""COMPUTED_VALUE"""),2179.0)</f>
        <v>2179</v>
      </c>
      <c r="E1169" s="115">
        <f>IFERROR(__xludf.DUMMYFUNCTION("""COMPUTED_VALUE"""),541.0)</f>
        <v>541</v>
      </c>
      <c r="F1169" s="115">
        <f>IFERROR(__xludf.DUMMYFUNCTION("""COMPUTED_VALUE"""),17.0)</f>
        <v>17</v>
      </c>
      <c r="G1169" s="115">
        <f>IFERROR(__xludf.DUMMYFUNCTION("""COMPUTED_VALUE"""),0.0)</f>
        <v>0</v>
      </c>
      <c r="H1169" s="116">
        <f>IFERROR(__xludf.DUMMYFUNCTION("""COMPUTED_VALUE"""),45903.0)</f>
        <v>45903</v>
      </c>
      <c r="I1169" s="115" t="str">
        <f>IFERROR(__xludf.DUMMYFUNCTION("""COMPUTED_VALUE"""),"08")</f>
        <v>08</v>
      </c>
      <c r="J1169" s="115" t="str">
        <f>IFERROR(__xludf.DUMMYFUNCTION("""COMPUTED_VALUE"""),"Ashish Jakar2025-09-0308")</f>
        <v>Ashish Jakar2025-09-0308</v>
      </c>
      <c r="K1169" s="115">
        <f>IFERROR(__xludf.DUMMYFUNCTION("""COMPUTED_VALUE"""),2720.0)</f>
        <v>2720</v>
      </c>
    </row>
    <row r="1170">
      <c r="A1170" s="115" t="str">
        <f>IFERROR(__xludf.DUMMYFUNCTION("""COMPUTED_VALUE"""),"WEST")</f>
        <v>WEST</v>
      </c>
      <c r="B1170" s="115" t="str">
        <f>IFERROR(__xludf.DUMMYFUNCTION("""COMPUTED_VALUE"""),"Ashish Jakar")</f>
        <v>Ashish Jakar</v>
      </c>
      <c r="C1170" s="115" t="str">
        <f>IFERROR(__xludf.DUMMYFUNCTION("""COMPUTED_VALUE"""),"FLIPKART")</f>
        <v>FLIPKART</v>
      </c>
      <c r="D1170" s="115">
        <f>IFERROR(__xludf.DUMMYFUNCTION("""COMPUTED_VALUE"""),15948.0)</f>
        <v>15948</v>
      </c>
      <c r="E1170" s="115">
        <f>IFERROR(__xludf.DUMMYFUNCTION("""COMPUTED_VALUE"""),2340.0)</f>
        <v>2340</v>
      </c>
      <c r="F1170" s="115">
        <f>IFERROR(__xludf.DUMMYFUNCTION("""COMPUTED_VALUE"""),140.0)</f>
        <v>140</v>
      </c>
      <c r="G1170" s="115">
        <f>IFERROR(__xludf.DUMMYFUNCTION("""COMPUTED_VALUE"""),4.0)</f>
        <v>4</v>
      </c>
      <c r="H1170" s="116">
        <f>IFERROR(__xludf.DUMMYFUNCTION("""COMPUTED_VALUE"""),45903.0)</f>
        <v>45903</v>
      </c>
      <c r="I1170" s="115" t="str">
        <f>IFERROR(__xludf.DUMMYFUNCTION("""COMPUTED_VALUE"""),"08")</f>
        <v>08</v>
      </c>
      <c r="J1170" s="115" t="str">
        <f>IFERROR(__xludf.DUMMYFUNCTION("""COMPUTED_VALUE"""),"Ashish Jakar2025-09-0308")</f>
        <v>Ashish Jakar2025-09-0308</v>
      </c>
      <c r="K1170" s="115">
        <f>IFERROR(__xludf.DUMMYFUNCTION("""COMPUTED_VALUE"""),18288.0)</f>
        <v>18288</v>
      </c>
    </row>
    <row r="1171">
      <c r="A1171" s="115" t="str">
        <f>IFERROR(__xludf.DUMMYFUNCTION("""COMPUTED_VALUE"""),"WEST")</f>
        <v>WEST</v>
      </c>
      <c r="B1171" s="115" t="str">
        <f>IFERROR(__xludf.DUMMYFUNCTION("""COMPUTED_VALUE"""),"Ashish Jakar")</f>
        <v>Ashish Jakar</v>
      </c>
      <c r="C1171" s="115" t="str">
        <f>IFERROR(__xludf.DUMMYFUNCTION("""COMPUTED_VALUE"""),"MYNTRA")</f>
        <v>MYNTRA</v>
      </c>
      <c r="D1171" s="115">
        <f>IFERROR(__xludf.DUMMYFUNCTION("""COMPUTED_VALUE"""),1822.0)</f>
        <v>1822</v>
      </c>
      <c r="E1171" s="115">
        <f>IFERROR(__xludf.DUMMYFUNCTION("""COMPUTED_VALUE"""),804.0)</f>
        <v>804</v>
      </c>
      <c r="F1171" s="115">
        <f>IFERROR(__xludf.DUMMYFUNCTION("""COMPUTED_VALUE"""),19.0)</f>
        <v>19</v>
      </c>
      <c r="G1171" s="115">
        <f>IFERROR(__xludf.DUMMYFUNCTION("""COMPUTED_VALUE"""),0.0)</f>
        <v>0</v>
      </c>
      <c r="H1171" s="116">
        <f>IFERROR(__xludf.DUMMYFUNCTION("""COMPUTED_VALUE"""),45903.0)</f>
        <v>45903</v>
      </c>
      <c r="I1171" s="115" t="str">
        <f>IFERROR(__xludf.DUMMYFUNCTION("""COMPUTED_VALUE"""),"08")</f>
        <v>08</v>
      </c>
      <c r="J1171" s="115" t="str">
        <f>IFERROR(__xludf.DUMMYFUNCTION("""COMPUTED_VALUE"""),"Ashish Jakar2025-09-0308")</f>
        <v>Ashish Jakar2025-09-0308</v>
      </c>
      <c r="K1171" s="115">
        <f>IFERROR(__xludf.DUMMYFUNCTION("""COMPUTED_VALUE"""),2626.0)</f>
        <v>2626</v>
      </c>
    </row>
    <row r="1172">
      <c r="A1172" s="115" t="str">
        <f>IFERROR(__xludf.DUMMYFUNCTION("""COMPUTED_VALUE"""),"WEST")</f>
        <v>WEST</v>
      </c>
      <c r="B1172" s="115" t="str">
        <f>IFERROR(__xludf.DUMMYFUNCTION("""COMPUTED_VALUE"""),"Ashvani Bhatt")</f>
        <v>Ashvani Bhatt</v>
      </c>
      <c r="C1172" s="115" t="str">
        <f>IFERROR(__xludf.DUMMYFUNCTION("""COMPUTED_VALUE"""),"EXTERNAL")</f>
        <v>EXTERNAL</v>
      </c>
      <c r="D1172" s="115">
        <f>IFERROR(__xludf.DUMMYFUNCTION("""COMPUTED_VALUE"""),2526.0)</f>
        <v>2526</v>
      </c>
      <c r="E1172" s="115">
        <f>IFERROR(__xludf.DUMMYFUNCTION("""COMPUTED_VALUE"""),344.0)</f>
        <v>344</v>
      </c>
      <c r="F1172" s="115">
        <f>IFERROR(__xludf.DUMMYFUNCTION("""COMPUTED_VALUE"""),11.0)</f>
        <v>11</v>
      </c>
      <c r="G1172" s="115">
        <f>IFERROR(__xludf.DUMMYFUNCTION("""COMPUTED_VALUE"""),0.0)</f>
        <v>0</v>
      </c>
      <c r="H1172" s="116">
        <f>IFERROR(__xludf.DUMMYFUNCTION("""COMPUTED_VALUE"""),45903.0)</f>
        <v>45903</v>
      </c>
      <c r="I1172" s="115" t="str">
        <f>IFERROR(__xludf.DUMMYFUNCTION("""COMPUTED_VALUE"""),"08")</f>
        <v>08</v>
      </c>
      <c r="J1172" s="115" t="str">
        <f>IFERROR(__xludf.DUMMYFUNCTION("""COMPUTED_VALUE"""),"Ashvani Bhatt2025-09-0308")</f>
        <v>Ashvani Bhatt2025-09-0308</v>
      </c>
      <c r="K1172" s="115">
        <f>IFERROR(__xludf.DUMMYFUNCTION("""COMPUTED_VALUE"""),2870.0)</f>
        <v>2870</v>
      </c>
    </row>
    <row r="1173">
      <c r="A1173" s="115" t="str">
        <f>IFERROR(__xludf.DUMMYFUNCTION("""COMPUTED_VALUE"""),"WEST")</f>
        <v>WEST</v>
      </c>
      <c r="B1173" s="115" t="str">
        <f>IFERROR(__xludf.DUMMYFUNCTION("""COMPUTED_VALUE"""),"Ashvani Bhatt")</f>
        <v>Ashvani Bhatt</v>
      </c>
      <c r="C1173" s="115" t="str">
        <f>IFERROR(__xludf.DUMMYFUNCTION("""COMPUTED_VALUE"""),"FLIPKART")</f>
        <v>FLIPKART</v>
      </c>
      <c r="D1173" s="115">
        <f>IFERROR(__xludf.DUMMYFUNCTION("""COMPUTED_VALUE"""),22473.0)</f>
        <v>22473</v>
      </c>
      <c r="E1173" s="115">
        <f>IFERROR(__xludf.DUMMYFUNCTION("""COMPUTED_VALUE"""),2036.0)</f>
        <v>2036</v>
      </c>
      <c r="F1173" s="115">
        <f>IFERROR(__xludf.DUMMYFUNCTION("""COMPUTED_VALUE"""),180.0)</f>
        <v>180</v>
      </c>
      <c r="G1173" s="115">
        <f>IFERROR(__xludf.DUMMYFUNCTION("""COMPUTED_VALUE"""),8.0)</f>
        <v>8</v>
      </c>
      <c r="H1173" s="116">
        <f>IFERROR(__xludf.DUMMYFUNCTION("""COMPUTED_VALUE"""),45903.0)</f>
        <v>45903</v>
      </c>
      <c r="I1173" s="115" t="str">
        <f>IFERROR(__xludf.DUMMYFUNCTION("""COMPUTED_VALUE"""),"08")</f>
        <v>08</v>
      </c>
      <c r="J1173" s="115" t="str">
        <f>IFERROR(__xludf.DUMMYFUNCTION("""COMPUTED_VALUE"""),"Ashvani Bhatt2025-09-0308")</f>
        <v>Ashvani Bhatt2025-09-0308</v>
      </c>
      <c r="K1173" s="115">
        <f>IFERROR(__xludf.DUMMYFUNCTION("""COMPUTED_VALUE"""),24509.0)</f>
        <v>24509</v>
      </c>
    </row>
    <row r="1174">
      <c r="A1174" s="115" t="str">
        <f>IFERROR(__xludf.DUMMYFUNCTION("""COMPUTED_VALUE"""),"WEST")</f>
        <v>WEST</v>
      </c>
      <c r="B1174" s="115" t="str">
        <f>IFERROR(__xludf.DUMMYFUNCTION("""COMPUTED_VALUE"""),"Ashvani Bhatt")</f>
        <v>Ashvani Bhatt</v>
      </c>
      <c r="C1174" s="115" t="str">
        <f>IFERROR(__xludf.DUMMYFUNCTION("""COMPUTED_VALUE"""),"MYNTRA")</f>
        <v>MYNTRA</v>
      </c>
      <c r="D1174" s="115">
        <f>IFERROR(__xludf.DUMMYFUNCTION("""COMPUTED_VALUE"""),3252.0)</f>
        <v>3252</v>
      </c>
      <c r="E1174" s="115">
        <f>IFERROR(__xludf.DUMMYFUNCTION("""COMPUTED_VALUE"""),645.0)</f>
        <v>645</v>
      </c>
      <c r="F1174" s="115">
        <f>IFERROR(__xludf.DUMMYFUNCTION("""COMPUTED_VALUE"""),65.0)</f>
        <v>65</v>
      </c>
      <c r="G1174" s="115">
        <f>IFERROR(__xludf.DUMMYFUNCTION("""COMPUTED_VALUE"""),0.0)</f>
        <v>0</v>
      </c>
      <c r="H1174" s="116">
        <f>IFERROR(__xludf.DUMMYFUNCTION("""COMPUTED_VALUE"""),45903.0)</f>
        <v>45903</v>
      </c>
      <c r="I1174" s="115" t="str">
        <f>IFERROR(__xludf.DUMMYFUNCTION("""COMPUTED_VALUE"""),"08")</f>
        <v>08</v>
      </c>
      <c r="J1174" s="115" t="str">
        <f>IFERROR(__xludf.DUMMYFUNCTION("""COMPUTED_VALUE"""),"Ashvani Bhatt2025-09-0308")</f>
        <v>Ashvani Bhatt2025-09-0308</v>
      </c>
      <c r="K1174" s="115">
        <f>IFERROR(__xludf.DUMMYFUNCTION("""COMPUTED_VALUE"""),3897.0)</f>
        <v>3897</v>
      </c>
    </row>
    <row r="1175">
      <c r="A1175" s="115"/>
      <c r="B1175" s="115"/>
      <c r="C1175" s="115" t="str">
        <f>IFERROR(__xludf.DUMMYFUNCTION("""COMPUTED_VALUE"""),"EXTERNAL")</f>
        <v>EXTERNAL</v>
      </c>
      <c r="D1175" s="115">
        <f>IFERROR(__xludf.DUMMYFUNCTION("""COMPUTED_VALUE"""),14.0)</f>
        <v>14</v>
      </c>
      <c r="E1175" s="115">
        <f>IFERROR(__xludf.DUMMYFUNCTION("""COMPUTED_VALUE"""),0.0)</f>
        <v>0</v>
      </c>
      <c r="F1175" s="115">
        <f>IFERROR(__xludf.DUMMYFUNCTION("""COMPUTED_VALUE"""),0.0)</f>
        <v>0</v>
      </c>
      <c r="G1175" s="115">
        <f>IFERROR(__xludf.DUMMYFUNCTION("""COMPUTED_VALUE"""),0.0)</f>
        <v>0</v>
      </c>
      <c r="H1175" s="116">
        <f>IFERROR(__xludf.DUMMYFUNCTION("""COMPUTED_VALUE"""),45903.0)</f>
        <v>45903</v>
      </c>
      <c r="I1175" s="115" t="str">
        <f>IFERROR(__xludf.DUMMYFUNCTION("""COMPUTED_VALUE"""),"08")</f>
        <v>08</v>
      </c>
      <c r="J1175" s="115" t="str">
        <f>IFERROR(__xludf.DUMMYFUNCTION("""COMPUTED_VALUE"""),"2025-09-0308")</f>
        <v>2025-09-0308</v>
      </c>
      <c r="K1175" s="115">
        <f>IFERROR(__xludf.DUMMYFUNCTION("""COMPUTED_VALUE"""),14.0)</f>
        <v>14</v>
      </c>
    </row>
    <row r="1176">
      <c r="A1176" s="115"/>
      <c r="B1176" s="115"/>
      <c r="C1176" s="115" t="str">
        <f>IFERROR(__xludf.DUMMYFUNCTION("""COMPUTED_VALUE"""),"FLIPKART")</f>
        <v>FLIPKART</v>
      </c>
      <c r="D1176" s="115">
        <f>IFERROR(__xludf.DUMMYFUNCTION("""COMPUTED_VALUE"""),317.0)</f>
        <v>317</v>
      </c>
      <c r="E1176" s="115">
        <f>IFERROR(__xludf.DUMMYFUNCTION("""COMPUTED_VALUE"""),1.0)</f>
        <v>1</v>
      </c>
      <c r="F1176" s="115">
        <f>IFERROR(__xludf.DUMMYFUNCTION("""COMPUTED_VALUE"""),10.0)</f>
        <v>10</v>
      </c>
      <c r="G1176" s="115">
        <f>IFERROR(__xludf.DUMMYFUNCTION("""COMPUTED_VALUE"""),0.0)</f>
        <v>0</v>
      </c>
      <c r="H1176" s="116">
        <f>IFERROR(__xludf.DUMMYFUNCTION("""COMPUTED_VALUE"""),45903.0)</f>
        <v>45903</v>
      </c>
      <c r="I1176" s="115" t="str">
        <f>IFERROR(__xludf.DUMMYFUNCTION("""COMPUTED_VALUE"""),"08")</f>
        <v>08</v>
      </c>
      <c r="J1176" s="115" t="str">
        <f>IFERROR(__xludf.DUMMYFUNCTION("""COMPUTED_VALUE"""),"2025-09-0308")</f>
        <v>2025-09-0308</v>
      </c>
      <c r="K1176" s="115">
        <f>IFERROR(__xludf.DUMMYFUNCTION("""COMPUTED_VALUE"""),318.0)</f>
        <v>318</v>
      </c>
    </row>
    <row r="1177">
      <c r="A1177" s="115"/>
      <c r="B1177" s="115"/>
      <c r="C1177" s="115" t="str">
        <f>IFERROR(__xludf.DUMMYFUNCTION("""COMPUTED_VALUE"""),"MYNTRA")</f>
        <v>MYNTRA</v>
      </c>
      <c r="D1177" s="115">
        <f>IFERROR(__xludf.DUMMYFUNCTION("""COMPUTED_VALUE"""),22.0)</f>
        <v>22</v>
      </c>
      <c r="E1177" s="115">
        <f>IFERROR(__xludf.DUMMYFUNCTION("""COMPUTED_VALUE"""),0.0)</f>
        <v>0</v>
      </c>
      <c r="F1177" s="115">
        <f>IFERROR(__xludf.DUMMYFUNCTION("""COMPUTED_VALUE"""),2.0)</f>
        <v>2</v>
      </c>
      <c r="G1177" s="115">
        <f>IFERROR(__xludf.DUMMYFUNCTION("""COMPUTED_VALUE"""),0.0)</f>
        <v>0</v>
      </c>
      <c r="H1177" s="116">
        <f>IFERROR(__xludf.DUMMYFUNCTION("""COMPUTED_VALUE"""),45903.0)</f>
        <v>45903</v>
      </c>
      <c r="I1177" s="115" t="str">
        <f>IFERROR(__xludf.DUMMYFUNCTION("""COMPUTED_VALUE"""),"08")</f>
        <v>08</v>
      </c>
      <c r="J1177" s="115" t="str">
        <f>IFERROR(__xludf.DUMMYFUNCTION("""COMPUTED_VALUE"""),"2025-09-0308")</f>
        <v>2025-09-0308</v>
      </c>
      <c r="K1177" s="115">
        <f>IFERROR(__xludf.DUMMYFUNCTION("""COMPUTED_VALUE"""),22.0)</f>
        <v>22</v>
      </c>
    </row>
    <row r="1178">
      <c r="A1178" s="115" t="str">
        <f>IFERROR(__xludf.DUMMYFUNCTION("""COMPUTED_VALUE"""),"EAST")</f>
        <v>EAST</v>
      </c>
      <c r="B1178" s="115" t="str">
        <f>IFERROR(__xludf.DUMMYFUNCTION("""COMPUTED_VALUE"""),"Ashish Ranjan")</f>
        <v>Ashish Ranjan</v>
      </c>
      <c r="C1178" s="115" t="str">
        <f>IFERROR(__xludf.DUMMYFUNCTION("""COMPUTED_VALUE"""),"EXTERNAL")</f>
        <v>EXTERNAL</v>
      </c>
      <c r="D1178" s="115">
        <f>IFERROR(__xludf.DUMMYFUNCTION("""COMPUTED_VALUE"""),13003.0)</f>
        <v>13003</v>
      </c>
      <c r="E1178" s="115">
        <f>IFERROR(__xludf.DUMMYFUNCTION("""COMPUTED_VALUE"""),1264.0)</f>
        <v>1264</v>
      </c>
      <c r="F1178" s="115">
        <f>IFERROR(__xludf.DUMMYFUNCTION("""COMPUTED_VALUE"""),272.0)</f>
        <v>272</v>
      </c>
      <c r="G1178" s="115">
        <f>IFERROR(__xludf.DUMMYFUNCTION("""COMPUTED_VALUE"""),12.0)</f>
        <v>12</v>
      </c>
      <c r="H1178" s="116">
        <f>IFERROR(__xludf.DUMMYFUNCTION("""COMPUTED_VALUE"""),45903.0)</f>
        <v>45903</v>
      </c>
      <c r="I1178" s="115" t="str">
        <f>IFERROR(__xludf.DUMMYFUNCTION("""COMPUTED_VALUE"""),"09")</f>
        <v>09</v>
      </c>
      <c r="J1178" s="115" t="str">
        <f>IFERROR(__xludf.DUMMYFUNCTION("""COMPUTED_VALUE"""),"Ashish Ranjan2025-09-0309")</f>
        <v>Ashish Ranjan2025-09-0309</v>
      </c>
      <c r="K1178" s="115">
        <f>IFERROR(__xludf.DUMMYFUNCTION("""COMPUTED_VALUE"""),14267.0)</f>
        <v>14267</v>
      </c>
    </row>
    <row r="1179">
      <c r="A1179" s="115" t="str">
        <f>IFERROR(__xludf.DUMMYFUNCTION("""COMPUTED_VALUE"""),"EAST")</f>
        <v>EAST</v>
      </c>
      <c r="B1179" s="115" t="str">
        <f>IFERROR(__xludf.DUMMYFUNCTION("""COMPUTED_VALUE"""),"Ashish Ranjan")</f>
        <v>Ashish Ranjan</v>
      </c>
      <c r="C1179" s="115" t="str">
        <f>IFERROR(__xludf.DUMMYFUNCTION("""COMPUTED_VALUE"""),"FLIPKART")</f>
        <v>FLIPKART</v>
      </c>
      <c r="D1179" s="115">
        <f>IFERROR(__xludf.DUMMYFUNCTION("""COMPUTED_VALUE"""),224935.0)</f>
        <v>224935</v>
      </c>
      <c r="E1179" s="115">
        <f>IFERROR(__xludf.DUMMYFUNCTION("""COMPUTED_VALUE"""),17484.0)</f>
        <v>17484</v>
      </c>
      <c r="F1179" s="115">
        <f>IFERROR(__xludf.DUMMYFUNCTION("""COMPUTED_VALUE"""),6852.0)</f>
        <v>6852</v>
      </c>
      <c r="G1179" s="115">
        <f>IFERROR(__xludf.DUMMYFUNCTION("""COMPUTED_VALUE"""),265.0)</f>
        <v>265</v>
      </c>
      <c r="H1179" s="116">
        <f>IFERROR(__xludf.DUMMYFUNCTION("""COMPUTED_VALUE"""),45903.0)</f>
        <v>45903</v>
      </c>
      <c r="I1179" s="115" t="str">
        <f>IFERROR(__xludf.DUMMYFUNCTION("""COMPUTED_VALUE"""),"09")</f>
        <v>09</v>
      </c>
      <c r="J1179" s="115" t="str">
        <f>IFERROR(__xludf.DUMMYFUNCTION("""COMPUTED_VALUE"""),"Ashish Ranjan2025-09-0309")</f>
        <v>Ashish Ranjan2025-09-0309</v>
      </c>
      <c r="K1179" s="115">
        <f>IFERROR(__xludf.DUMMYFUNCTION("""COMPUTED_VALUE"""),242419.0)</f>
        <v>242419</v>
      </c>
    </row>
    <row r="1180">
      <c r="A1180" s="115" t="str">
        <f>IFERROR(__xludf.DUMMYFUNCTION("""COMPUTED_VALUE"""),"EAST")</f>
        <v>EAST</v>
      </c>
      <c r="B1180" s="115" t="str">
        <f>IFERROR(__xludf.DUMMYFUNCTION("""COMPUTED_VALUE"""),"Ashish Ranjan")</f>
        <v>Ashish Ranjan</v>
      </c>
      <c r="C1180" s="115" t="str">
        <f>IFERROR(__xludf.DUMMYFUNCTION("""COMPUTED_VALUE"""),"MYNTRA")</f>
        <v>MYNTRA</v>
      </c>
      <c r="D1180" s="115">
        <f>IFERROR(__xludf.DUMMYFUNCTION("""COMPUTED_VALUE"""),19151.0)</f>
        <v>19151</v>
      </c>
      <c r="E1180" s="115">
        <f>IFERROR(__xludf.DUMMYFUNCTION("""COMPUTED_VALUE"""),3882.0)</f>
        <v>3882</v>
      </c>
      <c r="F1180" s="115">
        <f>IFERROR(__xludf.DUMMYFUNCTION("""COMPUTED_VALUE"""),559.0)</f>
        <v>559</v>
      </c>
      <c r="G1180" s="115">
        <f>IFERROR(__xludf.DUMMYFUNCTION("""COMPUTED_VALUE"""),33.0)</f>
        <v>33</v>
      </c>
      <c r="H1180" s="116">
        <f>IFERROR(__xludf.DUMMYFUNCTION("""COMPUTED_VALUE"""),45903.0)</f>
        <v>45903</v>
      </c>
      <c r="I1180" s="115" t="str">
        <f>IFERROR(__xludf.DUMMYFUNCTION("""COMPUTED_VALUE"""),"09")</f>
        <v>09</v>
      </c>
      <c r="J1180" s="115" t="str">
        <f>IFERROR(__xludf.DUMMYFUNCTION("""COMPUTED_VALUE"""),"Ashish Ranjan2025-09-0309")</f>
        <v>Ashish Ranjan2025-09-0309</v>
      </c>
      <c r="K1180" s="115">
        <f>IFERROR(__xludf.DUMMYFUNCTION("""COMPUTED_VALUE"""),23033.0)</f>
        <v>23033</v>
      </c>
    </row>
    <row r="1181">
      <c r="A1181" s="115" t="str">
        <f>IFERROR(__xludf.DUMMYFUNCTION("""COMPUTED_VALUE"""),"EAST")</f>
        <v>EAST</v>
      </c>
      <c r="B1181" s="115" t="str">
        <f>IFERROR(__xludf.DUMMYFUNCTION("""COMPUTED_VALUE"""),"Girish Chand")</f>
        <v>Girish Chand</v>
      </c>
      <c r="C1181" s="115" t="str">
        <f>IFERROR(__xludf.DUMMYFUNCTION("""COMPUTED_VALUE"""),"EXTERNAL")</f>
        <v>EXTERNAL</v>
      </c>
      <c r="D1181" s="115">
        <f>IFERROR(__xludf.DUMMYFUNCTION("""COMPUTED_VALUE"""),7596.0)</f>
        <v>7596</v>
      </c>
      <c r="E1181" s="115">
        <f>IFERROR(__xludf.DUMMYFUNCTION("""COMPUTED_VALUE"""),622.0)</f>
        <v>622</v>
      </c>
      <c r="F1181" s="115">
        <f>IFERROR(__xludf.DUMMYFUNCTION("""COMPUTED_VALUE"""),89.0)</f>
        <v>89</v>
      </c>
      <c r="G1181" s="115">
        <f>IFERROR(__xludf.DUMMYFUNCTION("""COMPUTED_VALUE"""),8.0)</f>
        <v>8</v>
      </c>
      <c r="H1181" s="116">
        <f>IFERROR(__xludf.DUMMYFUNCTION("""COMPUTED_VALUE"""),45903.0)</f>
        <v>45903</v>
      </c>
      <c r="I1181" s="115" t="str">
        <f>IFERROR(__xludf.DUMMYFUNCTION("""COMPUTED_VALUE"""),"09")</f>
        <v>09</v>
      </c>
      <c r="J1181" s="115" t="str">
        <f>IFERROR(__xludf.DUMMYFUNCTION("""COMPUTED_VALUE"""),"Girish Chand2025-09-0309")</f>
        <v>Girish Chand2025-09-0309</v>
      </c>
      <c r="K1181" s="115">
        <f>IFERROR(__xludf.DUMMYFUNCTION("""COMPUTED_VALUE"""),8218.0)</f>
        <v>8218</v>
      </c>
    </row>
    <row r="1182">
      <c r="A1182" s="115" t="str">
        <f>IFERROR(__xludf.DUMMYFUNCTION("""COMPUTED_VALUE"""),"EAST")</f>
        <v>EAST</v>
      </c>
      <c r="B1182" s="115" t="str">
        <f>IFERROR(__xludf.DUMMYFUNCTION("""COMPUTED_VALUE"""),"Girish Chand")</f>
        <v>Girish Chand</v>
      </c>
      <c r="C1182" s="115" t="str">
        <f>IFERROR(__xludf.DUMMYFUNCTION("""COMPUTED_VALUE"""),"FLIPKART")</f>
        <v>FLIPKART</v>
      </c>
      <c r="D1182" s="115">
        <f>IFERROR(__xludf.DUMMYFUNCTION("""COMPUTED_VALUE"""),141330.0)</f>
        <v>141330</v>
      </c>
      <c r="E1182" s="115">
        <f>IFERROR(__xludf.DUMMYFUNCTION("""COMPUTED_VALUE"""),8585.0)</f>
        <v>8585</v>
      </c>
      <c r="F1182" s="115">
        <f>IFERROR(__xludf.DUMMYFUNCTION("""COMPUTED_VALUE"""),3084.0)</f>
        <v>3084</v>
      </c>
      <c r="G1182" s="115">
        <f>IFERROR(__xludf.DUMMYFUNCTION("""COMPUTED_VALUE"""),119.0)</f>
        <v>119</v>
      </c>
      <c r="H1182" s="116">
        <f>IFERROR(__xludf.DUMMYFUNCTION("""COMPUTED_VALUE"""),45903.0)</f>
        <v>45903</v>
      </c>
      <c r="I1182" s="115" t="str">
        <f>IFERROR(__xludf.DUMMYFUNCTION("""COMPUTED_VALUE"""),"09")</f>
        <v>09</v>
      </c>
      <c r="J1182" s="115" t="str">
        <f>IFERROR(__xludf.DUMMYFUNCTION("""COMPUTED_VALUE"""),"Girish Chand2025-09-0309")</f>
        <v>Girish Chand2025-09-0309</v>
      </c>
      <c r="K1182" s="115">
        <f>IFERROR(__xludf.DUMMYFUNCTION("""COMPUTED_VALUE"""),149915.0)</f>
        <v>149915</v>
      </c>
    </row>
    <row r="1183">
      <c r="A1183" s="115" t="str">
        <f>IFERROR(__xludf.DUMMYFUNCTION("""COMPUTED_VALUE"""),"EAST")</f>
        <v>EAST</v>
      </c>
      <c r="B1183" s="115" t="str">
        <f>IFERROR(__xludf.DUMMYFUNCTION("""COMPUTED_VALUE"""),"Girish Chand")</f>
        <v>Girish Chand</v>
      </c>
      <c r="C1183" s="115" t="str">
        <f>IFERROR(__xludf.DUMMYFUNCTION("""COMPUTED_VALUE"""),"MYNTRA")</f>
        <v>MYNTRA</v>
      </c>
      <c r="D1183" s="115">
        <f>IFERROR(__xludf.DUMMYFUNCTION("""COMPUTED_VALUE"""),11430.0)</f>
        <v>11430</v>
      </c>
      <c r="E1183" s="115">
        <f>IFERROR(__xludf.DUMMYFUNCTION("""COMPUTED_VALUE"""),1620.0)</f>
        <v>1620</v>
      </c>
      <c r="F1183" s="115">
        <f>IFERROR(__xludf.DUMMYFUNCTION("""COMPUTED_VALUE"""),312.0)</f>
        <v>312</v>
      </c>
      <c r="G1183" s="115">
        <f>IFERROR(__xludf.DUMMYFUNCTION("""COMPUTED_VALUE"""),22.0)</f>
        <v>22</v>
      </c>
      <c r="H1183" s="116">
        <f>IFERROR(__xludf.DUMMYFUNCTION("""COMPUTED_VALUE"""),45903.0)</f>
        <v>45903</v>
      </c>
      <c r="I1183" s="115" t="str">
        <f>IFERROR(__xludf.DUMMYFUNCTION("""COMPUTED_VALUE"""),"09")</f>
        <v>09</v>
      </c>
      <c r="J1183" s="115" t="str">
        <f>IFERROR(__xludf.DUMMYFUNCTION("""COMPUTED_VALUE"""),"Girish Chand2025-09-0309")</f>
        <v>Girish Chand2025-09-0309</v>
      </c>
      <c r="K1183" s="115">
        <f>IFERROR(__xludf.DUMMYFUNCTION("""COMPUTED_VALUE"""),13050.0)</f>
        <v>13050</v>
      </c>
    </row>
    <row r="1184">
      <c r="A1184" s="115" t="str">
        <f>IFERROR(__xludf.DUMMYFUNCTION("""COMPUTED_VALUE"""),"EAST")</f>
        <v>EAST</v>
      </c>
      <c r="B1184" s="115" t="str">
        <f>IFERROR(__xludf.DUMMYFUNCTION("""COMPUTED_VALUE"""),"Parag Kashyap")</f>
        <v>Parag Kashyap</v>
      </c>
      <c r="C1184" s="115" t="str">
        <f>IFERROR(__xludf.DUMMYFUNCTION("""COMPUTED_VALUE"""),"EXTERNAL")</f>
        <v>EXTERNAL</v>
      </c>
      <c r="D1184" s="115">
        <f>IFERROR(__xludf.DUMMYFUNCTION("""COMPUTED_VALUE"""),6210.0)</f>
        <v>6210</v>
      </c>
      <c r="E1184" s="115">
        <f>IFERROR(__xludf.DUMMYFUNCTION("""COMPUTED_VALUE"""),316.0)</f>
        <v>316</v>
      </c>
      <c r="F1184" s="115">
        <f>IFERROR(__xludf.DUMMYFUNCTION("""COMPUTED_VALUE"""),76.0)</f>
        <v>76</v>
      </c>
      <c r="G1184" s="115">
        <f>IFERROR(__xludf.DUMMYFUNCTION("""COMPUTED_VALUE"""),5.0)</f>
        <v>5</v>
      </c>
      <c r="H1184" s="116">
        <f>IFERROR(__xludf.DUMMYFUNCTION("""COMPUTED_VALUE"""),45903.0)</f>
        <v>45903</v>
      </c>
      <c r="I1184" s="115" t="str">
        <f>IFERROR(__xludf.DUMMYFUNCTION("""COMPUTED_VALUE"""),"09")</f>
        <v>09</v>
      </c>
      <c r="J1184" s="115" t="str">
        <f>IFERROR(__xludf.DUMMYFUNCTION("""COMPUTED_VALUE"""),"Parag Kashyap2025-09-0309")</f>
        <v>Parag Kashyap2025-09-0309</v>
      </c>
      <c r="K1184" s="115">
        <f>IFERROR(__xludf.DUMMYFUNCTION("""COMPUTED_VALUE"""),6526.0)</f>
        <v>6526</v>
      </c>
    </row>
    <row r="1185">
      <c r="A1185" s="115" t="str">
        <f>IFERROR(__xludf.DUMMYFUNCTION("""COMPUTED_VALUE"""),"EAST")</f>
        <v>EAST</v>
      </c>
      <c r="B1185" s="115" t="str">
        <f>IFERROR(__xludf.DUMMYFUNCTION("""COMPUTED_VALUE"""),"Parag Kashyap")</f>
        <v>Parag Kashyap</v>
      </c>
      <c r="C1185" s="115" t="str">
        <f>IFERROR(__xludf.DUMMYFUNCTION("""COMPUTED_VALUE"""),"FLIPKART")</f>
        <v>FLIPKART</v>
      </c>
      <c r="D1185" s="115">
        <f>IFERROR(__xludf.DUMMYFUNCTION("""COMPUTED_VALUE"""),98602.0)</f>
        <v>98602</v>
      </c>
      <c r="E1185" s="115">
        <f>IFERROR(__xludf.DUMMYFUNCTION("""COMPUTED_VALUE"""),3968.0)</f>
        <v>3968</v>
      </c>
      <c r="F1185" s="115">
        <f>IFERROR(__xludf.DUMMYFUNCTION("""COMPUTED_VALUE"""),1788.0)</f>
        <v>1788</v>
      </c>
      <c r="G1185" s="115">
        <f>IFERROR(__xludf.DUMMYFUNCTION("""COMPUTED_VALUE"""),88.0)</f>
        <v>88</v>
      </c>
      <c r="H1185" s="116">
        <f>IFERROR(__xludf.DUMMYFUNCTION("""COMPUTED_VALUE"""),45903.0)</f>
        <v>45903</v>
      </c>
      <c r="I1185" s="115" t="str">
        <f>IFERROR(__xludf.DUMMYFUNCTION("""COMPUTED_VALUE"""),"09")</f>
        <v>09</v>
      </c>
      <c r="J1185" s="115" t="str">
        <f>IFERROR(__xludf.DUMMYFUNCTION("""COMPUTED_VALUE"""),"Parag Kashyap2025-09-0309")</f>
        <v>Parag Kashyap2025-09-0309</v>
      </c>
      <c r="K1185" s="115">
        <f>IFERROR(__xludf.DUMMYFUNCTION("""COMPUTED_VALUE"""),102570.0)</f>
        <v>102570</v>
      </c>
    </row>
    <row r="1186">
      <c r="A1186" s="115" t="str">
        <f>IFERROR(__xludf.DUMMYFUNCTION("""COMPUTED_VALUE"""),"EAST")</f>
        <v>EAST</v>
      </c>
      <c r="B1186" s="115" t="str">
        <f>IFERROR(__xludf.DUMMYFUNCTION("""COMPUTED_VALUE"""),"Parag Kashyap")</f>
        <v>Parag Kashyap</v>
      </c>
      <c r="C1186" s="115" t="str">
        <f>IFERROR(__xludf.DUMMYFUNCTION("""COMPUTED_VALUE"""),"MYNTRA")</f>
        <v>MYNTRA</v>
      </c>
      <c r="D1186" s="115">
        <f>IFERROR(__xludf.DUMMYFUNCTION("""COMPUTED_VALUE"""),11442.0)</f>
        <v>11442</v>
      </c>
      <c r="E1186" s="115">
        <f>IFERROR(__xludf.DUMMYFUNCTION("""COMPUTED_VALUE"""),1121.0)</f>
        <v>1121</v>
      </c>
      <c r="F1186" s="115">
        <f>IFERROR(__xludf.DUMMYFUNCTION("""COMPUTED_VALUE"""),263.0)</f>
        <v>263</v>
      </c>
      <c r="G1186" s="115">
        <f>IFERROR(__xludf.DUMMYFUNCTION("""COMPUTED_VALUE"""),8.0)</f>
        <v>8</v>
      </c>
      <c r="H1186" s="116">
        <f>IFERROR(__xludf.DUMMYFUNCTION("""COMPUTED_VALUE"""),45903.0)</f>
        <v>45903</v>
      </c>
      <c r="I1186" s="115" t="str">
        <f>IFERROR(__xludf.DUMMYFUNCTION("""COMPUTED_VALUE"""),"09")</f>
        <v>09</v>
      </c>
      <c r="J1186" s="115" t="str">
        <f>IFERROR(__xludf.DUMMYFUNCTION("""COMPUTED_VALUE"""),"Parag Kashyap2025-09-0309")</f>
        <v>Parag Kashyap2025-09-0309</v>
      </c>
      <c r="K1186" s="115">
        <f>IFERROR(__xludf.DUMMYFUNCTION("""COMPUTED_VALUE"""),12563.0)</f>
        <v>12563</v>
      </c>
    </row>
    <row r="1187">
      <c r="A1187" s="115" t="str">
        <f>IFERROR(__xludf.DUMMYFUNCTION("""COMPUTED_VALUE"""),"NORTH")</f>
        <v>NORTH</v>
      </c>
      <c r="B1187" s="115" t="str">
        <f>IFERROR(__xludf.DUMMYFUNCTION("""COMPUTED_VALUE"""),"Amit Kumar Pathak")</f>
        <v>Amit Kumar Pathak</v>
      </c>
      <c r="C1187" s="115" t="str">
        <f>IFERROR(__xludf.DUMMYFUNCTION("""COMPUTED_VALUE"""),"EXTERNAL")</f>
        <v>EXTERNAL</v>
      </c>
      <c r="D1187" s="115">
        <f>IFERROR(__xludf.DUMMYFUNCTION("""COMPUTED_VALUE"""),8561.0)</f>
        <v>8561</v>
      </c>
      <c r="E1187" s="115">
        <f>IFERROR(__xludf.DUMMYFUNCTION("""COMPUTED_VALUE"""),1169.0)</f>
        <v>1169</v>
      </c>
      <c r="F1187" s="115">
        <f>IFERROR(__xludf.DUMMYFUNCTION("""COMPUTED_VALUE"""),95.0)</f>
        <v>95</v>
      </c>
      <c r="G1187" s="115">
        <f>IFERROR(__xludf.DUMMYFUNCTION("""COMPUTED_VALUE"""),10.0)</f>
        <v>10</v>
      </c>
      <c r="H1187" s="116">
        <f>IFERROR(__xludf.DUMMYFUNCTION("""COMPUTED_VALUE"""),45903.0)</f>
        <v>45903</v>
      </c>
      <c r="I1187" s="115" t="str">
        <f>IFERROR(__xludf.DUMMYFUNCTION("""COMPUTED_VALUE"""),"09")</f>
        <v>09</v>
      </c>
      <c r="J1187" s="115" t="str">
        <f>IFERROR(__xludf.DUMMYFUNCTION("""COMPUTED_VALUE"""),"Amit Kumar Pathak2025-09-0309")</f>
        <v>Amit Kumar Pathak2025-09-0309</v>
      </c>
      <c r="K1187" s="115">
        <f>IFERROR(__xludf.DUMMYFUNCTION("""COMPUTED_VALUE"""),9730.0)</f>
        <v>9730</v>
      </c>
    </row>
    <row r="1188">
      <c r="A1188" s="115" t="str">
        <f>IFERROR(__xludf.DUMMYFUNCTION("""COMPUTED_VALUE"""),"NORTH")</f>
        <v>NORTH</v>
      </c>
      <c r="B1188" s="115" t="str">
        <f>IFERROR(__xludf.DUMMYFUNCTION("""COMPUTED_VALUE"""),"Amit Kumar Pathak")</f>
        <v>Amit Kumar Pathak</v>
      </c>
      <c r="C1188" s="115" t="str">
        <f>IFERROR(__xludf.DUMMYFUNCTION("""COMPUTED_VALUE"""),"FLIPKART")</f>
        <v>FLIPKART</v>
      </c>
      <c r="D1188" s="115">
        <f>IFERROR(__xludf.DUMMYFUNCTION("""COMPUTED_VALUE"""),73787.0)</f>
        <v>73787</v>
      </c>
      <c r="E1188" s="115">
        <f>IFERROR(__xludf.DUMMYFUNCTION("""COMPUTED_VALUE"""),8690.0)</f>
        <v>8690</v>
      </c>
      <c r="F1188" s="115">
        <f>IFERROR(__xludf.DUMMYFUNCTION("""COMPUTED_VALUE"""),1707.0)</f>
        <v>1707</v>
      </c>
      <c r="G1188" s="115">
        <f>IFERROR(__xludf.DUMMYFUNCTION("""COMPUTED_VALUE"""),94.0)</f>
        <v>94</v>
      </c>
      <c r="H1188" s="116">
        <f>IFERROR(__xludf.DUMMYFUNCTION("""COMPUTED_VALUE"""),45903.0)</f>
        <v>45903</v>
      </c>
      <c r="I1188" s="115" t="str">
        <f>IFERROR(__xludf.DUMMYFUNCTION("""COMPUTED_VALUE"""),"09")</f>
        <v>09</v>
      </c>
      <c r="J1188" s="115" t="str">
        <f>IFERROR(__xludf.DUMMYFUNCTION("""COMPUTED_VALUE"""),"Amit Kumar Pathak2025-09-0309")</f>
        <v>Amit Kumar Pathak2025-09-0309</v>
      </c>
      <c r="K1188" s="115">
        <f>IFERROR(__xludf.DUMMYFUNCTION("""COMPUTED_VALUE"""),82477.0)</f>
        <v>82477</v>
      </c>
    </row>
    <row r="1189">
      <c r="A1189" s="115" t="str">
        <f>IFERROR(__xludf.DUMMYFUNCTION("""COMPUTED_VALUE"""),"NORTH")</f>
        <v>NORTH</v>
      </c>
      <c r="B1189" s="115" t="str">
        <f>IFERROR(__xludf.DUMMYFUNCTION("""COMPUTED_VALUE"""),"Amit Kumar Pathak")</f>
        <v>Amit Kumar Pathak</v>
      </c>
      <c r="C1189" s="115" t="str">
        <f>IFERROR(__xludf.DUMMYFUNCTION("""COMPUTED_VALUE"""),"MYNTRA")</f>
        <v>MYNTRA</v>
      </c>
      <c r="D1189" s="115">
        <f>IFERROR(__xludf.DUMMYFUNCTION("""COMPUTED_VALUE"""),7203.0)</f>
        <v>7203</v>
      </c>
      <c r="E1189" s="115">
        <f>IFERROR(__xludf.DUMMYFUNCTION("""COMPUTED_VALUE"""),2453.0)</f>
        <v>2453</v>
      </c>
      <c r="F1189" s="115">
        <f>IFERROR(__xludf.DUMMYFUNCTION("""COMPUTED_VALUE"""),195.0)</f>
        <v>195</v>
      </c>
      <c r="G1189" s="115">
        <f>IFERROR(__xludf.DUMMYFUNCTION("""COMPUTED_VALUE"""),32.0)</f>
        <v>32</v>
      </c>
      <c r="H1189" s="116">
        <f>IFERROR(__xludf.DUMMYFUNCTION("""COMPUTED_VALUE"""),45903.0)</f>
        <v>45903</v>
      </c>
      <c r="I1189" s="115" t="str">
        <f>IFERROR(__xludf.DUMMYFUNCTION("""COMPUTED_VALUE"""),"09")</f>
        <v>09</v>
      </c>
      <c r="J1189" s="115" t="str">
        <f>IFERROR(__xludf.DUMMYFUNCTION("""COMPUTED_VALUE"""),"Amit Kumar Pathak2025-09-0309")</f>
        <v>Amit Kumar Pathak2025-09-0309</v>
      </c>
      <c r="K1189" s="115">
        <f>IFERROR(__xludf.DUMMYFUNCTION("""COMPUTED_VALUE"""),9656.0)</f>
        <v>9656</v>
      </c>
    </row>
    <row r="1190">
      <c r="A1190" s="115" t="str">
        <f>IFERROR(__xludf.DUMMYFUNCTION("""COMPUTED_VALUE"""),"NORTH")</f>
        <v>NORTH</v>
      </c>
      <c r="B1190" s="115" t="str">
        <f>IFERROR(__xludf.DUMMYFUNCTION("""COMPUTED_VALUE"""),"Loveleen Singh")</f>
        <v>Loveleen Singh</v>
      </c>
      <c r="C1190" s="115" t="str">
        <f>IFERROR(__xludf.DUMMYFUNCTION("""COMPUTED_VALUE"""),"EXTERNAL")</f>
        <v>EXTERNAL</v>
      </c>
      <c r="D1190" s="115">
        <f>IFERROR(__xludf.DUMMYFUNCTION("""COMPUTED_VALUE"""),3652.0)</f>
        <v>3652</v>
      </c>
      <c r="E1190" s="115">
        <f>IFERROR(__xludf.DUMMYFUNCTION("""COMPUTED_VALUE"""),261.0)</f>
        <v>261</v>
      </c>
      <c r="F1190" s="115">
        <f>IFERROR(__xludf.DUMMYFUNCTION("""COMPUTED_VALUE"""),49.0)</f>
        <v>49</v>
      </c>
      <c r="G1190" s="115">
        <f>IFERROR(__xludf.DUMMYFUNCTION("""COMPUTED_VALUE"""),7.0)</f>
        <v>7</v>
      </c>
      <c r="H1190" s="116">
        <f>IFERROR(__xludf.DUMMYFUNCTION("""COMPUTED_VALUE"""),45903.0)</f>
        <v>45903</v>
      </c>
      <c r="I1190" s="115" t="str">
        <f>IFERROR(__xludf.DUMMYFUNCTION("""COMPUTED_VALUE"""),"09")</f>
        <v>09</v>
      </c>
      <c r="J1190" s="115" t="str">
        <f>IFERROR(__xludf.DUMMYFUNCTION("""COMPUTED_VALUE"""),"Loveleen Singh2025-09-0309")</f>
        <v>Loveleen Singh2025-09-0309</v>
      </c>
      <c r="K1190" s="115">
        <f>IFERROR(__xludf.DUMMYFUNCTION("""COMPUTED_VALUE"""),3913.0)</f>
        <v>3913</v>
      </c>
    </row>
    <row r="1191">
      <c r="A1191" s="115" t="str">
        <f>IFERROR(__xludf.DUMMYFUNCTION("""COMPUTED_VALUE"""),"NORTH")</f>
        <v>NORTH</v>
      </c>
      <c r="B1191" s="115" t="str">
        <f>IFERROR(__xludf.DUMMYFUNCTION("""COMPUTED_VALUE"""),"Loveleen Singh")</f>
        <v>Loveleen Singh</v>
      </c>
      <c r="C1191" s="115" t="str">
        <f>IFERROR(__xludf.DUMMYFUNCTION("""COMPUTED_VALUE"""),"FLIPKART")</f>
        <v>FLIPKART</v>
      </c>
      <c r="D1191" s="115">
        <f>IFERROR(__xludf.DUMMYFUNCTION("""COMPUTED_VALUE"""),27666.0)</f>
        <v>27666</v>
      </c>
      <c r="E1191" s="115">
        <f>IFERROR(__xludf.DUMMYFUNCTION("""COMPUTED_VALUE"""),1835.0)</f>
        <v>1835</v>
      </c>
      <c r="F1191" s="115">
        <f>IFERROR(__xludf.DUMMYFUNCTION("""COMPUTED_VALUE"""),952.0)</f>
        <v>952</v>
      </c>
      <c r="G1191" s="115">
        <f>IFERROR(__xludf.DUMMYFUNCTION("""COMPUTED_VALUE"""),41.0)</f>
        <v>41</v>
      </c>
      <c r="H1191" s="116">
        <f>IFERROR(__xludf.DUMMYFUNCTION("""COMPUTED_VALUE"""),45903.0)</f>
        <v>45903</v>
      </c>
      <c r="I1191" s="115" t="str">
        <f>IFERROR(__xludf.DUMMYFUNCTION("""COMPUTED_VALUE"""),"09")</f>
        <v>09</v>
      </c>
      <c r="J1191" s="115" t="str">
        <f>IFERROR(__xludf.DUMMYFUNCTION("""COMPUTED_VALUE"""),"Loveleen Singh2025-09-0309")</f>
        <v>Loveleen Singh2025-09-0309</v>
      </c>
      <c r="K1191" s="115">
        <f>IFERROR(__xludf.DUMMYFUNCTION("""COMPUTED_VALUE"""),29501.0)</f>
        <v>29501</v>
      </c>
    </row>
    <row r="1192">
      <c r="A1192" s="115" t="str">
        <f>IFERROR(__xludf.DUMMYFUNCTION("""COMPUTED_VALUE"""),"NORTH")</f>
        <v>NORTH</v>
      </c>
      <c r="B1192" s="115" t="str">
        <f>IFERROR(__xludf.DUMMYFUNCTION("""COMPUTED_VALUE"""),"Loveleen Singh")</f>
        <v>Loveleen Singh</v>
      </c>
      <c r="C1192" s="115" t="str">
        <f>IFERROR(__xludf.DUMMYFUNCTION("""COMPUTED_VALUE"""),"MYNTRA")</f>
        <v>MYNTRA</v>
      </c>
      <c r="D1192" s="115">
        <f>IFERROR(__xludf.DUMMYFUNCTION("""COMPUTED_VALUE"""),5167.0)</f>
        <v>5167</v>
      </c>
      <c r="E1192" s="115">
        <f>IFERROR(__xludf.DUMMYFUNCTION("""COMPUTED_VALUE"""),851.0)</f>
        <v>851</v>
      </c>
      <c r="F1192" s="115">
        <f>IFERROR(__xludf.DUMMYFUNCTION("""COMPUTED_VALUE"""),234.0)</f>
        <v>234</v>
      </c>
      <c r="G1192" s="115">
        <f>IFERROR(__xludf.DUMMYFUNCTION("""COMPUTED_VALUE"""),10.0)</f>
        <v>10</v>
      </c>
      <c r="H1192" s="116">
        <f>IFERROR(__xludf.DUMMYFUNCTION("""COMPUTED_VALUE"""),45903.0)</f>
        <v>45903</v>
      </c>
      <c r="I1192" s="115" t="str">
        <f>IFERROR(__xludf.DUMMYFUNCTION("""COMPUTED_VALUE"""),"09")</f>
        <v>09</v>
      </c>
      <c r="J1192" s="115" t="str">
        <f>IFERROR(__xludf.DUMMYFUNCTION("""COMPUTED_VALUE"""),"Loveleen Singh2025-09-0309")</f>
        <v>Loveleen Singh2025-09-0309</v>
      </c>
      <c r="K1192" s="115">
        <f>IFERROR(__xludf.DUMMYFUNCTION("""COMPUTED_VALUE"""),6018.0)</f>
        <v>6018</v>
      </c>
    </row>
    <row r="1193">
      <c r="A1193" s="115" t="str">
        <f>IFERROR(__xludf.DUMMYFUNCTION("""COMPUTED_VALUE"""),"NORTH")</f>
        <v>NORTH</v>
      </c>
      <c r="B1193" s="115" t="str">
        <f>IFERROR(__xludf.DUMMYFUNCTION("""COMPUTED_VALUE"""),"Manoj Harsh")</f>
        <v>Manoj Harsh</v>
      </c>
      <c r="C1193" s="115" t="str">
        <f>IFERROR(__xludf.DUMMYFUNCTION("""COMPUTED_VALUE"""),"EXTERNAL")</f>
        <v>EXTERNAL</v>
      </c>
      <c r="D1193" s="115">
        <f>IFERROR(__xludf.DUMMYFUNCTION("""COMPUTED_VALUE"""),7730.0)</f>
        <v>7730</v>
      </c>
      <c r="E1193" s="115">
        <f>IFERROR(__xludf.DUMMYFUNCTION("""COMPUTED_VALUE"""),1084.0)</f>
        <v>1084</v>
      </c>
      <c r="F1193" s="115">
        <f>IFERROR(__xludf.DUMMYFUNCTION("""COMPUTED_VALUE"""),97.0)</f>
        <v>97</v>
      </c>
      <c r="G1193" s="115">
        <f>IFERROR(__xludf.DUMMYFUNCTION("""COMPUTED_VALUE"""),12.0)</f>
        <v>12</v>
      </c>
      <c r="H1193" s="116">
        <f>IFERROR(__xludf.DUMMYFUNCTION("""COMPUTED_VALUE"""),45903.0)</f>
        <v>45903</v>
      </c>
      <c r="I1193" s="115" t="str">
        <f>IFERROR(__xludf.DUMMYFUNCTION("""COMPUTED_VALUE"""),"09")</f>
        <v>09</v>
      </c>
      <c r="J1193" s="115" t="str">
        <f>IFERROR(__xludf.DUMMYFUNCTION("""COMPUTED_VALUE"""),"Manoj Harsh2025-09-0309")</f>
        <v>Manoj Harsh2025-09-0309</v>
      </c>
      <c r="K1193" s="115">
        <f>IFERROR(__xludf.DUMMYFUNCTION("""COMPUTED_VALUE"""),8814.0)</f>
        <v>8814</v>
      </c>
    </row>
    <row r="1194">
      <c r="A1194" s="115" t="str">
        <f>IFERROR(__xludf.DUMMYFUNCTION("""COMPUTED_VALUE"""),"NORTH")</f>
        <v>NORTH</v>
      </c>
      <c r="B1194" s="115" t="str">
        <f>IFERROR(__xludf.DUMMYFUNCTION("""COMPUTED_VALUE"""),"Manoj Harsh")</f>
        <v>Manoj Harsh</v>
      </c>
      <c r="C1194" s="115" t="str">
        <f>IFERROR(__xludf.DUMMYFUNCTION("""COMPUTED_VALUE"""),"FLIPKART")</f>
        <v>FLIPKART</v>
      </c>
      <c r="D1194" s="115">
        <f>IFERROR(__xludf.DUMMYFUNCTION("""COMPUTED_VALUE"""),106326.0)</f>
        <v>106326</v>
      </c>
      <c r="E1194" s="115">
        <f>IFERROR(__xludf.DUMMYFUNCTION("""COMPUTED_VALUE"""),10354.0)</f>
        <v>10354</v>
      </c>
      <c r="F1194" s="115">
        <f>IFERROR(__xludf.DUMMYFUNCTION("""COMPUTED_VALUE"""),2826.0)</f>
        <v>2826</v>
      </c>
      <c r="G1194" s="115">
        <f>IFERROR(__xludf.DUMMYFUNCTION("""COMPUTED_VALUE"""),155.0)</f>
        <v>155</v>
      </c>
      <c r="H1194" s="116">
        <f>IFERROR(__xludf.DUMMYFUNCTION("""COMPUTED_VALUE"""),45903.0)</f>
        <v>45903</v>
      </c>
      <c r="I1194" s="115" t="str">
        <f>IFERROR(__xludf.DUMMYFUNCTION("""COMPUTED_VALUE"""),"09")</f>
        <v>09</v>
      </c>
      <c r="J1194" s="115" t="str">
        <f>IFERROR(__xludf.DUMMYFUNCTION("""COMPUTED_VALUE"""),"Manoj Harsh2025-09-0309")</f>
        <v>Manoj Harsh2025-09-0309</v>
      </c>
      <c r="K1194" s="115">
        <f>IFERROR(__xludf.DUMMYFUNCTION("""COMPUTED_VALUE"""),116680.0)</f>
        <v>116680</v>
      </c>
    </row>
    <row r="1195">
      <c r="A1195" s="115" t="str">
        <f>IFERROR(__xludf.DUMMYFUNCTION("""COMPUTED_VALUE"""),"NORTH")</f>
        <v>NORTH</v>
      </c>
      <c r="B1195" s="115" t="str">
        <f>IFERROR(__xludf.DUMMYFUNCTION("""COMPUTED_VALUE"""),"Manoj Harsh")</f>
        <v>Manoj Harsh</v>
      </c>
      <c r="C1195" s="115" t="str">
        <f>IFERROR(__xludf.DUMMYFUNCTION("""COMPUTED_VALUE"""),"MYNTRA")</f>
        <v>MYNTRA</v>
      </c>
      <c r="D1195" s="115">
        <f>IFERROR(__xludf.DUMMYFUNCTION("""COMPUTED_VALUE"""),10440.0)</f>
        <v>10440</v>
      </c>
      <c r="E1195" s="115">
        <f>IFERROR(__xludf.DUMMYFUNCTION("""COMPUTED_VALUE"""),2047.0)</f>
        <v>2047</v>
      </c>
      <c r="F1195" s="115">
        <f>IFERROR(__xludf.DUMMYFUNCTION("""COMPUTED_VALUE"""),398.0)</f>
        <v>398</v>
      </c>
      <c r="G1195" s="115">
        <f>IFERROR(__xludf.DUMMYFUNCTION("""COMPUTED_VALUE"""),20.0)</f>
        <v>20</v>
      </c>
      <c r="H1195" s="116">
        <f>IFERROR(__xludf.DUMMYFUNCTION("""COMPUTED_VALUE"""),45903.0)</f>
        <v>45903</v>
      </c>
      <c r="I1195" s="115" t="str">
        <f>IFERROR(__xludf.DUMMYFUNCTION("""COMPUTED_VALUE"""),"09")</f>
        <v>09</v>
      </c>
      <c r="J1195" s="115" t="str">
        <f>IFERROR(__xludf.DUMMYFUNCTION("""COMPUTED_VALUE"""),"Manoj Harsh2025-09-0309")</f>
        <v>Manoj Harsh2025-09-0309</v>
      </c>
      <c r="K1195" s="115">
        <f>IFERROR(__xludf.DUMMYFUNCTION("""COMPUTED_VALUE"""),12487.0)</f>
        <v>12487</v>
      </c>
    </row>
    <row r="1196">
      <c r="A1196" s="115" t="str">
        <f>IFERROR(__xludf.DUMMYFUNCTION("""COMPUTED_VALUE"""),"NORTH")</f>
        <v>NORTH</v>
      </c>
      <c r="B1196" s="115" t="str">
        <f>IFERROR(__xludf.DUMMYFUNCTION("""COMPUTED_VALUE"""),"Pradeep Kothari")</f>
        <v>Pradeep Kothari</v>
      </c>
      <c r="C1196" s="115" t="str">
        <f>IFERROR(__xludf.DUMMYFUNCTION("""COMPUTED_VALUE"""),"EXTERNAL")</f>
        <v>EXTERNAL</v>
      </c>
      <c r="D1196" s="115">
        <f>IFERROR(__xludf.DUMMYFUNCTION("""COMPUTED_VALUE"""),3656.0)</f>
        <v>3656</v>
      </c>
      <c r="E1196" s="115">
        <f>IFERROR(__xludf.DUMMYFUNCTION("""COMPUTED_VALUE"""),562.0)</f>
        <v>562</v>
      </c>
      <c r="F1196" s="115">
        <f>IFERROR(__xludf.DUMMYFUNCTION("""COMPUTED_VALUE"""),74.0)</f>
        <v>74</v>
      </c>
      <c r="G1196" s="115">
        <f>IFERROR(__xludf.DUMMYFUNCTION("""COMPUTED_VALUE"""),14.0)</f>
        <v>14</v>
      </c>
      <c r="H1196" s="116">
        <f>IFERROR(__xludf.DUMMYFUNCTION("""COMPUTED_VALUE"""),45903.0)</f>
        <v>45903</v>
      </c>
      <c r="I1196" s="115" t="str">
        <f>IFERROR(__xludf.DUMMYFUNCTION("""COMPUTED_VALUE"""),"09")</f>
        <v>09</v>
      </c>
      <c r="J1196" s="115" t="str">
        <f>IFERROR(__xludf.DUMMYFUNCTION("""COMPUTED_VALUE"""),"Pradeep Kothari2025-09-0309")</f>
        <v>Pradeep Kothari2025-09-0309</v>
      </c>
      <c r="K1196" s="115">
        <f>IFERROR(__xludf.DUMMYFUNCTION("""COMPUTED_VALUE"""),4218.0)</f>
        <v>4218</v>
      </c>
    </row>
    <row r="1197">
      <c r="A1197" s="115" t="str">
        <f>IFERROR(__xludf.DUMMYFUNCTION("""COMPUTED_VALUE"""),"NORTH")</f>
        <v>NORTH</v>
      </c>
      <c r="B1197" s="115" t="str">
        <f>IFERROR(__xludf.DUMMYFUNCTION("""COMPUTED_VALUE"""),"Pradeep Kothari")</f>
        <v>Pradeep Kothari</v>
      </c>
      <c r="C1197" s="115" t="str">
        <f>IFERROR(__xludf.DUMMYFUNCTION("""COMPUTED_VALUE"""),"FLIPKART")</f>
        <v>FLIPKART</v>
      </c>
      <c r="D1197" s="115">
        <f>IFERROR(__xludf.DUMMYFUNCTION("""COMPUTED_VALUE"""),31914.0)</f>
        <v>31914</v>
      </c>
      <c r="E1197" s="115">
        <f>IFERROR(__xludf.DUMMYFUNCTION("""COMPUTED_VALUE"""),3512.0)</f>
        <v>3512</v>
      </c>
      <c r="F1197" s="115">
        <f>IFERROR(__xludf.DUMMYFUNCTION("""COMPUTED_VALUE"""),1238.0)</f>
        <v>1238</v>
      </c>
      <c r="G1197" s="115">
        <f>IFERROR(__xludf.DUMMYFUNCTION("""COMPUTED_VALUE"""),100.0)</f>
        <v>100</v>
      </c>
      <c r="H1197" s="116">
        <f>IFERROR(__xludf.DUMMYFUNCTION("""COMPUTED_VALUE"""),45903.0)</f>
        <v>45903</v>
      </c>
      <c r="I1197" s="115" t="str">
        <f>IFERROR(__xludf.DUMMYFUNCTION("""COMPUTED_VALUE"""),"09")</f>
        <v>09</v>
      </c>
      <c r="J1197" s="115" t="str">
        <f>IFERROR(__xludf.DUMMYFUNCTION("""COMPUTED_VALUE"""),"Pradeep Kothari2025-09-0309")</f>
        <v>Pradeep Kothari2025-09-0309</v>
      </c>
      <c r="K1197" s="115">
        <f>IFERROR(__xludf.DUMMYFUNCTION("""COMPUTED_VALUE"""),35426.0)</f>
        <v>35426</v>
      </c>
    </row>
    <row r="1198">
      <c r="A1198" s="115" t="str">
        <f>IFERROR(__xludf.DUMMYFUNCTION("""COMPUTED_VALUE"""),"NORTH")</f>
        <v>NORTH</v>
      </c>
      <c r="B1198" s="115" t="str">
        <f>IFERROR(__xludf.DUMMYFUNCTION("""COMPUTED_VALUE"""),"Pradeep Kothari")</f>
        <v>Pradeep Kothari</v>
      </c>
      <c r="C1198" s="115" t="str">
        <f>IFERROR(__xludf.DUMMYFUNCTION("""COMPUTED_VALUE"""),"MYNTRA")</f>
        <v>MYNTRA</v>
      </c>
      <c r="D1198" s="115">
        <f>IFERROR(__xludf.DUMMYFUNCTION("""COMPUTED_VALUE"""),5620.0)</f>
        <v>5620</v>
      </c>
      <c r="E1198" s="115">
        <f>IFERROR(__xludf.DUMMYFUNCTION("""COMPUTED_VALUE"""),1317.0)</f>
        <v>1317</v>
      </c>
      <c r="F1198" s="115">
        <f>IFERROR(__xludf.DUMMYFUNCTION("""COMPUTED_VALUE"""),258.0)</f>
        <v>258</v>
      </c>
      <c r="G1198" s="115">
        <f>IFERROR(__xludf.DUMMYFUNCTION("""COMPUTED_VALUE"""),32.0)</f>
        <v>32</v>
      </c>
      <c r="H1198" s="116">
        <f>IFERROR(__xludf.DUMMYFUNCTION("""COMPUTED_VALUE"""),45903.0)</f>
        <v>45903</v>
      </c>
      <c r="I1198" s="115" t="str">
        <f>IFERROR(__xludf.DUMMYFUNCTION("""COMPUTED_VALUE"""),"09")</f>
        <v>09</v>
      </c>
      <c r="J1198" s="115" t="str">
        <f>IFERROR(__xludf.DUMMYFUNCTION("""COMPUTED_VALUE"""),"Pradeep Kothari2025-09-0309")</f>
        <v>Pradeep Kothari2025-09-0309</v>
      </c>
      <c r="K1198" s="115">
        <f>IFERROR(__xludf.DUMMYFUNCTION("""COMPUTED_VALUE"""),6937.0)</f>
        <v>6937</v>
      </c>
    </row>
    <row r="1199">
      <c r="A1199" s="115" t="str">
        <f>IFERROR(__xludf.DUMMYFUNCTION("""COMPUTED_VALUE"""),"SOUTH")</f>
        <v>SOUTH</v>
      </c>
      <c r="B1199" s="115" t="str">
        <f>IFERROR(__xludf.DUMMYFUNCTION("""COMPUTED_VALUE"""),"Kandula Sampath")</f>
        <v>Kandula Sampath</v>
      </c>
      <c r="C1199" s="115" t="str">
        <f>IFERROR(__xludf.DUMMYFUNCTION("""COMPUTED_VALUE"""),"EXTERNAL")</f>
        <v>EXTERNAL</v>
      </c>
      <c r="D1199" s="115">
        <f>IFERROR(__xludf.DUMMYFUNCTION("""COMPUTED_VALUE"""),14067.0)</f>
        <v>14067</v>
      </c>
      <c r="E1199" s="115">
        <f>IFERROR(__xludf.DUMMYFUNCTION("""COMPUTED_VALUE"""),1654.0)</f>
        <v>1654</v>
      </c>
      <c r="F1199" s="115">
        <f>IFERROR(__xludf.DUMMYFUNCTION("""COMPUTED_VALUE"""),453.0)</f>
        <v>453</v>
      </c>
      <c r="G1199" s="115">
        <f>IFERROR(__xludf.DUMMYFUNCTION("""COMPUTED_VALUE"""),10.0)</f>
        <v>10</v>
      </c>
      <c r="H1199" s="116">
        <f>IFERROR(__xludf.DUMMYFUNCTION("""COMPUTED_VALUE"""),45903.0)</f>
        <v>45903</v>
      </c>
      <c r="I1199" s="115" t="str">
        <f>IFERROR(__xludf.DUMMYFUNCTION("""COMPUTED_VALUE"""),"09")</f>
        <v>09</v>
      </c>
      <c r="J1199" s="115" t="str">
        <f>IFERROR(__xludf.DUMMYFUNCTION("""COMPUTED_VALUE"""),"Kandula Sampath2025-09-0309")</f>
        <v>Kandula Sampath2025-09-0309</v>
      </c>
      <c r="K1199" s="115">
        <f>IFERROR(__xludf.DUMMYFUNCTION("""COMPUTED_VALUE"""),15721.0)</f>
        <v>15721</v>
      </c>
    </row>
    <row r="1200">
      <c r="A1200" s="115" t="str">
        <f>IFERROR(__xludf.DUMMYFUNCTION("""COMPUTED_VALUE"""),"SOUTH")</f>
        <v>SOUTH</v>
      </c>
      <c r="B1200" s="115" t="str">
        <f>IFERROR(__xludf.DUMMYFUNCTION("""COMPUTED_VALUE"""),"Kandula Sampath")</f>
        <v>Kandula Sampath</v>
      </c>
      <c r="C1200" s="115" t="str">
        <f>IFERROR(__xludf.DUMMYFUNCTION("""COMPUTED_VALUE"""),"FLIPKART")</f>
        <v>FLIPKART</v>
      </c>
      <c r="D1200" s="115">
        <f>IFERROR(__xludf.DUMMYFUNCTION("""COMPUTED_VALUE"""),136364.0)</f>
        <v>136364</v>
      </c>
      <c r="E1200" s="115">
        <f>IFERROR(__xludf.DUMMYFUNCTION("""COMPUTED_VALUE"""),10520.0)</f>
        <v>10520</v>
      </c>
      <c r="F1200" s="115">
        <f>IFERROR(__xludf.DUMMYFUNCTION("""COMPUTED_VALUE"""),8370.0)</f>
        <v>8370</v>
      </c>
      <c r="G1200" s="115">
        <f>IFERROR(__xludf.DUMMYFUNCTION("""COMPUTED_VALUE"""),115.0)</f>
        <v>115</v>
      </c>
      <c r="H1200" s="116">
        <f>IFERROR(__xludf.DUMMYFUNCTION("""COMPUTED_VALUE"""),45903.0)</f>
        <v>45903</v>
      </c>
      <c r="I1200" s="115" t="str">
        <f>IFERROR(__xludf.DUMMYFUNCTION("""COMPUTED_VALUE"""),"09")</f>
        <v>09</v>
      </c>
      <c r="J1200" s="115" t="str">
        <f>IFERROR(__xludf.DUMMYFUNCTION("""COMPUTED_VALUE"""),"Kandula Sampath2025-09-0309")</f>
        <v>Kandula Sampath2025-09-0309</v>
      </c>
      <c r="K1200" s="115">
        <f>IFERROR(__xludf.DUMMYFUNCTION("""COMPUTED_VALUE"""),146884.0)</f>
        <v>146884</v>
      </c>
    </row>
    <row r="1201">
      <c r="A1201" s="115" t="str">
        <f>IFERROR(__xludf.DUMMYFUNCTION("""COMPUTED_VALUE"""),"SOUTH")</f>
        <v>SOUTH</v>
      </c>
      <c r="B1201" s="115" t="str">
        <f>IFERROR(__xludf.DUMMYFUNCTION("""COMPUTED_VALUE"""),"Kandula Sampath")</f>
        <v>Kandula Sampath</v>
      </c>
      <c r="C1201" s="115" t="str">
        <f>IFERROR(__xludf.DUMMYFUNCTION("""COMPUTED_VALUE"""),"MYNTRA")</f>
        <v>MYNTRA</v>
      </c>
      <c r="D1201" s="115">
        <f>IFERROR(__xludf.DUMMYFUNCTION("""COMPUTED_VALUE"""),13602.0)</f>
        <v>13602</v>
      </c>
      <c r="E1201" s="115">
        <f>IFERROR(__xludf.DUMMYFUNCTION("""COMPUTED_VALUE"""),2859.0)</f>
        <v>2859</v>
      </c>
      <c r="F1201" s="115">
        <f>IFERROR(__xludf.DUMMYFUNCTION("""COMPUTED_VALUE"""),1033.0)</f>
        <v>1033</v>
      </c>
      <c r="G1201" s="115">
        <f>IFERROR(__xludf.DUMMYFUNCTION("""COMPUTED_VALUE"""),21.0)</f>
        <v>21</v>
      </c>
      <c r="H1201" s="116">
        <f>IFERROR(__xludf.DUMMYFUNCTION("""COMPUTED_VALUE"""),45903.0)</f>
        <v>45903</v>
      </c>
      <c r="I1201" s="115" t="str">
        <f>IFERROR(__xludf.DUMMYFUNCTION("""COMPUTED_VALUE"""),"09")</f>
        <v>09</v>
      </c>
      <c r="J1201" s="115" t="str">
        <f>IFERROR(__xludf.DUMMYFUNCTION("""COMPUTED_VALUE"""),"Kandula Sampath2025-09-0309")</f>
        <v>Kandula Sampath2025-09-0309</v>
      </c>
      <c r="K1201" s="115">
        <f>IFERROR(__xludf.DUMMYFUNCTION("""COMPUTED_VALUE"""),16461.0)</f>
        <v>16461</v>
      </c>
    </row>
    <row r="1202">
      <c r="A1202" s="115" t="str">
        <f>IFERROR(__xludf.DUMMYFUNCTION("""COMPUTED_VALUE"""),"SOUTH")</f>
        <v>SOUTH</v>
      </c>
      <c r="B1202" s="115" t="str">
        <f>IFERROR(__xludf.DUMMYFUNCTION("""COMPUTED_VALUE"""),"Martin A")</f>
        <v>Martin A</v>
      </c>
      <c r="C1202" s="115" t="str">
        <f>IFERROR(__xludf.DUMMYFUNCTION("""COMPUTED_VALUE"""),"EXTERNAL")</f>
        <v>EXTERNAL</v>
      </c>
      <c r="D1202" s="115">
        <f>IFERROR(__xludf.DUMMYFUNCTION("""COMPUTED_VALUE"""),12944.0)</f>
        <v>12944</v>
      </c>
      <c r="E1202" s="115">
        <f>IFERROR(__xludf.DUMMYFUNCTION("""COMPUTED_VALUE"""),1289.0)</f>
        <v>1289</v>
      </c>
      <c r="F1202" s="115">
        <f>IFERROR(__xludf.DUMMYFUNCTION("""COMPUTED_VALUE"""),308.0)</f>
        <v>308</v>
      </c>
      <c r="G1202" s="115">
        <f>IFERROR(__xludf.DUMMYFUNCTION("""COMPUTED_VALUE"""),18.0)</f>
        <v>18</v>
      </c>
      <c r="H1202" s="116">
        <f>IFERROR(__xludf.DUMMYFUNCTION("""COMPUTED_VALUE"""),45903.0)</f>
        <v>45903</v>
      </c>
      <c r="I1202" s="115" t="str">
        <f>IFERROR(__xludf.DUMMYFUNCTION("""COMPUTED_VALUE"""),"09")</f>
        <v>09</v>
      </c>
      <c r="J1202" s="115" t="str">
        <f>IFERROR(__xludf.DUMMYFUNCTION("""COMPUTED_VALUE"""),"Martin A2025-09-0309")</f>
        <v>Martin A2025-09-0309</v>
      </c>
      <c r="K1202" s="115">
        <f>IFERROR(__xludf.DUMMYFUNCTION("""COMPUTED_VALUE"""),14233.0)</f>
        <v>14233</v>
      </c>
    </row>
    <row r="1203">
      <c r="A1203" s="115" t="str">
        <f>IFERROR(__xludf.DUMMYFUNCTION("""COMPUTED_VALUE"""),"SOUTH")</f>
        <v>SOUTH</v>
      </c>
      <c r="B1203" s="115" t="str">
        <f>IFERROR(__xludf.DUMMYFUNCTION("""COMPUTED_VALUE"""),"Martin A")</f>
        <v>Martin A</v>
      </c>
      <c r="C1203" s="115" t="str">
        <f>IFERROR(__xludf.DUMMYFUNCTION("""COMPUTED_VALUE"""),"FLIPKART")</f>
        <v>FLIPKART</v>
      </c>
      <c r="D1203" s="115">
        <f>IFERROR(__xludf.DUMMYFUNCTION("""COMPUTED_VALUE"""),110801.0)</f>
        <v>110801</v>
      </c>
      <c r="E1203" s="115">
        <f>IFERROR(__xludf.DUMMYFUNCTION("""COMPUTED_VALUE"""),10075.0)</f>
        <v>10075</v>
      </c>
      <c r="F1203" s="115">
        <f>IFERROR(__xludf.DUMMYFUNCTION("""COMPUTED_VALUE"""),4185.0)</f>
        <v>4185</v>
      </c>
      <c r="G1203" s="115">
        <f>IFERROR(__xludf.DUMMYFUNCTION("""COMPUTED_VALUE"""),132.0)</f>
        <v>132</v>
      </c>
      <c r="H1203" s="116">
        <f>IFERROR(__xludf.DUMMYFUNCTION("""COMPUTED_VALUE"""),45903.0)</f>
        <v>45903</v>
      </c>
      <c r="I1203" s="115" t="str">
        <f>IFERROR(__xludf.DUMMYFUNCTION("""COMPUTED_VALUE"""),"09")</f>
        <v>09</v>
      </c>
      <c r="J1203" s="115" t="str">
        <f>IFERROR(__xludf.DUMMYFUNCTION("""COMPUTED_VALUE"""),"Martin A2025-09-0309")</f>
        <v>Martin A2025-09-0309</v>
      </c>
      <c r="K1203" s="115">
        <f>IFERROR(__xludf.DUMMYFUNCTION("""COMPUTED_VALUE"""),120876.0)</f>
        <v>120876</v>
      </c>
    </row>
    <row r="1204">
      <c r="A1204" s="115" t="str">
        <f>IFERROR(__xludf.DUMMYFUNCTION("""COMPUTED_VALUE"""),"SOUTH")</f>
        <v>SOUTH</v>
      </c>
      <c r="B1204" s="115" t="str">
        <f>IFERROR(__xludf.DUMMYFUNCTION("""COMPUTED_VALUE"""),"Martin A")</f>
        <v>Martin A</v>
      </c>
      <c r="C1204" s="115" t="str">
        <f>IFERROR(__xludf.DUMMYFUNCTION("""COMPUTED_VALUE"""),"MYNTRA")</f>
        <v>MYNTRA</v>
      </c>
      <c r="D1204" s="115">
        <f>IFERROR(__xludf.DUMMYFUNCTION("""COMPUTED_VALUE"""),10632.0)</f>
        <v>10632</v>
      </c>
      <c r="E1204" s="115">
        <f>IFERROR(__xludf.DUMMYFUNCTION("""COMPUTED_VALUE"""),2636.0)</f>
        <v>2636</v>
      </c>
      <c r="F1204" s="115">
        <f>IFERROR(__xludf.DUMMYFUNCTION("""COMPUTED_VALUE"""),559.0)</f>
        <v>559</v>
      </c>
      <c r="G1204" s="115">
        <f>IFERROR(__xludf.DUMMYFUNCTION("""COMPUTED_VALUE"""),40.0)</f>
        <v>40</v>
      </c>
      <c r="H1204" s="116">
        <f>IFERROR(__xludf.DUMMYFUNCTION("""COMPUTED_VALUE"""),45903.0)</f>
        <v>45903</v>
      </c>
      <c r="I1204" s="115" t="str">
        <f>IFERROR(__xludf.DUMMYFUNCTION("""COMPUTED_VALUE"""),"09")</f>
        <v>09</v>
      </c>
      <c r="J1204" s="115" t="str">
        <f>IFERROR(__xludf.DUMMYFUNCTION("""COMPUTED_VALUE"""),"Martin A2025-09-0309")</f>
        <v>Martin A2025-09-0309</v>
      </c>
      <c r="K1204" s="115">
        <f>IFERROR(__xludf.DUMMYFUNCTION("""COMPUTED_VALUE"""),13268.0)</f>
        <v>13268</v>
      </c>
    </row>
    <row r="1205">
      <c r="A1205" s="115" t="str">
        <f>IFERROR(__xludf.DUMMYFUNCTION("""COMPUTED_VALUE"""),"SOUTH")</f>
        <v>SOUTH</v>
      </c>
      <c r="B1205" s="115" t="str">
        <f>IFERROR(__xludf.DUMMYFUNCTION("""COMPUTED_VALUE"""),"Premkumar M")</f>
        <v>Premkumar M</v>
      </c>
      <c r="C1205" s="115" t="str">
        <f>IFERROR(__xludf.DUMMYFUNCTION("""COMPUTED_VALUE"""),"EXTERNAL")</f>
        <v>EXTERNAL</v>
      </c>
      <c r="D1205" s="115">
        <f>IFERROR(__xludf.DUMMYFUNCTION("""COMPUTED_VALUE"""),4774.0)</f>
        <v>4774</v>
      </c>
      <c r="E1205" s="115">
        <f>IFERROR(__xludf.DUMMYFUNCTION("""COMPUTED_VALUE"""),362.0)</f>
        <v>362</v>
      </c>
      <c r="F1205" s="115">
        <f>IFERROR(__xludf.DUMMYFUNCTION("""COMPUTED_VALUE"""),86.0)</f>
        <v>86</v>
      </c>
      <c r="G1205" s="115">
        <f>IFERROR(__xludf.DUMMYFUNCTION("""COMPUTED_VALUE"""),5.0)</f>
        <v>5</v>
      </c>
      <c r="H1205" s="116">
        <f>IFERROR(__xludf.DUMMYFUNCTION("""COMPUTED_VALUE"""),45903.0)</f>
        <v>45903</v>
      </c>
      <c r="I1205" s="115" t="str">
        <f>IFERROR(__xludf.DUMMYFUNCTION("""COMPUTED_VALUE"""),"09")</f>
        <v>09</v>
      </c>
      <c r="J1205" s="115" t="str">
        <f>IFERROR(__xludf.DUMMYFUNCTION("""COMPUTED_VALUE"""),"Premkumar M2025-09-0309")</f>
        <v>Premkumar M2025-09-0309</v>
      </c>
      <c r="K1205" s="115">
        <f>IFERROR(__xludf.DUMMYFUNCTION("""COMPUTED_VALUE"""),5136.0)</f>
        <v>5136</v>
      </c>
    </row>
    <row r="1206">
      <c r="A1206" s="115" t="str">
        <f>IFERROR(__xludf.DUMMYFUNCTION("""COMPUTED_VALUE"""),"SOUTH")</f>
        <v>SOUTH</v>
      </c>
      <c r="B1206" s="115" t="str">
        <f>IFERROR(__xludf.DUMMYFUNCTION("""COMPUTED_VALUE"""),"Premkumar M")</f>
        <v>Premkumar M</v>
      </c>
      <c r="C1206" s="115" t="str">
        <f>IFERROR(__xludf.DUMMYFUNCTION("""COMPUTED_VALUE"""),"FLIPKART")</f>
        <v>FLIPKART</v>
      </c>
      <c r="D1206" s="115">
        <f>IFERROR(__xludf.DUMMYFUNCTION("""COMPUTED_VALUE"""),47387.0)</f>
        <v>47387</v>
      </c>
      <c r="E1206" s="115">
        <f>IFERROR(__xludf.DUMMYFUNCTION("""COMPUTED_VALUE"""),2784.0)</f>
        <v>2784</v>
      </c>
      <c r="F1206" s="115">
        <f>IFERROR(__xludf.DUMMYFUNCTION("""COMPUTED_VALUE"""),1520.0)</f>
        <v>1520</v>
      </c>
      <c r="G1206" s="115">
        <f>IFERROR(__xludf.DUMMYFUNCTION("""COMPUTED_VALUE"""),40.0)</f>
        <v>40</v>
      </c>
      <c r="H1206" s="116">
        <f>IFERROR(__xludf.DUMMYFUNCTION("""COMPUTED_VALUE"""),45903.0)</f>
        <v>45903</v>
      </c>
      <c r="I1206" s="115" t="str">
        <f>IFERROR(__xludf.DUMMYFUNCTION("""COMPUTED_VALUE"""),"09")</f>
        <v>09</v>
      </c>
      <c r="J1206" s="115" t="str">
        <f>IFERROR(__xludf.DUMMYFUNCTION("""COMPUTED_VALUE"""),"Premkumar M2025-09-0309")</f>
        <v>Premkumar M2025-09-0309</v>
      </c>
      <c r="K1206" s="115">
        <f>IFERROR(__xludf.DUMMYFUNCTION("""COMPUTED_VALUE"""),50171.0)</f>
        <v>50171</v>
      </c>
    </row>
    <row r="1207">
      <c r="A1207" s="115" t="str">
        <f>IFERROR(__xludf.DUMMYFUNCTION("""COMPUTED_VALUE"""),"SOUTH")</f>
        <v>SOUTH</v>
      </c>
      <c r="B1207" s="115" t="str">
        <f>IFERROR(__xludf.DUMMYFUNCTION("""COMPUTED_VALUE"""),"Premkumar M")</f>
        <v>Premkumar M</v>
      </c>
      <c r="C1207" s="115" t="str">
        <f>IFERROR(__xludf.DUMMYFUNCTION("""COMPUTED_VALUE"""),"MYNTRA")</f>
        <v>MYNTRA</v>
      </c>
      <c r="D1207" s="115">
        <f>IFERROR(__xludf.DUMMYFUNCTION("""COMPUTED_VALUE"""),2952.0)</f>
        <v>2952</v>
      </c>
      <c r="E1207" s="115">
        <f>IFERROR(__xludf.DUMMYFUNCTION("""COMPUTED_VALUE"""),505.0)</f>
        <v>505</v>
      </c>
      <c r="F1207" s="115">
        <f>IFERROR(__xludf.DUMMYFUNCTION("""COMPUTED_VALUE"""),135.0)</f>
        <v>135</v>
      </c>
      <c r="G1207" s="115">
        <f>IFERROR(__xludf.DUMMYFUNCTION("""COMPUTED_VALUE"""),5.0)</f>
        <v>5</v>
      </c>
      <c r="H1207" s="116">
        <f>IFERROR(__xludf.DUMMYFUNCTION("""COMPUTED_VALUE"""),45903.0)</f>
        <v>45903</v>
      </c>
      <c r="I1207" s="115" t="str">
        <f>IFERROR(__xludf.DUMMYFUNCTION("""COMPUTED_VALUE"""),"09")</f>
        <v>09</v>
      </c>
      <c r="J1207" s="115" t="str">
        <f>IFERROR(__xludf.DUMMYFUNCTION("""COMPUTED_VALUE"""),"Premkumar M2025-09-0309")</f>
        <v>Premkumar M2025-09-0309</v>
      </c>
      <c r="K1207" s="115">
        <f>IFERROR(__xludf.DUMMYFUNCTION("""COMPUTED_VALUE"""),3457.0)</f>
        <v>3457</v>
      </c>
    </row>
    <row r="1208">
      <c r="A1208" s="115" t="str">
        <f>IFERROR(__xludf.DUMMYFUNCTION("""COMPUTED_VALUE"""),"SOUTH")</f>
        <v>SOUTH</v>
      </c>
      <c r="B1208" s="115" t="str">
        <f>IFERROR(__xludf.DUMMYFUNCTION("""COMPUTED_VALUE"""),"Vineeth V")</f>
        <v>Vineeth V</v>
      </c>
      <c r="C1208" s="115" t="str">
        <f>IFERROR(__xludf.DUMMYFUNCTION("""COMPUTED_VALUE"""),"EXTERNAL")</f>
        <v>EXTERNAL</v>
      </c>
      <c r="D1208" s="115">
        <f>IFERROR(__xludf.DUMMYFUNCTION("""COMPUTED_VALUE"""),1903.0)</f>
        <v>1903</v>
      </c>
      <c r="E1208" s="115">
        <f>IFERROR(__xludf.DUMMYFUNCTION("""COMPUTED_VALUE"""),72.0)</f>
        <v>72</v>
      </c>
      <c r="F1208" s="115">
        <f>IFERROR(__xludf.DUMMYFUNCTION("""COMPUTED_VALUE"""),11.0)</f>
        <v>11</v>
      </c>
      <c r="G1208" s="115">
        <f>IFERROR(__xludf.DUMMYFUNCTION("""COMPUTED_VALUE"""),0.0)</f>
        <v>0</v>
      </c>
      <c r="H1208" s="116">
        <f>IFERROR(__xludf.DUMMYFUNCTION("""COMPUTED_VALUE"""),45903.0)</f>
        <v>45903</v>
      </c>
      <c r="I1208" s="115" t="str">
        <f>IFERROR(__xludf.DUMMYFUNCTION("""COMPUTED_VALUE"""),"09")</f>
        <v>09</v>
      </c>
      <c r="J1208" s="115" t="str">
        <f>IFERROR(__xludf.DUMMYFUNCTION("""COMPUTED_VALUE"""),"Vineeth V2025-09-0309")</f>
        <v>Vineeth V2025-09-0309</v>
      </c>
      <c r="K1208" s="115">
        <f>IFERROR(__xludf.DUMMYFUNCTION("""COMPUTED_VALUE"""),1975.0)</f>
        <v>1975</v>
      </c>
    </row>
    <row r="1209">
      <c r="A1209" s="115" t="str">
        <f>IFERROR(__xludf.DUMMYFUNCTION("""COMPUTED_VALUE"""),"SOUTH")</f>
        <v>SOUTH</v>
      </c>
      <c r="B1209" s="115" t="str">
        <f>IFERROR(__xludf.DUMMYFUNCTION("""COMPUTED_VALUE"""),"Vineeth V")</f>
        <v>Vineeth V</v>
      </c>
      <c r="C1209" s="115" t="str">
        <f>IFERROR(__xludf.DUMMYFUNCTION("""COMPUTED_VALUE"""),"FLIPKART")</f>
        <v>FLIPKART</v>
      </c>
      <c r="D1209" s="115">
        <f>IFERROR(__xludf.DUMMYFUNCTION("""COMPUTED_VALUE"""),21216.0)</f>
        <v>21216</v>
      </c>
      <c r="E1209" s="115">
        <f>IFERROR(__xludf.DUMMYFUNCTION("""COMPUTED_VALUE"""),1243.0)</f>
        <v>1243</v>
      </c>
      <c r="F1209" s="115">
        <f>IFERROR(__xludf.DUMMYFUNCTION("""COMPUTED_VALUE"""),484.0)</f>
        <v>484</v>
      </c>
      <c r="G1209" s="115">
        <f>IFERROR(__xludf.DUMMYFUNCTION("""COMPUTED_VALUE"""),10.0)</f>
        <v>10</v>
      </c>
      <c r="H1209" s="116">
        <f>IFERROR(__xludf.DUMMYFUNCTION("""COMPUTED_VALUE"""),45903.0)</f>
        <v>45903</v>
      </c>
      <c r="I1209" s="115" t="str">
        <f>IFERROR(__xludf.DUMMYFUNCTION("""COMPUTED_VALUE"""),"09")</f>
        <v>09</v>
      </c>
      <c r="J1209" s="115" t="str">
        <f>IFERROR(__xludf.DUMMYFUNCTION("""COMPUTED_VALUE"""),"Vineeth V2025-09-0309")</f>
        <v>Vineeth V2025-09-0309</v>
      </c>
      <c r="K1209" s="115">
        <f>IFERROR(__xludf.DUMMYFUNCTION("""COMPUTED_VALUE"""),22459.0)</f>
        <v>22459</v>
      </c>
    </row>
    <row r="1210">
      <c r="A1210" s="115" t="str">
        <f>IFERROR(__xludf.DUMMYFUNCTION("""COMPUTED_VALUE"""),"SOUTH")</f>
        <v>SOUTH</v>
      </c>
      <c r="B1210" s="115" t="str">
        <f>IFERROR(__xludf.DUMMYFUNCTION("""COMPUTED_VALUE"""),"Vineeth V")</f>
        <v>Vineeth V</v>
      </c>
      <c r="C1210" s="115" t="str">
        <f>IFERROR(__xludf.DUMMYFUNCTION("""COMPUTED_VALUE"""),"MYNTRA")</f>
        <v>MYNTRA</v>
      </c>
      <c r="D1210" s="115">
        <f>IFERROR(__xludf.DUMMYFUNCTION("""COMPUTED_VALUE"""),2351.0)</f>
        <v>2351</v>
      </c>
      <c r="E1210" s="115">
        <f>IFERROR(__xludf.DUMMYFUNCTION("""COMPUTED_VALUE"""),322.0)</f>
        <v>322</v>
      </c>
      <c r="F1210" s="115">
        <f>IFERROR(__xludf.DUMMYFUNCTION("""COMPUTED_VALUE"""),89.0)</f>
        <v>89</v>
      </c>
      <c r="G1210" s="115">
        <f>IFERROR(__xludf.DUMMYFUNCTION("""COMPUTED_VALUE"""),4.0)</f>
        <v>4</v>
      </c>
      <c r="H1210" s="116">
        <f>IFERROR(__xludf.DUMMYFUNCTION("""COMPUTED_VALUE"""),45903.0)</f>
        <v>45903</v>
      </c>
      <c r="I1210" s="115" t="str">
        <f>IFERROR(__xludf.DUMMYFUNCTION("""COMPUTED_VALUE"""),"09")</f>
        <v>09</v>
      </c>
      <c r="J1210" s="115" t="str">
        <f>IFERROR(__xludf.DUMMYFUNCTION("""COMPUTED_VALUE"""),"Vineeth V2025-09-0309")</f>
        <v>Vineeth V2025-09-0309</v>
      </c>
      <c r="K1210" s="115">
        <f>IFERROR(__xludf.DUMMYFUNCTION("""COMPUTED_VALUE"""),2673.0)</f>
        <v>2673</v>
      </c>
    </row>
    <row r="1211">
      <c r="A1211" s="115" t="str">
        <f>IFERROR(__xludf.DUMMYFUNCTION("""COMPUTED_VALUE"""),"WEST")</f>
        <v>WEST</v>
      </c>
      <c r="B1211" s="115" t="str">
        <f>IFERROR(__xludf.DUMMYFUNCTION("""COMPUTED_VALUE"""),"Ashish Jakar")</f>
        <v>Ashish Jakar</v>
      </c>
      <c r="C1211" s="115" t="str">
        <f>IFERROR(__xludf.DUMMYFUNCTION("""COMPUTED_VALUE"""),"EXTERNAL")</f>
        <v>EXTERNAL</v>
      </c>
      <c r="D1211" s="115">
        <f>IFERROR(__xludf.DUMMYFUNCTION("""COMPUTED_VALUE"""),12064.0)</f>
        <v>12064</v>
      </c>
      <c r="E1211" s="115">
        <f>IFERROR(__xludf.DUMMYFUNCTION("""COMPUTED_VALUE"""),1772.0)</f>
        <v>1772</v>
      </c>
      <c r="F1211" s="115">
        <f>IFERROR(__xludf.DUMMYFUNCTION("""COMPUTED_VALUE"""),182.0)</f>
        <v>182</v>
      </c>
      <c r="G1211" s="115">
        <f>IFERROR(__xludf.DUMMYFUNCTION("""COMPUTED_VALUE"""),5.0)</f>
        <v>5</v>
      </c>
      <c r="H1211" s="116">
        <f>IFERROR(__xludf.DUMMYFUNCTION("""COMPUTED_VALUE"""),45903.0)</f>
        <v>45903</v>
      </c>
      <c r="I1211" s="115" t="str">
        <f>IFERROR(__xludf.DUMMYFUNCTION("""COMPUTED_VALUE"""),"09")</f>
        <v>09</v>
      </c>
      <c r="J1211" s="115" t="str">
        <f>IFERROR(__xludf.DUMMYFUNCTION("""COMPUTED_VALUE"""),"Ashish Jakar2025-09-0309")</f>
        <v>Ashish Jakar2025-09-0309</v>
      </c>
      <c r="K1211" s="115">
        <f>IFERROR(__xludf.DUMMYFUNCTION("""COMPUTED_VALUE"""),13836.0)</f>
        <v>13836</v>
      </c>
    </row>
    <row r="1212">
      <c r="A1212" s="115" t="str">
        <f>IFERROR(__xludf.DUMMYFUNCTION("""COMPUTED_VALUE"""),"WEST")</f>
        <v>WEST</v>
      </c>
      <c r="B1212" s="115" t="str">
        <f>IFERROR(__xludf.DUMMYFUNCTION("""COMPUTED_VALUE"""),"Ashish Jakar")</f>
        <v>Ashish Jakar</v>
      </c>
      <c r="C1212" s="115" t="str">
        <f>IFERROR(__xludf.DUMMYFUNCTION("""COMPUTED_VALUE"""),"FLIPKART")</f>
        <v>FLIPKART</v>
      </c>
      <c r="D1212" s="115">
        <f>IFERROR(__xludf.DUMMYFUNCTION("""COMPUTED_VALUE"""),78520.0)</f>
        <v>78520</v>
      </c>
      <c r="E1212" s="115">
        <f>IFERROR(__xludf.DUMMYFUNCTION("""COMPUTED_VALUE"""),8362.0)</f>
        <v>8362</v>
      </c>
      <c r="F1212" s="115">
        <f>IFERROR(__xludf.DUMMYFUNCTION("""COMPUTED_VALUE"""),1695.0)</f>
        <v>1695</v>
      </c>
      <c r="G1212" s="115">
        <f>IFERROR(__xludf.DUMMYFUNCTION("""COMPUTED_VALUE"""),105.0)</f>
        <v>105</v>
      </c>
      <c r="H1212" s="116">
        <f>IFERROR(__xludf.DUMMYFUNCTION("""COMPUTED_VALUE"""),45903.0)</f>
        <v>45903</v>
      </c>
      <c r="I1212" s="115" t="str">
        <f>IFERROR(__xludf.DUMMYFUNCTION("""COMPUTED_VALUE"""),"09")</f>
        <v>09</v>
      </c>
      <c r="J1212" s="115" t="str">
        <f>IFERROR(__xludf.DUMMYFUNCTION("""COMPUTED_VALUE"""),"Ashish Jakar2025-09-0309")</f>
        <v>Ashish Jakar2025-09-0309</v>
      </c>
      <c r="K1212" s="115">
        <f>IFERROR(__xludf.DUMMYFUNCTION("""COMPUTED_VALUE"""),86882.0)</f>
        <v>86882</v>
      </c>
    </row>
    <row r="1213">
      <c r="A1213" s="115" t="str">
        <f>IFERROR(__xludf.DUMMYFUNCTION("""COMPUTED_VALUE"""),"WEST")</f>
        <v>WEST</v>
      </c>
      <c r="B1213" s="115" t="str">
        <f>IFERROR(__xludf.DUMMYFUNCTION("""COMPUTED_VALUE"""),"Ashish Jakar")</f>
        <v>Ashish Jakar</v>
      </c>
      <c r="C1213" s="115" t="str">
        <f>IFERROR(__xludf.DUMMYFUNCTION("""COMPUTED_VALUE"""),"MYNTRA")</f>
        <v>MYNTRA</v>
      </c>
      <c r="D1213" s="115">
        <f>IFERROR(__xludf.DUMMYFUNCTION("""COMPUTED_VALUE"""),9091.0)</f>
        <v>9091</v>
      </c>
      <c r="E1213" s="115">
        <f>IFERROR(__xludf.DUMMYFUNCTION("""COMPUTED_VALUE"""),2899.0)</f>
        <v>2899</v>
      </c>
      <c r="F1213" s="115">
        <f>IFERROR(__xludf.DUMMYFUNCTION("""COMPUTED_VALUE"""),248.0)</f>
        <v>248</v>
      </c>
      <c r="G1213" s="115">
        <f>IFERROR(__xludf.DUMMYFUNCTION("""COMPUTED_VALUE"""),18.0)</f>
        <v>18</v>
      </c>
      <c r="H1213" s="116">
        <f>IFERROR(__xludf.DUMMYFUNCTION("""COMPUTED_VALUE"""),45903.0)</f>
        <v>45903</v>
      </c>
      <c r="I1213" s="115" t="str">
        <f>IFERROR(__xludf.DUMMYFUNCTION("""COMPUTED_VALUE"""),"09")</f>
        <v>09</v>
      </c>
      <c r="J1213" s="115" t="str">
        <f>IFERROR(__xludf.DUMMYFUNCTION("""COMPUTED_VALUE"""),"Ashish Jakar2025-09-0309")</f>
        <v>Ashish Jakar2025-09-0309</v>
      </c>
      <c r="K1213" s="115">
        <f>IFERROR(__xludf.DUMMYFUNCTION("""COMPUTED_VALUE"""),11990.0)</f>
        <v>11990</v>
      </c>
    </row>
    <row r="1214">
      <c r="A1214" s="115" t="str">
        <f>IFERROR(__xludf.DUMMYFUNCTION("""COMPUTED_VALUE"""),"WEST")</f>
        <v>WEST</v>
      </c>
      <c r="B1214" s="115" t="str">
        <f>IFERROR(__xludf.DUMMYFUNCTION("""COMPUTED_VALUE"""),"Ashvani Bhatt")</f>
        <v>Ashvani Bhatt</v>
      </c>
      <c r="C1214" s="115" t="str">
        <f>IFERROR(__xludf.DUMMYFUNCTION("""COMPUTED_VALUE"""),"EXTERNAL")</f>
        <v>EXTERNAL</v>
      </c>
      <c r="D1214" s="115">
        <f>IFERROR(__xludf.DUMMYFUNCTION("""COMPUTED_VALUE"""),9601.0)</f>
        <v>9601</v>
      </c>
      <c r="E1214" s="115">
        <f>IFERROR(__xludf.DUMMYFUNCTION("""COMPUTED_VALUE"""),1018.0)</f>
        <v>1018</v>
      </c>
      <c r="F1214" s="115">
        <f>IFERROR(__xludf.DUMMYFUNCTION("""COMPUTED_VALUE"""),141.0)</f>
        <v>141</v>
      </c>
      <c r="G1214" s="115">
        <f>IFERROR(__xludf.DUMMYFUNCTION("""COMPUTED_VALUE"""),6.0)</f>
        <v>6</v>
      </c>
      <c r="H1214" s="116">
        <f>IFERROR(__xludf.DUMMYFUNCTION("""COMPUTED_VALUE"""),45903.0)</f>
        <v>45903</v>
      </c>
      <c r="I1214" s="115" t="str">
        <f>IFERROR(__xludf.DUMMYFUNCTION("""COMPUTED_VALUE"""),"09")</f>
        <v>09</v>
      </c>
      <c r="J1214" s="115" t="str">
        <f>IFERROR(__xludf.DUMMYFUNCTION("""COMPUTED_VALUE"""),"Ashvani Bhatt2025-09-0309")</f>
        <v>Ashvani Bhatt2025-09-0309</v>
      </c>
      <c r="K1214" s="115">
        <f>IFERROR(__xludf.DUMMYFUNCTION("""COMPUTED_VALUE"""),10619.0)</f>
        <v>10619</v>
      </c>
    </row>
    <row r="1215">
      <c r="A1215" s="115" t="str">
        <f>IFERROR(__xludf.DUMMYFUNCTION("""COMPUTED_VALUE"""),"WEST")</f>
        <v>WEST</v>
      </c>
      <c r="B1215" s="115" t="str">
        <f>IFERROR(__xludf.DUMMYFUNCTION("""COMPUTED_VALUE"""),"Ashvani Bhatt")</f>
        <v>Ashvani Bhatt</v>
      </c>
      <c r="C1215" s="115" t="str">
        <f>IFERROR(__xludf.DUMMYFUNCTION("""COMPUTED_VALUE"""),"FLIPKART")</f>
        <v>FLIPKART</v>
      </c>
      <c r="D1215" s="115">
        <f>IFERROR(__xludf.DUMMYFUNCTION("""COMPUTED_VALUE"""),79455.0)</f>
        <v>79455</v>
      </c>
      <c r="E1215" s="115">
        <f>IFERROR(__xludf.DUMMYFUNCTION("""COMPUTED_VALUE"""),6347.0)</f>
        <v>6347</v>
      </c>
      <c r="F1215" s="115">
        <f>IFERROR(__xludf.DUMMYFUNCTION("""COMPUTED_VALUE"""),2477.0)</f>
        <v>2477</v>
      </c>
      <c r="G1215" s="115">
        <f>IFERROR(__xludf.DUMMYFUNCTION("""COMPUTED_VALUE"""),63.0)</f>
        <v>63</v>
      </c>
      <c r="H1215" s="116">
        <f>IFERROR(__xludf.DUMMYFUNCTION("""COMPUTED_VALUE"""),45903.0)</f>
        <v>45903</v>
      </c>
      <c r="I1215" s="115" t="str">
        <f>IFERROR(__xludf.DUMMYFUNCTION("""COMPUTED_VALUE"""),"09")</f>
        <v>09</v>
      </c>
      <c r="J1215" s="115" t="str">
        <f>IFERROR(__xludf.DUMMYFUNCTION("""COMPUTED_VALUE"""),"Ashvani Bhatt2025-09-0309")</f>
        <v>Ashvani Bhatt2025-09-0309</v>
      </c>
      <c r="K1215" s="115">
        <f>IFERROR(__xludf.DUMMYFUNCTION("""COMPUTED_VALUE"""),85802.0)</f>
        <v>85802</v>
      </c>
    </row>
    <row r="1216">
      <c r="A1216" s="115" t="str">
        <f>IFERROR(__xludf.DUMMYFUNCTION("""COMPUTED_VALUE"""),"WEST")</f>
        <v>WEST</v>
      </c>
      <c r="B1216" s="115" t="str">
        <f>IFERROR(__xludf.DUMMYFUNCTION("""COMPUTED_VALUE"""),"Ashvani Bhatt")</f>
        <v>Ashvani Bhatt</v>
      </c>
      <c r="C1216" s="115" t="str">
        <f>IFERROR(__xludf.DUMMYFUNCTION("""COMPUTED_VALUE"""),"MYNTRA")</f>
        <v>MYNTRA</v>
      </c>
      <c r="D1216" s="115">
        <f>IFERROR(__xludf.DUMMYFUNCTION("""COMPUTED_VALUE"""),10173.0)</f>
        <v>10173</v>
      </c>
      <c r="E1216" s="115">
        <f>IFERROR(__xludf.DUMMYFUNCTION("""COMPUTED_VALUE"""),1915.0)</f>
        <v>1915</v>
      </c>
      <c r="F1216" s="115">
        <f>IFERROR(__xludf.DUMMYFUNCTION("""COMPUTED_VALUE"""),440.0)</f>
        <v>440</v>
      </c>
      <c r="G1216" s="115">
        <f>IFERROR(__xludf.DUMMYFUNCTION("""COMPUTED_VALUE"""),14.0)</f>
        <v>14</v>
      </c>
      <c r="H1216" s="116">
        <f>IFERROR(__xludf.DUMMYFUNCTION("""COMPUTED_VALUE"""),45903.0)</f>
        <v>45903</v>
      </c>
      <c r="I1216" s="115" t="str">
        <f>IFERROR(__xludf.DUMMYFUNCTION("""COMPUTED_VALUE"""),"09")</f>
        <v>09</v>
      </c>
      <c r="J1216" s="115" t="str">
        <f>IFERROR(__xludf.DUMMYFUNCTION("""COMPUTED_VALUE"""),"Ashvani Bhatt2025-09-0309")</f>
        <v>Ashvani Bhatt2025-09-0309</v>
      </c>
      <c r="K1216" s="115">
        <f>IFERROR(__xludf.DUMMYFUNCTION("""COMPUTED_VALUE"""),12088.0)</f>
        <v>12088</v>
      </c>
    </row>
    <row r="1217">
      <c r="A1217" s="115"/>
      <c r="B1217" s="115"/>
      <c r="C1217" s="115" t="str">
        <f>IFERROR(__xludf.DUMMYFUNCTION("""COMPUTED_VALUE"""),"EXTERNAL")</f>
        <v>EXTERNAL</v>
      </c>
      <c r="D1217" s="115">
        <f>IFERROR(__xludf.DUMMYFUNCTION("""COMPUTED_VALUE"""),55.0)</f>
        <v>55</v>
      </c>
      <c r="E1217" s="115">
        <f>IFERROR(__xludf.DUMMYFUNCTION("""COMPUTED_VALUE"""),6.0)</f>
        <v>6</v>
      </c>
      <c r="F1217" s="115">
        <f>IFERROR(__xludf.DUMMYFUNCTION("""COMPUTED_VALUE"""),6.0)</f>
        <v>6</v>
      </c>
      <c r="G1217" s="115">
        <f>IFERROR(__xludf.DUMMYFUNCTION("""COMPUTED_VALUE"""),1.0)</f>
        <v>1</v>
      </c>
      <c r="H1217" s="116">
        <f>IFERROR(__xludf.DUMMYFUNCTION("""COMPUTED_VALUE"""),45903.0)</f>
        <v>45903</v>
      </c>
      <c r="I1217" s="115" t="str">
        <f>IFERROR(__xludf.DUMMYFUNCTION("""COMPUTED_VALUE"""),"09")</f>
        <v>09</v>
      </c>
      <c r="J1217" s="115" t="str">
        <f>IFERROR(__xludf.DUMMYFUNCTION("""COMPUTED_VALUE"""),"2025-09-0309")</f>
        <v>2025-09-0309</v>
      </c>
      <c r="K1217" s="115">
        <f>IFERROR(__xludf.DUMMYFUNCTION("""COMPUTED_VALUE"""),61.0)</f>
        <v>61</v>
      </c>
    </row>
    <row r="1218">
      <c r="A1218" s="115"/>
      <c r="B1218" s="115"/>
      <c r="C1218" s="115" t="str">
        <f>IFERROR(__xludf.DUMMYFUNCTION("""COMPUTED_VALUE"""),"FLIPKART")</f>
        <v>FLIPKART</v>
      </c>
      <c r="D1218" s="115">
        <f>IFERROR(__xludf.DUMMYFUNCTION("""COMPUTED_VALUE"""),522.0)</f>
        <v>522</v>
      </c>
      <c r="E1218" s="115">
        <f>IFERROR(__xludf.DUMMYFUNCTION("""COMPUTED_VALUE"""),4.0)</f>
        <v>4</v>
      </c>
      <c r="F1218" s="115">
        <f>IFERROR(__xludf.DUMMYFUNCTION("""COMPUTED_VALUE"""),31.0)</f>
        <v>31</v>
      </c>
      <c r="G1218" s="115">
        <f>IFERROR(__xludf.DUMMYFUNCTION("""COMPUTED_VALUE"""),0.0)</f>
        <v>0</v>
      </c>
      <c r="H1218" s="116">
        <f>IFERROR(__xludf.DUMMYFUNCTION("""COMPUTED_VALUE"""),45903.0)</f>
        <v>45903</v>
      </c>
      <c r="I1218" s="115" t="str">
        <f>IFERROR(__xludf.DUMMYFUNCTION("""COMPUTED_VALUE"""),"09")</f>
        <v>09</v>
      </c>
      <c r="J1218" s="115" t="str">
        <f>IFERROR(__xludf.DUMMYFUNCTION("""COMPUTED_VALUE"""),"2025-09-0309")</f>
        <v>2025-09-0309</v>
      </c>
      <c r="K1218" s="115">
        <f>IFERROR(__xludf.DUMMYFUNCTION("""COMPUTED_VALUE"""),526.0)</f>
        <v>526</v>
      </c>
    </row>
    <row r="1219">
      <c r="A1219" s="115"/>
      <c r="B1219" s="115"/>
      <c r="C1219" s="115" t="str">
        <f>IFERROR(__xludf.DUMMYFUNCTION("""COMPUTED_VALUE"""),"MYNTRA")</f>
        <v>MYNTRA</v>
      </c>
      <c r="D1219" s="115">
        <f>IFERROR(__xludf.DUMMYFUNCTION("""COMPUTED_VALUE"""),32.0)</f>
        <v>32</v>
      </c>
      <c r="E1219" s="115">
        <f>IFERROR(__xludf.DUMMYFUNCTION("""COMPUTED_VALUE"""),1.0)</f>
        <v>1</v>
      </c>
      <c r="F1219" s="115">
        <f>IFERROR(__xludf.DUMMYFUNCTION("""COMPUTED_VALUE"""),3.0)</f>
        <v>3</v>
      </c>
      <c r="G1219" s="115">
        <f>IFERROR(__xludf.DUMMYFUNCTION("""COMPUTED_VALUE"""),0.0)</f>
        <v>0</v>
      </c>
      <c r="H1219" s="116">
        <f>IFERROR(__xludf.DUMMYFUNCTION("""COMPUTED_VALUE"""),45903.0)</f>
        <v>45903</v>
      </c>
      <c r="I1219" s="115" t="str">
        <f>IFERROR(__xludf.DUMMYFUNCTION("""COMPUTED_VALUE"""),"09")</f>
        <v>09</v>
      </c>
      <c r="J1219" s="115" t="str">
        <f>IFERROR(__xludf.DUMMYFUNCTION("""COMPUTED_VALUE"""),"2025-09-0309")</f>
        <v>2025-09-0309</v>
      </c>
      <c r="K1219" s="115">
        <f>IFERROR(__xludf.DUMMYFUNCTION("""COMPUTED_VALUE"""),33.0)</f>
        <v>33</v>
      </c>
    </row>
    <row r="1220">
      <c r="A1220" s="115" t="str">
        <f>IFERROR(__xludf.DUMMYFUNCTION("""COMPUTED_VALUE"""),"EAST")</f>
        <v>EAST</v>
      </c>
      <c r="B1220" s="115" t="str">
        <f>IFERROR(__xludf.DUMMYFUNCTION("""COMPUTED_VALUE"""),"Ashish Ranjan")</f>
        <v>Ashish Ranjan</v>
      </c>
      <c r="C1220" s="115" t="str">
        <f>IFERROR(__xludf.DUMMYFUNCTION("""COMPUTED_VALUE"""),"EXTERNAL")</f>
        <v>EXTERNAL</v>
      </c>
      <c r="D1220" s="115">
        <f>IFERROR(__xludf.DUMMYFUNCTION("""COMPUTED_VALUE"""),23458.0)</f>
        <v>23458</v>
      </c>
      <c r="E1220" s="115">
        <f>IFERROR(__xludf.DUMMYFUNCTION("""COMPUTED_VALUE"""),2397.0)</f>
        <v>2397</v>
      </c>
      <c r="F1220" s="115">
        <f>IFERROR(__xludf.DUMMYFUNCTION("""COMPUTED_VALUE"""),1225.0)</f>
        <v>1225</v>
      </c>
      <c r="G1220" s="115">
        <f>IFERROR(__xludf.DUMMYFUNCTION("""COMPUTED_VALUE"""),39.0)</f>
        <v>39</v>
      </c>
      <c r="H1220" s="116">
        <f>IFERROR(__xludf.DUMMYFUNCTION("""COMPUTED_VALUE"""),45903.0)</f>
        <v>45903</v>
      </c>
      <c r="I1220" s="115" t="str">
        <f>IFERROR(__xludf.DUMMYFUNCTION("""COMPUTED_VALUE"""),"10")</f>
        <v>10</v>
      </c>
      <c r="J1220" s="115" t="str">
        <f>IFERROR(__xludf.DUMMYFUNCTION("""COMPUTED_VALUE"""),"Ashish Ranjan2025-09-0310")</f>
        <v>Ashish Ranjan2025-09-0310</v>
      </c>
      <c r="K1220" s="115">
        <f>IFERROR(__xludf.DUMMYFUNCTION("""COMPUTED_VALUE"""),25855.0)</f>
        <v>25855</v>
      </c>
    </row>
    <row r="1221">
      <c r="A1221" s="115" t="str">
        <f>IFERROR(__xludf.DUMMYFUNCTION("""COMPUTED_VALUE"""),"EAST")</f>
        <v>EAST</v>
      </c>
      <c r="B1221" s="115" t="str">
        <f>IFERROR(__xludf.DUMMYFUNCTION("""COMPUTED_VALUE"""),"Ashish Ranjan")</f>
        <v>Ashish Ranjan</v>
      </c>
      <c r="C1221" s="115" t="str">
        <f>IFERROR(__xludf.DUMMYFUNCTION("""COMPUTED_VALUE"""),"FLIPKART")</f>
        <v>FLIPKART</v>
      </c>
      <c r="D1221" s="115">
        <f>IFERROR(__xludf.DUMMYFUNCTION("""COMPUTED_VALUE"""),384588.0)</f>
        <v>384588</v>
      </c>
      <c r="E1221" s="115">
        <f>IFERROR(__xludf.DUMMYFUNCTION("""COMPUTED_VALUE"""),31583.0)</f>
        <v>31583</v>
      </c>
      <c r="F1221" s="115">
        <f>IFERROR(__xludf.DUMMYFUNCTION("""COMPUTED_VALUE"""),34731.0)</f>
        <v>34731</v>
      </c>
      <c r="G1221" s="115">
        <f>IFERROR(__xludf.DUMMYFUNCTION("""COMPUTED_VALUE"""),894.0)</f>
        <v>894</v>
      </c>
      <c r="H1221" s="116">
        <f>IFERROR(__xludf.DUMMYFUNCTION("""COMPUTED_VALUE"""),45903.0)</f>
        <v>45903</v>
      </c>
      <c r="I1221" s="115" t="str">
        <f>IFERROR(__xludf.DUMMYFUNCTION("""COMPUTED_VALUE"""),"10")</f>
        <v>10</v>
      </c>
      <c r="J1221" s="115" t="str">
        <f>IFERROR(__xludf.DUMMYFUNCTION("""COMPUTED_VALUE"""),"Ashish Ranjan2025-09-0310")</f>
        <v>Ashish Ranjan2025-09-0310</v>
      </c>
      <c r="K1221" s="115">
        <f>IFERROR(__xludf.DUMMYFUNCTION("""COMPUTED_VALUE"""),416171.0)</f>
        <v>416171</v>
      </c>
    </row>
    <row r="1222">
      <c r="A1222" s="115" t="str">
        <f>IFERROR(__xludf.DUMMYFUNCTION("""COMPUTED_VALUE"""),"EAST")</f>
        <v>EAST</v>
      </c>
      <c r="B1222" s="115" t="str">
        <f>IFERROR(__xludf.DUMMYFUNCTION("""COMPUTED_VALUE"""),"Ashish Ranjan")</f>
        <v>Ashish Ranjan</v>
      </c>
      <c r="C1222" s="115" t="str">
        <f>IFERROR(__xludf.DUMMYFUNCTION("""COMPUTED_VALUE"""),"MYNTRA")</f>
        <v>MYNTRA</v>
      </c>
      <c r="D1222" s="115">
        <f>IFERROR(__xludf.DUMMYFUNCTION("""COMPUTED_VALUE"""),33628.0)</f>
        <v>33628</v>
      </c>
      <c r="E1222" s="115">
        <f>IFERROR(__xludf.DUMMYFUNCTION("""COMPUTED_VALUE"""),7058.0)</f>
        <v>7058</v>
      </c>
      <c r="F1222" s="115">
        <f>IFERROR(__xludf.DUMMYFUNCTION("""COMPUTED_VALUE"""),3094.0)</f>
        <v>3094</v>
      </c>
      <c r="G1222" s="115">
        <f>IFERROR(__xludf.DUMMYFUNCTION("""COMPUTED_VALUE"""),171.0)</f>
        <v>171</v>
      </c>
      <c r="H1222" s="116">
        <f>IFERROR(__xludf.DUMMYFUNCTION("""COMPUTED_VALUE"""),45903.0)</f>
        <v>45903</v>
      </c>
      <c r="I1222" s="115" t="str">
        <f>IFERROR(__xludf.DUMMYFUNCTION("""COMPUTED_VALUE"""),"10")</f>
        <v>10</v>
      </c>
      <c r="J1222" s="115" t="str">
        <f>IFERROR(__xludf.DUMMYFUNCTION("""COMPUTED_VALUE"""),"Ashish Ranjan2025-09-0310")</f>
        <v>Ashish Ranjan2025-09-0310</v>
      </c>
      <c r="K1222" s="115">
        <f>IFERROR(__xludf.DUMMYFUNCTION("""COMPUTED_VALUE"""),40686.0)</f>
        <v>40686</v>
      </c>
    </row>
    <row r="1223">
      <c r="A1223" s="115" t="str">
        <f>IFERROR(__xludf.DUMMYFUNCTION("""COMPUTED_VALUE"""),"EAST")</f>
        <v>EAST</v>
      </c>
      <c r="B1223" s="115" t="str">
        <f>IFERROR(__xludf.DUMMYFUNCTION("""COMPUTED_VALUE"""),"Girish Chand")</f>
        <v>Girish Chand</v>
      </c>
      <c r="C1223" s="115" t="str">
        <f>IFERROR(__xludf.DUMMYFUNCTION("""COMPUTED_VALUE"""),"EXTERNAL")</f>
        <v>EXTERNAL</v>
      </c>
      <c r="D1223" s="115">
        <f>IFERROR(__xludf.DUMMYFUNCTION("""COMPUTED_VALUE"""),15201.0)</f>
        <v>15201</v>
      </c>
      <c r="E1223" s="115">
        <f>IFERROR(__xludf.DUMMYFUNCTION("""COMPUTED_VALUE"""),1327.0)</f>
        <v>1327</v>
      </c>
      <c r="F1223" s="115">
        <f>IFERROR(__xludf.DUMMYFUNCTION("""COMPUTED_VALUE"""),440.0)</f>
        <v>440</v>
      </c>
      <c r="G1223" s="115">
        <f>IFERROR(__xludf.DUMMYFUNCTION("""COMPUTED_VALUE"""),21.0)</f>
        <v>21</v>
      </c>
      <c r="H1223" s="116">
        <f>IFERROR(__xludf.DUMMYFUNCTION("""COMPUTED_VALUE"""),45903.0)</f>
        <v>45903</v>
      </c>
      <c r="I1223" s="115" t="str">
        <f>IFERROR(__xludf.DUMMYFUNCTION("""COMPUTED_VALUE"""),"10")</f>
        <v>10</v>
      </c>
      <c r="J1223" s="115" t="str">
        <f>IFERROR(__xludf.DUMMYFUNCTION("""COMPUTED_VALUE"""),"Girish Chand2025-09-0310")</f>
        <v>Girish Chand2025-09-0310</v>
      </c>
      <c r="K1223" s="115">
        <f>IFERROR(__xludf.DUMMYFUNCTION("""COMPUTED_VALUE"""),16528.0)</f>
        <v>16528</v>
      </c>
    </row>
    <row r="1224">
      <c r="A1224" s="115" t="str">
        <f>IFERROR(__xludf.DUMMYFUNCTION("""COMPUTED_VALUE"""),"EAST")</f>
        <v>EAST</v>
      </c>
      <c r="B1224" s="115" t="str">
        <f>IFERROR(__xludf.DUMMYFUNCTION("""COMPUTED_VALUE"""),"Girish Chand")</f>
        <v>Girish Chand</v>
      </c>
      <c r="C1224" s="115" t="str">
        <f>IFERROR(__xludf.DUMMYFUNCTION("""COMPUTED_VALUE"""),"FLIPKART")</f>
        <v>FLIPKART</v>
      </c>
      <c r="D1224" s="115">
        <f>IFERROR(__xludf.DUMMYFUNCTION("""COMPUTED_VALUE"""),275086.0)</f>
        <v>275086</v>
      </c>
      <c r="E1224" s="115">
        <f>IFERROR(__xludf.DUMMYFUNCTION("""COMPUTED_VALUE"""),17190.0)</f>
        <v>17190</v>
      </c>
      <c r="F1224" s="115">
        <f>IFERROR(__xludf.DUMMYFUNCTION("""COMPUTED_VALUE"""),15012.0)</f>
        <v>15012</v>
      </c>
      <c r="G1224" s="115">
        <f>IFERROR(__xludf.DUMMYFUNCTION("""COMPUTED_VALUE"""),390.0)</f>
        <v>390</v>
      </c>
      <c r="H1224" s="116">
        <f>IFERROR(__xludf.DUMMYFUNCTION("""COMPUTED_VALUE"""),45903.0)</f>
        <v>45903</v>
      </c>
      <c r="I1224" s="115" t="str">
        <f>IFERROR(__xludf.DUMMYFUNCTION("""COMPUTED_VALUE"""),"10")</f>
        <v>10</v>
      </c>
      <c r="J1224" s="115" t="str">
        <f>IFERROR(__xludf.DUMMYFUNCTION("""COMPUTED_VALUE"""),"Girish Chand2025-09-0310")</f>
        <v>Girish Chand2025-09-0310</v>
      </c>
      <c r="K1224" s="115">
        <f>IFERROR(__xludf.DUMMYFUNCTION("""COMPUTED_VALUE"""),292276.0)</f>
        <v>292276</v>
      </c>
    </row>
    <row r="1225">
      <c r="A1225" s="115" t="str">
        <f>IFERROR(__xludf.DUMMYFUNCTION("""COMPUTED_VALUE"""),"EAST")</f>
        <v>EAST</v>
      </c>
      <c r="B1225" s="115" t="str">
        <f>IFERROR(__xludf.DUMMYFUNCTION("""COMPUTED_VALUE"""),"Girish Chand")</f>
        <v>Girish Chand</v>
      </c>
      <c r="C1225" s="115" t="str">
        <f>IFERROR(__xludf.DUMMYFUNCTION("""COMPUTED_VALUE"""),"MYNTRA")</f>
        <v>MYNTRA</v>
      </c>
      <c r="D1225" s="115">
        <f>IFERROR(__xludf.DUMMYFUNCTION("""COMPUTED_VALUE"""),21658.0)</f>
        <v>21658</v>
      </c>
      <c r="E1225" s="115">
        <f>IFERROR(__xludf.DUMMYFUNCTION("""COMPUTED_VALUE"""),3093.0)</f>
        <v>3093</v>
      </c>
      <c r="F1225" s="115">
        <f>IFERROR(__xludf.DUMMYFUNCTION("""COMPUTED_VALUE"""),1494.0)</f>
        <v>1494</v>
      </c>
      <c r="G1225" s="115">
        <f>IFERROR(__xludf.DUMMYFUNCTION("""COMPUTED_VALUE"""),77.0)</f>
        <v>77</v>
      </c>
      <c r="H1225" s="116">
        <f>IFERROR(__xludf.DUMMYFUNCTION("""COMPUTED_VALUE"""),45903.0)</f>
        <v>45903</v>
      </c>
      <c r="I1225" s="115" t="str">
        <f>IFERROR(__xludf.DUMMYFUNCTION("""COMPUTED_VALUE"""),"10")</f>
        <v>10</v>
      </c>
      <c r="J1225" s="115" t="str">
        <f>IFERROR(__xludf.DUMMYFUNCTION("""COMPUTED_VALUE"""),"Girish Chand2025-09-0310")</f>
        <v>Girish Chand2025-09-0310</v>
      </c>
      <c r="K1225" s="115">
        <f>IFERROR(__xludf.DUMMYFUNCTION("""COMPUTED_VALUE"""),24751.0)</f>
        <v>24751</v>
      </c>
    </row>
    <row r="1226">
      <c r="A1226" s="115" t="str">
        <f>IFERROR(__xludf.DUMMYFUNCTION("""COMPUTED_VALUE"""),"EAST")</f>
        <v>EAST</v>
      </c>
      <c r="B1226" s="115" t="str">
        <f>IFERROR(__xludf.DUMMYFUNCTION("""COMPUTED_VALUE"""),"Parag Kashyap")</f>
        <v>Parag Kashyap</v>
      </c>
      <c r="C1226" s="115" t="str">
        <f>IFERROR(__xludf.DUMMYFUNCTION("""COMPUTED_VALUE"""),"EXTERNAL")</f>
        <v>EXTERNAL</v>
      </c>
      <c r="D1226" s="115">
        <f>IFERROR(__xludf.DUMMYFUNCTION("""COMPUTED_VALUE"""),11473.0)</f>
        <v>11473</v>
      </c>
      <c r="E1226" s="115">
        <f>IFERROR(__xludf.DUMMYFUNCTION("""COMPUTED_VALUE"""),625.0)</f>
        <v>625</v>
      </c>
      <c r="F1226" s="115">
        <f>IFERROR(__xludf.DUMMYFUNCTION("""COMPUTED_VALUE"""),276.0)</f>
        <v>276</v>
      </c>
      <c r="G1226" s="115">
        <f>IFERROR(__xludf.DUMMYFUNCTION("""COMPUTED_VALUE"""),6.0)</f>
        <v>6</v>
      </c>
      <c r="H1226" s="116">
        <f>IFERROR(__xludf.DUMMYFUNCTION("""COMPUTED_VALUE"""),45903.0)</f>
        <v>45903</v>
      </c>
      <c r="I1226" s="115" t="str">
        <f>IFERROR(__xludf.DUMMYFUNCTION("""COMPUTED_VALUE"""),"10")</f>
        <v>10</v>
      </c>
      <c r="J1226" s="115" t="str">
        <f>IFERROR(__xludf.DUMMYFUNCTION("""COMPUTED_VALUE"""),"Parag Kashyap2025-09-0310")</f>
        <v>Parag Kashyap2025-09-0310</v>
      </c>
      <c r="K1226" s="115">
        <f>IFERROR(__xludf.DUMMYFUNCTION("""COMPUTED_VALUE"""),12098.0)</f>
        <v>12098</v>
      </c>
    </row>
    <row r="1227">
      <c r="A1227" s="115" t="str">
        <f>IFERROR(__xludf.DUMMYFUNCTION("""COMPUTED_VALUE"""),"EAST")</f>
        <v>EAST</v>
      </c>
      <c r="B1227" s="115" t="str">
        <f>IFERROR(__xludf.DUMMYFUNCTION("""COMPUTED_VALUE"""),"Parag Kashyap")</f>
        <v>Parag Kashyap</v>
      </c>
      <c r="C1227" s="115" t="str">
        <f>IFERROR(__xludf.DUMMYFUNCTION("""COMPUTED_VALUE"""),"FLIPKART")</f>
        <v>FLIPKART</v>
      </c>
      <c r="D1227" s="115">
        <f>IFERROR(__xludf.DUMMYFUNCTION("""COMPUTED_VALUE"""),177914.0)</f>
        <v>177914</v>
      </c>
      <c r="E1227" s="115">
        <f>IFERROR(__xludf.DUMMYFUNCTION("""COMPUTED_VALUE"""),7962.0)</f>
        <v>7962</v>
      </c>
      <c r="F1227" s="115">
        <f>IFERROR(__xludf.DUMMYFUNCTION("""COMPUTED_VALUE"""),8316.0)</f>
        <v>8316</v>
      </c>
      <c r="G1227" s="115">
        <f>IFERROR(__xludf.DUMMYFUNCTION("""COMPUTED_VALUE"""),168.0)</f>
        <v>168</v>
      </c>
      <c r="H1227" s="116">
        <f>IFERROR(__xludf.DUMMYFUNCTION("""COMPUTED_VALUE"""),45903.0)</f>
        <v>45903</v>
      </c>
      <c r="I1227" s="115" t="str">
        <f>IFERROR(__xludf.DUMMYFUNCTION("""COMPUTED_VALUE"""),"10")</f>
        <v>10</v>
      </c>
      <c r="J1227" s="115" t="str">
        <f>IFERROR(__xludf.DUMMYFUNCTION("""COMPUTED_VALUE"""),"Parag Kashyap2025-09-0310")</f>
        <v>Parag Kashyap2025-09-0310</v>
      </c>
      <c r="K1227" s="115">
        <f>IFERROR(__xludf.DUMMYFUNCTION("""COMPUTED_VALUE"""),185876.0)</f>
        <v>185876</v>
      </c>
    </row>
    <row r="1228">
      <c r="A1228" s="115" t="str">
        <f>IFERROR(__xludf.DUMMYFUNCTION("""COMPUTED_VALUE"""),"EAST")</f>
        <v>EAST</v>
      </c>
      <c r="B1228" s="115" t="str">
        <f>IFERROR(__xludf.DUMMYFUNCTION("""COMPUTED_VALUE"""),"Parag Kashyap")</f>
        <v>Parag Kashyap</v>
      </c>
      <c r="C1228" s="115" t="str">
        <f>IFERROR(__xludf.DUMMYFUNCTION("""COMPUTED_VALUE"""),"MYNTRA")</f>
        <v>MYNTRA</v>
      </c>
      <c r="D1228" s="115">
        <f>IFERROR(__xludf.DUMMYFUNCTION("""COMPUTED_VALUE"""),20006.0)</f>
        <v>20006</v>
      </c>
      <c r="E1228" s="115">
        <f>IFERROR(__xludf.DUMMYFUNCTION("""COMPUTED_VALUE"""),2049.0)</f>
        <v>2049</v>
      </c>
      <c r="F1228" s="115">
        <f>IFERROR(__xludf.DUMMYFUNCTION("""COMPUTED_VALUE"""),1182.0)</f>
        <v>1182</v>
      </c>
      <c r="G1228" s="115">
        <f>IFERROR(__xludf.DUMMYFUNCTION("""COMPUTED_VALUE"""),19.0)</f>
        <v>19</v>
      </c>
      <c r="H1228" s="116">
        <f>IFERROR(__xludf.DUMMYFUNCTION("""COMPUTED_VALUE"""),45903.0)</f>
        <v>45903</v>
      </c>
      <c r="I1228" s="115" t="str">
        <f>IFERROR(__xludf.DUMMYFUNCTION("""COMPUTED_VALUE"""),"10")</f>
        <v>10</v>
      </c>
      <c r="J1228" s="115" t="str">
        <f>IFERROR(__xludf.DUMMYFUNCTION("""COMPUTED_VALUE"""),"Parag Kashyap2025-09-0310")</f>
        <v>Parag Kashyap2025-09-0310</v>
      </c>
      <c r="K1228" s="115">
        <f>IFERROR(__xludf.DUMMYFUNCTION("""COMPUTED_VALUE"""),22055.0)</f>
        <v>22055</v>
      </c>
    </row>
    <row r="1229">
      <c r="A1229" s="115" t="str">
        <f>IFERROR(__xludf.DUMMYFUNCTION("""COMPUTED_VALUE"""),"NORTH")</f>
        <v>NORTH</v>
      </c>
      <c r="B1229" s="115" t="str">
        <f>IFERROR(__xludf.DUMMYFUNCTION("""COMPUTED_VALUE"""),"Amit Kumar Pathak")</f>
        <v>Amit Kumar Pathak</v>
      </c>
      <c r="C1229" s="115" t="str">
        <f>IFERROR(__xludf.DUMMYFUNCTION("""COMPUTED_VALUE"""),"EXTERNAL")</f>
        <v>EXTERNAL</v>
      </c>
      <c r="D1229" s="115">
        <f>IFERROR(__xludf.DUMMYFUNCTION("""COMPUTED_VALUE"""),13068.0)</f>
        <v>13068</v>
      </c>
      <c r="E1229" s="115">
        <f>IFERROR(__xludf.DUMMYFUNCTION("""COMPUTED_VALUE"""),1889.0)</f>
        <v>1889</v>
      </c>
      <c r="F1229" s="115">
        <f>IFERROR(__xludf.DUMMYFUNCTION("""COMPUTED_VALUE"""),426.0)</f>
        <v>426</v>
      </c>
      <c r="G1229" s="115">
        <f>IFERROR(__xludf.DUMMYFUNCTION("""COMPUTED_VALUE"""),52.0)</f>
        <v>52</v>
      </c>
      <c r="H1229" s="116">
        <f>IFERROR(__xludf.DUMMYFUNCTION("""COMPUTED_VALUE"""),45903.0)</f>
        <v>45903</v>
      </c>
      <c r="I1229" s="115" t="str">
        <f>IFERROR(__xludf.DUMMYFUNCTION("""COMPUTED_VALUE"""),"10")</f>
        <v>10</v>
      </c>
      <c r="J1229" s="115" t="str">
        <f>IFERROR(__xludf.DUMMYFUNCTION("""COMPUTED_VALUE"""),"Amit Kumar Pathak2025-09-0310")</f>
        <v>Amit Kumar Pathak2025-09-0310</v>
      </c>
      <c r="K1229" s="115">
        <f>IFERROR(__xludf.DUMMYFUNCTION("""COMPUTED_VALUE"""),14957.0)</f>
        <v>14957</v>
      </c>
    </row>
    <row r="1230">
      <c r="A1230" s="115" t="str">
        <f>IFERROR(__xludf.DUMMYFUNCTION("""COMPUTED_VALUE"""),"NORTH")</f>
        <v>NORTH</v>
      </c>
      <c r="B1230" s="115" t="str">
        <f>IFERROR(__xludf.DUMMYFUNCTION("""COMPUTED_VALUE"""),"Amit Kumar Pathak")</f>
        <v>Amit Kumar Pathak</v>
      </c>
      <c r="C1230" s="115" t="str">
        <f>IFERROR(__xludf.DUMMYFUNCTION("""COMPUTED_VALUE"""),"FLIPKART")</f>
        <v>FLIPKART</v>
      </c>
      <c r="D1230" s="115">
        <f>IFERROR(__xludf.DUMMYFUNCTION("""COMPUTED_VALUE"""),112636.0)</f>
        <v>112636</v>
      </c>
      <c r="E1230" s="115">
        <f>IFERROR(__xludf.DUMMYFUNCTION("""COMPUTED_VALUE"""),13591.0)</f>
        <v>13591</v>
      </c>
      <c r="F1230" s="115">
        <f>IFERROR(__xludf.DUMMYFUNCTION("""COMPUTED_VALUE"""),7283.0)</f>
        <v>7283</v>
      </c>
      <c r="G1230" s="115">
        <f>IFERROR(__xludf.DUMMYFUNCTION("""COMPUTED_VALUE"""),554.0)</f>
        <v>554</v>
      </c>
      <c r="H1230" s="116">
        <f>IFERROR(__xludf.DUMMYFUNCTION("""COMPUTED_VALUE"""),45903.0)</f>
        <v>45903</v>
      </c>
      <c r="I1230" s="115" t="str">
        <f>IFERROR(__xludf.DUMMYFUNCTION("""COMPUTED_VALUE"""),"10")</f>
        <v>10</v>
      </c>
      <c r="J1230" s="115" t="str">
        <f>IFERROR(__xludf.DUMMYFUNCTION("""COMPUTED_VALUE"""),"Amit Kumar Pathak2025-09-0310")</f>
        <v>Amit Kumar Pathak2025-09-0310</v>
      </c>
      <c r="K1230" s="115">
        <f>IFERROR(__xludf.DUMMYFUNCTION("""COMPUTED_VALUE"""),126227.0)</f>
        <v>126227</v>
      </c>
    </row>
    <row r="1231">
      <c r="A1231" s="115" t="str">
        <f>IFERROR(__xludf.DUMMYFUNCTION("""COMPUTED_VALUE"""),"NORTH")</f>
        <v>NORTH</v>
      </c>
      <c r="B1231" s="115" t="str">
        <f>IFERROR(__xludf.DUMMYFUNCTION("""COMPUTED_VALUE"""),"Amit Kumar Pathak")</f>
        <v>Amit Kumar Pathak</v>
      </c>
      <c r="C1231" s="115" t="str">
        <f>IFERROR(__xludf.DUMMYFUNCTION("""COMPUTED_VALUE"""),"MYNTRA")</f>
        <v>MYNTRA</v>
      </c>
      <c r="D1231" s="115">
        <f>IFERROR(__xludf.DUMMYFUNCTION("""COMPUTED_VALUE"""),10814.0)</f>
        <v>10814</v>
      </c>
      <c r="E1231" s="115">
        <f>IFERROR(__xludf.DUMMYFUNCTION("""COMPUTED_VALUE"""),3600.0)</f>
        <v>3600</v>
      </c>
      <c r="F1231" s="115">
        <f>IFERROR(__xludf.DUMMYFUNCTION("""COMPUTED_VALUE"""),860.0)</f>
        <v>860</v>
      </c>
      <c r="G1231" s="115">
        <f>IFERROR(__xludf.DUMMYFUNCTION("""COMPUTED_VALUE"""),189.0)</f>
        <v>189</v>
      </c>
      <c r="H1231" s="116">
        <f>IFERROR(__xludf.DUMMYFUNCTION("""COMPUTED_VALUE"""),45903.0)</f>
        <v>45903</v>
      </c>
      <c r="I1231" s="115" t="str">
        <f>IFERROR(__xludf.DUMMYFUNCTION("""COMPUTED_VALUE"""),"10")</f>
        <v>10</v>
      </c>
      <c r="J1231" s="115" t="str">
        <f>IFERROR(__xludf.DUMMYFUNCTION("""COMPUTED_VALUE"""),"Amit Kumar Pathak2025-09-0310")</f>
        <v>Amit Kumar Pathak2025-09-0310</v>
      </c>
      <c r="K1231" s="115">
        <f>IFERROR(__xludf.DUMMYFUNCTION("""COMPUTED_VALUE"""),14414.0)</f>
        <v>14414</v>
      </c>
    </row>
    <row r="1232">
      <c r="A1232" s="115" t="str">
        <f>IFERROR(__xludf.DUMMYFUNCTION("""COMPUTED_VALUE"""),"NORTH")</f>
        <v>NORTH</v>
      </c>
      <c r="B1232" s="115" t="str">
        <f>IFERROR(__xludf.DUMMYFUNCTION("""COMPUTED_VALUE"""),"Loveleen Singh")</f>
        <v>Loveleen Singh</v>
      </c>
      <c r="C1232" s="115" t="str">
        <f>IFERROR(__xludf.DUMMYFUNCTION("""COMPUTED_VALUE"""),"EXTERNAL")</f>
        <v>EXTERNAL</v>
      </c>
      <c r="D1232" s="115">
        <f>IFERROR(__xludf.DUMMYFUNCTION("""COMPUTED_VALUE"""),8832.0)</f>
        <v>8832</v>
      </c>
      <c r="E1232" s="115">
        <f>IFERROR(__xludf.DUMMYFUNCTION("""COMPUTED_VALUE"""),689.0)</f>
        <v>689</v>
      </c>
      <c r="F1232" s="115">
        <f>IFERROR(__xludf.DUMMYFUNCTION("""COMPUTED_VALUE"""),224.0)</f>
        <v>224</v>
      </c>
      <c r="G1232" s="115">
        <f>IFERROR(__xludf.DUMMYFUNCTION("""COMPUTED_VALUE"""),15.0)</f>
        <v>15</v>
      </c>
      <c r="H1232" s="116">
        <f>IFERROR(__xludf.DUMMYFUNCTION("""COMPUTED_VALUE"""),45903.0)</f>
        <v>45903</v>
      </c>
      <c r="I1232" s="115" t="str">
        <f>IFERROR(__xludf.DUMMYFUNCTION("""COMPUTED_VALUE"""),"10")</f>
        <v>10</v>
      </c>
      <c r="J1232" s="115" t="str">
        <f>IFERROR(__xludf.DUMMYFUNCTION("""COMPUTED_VALUE"""),"Loveleen Singh2025-09-0310")</f>
        <v>Loveleen Singh2025-09-0310</v>
      </c>
      <c r="K1232" s="115">
        <f>IFERROR(__xludf.DUMMYFUNCTION("""COMPUTED_VALUE"""),9521.0)</f>
        <v>9521</v>
      </c>
    </row>
    <row r="1233">
      <c r="A1233" s="115" t="str">
        <f>IFERROR(__xludf.DUMMYFUNCTION("""COMPUTED_VALUE"""),"NORTH")</f>
        <v>NORTH</v>
      </c>
      <c r="B1233" s="115" t="str">
        <f>IFERROR(__xludf.DUMMYFUNCTION("""COMPUTED_VALUE"""),"Loveleen Singh")</f>
        <v>Loveleen Singh</v>
      </c>
      <c r="C1233" s="115" t="str">
        <f>IFERROR(__xludf.DUMMYFUNCTION("""COMPUTED_VALUE"""),"FLIPKART")</f>
        <v>FLIPKART</v>
      </c>
      <c r="D1233" s="115">
        <f>IFERROR(__xludf.DUMMYFUNCTION("""COMPUTED_VALUE"""),57417.0)</f>
        <v>57417</v>
      </c>
      <c r="E1233" s="115">
        <f>IFERROR(__xludf.DUMMYFUNCTION("""COMPUTED_VALUE"""),4444.0)</f>
        <v>4444</v>
      </c>
      <c r="F1233" s="115">
        <f>IFERROR(__xludf.DUMMYFUNCTION("""COMPUTED_VALUE"""),3679.0)</f>
        <v>3679</v>
      </c>
      <c r="G1233" s="115">
        <f>IFERROR(__xludf.DUMMYFUNCTION("""COMPUTED_VALUE"""),137.0)</f>
        <v>137</v>
      </c>
      <c r="H1233" s="116">
        <f>IFERROR(__xludf.DUMMYFUNCTION("""COMPUTED_VALUE"""),45903.0)</f>
        <v>45903</v>
      </c>
      <c r="I1233" s="115" t="str">
        <f>IFERROR(__xludf.DUMMYFUNCTION("""COMPUTED_VALUE"""),"10")</f>
        <v>10</v>
      </c>
      <c r="J1233" s="115" t="str">
        <f>IFERROR(__xludf.DUMMYFUNCTION("""COMPUTED_VALUE"""),"Loveleen Singh2025-09-0310")</f>
        <v>Loveleen Singh2025-09-0310</v>
      </c>
      <c r="K1233" s="115">
        <f>IFERROR(__xludf.DUMMYFUNCTION("""COMPUTED_VALUE"""),61861.0)</f>
        <v>61861</v>
      </c>
    </row>
    <row r="1234">
      <c r="A1234" s="115" t="str">
        <f>IFERROR(__xludf.DUMMYFUNCTION("""COMPUTED_VALUE"""),"NORTH")</f>
        <v>NORTH</v>
      </c>
      <c r="B1234" s="115" t="str">
        <f>IFERROR(__xludf.DUMMYFUNCTION("""COMPUTED_VALUE"""),"Loveleen Singh")</f>
        <v>Loveleen Singh</v>
      </c>
      <c r="C1234" s="115" t="str">
        <f>IFERROR(__xludf.DUMMYFUNCTION("""COMPUTED_VALUE"""),"MYNTRA")</f>
        <v>MYNTRA</v>
      </c>
      <c r="D1234" s="115">
        <f>IFERROR(__xludf.DUMMYFUNCTION("""COMPUTED_VALUE"""),9734.0)</f>
        <v>9734</v>
      </c>
      <c r="E1234" s="115">
        <f>IFERROR(__xludf.DUMMYFUNCTION("""COMPUTED_VALUE"""),1981.0)</f>
        <v>1981</v>
      </c>
      <c r="F1234" s="115">
        <f>IFERROR(__xludf.DUMMYFUNCTION("""COMPUTED_VALUE"""),857.0)</f>
        <v>857</v>
      </c>
      <c r="G1234" s="115">
        <f>IFERROR(__xludf.DUMMYFUNCTION("""COMPUTED_VALUE"""),67.0)</f>
        <v>67</v>
      </c>
      <c r="H1234" s="116">
        <f>IFERROR(__xludf.DUMMYFUNCTION("""COMPUTED_VALUE"""),45903.0)</f>
        <v>45903</v>
      </c>
      <c r="I1234" s="115" t="str">
        <f>IFERROR(__xludf.DUMMYFUNCTION("""COMPUTED_VALUE"""),"10")</f>
        <v>10</v>
      </c>
      <c r="J1234" s="115" t="str">
        <f>IFERROR(__xludf.DUMMYFUNCTION("""COMPUTED_VALUE"""),"Loveleen Singh2025-09-0310")</f>
        <v>Loveleen Singh2025-09-0310</v>
      </c>
      <c r="K1234" s="115">
        <f>IFERROR(__xludf.DUMMYFUNCTION("""COMPUTED_VALUE"""),11715.0)</f>
        <v>11715</v>
      </c>
    </row>
    <row r="1235">
      <c r="A1235" s="115" t="str">
        <f>IFERROR(__xludf.DUMMYFUNCTION("""COMPUTED_VALUE"""),"NORTH")</f>
        <v>NORTH</v>
      </c>
      <c r="B1235" s="115" t="str">
        <f>IFERROR(__xludf.DUMMYFUNCTION("""COMPUTED_VALUE"""),"Manoj Harsh")</f>
        <v>Manoj Harsh</v>
      </c>
      <c r="C1235" s="115" t="str">
        <f>IFERROR(__xludf.DUMMYFUNCTION("""COMPUTED_VALUE"""),"EXTERNAL")</f>
        <v>EXTERNAL</v>
      </c>
      <c r="D1235" s="115">
        <f>IFERROR(__xludf.DUMMYFUNCTION("""COMPUTED_VALUE"""),17242.0)</f>
        <v>17242</v>
      </c>
      <c r="E1235" s="115">
        <f>IFERROR(__xludf.DUMMYFUNCTION("""COMPUTED_VALUE"""),2020.0)</f>
        <v>2020</v>
      </c>
      <c r="F1235" s="115">
        <f>IFERROR(__xludf.DUMMYFUNCTION("""COMPUTED_VALUE"""),451.0)</f>
        <v>451</v>
      </c>
      <c r="G1235" s="115">
        <f>IFERROR(__xludf.DUMMYFUNCTION("""COMPUTED_VALUE"""),25.0)</f>
        <v>25</v>
      </c>
      <c r="H1235" s="116">
        <f>IFERROR(__xludf.DUMMYFUNCTION("""COMPUTED_VALUE"""),45903.0)</f>
        <v>45903</v>
      </c>
      <c r="I1235" s="115" t="str">
        <f>IFERROR(__xludf.DUMMYFUNCTION("""COMPUTED_VALUE"""),"10")</f>
        <v>10</v>
      </c>
      <c r="J1235" s="115" t="str">
        <f>IFERROR(__xludf.DUMMYFUNCTION("""COMPUTED_VALUE"""),"Manoj Harsh2025-09-0310")</f>
        <v>Manoj Harsh2025-09-0310</v>
      </c>
      <c r="K1235" s="115">
        <f>IFERROR(__xludf.DUMMYFUNCTION("""COMPUTED_VALUE"""),19262.0)</f>
        <v>19262</v>
      </c>
    </row>
    <row r="1236">
      <c r="A1236" s="115" t="str">
        <f>IFERROR(__xludf.DUMMYFUNCTION("""COMPUTED_VALUE"""),"NORTH")</f>
        <v>NORTH</v>
      </c>
      <c r="B1236" s="115" t="str">
        <f>IFERROR(__xludf.DUMMYFUNCTION("""COMPUTED_VALUE"""),"Manoj Harsh")</f>
        <v>Manoj Harsh</v>
      </c>
      <c r="C1236" s="115" t="str">
        <f>IFERROR(__xludf.DUMMYFUNCTION("""COMPUTED_VALUE"""),"FLIPKART")</f>
        <v>FLIPKART</v>
      </c>
      <c r="D1236" s="115">
        <f>IFERROR(__xludf.DUMMYFUNCTION("""COMPUTED_VALUE"""),228700.0)</f>
        <v>228700</v>
      </c>
      <c r="E1236" s="115">
        <f>IFERROR(__xludf.DUMMYFUNCTION("""COMPUTED_VALUE"""),19462.0)</f>
        <v>19462</v>
      </c>
      <c r="F1236" s="115">
        <f>IFERROR(__xludf.DUMMYFUNCTION("""COMPUTED_VALUE"""),12480.0)</f>
        <v>12480</v>
      </c>
      <c r="G1236" s="115">
        <f>IFERROR(__xludf.DUMMYFUNCTION("""COMPUTED_VALUE"""),358.0)</f>
        <v>358</v>
      </c>
      <c r="H1236" s="116">
        <f>IFERROR(__xludf.DUMMYFUNCTION("""COMPUTED_VALUE"""),45903.0)</f>
        <v>45903</v>
      </c>
      <c r="I1236" s="115" t="str">
        <f>IFERROR(__xludf.DUMMYFUNCTION("""COMPUTED_VALUE"""),"10")</f>
        <v>10</v>
      </c>
      <c r="J1236" s="115" t="str">
        <f>IFERROR(__xludf.DUMMYFUNCTION("""COMPUTED_VALUE"""),"Manoj Harsh2025-09-0310")</f>
        <v>Manoj Harsh2025-09-0310</v>
      </c>
      <c r="K1236" s="115">
        <f>IFERROR(__xludf.DUMMYFUNCTION("""COMPUTED_VALUE"""),248162.0)</f>
        <v>248162</v>
      </c>
    </row>
    <row r="1237">
      <c r="A1237" s="115" t="str">
        <f>IFERROR(__xludf.DUMMYFUNCTION("""COMPUTED_VALUE"""),"NORTH")</f>
        <v>NORTH</v>
      </c>
      <c r="B1237" s="115" t="str">
        <f>IFERROR(__xludf.DUMMYFUNCTION("""COMPUTED_VALUE"""),"Manoj Harsh")</f>
        <v>Manoj Harsh</v>
      </c>
      <c r="C1237" s="115" t="str">
        <f>IFERROR(__xludf.DUMMYFUNCTION("""COMPUTED_VALUE"""),"MYNTRA")</f>
        <v>MYNTRA</v>
      </c>
      <c r="D1237" s="115">
        <f>IFERROR(__xludf.DUMMYFUNCTION("""COMPUTED_VALUE"""),21059.0)</f>
        <v>21059</v>
      </c>
      <c r="E1237" s="115">
        <f>IFERROR(__xludf.DUMMYFUNCTION("""COMPUTED_VALUE"""),3860.0)</f>
        <v>3860</v>
      </c>
      <c r="F1237" s="115">
        <f>IFERROR(__xludf.DUMMYFUNCTION("""COMPUTED_VALUE"""),1516.0)</f>
        <v>1516</v>
      </c>
      <c r="G1237" s="115">
        <f>IFERROR(__xludf.DUMMYFUNCTION("""COMPUTED_VALUE"""),75.0)</f>
        <v>75</v>
      </c>
      <c r="H1237" s="116">
        <f>IFERROR(__xludf.DUMMYFUNCTION("""COMPUTED_VALUE"""),45903.0)</f>
        <v>45903</v>
      </c>
      <c r="I1237" s="115" t="str">
        <f>IFERROR(__xludf.DUMMYFUNCTION("""COMPUTED_VALUE"""),"10")</f>
        <v>10</v>
      </c>
      <c r="J1237" s="115" t="str">
        <f>IFERROR(__xludf.DUMMYFUNCTION("""COMPUTED_VALUE"""),"Manoj Harsh2025-09-0310")</f>
        <v>Manoj Harsh2025-09-0310</v>
      </c>
      <c r="K1237" s="115">
        <f>IFERROR(__xludf.DUMMYFUNCTION("""COMPUTED_VALUE"""),24919.0)</f>
        <v>24919</v>
      </c>
    </row>
    <row r="1238">
      <c r="A1238" s="115" t="str">
        <f>IFERROR(__xludf.DUMMYFUNCTION("""COMPUTED_VALUE"""),"NORTH")</f>
        <v>NORTH</v>
      </c>
      <c r="B1238" s="115" t="str">
        <f>IFERROR(__xludf.DUMMYFUNCTION("""COMPUTED_VALUE"""),"Pradeep Kothari")</f>
        <v>Pradeep Kothari</v>
      </c>
      <c r="C1238" s="115" t="str">
        <f>IFERROR(__xludf.DUMMYFUNCTION("""COMPUTED_VALUE"""),"EXTERNAL")</f>
        <v>EXTERNAL</v>
      </c>
      <c r="D1238" s="115">
        <f>IFERROR(__xludf.DUMMYFUNCTION("""COMPUTED_VALUE"""),8808.0)</f>
        <v>8808</v>
      </c>
      <c r="E1238" s="115">
        <f>IFERROR(__xludf.DUMMYFUNCTION("""COMPUTED_VALUE"""),1190.0)</f>
        <v>1190</v>
      </c>
      <c r="F1238" s="115">
        <f>IFERROR(__xludf.DUMMYFUNCTION("""COMPUTED_VALUE"""),339.0)</f>
        <v>339</v>
      </c>
      <c r="G1238" s="115">
        <f>IFERROR(__xludf.DUMMYFUNCTION("""COMPUTED_VALUE"""),26.0)</f>
        <v>26</v>
      </c>
      <c r="H1238" s="116">
        <f>IFERROR(__xludf.DUMMYFUNCTION("""COMPUTED_VALUE"""),45903.0)</f>
        <v>45903</v>
      </c>
      <c r="I1238" s="115" t="str">
        <f>IFERROR(__xludf.DUMMYFUNCTION("""COMPUTED_VALUE"""),"10")</f>
        <v>10</v>
      </c>
      <c r="J1238" s="115" t="str">
        <f>IFERROR(__xludf.DUMMYFUNCTION("""COMPUTED_VALUE"""),"Pradeep Kothari2025-09-0310")</f>
        <v>Pradeep Kothari2025-09-0310</v>
      </c>
      <c r="K1238" s="115">
        <f>IFERROR(__xludf.DUMMYFUNCTION("""COMPUTED_VALUE"""),9998.0)</f>
        <v>9998</v>
      </c>
    </row>
    <row r="1239">
      <c r="A1239" s="115" t="str">
        <f>IFERROR(__xludf.DUMMYFUNCTION("""COMPUTED_VALUE"""),"NORTH")</f>
        <v>NORTH</v>
      </c>
      <c r="B1239" s="115" t="str">
        <f>IFERROR(__xludf.DUMMYFUNCTION("""COMPUTED_VALUE"""),"Pradeep Kothari")</f>
        <v>Pradeep Kothari</v>
      </c>
      <c r="C1239" s="115" t="str">
        <f>IFERROR(__xludf.DUMMYFUNCTION("""COMPUTED_VALUE"""),"FLIPKART")</f>
        <v>FLIPKART</v>
      </c>
      <c r="D1239" s="115">
        <f>IFERROR(__xludf.DUMMYFUNCTION("""COMPUTED_VALUE"""),76107.0)</f>
        <v>76107</v>
      </c>
      <c r="E1239" s="115">
        <f>IFERROR(__xludf.DUMMYFUNCTION("""COMPUTED_VALUE"""),7478.0)</f>
        <v>7478</v>
      </c>
      <c r="F1239" s="115">
        <f>IFERROR(__xludf.DUMMYFUNCTION("""COMPUTED_VALUE"""),5626.0)</f>
        <v>5626</v>
      </c>
      <c r="G1239" s="115">
        <f>IFERROR(__xludf.DUMMYFUNCTION("""COMPUTED_VALUE"""),247.0)</f>
        <v>247</v>
      </c>
      <c r="H1239" s="116">
        <f>IFERROR(__xludf.DUMMYFUNCTION("""COMPUTED_VALUE"""),45903.0)</f>
        <v>45903</v>
      </c>
      <c r="I1239" s="115" t="str">
        <f>IFERROR(__xludf.DUMMYFUNCTION("""COMPUTED_VALUE"""),"10")</f>
        <v>10</v>
      </c>
      <c r="J1239" s="115" t="str">
        <f>IFERROR(__xludf.DUMMYFUNCTION("""COMPUTED_VALUE"""),"Pradeep Kothari2025-09-0310")</f>
        <v>Pradeep Kothari2025-09-0310</v>
      </c>
      <c r="K1239" s="115">
        <f>IFERROR(__xludf.DUMMYFUNCTION("""COMPUTED_VALUE"""),83585.0)</f>
        <v>83585</v>
      </c>
    </row>
    <row r="1240">
      <c r="A1240" s="115" t="str">
        <f>IFERROR(__xludf.DUMMYFUNCTION("""COMPUTED_VALUE"""),"NORTH")</f>
        <v>NORTH</v>
      </c>
      <c r="B1240" s="115" t="str">
        <f>IFERROR(__xludf.DUMMYFUNCTION("""COMPUTED_VALUE"""),"Pradeep Kothari")</f>
        <v>Pradeep Kothari</v>
      </c>
      <c r="C1240" s="115" t="str">
        <f>IFERROR(__xludf.DUMMYFUNCTION("""COMPUTED_VALUE"""),"MYNTRA")</f>
        <v>MYNTRA</v>
      </c>
      <c r="D1240" s="115">
        <f>IFERROR(__xludf.DUMMYFUNCTION("""COMPUTED_VALUE"""),12895.0)</f>
        <v>12895</v>
      </c>
      <c r="E1240" s="115">
        <f>IFERROR(__xludf.DUMMYFUNCTION("""COMPUTED_VALUE"""),2849.0)</f>
        <v>2849</v>
      </c>
      <c r="F1240" s="115">
        <f>IFERROR(__xludf.DUMMYFUNCTION("""COMPUTED_VALUE"""),1263.0)</f>
        <v>1263</v>
      </c>
      <c r="G1240" s="115">
        <f>IFERROR(__xludf.DUMMYFUNCTION("""COMPUTED_VALUE"""),91.0)</f>
        <v>91</v>
      </c>
      <c r="H1240" s="116">
        <f>IFERROR(__xludf.DUMMYFUNCTION("""COMPUTED_VALUE"""),45903.0)</f>
        <v>45903</v>
      </c>
      <c r="I1240" s="115" t="str">
        <f>IFERROR(__xludf.DUMMYFUNCTION("""COMPUTED_VALUE"""),"10")</f>
        <v>10</v>
      </c>
      <c r="J1240" s="115" t="str">
        <f>IFERROR(__xludf.DUMMYFUNCTION("""COMPUTED_VALUE"""),"Pradeep Kothari2025-09-0310")</f>
        <v>Pradeep Kothari2025-09-0310</v>
      </c>
      <c r="K1240" s="115">
        <f>IFERROR(__xludf.DUMMYFUNCTION("""COMPUTED_VALUE"""),15744.0)</f>
        <v>15744</v>
      </c>
    </row>
    <row r="1241">
      <c r="A1241" s="115" t="str">
        <f>IFERROR(__xludf.DUMMYFUNCTION("""COMPUTED_VALUE"""),"SOUTH")</f>
        <v>SOUTH</v>
      </c>
      <c r="B1241" s="115" t="str">
        <f>IFERROR(__xludf.DUMMYFUNCTION("""COMPUTED_VALUE"""),"Kandula Sampath")</f>
        <v>Kandula Sampath</v>
      </c>
      <c r="C1241" s="115" t="str">
        <f>IFERROR(__xludf.DUMMYFUNCTION("""COMPUTED_VALUE"""),"EXTERNAL")</f>
        <v>EXTERNAL</v>
      </c>
      <c r="D1241" s="115">
        <f>IFERROR(__xludf.DUMMYFUNCTION("""COMPUTED_VALUE"""),24120.0)</f>
        <v>24120</v>
      </c>
      <c r="E1241" s="115">
        <f>IFERROR(__xludf.DUMMYFUNCTION("""COMPUTED_VALUE"""),3188.0)</f>
        <v>3188</v>
      </c>
      <c r="F1241" s="115">
        <f>IFERROR(__xludf.DUMMYFUNCTION("""COMPUTED_VALUE"""),1382.0)</f>
        <v>1382</v>
      </c>
      <c r="G1241" s="115">
        <f>IFERROR(__xludf.DUMMYFUNCTION("""COMPUTED_VALUE"""),35.0)</f>
        <v>35</v>
      </c>
      <c r="H1241" s="116">
        <f>IFERROR(__xludf.DUMMYFUNCTION("""COMPUTED_VALUE"""),45903.0)</f>
        <v>45903</v>
      </c>
      <c r="I1241" s="115" t="str">
        <f>IFERROR(__xludf.DUMMYFUNCTION("""COMPUTED_VALUE"""),"10")</f>
        <v>10</v>
      </c>
      <c r="J1241" s="115" t="str">
        <f>IFERROR(__xludf.DUMMYFUNCTION("""COMPUTED_VALUE"""),"Kandula Sampath2025-09-0310")</f>
        <v>Kandula Sampath2025-09-0310</v>
      </c>
      <c r="K1241" s="115">
        <f>IFERROR(__xludf.DUMMYFUNCTION("""COMPUTED_VALUE"""),27308.0)</f>
        <v>27308</v>
      </c>
    </row>
    <row r="1242">
      <c r="A1242" s="115" t="str">
        <f>IFERROR(__xludf.DUMMYFUNCTION("""COMPUTED_VALUE"""),"SOUTH")</f>
        <v>SOUTH</v>
      </c>
      <c r="B1242" s="115" t="str">
        <f>IFERROR(__xludf.DUMMYFUNCTION("""COMPUTED_VALUE"""),"Kandula Sampath")</f>
        <v>Kandula Sampath</v>
      </c>
      <c r="C1242" s="115" t="str">
        <f>IFERROR(__xludf.DUMMYFUNCTION("""COMPUTED_VALUE"""),"FLIPKART")</f>
        <v>FLIPKART</v>
      </c>
      <c r="D1242" s="115">
        <f>IFERROR(__xludf.DUMMYFUNCTION("""COMPUTED_VALUE"""),224475.0)</f>
        <v>224475</v>
      </c>
      <c r="E1242" s="115">
        <f>IFERROR(__xludf.DUMMYFUNCTION("""COMPUTED_VALUE"""),19265.0)</f>
        <v>19265</v>
      </c>
      <c r="F1242" s="115">
        <f>IFERROR(__xludf.DUMMYFUNCTION("""COMPUTED_VALUE"""),24921.0)</f>
        <v>24921</v>
      </c>
      <c r="G1242" s="115">
        <f>IFERROR(__xludf.DUMMYFUNCTION("""COMPUTED_VALUE"""),366.0)</f>
        <v>366</v>
      </c>
      <c r="H1242" s="116">
        <f>IFERROR(__xludf.DUMMYFUNCTION("""COMPUTED_VALUE"""),45903.0)</f>
        <v>45903</v>
      </c>
      <c r="I1242" s="115" t="str">
        <f>IFERROR(__xludf.DUMMYFUNCTION("""COMPUTED_VALUE"""),"10")</f>
        <v>10</v>
      </c>
      <c r="J1242" s="115" t="str">
        <f>IFERROR(__xludf.DUMMYFUNCTION("""COMPUTED_VALUE"""),"Kandula Sampath2025-09-0310")</f>
        <v>Kandula Sampath2025-09-0310</v>
      </c>
      <c r="K1242" s="115">
        <f>IFERROR(__xludf.DUMMYFUNCTION("""COMPUTED_VALUE"""),243740.0)</f>
        <v>243740</v>
      </c>
    </row>
    <row r="1243">
      <c r="A1243" s="115" t="str">
        <f>IFERROR(__xludf.DUMMYFUNCTION("""COMPUTED_VALUE"""),"SOUTH")</f>
        <v>SOUTH</v>
      </c>
      <c r="B1243" s="115" t="str">
        <f>IFERROR(__xludf.DUMMYFUNCTION("""COMPUTED_VALUE"""),"Kandula Sampath")</f>
        <v>Kandula Sampath</v>
      </c>
      <c r="C1243" s="115" t="str">
        <f>IFERROR(__xludf.DUMMYFUNCTION("""COMPUTED_VALUE"""),"MYNTRA")</f>
        <v>MYNTRA</v>
      </c>
      <c r="D1243" s="115">
        <f>IFERROR(__xludf.DUMMYFUNCTION("""COMPUTED_VALUE"""),22409.0)</f>
        <v>22409</v>
      </c>
      <c r="E1243" s="115">
        <f>IFERROR(__xludf.DUMMYFUNCTION("""COMPUTED_VALUE"""),5207.0)</f>
        <v>5207</v>
      </c>
      <c r="F1243" s="115">
        <f>IFERROR(__xludf.DUMMYFUNCTION("""COMPUTED_VALUE"""),3110.0)</f>
        <v>3110</v>
      </c>
      <c r="G1243" s="115">
        <f>IFERROR(__xludf.DUMMYFUNCTION("""COMPUTED_VALUE"""),110.0)</f>
        <v>110</v>
      </c>
      <c r="H1243" s="116">
        <f>IFERROR(__xludf.DUMMYFUNCTION("""COMPUTED_VALUE"""),45903.0)</f>
        <v>45903</v>
      </c>
      <c r="I1243" s="115" t="str">
        <f>IFERROR(__xludf.DUMMYFUNCTION("""COMPUTED_VALUE"""),"10")</f>
        <v>10</v>
      </c>
      <c r="J1243" s="115" t="str">
        <f>IFERROR(__xludf.DUMMYFUNCTION("""COMPUTED_VALUE"""),"Kandula Sampath2025-09-0310")</f>
        <v>Kandula Sampath2025-09-0310</v>
      </c>
      <c r="K1243" s="115">
        <f>IFERROR(__xludf.DUMMYFUNCTION("""COMPUTED_VALUE"""),27616.0)</f>
        <v>27616</v>
      </c>
    </row>
    <row r="1244">
      <c r="A1244" s="115" t="str">
        <f>IFERROR(__xludf.DUMMYFUNCTION("""COMPUTED_VALUE"""),"SOUTH")</f>
        <v>SOUTH</v>
      </c>
      <c r="B1244" s="115" t="str">
        <f>IFERROR(__xludf.DUMMYFUNCTION("""COMPUTED_VALUE"""),"Martin A")</f>
        <v>Martin A</v>
      </c>
      <c r="C1244" s="115" t="str">
        <f>IFERROR(__xludf.DUMMYFUNCTION("""COMPUTED_VALUE"""),"EXTERNAL")</f>
        <v>EXTERNAL</v>
      </c>
      <c r="D1244" s="115">
        <f>IFERROR(__xludf.DUMMYFUNCTION("""COMPUTED_VALUE"""),20424.0)</f>
        <v>20424</v>
      </c>
      <c r="E1244" s="115">
        <f>IFERROR(__xludf.DUMMYFUNCTION("""COMPUTED_VALUE"""),2178.0)</f>
        <v>2178</v>
      </c>
      <c r="F1244" s="115">
        <f>IFERROR(__xludf.DUMMYFUNCTION("""COMPUTED_VALUE"""),1032.0)</f>
        <v>1032</v>
      </c>
      <c r="G1244" s="115">
        <f>IFERROR(__xludf.DUMMYFUNCTION("""COMPUTED_VALUE"""),55.0)</f>
        <v>55</v>
      </c>
      <c r="H1244" s="116">
        <f>IFERROR(__xludf.DUMMYFUNCTION("""COMPUTED_VALUE"""),45903.0)</f>
        <v>45903</v>
      </c>
      <c r="I1244" s="115" t="str">
        <f>IFERROR(__xludf.DUMMYFUNCTION("""COMPUTED_VALUE"""),"10")</f>
        <v>10</v>
      </c>
      <c r="J1244" s="115" t="str">
        <f>IFERROR(__xludf.DUMMYFUNCTION("""COMPUTED_VALUE"""),"Martin A2025-09-0310")</f>
        <v>Martin A2025-09-0310</v>
      </c>
      <c r="K1244" s="115">
        <f>IFERROR(__xludf.DUMMYFUNCTION("""COMPUTED_VALUE"""),22602.0)</f>
        <v>22602</v>
      </c>
    </row>
    <row r="1245">
      <c r="A1245" s="115" t="str">
        <f>IFERROR(__xludf.DUMMYFUNCTION("""COMPUTED_VALUE"""),"SOUTH")</f>
        <v>SOUTH</v>
      </c>
      <c r="B1245" s="115" t="str">
        <f>IFERROR(__xludf.DUMMYFUNCTION("""COMPUTED_VALUE"""),"Martin A")</f>
        <v>Martin A</v>
      </c>
      <c r="C1245" s="115" t="str">
        <f>IFERROR(__xludf.DUMMYFUNCTION("""COMPUTED_VALUE"""),"FLIPKART")</f>
        <v>FLIPKART</v>
      </c>
      <c r="D1245" s="115">
        <f>IFERROR(__xludf.DUMMYFUNCTION("""COMPUTED_VALUE"""),172551.0)</f>
        <v>172551</v>
      </c>
      <c r="E1245" s="115">
        <f>IFERROR(__xludf.DUMMYFUNCTION("""COMPUTED_VALUE"""),16475.0)</f>
        <v>16475</v>
      </c>
      <c r="F1245" s="115">
        <f>IFERROR(__xludf.DUMMYFUNCTION("""COMPUTED_VALUE"""),15278.0)</f>
        <v>15278</v>
      </c>
      <c r="G1245" s="115">
        <f>IFERROR(__xludf.DUMMYFUNCTION("""COMPUTED_VALUE"""),499.0)</f>
        <v>499</v>
      </c>
      <c r="H1245" s="116">
        <f>IFERROR(__xludf.DUMMYFUNCTION("""COMPUTED_VALUE"""),45903.0)</f>
        <v>45903</v>
      </c>
      <c r="I1245" s="115" t="str">
        <f>IFERROR(__xludf.DUMMYFUNCTION("""COMPUTED_VALUE"""),"10")</f>
        <v>10</v>
      </c>
      <c r="J1245" s="115" t="str">
        <f>IFERROR(__xludf.DUMMYFUNCTION("""COMPUTED_VALUE"""),"Martin A2025-09-0310")</f>
        <v>Martin A2025-09-0310</v>
      </c>
      <c r="K1245" s="115">
        <f>IFERROR(__xludf.DUMMYFUNCTION("""COMPUTED_VALUE"""),189026.0)</f>
        <v>189026</v>
      </c>
    </row>
    <row r="1246">
      <c r="A1246" s="115" t="str">
        <f>IFERROR(__xludf.DUMMYFUNCTION("""COMPUTED_VALUE"""),"SOUTH")</f>
        <v>SOUTH</v>
      </c>
      <c r="B1246" s="115" t="str">
        <f>IFERROR(__xludf.DUMMYFUNCTION("""COMPUTED_VALUE"""),"Martin A")</f>
        <v>Martin A</v>
      </c>
      <c r="C1246" s="115" t="str">
        <f>IFERROR(__xludf.DUMMYFUNCTION("""COMPUTED_VALUE"""),"MYNTRA")</f>
        <v>MYNTRA</v>
      </c>
      <c r="D1246" s="115">
        <f>IFERROR(__xludf.DUMMYFUNCTION("""COMPUTED_VALUE"""),16097.0)</f>
        <v>16097</v>
      </c>
      <c r="E1246" s="115">
        <f>IFERROR(__xludf.DUMMYFUNCTION("""COMPUTED_VALUE"""),4200.0)</f>
        <v>4200</v>
      </c>
      <c r="F1246" s="115">
        <f>IFERROR(__xludf.DUMMYFUNCTION("""COMPUTED_VALUE"""),1834.0)</f>
        <v>1834</v>
      </c>
      <c r="G1246" s="115">
        <f>IFERROR(__xludf.DUMMYFUNCTION("""COMPUTED_VALUE"""),157.0)</f>
        <v>157</v>
      </c>
      <c r="H1246" s="116">
        <f>IFERROR(__xludf.DUMMYFUNCTION("""COMPUTED_VALUE"""),45903.0)</f>
        <v>45903</v>
      </c>
      <c r="I1246" s="115" t="str">
        <f>IFERROR(__xludf.DUMMYFUNCTION("""COMPUTED_VALUE"""),"10")</f>
        <v>10</v>
      </c>
      <c r="J1246" s="115" t="str">
        <f>IFERROR(__xludf.DUMMYFUNCTION("""COMPUTED_VALUE"""),"Martin A2025-09-0310")</f>
        <v>Martin A2025-09-0310</v>
      </c>
      <c r="K1246" s="115">
        <f>IFERROR(__xludf.DUMMYFUNCTION("""COMPUTED_VALUE"""),20297.0)</f>
        <v>20297</v>
      </c>
    </row>
    <row r="1247">
      <c r="A1247" s="115" t="str">
        <f>IFERROR(__xludf.DUMMYFUNCTION("""COMPUTED_VALUE"""),"SOUTH")</f>
        <v>SOUTH</v>
      </c>
      <c r="B1247" s="115" t="str">
        <f>IFERROR(__xludf.DUMMYFUNCTION("""COMPUTED_VALUE"""),"Premkumar M")</f>
        <v>Premkumar M</v>
      </c>
      <c r="C1247" s="115" t="str">
        <f>IFERROR(__xludf.DUMMYFUNCTION("""COMPUTED_VALUE"""),"EXTERNAL")</f>
        <v>EXTERNAL</v>
      </c>
      <c r="D1247" s="115">
        <f>IFERROR(__xludf.DUMMYFUNCTION("""COMPUTED_VALUE"""),11105.0)</f>
        <v>11105</v>
      </c>
      <c r="E1247" s="115">
        <f>IFERROR(__xludf.DUMMYFUNCTION("""COMPUTED_VALUE"""),772.0)</f>
        <v>772</v>
      </c>
      <c r="F1247" s="115">
        <f>IFERROR(__xludf.DUMMYFUNCTION("""COMPUTED_VALUE"""),396.0)</f>
        <v>396</v>
      </c>
      <c r="G1247" s="115">
        <f>IFERROR(__xludf.DUMMYFUNCTION("""COMPUTED_VALUE"""),6.0)</f>
        <v>6</v>
      </c>
      <c r="H1247" s="116">
        <f>IFERROR(__xludf.DUMMYFUNCTION("""COMPUTED_VALUE"""),45903.0)</f>
        <v>45903</v>
      </c>
      <c r="I1247" s="115" t="str">
        <f>IFERROR(__xludf.DUMMYFUNCTION("""COMPUTED_VALUE"""),"10")</f>
        <v>10</v>
      </c>
      <c r="J1247" s="115" t="str">
        <f>IFERROR(__xludf.DUMMYFUNCTION("""COMPUTED_VALUE"""),"Premkumar M2025-09-0310")</f>
        <v>Premkumar M2025-09-0310</v>
      </c>
      <c r="K1247" s="115">
        <f>IFERROR(__xludf.DUMMYFUNCTION("""COMPUTED_VALUE"""),11877.0)</f>
        <v>11877</v>
      </c>
    </row>
    <row r="1248">
      <c r="A1248" s="115" t="str">
        <f>IFERROR(__xludf.DUMMYFUNCTION("""COMPUTED_VALUE"""),"SOUTH")</f>
        <v>SOUTH</v>
      </c>
      <c r="B1248" s="115" t="str">
        <f>IFERROR(__xludf.DUMMYFUNCTION("""COMPUTED_VALUE"""),"Premkumar M")</f>
        <v>Premkumar M</v>
      </c>
      <c r="C1248" s="115" t="str">
        <f>IFERROR(__xludf.DUMMYFUNCTION("""COMPUTED_VALUE"""),"FLIPKART")</f>
        <v>FLIPKART</v>
      </c>
      <c r="D1248" s="115">
        <f>IFERROR(__xludf.DUMMYFUNCTION("""COMPUTED_VALUE"""),105742.0)</f>
        <v>105742</v>
      </c>
      <c r="E1248" s="115">
        <f>IFERROR(__xludf.DUMMYFUNCTION("""COMPUTED_VALUE"""),6341.0)</f>
        <v>6341</v>
      </c>
      <c r="F1248" s="115">
        <f>IFERROR(__xludf.DUMMYFUNCTION("""COMPUTED_VALUE"""),6231.0)</f>
        <v>6231</v>
      </c>
      <c r="G1248" s="115">
        <f>IFERROR(__xludf.DUMMYFUNCTION("""COMPUTED_VALUE"""),104.0)</f>
        <v>104</v>
      </c>
      <c r="H1248" s="116">
        <f>IFERROR(__xludf.DUMMYFUNCTION("""COMPUTED_VALUE"""),45903.0)</f>
        <v>45903</v>
      </c>
      <c r="I1248" s="115" t="str">
        <f>IFERROR(__xludf.DUMMYFUNCTION("""COMPUTED_VALUE"""),"10")</f>
        <v>10</v>
      </c>
      <c r="J1248" s="115" t="str">
        <f>IFERROR(__xludf.DUMMYFUNCTION("""COMPUTED_VALUE"""),"Premkumar M2025-09-0310")</f>
        <v>Premkumar M2025-09-0310</v>
      </c>
      <c r="K1248" s="115">
        <f>IFERROR(__xludf.DUMMYFUNCTION("""COMPUTED_VALUE"""),112083.0)</f>
        <v>112083</v>
      </c>
    </row>
    <row r="1249">
      <c r="A1249" s="115" t="str">
        <f>IFERROR(__xludf.DUMMYFUNCTION("""COMPUTED_VALUE"""),"SOUTH")</f>
        <v>SOUTH</v>
      </c>
      <c r="B1249" s="115" t="str">
        <f>IFERROR(__xludf.DUMMYFUNCTION("""COMPUTED_VALUE"""),"Premkumar M")</f>
        <v>Premkumar M</v>
      </c>
      <c r="C1249" s="115" t="str">
        <f>IFERROR(__xludf.DUMMYFUNCTION("""COMPUTED_VALUE"""),"MYNTRA")</f>
        <v>MYNTRA</v>
      </c>
      <c r="D1249" s="115">
        <f>IFERROR(__xludf.DUMMYFUNCTION("""COMPUTED_VALUE"""),6206.0)</f>
        <v>6206</v>
      </c>
      <c r="E1249" s="115">
        <f>IFERROR(__xludf.DUMMYFUNCTION("""COMPUTED_VALUE"""),966.0)</f>
        <v>966</v>
      </c>
      <c r="F1249" s="115">
        <f>IFERROR(__xludf.DUMMYFUNCTION("""COMPUTED_VALUE"""),446.0)</f>
        <v>446</v>
      </c>
      <c r="G1249" s="115">
        <f>IFERROR(__xludf.DUMMYFUNCTION("""COMPUTED_VALUE"""),20.0)</f>
        <v>20</v>
      </c>
      <c r="H1249" s="116">
        <f>IFERROR(__xludf.DUMMYFUNCTION("""COMPUTED_VALUE"""),45903.0)</f>
        <v>45903</v>
      </c>
      <c r="I1249" s="115" t="str">
        <f>IFERROR(__xludf.DUMMYFUNCTION("""COMPUTED_VALUE"""),"10")</f>
        <v>10</v>
      </c>
      <c r="J1249" s="115" t="str">
        <f>IFERROR(__xludf.DUMMYFUNCTION("""COMPUTED_VALUE"""),"Premkumar M2025-09-0310")</f>
        <v>Premkumar M2025-09-0310</v>
      </c>
      <c r="K1249" s="115">
        <f>IFERROR(__xludf.DUMMYFUNCTION("""COMPUTED_VALUE"""),7172.0)</f>
        <v>7172</v>
      </c>
    </row>
    <row r="1250">
      <c r="A1250" s="115" t="str">
        <f>IFERROR(__xludf.DUMMYFUNCTION("""COMPUTED_VALUE"""),"SOUTH")</f>
        <v>SOUTH</v>
      </c>
      <c r="B1250" s="115" t="str">
        <f>IFERROR(__xludf.DUMMYFUNCTION("""COMPUTED_VALUE"""),"Vineeth V")</f>
        <v>Vineeth V</v>
      </c>
      <c r="C1250" s="115" t="str">
        <f>IFERROR(__xludf.DUMMYFUNCTION("""COMPUTED_VALUE"""),"EXTERNAL")</f>
        <v>EXTERNAL</v>
      </c>
      <c r="D1250" s="115">
        <f>IFERROR(__xludf.DUMMYFUNCTION("""COMPUTED_VALUE"""),6005.0)</f>
        <v>6005</v>
      </c>
      <c r="E1250" s="115">
        <f>IFERROR(__xludf.DUMMYFUNCTION("""COMPUTED_VALUE"""),223.0)</f>
        <v>223</v>
      </c>
      <c r="F1250" s="115">
        <f>IFERROR(__xludf.DUMMYFUNCTION("""COMPUTED_VALUE"""),121.0)</f>
        <v>121</v>
      </c>
      <c r="G1250" s="115">
        <f>IFERROR(__xludf.DUMMYFUNCTION("""COMPUTED_VALUE"""),0.0)</f>
        <v>0</v>
      </c>
      <c r="H1250" s="116">
        <f>IFERROR(__xludf.DUMMYFUNCTION("""COMPUTED_VALUE"""),45903.0)</f>
        <v>45903</v>
      </c>
      <c r="I1250" s="115" t="str">
        <f>IFERROR(__xludf.DUMMYFUNCTION("""COMPUTED_VALUE"""),"10")</f>
        <v>10</v>
      </c>
      <c r="J1250" s="115" t="str">
        <f>IFERROR(__xludf.DUMMYFUNCTION("""COMPUTED_VALUE"""),"Vineeth V2025-09-0310")</f>
        <v>Vineeth V2025-09-0310</v>
      </c>
      <c r="K1250" s="115">
        <f>IFERROR(__xludf.DUMMYFUNCTION("""COMPUTED_VALUE"""),6228.0)</f>
        <v>6228</v>
      </c>
    </row>
    <row r="1251">
      <c r="A1251" s="115" t="str">
        <f>IFERROR(__xludf.DUMMYFUNCTION("""COMPUTED_VALUE"""),"SOUTH")</f>
        <v>SOUTH</v>
      </c>
      <c r="B1251" s="115" t="str">
        <f>IFERROR(__xludf.DUMMYFUNCTION("""COMPUTED_VALUE"""),"Vineeth V")</f>
        <v>Vineeth V</v>
      </c>
      <c r="C1251" s="115" t="str">
        <f>IFERROR(__xludf.DUMMYFUNCTION("""COMPUTED_VALUE"""),"FLIPKART")</f>
        <v>FLIPKART</v>
      </c>
      <c r="D1251" s="115">
        <f>IFERROR(__xludf.DUMMYFUNCTION("""COMPUTED_VALUE"""),65707.0)</f>
        <v>65707</v>
      </c>
      <c r="E1251" s="115">
        <f>IFERROR(__xludf.DUMMYFUNCTION("""COMPUTED_VALUE"""),3913.0)</f>
        <v>3913</v>
      </c>
      <c r="F1251" s="115">
        <f>IFERROR(__xludf.DUMMYFUNCTION("""COMPUTED_VALUE"""),2603.0)</f>
        <v>2603</v>
      </c>
      <c r="G1251" s="115">
        <f>IFERROR(__xludf.DUMMYFUNCTION("""COMPUTED_VALUE"""),40.0)</f>
        <v>40</v>
      </c>
      <c r="H1251" s="116">
        <f>IFERROR(__xludf.DUMMYFUNCTION("""COMPUTED_VALUE"""),45903.0)</f>
        <v>45903</v>
      </c>
      <c r="I1251" s="115" t="str">
        <f>IFERROR(__xludf.DUMMYFUNCTION("""COMPUTED_VALUE"""),"10")</f>
        <v>10</v>
      </c>
      <c r="J1251" s="115" t="str">
        <f>IFERROR(__xludf.DUMMYFUNCTION("""COMPUTED_VALUE"""),"Vineeth V2025-09-0310")</f>
        <v>Vineeth V2025-09-0310</v>
      </c>
      <c r="K1251" s="115">
        <f>IFERROR(__xludf.DUMMYFUNCTION("""COMPUTED_VALUE"""),69620.0)</f>
        <v>69620</v>
      </c>
    </row>
    <row r="1252">
      <c r="A1252" s="115" t="str">
        <f>IFERROR(__xludf.DUMMYFUNCTION("""COMPUTED_VALUE"""),"SOUTH")</f>
        <v>SOUTH</v>
      </c>
      <c r="B1252" s="115" t="str">
        <f>IFERROR(__xludf.DUMMYFUNCTION("""COMPUTED_VALUE"""),"Vineeth V")</f>
        <v>Vineeth V</v>
      </c>
      <c r="C1252" s="115" t="str">
        <f>IFERROR(__xludf.DUMMYFUNCTION("""COMPUTED_VALUE"""),"MYNTRA")</f>
        <v>MYNTRA</v>
      </c>
      <c r="D1252" s="115">
        <f>IFERROR(__xludf.DUMMYFUNCTION("""COMPUTED_VALUE"""),7009.0)</f>
        <v>7009</v>
      </c>
      <c r="E1252" s="115">
        <f>IFERROR(__xludf.DUMMYFUNCTION("""COMPUTED_VALUE"""),990.0)</f>
        <v>990</v>
      </c>
      <c r="F1252" s="115">
        <f>IFERROR(__xludf.DUMMYFUNCTION("""COMPUTED_VALUE"""),374.0)</f>
        <v>374</v>
      </c>
      <c r="G1252" s="115">
        <f>IFERROR(__xludf.DUMMYFUNCTION("""COMPUTED_VALUE"""),7.0)</f>
        <v>7</v>
      </c>
      <c r="H1252" s="116">
        <f>IFERROR(__xludf.DUMMYFUNCTION("""COMPUTED_VALUE"""),45903.0)</f>
        <v>45903</v>
      </c>
      <c r="I1252" s="115" t="str">
        <f>IFERROR(__xludf.DUMMYFUNCTION("""COMPUTED_VALUE"""),"10")</f>
        <v>10</v>
      </c>
      <c r="J1252" s="115" t="str">
        <f>IFERROR(__xludf.DUMMYFUNCTION("""COMPUTED_VALUE"""),"Vineeth V2025-09-0310")</f>
        <v>Vineeth V2025-09-0310</v>
      </c>
      <c r="K1252" s="115">
        <f>IFERROR(__xludf.DUMMYFUNCTION("""COMPUTED_VALUE"""),7999.0)</f>
        <v>7999</v>
      </c>
    </row>
    <row r="1253">
      <c r="A1253" s="115" t="str">
        <f>IFERROR(__xludf.DUMMYFUNCTION("""COMPUTED_VALUE"""),"WEST")</f>
        <v>WEST</v>
      </c>
      <c r="B1253" s="115" t="str">
        <f>IFERROR(__xludf.DUMMYFUNCTION("""COMPUTED_VALUE"""),"Ashish Jakar")</f>
        <v>Ashish Jakar</v>
      </c>
      <c r="C1253" s="115" t="str">
        <f>IFERROR(__xludf.DUMMYFUNCTION("""COMPUTED_VALUE"""),"EXTERNAL")</f>
        <v>EXTERNAL</v>
      </c>
      <c r="D1253" s="115">
        <f>IFERROR(__xludf.DUMMYFUNCTION("""COMPUTED_VALUE"""),26176.0)</f>
        <v>26176</v>
      </c>
      <c r="E1253" s="115">
        <f>IFERROR(__xludf.DUMMYFUNCTION("""COMPUTED_VALUE"""),3950.0)</f>
        <v>3950</v>
      </c>
      <c r="F1253" s="115">
        <f>IFERROR(__xludf.DUMMYFUNCTION("""COMPUTED_VALUE"""),1042.0)</f>
        <v>1042</v>
      </c>
      <c r="G1253" s="115">
        <f>IFERROR(__xludf.DUMMYFUNCTION("""COMPUTED_VALUE"""),59.0)</f>
        <v>59</v>
      </c>
      <c r="H1253" s="116">
        <f>IFERROR(__xludf.DUMMYFUNCTION("""COMPUTED_VALUE"""),45903.0)</f>
        <v>45903</v>
      </c>
      <c r="I1253" s="115" t="str">
        <f>IFERROR(__xludf.DUMMYFUNCTION("""COMPUTED_VALUE"""),"10")</f>
        <v>10</v>
      </c>
      <c r="J1253" s="115" t="str">
        <f>IFERROR(__xludf.DUMMYFUNCTION("""COMPUTED_VALUE"""),"Ashish Jakar2025-09-0310")</f>
        <v>Ashish Jakar2025-09-0310</v>
      </c>
      <c r="K1253" s="115">
        <f>IFERROR(__xludf.DUMMYFUNCTION("""COMPUTED_VALUE"""),30126.0)</f>
        <v>30126</v>
      </c>
    </row>
    <row r="1254">
      <c r="A1254" s="115" t="str">
        <f>IFERROR(__xludf.DUMMYFUNCTION("""COMPUTED_VALUE"""),"WEST")</f>
        <v>WEST</v>
      </c>
      <c r="B1254" s="115" t="str">
        <f>IFERROR(__xludf.DUMMYFUNCTION("""COMPUTED_VALUE"""),"Ashish Jakar")</f>
        <v>Ashish Jakar</v>
      </c>
      <c r="C1254" s="115" t="str">
        <f>IFERROR(__xludf.DUMMYFUNCTION("""COMPUTED_VALUE"""),"FLIPKART")</f>
        <v>FLIPKART</v>
      </c>
      <c r="D1254" s="115">
        <f>IFERROR(__xludf.DUMMYFUNCTION("""COMPUTED_VALUE"""),167222.0)</f>
        <v>167222</v>
      </c>
      <c r="E1254" s="115">
        <f>IFERROR(__xludf.DUMMYFUNCTION("""COMPUTED_VALUE"""),17220.0)</f>
        <v>17220</v>
      </c>
      <c r="F1254" s="115">
        <f>IFERROR(__xludf.DUMMYFUNCTION("""COMPUTED_VALUE"""),9796.0)</f>
        <v>9796</v>
      </c>
      <c r="G1254" s="115">
        <f>IFERROR(__xludf.DUMMYFUNCTION("""COMPUTED_VALUE"""),431.0)</f>
        <v>431</v>
      </c>
      <c r="H1254" s="116">
        <f>IFERROR(__xludf.DUMMYFUNCTION("""COMPUTED_VALUE"""),45903.0)</f>
        <v>45903</v>
      </c>
      <c r="I1254" s="115" t="str">
        <f>IFERROR(__xludf.DUMMYFUNCTION("""COMPUTED_VALUE"""),"10")</f>
        <v>10</v>
      </c>
      <c r="J1254" s="115" t="str">
        <f>IFERROR(__xludf.DUMMYFUNCTION("""COMPUTED_VALUE"""),"Ashish Jakar2025-09-0310")</f>
        <v>Ashish Jakar2025-09-0310</v>
      </c>
      <c r="K1254" s="115">
        <f>IFERROR(__xludf.DUMMYFUNCTION("""COMPUTED_VALUE"""),184442.0)</f>
        <v>184442</v>
      </c>
    </row>
    <row r="1255">
      <c r="A1255" s="115" t="str">
        <f>IFERROR(__xludf.DUMMYFUNCTION("""COMPUTED_VALUE"""),"WEST")</f>
        <v>WEST</v>
      </c>
      <c r="B1255" s="115" t="str">
        <f>IFERROR(__xludf.DUMMYFUNCTION("""COMPUTED_VALUE"""),"Ashish Jakar")</f>
        <v>Ashish Jakar</v>
      </c>
      <c r="C1255" s="115" t="str">
        <f>IFERROR(__xludf.DUMMYFUNCTION("""COMPUTED_VALUE"""),"MYNTRA")</f>
        <v>MYNTRA</v>
      </c>
      <c r="D1255" s="115">
        <f>IFERROR(__xludf.DUMMYFUNCTION("""COMPUTED_VALUE"""),18704.0)</f>
        <v>18704</v>
      </c>
      <c r="E1255" s="115">
        <f>IFERROR(__xludf.DUMMYFUNCTION("""COMPUTED_VALUE"""),5761.0)</f>
        <v>5761</v>
      </c>
      <c r="F1255" s="115">
        <f>IFERROR(__xludf.DUMMYFUNCTION("""COMPUTED_VALUE"""),1429.0)</f>
        <v>1429</v>
      </c>
      <c r="G1255" s="115">
        <f>IFERROR(__xludf.DUMMYFUNCTION("""COMPUTED_VALUE"""),138.0)</f>
        <v>138</v>
      </c>
      <c r="H1255" s="116">
        <f>IFERROR(__xludf.DUMMYFUNCTION("""COMPUTED_VALUE"""),45903.0)</f>
        <v>45903</v>
      </c>
      <c r="I1255" s="115" t="str">
        <f>IFERROR(__xludf.DUMMYFUNCTION("""COMPUTED_VALUE"""),"10")</f>
        <v>10</v>
      </c>
      <c r="J1255" s="115" t="str">
        <f>IFERROR(__xludf.DUMMYFUNCTION("""COMPUTED_VALUE"""),"Ashish Jakar2025-09-0310")</f>
        <v>Ashish Jakar2025-09-0310</v>
      </c>
      <c r="K1255" s="115">
        <f>IFERROR(__xludf.DUMMYFUNCTION("""COMPUTED_VALUE"""),24465.0)</f>
        <v>24465</v>
      </c>
    </row>
    <row r="1256">
      <c r="A1256" s="115" t="str">
        <f>IFERROR(__xludf.DUMMYFUNCTION("""COMPUTED_VALUE"""),"WEST")</f>
        <v>WEST</v>
      </c>
      <c r="B1256" s="115" t="str">
        <f>IFERROR(__xludf.DUMMYFUNCTION("""COMPUTED_VALUE"""),"Ashvani Bhatt")</f>
        <v>Ashvani Bhatt</v>
      </c>
      <c r="C1256" s="115" t="str">
        <f>IFERROR(__xludf.DUMMYFUNCTION("""COMPUTED_VALUE"""),"EXTERNAL")</f>
        <v>EXTERNAL</v>
      </c>
      <c r="D1256" s="115">
        <f>IFERROR(__xludf.DUMMYFUNCTION("""COMPUTED_VALUE"""),17738.0)</f>
        <v>17738</v>
      </c>
      <c r="E1256" s="115">
        <f>IFERROR(__xludf.DUMMYFUNCTION("""COMPUTED_VALUE"""),2110.0)</f>
        <v>2110</v>
      </c>
      <c r="F1256" s="115">
        <f>IFERROR(__xludf.DUMMYFUNCTION("""COMPUTED_VALUE"""),765.0)</f>
        <v>765</v>
      </c>
      <c r="G1256" s="115">
        <f>IFERROR(__xludf.DUMMYFUNCTION("""COMPUTED_VALUE"""),29.0)</f>
        <v>29</v>
      </c>
      <c r="H1256" s="116">
        <f>IFERROR(__xludf.DUMMYFUNCTION("""COMPUTED_VALUE"""),45903.0)</f>
        <v>45903</v>
      </c>
      <c r="I1256" s="115" t="str">
        <f>IFERROR(__xludf.DUMMYFUNCTION("""COMPUTED_VALUE"""),"10")</f>
        <v>10</v>
      </c>
      <c r="J1256" s="115" t="str">
        <f>IFERROR(__xludf.DUMMYFUNCTION("""COMPUTED_VALUE"""),"Ashvani Bhatt2025-09-0310")</f>
        <v>Ashvani Bhatt2025-09-0310</v>
      </c>
      <c r="K1256" s="115">
        <f>IFERROR(__xludf.DUMMYFUNCTION("""COMPUTED_VALUE"""),19848.0)</f>
        <v>19848</v>
      </c>
    </row>
    <row r="1257">
      <c r="A1257" s="115" t="str">
        <f>IFERROR(__xludf.DUMMYFUNCTION("""COMPUTED_VALUE"""),"WEST")</f>
        <v>WEST</v>
      </c>
      <c r="B1257" s="115" t="str">
        <f>IFERROR(__xludf.DUMMYFUNCTION("""COMPUTED_VALUE"""),"Ashvani Bhatt")</f>
        <v>Ashvani Bhatt</v>
      </c>
      <c r="C1257" s="115" t="str">
        <f>IFERROR(__xludf.DUMMYFUNCTION("""COMPUTED_VALUE"""),"FLIPKART")</f>
        <v>FLIPKART</v>
      </c>
      <c r="D1257" s="115">
        <f>IFERROR(__xludf.DUMMYFUNCTION("""COMPUTED_VALUE"""),142206.0)</f>
        <v>142206</v>
      </c>
      <c r="E1257" s="115">
        <f>IFERROR(__xludf.DUMMYFUNCTION("""COMPUTED_VALUE"""),13050.0)</f>
        <v>13050</v>
      </c>
      <c r="F1257" s="115">
        <f>IFERROR(__xludf.DUMMYFUNCTION("""COMPUTED_VALUE"""),12669.0)</f>
        <v>12669</v>
      </c>
      <c r="G1257" s="115">
        <f>IFERROR(__xludf.DUMMYFUNCTION("""COMPUTED_VALUE"""),288.0)</f>
        <v>288</v>
      </c>
      <c r="H1257" s="116">
        <f>IFERROR(__xludf.DUMMYFUNCTION("""COMPUTED_VALUE"""),45903.0)</f>
        <v>45903</v>
      </c>
      <c r="I1257" s="115" t="str">
        <f>IFERROR(__xludf.DUMMYFUNCTION("""COMPUTED_VALUE"""),"10")</f>
        <v>10</v>
      </c>
      <c r="J1257" s="115" t="str">
        <f>IFERROR(__xludf.DUMMYFUNCTION("""COMPUTED_VALUE"""),"Ashvani Bhatt2025-09-0310")</f>
        <v>Ashvani Bhatt2025-09-0310</v>
      </c>
      <c r="K1257" s="115">
        <f>IFERROR(__xludf.DUMMYFUNCTION("""COMPUTED_VALUE"""),155256.0)</f>
        <v>155256</v>
      </c>
    </row>
    <row r="1258">
      <c r="A1258" s="115" t="str">
        <f>IFERROR(__xludf.DUMMYFUNCTION("""COMPUTED_VALUE"""),"WEST")</f>
        <v>WEST</v>
      </c>
      <c r="B1258" s="115" t="str">
        <f>IFERROR(__xludf.DUMMYFUNCTION("""COMPUTED_VALUE"""),"Ashvani Bhatt")</f>
        <v>Ashvani Bhatt</v>
      </c>
      <c r="C1258" s="115" t="str">
        <f>IFERROR(__xludf.DUMMYFUNCTION("""COMPUTED_VALUE"""),"MYNTRA")</f>
        <v>MYNTRA</v>
      </c>
      <c r="D1258" s="115">
        <f>IFERROR(__xludf.DUMMYFUNCTION("""COMPUTED_VALUE"""),17640.0)</f>
        <v>17640</v>
      </c>
      <c r="E1258" s="115">
        <f>IFERROR(__xludf.DUMMYFUNCTION("""COMPUTED_VALUE"""),3878.0)</f>
        <v>3878</v>
      </c>
      <c r="F1258" s="115">
        <f>IFERROR(__xludf.DUMMYFUNCTION("""COMPUTED_VALUE"""),2056.0)</f>
        <v>2056</v>
      </c>
      <c r="G1258" s="115">
        <f>IFERROR(__xludf.DUMMYFUNCTION("""COMPUTED_VALUE"""),98.0)</f>
        <v>98</v>
      </c>
      <c r="H1258" s="116">
        <f>IFERROR(__xludf.DUMMYFUNCTION("""COMPUTED_VALUE"""),45903.0)</f>
        <v>45903</v>
      </c>
      <c r="I1258" s="115" t="str">
        <f>IFERROR(__xludf.DUMMYFUNCTION("""COMPUTED_VALUE"""),"10")</f>
        <v>10</v>
      </c>
      <c r="J1258" s="115" t="str">
        <f>IFERROR(__xludf.DUMMYFUNCTION("""COMPUTED_VALUE"""),"Ashvani Bhatt2025-09-0310")</f>
        <v>Ashvani Bhatt2025-09-0310</v>
      </c>
      <c r="K1258" s="115">
        <f>IFERROR(__xludf.DUMMYFUNCTION("""COMPUTED_VALUE"""),21518.0)</f>
        <v>21518</v>
      </c>
    </row>
    <row r="1259">
      <c r="A1259" s="115"/>
      <c r="B1259" s="115"/>
      <c r="C1259" s="115" t="str">
        <f>IFERROR(__xludf.DUMMYFUNCTION("""COMPUTED_VALUE"""),"EXTERNAL")</f>
        <v>EXTERNAL</v>
      </c>
      <c r="D1259" s="115">
        <f>IFERROR(__xludf.DUMMYFUNCTION("""COMPUTED_VALUE"""),158.0)</f>
        <v>158</v>
      </c>
      <c r="E1259" s="115">
        <f>IFERROR(__xludf.DUMMYFUNCTION("""COMPUTED_VALUE"""),23.0)</f>
        <v>23</v>
      </c>
      <c r="F1259" s="115">
        <f>IFERROR(__xludf.DUMMYFUNCTION("""COMPUTED_VALUE"""),9.0)</f>
        <v>9</v>
      </c>
      <c r="G1259" s="115">
        <f>IFERROR(__xludf.DUMMYFUNCTION("""COMPUTED_VALUE"""),2.0)</f>
        <v>2</v>
      </c>
      <c r="H1259" s="116">
        <f>IFERROR(__xludf.DUMMYFUNCTION("""COMPUTED_VALUE"""),45903.0)</f>
        <v>45903</v>
      </c>
      <c r="I1259" s="115" t="str">
        <f>IFERROR(__xludf.DUMMYFUNCTION("""COMPUTED_VALUE"""),"10")</f>
        <v>10</v>
      </c>
      <c r="J1259" s="115" t="str">
        <f>IFERROR(__xludf.DUMMYFUNCTION("""COMPUTED_VALUE"""),"2025-09-0310")</f>
        <v>2025-09-0310</v>
      </c>
      <c r="K1259" s="115">
        <f>IFERROR(__xludf.DUMMYFUNCTION("""COMPUTED_VALUE"""),181.0)</f>
        <v>181</v>
      </c>
    </row>
    <row r="1260">
      <c r="A1260" s="115"/>
      <c r="B1260" s="115"/>
      <c r="C1260" s="115" t="str">
        <f>IFERROR(__xludf.DUMMYFUNCTION("""COMPUTED_VALUE"""),"FLIPKART")</f>
        <v>FLIPKART</v>
      </c>
      <c r="D1260" s="115">
        <f>IFERROR(__xludf.DUMMYFUNCTION("""COMPUTED_VALUE"""),1150.0)</f>
        <v>1150</v>
      </c>
      <c r="E1260" s="115">
        <f>IFERROR(__xludf.DUMMYFUNCTION("""COMPUTED_VALUE"""),113.0)</f>
        <v>113</v>
      </c>
      <c r="F1260" s="115">
        <f>IFERROR(__xludf.DUMMYFUNCTION("""COMPUTED_VALUE"""),65.0)</f>
        <v>65</v>
      </c>
      <c r="G1260" s="115">
        <f>IFERROR(__xludf.DUMMYFUNCTION("""COMPUTED_VALUE"""),1.0)</f>
        <v>1</v>
      </c>
      <c r="H1260" s="116">
        <f>IFERROR(__xludf.DUMMYFUNCTION("""COMPUTED_VALUE"""),45903.0)</f>
        <v>45903</v>
      </c>
      <c r="I1260" s="115" t="str">
        <f>IFERROR(__xludf.DUMMYFUNCTION("""COMPUTED_VALUE"""),"10")</f>
        <v>10</v>
      </c>
      <c r="J1260" s="115" t="str">
        <f>IFERROR(__xludf.DUMMYFUNCTION("""COMPUTED_VALUE"""),"2025-09-0310")</f>
        <v>2025-09-0310</v>
      </c>
      <c r="K1260" s="115">
        <f>IFERROR(__xludf.DUMMYFUNCTION("""COMPUTED_VALUE"""),1263.0)</f>
        <v>1263</v>
      </c>
    </row>
    <row r="1261">
      <c r="A1261" s="115"/>
      <c r="B1261" s="115"/>
      <c r="C1261" s="115" t="str">
        <f>IFERROR(__xludf.DUMMYFUNCTION("""COMPUTED_VALUE"""),"MYNTRA")</f>
        <v>MYNTRA</v>
      </c>
      <c r="D1261" s="115">
        <f>IFERROR(__xludf.DUMMYFUNCTION("""COMPUTED_VALUE"""),100.0)</f>
        <v>100</v>
      </c>
      <c r="E1261" s="115">
        <f>IFERROR(__xludf.DUMMYFUNCTION("""COMPUTED_VALUE"""),85.0)</f>
        <v>85</v>
      </c>
      <c r="F1261" s="115">
        <f>IFERROR(__xludf.DUMMYFUNCTION("""COMPUTED_VALUE"""),4.0)</f>
        <v>4</v>
      </c>
      <c r="G1261" s="115">
        <f>IFERROR(__xludf.DUMMYFUNCTION("""COMPUTED_VALUE"""),0.0)</f>
        <v>0</v>
      </c>
      <c r="H1261" s="116">
        <f>IFERROR(__xludf.DUMMYFUNCTION("""COMPUTED_VALUE"""),45903.0)</f>
        <v>45903</v>
      </c>
      <c r="I1261" s="115" t="str">
        <f>IFERROR(__xludf.DUMMYFUNCTION("""COMPUTED_VALUE"""),"10")</f>
        <v>10</v>
      </c>
      <c r="J1261" s="115" t="str">
        <f>IFERROR(__xludf.DUMMYFUNCTION("""COMPUTED_VALUE"""),"2025-09-0310")</f>
        <v>2025-09-0310</v>
      </c>
      <c r="K1261" s="115">
        <f>IFERROR(__xludf.DUMMYFUNCTION("""COMPUTED_VALUE"""),185.0)</f>
        <v>185</v>
      </c>
    </row>
    <row r="1262">
      <c r="A1262" s="115" t="str">
        <f>IFERROR(__xludf.DUMMYFUNCTION("""COMPUTED_VALUE"""),"EAST")</f>
        <v>EAST</v>
      </c>
      <c r="B1262" s="115" t="str">
        <f>IFERROR(__xludf.DUMMYFUNCTION("""COMPUTED_VALUE"""),"Ashish Ranjan")</f>
        <v>Ashish Ranjan</v>
      </c>
      <c r="C1262" s="115" t="str">
        <f>IFERROR(__xludf.DUMMYFUNCTION("""COMPUTED_VALUE"""),"EXTERNAL")</f>
        <v>EXTERNAL</v>
      </c>
      <c r="D1262" s="115">
        <f>IFERROR(__xludf.DUMMYFUNCTION("""COMPUTED_VALUE"""),30795.0)</f>
        <v>30795</v>
      </c>
      <c r="E1262" s="115">
        <f>IFERROR(__xludf.DUMMYFUNCTION("""COMPUTED_VALUE"""),3445.0)</f>
        <v>3445</v>
      </c>
      <c r="F1262" s="115">
        <f>IFERROR(__xludf.DUMMYFUNCTION("""COMPUTED_VALUE"""),3455.0)</f>
        <v>3455</v>
      </c>
      <c r="G1262" s="115">
        <f>IFERROR(__xludf.DUMMYFUNCTION("""COMPUTED_VALUE"""),122.0)</f>
        <v>122</v>
      </c>
      <c r="H1262" s="116">
        <f>IFERROR(__xludf.DUMMYFUNCTION("""COMPUTED_VALUE"""),45903.0)</f>
        <v>45903</v>
      </c>
      <c r="I1262" s="115" t="str">
        <f>IFERROR(__xludf.DUMMYFUNCTION("""COMPUTED_VALUE"""),"11")</f>
        <v>11</v>
      </c>
      <c r="J1262" s="115" t="str">
        <f>IFERROR(__xludf.DUMMYFUNCTION("""COMPUTED_VALUE"""),"Ashish Ranjan2025-09-0311")</f>
        <v>Ashish Ranjan2025-09-0311</v>
      </c>
      <c r="K1262" s="115">
        <f>IFERROR(__xludf.DUMMYFUNCTION("""COMPUTED_VALUE"""),34240.0)</f>
        <v>34240</v>
      </c>
    </row>
    <row r="1263">
      <c r="A1263" s="115" t="str">
        <f>IFERROR(__xludf.DUMMYFUNCTION("""COMPUTED_VALUE"""),"EAST")</f>
        <v>EAST</v>
      </c>
      <c r="B1263" s="115" t="str">
        <f>IFERROR(__xludf.DUMMYFUNCTION("""COMPUTED_VALUE"""),"Ashish Ranjan")</f>
        <v>Ashish Ranjan</v>
      </c>
      <c r="C1263" s="115" t="str">
        <f>IFERROR(__xludf.DUMMYFUNCTION("""COMPUTED_VALUE"""),"FLIPKART")</f>
        <v>FLIPKART</v>
      </c>
      <c r="D1263" s="115">
        <f>IFERROR(__xludf.DUMMYFUNCTION("""COMPUTED_VALUE"""),494155.0)</f>
        <v>494155</v>
      </c>
      <c r="E1263" s="115">
        <f>IFERROR(__xludf.DUMMYFUNCTION("""COMPUTED_VALUE"""),42603.0)</f>
        <v>42603</v>
      </c>
      <c r="F1263" s="115">
        <f>IFERROR(__xludf.DUMMYFUNCTION("""COMPUTED_VALUE"""),95325.0)</f>
        <v>95325</v>
      </c>
      <c r="G1263" s="115">
        <f>IFERROR(__xludf.DUMMYFUNCTION("""COMPUTED_VALUE"""),2363.0)</f>
        <v>2363</v>
      </c>
      <c r="H1263" s="116">
        <f>IFERROR(__xludf.DUMMYFUNCTION("""COMPUTED_VALUE"""),45903.0)</f>
        <v>45903</v>
      </c>
      <c r="I1263" s="115" t="str">
        <f>IFERROR(__xludf.DUMMYFUNCTION("""COMPUTED_VALUE"""),"11")</f>
        <v>11</v>
      </c>
      <c r="J1263" s="115" t="str">
        <f>IFERROR(__xludf.DUMMYFUNCTION("""COMPUTED_VALUE"""),"Ashish Ranjan2025-09-0311")</f>
        <v>Ashish Ranjan2025-09-0311</v>
      </c>
      <c r="K1263" s="115">
        <f>IFERROR(__xludf.DUMMYFUNCTION("""COMPUTED_VALUE"""),536758.0)</f>
        <v>536758</v>
      </c>
    </row>
    <row r="1264">
      <c r="A1264" s="115" t="str">
        <f>IFERROR(__xludf.DUMMYFUNCTION("""COMPUTED_VALUE"""),"EAST")</f>
        <v>EAST</v>
      </c>
      <c r="B1264" s="115" t="str">
        <f>IFERROR(__xludf.DUMMYFUNCTION("""COMPUTED_VALUE"""),"Ashish Ranjan")</f>
        <v>Ashish Ranjan</v>
      </c>
      <c r="C1264" s="115" t="str">
        <f>IFERROR(__xludf.DUMMYFUNCTION("""COMPUTED_VALUE"""),"MYNTRA")</f>
        <v>MYNTRA</v>
      </c>
      <c r="D1264" s="115">
        <f>IFERROR(__xludf.DUMMYFUNCTION("""COMPUTED_VALUE"""),43801.0)</f>
        <v>43801</v>
      </c>
      <c r="E1264" s="115">
        <f>IFERROR(__xludf.DUMMYFUNCTION("""COMPUTED_VALUE"""),9542.0)</f>
        <v>9542</v>
      </c>
      <c r="F1264" s="115">
        <f>IFERROR(__xludf.DUMMYFUNCTION("""COMPUTED_VALUE"""),8717.0)</f>
        <v>8717</v>
      </c>
      <c r="G1264" s="115">
        <f>IFERROR(__xludf.DUMMYFUNCTION("""COMPUTED_VALUE"""),598.0)</f>
        <v>598</v>
      </c>
      <c r="H1264" s="116">
        <f>IFERROR(__xludf.DUMMYFUNCTION("""COMPUTED_VALUE"""),45903.0)</f>
        <v>45903</v>
      </c>
      <c r="I1264" s="115" t="str">
        <f>IFERROR(__xludf.DUMMYFUNCTION("""COMPUTED_VALUE"""),"11")</f>
        <v>11</v>
      </c>
      <c r="J1264" s="115" t="str">
        <f>IFERROR(__xludf.DUMMYFUNCTION("""COMPUTED_VALUE"""),"Ashish Ranjan2025-09-0311")</f>
        <v>Ashish Ranjan2025-09-0311</v>
      </c>
      <c r="K1264" s="115">
        <f>IFERROR(__xludf.DUMMYFUNCTION("""COMPUTED_VALUE"""),53343.0)</f>
        <v>53343</v>
      </c>
    </row>
    <row r="1265">
      <c r="A1265" s="115" t="str">
        <f>IFERROR(__xludf.DUMMYFUNCTION("""COMPUTED_VALUE"""),"EAST")</f>
        <v>EAST</v>
      </c>
      <c r="B1265" s="115" t="str">
        <f>IFERROR(__xludf.DUMMYFUNCTION("""COMPUTED_VALUE"""),"Girish Chand")</f>
        <v>Girish Chand</v>
      </c>
      <c r="C1265" s="115" t="str">
        <f>IFERROR(__xludf.DUMMYFUNCTION("""COMPUTED_VALUE"""),"EXTERNAL")</f>
        <v>EXTERNAL</v>
      </c>
      <c r="D1265" s="115">
        <f>IFERROR(__xludf.DUMMYFUNCTION("""COMPUTED_VALUE"""),20409.0)</f>
        <v>20409</v>
      </c>
      <c r="E1265" s="115">
        <f>IFERROR(__xludf.DUMMYFUNCTION("""COMPUTED_VALUE"""),2153.0)</f>
        <v>2153</v>
      </c>
      <c r="F1265" s="115">
        <f>IFERROR(__xludf.DUMMYFUNCTION("""COMPUTED_VALUE"""),1310.0)</f>
        <v>1310</v>
      </c>
      <c r="G1265" s="115">
        <f>IFERROR(__xludf.DUMMYFUNCTION("""COMPUTED_VALUE"""),35.0)</f>
        <v>35</v>
      </c>
      <c r="H1265" s="116">
        <f>IFERROR(__xludf.DUMMYFUNCTION("""COMPUTED_VALUE"""),45903.0)</f>
        <v>45903</v>
      </c>
      <c r="I1265" s="115" t="str">
        <f>IFERROR(__xludf.DUMMYFUNCTION("""COMPUTED_VALUE"""),"11")</f>
        <v>11</v>
      </c>
      <c r="J1265" s="115" t="str">
        <f>IFERROR(__xludf.DUMMYFUNCTION("""COMPUTED_VALUE"""),"Girish Chand2025-09-0311")</f>
        <v>Girish Chand2025-09-0311</v>
      </c>
      <c r="K1265" s="115">
        <f>IFERROR(__xludf.DUMMYFUNCTION("""COMPUTED_VALUE"""),22562.0)</f>
        <v>22562</v>
      </c>
    </row>
    <row r="1266">
      <c r="A1266" s="115" t="str">
        <f>IFERROR(__xludf.DUMMYFUNCTION("""COMPUTED_VALUE"""),"EAST")</f>
        <v>EAST</v>
      </c>
      <c r="B1266" s="115" t="str">
        <f>IFERROR(__xludf.DUMMYFUNCTION("""COMPUTED_VALUE"""),"Girish Chand")</f>
        <v>Girish Chand</v>
      </c>
      <c r="C1266" s="115" t="str">
        <f>IFERROR(__xludf.DUMMYFUNCTION("""COMPUTED_VALUE"""),"FLIPKART")</f>
        <v>FLIPKART</v>
      </c>
      <c r="D1266" s="115">
        <f>IFERROR(__xludf.DUMMYFUNCTION("""COMPUTED_VALUE"""),367445.0)</f>
        <v>367445</v>
      </c>
      <c r="E1266" s="115">
        <f>IFERROR(__xludf.DUMMYFUNCTION("""COMPUTED_VALUE"""),26145.0)</f>
        <v>26145</v>
      </c>
      <c r="F1266" s="115">
        <f>IFERROR(__xludf.DUMMYFUNCTION("""COMPUTED_VALUE"""),45477.0)</f>
        <v>45477</v>
      </c>
      <c r="G1266" s="115">
        <f>IFERROR(__xludf.DUMMYFUNCTION("""COMPUTED_VALUE"""),865.0)</f>
        <v>865</v>
      </c>
      <c r="H1266" s="116">
        <f>IFERROR(__xludf.DUMMYFUNCTION("""COMPUTED_VALUE"""),45903.0)</f>
        <v>45903</v>
      </c>
      <c r="I1266" s="115" t="str">
        <f>IFERROR(__xludf.DUMMYFUNCTION("""COMPUTED_VALUE"""),"11")</f>
        <v>11</v>
      </c>
      <c r="J1266" s="115" t="str">
        <f>IFERROR(__xludf.DUMMYFUNCTION("""COMPUTED_VALUE"""),"Girish Chand2025-09-0311")</f>
        <v>Girish Chand2025-09-0311</v>
      </c>
      <c r="K1266" s="115">
        <f>IFERROR(__xludf.DUMMYFUNCTION("""COMPUTED_VALUE"""),393590.0)</f>
        <v>393590</v>
      </c>
    </row>
    <row r="1267">
      <c r="A1267" s="115" t="str">
        <f>IFERROR(__xludf.DUMMYFUNCTION("""COMPUTED_VALUE"""),"EAST")</f>
        <v>EAST</v>
      </c>
      <c r="B1267" s="115" t="str">
        <f>IFERROR(__xludf.DUMMYFUNCTION("""COMPUTED_VALUE"""),"Girish Chand")</f>
        <v>Girish Chand</v>
      </c>
      <c r="C1267" s="115" t="str">
        <f>IFERROR(__xludf.DUMMYFUNCTION("""COMPUTED_VALUE"""),"MYNTRA")</f>
        <v>MYNTRA</v>
      </c>
      <c r="D1267" s="115">
        <f>IFERROR(__xludf.DUMMYFUNCTION("""COMPUTED_VALUE"""),28693.0)</f>
        <v>28693</v>
      </c>
      <c r="E1267" s="115">
        <f>IFERROR(__xludf.DUMMYFUNCTION("""COMPUTED_VALUE"""),4569.0)</f>
        <v>4569</v>
      </c>
      <c r="F1267" s="115">
        <f>IFERROR(__xludf.DUMMYFUNCTION("""COMPUTED_VALUE"""),4118.0)</f>
        <v>4118</v>
      </c>
      <c r="G1267" s="115">
        <f>IFERROR(__xludf.DUMMYFUNCTION("""COMPUTED_VALUE"""),192.0)</f>
        <v>192</v>
      </c>
      <c r="H1267" s="116">
        <f>IFERROR(__xludf.DUMMYFUNCTION("""COMPUTED_VALUE"""),45903.0)</f>
        <v>45903</v>
      </c>
      <c r="I1267" s="115" t="str">
        <f>IFERROR(__xludf.DUMMYFUNCTION("""COMPUTED_VALUE"""),"11")</f>
        <v>11</v>
      </c>
      <c r="J1267" s="115" t="str">
        <f>IFERROR(__xludf.DUMMYFUNCTION("""COMPUTED_VALUE"""),"Girish Chand2025-09-0311")</f>
        <v>Girish Chand2025-09-0311</v>
      </c>
      <c r="K1267" s="115">
        <f>IFERROR(__xludf.DUMMYFUNCTION("""COMPUTED_VALUE"""),33262.0)</f>
        <v>33262</v>
      </c>
    </row>
    <row r="1268">
      <c r="A1268" s="115" t="str">
        <f>IFERROR(__xludf.DUMMYFUNCTION("""COMPUTED_VALUE"""),"EAST")</f>
        <v>EAST</v>
      </c>
      <c r="B1268" s="115" t="str">
        <f>IFERROR(__xludf.DUMMYFUNCTION("""COMPUTED_VALUE"""),"Parag Kashyap")</f>
        <v>Parag Kashyap</v>
      </c>
      <c r="C1268" s="115" t="str">
        <f>IFERROR(__xludf.DUMMYFUNCTION("""COMPUTED_VALUE"""),"EXTERNAL")</f>
        <v>EXTERNAL</v>
      </c>
      <c r="D1268" s="115">
        <f>IFERROR(__xludf.DUMMYFUNCTION("""COMPUTED_VALUE"""),16239.0)</f>
        <v>16239</v>
      </c>
      <c r="E1268" s="115">
        <f>IFERROR(__xludf.DUMMYFUNCTION("""COMPUTED_VALUE"""),1075.0)</f>
        <v>1075</v>
      </c>
      <c r="F1268" s="115">
        <f>IFERROR(__xludf.DUMMYFUNCTION("""COMPUTED_VALUE"""),853.0)</f>
        <v>853</v>
      </c>
      <c r="G1268" s="115">
        <f>IFERROR(__xludf.DUMMYFUNCTION("""COMPUTED_VALUE"""),11.0)</f>
        <v>11</v>
      </c>
      <c r="H1268" s="116">
        <f>IFERROR(__xludf.DUMMYFUNCTION("""COMPUTED_VALUE"""),45903.0)</f>
        <v>45903</v>
      </c>
      <c r="I1268" s="115" t="str">
        <f>IFERROR(__xludf.DUMMYFUNCTION("""COMPUTED_VALUE"""),"11")</f>
        <v>11</v>
      </c>
      <c r="J1268" s="115" t="str">
        <f>IFERROR(__xludf.DUMMYFUNCTION("""COMPUTED_VALUE"""),"Parag Kashyap2025-09-0311")</f>
        <v>Parag Kashyap2025-09-0311</v>
      </c>
      <c r="K1268" s="115">
        <f>IFERROR(__xludf.DUMMYFUNCTION("""COMPUTED_VALUE"""),17314.0)</f>
        <v>17314</v>
      </c>
    </row>
    <row r="1269">
      <c r="A1269" s="115" t="str">
        <f>IFERROR(__xludf.DUMMYFUNCTION("""COMPUTED_VALUE"""),"EAST")</f>
        <v>EAST</v>
      </c>
      <c r="B1269" s="115" t="str">
        <f>IFERROR(__xludf.DUMMYFUNCTION("""COMPUTED_VALUE"""),"Parag Kashyap")</f>
        <v>Parag Kashyap</v>
      </c>
      <c r="C1269" s="115" t="str">
        <f>IFERROR(__xludf.DUMMYFUNCTION("""COMPUTED_VALUE"""),"FLIPKART")</f>
        <v>FLIPKART</v>
      </c>
      <c r="D1269" s="115">
        <f>IFERROR(__xludf.DUMMYFUNCTION("""COMPUTED_VALUE"""),241641.0)</f>
        <v>241641</v>
      </c>
      <c r="E1269" s="115">
        <f>IFERROR(__xludf.DUMMYFUNCTION("""COMPUTED_VALUE"""),12179.0)</f>
        <v>12179</v>
      </c>
      <c r="F1269" s="115">
        <f>IFERROR(__xludf.DUMMYFUNCTION("""COMPUTED_VALUE"""),25332.0)</f>
        <v>25332</v>
      </c>
      <c r="G1269" s="115">
        <f>IFERROR(__xludf.DUMMYFUNCTION("""COMPUTED_VALUE"""),306.0)</f>
        <v>306</v>
      </c>
      <c r="H1269" s="116">
        <f>IFERROR(__xludf.DUMMYFUNCTION("""COMPUTED_VALUE"""),45903.0)</f>
        <v>45903</v>
      </c>
      <c r="I1269" s="115" t="str">
        <f>IFERROR(__xludf.DUMMYFUNCTION("""COMPUTED_VALUE"""),"11")</f>
        <v>11</v>
      </c>
      <c r="J1269" s="115" t="str">
        <f>IFERROR(__xludf.DUMMYFUNCTION("""COMPUTED_VALUE"""),"Parag Kashyap2025-09-0311")</f>
        <v>Parag Kashyap2025-09-0311</v>
      </c>
      <c r="K1269" s="115">
        <f>IFERROR(__xludf.DUMMYFUNCTION("""COMPUTED_VALUE"""),253820.0)</f>
        <v>253820</v>
      </c>
    </row>
    <row r="1270">
      <c r="A1270" s="115" t="str">
        <f>IFERROR(__xludf.DUMMYFUNCTION("""COMPUTED_VALUE"""),"EAST")</f>
        <v>EAST</v>
      </c>
      <c r="B1270" s="115" t="str">
        <f>IFERROR(__xludf.DUMMYFUNCTION("""COMPUTED_VALUE"""),"Parag Kashyap")</f>
        <v>Parag Kashyap</v>
      </c>
      <c r="C1270" s="115" t="str">
        <f>IFERROR(__xludf.DUMMYFUNCTION("""COMPUTED_VALUE"""),"MYNTRA")</f>
        <v>MYNTRA</v>
      </c>
      <c r="D1270" s="115">
        <f>IFERROR(__xludf.DUMMYFUNCTION("""COMPUTED_VALUE"""),27611.0)</f>
        <v>27611</v>
      </c>
      <c r="E1270" s="115">
        <f>IFERROR(__xludf.DUMMYFUNCTION("""COMPUTED_VALUE"""),3132.0)</f>
        <v>3132</v>
      </c>
      <c r="F1270" s="115">
        <f>IFERROR(__xludf.DUMMYFUNCTION("""COMPUTED_VALUE"""),3254.0)</f>
        <v>3254</v>
      </c>
      <c r="G1270" s="115">
        <f>IFERROR(__xludf.DUMMYFUNCTION("""COMPUTED_VALUE"""),55.0)</f>
        <v>55</v>
      </c>
      <c r="H1270" s="116">
        <f>IFERROR(__xludf.DUMMYFUNCTION("""COMPUTED_VALUE"""),45903.0)</f>
        <v>45903</v>
      </c>
      <c r="I1270" s="115" t="str">
        <f>IFERROR(__xludf.DUMMYFUNCTION("""COMPUTED_VALUE"""),"11")</f>
        <v>11</v>
      </c>
      <c r="J1270" s="115" t="str">
        <f>IFERROR(__xludf.DUMMYFUNCTION("""COMPUTED_VALUE"""),"Parag Kashyap2025-09-0311")</f>
        <v>Parag Kashyap2025-09-0311</v>
      </c>
      <c r="K1270" s="115">
        <f>IFERROR(__xludf.DUMMYFUNCTION("""COMPUTED_VALUE"""),30743.0)</f>
        <v>30743</v>
      </c>
    </row>
    <row r="1271">
      <c r="A1271" s="115" t="str">
        <f>IFERROR(__xludf.DUMMYFUNCTION("""COMPUTED_VALUE"""),"NORTH")</f>
        <v>NORTH</v>
      </c>
      <c r="B1271" s="115" t="str">
        <f>IFERROR(__xludf.DUMMYFUNCTION("""COMPUTED_VALUE"""),"Amit Kumar Pathak")</f>
        <v>Amit Kumar Pathak</v>
      </c>
      <c r="C1271" s="115" t="str">
        <f>IFERROR(__xludf.DUMMYFUNCTION("""COMPUTED_VALUE"""),"EXTERNAL")</f>
        <v>EXTERNAL</v>
      </c>
      <c r="D1271" s="115">
        <f>IFERROR(__xludf.DUMMYFUNCTION("""COMPUTED_VALUE"""),16726.0)</f>
        <v>16726</v>
      </c>
      <c r="E1271" s="115">
        <f>IFERROR(__xludf.DUMMYFUNCTION("""COMPUTED_VALUE"""),2526.0)</f>
        <v>2526</v>
      </c>
      <c r="F1271" s="115">
        <f>IFERROR(__xludf.DUMMYFUNCTION("""COMPUTED_VALUE"""),1209.0)</f>
        <v>1209</v>
      </c>
      <c r="G1271" s="115">
        <f>IFERROR(__xludf.DUMMYFUNCTION("""COMPUTED_VALUE"""),137.0)</f>
        <v>137</v>
      </c>
      <c r="H1271" s="116">
        <f>IFERROR(__xludf.DUMMYFUNCTION("""COMPUTED_VALUE"""),45903.0)</f>
        <v>45903</v>
      </c>
      <c r="I1271" s="115" t="str">
        <f>IFERROR(__xludf.DUMMYFUNCTION("""COMPUTED_VALUE"""),"11")</f>
        <v>11</v>
      </c>
      <c r="J1271" s="115" t="str">
        <f>IFERROR(__xludf.DUMMYFUNCTION("""COMPUTED_VALUE"""),"Amit Kumar Pathak2025-09-0311")</f>
        <v>Amit Kumar Pathak2025-09-0311</v>
      </c>
      <c r="K1271" s="115">
        <f>IFERROR(__xludf.DUMMYFUNCTION("""COMPUTED_VALUE"""),19252.0)</f>
        <v>19252</v>
      </c>
    </row>
    <row r="1272">
      <c r="A1272" s="115" t="str">
        <f>IFERROR(__xludf.DUMMYFUNCTION("""COMPUTED_VALUE"""),"NORTH")</f>
        <v>NORTH</v>
      </c>
      <c r="B1272" s="115" t="str">
        <f>IFERROR(__xludf.DUMMYFUNCTION("""COMPUTED_VALUE"""),"Amit Kumar Pathak")</f>
        <v>Amit Kumar Pathak</v>
      </c>
      <c r="C1272" s="115" t="str">
        <f>IFERROR(__xludf.DUMMYFUNCTION("""COMPUTED_VALUE"""),"FLIPKART")</f>
        <v>FLIPKART</v>
      </c>
      <c r="D1272" s="115">
        <f>IFERROR(__xludf.DUMMYFUNCTION("""COMPUTED_VALUE"""),140905.0)</f>
        <v>140905</v>
      </c>
      <c r="E1272" s="115">
        <f>IFERROR(__xludf.DUMMYFUNCTION("""COMPUTED_VALUE"""),17891.0)</f>
        <v>17891</v>
      </c>
      <c r="F1272" s="115">
        <f>IFERROR(__xludf.DUMMYFUNCTION("""COMPUTED_VALUE"""),19843.0)</f>
        <v>19843</v>
      </c>
      <c r="G1272" s="115">
        <f>IFERROR(__xludf.DUMMYFUNCTION("""COMPUTED_VALUE"""),1501.0)</f>
        <v>1501</v>
      </c>
      <c r="H1272" s="116">
        <f>IFERROR(__xludf.DUMMYFUNCTION("""COMPUTED_VALUE"""),45903.0)</f>
        <v>45903</v>
      </c>
      <c r="I1272" s="115" t="str">
        <f>IFERROR(__xludf.DUMMYFUNCTION("""COMPUTED_VALUE"""),"11")</f>
        <v>11</v>
      </c>
      <c r="J1272" s="115" t="str">
        <f>IFERROR(__xludf.DUMMYFUNCTION("""COMPUTED_VALUE"""),"Amit Kumar Pathak2025-09-0311")</f>
        <v>Amit Kumar Pathak2025-09-0311</v>
      </c>
      <c r="K1272" s="115">
        <f>IFERROR(__xludf.DUMMYFUNCTION("""COMPUTED_VALUE"""),158796.0)</f>
        <v>158796</v>
      </c>
    </row>
    <row r="1273">
      <c r="A1273" s="115" t="str">
        <f>IFERROR(__xludf.DUMMYFUNCTION("""COMPUTED_VALUE"""),"NORTH")</f>
        <v>NORTH</v>
      </c>
      <c r="B1273" s="115" t="str">
        <f>IFERROR(__xludf.DUMMYFUNCTION("""COMPUTED_VALUE"""),"Amit Kumar Pathak")</f>
        <v>Amit Kumar Pathak</v>
      </c>
      <c r="C1273" s="115" t="str">
        <f>IFERROR(__xludf.DUMMYFUNCTION("""COMPUTED_VALUE"""),"MYNTRA")</f>
        <v>MYNTRA</v>
      </c>
      <c r="D1273" s="115">
        <f>IFERROR(__xludf.DUMMYFUNCTION("""COMPUTED_VALUE"""),13153.0)</f>
        <v>13153</v>
      </c>
      <c r="E1273" s="115">
        <f>IFERROR(__xludf.DUMMYFUNCTION("""COMPUTED_VALUE"""),4638.0)</f>
        <v>4638</v>
      </c>
      <c r="F1273" s="115">
        <f>IFERROR(__xludf.DUMMYFUNCTION("""COMPUTED_VALUE"""),2319.0)</f>
        <v>2319</v>
      </c>
      <c r="G1273" s="115">
        <f>IFERROR(__xludf.DUMMYFUNCTION("""COMPUTED_VALUE"""),446.0)</f>
        <v>446</v>
      </c>
      <c r="H1273" s="116">
        <f>IFERROR(__xludf.DUMMYFUNCTION("""COMPUTED_VALUE"""),45903.0)</f>
        <v>45903</v>
      </c>
      <c r="I1273" s="115" t="str">
        <f>IFERROR(__xludf.DUMMYFUNCTION("""COMPUTED_VALUE"""),"11")</f>
        <v>11</v>
      </c>
      <c r="J1273" s="115" t="str">
        <f>IFERROR(__xludf.DUMMYFUNCTION("""COMPUTED_VALUE"""),"Amit Kumar Pathak2025-09-0311")</f>
        <v>Amit Kumar Pathak2025-09-0311</v>
      </c>
      <c r="K1273" s="115">
        <f>IFERROR(__xludf.DUMMYFUNCTION("""COMPUTED_VALUE"""),17791.0)</f>
        <v>17791</v>
      </c>
    </row>
    <row r="1274">
      <c r="A1274" s="115" t="str">
        <f>IFERROR(__xludf.DUMMYFUNCTION("""COMPUTED_VALUE"""),"NORTH")</f>
        <v>NORTH</v>
      </c>
      <c r="B1274" s="115" t="str">
        <f>IFERROR(__xludf.DUMMYFUNCTION("""COMPUTED_VALUE"""),"Loveleen Singh")</f>
        <v>Loveleen Singh</v>
      </c>
      <c r="C1274" s="115" t="str">
        <f>IFERROR(__xludf.DUMMYFUNCTION("""COMPUTED_VALUE"""),"EXTERNAL")</f>
        <v>EXTERNAL</v>
      </c>
      <c r="D1274" s="115">
        <f>IFERROR(__xludf.DUMMYFUNCTION("""COMPUTED_VALUE"""),15004.0)</f>
        <v>15004</v>
      </c>
      <c r="E1274" s="115">
        <f>IFERROR(__xludf.DUMMYFUNCTION("""COMPUTED_VALUE"""),1245.0)</f>
        <v>1245</v>
      </c>
      <c r="F1274" s="115">
        <f>IFERROR(__xludf.DUMMYFUNCTION("""COMPUTED_VALUE"""),702.0)</f>
        <v>702</v>
      </c>
      <c r="G1274" s="115">
        <f>IFERROR(__xludf.DUMMYFUNCTION("""COMPUTED_VALUE"""),30.0)</f>
        <v>30</v>
      </c>
      <c r="H1274" s="116">
        <f>IFERROR(__xludf.DUMMYFUNCTION("""COMPUTED_VALUE"""),45903.0)</f>
        <v>45903</v>
      </c>
      <c r="I1274" s="115" t="str">
        <f>IFERROR(__xludf.DUMMYFUNCTION("""COMPUTED_VALUE"""),"11")</f>
        <v>11</v>
      </c>
      <c r="J1274" s="115" t="str">
        <f>IFERROR(__xludf.DUMMYFUNCTION("""COMPUTED_VALUE"""),"Loveleen Singh2025-09-0311")</f>
        <v>Loveleen Singh2025-09-0311</v>
      </c>
      <c r="K1274" s="115">
        <f>IFERROR(__xludf.DUMMYFUNCTION("""COMPUTED_VALUE"""),16249.0)</f>
        <v>16249</v>
      </c>
    </row>
    <row r="1275">
      <c r="A1275" s="115" t="str">
        <f>IFERROR(__xludf.DUMMYFUNCTION("""COMPUTED_VALUE"""),"NORTH")</f>
        <v>NORTH</v>
      </c>
      <c r="B1275" s="115" t="str">
        <f>IFERROR(__xludf.DUMMYFUNCTION("""COMPUTED_VALUE"""),"Loveleen Singh")</f>
        <v>Loveleen Singh</v>
      </c>
      <c r="C1275" s="115" t="str">
        <f>IFERROR(__xludf.DUMMYFUNCTION("""COMPUTED_VALUE"""),"FLIPKART")</f>
        <v>FLIPKART</v>
      </c>
      <c r="D1275" s="115">
        <f>IFERROR(__xludf.DUMMYFUNCTION("""COMPUTED_VALUE"""),88369.0)</f>
        <v>88369</v>
      </c>
      <c r="E1275" s="115">
        <f>IFERROR(__xludf.DUMMYFUNCTION("""COMPUTED_VALUE"""),7290.0)</f>
        <v>7290</v>
      </c>
      <c r="F1275" s="115">
        <f>IFERROR(__xludf.DUMMYFUNCTION("""COMPUTED_VALUE"""),10559.0)</f>
        <v>10559</v>
      </c>
      <c r="G1275" s="115">
        <f>IFERROR(__xludf.DUMMYFUNCTION("""COMPUTED_VALUE"""),377.0)</f>
        <v>377</v>
      </c>
      <c r="H1275" s="116">
        <f>IFERROR(__xludf.DUMMYFUNCTION("""COMPUTED_VALUE"""),45903.0)</f>
        <v>45903</v>
      </c>
      <c r="I1275" s="115" t="str">
        <f>IFERROR(__xludf.DUMMYFUNCTION("""COMPUTED_VALUE"""),"11")</f>
        <v>11</v>
      </c>
      <c r="J1275" s="115" t="str">
        <f>IFERROR(__xludf.DUMMYFUNCTION("""COMPUTED_VALUE"""),"Loveleen Singh2025-09-0311")</f>
        <v>Loveleen Singh2025-09-0311</v>
      </c>
      <c r="K1275" s="115">
        <f>IFERROR(__xludf.DUMMYFUNCTION("""COMPUTED_VALUE"""),95659.0)</f>
        <v>95659</v>
      </c>
    </row>
    <row r="1276">
      <c r="A1276" s="115" t="str">
        <f>IFERROR(__xludf.DUMMYFUNCTION("""COMPUTED_VALUE"""),"NORTH")</f>
        <v>NORTH</v>
      </c>
      <c r="B1276" s="115" t="str">
        <f>IFERROR(__xludf.DUMMYFUNCTION("""COMPUTED_VALUE"""),"Loveleen Singh")</f>
        <v>Loveleen Singh</v>
      </c>
      <c r="C1276" s="115" t="str">
        <f>IFERROR(__xludf.DUMMYFUNCTION("""COMPUTED_VALUE"""),"MYNTRA")</f>
        <v>MYNTRA</v>
      </c>
      <c r="D1276" s="115">
        <f>IFERROR(__xludf.DUMMYFUNCTION("""COMPUTED_VALUE"""),14288.0)</f>
        <v>14288</v>
      </c>
      <c r="E1276" s="115">
        <f>IFERROR(__xludf.DUMMYFUNCTION("""COMPUTED_VALUE"""),2926.0)</f>
        <v>2926</v>
      </c>
      <c r="F1276" s="115">
        <f>IFERROR(__xludf.DUMMYFUNCTION("""COMPUTED_VALUE"""),2197.0)</f>
        <v>2197</v>
      </c>
      <c r="G1276" s="115">
        <f>IFERROR(__xludf.DUMMYFUNCTION("""COMPUTED_VALUE"""),195.0)</f>
        <v>195</v>
      </c>
      <c r="H1276" s="116">
        <f>IFERROR(__xludf.DUMMYFUNCTION("""COMPUTED_VALUE"""),45903.0)</f>
        <v>45903</v>
      </c>
      <c r="I1276" s="115" t="str">
        <f>IFERROR(__xludf.DUMMYFUNCTION("""COMPUTED_VALUE"""),"11")</f>
        <v>11</v>
      </c>
      <c r="J1276" s="115" t="str">
        <f>IFERROR(__xludf.DUMMYFUNCTION("""COMPUTED_VALUE"""),"Loveleen Singh2025-09-0311")</f>
        <v>Loveleen Singh2025-09-0311</v>
      </c>
      <c r="K1276" s="115">
        <f>IFERROR(__xludf.DUMMYFUNCTION("""COMPUTED_VALUE"""),17214.0)</f>
        <v>17214</v>
      </c>
    </row>
    <row r="1277">
      <c r="A1277" s="115" t="str">
        <f>IFERROR(__xludf.DUMMYFUNCTION("""COMPUTED_VALUE"""),"NORTH")</f>
        <v>NORTH</v>
      </c>
      <c r="B1277" s="115" t="str">
        <f>IFERROR(__xludf.DUMMYFUNCTION("""COMPUTED_VALUE"""),"Manoj Harsh")</f>
        <v>Manoj Harsh</v>
      </c>
      <c r="C1277" s="115" t="str">
        <f>IFERROR(__xludf.DUMMYFUNCTION("""COMPUTED_VALUE"""),"EXTERNAL")</f>
        <v>EXTERNAL</v>
      </c>
      <c r="D1277" s="115">
        <f>IFERROR(__xludf.DUMMYFUNCTION("""COMPUTED_VALUE"""),25772.0)</f>
        <v>25772</v>
      </c>
      <c r="E1277" s="115">
        <f>IFERROR(__xludf.DUMMYFUNCTION("""COMPUTED_VALUE"""),3051.0)</f>
        <v>3051</v>
      </c>
      <c r="F1277" s="115">
        <f>IFERROR(__xludf.DUMMYFUNCTION("""COMPUTED_VALUE"""),1530.0)</f>
        <v>1530</v>
      </c>
      <c r="G1277" s="115">
        <f>IFERROR(__xludf.DUMMYFUNCTION("""COMPUTED_VALUE"""),62.0)</f>
        <v>62</v>
      </c>
      <c r="H1277" s="116">
        <f>IFERROR(__xludf.DUMMYFUNCTION("""COMPUTED_VALUE"""),45903.0)</f>
        <v>45903</v>
      </c>
      <c r="I1277" s="115" t="str">
        <f>IFERROR(__xludf.DUMMYFUNCTION("""COMPUTED_VALUE"""),"11")</f>
        <v>11</v>
      </c>
      <c r="J1277" s="115" t="str">
        <f>IFERROR(__xludf.DUMMYFUNCTION("""COMPUTED_VALUE"""),"Manoj Harsh2025-09-0311")</f>
        <v>Manoj Harsh2025-09-0311</v>
      </c>
      <c r="K1277" s="115">
        <f>IFERROR(__xludf.DUMMYFUNCTION("""COMPUTED_VALUE"""),28823.0)</f>
        <v>28823</v>
      </c>
    </row>
    <row r="1278">
      <c r="A1278" s="115" t="str">
        <f>IFERROR(__xludf.DUMMYFUNCTION("""COMPUTED_VALUE"""),"NORTH")</f>
        <v>NORTH</v>
      </c>
      <c r="B1278" s="115" t="str">
        <f>IFERROR(__xludf.DUMMYFUNCTION("""COMPUTED_VALUE"""),"Manoj Harsh")</f>
        <v>Manoj Harsh</v>
      </c>
      <c r="C1278" s="115" t="str">
        <f>IFERROR(__xludf.DUMMYFUNCTION("""COMPUTED_VALUE"""),"FLIPKART")</f>
        <v>FLIPKART</v>
      </c>
      <c r="D1278" s="115">
        <f>IFERROR(__xludf.DUMMYFUNCTION("""COMPUTED_VALUE"""),318725.0)</f>
        <v>318725</v>
      </c>
      <c r="E1278" s="115">
        <f>IFERROR(__xludf.DUMMYFUNCTION("""COMPUTED_VALUE"""),28547.0)</f>
        <v>28547</v>
      </c>
      <c r="F1278" s="115">
        <f>IFERROR(__xludf.DUMMYFUNCTION("""COMPUTED_VALUE"""),38397.0)</f>
        <v>38397</v>
      </c>
      <c r="G1278" s="115">
        <f>IFERROR(__xludf.DUMMYFUNCTION("""COMPUTED_VALUE"""),1032.0)</f>
        <v>1032</v>
      </c>
      <c r="H1278" s="116">
        <f>IFERROR(__xludf.DUMMYFUNCTION("""COMPUTED_VALUE"""),45903.0)</f>
        <v>45903</v>
      </c>
      <c r="I1278" s="115" t="str">
        <f>IFERROR(__xludf.DUMMYFUNCTION("""COMPUTED_VALUE"""),"11")</f>
        <v>11</v>
      </c>
      <c r="J1278" s="115" t="str">
        <f>IFERROR(__xludf.DUMMYFUNCTION("""COMPUTED_VALUE"""),"Manoj Harsh2025-09-0311")</f>
        <v>Manoj Harsh2025-09-0311</v>
      </c>
      <c r="K1278" s="115">
        <f>IFERROR(__xludf.DUMMYFUNCTION("""COMPUTED_VALUE"""),347272.0)</f>
        <v>347272</v>
      </c>
    </row>
    <row r="1279">
      <c r="A1279" s="115" t="str">
        <f>IFERROR(__xludf.DUMMYFUNCTION("""COMPUTED_VALUE"""),"NORTH")</f>
        <v>NORTH</v>
      </c>
      <c r="B1279" s="115" t="str">
        <f>IFERROR(__xludf.DUMMYFUNCTION("""COMPUTED_VALUE"""),"Manoj Harsh")</f>
        <v>Manoj Harsh</v>
      </c>
      <c r="C1279" s="115" t="str">
        <f>IFERROR(__xludf.DUMMYFUNCTION("""COMPUTED_VALUE"""),"MYNTRA")</f>
        <v>MYNTRA</v>
      </c>
      <c r="D1279" s="115">
        <f>IFERROR(__xludf.DUMMYFUNCTION("""COMPUTED_VALUE"""),28795.0)</f>
        <v>28795</v>
      </c>
      <c r="E1279" s="115">
        <f>IFERROR(__xludf.DUMMYFUNCTION("""COMPUTED_VALUE"""),5536.0)</f>
        <v>5536</v>
      </c>
      <c r="F1279" s="115">
        <f>IFERROR(__xludf.DUMMYFUNCTION("""COMPUTED_VALUE"""),4345.0)</f>
        <v>4345</v>
      </c>
      <c r="G1279" s="115">
        <f>IFERROR(__xludf.DUMMYFUNCTION("""COMPUTED_VALUE"""),215.0)</f>
        <v>215</v>
      </c>
      <c r="H1279" s="116">
        <f>IFERROR(__xludf.DUMMYFUNCTION("""COMPUTED_VALUE"""),45903.0)</f>
        <v>45903</v>
      </c>
      <c r="I1279" s="115" t="str">
        <f>IFERROR(__xludf.DUMMYFUNCTION("""COMPUTED_VALUE"""),"11")</f>
        <v>11</v>
      </c>
      <c r="J1279" s="115" t="str">
        <f>IFERROR(__xludf.DUMMYFUNCTION("""COMPUTED_VALUE"""),"Manoj Harsh2025-09-0311")</f>
        <v>Manoj Harsh2025-09-0311</v>
      </c>
      <c r="K1279" s="115">
        <f>IFERROR(__xludf.DUMMYFUNCTION("""COMPUTED_VALUE"""),34331.0)</f>
        <v>34331</v>
      </c>
    </row>
    <row r="1280">
      <c r="A1280" s="115" t="str">
        <f>IFERROR(__xludf.DUMMYFUNCTION("""COMPUTED_VALUE"""),"NORTH")</f>
        <v>NORTH</v>
      </c>
      <c r="B1280" s="115" t="str">
        <f>IFERROR(__xludf.DUMMYFUNCTION("""COMPUTED_VALUE"""),"Pradeep Kothari")</f>
        <v>Pradeep Kothari</v>
      </c>
      <c r="C1280" s="115" t="str">
        <f>IFERROR(__xludf.DUMMYFUNCTION("""COMPUTED_VALUE"""),"EXTERNAL")</f>
        <v>EXTERNAL</v>
      </c>
      <c r="D1280" s="115">
        <f>IFERROR(__xludf.DUMMYFUNCTION("""COMPUTED_VALUE"""),13165.0)</f>
        <v>13165</v>
      </c>
      <c r="E1280" s="115">
        <f>IFERROR(__xludf.DUMMYFUNCTION("""COMPUTED_VALUE"""),1904.0)</f>
        <v>1904</v>
      </c>
      <c r="F1280" s="115">
        <f>IFERROR(__xludf.DUMMYFUNCTION("""COMPUTED_VALUE"""),855.0)</f>
        <v>855</v>
      </c>
      <c r="G1280" s="115">
        <f>IFERROR(__xludf.DUMMYFUNCTION("""COMPUTED_VALUE"""),58.0)</f>
        <v>58</v>
      </c>
      <c r="H1280" s="116">
        <f>IFERROR(__xludf.DUMMYFUNCTION("""COMPUTED_VALUE"""),45903.0)</f>
        <v>45903</v>
      </c>
      <c r="I1280" s="115" t="str">
        <f>IFERROR(__xludf.DUMMYFUNCTION("""COMPUTED_VALUE"""),"11")</f>
        <v>11</v>
      </c>
      <c r="J1280" s="115" t="str">
        <f>IFERROR(__xludf.DUMMYFUNCTION("""COMPUTED_VALUE"""),"Pradeep Kothari2025-09-0311")</f>
        <v>Pradeep Kothari2025-09-0311</v>
      </c>
      <c r="K1280" s="115">
        <f>IFERROR(__xludf.DUMMYFUNCTION("""COMPUTED_VALUE"""),15069.0)</f>
        <v>15069</v>
      </c>
    </row>
    <row r="1281">
      <c r="A1281" s="115" t="str">
        <f>IFERROR(__xludf.DUMMYFUNCTION("""COMPUTED_VALUE"""),"NORTH")</f>
        <v>NORTH</v>
      </c>
      <c r="B1281" s="115" t="str">
        <f>IFERROR(__xludf.DUMMYFUNCTION("""COMPUTED_VALUE"""),"Pradeep Kothari")</f>
        <v>Pradeep Kothari</v>
      </c>
      <c r="C1281" s="115" t="str">
        <f>IFERROR(__xludf.DUMMYFUNCTION("""COMPUTED_VALUE"""),"FLIPKART")</f>
        <v>FLIPKART</v>
      </c>
      <c r="D1281" s="115">
        <f>IFERROR(__xludf.DUMMYFUNCTION("""COMPUTED_VALUE"""),110887.0)</f>
        <v>110887</v>
      </c>
      <c r="E1281" s="115">
        <f>IFERROR(__xludf.DUMMYFUNCTION("""COMPUTED_VALUE"""),11694.0)</f>
        <v>11694</v>
      </c>
      <c r="F1281" s="115">
        <f>IFERROR(__xludf.DUMMYFUNCTION("""COMPUTED_VALUE"""),15454.0)</f>
        <v>15454</v>
      </c>
      <c r="G1281" s="115">
        <f>IFERROR(__xludf.DUMMYFUNCTION("""COMPUTED_VALUE"""),546.0)</f>
        <v>546</v>
      </c>
      <c r="H1281" s="116">
        <f>IFERROR(__xludf.DUMMYFUNCTION("""COMPUTED_VALUE"""),45903.0)</f>
        <v>45903</v>
      </c>
      <c r="I1281" s="115" t="str">
        <f>IFERROR(__xludf.DUMMYFUNCTION("""COMPUTED_VALUE"""),"11")</f>
        <v>11</v>
      </c>
      <c r="J1281" s="115" t="str">
        <f>IFERROR(__xludf.DUMMYFUNCTION("""COMPUTED_VALUE"""),"Pradeep Kothari2025-09-0311")</f>
        <v>Pradeep Kothari2025-09-0311</v>
      </c>
      <c r="K1281" s="115">
        <f>IFERROR(__xludf.DUMMYFUNCTION("""COMPUTED_VALUE"""),122581.0)</f>
        <v>122581</v>
      </c>
    </row>
    <row r="1282">
      <c r="A1282" s="115" t="str">
        <f>IFERROR(__xludf.DUMMYFUNCTION("""COMPUTED_VALUE"""),"NORTH")</f>
        <v>NORTH</v>
      </c>
      <c r="B1282" s="115" t="str">
        <f>IFERROR(__xludf.DUMMYFUNCTION("""COMPUTED_VALUE"""),"Pradeep Kothari")</f>
        <v>Pradeep Kothari</v>
      </c>
      <c r="C1282" s="115" t="str">
        <f>IFERROR(__xludf.DUMMYFUNCTION("""COMPUTED_VALUE"""),"MYNTRA")</f>
        <v>MYNTRA</v>
      </c>
      <c r="D1282" s="115">
        <f>IFERROR(__xludf.DUMMYFUNCTION("""COMPUTED_VALUE"""),18325.0)</f>
        <v>18325</v>
      </c>
      <c r="E1282" s="115">
        <f>IFERROR(__xludf.DUMMYFUNCTION("""COMPUTED_VALUE"""),4484.0)</f>
        <v>4484</v>
      </c>
      <c r="F1282" s="115">
        <f>IFERROR(__xludf.DUMMYFUNCTION("""COMPUTED_VALUE"""),3375.0)</f>
        <v>3375</v>
      </c>
      <c r="G1282" s="115">
        <f>IFERROR(__xludf.DUMMYFUNCTION("""COMPUTED_VALUE"""),235.0)</f>
        <v>235</v>
      </c>
      <c r="H1282" s="116">
        <f>IFERROR(__xludf.DUMMYFUNCTION("""COMPUTED_VALUE"""),45903.0)</f>
        <v>45903</v>
      </c>
      <c r="I1282" s="115" t="str">
        <f>IFERROR(__xludf.DUMMYFUNCTION("""COMPUTED_VALUE"""),"11")</f>
        <v>11</v>
      </c>
      <c r="J1282" s="115" t="str">
        <f>IFERROR(__xludf.DUMMYFUNCTION("""COMPUTED_VALUE"""),"Pradeep Kothari2025-09-0311")</f>
        <v>Pradeep Kothari2025-09-0311</v>
      </c>
      <c r="K1282" s="115">
        <f>IFERROR(__xludf.DUMMYFUNCTION("""COMPUTED_VALUE"""),22809.0)</f>
        <v>22809</v>
      </c>
    </row>
    <row r="1283">
      <c r="A1283" s="115" t="str">
        <f>IFERROR(__xludf.DUMMYFUNCTION("""COMPUTED_VALUE"""),"SOUTH")</f>
        <v>SOUTH</v>
      </c>
      <c r="B1283" s="115" t="str">
        <f>IFERROR(__xludf.DUMMYFUNCTION("""COMPUTED_VALUE"""),"Kandula Sampath")</f>
        <v>Kandula Sampath</v>
      </c>
      <c r="C1283" s="115" t="str">
        <f>IFERROR(__xludf.DUMMYFUNCTION("""COMPUTED_VALUE"""),"EXTERNAL")</f>
        <v>EXTERNAL</v>
      </c>
      <c r="D1283" s="115">
        <f>IFERROR(__xludf.DUMMYFUNCTION("""COMPUTED_VALUE"""),30029.0)</f>
        <v>30029</v>
      </c>
      <c r="E1283" s="115">
        <f>IFERROR(__xludf.DUMMYFUNCTION("""COMPUTED_VALUE"""),4486.0)</f>
        <v>4486</v>
      </c>
      <c r="F1283" s="115">
        <f>IFERROR(__xludf.DUMMYFUNCTION("""COMPUTED_VALUE"""),3165.0)</f>
        <v>3165</v>
      </c>
      <c r="G1283" s="115">
        <f>IFERROR(__xludf.DUMMYFUNCTION("""COMPUTED_VALUE"""),98.0)</f>
        <v>98</v>
      </c>
      <c r="H1283" s="116">
        <f>IFERROR(__xludf.DUMMYFUNCTION("""COMPUTED_VALUE"""),45903.0)</f>
        <v>45903</v>
      </c>
      <c r="I1283" s="115" t="str">
        <f>IFERROR(__xludf.DUMMYFUNCTION("""COMPUTED_VALUE"""),"11")</f>
        <v>11</v>
      </c>
      <c r="J1283" s="115" t="str">
        <f>IFERROR(__xludf.DUMMYFUNCTION("""COMPUTED_VALUE"""),"Kandula Sampath2025-09-0311")</f>
        <v>Kandula Sampath2025-09-0311</v>
      </c>
      <c r="K1283" s="115">
        <f>IFERROR(__xludf.DUMMYFUNCTION("""COMPUTED_VALUE"""),34515.0)</f>
        <v>34515</v>
      </c>
    </row>
    <row r="1284">
      <c r="A1284" s="115" t="str">
        <f>IFERROR(__xludf.DUMMYFUNCTION("""COMPUTED_VALUE"""),"SOUTH")</f>
        <v>SOUTH</v>
      </c>
      <c r="B1284" s="115" t="str">
        <f>IFERROR(__xludf.DUMMYFUNCTION("""COMPUTED_VALUE"""),"Kandula Sampath")</f>
        <v>Kandula Sampath</v>
      </c>
      <c r="C1284" s="115" t="str">
        <f>IFERROR(__xludf.DUMMYFUNCTION("""COMPUTED_VALUE"""),"FLIPKART")</f>
        <v>FLIPKART</v>
      </c>
      <c r="D1284" s="115">
        <f>IFERROR(__xludf.DUMMYFUNCTION("""COMPUTED_VALUE"""),271185.0)</f>
        <v>271185</v>
      </c>
      <c r="E1284" s="115">
        <f>IFERROR(__xludf.DUMMYFUNCTION("""COMPUTED_VALUE"""),26277.0)</f>
        <v>26277</v>
      </c>
      <c r="F1284" s="115">
        <f>IFERROR(__xludf.DUMMYFUNCTION("""COMPUTED_VALUE"""),54472.0)</f>
        <v>54472</v>
      </c>
      <c r="G1284" s="115">
        <f>IFERROR(__xludf.DUMMYFUNCTION("""COMPUTED_VALUE"""),941.0)</f>
        <v>941</v>
      </c>
      <c r="H1284" s="116">
        <f>IFERROR(__xludf.DUMMYFUNCTION("""COMPUTED_VALUE"""),45903.0)</f>
        <v>45903</v>
      </c>
      <c r="I1284" s="115" t="str">
        <f>IFERROR(__xludf.DUMMYFUNCTION("""COMPUTED_VALUE"""),"11")</f>
        <v>11</v>
      </c>
      <c r="J1284" s="115" t="str">
        <f>IFERROR(__xludf.DUMMYFUNCTION("""COMPUTED_VALUE"""),"Kandula Sampath2025-09-0311")</f>
        <v>Kandula Sampath2025-09-0311</v>
      </c>
      <c r="K1284" s="115">
        <f>IFERROR(__xludf.DUMMYFUNCTION("""COMPUTED_VALUE"""),297462.0)</f>
        <v>297462</v>
      </c>
    </row>
    <row r="1285">
      <c r="A1285" s="115" t="str">
        <f>IFERROR(__xludf.DUMMYFUNCTION("""COMPUTED_VALUE"""),"SOUTH")</f>
        <v>SOUTH</v>
      </c>
      <c r="B1285" s="115" t="str">
        <f>IFERROR(__xludf.DUMMYFUNCTION("""COMPUTED_VALUE"""),"Kandula Sampath")</f>
        <v>Kandula Sampath</v>
      </c>
      <c r="C1285" s="115" t="str">
        <f>IFERROR(__xludf.DUMMYFUNCTION("""COMPUTED_VALUE"""),"MYNTRA")</f>
        <v>MYNTRA</v>
      </c>
      <c r="D1285" s="115">
        <f>IFERROR(__xludf.DUMMYFUNCTION("""COMPUTED_VALUE"""),26763.0)</f>
        <v>26763</v>
      </c>
      <c r="E1285" s="115">
        <f>IFERROR(__xludf.DUMMYFUNCTION("""COMPUTED_VALUE"""),7075.0)</f>
        <v>7075</v>
      </c>
      <c r="F1285" s="115">
        <f>IFERROR(__xludf.DUMMYFUNCTION("""COMPUTED_VALUE"""),6435.0)</f>
        <v>6435</v>
      </c>
      <c r="G1285" s="115">
        <f>IFERROR(__xludf.DUMMYFUNCTION("""COMPUTED_VALUE"""),280.0)</f>
        <v>280</v>
      </c>
      <c r="H1285" s="116">
        <f>IFERROR(__xludf.DUMMYFUNCTION("""COMPUTED_VALUE"""),45903.0)</f>
        <v>45903</v>
      </c>
      <c r="I1285" s="115" t="str">
        <f>IFERROR(__xludf.DUMMYFUNCTION("""COMPUTED_VALUE"""),"11")</f>
        <v>11</v>
      </c>
      <c r="J1285" s="115" t="str">
        <f>IFERROR(__xludf.DUMMYFUNCTION("""COMPUTED_VALUE"""),"Kandula Sampath2025-09-0311")</f>
        <v>Kandula Sampath2025-09-0311</v>
      </c>
      <c r="K1285" s="115">
        <f>IFERROR(__xludf.DUMMYFUNCTION("""COMPUTED_VALUE"""),33838.0)</f>
        <v>33838</v>
      </c>
    </row>
    <row r="1286">
      <c r="A1286" s="115" t="str">
        <f>IFERROR(__xludf.DUMMYFUNCTION("""COMPUTED_VALUE"""),"SOUTH")</f>
        <v>SOUTH</v>
      </c>
      <c r="B1286" s="115" t="str">
        <f>IFERROR(__xludf.DUMMYFUNCTION("""COMPUTED_VALUE"""),"Martin A")</f>
        <v>Martin A</v>
      </c>
      <c r="C1286" s="115" t="str">
        <f>IFERROR(__xludf.DUMMYFUNCTION("""COMPUTED_VALUE"""),"EXTERNAL")</f>
        <v>EXTERNAL</v>
      </c>
      <c r="D1286" s="115">
        <f>IFERROR(__xludf.DUMMYFUNCTION("""COMPUTED_VALUE"""),26471.0)</f>
        <v>26471</v>
      </c>
      <c r="E1286" s="115">
        <f>IFERROR(__xludf.DUMMYFUNCTION("""COMPUTED_VALUE"""),2969.0)</f>
        <v>2969</v>
      </c>
      <c r="F1286" s="115">
        <f>IFERROR(__xludf.DUMMYFUNCTION("""COMPUTED_VALUE"""),2494.0)</f>
        <v>2494</v>
      </c>
      <c r="G1286" s="115">
        <f>IFERROR(__xludf.DUMMYFUNCTION("""COMPUTED_VALUE"""),115.0)</f>
        <v>115</v>
      </c>
      <c r="H1286" s="116">
        <f>IFERROR(__xludf.DUMMYFUNCTION("""COMPUTED_VALUE"""),45903.0)</f>
        <v>45903</v>
      </c>
      <c r="I1286" s="115" t="str">
        <f>IFERROR(__xludf.DUMMYFUNCTION("""COMPUTED_VALUE"""),"11")</f>
        <v>11</v>
      </c>
      <c r="J1286" s="115" t="str">
        <f>IFERROR(__xludf.DUMMYFUNCTION("""COMPUTED_VALUE"""),"Martin A2025-09-0311")</f>
        <v>Martin A2025-09-0311</v>
      </c>
      <c r="K1286" s="115">
        <f>IFERROR(__xludf.DUMMYFUNCTION("""COMPUTED_VALUE"""),29440.0)</f>
        <v>29440</v>
      </c>
    </row>
    <row r="1287">
      <c r="A1287" s="115" t="str">
        <f>IFERROR(__xludf.DUMMYFUNCTION("""COMPUTED_VALUE"""),"SOUTH")</f>
        <v>SOUTH</v>
      </c>
      <c r="B1287" s="115" t="str">
        <f>IFERROR(__xludf.DUMMYFUNCTION("""COMPUTED_VALUE"""),"Martin A")</f>
        <v>Martin A</v>
      </c>
      <c r="C1287" s="115" t="str">
        <f>IFERROR(__xludf.DUMMYFUNCTION("""COMPUTED_VALUE"""),"FLIPKART")</f>
        <v>FLIPKART</v>
      </c>
      <c r="D1287" s="115">
        <f>IFERROR(__xludf.DUMMYFUNCTION("""COMPUTED_VALUE"""),217650.0)</f>
        <v>217650</v>
      </c>
      <c r="E1287" s="115">
        <f>IFERROR(__xludf.DUMMYFUNCTION("""COMPUTED_VALUE"""),21963.0)</f>
        <v>21963</v>
      </c>
      <c r="F1287" s="115">
        <f>IFERROR(__xludf.DUMMYFUNCTION("""COMPUTED_VALUE"""),36658.0)</f>
        <v>36658</v>
      </c>
      <c r="G1287" s="115">
        <f>IFERROR(__xludf.DUMMYFUNCTION("""COMPUTED_VALUE"""),1114.0)</f>
        <v>1114</v>
      </c>
      <c r="H1287" s="116">
        <f>IFERROR(__xludf.DUMMYFUNCTION("""COMPUTED_VALUE"""),45903.0)</f>
        <v>45903</v>
      </c>
      <c r="I1287" s="115" t="str">
        <f>IFERROR(__xludf.DUMMYFUNCTION("""COMPUTED_VALUE"""),"11")</f>
        <v>11</v>
      </c>
      <c r="J1287" s="115" t="str">
        <f>IFERROR(__xludf.DUMMYFUNCTION("""COMPUTED_VALUE"""),"Martin A2025-09-0311")</f>
        <v>Martin A2025-09-0311</v>
      </c>
      <c r="K1287" s="115">
        <f>IFERROR(__xludf.DUMMYFUNCTION("""COMPUTED_VALUE"""),239613.0)</f>
        <v>239613</v>
      </c>
    </row>
    <row r="1288">
      <c r="A1288" s="115" t="str">
        <f>IFERROR(__xludf.DUMMYFUNCTION("""COMPUTED_VALUE"""),"SOUTH")</f>
        <v>SOUTH</v>
      </c>
      <c r="B1288" s="115" t="str">
        <f>IFERROR(__xludf.DUMMYFUNCTION("""COMPUTED_VALUE"""),"Martin A")</f>
        <v>Martin A</v>
      </c>
      <c r="C1288" s="115" t="str">
        <f>IFERROR(__xludf.DUMMYFUNCTION("""COMPUTED_VALUE"""),"MYNTRA")</f>
        <v>MYNTRA</v>
      </c>
      <c r="D1288" s="115">
        <f>IFERROR(__xludf.DUMMYFUNCTION("""COMPUTED_VALUE"""),19739.0)</f>
        <v>19739</v>
      </c>
      <c r="E1288" s="115">
        <f>IFERROR(__xludf.DUMMYFUNCTION("""COMPUTED_VALUE"""),5505.0)</f>
        <v>5505</v>
      </c>
      <c r="F1288" s="115">
        <f>IFERROR(__xludf.DUMMYFUNCTION("""COMPUTED_VALUE"""),4167.0)</f>
        <v>4167</v>
      </c>
      <c r="G1288" s="115">
        <f>IFERROR(__xludf.DUMMYFUNCTION("""COMPUTED_VALUE"""),358.0)</f>
        <v>358</v>
      </c>
      <c r="H1288" s="116">
        <f>IFERROR(__xludf.DUMMYFUNCTION("""COMPUTED_VALUE"""),45903.0)</f>
        <v>45903</v>
      </c>
      <c r="I1288" s="115" t="str">
        <f>IFERROR(__xludf.DUMMYFUNCTION("""COMPUTED_VALUE"""),"11")</f>
        <v>11</v>
      </c>
      <c r="J1288" s="115" t="str">
        <f>IFERROR(__xludf.DUMMYFUNCTION("""COMPUTED_VALUE"""),"Martin A2025-09-0311")</f>
        <v>Martin A2025-09-0311</v>
      </c>
      <c r="K1288" s="115">
        <f>IFERROR(__xludf.DUMMYFUNCTION("""COMPUTED_VALUE"""),25244.0)</f>
        <v>25244</v>
      </c>
    </row>
    <row r="1289">
      <c r="A1289" s="115" t="str">
        <f>IFERROR(__xludf.DUMMYFUNCTION("""COMPUTED_VALUE"""),"SOUTH")</f>
        <v>SOUTH</v>
      </c>
      <c r="B1289" s="115" t="str">
        <f>IFERROR(__xludf.DUMMYFUNCTION("""COMPUTED_VALUE"""),"Premkumar M")</f>
        <v>Premkumar M</v>
      </c>
      <c r="C1289" s="115" t="str">
        <f>IFERROR(__xludf.DUMMYFUNCTION("""COMPUTED_VALUE"""),"EXTERNAL")</f>
        <v>EXTERNAL</v>
      </c>
      <c r="D1289" s="115">
        <f>IFERROR(__xludf.DUMMYFUNCTION("""COMPUTED_VALUE"""),18610.0)</f>
        <v>18610</v>
      </c>
      <c r="E1289" s="115">
        <f>IFERROR(__xludf.DUMMYFUNCTION("""COMPUTED_VALUE"""),1505.0)</f>
        <v>1505</v>
      </c>
      <c r="F1289" s="115">
        <f>IFERROR(__xludf.DUMMYFUNCTION("""COMPUTED_VALUE"""),1343.0)</f>
        <v>1343</v>
      </c>
      <c r="G1289" s="115">
        <f>IFERROR(__xludf.DUMMYFUNCTION("""COMPUTED_VALUE"""),18.0)</f>
        <v>18</v>
      </c>
      <c r="H1289" s="116">
        <f>IFERROR(__xludf.DUMMYFUNCTION("""COMPUTED_VALUE"""),45903.0)</f>
        <v>45903</v>
      </c>
      <c r="I1289" s="115" t="str">
        <f>IFERROR(__xludf.DUMMYFUNCTION("""COMPUTED_VALUE"""),"11")</f>
        <v>11</v>
      </c>
      <c r="J1289" s="115" t="str">
        <f>IFERROR(__xludf.DUMMYFUNCTION("""COMPUTED_VALUE"""),"Premkumar M2025-09-0311")</f>
        <v>Premkumar M2025-09-0311</v>
      </c>
      <c r="K1289" s="115">
        <f>IFERROR(__xludf.DUMMYFUNCTION("""COMPUTED_VALUE"""),20115.0)</f>
        <v>20115</v>
      </c>
    </row>
    <row r="1290">
      <c r="A1290" s="115" t="str">
        <f>IFERROR(__xludf.DUMMYFUNCTION("""COMPUTED_VALUE"""),"SOUTH")</f>
        <v>SOUTH</v>
      </c>
      <c r="B1290" s="115" t="str">
        <f>IFERROR(__xludf.DUMMYFUNCTION("""COMPUTED_VALUE"""),"Premkumar M")</f>
        <v>Premkumar M</v>
      </c>
      <c r="C1290" s="115" t="str">
        <f>IFERROR(__xludf.DUMMYFUNCTION("""COMPUTED_VALUE"""),"FLIPKART")</f>
        <v>FLIPKART</v>
      </c>
      <c r="D1290" s="115">
        <f>IFERROR(__xludf.DUMMYFUNCTION("""COMPUTED_VALUE"""),174167.0)</f>
        <v>174167</v>
      </c>
      <c r="E1290" s="115">
        <f>IFERROR(__xludf.DUMMYFUNCTION("""COMPUTED_VALUE"""),11311.0)</f>
        <v>11311</v>
      </c>
      <c r="F1290" s="115">
        <f>IFERROR(__xludf.DUMMYFUNCTION("""COMPUTED_VALUE"""),19303.0)</f>
        <v>19303</v>
      </c>
      <c r="G1290" s="115">
        <f>IFERROR(__xludf.DUMMYFUNCTION("""COMPUTED_VALUE"""),231.0)</f>
        <v>231</v>
      </c>
      <c r="H1290" s="116">
        <f>IFERROR(__xludf.DUMMYFUNCTION("""COMPUTED_VALUE"""),45903.0)</f>
        <v>45903</v>
      </c>
      <c r="I1290" s="115" t="str">
        <f>IFERROR(__xludf.DUMMYFUNCTION("""COMPUTED_VALUE"""),"11")</f>
        <v>11</v>
      </c>
      <c r="J1290" s="115" t="str">
        <f>IFERROR(__xludf.DUMMYFUNCTION("""COMPUTED_VALUE"""),"Premkumar M2025-09-0311")</f>
        <v>Premkumar M2025-09-0311</v>
      </c>
      <c r="K1290" s="115">
        <f>IFERROR(__xludf.DUMMYFUNCTION("""COMPUTED_VALUE"""),185478.0)</f>
        <v>185478</v>
      </c>
    </row>
    <row r="1291">
      <c r="A1291" s="115" t="str">
        <f>IFERROR(__xludf.DUMMYFUNCTION("""COMPUTED_VALUE"""),"SOUTH")</f>
        <v>SOUTH</v>
      </c>
      <c r="B1291" s="115" t="str">
        <f>IFERROR(__xludf.DUMMYFUNCTION("""COMPUTED_VALUE"""),"Premkumar M")</f>
        <v>Premkumar M</v>
      </c>
      <c r="C1291" s="115" t="str">
        <f>IFERROR(__xludf.DUMMYFUNCTION("""COMPUTED_VALUE"""),"MYNTRA")</f>
        <v>MYNTRA</v>
      </c>
      <c r="D1291" s="115">
        <f>IFERROR(__xludf.DUMMYFUNCTION("""COMPUTED_VALUE"""),9831.0)</f>
        <v>9831</v>
      </c>
      <c r="E1291" s="115">
        <f>IFERROR(__xludf.DUMMYFUNCTION("""COMPUTED_VALUE"""),1746.0)</f>
        <v>1746</v>
      </c>
      <c r="F1291" s="115">
        <f>IFERROR(__xludf.DUMMYFUNCTION("""COMPUTED_VALUE"""),1363.0)</f>
        <v>1363</v>
      </c>
      <c r="G1291" s="115">
        <f>IFERROR(__xludf.DUMMYFUNCTION("""COMPUTED_VALUE"""),38.0)</f>
        <v>38</v>
      </c>
      <c r="H1291" s="116">
        <f>IFERROR(__xludf.DUMMYFUNCTION("""COMPUTED_VALUE"""),45903.0)</f>
        <v>45903</v>
      </c>
      <c r="I1291" s="115" t="str">
        <f>IFERROR(__xludf.DUMMYFUNCTION("""COMPUTED_VALUE"""),"11")</f>
        <v>11</v>
      </c>
      <c r="J1291" s="115" t="str">
        <f>IFERROR(__xludf.DUMMYFUNCTION("""COMPUTED_VALUE"""),"Premkumar M2025-09-0311")</f>
        <v>Premkumar M2025-09-0311</v>
      </c>
      <c r="K1291" s="115">
        <f>IFERROR(__xludf.DUMMYFUNCTION("""COMPUTED_VALUE"""),11577.0)</f>
        <v>11577</v>
      </c>
    </row>
    <row r="1292">
      <c r="A1292" s="115" t="str">
        <f>IFERROR(__xludf.DUMMYFUNCTION("""COMPUTED_VALUE"""),"SOUTH")</f>
        <v>SOUTH</v>
      </c>
      <c r="B1292" s="115" t="str">
        <f>IFERROR(__xludf.DUMMYFUNCTION("""COMPUTED_VALUE"""),"Vineeth V")</f>
        <v>Vineeth V</v>
      </c>
      <c r="C1292" s="115" t="str">
        <f>IFERROR(__xludf.DUMMYFUNCTION("""COMPUTED_VALUE"""),"EXTERNAL")</f>
        <v>EXTERNAL</v>
      </c>
      <c r="D1292" s="115">
        <f>IFERROR(__xludf.DUMMYFUNCTION("""COMPUTED_VALUE"""),12561.0)</f>
        <v>12561</v>
      </c>
      <c r="E1292" s="115">
        <f>IFERROR(__xludf.DUMMYFUNCTION("""COMPUTED_VALUE"""),445.0)</f>
        <v>445</v>
      </c>
      <c r="F1292" s="115">
        <f>IFERROR(__xludf.DUMMYFUNCTION("""COMPUTED_VALUE"""),570.0)</f>
        <v>570</v>
      </c>
      <c r="G1292" s="115">
        <f>IFERROR(__xludf.DUMMYFUNCTION("""COMPUTED_VALUE"""),2.0)</f>
        <v>2</v>
      </c>
      <c r="H1292" s="116">
        <f>IFERROR(__xludf.DUMMYFUNCTION("""COMPUTED_VALUE"""),45903.0)</f>
        <v>45903</v>
      </c>
      <c r="I1292" s="115" t="str">
        <f>IFERROR(__xludf.DUMMYFUNCTION("""COMPUTED_VALUE"""),"11")</f>
        <v>11</v>
      </c>
      <c r="J1292" s="115" t="str">
        <f>IFERROR(__xludf.DUMMYFUNCTION("""COMPUTED_VALUE"""),"Vineeth V2025-09-0311")</f>
        <v>Vineeth V2025-09-0311</v>
      </c>
      <c r="K1292" s="115">
        <f>IFERROR(__xludf.DUMMYFUNCTION("""COMPUTED_VALUE"""),13006.0)</f>
        <v>13006</v>
      </c>
    </row>
    <row r="1293">
      <c r="A1293" s="115" t="str">
        <f>IFERROR(__xludf.DUMMYFUNCTION("""COMPUTED_VALUE"""),"SOUTH")</f>
        <v>SOUTH</v>
      </c>
      <c r="B1293" s="115" t="str">
        <f>IFERROR(__xludf.DUMMYFUNCTION("""COMPUTED_VALUE"""),"Vineeth V")</f>
        <v>Vineeth V</v>
      </c>
      <c r="C1293" s="115" t="str">
        <f>IFERROR(__xludf.DUMMYFUNCTION("""COMPUTED_VALUE"""),"FLIPKART")</f>
        <v>FLIPKART</v>
      </c>
      <c r="D1293" s="115">
        <f>IFERROR(__xludf.DUMMYFUNCTION("""COMPUTED_VALUE"""),135224.0)</f>
        <v>135224</v>
      </c>
      <c r="E1293" s="115">
        <f>IFERROR(__xludf.DUMMYFUNCTION("""COMPUTED_VALUE"""),8324.0)</f>
        <v>8324</v>
      </c>
      <c r="F1293" s="115">
        <f>IFERROR(__xludf.DUMMYFUNCTION("""COMPUTED_VALUE"""),10498.0)</f>
        <v>10498</v>
      </c>
      <c r="G1293" s="115">
        <f>IFERROR(__xludf.DUMMYFUNCTION("""COMPUTED_VALUE"""),82.0)</f>
        <v>82</v>
      </c>
      <c r="H1293" s="116">
        <f>IFERROR(__xludf.DUMMYFUNCTION("""COMPUTED_VALUE"""),45903.0)</f>
        <v>45903</v>
      </c>
      <c r="I1293" s="115" t="str">
        <f>IFERROR(__xludf.DUMMYFUNCTION("""COMPUTED_VALUE"""),"11")</f>
        <v>11</v>
      </c>
      <c r="J1293" s="115" t="str">
        <f>IFERROR(__xludf.DUMMYFUNCTION("""COMPUTED_VALUE"""),"Vineeth V2025-09-0311")</f>
        <v>Vineeth V2025-09-0311</v>
      </c>
      <c r="K1293" s="115">
        <f>IFERROR(__xludf.DUMMYFUNCTION("""COMPUTED_VALUE"""),143548.0)</f>
        <v>143548</v>
      </c>
    </row>
    <row r="1294">
      <c r="A1294" s="115" t="str">
        <f>IFERROR(__xludf.DUMMYFUNCTION("""COMPUTED_VALUE"""),"SOUTH")</f>
        <v>SOUTH</v>
      </c>
      <c r="B1294" s="115" t="str">
        <f>IFERROR(__xludf.DUMMYFUNCTION("""COMPUTED_VALUE"""),"Vineeth V")</f>
        <v>Vineeth V</v>
      </c>
      <c r="C1294" s="115" t="str">
        <f>IFERROR(__xludf.DUMMYFUNCTION("""COMPUTED_VALUE"""),"MYNTRA")</f>
        <v>MYNTRA</v>
      </c>
      <c r="D1294" s="115">
        <f>IFERROR(__xludf.DUMMYFUNCTION("""COMPUTED_VALUE"""),13641.0)</f>
        <v>13641</v>
      </c>
      <c r="E1294" s="115">
        <f>IFERROR(__xludf.DUMMYFUNCTION("""COMPUTED_VALUE"""),1996.0)</f>
        <v>1996</v>
      </c>
      <c r="F1294" s="115">
        <f>IFERROR(__xludf.DUMMYFUNCTION("""COMPUTED_VALUE"""),1368.0)</f>
        <v>1368</v>
      </c>
      <c r="G1294" s="115">
        <f>IFERROR(__xludf.DUMMYFUNCTION("""COMPUTED_VALUE"""),19.0)</f>
        <v>19</v>
      </c>
      <c r="H1294" s="116">
        <f>IFERROR(__xludf.DUMMYFUNCTION("""COMPUTED_VALUE"""),45903.0)</f>
        <v>45903</v>
      </c>
      <c r="I1294" s="115" t="str">
        <f>IFERROR(__xludf.DUMMYFUNCTION("""COMPUTED_VALUE"""),"11")</f>
        <v>11</v>
      </c>
      <c r="J1294" s="115" t="str">
        <f>IFERROR(__xludf.DUMMYFUNCTION("""COMPUTED_VALUE"""),"Vineeth V2025-09-0311")</f>
        <v>Vineeth V2025-09-0311</v>
      </c>
      <c r="K1294" s="115">
        <f>IFERROR(__xludf.DUMMYFUNCTION("""COMPUTED_VALUE"""),15637.0)</f>
        <v>15637</v>
      </c>
    </row>
    <row r="1295">
      <c r="A1295" s="115" t="str">
        <f>IFERROR(__xludf.DUMMYFUNCTION("""COMPUTED_VALUE"""),"WEST")</f>
        <v>WEST</v>
      </c>
      <c r="B1295" s="115" t="str">
        <f>IFERROR(__xludf.DUMMYFUNCTION("""COMPUTED_VALUE"""),"Ashish Jakar")</f>
        <v>Ashish Jakar</v>
      </c>
      <c r="C1295" s="115" t="str">
        <f>IFERROR(__xludf.DUMMYFUNCTION("""COMPUTED_VALUE"""),"EXTERNAL")</f>
        <v>EXTERNAL</v>
      </c>
      <c r="D1295" s="115">
        <f>IFERROR(__xludf.DUMMYFUNCTION("""COMPUTED_VALUE"""),37994.0)</f>
        <v>37994</v>
      </c>
      <c r="E1295" s="115">
        <f>IFERROR(__xludf.DUMMYFUNCTION("""COMPUTED_VALUE"""),5876.0)</f>
        <v>5876</v>
      </c>
      <c r="F1295" s="115">
        <f>IFERROR(__xludf.DUMMYFUNCTION("""COMPUTED_VALUE"""),2895.0)</f>
        <v>2895</v>
      </c>
      <c r="G1295" s="115">
        <f>IFERROR(__xludf.DUMMYFUNCTION("""COMPUTED_VALUE"""),205.0)</f>
        <v>205</v>
      </c>
      <c r="H1295" s="116">
        <f>IFERROR(__xludf.DUMMYFUNCTION("""COMPUTED_VALUE"""),45903.0)</f>
        <v>45903</v>
      </c>
      <c r="I1295" s="115" t="str">
        <f>IFERROR(__xludf.DUMMYFUNCTION("""COMPUTED_VALUE"""),"11")</f>
        <v>11</v>
      </c>
      <c r="J1295" s="115" t="str">
        <f>IFERROR(__xludf.DUMMYFUNCTION("""COMPUTED_VALUE"""),"Ashish Jakar2025-09-0311")</f>
        <v>Ashish Jakar2025-09-0311</v>
      </c>
      <c r="K1295" s="115">
        <f>IFERROR(__xludf.DUMMYFUNCTION("""COMPUTED_VALUE"""),43870.0)</f>
        <v>43870</v>
      </c>
    </row>
    <row r="1296">
      <c r="A1296" s="115" t="str">
        <f>IFERROR(__xludf.DUMMYFUNCTION("""COMPUTED_VALUE"""),"WEST")</f>
        <v>WEST</v>
      </c>
      <c r="B1296" s="115" t="str">
        <f>IFERROR(__xludf.DUMMYFUNCTION("""COMPUTED_VALUE"""),"Ashish Jakar")</f>
        <v>Ashish Jakar</v>
      </c>
      <c r="C1296" s="115" t="str">
        <f>IFERROR(__xludf.DUMMYFUNCTION("""COMPUTED_VALUE"""),"FLIPKART")</f>
        <v>FLIPKART</v>
      </c>
      <c r="D1296" s="115">
        <f>IFERROR(__xludf.DUMMYFUNCTION("""COMPUTED_VALUE"""),233443.0)</f>
        <v>233443</v>
      </c>
      <c r="E1296" s="115">
        <f>IFERROR(__xludf.DUMMYFUNCTION("""COMPUTED_VALUE"""),24984.0)</f>
        <v>24984</v>
      </c>
      <c r="F1296" s="115">
        <f>IFERROR(__xludf.DUMMYFUNCTION("""COMPUTED_VALUE"""),30148.0)</f>
        <v>30148</v>
      </c>
      <c r="G1296" s="115">
        <f>IFERROR(__xludf.DUMMYFUNCTION("""COMPUTED_VALUE"""),1124.0)</f>
        <v>1124</v>
      </c>
      <c r="H1296" s="116">
        <f>IFERROR(__xludf.DUMMYFUNCTION("""COMPUTED_VALUE"""),45903.0)</f>
        <v>45903</v>
      </c>
      <c r="I1296" s="115" t="str">
        <f>IFERROR(__xludf.DUMMYFUNCTION("""COMPUTED_VALUE"""),"11")</f>
        <v>11</v>
      </c>
      <c r="J1296" s="115" t="str">
        <f>IFERROR(__xludf.DUMMYFUNCTION("""COMPUTED_VALUE"""),"Ashish Jakar2025-09-0311")</f>
        <v>Ashish Jakar2025-09-0311</v>
      </c>
      <c r="K1296" s="115">
        <f>IFERROR(__xludf.DUMMYFUNCTION("""COMPUTED_VALUE"""),258427.0)</f>
        <v>258427</v>
      </c>
    </row>
    <row r="1297">
      <c r="A1297" s="115" t="str">
        <f>IFERROR(__xludf.DUMMYFUNCTION("""COMPUTED_VALUE"""),"WEST")</f>
        <v>WEST</v>
      </c>
      <c r="B1297" s="115" t="str">
        <f>IFERROR(__xludf.DUMMYFUNCTION("""COMPUTED_VALUE"""),"Ashish Jakar")</f>
        <v>Ashish Jakar</v>
      </c>
      <c r="C1297" s="115" t="str">
        <f>IFERROR(__xludf.DUMMYFUNCTION("""COMPUTED_VALUE"""),"MYNTRA")</f>
        <v>MYNTRA</v>
      </c>
      <c r="D1297" s="115">
        <f>IFERROR(__xludf.DUMMYFUNCTION("""COMPUTED_VALUE"""),25501.0)</f>
        <v>25501</v>
      </c>
      <c r="E1297" s="115">
        <f>IFERROR(__xludf.DUMMYFUNCTION("""COMPUTED_VALUE"""),8368.0)</f>
        <v>8368</v>
      </c>
      <c r="F1297" s="115">
        <f>IFERROR(__xludf.DUMMYFUNCTION("""COMPUTED_VALUE"""),4239.0)</f>
        <v>4239</v>
      </c>
      <c r="G1297" s="115">
        <f>IFERROR(__xludf.DUMMYFUNCTION("""COMPUTED_VALUE"""),422.0)</f>
        <v>422</v>
      </c>
      <c r="H1297" s="116">
        <f>IFERROR(__xludf.DUMMYFUNCTION("""COMPUTED_VALUE"""),45903.0)</f>
        <v>45903</v>
      </c>
      <c r="I1297" s="115" t="str">
        <f>IFERROR(__xludf.DUMMYFUNCTION("""COMPUTED_VALUE"""),"11")</f>
        <v>11</v>
      </c>
      <c r="J1297" s="115" t="str">
        <f>IFERROR(__xludf.DUMMYFUNCTION("""COMPUTED_VALUE"""),"Ashish Jakar2025-09-0311")</f>
        <v>Ashish Jakar2025-09-0311</v>
      </c>
      <c r="K1297" s="115">
        <f>IFERROR(__xludf.DUMMYFUNCTION("""COMPUTED_VALUE"""),33869.0)</f>
        <v>33869</v>
      </c>
    </row>
    <row r="1298">
      <c r="A1298" s="115" t="str">
        <f>IFERROR(__xludf.DUMMYFUNCTION("""COMPUTED_VALUE"""),"WEST")</f>
        <v>WEST</v>
      </c>
      <c r="B1298" s="115" t="str">
        <f>IFERROR(__xludf.DUMMYFUNCTION("""COMPUTED_VALUE"""),"Ashvani Bhatt")</f>
        <v>Ashvani Bhatt</v>
      </c>
      <c r="C1298" s="115" t="str">
        <f>IFERROR(__xludf.DUMMYFUNCTION("""COMPUTED_VALUE"""),"EXTERNAL")</f>
        <v>EXTERNAL</v>
      </c>
      <c r="D1298" s="115">
        <f>IFERROR(__xludf.DUMMYFUNCTION("""COMPUTED_VALUE"""),24915.0)</f>
        <v>24915</v>
      </c>
      <c r="E1298" s="115">
        <f>IFERROR(__xludf.DUMMYFUNCTION("""COMPUTED_VALUE"""),3176.0)</f>
        <v>3176</v>
      </c>
      <c r="F1298" s="115">
        <f>IFERROR(__xludf.DUMMYFUNCTION("""COMPUTED_VALUE"""),2348.0)</f>
        <v>2348</v>
      </c>
      <c r="G1298" s="115">
        <f>IFERROR(__xludf.DUMMYFUNCTION("""COMPUTED_VALUE"""),78.0)</f>
        <v>78</v>
      </c>
      <c r="H1298" s="116">
        <f>IFERROR(__xludf.DUMMYFUNCTION("""COMPUTED_VALUE"""),45903.0)</f>
        <v>45903</v>
      </c>
      <c r="I1298" s="115" t="str">
        <f>IFERROR(__xludf.DUMMYFUNCTION("""COMPUTED_VALUE"""),"11")</f>
        <v>11</v>
      </c>
      <c r="J1298" s="115" t="str">
        <f>IFERROR(__xludf.DUMMYFUNCTION("""COMPUTED_VALUE"""),"Ashvani Bhatt2025-09-0311")</f>
        <v>Ashvani Bhatt2025-09-0311</v>
      </c>
      <c r="K1298" s="115">
        <f>IFERROR(__xludf.DUMMYFUNCTION("""COMPUTED_VALUE"""),28091.0)</f>
        <v>28091</v>
      </c>
    </row>
    <row r="1299">
      <c r="A1299" s="115" t="str">
        <f>IFERROR(__xludf.DUMMYFUNCTION("""COMPUTED_VALUE"""),"WEST")</f>
        <v>WEST</v>
      </c>
      <c r="B1299" s="115" t="str">
        <f>IFERROR(__xludf.DUMMYFUNCTION("""COMPUTED_VALUE"""),"Ashvani Bhatt")</f>
        <v>Ashvani Bhatt</v>
      </c>
      <c r="C1299" s="115" t="str">
        <f>IFERROR(__xludf.DUMMYFUNCTION("""COMPUTED_VALUE"""),"FLIPKART")</f>
        <v>FLIPKART</v>
      </c>
      <c r="D1299" s="115">
        <f>IFERROR(__xludf.DUMMYFUNCTION("""COMPUTED_VALUE"""),193292.0)</f>
        <v>193292</v>
      </c>
      <c r="E1299" s="115">
        <f>IFERROR(__xludf.DUMMYFUNCTION("""COMPUTED_VALUE"""),19128.0)</f>
        <v>19128</v>
      </c>
      <c r="F1299" s="115">
        <f>IFERROR(__xludf.DUMMYFUNCTION("""COMPUTED_VALUE"""),35161.0)</f>
        <v>35161</v>
      </c>
      <c r="G1299" s="115">
        <f>IFERROR(__xludf.DUMMYFUNCTION("""COMPUTED_VALUE"""),813.0)</f>
        <v>813</v>
      </c>
      <c r="H1299" s="116">
        <f>IFERROR(__xludf.DUMMYFUNCTION("""COMPUTED_VALUE"""),45903.0)</f>
        <v>45903</v>
      </c>
      <c r="I1299" s="115" t="str">
        <f>IFERROR(__xludf.DUMMYFUNCTION("""COMPUTED_VALUE"""),"11")</f>
        <v>11</v>
      </c>
      <c r="J1299" s="115" t="str">
        <f>IFERROR(__xludf.DUMMYFUNCTION("""COMPUTED_VALUE"""),"Ashvani Bhatt2025-09-0311")</f>
        <v>Ashvani Bhatt2025-09-0311</v>
      </c>
      <c r="K1299" s="115">
        <f>IFERROR(__xludf.DUMMYFUNCTION("""COMPUTED_VALUE"""),212420.0)</f>
        <v>212420</v>
      </c>
    </row>
    <row r="1300">
      <c r="A1300" s="115" t="str">
        <f>IFERROR(__xludf.DUMMYFUNCTION("""COMPUTED_VALUE"""),"WEST")</f>
        <v>WEST</v>
      </c>
      <c r="B1300" s="115" t="str">
        <f>IFERROR(__xludf.DUMMYFUNCTION("""COMPUTED_VALUE"""),"Ashvani Bhatt")</f>
        <v>Ashvani Bhatt</v>
      </c>
      <c r="C1300" s="115" t="str">
        <f>IFERROR(__xludf.DUMMYFUNCTION("""COMPUTED_VALUE"""),"MYNTRA")</f>
        <v>MYNTRA</v>
      </c>
      <c r="D1300" s="115">
        <f>IFERROR(__xludf.DUMMYFUNCTION("""COMPUTED_VALUE"""),24149.0)</f>
        <v>24149</v>
      </c>
      <c r="E1300" s="115">
        <f>IFERROR(__xludf.DUMMYFUNCTION("""COMPUTED_VALUE"""),5629.0)</f>
        <v>5629</v>
      </c>
      <c r="F1300" s="115">
        <f>IFERROR(__xludf.DUMMYFUNCTION("""COMPUTED_VALUE"""),5435.0)</f>
        <v>5435</v>
      </c>
      <c r="G1300" s="115">
        <f>IFERROR(__xludf.DUMMYFUNCTION("""COMPUTED_VALUE"""),308.0)</f>
        <v>308</v>
      </c>
      <c r="H1300" s="116">
        <f>IFERROR(__xludf.DUMMYFUNCTION("""COMPUTED_VALUE"""),45903.0)</f>
        <v>45903</v>
      </c>
      <c r="I1300" s="115" t="str">
        <f>IFERROR(__xludf.DUMMYFUNCTION("""COMPUTED_VALUE"""),"11")</f>
        <v>11</v>
      </c>
      <c r="J1300" s="115" t="str">
        <f>IFERROR(__xludf.DUMMYFUNCTION("""COMPUTED_VALUE"""),"Ashvani Bhatt2025-09-0311")</f>
        <v>Ashvani Bhatt2025-09-0311</v>
      </c>
      <c r="K1300" s="115">
        <f>IFERROR(__xludf.DUMMYFUNCTION("""COMPUTED_VALUE"""),29778.0)</f>
        <v>29778</v>
      </c>
    </row>
    <row r="1301">
      <c r="A1301" s="115"/>
      <c r="B1301" s="115"/>
      <c r="C1301" s="115" t="str">
        <f>IFERROR(__xludf.DUMMYFUNCTION("""COMPUTED_VALUE"""),"EXTERNAL")</f>
        <v>EXTERNAL</v>
      </c>
      <c r="D1301" s="115">
        <f>IFERROR(__xludf.DUMMYFUNCTION("""COMPUTED_VALUE"""),289.0)</f>
        <v>289</v>
      </c>
      <c r="E1301" s="115">
        <f>IFERROR(__xludf.DUMMYFUNCTION("""COMPUTED_VALUE"""),32.0)</f>
        <v>32</v>
      </c>
      <c r="F1301" s="115">
        <f>IFERROR(__xludf.DUMMYFUNCTION("""COMPUTED_VALUE"""),15.0)</f>
        <v>15</v>
      </c>
      <c r="G1301" s="115">
        <f>IFERROR(__xludf.DUMMYFUNCTION("""COMPUTED_VALUE"""),2.0)</f>
        <v>2</v>
      </c>
      <c r="H1301" s="116">
        <f>IFERROR(__xludf.DUMMYFUNCTION("""COMPUTED_VALUE"""),45903.0)</f>
        <v>45903</v>
      </c>
      <c r="I1301" s="115" t="str">
        <f>IFERROR(__xludf.DUMMYFUNCTION("""COMPUTED_VALUE"""),"11")</f>
        <v>11</v>
      </c>
      <c r="J1301" s="115" t="str">
        <f>IFERROR(__xludf.DUMMYFUNCTION("""COMPUTED_VALUE"""),"2025-09-0311")</f>
        <v>2025-09-0311</v>
      </c>
      <c r="K1301" s="115">
        <f>IFERROR(__xludf.DUMMYFUNCTION("""COMPUTED_VALUE"""),321.0)</f>
        <v>321</v>
      </c>
    </row>
    <row r="1302">
      <c r="A1302" s="115"/>
      <c r="B1302" s="115"/>
      <c r="C1302" s="115" t="str">
        <f>IFERROR(__xludf.DUMMYFUNCTION("""COMPUTED_VALUE"""),"FLIPKART")</f>
        <v>FLIPKART</v>
      </c>
      <c r="D1302" s="115">
        <f>IFERROR(__xludf.DUMMYFUNCTION("""COMPUTED_VALUE"""),1976.0)</f>
        <v>1976</v>
      </c>
      <c r="E1302" s="115">
        <f>IFERROR(__xludf.DUMMYFUNCTION("""COMPUTED_VALUE"""),194.0)</f>
        <v>194</v>
      </c>
      <c r="F1302" s="115">
        <f>IFERROR(__xludf.DUMMYFUNCTION("""COMPUTED_VALUE"""),154.0)</f>
        <v>154</v>
      </c>
      <c r="G1302" s="115">
        <f>IFERROR(__xludf.DUMMYFUNCTION("""COMPUTED_VALUE"""),4.0)</f>
        <v>4</v>
      </c>
      <c r="H1302" s="116">
        <f>IFERROR(__xludf.DUMMYFUNCTION("""COMPUTED_VALUE"""),45903.0)</f>
        <v>45903</v>
      </c>
      <c r="I1302" s="115" t="str">
        <f>IFERROR(__xludf.DUMMYFUNCTION("""COMPUTED_VALUE"""),"11")</f>
        <v>11</v>
      </c>
      <c r="J1302" s="115" t="str">
        <f>IFERROR(__xludf.DUMMYFUNCTION("""COMPUTED_VALUE"""),"2025-09-0311")</f>
        <v>2025-09-0311</v>
      </c>
      <c r="K1302" s="115">
        <f>IFERROR(__xludf.DUMMYFUNCTION("""COMPUTED_VALUE"""),2170.0)</f>
        <v>2170</v>
      </c>
    </row>
    <row r="1303">
      <c r="A1303" s="115"/>
      <c r="B1303" s="115"/>
      <c r="C1303" s="115" t="str">
        <f>IFERROR(__xludf.DUMMYFUNCTION("""COMPUTED_VALUE"""),"MYNTRA")</f>
        <v>MYNTRA</v>
      </c>
      <c r="D1303" s="115">
        <f>IFERROR(__xludf.DUMMYFUNCTION("""COMPUTED_VALUE"""),289.0)</f>
        <v>289</v>
      </c>
      <c r="E1303" s="115">
        <f>IFERROR(__xludf.DUMMYFUNCTION("""COMPUTED_VALUE"""),94.0)</f>
        <v>94</v>
      </c>
      <c r="F1303" s="115">
        <f>IFERROR(__xludf.DUMMYFUNCTION("""COMPUTED_VALUE"""),10.0)</f>
        <v>10</v>
      </c>
      <c r="G1303" s="115">
        <f>IFERROR(__xludf.DUMMYFUNCTION("""COMPUTED_VALUE"""),0.0)</f>
        <v>0</v>
      </c>
      <c r="H1303" s="116">
        <f>IFERROR(__xludf.DUMMYFUNCTION("""COMPUTED_VALUE"""),45903.0)</f>
        <v>45903</v>
      </c>
      <c r="I1303" s="115" t="str">
        <f>IFERROR(__xludf.DUMMYFUNCTION("""COMPUTED_VALUE"""),"11")</f>
        <v>11</v>
      </c>
      <c r="J1303" s="115" t="str">
        <f>IFERROR(__xludf.DUMMYFUNCTION("""COMPUTED_VALUE"""),"2025-09-0311")</f>
        <v>2025-09-0311</v>
      </c>
      <c r="K1303" s="115">
        <f>IFERROR(__xludf.DUMMYFUNCTION("""COMPUTED_VALUE"""),383.0)</f>
        <v>383</v>
      </c>
    </row>
    <row r="1304">
      <c r="A1304" s="115" t="str">
        <f>IFERROR(__xludf.DUMMYFUNCTION("""COMPUTED_VALUE"""),"EAST")</f>
        <v>EAST</v>
      </c>
      <c r="B1304" s="115" t="str">
        <f>IFERROR(__xludf.DUMMYFUNCTION("""COMPUTED_VALUE"""),"Ashish Ranjan")</f>
        <v>Ashish Ranjan</v>
      </c>
      <c r="C1304" s="115" t="str">
        <f>IFERROR(__xludf.DUMMYFUNCTION("""COMPUTED_VALUE"""),"EXTERNAL")</f>
        <v>EXTERNAL</v>
      </c>
      <c r="D1304" s="115">
        <f>IFERROR(__xludf.DUMMYFUNCTION("""COMPUTED_VALUE"""),34120.0)</f>
        <v>34120</v>
      </c>
      <c r="E1304" s="115">
        <f>IFERROR(__xludf.DUMMYFUNCTION("""COMPUTED_VALUE"""),4045.0)</f>
        <v>4045</v>
      </c>
      <c r="F1304" s="115">
        <f>IFERROR(__xludf.DUMMYFUNCTION("""COMPUTED_VALUE"""),6448.0)</f>
        <v>6448</v>
      </c>
      <c r="G1304" s="115">
        <f>IFERROR(__xludf.DUMMYFUNCTION("""COMPUTED_VALUE"""),238.0)</f>
        <v>238</v>
      </c>
      <c r="H1304" s="116">
        <f>IFERROR(__xludf.DUMMYFUNCTION("""COMPUTED_VALUE"""),45903.0)</f>
        <v>45903</v>
      </c>
      <c r="I1304" s="115" t="str">
        <f>IFERROR(__xludf.DUMMYFUNCTION("""COMPUTED_VALUE"""),"12")</f>
        <v>12</v>
      </c>
      <c r="J1304" s="115" t="str">
        <f>IFERROR(__xludf.DUMMYFUNCTION("""COMPUTED_VALUE"""),"Ashish Ranjan2025-09-0312")</f>
        <v>Ashish Ranjan2025-09-0312</v>
      </c>
      <c r="K1304" s="115">
        <f>IFERROR(__xludf.DUMMYFUNCTION("""COMPUTED_VALUE"""),38165.0)</f>
        <v>38165</v>
      </c>
    </row>
    <row r="1305">
      <c r="A1305" s="115" t="str">
        <f>IFERROR(__xludf.DUMMYFUNCTION("""COMPUTED_VALUE"""),"EAST")</f>
        <v>EAST</v>
      </c>
      <c r="B1305" s="115" t="str">
        <f>IFERROR(__xludf.DUMMYFUNCTION("""COMPUTED_VALUE"""),"Ashish Ranjan")</f>
        <v>Ashish Ranjan</v>
      </c>
      <c r="C1305" s="115" t="str">
        <f>IFERROR(__xludf.DUMMYFUNCTION("""COMPUTED_VALUE"""),"FLIPKART")</f>
        <v>FLIPKART</v>
      </c>
      <c r="D1305" s="115">
        <f>IFERROR(__xludf.DUMMYFUNCTION("""COMPUTED_VALUE"""),540002.0)</f>
        <v>540002</v>
      </c>
      <c r="E1305" s="115">
        <f>IFERROR(__xludf.DUMMYFUNCTION("""COMPUTED_VALUE"""),48643.0)</f>
        <v>48643</v>
      </c>
      <c r="F1305" s="115">
        <f>IFERROR(__xludf.DUMMYFUNCTION("""COMPUTED_VALUE"""),176052.0)</f>
        <v>176052</v>
      </c>
      <c r="G1305" s="115">
        <f>IFERROR(__xludf.DUMMYFUNCTION("""COMPUTED_VALUE"""),4979.0)</f>
        <v>4979</v>
      </c>
      <c r="H1305" s="116">
        <f>IFERROR(__xludf.DUMMYFUNCTION("""COMPUTED_VALUE"""),45903.0)</f>
        <v>45903</v>
      </c>
      <c r="I1305" s="115" t="str">
        <f>IFERROR(__xludf.DUMMYFUNCTION("""COMPUTED_VALUE"""),"12")</f>
        <v>12</v>
      </c>
      <c r="J1305" s="115" t="str">
        <f>IFERROR(__xludf.DUMMYFUNCTION("""COMPUTED_VALUE"""),"Ashish Ranjan2025-09-0312")</f>
        <v>Ashish Ranjan2025-09-0312</v>
      </c>
      <c r="K1305" s="115">
        <f>IFERROR(__xludf.DUMMYFUNCTION("""COMPUTED_VALUE"""),588645.0)</f>
        <v>588645</v>
      </c>
    </row>
    <row r="1306">
      <c r="A1306" s="115" t="str">
        <f>IFERROR(__xludf.DUMMYFUNCTION("""COMPUTED_VALUE"""),"EAST")</f>
        <v>EAST</v>
      </c>
      <c r="B1306" s="115" t="str">
        <f>IFERROR(__xludf.DUMMYFUNCTION("""COMPUTED_VALUE"""),"Ashish Ranjan")</f>
        <v>Ashish Ranjan</v>
      </c>
      <c r="C1306" s="115" t="str">
        <f>IFERROR(__xludf.DUMMYFUNCTION("""COMPUTED_VALUE"""),"MYNTRA")</f>
        <v>MYNTRA</v>
      </c>
      <c r="D1306" s="115">
        <f>IFERROR(__xludf.DUMMYFUNCTION("""COMPUTED_VALUE"""),47983.0)</f>
        <v>47983</v>
      </c>
      <c r="E1306" s="115">
        <f>IFERROR(__xludf.DUMMYFUNCTION("""COMPUTED_VALUE"""),10925.0)</f>
        <v>10925</v>
      </c>
      <c r="F1306" s="115">
        <f>IFERROR(__xludf.DUMMYFUNCTION("""COMPUTED_VALUE"""),16081.0)</f>
        <v>16081</v>
      </c>
      <c r="G1306" s="115">
        <f>IFERROR(__xludf.DUMMYFUNCTION("""COMPUTED_VALUE"""),1282.0)</f>
        <v>1282</v>
      </c>
      <c r="H1306" s="116">
        <f>IFERROR(__xludf.DUMMYFUNCTION("""COMPUTED_VALUE"""),45903.0)</f>
        <v>45903</v>
      </c>
      <c r="I1306" s="115" t="str">
        <f>IFERROR(__xludf.DUMMYFUNCTION("""COMPUTED_VALUE"""),"12")</f>
        <v>12</v>
      </c>
      <c r="J1306" s="115" t="str">
        <f>IFERROR(__xludf.DUMMYFUNCTION("""COMPUTED_VALUE"""),"Ashish Ranjan2025-09-0312")</f>
        <v>Ashish Ranjan2025-09-0312</v>
      </c>
      <c r="K1306" s="115">
        <f>IFERROR(__xludf.DUMMYFUNCTION("""COMPUTED_VALUE"""),58908.0)</f>
        <v>58908</v>
      </c>
    </row>
    <row r="1307">
      <c r="A1307" s="115" t="str">
        <f>IFERROR(__xludf.DUMMYFUNCTION("""COMPUTED_VALUE"""),"EAST")</f>
        <v>EAST</v>
      </c>
      <c r="B1307" s="115" t="str">
        <f>IFERROR(__xludf.DUMMYFUNCTION("""COMPUTED_VALUE"""),"Girish Chand")</f>
        <v>Girish Chand</v>
      </c>
      <c r="C1307" s="115" t="str">
        <f>IFERROR(__xludf.DUMMYFUNCTION("""COMPUTED_VALUE"""),"EXTERNAL")</f>
        <v>EXTERNAL</v>
      </c>
      <c r="D1307" s="115">
        <f>IFERROR(__xludf.DUMMYFUNCTION("""COMPUTED_VALUE"""),22746.0)</f>
        <v>22746</v>
      </c>
      <c r="E1307" s="115">
        <f>IFERROR(__xludf.DUMMYFUNCTION("""COMPUTED_VALUE"""),2696.0)</f>
        <v>2696</v>
      </c>
      <c r="F1307" s="115">
        <f>IFERROR(__xludf.DUMMYFUNCTION("""COMPUTED_VALUE"""),2733.0)</f>
        <v>2733</v>
      </c>
      <c r="G1307" s="115">
        <f>IFERROR(__xludf.DUMMYFUNCTION("""COMPUTED_VALUE"""),89.0)</f>
        <v>89</v>
      </c>
      <c r="H1307" s="116">
        <f>IFERROR(__xludf.DUMMYFUNCTION("""COMPUTED_VALUE"""),45903.0)</f>
        <v>45903</v>
      </c>
      <c r="I1307" s="115" t="str">
        <f>IFERROR(__xludf.DUMMYFUNCTION("""COMPUTED_VALUE"""),"12")</f>
        <v>12</v>
      </c>
      <c r="J1307" s="115" t="str">
        <f>IFERROR(__xludf.DUMMYFUNCTION("""COMPUTED_VALUE"""),"Girish Chand2025-09-0312")</f>
        <v>Girish Chand2025-09-0312</v>
      </c>
      <c r="K1307" s="115">
        <f>IFERROR(__xludf.DUMMYFUNCTION("""COMPUTED_VALUE"""),25442.0)</f>
        <v>25442</v>
      </c>
    </row>
    <row r="1308">
      <c r="A1308" s="115" t="str">
        <f>IFERROR(__xludf.DUMMYFUNCTION("""COMPUTED_VALUE"""),"EAST")</f>
        <v>EAST</v>
      </c>
      <c r="B1308" s="115" t="str">
        <f>IFERROR(__xludf.DUMMYFUNCTION("""COMPUTED_VALUE"""),"Girish Chand")</f>
        <v>Girish Chand</v>
      </c>
      <c r="C1308" s="115" t="str">
        <f>IFERROR(__xludf.DUMMYFUNCTION("""COMPUTED_VALUE"""),"FLIPKART")</f>
        <v>FLIPKART</v>
      </c>
      <c r="D1308" s="115">
        <f>IFERROR(__xludf.DUMMYFUNCTION("""COMPUTED_VALUE"""),405600.0)</f>
        <v>405600</v>
      </c>
      <c r="E1308" s="115">
        <f>IFERROR(__xludf.DUMMYFUNCTION("""COMPUTED_VALUE"""),32173.0)</f>
        <v>32173</v>
      </c>
      <c r="F1308" s="115">
        <f>IFERROR(__xludf.DUMMYFUNCTION("""COMPUTED_VALUE"""),91669.0)</f>
        <v>91669</v>
      </c>
      <c r="G1308" s="115">
        <f>IFERROR(__xludf.DUMMYFUNCTION("""COMPUTED_VALUE"""),1716.0)</f>
        <v>1716</v>
      </c>
      <c r="H1308" s="116">
        <f>IFERROR(__xludf.DUMMYFUNCTION("""COMPUTED_VALUE"""),45903.0)</f>
        <v>45903</v>
      </c>
      <c r="I1308" s="115" t="str">
        <f>IFERROR(__xludf.DUMMYFUNCTION("""COMPUTED_VALUE"""),"12")</f>
        <v>12</v>
      </c>
      <c r="J1308" s="115" t="str">
        <f>IFERROR(__xludf.DUMMYFUNCTION("""COMPUTED_VALUE"""),"Girish Chand2025-09-0312")</f>
        <v>Girish Chand2025-09-0312</v>
      </c>
      <c r="K1308" s="115">
        <f>IFERROR(__xludf.DUMMYFUNCTION("""COMPUTED_VALUE"""),437773.0)</f>
        <v>437773</v>
      </c>
    </row>
    <row r="1309">
      <c r="A1309" s="115" t="str">
        <f>IFERROR(__xludf.DUMMYFUNCTION("""COMPUTED_VALUE"""),"EAST")</f>
        <v>EAST</v>
      </c>
      <c r="B1309" s="115" t="str">
        <f>IFERROR(__xludf.DUMMYFUNCTION("""COMPUTED_VALUE"""),"Girish Chand")</f>
        <v>Girish Chand</v>
      </c>
      <c r="C1309" s="115" t="str">
        <f>IFERROR(__xludf.DUMMYFUNCTION("""COMPUTED_VALUE"""),"MYNTRA")</f>
        <v>MYNTRA</v>
      </c>
      <c r="D1309" s="115">
        <f>IFERROR(__xludf.DUMMYFUNCTION("""COMPUTED_VALUE"""),31618.0)</f>
        <v>31618</v>
      </c>
      <c r="E1309" s="115">
        <f>IFERROR(__xludf.DUMMYFUNCTION("""COMPUTED_VALUE"""),5520.0)</f>
        <v>5520</v>
      </c>
      <c r="F1309" s="115">
        <f>IFERROR(__xludf.DUMMYFUNCTION("""COMPUTED_VALUE"""),7943.0)</f>
        <v>7943</v>
      </c>
      <c r="G1309" s="115">
        <f>IFERROR(__xludf.DUMMYFUNCTION("""COMPUTED_VALUE"""),326.0)</f>
        <v>326</v>
      </c>
      <c r="H1309" s="116">
        <f>IFERROR(__xludf.DUMMYFUNCTION("""COMPUTED_VALUE"""),45903.0)</f>
        <v>45903</v>
      </c>
      <c r="I1309" s="115" t="str">
        <f>IFERROR(__xludf.DUMMYFUNCTION("""COMPUTED_VALUE"""),"12")</f>
        <v>12</v>
      </c>
      <c r="J1309" s="115" t="str">
        <f>IFERROR(__xludf.DUMMYFUNCTION("""COMPUTED_VALUE"""),"Girish Chand2025-09-0312")</f>
        <v>Girish Chand2025-09-0312</v>
      </c>
      <c r="K1309" s="115">
        <f>IFERROR(__xludf.DUMMYFUNCTION("""COMPUTED_VALUE"""),37138.0)</f>
        <v>37138</v>
      </c>
    </row>
    <row r="1310">
      <c r="A1310" s="115" t="str">
        <f>IFERROR(__xludf.DUMMYFUNCTION("""COMPUTED_VALUE"""),"EAST")</f>
        <v>EAST</v>
      </c>
      <c r="B1310" s="115" t="str">
        <f>IFERROR(__xludf.DUMMYFUNCTION("""COMPUTED_VALUE"""),"Parag Kashyap")</f>
        <v>Parag Kashyap</v>
      </c>
      <c r="C1310" s="115" t="str">
        <f>IFERROR(__xludf.DUMMYFUNCTION("""COMPUTED_VALUE"""),"EXTERNAL")</f>
        <v>EXTERNAL</v>
      </c>
      <c r="D1310" s="115">
        <f>IFERROR(__xludf.DUMMYFUNCTION("""COMPUTED_VALUE"""),18909.0)</f>
        <v>18909</v>
      </c>
      <c r="E1310" s="115">
        <f>IFERROR(__xludf.DUMMYFUNCTION("""COMPUTED_VALUE"""),1362.0)</f>
        <v>1362</v>
      </c>
      <c r="F1310" s="115">
        <f>IFERROR(__xludf.DUMMYFUNCTION("""COMPUTED_VALUE"""),1778.0)</f>
        <v>1778</v>
      </c>
      <c r="G1310" s="115">
        <f>IFERROR(__xludf.DUMMYFUNCTION("""COMPUTED_VALUE"""),23.0)</f>
        <v>23</v>
      </c>
      <c r="H1310" s="116">
        <f>IFERROR(__xludf.DUMMYFUNCTION("""COMPUTED_VALUE"""),45903.0)</f>
        <v>45903</v>
      </c>
      <c r="I1310" s="115" t="str">
        <f>IFERROR(__xludf.DUMMYFUNCTION("""COMPUTED_VALUE"""),"12")</f>
        <v>12</v>
      </c>
      <c r="J1310" s="115" t="str">
        <f>IFERROR(__xludf.DUMMYFUNCTION("""COMPUTED_VALUE"""),"Parag Kashyap2025-09-0312")</f>
        <v>Parag Kashyap2025-09-0312</v>
      </c>
      <c r="K1310" s="115">
        <f>IFERROR(__xludf.DUMMYFUNCTION("""COMPUTED_VALUE"""),20271.0)</f>
        <v>20271</v>
      </c>
    </row>
    <row r="1311">
      <c r="A1311" s="115" t="str">
        <f>IFERROR(__xludf.DUMMYFUNCTION("""COMPUTED_VALUE"""),"EAST")</f>
        <v>EAST</v>
      </c>
      <c r="B1311" s="115" t="str">
        <f>IFERROR(__xludf.DUMMYFUNCTION("""COMPUTED_VALUE"""),"Parag Kashyap")</f>
        <v>Parag Kashyap</v>
      </c>
      <c r="C1311" s="115" t="str">
        <f>IFERROR(__xludf.DUMMYFUNCTION("""COMPUTED_VALUE"""),"FLIPKART")</f>
        <v>FLIPKART</v>
      </c>
      <c r="D1311" s="115">
        <f>IFERROR(__xludf.DUMMYFUNCTION("""COMPUTED_VALUE"""),277277.0)</f>
        <v>277277</v>
      </c>
      <c r="E1311" s="115">
        <f>IFERROR(__xludf.DUMMYFUNCTION("""COMPUTED_VALUE"""),14906.0)</f>
        <v>14906</v>
      </c>
      <c r="F1311" s="115">
        <f>IFERROR(__xludf.DUMMYFUNCTION("""COMPUTED_VALUE"""),52327.0)</f>
        <v>52327</v>
      </c>
      <c r="G1311" s="115">
        <f>IFERROR(__xludf.DUMMYFUNCTION("""COMPUTED_VALUE"""),579.0)</f>
        <v>579</v>
      </c>
      <c r="H1311" s="116">
        <f>IFERROR(__xludf.DUMMYFUNCTION("""COMPUTED_VALUE"""),45903.0)</f>
        <v>45903</v>
      </c>
      <c r="I1311" s="115" t="str">
        <f>IFERROR(__xludf.DUMMYFUNCTION("""COMPUTED_VALUE"""),"12")</f>
        <v>12</v>
      </c>
      <c r="J1311" s="115" t="str">
        <f>IFERROR(__xludf.DUMMYFUNCTION("""COMPUTED_VALUE"""),"Parag Kashyap2025-09-0312")</f>
        <v>Parag Kashyap2025-09-0312</v>
      </c>
      <c r="K1311" s="115">
        <f>IFERROR(__xludf.DUMMYFUNCTION("""COMPUTED_VALUE"""),292183.0)</f>
        <v>292183</v>
      </c>
    </row>
    <row r="1312">
      <c r="A1312" s="115" t="str">
        <f>IFERROR(__xludf.DUMMYFUNCTION("""COMPUTED_VALUE"""),"EAST")</f>
        <v>EAST</v>
      </c>
      <c r="B1312" s="115" t="str">
        <f>IFERROR(__xludf.DUMMYFUNCTION("""COMPUTED_VALUE"""),"Parag Kashyap")</f>
        <v>Parag Kashyap</v>
      </c>
      <c r="C1312" s="115" t="str">
        <f>IFERROR(__xludf.DUMMYFUNCTION("""COMPUTED_VALUE"""),"MYNTRA")</f>
        <v>MYNTRA</v>
      </c>
      <c r="D1312" s="115">
        <f>IFERROR(__xludf.DUMMYFUNCTION("""COMPUTED_VALUE"""),31866.0)</f>
        <v>31866</v>
      </c>
      <c r="E1312" s="115">
        <f>IFERROR(__xludf.DUMMYFUNCTION("""COMPUTED_VALUE"""),3865.0)</f>
        <v>3865</v>
      </c>
      <c r="F1312" s="115">
        <f>IFERROR(__xludf.DUMMYFUNCTION("""COMPUTED_VALUE"""),6619.0)</f>
        <v>6619</v>
      </c>
      <c r="G1312" s="115">
        <f>IFERROR(__xludf.DUMMYFUNCTION("""COMPUTED_VALUE"""),131.0)</f>
        <v>131</v>
      </c>
      <c r="H1312" s="116">
        <f>IFERROR(__xludf.DUMMYFUNCTION("""COMPUTED_VALUE"""),45903.0)</f>
        <v>45903</v>
      </c>
      <c r="I1312" s="115" t="str">
        <f>IFERROR(__xludf.DUMMYFUNCTION("""COMPUTED_VALUE"""),"12")</f>
        <v>12</v>
      </c>
      <c r="J1312" s="115" t="str">
        <f>IFERROR(__xludf.DUMMYFUNCTION("""COMPUTED_VALUE"""),"Parag Kashyap2025-09-0312")</f>
        <v>Parag Kashyap2025-09-0312</v>
      </c>
      <c r="K1312" s="115">
        <f>IFERROR(__xludf.DUMMYFUNCTION("""COMPUTED_VALUE"""),35731.0)</f>
        <v>35731</v>
      </c>
    </row>
    <row r="1313">
      <c r="A1313" s="115" t="str">
        <f>IFERROR(__xludf.DUMMYFUNCTION("""COMPUTED_VALUE"""),"NORTH")</f>
        <v>NORTH</v>
      </c>
      <c r="B1313" s="115" t="str">
        <f>IFERROR(__xludf.DUMMYFUNCTION("""COMPUTED_VALUE"""),"Amit Kumar Pathak")</f>
        <v>Amit Kumar Pathak</v>
      </c>
      <c r="C1313" s="115" t="str">
        <f>IFERROR(__xludf.DUMMYFUNCTION("""COMPUTED_VALUE"""),"EXTERNAL")</f>
        <v>EXTERNAL</v>
      </c>
      <c r="D1313" s="115">
        <f>IFERROR(__xludf.DUMMYFUNCTION("""COMPUTED_VALUE"""),18401.0)</f>
        <v>18401</v>
      </c>
      <c r="E1313" s="115">
        <f>IFERROR(__xludf.DUMMYFUNCTION("""COMPUTED_VALUE"""),2893.0)</f>
        <v>2893</v>
      </c>
      <c r="F1313" s="115">
        <f>IFERROR(__xludf.DUMMYFUNCTION("""COMPUTED_VALUE"""),2285.0)</f>
        <v>2285</v>
      </c>
      <c r="G1313" s="115">
        <f>IFERROR(__xludf.DUMMYFUNCTION("""COMPUTED_VALUE"""),254.0)</f>
        <v>254</v>
      </c>
      <c r="H1313" s="116">
        <f>IFERROR(__xludf.DUMMYFUNCTION("""COMPUTED_VALUE"""),45903.0)</f>
        <v>45903</v>
      </c>
      <c r="I1313" s="115" t="str">
        <f>IFERROR(__xludf.DUMMYFUNCTION("""COMPUTED_VALUE"""),"12")</f>
        <v>12</v>
      </c>
      <c r="J1313" s="115" t="str">
        <f>IFERROR(__xludf.DUMMYFUNCTION("""COMPUTED_VALUE"""),"Amit Kumar Pathak2025-09-0312")</f>
        <v>Amit Kumar Pathak2025-09-0312</v>
      </c>
      <c r="K1313" s="115">
        <f>IFERROR(__xludf.DUMMYFUNCTION("""COMPUTED_VALUE"""),21294.0)</f>
        <v>21294</v>
      </c>
    </row>
    <row r="1314">
      <c r="A1314" s="115" t="str">
        <f>IFERROR(__xludf.DUMMYFUNCTION("""COMPUTED_VALUE"""),"NORTH")</f>
        <v>NORTH</v>
      </c>
      <c r="B1314" s="115" t="str">
        <f>IFERROR(__xludf.DUMMYFUNCTION("""COMPUTED_VALUE"""),"Amit Kumar Pathak")</f>
        <v>Amit Kumar Pathak</v>
      </c>
      <c r="C1314" s="115" t="str">
        <f>IFERROR(__xludf.DUMMYFUNCTION("""COMPUTED_VALUE"""),"FLIPKART")</f>
        <v>FLIPKART</v>
      </c>
      <c r="D1314" s="115">
        <f>IFERROR(__xludf.DUMMYFUNCTION("""COMPUTED_VALUE"""),153476.0)</f>
        <v>153476</v>
      </c>
      <c r="E1314" s="115">
        <f>IFERROR(__xludf.DUMMYFUNCTION("""COMPUTED_VALUE"""),19968.0)</f>
        <v>19968</v>
      </c>
      <c r="F1314" s="115">
        <f>IFERROR(__xludf.DUMMYFUNCTION("""COMPUTED_VALUE"""),36777.0)</f>
        <v>36777</v>
      </c>
      <c r="G1314" s="115">
        <f>IFERROR(__xludf.DUMMYFUNCTION("""COMPUTED_VALUE"""),2765.0)</f>
        <v>2765</v>
      </c>
      <c r="H1314" s="116">
        <f>IFERROR(__xludf.DUMMYFUNCTION("""COMPUTED_VALUE"""),45903.0)</f>
        <v>45903</v>
      </c>
      <c r="I1314" s="115" t="str">
        <f>IFERROR(__xludf.DUMMYFUNCTION("""COMPUTED_VALUE"""),"12")</f>
        <v>12</v>
      </c>
      <c r="J1314" s="115" t="str">
        <f>IFERROR(__xludf.DUMMYFUNCTION("""COMPUTED_VALUE"""),"Amit Kumar Pathak2025-09-0312")</f>
        <v>Amit Kumar Pathak2025-09-0312</v>
      </c>
      <c r="K1314" s="115">
        <f>IFERROR(__xludf.DUMMYFUNCTION("""COMPUTED_VALUE"""),173444.0)</f>
        <v>173444</v>
      </c>
    </row>
    <row r="1315">
      <c r="A1315" s="115" t="str">
        <f>IFERROR(__xludf.DUMMYFUNCTION("""COMPUTED_VALUE"""),"NORTH")</f>
        <v>NORTH</v>
      </c>
      <c r="B1315" s="115" t="str">
        <f>IFERROR(__xludf.DUMMYFUNCTION("""COMPUTED_VALUE"""),"Amit Kumar Pathak")</f>
        <v>Amit Kumar Pathak</v>
      </c>
      <c r="C1315" s="115" t="str">
        <f>IFERROR(__xludf.DUMMYFUNCTION("""COMPUTED_VALUE"""),"MYNTRA")</f>
        <v>MYNTRA</v>
      </c>
      <c r="D1315" s="115">
        <f>IFERROR(__xludf.DUMMYFUNCTION("""COMPUTED_VALUE"""),14270.0)</f>
        <v>14270</v>
      </c>
      <c r="E1315" s="115">
        <f>IFERROR(__xludf.DUMMYFUNCTION("""COMPUTED_VALUE"""),5070.0)</f>
        <v>5070</v>
      </c>
      <c r="F1315" s="115">
        <f>IFERROR(__xludf.DUMMYFUNCTION("""COMPUTED_VALUE"""),4423.0)</f>
        <v>4423</v>
      </c>
      <c r="G1315" s="115">
        <f>IFERROR(__xludf.DUMMYFUNCTION("""COMPUTED_VALUE"""),858.0)</f>
        <v>858</v>
      </c>
      <c r="H1315" s="116">
        <f>IFERROR(__xludf.DUMMYFUNCTION("""COMPUTED_VALUE"""),45903.0)</f>
        <v>45903</v>
      </c>
      <c r="I1315" s="115" t="str">
        <f>IFERROR(__xludf.DUMMYFUNCTION("""COMPUTED_VALUE"""),"12")</f>
        <v>12</v>
      </c>
      <c r="J1315" s="115" t="str">
        <f>IFERROR(__xludf.DUMMYFUNCTION("""COMPUTED_VALUE"""),"Amit Kumar Pathak2025-09-0312")</f>
        <v>Amit Kumar Pathak2025-09-0312</v>
      </c>
      <c r="K1315" s="115">
        <f>IFERROR(__xludf.DUMMYFUNCTION("""COMPUTED_VALUE"""),19340.0)</f>
        <v>19340</v>
      </c>
    </row>
    <row r="1316">
      <c r="A1316" s="115" t="str">
        <f>IFERROR(__xludf.DUMMYFUNCTION("""COMPUTED_VALUE"""),"NORTH")</f>
        <v>NORTH</v>
      </c>
      <c r="B1316" s="115" t="str">
        <f>IFERROR(__xludf.DUMMYFUNCTION("""COMPUTED_VALUE"""),"Loveleen Singh")</f>
        <v>Loveleen Singh</v>
      </c>
      <c r="C1316" s="115" t="str">
        <f>IFERROR(__xludf.DUMMYFUNCTION("""COMPUTED_VALUE"""),"EXTERNAL")</f>
        <v>EXTERNAL</v>
      </c>
      <c r="D1316" s="115">
        <f>IFERROR(__xludf.DUMMYFUNCTION("""COMPUTED_VALUE"""),19907.0)</f>
        <v>19907</v>
      </c>
      <c r="E1316" s="115">
        <f>IFERROR(__xludf.DUMMYFUNCTION("""COMPUTED_VALUE"""),1833.0)</f>
        <v>1833</v>
      </c>
      <c r="F1316" s="115">
        <f>IFERROR(__xludf.DUMMYFUNCTION("""COMPUTED_VALUE"""),1676.0)</f>
        <v>1676</v>
      </c>
      <c r="G1316" s="115">
        <f>IFERROR(__xludf.DUMMYFUNCTION("""COMPUTED_VALUE"""),71.0)</f>
        <v>71</v>
      </c>
      <c r="H1316" s="116">
        <f>IFERROR(__xludf.DUMMYFUNCTION("""COMPUTED_VALUE"""),45903.0)</f>
        <v>45903</v>
      </c>
      <c r="I1316" s="115" t="str">
        <f>IFERROR(__xludf.DUMMYFUNCTION("""COMPUTED_VALUE"""),"12")</f>
        <v>12</v>
      </c>
      <c r="J1316" s="115" t="str">
        <f>IFERROR(__xludf.DUMMYFUNCTION("""COMPUTED_VALUE"""),"Loveleen Singh2025-09-0312")</f>
        <v>Loveleen Singh2025-09-0312</v>
      </c>
      <c r="K1316" s="115">
        <f>IFERROR(__xludf.DUMMYFUNCTION("""COMPUTED_VALUE"""),21740.0)</f>
        <v>21740</v>
      </c>
    </row>
    <row r="1317">
      <c r="A1317" s="115" t="str">
        <f>IFERROR(__xludf.DUMMYFUNCTION("""COMPUTED_VALUE"""),"NORTH")</f>
        <v>NORTH</v>
      </c>
      <c r="B1317" s="115" t="str">
        <f>IFERROR(__xludf.DUMMYFUNCTION("""COMPUTED_VALUE"""),"Loveleen Singh")</f>
        <v>Loveleen Singh</v>
      </c>
      <c r="C1317" s="115" t="str">
        <f>IFERROR(__xludf.DUMMYFUNCTION("""COMPUTED_VALUE"""),"FLIPKART")</f>
        <v>FLIPKART</v>
      </c>
      <c r="D1317" s="115">
        <f>IFERROR(__xludf.DUMMYFUNCTION("""COMPUTED_VALUE"""),111794.0)</f>
        <v>111794</v>
      </c>
      <c r="E1317" s="115">
        <f>IFERROR(__xludf.DUMMYFUNCTION("""COMPUTED_VALUE"""),9788.0)</f>
        <v>9788</v>
      </c>
      <c r="F1317" s="115">
        <f>IFERROR(__xludf.DUMMYFUNCTION("""COMPUTED_VALUE"""),21425.0)</f>
        <v>21425</v>
      </c>
      <c r="G1317" s="115">
        <f>IFERROR(__xludf.DUMMYFUNCTION("""COMPUTED_VALUE"""),764.0)</f>
        <v>764</v>
      </c>
      <c r="H1317" s="116">
        <f>IFERROR(__xludf.DUMMYFUNCTION("""COMPUTED_VALUE"""),45903.0)</f>
        <v>45903</v>
      </c>
      <c r="I1317" s="115" t="str">
        <f>IFERROR(__xludf.DUMMYFUNCTION("""COMPUTED_VALUE"""),"12")</f>
        <v>12</v>
      </c>
      <c r="J1317" s="115" t="str">
        <f>IFERROR(__xludf.DUMMYFUNCTION("""COMPUTED_VALUE"""),"Loveleen Singh2025-09-0312")</f>
        <v>Loveleen Singh2025-09-0312</v>
      </c>
      <c r="K1317" s="115">
        <f>IFERROR(__xludf.DUMMYFUNCTION("""COMPUTED_VALUE"""),121582.0)</f>
        <v>121582</v>
      </c>
    </row>
    <row r="1318">
      <c r="A1318" s="115" t="str">
        <f>IFERROR(__xludf.DUMMYFUNCTION("""COMPUTED_VALUE"""),"NORTH")</f>
        <v>NORTH</v>
      </c>
      <c r="B1318" s="115" t="str">
        <f>IFERROR(__xludf.DUMMYFUNCTION("""COMPUTED_VALUE"""),"Loveleen Singh")</f>
        <v>Loveleen Singh</v>
      </c>
      <c r="C1318" s="115" t="str">
        <f>IFERROR(__xludf.DUMMYFUNCTION("""COMPUTED_VALUE"""),"MYNTRA")</f>
        <v>MYNTRA</v>
      </c>
      <c r="D1318" s="115">
        <f>IFERROR(__xludf.DUMMYFUNCTION("""COMPUTED_VALUE"""),17942.0)</f>
        <v>17942</v>
      </c>
      <c r="E1318" s="115">
        <f>IFERROR(__xludf.DUMMYFUNCTION("""COMPUTED_VALUE"""),3881.0)</f>
        <v>3881</v>
      </c>
      <c r="F1318" s="115">
        <f>IFERROR(__xludf.DUMMYFUNCTION("""COMPUTED_VALUE"""),4240.0)</f>
        <v>4240</v>
      </c>
      <c r="G1318" s="115">
        <f>IFERROR(__xludf.DUMMYFUNCTION("""COMPUTED_VALUE"""),377.0)</f>
        <v>377</v>
      </c>
      <c r="H1318" s="116">
        <f>IFERROR(__xludf.DUMMYFUNCTION("""COMPUTED_VALUE"""),45903.0)</f>
        <v>45903</v>
      </c>
      <c r="I1318" s="115" t="str">
        <f>IFERROR(__xludf.DUMMYFUNCTION("""COMPUTED_VALUE"""),"12")</f>
        <v>12</v>
      </c>
      <c r="J1318" s="115" t="str">
        <f>IFERROR(__xludf.DUMMYFUNCTION("""COMPUTED_VALUE"""),"Loveleen Singh2025-09-0312")</f>
        <v>Loveleen Singh2025-09-0312</v>
      </c>
      <c r="K1318" s="115">
        <f>IFERROR(__xludf.DUMMYFUNCTION("""COMPUTED_VALUE"""),21823.0)</f>
        <v>21823</v>
      </c>
    </row>
    <row r="1319">
      <c r="A1319" s="115" t="str">
        <f>IFERROR(__xludf.DUMMYFUNCTION("""COMPUTED_VALUE"""),"NORTH")</f>
        <v>NORTH</v>
      </c>
      <c r="B1319" s="115" t="str">
        <f>IFERROR(__xludf.DUMMYFUNCTION("""COMPUTED_VALUE"""),"Manoj Harsh")</f>
        <v>Manoj Harsh</v>
      </c>
      <c r="C1319" s="115" t="str">
        <f>IFERROR(__xludf.DUMMYFUNCTION("""COMPUTED_VALUE"""),"EXTERNAL")</f>
        <v>EXTERNAL</v>
      </c>
      <c r="D1319" s="115">
        <f>IFERROR(__xludf.DUMMYFUNCTION("""COMPUTED_VALUE"""),29068.0)</f>
        <v>29068</v>
      </c>
      <c r="E1319" s="115">
        <f>IFERROR(__xludf.DUMMYFUNCTION("""COMPUTED_VALUE"""),3757.0)</f>
        <v>3757</v>
      </c>
      <c r="F1319" s="115">
        <f>IFERROR(__xludf.DUMMYFUNCTION("""COMPUTED_VALUE"""),3523.0)</f>
        <v>3523</v>
      </c>
      <c r="G1319" s="115">
        <f>IFERROR(__xludf.DUMMYFUNCTION("""COMPUTED_VALUE"""),133.0)</f>
        <v>133</v>
      </c>
      <c r="H1319" s="116">
        <f>IFERROR(__xludf.DUMMYFUNCTION("""COMPUTED_VALUE"""),45903.0)</f>
        <v>45903</v>
      </c>
      <c r="I1319" s="115" t="str">
        <f>IFERROR(__xludf.DUMMYFUNCTION("""COMPUTED_VALUE"""),"12")</f>
        <v>12</v>
      </c>
      <c r="J1319" s="115" t="str">
        <f>IFERROR(__xludf.DUMMYFUNCTION("""COMPUTED_VALUE"""),"Manoj Harsh2025-09-0312")</f>
        <v>Manoj Harsh2025-09-0312</v>
      </c>
      <c r="K1319" s="115">
        <f>IFERROR(__xludf.DUMMYFUNCTION("""COMPUTED_VALUE"""),32825.0)</f>
        <v>32825</v>
      </c>
    </row>
    <row r="1320">
      <c r="A1320" s="115" t="str">
        <f>IFERROR(__xludf.DUMMYFUNCTION("""COMPUTED_VALUE"""),"NORTH")</f>
        <v>NORTH</v>
      </c>
      <c r="B1320" s="115" t="str">
        <f>IFERROR(__xludf.DUMMYFUNCTION("""COMPUTED_VALUE"""),"Manoj Harsh")</f>
        <v>Manoj Harsh</v>
      </c>
      <c r="C1320" s="115" t="str">
        <f>IFERROR(__xludf.DUMMYFUNCTION("""COMPUTED_VALUE"""),"FLIPKART")</f>
        <v>FLIPKART</v>
      </c>
      <c r="D1320" s="115">
        <f>IFERROR(__xludf.DUMMYFUNCTION("""COMPUTED_VALUE"""),354476.0)</f>
        <v>354476</v>
      </c>
      <c r="E1320" s="115">
        <f>IFERROR(__xludf.DUMMYFUNCTION("""COMPUTED_VALUE"""),34282.0)</f>
        <v>34282</v>
      </c>
      <c r="F1320" s="115">
        <f>IFERROR(__xludf.DUMMYFUNCTION("""COMPUTED_VALUE"""),79732.0)</f>
        <v>79732</v>
      </c>
      <c r="G1320" s="115">
        <f>IFERROR(__xludf.DUMMYFUNCTION("""COMPUTED_VALUE"""),2107.0)</f>
        <v>2107</v>
      </c>
      <c r="H1320" s="116">
        <f>IFERROR(__xludf.DUMMYFUNCTION("""COMPUTED_VALUE"""),45903.0)</f>
        <v>45903</v>
      </c>
      <c r="I1320" s="115" t="str">
        <f>IFERROR(__xludf.DUMMYFUNCTION("""COMPUTED_VALUE"""),"12")</f>
        <v>12</v>
      </c>
      <c r="J1320" s="115" t="str">
        <f>IFERROR(__xludf.DUMMYFUNCTION("""COMPUTED_VALUE"""),"Manoj Harsh2025-09-0312")</f>
        <v>Manoj Harsh2025-09-0312</v>
      </c>
      <c r="K1320" s="115">
        <f>IFERROR(__xludf.DUMMYFUNCTION("""COMPUTED_VALUE"""),388758.0)</f>
        <v>388758</v>
      </c>
    </row>
    <row r="1321">
      <c r="A1321" s="115" t="str">
        <f>IFERROR(__xludf.DUMMYFUNCTION("""COMPUTED_VALUE"""),"NORTH")</f>
        <v>NORTH</v>
      </c>
      <c r="B1321" s="115" t="str">
        <f>IFERROR(__xludf.DUMMYFUNCTION("""COMPUTED_VALUE"""),"Manoj Harsh")</f>
        <v>Manoj Harsh</v>
      </c>
      <c r="C1321" s="115" t="str">
        <f>IFERROR(__xludf.DUMMYFUNCTION("""COMPUTED_VALUE"""),"MYNTRA")</f>
        <v>MYNTRA</v>
      </c>
      <c r="D1321" s="115">
        <f>IFERROR(__xludf.DUMMYFUNCTION("""COMPUTED_VALUE"""),31838.0)</f>
        <v>31838</v>
      </c>
      <c r="E1321" s="115">
        <f>IFERROR(__xludf.DUMMYFUNCTION("""COMPUTED_VALUE"""),6615.0)</f>
        <v>6615</v>
      </c>
      <c r="F1321" s="115">
        <f>IFERROR(__xludf.DUMMYFUNCTION("""COMPUTED_VALUE"""),8612.0)</f>
        <v>8612</v>
      </c>
      <c r="G1321" s="115">
        <f>IFERROR(__xludf.DUMMYFUNCTION("""COMPUTED_VALUE"""),497.0)</f>
        <v>497</v>
      </c>
      <c r="H1321" s="116">
        <f>IFERROR(__xludf.DUMMYFUNCTION("""COMPUTED_VALUE"""),45903.0)</f>
        <v>45903</v>
      </c>
      <c r="I1321" s="115" t="str">
        <f>IFERROR(__xludf.DUMMYFUNCTION("""COMPUTED_VALUE"""),"12")</f>
        <v>12</v>
      </c>
      <c r="J1321" s="115" t="str">
        <f>IFERROR(__xludf.DUMMYFUNCTION("""COMPUTED_VALUE"""),"Manoj Harsh2025-09-0312")</f>
        <v>Manoj Harsh2025-09-0312</v>
      </c>
      <c r="K1321" s="115">
        <f>IFERROR(__xludf.DUMMYFUNCTION("""COMPUTED_VALUE"""),38453.0)</f>
        <v>38453</v>
      </c>
    </row>
    <row r="1322">
      <c r="A1322" s="115" t="str">
        <f>IFERROR(__xludf.DUMMYFUNCTION("""COMPUTED_VALUE"""),"NORTH")</f>
        <v>NORTH</v>
      </c>
      <c r="B1322" s="115" t="str">
        <f>IFERROR(__xludf.DUMMYFUNCTION("""COMPUTED_VALUE"""),"Pradeep Kothari")</f>
        <v>Pradeep Kothari</v>
      </c>
      <c r="C1322" s="115" t="str">
        <f>IFERROR(__xludf.DUMMYFUNCTION("""COMPUTED_VALUE"""),"EXTERNAL")</f>
        <v>EXTERNAL</v>
      </c>
      <c r="D1322" s="115">
        <f>IFERROR(__xludf.DUMMYFUNCTION("""COMPUTED_VALUE"""),15204.0)</f>
        <v>15204</v>
      </c>
      <c r="E1322" s="115">
        <f>IFERROR(__xludf.DUMMYFUNCTION("""COMPUTED_VALUE"""),2354.0)</f>
        <v>2354</v>
      </c>
      <c r="F1322" s="115">
        <f>IFERROR(__xludf.DUMMYFUNCTION("""COMPUTED_VALUE"""),1775.0)</f>
        <v>1775</v>
      </c>
      <c r="G1322" s="115">
        <f>IFERROR(__xludf.DUMMYFUNCTION("""COMPUTED_VALUE"""),120.0)</f>
        <v>120</v>
      </c>
      <c r="H1322" s="116">
        <f>IFERROR(__xludf.DUMMYFUNCTION("""COMPUTED_VALUE"""),45903.0)</f>
        <v>45903</v>
      </c>
      <c r="I1322" s="115" t="str">
        <f>IFERROR(__xludf.DUMMYFUNCTION("""COMPUTED_VALUE"""),"12")</f>
        <v>12</v>
      </c>
      <c r="J1322" s="115" t="str">
        <f>IFERROR(__xludf.DUMMYFUNCTION("""COMPUTED_VALUE"""),"Pradeep Kothari2025-09-0312")</f>
        <v>Pradeep Kothari2025-09-0312</v>
      </c>
      <c r="K1322" s="115">
        <f>IFERROR(__xludf.DUMMYFUNCTION("""COMPUTED_VALUE"""),17558.0)</f>
        <v>17558</v>
      </c>
    </row>
    <row r="1323">
      <c r="A1323" s="115" t="str">
        <f>IFERROR(__xludf.DUMMYFUNCTION("""COMPUTED_VALUE"""),"NORTH")</f>
        <v>NORTH</v>
      </c>
      <c r="B1323" s="115" t="str">
        <f>IFERROR(__xludf.DUMMYFUNCTION("""COMPUTED_VALUE"""),"Pradeep Kothari")</f>
        <v>Pradeep Kothari</v>
      </c>
      <c r="C1323" s="115" t="str">
        <f>IFERROR(__xludf.DUMMYFUNCTION("""COMPUTED_VALUE"""),"FLIPKART")</f>
        <v>FLIPKART</v>
      </c>
      <c r="D1323" s="115">
        <f>IFERROR(__xludf.DUMMYFUNCTION("""COMPUTED_VALUE"""),124249.0)</f>
        <v>124249</v>
      </c>
      <c r="E1323" s="115">
        <f>IFERROR(__xludf.DUMMYFUNCTION("""COMPUTED_VALUE"""),13884.0)</f>
        <v>13884</v>
      </c>
      <c r="F1323" s="115">
        <f>IFERROR(__xludf.DUMMYFUNCTION("""COMPUTED_VALUE"""),30258.0)</f>
        <v>30258</v>
      </c>
      <c r="G1323" s="115">
        <f>IFERROR(__xludf.DUMMYFUNCTION("""COMPUTED_VALUE"""),1110.0)</f>
        <v>1110</v>
      </c>
      <c r="H1323" s="116">
        <f>IFERROR(__xludf.DUMMYFUNCTION("""COMPUTED_VALUE"""),45903.0)</f>
        <v>45903</v>
      </c>
      <c r="I1323" s="115" t="str">
        <f>IFERROR(__xludf.DUMMYFUNCTION("""COMPUTED_VALUE"""),"12")</f>
        <v>12</v>
      </c>
      <c r="J1323" s="115" t="str">
        <f>IFERROR(__xludf.DUMMYFUNCTION("""COMPUTED_VALUE"""),"Pradeep Kothari2025-09-0312")</f>
        <v>Pradeep Kothari2025-09-0312</v>
      </c>
      <c r="K1323" s="115">
        <f>IFERROR(__xludf.DUMMYFUNCTION("""COMPUTED_VALUE"""),138133.0)</f>
        <v>138133</v>
      </c>
    </row>
    <row r="1324">
      <c r="A1324" s="115" t="str">
        <f>IFERROR(__xludf.DUMMYFUNCTION("""COMPUTED_VALUE"""),"NORTH")</f>
        <v>NORTH</v>
      </c>
      <c r="B1324" s="115" t="str">
        <f>IFERROR(__xludf.DUMMYFUNCTION("""COMPUTED_VALUE"""),"Pradeep Kothari")</f>
        <v>Pradeep Kothari</v>
      </c>
      <c r="C1324" s="115" t="str">
        <f>IFERROR(__xludf.DUMMYFUNCTION("""COMPUTED_VALUE"""),"MYNTRA")</f>
        <v>MYNTRA</v>
      </c>
      <c r="D1324" s="115">
        <f>IFERROR(__xludf.DUMMYFUNCTION("""COMPUTED_VALUE"""),20287.0)</f>
        <v>20287</v>
      </c>
      <c r="E1324" s="115">
        <f>IFERROR(__xludf.DUMMYFUNCTION("""COMPUTED_VALUE"""),5297.0)</f>
        <v>5297</v>
      </c>
      <c r="F1324" s="115">
        <f>IFERROR(__xludf.DUMMYFUNCTION("""COMPUTED_VALUE"""),6431.0)</f>
        <v>6431</v>
      </c>
      <c r="G1324" s="115">
        <f>IFERROR(__xludf.DUMMYFUNCTION("""COMPUTED_VALUE"""),553.0)</f>
        <v>553</v>
      </c>
      <c r="H1324" s="116">
        <f>IFERROR(__xludf.DUMMYFUNCTION("""COMPUTED_VALUE"""),45903.0)</f>
        <v>45903</v>
      </c>
      <c r="I1324" s="115" t="str">
        <f>IFERROR(__xludf.DUMMYFUNCTION("""COMPUTED_VALUE"""),"12")</f>
        <v>12</v>
      </c>
      <c r="J1324" s="115" t="str">
        <f>IFERROR(__xludf.DUMMYFUNCTION("""COMPUTED_VALUE"""),"Pradeep Kothari2025-09-0312")</f>
        <v>Pradeep Kothari2025-09-0312</v>
      </c>
      <c r="K1324" s="115">
        <f>IFERROR(__xludf.DUMMYFUNCTION("""COMPUTED_VALUE"""),25584.0)</f>
        <v>25584</v>
      </c>
    </row>
    <row r="1325">
      <c r="A1325" s="115" t="str">
        <f>IFERROR(__xludf.DUMMYFUNCTION("""COMPUTED_VALUE"""),"SOUTH")</f>
        <v>SOUTH</v>
      </c>
      <c r="B1325" s="115" t="str">
        <f>IFERROR(__xludf.DUMMYFUNCTION("""COMPUTED_VALUE"""),"Kandula Sampath")</f>
        <v>Kandula Sampath</v>
      </c>
      <c r="C1325" s="115" t="str">
        <f>IFERROR(__xludf.DUMMYFUNCTION("""COMPUTED_VALUE"""),"EXTERNAL")</f>
        <v>EXTERNAL</v>
      </c>
      <c r="D1325" s="115">
        <f>IFERROR(__xludf.DUMMYFUNCTION("""COMPUTED_VALUE"""),32527.0)</f>
        <v>32527</v>
      </c>
      <c r="E1325" s="115">
        <f>IFERROR(__xludf.DUMMYFUNCTION("""COMPUTED_VALUE"""),5209.0)</f>
        <v>5209</v>
      </c>
      <c r="F1325" s="115">
        <f>IFERROR(__xludf.DUMMYFUNCTION("""COMPUTED_VALUE"""),5386.0)</f>
        <v>5386</v>
      </c>
      <c r="G1325" s="115">
        <f>IFERROR(__xludf.DUMMYFUNCTION("""COMPUTED_VALUE"""),176.0)</f>
        <v>176</v>
      </c>
      <c r="H1325" s="116">
        <f>IFERROR(__xludf.DUMMYFUNCTION("""COMPUTED_VALUE"""),45903.0)</f>
        <v>45903</v>
      </c>
      <c r="I1325" s="115" t="str">
        <f>IFERROR(__xludf.DUMMYFUNCTION("""COMPUTED_VALUE"""),"12")</f>
        <v>12</v>
      </c>
      <c r="J1325" s="115" t="str">
        <f>IFERROR(__xludf.DUMMYFUNCTION("""COMPUTED_VALUE"""),"Kandula Sampath2025-09-0312")</f>
        <v>Kandula Sampath2025-09-0312</v>
      </c>
      <c r="K1325" s="115">
        <f>IFERROR(__xludf.DUMMYFUNCTION("""COMPUTED_VALUE"""),37736.0)</f>
        <v>37736</v>
      </c>
    </row>
    <row r="1326">
      <c r="A1326" s="115" t="str">
        <f>IFERROR(__xludf.DUMMYFUNCTION("""COMPUTED_VALUE"""),"SOUTH")</f>
        <v>SOUTH</v>
      </c>
      <c r="B1326" s="115" t="str">
        <f>IFERROR(__xludf.DUMMYFUNCTION("""COMPUTED_VALUE"""),"Kandula Sampath")</f>
        <v>Kandula Sampath</v>
      </c>
      <c r="C1326" s="115" t="str">
        <f>IFERROR(__xludf.DUMMYFUNCTION("""COMPUTED_VALUE"""),"FLIPKART")</f>
        <v>FLIPKART</v>
      </c>
      <c r="D1326" s="115">
        <f>IFERROR(__xludf.DUMMYFUNCTION("""COMPUTED_VALUE"""),288640.0)</f>
        <v>288640</v>
      </c>
      <c r="E1326" s="115">
        <f>IFERROR(__xludf.DUMMYFUNCTION("""COMPUTED_VALUE"""),29455.0)</f>
        <v>29455</v>
      </c>
      <c r="F1326" s="115">
        <f>IFERROR(__xludf.DUMMYFUNCTION("""COMPUTED_VALUE"""),88111.0)</f>
        <v>88111</v>
      </c>
      <c r="G1326" s="115">
        <f>IFERROR(__xludf.DUMMYFUNCTION("""COMPUTED_VALUE"""),1939.0)</f>
        <v>1939</v>
      </c>
      <c r="H1326" s="116">
        <f>IFERROR(__xludf.DUMMYFUNCTION("""COMPUTED_VALUE"""),45903.0)</f>
        <v>45903</v>
      </c>
      <c r="I1326" s="115" t="str">
        <f>IFERROR(__xludf.DUMMYFUNCTION("""COMPUTED_VALUE"""),"12")</f>
        <v>12</v>
      </c>
      <c r="J1326" s="115" t="str">
        <f>IFERROR(__xludf.DUMMYFUNCTION("""COMPUTED_VALUE"""),"Kandula Sampath2025-09-0312")</f>
        <v>Kandula Sampath2025-09-0312</v>
      </c>
      <c r="K1326" s="115">
        <f>IFERROR(__xludf.DUMMYFUNCTION("""COMPUTED_VALUE"""),318095.0)</f>
        <v>318095</v>
      </c>
    </row>
    <row r="1327">
      <c r="A1327" s="115" t="str">
        <f>IFERROR(__xludf.DUMMYFUNCTION("""COMPUTED_VALUE"""),"SOUTH")</f>
        <v>SOUTH</v>
      </c>
      <c r="B1327" s="115" t="str">
        <f>IFERROR(__xludf.DUMMYFUNCTION("""COMPUTED_VALUE"""),"Kandula Sampath")</f>
        <v>Kandula Sampath</v>
      </c>
      <c r="C1327" s="115" t="str">
        <f>IFERROR(__xludf.DUMMYFUNCTION("""COMPUTED_VALUE"""),"MYNTRA")</f>
        <v>MYNTRA</v>
      </c>
      <c r="D1327" s="115">
        <f>IFERROR(__xludf.DUMMYFUNCTION("""COMPUTED_VALUE"""),28229.0)</f>
        <v>28229</v>
      </c>
      <c r="E1327" s="115">
        <f>IFERROR(__xludf.DUMMYFUNCTION("""COMPUTED_VALUE"""),7816.0)</f>
        <v>7816</v>
      </c>
      <c r="F1327" s="115">
        <f>IFERROR(__xludf.DUMMYFUNCTION("""COMPUTED_VALUE"""),10087.0)</f>
        <v>10087</v>
      </c>
      <c r="G1327" s="115">
        <f>IFERROR(__xludf.DUMMYFUNCTION("""COMPUTED_VALUE"""),557.0)</f>
        <v>557</v>
      </c>
      <c r="H1327" s="116">
        <f>IFERROR(__xludf.DUMMYFUNCTION("""COMPUTED_VALUE"""),45903.0)</f>
        <v>45903</v>
      </c>
      <c r="I1327" s="115" t="str">
        <f>IFERROR(__xludf.DUMMYFUNCTION("""COMPUTED_VALUE"""),"12")</f>
        <v>12</v>
      </c>
      <c r="J1327" s="115" t="str">
        <f>IFERROR(__xludf.DUMMYFUNCTION("""COMPUTED_VALUE"""),"Kandula Sampath2025-09-0312")</f>
        <v>Kandula Sampath2025-09-0312</v>
      </c>
      <c r="K1327" s="115">
        <f>IFERROR(__xludf.DUMMYFUNCTION("""COMPUTED_VALUE"""),36045.0)</f>
        <v>36045</v>
      </c>
    </row>
    <row r="1328">
      <c r="A1328" s="115" t="str">
        <f>IFERROR(__xludf.DUMMYFUNCTION("""COMPUTED_VALUE"""),"SOUTH")</f>
        <v>SOUTH</v>
      </c>
      <c r="B1328" s="115" t="str">
        <f>IFERROR(__xludf.DUMMYFUNCTION("""COMPUTED_VALUE"""),"Martin A")</f>
        <v>Martin A</v>
      </c>
      <c r="C1328" s="115" t="str">
        <f>IFERROR(__xludf.DUMMYFUNCTION("""COMPUTED_VALUE"""),"EXTERNAL")</f>
        <v>EXTERNAL</v>
      </c>
      <c r="D1328" s="115">
        <f>IFERROR(__xludf.DUMMYFUNCTION("""COMPUTED_VALUE"""),30177.0)</f>
        <v>30177</v>
      </c>
      <c r="E1328" s="115">
        <f>IFERROR(__xludf.DUMMYFUNCTION("""COMPUTED_VALUE"""),3417.0)</f>
        <v>3417</v>
      </c>
      <c r="F1328" s="115">
        <f>IFERROR(__xludf.DUMMYFUNCTION("""COMPUTED_VALUE"""),4465.0)</f>
        <v>4465</v>
      </c>
      <c r="G1328" s="115">
        <f>IFERROR(__xludf.DUMMYFUNCTION("""COMPUTED_VALUE"""),217.0)</f>
        <v>217</v>
      </c>
      <c r="H1328" s="116">
        <f>IFERROR(__xludf.DUMMYFUNCTION("""COMPUTED_VALUE"""),45903.0)</f>
        <v>45903</v>
      </c>
      <c r="I1328" s="115" t="str">
        <f>IFERROR(__xludf.DUMMYFUNCTION("""COMPUTED_VALUE"""),"12")</f>
        <v>12</v>
      </c>
      <c r="J1328" s="115" t="str">
        <f>IFERROR(__xludf.DUMMYFUNCTION("""COMPUTED_VALUE"""),"Martin A2025-09-0312")</f>
        <v>Martin A2025-09-0312</v>
      </c>
      <c r="K1328" s="115">
        <f>IFERROR(__xludf.DUMMYFUNCTION("""COMPUTED_VALUE"""),33594.0)</f>
        <v>33594</v>
      </c>
    </row>
    <row r="1329">
      <c r="A1329" s="115" t="str">
        <f>IFERROR(__xludf.DUMMYFUNCTION("""COMPUTED_VALUE"""),"SOUTH")</f>
        <v>SOUTH</v>
      </c>
      <c r="B1329" s="115" t="str">
        <f>IFERROR(__xludf.DUMMYFUNCTION("""COMPUTED_VALUE"""),"Martin A")</f>
        <v>Martin A</v>
      </c>
      <c r="C1329" s="115" t="str">
        <f>IFERROR(__xludf.DUMMYFUNCTION("""COMPUTED_VALUE"""),"FLIPKART")</f>
        <v>FLIPKART</v>
      </c>
      <c r="D1329" s="115">
        <f>IFERROR(__xludf.DUMMYFUNCTION("""COMPUTED_VALUE"""),242143.0)</f>
        <v>242143</v>
      </c>
      <c r="E1329" s="115">
        <f>IFERROR(__xludf.DUMMYFUNCTION("""COMPUTED_VALUE"""),24658.0)</f>
        <v>24658</v>
      </c>
      <c r="F1329" s="115">
        <f>IFERROR(__xludf.DUMMYFUNCTION("""COMPUTED_VALUE"""),65547.0)</f>
        <v>65547</v>
      </c>
      <c r="G1329" s="115">
        <f>IFERROR(__xludf.DUMMYFUNCTION("""COMPUTED_VALUE"""),2160.0)</f>
        <v>2160</v>
      </c>
      <c r="H1329" s="116">
        <f>IFERROR(__xludf.DUMMYFUNCTION("""COMPUTED_VALUE"""),45903.0)</f>
        <v>45903</v>
      </c>
      <c r="I1329" s="115" t="str">
        <f>IFERROR(__xludf.DUMMYFUNCTION("""COMPUTED_VALUE"""),"12")</f>
        <v>12</v>
      </c>
      <c r="J1329" s="115" t="str">
        <f>IFERROR(__xludf.DUMMYFUNCTION("""COMPUTED_VALUE"""),"Martin A2025-09-0312")</f>
        <v>Martin A2025-09-0312</v>
      </c>
      <c r="K1329" s="115">
        <f>IFERROR(__xludf.DUMMYFUNCTION("""COMPUTED_VALUE"""),266801.0)</f>
        <v>266801</v>
      </c>
    </row>
    <row r="1330">
      <c r="A1330" s="115" t="str">
        <f>IFERROR(__xludf.DUMMYFUNCTION("""COMPUTED_VALUE"""),"SOUTH")</f>
        <v>SOUTH</v>
      </c>
      <c r="B1330" s="115" t="str">
        <f>IFERROR(__xludf.DUMMYFUNCTION("""COMPUTED_VALUE"""),"Martin A")</f>
        <v>Martin A</v>
      </c>
      <c r="C1330" s="115" t="str">
        <f>IFERROR(__xludf.DUMMYFUNCTION("""COMPUTED_VALUE"""),"MYNTRA")</f>
        <v>MYNTRA</v>
      </c>
      <c r="D1330" s="115">
        <f>IFERROR(__xludf.DUMMYFUNCTION("""COMPUTED_VALUE"""),21564.0)</f>
        <v>21564</v>
      </c>
      <c r="E1330" s="115">
        <f>IFERROR(__xludf.DUMMYFUNCTION("""COMPUTED_VALUE"""),6137.0)</f>
        <v>6137</v>
      </c>
      <c r="F1330" s="115">
        <f>IFERROR(__xludf.DUMMYFUNCTION("""COMPUTED_VALUE"""),6986.0)</f>
        <v>6986</v>
      </c>
      <c r="G1330" s="115">
        <f>IFERROR(__xludf.DUMMYFUNCTION("""COMPUTED_VALUE"""),654.0)</f>
        <v>654</v>
      </c>
      <c r="H1330" s="116">
        <f>IFERROR(__xludf.DUMMYFUNCTION("""COMPUTED_VALUE"""),45903.0)</f>
        <v>45903</v>
      </c>
      <c r="I1330" s="115" t="str">
        <f>IFERROR(__xludf.DUMMYFUNCTION("""COMPUTED_VALUE"""),"12")</f>
        <v>12</v>
      </c>
      <c r="J1330" s="115" t="str">
        <f>IFERROR(__xludf.DUMMYFUNCTION("""COMPUTED_VALUE"""),"Martin A2025-09-0312")</f>
        <v>Martin A2025-09-0312</v>
      </c>
      <c r="K1330" s="115">
        <f>IFERROR(__xludf.DUMMYFUNCTION("""COMPUTED_VALUE"""),27701.0)</f>
        <v>27701</v>
      </c>
    </row>
    <row r="1331">
      <c r="A1331" s="115" t="str">
        <f>IFERROR(__xludf.DUMMYFUNCTION("""COMPUTED_VALUE"""),"SOUTH")</f>
        <v>SOUTH</v>
      </c>
      <c r="B1331" s="115" t="str">
        <f>IFERROR(__xludf.DUMMYFUNCTION("""COMPUTED_VALUE"""),"Premkumar M")</f>
        <v>Premkumar M</v>
      </c>
      <c r="C1331" s="115" t="str">
        <f>IFERROR(__xludf.DUMMYFUNCTION("""COMPUTED_VALUE"""),"EXTERNAL")</f>
        <v>EXTERNAL</v>
      </c>
      <c r="D1331" s="115">
        <f>IFERROR(__xludf.DUMMYFUNCTION("""COMPUTED_VALUE"""),23664.0)</f>
        <v>23664</v>
      </c>
      <c r="E1331" s="115">
        <f>IFERROR(__xludf.DUMMYFUNCTION("""COMPUTED_VALUE"""),2096.0)</f>
        <v>2096</v>
      </c>
      <c r="F1331" s="115">
        <f>IFERROR(__xludf.DUMMYFUNCTION("""COMPUTED_VALUE"""),2882.0)</f>
        <v>2882</v>
      </c>
      <c r="G1331" s="115">
        <f>IFERROR(__xludf.DUMMYFUNCTION("""COMPUTED_VALUE"""),25.0)</f>
        <v>25</v>
      </c>
      <c r="H1331" s="116">
        <f>IFERROR(__xludf.DUMMYFUNCTION("""COMPUTED_VALUE"""),45903.0)</f>
        <v>45903</v>
      </c>
      <c r="I1331" s="115" t="str">
        <f>IFERROR(__xludf.DUMMYFUNCTION("""COMPUTED_VALUE"""),"12")</f>
        <v>12</v>
      </c>
      <c r="J1331" s="115" t="str">
        <f>IFERROR(__xludf.DUMMYFUNCTION("""COMPUTED_VALUE"""),"Premkumar M2025-09-0312")</f>
        <v>Premkumar M2025-09-0312</v>
      </c>
      <c r="K1331" s="115">
        <f>IFERROR(__xludf.DUMMYFUNCTION("""COMPUTED_VALUE"""),25760.0)</f>
        <v>25760</v>
      </c>
    </row>
    <row r="1332">
      <c r="A1332" s="115" t="str">
        <f>IFERROR(__xludf.DUMMYFUNCTION("""COMPUTED_VALUE"""),"SOUTH")</f>
        <v>SOUTH</v>
      </c>
      <c r="B1332" s="115" t="str">
        <f>IFERROR(__xludf.DUMMYFUNCTION("""COMPUTED_VALUE"""),"Premkumar M")</f>
        <v>Premkumar M</v>
      </c>
      <c r="C1332" s="115" t="str">
        <f>IFERROR(__xludf.DUMMYFUNCTION("""COMPUTED_VALUE"""),"FLIPKART")</f>
        <v>FLIPKART</v>
      </c>
      <c r="D1332" s="115">
        <f>IFERROR(__xludf.DUMMYFUNCTION("""COMPUTED_VALUE"""),215768.0)</f>
        <v>215768</v>
      </c>
      <c r="E1332" s="115">
        <f>IFERROR(__xludf.DUMMYFUNCTION("""COMPUTED_VALUE"""),15039.0)</f>
        <v>15039</v>
      </c>
      <c r="F1332" s="115">
        <f>IFERROR(__xludf.DUMMYFUNCTION("""COMPUTED_VALUE"""),41135.0)</f>
        <v>41135</v>
      </c>
      <c r="G1332" s="115">
        <f>IFERROR(__xludf.DUMMYFUNCTION("""COMPUTED_VALUE"""),395.0)</f>
        <v>395</v>
      </c>
      <c r="H1332" s="116">
        <f>IFERROR(__xludf.DUMMYFUNCTION("""COMPUTED_VALUE"""),45903.0)</f>
        <v>45903</v>
      </c>
      <c r="I1332" s="115" t="str">
        <f>IFERROR(__xludf.DUMMYFUNCTION("""COMPUTED_VALUE"""),"12")</f>
        <v>12</v>
      </c>
      <c r="J1332" s="115" t="str">
        <f>IFERROR(__xludf.DUMMYFUNCTION("""COMPUTED_VALUE"""),"Premkumar M2025-09-0312")</f>
        <v>Premkumar M2025-09-0312</v>
      </c>
      <c r="K1332" s="115">
        <f>IFERROR(__xludf.DUMMYFUNCTION("""COMPUTED_VALUE"""),230807.0)</f>
        <v>230807</v>
      </c>
    </row>
    <row r="1333">
      <c r="A1333" s="115" t="str">
        <f>IFERROR(__xludf.DUMMYFUNCTION("""COMPUTED_VALUE"""),"SOUTH")</f>
        <v>SOUTH</v>
      </c>
      <c r="B1333" s="115" t="str">
        <f>IFERROR(__xludf.DUMMYFUNCTION("""COMPUTED_VALUE"""),"Premkumar M")</f>
        <v>Premkumar M</v>
      </c>
      <c r="C1333" s="115" t="str">
        <f>IFERROR(__xludf.DUMMYFUNCTION("""COMPUTED_VALUE"""),"MYNTRA")</f>
        <v>MYNTRA</v>
      </c>
      <c r="D1333" s="115">
        <f>IFERROR(__xludf.DUMMYFUNCTION("""COMPUTED_VALUE"""),11911.0)</f>
        <v>11911</v>
      </c>
      <c r="E1333" s="115">
        <f>IFERROR(__xludf.DUMMYFUNCTION("""COMPUTED_VALUE"""),2319.0)</f>
        <v>2319</v>
      </c>
      <c r="F1333" s="115">
        <f>IFERROR(__xludf.DUMMYFUNCTION("""COMPUTED_VALUE"""),2874.0)</f>
        <v>2874</v>
      </c>
      <c r="G1333" s="115">
        <f>IFERROR(__xludf.DUMMYFUNCTION("""COMPUTED_VALUE"""),69.0)</f>
        <v>69</v>
      </c>
      <c r="H1333" s="116">
        <f>IFERROR(__xludf.DUMMYFUNCTION("""COMPUTED_VALUE"""),45903.0)</f>
        <v>45903</v>
      </c>
      <c r="I1333" s="115" t="str">
        <f>IFERROR(__xludf.DUMMYFUNCTION("""COMPUTED_VALUE"""),"12")</f>
        <v>12</v>
      </c>
      <c r="J1333" s="115" t="str">
        <f>IFERROR(__xludf.DUMMYFUNCTION("""COMPUTED_VALUE"""),"Premkumar M2025-09-0312")</f>
        <v>Premkumar M2025-09-0312</v>
      </c>
      <c r="K1333" s="115">
        <f>IFERROR(__xludf.DUMMYFUNCTION("""COMPUTED_VALUE"""),14230.0)</f>
        <v>14230</v>
      </c>
    </row>
    <row r="1334">
      <c r="A1334" s="115" t="str">
        <f>IFERROR(__xludf.DUMMYFUNCTION("""COMPUTED_VALUE"""),"SOUTH")</f>
        <v>SOUTH</v>
      </c>
      <c r="B1334" s="115" t="str">
        <f>IFERROR(__xludf.DUMMYFUNCTION("""COMPUTED_VALUE"""),"Vineeth V")</f>
        <v>Vineeth V</v>
      </c>
      <c r="C1334" s="115" t="str">
        <f>IFERROR(__xludf.DUMMYFUNCTION("""COMPUTED_VALUE"""),"EXTERNAL")</f>
        <v>EXTERNAL</v>
      </c>
      <c r="D1334" s="115">
        <f>IFERROR(__xludf.DUMMYFUNCTION("""COMPUTED_VALUE"""),17774.0)</f>
        <v>17774</v>
      </c>
      <c r="E1334" s="115">
        <f>IFERROR(__xludf.DUMMYFUNCTION("""COMPUTED_VALUE"""),680.0)</f>
        <v>680</v>
      </c>
      <c r="F1334" s="115">
        <f>IFERROR(__xludf.DUMMYFUNCTION("""COMPUTED_VALUE"""),1642.0)</f>
        <v>1642</v>
      </c>
      <c r="G1334" s="115">
        <f>IFERROR(__xludf.DUMMYFUNCTION("""COMPUTED_VALUE"""),10.0)</f>
        <v>10</v>
      </c>
      <c r="H1334" s="116">
        <f>IFERROR(__xludf.DUMMYFUNCTION("""COMPUTED_VALUE"""),45903.0)</f>
        <v>45903</v>
      </c>
      <c r="I1334" s="115" t="str">
        <f>IFERROR(__xludf.DUMMYFUNCTION("""COMPUTED_VALUE"""),"12")</f>
        <v>12</v>
      </c>
      <c r="J1334" s="115" t="str">
        <f>IFERROR(__xludf.DUMMYFUNCTION("""COMPUTED_VALUE"""),"Vineeth V2025-09-0312")</f>
        <v>Vineeth V2025-09-0312</v>
      </c>
      <c r="K1334" s="115">
        <f>IFERROR(__xludf.DUMMYFUNCTION("""COMPUTED_VALUE"""),18454.0)</f>
        <v>18454</v>
      </c>
    </row>
    <row r="1335">
      <c r="A1335" s="115" t="str">
        <f>IFERROR(__xludf.DUMMYFUNCTION("""COMPUTED_VALUE"""),"SOUTH")</f>
        <v>SOUTH</v>
      </c>
      <c r="B1335" s="115" t="str">
        <f>IFERROR(__xludf.DUMMYFUNCTION("""COMPUTED_VALUE"""),"Vineeth V")</f>
        <v>Vineeth V</v>
      </c>
      <c r="C1335" s="115" t="str">
        <f>IFERROR(__xludf.DUMMYFUNCTION("""COMPUTED_VALUE"""),"FLIPKART")</f>
        <v>FLIPKART</v>
      </c>
      <c r="D1335" s="115">
        <f>IFERROR(__xludf.DUMMYFUNCTION("""COMPUTED_VALUE"""),191919.0)</f>
        <v>191919</v>
      </c>
      <c r="E1335" s="115">
        <f>IFERROR(__xludf.DUMMYFUNCTION("""COMPUTED_VALUE"""),12725.0)</f>
        <v>12725</v>
      </c>
      <c r="F1335" s="115">
        <f>IFERROR(__xludf.DUMMYFUNCTION("""COMPUTED_VALUE"""),27601.0)</f>
        <v>27601</v>
      </c>
      <c r="G1335" s="115">
        <f>IFERROR(__xludf.DUMMYFUNCTION("""COMPUTED_VALUE"""),206.0)</f>
        <v>206</v>
      </c>
      <c r="H1335" s="116">
        <f>IFERROR(__xludf.DUMMYFUNCTION("""COMPUTED_VALUE"""),45903.0)</f>
        <v>45903</v>
      </c>
      <c r="I1335" s="115" t="str">
        <f>IFERROR(__xludf.DUMMYFUNCTION("""COMPUTED_VALUE"""),"12")</f>
        <v>12</v>
      </c>
      <c r="J1335" s="115" t="str">
        <f>IFERROR(__xludf.DUMMYFUNCTION("""COMPUTED_VALUE"""),"Vineeth V2025-09-0312")</f>
        <v>Vineeth V2025-09-0312</v>
      </c>
      <c r="K1335" s="115">
        <f>IFERROR(__xludf.DUMMYFUNCTION("""COMPUTED_VALUE"""),204644.0)</f>
        <v>204644</v>
      </c>
    </row>
    <row r="1336">
      <c r="A1336" s="115" t="str">
        <f>IFERROR(__xludf.DUMMYFUNCTION("""COMPUTED_VALUE"""),"SOUTH")</f>
        <v>SOUTH</v>
      </c>
      <c r="B1336" s="115" t="str">
        <f>IFERROR(__xludf.DUMMYFUNCTION("""COMPUTED_VALUE"""),"Vineeth V")</f>
        <v>Vineeth V</v>
      </c>
      <c r="C1336" s="115" t="str">
        <f>IFERROR(__xludf.DUMMYFUNCTION("""COMPUTED_VALUE"""),"MYNTRA")</f>
        <v>MYNTRA</v>
      </c>
      <c r="D1336" s="115">
        <f>IFERROR(__xludf.DUMMYFUNCTION("""COMPUTED_VALUE"""),19071.0)</f>
        <v>19071</v>
      </c>
      <c r="E1336" s="115">
        <f>IFERROR(__xludf.DUMMYFUNCTION("""COMPUTED_VALUE"""),3089.0)</f>
        <v>3089</v>
      </c>
      <c r="F1336" s="115">
        <f>IFERROR(__xludf.DUMMYFUNCTION("""COMPUTED_VALUE"""),3255.0)</f>
        <v>3255</v>
      </c>
      <c r="G1336" s="115">
        <f>IFERROR(__xludf.DUMMYFUNCTION("""COMPUTED_VALUE"""),57.0)</f>
        <v>57</v>
      </c>
      <c r="H1336" s="116">
        <f>IFERROR(__xludf.DUMMYFUNCTION("""COMPUTED_VALUE"""),45903.0)</f>
        <v>45903</v>
      </c>
      <c r="I1336" s="115" t="str">
        <f>IFERROR(__xludf.DUMMYFUNCTION("""COMPUTED_VALUE"""),"12")</f>
        <v>12</v>
      </c>
      <c r="J1336" s="115" t="str">
        <f>IFERROR(__xludf.DUMMYFUNCTION("""COMPUTED_VALUE"""),"Vineeth V2025-09-0312")</f>
        <v>Vineeth V2025-09-0312</v>
      </c>
      <c r="K1336" s="115">
        <f>IFERROR(__xludf.DUMMYFUNCTION("""COMPUTED_VALUE"""),22160.0)</f>
        <v>22160</v>
      </c>
    </row>
    <row r="1337">
      <c r="A1337" s="115" t="str">
        <f>IFERROR(__xludf.DUMMYFUNCTION("""COMPUTED_VALUE"""),"WEST")</f>
        <v>WEST</v>
      </c>
      <c r="B1337" s="115" t="str">
        <f>IFERROR(__xludf.DUMMYFUNCTION("""COMPUTED_VALUE"""),"Ashish Jakar")</f>
        <v>Ashish Jakar</v>
      </c>
      <c r="C1337" s="115" t="str">
        <f>IFERROR(__xludf.DUMMYFUNCTION("""COMPUTED_VALUE"""),"EXTERNAL")</f>
        <v>EXTERNAL</v>
      </c>
      <c r="D1337" s="115">
        <f>IFERROR(__xludf.DUMMYFUNCTION("""COMPUTED_VALUE"""),44149.0)</f>
        <v>44149</v>
      </c>
      <c r="E1337" s="115">
        <f>IFERROR(__xludf.DUMMYFUNCTION("""COMPUTED_VALUE"""),7000.0)</f>
        <v>7000</v>
      </c>
      <c r="F1337" s="115">
        <f>IFERROR(__xludf.DUMMYFUNCTION("""COMPUTED_VALUE"""),5515.0)</f>
        <v>5515</v>
      </c>
      <c r="G1337" s="115">
        <f>IFERROR(__xludf.DUMMYFUNCTION("""COMPUTED_VALUE"""),401.0)</f>
        <v>401</v>
      </c>
      <c r="H1337" s="116">
        <f>IFERROR(__xludf.DUMMYFUNCTION("""COMPUTED_VALUE"""),45903.0)</f>
        <v>45903</v>
      </c>
      <c r="I1337" s="115" t="str">
        <f>IFERROR(__xludf.DUMMYFUNCTION("""COMPUTED_VALUE"""),"12")</f>
        <v>12</v>
      </c>
      <c r="J1337" s="115" t="str">
        <f>IFERROR(__xludf.DUMMYFUNCTION("""COMPUTED_VALUE"""),"Ashish Jakar2025-09-0312")</f>
        <v>Ashish Jakar2025-09-0312</v>
      </c>
      <c r="K1337" s="115">
        <f>IFERROR(__xludf.DUMMYFUNCTION("""COMPUTED_VALUE"""),51149.0)</f>
        <v>51149</v>
      </c>
    </row>
    <row r="1338">
      <c r="A1338" s="115" t="str">
        <f>IFERROR(__xludf.DUMMYFUNCTION("""COMPUTED_VALUE"""),"WEST")</f>
        <v>WEST</v>
      </c>
      <c r="B1338" s="115" t="str">
        <f>IFERROR(__xludf.DUMMYFUNCTION("""COMPUTED_VALUE"""),"Ashish Jakar")</f>
        <v>Ashish Jakar</v>
      </c>
      <c r="C1338" s="115" t="str">
        <f>IFERROR(__xludf.DUMMYFUNCTION("""COMPUTED_VALUE"""),"FLIPKART")</f>
        <v>FLIPKART</v>
      </c>
      <c r="D1338" s="115">
        <f>IFERROR(__xludf.DUMMYFUNCTION("""COMPUTED_VALUE"""),269270.0)</f>
        <v>269270</v>
      </c>
      <c r="E1338" s="115">
        <f>IFERROR(__xludf.DUMMYFUNCTION("""COMPUTED_VALUE"""),29472.0)</f>
        <v>29472</v>
      </c>
      <c r="F1338" s="115">
        <f>IFERROR(__xludf.DUMMYFUNCTION("""COMPUTED_VALUE"""),60388.0)</f>
        <v>60388</v>
      </c>
      <c r="G1338" s="115">
        <f>IFERROR(__xludf.DUMMYFUNCTION("""COMPUTED_VALUE"""),2363.0)</f>
        <v>2363</v>
      </c>
      <c r="H1338" s="116">
        <f>IFERROR(__xludf.DUMMYFUNCTION("""COMPUTED_VALUE"""),45903.0)</f>
        <v>45903</v>
      </c>
      <c r="I1338" s="115" t="str">
        <f>IFERROR(__xludf.DUMMYFUNCTION("""COMPUTED_VALUE"""),"12")</f>
        <v>12</v>
      </c>
      <c r="J1338" s="115" t="str">
        <f>IFERROR(__xludf.DUMMYFUNCTION("""COMPUTED_VALUE"""),"Ashish Jakar2025-09-0312")</f>
        <v>Ashish Jakar2025-09-0312</v>
      </c>
      <c r="K1338" s="115">
        <f>IFERROR(__xludf.DUMMYFUNCTION("""COMPUTED_VALUE"""),298742.0)</f>
        <v>298742</v>
      </c>
    </row>
    <row r="1339">
      <c r="A1339" s="115" t="str">
        <f>IFERROR(__xludf.DUMMYFUNCTION("""COMPUTED_VALUE"""),"WEST")</f>
        <v>WEST</v>
      </c>
      <c r="B1339" s="115" t="str">
        <f>IFERROR(__xludf.DUMMYFUNCTION("""COMPUTED_VALUE"""),"Ashish Jakar")</f>
        <v>Ashish Jakar</v>
      </c>
      <c r="C1339" s="115" t="str">
        <f>IFERROR(__xludf.DUMMYFUNCTION("""COMPUTED_VALUE"""),"MYNTRA")</f>
        <v>MYNTRA</v>
      </c>
      <c r="D1339" s="115">
        <f>IFERROR(__xludf.DUMMYFUNCTION("""COMPUTED_VALUE"""),29066.0)</f>
        <v>29066</v>
      </c>
      <c r="E1339" s="115">
        <f>IFERROR(__xludf.DUMMYFUNCTION("""COMPUTED_VALUE"""),9885.0)</f>
        <v>9885</v>
      </c>
      <c r="F1339" s="115">
        <f>IFERROR(__xludf.DUMMYFUNCTION("""COMPUTED_VALUE"""),8232.0)</f>
        <v>8232</v>
      </c>
      <c r="G1339" s="115">
        <f>IFERROR(__xludf.DUMMYFUNCTION("""COMPUTED_VALUE"""),918.0)</f>
        <v>918</v>
      </c>
      <c r="H1339" s="116">
        <f>IFERROR(__xludf.DUMMYFUNCTION("""COMPUTED_VALUE"""),45903.0)</f>
        <v>45903</v>
      </c>
      <c r="I1339" s="115" t="str">
        <f>IFERROR(__xludf.DUMMYFUNCTION("""COMPUTED_VALUE"""),"12")</f>
        <v>12</v>
      </c>
      <c r="J1339" s="115" t="str">
        <f>IFERROR(__xludf.DUMMYFUNCTION("""COMPUTED_VALUE"""),"Ashish Jakar2025-09-0312")</f>
        <v>Ashish Jakar2025-09-0312</v>
      </c>
      <c r="K1339" s="115">
        <f>IFERROR(__xludf.DUMMYFUNCTION("""COMPUTED_VALUE"""),38951.0)</f>
        <v>38951</v>
      </c>
    </row>
    <row r="1340">
      <c r="A1340" s="115" t="str">
        <f>IFERROR(__xludf.DUMMYFUNCTION("""COMPUTED_VALUE"""),"WEST")</f>
        <v>WEST</v>
      </c>
      <c r="B1340" s="115" t="str">
        <f>IFERROR(__xludf.DUMMYFUNCTION("""COMPUTED_VALUE"""),"Ashvani Bhatt")</f>
        <v>Ashvani Bhatt</v>
      </c>
      <c r="C1340" s="115" t="str">
        <f>IFERROR(__xludf.DUMMYFUNCTION("""COMPUTED_VALUE"""),"EXTERNAL")</f>
        <v>EXTERNAL</v>
      </c>
      <c r="D1340" s="115">
        <f>IFERROR(__xludf.DUMMYFUNCTION("""COMPUTED_VALUE"""),28739.0)</f>
        <v>28739</v>
      </c>
      <c r="E1340" s="115">
        <f>IFERROR(__xludf.DUMMYFUNCTION("""COMPUTED_VALUE"""),3958.0)</f>
        <v>3958</v>
      </c>
      <c r="F1340" s="115">
        <f>IFERROR(__xludf.DUMMYFUNCTION("""COMPUTED_VALUE"""),4525.0)</f>
        <v>4525</v>
      </c>
      <c r="G1340" s="115">
        <f>IFERROR(__xludf.DUMMYFUNCTION("""COMPUTED_VALUE"""),162.0)</f>
        <v>162</v>
      </c>
      <c r="H1340" s="116">
        <f>IFERROR(__xludf.DUMMYFUNCTION("""COMPUTED_VALUE"""),45903.0)</f>
        <v>45903</v>
      </c>
      <c r="I1340" s="115" t="str">
        <f>IFERROR(__xludf.DUMMYFUNCTION("""COMPUTED_VALUE"""),"12")</f>
        <v>12</v>
      </c>
      <c r="J1340" s="115" t="str">
        <f>IFERROR(__xludf.DUMMYFUNCTION("""COMPUTED_VALUE"""),"Ashvani Bhatt2025-09-0312")</f>
        <v>Ashvani Bhatt2025-09-0312</v>
      </c>
      <c r="K1340" s="115">
        <f>IFERROR(__xludf.DUMMYFUNCTION("""COMPUTED_VALUE"""),32697.0)</f>
        <v>32697</v>
      </c>
    </row>
    <row r="1341">
      <c r="A1341" s="115" t="str">
        <f>IFERROR(__xludf.DUMMYFUNCTION("""COMPUTED_VALUE"""),"WEST")</f>
        <v>WEST</v>
      </c>
      <c r="B1341" s="115" t="str">
        <f>IFERROR(__xludf.DUMMYFUNCTION("""COMPUTED_VALUE"""),"Ashvani Bhatt")</f>
        <v>Ashvani Bhatt</v>
      </c>
      <c r="C1341" s="115" t="str">
        <f>IFERROR(__xludf.DUMMYFUNCTION("""COMPUTED_VALUE"""),"FLIPKART")</f>
        <v>FLIPKART</v>
      </c>
      <c r="D1341" s="115">
        <f>IFERROR(__xludf.DUMMYFUNCTION("""COMPUTED_VALUE"""),219452.0)</f>
        <v>219452</v>
      </c>
      <c r="E1341" s="115">
        <f>IFERROR(__xludf.DUMMYFUNCTION("""COMPUTED_VALUE"""),23506.0)</f>
        <v>23506</v>
      </c>
      <c r="F1341" s="115">
        <f>IFERROR(__xludf.DUMMYFUNCTION("""COMPUTED_VALUE"""),64907.0)</f>
        <v>64907</v>
      </c>
      <c r="G1341" s="115">
        <f>IFERROR(__xludf.DUMMYFUNCTION("""COMPUTED_VALUE"""),1734.0)</f>
        <v>1734</v>
      </c>
      <c r="H1341" s="116">
        <f>IFERROR(__xludf.DUMMYFUNCTION("""COMPUTED_VALUE"""),45903.0)</f>
        <v>45903</v>
      </c>
      <c r="I1341" s="115" t="str">
        <f>IFERROR(__xludf.DUMMYFUNCTION("""COMPUTED_VALUE"""),"12")</f>
        <v>12</v>
      </c>
      <c r="J1341" s="115" t="str">
        <f>IFERROR(__xludf.DUMMYFUNCTION("""COMPUTED_VALUE"""),"Ashvani Bhatt2025-09-0312")</f>
        <v>Ashvani Bhatt2025-09-0312</v>
      </c>
      <c r="K1341" s="115">
        <f>IFERROR(__xludf.DUMMYFUNCTION("""COMPUTED_VALUE"""),242958.0)</f>
        <v>242958</v>
      </c>
    </row>
    <row r="1342">
      <c r="A1342" s="115" t="str">
        <f>IFERROR(__xludf.DUMMYFUNCTION("""COMPUTED_VALUE"""),"WEST")</f>
        <v>WEST</v>
      </c>
      <c r="B1342" s="115" t="str">
        <f>IFERROR(__xludf.DUMMYFUNCTION("""COMPUTED_VALUE"""),"Ashvani Bhatt")</f>
        <v>Ashvani Bhatt</v>
      </c>
      <c r="C1342" s="115" t="str">
        <f>IFERROR(__xludf.DUMMYFUNCTION("""COMPUTED_VALUE"""),"MYNTRA")</f>
        <v>MYNTRA</v>
      </c>
      <c r="D1342" s="115">
        <f>IFERROR(__xludf.DUMMYFUNCTION("""COMPUTED_VALUE"""),26754.0)</f>
        <v>26754</v>
      </c>
      <c r="E1342" s="115">
        <f>IFERROR(__xludf.DUMMYFUNCTION("""COMPUTED_VALUE"""),7000.0)</f>
        <v>7000</v>
      </c>
      <c r="F1342" s="115">
        <f>IFERROR(__xludf.DUMMYFUNCTION("""COMPUTED_VALUE"""),9543.0)</f>
        <v>9543</v>
      </c>
      <c r="G1342" s="115">
        <f>IFERROR(__xludf.DUMMYFUNCTION("""COMPUTED_VALUE"""),674.0)</f>
        <v>674</v>
      </c>
      <c r="H1342" s="116">
        <f>IFERROR(__xludf.DUMMYFUNCTION("""COMPUTED_VALUE"""),45903.0)</f>
        <v>45903</v>
      </c>
      <c r="I1342" s="115" t="str">
        <f>IFERROR(__xludf.DUMMYFUNCTION("""COMPUTED_VALUE"""),"12")</f>
        <v>12</v>
      </c>
      <c r="J1342" s="115" t="str">
        <f>IFERROR(__xludf.DUMMYFUNCTION("""COMPUTED_VALUE"""),"Ashvani Bhatt2025-09-0312")</f>
        <v>Ashvani Bhatt2025-09-0312</v>
      </c>
      <c r="K1342" s="115">
        <f>IFERROR(__xludf.DUMMYFUNCTION("""COMPUTED_VALUE"""),33754.0)</f>
        <v>33754</v>
      </c>
    </row>
    <row r="1343">
      <c r="A1343" s="115"/>
      <c r="B1343" s="115"/>
      <c r="C1343" s="115" t="str">
        <f>IFERROR(__xludf.DUMMYFUNCTION("""COMPUTED_VALUE"""),"EXTERNAL")</f>
        <v>EXTERNAL</v>
      </c>
      <c r="D1343" s="115">
        <f>IFERROR(__xludf.DUMMYFUNCTION("""COMPUTED_VALUE"""),510.0)</f>
        <v>510</v>
      </c>
      <c r="E1343" s="115">
        <f>IFERROR(__xludf.DUMMYFUNCTION("""COMPUTED_VALUE"""),50.0)</f>
        <v>50</v>
      </c>
      <c r="F1343" s="115">
        <f>IFERROR(__xludf.DUMMYFUNCTION("""COMPUTED_VALUE"""),57.0)</f>
        <v>57</v>
      </c>
      <c r="G1343" s="115">
        <f>IFERROR(__xludf.DUMMYFUNCTION("""COMPUTED_VALUE"""),2.0)</f>
        <v>2</v>
      </c>
      <c r="H1343" s="116">
        <f>IFERROR(__xludf.DUMMYFUNCTION("""COMPUTED_VALUE"""),45903.0)</f>
        <v>45903</v>
      </c>
      <c r="I1343" s="115" t="str">
        <f>IFERROR(__xludf.DUMMYFUNCTION("""COMPUTED_VALUE"""),"12")</f>
        <v>12</v>
      </c>
      <c r="J1343" s="115" t="str">
        <f>IFERROR(__xludf.DUMMYFUNCTION("""COMPUTED_VALUE"""),"2025-09-0312")</f>
        <v>2025-09-0312</v>
      </c>
      <c r="K1343" s="115">
        <f>IFERROR(__xludf.DUMMYFUNCTION("""COMPUTED_VALUE"""),560.0)</f>
        <v>560</v>
      </c>
    </row>
    <row r="1344">
      <c r="A1344" s="115"/>
      <c r="B1344" s="115"/>
      <c r="C1344" s="115" t="str">
        <f>IFERROR(__xludf.DUMMYFUNCTION("""COMPUTED_VALUE"""),"FLIPKART")</f>
        <v>FLIPKART</v>
      </c>
      <c r="D1344" s="115">
        <f>IFERROR(__xludf.DUMMYFUNCTION("""COMPUTED_VALUE"""),3821.0)</f>
        <v>3821</v>
      </c>
      <c r="E1344" s="115">
        <f>IFERROR(__xludf.DUMMYFUNCTION("""COMPUTED_VALUE"""),280.0)</f>
        <v>280</v>
      </c>
      <c r="F1344" s="115">
        <f>IFERROR(__xludf.DUMMYFUNCTION("""COMPUTED_VALUE"""),473.0)</f>
        <v>473</v>
      </c>
      <c r="G1344" s="115">
        <f>IFERROR(__xludf.DUMMYFUNCTION("""COMPUTED_VALUE"""),14.0)</f>
        <v>14</v>
      </c>
      <c r="H1344" s="116">
        <f>IFERROR(__xludf.DUMMYFUNCTION("""COMPUTED_VALUE"""),45903.0)</f>
        <v>45903</v>
      </c>
      <c r="I1344" s="115" t="str">
        <f>IFERROR(__xludf.DUMMYFUNCTION("""COMPUTED_VALUE"""),"12")</f>
        <v>12</v>
      </c>
      <c r="J1344" s="115" t="str">
        <f>IFERROR(__xludf.DUMMYFUNCTION("""COMPUTED_VALUE"""),"2025-09-0312")</f>
        <v>2025-09-0312</v>
      </c>
      <c r="K1344" s="115">
        <f>IFERROR(__xludf.DUMMYFUNCTION("""COMPUTED_VALUE"""),4101.0)</f>
        <v>4101</v>
      </c>
    </row>
    <row r="1345">
      <c r="A1345" s="115"/>
      <c r="B1345" s="115"/>
      <c r="C1345" s="115" t="str">
        <f>IFERROR(__xludf.DUMMYFUNCTION("""COMPUTED_VALUE"""),"MYNTRA")</f>
        <v>MYNTRA</v>
      </c>
      <c r="D1345" s="115">
        <f>IFERROR(__xludf.DUMMYFUNCTION("""COMPUTED_VALUE"""),434.0)</f>
        <v>434</v>
      </c>
      <c r="E1345" s="115">
        <f>IFERROR(__xludf.DUMMYFUNCTION("""COMPUTED_VALUE"""),115.0)</f>
        <v>115</v>
      </c>
      <c r="F1345" s="115">
        <f>IFERROR(__xludf.DUMMYFUNCTION("""COMPUTED_VALUE"""),74.0)</f>
        <v>74</v>
      </c>
      <c r="G1345" s="115">
        <f>IFERROR(__xludf.DUMMYFUNCTION("""COMPUTED_VALUE"""),1.0)</f>
        <v>1</v>
      </c>
      <c r="H1345" s="116">
        <f>IFERROR(__xludf.DUMMYFUNCTION("""COMPUTED_VALUE"""),45903.0)</f>
        <v>45903</v>
      </c>
      <c r="I1345" s="115" t="str">
        <f>IFERROR(__xludf.DUMMYFUNCTION("""COMPUTED_VALUE"""),"12")</f>
        <v>12</v>
      </c>
      <c r="J1345" s="115" t="str">
        <f>IFERROR(__xludf.DUMMYFUNCTION("""COMPUTED_VALUE"""),"2025-09-0312")</f>
        <v>2025-09-0312</v>
      </c>
      <c r="K1345" s="115">
        <f>IFERROR(__xludf.DUMMYFUNCTION("""COMPUTED_VALUE"""),549.0)</f>
        <v>549</v>
      </c>
    </row>
    <row r="1346">
      <c r="A1346" s="115" t="str">
        <f>IFERROR(__xludf.DUMMYFUNCTION("""COMPUTED_VALUE"""),"EAST")</f>
        <v>EAST</v>
      </c>
      <c r="B1346" s="115" t="str">
        <f>IFERROR(__xludf.DUMMYFUNCTION("""COMPUTED_VALUE"""),"Ashish Ranjan")</f>
        <v>Ashish Ranjan</v>
      </c>
      <c r="C1346" s="115" t="str">
        <f>IFERROR(__xludf.DUMMYFUNCTION("""COMPUTED_VALUE"""),"EXTERNAL")</f>
        <v>EXTERNAL</v>
      </c>
      <c r="D1346" s="115">
        <f>IFERROR(__xludf.DUMMYFUNCTION("""COMPUTED_VALUE"""),35616.0)</f>
        <v>35616</v>
      </c>
      <c r="E1346" s="115">
        <f>IFERROR(__xludf.DUMMYFUNCTION("""COMPUTED_VALUE"""),4361.0)</f>
        <v>4361</v>
      </c>
      <c r="F1346" s="115">
        <f>IFERROR(__xludf.DUMMYFUNCTION("""COMPUTED_VALUE"""),9523.0)</f>
        <v>9523</v>
      </c>
      <c r="G1346" s="115">
        <f>IFERROR(__xludf.DUMMYFUNCTION("""COMPUTED_VALUE"""),418.0)</f>
        <v>418</v>
      </c>
      <c r="H1346" s="116">
        <f>IFERROR(__xludf.DUMMYFUNCTION("""COMPUTED_VALUE"""),45903.0)</f>
        <v>45903</v>
      </c>
      <c r="I1346" s="115" t="str">
        <f>IFERROR(__xludf.DUMMYFUNCTION("""COMPUTED_VALUE"""),"13")</f>
        <v>13</v>
      </c>
      <c r="J1346" s="115" t="str">
        <f>IFERROR(__xludf.DUMMYFUNCTION("""COMPUTED_VALUE"""),"Ashish Ranjan2025-09-0313")</f>
        <v>Ashish Ranjan2025-09-0313</v>
      </c>
      <c r="K1346" s="115">
        <f>IFERROR(__xludf.DUMMYFUNCTION("""COMPUTED_VALUE"""),39977.0)</f>
        <v>39977</v>
      </c>
    </row>
    <row r="1347">
      <c r="A1347" s="115" t="str">
        <f>IFERROR(__xludf.DUMMYFUNCTION("""COMPUTED_VALUE"""),"EAST")</f>
        <v>EAST</v>
      </c>
      <c r="B1347" s="115" t="str">
        <f>IFERROR(__xludf.DUMMYFUNCTION("""COMPUTED_VALUE"""),"Ashish Ranjan")</f>
        <v>Ashish Ranjan</v>
      </c>
      <c r="C1347" s="115" t="str">
        <f>IFERROR(__xludf.DUMMYFUNCTION("""COMPUTED_VALUE"""),"FLIPKART")</f>
        <v>FLIPKART</v>
      </c>
      <c r="D1347" s="115">
        <f>IFERROR(__xludf.DUMMYFUNCTION("""COMPUTED_VALUE"""),558763.0)</f>
        <v>558763</v>
      </c>
      <c r="E1347" s="115">
        <f>IFERROR(__xludf.DUMMYFUNCTION("""COMPUTED_VALUE"""),51374.0)</f>
        <v>51374</v>
      </c>
      <c r="F1347" s="115">
        <f>IFERROR(__xludf.DUMMYFUNCTION("""COMPUTED_VALUE"""),258291.0)</f>
        <v>258291</v>
      </c>
      <c r="G1347" s="115">
        <f>IFERROR(__xludf.DUMMYFUNCTION("""COMPUTED_VALUE"""),8436.0)</f>
        <v>8436</v>
      </c>
      <c r="H1347" s="116">
        <f>IFERROR(__xludf.DUMMYFUNCTION("""COMPUTED_VALUE"""),45903.0)</f>
        <v>45903</v>
      </c>
      <c r="I1347" s="115" t="str">
        <f>IFERROR(__xludf.DUMMYFUNCTION("""COMPUTED_VALUE"""),"13")</f>
        <v>13</v>
      </c>
      <c r="J1347" s="115" t="str">
        <f>IFERROR(__xludf.DUMMYFUNCTION("""COMPUTED_VALUE"""),"Ashish Ranjan2025-09-0313")</f>
        <v>Ashish Ranjan2025-09-0313</v>
      </c>
      <c r="K1347" s="115">
        <f>IFERROR(__xludf.DUMMYFUNCTION("""COMPUTED_VALUE"""),610137.0)</f>
        <v>610137</v>
      </c>
    </row>
    <row r="1348">
      <c r="A1348" s="115" t="str">
        <f>IFERROR(__xludf.DUMMYFUNCTION("""COMPUTED_VALUE"""),"EAST")</f>
        <v>EAST</v>
      </c>
      <c r="B1348" s="115" t="str">
        <f>IFERROR(__xludf.DUMMYFUNCTION("""COMPUTED_VALUE"""),"Ashish Ranjan")</f>
        <v>Ashish Ranjan</v>
      </c>
      <c r="C1348" s="115" t="str">
        <f>IFERROR(__xludf.DUMMYFUNCTION("""COMPUTED_VALUE"""),"MYNTRA")</f>
        <v>MYNTRA</v>
      </c>
      <c r="D1348" s="115">
        <f>IFERROR(__xludf.DUMMYFUNCTION("""COMPUTED_VALUE"""),49670.0)</f>
        <v>49670</v>
      </c>
      <c r="E1348" s="115">
        <f>IFERROR(__xludf.DUMMYFUNCTION("""COMPUTED_VALUE"""),11524.0)</f>
        <v>11524</v>
      </c>
      <c r="F1348" s="115">
        <f>IFERROR(__xludf.DUMMYFUNCTION("""COMPUTED_VALUE"""),23487.0)</f>
        <v>23487</v>
      </c>
      <c r="G1348" s="115">
        <f>IFERROR(__xludf.DUMMYFUNCTION("""COMPUTED_VALUE"""),2143.0)</f>
        <v>2143</v>
      </c>
      <c r="H1348" s="116">
        <f>IFERROR(__xludf.DUMMYFUNCTION("""COMPUTED_VALUE"""),45903.0)</f>
        <v>45903</v>
      </c>
      <c r="I1348" s="115" t="str">
        <f>IFERROR(__xludf.DUMMYFUNCTION("""COMPUTED_VALUE"""),"13")</f>
        <v>13</v>
      </c>
      <c r="J1348" s="115" t="str">
        <f>IFERROR(__xludf.DUMMYFUNCTION("""COMPUTED_VALUE"""),"Ashish Ranjan2025-09-0313")</f>
        <v>Ashish Ranjan2025-09-0313</v>
      </c>
      <c r="K1348" s="115">
        <f>IFERROR(__xludf.DUMMYFUNCTION("""COMPUTED_VALUE"""),61194.0)</f>
        <v>61194</v>
      </c>
    </row>
    <row r="1349">
      <c r="A1349" s="115" t="str">
        <f>IFERROR(__xludf.DUMMYFUNCTION("""COMPUTED_VALUE"""),"EAST")</f>
        <v>EAST</v>
      </c>
      <c r="B1349" s="115" t="str">
        <f>IFERROR(__xludf.DUMMYFUNCTION("""COMPUTED_VALUE"""),"Girish Chand")</f>
        <v>Girish Chand</v>
      </c>
      <c r="C1349" s="115" t="str">
        <f>IFERROR(__xludf.DUMMYFUNCTION("""COMPUTED_VALUE"""),"EXTERNAL")</f>
        <v>EXTERNAL</v>
      </c>
      <c r="D1349" s="115">
        <f>IFERROR(__xludf.DUMMYFUNCTION("""COMPUTED_VALUE"""),23540.0)</f>
        <v>23540</v>
      </c>
      <c r="E1349" s="115">
        <f>IFERROR(__xludf.DUMMYFUNCTION("""COMPUTED_VALUE"""),2968.0)</f>
        <v>2968</v>
      </c>
      <c r="F1349" s="115">
        <f>IFERROR(__xludf.DUMMYFUNCTION("""COMPUTED_VALUE"""),4355.0)</f>
        <v>4355</v>
      </c>
      <c r="G1349" s="115">
        <f>IFERROR(__xludf.DUMMYFUNCTION("""COMPUTED_VALUE"""),145.0)</f>
        <v>145</v>
      </c>
      <c r="H1349" s="116">
        <f>IFERROR(__xludf.DUMMYFUNCTION("""COMPUTED_VALUE"""),45903.0)</f>
        <v>45903</v>
      </c>
      <c r="I1349" s="115" t="str">
        <f>IFERROR(__xludf.DUMMYFUNCTION("""COMPUTED_VALUE"""),"13")</f>
        <v>13</v>
      </c>
      <c r="J1349" s="115" t="str">
        <f>IFERROR(__xludf.DUMMYFUNCTION("""COMPUTED_VALUE"""),"Girish Chand2025-09-0313")</f>
        <v>Girish Chand2025-09-0313</v>
      </c>
      <c r="K1349" s="115">
        <f>IFERROR(__xludf.DUMMYFUNCTION("""COMPUTED_VALUE"""),26508.0)</f>
        <v>26508</v>
      </c>
    </row>
    <row r="1350">
      <c r="A1350" s="115" t="str">
        <f>IFERROR(__xludf.DUMMYFUNCTION("""COMPUTED_VALUE"""),"EAST")</f>
        <v>EAST</v>
      </c>
      <c r="B1350" s="115" t="str">
        <f>IFERROR(__xludf.DUMMYFUNCTION("""COMPUTED_VALUE"""),"Girish Chand")</f>
        <v>Girish Chand</v>
      </c>
      <c r="C1350" s="115" t="str">
        <f>IFERROR(__xludf.DUMMYFUNCTION("""COMPUTED_VALUE"""),"FLIPKART")</f>
        <v>FLIPKART</v>
      </c>
      <c r="D1350" s="115">
        <f>IFERROR(__xludf.DUMMYFUNCTION("""COMPUTED_VALUE"""),416456.0)</f>
        <v>416456</v>
      </c>
      <c r="E1350" s="115">
        <f>IFERROR(__xludf.DUMMYFUNCTION("""COMPUTED_VALUE"""),34484.0)</f>
        <v>34484</v>
      </c>
      <c r="F1350" s="115">
        <f>IFERROR(__xludf.DUMMYFUNCTION("""COMPUTED_VALUE"""),143489.0)</f>
        <v>143489</v>
      </c>
      <c r="G1350" s="115">
        <f>IFERROR(__xludf.DUMMYFUNCTION("""COMPUTED_VALUE"""),3029.0)</f>
        <v>3029</v>
      </c>
      <c r="H1350" s="116">
        <f>IFERROR(__xludf.DUMMYFUNCTION("""COMPUTED_VALUE"""),45903.0)</f>
        <v>45903</v>
      </c>
      <c r="I1350" s="115" t="str">
        <f>IFERROR(__xludf.DUMMYFUNCTION("""COMPUTED_VALUE"""),"13")</f>
        <v>13</v>
      </c>
      <c r="J1350" s="115" t="str">
        <f>IFERROR(__xludf.DUMMYFUNCTION("""COMPUTED_VALUE"""),"Girish Chand2025-09-0313")</f>
        <v>Girish Chand2025-09-0313</v>
      </c>
      <c r="K1350" s="115">
        <f>IFERROR(__xludf.DUMMYFUNCTION("""COMPUTED_VALUE"""),450940.0)</f>
        <v>450940</v>
      </c>
    </row>
    <row r="1351">
      <c r="A1351" s="115" t="str">
        <f>IFERROR(__xludf.DUMMYFUNCTION("""COMPUTED_VALUE"""),"EAST")</f>
        <v>EAST</v>
      </c>
      <c r="B1351" s="115" t="str">
        <f>IFERROR(__xludf.DUMMYFUNCTION("""COMPUTED_VALUE"""),"Girish Chand")</f>
        <v>Girish Chand</v>
      </c>
      <c r="C1351" s="115" t="str">
        <f>IFERROR(__xludf.DUMMYFUNCTION("""COMPUTED_VALUE"""),"MYNTRA")</f>
        <v>MYNTRA</v>
      </c>
      <c r="D1351" s="115">
        <f>IFERROR(__xludf.DUMMYFUNCTION("""COMPUTED_VALUE"""),32432.0)</f>
        <v>32432</v>
      </c>
      <c r="E1351" s="115">
        <f>IFERROR(__xludf.DUMMYFUNCTION("""COMPUTED_VALUE"""),5888.0)</f>
        <v>5888</v>
      </c>
      <c r="F1351" s="115">
        <f>IFERROR(__xludf.DUMMYFUNCTION("""COMPUTED_VALUE"""),12175.0)</f>
        <v>12175</v>
      </c>
      <c r="G1351" s="115">
        <f>IFERROR(__xludf.DUMMYFUNCTION("""COMPUTED_VALUE"""),610.0)</f>
        <v>610</v>
      </c>
      <c r="H1351" s="116">
        <f>IFERROR(__xludf.DUMMYFUNCTION("""COMPUTED_VALUE"""),45903.0)</f>
        <v>45903</v>
      </c>
      <c r="I1351" s="115" t="str">
        <f>IFERROR(__xludf.DUMMYFUNCTION("""COMPUTED_VALUE"""),"13")</f>
        <v>13</v>
      </c>
      <c r="J1351" s="115" t="str">
        <f>IFERROR(__xludf.DUMMYFUNCTION("""COMPUTED_VALUE"""),"Girish Chand2025-09-0313")</f>
        <v>Girish Chand2025-09-0313</v>
      </c>
      <c r="K1351" s="115">
        <f>IFERROR(__xludf.DUMMYFUNCTION("""COMPUTED_VALUE"""),38320.0)</f>
        <v>38320</v>
      </c>
    </row>
    <row r="1352">
      <c r="A1352" s="115" t="str">
        <f>IFERROR(__xludf.DUMMYFUNCTION("""COMPUTED_VALUE"""),"EAST")</f>
        <v>EAST</v>
      </c>
      <c r="B1352" s="115" t="str">
        <f>IFERROR(__xludf.DUMMYFUNCTION("""COMPUTED_VALUE"""),"Parag Kashyap")</f>
        <v>Parag Kashyap</v>
      </c>
      <c r="C1352" s="115" t="str">
        <f>IFERROR(__xludf.DUMMYFUNCTION("""COMPUTED_VALUE"""),"EXTERNAL")</f>
        <v>EXTERNAL</v>
      </c>
      <c r="D1352" s="115">
        <f>IFERROR(__xludf.DUMMYFUNCTION("""COMPUTED_VALUE"""),19982.0)</f>
        <v>19982</v>
      </c>
      <c r="E1352" s="115">
        <f>IFERROR(__xludf.DUMMYFUNCTION("""COMPUTED_VALUE"""),1541.0)</f>
        <v>1541</v>
      </c>
      <c r="F1352" s="115">
        <f>IFERROR(__xludf.DUMMYFUNCTION("""COMPUTED_VALUE"""),2969.0)</f>
        <v>2969</v>
      </c>
      <c r="G1352" s="115">
        <f>IFERROR(__xludf.DUMMYFUNCTION("""COMPUTED_VALUE"""),44.0)</f>
        <v>44</v>
      </c>
      <c r="H1352" s="116">
        <f>IFERROR(__xludf.DUMMYFUNCTION("""COMPUTED_VALUE"""),45903.0)</f>
        <v>45903</v>
      </c>
      <c r="I1352" s="115" t="str">
        <f>IFERROR(__xludf.DUMMYFUNCTION("""COMPUTED_VALUE"""),"13")</f>
        <v>13</v>
      </c>
      <c r="J1352" s="115" t="str">
        <f>IFERROR(__xludf.DUMMYFUNCTION("""COMPUTED_VALUE"""),"Parag Kashyap2025-09-0313")</f>
        <v>Parag Kashyap2025-09-0313</v>
      </c>
      <c r="K1352" s="115">
        <f>IFERROR(__xludf.DUMMYFUNCTION("""COMPUTED_VALUE"""),21523.0)</f>
        <v>21523</v>
      </c>
    </row>
    <row r="1353">
      <c r="A1353" s="115" t="str">
        <f>IFERROR(__xludf.DUMMYFUNCTION("""COMPUTED_VALUE"""),"EAST")</f>
        <v>EAST</v>
      </c>
      <c r="B1353" s="115" t="str">
        <f>IFERROR(__xludf.DUMMYFUNCTION("""COMPUTED_VALUE"""),"Parag Kashyap")</f>
        <v>Parag Kashyap</v>
      </c>
      <c r="C1353" s="115" t="str">
        <f>IFERROR(__xludf.DUMMYFUNCTION("""COMPUTED_VALUE"""),"FLIPKART")</f>
        <v>FLIPKART</v>
      </c>
      <c r="D1353" s="115">
        <f>IFERROR(__xludf.DUMMYFUNCTION("""COMPUTED_VALUE"""),289957.0)</f>
        <v>289957</v>
      </c>
      <c r="E1353" s="115">
        <f>IFERROR(__xludf.DUMMYFUNCTION("""COMPUTED_VALUE"""),16841.0)</f>
        <v>16841</v>
      </c>
      <c r="F1353" s="115">
        <f>IFERROR(__xludf.DUMMYFUNCTION("""COMPUTED_VALUE"""),85171.0)</f>
        <v>85171</v>
      </c>
      <c r="G1353" s="115">
        <f>IFERROR(__xludf.DUMMYFUNCTION("""COMPUTED_VALUE"""),979.0)</f>
        <v>979</v>
      </c>
      <c r="H1353" s="116">
        <f>IFERROR(__xludf.DUMMYFUNCTION("""COMPUTED_VALUE"""),45903.0)</f>
        <v>45903</v>
      </c>
      <c r="I1353" s="115" t="str">
        <f>IFERROR(__xludf.DUMMYFUNCTION("""COMPUTED_VALUE"""),"13")</f>
        <v>13</v>
      </c>
      <c r="J1353" s="115" t="str">
        <f>IFERROR(__xludf.DUMMYFUNCTION("""COMPUTED_VALUE"""),"Parag Kashyap2025-09-0313")</f>
        <v>Parag Kashyap2025-09-0313</v>
      </c>
      <c r="K1353" s="115">
        <f>IFERROR(__xludf.DUMMYFUNCTION("""COMPUTED_VALUE"""),306798.0)</f>
        <v>306798</v>
      </c>
    </row>
    <row r="1354">
      <c r="A1354" s="115" t="str">
        <f>IFERROR(__xludf.DUMMYFUNCTION("""COMPUTED_VALUE"""),"EAST")</f>
        <v>EAST</v>
      </c>
      <c r="B1354" s="115" t="str">
        <f>IFERROR(__xludf.DUMMYFUNCTION("""COMPUTED_VALUE"""),"Parag Kashyap")</f>
        <v>Parag Kashyap</v>
      </c>
      <c r="C1354" s="115" t="str">
        <f>IFERROR(__xludf.DUMMYFUNCTION("""COMPUTED_VALUE"""),"MYNTRA")</f>
        <v>MYNTRA</v>
      </c>
      <c r="D1354" s="115">
        <f>IFERROR(__xludf.DUMMYFUNCTION("""COMPUTED_VALUE"""),33482.0)</f>
        <v>33482</v>
      </c>
      <c r="E1354" s="115">
        <f>IFERROR(__xludf.DUMMYFUNCTION("""COMPUTED_VALUE"""),4389.0)</f>
        <v>4389</v>
      </c>
      <c r="F1354" s="115">
        <f>IFERROR(__xludf.DUMMYFUNCTION("""COMPUTED_VALUE"""),10538.0)</f>
        <v>10538</v>
      </c>
      <c r="G1354" s="115">
        <f>IFERROR(__xludf.DUMMYFUNCTION("""COMPUTED_VALUE"""),245.0)</f>
        <v>245</v>
      </c>
      <c r="H1354" s="116">
        <f>IFERROR(__xludf.DUMMYFUNCTION("""COMPUTED_VALUE"""),45903.0)</f>
        <v>45903</v>
      </c>
      <c r="I1354" s="115" t="str">
        <f>IFERROR(__xludf.DUMMYFUNCTION("""COMPUTED_VALUE"""),"13")</f>
        <v>13</v>
      </c>
      <c r="J1354" s="115" t="str">
        <f>IFERROR(__xludf.DUMMYFUNCTION("""COMPUTED_VALUE"""),"Parag Kashyap2025-09-0313")</f>
        <v>Parag Kashyap2025-09-0313</v>
      </c>
      <c r="K1354" s="115">
        <f>IFERROR(__xludf.DUMMYFUNCTION("""COMPUTED_VALUE"""),37871.0)</f>
        <v>37871</v>
      </c>
    </row>
    <row r="1355">
      <c r="A1355" s="115" t="str">
        <f>IFERROR(__xludf.DUMMYFUNCTION("""COMPUTED_VALUE"""),"NORTH")</f>
        <v>NORTH</v>
      </c>
      <c r="B1355" s="115" t="str">
        <f>IFERROR(__xludf.DUMMYFUNCTION("""COMPUTED_VALUE"""),"Amit Kumar Pathak")</f>
        <v>Amit Kumar Pathak</v>
      </c>
      <c r="C1355" s="115" t="str">
        <f>IFERROR(__xludf.DUMMYFUNCTION("""COMPUTED_VALUE"""),"EXTERNAL")</f>
        <v>EXTERNAL</v>
      </c>
      <c r="D1355" s="115">
        <f>IFERROR(__xludf.DUMMYFUNCTION("""COMPUTED_VALUE"""),19370.0)</f>
        <v>19370</v>
      </c>
      <c r="E1355" s="115">
        <f>IFERROR(__xludf.DUMMYFUNCTION("""COMPUTED_VALUE"""),3117.0)</f>
        <v>3117</v>
      </c>
      <c r="F1355" s="115">
        <f>IFERROR(__xludf.DUMMYFUNCTION("""COMPUTED_VALUE"""),3454.0)</f>
        <v>3454</v>
      </c>
      <c r="G1355" s="115">
        <f>IFERROR(__xludf.DUMMYFUNCTION("""COMPUTED_VALUE"""),371.0)</f>
        <v>371</v>
      </c>
      <c r="H1355" s="116">
        <f>IFERROR(__xludf.DUMMYFUNCTION("""COMPUTED_VALUE"""),45903.0)</f>
        <v>45903</v>
      </c>
      <c r="I1355" s="115" t="str">
        <f>IFERROR(__xludf.DUMMYFUNCTION("""COMPUTED_VALUE"""),"13")</f>
        <v>13</v>
      </c>
      <c r="J1355" s="115" t="str">
        <f>IFERROR(__xludf.DUMMYFUNCTION("""COMPUTED_VALUE"""),"Amit Kumar Pathak2025-09-0313")</f>
        <v>Amit Kumar Pathak2025-09-0313</v>
      </c>
      <c r="K1355" s="115">
        <f>IFERROR(__xludf.DUMMYFUNCTION("""COMPUTED_VALUE"""),22487.0)</f>
        <v>22487</v>
      </c>
    </row>
    <row r="1356">
      <c r="A1356" s="115" t="str">
        <f>IFERROR(__xludf.DUMMYFUNCTION("""COMPUTED_VALUE"""),"NORTH")</f>
        <v>NORTH</v>
      </c>
      <c r="B1356" s="115" t="str">
        <f>IFERROR(__xludf.DUMMYFUNCTION("""COMPUTED_VALUE"""),"Amit Kumar Pathak")</f>
        <v>Amit Kumar Pathak</v>
      </c>
      <c r="C1356" s="115" t="str">
        <f>IFERROR(__xludf.DUMMYFUNCTION("""COMPUTED_VALUE"""),"FLIPKART")</f>
        <v>FLIPKART</v>
      </c>
      <c r="D1356" s="115">
        <f>IFERROR(__xludf.DUMMYFUNCTION("""COMPUTED_VALUE"""),160536.0)</f>
        <v>160536</v>
      </c>
      <c r="E1356" s="115">
        <f>IFERROR(__xludf.DUMMYFUNCTION("""COMPUTED_VALUE"""),21553.0)</f>
        <v>21553</v>
      </c>
      <c r="F1356" s="115">
        <f>IFERROR(__xludf.DUMMYFUNCTION("""COMPUTED_VALUE"""),55007.0)</f>
        <v>55007</v>
      </c>
      <c r="G1356" s="115">
        <f>IFERROR(__xludf.DUMMYFUNCTION("""COMPUTED_VALUE"""),4309.0)</f>
        <v>4309</v>
      </c>
      <c r="H1356" s="116">
        <f>IFERROR(__xludf.DUMMYFUNCTION("""COMPUTED_VALUE"""),45903.0)</f>
        <v>45903</v>
      </c>
      <c r="I1356" s="115" t="str">
        <f>IFERROR(__xludf.DUMMYFUNCTION("""COMPUTED_VALUE"""),"13")</f>
        <v>13</v>
      </c>
      <c r="J1356" s="115" t="str">
        <f>IFERROR(__xludf.DUMMYFUNCTION("""COMPUTED_VALUE"""),"Amit Kumar Pathak2025-09-0313")</f>
        <v>Amit Kumar Pathak2025-09-0313</v>
      </c>
      <c r="K1356" s="115">
        <f>IFERROR(__xludf.DUMMYFUNCTION("""COMPUTED_VALUE"""),182089.0)</f>
        <v>182089</v>
      </c>
    </row>
    <row r="1357">
      <c r="A1357" s="115" t="str">
        <f>IFERROR(__xludf.DUMMYFUNCTION("""COMPUTED_VALUE"""),"NORTH")</f>
        <v>NORTH</v>
      </c>
      <c r="B1357" s="115" t="str">
        <f>IFERROR(__xludf.DUMMYFUNCTION("""COMPUTED_VALUE"""),"Amit Kumar Pathak")</f>
        <v>Amit Kumar Pathak</v>
      </c>
      <c r="C1357" s="115" t="str">
        <f>IFERROR(__xludf.DUMMYFUNCTION("""COMPUTED_VALUE"""),"MYNTRA")</f>
        <v>MYNTRA</v>
      </c>
      <c r="D1357" s="115">
        <f>IFERROR(__xludf.DUMMYFUNCTION("""COMPUTED_VALUE"""),14890.0)</f>
        <v>14890</v>
      </c>
      <c r="E1357" s="115">
        <f>IFERROR(__xludf.DUMMYFUNCTION("""COMPUTED_VALUE"""),5346.0)</f>
        <v>5346</v>
      </c>
      <c r="F1357" s="115">
        <f>IFERROR(__xludf.DUMMYFUNCTION("""COMPUTED_VALUE"""),6432.0)</f>
        <v>6432</v>
      </c>
      <c r="G1357" s="115">
        <f>IFERROR(__xludf.DUMMYFUNCTION("""COMPUTED_VALUE"""),1304.0)</f>
        <v>1304</v>
      </c>
      <c r="H1357" s="116">
        <f>IFERROR(__xludf.DUMMYFUNCTION("""COMPUTED_VALUE"""),45903.0)</f>
        <v>45903</v>
      </c>
      <c r="I1357" s="115" t="str">
        <f>IFERROR(__xludf.DUMMYFUNCTION("""COMPUTED_VALUE"""),"13")</f>
        <v>13</v>
      </c>
      <c r="J1357" s="115" t="str">
        <f>IFERROR(__xludf.DUMMYFUNCTION("""COMPUTED_VALUE"""),"Amit Kumar Pathak2025-09-0313")</f>
        <v>Amit Kumar Pathak2025-09-0313</v>
      </c>
      <c r="K1357" s="115">
        <f>IFERROR(__xludf.DUMMYFUNCTION("""COMPUTED_VALUE"""),20236.0)</f>
        <v>20236</v>
      </c>
    </row>
    <row r="1358">
      <c r="A1358" s="115" t="str">
        <f>IFERROR(__xludf.DUMMYFUNCTION("""COMPUTED_VALUE"""),"NORTH")</f>
        <v>NORTH</v>
      </c>
      <c r="B1358" s="115" t="str">
        <f>IFERROR(__xludf.DUMMYFUNCTION("""COMPUTED_VALUE"""),"Loveleen Singh")</f>
        <v>Loveleen Singh</v>
      </c>
      <c r="C1358" s="115" t="str">
        <f>IFERROR(__xludf.DUMMYFUNCTION("""COMPUTED_VALUE"""),"EXTERNAL")</f>
        <v>EXTERNAL</v>
      </c>
      <c r="D1358" s="115">
        <f>IFERROR(__xludf.DUMMYFUNCTION("""COMPUTED_VALUE"""),22852.0)</f>
        <v>22852</v>
      </c>
      <c r="E1358" s="115">
        <f>IFERROR(__xludf.DUMMYFUNCTION("""COMPUTED_VALUE"""),2187.0)</f>
        <v>2187</v>
      </c>
      <c r="F1358" s="115">
        <f>IFERROR(__xludf.DUMMYFUNCTION("""COMPUTED_VALUE"""),3073.0)</f>
        <v>3073</v>
      </c>
      <c r="G1358" s="115">
        <f>IFERROR(__xludf.DUMMYFUNCTION("""COMPUTED_VALUE"""),134.0)</f>
        <v>134</v>
      </c>
      <c r="H1358" s="116">
        <f>IFERROR(__xludf.DUMMYFUNCTION("""COMPUTED_VALUE"""),45903.0)</f>
        <v>45903</v>
      </c>
      <c r="I1358" s="115" t="str">
        <f>IFERROR(__xludf.DUMMYFUNCTION("""COMPUTED_VALUE"""),"13")</f>
        <v>13</v>
      </c>
      <c r="J1358" s="115" t="str">
        <f>IFERROR(__xludf.DUMMYFUNCTION("""COMPUTED_VALUE"""),"Loveleen Singh2025-09-0313")</f>
        <v>Loveleen Singh2025-09-0313</v>
      </c>
      <c r="K1358" s="115">
        <f>IFERROR(__xludf.DUMMYFUNCTION("""COMPUTED_VALUE"""),25039.0)</f>
        <v>25039</v>
      </c>
    </row>
    <row r="1359">
      <c r="A1359" s="115" t="str">
        <f>IFERROR(__xludf.DUMMYFUNCTION("""COMPUTED_VALUE"""),"NORTH")</f>
        <v>NORTH</v>
      </c>
      <c r="B1359" s="115" t="str">
        <f>IFERROR(__xludf.DUMMYFUNCTION("""COMPUTED_VALUE"""),"Loveleen Singh")</f>
        <v>Loveleen Singh</v>
      </c>
      <c r="C1359" s="115" t="str">
        <f>IFERROR(__xludf.DUMMYFUNCTION("""COMPUTED_VALUE"""),"FLIPKART")</f>
        <v>FLIPKART</v>
      </c>
      <c r="D1359" s="115">
        <f>IFERROR(__xludf.DUMMYFUNCTION("""COMPUTED_VALUE"""),123772.0)</f>
        <v>123772</v>
      </c>
      <c r="E1359" s="115">
        <f>IFERROR(__xludf.DUMMYFUNCTION("""COMPUTED_VALUE"""),11335.0)</f>
        <v>11335</v>
      </c>
      <c r="F1359" s="115">
        <f>IFERROR(__xludf.DUMMYFUNCTION("""COMPUTED_VALUE"""),35887.0)</f>
        <v>35887</v>
      </c>
      <c r="G1359" s="115">
        <f>IFERROR(__xludf.DUMMYFUNCTION("""COMPUTED_VALUE"""),1376.0)</f>
        <v>1376</v>
      </c>
      <c r="H1359" s="116">
        <f>IFERROR(__xludf.DUMMYFUNCTION("""COMPUTED_VALUE"""),45903.0)</f>
        <v>45903</v>
      </c>
      <c r="I1359" s="115" t="str">
        <f>IFERROR(__xludf.DUMMYFUNCTION("""COMPUTED_VALUE"""),"13")</f>
        <v>13</v>
      </c>
      <c r="J1359" s="115" t="str">
        <f>IFERROR(__xludf.DUMMYFUNCTION("""COMPUTED_VALUE"""),"Loveleen Singh2025-09-0313")</f>
        <v>Loveleen Singh2025-09-0313</v>
      </c>
      <c r="K1359" s="115">
        <f>IFERROR(__xludf.DUMMYFUNCTION("""COMPUTED_VALUE"""),135107.0)</f>
        <v>135107</v>
      </c>
    </row>
    <row r="1360">
      <c r="A1360" s="115" t="str">
        <f>IFERROR(__xludf.DUMMYFUNCTION("""COMPUTED_VALUE"""),"NORTH")</f>
        <v>NORTH</v>
      </c>
      <c r="B1360" s="115" t="str">
        <f>IFERROR(__xludf.DUMMYFUNCTION("""COMPUTED_VALUE"""),"Loveleen Singh")</f>
        <v>Loveleen Singh</v>
      </c>
      <c r="C1360" s="115" t="str">
        <f>IFERROR(__xludf.DUMMYFUNCTION("""COMPUTED_VALUE"""),"MYNTRA")</f>
        <v>MYNTRA</v>
      </c>
      <c r="D1360" s="115">
        <f>IFERROR(__xludf.DUMMYFUNCTION("""COMPUTED_VALUE"""),19585.0)</f>
        <v>19585</v>
      </c>
      <c r="E1360" s="115">
        <f>IFERROR(__xludf.DUMMYFUNCTION("""COMPUTED_VALUE"""),4479.0)</f>
        <v>4479</v>
      </c>
      <c r="F1360" s="115">
        <f>IFERROR(__xludf.DUMMYFUNCTION("""COMPUTED_VALUE"""),6843.0)</f>
        <v>6843</v>
      </c>
      <c r="G1360" s="115">
        <f>IFERROR(__xludf.DUMMYFUNCTION("""COMPUTED_VALUE"""),691.0)</f>
        <v>691</v>
      </c>
      <c r="H1360" s="116">
        <f>IFERROR(__xludf.DUMMYFUNCTION("""COMPUTED_VALUE"""),45903.0)</f>
        <v>45903</v>
      </c>
      <c r="I1360" s="115" t="str">
        <f>IFERROR(__xludf.DUMMYFUNCTION("""COMPUTED_VALUE"""),"13")</f>
        <v>13</v>
      </c>
      <c r="J1360" s="115" t="str">
        <f>IFERROR(__xludf.DUMMYFUNCTION("""COMPUTED_VALUE"""),"Loveleen Singh2025-09-0313")</f>
        <v>Loveleen Singh2025-09-0313</v>
      </c>
      <c r="K1360" s="115">
        <f>IFERROR(__xludf.DUMMYFUNCTION("""COMPUTED_VALUE"""),24064.0)</f>
        <v>24064</v>
      </c>
    </row>
    <row r="1361">
      <c r="A1361" s="115" t="str">
        <f>IFERROR(__xludf.DUMMYFUNCTION("""COMPUTED_VALUE"""),"NORTH")</f>
        <v>NORTH</v>
      </c>
      <c r="B1361" s="115" t="str">
        <f>IFERROR(__xludf.DUMMYFUNCTION("""COMPUTED_VALUE"""),"Manoj Harsh")</f>
        <v>Manoj Harsh</v>
      </c>
      <c r="C1361" s="115" t="str">
        <f>IFERROR(__xludf.DUMMYFUNCTION("""COMPUTED_VALUE"""),"EXTERNAL")</f>
        <v>EXTERNAL</v>
      </c>
      <c r="D1361" s="115">
        <f>IFERROR(__xludf.DUMMYFUNCTION("""COMPUTED_VALUE"""),30502.0)</f>
        <v>30502</v>
      </c>
      <c r="E1361" s="115">
        <f>IFERROR(__xludf.DUMMYFUNCTION("""COMPUTED_VALUE"""),4254.0)</f>
        <v>4254</v>
      </c>
      <c r="F1361" s="115">
        <f>IFERROR(__xludf.DUMMYFUNCTION("""COMPUTED_VALUE"""),5581.0)</f>
        <v>5581</v>
      </c>
      <c r="G1361" s="115">
        <f>IFERROR(__xludf.DUMMYFUNCTION("""COMPUTED_VALUE"""),214.0)</f>
        <v>214</v>
      </c>
      <c r="H1361" s="116">
        <f>IFERROR(__xludf.DUMMYFUNCTION("""COMPUTED_VALUE"""),45903.0)</f>
        <v>45903</v>
      </c>
      <c r="I1361" s="115" t="str">
        <f>IFERROR(__xludf.DUMMYFUNCTION("""COMPUTED_VALUE"""),"13")</f>
        <v>13</v>
      </c>
      <c r="J1361" s="115" t="str">
        <f>IFERROR(__xludf.DUMMYFUNCTION("""COMPUTED_VALUE"""),"Manoj Harsh2025-09-0313")</f>
        <v>Manoj Harsh2025-09-0313</v>
      </c>
      <c r="K1361" s="115">
        <f>IFERROR(__xludf.DUMMYFUNCTION("""COMPUTED_VALUE"""),34756.0)</f>
        <v>34756</v>
      </c>
    </row>
    <row r="1362">
      <c r="A1362" s="115" t="str">
        <f>IFERROR(__xludf.DUMMYFUNCTION("""COMPUTED_VALUE"""),"NORTH")</f>
        <v>NORTH</v>
      </c>
      <c r="B1362" s="115" t="str">
        <f>IFERROR(__xludf.DUMMYFUNCTION("""COMPUTED_VALUE"""),"Manoj Harsh")</f>
        <v>Manoj Harsh</v>
      </c>
      <c r="C1362" s="115" t="str">
        <f>IFERROR(__xludf.DUMMYFUNCTION("""COMPUTED_VALUE"""),"FLIPKART")</f>
        <v>FLIPKART</v>
      </c>
      <c r="D1362" s="115">
        <f>IFERROR(__xludf.DUMMYFUNCTION("""COMPUTED_VALUE"""),370445.0)</f>
        <v>370445</v>
      </c>
      <c r="E1362" s="115">
        <f>IFERROR(__xludf.DUMMYFUNCTION("""COMPUTED_VALUE"""),37272.0)</f>
        <v>37272</v>
      </c>
      <c r="F1362" s="115">
        <f>IFERROR(__xludf.DUMMYFUNCTION("""COMPUTED_VALUE"""),124879.0)</f>
        <v>124879</v>
      </c>
      <c r="G1362" s="115">
        <f>IFERROR(__xludf.DUMMYFUNCTION("""COMPUTED_VALUE"""),3941.0)</f>
        <v>3941</v>
      </c>
      <c r="H1362" s="116">
        <f>IFERROR(__xludf.DUMMYFUNCTION("""COMPUTED_VALUE"""),45903.0)</f>
        <v>45903</v>
      </c>
      <c r="I1362" s="115" t="str">
        <f>IFERROR(__xludf.DUMMYFUNCTION("""COMPUTED_VALUE"""),"13")</f>
        <v>13</v>
      </c>
      <c r="J1362" s="115" t="str">
        <f>IFERROR(__xludf.DUMMYFUNCTION("""COMPUTED_VALUE"""),"Manoj Harsh2025-09-0313")</f>
        <v>Manoj Harsh2025-09-0313</v>
      </c>
      <c r="K1362" s="115">
        <f>IFERROR(__xludf.DUMMYFUNCTION("""COMPUTED_VALUE"""),407717.0)</f>
        <v>407717</v>
      </c>
    </row>
    <row r="1363">
      <c r="A1363" s="115" t="str">
        <f>IFERROR(__xludf.DUMMYFUNCTION("""COMPUTED_VALUE"""),"NORTH")</f>
        <v>NORTH</v>
      </c>
      <c r="B1363" s="115" t="str">
        <f>IFERROR(__xludf.DUMMYFUNCTION("""COMPUTED_VALUE"""),"Manoj Harsh")</f>
        <v>Manoj Harsh</v>
      </c>
      <c r="C1363" s="115" t="str">
        <f>IFERROR(__xludf.DUMMYFUNCTION("""COMPUTED_VALUE"""),"MYNTRA")</f>
        <v>MYNTRA</v>
      </c>
      <c r="D1363" s="115">
        <f>IFERROR(__xludf.DUMMYFUNCTION("""COMPUTED_VALUE"""),33026.0)</f>
        <v>33026</v>
      </c>
      <c r="E1363" s="115">
        <f>IFERROR(__xludf.DUMMYFUNCTION("""COMPUTED_VALUE"""),7171.0)</f>
        <v>7171</v>
      </c>
      <c r="F1363" s="115">
        <f>IFERROR(__xludf.DUMMYFUNCTION("""COMPUTED_VALUE"""),13199.0)</f>
        <v>13199</v>
      </c>
      <c r="G1363" s="115">
        <f>IFERROR(__xludf.DUMMYFUNCTION("""COMPUTED_VALUE"""),921.0)</f>
        <v>921</v>
      </c>
      <c r="H1363" s="116">
        <f>IFERROR(__xludf.DUMMYFUNCTION("""COMPUTED_VALUE"""),45903.0)</f>
        <v>45903</v>
      </c>
      <c r="I1363" s="115" t="str">
        <f>IFERROR(__xludf.DUMMYFUNCTION("""COMPUTED_VALUE"""),"13")</f>
        <v>13</v>
      </c>
      <c r="J1363" s="115" t="str">
        <f>IFERROR(__xludf.DUMMYFUNCTION("""COMPUTED_VALUE"""),"Manoj Harsh2025-09-0313")</f>
        <v>Manoj Harsh2025-09-0313</v>
      </c>
      <c r="K1363" s="115">
        <f>IFERROR(__xludf.DUMMYFUNCTION("""COMPUTED_VALUE"""),40197.0)</f>
        <v>40197</v>
      </c>
    </row>
    <row r="1364">
      <c r="A1364" s="115" t="str">
        <f>IFERROR(__xludf.DUMMYFUNCTION("""COMPUTED_VALUE"""),"NORTH")</f>
        <v>NORTH</v>
      </c>
      <c r="B1364" s="115" t="str">
        <f>IFERROR(__xludf.DUMMYFUNCTION("""COMPUTED_VALUE"""),"Pradeep Kothari")</f>
        <v>Pradeep Kothari</v>
      </c>
      <c r="C1364" s="115" t="str">
        <f>IFERROR(__xludf.DUMMYFUNCTION("""COMPUTED_VALUE"""),"EXTERNAL")</f>
        <v>EXTERNAL</v>
      </c>
      <c r="D1364" s="115">
        <f>IFERROR(__xludf.DUMMYFUNCTION("""COMPUTED_VALUE"""),16228.0)</f>
        <v>16228</v>
      </c>
      <c r="E1364" s="115">
        <f>IFERROR(__xludf.DUMMYFUNCTION("""COMPUTED_VALUE"""),2542.0)</f>
        <v>2542</v>
      </c>
      <c r="F1364" s="115">
        <f>IFERROR(__xludf.DUMMYFUNCTION("""COMPUTED_VALUE"""),2922.0)</f>
        <v>2922</v>
      </c>
      <c r="G1364" s="115">
        <f>IFERROR(__xludf.DUMMYFUNCTION("""COMPUTED_VALUE"""),225.0)</f>
        <v>225</v>
      </c>
      <c r="H1364" s="116">
        <f>IFERROR(__xludf.DUMMYFUNCTION("""COMPUTED_VALUE"""),45903.0)</f>
        <v>45903</v>
      </c>
      <c r="I1364" s="115" t="str">
        <f>IFERROR(__xludf.DUMMYFUNCTION("""COMPUTED_VALUE"""),"13")</f>
        <v>13</v>
      </c>
      <c r="J1364" s="115" t="str">
        <f>IFERROR(__xludf.DUMMYFUNCTION("""COMPUTED_VALUE"""),"Pradeep Kothari2025-09-0313")</f>
        <v>Pradeep Kothari2025-09-0313</v>
      </c>
      <c r="K1364" s="115">
        <f>IFERROR(__xludf.DUMMYFUNCTION("""COMPUTED_VALUE"""),18770.0)</f>
        <v>18770</v>
      </c>
    </row>
    <row r="1365">
      <c r="A1365" s="115" t="str">
        <f>IFERROR(__xludf.DUMMYFUNCTION("""COMPUTED_VALUE"""),"NORTH")</f>
        <v>NORTH</v>
      </c>
      <c r="B1365" s="115" t="str">
        <f>IFERROR(__xludf.DUMMYFUNCTION("""COMPUTED_VALUE"""),"Pradeep Kothari")</f>
        <v>Pradeep Kothari</v>
      </c>
      <c r="C1365" s="115" t="str">
        <f>IFERROR(__xludf.DUMMYFUNCTION("""COMPUTED_VALUE"""),"FLIPKART")</f>
        <v>FLIPKART</v>
      </c>
      <c r="D1365" s="115">
        <f>IFERROR(__xludf.DUMMYFUNCTION("""COMPUTED_VALUE"""),130389.0)</f>
        <v>130389</v>
      </c>
      <c r="E1365" s="115">
        <f>IFERROR(__xludf.DUMMYFUNCTION("""COMPUTED_VALUE"""),14965.0)</f>
        <v>14965</v>
      </c>
      <c r="F1365" s="115">
        <f>IFERROR(__xludf.DUMMYFUNCTION("""COMPUTED_VALUE"""),47267.0)</f>
        <v>47267</v>
      </c>
      <c r="G1365" s="115">
        <f>IFERROR(__xludf.DUMMYFUNCTION("""COMPUTED_VALUE"""),2028.0)</f>
        <v>2028</v>
      </c>
      <c r="H1365" s="116">
        <f>IFERROR(__xludf.DUMMYFUNCTION("""COMPUTED_VALUE"""),45903.0)</f>
        <v>45903</v>
      </c>
      <c r="I1365" s="115" t="str">
        <f>IFERROR(__xludf.DUMMYFUNCTION("""COMPUTED_VALUE"""),"13")</f>
        <v>13</v>
      </c>
      <c r="J1365" s="115" t="str">
        <f>IFERROR(__xludf.DUMMYFUNCTION("""COMPUTED_VALUE"""),"Pradeep Kothari2025-09-0313")</f>
        <v>Pradeep Kothari2025-09-0313</v>
      </c>
      <c r="K1365" s="115">
        <f>IFERROR(__xludf.DUMMYFUNCTION("""COMPUTED_VALUE"""),145354.0)</f>
        <v>145354</v>
      </c>
    </row>
    <row r="1366">
      <c r="A1366" s="115" t="str">
        <f>IFERROR(__xludf.DUMMYFUNCTION("""COMPUTED_VALUE"""),"NORTH")</f>
        <v>NORTH</v>
      </c>
      <c r="B1366" s="115" t="str">
        <f>IFERROR(__xludf.DUMMYFUNCTION("""COMPUTED_VALUE"""),"Pradeep Kothari")</f>
        <v>Pradeep Kothari</v>
      </c>
      <c r="C1366" s="115" t="str">
        <f>IFERROR(__xludf.DUMMYFUNCTION("""COMPUTED_VALUE"""),"MYNTRA")</f>
        <v>MYNTRA</v>
      </c>
      <c r="D1366" s="115">
        <f>IFERROR(__xludf.DUMMYFUNCTION("""COMPUTED_VALUE"""),21321.0)</f>
        <v>21321</v>
      </c>
      <c r="E1366" s="115">
        <f>IFERROR(__xludf.DUMMYFUNCTION("""COMPUTED_VALUE"""),5733.0)</f>
        <v>5733</v>
      </c>
      <c r="F1366" s="115">
        <f>IFERROR(__xludf.DUMMYFUNCTION("""COMPUTED_VALUE"""),9608.0)</f>
        <v>9608</v>
      </c>
      <c r="G1366" s="115">
        <f>IFERROR(__xludf.DUMMYFUNCTION("""COMPUTED_VALUE"""),1042.0)</f>
        <v>1042</v>
      </c>
      <c r="H1366" s="116">
        <f>IFERROR(__xludf.DUMMYFUNCTION("""COMPUTED_VALUE"""),45903.0)</f>
        <v>45903</v>
      </c>
      <c r="I1366" s="115" t="str">
        <f>IFERROR(__xludf.DUMMYFUNCTION("""COMPUTED_VALUE"""),"13")</f>
        <v>13</v>
      </c>
      <c r="J1366" s="115" t="str">
        <f>IFERROR(__xludf.DUMMYFUNCTION("""COMPUTED_VALUE"""),"Pradeep Kothari2025-09-0313")</f>
        <v>Pradeep Kothari2025-09-0313</v>
      </c>
      <c r="K1366" s="115">
        <f>IFERROR(__xludf.DUMMYFUNCTION("""COMPUTED_VALUE"""),27054.0)</f>
        <v>27054</v>
      </c>
    </row>
    <row r="1367">
      <c r="A1367" s="115" t="str">
        <f>IFERROR(__xludf.DUMMYFUNCTION("""COMPUTED_VALUE"""),"SOUTH")</f>
        <v>SOUTH</v>
      </c>
      <c r="B1367" s="115" t="str">
        <f>IFERROR(__xludf.DUMMYFUNCTION("""COMPUTED_VALUE"""),"Kandula Sampath")</f>
        <v>Kandula Sampath</v>
      </c>
      <c r="C1367" s="115" t="str">
        <f>IFERROR(__xludf.DUMMYFUNCTION("""COMPUTED_VALUE"""),"EXTERNAL")</f>
        <v>EXTERNAL</v>
      </c>
      <c r="D1367" s="115">
        <f>IFERROR(__xludf.DUMMYFUNCTION("""COMPUTED_VALUE"""),33302.0)</f>
        <v>33302</v>
      </c>
      <c r="E1367" s="115">
        <f>IFERROR(__xludf.DUMMYFUNCTION("""COMPUTED_VALUE"""),5426.0)</f>
        <v>5426</v>
      </c>
      <c r="F1367" s="115">
        <f>IFERROR(__xludf.DUMMYFUNCTION("""COMPUTED_VALUE"""),7537.0)</f>
        <v>7537</v>
      </c>
      <c r="G1367" s="115">
        <f>IFERROR(__xludf.DUMMYFUNCTION("""COMPUTED_VALUE"""),295.0)</f>
        <v>295</v>
      </c>
      <c r="H1367" s="116">
        <f>IFERROR(__xludf.DUMMYFUNCTION("""COMPUTED_VALUE"""),45903.0)</f>
        <v>45903</v>
      </c>
      <c r="I1367" s="115" t="str">
        <f>IFERROR(__xludf.DUMMYFUNCTION("""COMPUTED_VALUE"""),"13")</f>
        <v>13</v>
      </c>
      <c r="J1367" s="115" t="str">
        <f>IFERROR(__xludf.DUMMYFUNCTION("""COMPUTED_VALUE"""),"Kandula Sampath2025-09-0313")</f>
        <v>Kandula Sampath2025-09-0313</v>
      </c>
      <c r="K1367" s="115">
        <f>IFERROR(__xludf.DUMMYFUNCTION("""COMPUTED_VALUE"""),38728.0)</f>
        <v>38728</v>
      </c>
    </row>
    <row r="1368">
      <c r="A1368" s="115" t="str">
        <f>IFERROR(__xludf.DUMMYFUNCTION("""COMPUTED_VALUE"""),"SOUTH")</f>
        <v>SOUTH</v>
      </c>
      <c r="B1368" s="115" t="str">
        <f>IFERROR(__xludf.DUMMYFUNCTION("""COMPUTED_VALUE"""),"Kandula Sampath")</f>
        <v>Kandula Sampath</v>
      </c>
      <c r="C1368" s="115" t="str">
        <f>IFERROR(__xludf.DUMMYFUNCTION("""COMPUTED_VALUE"""),"FLIPKART")</f>
        <v>FLIPKART</v>
      </c>
      <c r="D1368" s="115">
        <f>IFERROR(__xludf.DUMMYFUNCTION("""COMPUTED_VALUE"""),294175.0)</f>
        <v>294175</v>
      </c>
      <c r="E1368" s="115">
        <f>IFERROR(__xludf.DUMMYFUNCTION("""COMPUTED_VALUE"""),30667.0)</f>
        <v>30667</v>
      </c>
      <c r="F1368" s="115">
        <f>IFERROR(__xludf.DUMMYFUNCTION("""COMPUTED_VALUE"""),118622.0)</f>
        <v>118622</v>
      </c>
      <c r="G1368" s="115">
        <f>IFERROR(__xludf.DUMMYFUNCTION("""COMPUTED_VALUE"""),3358.0)</f>
        <v>3358</v>
      </c>
      <c r="H1368" s="116">
        <f>IFERROR(__xludf.DUMMYFUNCTION("""COMPUTED_VALUE"""),45903.0)</f>
        <v>45903</v>
      </c>
      <c r="I1368" s="115" t="str">
        <f>IFERROR(__xludf.DUMMYFUNCTION("""COMPUTED_VALUE"""),"13")</f>
        <v>13</v>
      </c>
      <c r="J1368" s="115" t="str">
        <f>IFERROR(__xludf.DUMMYFUNCTION("""COMPUTED_VALUE"""),"Kandula Sampath2025-09-0313")</f>
        <v>Kandula Sampath2025-09-0313</v>
      </c>
      <c r="K1368" s="115">
        <f>IFERROR(__xludf.DUMMYFUNCTION("""COMPUTED_VALUE"""),324842.0)</f>
        <v>324842</v>
      </c>
    </row>
    <row r="1369">
      <c r="A1369" s="115" t="str">
        <f>IFERROR(__xludf.DUMMYFUNCTION("""COMPUTED_VALUE"""),"SOUTH")</f>
        <v>SOUTH</v>
      </c>
      <c r="B1369" s="115" t="str">
        <f>IFERROR(__xludf.DUMMYFUNCTION("""COMPUTED_VALUE"""),"Kandula Sampath")</f>
        <v>Kandula Sampath</v>
      </c>
      <c r="C1369" s="115" t="str">
        <f>IFERROR(__xludf.DUMMYFUNCTION("""COMPUTED_VALUE"""),"MYNTRA")</f>
        <v>MYNTRA</v>
      </c>
      <c r="D1369" s="115">
        <f>IFERROR(__xludf.DUMMYFUNCTION("""COMPUTED_VALUE"""),28699.0)</f>
        <v>28699</v>
      </c>
      <c r="E1369" s="115">
        <f>IFERROR(__xludf.DUMMYFUNCTION("""COMPUTED_VALUE"""),8105.0)</f>
        <v>8105</v>
      </c>
      <c r="F1369" s="115">
        <f>IFERROR(__xludf.DUMMYFUNCTION("""COMPUTED_VALUE"""),13298.0)</f>
        <v>13298</v>
      </c>
      <c r="G1369" s="115">
        <f>IFERROR(__xludf.DUMMYFUNCTION("""COMPUTED_VALUE"""),1000.0)</f>
        <v>1000</v>
      </c>
      <c r="H1369" s="116">
        <f>IFERROR(__xludf.DUMMYFUNCTION("""COMPUTED_VALUE"""),45903.0)</f>
        <v>45903</v>
      </c>
      <c r="I1369" s="115" t="str">
        <f>IFERROR(__xludf.DUMMYFUNCTION("""COMPUTED_VALUE"""),"13")</f>
        <v>13</v>
      </c>
      <c r="J1369" s="115" t="str">
        <f>IFERROR(__xludf.DUMMYFUNCTION("""COMPUTED_VALUE"""),"Kandula Sampath2025-09-0313")</f>
        <v>Kandula Sampath2025-09-0313</v>
      </c>
      <c r="K1369" s="115">
        <f>IFERROR(__xludf.DUMMYFUNCTION("""COMPUTED_VALUE"""),36804.0)</f>
        <v>36804</v>
      </c>
    </row>
    <row r="1370">
      <c r="A1370" s="115" t="str">
        <f>IFERROR(__xludf.DUMMYFUNCTION("""COMPUTED_VALUE"""),"SOUTH")</f>
        <v>SOUTH</v>
      </c>
      <c r="B1370" s="115" t="str">
        <f>IFERROR(__xludf.DUMMYFUNCTION("""COMPUTED_VALUE"""),"Martin A")</f>
        <v>Martin A</v>
      </c>
      <c r="C1370" s="115" t="str">
        <f>IFERROR(__xludf.DUMMYFUNCTION("""COMPUTED_VALUE"""),"EXTERNAL")</f>
        <v>EXTERNAL</v>
      </c>
      <c r="D1370" s="115">
        <f>IFERROR(__xludf.DUMMYFUNCTION("""COMPUTED_VALUE"""),31988.0)</f>
        <v>31988</v>
      </c>
      <c r="E1370" s="115">
        <f>IFERROR(__xludf.DUMMYFUNCTION("""COMPUTED_VALUE"""),3588.0)</f>
        <v>3588</v>
      </c>
      <c r="F1370" s="115">
        <f>IFERROR(__xludf.DUMMYFUNCTION("""COMPUTED_VALUE"""),6689.0)</f>
        <v>6689</v>
      </c>
      <c r="G1370" s="115">
        <f>IFERROR(__xludf.DUMMYFUNCTION("""COMPUTED_VALUE"""),336.0)</f>
        <v>336</v>
      </c>
      <c r="H1370" s="116">
        <f>IFERROR(__xludf.DUMMYFUNCTION("""COMPUTED_VALUE"""),45903.0)</f>
        <v>45903</v>
      </c>
      <c r="I1370" s="115" t="str">
        <f>IFERROR(__xludf.DUMMYFUNCTION("""COMPUTED_VALUE"""),"13")</f>
        <v>13</v>
      </c>
      <c r="J1370" s="115" t="str">
        <f>IFERROR(__xludf.DUMMYFUNCTION("""COMPUTED_VALUE"""),"Martin A2025-09-0313")</f>
        <v>Martin A2025-09-0313</v>
      </c>
      <c r="K1370" s="115">
        <f>IFERROR(__xludf.DUMMYFUNCTION("""COMPUTED_VALUE"""),35576.0)</f>
        <v>35576</v>
      </c>
    </row>
    <row r="1371">
      <c r="A1371" s="115" t="str">
        <f>IFERROR(__xludf.DUMMYFUNCTION("""COMPUTED_VALUE"""),"SOUTH")</f>
        <v>SOUTH</v>
      </c>
      <c r="B1371" s="115" t="str">
        <f>IFERROR(__xludf.DUMMYFUNCTION("""COMPUTED_VALUE"""),"Martin A")</f>
        <v>Martin A</v>
      </c>
      <c r="C1371" s="115" t="str">
        <f>IFERROR(__xludf.DUMMYFUNCTION("""COMPUTED_VALUE"""),"FLIPKART")</f>
        <v>FLIPKART</v>
      </c>
      <c r="D1371" s="115">
        <f>IFERROR(__xludf.DUMMYFUNCTION("""COMPUTED_VALUE"""),252930.0)</f>
        <v>252930</v>
      </c>
      <c r="E1371" s="115">
        <f>IFERROR(__xludf.DUMMYFUNCTION("""COMPUTED_VALUE"""),25614.0)</f>
        <v>25614</v>
      </c>
      <c r="F1371" s="115">
        <f>IFERROR(__xludf.DUMMYFUNCTION("""COMPUTED_VALUE"""),95578.0)</f>
        <v>95578</v>
      </c>
      <c r="G1371" s="115">
        <f>IFERROR(__xludf.DUMMYFUNCTION("""COMPUTED_VALUE"""),3613.0)</f>
        <v>3613</v>
      </c>
      <c r="H1371" s="116">
        <f>IFERROR(__xludf.DUMMYFUNCTION("""COMPUTED_VALUE"""),45903.0)</f>
        <v>45903</v>
      </c>
      <c r="I1371" s="115" t="str">
        <f>IFERROR(__xludf.DUMMYFUNCTION("""COMPUTED_VALUE"""),"13")</f>
        <v>13</v>
      </c>
      <c r="J1371" s="115" t="str">
        <f>IFERROR(__xludf.DUMMYFUNCTION("""COMPUTED_VALUE"""),"Martin A2025-09-0313")</f>
        <v>Martin A2025-09-0313</v>
      </c>
      <c r="K1371" s="115">
        <f>IFERROR(__xludf.DUMMYFUNCTION("""COMPUTED_VALUE"""),278544.0)</f>
        <v>278544</v>
      </c>
    </row>
    <row r="1372">
      <c r="A1372" s="115" t="str">
        <f>IFERROR(__xludf.DUMMYFUNCTION("""COMPUTED_VALUE"""),"SOUTH")</f>
        <v>SOUTH</v>
      </c>
      <c r="B1372" s="115" t="str">
        <f>IFERROR(__xludf.DUMMYFUNCTION("""COMPUTED_VALUE"""),"Martin A")</f>
        <v>Martin A</v>
      </c>
      <c r="C1372" s="115" t="str">
        <f>IFERROR(__xludf.DUMMYFUNCTION("""COMPUTED_VALUE"""),"MYNTRA")</f>
        <v>MYNTRA</v>
      </c>
      <c r="D1372" s="115">
        <f>IFERROR(__xludf.DUMMYFUNCTION("""COMPUTED_VALUE"""),22353.0)</f>
        <v>22353</v>
      </c>
      <c r="E1372" s="115">
        <f>IFERROR(__xludf.DUMMYFUNCTION("""COMPUTED_VALUE"""),6406.0)</f>
        <v>6406</v>
      </c>
      <c r="F1372" s="115">
        <f>IFERROR(__xludf.DUMMYFUNCTION("""COMPUTED_VALUE"""),10053.0)</f>
        <v>10053</v>
      </c>
      <c r="G1372" s="115">
        <f>IFERROR(__xludf.DUMMYFUNCTION("""COMPUTED_VALUE"""),1069.0)</f>
        <v>1069</v>
      </c>
      <c r="H1372" s="116">
        <f>IFERROR(__xludf.DUMMYFUNCTION("""COMPUTED_VALUE"""),45903.0)</f>
        <v>45903</v>
      </c>
      <c r="I1372" s="115" t="str">
        <f>IFERROR(__xludf.DUMMYFUNCTION("""COMPUTED_VALUE"""),"13")</f>
        <v>13</v>
      </c>
      <c r="J1372" s="115" t="str">
        <f>IFERROR(__xludf.DUMMYFUNCTION("""COMPUTED_VALUE"""),"Martin A2025-09-0313")</f>
        <v>Martin A2025-09-0313</v>
      </c>
      <c r="K1372" s="115">
        <f>IFERROR(__xludf.DUMMYFUNCTION("""COMPUTED_VALUE"""),28759.0)</f>
        <v>28759</v>
      </c>
    </row>
    <row r="1373">
      <c r="A1373" s="115" t="str">
        <f>IFERROR(__xludf.DUMMYFUNCTION("""COMPUTED_VALUE"""),"SOUTH")</f>
        <v>SOUTH</v>
      </c>
      <c r="B1373" s="115" t="str">
        <f>IFERROR(__xludf.DUMMYFUNCTION("""COMPUTED_VALUE"""),"Premkumar M")</f>
        <v>Premkumar M</v>
      </c>
      <c r="C1373" s="115" t="str">
        <f>IFERROR(__xludf.DUMMYFUNCTION("""COMPUTED_VALUE"""),"EXTERNAL")</f>
        <v>EXTERNAL</v>
      </c>
      <c r="D1373" s="115">
        <f>IFERROR(__xludf.DUMMYFUNCTION("""COMPUTED_VALUE"""),25936.0)</f>
        <v>25936</v>
      </c>
      <c r="E1373" s="115">
        <f>IFERROR(__xludf.DUMMYFUNCTION("""COMPUTED_VALUE"""),2415.0)</f>
        <v>2415</v>
      </c>
      <c r="F1373" s="115">
        <f>IFERROR(__xludf.DUMMYFUNCTION("""COMPUTED_VALUE"""),4835.0)</f>
        <v>4835</v>
      </c>
      <c r="G1373" s="115">
        <f>IFERROR(__xludf.DUMMYFUNCTION("""COMPUTED_VALUE"""),51.0)</f>
        <v>51</v>
      </c>
      <c r="H1373" s="116">
        <f>IFERROR(__xludf.DUMMYFUNCTION("""COMPUTED_VALUE"""),45903.0)</f>
        <v>45903</v>
      </c>
      <c r="I1373" s="115" t="str">
        <f>IFERROR(__xludf.DUMMYFUNCTION("""COMPUTED_VALUE"""),"13")</f>
        <v>13</v>
      </c>
      <c r="J1373" s="115" t="str">
        <f>IFERROR(__xludf.DUMMYFUNCTION("""COMPUTED_VALUE"""),"Premkumar M2025-09-0313")</f>
        <v>Premkumar M2025-09-0313</v>
      </c>
      <c r="K1373" s="115">
        <f>IFERROR(__xludf.DUMMYFUNCTION("""COMPUTED_VALUE"""),28351.0)</f>
        <v>28351</v>
      </c>
    </row>
    <row r="1374">
      <c r="A1374" s="115" t="str">
        <f>IFERROR(__xludf.DUMMYFUNCTION("""COMPUTED_VALUE"""),"SOUTH")</f>
        <v>SOUTH</v>
      </c>
      <c r="B1374" s="115" t="str">
        <f>IFERROR(__xludf.DUMMYFUNCTION("""COMPUTED_VALUE"""),"Premkumar M")</f>
        <v>Premkumar M</v>
      </c>
      <c r="C1374" s="115" t="str">
        <f>IFERROR(__xludf.DUMMYFUNCTION("""COMPUTED_VALUE"""),"FLIPKART")</f>
        <v>FLIPKART</v>
      </c>
      <c r="D1374" s="115">
        <f>IFERROR(__xludf.DUMMYFUNCTION("""COMPUTED_VALUE"""),233701.0)</f>
        <v>233701</v>
      </c>
      <c r="E1374" s="115">
        <f>IFERROR(__xludf.DUMMYFUNCTION("""COMPUTED_VALUE"""),17041.0)</f>
        <v>17041</v>
      </c>
      <c r="F1374" s="115">
        <f>IFERROR(__xludf.DUMMYFUNCTION("""COMPUTED_VALUE"""),68032.0)</f>
        <v>68032</v>
      </c>
      <c r="G1374" s="115">
        <f>IFERROR(__xludf.DUMMYFUNCTION("""COMPUTED_VALUE"""),802.0)</f>
        <v>802</v>
      </c>
      <c r="H1374" s="116">
        <f>IFERROR(__xludf.DUMMYFUNCTION("""COMPUTED_VALUE"""),45903.0)</f>
        <v>45903</v>
      </c>
      <c r="I1374" s="115" t="str">
        <f>IFERROR(__xludf.DUMMYFUNCTION("""COMPUTED_VALUE"""),"13")</f>
        <v>13</v>
      </c>
      <c r="J1374" s="115" t="str">
        <f>IFERROR(__xludf.DUMMYFUNCTION("""COMPUTED_VALUE"""),"Premkumar M2025-09-0313")</f>
        <v>Premkumar M2025-09-0313</v>
      </c>
      <c r="K1374" s="115">
        <f>IFERROR(__xludf.DUMMYFUNCTION("""COMPUTED_VALUE"""),250742.0)</f>
        <v>250742</v>
      </c>
    </row>
    <row r="1375">
      <c r="A1375" s="115" t="str">
        <f>IFERROR(__xludf.DUMMYFUNCTION("""COMPUTED_VALUE"""),"SOUTH")</f>
        <v>SOUTH</v>
      </c>
      <c r="B1375" s="115" t="str">
        <f>IFERROR(__xludf.DUMMYFUNCTION("""COMPUTED_VALUE"""),"Premkumar M")</f>
        <v>Premkumar M</v>
      </c>
      <c r="C1375" s="115" t="str">
        <f>IFERROR(__xludf.DUMMYFUNCTION("""COMPUTED_VALUE"""),"MYNTRA")</f>
        <v>MYNTRA</v>
      </c>
      <c r="D1375" s="115">
        <f>IFERROR(__xludf.DUMMYFUNCTION("""COMPUTED_VALUE"""),12760.0)</f>
        <v>12760</v>
      </c>
      <c r="E1375" s="115">
        <f>IFERROR(__xludf.DUMMYFUNCTION("""COMPUTED_VALUE"""),2636.0)</f>
        <v>2636</v>
      </c>
      <c r="F1375" s="115">
        <f>IFERROR(__xludf.DUMMYFUNCTION("""COMPUTED_VALUE"""),4562.0)</f>
        <v>4562</v>
      </c>
      <c r="G1375" s="115">
        <f>IFERROR(__xludf.DUMMYFUNCTION("""COMPUTED_VALUE"""),123.0)</f>
        <v>123</v>
      </c>
      <c r="H1375" s="116">
        <f>IFERROR(__xludf.DUMMYFUNCTION("""COMPUTED_VALUE"""),45903.0)</f>
        <v>45903</v>
      </c>
      <c r="I1375" s="115" t="str">
        <f>IFERROR(__xludf.DUMMYFUNCTION("""COMPUTED_VALUE"""),"13")</f>
        <v>13</v>
      </c>
      <c r="J1375" s="115" t="str">
        <f>IFERROR(__xludf.DUMMYFUNCTION("""COMPUTED_VALUE"""),"Premkumar M2025-09-0313")</f>
        <v>Premkumar M2025-09-0313</v>
      </c>
      <c r="K1375" s="115">
        <f>IFERROR(__xludf.DUMMYFUNCTION("""COMPUTED_VALUE"""),15396.0)</f>
        <v>15396</v>
      </c>
    </row>
    <row r="1376">
      <c r="A1376" s="115" t="str">
        <f>IFERROR(__xludf.DUMMYFUNCTION("""COMPUTED_VALUE"""),"SOUTH")</f>
        <v>SOUTH</v>
      </c>
      <c r="B1376" s="115" t="str">
        <f>IFERROR(__xludf.DUMMYFUNCTION("""COMPUTED_VALUE"""),"Vineeth V")</f>
        <v>Vineeth V</v>
      </c>
      <c r="C1376" s="115" t="str">
        <f>IFERROR(__xludf.DUMMYFUNCTION("""COMPUTED_VALUE"""),"EXTERNAL")</f>
        <v>EXTERNAL</v>
      </c>
      <c r="D1376" s="115">
        <f>IFERROR(__xludf.DUMMYFUNCTION("""COMPUTED_VALUE"""),19995.0)</f>
        <v>19995</v>
      </c>
      <c r="E1376" s="115">
        <f>IFERROR(__xludf.DUMMYFUNCTION("""COMPUTED_VALUE"""),822.0)</f>
        <v>822</v>
      </c>
      <c r="F1376" s="115">
        <f>IFERROR(__xludf.DUMMYFUNCTION("""COMPUTED_VALUE"""),3238.0)</f>
        <v>3238</v>
      </c>
      <c r="G1376" s="115">
        <f>IFERROR(__xludf.DUMMYFUNCTION("""COMPUTED_VALUE"""),23.0)</f>
        <v>23</v>
      </c>
      <c r="H1376" s="116">
        <f>IFERROR(__xludf.DUMMYFUNCTION("""COMPUTED_VALUE"""),45903.0)</f>
        <v>45903</v>
      </c>
      <c r="I1376" s="115" t="str">
        <f>IFERROR(__xludf.DUMMYFUNCTION("""COMPUTED_VALUE"""),"13")</f>
        <v>13</v>
      </c>
      <c r="J1376" s="115" t="str">
        <f>IFERROR(__xludf.DUMMYFUNCTION("""COMPUTED_VALUE"""),"Vineeth V2025-09-0313")</f>
        <v>Vineeth V2025-09-0313</v>
      </c>
      <c r="K1376" s="115">
        <f>IFERROR(__xludf.DUMMYFUNCTION("""COMPUTED_VALUE"""),20817.0)</f>
        <v>20817</v>
      </c>
    </row>
    <row r="1377">
      <c r="A1377" s="115" t="str">
        <f>IFERROR(__xludf.DUMMYFUNCTION("""COMPUTED_VALUE"""),"SOUTH")</f>
        <v>SOUTH</v>
      </c>
      <c r="B1377" s="115" t="str">
        <f>IFERROR(__xludf.DUMMYFUNCTION("""COMPUTED_VALUE"""),"Vineeth V")</f>
        <v>Vineeth V</v>
      </c>
      <c r="C1377" s="115" t="str">
        <f>IFERROR(__xludf.DUMMYFUNCTION("""COMPUTED_VALUE"""),"FLIPKART")</f>
        <v>FLIPKART</v>
      </c>
      <c r="D1377" s="115">
        <f>IFERROR(__xludf.DUMMYFUNCTION("""COMPUTED_VALUE"""),215490.0)</f>
        <v>215490</v>
      </c>
      <c r="E1377" s="115">
        <f>IFERROR(__xludf.DUMMYFUNCTION("""COMPUTED_VALUE"""),15294.0)</f>
        <v>15294</v>
      </c>
      <c r="F1377" s="115">
        <f>IFERROR(__xludf.DUMMYFUNCTION("""COMPUTED_VALUE"""),53432.0)</f>
        <v>53432</v>
      </c>
      <c r="G1377" s="115">
        <f>IFERROR(__xludf.DUMMYFUNCTION("""COMPUTED_VALUE"""),423.0)</f>
        <v>423</v>
      </c>
      <c r="H1377" s="116">
        <f>IFERROR(__xludf.DUMMYFUNCTION("""COMPUTED_VALUE"""),45903.0)</f>
        <v>45903</v>
      </c>
      <c r="I1377" s="115" t="str">
        <f>IFERROR(__xludf.DUMMYFUNCTION("""COMPUTED_VALUE"""),"13")</f>
        <v>13</v>
      </c>
      <c r="J1377" s="115" t="str">
        <f>IFERROR(__xludf.DUMMYFUNCTION("""COMPUTED_VALUE"""),"Vineeth V2025-09-0313")</f>
        <v>Vineeth V2025-09-0313</v>
      </c>
      <c r="K1377" s="115">
        <f>IFERROR(__xludf.DUMMYFUNCTION("""COMPUTED_VALUE"""),230784.0)</f>
        <v>230784</v>
      </c>
    </row>
    <row r="1378">
      <c r="A1378" s="115" t="str">
        <f>IFERROR(__xludf.DUMMYFUNCTION("""COMPUTED_VALUE"""),"SOUTH")</f>
        <v>SOUTH</v>
      </c>
      <c r="B1378" s="115" t="str">
        <f>IFERROR(__xludf.DUMMYFUNCTION("""COMPUTED_VALUE"""),"Vineeth V")</f>
        <v>Vineeth V</v>
      </c>
      <c r="C1378" s="115" t="str">
        <f>IFERROR(__xludf.DUMMYFUNCTION("""COMPUTED_VALUE"""),"MYNTRA")</f>
        <v>MYNTRA</v>
      </c>
      <c r="D1378" s="115">
        <f>IFERROR(__xludf.DUMMYFUNCTION("""COMPUTED_VALUE"""),21200.0)</f>
        <v>21200</v>
      </c>
      <c r="E1378" s="115">
        <f>IFERROR(__xludf.DUMMYFUNCTION("""COMPUTED_VALUE"""),3733.0)</f>
        <v>3733</v>
      </c>
      <c r="F1378" s="115">
        <f>IFERROR(__xludf.DUMMYFUNCTION("""COMPUTED_VALUE"""),5998.0)</f>
        <v>5998</v>
      </c>
      <c r="G1378" s="115">
        <f>IFERROR(__xludf.DUMMYFUNCTION("""COMPUTED_VALUE"""),123.0)</f>
        <v>123</v>
      </c>
      <c r="H1378" s="116">
        <f>IFERROR(__xludf.DUMMYFUNCTION("""COMPUTED_VALUE"""),45903.0)</f>
        <v>45903</v>
      </c>
      <c r="I1378" s="115" t="str">
        <f>IFERROR(__xludf.DUMMYFUNCTION("""COMPUTED_VALUE"""),"13")</f>
        <v>13</v>
      </c>
      <c r="J1378" s="115" t="str">
        <f>IFERROR(__xludf.DUMMYFUNCTION("""COMPUTED_VALUE"""),"Vineeth V2025-09-0313")</f>
        <v>Vineeth V2025-09-0313</v>
      </c>
      <c r="K1378" s="115">
        <f>IFERROR(__xludf.DUMMYFUNCTION("""COMPUTED_VALUE"""),24933.0)</f>
        <v>24933</v>
      </c>
    </row>
    <row r="1379">
      <c r="A1379" s="115" t="str">
        <f>IFERROR(__xludf.DUMMYFUNCTION("""COMPUTED_VALUE"""),"WEST")</f>
        <v>WEST</v>
      </c>
      <c r="B1379" s="115" t="str">
        <f>IFERROR(__xludf.DUMMYFUNCTION("""COMPUTED_VALUE"""),"Ashish Jakar")</f>
        <v>Ashish Jakar</v>
      </c>
      <c r="C1379" s="115" t="str">
        <f>IFERROR(__xludf.DUMMYFUNCTION("""COMPUTED_VALUE"""),"EXTERNAL")</f>
        <v>EXTERNAL</v>
      </c>
      <c r="D1379" s="115">
        <f>IFERROR(__xludf.DUMMYFUNCTION("""COMPUTED_VALUE"""),47674.0)</f>
        <v>47674</v>
      </c>
      <c r="E1379" s="115">
        <f>IFERROR(__xludf.DUMMYFUNCTION("""COMPUTED_VALUE"""),7551.0)</f>
        <v>7551</v>
      </c>
      <c r="F1379" s="115">
        <f>IFERROR(__xludf.DUMMYFUNCTION("""COMPUTED_VALUE"""),8590.0)</f>
        <v>8590</v>
      </c>
      <c r="G1379" s="115">
        <f>IFERROR(__xludf.DUMMYFUNCTION("""COMPUTED_VALUE"""),680.0)</f>
        <v>680</v>
      </c>
      <c r="H1379" s="116">
        <f>IFERROR(__xludf.DUMMYFUNCTION("""COMPUTED_VALUE"""),45903.0)</f>
        <v>45903</v>
      </c>
      <c r="I1379" s="115" t="str">
        <f>IFERROR(__xludf.DUMMYFUNCTION("""COMPUTED_VALUE"""),"13")</f>
        <v>13</v>
      </c>
      <c r="J1379" s="115" t="str">
        <f>IFERROR(__xludf.DUMMYFUNCTION("""COMPUTED_VALUE"""),"Ashish Jakar2025-09-0313")</f>
        <v>Ashish Jakar2025-09-0313</v>
      </c>
      <c r="K1379" s="115">
        <f>IFERROR(__xludf.DUMMYFUNCTION("""COMPUTED_VALUE"""),55225.0)</f>
        <v>55225</v>
      </c>
    </row>
    <row r="1380">
      <c r="A1380" s="115" t="str">
        <f>IFERROR(__xludf.DUMMYFUNCTION("""COMPUTED_VALUE"""),"WEST")</f>
        <v>WEST</v>
      </c>
      <c r="B1380" s="115" t="str">
        <f>IFERROR(__xludf.DUMMYFUNCTION("""COMPUTED_VALUE"""),"Ashish Jakar")</f>
        <v>Ashish Jakar</v>
      </c>
      <c r="C1380" s="115" t="str">
        <f>IFERROR(__xludf.DUMMYFUNCTION("""COMPUTED_VALUE"""),"FLIPKART")</f>
        <v>FLIPKART</v>
      </c>
      <c r="D1380" s="115">
        <f>IFERROR(__xludf.DUMMYFUNCTION("""COMPUTED_VALUE"""),286175.0)</f>
        <v>286175</v>
      </c>
      <c r="E1380" s="115">
        <f>IFERROR(__xludf.DUMMYFUNCTION("""COMPUTED_VALUE"""),31642.0)</f>
        <v>31642</v>
      </c>
      <c r="F1380" s="115">
        <f>IFERROR(__xludf.DUMMYFUNCTION("""COMPUTED_VALUE"""),94766.0)</f>
        <v>94766</v>
      </c>
      <c r="G1380" s="115">
        <f>IFERROR(__xludf.DUMMYFUNCTION("""COMPUTED_VALUE"""),4174.0)</f>
        <v>4174</v>
      </c>
      <c r="H1380" s="116">
        <f>IFERROR(__xludf.DUMMYFUNCTION("""COMPUTED_VALUE"""),45903.0)</f>
        <v>45903</v>
      </c>
      <c r="I1380" s="115" t="str">
        <f>IFERROR(__xludf.DUMMYFUNCTION("""COMPUTED_VALUE"""),"13")</f>
        <v>13</v>
      </c>
      <c r="J1380" s="115" t="str">
        <f>IFERROR(__xludf.DUMMYFUNCTION("""COMPUTED_VALUE"""),"Ashish Jakar2025-09-0313")</f>
        <v>Ashish Jakar2025-09-0313</v>
      </c>
      <c r="K1380" s="115">
        <f>IFERROR(__xludf.DUMMYFUNCTION("""COMPUTED_VALUE"""),317817.0)</f>
        <v>317817</v>
      </c>
    </row>
    <row r="1381">
      <c r="A1381" s="115" t="str">
        <f>IFERROR(__xludf.DUMMYFUNCTION("""COMPUTED_VALUE"""),"WEST")</f>
        <v>WEST</v>
      </c>
      <c r="B1381" s="115" t="str">
        <f>IFERROR(__xludf.DUMMYFUNCTION("""COMPUTED_VALUE"""),"Ashish Jakar")</f>
        <v>Ashish Jakar</v>
      </c>
      <c r="C1381" s="115" t="str">
        <f>IFERROR(__xludf.DUMMYFUNCTION("""COMPUTED_VALUE"""),"MYNTRA")</f>
        <v>MYNTRA</v>
      </c>
      <c r="D1381" s="115">
        <f>IFERROR(__xludf.DUMMYFUNCTION("""COMPUTED_VALUE"""),30724.0)</f>
        <v>30724</v>
      </c>
      <c r="E1381" s="115">
        <f>IFERROR(__xludf.DUMMYFUNCTION("""COMPUTED_VALUE"""),10577.0)</f>
        <v>10577</v>
      </c>
      <c r="F1381" s="115">
        <f>IFERROR(__xludf.DUMMYFUNCTION("""COMPUTED_VALUE"""),12448.0)</f>
        <v>12448</v>
      </c>
      <c r="G1381" s="115">
        <f>IFERROR(__xludf.DUMMYFUNCTION("""COMPUTED_VALUE"""),1617.0)</f>
        <v>1617</v>
      </c>
      <c r="H1381" s="116">
        <f>IFERROR(__xludf.DUMMYFUNCTION("""COMPUTED_VALUE"""),45903.0)</f>
        <v>45903</v>
      </c>
      <c r="I1381" s="115" t="str">
        <f>IFERROR(__xludf.DUMMYFUNCTION("""COMPUTED_VALUE"""),"13")</f>
        <v>13</v>
      </c>
      <c r="J1381" s="115" t="str">
        <f>IFERROR(__xludf.DUMMYFUNCTION("""COMPUTED_VALUE"""),"Ashish Jakar2025-09-0313")</f>
        <v>Ashish Jakar2025-09-0313</v>
      </c>
      <c r="K1381" s="115">
        <f>IFERROR(__xludf.DUMMYFUNCTION("""COMPUTED_VALUE"""),41301.0)</f>
        <v>41301</v>
      </c>
    </row>
    <row r="1382">
      <c r="A1382" s="115" t="str">
        <f>IFERROR(__xludf.DUMMYFUNCTION("""COMPUTED_VALUE"""),"WEST")</f>
        <v>WEST</v>
      </c>
      <c r="B1382" s="115" t="str">
        <f>IFERROR(__xludf.DUMMYFUNCTION("""COMPUTED_VALUE"""),"Ashvani Bhatt")</f>
        <v>Ashvani Bhatt</v>
      </c>
      <c r="C1382" s="115" t="str">
        <f>IFERROR(__xludf.DUMMYFUNCTION("""COMPUTED_VALUE"""),"EXTERNAL")</f>
        <v>EXTERNAL</v>
      </c>
      <c r="D1382" s="115">
        <f>IFERROR(__xludf.DUMMYFUNCTION("""COMPUTED_VALUE"""),30892.0)</f>
        <v>30892</v>
      </c>
      <c r="E1382" s="115">
        <f>IFERROR(__xludf.DUMMYFUNCTION("""COMPUTED_VALUE"""),4478.0)</f>
        <v>4478</v>
      </c>
      <c r="F1382" s="115">
        <f>IFERROR(__xludf.DUMMYFUNCTION("""COMPUTED_VALUE"""),6870.0)</f>
        <v>6870</v>
      </c>
      <c r="G1382" s="115">
        <f>IFERROR(__xludf.DUMMYFUNCTION("""COMPUTED_VALUE"""),323.0)</f>
        <v>323</v>
      </c>
      <c r="H1382" s="116">
        <f>IFERROR(__xludf.DUMMYFUNCTION("""COMPUTED_VALUE"""),45903.0)</f>
        <v>45903</v>
      </c>
      <c r="I1382" s="115" t="str">
        <f>IFERROR(__xludf.DUMMYFUNCTION("""COMPUTED_VALUE"""),"13")</f>
        <v>13</v>
      </c>
      <c r="J1382" s="115" t="str">
        <f>IFERROR(__xludf.DUMMYFUNCTION("""COMPUTED_VALUE"""),"Ashvani Bhatt2025-09-0313")</f>
        <v>Ashvani Bhatt2025-09-0313</v>
      </c>
      <c r="K1382" s="115">
        <f>IFERROR(__xludf.DUMMYFUNCTION("""COMPUTED_VALUE"""),35370.0)</f>
        <v>35370</v>
      </c>
    </row>
    <row r="1383">
      <c r="A1383" s="115" t="str">
        <f>IFERROR(__xludf.DUMMYFUNCTION("""COMPUTED_VALUE"""),"WEST")</f>
        <v>WEST</v>
      </c>
      <c r="B1383" s="115" t="str">
        <f>IFERROR(__xludf.DUMMYFUNCTION("""COMPUTED_VALUE"""),"Ashvani Bhatt")</f>
        <v>Ashvani Bhatt</v>
      </c>
      <c r="C1383" s="115" t="str">
        <f>IFERROR(__xludf.DUMMYFUNCTION("""COMPUTED_VALUE"""),"FLIPKART")</f>
        <v>FLIPKART</v>
      </c>
      <c r="D1383" s="115">
        <f>IFERROR(__xludf.DUMMYFUNCTION("""COMPUTED_VALUE"""),232407.0)</f>
        <v>232407</v>
      </c>
      <c r="E1383" s="115">
        <f>IFERROR(__xludf.DUMMYFUNCTION("""COMPUTED_VALUE"""),26001.0)</f>
        <v>26001</v>
      </c>
      <c r="F1383" s="115">
        <f>IFERROR(__xludf.DUMMYFUNCTION("""COMPUTED_VALUE"""),95437.0)</f>
        <v>95437</v>
      </c>
      <c r="G1383" s="115">
        <f>IFERROR(__xludf.DUMMYFUNCTION("""COMPUTED_VALUE"""),3364.0)</f>
        <v>3364</v>
      </c>
      <c r="H1383" s="116">
        <f>IFERROR(__xludf.DUMMYFUNCTION("""COMPUTED_VALUE"""),45903.0)</f>
        <v>45903</v>
      </c>
      <c r="I1383" s="115" t="str">
        <f>IFERROR(__xludf.DUMMYFUNCTION("""COMPUTED_VALUE"""),"13")</f>
        <v>13</v>
      </c>
      <c r="J1383" s="115" t="str">
        <f>IFERROR(__xludf.DUMMYFUNCTION("""COMPUTED_VALUE"""),"Ashvani Bhatt2025-09-0313")</f>
        <v>Ashvani Bhatt2025-09-0313</v>
      </c>
      <c r="K1383" s="115">
        <f>IFERROR(__xludf.DUMMYFUNCTION("""COMPUTED_VALUE"""),258408.0)</f>
        <v>258408</v>
      </c>
    </row>
    <row r="1384">
      <c r="A1384" s="115" t="str">
        <f>IFERROR(__xludf.DUMMYFUNCTION("""COMPUTED_VALUE"""),"WEST")</f>
        <v>WEST</v>
      </c>
      <c r="B1384" s="115" t="str">
        <f>IFERROR(__xludf.DUMMYFUNCTION("""COMPUTED_VALUE"""),"Ashvani Bhatt")</f>
        <v>Ashvani Bhatt</v>
      </c>
      <c r="C1384" s="115" t="str">
        <f>IFERROR(__xludf.DUMMYFUNCTION("""COMPUTED_VALUE"""),"MYNTRA")</f>
        <v>MYNTRA</v>
      </c>
      <c r="D1384" s="115">
        <f>IFERROR(__xludf.DUMMYFUNCTION("""COMPUTED_VALUE"""),28017.0)</f>
        <v>28017</v>
      </c>
      <c r="E1384" s="115">
        <f>IFERROR(__xludf.DUMMYFUNCTION("""COMPUTED_VALUE"""),7682.0)</f>
        <v>7682</v>
      </c>
      <c r="F1384" s="115">
        <f>IFERROR(__xludf.DUMMYFUNCTION("""COMPUTED_VALUE"""),13709.0)</f>
        <v>13709</v>
      </c>
      <c r="G1384" s="115">
        <f>IFERROR(__xludf.DUMMYFUNCTION("""COMPUTED_VALUE"""),1310.0)</f>
        <v>1310</v>
      </c>
      <c r="H1384" s="116">
        <f>IFERROR(__xludf.DUMMYFUNCTION("""COMPUTED_VALUE"""),45903.0)</f>
        <v>45903</v>
      </c>
      <c r="I1384" s="115" t="str">
        <f>IFERROR(__xludf.DUMMYFUNCTION("""COMPUTED_VALUE"""),"13")</f>
        <v>13</v>
      </c>
      <c r="J1384" s="115" t="str">
        <f>IFERROR(__xludf.DUMMYFUNCTION("""COMPUTED_VALUE"""),"Ashvani Bhatt2025-09-0313")</f>
        <v>Ashvani Bhatt2025-09-0313</v>
      </c>
      <c r="K1384" s="115">
        <f>IFERROR(__xludf.DUMMYFUNCTION("""COMPUTED_VALUE"""),35699.0)</f>
        <v>35699</v>
      </c>
    </row>
    <row r="1385">
      <c r="A1385" s="115"/>
      <c r="B1385" s="115"/>
      <c r="C1385" s="115" t="str">
        <f>IFERROR(__xludf.DUMMYFUNCTION("""COMPUTED_VALUE"""),"EXTERNAL")</f>
        <v>EXTERNAL</v>
      </c>
      <c r="D1385" s="115">
        <f>IFERROR(__xludf.DUMMYFUNCTION("""COMPUTED_VALUE"""),598.0)</f>
        <v>598</v>
      </c>
      <c r="E1385" s="115">
        <f>IFERROR(__xludf.DUMMYFUNCTION("""COMPUTED_VALUE"""),57.0)</f>
        <v>57</v>
      </c>
      <c r="F1385" s="115">
        <f>IFERROR(__xludf.DUMMYFUNCTION("""COMPUTED_VALUE"""),125.0)</f>
        <v>125</v>
      </c>
      <c r="G1385" s="115">
        <f>IFERROR(__xludf.DUMMYFUNCTION("""COMPUTED_VALUE"""),4.0)</f>
        <v>4</v>
      </c>
      <c r="H1385" s="116">
        <f>IFERROR(__xludf.DUMMYFUNCTION("""COMPUTED_VALUE"""),45903.0)</f>
        <v>45903</v>
      </c>
      <c r="I1385" s="115" t="str">
        <f>IFERROR(__xludf.DUMMYFUNCTION("""COMPUTED_VALUE"""),"13")</f>
        <v>13</v>
      </c>
      <c r="J1385" s="115" t="str">
        <f>IFERROR(__xludf.DUMMYFUNCTION("""COMPUTED_VALUE"""),"2025-09-0313")</f>
        <v>2025-09-0313</v>
      </c>
      <c r="K1385" s="115">
        <f>IFERROR(__xludf.DUMMYFUNCTION("""COMPUTED_VALUE"""),655.0)</f>
        <v>655</v>
      </c>
    </row>
    <row r="1386">
      <c r="A1386" s="115"/>
      <c r="B1386" s="115"/>
      <c r="C1386" s="115" t="str">
        <f>IFERROR(__xludf.DUMMYFUNCTION("""COMPUTED_VALUE"""),"FLIPKART")</f>
        <v>FLIPKART</v>
      </c>
      <c r="D1386" s="115">
        <f>IFERROR(__xludf.DUMMYFUNCTION("""COMPUTED_VALUE"""),4383.0)</f>
        <v>4383</v>
      </c>
      <c r="E1386" s="115">
        <f>IFERROR(__xludf.DUMMYFUNCTION("""COMPUTED_VALUE"""),374.0)</f>
        <v>374</v>
      </c>
      <c r="F1386" s="115">
        <f>IFERROR(__xludf.DUMMYFUNCTION("""COMPUTED_VALUE"""),1112.0)</f>
        <v>1112</v>
      </c>
      <c r="G1386" s="115">
        <f>IFERROR(__xludf.DUMMYFUNCTION("""COMPUTED_VALUE"""),38.0)</f>
        <v>38</v>
      </c>
      <c r="H1386" s="116">
        <f>IFERROR(__xludf.DUMMYFUNCTION("""COMPUTED_VALUE"""),45903.0)</f>
        <v>45903</v>
      </c>
      <c r="I1386" s="115" t="str">
        <f>IFERROR(__xludf.DUMMYFUNCTION("""COMPUTED_VALUE"""),"13")</f>
        <v>13</v>
      </c>
      <c r="J1386" s="115" t="str">
        <f>IFERROR(__xludf.DUMMYFUNCTION("""COMPUTED_VALUE"""),"2025-09-0313")</f>
        <v>2025-09-0313</v>
      </c>
      <c r="K1386" s="115">
        <f>IFERROR(__xludf.DUMMYFUNCTION("""COMPUTED_VALUE"""),4757.0)</f>
        <v>4757</v>
      </c>
    </row>
    <row r="1387">
      <c r="A1387" s="115"/>
      <c r="B1387" s="115"/>
      <c r="C1387" s="115" t="str">
        <f>IFERROR(__xludf.DUMMYFUNCTION("""COMPUTED_VALUE"""),"MYNTRA")</f>
        <v>MYNTRA</v>
      </c>
      <c r="D1387" s="115">
        <f>IFERROR(__xludf.DUMMYFUNCTION("""COMPUTED_VALUE"""),521.0)</f>
        <v>521</v>
      </c>
      <c r="E1387" s="115">
        <f>IFERROR(__xludf.DUMMYFUNCTION("""COMPUTED_VALUE"""),140.0)</f>
        <v>140</v>
      </c>
      <c r="F1387" s="115">
        <f>IFERROR(__xludf.DUMMYFUNCTION("""COMPUTED_VALUE"""),157.0)</f>
        <v>157</v>
      </c>
      <c r="G1387" s="115">
        <f>IFERROR(__xludf.DUMMYFUNCTION("""COMPUTED_VALUE"""),28.0)</f>
        <v>28</v>
      </c>
      <c r="H1387" s="116">
        <f>IFERROR(__xludf.DUMMYFUNCTION("""COMPUTED_VALUE"""),45903.0)</f>
        <v>45903</v>
      </c>
      <c r="I1387" s="115" t="str">
        <f>IFERROR(__xludf.DUMMYFUNCTION("""COMPUTED_VALUE"""),"13")</f>
        <v>13</v>
      </c>
      <c r="J1387" s="115" t="str">
        <f>IFERROR(__xludf.DUMMYFUNCTION("""COMPUTED_VALUE"""),"2025-09-0313")</f>
        <v>2025-09-0313</v>
      </c>
      <c r="K1387" s="115">
        <f>IFERROR(__xludf.DUMMYFUNCTION("""COMPUTED_VALUE"""),661.0)</f>
        <v>661</v>
      </c>
    </row>
    <row r="1388">
      <c r="A1388" s="115" t="str">
        <f>IFERROR(__xludf.DUMMYFUNCTION("""COMPUTED_VALUE"""),"EAST")</f>
        <v>EAST</v>
      </c>
      <c r="B1388" s="115" t="str">
        <f>IFERROR(__xludf.DUMMYFUNCTION("""COMPUTED_VALUE"""),"Ashish Ranjan")</f>
        <v>Ashish Ranjan</v>
      </c>
      <c r="C1388" s="115" t="str">
        <f>IFERROR(__xludf.DUMMYFUNCTION("""COMPUTED_VALUE"""),"EXTERNAL")</f>
        <v>EXTERNAL</v>
      </c>
      <c r="D1388" s="115">
        <f>IFERROR(__xludf.DUMMYFUNCTION("""COMPUTED_VALUE"""),38792.0)</f>
        <v>38792</v>
      </c>
      <c r="E1388" s="115">
        <f>IFERROR(__xludf.DUMMYFUNCTION("""COMPUTED_VALUE"""),4579.0)</f>
        <v>4579</v>
      </c>
      <c r="F1388" s="115">
        <f>IFERROR(__xludf.DUMMYFUNCTION("""COMPUTED_VALUE"""),16893.0)</f>
        <v>16893</v>
      </c>
      <c r="G1388" s="115">
        <f>IFERROR(__xludf.DUMMYFUNCTION("""COMPUTED_VALUE"""),1130.0)</f>
        <v>1130</v>
      </c>
      <c r="H1388" s="116">
        <f>IFERROR(__xludf.DUMMYFUNCTION("""COMPUTED_VALUE"""),45903.0)</f>
        <v>45903</v>
      </c>
      <c r="I1388" s="115" t="str">
        <f>IFERROR(__xludf.DUMMYFUNCTION("""COMPUTED_VALUE"""),"16")</f>
        <v>16</v>
      </c>
      <c r="J1388" s="115" t="str">
        <f>IFERROR(__xludf.DUMMYFUNCTION("""COMPUTED_VALUE"""),"Ashish Ranjan2025-09-0316")</f>
        <v>Ashish Ranjan2025-09-0316</v>
      </c>
      <c r="K1388" s="115">
        <f>IFERROR(__xludf.DUMMYFUNCTION("""COMPUTED_VALUE"""),43371.0)</f>
        <v>43371</v>
      </c>
    </row>
    <row r="1389">
      <c r="A1389" s="115" t="str">
        <f>IFERROR(__xludf.DUMMYFUNCTION("""COMPUTED_VALUE"""),"EAST")</f>
        <v>EAST</v>
      </c>
      <c r="B1389" s="115" t="str">
        <f>IFERROR(__xludf.DUMMYFUNCTION("""COMPUTED_VALUE"""),"Ashish Ranjan")</f>
        <v>Ashish Ranjan</v>
      </c>
      <c r="C1389" s="115" t="str">
        <f>IFERROR(__xludf.DUMMYFUNCTION("""COMPUTED_VALUE"""),"FLIPKART")</f>
        <v>FLIPKART</v>
      </c>
      <c r="D1389" s="115">
        <f>IFERROR(__xludf.DUMMYFUNCTION("""COMPUTED_VALUE"""),601663.0)</f>
        <v>601663</v>
      </c>
      <c r="E1389" s="115">
        <f>IFERROR(__xludf.DUMMYFUNCTION("""COMPUTED_VALUE"""),55318.0)</f>
        <v>55318</v>
      </c>
      <c r="F1389" s="115">
        <f>IFERROR(__xludf.DUMMYFUNCTION("""COMPUTED_VALUE"""),435298.0)</f>
        <v>435298</v>
      </c>
      <c r="G1389" s="115">
        <f>IFERROR(__xludf.DUMMYFUNCTION("""COMPUTED_VALUE"""),23338.0)</f>
        <v>23338</v>
      </c>
      <c r="H1389" s="116">
        <f>IFERROR(__xludf.DUMMYFUNCTION("""COMPUTED_VALUE"""),45903.0)</f>
        <v>45903</v>
      </c>
      <c r="I1389" s="115" t="str">
        <f>IFERROR(__xludf.DUMMYFUNCTION("""COMPUTED_VALUE"""),"16")</f>
        <v>16</v>
      </c>
      <c r="J1389" s="115" t="str">
        <f>IFERROR(__xludf.DUMMYFUNCTION("""COMPUTED_VALUE"""),"Ashish Ranjan2025-09-0316")</f>
        <v>Ashish Ranjan2025-09-0316</v>
      </c>
      <c r="K1389" s="115">
        <f>IFERROR(__xludf.DUMMYFUNCTION("""COMPUTED_VALUE"""),656981.0)</f>
        <v>656981</v>
      </c>
    </row>
    <row r="1390">
      <c r="A1390" s="115" t="str">
        <f>IFERROR(__xludf.DUMMYFUNCTION("""COMPUTED_VALUE"""),"EAST")</f>
        <v>EAST</v>
      </c>
      <c r="B1390" s="115" t="str">
        <f>IFERROR(__xludf.DUMMYFUNCTION("""COMPUTED_VALUE"""),"Ashish Ranjan")</f>
        <v>Ashish Ranjan</v>
      </c>
      <c r="C1390" s="115" t="str">
        <f>IFERROR(__xludf.DUMMYFUNCTION("""COMPUTED_VALUE"""),"MYNTRA")</f>
        <v>MYNTRA</v>
      </c>
      <c r="D1390" s="115">
        <f>IFERROR(__xludf.DUMMYFUNCTION("""COMPUTED_VALUE"""),53580.0)</f>
        <v>53580</v>
      </c>
      <c r="E1390" s="115">
        <f>IFERROR(__xludf.DUMMYFUNCTION("""COMPUTED_VALUE"""),12203.0)</f>
        <v>12203</v>
      </c>
      <c r="F1390" s="115">
        <f>IFERROR(__xludf.DUMMYFUNCTION("""COMPUTED_VALUE"""),39469.0)</f>
        <v>39469</v>
      </c>
      <c r="G1390" s="115">
        <f>IFERROR(__xludf.DUMMYFUNCTION("""COMPUTED_VALUE"""),5312.0)</f>
        <v>5312</v>
      </c>
      <c r="H1390" s="116">
        <f>IFERROR(__xludf.DUMMYFUNCTION("""COMPUTED_VALUE"""),45903.0)</f>
        <v>45903</v>
      </c>
      <c r="I1390" s="115" t="str">
        <f>IFERROR(__xludf.DUMMYFUNCTION("""COMPUTED_VALUE"""),"16")</f>
        <v>16</v>
      </c>
      <c r="J1390" s="115" t="str">
        <f>IFERROR(__xludf.DUMMYFUNCTION("""COMPUTED_VALUE"""),"Ashish Ranjan2025-09-0316")</f>
        <v>Ashish Ranjan2025-09-0316</v>
      </c>
      <c r="K1390" s="115">
        <f>IFERROR(__xludf.DUMMYFUNCTION("""COMPUTED_VALUE"""),65783.0)</f>
        <v>65783</v>
      </c>
    </row>
    <row r="1391">
      <c r="A1391" s="115" t="str">
        <f>IFERROR(__xludf.DUMMYFUNCTION("""COMPUTED_VALUE"""),"EAST")</f>
        <v>EAST</v>
      </c>
      <c r="B1391" s="115" t="str">
        <f>IFERROR(__xludf.DUMMYFUNCTION("""COMPUTED_VALUE"""),"Girish Chand")</f>
        <v>Girish Chand</v>
      </c>
      <c r="C1391" s="115" t="str">
        <f>IFERROR(__xludf.DUMMYFUNCTION("""COMPUTED_VALUE"""),"EXTERNAL")</f>
        <v>EXTERNAL</v>
      </c>
      <c r="D1391" s="115">
        <f>IFERROR(__xludf.DUMMYFUNCTION("""COMPUTED_VALUE"""),24665.0)</f>
        <v>24665</v>
      </c>
      <c r="E1391" s="115">
        <f>IFERROR(__xludf.DUMMYFUNCTION("""COMPUTED_VALUE"""),3164.0)</f>
        <v>3164</v>
      </c>
      <c r="F1391" s="115">
        <f>IFERROR(__xludf.DUMMYFUNCTION("""COMPUTED_VALUE"""),8249.0)</f>
        <v>8249</v>
      </c>
      <c r="G1391" s="115">
        <f>IFERROR(__xludf.DUMMYFUNCTION("""COMPUTED_VALUE"""),462.0)</f>
        <v>462</v>
      </c>
      <c r="H1391" s="116">
        <f>IFERROR(__xludf.DUMMYFUNCTION("""COMPUTED_VALUE"""),45903.0)</f>
        <v>45903</v>
      </c>
      <c r="I1391" s="115" t="str">
        <f>IFERROR(__xludf.DUMMYFUNCTION("""COMPUTED_VALUE"""),"16")</f>
        <v>16</v>
      </c>
      <c r="J1391" s="115" t="str">
        <f>IFERROR(__xludf.DUMMYFUNCTION("""COMPUTED_VALUE"""),"Girish Chand2025-09-0316")</f>
        <v>Girish Chand2025-09-0316</v>
      </c>
      <c r="K1391" s="115">
        <f>IFERROR(__xludf.DUMMYFUNCTION("""COMPUTED_VALUE"""),27829.0)</f>
        <v>27829</v>
      </c>
    </row>
    <row r="1392">
      <c r="A1392" s="115" t="str">
        <f>IFERROR(__xludf.DUMMYFUNCTION("""COMPUTED_VALUE"""),"EAST")</f>
        <v>EAST</v>
      </c>
      <c r="B1392" s="115" t="str">
        <f>IFERROR(__xludf.DUMMYFUNCTION("""COMPUTED_VALUE"""),"Girish Chand")</f>
        <v>Girish Chand</v>
      </c>
      <c r="C1392" s="115" t="str">
        <f>IFERROR(__xludf.DUMMYFUNCTION("""COMPUTED_VALUE"""),"FLIPKART")</f>
        <v>FLIPKART</v>
      </c>
      <c r="D1392" s="115">
        <f>IFERROR(__xludf.DUMMYFUNCTION("""COMPUTED_VALUE"""),428091.0)</f>
        <v>428091</v>
      </c>
      <c r="E1392" s="115">
        <f>IFERROR(__xludf.DUMMYFUNCTION("""COMPUTED_VALUE"""),36748.0)</f>
        <v>36748</v>
      </c>
      <c r="F1392" s="115">
        <f>IFERROR(__xludf.DUMMYFUNCTION("""COMPUTED_VALUE"""),263790.0)</f>
        <v>263790</v>
      </c>
      <c r="G1392" s="115">
        <f>IFERROR(__xludf.DUMMYFUNCTION("""COMPUTED_VALUE"""),10965.0)</f>
        <v>10965</v>
      </c>
      <c r="H1392" s="116">
        <f>IFERROR(__xludf.DUMMYFUNCTION("""COMPUTED_VALUE"""),45903.0)</f>
        <v>45903</v>
      </c>
      <c r="I1392" s="115" t="str">
        <f>IFERROR(__xludf.DUMMYFUNCTION("""COMPUTED_VALUE"""),"16")</f>
        <v>16</v>
      </c>
      <c r="J1392" s="115" t="str">
        <f>IFERROR(__xludf.DUMMYFUNCTION("""COMPUTED_VALUE"""),"Girish Chand2025-09-0316")</f>
        <v>Girish Chand2025-09-0316</v>
      </c>
      <c r="K1392" s="115">
        <f>IFERROR(__xludf.DUMMYFUNCTION("""COMPUTED_VALUE"""),464839.0)</f>
        <v>464839</v>
      </c>
    </row>
    <row r="1393">
      <c r="A1393" s="115" t="str">
        <f>IFERROR(__xludf.DUMMYFUNCTION("""COMPUTED_VALUE"""),"EAST")</f>
        <v>EAST</v>
      </c>
      <c r="B1393" s="115" t="str">
        <f>IFERROR(__xludf.DUMMYFUNCTION("""COMPUTED_VALUE"""),"Girish Chand")</f>
        <v>Girish Chand</v>
      </c>
      <c r="C1393" s="115" t="str">
        <f>IFERROR(__xludf.DUMMYFUNCTION("""COMPUTED_VALUE"""),"MYNTRA")</f>
        <v>MYNTRA</v>
      </c>
      <c r="D1393" s="115">
        <f>IFERROR(__xludf.DUMMYFUNCTION("""COMPUTED_VALUE"""),33498.0)</f>
        <v>33498</v>
      </c>
      <c r="E1393" s="115">
        <f>IFERROR(__xludf.DUMMYFUNCTION("""COMPUTED_VALUE"""),6287.0)</f>
        <v>6287</v>
      </c>
      <c r="F1393" s="115">
        <f>IFERROR(__xludf.DUMMYFUNCTION("""COMPUTED_VALUE"""),21881.0)</f>
        <v>21881</v>
      </c>
      <c r="G1393" s="115">
        <f>IFERROR(__xludf.DUMMYFUNCTION("""COMPUTED_VALUE"""),1967.0)</f>
        <v>1967</v>
      </c>
      <c r="H1393" s="116">
        <f>IFERROR(__xludf.DUMMYFUNCTION("""COMPUTED_VALUE"""),45903.0)</f>
        <v>45903</v>
      </c>
      <c r="I1393" s="115" t="str">
        <f>IFERROR(__xludf.DUMMYFUNCTION("""COMPUTED_VALUE"""),"16")</f>
        <v>16</v>
      </c>
      <c r="J1393" s="115" t="str">
        <f>IFERROR(__xludf.DUMMYFUNCTION("""COMPUTED_VALUE"""),"Girish Chand2025-09-0316")</f>
        <v>Girish Chand2025-09-0316</v>
      </c>
      <c r="K1393" s="115">
        <f>IFERROR(__xludf.DUMMYFUNCTION("""COMPUTED_VALUE"""),39785.0)</f>
        <v>39785</v>
      </c>
    </row>
    <row r="1394">
      <c r="A1394" s="115" t="str">
        <f>IFERROR(__xludf.DUMMYFUNCTION("""COMPUTED_VALUE"""),"EAST")</f>
        <v>EAST</v>
      </c>
      <c r="B1394" s="115" t="str">
        <f>IFERROR(__xludf.DUMMYFUNCTION("""COMPUTED_VALUE"""),"Parag Kashyap")</f>
        <v>Parag Kashyap</v>
      </c>
      <c r="C1394" s="115" t="str">
        <f>IFERROR(__xludf.DUMMYFUNCTION("""COMPUTED_VALUE"""),"EXTERNAL")</f>
        <v>EXTERNAL</v>
      </c>
      <c r="D1394" s="115">
        <f>IFERROR(__xludf.DUMMYFUNCTION("""COMPUTED_VALUE"""),21195.0)</f>
        <v>21195</v>
      </c>
      <c r="E1394" s="115">
        <f>IFERROR(__xludf.DUMMYFUNCTION("""COMPUTED_VALUE"""),1633.0)</f>
        <v>1633</v>
      </c>
      <c r="F1394" s="115">
        <f>IFERROR(__xludf.DUMMYFUNCTION("""COMPUTED_VALUE"""),6404.0)</f>
        <v>6404</v>
      </c>
      <c r="G1394" s="115">
        <f>IFERROR(__xludf.DUMMYFUNCTION("""COMPUTED_VALUE"""),160.0)</f>
        <v>160</v>
      </c>
      <c r="H1394" s="116">
        <f>IFERROR(__xludf.DUMMYFUNCTION("""COMPUTED_VALUE"""),45903.0)</f>
        <v>45903</v>
      </c>
      <c r="I1394" s="115" t="str">
        <f>IFERROR(__xludf.DUMMYFUNCTION("""COMPUTED_VALUE"""),"16")</f>
        <v>16</v>
      </c>
      <c r="J1394" s="115" t="str">
        <f>IFERROR(__xludf.DUMMYFUNCTION("""COMPUTED_VALUE"""),"Parag Kashyap2025-09-0316")</f>
        <v>Parag Kashyap2025-09-0316</v>
      </c>
      <c r="K1394" s="115">
        <f>IFERROR(__xludf.DUMMYFUNCTION("""COMPUTED_VALUE"""),22828.0)</f>
        <v>22828</v>
      </c>
    </row>
    <row r="1395">
      <c r="A1395" s="115" t="str">
        <f>IFERROR(__xludf.DUMMYFUNCTION("""COMPUTED_VALUE"""),"EAST")</f>
        <v>EAST</v>
      </c>
      <c r="B1395" s="115" t="str">
        <f>IFERROR(__xludf.DUMMYFUNCTION("""COMPUTED_VALUE"""),"Parag Kashyap")</f>
        <v>Parag Kashyap</v>
      </c>
      <c r="C1395" s="115" t="str">
        <f>IFERROR(__xludf.DUMMYFUNCTION("""COMPUTED_VALUE"""),"FLIPKART")</f>
        <v>FLIPKART</v>
      </c>
      <c r="D1395" s="115">
        <f>IFERROR(__xludf.DUMMYFUNCTION("""COMPUTED_VALUE"""),300979.0)</f>
        <v>300979</v>
      </c>
      <c r="E1395" s="115">
        <f>IFERROR(__xludf.DUMMYFUNCTION("""COMPUTED_VALUE"""),18269.0)</f>
        <v>18269</v>
      </c>
      <c r="F1395" s="115">
        <f>IFERROR(__xludf.DUMMYFUNCTION("""COMPUTED_VALUE"""),173974.0)</f>
        <v>173974</v>
      </c>
      <c r="G1395" s="115">
        <f>IFERROR(__xludf.DUMMYFUNCTION("""COMPUTED_VALUE"""),4041.0)</f>
        <v>4041</v>
      </c>
      <c r="H1395" s="116">
        <f>IFERROR(__xludf.DUMMYFUNCTION("""COMPUTED_VALUE"""),45903.0)</f>
        <v>45903</v>
      </c>
      <c r="I1395" s="115" t="str">
        <f>IFERROR(__xludf.DUMMYFUNCTION("""COMPUTED_VALUE"""),"16")</f>
        <v>16</v>
      </c>
      <c r="J1395" s="115" t="str">
        <f>IFERROR(__xludf.DUMMYFUNCTION("""COMPUTED_VALUE"""),"Parag Kashyap2025-09-0316")</f>
        <v>Parag Kashyap2025-09-0316</v>
      </c>
      <c r="K1395" s="115">
        <f>IFERROR(__xludf.DUMMYFUNCTION("""COMPUTED_VALUE"""),319248.0)</f>
        <v>319248</v>
      </c>
    </row>
    <row r="1396">
      <c r="A1396" s="115" t="str">
        <f>IFERROR(__xludf.DUMMYFUNCTION("""COMPUTED_VALUE"""),"EAST")</f>
        <v>EAST</v>
      </c>
      <c r="B1396" s="115" t="str">
        <f>IFERROR(__xludf.DUMMYFUNCTION("""COMPUTED_VALUE"""),"Parag Kashyap")</f>
        <v>Parag Kashyap</v>
      </c>
      <c r="C1396" s="115" t="str">
        <f>IFERROR(__xludf.DUMMYFUNCTION("""COMPUTED_VALUE"""),"MYNTRA")</f>
        <v>MYNTRA</v>
      </c>
      <c r="D1396" s="115">
        <f>IFERROR(__xludf.DUMMYFUNCTION("""COMPUTED_VALUE"""),34714.0)</f>
        <v>34714</v>
      </c>
      <c r="E1396" s="115">
        <f>IFERROR(__xludf.DUMMYFUNCTION("""COMPUTED_VALUE"""),4804.0)</f>
        <v>4804</v>
      </c>
      <c r="F1396" s="115">
        <f>IFERROR(__xludf.DUMMYFUNCTION("""COMPUTED_VALUE"""),20877.0)</f>
        <v>20877</v>
      </c>
      <c r="G1396" s="115">
        <f>IFERROR(__xludf.DUMMYFUNCTION("""COMPUTED_VALUE"""),1106.0)</f>
        <v>1106</v>
      </c>
      <c r="H1396" s="116">
        <f>IFERROR(__xludf.DUMMYFUNCTION("""COMPUTED_VALUE"""),45903.0)</f>
        <v>45903</v>
      </c>
      <c r="I1396" s="115" t="str">
        <f>IFERROR(__xludf.DUMMYFUNCTION("""COMPUTED_VALUE"""),"16")</f>
        <v>16</v>
      </c>
      <c r="J1396" s="115" t="str">
        <f>IFERROR(__xludf.DUMMYFUNCTION("""COMPUTED_VALUE"""),"Parag Kashyap2025-09-0316")</f>
        <v>Parag Kashyap2025-09-0316</v>
      </c>
      <c r="K1396" s="115">
        <f>IFERROR(__xludf.DUMMYFUNCTION("""COMPUTED_VALUE"""),39518.0)</f>
        <v>39518</v>
      </c>
    </row>
    <row r="1397">
      <c r="A1397" s="115" t="str">
        <f>IFERROR(__xludf.DUMMYFUNCTION("""COMPUTED_VALUE"""),"NORTH")</f>
        <v>NORTH</v>
      </c>
      <c r="B1397" s="115" t="str">
        <f>IFERROR(__xludf.DUMMYFUNCTION("""COMPUTED_VALUE"""),"Amit Kumar Pathak")</f>
        <v>Amit Kumar Pathak</v>
      </c>
      <c r="C1397" s="115" t="str">
        <f>IFERROR(__xludf.DUMMYFUNCTION("""COMPUTED_VALUE"""),"EXTERNAL")</f>
        <v>EXTERNAL</v>
      </c>
      <c r="D1397" s="115">
        <f>IFERROR(__xludf.DUMMYFUNCTION("""COMPUTED_VALUE"""),22596.0)</f>
        <v>22596</v>
      </c>
      <c r="E1397" s="115">
        <f>IFERROR(__xludf.DUMMYFUNCTION("""COMPUTED_VALUE"""),3296.0)</f>
        <v>3296</v>
      </c>
      <c r="F1397" s="115">
        <f>IFERROR(__xludf.DUMMYFUNCTION("""COMPUTED_VALUE"""),5776.0)</f>
        <v>5776</v>
      </c>
      <c r="G1397" s="115">
        <f>IFERROR(__xludf.DUMMYFUNCTION("""COMPUTED_VALUE"""),647.0)</f>
        <v>647</v>
      </c>
      <c r="H1397" s="116">
        <f>IFERROR(__xludf.DUMMYFUNCTION("""COMPUTED_VALUE"""),45903.0)</f>
        <v>45903</v>
      </c>
      <c r="I1397" s="115" t="str">
        <f>IFERROR(__xludf.DUMMYFUNCTION("""COMPUTED_VALUE"""),"16")</f>
        <v>16</v>
      </c>
      <c r="J1397" s="115" t="str">
        <f>IFERROR(__xludf.DUMMYFUNCTION("""COMPUTED_VALUE"""),"Amit Kumar Pathak2025-09-0316")</f>
        <v>Amit Kumar Pathak2025-09-0316</v>
      </c>
      <c r="K1397" s="115">
        <f>IFERROR(__xludf.DUMMYFUNCTION("""COMPUTED_VALUE"""),25892.0)</f>
        <v>25892</v>
      </c>
    </row>
    <row r="1398">
      <c r="A1398" s="115" t="str">
        <f>IFERROR(__xludf.DUMMYFUNCTION("""COMPUTED_VALUE"""),"NORTH")</f>
        <v>NORTH</v>
      </c>
      <c r="B1398" s="115" t="str">
        <f>IFERROR(__xludf.DUMMYFUNCTION("""COMPUTED_VALUE"""),"Amit Kumar Pathak")</f>
        <v>Amit Kumar Pathak</v>
      </c>
      <c r="C1398" s="115" t="str">
        <f>IFERROR(__xludf.DUMMYFUNCTION("""COMPUTED_VALUE"""),"FLIPKART")</f>
        <v>FLIPKART</v>
      </c>
      <c r="D1398" s="115">
        <f>IFERROR(__xludf.DUMMYFUNCTION("""COMPUTED_VALUE"""),183889.0)</f>
        <v>183889</v>
      </c>
      <c r="E1398" s="115">
        <f>IFERROR(__xludf.DUMMYFUNCTION("""COMPUTED_VALUE"""),22851.0)</f>
        <v>22851</v>
      </c>
      <c r="F1398" s="115">
        <f>IFERROR(__xludf.DUMMYFUNCTION("""COMPUTED_VALUE"""),90495.0)</f>
        <v>90495</v>
      </c>
      <c r="G1398" s="115">
        <f>IFERROR(__xludf.DUMMYFUNCTION("""COMPUTED_VALUE"""),7573.0)</f>
        <v>7573</v>
      </c>
      <c r="H1398" s="116">
        <f>IFERROR(__xludf.DUMMYFUNCTION("""COMPUTED_VALUE"""),45903.0)</f>
        <v>45903</v>
      </c>
      <c r="I1398" s="115" t="str">
        <f>IFERROR(__xludf.DUMMYFUNCTION("""COMPUTED_VALUE"""),"16")</f>
        <v>16</v>
      </c>
      <c r="J1398" s="115" t="str">
        <f>IFERROR(__xludf.DUMMYFUNCTION("""COMPUTED_VALUE"""),"Amit Kumar Pathak2025-09-0316")</f>
        <v>Amit Kumar Pathak2025-09-0316</v>
      </c>
      <c r="K1398" s="115">
        <f>IFERROR(__xludf.DUMMYFUNCTION("""COMPUTED_VALUE"""),206740.0)</f>
        <v>206740</v>
      </c>
    </row>
    <row r="1399">
      <c r="A1399" s="115" t="str">
        <f>IFERROR(__xludf.DUMMYFUNCTION("""COMPUTED_VALUE"""),"NORTH")</f>
        <v>NORTH</v>
      </c>
      <c r="B1399" s="115" t="str">
        <f>IFERROR(__xludf.DUMMYFUNCTION("""COMPUTED_VALUE"""),"Amit Kumar Pathak")</f>
        <v>Amit Kumar Pathak</v>
      </c>
      <c r="C1399" s="115" t="str">
        <f>IFERROR(__xludf.DUMMYFUNCTION("""COMPUTED_VALUE"""),"MYNTRA")</f>
        <v>MYNTRA</v>
      </c>
      <c r="D1399" s="115">
        <f>IFERROR(__xludf.DUMMYFUNCTION("""COMPUTED_VALUE"""),17269.0)</f>
        <v>17269</v>
      </c>
      <c r="E1399" s="115">
        <f>IFERROR(__xludf.DUMMYFUNCTION("""COMPUTED_VALUE"""),5665.0)</f>
        <v>5665</v>
      </c>
      <c r="F1399" s="115">
        <f>IFERROR(__xludf.DUMMYFUNCTION("""COMPUTED_VALUE"""),10422.0)</f>
        <v>10422</v>
      </c>
      <c r="G1399" s="115">
        <f>IFERROR(__xludf.DUMMYFUNCTION("""COMPUTED_VALUE"""),2260.0)</f>
        <v>2260</v>
      </c>
      <c r="H1399" s="116">
        <f>IFERROR(__xludf.DUMMYFUNCTION("""COMPUTED_VALUE"""),45903.0)</f>
        <v>45903</v>
      </c>
      <c r="I1399" s="115" t="str">
        <f>IFERROR(__xludf.DUMMYFUNCTION("""COMPUTED_VALUE"""),"16")</f>
        <v>16</v>
      </c>
      <c r="J1399" s="115" t="str">
        <f>IFERROR(__xludf.DUMMYFUNCTION("""COMPUTED_VALUE"""),"Amit Kumar Pathak2025-09-0316")</f>
        <v>Amit Kumar Pathak2025-09-0316</v>
      </c>
      <c r="K1399" s="115">
        <f>IFERROR(__xludf.DUMMYFUNCTION("""COMPUTED_VALUE"""),22934.0)</f>
        <v>22934</v>
      </c>
    </row>
    <row r="1400">
      <c r="A1400" s="115" t="str">
        <f>IFERROR(__xludf.DUMMYFUNCTION("""COMPUTED_VALUE"""),"NORTH")</f>
        <v>NORTH</v>
      </c>
      <c r="B1400" s="115" t="str">
        <f>IFERROR(__xludf.DUMMYFUNCTION("""COMPUTED_VALUE"""),"Loveleen Singh")</f>
        <v>Loveleen Singh</v>
      </c>
      <c r="C1400" s="115" t="str">
        <f>IFERROR(__xludf.DUMMYFUNCTION("""COMPUTED_VALUE"""),"EXTERNAL")</f>
        <v>EXTERNAL</v>
      </c>
      <c r="D1400" s="115">
        <f>IFERROR(__xludf.DUMMYFUNCTION("""COMPUTED_VALUE"""),26043.0)</f>
        <v>26043</v>
      </c>
      <c r="E1400" s="115">
        <f>IFERROR(__xludf.DUMMYFUNCTION("""COMPUTED_VALUE"""),2643.0)</f>
        <v>2643</v>
      </c>
      <c r="F1400" s="115">
        <f>IFERROR(__xludf.DUMMYFUNCTION("""COMPUTED_VALUE"""),7442.0)</f>
        <v>7442</v>
      </c>
      <c r="G1400" s="115">
        <f>IFERROR(__xludf.DUMMYFUNCTION("""COMPUTED_VALUE"""),371.0)</f>
        <v>371</v>
      </c>
      <c r="H1400" s="116">
        <f>IFERROR(__xludf.DUMMYFUNCTION("""COMPUTED_VALUE"""),45903.0)</f>
        <v>45903</v>
      </c>
      <c r="I1400" s="115" t="str">
        <f>IFERROR(__xludf.DUMMYFUNCTION("""COMPUTED_VALUE"""),"16")</f>
        <v>16</v>
      </c>
      <c r="J1400" s="115" t="str">
        <f>IFERROR(__xludf.DUMMYFUNCTION("""COMPUTED_VALUE"""),"Loveleen Singh2025-09-0316")</f>
        <v>Loveleen Singh2025-09-0316</v>
      </c>
      <c r="K1400" s="115">
        <f>IFERROR(__xludf.DUMMYFUNCTION("""COMPUTED_VALUE"""),28686.0)</f>
        <v>28686</v>
      </c>
    </row>
    <row r="1401">
      <c r="A1401" s="115" t="str">
        <f>IFERROR(__xludf.DUMMYFUNCTION("""COMPUTED_VALUE"""),"NORTH")</f>
        <v>NORTH</v>
      </c>
      <c r="B1401" s="115" t="str">
        <f>IFERROR(__xludf.DUMMYFUNCTION("""COMPUTED_VALUE"""),"Loveleen Singh")</f>
        <v>Loveleen Singh</v>
      </c>
      <c r="C1401" s="115" t="str">
        <f>IFERROR(__xludf.DUMMYFUNCTION("""COMPUTED_VALUE"""),"FLIPKART")</f>
        <v>FLIPKART</v>
      </c>
      <c r="D1401" s="115">
        <f>IFERROR(__xludf.DUMMYFUNCTION("""COMPUTED_VALUE"""),138035.0)</f>
        <v>138035</v>
      </c>
      <c r="E1401" s="115">
        <f>IFERROR(__xludf.DUMMYFUNCTION("""COMPUTED_VALUE"""),13351.0)</f>
        <v>13351</v>
      </c>
      <c r="F1401" s="115">
        <f>IFERROR(__xludf.DUMMYFUNCTION("""COMPUTED_VALUE"""),78243.0)</f>
        <v>78243</v>
      </c>
      <c r="G1401" s="115">
        <f>IFERROR(__xludf.DUMMYFUNCTION("""COMPUTED_VALUE"""),4182.0)</f>
        <v>4182</v>
      </c>
      <c r="H1401" s="116">
        <f>IFERROR(__xludf.DUMMYFUNCTION("""COMPUTED_VALUE"""),45903.0)</f>
        <v>45903</v>
      </c>
      <c r="I1401" s="115" t="str">
        <f>IFERROR(__xludf.DUMMYFUNCTION("""COMPUTED_VALUE"""),"16")</f>
        <v>16</v>
      </c>
      <c r="J1401" s="115" t="str">
        <f>IFERROR(__xludf.DUMMYFUNCTION("""COMPUTED_VALUE"""),"Loveleen Singh2025-09-0316")</f>
        <v>Loveleen Singh2025-09-0316</v>
      </c>
      <c r="K1401" s="115">
        <f>IFERROR(__xludf.DUMMYFUNCTION("""COMPUTED_VALUE"""),151386.0)</f>
        <v>151386</v>
      </c>
    </row>
    <row r="1402">
      <c r="A1402" s="115" t="str">
        <f>IFERROR(__xludf.DUMMYFUNCTION("""COMPUTED_VALUE"""),"NORTH")</f>
        <v>NORTH</v>
      </c>
      <c r="B1402" s="115" t="str">
        <f>IFERROR(__xludf.DUMMYFUNCTION("""COMPUTED_VALUE"""),"Loveleen Singh")</f>
        <v>Loveleen Singh</v>
      </c>
      <c r="C1402" s="115" t="str">
        <f>IFERROR(__xludf.DUMMYFUNCTION("""COMPUTED_VALUE"""),"MYNTRA")</f>
        <v>MYNTRA</v>
      </c>
      <c r="D1402" s="115">
        <f>IFERROR(__xludf.DUMMYFUNCTION("""COMPUTED_VALUE"""),21561.0)</f>
        <v>21561</v>
      </c>
      <c r="E1402" s="115">
        <f>IFERROR(__xludf.DUMMYFUNCTION("""COMPUTED_VALUE"""),5285.0)</f>
        <v>5285</v>
      </c>
      <c r="F1402" s="115">
        <f>IFERROR(__xludf.DUMMYFUNCTION("""COMPUTED_VALUE"""),13805.0)</f>
        <v>13805</v>
      </c>
      <c r="G1402" s="115">
        <f>IFERROR(__xludf.DUMMYFUNCTION("""COMPUTED_VALUE"""),1910.0)</f>
        <v>1910</v>
      </c>
      <c r="H1402" s="116">
        <f>IFERROR(__xludf.DUMMYFUNCTION("""COMPUTED_VALUE"""),45903.0)</f>
        <v>45903</v>
      </c>
      <c r="I1402" s="115" t="str">
        <f>IFERROR(__xludf.DUMMYFUNCTION("""COMPUTED_VALUE"""),"16")</f>
        <v>16</v>
      </c>
      <c r="J1402" s="115" t="str">
        <f>IFERROR(__xludf.DUMMYFUNCTION("""COMPUTED_VALUE"""),"Loveleen Singh2025-09-0316")</f>
        <v>Loveleen Singh2025-09-0316</v>
      </c>
      <c r="K1402" s="115">
        <f>IFERROR(__xludf.DUMMYFUNCTION("""COMPUTED_VALUE"""),26846.0)</f>
        <v>26846</v>
      </c>
    </row>
    <row r="1403">
      <c r="A1403" s="115" t="str">
        <f>IFERROR(__xludf.DUMMYFUNCTION("""COMPUTED_VALUE"""),"NORTH")</f>
        <v>NORTH</v>
      </c>
      <c r="B1403" s="115" t="str">
        <f>IFERROR(__xludf.DUMMYFUNCTION("""COMPUTED_VALUE"""),"Manoj Harsh")</f>
        <v>Manoj Harsh</v>
      </c>
      <c r="C1403" s="115" t="str">
        <f>IFERROR(__xludf.DUMMYFUNCTION("""COMPUTED_VALUE"""),"EXTERNAL")</f>
        <v>EXTERNAL</v>
      </c>
      <c r="D1403" s="115">
        <f>IFERROR(__xludf.DUMMYFUNCTION("""COMPUTED_VALUE"""),32556.0)</f>
        <v>32556</v>
      </c>
      <c r="E1403" s="115">
        <f>IFERROR(__xludf.DUMMYFUNCTION("""COMPUTED_VALUE"""),4660.0)</f>
        <v>4660</v>
      </c>
      <c r="F1403" s="115">
        <f>IFERROR(__xludf.DUMMYFUNCTION("""COMPUTED_VALUE"""),10532.0)</f>
        <v>10532</v>
      </c>
      <c r="G1403" s="115">
        <f>IFERROR(__xludf.DUMMYFUNCTION("""COMPUTED_VALUE"""),744.0)</f>
        <v>744</v>
      </c>
      <c r="H1403" s="116">
        <f>IFERROR(__xludf.DUMMYFUNCTION("""COMPUTED_VALUE"""),45903.0)</f>
        <v>45903</v>
      </c>
      <c r="I1403" s="115" t="str">
        <f>IFERROR(__xludf.DUMMYFUNCTION("""COMPUTED_VALUE"""),"16")</f>
        <v>16</v>
      </c>
      <c r="J1403" s="115" t="str">
        <f>IFERROR(__xludf.DUMMYFUNCTION("""COMPUTED_VALUE"""),"Manoj Harsh2025-09-0316")</f>
        <v>Manoj Harsh2025-09-0316</v>
      </c>
      <c r="K1403" s="115">
        <f>IFERROR(__xludf.DUMMYFUNCTION("""COMPUTED_VALUE"""),37216.0)</f>
        <v>37216</v>
      </c>
    </row>
    <row r="1404">
      <c r="A1404" s="115" t="str">
        <f>IFERROR(__xludf.DUMMYFUNCTION("""COMPUTED_VALUE"""),"NORTH")</f>
        <v>NORTH</v>
      </c>
      <c r="B1404" s="115" t="str">
        <f>IFERROR(__xludf.DUMMYFUNCTION("""COMPUTED_VALUE"""),"Manoj Harsh")</f>
        <v>Manoj Harsh</v>
      </c>
      <c r="C1404" s="115" t="str">
        <f>IFERROR(__xludf.DUMMYFUNCTION("""COMPUTED_VALUE"""),"FLIPKART")</f>
        <v>FLIPKART</v>
      </c>
      <c r="D1404" s="115">
        <f>IFERROR(__xludf.DUMMYFUNCTION("""COMPUTED_VALUE"""),389763.0)</f>
        <v>389763</v>
      </c>
      <c r="E1404" s="115">
        <f>IFERROR(__xludf.DUMMYFUNCTION("""COMPUTED_VALUE"""),40594.0)</f>
        <v>40594</v>
      </c>
      <c r="F1404" s="115">
        <f>IFERROR(__xludf.DUMMYFUNCTION("""COMPUTED_VALUE"""),231400.0)</f>
        <v>231400</v>
      </c>
      <c r="G1404" s="115">
        <f>IFERROR(__xludf.DUMMYFUNCTION("""COMPUTED_VALUE"""),13378.0)</f>
        <v>13378</v>
      </c>
      <c r="H1404" s="116">
        <f>IFERROR(__xludf.DUMMYFUNCTION("""COMPUTED_VALUE"""),45903.0)</f>
        <v>45903</v>
      </c>
      <c r="I1404" s="115" t="str">
        <f>IFERROR(__xludf.DUMMYFUNCTION("""COMPUTED_VALUE"""),"16")</f>
        <v>16</v>
      </c>
      <c r="J1404" s="115" t="str">
        <f>IFERROR(__xludf.DUMMYFUNCTION("""COMPUTED_VALUE"""),"Manoj Harsh2025-09-0316")</f>
        <v>Manoj Harsh2025-09-0316</v>
      </c>
      <c r="K1404" s="115">
        <f>IFERROR(__xludf.DUMMYFUNCTION("""COMPUTED_VALUE"""),430357.0)</f>
        <v>430357</v>
      </c>
    </row>
    <row r="1405">
      <c r="A1405" s="115" t="str">
        <f>IFERROR(__xludf.DUMMYFUNCTION("""COMPUTED_VALUE"""),"NORTH")</f>
        <v>NORTH</v>
      </c>
      <c r="B1405" s="115" t="str">
        <f>IFERROR(__xludf.DUMMYFUNCTION("""COMPUTED_VALUE"""),"Manoj Harsh")</f>
        <v>Manoj Harsh</v>
      </c>
      <c r="C1405" s="115" t="str">
        <f>IFERROR(__xludf.DUMMYFUNCTION("""COMPUTED_VALUE"""),"MYNTRA")</f>
        <v>MYNTRA</v>
      </c>
      <c r="D1405" s="115">
        <f>IFERROR(__xludf.DUMMYFUNCTION("""COMPUTED_VALUE"""),34405.0)</f>
        <v>34405</v>
      </c>
      <c r="E1405" s="115">
        <f>IFERROR(__xludf.DUMMYFUNCTION("""COMPUTED_VALUE"""),8005.0)</f>
        <v>8005</v>
      </c>
      <c r="F1405" s="115">
        <f>IFERROR(__xludf.DUMMYFUNCTION("""COMPUTED_VALUE"""),22834.0)</f>
        <v>22834</v>
      </c>
      <c r="G1405" s="115">
        <f>IFERROR(__xludf.DUMMYFUNCTION("""COMPUTED_VALUE"""),3192.0)</f>
        <v>3192</v>
      </c>
      <c r="H1405" s="116">
        <f>IFERROR(__xludf.DUMMYFUNCTION("""COMPUTED_VALUE"""),45903.0)</f>
        <v>45903</v>
      </c>
      <c r="I1405" s="115" t="str">
        <f>IFERROR(__xludf.DUMMYFUNCTION("""COMPUTED_VALUE"""),"16")</f>
        <v>16</v>
      </c>
      <c r="J1405" s="115" t="str">
        <f>IFERROR(__xludf.DUMMYFUNCTION("""COMPUTED_VALUE"""),"Manoj Harsh2025-09-0316")</f>
        <v>Manoj Harsh2025-09-0316</v>
      </c>
      <c r="K1405" s="115">
        <f>IFERROR(__xludf.DUMMYFUNCTION("""COMPUTED_VALUE"""),42410.0)</f>
        <v>42410</v>
      </c>
    </row>
    <row r="1406">
      <c r="A1406" s="115" t="str">
        <f>IFERROR(__xludf.DUMMYFUNCTION("""COMPUTED_VALUE"""),"NORTH")</f>
        <v>NORTH</v>
      </c>
      <c r="B1406" s="115" t="str">
        <f>IFERROR(__xludf.DUMMYFUNCTION("""COMPUTED_VALUE"""),"Pradeep Kothari")</f>
        <v>Pradeep Kothari</v>
      </c>
      <c r="C1406" s="115" t="str">
        <f>IFERROR(__xludf.DUMMYFUNCTION("""COMPUTED_VALUE"""),"EXTERNAL")</f>
        <v>EXTERNAL</v>
      </c>
      <c r="D1406" s="115">
        <f>IFERROR(__xludf.DUMMYFUNCTION("""COMPUTED_VALUE"""),17095.0)</f>
        <v>17095</v>
      </c>
      <c r="E1406" s="115">
        <f>IFERROR(__xludf.DUMMYFUNCTION("""COMPUTED_VALUE"""),2708.0)</f>
        <v>2708</v>
      </c>
      <c r="F1406" s="115">
        <f>IFERROR(__xludf.DUMMYFUNCTION("""COMPUTED_VALUE"""),5559.0)</f>
        <v>5559</v>
      </c>
      <c r="G1406" s="115">
        <f>IFERROR(__xludf.DUMMYFUNCTION("""COMPUTED_VALUE"""),596.0)</f>
        <v>596</v>
      </c>
      <c r="H1406" s="116">
        <f>IFERROR(__xludf.DUMMYFUNCTION("""COMPUTED_VALUE"""),45903.0)</f>
        <v>45903</v>
      </c>
      <c r="I1406" s="115" t="str">
        <f>IFERROR(__xludf.DUMMYFUNCTION("""COMPUTED_VALUE"""),"16")</f>
        <v>16</v>
      </c>
      <c r="J1406" s="115" t="str">
        <f>IFERROR(__xludf.DUMMYFUNCTION("""COMPUTED_VALUE"""),"Pradeep Kothari2025-09-0316")</f>
        <v>Pradeep Kothari2025-09-0316</v>
      </c>
      <c r="K1406" s="115">
        <f>IFERROR(__xludf.DUMMYFUNCTION("""COMPUTED_VALUE"""),19803.0)</f>
        <v>19803</v>
      </c>
    </row>
    <row r="1407">
      <c r="A1407" s="115" t="str">
        <f>IFERROR(__xludf.DUMMYFUNCTION("""COMPUTED_VALUE"""),"NORTH")</f>
        <v>NORTH</v>
      </c>
      <c r="B1407" s="115" t="str">
        <f>IFERROR(__xludf.DUMMYFUNCTION("""COMPUTED_VALUE"""),"Pradeep Kothari")</f>
        <v>Pradeep Kothari</v>
      </c>
      <c r="C1407" s="115" t="str">
        <f>IFERROR(__xludf.DUMMYFUNCTION("""COMPUTED_VALUE"""),"FLIPKART")</f>
        <v>FLIPKART</v>
      </c>
      <c r="D1407" s="115">
        <f>IFERROR(__xludf.DUMMYFUNCTION("""COMPUTED_VALUE"""),136511.0)</f>
        <v>136511</v>
      </c>
      <c r="E1407" s="115">
        <f>IFERROR(__xludf.DUMMYFUNCTION("""COMPUTED_VALUE"""),16071.0)</f>
        <v>16071</v>
      </c>
      <c r="F1407" s="115">
        <f>IFERROR(__xludf.DUMMYFUNCTION("""COMPUTED_VALUE"""),85702.0)</f>
        <v>85702</v>
      </c>
      <c r="G1407" s="115">
        <f>IFERROR(__xludf.DUMMYFUNCTION("""COMPUTED_VALUE"""),6123.0)</f>
        <v>6123</v>
      </c>
      <c r="H1407" s="116">
        <f>IFERROR(__xludf.DUMMYFUNCTION("""COMPUTED_VALUE"""),45903.0)</f>
        <v>45903</v>
      </c>
      <c r="I1407" s="115" t="str">
        <f>IFERROR(__xludf.DUMMYFUNCTION("""COMPUTED_VALUE"""),"16")</f>
        <v>16</v>
      </c>
      <c r="J1407" s="115" t="str">
        <f>IFERROR(__xludf.DUMMYFUNCTION("""COMPUTED_VALUE"""),"Pradeep Kothari2025-09-0316")</f>
        <v>Pradeep Kothari2025-09-0316</v>
      </c>
      <c r="K1407" s="115">
        <f>IFERROR(__xludf.DUMMYFUNCTION("""COMPUTED_VALUE"""),152582.0)</f>
        <v>152582</v>
      </c>
    </row>
    <row r="1408">
      <c r="A1408" s="115" t="str">
        <f>IFERROR(__xludf.DUMMYFUNCTION("""COMPUTED_VALUE"""),"NORTH")</f>
        <v>NORTH</v>
      </c>
      <c r="B1408" s="115" t="str">
        <f>IFERROR(__xludf.DUMMYFUNCTION("""COMPUTED_VALUE"""),"Pradeep Kothari")</f>
        <v>Pradeep Kothari</v>
      </c>
      <c r="C1408" s="115" t="str">
        <f>IFERROR(__xludf.DUMMYFUNCTION("""COMPUTED_VALUE"""),"MYNTRA")</f>
        <v>MYNTRA</v>
      </c>
      <c r="D1408" s="115">
        <f>IFERROR(__xludf.DUMMYFUNCTION("""COMPUTED_VALUE"""),22071.0)</f>
        <v>22071</v>
      </c>
      <c r="E1408" s="115">
        <f>IFERROR(__xludf.DUMMYFUNCTION("""COMPUTED_VALUE"""),6124.0)</f>
        <v>6124</v>
      </c>
      <c r="F1408" s="115">
        <f>IFERROR(__xludf.DUMMYFUNCTION("""COMPUTED_VALUE"""),15833.0)</f>
        <v>15833</v>
      </c>
      <c r="G1408" s="115">
        <f>IFERROR(__xludf.DUMMYFUNCTION("""COMPUTED_VALUE"""),2919.0)</f>
        <v>2919</v>
      </c>
      <c r="H1408" s="116">
        <f>IFERROR(__xludf.DUMMYFUNCTION("""COMPUTED_VALUE"""),45903.0)</f>
        <v>45903</v>
      </c>
      <c r="I1408" s="115" t="str">
        <f>IFERROR(__xludf.DUMMYFUNCTION("""COMPUTED_VALUE"""),"16")</f>
        <v>16</v>
      </c>
      <c r="J1408" s="115" t="str">
        <f>IFERROR(__xludf.DUMMYFUNCTION("""COMPUTED_VALUE"""),"Pradeep Kothari2025-09-0316")</f>
        <v>Pradeep Kothari2025-09-0316</v>
      </c>
      <c r="K1408" s="115">
        <f>IFERROR(__xludf.DUMMYFUNCTION("""COMPUTED_VALUE"""),28195.0)</f>
        <v>28195</v>
      </c>
    </row>
    <row r="1409">
      <c r="A1409" s="115" t="str">
        <f>IFERROR(__xludf.DUMMYFUNCTION("""COMPUTED_VALUE"""),"SOUTH")</f>
        <v>SOUTH</v>
      </c>
      <c r="B1409" s="115" t="str">
        <f>IFERROR(__xludf.DUMMYFUNCTION("""COMPUTED_VALUE"""),"Kandula Sampath")</f>
        <v>Kandula Sampath</v>
      </c>
      <c r="C1409" s="115" t="str">
        <f>IFERROR(__xludf.DUMMYFUNCTION("""COMPUTED_VALUE"""),"EXTERNAL")</f>
        <v>EXTERNAL</v>
      </c>
      <c r="D1409" s="115">
        <f>IFERROR(__xludf.DUMMYFUNCTION("""COMPUTED_VALUE"""),35738.0)</f>
        <v>35738</v>
      </c>
      <c r="E1409" s="115">
        <f>IFERROR(__xludf.DUMMYFUNCTION("""COMPUTED_VALUE"""),5741.0)</f>
        <v>5741</v>
      </c>
      <c r="F1409" s="115">
        <f>IFERROR(__xludf.DUMMYFUNCTION("""COMPUTED_VALUE"""),11858.0)</f>
        <v>11858</v>
      </c>
      <c r="G1409" s="115">
        <f>IFERROR(__xludf.DUMMYFUNCTION("""COMPUTED_VALUE"""),768.0)</f>
        <v>768</v>
      </c>
      <c r="H1409" s="116">
        <f>IFERROR(__xludf.DUMMYFUNCTION("""COMPUTED_VALUE"""),45903.0)</f>
        <v>45903</v>
      </c>
      <c r="I1409" s="115" t="str">
        <f>IFERROR(__xludf.DUMMYFUNCTION("""COMPUTED_VALUE"""),"16")</f>
        <v>16</v>
      </c>
      <c r="J1409" s="115" t="str">
        <f>IFERROR(__xludf.DUMMYFUNCTION("""COMPUTED_VALUE"""),"Kandula Sampath2025-09-0316")</f>
        <v>Kandula Sampath2025-09-0316</v>
      </c>
      <c r="K1409" s="115">
        <f>IFERROR(__xludf.DUMMYFUNCTION("""COMPUTED_VALUE"""),41479.0)</f>
        <v>41479</v>
      </c>
    </row>
    <row r="1410">
      <c r="A1410" s="115" t="str">
        <f>IFERROR(__xludf.DUMMYFUNCTION("""COMPUTED_VALUE"""),"SOUTH")</f>
        <v>SOUTH</v>
      </c>
      <c r="B1410" s="115" t="str">
        <f>IFERROR(__xludf.DUMMYFUNCTION("""COMPUTED_VALUE"""),"Kandula Sampath")</f>
        <v>Kandula Sampath</v>
      </c>
      <c r="C1410" s="115" t="str">
        <f>IFERROR(__xludf.DUMMYFUNCTION("""COMPUTED_VALUE"""),"FLIPKART")</f>
        <v>FLIPKART</v>
      </c>
      <c r="D1410" s="115">
        <f>IFERROR(__xludf.DUMMYFUNCTION("""COMPUTED_VALUE"""),305315.0)</f>
        <v>305315</v>
      </c>
      <c r="E1410" s="115">
        <f>IFERROR(__xludf.DUMMYFUNCTION("""COMPUTED_VALUE"""),32410.0)</f>
        <v>32410</v>
      </c>
      <c r="F1410" s="115">
        <f>IFERROR(__xludf.DUMMYFUNCTION("""COMPUTED_VALUE"""),178259.0)</f>
        <v>178259</v>
      </c>
      <c r="G1410" s="115">
        <f>IFERROR(__xludf.DUMMYFUNCTION("""COMPUTED_VALUE"""),8983.0)</f>
        <v>8983</v>
      </c>
      <c r="H1410" s="116">
        <f>IFERROR(__xludf.DUMMYFUNCTION("""COMPUTED_VALUE"""),45903.0)</f>
        <v>45903</v>
      </c>
      <c r="I1410" s="115" t="str">
        <f>IFERROR(__xludf.DUMMYFUNCTION("""COMPUTED_VALUE"""),"16")</f>
        <v>16</v>
      </c>
      <c r="J1410" s="115" t="str">
        <f>IFERROR(__xludf.DUMMYFUNCTION("""COMPUTED_VALUE"""),"Kandula Sampath2025-09-0316")</f>
        <v>Kandula Sampath2025-09-0316</v>
      </c>
      <c r="K1410" s="115">
        <f>IFERROR(__xludf.DUMMYFUNCTION("""COMPUTED_VALUE"""),337725.0)</f>
        <v>337725</v>
      </c>
    </row>
    <row r="1411">
      <c r="A1411" s="115" t="str">
        <f>IFERROR(__xludf.DUMMYFUNCTION("""COMPUTED_VALUE"""),"SOUTH")</f>
        <v>SOUTH</v>
      </c>
      <c r="B1411" s="115" t="str">
        <f>IFERROR(__xludf.DUMMYFUNCTION("""COMPUTED_VALUE"""),"Kandula Sampath")</f>
        <v>Kandula Sampath</v>
      </c>
      <c r="C1411" s="115" t="str">
        <f>IFERROR(__xludf.DUMMYFUNCTION("""COMPUTED_VALUE"""),"MYNTRA")</f>
        <v>MYNTRA</v>
      </c>
      <c r="D1411" s="115">
        <f>IFERROR(__xludf.DUMMYFUNCTION("""COMPUTED_VALUE"""),29720.0)</f>
        <v>29720</v>
      </c>
      <c r="E1411" s="115">
        <f>IFERROR(__xludf.DUMMYFUNCTION("""COMPUTED_VALUE"""),8514.0)</f>
        <v>8514</v>
      </c>
      <c r="F1411" s="115">
        <f>IFERROR(__xludf.DUMMYFUNCTION("""COMPUTED_VALUE"""),19268.0)</f>
        <v>19268</v>
      </c>
      <c r="G1411" s="115">
        <f>IFERROR(__xludf.DUMMYFUNCTION("""COMPUTED_VALUE"""),2570.0)</f>
        <v>2570</v>
      </c>
      <c r="H1411" s="116">
        <f>IFERROR(__xludf.DUMMYFUNCTION("""COMPUTED_VALUE"""),45903.0)</f>
        <v>45903</v>
      </c>
      <c r="I1411" s="115" t="str">
        <f>IFERROR(__xludf.DUMMYFUNCTION("""COMPUTED_VALUE"""),"16")</f>
        <v>16</v>
      </c>
      <c r="J1411" s="115" t="str">
        <f>IFERROR(__xludf.DUMMYFUNCTION("""COMPUTED_VALUE"""),"Kandula Sampath2025-09-0316")</f>
        <v>Kandula Sampath2025-09-0316</v>
      </c>
      <c r="K1411" s="115">
        <f>IFERROR(__xludf.DUMMYFUNCTION("""COMPUTED_VALUE"""),38234.0)</f>
        <v>38234</v>
      </c>
    </row>
    <row r="1412">
      <c r="A1412" s="115" t="str">
        <f>IFERROR(__xludf.DUMMYFUNCTION("""COMPUTED_VALUE"""),"SOUTH")</f>
        <v>SOUTH</v>
      </c>
      <c r="B1412" s="115" t="str">
        <f>IFERROR(__xludf.DUMMYFUNCTION("""COMPUTED_VALUE"""),"Martin A")</f>
        <v>Martin A</v>
      </c>
      <c r="C1412" s="115" t="str">
        <f>IFERROR(__xludf.DUMMYFUNCTION("""COMPUTED_VALUE"""),"EXTERNAL")</f>
        <v>EXTERNAL</v>
      </c>
      <c r="D1412" s="115">
        <f>IFERROR(__xludf.DUMMYFUNCTION("""COMPUTED_VALUE"""),34339.0)</f>
        <v>34339</v>
      </c>
      <c r="E1412" s="115">
        <f>IFERROR(__xludf.DUMMYFUNCTION("""COMPUTED_VALUE"""),3750.0)</f>
        <v>3750</v>
      </c>
      <c r="F1412" s="115">
        <f>IFERROR(__xludf.DUMMYFUNCTION("""COMPUTED_VALUE"""),11359.0)</f>
        <v>11359</v>
      </c>
      <c r="G1412" s="115">
        <f>IFERROR(__xludf.DUMMYFUNCTION("""COMPUTED_VALUE"""),812.0)</f>
        <v>812</v>
      </c>
      <c r="H1412" s="116">
        <f>IFERROR(__xludf.DUMMYFUNCTION("""COMPUTED_VALUE"""),45903.0)</f>
        <v>45903</v>
      </c>
      <c r="I1412" s="115" t="str">
        <f>IFERROR(__xludf.DUMMYFUNCTION("""COMPUTED_VALUE"""),"16")</f>
        <v>16</v>
      </c>
      <c r="J1412" s="115" t="str">
        <f>IFERROR(__xludf.DUMMYFUNCTION("""COMPUTED_VALUE"""),"Martin A2025-09-0316")</f>
        <v>Martin A2025-09-0316</v>
      </c>
      <c r="K1412" s="115">
        <f>IFERROR(__xludf.DUMMYFUNCTION("""COMPUTED_VALUE"""),38089.0)</f>
        <v>38089</v>
      </c>
    </row>
    <row r="1413">
      <c r="A1413" s="115" t="str">
        <f>IFERROR(__xludf.DUMMYFUNCTION("""COMPUTED_VALUE"""),"SOUTH")</f>
        <v>SOUTH</v>
      </c>
      <c r="B1413" s="115" t="str">
        <f>IFERROR(__xludf.DUMMYFUNCTION("""COMPUTED_VALUE"""),"Martin A")</f>
        <v>Martin A</v>
      </c>
      <c r="C1413" s="115" t="str">
        <f>IFERROR(__xludf.DUMMYFUNCTION("""COMPUTED_VALUE"""),"FLIPKART")</f>
        <v>FLIPKART</v>
      </c>
      <c r="D1413" s="115">
        <f>IFERROR(__xludf.DUMMYFUNCTION("""COMPUTED_VALUE"""),271024.0)</f>
        <v>271024</v>
      </c>
      <c r="E1413" s="115">
        <f>IFERROR(__xludf.DUMMYFUNCTION("""COMPUTED_VALUE"""),27464.0)</f>
        <v>27464</v>
      </c>
      <c r="F1413" s="115">
        <f>IFERROR(__xludf.DUMMYFUNCTION("""COMPUTED_VALUE"""),157894.0)</f>
        <v>157894</v>
      </c>
      <c r="G1413" s="115">
        <f>IFERROR(__xludf.DUMMYFUNCTION("""COMPUTED_VALUE"""),9216.0)</f>
        <v>9216</v>
      </c>
      <c r="H1413" s="116">
        <f>IFERROR(__xludf.DUMMYFUNCTION("""COMPUTED_VALUE"""),45903.0)</f>
        <v>45903</v>
      </c>
      <c r="I1413" s="115" t="str">
        <f>IFERROR(__xludf.DUMMYFUNCTION("""COMPUTED_VALUE"""),"16")</f>
        <v>16</v>
      </c>
      <c r="J1413" s="115" t="str">
        <f>IFERROR(__xludf.DUMMYFUNCTION("""COMPUTED_VALUE"""),"Martin A2025-09-0316")</f>
        <v>Martin A2025-09-0316</v>
      </c>
      <c r="K1413" s="115">
        <f>IFERROR(__xludf.DUMMYFUNCTION("""COMPUTED_VALUE"""),298488.0)</f>
        <v>298488</v>
      </c>
    </row>
    <row r="1414">
      <c r="A1414" s="115" t="str">
        <f>IFERROR(__xludf.DUMMYFUNCTION("""COMPUTED_VALUE"""),"SOUTH")</f>
        <v>SOUTH</v>
      </c>
      <c r="B1414" s="115" t="str">
        <f>IFERROR(__xludf.DUMMYFUNCTION("""COMPUTED_VALUE"""),"Martin A")</f>
        <v>Martin A</v>
      </c>
      <c r="C1414" s="115" t="str">
        <f>IFERROR(__xludf.DUMMYFUNCTION("""COMPUTED_VALUE"""),"MYNTRA")</f>
        <v>MYNTRA</v>
      </c>
      <c r="D1414" s="115">
        <f>IFERROR(__xludf.DUMMYFUNCTION("""COMPUTED_VALUE"""),23877.0)</f>
        <v>23877</v>
      </c>
      <c r="E1414" s="115">
        <f>IFERROR(__xludf.DUMMYFUNCTION("""COMPUTED_VALUE"""),6813.0)</f>
        <v>6813</v>
      </c>
      <c r="F1414" s="115">
        <f>IFERROR(__xludf.DUMMYFUNCTION("""COMPUTED_VALUE"""),16170.0)</f>
        <v>16170</v>
      </c>
      <c r="G1414" s="115">
        <f>IFERROR(__xludf.DUMMYFUNCTION("""COMPUTED_VALUE"""),2599.0)</f>
        <v>2599</v>
      </c>
      <c r="H1414" s="116">
        <f>IFERROR(__xludf.DUMMYFUNCTION("""COMPUTED_VALUE"""),45903.0)</f>
        <v>45903</v>
      </c>
      <c r="I1414" s="115" t="str">
        <f>IFERROR(__xludf.DUMMYFUNCTION("""COMPUTED_VALUE"""),"16")</f>
        <v>16</v>
      </c>
      <c r="J1414" s="115" t="str">
        <f>IFERROR(__xludf.DUMMYFUNCTION("""COMPUTED_VALUE"""),"Martin A2025-09-0316")</f>
        <v>Martin A2025-09-0316</v>
      </c>
      <c r="K1414" s="115">
        <f>IFERROR(__xludf.DUMMYFUNCTION("""COMPUTED_VALUE"""),30690.0)</f>
        <v>30690</v>
      </c>
    </row>
    <row r="1415">
      <c r="A1415" s="115" t="str">
        <f>IFERROR(__xludf.DUMMYFUNCTION("""COMPUTED_VALUE"""),"SOUTH")</f>
        <v>SOUTH</v>
      </c>
      <c r="B1415" s="115" t="str">
        <f>IFERROR(__xludf.DUMMYFUNCTION("""COMPUTED_VALUE"""),"Premkumar M")</f>
        <v>Premkumar M</v>
      </c>
      <c r="C1415" s="115" t="str">
        <f>IFERROR(__xludf.DUMMYFUNCTION("""COMPUTED_VALUE"""),"EXTERNAL")</f>
        <v>EXTERNAL</v>
      </c>
      <c r="D1415" s="115">
        <f>IFERROR(__xludf.DUMMYFUNCTION("""COMPUTED_VALUE"""),28962.0)</f>
        <v>28962</v>
      </c>
      <c r="E1415" s="115">
        <f>IFERROR(__xludf.DUMMYFUNCTION("""COMPUTED_VALUE"""),2817.0)</f>
        <v>2817</v>
      </c>
      <c r="F1415" s="115">
        <f>IFERROR(__xludf.DUMMYFUNCTION("""COMPUTED_VALUE"""),10192.0)</f>
        <v>10192</v>
      </c>
      <c r="G1415" s="115">
        <f>IFERROR(__xludf.DUMMYFUNCTION("""COMPUTED_VALUE"""),270.0)</f>
        <v>270</v>
      </c>
      <c r="H1415" s="116">
        <f>IFERROR(__xludf.DUMMYFUNCTION("""COMPUTED_VALUE"""),45903.0)</f>
        <v>45903</v>
      </c>
      <c r="I1415" s="115" t="str">
        <f>IFERROR(__xludf.DUMMYFUNCTION("""COMPUTED_VALUE"""),"16")</f>
        <v>16</v>
      </c>
      <c r="J1415" s="115" t="str">
        <f>IFERROR(__xludf.DUMMYFUNCTION("""COMPUTED_VALUE"""),"Premkumar M2025-09-0316")</f>
        <v>Premkumar M2025-09-0316</v>
      </c>
      <c r="K1415" s="115">
        <f>IFERROR(__xludf.DUMMYFUNCTION("""COMPUTED_VALUE"""),31779.0)</f>
        <v>31779</v>
      </c>
    </row>
    <row r="1416">
      <c r="A1416" s="115" t="str">
        <f>IFERROR(__xludf.DUMMYFUNCTION("""COMPUTED_VALUE"""),"SOUTH")</f>
        <v>SOUTH</v>
      </c>
      <c r="B1416" s="115" t="str">
        <f>IFERROR(__xludf.DUMMYFUNCTION("""COMPUTED_VALUE"""),"Premkumar M")</f>
        <v>Premkumar M</v>
      </c>
      <c r="C1416" s="115" t="str">
        <f>IFERROR(__xludf.DUMMYFUNCTION("""COMPUTED_VALUE"""),"FLIPKART")</f>
        <v>FLIPKART</v>
      </c>
      <c r="D1416" s="115">
        <f>IFERROR(__xludf.DUMMYFUNCTION("""COMPUTED_VALUE"""),256326.0)</f>
        <v>256326</v>
      </c>
      <c r="E1416" s="115">
        <f>IFERROR(__xludf.DUMMYFUNCTION("""COMPUTED_VALUE"""),19369.0)</f>
        <v>19369</v>
      </c>
      <c r="F1416" s="115">
        <f>IFERROR(__xludf.DUMMYFUNCTION("""COMPUTED_VALUE"""),138196.0)</f>
        <v>138196</v>
      </c>
      <c r="G1416" s="115">
        <f>IFERROR(__xludf.DUMMYFUNCTION("""COMPUTED_VALUE"""),3065.0)</f>
        <v>3065</v>
      </c>
      <c r="H1416" s="116">
        <f>IFERROR(__xludf.DUMMYFUNCTION("""COMPUTED_VALUE"""),45903.0)</f>
        <v>45903</v>
      </c>
      <c r="I1416" s="115" t="str">
        <f>IFERROR(__xludf.DUMMYFUNCTION("""COMPUTED_VALUE"""),"16")</f>
        <v>16</v>
      </c>
      <c r="J1416" s="115" t="str">
        <f>IFERROR(__xludf.DUMMYFUNCTION("""COMPUTED_VALUE"""),"Premkumar M2025-09-0316")</f>
        <v>Premkumar M2025-09-0316</v>
      </c>
      <c r="K1416" s="115">
        <f>IFERROR(__xludf.DUMMYFUNCTION("""COMPUTED_VALUE"""),275695.0)</f>
        <v>275695</v>
      </c>
    </row>
    <row r="1417">
      <c r="A1417" s="115" t="str">
        <f>IFERROR(__xludf.DUMMYFUNCTION("""COMPUTED_VALUE"""),"SOUTH")</f>
        <v>SOUTH</v>
      </c>
      <c r="B1417" s="115" t="str">
        <f>IFERROR(__xludf.DUMMYFUNCTION("""COMPUTED_VALUE"""),"Premkumar M")</f>
        <v>Premkumar M</v>
      </c>
      <c r="C1417" s="115" t="str">
        <f>IFERROR(__xludf.DUMMYFUNCTION("""COMPUTED_VALUE"""),"MYNTRA")</f>
        <v>MYNTRA</v>
      </c>
      <c r="D1417" s="115">
        <f>IFERROR(__xludf.DUMMYFUNCTION("""COMPUTED_VALUE"""),13758.0)</f>
        <v>13758</v>
      </c>
      <c r="E1417" s="115">
        <f>IFERROR(__xludf.DUMMYFUNCTION("""COMPUTED_VALUE"""),2934.0)</f>
        <v>2934</v>
      </c>
      <c r="F1417" s="115">
        <f>IFERROR(__xludf.DUMMYFUNCTION("""COMPUTED_VALUE"""),8753.0)</f>
        <v>8753</v>
      </c>
      <c r="G1417" s="115">
        <f>IFERROR(__xludf.DUMMYFUNCTION("""COMPUTED_VALUE"""),494.0)</f>
        <v>494</v>
      </c>
      <c r="H1417" s="116">
        <f>IFERROR(__xludf.DUMMYFUNCTION("""COMPUTED_VALUE"""),45903.0)</f>
        <v>45903</v>
      </c>
      <c r="I1417" s="115" t="str">
        <f>IFERROR(__xludf.DUMMYFUNCTION("""COMPUTED_VALUE"""),"16")</f>
        <v>16</v>
      </c>
      <c r="J1417" s="115" t="str">
        <f>IFERROR(__xludf.DUMMYFUNCTION("""COMPUTED_VALUE"""),"Premkumar M2025-09-0316")</f>
        <v>Premkumar M2025-09-0316</v>
      </c>
      <c r="K1417" s="115">
        <f>IFERROR(__xludf.DUMMYFUNCTION("""COMPUTED_VALUE"""),16692.0)</f>
        <v>16692</v>
      </c>
    </row>
    <row r="1418">
      <c r="A1418" s="115" t="str">
        <f>IFERROR(__xludf.DUMMYFUNCTION("""COMPUTED_VALUE"""),"SOUTH")</f>
        <v>SOUTH</v>
      </c>
      <c r="B1418" s="115" t="str">
        <f>IFERROR(__xludf.DUMMYFUNCTION("""COMPUTED_VALUE"""),"Vineeth V")</f>
        <v>Vineeth V</v>
      </c>
      <c r="C1418" s="115" t="str">
        <f>IFERROR(__xludf.DUMMYFUNCTION("""COMPUTED_VALUE"""),"EXTERNAL")</f>
        <v>EXTERNAL</v>
      </c>
      <c r="D1418" s="115">
        <f>IFERROR(__xludf.DUMMYFUNCTION("""COMPUTED_VALUE"""),21977.0)</f>
        <v>21977</v>
      </c>
      <c r="E1418" s="115">
        <f>IFERROR(__xludf.DUMMYFUNCTION("""COMPUTED_VALUE"""),927.0)</f>
        <v>927</v>
      </c>
      <c r="F1418" s="115">
        <f>IFERROR(__xludf.DUMMYFUNCTION("""COMPUTED_VALUE"""),8416.0)</f>
        <v>8416</v>
      </c>
      <c r="G1418" s="115">
        <f>IFERROR(__xludf.DUMMYFUNCTION("""COMPUTED_VALUE"""),167.0)</f>
        <v>167</v>
      </c>
      <c r="H1418" s="116">
        <f>IFERROR(__xludf.DUMMYFUNCTION("""COMPUTED_VALUE"""),45903.0)</f>
        <v>45903</v>
      </c>
      <c r="I1418" s="115" t="str">
        <f>IFERROR(__xludf.DUMMYFUNCTION("""COMPUTED_VALUE"""),"16")</f>
        <v>16</v>
      </c>
      <c r="J1418" s="115" t="str">
        <f>IFERROR(__xludf.DUMMYFUNCTION("""COMPUTED_VALUE"""),"Vineeth V2025-09-0316")</f>
        <v>Vineeth V2025-09-0316</v>
      </c>
      <c r="K1418" s="115">
        <f>IFERROR(__xludf.DUMMYFUNCTION("""COMPUTED_VALUE"""),22904.0)</f>
        <v>22904</v>
      </c>
    </row>
    <row r="1419">
      <c r="A1419" s="115" t="str">
        <f>IFERROR(__xludf.DUMMYFUNCTION("""COMPUTED_VALUE"""),"SOUTH")</f>
        <v>SOUTH</v>
      </c>
      <c r="B1419" s="115" t="str">
        <f>IFERROR(__xludf.DUMMYFUNCTION("""COMPUTED_VALUE"""),"Vineeth V")</f>
        <v>Vineeth V</v>
      </c>
      <c r="C1419" s="115" t="str">
        <f>IFERROR(__xludf.DUMMYFUNCTION("""COMPUTED_VALUE"""),"FLIPKART")</f>
        <v>FLIPKART</v>
      </c>
      <c r="D1419" s="115">
        <f>IFERROR(__xludf.DUMMYFUNCTION("""COMPUTED_VALUE"""),232469.0)</f>
        <v>232469</v>
      </c>
      <c r="E1419" s="115">
        <f>IFERROR(__xludf.DUMMYFUNCTION("""COMPUTED_VALUE"""),17229.0)</f>
        <v>17229</v>
      </c>
      <c r="F1419" s="115">
        <f>IFERROR(__xludf.DUMMYFUNCTION("""COMPUTED_VALUE"""),136236.0)</f>
        <v>136236</v>
      </c>
      <c r="G1419" s="115">
        <f>IFERROR(__xludf.DUMMYFUNCTION("""COMPUTED_VALUE"""),2979.0)</f>
        <v>2979</v>
      </c>
      <c r="H1419" s="116">
        <f>IFERROR(__xludf.DUMMYFUNCTION("""COMPUTED_VALUE"""),45903.0)</f>
        <v>45903</v>
      </c>
      <c r="I1419" s="115" t="str">
        <f>IFERROR(__xludf.DUMMYFUNCTION("""COMPUTED_VALUE"""),"16")</f>
        <v>16</v>
      </c>
      <c r="J1419" s="115" t="str">
        <f>IFERROR(__xludf.DUMMYFUNCTION("""COMPUTED_VALUE"""),"Vineeth V2025-09-0316")</f>
        <v>Vineeth V2025-09-0316</v>
      </c>
      <c r="K1419" s="115">
        <f>IFERROR(__xludf.DUMMYFUNCTION("""COMPUTED_VALUE"""),249698.0)</f>
        <v>249698</v>
      </c>
    </row>
    <row r="1420">
      <c r="A1420" s="115" t="str">
        <f>IFERROR(__xludf.DUMMYFUNCTION("""COMPUTED_VALUE"""),"SOUTH")</f>
        <v>SOUTH</v>
      </c>
      <c r="B1420" s="115" t="str">
        <f>IFERROR(__xludf.DUMMYFUNCTION("""COMPUTED_VALUE"""),"Vineeth V")</f>
        <v>Vineeth V</v>
      </c>
      <c r="C1420" s="115" t="str">
        <f>IFERROR(__xludf.DUMMYFUNCTION("""COMPUTED_VALUE"""),"MYNTRA")</f>
        <v>MYNTRA</v>
      </c>
      <c r="D1420" s="115">
        <f>IFERROR(__xludf.DUMMYFUNCTION("""COMPUTED_VALUE"""),22635.0)</f>
        <v>22635</v>
      </c>
      <c r="E1420" s="115">
        <f>IFERROR(__xludf.DUMMYFUNCTION("""COMPUTED_VALUE"""),4147.0)</f>
        <v>4147</v>
      </c>
      <c r="F1420" s="115">
        <f>IFERROR(__xludf.DUMMYFUNCTION("""COMPUTED_VALUE"""),14486.0)</f>
        <v>14486</v>
      </c>
      <c r="G1420" s="115">
        <f>IFERROR(__xludf.DUMMYFUNCTION("""COMPUTED_VALUE"""),756.0)</f>
        <v>756</v>
      </c>
      <c r="H1420" s="116">
        <f>IFERROR(__xludf.DUMMYFUNCTION("""COMPUTED_VALUE"""),45903.0)</f>
        <v>45903</v>
      </c>
      <c r="I1420" s="115" t="str">
        <f>IFERROR(__xludf.DUMMYFUNCTION("""COMPUTED_VALUE"""),"16")</f>
        <v>16</v>
      </c>
      <c r="J1420" s="115" t="str">
        <f>IFERROR(__xludf.DUMMYFUNCTION("""COMPUTED_VALUE"""),"Vineeth V2025-09-0316")</f>
        <v>Vineeth V2025-09-0316</v>
      </c>
      <c r="K1420" s="115">
        <f>IFERROR(__xludf.DUMMYFUNCTION("""COMPUTED_VALUE"""),26782.0)</f>
        <v>26782</v>
      </c>
    </row>
    <row r="1421">
      <c r="A1421" s="115" t="str">
        <f>IFERROR(__xludf.DUMMYFUNCTION("""COMPUTED_VALUE"""),"WEST")</f>
        <v>WEST</v>
      </c>
      <c r="B1421" s="115" t="str">
        <f>IFERROR(__xludf.DUMMYFUNCTION("""COMPUTED_VALUE"""),"Ashish Jakar")</f>
        <v>Ashish Jakar</v>
      </c>
      <c r="C1421" s="115" t="str">
        <f>IFERROR(__xludf.DUMMYFUNCTION("""COMPUTED_VALUE"""),"EXTERNAL")</f>
        <v>EXTERNAL</v>
      </c>
      <c r="D1421" s="115">
        <f>IFERROR(__xludf.DUMMYFUNCTION("""COMPUTED_VALUE"""),52926.0)</f>
        <v>52926</v>
      </c>
      <c r="E1421" s="115">
        <f>IFERROR(__xludf.DUMMYFUNCTION("""COMPUTED_VALUE"""),8134.0)</f>
        <v>8134</v>
      </c>
      <c r="F1421" s="115">
        <f>IFERROR(__xludf.DUMMYFUNCTION("""COMPUTED_VALUE"""),16114.0)</f>
        <v>16114</v>
      </c>
      <c r="G1421" s="115">
        <f>IFERROR(__xludf.DUMMYFUNCTION("""COMPUTED_VALUE"""),1696.0)</f>
        <v>1696</v>
      </c>
      <c r="H1421" s="116">
        <f>IFERROR(__xludf.DUMMYFUNCTION("""COMPUTED_VALUE"""),45903.0)</f>
        <v>45903</v>
      </c>
      <c r="I1421" s="115" t="str">
        <f>IFERROR(__xludf.DUMMYFUNCTION("""COMPUTED_VALUE"""),"16")</f>
        <v>16</v>
      </c>
      <c r="J1421" s="115" t="str">
        <f>IFERROR(__xludf.DUMMYFUNCTION("""COMPUTED_VALUE"""),"Ashish Jakar2025-09-0316")</f>
        <v>Ashish Jakar2025-09-0316</v>
      </c>
      <c r="K1421" s="115">
        <f>IFERROR(__xludf.DUMMYFUNCTION("""COMPUTED_VALUE"""),61060.0)</f>
        <v>61060</v>
      </c>
    </row>
    <row r="1422">
      <c r="A1422" s="115" t="str">
        <f>IFERROR(__xludf.DUMMYFUNCTION("""COMPUTED_VALUE"""),"WEST")</f>
        <v>WEST</v>
      </c>
      <c r="B1422" s="115" t="str">
        <f>IFERROR(__xludf.DUMMYFUNCTION("""COMPUTED_VALUE"""),"Ashish Jakar")</f>
        <v>Ashish Jakar</v>
      </c>
      <c r="C1422" s="115" t="str">
        <f>IFERROR(__xludf.DUMMYFUNCTION("""COMPUTED_VALUE"""),"FLIPKART")</f>
        <v>FLIPKART</v>
      </c>
      <c r="D1422" s="115">
        <f>IFERROR(__xludf.DUMMYFUNCTION("""COMPUTED_VALUE"""),312254.0)</f>
        <v>312254</v>
      </c>
      <c r="E1422" s="115">
        <f>IFERROR(__xludf.DUMMYFUNCTION("""COMPUTED_VALUE"""),33743.0)</f>
        <v>33743</v>
      </c>
      <c r="F1422" s="115">
        <f>IFERROR(__xludf.DUMMYFUNCTION("""COMPUTED_VALUE"""),177052.0)</f>
        <v>177052</v>
      </c>
      <c r="G1422" s="115">
        <f>IFERROR(__xludf.DUMMYFUNCTION("""COMPUTED_VALUE"""),11715.0)</f>
        <v>11715</v>
      </c>
      <c r="H1422" s="116">
        <f>IFERROR(__xludf.DUMMYFUNCTION("""COMPUTED_VALUE"""),45903.0)</f>
        <v>45903</v>
      </c>
      <c r="I1422" s="115" t="str">
        <f>IFERROR(__xludf.DUMMYFUNCTION("""COMPUTED_VALUE"""),"16")</f>
        <v>16</v>
      </c>
      <c r="J1422" s="115" t="str">
        <f>IFERROR(__xludf.DUMMYFUNCTION("""COMPUTED_VALUE"""),"Ashish Jakar2025-09-0316")</f>
        <v>Ashish Jakar2025-09-0316</v>
      </c>
      <c r="K1422" s="115">
        <f>IFERROR(__xludf.DUMMYFUNCTION("""COMPUTED_VALUE"""),345997.0)</f>
        <v>345997</v>
      </c>
    </row>
    <row r="1423">
      <c r="A1423" s="115" t="str">
        <f>IFERROR(__xludf.DUMMYFUNCTION("""COMPUTED_VALUE"""),"WEST")</f>
        <v>WEST</v>
      </c>
      <c r="B1423" s="115" t="str">
        <f>IFERROR(__xludf.DUMMYFUNCTION("""COMPUTED_VALUE"""),"Ashish Jakar")</f>
        <v>Ashish Jakar</v>
      </c>
      <c r="C1423" s="115" t="str">
        <f>IFERROR(__xludf.DUMMYFUNCTION("""COMPUTED_VALUE"""),"MYNTRA")</f>
        <v>MYNTRA</v>
      </c>
      <c r="D1423" s="115">
        <f>IFERROR(__xludf.DUMMYFUNCTION("""COMPUTED_VALUE"""),34034.0)</f>
        <v>34034</v>
      </c>
      <c r="E1423" s="115">
        <f>IFERROR(__xludf.DUMMYFUNCTION("""COMPUTED_VALUE"""),11216.0)</f>
        <v>11216</v>
      </c>
      <c r="F1423" s="115">
        <f>IFERROR(__xludf.DUMMYFUNCTION("""COMPUTED_VALUE"""),22002.0)</f>
        <v>22002</v>
      </c>
      <c r="G1423" s="115">
        <f>IFERROR(__xludf.DUMMYFUNCTION("""COMPUTED_VALUE"""),4425.0)</f>
        <v>4425</v>
      </c>
      <c r="H1423" s="116">
        <f>IFERROR(__xludf.DUMMYFUNCTION("""COMPUTED_VALUE"""),45903.0)</f>
        <v>45903</v>
      </c>
      <c r="I1423" s="115" t="str">
        <f>IFERROR(__xludf.DUMMYFUNCTION("""COMPUTED_VALUE"""),"16")</f>
        <v>16</v>
      </c>
      <c r="J1423" s="115" t="str">
        <f>IFERROR(__xludf.DUMMYFUNCTION("""COMPUTED_VALUE"""),"Ashish Jakar2025-09-0316")</f>
        <v>Ashish Jakar2025-09-0316</v>
      </c>
      <c r="K1423" s="115">
        <f>IFERROR(__xludf.DUMMYFUNCTION("""COMPUTED_VALUE"""),45250.0)</f>
        <v>45250</v>
      </c>
    </row>
    <row r="1424">
      <c r="A1424" s="115" t="str">
        <f>IFERROR(__xludf.DUMMYFUNCTION("""COMPUTED_VALUE"""),"WEST")</f>
        <v>WEST</v>
      </c>
      <c r="B1424" s="115" t="str">
        <f>IFERROR(__xludf.DUMMYFUNCTION("""COMPUTED_VALUE"""),"Ashvani Bhatt")</f>
        <v>Ashvani Bhatt</v>
      </c>
      <c r="C1424" s="115" t="str">
        <f>IFERROR(__xludf.DUMMYFUNCTION("""COMPUTED_VALUE"""),"EXTERNAL")</f>
        <v>EXTERNAL</v>
      </c>
      <c r="D1424" s="115">
        <f>IFERROR(__xludf.DUMMYFUNCTION("""COMPUTED_VALUE"""),34318.0)</f>
        <v>34318</v>
      </c>
      <c r="E1424" s="115">
        <f>IFERROR(__xludf.DUMMYFUNCTION("""COMPUTED_VALUE"""),5138.0)</f>
        <v>5138</v>
      </c>
      <c r="F1424" s="115">
        <f>IFERROR(__xludf.DUMMYFUNCTION("""COMPUTED_VALUE"""),11866.0)</f>
        <v>11866</v>
      </c>
      <c r="G1424" s="115">
        <f>IFERROR(__xludf.DUMMYFUNCTION("""COMPUTED_VALUE"""),950.0)</f>
        <v>950</v>
      </c>
      <c r="H1424" s="116">
        <f>IFERROR(__xludf.DUMMYFUNCTION("""COMPUTED_VALUE"""),45903.0)</f>
        <v>45903</v>
      </c>
      <c r="I1424" s="115" t="str">
        <f>IFERROR(__xludf.DUMMYFUNCTION("""COMPUTED_VALUE"""),"16")</f>
        <v>16</v>
      </c>
      <c r="J1424" s="115" t="str">
        <f>IFERROR(__xludf.DUMMYFUNCTION("""COMPUTED_VALUE"""),"Ashvani Bhatt2025-09-0316")</f>
        <v>Ashvani Bhatt2025-09-0316</v>
      </c>
      <c r="K1424" s="115">
        <f>IFERROR(__xludf.DUMMYFUNCTION("""COMPUTED_VALUE"""),39456.0)</f>
        <v>39456</v>
      </c>
    </row>
    <row r="1425">
      <c r="A1425" s="115" t="str">
        <f>IFERROR(__xludf.DUMMYFUNCTION("""COMPUTED_VALUE"""),"WEST")</f>
        <v>WEST</v>
      </c>
      <c r="B1425" s="115" t="str">
        <f>IFERROR(__xludf.DUMMYFUNCTION("""COMPUTED_VALUE"""),"Ashvani Bhatt")</f>
        <v>Ashvani Bhatt</v>
      </c>
      <c r="C1425" s="115" t="str">
        <f>IFERROR(__xludf.DUMMYFUNCTION("""COMPUTED_VALUE"""),"FLIPKART")</f>
        <v>FLIPKART</v>
      </c>
      <c r="D1425" s="115">
        <f>IFERROR(__xludf.DUMMYFUNCTION("""COMPUTED_VALUE"""),250126.0)</f>
        <v>250126</v>
      </c>
      <c r="E1425" s="115">
        <f>IFERROR(__xludf.DUMMYFUNCTION("""COMPUTED_VALUE"""),28592.0)</f>
        <v>28592</v>
      </c>
      <c r="F1425" s="115">
        <f>IFERROR(__xludf.DUMMYFUNCTION("""COMPUTED_VALUE"""),158551.0)</f>
        <v>158551</v>
      </c>
      <c r="G1425" s="115">
        <f>IFERROR(__xludf.DUMMYFUNCTION("""COMPUTED_VALUE"""),10475.0)</f>
        <v>10475</v>
      </c>
      <c r="H1425" s="116">
        <f>IFERROR(__xludf.DUMMYFUNCTION("""COMPUTED_VALUE"""),45903.0)</f>
        <v>45903</v>
      </c>
      <c r="I1425" s="115" t="str">
        <f>IFERROR(__xludf.DUMMYFUNCTION("""COMPUTED_VALUE"""),"16")</f>
        <v>16</v>
      </c>
      <c r="J1425" s="115" t="str">
        <f>IFERROR(__xludf.DUMMYFUNCTION("""COMPUTED_VALUE"""),"Ashvani Bhatt2025-09-0316")</f>
        <v>Ashvani Bhatt2025-09-0316</v>
      </c>
      <c r="K1425" s="115">
        <f>IFERROR(__xludf.DUMMYFUNCTION("""COMPUTED_VALUE"""),278718.0)</f>
        <v>278718</v>
      </c>
    </row>
    <row r="1426">
      <c r="A1426" s="115" t="str">
        <f>IFERROR(__xludf.DUMMYFUNCTION("""COMPUTED_VALUE"""),"WEST")</f>
        <v>WEST</v>
      </c>
      <c r="B1426" s="115" t="str">
        <f>IFERROR(__xludf.DUMMYFUNCTION("""COMPUTED_VALUE"""),"Ashvani Bhatt")</f>
        <v>Ashvani Bhatt</v>
      </c>
      <c r="C1426" s="115" t="str">
        <f>IFERROR(__xludf.DUMMYFUNCTION("""COMPUTED_VALUE"""),"MYNTRA")</f>
        <v>MYNTRA</v>
      </c>
      <c r="D1426" s="115">
        <f>IFERROR(__xludf.DUMMYFUNCTION("""COMPUTED_VALUE"""),29376.0)</f>
        <v>29376</v>
      </c>
      <c r="E1426" s="115">
        <f>IFERROR(__xludf.DUMMYFUNCTION("""COMPUTED_VALUE"""),8461.0)</f>
        <v>8461</v>
      </c>
      <c r="F1426" s="115">
        <f>IFERROR(__xludf.DUMMYFUNCTION("""COMPUTED_VALUE"""),21838.0)</f>
        <v>21838</v>
      </c>
      <c r="G1426" s="115">
        <f>IFERROR(__xludf.DUMMYFUNCTION("""COMPUTED_VALUE"""),3614.0)</f>
        <v>3614</v>
      </c>
      <c r="H1426" s="116">
        <f>IFERROR(__xludf.DUMMYFUNCTION("""COMPUTED_VALUE"""),45903.0)</f>
        <v>45903</v>
      </c>
      <c r="I1426" s="115" t="str">
        <f>IFERROR(__xludf.DUMMYFUNCTION("""COMPUTED_VALUE"""),"16")</f>
        <v>16</v>
      </c>
      <c r="J1426" s="115" t="str">
        <f>IFERROR(__xludf.DUMMYFUNCTION("""COMPUTED_VALUE"""),"Ashvani Bhatt2025-09-0316")</f>
        <v>Ashvani Bhatt2025-09-0316</v>
      </c>
      <c r="K1426" s="115">
        <f>IFERROR(__xludf.DUMMYFUNCTION("""COMPUTED_VALUE"""),37837.0)</f>
        <v>37837</v>
      </c>
    </row>
    <row r="1427">
      <c r="A1427" s="115"/>
      <c r="B1427" s="115"/>
      <c r="C1427" s="115" t="str">
        <f>IFERROR(__xludf.DUMMYFUNCTION("""COMPUTED_VALUE"""),"EXTERNAL")</f>
        <v>EXTERNAL</v>
      </c>
      <c r="D1427" s="115">
        <f>IFERROR(__xludf.DUMMYFUNCTION("""COMPUTED_VALUE"""),885.0)</f>
        <v>885</v>
      </c>
      <c r="E1427" s="115">
        <f>IFERROR(__xludf.DUMMYFUNCTION("""COMPUTED_VALUE"""),159.0)</f>
        <v>159</v>
      </c>
      <c r="F1427" s="115">
        <f>IFERROR(__xludf.DUMMYFUNCTION("""COMPUTED_VALUE"""),315.0)</f>
        <v>315</v>
      </c>
      <c r="G1427" s="115">
        <f>IFERROR(__xludf.DUMMYFUNCTION("""COMPUTED_VALUE"""),23.0)</f>
        <v>23</v>
      </c>
      <c r="H1427" s="116">
        <f>IFERROR(__xludf.DUMMYFUNCTION("""COMPUTED_VALUE"""),45903.0)</f>
        <v>45903</v>
      </c>
      <c r="I1427" s="115" t="str">
        <f>IFERROR(__xludf.DUMMYFUNCTION("""COMPUTED_VALUE"""),"16")</f>
        <v>16</v>
      </c>
      <c r="J1427" s="115" t="str">
        <f>IFERROR(__xludf.DUMMYFUNCTION("""COMPUTED_VALUE"""),"2025-09-0316")</f>
        <v>2025-09-0316</v>
      </c>
      <c r="K1427" s="115">
        <f>IFERROR(__xludf.DUMMYFUNCTION("""COMPUTED_VALUE"""),1044.0)</f>
        <v>1044</v>
      </c>
    </row>
    <row r="1428">
      <c r="A1428" s="115"/>
      <c r="B1428" s="115"/>
      <c r="C1428" s="115" t="str">
        <f>IFERROR(__xludf.DUMMYFUNCTION("""COMPUTED_VALUE"""),"FLIPKART")</f>
        <v>FLIPKART</v>
      </c>
      <c r="D1428" s="115">
        <f>IFERROR(__xludf.DUMMYFUNCTION("""COMPUTED_VALUE"""),5909.0)</f>
        <v>5909</v>
      </c>
      <c r="E1428" s="115">
        <f>IFERROR(__xludf.DUMMYFUNCTION("""COMPUTED_VALUE"""),771.0)</f>
        <v>771</v>
      </c>
      <c r="F1428" s="115">
        <f>IFERROR(__xludf.DUMMYFUNCTION("""COMPUTED_VALUE"""),3154.0)</f>
        <v>3154</v>
      </c>
      <c r="G1428" s="115">
        <f>IFERROR(__xludf.DUMMYFUNCTION("""COMPUTED_VALUE"""),188.0)</f>
        <v>188</v>
      </c>
      <c r="H1428" s="116">
        <f>IFERROR(__xludf.DUMMYFUNCTION("""COMPUTED_VALUE"""),45903.0)</f>
        <v>45903</v>
      </c>
      <c r="I1428" s="115" t="str">
        <f>IFERROR(__xludf.DUMMYFUNCTION("""COMPUTED_VALUE"""),"16")</f>
        <v>16</v>
      </c>
      <c r="J1428" s="115" t="str">
        <f>IFERROR(__xludf.DUMMYFUNCTION("""COMPUTED_VALUE"""),"2025-09-0316")</f>
        <v>2025-09-0316</v>
      </c>
      <c r="K1428" s="115">
        <f>IFERROR(__xludf.DUMMYFUNCTION("""COMPUTED_VALUE"""),6680.0)</f>
        <v>6680</v>
      </c>
    </row>
    <row r="1429">
      <c r="A1429" s="115"/>
      <c r="B1429" s="115"/>
      <c r="C1429" s="115" t="str">
        <f>IFERROR(__xludf.DUMMYFUNCTION("""COMPUTED_VALUE"""),"MYNTRA")</f>
        <v>MYNTRA</v>
      </c>
      <c r="D1429" s="115">
        <f>IFERROR(__xludf.DUMMYFUNCTION("""COMPUTED_VALUE"""),640.0)</f>
        <v>640</v>
      </c>
      <c r="E1429" s="115">
        <f>IFERROR(__xludf.DUMMYFUNCTION("""COMPUTED_VALUE"""),217.0)</f>
        <v>217</v>
      </c>
      <c r="F1429" s="115">
        <f>IFERROR(__xludf.DUMMYFUNCTION("""COMPUTED_VALUE"""),392.0)</f>
        <v>392</v>
      </c>
      <c r="G1429" s="115">
        <f>IFERROR(__xludf.DUMMYFUNCTION("""COMPUTED_VALUE"""),88.0)</f>
        <v>88</v>
      </c>
      <c r="H1429" s="116">
        <f>IFERROR(__xludf.DUMMYFUNCTION("""COMPUTED_VALUE"""),45903.0)</f>
        <v>45903</v>
      </c>
      <c r="I1429" s="115" t="str">
        <f>IFERROR(__xludf.DUMMYFUNCTION("""COMPUTED_VALUE"""),"16")</f>
        <v>16</v>
      </c>
      <c r="J1429" s="115" t="str">
        <f>IFERROR(__xludf.DUMMYFUNCTION("""COMPUTED_VALUE"""),"2025-09-0316")</f>
        <v>2025-09-0316</v>
      </c>
      <c r="K1429" s="115">
        <f>IFERROR(__xludf.DUMMYFUNCTION("""COMPUTED_VALUE"""),857.0)</f>
        <v>857</v>
      </c>
    </row>
    <row r="1430">
      <c r="A1430" s="115" t="str">
        <f>IFERROR(__xludf.DUMMYFUNCTION("""COMPUTED_VALUE"""),"EAST")</f>
        <v>EAST</v>
      </c>
      <c r="B1430" s="115" t="str">
        <f>IFERROR(__xludf.DUMMYFUNCTION("""COMPUTED_VALUE"""),"Ashish Ranjan")</f>
        <v>Ashish Ranjan</v>
      </c>
      <c r="C1430" s="115" t="str">
        <f>IFERROR(__xludf.DUMMYFUNCTION("""COMPUTED_VALUE"""),"EXTERNAL")</f>
        <v>EXTERNAL</v>
      </c>
      <c r="D1430" s="115">
        <f>IFERROR(__xludf.DUMMYFUNCTION("""COMPUTED_VALUE"""),39721.0)</f>
        <v>39721</v>
      </c>
      <c r="E1430" s="115">
        <f>IFERROR(__xludf.DUMMYFUNCTION("""COMPUTED_VALUE"""),4595.0)</f>
        <v>4595</v>
      </c>
      <c r="F1430" s="115">
        <f>IFERROR(__xludf.DUMMYFUNCTION("""COMPUTED_VALUE"""),18608.0)</f>
        <v>18608</v>
      </c>
      <c r="G1430" s="115">
        <f>IFERROR(__xludf.DUMMYFUNCTION("""COMPUTED_VALUE"""),1364.0)</f>
        <v>1364</v>
      </c>
      <c r="H1430" s="116">
        <f>IFERROR(__xludf.DUMMYFUNCTION("""COMPUTED_VALUE"""),45903.0)</f>
        <v>45903</v>
      </c>
      <c r="I1430" s="115" t="str">
        <f>IFERROR(__xludf.DUMMYFUNCTION("""COMPUTED_VALUE"""),"17")</f>
        <v>17</v>
      </c>
      <c r="J1430" s="115" t="str">
        <f>IFERROR(__xludf.DUMMYFUNCTION("""COMPUTED_VALUE"""),"Ashish Ranjan2025-09-0317")</f>
        <v>Ashish Ranjan2025-09-0317</v>
      </c>
      <c r="K1430" s="115">
        <f>IFERROR(__xludf.DUMMYFUNCTION("""COMPUTED_VALUE"""),44316.0)</f>
        <v>44316</v>
      </c>
    </row>
    <row r="1431">
      <c r="A1431" s="115" t="str">
        <f>IFERROR(__xludf.DUMMYFUNCTION("""COMPUTED_VALUE"""),"EAST")</f>
        <v>EAST</v>
      </c>
      <c r="B1431" s="115" t="str">
        <f>IFERROR(__xludf.DUMMYFUNCTION("""COMPUTED_VALUE"""),"Ashish Ranjan")</f>
        <v>Ashish Ranjan</v>
      </c>
      <c r="C1431" s="115" t="str">
        <f>IFERROR(__xludf.DUMMYFUNCTION("""COMPUTED_VALUE"""),"FLIPKART")</f>
        <v>FLIPKART</v>
      </c>
      <c r="D1431" s="115">
        <f>IFERROR(__xludf.DUMMYFUNCTION("""COMPUTED_VALUE"""),614490.0)</f>
        <v>614490</v>
      </c>
      <c r="E1431" s="115">
        <f>IFERROR(__xludf.DUMMYFUNCTION("""COMPUTED_VALUE"""),56182.0)</f>
        <v>56182</v>
      </c>
      <c r="F1431" s="115">
        <f>IFERROR(__xludf.DUMMYFUNCTION("""COMPUTED_VALUE"""),473911.0)</f>
        <v>473911</v>
      </c>
      <c r="G1431" s="115">
        <f>IFERROR(__xludf.DUMMYFUNCTION("""COMPUTED_VALUE"""),28520.0)</f>
        <v>28520</v>
      </c>
      <c r="H1431" s="116">
        <f>IFERROR(__xludf.DUMMYFUNCTION("""COMPUTED_VALUE"""),45903.0)</f>
        <v>45903</v>
      </c>
      <c r="I1431" s="115" t="str">
        <f>IFERROR(__xludf.DUMMYFUNCTION("""COMPUTED_VALUE"""),"17")</f>
        <v>17</v>
      </c>
      <c r="J1431" s="115" t="str">
        <f>IFERROR(__xludf.DUMMYFUNCTION("""COMPUTED_VALUE"""),"Ashish Ranjan2025-09-0317")</f>
        <v>Ashish Ranjan2025-09-0317</v>
      </c>
      <c r="K1431" s="115">
        <f>IFERROR(__xludf.DUMMYFUNCTION("""COMPUTED_VALUE"""),670672.0)</f>
        <v>670672</v>
      </c>
    </row>
    <row r="1432">
      <c r="A1432" s="115" t="str">
        <f>IFERROR(__xludf.DUMMYFUNCTION("""COMPUTED_VALUE"""),"EAST")</f>
        <v>EAST</v>
      </c>
      <c r="B1432" s="115" t="str">
        <f>IFERROR(__xludf.DUMMYFUNCTION("""COMPUTED_VALUE"""),"Ashish Ranjan")</f>
        <v>Ashish Ranjan</v>
      </c>
      <c r="C1432" s="115" t="str">
        <f>IFERROR(__xludf.DUMMYFUNCTION("""COMPUTED_VALUE"""),"MYNTRA")</f>
        <v>MYNTRA</v>
      </c>
      <c r="D1432" s="115">
        <f>IFERROR(__xludf.DUMMYFUNCTION("""COMPUTED_VALUE"""),54900.0)</f>
        <v>54900</v>
      </c>
      <c r="E1432" s="115">
        <f>IFERROR(__xludf.DUMMYFUNCTION("""COMPUTED_VALUE"""),12339.0)</f>
        <v>12339</v>
      </c>
      <c r="F1432" s="115">
        <f>IFERROR(__xludf.DUMMYFUNCTION("""COMPUTED_VALUE"""),42957.0)</f>
        <v>42957</v>
      </c>
      <c r="G1432" s="115">
        <f>IFERROR(__xludf.DUMMYFUNCTION("""COMPUTED_VALUE"""),6503.0)</f>
        <v>6503</v>
      </c>
      <c r="H1432" s="116">
        <f>IFERROR(__xludf.DUMMYFUNCTION("""COMPUTED_VALUE"""),45903.0)</f>
        <v>45903</v>
      </c>
      <c r="I1432" s="115" t="str">
        <f>IFERROR(__xludf.DUMMYFUNCTION("""COMPUTED_VALUE"""),"17")</f>
        <v>17</v>
      </c>
      <c r="J1432" s="115" t="str">
        <f>IFERROR(__xludf.DUMMYFUNCTION("""COMPUTED_VALUE"""),"Ashish Ranjan2025-09-0317")</f>
        <v>Ashish Ranjan2025-09-0317</v>
      </c>
      <c r="K1432" s="115">
        <f>IFERROR(__xludf.DUMMYFUNCTION("""COMPUTED_VALUE"""),67239.0)</f>
        <v>67239</v>
      </c>
    </row>
    <row r="1433">
      <c r="A1433" s="115" t="str">
        <f>IFERROR(__xludf.DUMMYFUNCTION("""COMPUTED_VALUE"""),"EAST")</f>
        <v>EAST</v>
      </c>
      <c r="B1433" s="115" t="str">
        <f>IFERROR(__xludf.DUMMYFUNCTION("""COMPUTED_VALUE"""),"Girish Chand")</f>
        <v>Girish Chand</v>
      </c>
      <c r="C1433" s="115" t="str">
        <f>IFERROR(__xludf.DUMMYFUNCTION("""COMPUTED_VALUE"""),"EXTERNAL")</f>
        <v>EXTERNAL</v>
      </c>
      <c r="D1433" s="115">
        <f>IFERROR(__xludf.DUMMYFUNCTION("""COMPUTED_VALUE"""),24835.0)</f>
        <v>24835</v>
      </c>
      <c r="E1433" s="115">
        <f>IFERROR(__xludf.DUMMYFUNCTION("""COMPUTED_VALUE"""),3175.0)</f>
        <v>3175</v>
      </c>
      <c r="F1433" s="115">
        <f>IFERROR(__xludf.DUMMYFUNCTION("""COMPUTED_VALUE"""),9128.0)</f>
        <v>9128</v>
      </c>
      <c r="G1433" s="115">
        <f>IFERROR(__xludf.DUMMYFUNCTION("""COMPUTED_VALUE"""),604.0)</f>
        <v>604</v>
      </c>
      <c r="H1433" s="116">
        <f>IFERROR(__xludf.DUMMYFUNCTION("""COMPUTED_VALUE"""),45903.0)</f>
        <v>45903</v>
      </c>
      <c r="I1433" s="115" t="str">
        <f>IFERROR(__xludf.DUMMYFUNCTION("""COMPUTED_VALUE"""),"17")</f>
        <v>17</v>
      </c>
      <c r="J1433" s="115" t="str">
        <f>IFERROR(__xludf.DUMMYFUNCTION("""COMPUTED_VALUE"""),"Girish Chand2025-09-0317")</f>
        <v>Girish Chand2025-09-0317</v>
      </c>
      <c r="K1433" s="115">
        <f>IFERROR(__xludf.DUMMYFUNCTION("""COMPUTED_VALUE"""),28010.0)</f>
        <v>28010</v>
      </c>
    </row>
    <row r="1434">
      <c r="A1434" s="115" t="str">
        <f>IFERROR(__xludf.DUMMYFUNCTION("""COMPUTED_VALUE"""),"EAST")</f>
        <v>EAST</v>
      </c>
      <c r="B1434" s="115" t="str">
        <f>IFERROR(__xludf.DUMMYFUNCTION("""COMPUTED_VALUE"""),"Girish Chand")</f>
        <v>Girish Chand</v>
      </c>
      <c r="C1434" s="115" t="str">
        <f>IFERROR(__xludf.DUMMYFUNCTION("""COMPUTED_VALUE"""),"FLIPKART")</f>
        <v>FLIPKART</v>
      </c>
      <c r="D1434" s="115">
        <f>IFERROR(__xludf.DUMMYFUNCTION("""COMPUTED_VALUE"""),429720.0)</f>
        <v>429720</v>
      </c>
      <c r="E1434" s="115">
        <f>IFERROR(__xludf.DUMMYFUNCTION("""COMPUTED_VALUE"""),37063.0)</f>
        <v>37063</v>
      </c>
      <c r="F1434" s="115">
        <f>IFERROR(__xludf.DUMMYFUNCTION("""COMPUTED_VALUE"""),288456.0)</f>
        <v>288456</v>
      </c>
      <c r="G1434" s="115">
        <f>IFERROR(__xludf.DUMMYFUNCTION("""COMPUTED_VALUE"""),14752.0)</f>
        <v>14752</v>
      </c>
      <c r="H1434" s="116">
        <f>IFERROR(__xludf.DUMMYFUNCTION("""COMPUTED_VALUE"""),45903.0)</f>
        <v>45903</v>
      </c>
      <c r="I1434" s="115" t="str">
        <f>IFERROR(__xludf.DUMMYFUNCTION("""COMPUTED_VALUE"""),"17")</f>
        <v>17</v>
      </c>
      <c r="J1434" s="115" t="str">
        <f>IFERROR(__xludf.DUMMYFUNCTION("""COMPUTED_VALUE"""),"Girish Chand2025-09-0317")</f>
        <v>Girish Chand2025-09-0317</v>
      </c>
      <c r="K1434" s="115">
        <f>IFERROR(__xludf.DUMMYFUNCTION("""COMPUTED_VALUE"""),466783.0)</f>
        <v>466783</v>
      </c>
    </row>
    <row r="1435">
      <c r="A1435" s="115" t="str">
        <f>IFERROR(__xludf.DUMMYFUNCTION("""COMPUTED_VALUE"""),"EAST")</f>
        <v>EAST</v>
      </c>
      <c r="B1435" s="115" t="str">
        <f>IFERROR(__xludf.DUMMYFUNCTION("""COMPUTED_VALUE"""),"Girish Chand")</f>
        <v>Girish Chand</v>
      </c>
      <c r="C1435" s="115" t="str">
        <f>IFERROR(__xludf.DUMMYFUNCTION("""COMPUTED_VALUE"""),"MYNTRA")</f>
        <v>MYNTRA</v>
      </c>
      <c r="D1435" s="115">
        <f>IFERROR(__xludf.DUMMYFUNCTION("""COMPUTED_VALUE"""),33619.0)</f>
        <v>33619</v>
      </c>
      <c r="E1435" s="115">
        <f>IFERROR(__xludf.DUMMYFUNCTION("""COMPUTED_VALUE"""),6355.0)</f>
        <v>6355</v>
      </c>
      <c r="F1435" s="115">
        <f>IFERROR(__xludf.DUMMYFUNCTION("""COMPUTED_VALUE"""),23777.0)</f>
        <v>23777</v>
      </c>
      <c r="G1435" s="115">
        <f>IFERROR(__xludf.DUMMYFUNCTION("""COMPUTED_VALUE"""),2653.0)</f>
        <v>2653</v>
      </c>
      <c r="H1435" s="116">
        <f>IFERROR(__xludf.DUMMYFUNCTION("""COMPUTED_VALUE"""),45903.0)</f>
        <v>45903</v>
      </c>
      <c r="I1435" s="115" t="str">
        <f>IFERROR(__xludf.DUMMYFUNCTION("""COMPUTED_VALUE"""),"17")</f>
        <v>17</v>
      </c>
      <c r="J1435" s="115" t="str">
        <f>IFERROR(__xludf.DUMMYFUNCTION("""COMPUTED_VALUE"""),"Girish Chand2025-09-0317")</f>
        <v>Girish Chand2025-09-0317</v>
      </c>
      <c r="K1435" s="115">
        <f>IFERROR(__xludf.DUMMYFUNCTION("""COMPUTED_VALUE"""),39974.0)</f>
        <v>39974</v>
      </c>
    </row>
    <row r="1436">
      <c r="A1436" s="115" t="str">
        <f>IFERROR(__xludf.DUMMYFUNCTION("""COMPUTED_VALUE"""),"EAST")</f>
        <v>EAST</v>
      </c>
      <c r="B1436" s="115" t="str">
        <f>IFERROR(__xludf.DUMMYFUNCTION("""COMPUTED_VALUE"""),"Parag Kashyap")</f>
        <v>Parag Kashyap</v>
      </c>
      <c r="C1436" s="115" t="str">
        <f>IFERROR(__xludf.DUMMYFUNCTION("""COMPUTED_VALUE"""),"EXTERNAL")</f>
        <v>EXTERNAL</v>
      </c>
      <c r="D1436" s="115">
        <f>IFERROR(__xludf.DUMMYFUNCTION("""COMPUTED_VALUE"""),21316.0)</f>
        <v>21316</v>
      </c>
      <c r="E1436" s="115">
        <f>IFERROR(__xludf.DUMMYFUNCTION("""COMPUTED_VALUE"""),1643.0)</f>
        <v>1643</v>
      </c>
      <c r="F1436" s="115">
        <f>IFERROR(__xludf.DUMMYFUNCTION("""COMPUTED_VALUE"""),7332.0)</f>
        <v>7332</v>
      </c>
      <c r="G1436" s="115">
        <f>IFERROR(__xludf.DUMMYFUNCTION("""COMPUTED_VALUE"""),232.0)</f>
        <v>232</v>
      </c>
      <c r="H1436" s="116">
        <f>IFERROR(__xludf.DUMMYFUNCTION("""COMPUTED_VALUE"""),45903.0)</f>
        <v>45903</v>
      </c>
      <c r="I1436" s="115" t="str">
        <f>IFERROR(__xludf.DUMMYFUNCTION("""COMPUTED_VALUE"""),"17")</f>
        <v>17</v>
      </c>
      <c r="J1436" s="115" t="str">
        <f>IFERROR(__xludf.DUMMYFUNCTION("""COMPUTED_VALUE"""),"Parag Kashyap2025-09-0317")</f>
        <v>Parag Kashyap2025-09-0317</v>
      </c>
      <c r="K1436" s="115">
        <f>IFERROR(__xludf.DUMMYFUNCTION("""COMPUTED_VALUE"""),22959.0)</f>
        <v>22959</v>
      </c>
    </row>
    <row r="1437">
      <c r="A1437" s="115" t="str">
        <f>IFERROR(__xludf.DUMMYFUNCTION("""COMPUTED_VALUE"""),"EAST")</f>
        <v>EAST</v>
      </c>
      <c r="B1437" s="115" t="str">
        <f>IFERROR(__xludf.DUMMYFUNCTION("""COMPUTED_VALUE"""),"Parag Kashyap")</f>
        <v>Parag Kashyap</v>
      </c>
      <c r="C1437" s="115" t="str">
        <f>IFERROR(__xludf.DUMMYFUNCTION("""COMPUTED_VALUE"""),"FLIPKART")</f>
        <v>FLIPKART</v>
      </c>
      <c r="D1437" s="115">
        <f>IFERROR(__xludf.DUMMYFUNCTION("""COMPUTED_VALUE"""),301709.0)</f>
        <v>301709</v>
      </c>
      <c r="E1437" s="115">
        <f>IFERROR(__xludf.DUMMYFUNCTION("""COMPUTED_VALUE"""),18495.0)</f>
        <v>18495</v>
      </c>
      <c r="F1437" s="115">
        <f>IFERROR(__xludf.DUMMYFUNCTION("""COMPUTED_VALUE"""),195482.0)</f>
        <v>195482</v>
      </c>
      <c r="G1437" s="115">
        <f>IFERROR(__xludf.DUMMYFUNCTION("""COMPUTED_VALUE"""),5645.0)</f>
        <v>5645</v>
      </c>
      <c r="H1437" s="116">
        <f>IFERROR(__xludf.DUMMYFUNCTION("""COMPUTED_VALUE"""),45903.0)</f>
        <v>45903</v>
      </c>
      <c r="I1437" s="115" t="str">
        <f>IFERROR(__xludf.DUMMYFUNCTION("""COMPUTED_VALUE"""),"17")</f>
        <v>17</v>
      </c>
      <c r="J1437" s="115" t="str">
        <f>IFERROR(__xludf.DUMMYFUNCTION("""COMPUTED_VALUE"""),"Parag Kashyap2025-09-0317")</f>
        <v>Parag Kashyap2025-09-0317</v>
      </c>
      <c r="K1437" s="115">
        <f>IFERROR(__xludf.DUMMYFUNCTION("""COMPUTED_VALUE"""),320204.0)</f>
        <v>320204</v>
      </c>
    </row>
    <row r="1438">
      <c r="A1438" s="115" t="str">
        <f>IFERROR(__xludf.DUMMYFUNCTION("""COMPUTED_VALUE"""),"EAST")</f>
        <v>EAST</v>
      </c>
      <c r="B1438" s="115" t="str">
        <f>IFERROR(__xludf.DUMMYFUNCTION("""COMPUTED_VALUE"""),"Parag Kashyap")</f>
        <v>Parag Kashyap</v>
      </c>
      <c r="C1438" s="115" t="str">
        <f>IFERROR(__xludf.DUMMYFUNCTION("""COMPUTED_VALUE"""),"MYNTRA")</f>
        <v>MYNTRA</v>
      </c>
      <c r="D1438" s="115">
        <f>IFERROR(__xludf.DUMMYFUNCTION("""COMPUTED_VALUE"""),34799.0)</f>
        <v>34799</v>
      </c>
      <c r="E1438" s="115">
        <f>IFERROR(__xludf.DUMMYFUNCTION("""COMPUTED_VALUE"""),4838.0)</f>
        <v>4838</v>
      </c>
      <c r="F1438" s="115">
        <f>IFERROR(__xludf.DUMMYFUNCTION("""COMPUTED_VALUE"""),23234.0)</f>
        <v>23234</v>
      </c>
      <c r="G1438" s="115">
        <f>IFERROR(__xludf.DUMMYFUNCTION("""COMPUTED_VALUE"""),1527.0)</f>
        <v>1527</v>
      </c>
      <c r="H1438" s="116">
        <f>IFERROR(__xludf.DUMMYFUNCTION("""COMPUTED_VALUE"""),45903.0)</f>
        <v>45903</v>
      </c>
      <c r="I1438" s="115" t="str">
        <f>IFERROR(__xludf.DUMMYFUNCTION("""COMPUTED_VALUE"""),"17")</f>
        <v>17</v>
      </c>
      <c r="J1438" s="115" t="str">
        <f>IFERROR(__xludf.DUMMYFUNCTION("""COMPUTED_VALUE"""),"Parag Kashyap2025-09-0317")</f>
        <v>Parag Kashyap2025-09-0317</v>
      </c>
      <c r="K1438" s="115">
        <f>IFERROR(__xludf.DUMMYFUNCTION("""COMPUTED_VALUE"""),39637.0)</f>
        <v>39637</v>
      </c>
    </row>
    <row r="1439">
      <c r="A1439" s="115" t="str">
        <f>IFERROR(__xludf.DUMMYFUNCTION("""COMPUTED_VALUE"""),"NORTH")</f>
        <v>NORTH</v>
      </c>
      <c r="B1439" s="115" t="str">
        <f>IFERROR(__xludf.DUMMYFUNCTION("""COMPUTED_VALUE"""),"Amit Kumar Pathak")</f>
        <v>Amit Kumar Pathak</v>
      </c>
      <c r="C1439" s="115" t="str">
        <f>IFERROR(__xludf.DUMMYFUNCTION("""COMPUTED_VALUE"""),"EXTERNAL")</f>
        <v>EXTERNAL</v>
      </c>
      <c r="D1439" s="115">
        <f>IFERROR(__xludf.DUMMYFUNCTION("""COMPUTED_VALUE"""),23662.0)</f>
        <v>23662</v>
      </c>
      <c r="E1439" s="115">
        <f>IFERROR(__xludf.DUMMYFUNCTION("""COMPUTED_VALUE"""),3321.0)</f>
        <v>3321</v>
      </c>
      <c r="F1439" s="115">
        <f>IFERROR(__xludf.DUMMYFUNCTION("""COMPUTED_VALUE"""),6654.0)</f>
        <v>6654</v>
      </c>
      <c r="G1439" s="115">
        <f>IFERROR(__xludf.DUMMYFUNCTION("""COMPUTED_VALUE"""),767.0)</f>
        <v>767</v>
      </c>
      <c r="H1439" s="116">
        <f>IFERROR(__xludf.DUMMYFUNCTION("""COMPUTED_VALUE"""),45903.0)</f>
        <v>45903</v>
      </c>
      <c r="I1439" s="115" t="str">
        <f>IFERROR(__xludf.DUMMYFUNCTION("""COMPUTED_VALUE"""),"17")</f>
        <v>17</v>
      </c>
      <c r="J1439" s="115" t="str">
        <f>IFERROR(__xludf.DUMMYFUNCTION("""COMPUTED_VALUE"""),"Amit Kumar Pathak2025-09-0317")</f>
        <v>Amit Kumar Pathak2025-09-0317</v>
      </c>
      <c r="K1439" s="115">
        <f>IFERROR(__xludf.DUMMYFUNCTION("""COMPUTED_VALUE"""),26983.0)</f>
        <v>26983</v>
      </c>
    </row>
    <row r="1440">
      <c r="A1440" s="115" t="str">
        <f>IFERROR(__xludf.DUMMYFUNCTION("""COMPUTED_VALUE"""),"NORTH")</f>
        <v>NORTH</v>
      </c>
      <c r="B1440" s="115" t="str">
        <f>IFERROR(__xludf.DUMMYFUNCTION("""COMPUTED_VALUE"""),"Amit Kumar Pathak")</f>
        <v>Amit Kumar Pathak</v>
      </c>
      <c r="C1440" s="115" t="str">
        <f>IFERROR(__xludf.DUMMYFUNCTION("""COMPUTED_VALUE"""),"FLIPKART")</f>
        <v>FLIPKART</v>
      </c>
      <c r="D1440" s="115">
        <f>IFERROR(__xludf.DUMMYFUNCTION("""COMPUTED_VALUE"""),191098.0)</f>
        <v>191098</v>
      </c>
      <c r="E1440" s="115">
        <f>IFERROR(__xludf.DUMMYFUNCTION("""COMPUTED_VALUE"""),23061.0)</f>
        <v>23061</v>
      </c>
      <c r="F1440" s="115">
        <f>IFERROR(__xludf.DUMMYFUNCTION("""COMPUTED_VALUE"""),102969.0)</f>
        <v>102969</v>
      </c>
      <c r="G1440" s="115">
        <f>IFERROR(__xludf.DUMMYFUNCTION("""COMPUTED_VALUE"""),8916.0)</f>
        <v>8916</v>
      </c>
      <c r="H1440" s="116">
        <f>IFERROR(__xludf.DUMMYFUNCTION("""COMPUTED_VALUE"""),45903.0)</f>
        <v>45903</v>
      </c>
      <c r="I1440" s="115" t="str">
        <f>IFERROR(__xludf.DUMMYFUNCTION("""COMPUTED_VALUE"""),"17")</f>
        <v>17</v>
      </c>
      <c r="J1440" s="115" t="str">
        <f>IFERROR(__xludf.DUMMYFUNCTION("""COMPUTED_VALUE"""),"Amit Kumar Pathak2025-09-0317")</f>
        <v>Amit Kumar Pathak2025-09-0317</v>
      </c>
      <c r="K1440" s="115">
        <f>IFERROR(__xludf.DUMMYFUNCTION("""COMPUTED_VALUE"""),214159.0)</f>
        <v>214159</v>
      </c>
    </row>
    <row r="1441">
      <c r="A1441" s="115" t="str">
        <f>IFERROR(__xludf.DUMMYFUNCTION("""COMPUTED_VALUE"""),"NORTH")</f>
        <v>NORTH</v>
      </c>
      <c r="B1441" s="115" t="str">
        <f>IFERROR(__xludf.DUMMYFUNCTION("""COMPUTED_VALUE"""),"Amit Kumar Pathak")</f>
        <v>Amit Kumar Pathak</v>
      </c>
      <c r="C1441" s="115" t="str">
        <f>IFERROR(__xludf.DUMMYFUNCTION("""COMPUTED_VALUE"""),"MYNTRA")</f>
        <v>MYNTRA</v>
      </c>
      <c r="D1441" s="115">
        <f>IFERROR(__xludf.DUMMYFUNCTION("""COMPUTED_VALUE"""),18010.0)</f>
        <v>18010</v>
      </c>
      <c r="E1441" s="115">
        <f>IFERROR(__xludf.DUMMYFUNCTION("""COMPUTED_VALUE"""),5727.0)</f>
        <v>5727</v>
      </c>
      <c r="F1441" s="115">
        <f>IFERROR(__xludf.DUMMYFUNCTION("""COMPUTED_VALUE"""),11696.0)</f>
        <v>11696</v>
      </c>
      <c r="G1441" s="115">
        <f>IFERROR(__xludf.DUMMYFUNCTION("""COMPUTED_VALUE"""),2612.0)</f>
        <v>2612</v>
      </c>
      <c r="H1441" s="116">
        <f>IFERROR(__xludf.DUMMYFUNCTION("""COMPUTED_VALUE"""),45903.0)</f>
        <v>45903</v>
      </c>
      <c r="I1441" s="115" t="str">
        <f>IFERROR(__xludf.DUMMYFUNCTION("""COMPUTED_VALUE"""),"17")</f>
        <v>17</v>
      </c>
      <c r="J1441" s="115" t="str">
        <f>IFERROR(__xludf.DUMMYFUNCTION("""COMPUTED_VALUE"""),"Amit Kumar Pathak2025-09-0317")</f>
        <v>Amit Kumar Pathak2025-09-0317</v>
      </c>
      <c r="K1441" s="115">
        <f>IFERROR(__xludf.DUMMYFUNCTION("""COMPUTED_VALUE"""),23737.0)</f>
        <v>23737</v>
      </c>
    </row>
    <row r="1442">
      <c r="A1442" s="115" t="str">
        <f>IFERROR(__xludf.DUMMYFUNCTION("""COMPUTED_VALUE"""),"NORTH")</f>
        <v>NORTH</v>
      </c>
      <c r="B1442" s="115" t="str">
        <f>IFERROR(__xludf.DUMMYFUNCTION("""COMPUTED_VALUE"""),"Loveleen Singh")</f>
        <v>Loveleen Singh</v>
      </c>
      <c r="C1442" s="115" t="str">
        <f>IFERROR(__xludf.DUMMYFUNCTION("""COMPUTED_VALUE"""),"EXTERNAL")</f>
        <v>EXTERNAL</v>
      </c>
      <c r="D1442" s="115">
        <f>IFERROR(__xludf.DUMMYFUNCTION("""COMPUTED_VALUE"""),26242.0)</f>
        <v>26242</v>
      </c>
      <c r="E1442" s="115">
        <f>IFERROR(__xludf.DUMMYFUNCTION("""COMPUTED_VALUE"""),2675.0)</f>
        <v>2675</v>
      </c>
      <c r="F1442" s="115">
        <f>IFERROR(__xludf.DUMMYFUNCTION("""COMPUTED_VALUE"""),8545.0)</f>
        <v>8545</v>
      </c>
      <c r="G1442" s="115">
        <f>IFERROR(__xludf.DUMMYFUNCTION("""COMPUTED_VALUE"""),499.0)</f>
        <v>499</v>
      </c>
      <c r="H1442" s="116">
        <f>IFERROR(__xludf.DUMMYFUNCTION("""COMPUTED_VALUE"""),45903.0)</f>
        <v>45903</v>
      </c>
      <c r="I1442" s="115" t="str">
        <f>IFERROR(__xludf.DUMMYFUNCTION("""COMPUTED_VALUE"""),"17")</f>
        <v>17</v>
      </c>
      <c r="J1442" s="115" t="str">
        <f>IFERROR(__xludf.DUMMYFUNCTION("""COMPUTED_VALUE"""),"Loveleen Singh2025-09-0317")</f>
        <v>Loveleen Singh2025-09-0317</v>
      </c>
      <c r="K1442" s="115">
        <f>IFERROR(__xludf.DUMMYFUNCTION("""COMPUTED_VALUE"""),28917.0)</f>
        <v>28917</v>
      </c>
    </row>
    <row r="1443">
      <c r="A1443" s="115" t="str">
        <f>IFERROR(__xludf.DUMMYFUNCTION("""COMPUTED_VALUE"""),"NORTH")</f>
        <v>NORTH</v>
      </c>
      <c r="B1443" s="115" t="str">
        <f>IFERROR(__xludf.DUMMYFUNCTION("""COMPUTED_VALUE"""),"Loveleen Singh")</f>
        <v>Loveleen Singh</v>
      </c>
      <c r="C1443" s="115" t="str">
        <f>IFERROR(__xludf.DUMMYFUNCTION("""COMPUTED_VALUE"""),"FLIPKART")</f>
        <v>FLIPKART</v>
      </c>
      <c r="D1443" s="115">
        <f>IFERROR(__xludf.DUMMYFUNCTION("""COMPUTED_VALUE"""),139344.0)</f>
        <v>139344</v>
      </c>
      <c r="E1443" s="115">
        <f>IFERROR(__xludf.DUMMYFUNCTION("""COMPUTED_VALUE"""),13521.0)</f>
        <v>13521</v>
      </c>
      <c r="F1443" s="115">
        <f>IFERROR(__xludf.DUMMYFUNCTION("""COMPUTED_VALUE"""),88096.0)</f>
        <v>88096</v>
      </c>
      <c r="G1443" s="115">
        <f>IFERROR(__xludf.DUMMYFUNCTION("""COMPUTED_VALUE"""),5355.0)</f>
        <v>5355</v>
      </c>
      <c r="H1443" s="116">
        <f>IFERROR(__xludf.DUMMYFUNCTION("""COMPUTED_VALUE"""),45903.0)</f>
        <v>45903</v>
      </c>
      <c r="I1443" s="115" t="str">
        <f>IFERROR(__xludf.DUMMYFUNCTION("""COMPUTED_VALUE"""),"17")</f>
        <v>17</v>
      </c>
      <c r="J1443" s="115" t="str">
        <f>IFERROR(__xludf.DUMMYFUNCTION("""COMPUTED_VALUE"""),"Loveleen Singh2025-09-0317")</f>
        <v>Loveleen Singh2025-09-0317</v>
      </c>
      <c r="K1443" s="115">
        <f>IFERROR(__xludf.DUMMYFUNCTION("""COMPUTED_VALUE"""),152865.0)</f>
        <v>152865</v>
      </c>
    </row>
    <row r="1444">
      <c r="A1444" s="115" t="str">
        <f>IFERROR(__xludf.DUMMYFUNCTION("""COMPUTED_VALUE"""),"NORTH")</f>
        <v>NORTH</v>
      </c>
      <c r="B1444" s="115" t="str">
        <f>IFERROR(__xludf.DUMMYFUNCTION("""COMPUTED_VALUE"""),"Loveleen Singh")</f>
        <v>Loveleen Singh</v>
      </c>
      <c r="C1444" s="115" t="str">
        <f>IFERROR(__xludf.DUMMYFUNCTION("""COMPUTED_VALUE"""),"MYNTRA")</f>
        <v>MYNTRA</v>
      </c>
      <c r="D1444" s="115">
        <f>IFERROR(__xludf.DUMMYFUNCTION("""COMPUTED_VALUE"""),21775.0)</f>
        <v>21775</v>
      </c>
      <c r="E1444" s="115">
        <f>IFERROR(__xludf.DUMMYFUNCTION("""COMPUTED_VALUE"""),5336.0)</f>
        <v>5336</v>
      </c>
      <c r="F1444" s="115">
        <f>IFERROR(__xludf.DUMMYFUNCTION("""COMPUTED_VALUE"""),15421.0)</f>
        <v>15421</v>
      </c>
      <c r="G1444" s="115">
        <f>IFERROR(__xludf.DUMMYFUNCTION("""COMPUTED_VALUE"""),2405.0)</f>
        <v>2405</v>
      </c>
      <c r="H1444" s="116">
        <f>IFERROR(__xludf.DUMMYFUNCTION("""COMPUTED_VALUE"""),45903.0)</f>
        <v>45903</v>
      </c>
      <c r="I1444" s="115" t="str">
        <f>IFERROR(__xludf.DUMMYFUNCTION("""COMPUTED_VALUE"""),"17")</f>
        <v>17</v>
      </c>
      <c r="J1444" s="115" t="str">
        <f>IFERROR(__xludf.DUMMYFUNCTION("""COMPUTED_VALUE"""),"Loveleen Singh2025-09-0317")</f>
        <v>Loveleen Singh2025-09-0317</v>
      </c>
      <c r="K1444" s="115">
        <f>IFERROR(__xludf.DUMMYFUNCTION("""COMPUTED_VALUE"""),27111.0)</f>
        <v>27111</v>
      </c>
    </row>
    <row r="1445">
      <c r="A1445" s="115" t="str">
        <f>IFERROR(__xludf.DUMMYFUNCTION("""COMPUTED_VALUE"""),"NORTH")</f>
        <v>NORTH</v>
      </c>
      <c r="B1445" s="115" t="str">
        <f>IFERROR(__xludf.DUMMYFUNCTION("""COMPUTED_VALUE"""),"Manoj Harsh")</f>
        <v>Manoj Harsh</v>
      </c>
      <c r="C1445" s="115" t="str">
        <f>IFERROR(__xludf.DUMMYFUNCTION("""COMPUTED_VALUE"""),"EXTERNAL")</f>
        <v>EXTERNAL</v>
      </c>
      <c r="D1445" s="115">
        <f>IFERROR(__xludf.DUMMYFUNCTION("""COMPUTED_VALUE"""),32689.0)</f>
        <v>32689</v>
      </c>
      <c r="E1445" s="115">
        <f>IFERROR(__xludf.DUMMYFUNCTION("""COMPUTED_VALUE"""),4684.0)</f>
        <v>4684</v>
      </c>
      <c r="F1445" s="115">
        <f>IFERROR(__xludf.DUMMYFUNCTION("""COMPUTED_VALUE"""),11616.0)</f>
        <v>11616</v>
      </c>
      <c r="G1445" s="115">
        <f>IFERROR(__xludf.DUMMYFUNCTION("""COMPUTED_VALUE"""),947.0)</f>
        <v>947</v>
      </c>
      <c r="H1445" s="116">
        <f>IFERROR(__xludf.DUMMYFUNCTION("""COMPUTED_VALUE"""),45903.0)</f>
        <v>45903</v>
      </c>
      <c r="I1445" s="115" t="str">
        <f>IFERROR(__xludf.DUMMYFUNCTION("""COMPUTED_VALUE"""),"17")</f>
        <v>17</v>
      </c>
      <c r="J1445" s="115" t="str">
        <f>IFERROR(__xludf.DUMMYFUNCTION("""COMPUTED_VALUE"""),"Manoj Harsh2025-09-0317")</f>
        <v>Manoj Harsh2025-09-0317</v>
      </c>
      <c r="K1445" s="115">
        <f>IFERROR(__xludf.DUMMYFUNCTION("""COMPUTED_VALUE"""),37373.0)</f>
        <v>37373</v>
      </c>
    </row>
    <row r="1446">
      <c r="A1446" s="115" t="str">
        <f>IFERROR(__xludf.DUMMYFUNCTION("""COMPUTED_VALUE"""),"NORTH")</f>
        <v>NORTH</v>
      </c>
      <c r="B1446" s="115" t="str">
        <f>IFERROR(__xludf.DUMMYFUNCTION("""COMPUTED_VALUE"""),"Manoj Harsh")</f>
        <v>Manoj Harsh</v>
      </c>
      <c r="C1446" s="115" t="str">
        <f>IFERROR(__xludf.DUMMYFUNCTION("""COMPUTED_VALUE"""),"FLIPKART")</f>
        <v>FLIPKART</v>
      </c>
      <c r="D1446" s="115">
        <f>IFERROR(__xludf.DUMMYFUNCTION("""COMPUTED_VALUE"""),390666.0)</f>
        <v>390666</v>
      </c>
      <c r="E1446" s="115">
        <f>IFERROR(__xludf.DUMMYFUNCTION("""COMPUTED_VALUE"""),41011.0)</f>
        <v>41011</v>
      </c>
      <c r="F1446" s="115">
        <f>IFERROR(__xludf.DUMMYFUNCTION("""COMPUTED_VALUE"""),254479.0)</f>
        <v>254479</v>
      </c>
      <c r="G1446" s="115">
        <f>IFERROR(__xludf.DUMMYFUNCTION("""COMPUTED_VALUE"""),17266.0)</f>
        <v>17266</v>
      </c>
      <c r="H1446" s="116">
        <f>IFERROR(__xludf.DUMMYFUNCTION("""COMPUTED_VALUE"""),45903.0)</f>
        <v>45903</v>
      </c>
      <c r="I1446" s="115" t="str">
        <f>IFERROR(__xludf.DUMMYFUNCTION("""COMPUTED_VALUE"""),"17")</f>
        <v>17</v>
      </c>
      <c r="J1446" s="115" t="str">
        <f>IFERROR(__xludf.DUMMYFUNCTION("""COMPUTED_VALUE"""),"Manoj Harsh2025-09-0317")</f>
        <v>Manoj Harsh2025-09-0317</v>
      </c>
      <c r="K1446" s="115">
        <f>IFERROR(__xludf.DUMMYFUNCTION("""COMPUTED_VALUE"""),431677.0)</f>
        <v>431677</v>
      </c>
    </row>
    <row r="1447">
      <c r="A1447" s="115" t="str">
        <f>IFERROR(__xludf.DUMMYFUNCTION("""COMPUTED_VALUE"""),"NORTH")</f>
        <v>NORTH</v>
      </c>
      <c r="B1447" s="115" t="str">
        <f>IFERROR(__xludf.DUMMYFUNCTION("""COMPUTED_VALUE"""),"Manoj Harsh")</f>
        <v>Manoj Harsh</v>
      </c>
      <c r="C1447" s="115" t="str">
        <f>IFERROR(__xludf.DUMMYFUNCTION("""COMPUTED_VALUE"""),"MYNTRA")</f>
        <v>MYNTRA</v>
      </c>
      <c r="D1447" s="115">
        <f>IFERROR(__xludf.DUMMYFUNCTION("""COMPUTED_VALUE"""),34459.0)</f>
        <v>34459</v>
      </c>
      <c r="E1447" s="115">
        <f>IFERROR(__xludf.DUMMYFUNCTION("""COMPUTED_VALUE"""),8095.0)</f>
        <v>8095</v>
      </c>
      <c r="F1447" s="115">
        <f>IFERROR(__xludf.DUMMYFUNCTION("""COMPUTED_VALUE"""),24707.0)</f>
        <v>24707</v>
      </c>
      <c r="G1447" s="115">
        <f>IFERROR(__xludf.DUMMYFUNCTION("""COMPUTED_VALUE"""),3950.0)</f>
        <v>3950</v>
      </c>
      <c r="H1447" s="116">
        <f>IFERROR(__xludf.DUMMYFUNCTION("""COMPUTED_VALUE"""),45903.0)</f>
        <v>45903</v>
      </c>
      <c r="I1447" s="115" t="str">
        <f>IFERROR(__xludf.DUMMYFUNCTION("""COMPUTED_VALUE"""),"17")</f>
        <v>17</v>
      </c>
      <c r="J1447" s="115" t="str">
        <f>IFERROR(__xludf.DUMMYFUNCTION("""COMPUTED_VALUE"""),"Manoj Harsh2025-09-0317")</f>
        <v>Manoj Harsh2025-09-0317</v>
      </c>
      <c r="K1447" s="115">
        <f>IFERROR(__xludf.DUMMYFUNCTION("""COMPUTED_VALUE"""),42554.0)</f>
        <v>42554</v>
      </c>
    </row>
    <row r="1448">
      <c r="A1448" s="115" t="str">
        <f>IFERROR(__xludf.DUMMYFUNCTION("""COMPUTED_VALUE"""),"NORTH")</f>
        <v>NORTH</v>
      </c>
      <c r="B1448" s="115" t="str">
        <f>IFERROR(__xludf.DUMMYFUNCTION("""COMPUTED_VALUE"""),"Pradeep Kothari")</f>
        <v>Pradeep Kothari</v>
      </c>
      <c r="C1448" s="115" t="str">
        <f>IFERROR(__xludf.DUMMYFUNCTION("""COMPUTED_VALUE"""),"EXTERNAL")</f>
        <v>EXTERNAL</v>
      </c>
      <c r="D1448" s="115">
        <f>IFERROR(__xludf.DUMMYFUNCTION("""COMPUTED_VALUE"""),17252.0)</f>
        <v>17252</v>
      </c>
      <c r="E1448" s="115">
        <f>IFERROR(__xludf.DUMMYFUNCTION("""COMPUTED_VALUE"""),2727.0)</f>
        <v>2727</v>
      </c>
      <c r="F1448" s="115">
        <f>IFERROR(__xludf.DUMMYFUNCTION("""COMPUTED_VALUE"""),6079.0)</f>
        <v>6079</v>
      </c>
      <c r="G1448" s="115">
        <f>IFERROR(__xludf.DUMMYFUNCTION("""COMPUTED_VALUE"""),706.0)</f>
        <v>706</v>
      </c>
      <c r="H1448" s="116">
        <f>IFERROR(__xludf.DUMMYFUNCTION("""COMPUTED_VALUE"""),45903.0)</f>
        <v>45903</v>
      </c>
      <c r="I1448" s="115" t="str">
        <f>IFERROR(__xludf.DUMMYFUNCTION("""COMPUTED_VALUE"""),"17")</f>
        <v>17</v>
      </c>
      <c r="J1448" s="115" t="str">
        <f>IFERROR(__xludf.DUMMYFUNCTION("""COMPUTED_VALUE"""),"Pradeep Kothari2025-09-0317")</f>
        <v>Pradeep Kothari2025-09-0317</v>
      </c>
      <c r="K1448" s="115">
        <f>IFERROR(__xludf.DUMMYFUNCTION("""COMPUTED_VALUE"""),19979.0)</f>
        <v>19979</v>
      </c>
    </row>
    <row r="1449">
      <c r="A1449" s="115" t="str">
        <f>IFERROR(__xludf.DUMMYFUNCTION("""COMPUTED_VALUE"""),"NORTH")</f>
        <v>NORTH</v>
      </c>
      <c r="B1449" s="115" t="str">
        <f>IFERROR(__xludf.DUMMYFUNCTION("""COMPUTED_VALUE"""),"Pradeep Kothari")</f>
        <v>Pradeep Kothari</v>
      </c>
      <c r="C1449" s="115" t="str">
        <f>IFERROR(__xludf.DUMMYFUNCTION("""COMPUTED_VALUE"""),"FLIPKART")</f>
        <v>FLIPKART</v>
      </c>
      <c r="D1449" s="115">
        <f>IFERROR(__xludf.DUMMYFUNCTION("""COMPUTED_VALUE"""),137600.0)</f>
        <v>137600</v>
      </c>
      <c r="E1449" s="115">
        <f>IFERROR(__xludf.DUMMYFUNCTION("""COMPUTED_VALUE"""),16163.0)</f>
        <v>16163</v>
      </c>
      <c r="F1449" s="115">
        <f>IFERROR(__xludf.DUMMYFUNCTION("""COMPUTED_VALUE"""),93136.0)</f>
        <v>93136</v>
      </c>
      <c r="G1449" s="115">
        <f>IFERROR(__xludf.DUMMYFUNCTION("""COMPUTED_VALUE"""),7397.0)</f>
        <v>7397</v>
      </c>
      <c r="H1449" s="116">
        <f>IFERROR(__xludf.DUMMYFUNCTION("""COMPUTED_VALUE"""),45903.0)</f>
        <v>45903</v>
      </c>
      <c r="I1449" s="115" t="str">
        <f>IFERROR(__xludf.DUMMYFUNCTION("""COMPUTED_VALUE"""),"17")</f>
        <v>17</v>
      </c>
      <c r="J1449" s="115" t="str">
        <f>IFERROR(__xludf.DUMMYFUNCTION("""COMPUTED_VALUE"""),"Pradeep Kothari2025-09-0317")</f>
        <v>Pradeep Kothari2025-09-0317</v>
      </c>
      <c r="K1449" s="115">
        <f>IFERROR(__xludf.DUMMYFUNCTION("""COMPUTED_VALUE"""),153763.0)</f>
        <v>153763</v>
      </c>
    </row>
    <row r="1450">
      <c r="A1450" s="115" t="str">
        <f>IFERROR(__xludf.DUMMYFUNCTION("""COMPUTED_VALUE"""),"NORTH")</f>
        <v>NORTH</v>
      </c>
      <c r="B1450" s="115" t="str">
        <f>IFERROR(__xludf.DUMMYFUNCTION("""COMPUTED_VALUE"""),"Pradeep Kothari")</f>
        <v>Pradeep Kothari</v>
      </c>
      <c r="C1450" s="115" t="str">
        <f>IFERROR(__xludf.DUMMYFUNCTION("""COMPUTED_VALUE"""),"MYNTRA")</f>
        <v>MYNTRA</v>
      </c>
      <c r="D1450" s="115">
        <f>IFERROR(__xludf.DUMMYFUNCTION("""COMPUTED_VALUE"""),22191.0)</f>
        <v>22191</v>
      </c>
      <c r="E1450" s="115">
        <f>IFERROR(__xludf.DUMMYFUNCTION("""COMPUTED_VALUE"""),6164.0)</f>
        <v>6164</v>
      </c>
      <c r="F1450" s="115">
        <f>IFERROR(__xludf.DUMMYFUNCTION("""COMPUTED_VALUE"""),16915.0)</f>
        <v>16915</v>
      </c>
      <c r="G1450" s="115">
        <f>IFERROR(__xludf.DUMMYFUNCTION("""COMPUTED_VALUE"""),3377.0)</f>
        <v>3377</v>
      </c>
      <c r="H1450" s="116">
        <f>IFERROR(__xludf.DUMMYFUNCTION("""COMPUTED_VALUE"""),45903.0)</f>
        <v>45903</v>
      </c>
      <c r="I1450" s="115" t="str">
        <f>IFERROR(__xludf.DUMMYFUNCTION("""COMPUTED_VALUE"""),"17")</f>
        <v>17</v>
      </c>
      <c r="J1450" s="115" t="str">
        <f>IFERROR(__xludf.DUMMYFUNCTION("""COMPUTED_VALUE"""),"Pradeep Kothari2025-09-0317")</f>
        <v>Pradeep Kothari2025-09-0317</v>
      </c>
      <c r="K1450" s="115">
        <f>IFERROR(__xludf.DUMMYFUNCTION("""COMPUTED_VALUE"""),28355.0)</f>
        <v>28355</v>
      </c>
    </row>
    <row r="1451">
      <c r="A1451" s="115" t="str">
        <f>IFERROR(__xludf.DUMMYFUNCTION("""COMPUTED_VALUE"""),"SOUTH")</f>
        <v>SOUTH</v>
      </c>
      <c r="B1451" s="115" t="str">
        <f>IFERROR(__xludf.DUMMYFUNCTION("""COMPUTED_VALUE"""),"Kandula Sampath")</f>
        <v>Kandula Sampath</v>
      </c>
      <c r="C1451" s="115" t="str">
        <f>IFERROR(__xludf.DUMMYFUNCTION("""COMPUTED_VALUE"""),"EXTERNAL")</f>
        <v>EXTERNAL</v>
      </c>
      <c r="D1451" s="115">
        <f>IFERROR(__xludf.DUMMYFUNCTION("""COMPUTED_VALUE"""),35890.0)</f>
        <v>35890</v>
      </c>
      <c r="E1451" s="115">
        <f>IFERROR(__xludf.DUMMYFUNCTION("""COMPUTED_VALUE"""),5787.0)</f>
        <v>5787</v>
      </c>
      <c r="F1451" s="115">
        <f>IFERROR(__xludf.DUMMYFUNCTION("""COMPUTED_VALUE"""),13024.0)</f>
        <v>13024</v>
      </c>
      <c r="G1451" s="115">
        <f>IFERROR(__xludf.DUMMYFUNCTION("""COMPUTED_VALUE"""),967.0)</f>
        <v>967</v>
      </c>
      <c r="H1451" s="116">
        <f>IFERROR(__xludf.DUMMYFUNCTION("""COMPUTED_VALUE"""),45903.0)</f>
        <v>45903</v>
      </c>
      <c r="I1451" s="115" t="str">
        <f>IFERROR(__xludf.DUMMYFUNCTION("""COMPUTED_VALUE"""),"17")</f>
        <v>17</v>
      </c>
      <c r="J1451" s="115" t="str">
        <f>IFERROR(__xludf.DUMMYFUNCTION("""COMPUTED_VALUE"""),"Kandula Sampath2025-09-0317")</f>
        <v>Kandula Sampath2025-09-0317</v>
      </c>
      <c r="K1451" s="115">
        <f>IFERROR(__xludf.DUMMYFUNCTION("""COMPUTED_VALUE"""),41677.0)</f>
        <v>41677</v>
      </c>
    </row>
    <row r="1452">
      <c r="A1452" s="115" t="str">
        <f>IFERROR(__xludf.DUMMYFUNCTION("""COMPUTED_VALUE"""),"SOUTH")</f>
        <v>SOUTH</v>
      </c>
      <c r="B1452" s="115" t="str">
        <f>IFERROR(__xludf.DUMMYFUNCTION("""COMPUTED_VALUE"""),"Kandula Sampath")</f>
        <v>Kandula Sampath</v>
      </c>
      <c r="C1452" s="115" t="str">
        <f>IFERROR(__xludf.DUMMYFUNCTION("""COMPUTED_VALUE"""),"FLIPKART")</f>
        <v>FLIPKART</v>
      </c>
      <c r="D1452" s="115">
        <f>IFERROR(__xludf.DUMMYFUNCTION("""COMPUTED_VALUE"""),305997.0)</f>
        <v>305997</v>
      </c>
      <c r="E1452" s="115">
        <f>IFERROR(__xludf.DUMMYFUNCTION("""COMPUTED_VALUE"""),32771.0)</f>
        <v>32771</v>
      </c>
      <c r="F1452" s="115">
        <f>IFERROR(__xludf.DUMMYFUNCTION("""COMPUTED_VALUE"""),194706.0)</f>
        <v>194706</v>
      </c>
      <c r="G1452" s="115">
        <f>IFERROR(__xludf.DUMMYFUNCTION("""COMPUTED_VALUE"""),11472.0)</f>
        <v>11472</v>
      </c>
      <c r="H1452" s="116">
        <f>IFERROR(__xludf.DUMMYFUNCTION("""COMPUTED_VALUE"""),45903.0)</f>
        <v>45903</v>
      </c>
      <c r="I1452" s="115" t="str">
        <f>IFERROR(__xludf.DUMMYFUNCTION("""COMPUTED_VALUE"""),"17")</f>
        <v>17</v>
      </c>
      <c r="J1452" s="115" t="str">
        <f>IFERROR(__xludf.DUMMYFUNCTION("""COMPUTED_VALUE"""),"Kandula Sampath2025-09-0317")</f>
        <v>Kandula Sampath2025-09-0317</v>
      </c>
      <c r="K1452" s="115">
        <f>IFERROR(__xludf.DUMMYFUNCTION("""COMPUTED_VALUE"""),338768.0)</f>
        <v>338768</v>
      </c>
    </row>
    <row r="1453">
      <c r="A1453" s="115" t="str">
        <f>IFERROR(__xludf.DUMMYFUNCTION("""COMPUTED_VALUE"""),"SOUTH")</f>
        <v>SOUTH</v>
      </c>
      <c r="B1453" s="115" t="str">
        <f>IFERROR(__xludf.DUMMYFUNCTION("""COMPUTED_VALUE"""),"Kandula Sampath")</f>
        <v>Kandula Sampath</v>
      </c>
      <c r="C1453" s="115" t="str">
        <f>IFERROR(__xludf.DUMMYFUNCTION("""COMPUTED_VALUE"""),"MYNTRA")</f>
        <v>MYNTRA</v>
      </c>
      <c r="D1453" s="115">
        <f>IFERROR(__xludf.DUMMYFUNCTION("""COMPUTED_VALUE"""),29807.0)</f>
        <v>29807</v>
      </c>
      <c r="E1453" s="115">
        <f>IFERROR(__xludf.DUMMYFUNCTION("""COMPUTED_VALUE"""),8577.0)</f>
        <v>8577</v>
      </c>
      <c r="F1453" s="115">
        <f>IFERROR(__xludf.DUMMYFUNCTION("""COMPUTED_VALUE"""),20874.0)</f>
        <v>20874</v>
      </c>
      <c r="G1453" s="115">
        <f>IFERROR(__xludf.DUMMYFUNCTION("""COMPUTED_VALUE"""),3195.0)</f>
        <v>3195</v>
      </c>
      <c r="H1453" s="116">
        <f>IFERROR(__xludf.DUMMYFUNCTION("""COMPUTED_VALUE"""),45903.0)</f>
        <v>45903</v>
      </c>
      <c r="I1453" s="115" t="str">
        <f>IFERROR(__xludf.DUMMYFUNCTION("""COMPUTED_VALUE"""),"17")</f>
        <v>17</v>
      </c>
      <c r="J1453" s="115" t="str">
        <f>IFERROR(__xludf.DUMMYFUNCTION("""COMPUTED_VALUE"""),"Kandula Sampath2025-09-0317")</f>
        <v>Kandula Sampath2025-09-0317</v>
      </c>
      <c r="K1453" s="115">
        <f>IFERROR(__xludf.DUMMYFUNCTION("""COMPUTED_VALUE"""),38384.0)</f>
        <v>38384</v>
      </c>
    </row>
    <row r="1454">
      <c r="A1454" s="115" t="str">
        <f>IFERROR(__xludf.DUMMYFUNCTION("""COMPUTED_VALUE"""),"SOUTH")</f>
        <v>SOUTH</v>
      </c>
      <c r="B1454" s="115" t="str">
        <f>IFERROR(__xludf.DUMMYFUNCTION("""COMPUTED_VALUE"""),"Martin A")</f>
        <v>Martin A</v>
      </c>
      <c r="C1454" s="115" t="str">
        <f>IFERROR(__xludf.DUMMYFUNCTION("""COMPUTED_VALUE"""),"EXTERNAL")</f>
        <v>EXTERNAL</v>
      </c>
      <c r="D1454" s="115">
        <f>IFERROR(__xludf.DUMMYFUNCTION("""COMPUTED_VALUE"""),35250.0)</f>
        <v>35250</v>
      </c>
      <c r="E1454" s="115">
        <f>IFERROR(__xludf.DUMMYFUNCTION("""COMPUTED_VALUE"""),3812.0)</f>
        <v>3812</v>
      </c>
      <c r="F1454" s="115">
        <f>IFERROR(__xludf.DUMMYFUNCTION("""COMPUTED_VALUE"""),12474.0)</f>
        <v>12474</v>
      </c>
      <c r="G1454" s="115">
        <f>IFERROR(__xludf.DUMMYFUNCTION("""COMPUTED_VALUE"""),970.0)</f>
        <v>970</v>
      </c>
      <c r="H1454" s="116">
        <f>IFERROR(__xludf.DUMMYFUNCTION("""COMPUTED_VALUE"""),45903.0)</f>
        <v>45903</v>
      </c>
      <c r="I1454" s="115" t="str">
        <f>IFERROR(__xludf.DUMMYFUNCTION("""COMPUTED_VALUE"""),"17")</f>
        <v>17</v>
      </c>
      <c r="J1454" s="115" t="str">
        <f>IFERROR(__xludf.DUMMYFUNCTION("""COMPUTED_VALUE"""),"Martin A2025-09-0317")</f>
        <v>Martin A2025-09-0317</v>
      </c>
      <c r="K1454" s="115">
        <f>IFERROR(__xludf.DUMMYFUNCTION("""COMPUTED_VALUE"""),39062.0)</f>
        <v>39062</v>
      </c>
    </row>
    <row r="1455">
      <c r="A1455" s="115" t="str">
        <f>IFERROR(__xludf.DUMMYFUNCTION("""COMPUTED_VALUE"""),"SOUTH")</f>
        <v>SOUTH</v>
      </c>
      <c r="B1455" s="115" t="str">
        <f>IFERROR(__xludf.DUMMYFUNCTION("""COMPUTED_VALUE"""),"Martin A")</f>
        <v>Martin A</v>
      </c>
      <c r="C1455" s="115" t="str">
        <f>IFERROR(__xludf.DUMMYFUNCTION("""COMPUTED_VALUE"""),"FLIPKART")</f>
        <v>FLIPKART</v>
      </c>
      <c r="D1455" s="115">
        <f>IFERROR(__xludf.DUMMYFUNCTION("""COMPUTED_VALUE"""),277878.0)</f>
        <v>277878</v>
      </c>
      <c r="E1455" s="115">
        <f>IFERROR(__xludf.DUMMYFUNCTION("""COMPUTED_VALUE"""),27965.0)</f>
        <v>27965</v>
      </c>
      <c r="F1455" s="115">
        <f>IFERROR(__xludf.DUMMYFUNCTION("""COMPUTED_VALUE"""),173066.0)</f>
        <v>173066</v>
      </c>
      <c r="G1455" s="115">
        <f>IFERROR(__xludf.DUMMYFUNCTION("""COMPUTED_VALUE"""),11202.0)</f>
        <v>11202</v>
      </c>
      <c r="H1455" s="116">
        <f>IFERROR(__xludf.DUMMYFUNCTION("""COMPUTED_VALUE"""),45903.0)</f>
        <v>45903</v>
      </c>
      <c r="I1455" s="115" t="str">
        <f>IFERROR(__xludf.DUMMYFUNCTION("""COMPUTED_VALUE"""),"17")</f>
        <v>17</v>
      </c>
      <c r="J1455" s="115" t="str">
        <f>IFERROR(__xludf.DUMMYFUNCTION("""COMPUTED_VALUE"""),"Martin A2025-09-0317")</f>
        <v>Martin A2025-09-0317</v>
      </c>
      <c r="K1455" s="115">
        <f>IFERROR(__xludf.DUMMYFUNCTION("""COMPUTED_VALUE"""),305843.0)</f>
        <v>305843</v>
      </c>
    </row>
    <row r="1456">
      <c r="A1456" s="115" t="str">
        <f>IFERROR(__xludf.DUMMYFUNCTION("""COMPUTED_VALUE"""),"SOUTH")</f>
        <v>SOUTH</v>
      </c>
      <c r="B1456" s="115" t="str">
        <f>IFERROR(__xludf.DUMMYFUNCTION("""COMPUTED_VALUE"""),"Martin A")</f>
        <v>Martin A</v>
      </c>
      <c r="C1456" s="115" t="str">
        <f>IFERROR(__xludf.DUMMYFUNCTION("""COMPUTED_VALUE"""),"MYNTRA")</f>
        <v>MYNTRA</v>
      </c>
      <c r="D1456" s="115">
        <f>IFERROR(__xludf.DUMMYFUNCTION("""COMPUTED_VALUE"""),24453.0)</f>
        <v>24453</v>
      </c>
      <c r="E1456" s="115">
        <f>IFERROR(__xludf.DUMMYFUNCTION("""COMPUTED_VALUE"""),6913.0)</f>
        <v>6913</v>
      </c>
      <c r="F1456" s="115">
        <f>IFERROR(__xludf.DUMMYFUNCTION("""COMPUTED_VALUE"""),17567.0)</f>
        <v>17567</v>
      </c>
      <c r="G1456" s="115">
        <f>IFERROR(__xludf.DUMMYFUNCTION("""COMPUTED_VALUE"""),3065.0)</f>
        <v>3065</v>
      </c>
      <c r="H1456" s="116">
        <f>IFERROR(__xludf.DUMMYFUNCTION("""COMPUTED_VALUE"""),45903.0)</f>
        <v>45903</v>
      </c>
      <c r="I1456" s="115" t="str">
        <f>IFERROR(__xludf.DUMMYFUNCTION("""COMPUTED_VALUE"""),"17")</f>
        <v>17</v>
      </c>
      <c r="J1456" s="115" t="str">
        <f>IFERROR(__xludf.DUMMYFUNCTION("""COMPUTED_VALUE"""),"Martin A2025-09-0317")</f>
        <v>Martin A2025-09-0317</v>
      </c>
      <c r="K1456" s="115">
        <f>IFERROR(__xludf.DUMMYFUNCTION("""COMPUTED_VALUE"""),31366.0)</f>
        <v>31366</v>
      </c>
    </row>
    <row r="1457">
      <c r="A1457" s="115" t="str">
        <f>IFERROR(__xludf.DUMMYFUNCTION("""COMPUTED_VALUE"""),"SOUTH")</f>
        <v>SOUTH</v>
      </c>
      <c r="B1457" s="115" t="str">
        <f>IFERROR(__xludf.DUMMYFUNCTION("""COMPUTED_VALUE"""),"Premkumar M")</f>
        <v>Premkumar M</v>
      </c>
      <c r="C1457" s="115" t="str">
        <f>IFERROR(__xludf.DUMMYFUNCTION("""COMPUTED_VALUE"""),"EXTERNAL")</f>
        <v>EXTERNAL</v>
      </c>
      <c r="D1457" s="115">
        <f>IFERROR(__xludf.DUMMYFUNCTION("""COMPUTED_VALUE"""),29386.0)</f>
        <v>29386</v>
      </c>
      <c r="E1457" s="115">
        <f>IFERROR(__xludf.DUMMYFUNCTION("""COMPUTED_VALUE"""),2852.0)</f>
        <v>2852</v>
      </c>
      <c r="F1457" s="115">
        <f>IFERROR(__xludf.DUMMYFUNCTION("""COMPUTED_VALUE"""),11663.0)</f>
        <v>11663</v>
      </c>
      <c r="G1457" s="115">
        <f>IFERROR(__xludf.DUMMYFUNCTION("""COMPUTED_VALUE"""),390.0)</f>
        <v>390</v>
      </c>
      <c r="H1457" s="116">
        <f>IFERROR(__xludf.DUMMYFUNCTION("""COMPUTED_VALUE"""),45903.0)</f>
        <v>45903</v>
      </c>
      <c r="I1457" s="115" t="str">
        <f>IFERROR(__xludf.DUMMYFUNCTION("""COMPUTED_VALUE"""),"17")</f>
        <v>17</v>
      </c>
      <c r="J1457" s="115" t="str">
        <f>IFERROR(__xludf.DUMMYFUNCTION("""COMPUTED_VALUE"""),"Premkumar M2025-09-0317")</f>
        <v>Premkumar M2025-09-0317</v>
      </c>
      <c r="K1457" s="115">
        <f>IFERROR(__xludf.DUMMYFUNCTION("""COMPUTED_VALUE"""),32238.0)</f>
        <v>32238</v>
      </c>
    </row>
    <row r="1458">
      <c r="A1458" s="115" t="str">
        <f>IFERROR(__xludf.DUMMYFUNCTION("""COMPUTED_VALUE"""),"SOUTH")</f>
        <v>SOUTH</v>
      </c>
      <c r="B1458" s="115" t="str">
        <f>IFERROR(__xludf.DUMMYFUNCTION("""COMPUTED_VALUE"""),"Premkumar M")</f>
        <v>Premkumar M</v>
      </c>
      <c r="C1458" s="115" t="str">
        <f>IFERROR(__xludf.DUMMYFUNCTION("""COMPUTED_VALUE"""),"FLIPKART")</f>
        <v>FLIPKART</v>
      </c>
      <c r="D1458" s="115">
        <f>IFERROR(__xludf.DUMMYFUNCTION("""COMPUTED_VALUE"""),259792.0)</f>
        <v>259792</v>
      </c>
      <c r="E1458" s="115">
        <f>IFERROR(__xludf.DUMMYFUNCTION("""COMPUTED_VALUE"""),19638.0)</f>
        <v>19638</v>
      </c>
      <c r="F1458" s="115">
        <f>IFERROR(__xludf.DUMMYFUNCTION("""COMPUTED_VALUE"""),157185.0)</f>
        <v>157185</v>
      </c>
      <c r="G1458" s="115">
        <f>IFERROR(__xludf.DUMMYFUNCTION("""COMPUTED_VALUE"""),4292.0)</f>
        <v>4292</v>
      </c>
      <c r="H1458" s="116">
        <f>IFERROR(__xludf.DUMMYFUNCTION("""COMPUTED_VALUE"""),45903.0)</f>
        <v>45903</v>
      </c>
      <c r="I1458" s="115" t="str">
        <f>IFERROR(__xludf.DUMMYFUNCTION("""COMPUTED_VALUE"""),"17")</f>
        <v>17</v>
      </c>
      <c r="J1458" s="115" t="str">
        <f>IFERROR(__xludf.DUMMYFUNCTION("""COMPUTED_VALUE"""),"Premkumar M2025-09-0317")</f>
        <v>Premkumar M2025-09-0317</v>
      </c>
      <c r="K1458" s="115">
        <f>IFERROR(__xludf.DUMMYFUNCTION("""COMPUTED_VALUE"""),279430.0)</f>
        <v>279430</v>
      </c>
    </row>
    <row r="1459">
      <c r="A1459" s="115" t="str">
        <f>IFERROR(__xludf.DUMMYFUNCTION("""COMPUTED_VALUE"""),"SOUTH")</f>
        <v>SOUTH</v>
      </c>
      <c r="B1459" s="115" t="str">
        <f>IFERROR(__xludf.DUMMYFUNCTION("""COMPUTED_VALUE"""),"Premkumar M")</f>
        <v>Premkumar M</v>
      </c>
      <c r="C1459" s="115" t="str">
        <f>IFERROR(__xludf.DUMMYFUNCTION("""COMPUTED_VALUE"""),"MYNTRA")</f>
        <v>MYNTRA</v>
      </c>
      <c r="D1459" s="115">
        <f>IFERROR(__xludf.DUMMYFUNCTION("""COMPUTED_VALUE"""),13899.0)</f>
        <v>13899</v>
      </c>
      <c r="E1459" s="115">
        <f>IFERROR(__xludf.DUMMYFUNCTION("""COMPUTED_VALUE"""),2956.0)</f>
        <v>2956</v>
      </c>
      <c r="F1459" s="115">
        <f>IFERROR(__xludf.DUMMYFUNCTION("""COMPUTED_VALUE"""),9733.0)</f>
        <v>9733</v>
      </c>
      <c r="G1459" s="115">
        <f>IFERROR(__xludf.DUMMYFUNCTION("""COMPUTED_VALUE"""),708.0)</f>
        <v>708</v>
      </c>
      <c r="H1459" s="116">
        <f>IFERROR(__xludf.DUMMYFUNCTION("""COMPUTED_VALUE"""),45903.0)</f>
        <v>45903</v>
      </c>
      <c r="I1459" s="115" t="str">
        <f>IFERROR(__xludf.DUMMYFUNCTION("""COMPUTED_VALUE"""),"17")</f>
        <v>17</v>
      </c>
      <c r="J1459" s="115" t="str">
        <f>IFERROR(__xludf.DUMMYFUNCTION("""COMPUTED_VALUE"""),"Premkumar M2025-09-0317")</f>
        <v>Premkumar M2025-09-0317</v>
      </c>
      <c r="K1459" s="115">
        <f>IFERROR(__xludf.DUMMYFUNCTION("""COMPUTED_VALUE"""),16855.0)</f>
        <v>16855</v>
      </c>
    </row>
    <row r="1460">
      <c r="A1460" s="115" t="str">
        <f>IFERROR(__xludf.DUMMYFUNCTION("""COMPUTED_VALUE"""),"SOUTH")</f>
        <v>SOUTH</v>
      </c>
      <c r="B1460" s="115" t="str">
        <f>IFERROR(__xludf.DUMMYFUNCTION("""COMPUTED_VALUE"""),"Vineeth V")</f>
        <v>Vineeth V</v>
      </c>
      <c r="C1460" s="115" t="str">
        <f>IFERROR(__xludf.DUMMYFUNCTION("""COMPUTED_VALUE"""),"EXTERNAL")</f>
        <v>EXTERNAL</v>
      </c>
      <c r="D1460" s="115">
        <f>IFERROR(__xludf.DUMMYFUNCTION("""COMPUTED_VALUE"""),22129.0)</f>
        <v>22129</v>
      </c>
      <c r="E1460" s="115">
        <f>IFERROR(__xludf.DUMMYFUNCTION("""COMPUTED_VALUE"""),933.0)</f>
        <v>933</v>
      </c>
      <c r="F1460" s="115">
        <f>IFERROR(__xludf.DUMMYFUNCTION("""COMPUTED_VALUE"""),9690.0)</f>
        <v>9690</v>
      </c>
      <c r="G1460" s="115">
        <f>IFERROR(__xludf.DUMMYFUNCTION("""COMPUTED_VALUE"""),232.0)</f>
        <v>232</v>
      </c>
      <c r="H1460" s="116">
        <f>IFERROR(__xludf.DUMMYFUNCTION("""COMPUTED_VALUE"""),45903.0)</f>
        <v>45903</v>
      </c>
      <c r="I1460" s="115" t="str">
        <f>IFERROR(__xludf.DUMMYFUNCTION("""COMPUTED_VALUE"""),"17")</f>
        <v>17</v>
      </c>
      <c r="J1460" s="115" t="str">
        <f>IFERROR(__xludf.DUMMYFUNCTION("""COMPUTED_VALUE"""),"Vineeth V2025-09-0317")</f>
        <v>Vineeth V2025-09-0317</v>
      </c>
      <c r="K1460" s="115">
        <f>IFERROR(__xludf.DUMMYFUNCTION("""COMPUTED_VALUE"""),23062.0)</f>
        <v>23062</v>
      </c>
    </row>
    <row r="1461">
      <c r="A1461" s="115" t="str">
        <f>IFERROR(__xludf.DUMMYFUNCTION("""COMPUTED_VALUE"""),"SOUTH")</f>
        <v>SOUTH</v>
      </c>
      <c r="B1461" s="115" t="str">
        <f>IFERROR(__xludf.DUMMYFUNCTION("""COMPUTED_VALUE"""),"Vineeth V")</f>
        <v>Vineeth V</v>
      </c>
      <c r="C1461" s="115" t="str">
        <f>IFERROR(__xludf.DUMMYFUNCTION("""COMPUTED_VALUE"""),"FLIPKART")</f>
        <v>FLIPKART</v>
      </c>
      <c r="D1461" s="115">
        <f>IFERROR(__xludf.DUMMYFUNCTION("""COMPUTED_VALUE"""),233692.0)</f>
        <v>233692</v>
      </c>
      <c r="E1461" s="115">
        <f>IFERROR(__xludf.DUMMYFUNCTION("""COMPUTED_VALUE"""),17354.0)</f>
        <v>17354</v>
      </c>
      <c r="F1461" s="115">
        <f>IFERROR(__xludf.DUMMYFUNCTION("""COMPUTED_VALUE"""),156926.0)</f>
        <v>156926</v>
      </c>
      <c r="G1461" s="115">
        <f>IFERROR(__xludf.DUMMYFUNCTION("""COMPUTED_VALUE"""),4294.0)</f>
        <v>4294</v>
      </c>
      <c r="H1461" s="116">
        <f>IFERROR(__xludf.DUMMYFUNCTION("""COMPUTED_VALUE"""),45903.0)</f>
        <v>45903</v>
      </c>
      <c r="I1461" s="115" t="str">
        <f>IFERROR(__xludf.DUMMYFUNCTION("""COMPUTED_VALUE"""),"17")</f>
        <v>17</v>
      </c>
      <c r="J1461" s="115" t="str">
        <f>IFERROR(__xludf.DUMMYFUNCTION("""COMPUTED_VALUE"""),"Vineeth V2025-09-0317")</f>
        <v>Vineeth V2025-09-0317</v>
      </c>
      <c r="K1461" s="115">
        <f>IFERROR(__xludf.DUMMYFUNCTION("""COMPUTED_VALUE"""),251046.0)</f>
        <v>251046</v>
      </c>
    </row>
    <row r="1462">
      <c r="A1462" s="115" t="str">
        <f>IFERROR(__xludf.DUMMYFUNCTION("""COMPUTED_VALUE"""),"SOUTH")</f>
        <v>SOUTH</v>
      </c>
      <c r="B1462" s="115" t="str">
        <f>IFERROR(__xludf.DUMMYFUNCTION("""COMPUTED_VALUE"""),"Vineeth V")</f>
        <v>Vineeth V</v>
      </c>
      <c r="C1462" s="115" t="str">
        <f>IFERROR(__xludf.DUMMYFUNCTION("""COMPUTED_VALUE"""),"MYNTRA")</f>
        <v>MYNTRA</v>
      </c>
      <c r="D1462" s="115">
        <f>IFERROR(__xludf.DUMMYFUNCTION("""COMPUTED_VALUE"""),22742.0)</f>
        <v>22742</v>
      </c>
      <c r="E1462" s="115">
        <f>IFERROR(__xludf.DUMMYFUNCTION("""COMPUTED_VALUE"""),4180.0)</f>
        <v>4180</v>
      </c>
      <c r="F1462" s="115">
        <f>IFERROR(__xludf.DUMMYFUNCTION("""COMPUTED_VALUE"""),16557.0)</f>
        <v>16557</v>
      </c>
      <c r="G1462" s="115">
        <f>IFERROR(__xludf.DUMMYFUNCTION("""COMPUTED_VALUE"""),1142.0)</f>
        <v>1142</v>
      </c>
      <c r="H1462" s="116">
        <f>IFERROR(__xludf.DUMMYFUNCTION("""COMPUTED_VALUE"""),45903.0)</f>
        <v>45903</v>
      </c>
      <c r="I1462" s="115" t="str">
        <f>IFERROR(__xludf.DUMMYFUNCTION("""COMPUTED_VALUE"""),"17")</f>
        <v>17</v>
      </c>
      <c r="J1462" s="115" t="str">
        <f>IFERROR(__xludf.DUMMYFUNCTION("""COMPUTED_VALUE"""),"Vineeth V2025-09-0317")</f>
        <v>Vineeth V2025-09-0317</v>
      </c>
      <c r="K1462" s="115">
        <f>IFERROR(__xludf.DUMMYFUNCTION("""COMPUTED_VALUE"""),26922.0)</f>
        <v>26922</v>
      </c>
    </row>
    <row r="1463">
      <c r="A1463" s="115" t="str">
        <f>IFERROR(__xludf.DUMMYFUNCTION("""COMPUTED_VALUE"""),"WEST")</f>
        <v>WEST</v>
      </c>
      <c r="B1463" s="115" t="str">
        <f>IFERROR(__xludf.DUMMYFUNCTION("""COMPUTED_VALUE"""),"Ashish Jakar")</f>
        <v>Ashish Jakar</v>
      </c>
      <c r="C1463" s="115" t="str">
        <f>IFERROR(__xludf.DUMMYFUNCTION("""COMPUTED_VALUE"""),"EXTERNAL")</f>
        <v>EXTERNAL</v>
      </c>
      <c r="D1463" s="115">
        <f>IFERROR(__xludf.DUMMYFUNCTION("""COMPUTED_VALUE"""),54224.0)</f>
        <v>54224</v>
      </c>
      <c r="E1463" s="115">
        <f>IFERROR(__xludf.DUMMYFUNCTION("""COMPUTED_VALUE"""),8204.0)</f>
        <v>8204</v>
      </c>
      <c r="F1463" s="115">
        <f>IFERROR(__xludf.DUMMYFUNCTION("""COMPUTED_VALUE"""),18151.0)</f>
        <v>18151</v>
      </c>
      <c r="G1463" s="115">
        <f>IFERROR(__xludf.DUMMYFUNCTION("""COMPUTED_VALUE"""),2000.0)</f>
        <v>2000</v>
      </c>
      <c r="H1463" s="116">
        <f>IFERROR(__xludf.DUMMYFUNCTION("""COMPUTED_VALUE"""),45903.0)</f>
        <v>45903</v>
      </c>
      <c r="I1463" s="115" t="str">
        <f>IFERROR(__xludf.DUMMYFUNCTION("""COMPUTED_VALUE"""),"17")</f>
        <v>17</v>
      </c>
      <c r="J1463" s="115" t="str">
        <f>IFERROR(__xludf.DUMMYFUNCTION("""COMPUTED_VALUE"""),"Ashish Jakar2025-09-0317")</f>
        <v>Ashish Jakar2025-09-0317</v>
      </c>
      <c r="K1463" s="115">
        <f>IFERROR(__xludf.DUMMYFUNCTION("""COMPUTED_VALUE"""),62428.0)</f>
        <v>62428</v>
      </c>
    </row>
    <row r="1464">
      <c r="A1464" s="115" t="str">
        <f>IFERROR(__xludf.DUMMYFUNCTION("""COMPUTED_VALUE"""),"WEST")</f>
        <v>WEST</v>
      </c>
      <c r="B1464" s="115" t="str">
        <f>IFERROR(__xludf.DUMMYFUNCTION("""COMPUTED_VALUE"""),"Ashish Jakar")</f>
        <v>Ashish Jakar</v>
      </c>
      <c r="C1464" s="115" t="str">
        <f>IFERROR(__xludf.DUMMYFUNCTION("""COMPUTED_VALUE"""),"FLIPKART")</f>
        <v>FLIPKART</v>
      </c>
      <c r="D1464" s="115">
        <f>IFERROR(__xludf.DUMMYFUNCTION("""COMPUTED_VALUE"""),318069.0)</f>
        <v>318069</v>
      </c>
      <c r="E1464" s="115">
        <f>IFERROR(__xludf.DUMMYFUNCTION("""COMPUTED_VALUE"""),34168.0)</f>
        <v>34168</v>
      </c>
      <c r="F1464" s="115">
        <f>IFERROR(__xludf.DUMMYFUNCTION("""COMPUTED_VALUE"""),196518.0)</f>
        <v>196518</v>
      </c>
      <c r="G1464" s="115">
        <f>IFERROR(__xludf.DUMMYFUNCTION("""COMPUTED_VALUE"""),14262.0)</f>
        <v>14262</v>
      </c>
      <c r="H1464" s="116">
        <f>IFERROR(__xludf.DUMMYFUNCTION("""COMPUTED_VALUE"""),45903.0)</f>
        <v>45903</v>
      </c>
      <c r="I1464" s="115" t="str">
        <f>IFERROR(__xludf.DUMMYFUNCTION("""COMPUTED_VALUE"""),"17")</f>
        <v>17</v>
      </c>
      <c r="J1464" s="115" t="str">
        <f>IFERROR(__xludf.DUMMYFUNCTION("""COMPUTED_VALUE"""),"Ashish Jakar2025-09-0317")</f>
        <v>Ashish Jakar2025-09-0317</v>
      </c>
      <c r="K1464" s="115">
        <f>IFERROR(__xludf.DUMMYFUNCTION("""COMPUTED_VALUE"""),352237.0)</f>
        <v>352237</v>
      </c>
    </row>
    <row r="1465">
      <c r="A1465" s="115" t="str">
        <f>IFERROR(__xludf.DUMMYFUNCTION("""COMPUTED_VALUE"""),"WEST")</f>
        <v>WEST</v>
      </c>
      <c r="B1465" s="115" t="str">
        <f>IFERROR(__xludf.DUMMYFUNCTION("""COMPUTED_VALUE"""),"Ashish Jakar")</f>
        <v>Ashish Jakar</v>
      </c>
      <c r="C1465" s="115" t="str">
        <f>IFERROR(__xludf.DUMMYFUNCTION("""COMPUTED_VALUE"""),"MYNTRA")</f>
        <v>MYNTRA</v>
      </c>
      <c r="D1465" s="115">
        <f>IFERROR(__xludf.DUMMYFUNCTION("""COMPUTED_VALUE"""),34711.0)</f>
        <v>34711</v>
      </c>
      <c r="E1465" s="115">
        <f>IFERROR(__xludf.DUMMYFUNCTION("""COMPUTED_VALUE"""),11309.0)</f>
        <v>11309</v>
      </c>
      <c r="F1465" s="115">
        <f>IFERROR(__xludf.DUMMYFUNCTION("""COMPUTED_VALUE"""),24279.0)</f>
        <v>24279</v>
      </c>
      <c r="G1465" s="115">
        <f>IFERROR(__xludf.DUMMYFUNCTION("""COMPUTED_VALUE"""),5260.0)</f>
        <v>5260</v>
      </c>
      <c r="H1465" s="116">
        <f>IFERROR(__xludf.DUMMYFUNCTION("""COMPUTED_VALUE"""),45903.0)</f>
        <v>45903</v>
      </c>
      <c r="I1465" s="115" t="str">
        <f>IFERROR(__xludf.DUMMYFUNCTION("""COMPUTED_VALUE"""),"17")</f>
        <v>17</v>
      </c>
      <c r="J1465" s="115" t="str">
        <f>IFERROR(__xludf.DUMMYFUNCTION("""COMPUTED_VALUE"""),"Ashish Jakar2025-09-0317")</f>
        <v>Ashish Jakar2025-09-0317</v>
      </c>
      <c r="K1465" s="115">
        <f>IFERROR(__xludf.DUMMYFUNCTION("""COMPUTED_VALUE"""),46020.0)</f>
        <v>46020</v>
      </c>
    </row>
    <row r="1466">
      <c r="A1466" s="115" t="str">
        <f>IFERROR(__xludf.DUMMYFUNCTION("""COMPUTED_VALUE"""),"WEST")</f>
        <v>WEST</v>
      </c>
      <c r="B1466" s="115" t="str">
        <f>IFERROR(__xludf.DUMMYFUNCTION("""COMPUTED_VALUE"""),"Ashvani Bhatt")</f>
        <v>Ashvani Bhatt</v>
      </c>
      <c r="C1466" s="115" t="str">
        <f>IFERROR(__xludf.DUMMYFUNCTION("""COMPUTED_VALUE"""),"EXTERNAL")</f>
        <v>EXTERNAL</v>
      </c>
      <c r="D1466" s="115">
        <f>IFERROR(__xludf.DUMMYFUNCTION("""COMPUTED_VALUE"""),34718.0)</f>
        <v>34718</v>
      </c>
      <c r="E1466" s="115">
        <f>IFERROR(__xludf.DUMMYFUNCTION("""COMPUTED_VALUE"""),5207.0)</f>
        <v>5207</v>
      </c>
      <c r="F1466" s="115">
        <f>IFERROR(__xludf.DUMMYFUNCTION("""COMPUTED_VALUE"""),12896.0)</f>
        <v>12896</v>
      </c>
      <c r="G1466" s="115">
        <f>IFERROR(__xludf.DUMMYFUNCTION("""COMPUTED_VALUE"""),1113.0)</f>
        <v>1113</v>
      </c>
      <c r="H1466" s="116">
        <f>IFERROR(__xludf.DUMMYFUNCTION("""COMPUTED_VALUE"""),45903.0)</f>
        <v>45903</v>
      </c>
      <c r="I1466" s="115" t="str">
        <f>IFERROR(__xludf.DUMMYFUNCTION("""COMPUTED_VALUE"""),"17")</f>
        <v>17</v>
      </c>
      <c r="J1466" s="115" t="str">
        <f>IFERROR(__xludf.DUMMYFUNCTION("""COMPUTED_VALUE"""),"Ashvani Bhatt2025-09-0317")</f>
        <v>Ashvani Bhatt2025-09-0317</v>
      </c>
      <c r="K1466" s="115">
        <f>IFERROR(__xludf.DUMMYFUNCTION("""COMPUTED_VALUE"""),39925.0)</f>
        <v>39925</v>
      </c>
    </row>
    <row r="1467">
      <c r="A1467" s="115" t="str">
        <f>IFERROR(__xludf.DUMMYFUNCTION("""COMPUTED_VALUE"""),"WEST")</f>
        <v>WEST</v>
      </c>
      <c r="B1467" s="115" t="str">
        <f>IFERROR(__xludf.DUMMYFUNCTION("""COMPUTED_VALUE"""),"Ashvani Bhatt")</f>
        <v>Ashvani Bhatt</v>
      </c>
      <c r="C1467" s="115" t="str">
        <f>IFERROR(__xludf.DUMMYFUNCTION("""COMPUTED_VALUE"""),"FLIPKART")</f>
        <v>FLIPKART</v>
      </c>
      <c r="D1467" s="115">
        <f>IFERROR(__xludf.DUMMYFUNCTION("""COMPUTED_VALUE"""),252225.0)</f>
        <v>252225</v>
      </c>
      <c r="E1467" s="115">
        <f>IFERROR(__xludf.DUMMYFUNCTION("""COMPUTED_VALUE"""),28998.0)</f>
        <v>28998</v>
      </c>
      <c r="F1467" s="115">
        <f>IFERROR(__xludf.DUMMYFUNCTION("""COMPUTED_VALUE"""),171171.0)</f>
        <v>171171</v>
      </c>
      <c r="G1467" s="115">
        <f>IFERROR(__xludf.DUMMYFUNCTION("""COMPUTED_VALUE"""),12730.0)</f>
        <v>12730</v>
      </c>
      <c r="H1467" s="116">
        <f>IFERROR(__xludf.DUMMYFUNCTION("""COMPUTED_VALUE"""),45903.0)</f>
        <v>45903</v>
      </c>
      <c r="I1467" s="115" t="str">
        <f>IFERROR(__xludf.DUMMYFUNCTION("""COMPUTED_VALUE"""),"17")</f>
        <v>17</v>
      </c>
      <c r="J1467" s="115" t="str">
        <f>IFERROR(__xludf.DUMMYFUNCTION("""COMPUTED_VALUE"""),"Ashvani Bhatt2025-09-0317")</f>
        <v>Ashvani Bhatt2025-09-0317</v>
      </c>
      <c r="K1467" s="115">
        <f>IFERROR(__xludf.DUMMYFUNCTION("""COMPUTED_VALUE"""),281223.0)</f>
        <v>281223</v>
      </c>
    </row>
    <row r="1468">
      <c r="A1468" s="115" t="str">
        <f>IFERROR(__xludf.DUMMYFUNCTION("""COMPUTED_VALUE"""),"WEST")</f>
        <v>WEST</v>
      </c>
      <c r="B1468" s="115" t="str">
        <f>IFERROR(__xludf.DUMMYFUNCTION("""COMPUTED_VALUE"""),"Ashvani Bhatt")</f>
        <v>Ashvani Bhatt</v>
      </c>
      <c r="C1468" s="115" t="str">
        <f>IFERROR(__xludf.DUMMYFUNCTION("""COMPUTED_VALUE"""),"MYNTRA")</f>
        <v>MYNTRA</v>
      </c>
      <c r="D1468" s="115">
        <f>IFERROR(__xludf.DUMMYFUNCTION("""COMPUTED_VALUE"""),29513.0)</f>
        <v>29513</v>
      </c>
      <c r="E1468" s="115">
        <f>IFERROR(__xludf.DUMMYFUNCTION("""COMPUTED_VALUE"""),8544.0)</f>
        <v>8544</v>
      </c>
      <c r="F1468" s="115">
        <f>IFERROR(__xludf.DUMMYFUNCTION("""COMPUTED_VALUE"""),23143.0)</f>
        <v>23143</v>
      </c>
      <c r="G1468" s="115">
        <f>IFERROR(__xludf.DUMMYFUNCTION("""COMPUTED_VALUE"""),4254.0)</f>
        <v>4254</v>
      </c>
      <c r="H1468" s="116">
        <f>IFERROR(__xludf.DUMMYFUNCTION("""COMPUTED_VALUE"""),45903.0)</f>
        <v>45903</v>
      </c>
      <c r="I1468" s="115" t="str">
        <f>IFERROR(__xludf.DUMMYFUNCTION("""COMPUTED_VALUE"""),"17")</f>
        <v>17</v>
      </c>
      <c r="J1468" s="115" t="str">
        <f>IFERROR(__xludf.DUMMYFUNCTION("""COMPUTED_VALUE"""),"Ashvani Bhatt2025-09-0317")</f>
        <v>Ashvani Bhatt2025-09-0317</v>
      </c>
      <c r="K1468" s="115">
        <f>IFERROR(__xludf.DUMMYFUNCTION("""COMPUTED_VALUE"""),38057.0)</f>
        <v>38057</v>
      </c>
    </row>
    <row r="1469">
      <c r="A1469" s="115"/>
      <c r="B1469" s="115"/>
      <c r="C1469" s="115" t="str">
        <f>IFERROR(__xludf.DUMMYFUNCTION("""COMPUTED_VALUE"""),"EXTERNAL")</f>
        <v>EXTERNAL</v>
      </c>
      <c r="D1469" s="115">
        <f>IFERROR(__xludf.DUMMYFUNCTION("""COMPUTED_VALUE"""),944.0)</f>
        <v>944</v>
      </c>
      <c r="E1469" s="115">
        <f>IFERROR(__xludf.DUMMYFUNCTION("""COMPUTED_VALUE"""),163.0)</f>
        <v>163</v>
      </c>
      <c r="F1469" s="115">
        <f>IFERROR(__xludf.DUMMYFUNCTION("""COMPUTED_VALUE"""),368.0)</f>
        <v>368</v>
      </c>
      <c r="G1469" s="115">
        <f>IFERROR(__xludf.DUMMYFUNCTION("""COMPUTED_VALUE"""),29.0)</f>
        <v>29</v>
      </c>
      <c r="H1469" s="116">
        <f>IFERROR(__xludf.DUMMYFUNCTION("""COMPUTED_VALUE"""),45903.0)</f>
        <v>45903</v>
      </c>
      <c r="I1469" s="115" t="str">
        <f>IFERROR(__xludf.DUMMYFUNCTION("""COMPUTED_VALUE"""),"17")</f>
        <v>17</v>
      </c>
      <c r="J1469" s="115" t="str">
        <f>IFERROR(__xludf.DUMMYFUNCTION("""COMPUTED_VALUE"""),"2025-09-0317")</f>
        <v>2025-09-0317</v>
      </c>
      <c r="K1469" s="115">
        <f>IFERROR(__xludf.DUMMYFUNCTION("""COMPUTED_VALUE"""),1107.0)</f>
        <v>1107</v>
      </c>
    </row>
    <row r="1470">
      <c r="A1470" s="115"/>
      <c r="B1470" s="115"/>
      <c r="C1470" s="115" t="str">
        <f>IFERROR(__xludf.DUMMYFUNCTION("""COMPUTED_VALUE"""),"FLIPKART")</f>
        <v>FLIPKART</v>
      </c>
      <c r="D1470" s="115">
        <f>IFERROR(__xludf.DUMMYFUNCTION("""COMPUTED_VALUE"""),6093.0)</f>
        <v>6093</v>
      </c>
      <c r="E1470" s="115">
        <f>IFERROR(__xludf.DUMMYFUNCTION("""COMPUTED_VALUE"""),782.0)</f>
        <v>782</v>
      </c>
      <c r="F1470" s="115">
        <f>IFERROR(__xludf.DUMMYFUNCTION("""COMPUTED_VALUE"""),3667.0)</f>
        <v>3667</v>
      </c>
      <c r="G1470" s="115">
        <f>IFERROR(__xludf.DUMMYFUNCTION("""COMPUTED_VALUE"""),257.0)</f>
        <v>257</v>
      </c>
      <c r="H1470" s="116">
        <f>IFERROR(__xludf.DUMMYFUNCTION("""COMPUTED_VALUE"""),45903.0)</f>
        <v>45903</v>
      </c>
      <c r="I1470" s="115" t="str">
        <f>IFERROR(__xludf.DUMMYFUNCTION("""COMPUTED_VALUE"""),"17")</f>
        <v>17</v>
      </c>
      <c r="J1470" s="115" t="str">
        <f>IFERROR(__xludf.DUMMYFUNCTION("""COMPUTED_VALUE"""),"2025-09-0317")</f>
        <v>2025-09-0317</v>
      </c>
      <c r="K1470" s="115">
        <f>IFERROR(__xludf.DUMMYFUNCTION("""COMPUTED_VALUE"""),6875.0)</f>
        <v>6875</v>
      </c>
    </row>
    <row r="1471">
      <c r="A1471" s="115"/>
      <c r="B1471" s="115"/>
      <c r="C1471" s="115" t="str">
        <f>IFERROR(__xludf.DUMMYFUNCTION("""COMPUTED_VALUE"""),"MYNTRA")</f>
        <v>MYNTRA</v>
      </c>
      <c r="D1471" s="115">
        <f>IFERROR(__xludf.DUMMYFUNCTION("""COMPUTED_VALUE"""),663.0)</f>
        <v>663</v>
      </c>
      <c r="E1471" s="115">
        <f>IFERROR(__xludf.DUMMYFUNCTION("""COMPUTED_VALUE"""),222.0)</f>
        <v>222</v>
      </c>
      <c r="F1471" s="115">
        <f>IFERROR(__xludf.DUMMYFUNCTION("""COMPUTED_VALUE"""),448.0)</f>
        <v>448</v>
      </c>
      <c r="G1471" s="115">
        <f>IFERROR(__xludf.DUMMYFUNCTION("""COMPUTED_VALUE"""),96.0)</f>
        <v>96</v>
      </c>
      <c r="H1471" s="116">
        <f>IFERROR(__xludf.DUMMYFUNCTION("""COMPUTED_VALUE"""),45903.0)</f>
        <v>45903</v>
      </c>
      <c r="I1471" s="115" t="str">
        <f>IFERROR(__xludf.DUMMYFUNCTION("""COMPUTED_VALUE"""),"17")</f>
        <v>17</v>
      </c>
      <c r="J1471" s="115" t="str">
        <f>IFERROR(__xludf.DUMMYFUNCTION("""COMPUTED_VALUE"""),"2025-09-0317")</f>
        <v>2025-09-0317</v>
      </c>
      <c r="K1471" s="115">
        <f>IFERROR(__xludf.DUMMYFUNCTION("""COMPUTED_VALUE"""),885.0)</f>
        <v>885</v>
      </c>
    </row>
    <row r="1472">
      <c r="A1472" s="115" t="str">
        <f>IFERROR(__xludf.DUMMYFUNCTION("""COMPUTED_VALUE"""),"EAST")</f>
        <v>EAST</v>
      </c>
      <c r="B1472" s="115" t="str">
        <f>IFERROR(__xludf.DUMMYFUNCTION("""COMPUTED_VALUE"""),"Ashish Ranjan")</f>
        <v>Ashish Ranjan</v>
      </c>
      <c r="C1472" s="115" t="str">
        <f>IFERROR(__xludf.DUMMYFUNCTION("""COMPUTED_VALUE"""),"EXTERNAL")</f>
        <v>EXTERNAL</v>
      </c>
      <c r="D1472" s="115">
        <f>IFERROR(__xludf.DUMMYFUNCTION("""COMPUTED_VALUE"""),40213.0)</f>
        <v>40213</v>
      </c>
      <c r="E1472" s="115">
        <f>IFERROR(__xludf.DUMMYFUNCTION("""COMPUTED_VALUE"""),4634.0)</f>
        <v>4634</v>
      </c>
      <c r="F1472" s="115">
        <f>IFERROR(__xludf.DUMMYFUNCTION("""COMPUTED_VALUE"""),19995.0)</f>
        <v>19995</v>
      </c>
      <c r="G1472" s="115">
        <f>IFERROR(__xludf.DUMMYFUNCTION("""COMPUTED_VALUE"""),1594.0)</f>
        <v>1594</v>
      </c>
      <c r="H1472" s="116">
        <f>IFERROR(__xludf.DUMMYFUNCTION("""COMPUTED_VALUE"""),45903.0)</f>
        <v>45903</v>
      </c>
      <c r="I1472" s="115" t="str">
        <f>IFERROR(__xludf.DUMMYFUNCTION("""COMPUTED_VALUE"""),"18")</f>
        <v>18</v>
      </c>
      <c r="J1472" s="115" t="str">
        <f>IFERROR(__xludf.DUMMYFUNCTION("""COMPUTED_VALUE"""),"Ashish Ranjan2025-09-0318")</f>
        <v>Ashish Ranjan2025-09-0318</v>
      </c>
      <c r="K1472" s="115">
        <f>IFERROR(__xludf.DUMMYFUNCTION("""COMPUTED_VALUE"""),44847.0)</f>
        <v>44847</v>
      </c>
    </row>
    <row r="1473">
      <c r="A1473" s="115" t="str">
        <f>IFERROR(__xludf.DUMMYFUNCTION("""COMPUTED_VALUE"""),"EAST")</f>
        <v>EAST</v>
      </c>
      <c r="B1473" s="115" t="str">
        <f>IFERROR(__xludf.DUMMYFUNCTION("""COMPUTED_VALUE"""),"Ashish Ranjan")</f>
        <v>Ashish Ranjan</v>
      </c>
      <c r="C1473" s="115" t="str">
        <f>IFERROR(__xludf.DUMMYFUNCTION("""COMPUTED_VALUE"""),"FLIPKART")</f>
        <v>FLIPKART</v>
      </c>
      <c r="D1473" s="115">
        <f>IFERROR(__xludf.DUMMYFUNCTION("""COMPUTED_VALUE"""),621240.0)</f>
        <v>621240</v>
      </c>
      <c r="E1473" s="115">
        <f>IFERROR(__xludf.DUMMYFUNCTION("""COMPUTED_VALUE"""),57095.0)</f>
        <v>57095</v>
      </c>
      <c r="F1473" s="115">
        <f>IFERROR(__xludf.DUMMYFUNCTION("""COMPUTED_VALUE"""),505485.0)</f>
        <v>505485</v>
      </c>
      <c r="G1473" s="115">
        <f>IFERROR(__xludf.DUMMYFUNCTION("""COMPUTED_VALUE"""),34431.0)</f>
        <v>34431</v>
      </c>
      <c r="H1473" s="116">
        <f>IFERROR(__xludf.DUMMYFUNCTION("""COMPUTED_VALUE"""),45903.0)</f>
        <v>45903</v>
      </c>
      <c r="I1473" s="115" t="str">
        <f>IFERROR(__xludf.DUMMYFUNCTION("""COMPUTED_VALUE"""),"18")</f>
        <v>18</v>
      </c>
      <c r="J1473" s="115" t="str">
        <f>IFERROR(__xludf.DUMMYFUNCTION("""COMPUTED_VALUE"""),"Ashish Ranjan2025-09-0318")</f>
        <v>Ashish Ranjan2025-09-0318</v>
      </c>
      <c r="K1473" s="115">
        <f>IFERROR(__xludf.DUMMYFUNCTION("""COMPUTED_VALUE"""),678335.0)</f>
        <v>678335</v>
      </c>
    </row>
    <row r="1474">
      <c r="A1474" s="115" t="str">
        <f>IFERROR(__xludf.DUMMYFUNCTION("""COMPUTED_VALUE"""),"EAST")</f>
        <v>EAST</v>
      </c>
      <c r="B1474" s="115" t="str">
        <f>IFERROR(__xludf.DUMMYFUNCTION("""COMPUTED_VALUE"""),"Ashish Ranjan")</f>
        <v>Ashish Ranjan</v>
      </c>
      <c r="C1474" s="115" t="str">
        <f>IFERROR(__xludf.DUMMYFUNCTION("""COMPUTED_VALUE"""),"MYNTRA")</f>
        <v>MYNTRA</v>
      </c>
      <c r="D1474" s="115">
        <f>IFERROR(__xludf.DUMMYFUNCTION("""COMPUTED_VALUE"""),55883.0)</f>
        <v>55883</v>
      </c>
      <c r="E1474" s="115">
        <f>IFERROR(__xludf.DUMMYFUNCTION("""COMPUTED_VALUE"""),12391.0)</f>
        <v>12391</v>
      </c>
      <c r="F1474" s="115">
        <f>IFERROR(__xludf.DUMMYFUNCTION("""COMPUTED_VALUE"""),45712.0)</f>
        <v>45712</v>
      </c>
      <c r="G1474" s="115">
        <f>IFERROR(__xludf.DUMMYFUNCTION("""COMPUTED_VALUE"""),7642.0)</f>
        <v>7642</v>
      </c>
      <c r="H1474" s="116">
        <f>IFERROR(__xludf.DUMMYFUNCTION("""COMPUTED_VALUE"""),45903.0)</f>
        <v>45903</v>
      </c>
      <c r="I1474" s="115" t="str">
        <f>IFERROR(__xludf.DUMMYFUNCTION("""COMPUTED_VALUE"""),"18")</f>
        <v>18</v>
      </c>
      <c r="J1474" s="115" t="str">
        <f>IFERROR(__xludf.DUMMYFUNCTION("""COMPUTED_VALUE"""),"Ashish Ranjan2025-09-0318")</f>
        <v>Ashish Ranjan2025-09-0318</v>
      </c>
      <c r="K1474" s="115">
        <f>IFERROR(__xludf.DUMMYFUNCTION("""COMPUTED_VALUE"""),68274.0)</f>
        <v>68274</v>
      </c>
    </row>
    <row r="1475">
      <c r="A1475" s="115" t="str">
        <f>IFERROR(__xludf.DUMMYFUNCTION("""COMPUTED_VALUE"""),"EAST")</f>
        <v>EAST</v>
      </c>
      <c r="B1475" s="115" t="str">
        <f>IFERROR(__xludf.DUMMYFUNCTION("""COMPUTED_VALUE"""),"Girish Chand")</f>
        <v>Girish Chand</v>
      </c>
      <c r="C1475" s="115" t="str">
        <f>IFERROR(__xludf.DUMMYFUNCTION("""COMPUTED_VALUE"""),"EXTERNAL")</f>
        <v>EXTERNAL</v>
      </c>
      <c r="D1475" s="115">
        <f>IFERROR(__xludf.DUMMYFUNCTION("""COMPUTED_VALUE"""),24902.0)</f>
        <v>24902</v>
      </c>
      <c r="E1475" s="115">
        <f>IFERROR(__xludf.DUMMYFUNCTION("""COMPUTED_VALUE"""),3182.0)</f>
        <v>3182</v>
      </c>
      <c r="F1475" s="115">
        <f>IFERROR(__xludf.DUMMYFUNCTION("""COMPUTED_VALUE"""),9815.0)</f>
        <v>9815</v>
      </c>
      <c r="G1475" s="115">
        <f>IFERROR(__xludf.DUMMYFUNCTION("""COMPUTED_VALUE"""),757.0)</f>
        <v>757</v>
      </c>
      <c r="H1475" s="116">
        <f>IFERROR(__xludf.DUMMYFUNCTION("""COMPUTED_VALUE"""),45903.0)</f>
        <v>45903</v>
      </c>
      <c r="I1475" s="115" t="str">
        <f>IFERROR(__xludf.DUMMYFUNCTION("""COMPUTED_VALUE"""),"18")</f>
        <v>18</v>
      </c>
      <c r="J1475" s="115" t="str">
        <f>IFERROR(__xludf.DUMMYFUNCTION("""COMPUTED_VALUE"""),"Girish Chand2025-09-0318")</f>
        <v>Girish Chand2025-09-0318</v>
      </c>
      <c r="K1475" s="115">
        <f>IFERROR(__xludf.DUMMYFUNCTION("""COMPUTED_VALUE"""),28084.0)</f>
        <v>28084</v>
      </c>
    </row>
    <row r="1476">
      <c r="A1476" s="115" t="str">
        <f>IFERROR(__xludf.DUMMYFUNCTION("""COMPUTED_VALUE"""),"EAST")</f>
        <v>EAST</v>
      </c>
      <c r="B1476" s="115" t="str">
        <f>IFERROR(__xludf.DUMMYFUNCTION("""COMPUTED_VALUE"""),"Girish Chand")</f>
        <v>Girish Chand</v>
      </c>
      <c r="C1476" s="115" t="str">
        <f>IFERROR(__xludf.DUMMYFUNCTION("""COMPUTED_VALUE"""),"FLIPKART")</f>
        <v>FLIPKART</v>
      </c>
      <c r="D1476" s="115">
        <f>IFERROR(__xludf.DUMMYFUNCTION("""COMPUTED_VALUE"""),430499.0)</f>
        <v>430499</v>
      </c>
      <c r="E1476" s="115">
        <f>IFERROR(__xludf.DUMMYFUNCTION("""COMPUTED_VALUE"""),37394.0)</f>
        <v>37394</v>
      </c>
      <c r="F1476" s="115">
        <f>IFERROR(__xludf.DUMMYFUNCTION("""COMPUTED_VALUE"""),305882.0)</f>
        <v>305882</v>
      </c>
      <c r="G1476" s="115">
        <f>IFERROR(__xludf.DUMMYFUNCTION("""COMPUTED_VALUE"""),18608.0)</f>
        <v>18608</v>
      </c>
      <c r="H1476" s="116">
        <f>IFERROR(__xludf.DUMMYFUNCTION("""COMPUTED_VALUE"""),45903.0)</f>
        <v>45903</v>
      </c>
      <c r="I1476" s="115" t="str">
        <f>IFERROR(__xludf.DUMMYFUNCTION("""COMPUTED_VALUE"""),"18")</f>
        <v>18</v>
      </c>
      <c r="J1476" s="115" t="str">
        <f>IFERROR(__xludf.DUMMYFUNCTION("""COMPUTED_VALUE"""),"Girish Chand2025-09-0318")</f>
        <v>Girish Chand2025-09-0318</v>
      </c>
      <c r="K1476" s="115">
        <f>IFERROR(__xludf.DUMMYFUNCTION("""COMPUTED_VALUE"""),467893.0)</f>
        <v>467893</v>
      </c>
    </row>
    <row r="1477">
      <c r="A1477" s="115" t="str">
        <f>IFERROR(__xludf.DUMMYFUNCTION("""COMPUTED_VALUE"""),"EAST")</f>
        <v>EAST</v>
      </c>
      <c r="B1477" s="115" t="str">
        <f>IFERROR(__xludf.DUMMYFUNCTION("""COMPUTED_VALUE"""),"Girish Chand")</f>
        <v>Girish Chand</v>
      </c>
      <c r="C1477" s="115" t="str">
        <f>IFERROR(__xludf.DUMMYFUNCTION("""COMPUTED_VALUE"""),"MYNTRA")</f>
        <v>MYNTRA</v>
      </c>
      <c r="D1477" s="115">
        <f>IFERROR(__xludf.DUMMYFUNCTION("""COMPUTED_VALUE"""),33658.0)</f>
        <v>33658</v>
      </c>
      <c r="E1477" s="115">
        <f>IFERROR(__xludf.DUMMYFUNCTION("""COMPUTED_VALUE"""),6409.0)</f>
        <v>6409</v>
      </c>
      <c r="F1477" s="115">
        <f>IFERROR(__xludf.DUMMYFUNCTION("""COMPUTED_VALUE"""),25202.0)</f>
        <v>25202</v>
      </c>
      <c r="G1477" s="115">
        <f>IFERROR(__xludf.DUMMYFUNCTION("""COMPUTED_VALUE"""),3379.0)</f>
        <v>3379</v>
      </c>
      <c r="H1477" s="116">
        <f>IFERROR(__xludf.DUMMYFUNCTION("""COMPUTED_VALUE"""),45903.0)</f>
        <v>45903</v>
      </c>
      <c r="I1477" s="115" t="str">
        <f>IFERROR(__xludf.DUMMYFUNCTION("""COMPUTED_VALUE"""),"18")</f>
        <v>18</v>
      </c>
      <c r="J1477" s="115" t="str">
        <f>IFERROR(__xludf.DUMMYFUNCTION("""COMPUTED_VALUE"""),"Girish Chand2025-09-0318")</f>
        <v>Girish Chand2025-09-0318</v>
      </c>
      <c r="K1477" s="115">
        <f>IFERROR(__xludf.DUMMYFUNCTION("""COMPUTED_VALUE"""),40067.0)</f>
        <v>40067</v>
      </c>
    </row>
    <row r="1478">
      <c r="A1478" s="115" t="str">
        <f>IFERROR(__xludf.DUMMYFUNCTION("""COMPUTED_VALUE"""),"EAST")</f>
        <v>EAST</v>
      </c>
      <c r="B1478" s="115" t="str">
        <f>IFERROR(__xludf.DUMMYFUNCTION("""COMPUTED_VALUE"""),"Parag Kashyap")</f>
        <v>Parag Kashyap</v>
      </c>
      <c r="C1478" s="115" t="str">
        <f>IFERROR(__xludf.DUMMYFUNCTION("""COMPUTED_VALUE"""),"EXTERNAL")</f>
        <v>EXTERNAL</v>
      </c>
      <c r="D1478" s="115">
        <f>IFERROR(__xludf.DUMMYFUNCTION("""COMPUTED_VALUE"""),21358.0)</f>
        <v>21358</v>
      </c>
      <c r="E1478" s="115">
        <f>IFERROR(__xludf.DUMMYFUNCTION("""COMPUTED_VALUE"""),1648.0)</f>
        <v>1648</v>
      </c>
      <c r="F1478" s="115">
        <f>IFERROR(__xludf.DUMMYFUNCTION("""COMPUTED_VALUE"""),8046.0)</f>
        <v>8046</v>
      </c>
      <c r="G1478" s="115">
        <f>IFERROR(__xludf.DUMMYFUNCTION("""COMPUTED_VALUE"""),324.0)</f>
        <v>324</v>
      </c>
      <c r="H1478" s="116">
        <f>IFERROR(__xludf.DUMMYFUNCTION("""COMPUTED_VALUE"""),45903.0)</f>
        <v>45903</v>
      </c>
      <c r="I1478" s="115" t="str">
        <f>IFERROR(__xludf.DUMMYFUNCTION("""COMPUTED_VALUE"""),"18")</f>
        <v>18</v>
      </c>
      <c r="J1478" s="115" t="str">
        <f>IFERROR(__xludf.DUMMYFUNCTION("""COMPUTED_VALUE"""),"Parag Kashyap2025-09-0318")</f>
        <v>Parag Kashyap2025-09-0318</v>
      </c>
      <c r="K1478" s="115">
        <f>IFERROR(__xludf.DUMMYFUNCTION("""COMPUTED_VALUE"""),23006.0)</f>
        <v>23006</v>
      </c>
    </row>
    <row r="1479">
      <c r="A1479" s="115" t="str">
        <f>IFERROR(__xludf.DUMMYFUNCTION("""COMPUTED_VALUE"""),"EAST")</f>
        <v>EAST</v>
      </c>
      <c r="B1479" s="115" t="str">
        <f>IFERROR(__xludf.DUMMYFUNCTION("""COMPUTED_VALUE"""),"Parag Kashyap")</f>
        <v>Parag Kashyap</v>
      </c>
      <c r="C1479" s="115" t="str">
        <f>IFERROR(__xludf.DUMMYFUNCTION("""COMPUTED_VALUE"""),"FLIPKART")</f>
        <v>FLIPKART</v>
      </c>
      <c r="D1479" s="115">
        <f>IFERROR(__xludf.DUMMYFUNCTION("""COMPUTED_VALUE"""),301997.0)</f>
        <v>301997</v>
      </c>
      <c r="E1479" s="115">
        <f>IFERROR(__xludf.DUMMYFUNCTION("""COMPUTED_VALUE"""),18730.0)</f>
        <v>18730</v>
      </c>
      <c r="F1479" s="115">
        <f>IFERROR(__xludf.DUMMYFUNCTION("""COMPUTED_VALUE"""),212931.0)</f>
        <v>212931</v>
      </c>
      <c r="G1479" s="115">
        <f>IFERROR(__xludf.DUMMYFUNCTION("""COMPUTED_VALUE"""),7726.0)</f>
        <v>7726</v>
      </c>
      <c r="H1479" s="116">
        <f>IFERROR(__xludf.DUMMYFUNCTION("""COMPUTED_VALUE"""),45903.0)</f>
        <v>45903</v>
      </c>
      <c r="I1479" s="115" t="str">
        <f>IFERROR(__xludf.DUMMYFUNCTION("""COMPUTED_VALUE"""),"18")</f>
        <v>18</v>
      </c>
      <c r="J1479" s="115" t="str">
        <f>IFERROR(__xludf.DUMMYFUNCTION("""COMPUTED_VALUE"""),"Parag Kashyap2025-09-0318")</f>
        <v>Parag Kashyap2025-09-0318</v>
      </c>
      <c r="K1479" s="115">
        <f>IFERROR(__xludf.DUMMYFUNCTION("""COMPUTED_VALUE"""),320727.0)</f>
        <v>320727</v>
      </c>
    </row>
    <row r="1480">
      <c r="A1480" s="115" t="str">
        <f>IFERROR(__xludf.DUMMYFUNCTION("""COMPUTED_VALUE"""),"EAST")</f>
        <v>EAST</v>
      </c>
      <c r="B1480" s="115" t="str">
        <f>IFERROR(__xludf.DUMMYFUNCTION("""COMPUTED_VALUE"""),"Parag Kashyap")</f>
        <v>Parag Kashyap</v>
      </c>
      <c r="C1480" s="115" t="str">
        <f>IFERROR(__xludf.DUMMYFUNCTION("""COMPUTED_VALUE"""),"MYNTRA")</f>
        <v>MYNTRA</v>
      </c>
      <c r="D1480" s="115">
        <f>IFERROR(__xludf.DUMMYFUNCTION("""COMPUTED_VALUE"""),34828.0)</f>
        <v>34828</v>
      </c>
      <c r="E1480" s="115">
        <f>IFERROR(__xludf.DUMMYFUNCTION("""COMPUTED_VALUE"""),4854.0)</f>
        <v>4854</v>
      </c>
      <c r="F1480" s="115">
        <f>IFERROR(__xludf.DUMMYFUNCTION("""COMPUTED_VALUE"""),25215.0)</f>
        <v>25215</v>
      </c>
      <c r="G1480" s="115">
        <f>IFERROR(__xludf.DUMMYFUNCTION("""COMPUTED_VALUE"""),1985.0)</f>
        <v>1985</v>
      </c>
      <c r="H1480" s="116">
        <f>IFERROR(__xludf.DUMMYFUNCTION("""COMPUTED_VALUE"""),45903.0)</f>
        <v>45903</v>
      </c>
      <c r="I1480" s="115" t="str">
        <f>IFERROR(__xludf.DUMMYFUNCTION("""COMPUTED_VALUE"""),"18")</f>
        <v>18</v>
      </c>
      <c r="J1480" s="115" t="str">
        <f>IFERROR(__xludf.DUMMYFUNCTION("""COMPUTED_VALUE"""),"Parag Kashyap2025-09-0318")</f>
        <v>Parag Kashyap2025-09-0318</v>
      </c>
      <c r="K1480" s="115">
        <f>IFERROR(__xludf.DUMMYFUNCTION("""COMPUTED_VALUE"""),39682.0)</f>
        <v>39682</v>
      </c>
    </row>
    <row r="1481">
      <c r="A1481" s="115" t="str">
        <f>IFERROR(__xludf.DUMMYFUNCTION("""COMPUTED_VALUE"""),"NORTH")</f>
        <v>NORTH</v>
      </c>
      <c r="B1481" s="115" t="str">
        <f>IFERROR(__xludf.DUMMYFUNCTION("""COMPUTED_VALUE"""),"Amit Kumar Pathak")</f>
        <v>Amit Kumar Pathak</v>
      </c>
      <c r="C1481" s="115" t="str">
        <f>IFERROR(__xludf.DUMMYFUNCTION("""COMPUTED_VALUE"""),"EXTERNAL")</f>
        <v>EXTERNAL</v>
      </c>
      <c r="D1481" s="115">
        <f>IFERROR(__xludf.DUMMYFUNCTION("""COMPUTED_VALUE"""),23975.0)</f>
        <v>23975</v>
      </c>
      <c r="E1481" s="115">
        <f>IFERROR(__xludf.DUMMYFUNCTION("""COMPUTED_VALUE"""),3330.0)</f>
        <v>3330</v>
      </c>
      <c r="F1481" s="115">
        <f>IFERROR(__xludf.DUMMYFUNCTION("""COMPUTED_VALUE"""),7603.0)</f>
        <v>7603</v>
      </c>
      <c r="G1481" s="115">
        <f>IFERROR(__xludf.DUMMYFUNCTION("""COMPUTED_VALUE"""),886.0)</f>
        <v>886</v>
      </c>
      <c r="H1481" s="116">
        <f>IFERROR(__xludf.DUMMYFUNCTION("""COMPUTED_VALUE"""),45903.0)</f>
        <v>45903</v>
      </c>
      <c r="I1481" s="115" t="str">
        <f>IFERROR(__xludf.DUMMYFUNCTION("""COMPUTED_VALUE"""),"18")</f>
        <v>18</v>
      </c>
      <c r="J1481" s="115" t="str">
        <f>IFERROR(__xludf.DUMMYFUNCTION("""COMPUTED_VALUE"""),"Amit Kumar Pathak2025-09-0318")</f>
        <v>Amit Kumar Pathak2025-09-0318</v>
      </c>
      <c r="K1481" s="115">
        <f>IFERROR(__xludf.DUMMYFUNCTION("""COMPUTED_VALUE"""),27305.0)</f>
        <v>27305</v>
      </c>
    </row>
    <row r="1482">
      <c r="A1482" s="115" t="str">
        <f>IFERROR(__xludf.DUMMYFUNCTION("""COMPUTED_VALUE"""),"NORTH")</f>
        <v>NORTH</v>
      </c>
      <c r="B1482" s="115" t="str">
        <f>IFERROR(__xludf.DUMMYFUNCTION("""COMPUTED_VALUE"""),"Amit Kumar Pathak")</f>
        <v>Amit Kumar Pathak</v>
      </c>
      <c r="C1482" s="115" t="str">
        <f>IFERROR(__xludf.DUMMYFUNCTION("""COMPUTED_VALUE"""),"FLIPKART")</f>
        <v>FLIPKART</v>
      </c>
      <c r="D1482" s="115">
        <f>IFERROR(__xludf.DUMMYFUNCTION("""COMPUTED_VALUE"""),193430.0)</f>
        <v>193430</v>
      </c>
      <c r="E1482" s="115">
        <f>IFERROR(__xludf.DUMMYFUNCTION("""COMPUTED_VALUE"""),23374.0)</f>
        <v>23374</v>
      </c>
      <c r="F1482" s="115">
        <f>IFERROR(__xludf.DUMMYFUNCTION("""COMPUTED_VALUE"""),114959.0)</f>
        <v>114959</v>
      </c>
      <c r="G1482" s="115">
        <f>IFERROR(__xludf.DUMMYFUNCTION("""COMPUTED_VALUE"""),10328.0)</f>
        <v>10328</v>
      </c>
      <c r="H1482" s="116">
        <f>IFERROR(__xludf.DUMMYFUNCTION("""COMPUTED_VALUE"""),45903.0)</f>
        <v>45903</v>
      </c>
      <c r="I1482" s="115" t="str">
        <f>IFERROR(__xludf.DUMMYFUNCTION("""COMPUTED_VALUE"""),"18")</f>
        <v>18</v>
      </c>
      <c r="J1482" s="115" t="str">
        <f>IFERROR(__xludf.DUMMYFUNCTION("""COMPUTED_VALUE"""),"Amit Kumar Pathak2025-09-0318")</f>
        <v>Amit Kumar Pathak2025-09-0318</v>
      </c>
      <c r="K1482" s="115">
        <f>IFERROR(__xludf.DUMMYFUNCTION("""COMPUTED_VALUE"""),216804.0)</f>
        <v>216804</v>
      </c>
    </row>
    <row r="1483">
      <c r="A1483" s="115" t="str">
        <f>IFERROR(__xludf.DUMMYFUNCTION("""COMPUTED_VALUE"""),"NORTH")</f>
        <v>NORTH</v>
      </c>
      <c r="B1483" s="115" t="str">
        <f>IFERROR(__xludf.DUMMYFUNCTION("""COMPUTED_VALUE"""),"Amit Kumar Pathak")</f>
        <v>Amit Kumar Pathak</v>
      </c>
      <c r="C1483" s="115" t="str">
        <f>IFERROR(__xludf.DUMMYFUNCTION("""COMPUTED_VALUE"""),"MYNTRA")</f>
        <v>MYNTRA</v>
      </c>
      <c r="D1483" s="115">
        <f>IFERROR(__xludf.DUMMYFUNCTION("""COMPUTED_VALUE"""),18240.0)</f>
        <v>18240</v>
      </c>
      <c r="E1483" s="115">
        <f>IFERROR(__xludf.DUMMYFUNCTION("""COMPUTED_VALUE"""),5809.0)</f>
        <v>5809</v>
      </c>
      <c r="F1483" s="115">
        <f>IFERROR(__xludf.DUMMYFUNCTION("""COMPUTED_VALUE"""),12926.0)</f>
        <v>12926</v>
      </c>
      <c r="G1483" s="115">
        <f>IFERROR(__xludf.DUMMYFUNCTION("""COMPUTED_VALUE"""),2986.0)</f>
        <v>2986</v>
      </c>
      <c r="H1483" s="116">
        <f>IFERROR(__xludf.DUMMYFUNCTION("""COMPUTED_VALUE"""),45903.0)</f>
        <v>45903</v>
      </c>
      <c r="I1483" s="115" t="str">
        <f>IFERROR(__xludf.DUMMYFUNCTION("""COMPUTED_VALUE"""),"18")</f>
        <v>18</v>
      </c>
      <c r="J1483" s="115" t="str">
        <f>IFERROR(__xludf.DUMMYFUNCTION("""COMPUTED_VALUE"""),"Amit Kumar Pathak2025-09-0318")</f>
        <v>Amit Kumar Pathak2025-09-0318</v>
      </c>
      <c r="K1483" s="115">
        <f>IFERROR(__xludf.DUMMYFUNCTION("""COMPUTED_VALUE"""),24049.0)</f>
        <v>24049</v>
      </c>
    </row>
    <row r="1484">
      <c r="A1484" s="115" t="str">
        <f>IFERROR(__xludf.DUMMYFUNCTION("""COMPUTED_VALUE"""),"NORTH")</f>
        <v>NORTH</v>
      </c>
      <c r="B1484" s="115" t="str">
        <f>IFERROR(__xludf.DUMMYFUNCTION("""COMPUTED_VALUE"""),"Loveleen Singh")</f>
        <v>Loveleen Singh</v>
      </c>
      <c r="C1484" s="115" t="str">
        <f>IFERROR(__xludf.DUMMYFUNCTION("""COMPUTED_VALUE"""),"EXTERNAL")</f>
        <v>EXTERNAL</v>
      </c>
      <c r="D1484" s="115">
        <f>IFERROR(__xludf.DUMMYFUNCTION("""COMPUTED_VALUE"""),26346.0)</f>
        <v>26346</v>
      </c>
      <c r="E1484" s="115">
        <f>IFERROR(__xludf.DUMMYFUNCTION("""COMPUTED_VALUE"""),2687.0)</f>
        <v>2687</v>
      </c>
      <c r="F1484" s="115">
        <f>IFERROR(__xludf.DUMMYFUNCTION("""COMPUTED_VALUE"""),9330.0)</f>
        <v>9330</v>
      </c>
      <c r="G1484" s="115">
        <f>IFERROR(__xludf.DUMMYFUNCTION("""COMPUTED_VALUE"""),586.0)</f>
        <v>586</v>
      </c>
      <c r="H1484" s="116">
        <f>IFERROR(__xludf.DUMMYFUNCTION("""COMPUTED_VALUE"""),45903.0)</f>
        <v>45903</v>
      </c>
      <c r="I1484" s="115" t="str">
        <f>IFERROR(__xludf.DUMMYFUNCTION("""COMPUTED_VALUE"""),"18")</f>
        <v>18</v>
      </c>
      <c r="J1484" s="115" t="str">
        <f>IFERROR(__xludf.DUMMYFUNCTION("""COMPUTED_VALUE"""),"Loveleen Singh2025-09-0318")</f>
        <v>Loveleen Singh2025-09-0318</v>
      </c>
      <c r="K1484" s="115">
        <f>IFERROR(__xludf.DUMMYFUNCTION("""COMPUTED_VALUE"""),29033.0)</f>
        <v>29033</v>
      </c>
    </row>
    <row r="1485">
      <c r="A1485" s="115" t="str">
        <f>IFERROR(__xludf.DUMMYFUNCTION("""COMPUTED_VALUE"""),"NORTH")</f>
        <v>NORTH</v>
      </c>
      <c r="B1485" s="115" t="str">
        <f>IFERROR(__xludf.DUMMYFUNCTION("""COMPUTED_VALUE"""),"Loveleen Singh")</f>
        <v>Loveleen Singh</v>
      </c>
      <c r="C1485" s="115" t="str">
        <f>IFERROR(__xludf.DUMMYFUNCTION("""COMPUTED_VALUE"""),"FLIPKART")</f>
        <v>FLIPKART</v>
      </c>
      <c r="D1485" s="115">
        <f>IFERROR(__xludf.DUMMYFUNCTION("""COMPUTED_VALUE"""),139707.0)</f>
        <v>139707</v>
      </c>
      <c r="E1485" s="115">
        <f>IFERROR(__xludf.DUMMYFUNCTION("""COMPUTED_VALUE"""),13595.0)</f>
        <v>13595</v>
      </c>
      <c r="F1485" s="115">
        <f>IFERROR(__xludf.DUMMYFUNCTION("""COMPUTED_VALUE"""),95294.0)</f>
        <v>95294</v>
      </c>
      <c r="G1485" s="115">
        <f>IFERROR(__xludf.DUMMYFUNCTION("""COMPUTED_VALUE"""),6471.0)</f>
        <v>6471</v>
      </c>
      <c r="H1485" s="116">
        <f>IFERROR(__xludf.DUMMYFUNCTION("""COMPUTED_VALUE"""),45903.0)</f>
        <v>45903</v>
      </c>
      <c r="I1485" s="115" t="str">
        <f>IFERROR(__xludf.DUMMYFUNCTION("""COMPUTED_VALUE"""),"18")</f>
        <v>18</v>
      </c>
      <c r="J1485" s="115" t="str">
        <f>IFERROR(__xludf.DUMMYFUNCTION("""COMPUTED_VALUE"""),"Loveleen Singh2025-09-0318")</f>
        <v>Loveleen Singh2025-09-0318</v>
      </c>
      <c r="K1485" s="115">
        <f>IFERROR(__xludf.DUMMYFUNCTION("""COMPUTED_VALUE"""),153302.0)</f>
        <v>153302</v>
      </c>
    </row>
    <row r="1486">
      <c r="A1486" s="115" t="str">
        <f>IFERROR(__xludf.DUMMYFUNCTION("""COMPUTED_VALUE"""),"NORTH")</f>
        <v>NORTH</v>
      </c>
      <c r="B1486" s="115" t="str">
        <f>IFERROR(__xludf.DUMMYFUNCTION("""COMPUTED_VALUE"""),"Loveleen Singh")</f>
        <v>Loveleen Singh</v>
      </c>
      <c r="C1486" s="115" t="str">
        <f>IFERROR(__xludf.DUMMYFUNCTION("""COMPUTED_VALUE"""),"MYNTRA")</f>
        <v>MYNTRA</v>
      </c>
      <c r="D1486" s="115">
        <f>IFERROR(__xludf.DUMMYFUNCTION("""COMPUTED_VALUE"""),21825.0)</f>
        <v>21825</v>
      </c>
      <c r="E1486" s="115">
        <f>IFERROR(__xludf.DUMMYFUNCTION("""COMPUTED_VALUE"""),5381.0)</f>
        <v>5381</v>
      </c>
      <c r="F1486" s="115">
        <f>IFERROR(__xludf.DUMMYFUNCTION("""COMPUTED_VALUE"""),16560.0)</f>
        <v>16560</v>
      </c>
      <c r="G1486" s="115">
        <f>IFERROR(__xludf.DUMMYFUNCTION("""COMPUTED_VALUE"""),2833.0)</f>
        <v>2833</v>
      </c>
      <c r="H1486" s="116">
        <f>IFERROR(__xludf.DUMMYFUNCTION("""COMPUTED_VALUE"""),45903.0)</f>
        <v>45903</v>
      </c>
      <c r="I1486" s="115" t="str">
        <f>IFERROR(__xludf.DUMMYFUNCTION("""COMPUTED_VALUE"""),"18")</f>
        <v>18</v>
      </c>
      <c r="J1486" s="115" t="str">
        <f>IFERROR(__xludf.DUMMYFUNCTION("""COMPUTED_VALUE"""),"Loveleen Singh2025-09-0318")</f>
        <v>Loveleen Singh2025-09-0318</v>
      </c>
      <c r="K1486" s="115">
        <f>IFERROR(__xludf.DUMMYFUNCTION("""COMPUTED_VALUE"""),27206.0)</f>
        <v>27206</v>
      </c>
    </row>
    <row r="1487">
      <c r="A1487" s="115" t="str">
        <f>IFERROR(__xludf.DUMMYFUNCTION("""COMPUTED_VALUE"""),"NORTH")</f>
        <v>NORTH</v>
      </c>
      <c r="B1487" s="115" t="str">
        <f>IFERROR(__xludf.DUMMYFUNCTION("""COMPUTED_VALUE"""),"Manoj Harsh")</f>
        <v>Manoj Harsh</v>
      </c>
      <c r="C1487" s="115" t="str">
        <f>IFERROR(__xludf.DUMMYFUNCTION("""COMPUTED_VALUE"""),"EXTERNAL")</f>
        <v>EXTERNAL</v>
      </c>
      <c r="D1487" s="115">
        <f>IFERROR(__xludf.DUMMYFUNCTION("""COMPUTED_VALUE"""),32723.0)</f>
        <v>32723</v>
      </c>
      <c r="E1487" s="115">
        <f>IFERROR(__xludf.DUMMYFUNCTION("""COMPUTED_VALUE"""),4707.0)</f>
        <v>4707</v>
      </c>
      <c r="F1487" s="115">
        <f>IFERROR(__xludf.DUMMYFUNCTION("""COMPUTED_VALUE"""),12449.0)</f>
        <v>12449</v>
      </c>
      <c r="G1487" s="115">
        <f>IFERROR(__xludf.DUMMYFUNCTION("""COMPUTED_VALUE"""),1155.0)</f>
        <v>1155</v>
      </c>
      <c r="H1487" s="116">
        <f>IFERROR(__xludf.DUMMYFUNCTION("""COMPUTED_VALUE"""),45903.0)</f>
        <v>45903</v>
      </c>
      <c r="I1487" s="115" t="str">
        <f>IFERROR(__xludf.DUMMYFUNCTION("""COMPUTED_VALUE"""),"18")</f>
        <v>18</v>
      </c>
      <c r="J1487" s="115" t="str">
        <f>IFERROR(__xludf.DUMMYFUNCTION("""COMPUTED_VALUE"""),"Manoj Harsh2025-09-0318")</f>
        <v>Manoj Harsh2025-09-0318</v>
      </c>
      <c r="K1487" s="115">
        <f>IFERROR(__xludf.DUMMYFUNCTION("""COMPUTED_VALUE"""),37430.0)</f>
        <v>37430</v>
      </c>
    </row>
    <row r="1488">
      <c r="A1488" s="115" t="str">
        <f>IFERROR(__xludf.DUMMYFUNCTION("""COMPUTED_VALUE"""),"NORTH")</f>
        <v>NORTH</v>
      </c>
      <c r="B1488" s="115" t="str">
        <f>IFERROR(__xludf.DUMMYFUNCTION("""COMPUTED_VALUE"""),"Manoj Harsh")</f>
        <v>Manoj Harsh</v>
      </c>
      <c r="C1488" s="115" t="str">
        <f>IFERROR(__xludf.DUMMYFUNCTION("""COMPUTED_VALUE"""),"FLIPKART")</f>
        <v>FLIPKART</v>
      </c>
      <c r="D1488" s="115">
        <f>IFERROR(__xludf.DUMMYFUNCTION("""COMPUTED_VALUE"""),390982.0)</f>
        <v>390982</v>
      </c>
      <c r="E1488" s="115">
        <f>IFERROR(__xludf.DUMMYFUNCTION("""COMPUTED_VALUE"""),41385.0)</f>
        <v>41385</v>
      </c>
      <c r="F1488" s="115">
        <f>IFERROR(__xludf.DUMMYFUNCTION("""COMPUTED_VALUE"""),271071.0)</f>
        <v>271071</v>
      </c>
      <c r="G1488" s="115">
        <f>IFERROR(__xludf.DUMMYFUNCTION("""COMPUTED_VALUE"""),21114.0)</f>
        <v>21114</v>
      </c>
      <c r="H1488" s="116">
        <f>IFERROR(__xludf.DUMMYFUNCTION("""COMPUTED_VALUE"""),45903.0)</f>
        <v>45903</v>
      </c>
      <c r="I1488" s="115" t="str">
        <f>IFERROR(__xludf.DUMMYFUNCTION("""COMPUTED_VALUE"""),"18")</f>
        <v>18</v>
      </c>
      <c r="J1488" s="115" t="str">
        <f>IFERROR(__xludf.DUMMYFUNCTION("""COMPUTED_VALUE"""),"Manoj Harsh2025-09-0318")</f>
        <v>Manoj Harsh2025-09-0318</v>
      </c>
      <c r="K1488" s="115">
        <f>IFERROR(__xludf.DUMMYFUNCTION("""COMPUTED_VALUE"""),432367.0)</f>
        <v>432367</v>
      </c>
    </row>
    <row r="1489">
      <c r="A1489" s="115" t="str">
        <f>IFERROR(__xludf.DUMMYFUNCTION("""COMPUTED_VALUE"""),"NORTH")</f>
        <v>NORTH</v>
      </c>
      <c r="B1489" s="115" t="str">
        <f>IFERROR(__xludf.DUMMYFUNCTION("""COMPUTED_VALUE"""),"Manoj Harsh")</f>
        <v>Manoj Harsh</v>
      </c>
      <c r="C1489" s="115" t="str">
        <f>IFERROR(__xludf.DUMMYFUNCTION("""COMPUTED_VALUE"""),"MYNTRA")</f>
        <v>MYNTRA</v>
      </c>
      <c r="D1489" s="115">
        <f>IFERROR(__xludf.DUMMYFUNCTION("""COMPUTED_VALUE"""),34499.0)</f>
        <v>34499</v>
      </c>
      <c r="E1489" s="115">
        <f>IFERROR(__xludf.DUMMYFUNCTION("""COMPUTED_VALUE"""),8150.0)</f>
        <v>8150</v>
      </c>
      <c r="F1489" s="115">
        <f>IFERROR(__xludf.DUMMYFUNCTION("""COMPUTED_VALUE"""),26053.0)</f>
        <v>26053</v>
      </c>
      <c r="G1489" s="115">
        <f>IFERROR(__xludf.DUMMYFUNCTION("""COMPUTED_VALUE"""),4666.0)</f>
        <v>4666</v>
      </c>
      <c r="H1489" s="116">
        <f>IFERROR(__xludf.DUMMYFUNCTION("""COMPUTED_VALUE"""),45903.0)</f>
        <v>45903</v>
      </c>
      <c r="I1489" s="115" t="str">
        <f>IFERROR(__xludf.DUMMYFUNCTION("""COMPUTED_VALUE"""),"18")</f>
        <v>18</v>
      </c>
      <c r="J1489" s="115" t="str">
        <f>IFERROR(__xludf.DUMMYFUNCTION("""COMPUTED_VALUE"""),"Manoj Harsh2025-09-0318")</f>
        <v>Manoj Harsh2025-09-0318</v>
      </c>
      <c r="K1489" s="115">
        <f>IFERROR(__xludf.DUMMYFUNCTION("""COMPUTED_VALUE"""),42649.0)</f>
        <v>42649</v>
      </c>
    </row>
    <row r="1490">
      <c r="A1490" s="115" t="str">
        <f>IFERROR(__xludf.DUMMYFUNCTION("""COMPUTED_VALUE"""),"NORTH")</f>
        <v>NORTH</v>
      </c>
      <c r="B1490" s="115" t="str">
        <f>IFERROR(__xludf.DUMMYFUNCTION("""COMPUTED_VALUE"""),"Pradeep Kothari")</f>
        <v>Pradeep Kothari</v>
      </c>
      <c r="C1490" s="115" t="str">
        <f>IFERROR(__xludf.DUMMYFUNCTION("""COMPUTED_VALUE"""),"EXTERNAL")</f>
        <v>EXTERNAL</v>
      </c>
      <c r="D1490" s="115">
        <f>IFERROR(__xludf.DUMMYFUNCTION("""COMPUTED_VALUE"""),17281.0)</f>
        <v>17281</v>
      </c>
      <c r="E1490" s="115">
        <f>IFERROR(__xludf.DUMMYFUNCTION("""COMPUTED_VALUE"""),2733.0)</f>
        <v>2733</v>
      </c>
      <c r="F1490" s="115">
        <f>IFERROR(__xludf.DUMMYFUNCTION("""COMPUTED_VALUE"""),6441.0)</f>
        <v>6441</v>
      </c>
      <c r="G1490" s="115">
        <f>IFERROR(__xludf.DUMMYFUNCTION("""COMPUTED_VALUE"""),817.0)</f>
        <v>817</v>
      </c>
      <c r="H1490" s="116">
        <f>IFERROR(__xludf.DUMMYFUNCTION("""COMPUTED_VALUE"""),45903.0)</f>
        <v>45903</v>
      </c>
      <c r="I1490" s="115" t="str">
        <f>IFERROR(__xludf.DUMMYFUNCTION("""COMPUTED_VALUE"""),"18")</f>
        <v>18</v>
      </c>
      <c r="J1490" s="115" t="str">
        <f>IFERROR(__xludf.DUMMYFUNCTION("""COMPUTED_VALUE"""),"Pradeep Kothari2025-09-0318")</f>
        <v>Pradeep Kothari2025-09-0318</v>
      </c>
      <c r="K1490" s="115">
        <f>IFERROR(__xludf.DUMMYFUNCTION("""COMPUTED_VALUE"""),20014.0)</f>
        <v>20014</v>
      </c>
    </row>
    <row r="1491">
      <c r="A1491" s="115" t="str">
        <f>IFERROR(__xludf.DUMMYFUNCTION("""COMPUTED_VALUE"""),"NORTH")</f>
        <v>NORTH</v>
      </c>
      <c r="B1491" s="115" t="str">
        <f>IFERROR(__xludf.DUMMYFUNCTION("""COMPUTED_VALUE"""),"Pradeep Kothari")</f>
        <v>Pradeep Kothari</v>
      </c>
      <c r="C1491" s="115" t="str">
        <f>IFERROR(__xludf.DUMMYFUNCTION("""COMPUTED_VALUE"""),"FLIPKART")</f>
        <v>FLIPKART</v>
      </c>
      <c r="D1491" s="115">
        <f>IFERROR(__xludf.DUMMYFUNCTION("""COMPUTED_VALUE"""),137989.0)</f>
        <v>137989</v>
      </c>
      <c r="E1491" s="115">
        <f>IFERROR(__xludf.DUMMYFUNCTION("""COMPUTED_VALUE"""),16197.0)</f>
        <v>16197</v>
      </c>
      <c r="F1491" s="115">
        <f>IFERROR(__xludf.DUMMYFUNCTION("""COMPUTED_VALUE"""),98292.0)</f>
        <v>98292</v>
      </c>
      <c r="G1491" s="115">
        <f>IFERROR(__xludf.DUMMYFUNCTION("""COMPUTED_VALUE"""),8642.0)</f>
        <v>8642</v>
      </c>
      <c r="H1491" s="116">
        <f>IFERROR(__xludf.DUMMYFUNCTION("""COMPUTED_VALUE"""),45903.0)</f>
        <v>45903</v>
      </c>
      <c r="I1491" s="115" t="str">
        <f>IFERROR(__xludf.DUMMYFUNCTION("""COMPUTED_VALUE"""),"18")</f>
        <v>18</v>
      </c>
      <c r="J1491" s="115" t="str">
        <f>IFERROR(__xludf.DUMMYFUNCTION("""COMPUTED_VALUE"""),"Pradeep Kothari2025-09-0318")</f>
        <v>Pradeep Kothari2025-09-0318</v>
      </c>
      <c r="K1491" s="115">
        <f>IFERROR(__xludf.DUMMYFUNCTION("""COMPUTED_VALUE"""),154186.0)</f>
        <v>154186</v>
      </c>
    </row>
    <row r="1492">
      <c r="A1492" s="115" t="str">
        <f>IFERROR(__xludf.DUMMYFUNCTION("""COMPUTED_VALUE"""),"NORTH")</f>
        <v>NORTH</v>
      </c>
      <c r="B1492" s="115" t="str">
        <f>IFERROR(__xludf.DUMMYFUNCTION("""COMPUTED_VALUE"""),"Pradeep Kothari")</f>
        <v>Pradeep Kothari</v>
      </c>
      <c r="C1492" s="115" t="str">
        <f>IFERROR(__xludf.DUMMYFUNCTION("""COMPUTED_VALUE"""),"MYNTRA")</f>
        <v>MYNTRA</v>
      </c>
      <c r="D1492" s="115">
        <f>IFERROR(__xludf.DUMMYFUNCTION("""COMPUTED_VALUE"""),22225.0)</f>
        <v>22225</v>
      </c>
      <c r="E1492" s="115">
        <f>IFERROR(__xludf.DUMMYFUNCTION("""COMPUTED_VALUE"""),6174.0)</f>
        <v>6174</v>
      </c>
      <c r="F1492" s="115">
        <f>IFERROR(__xludf.DUMMYFUNCTION("""COMPUTED_VALUE"""),17661.0)</f>
        <v>17661</v>
      </c>
      <c r="G1492" s="115">
        <f>IFERROR(__xludf.DUMMYFUNCTION("""COMPUTED_VALUE"""),3857.0)</f>
        <v>3857</v>
      </c>
      <c r="H1492" s="116">
        <f>IFERROR(__xludf.DUMMYFUNCTION("""COMPUTED_VALUE"""),45903.0)</f>
        <v>45903</v>
      </c>
      <c r="I1492" s="115" t="str">
        <f>IFERROR(__xludf.DUMMYFUNCTION("""COMPUTED_VALUE"""),"18")</f>
        <v>18</v>
      </c>
      <c r="J1492" s="115" t="str">
        <f>IFERROR(__xludf.DUMMYFUNCTION("""COMPUTED_VALUE"""),"Pradeep Kothari2025-09-0318")</f>
        <v>Pradeep Kothari2025-09-0318</v>
      </c>
      <c r="K1492" s="115">
        <f>IFERROR(__xludf.DUMMYFUNCTION("""COMPUTED_VALUE"""),28399.0)</f>
        <v>28399</v>
      </c>
    </row>
    <row r="1493">
      <c r="A1493" s="115" t="str">
        <f>IFERROR(__xludf.DUMMYFUNCTION("""COMPUTED_VALUE"""),"SOUTH")</f>
        <v>SOUTH</v>
      </c>
      <c r="B1493" s="115" t="str">
        <f>IFERROR(__xludf.DUMMYFUNCTION("""COMPUTED_VALUE"""),"Kandula Sampath")</f>
        <v>Kandula Sampath</v>
      </c>
      <c r="C1493" s="115" t="str">
        <f>IFERROR(__xludf.DUMMYFUNCTION("""COMPUTED_VALUE"""),"EXTERNAL")</f>
        <v>EXTERNAL</v>
      </c>
      <c r="D1493" s="115">
        <f>IFERROR(__xludf.DUMMYFUNCTION("""COMPUTED_VALUE"""),36012.0)</f>
        <v>36012</v>
      </c>
      <c r="E1493" s="115">
        <f>IFERROR(__xludf.DUMMYFUNCTION("""COMPUTED_VALUE"""),5804.0)</f>
        <v>5804</v>
      </c>
      <c r="F1493" s="115">
        <f>IFERROR(__xludf.DUMMYFUNCTION("""COMPUTED_VALUE"""),14072.0)</f>
        <v>14072</v>
      </c>
      <c r="G1493" s="115">
        <f>IFERROR(__xludf.DUMMYFUNCTION("""COMPUTED_VALUE"""),1195.0)</f>
        <v>1195</v>
      </c>
      <c r="H1493" s="116">
        <f>IFERROR(__xludf.DUMMYFUNCTION("""COMPUTED_VALUE"""),45903.0)</f>
        <v>45903</v>
      </c>
      <c r="I1493" s="115" t="str">
        <f>IFERROR(__xludf.DUMMYFUNCTION("""COMPUTED_VALUE"""),"18")</f>
        <v>18</v>
      </c>
      <c r="J1493" s="115" t="str">
        <f>IFERROR(__xludf.DUMMYFUNCTION("""COMPUTED_VALUE"""),"Kandula Sampath2025-09-0318")</f>
        <v>Kandula Sampath2025-09-0318</v>
      </c>
      <c r="K1493" s="115">
        <f>IFERROR(__xludf.DUMMYFUNCTION("""COMPUTED_VALUE"""),41816.0)</f>
        <v>41816</v>
      </c>
    </row>
    <row r="1494">
      <c r="A1494" s="115" t="str">
        <f>IFERROR(__xludf.DUMMYFUNCTION("""COMPUTED_VALUE"""),"SOUTH")</f>
        <v>SOUTH</v>
      </c>
      <c r="B1494" s="115" t="str">
        <f>IFERROR(__xludf.DUMMYFUNCTION("""COMPUTED_VALUE"""),"Kandula Sampath")</f>
        <v>Kandula Sampath</v>
      </c>
      <c r="C1494" s="115" t="str">
        <f>IFERROR(__xludf.DUMMYFUNCTION("""COMPUTED_VALUE"""),"FLIPKART")</f>
        <v>FLIPKART</v>
      </c>
      <c r="D1494" s="115">
        <f>IFERROR(__xludf.DUMMYFUNCTION("""COMPUTED_VALUE"""),306617.0)</f>
        <v>306617</v>
      </c>
      <c r="E1494" s="115">
        <f>IFERROR(__xludf.DUMMYFUNCTION("""COMPUTED_VALUE"""),33089.0)</f>
        <v>33089</v>
      </c>
      <c r="F1494" s="115">
        <f>IFERROR(__xludf.DUMMYFUNCTION("""COMPUTED_VALUE"""),208833.0)</f>
        <v>208833</v>
      </c>
      <c r="G1494" s="115">
        <f>IFERROR(__xludf.DUMMYFUNCTION("""COMPUTED_VALUE"""),14253.0)</f>
        <v>14253</v>
      </c>
      <c r="H1494" s="116">
        <f>IFERROR(__xludf.DUMMYFUNCTION("""COMPUTED_VALUE"""),45903.0)</f>
        <v>45903</v>
      </c>
      <c r="I1494" s="115" t="str">
        <f>IFERROR(__xludf.DUMMYFUNCTION("""COMPUTED_VALUE"""),"18")</f>
        <v>18</v>
      </c>
      <c r="J1494" s="115" t="str">
        <f>IFERROR(__xludf.DUMMYFUNCTION("""COMPUTED_VALUE"""),"Kandula Sampath2025-09-0318")</f>
        <v>Kandula Sampath2025-09-0318</v>
      </c>
      <c r="K1494" s="115">
        <f>IFERROR(__xludf.DUMMYFUNCTION("""COMPUTED_VALUE"""),339706.0)</f>
        <v>339706</v>
      </c>
    </row>
    <row r="1495">
      <c r="A1495" s="115" t="str">
        <f>IFERROR(__xludf.DUMMYFUNCTION("""COMPUTED_VALUE"""),"SOUTH")</f>
        <v>SOUTH</v>
      </c>
      <c r="B1495" s="115" t="str">
        <f>IFERROR(__xludf.DUMMYFUNCTION("""COMPUTED_VALUE"""),"Kandula Sampath")</f>
        <v>Kandula Sampath</v>
      </c>
      <c r="C1495" s="115" t="str">
        <f>IFERROR(__xludf.DUMMYFUNCTION("""COMPUTED_VALUE"""),"MYNTRA")</f>
        <v>MYNTRA</v>
      </c>
      <c r="D1495" s="115">
        <f>IFERROR(__xludf.DUMMYFUNCTION("""COMPUTED_VALUE"""),29886.0)</f>
        <v>29886</v>
      </c>
      <c r="E1495" s="115">
        <f>IFERROR(__xludf.DUMMYFUNCTION("""COMPUTED_VALUE"""),8604.0)</f>
        <v>8604</v>
      </c>
      <c r="F1495" s="115">
        <f>IFERROR(__xludf.DUMMYFUNCTION("""COMPUTED_VALUE"""),22372.0)</f>
        <v>22372</v>
      </c>
      <c r="G1495" s="115">
        <f>IFERROR(__xludf.DUMMYFUNCTION("""COMPUTED_VALUE"""),3900.0)</f>
        <v>3900</v>
      </c>
      <c r="H1495" s="116">
        <f>IFERROR(__xludf.DUMMYFUNCTION("""COMPUTED_VALUE"""),45903.0)</f>
        <v>45903</v>
      </c>
      <c r="I1495" s="115" t="str">
        <f>IFERROR(__xludf.DUMMYFUNCTION("""COMPUTED_VALUE"""),"18")</f>
        <v>18</v>
      </c>
      <c r="J1495" s="115" t="str">
        <f>IFERROR(__xludf.DUMMYFUNCTION("""COMPUTED_VALUE"""),"Kandula Sampath2025-09-0318")</f>
        <v>Kandula Sampath2025-09-0318</v>
      </c>
      <c r="K1495" s="115">
        <f>IFERROR(__xludf.DUMMYFUNCTION("""COMPUTED_VALUE"""),38490.0)</f>
        <v>38490</v>
      </c>
    </row>
    <row r="1496">
      <c r="A1496" s="115" t="str">
        <f>IFERROR(__xludf.DUMMYFUNCTION("""COMPUTED_VALUE"""),"SOUTH")</f>
        <v>SOUTH</v>
      </c>
      <c r="B1496" s="115" t="str">
        <f>IFERROR(__xludf.DUMMYFUNCTION("""COMPUTED_VALUE"""),"Martin A")</f>
        <v>Martin A</v>
      </c>
      <c r="C1496" s="115" t="str">
        <f>IFERROR(__xludf.DUMMYFUNCTION("""COMPUTED_VALUE"""),"EXTERNAL")</f>
        <v>EXTERNAL</v>
      </c>
      <c r="D1496" s="115">
        <f>IFERROR(__xludf.DUMMYFUNCTION("""COMPUTED_VALUE"""),35668.0)</f>
        <v>35668</v>
      </c>
      <c r="E1496" s="115">
        <f>IFERROR(__xludf.DUMMYFUNCTION("""COMPUTED_VALUE"""),3833.0)</f>
        <v>3833</v>
      </c>
      <c r="F1496" s="115">
        <f>IFERROR(__xludf.DUMMYFUNCTION("""COMPUTED_VALUE"""),13542.0)</f>
        <v>13542</v>
      </c>
      <c r="G1496" s="115">
        <f>IFERROR(__xludf.DUMMYFUNCTION("""COMPUTED_VALUE"""),1134.0)</f>
        <v>1134</v>
      </c>
      <c r="H1496" s="116">
        <f>IFERROR(__xludf.DUMMYFUNCTION("""COMPUTED_VALUE"""),45903.0)</f>
        <v>45903</v>
      </c>
      <c r="I1496" s="115" t="str">
        <f>IFERROR(__xludf.DUMMYFUNCTION("""COMPUTED_VALUE"""),"18")</f>
        <v>18</v>
      </c>
      <c r="J1496" s="115" t="str">
        <f>IFERROR(__xludf.DUMMYFUNCTION("""COMPUTED_VALUE"""),"Martin A2025-09-0318")</f>
        <v>Martin A2025-09-0318</v>
      </c>
      <c r="K1496" s="115">
        <f>IFERROR(__xludf.DUMMYFUNCTION("""COMPUTED_VALUE"""),39501.0)</f>
        <v>39501</v>
      </c>
    </row>
    <row r="1497">
      <c r="A1497" s="115" t="str">
        <f>IFERROR(__xludf.DUMMYFUNCTION("""COMPUTED_VALUE"""),"SOUTH")</f>
        <v>SOUTH</v>
      </c>
      <c r="B1497" s="115" t="str">
        <f>IFERROR(__xludf.DUMMYFUNCTION("""COMPUTED_VALUE"""),"Martin A")</f>
        <v>Martin A</v>
      </c>
      <c r="C1497" s="115" t="str">
        <f>IFERROR(__xludf.DUMMYFUNCTION("""COMPUTED_VALUE"""),"FLIPKART")</f>
        <v>FLIPKART</v>
      </c>
      <c r="D1497" s="115">
        <f>IFERROR(__xludf.DUMMYFUNCTION("""COMPUTED_VALUE"""),281381.0)</f>
        <v>281381</v>
      </c>
      <c r="E1497" s="115">
        <f>IFERROR(__xludf.DUMMYFUNCTION("""COMPUTED_VALUE"""),28290.0)</f>
        <v>28290</v>
      </c>
      <c r="F1497" s="115">
        <f>IFERROR(__xludf.DUMMYFUNCTION("""COMPUTED_VALUE"""),186986.0)</f>
        <v>186986</v>
      </c>
      <c r="G1497" s="115">
        <f>IFERROR(__xludf.DUMMYFUNCTION("""COMPUTED_VALUE"""),13507.0)</f>
        <v>13507</v>
      </c>
      <c r="H1497" s="116">
        <f>IFERROR(__xludf.DUMMYFUNCTION("""COMPUTED_VALUE"""),45903.0)</f>
        <v>45903</v>
      </c>
      <c r="I1497" s="115" t="str">
        <f>IFERROR(__xludf.DUMMYFUNCTION("""COMPUTED_VALUE"""),"18")</f>
        <v>18</v>
      </c>
      <c r="J1497" s="115" t="str">
        <f>IFERROR(__xludf.DUMMYFUNCTION("""COMPUTED_VALUE"""),"Martin A2025-09-0318")</f>
        <v>Martin A2025-09-0318</v>
      </c>
      <c r="K1497" s="115">
        <f>IFERROR(__xludf.DUMMYFUNCTION("""COMPUTED_VALUE"""),309671.0)</f>
        <v>309671</v>
      </c>
    </row>
    <row r="1498">
      <c r="A1498" s="115" t="str">
        <f>IFERROR(__xludf.DUMMYFUNCTION("""COMPUTED_VALUE"""),"SOUTH")</f>
        <v>SOUTH</v>
      </c>
      <c r="B1498" s="115" t="str">
        <f>IFERROR(__xludf.DUMMYFUNCTION("""COMPUTED_VALUE"""),"Martin A")</f>
        <v>Martin A</v>
      </c>
      <c r="C1498" s="115" t="str">
        <f>IFERROR(__xludf.DUMMYFUNCTION("""COMPUTED_VALUE"""),"MYNTRA")</f>
        <v>MYNTRA</v>
      </c>
      <c r="D1498" s="115">
        <f>IFERROR(__xludf.DUMMYFUNCTION("""COMPUTED_VALUE"""),24685.0)</f>
        <v>24685</v>
      </c>
      <c r="E1498" s="115">
        <f>IFERROR(__xludf.DUMMYFUNCTION("""COMPUTED_VALUE"""),6992.0)</f>
        <v>6992</v>
      </c>
      <c r="F1498" s="115">
        <f>IFERROR(__xludf.DUMMYFUNCTION("""COMPUTED_VALUE"""),18818.0)</f>
        <v>18818</v>
      </c>
      <c r="G1498" s="115">
        <f>IFERROR(__xludf.DUMMYFUNCTION("""COMPUTED_VALUE"""),3623.0)</f>
        <v>3623</v>
      </c>
      <c r="H1498" s="116">
        <f>IFERROR(__xludf.DUMMYFUNCTION("""COMPUTED_VALUE"""),45903.0)</f>
        <v>45903</v>
      </c>
      <c r="I1498" s="115" t="str">
        <f>IFERROR(__xludf.DUMMYFUNCTION("""COMPUTED_VALUE"""),"18")</f>
        <v>18</v>
      </c>
      <c r="J1498" s="115" t="str">
        <f>IFERROR(__xludf.DUMMYFUNCTION("""COMPUTED_VALUE"""),"Martin A2025-09-0318")</f>
        <v>Martin A2025-09-0318</v>
      </c>
      <c r="K1498" s="115">
        <f>IFERROR(__xludf.DUMMYFUNCTION("""COMPUTED_VALUE"""),31677.0)</f>
        <v>31677</v>
      </c>
    </row>
    <row r="1499">
      <c r="A1499" s="115" t="str">
        <f>IFERROR(__xludf.DUMMYFUNCTION("""COMPUTED_VALUE"""),"SOUTH")</f>
        <v>SOUTH</v>
      </c>
      <c r="B1499" s="115" t="str">
        <f>IFERROR(__xludf.DUMMYFUNCTION("""COMPUTED_VALUE"""),"Premkumar M")</f>
        <v>Premkumar M</v>
      </c>
      <c r="C1499" s="115" t="str">
        <f>IFERROR(__xludf.DUMMYFUNCTION("""COMPUTED_VALUE"""),"EXTERNAL")</f>
        <v>EXTERNAL</v>
      </c>
      <c r="D1499" s="115">
        <f>IFERROR(__xludf.DUMMYFUNCTION("""COMPUTED_VALUE"""),29539.0)</f>
        <v>29539</v>
      </c>
      <c r="E1499" s="115">
        <f>IFERROR(__xludf.DUMMYFUNCTION("""COMPUTED_VALUE"""),2860.0)</f>
        <v>2860</v>
      </c>
      <c r="F1499" s="115">
        <f>IFERROR(__xludf.DUMMYFUNCTION("""COMPUTED_VALUE"""),12996.0)</f>
        <v>12996</v>
      </c>
      <c r="G1499" s="115">
        <f>IFERROR(__xludf.DUMMYFUNCTION("""COMPUTED_VALUE"""),534.0)</f>
        <v>534</v>
      </c>
      <c r="H1499" s="116">
        <f>IFERROR(__xludf.DUMMYFUNCTION("""COMPUTED_VALUE"""),45903.0)</f>
        <v>45903</v>
      </c>
      <c r="I1499" s="115" t="str">
        <f>IFERROR(__xludf.DUMMYFUNCTION("""COMPUTED_VALUE"""),"18")</f>
        <v>18</v>
      </c>
      <c r="J1499" s="115" t="str">
        <f>IFERROR(__xludf.DUMMYFUNCTION("""COMPUTED_VALUE"""),"Premkumar M2025-09-0318")</f>
        <v>Premkumar M2025-09-0318</v>
      </c>
      <c r="K1499" s="115">
        <f>IFERROR(__xludf.DUMMYFUNCTION("""COMPUTED_VALUE"""),32399.0)</f>
        <v>32399</v>
      </c>
    </row>
    <row r="1500">
      <c r="A1500" s="115" t="str">
        <f>IFERROR(__xludf.DUMMYFUNCTION("""COMPUTED_VALUE"""),"SOUTH")</f>
        <v>SOUTH</v>
      </c>
      <c r="B1500" s="115" t="str">
        <f>IFERROR(__xludf.DUMMYFUNCTION("""COMPUTED_VALUE"""),"Premkumar M")</f>
        <v>Premkumar M</v>
      </c>
      <c r="C1500" s="115" t="str">
        <f>IFERROR(__xludf.DUMMYFUNCTION("""COMPUTED_VALUE"""),"FLIPKART")</f>
        <v>FLIPKART</v>
      </c>
      <c r="D1500" s="115">
        <f>IFERROR(__xludf.DUMMYFUNCTION("""COMPUTED_VALUE"""),261132.0)</f>
        <v>261132</v>
      </c>
      <c r="E1500" s="115">
        <f>IFERROR(__xludf.DUMMYFUNCTION("""COMPUTED_VALUE"""),19812.0)</f>
        <v>19812</v>
      </c>
      <c r="F1500" s="115">
        <f>IFERROR(__xludf.DUMMYFUNCTION("""COMPUTED_VALUE"""),174559.0)</f>
        <v>174559</v>
      </c>
      <c r="G1500" s="115">
        <f>IFERROR(__xludf.DUMMYFUNCTION("""COMPUTED_VALUE"""),5894.0)</f>
        <v>5894</v>
      </c>
      <c r="H1500" s="116">
        <f>IFERROR(__xludf.DUMMYFUNCTION("""COMPUTED_VALUE"""),45903.0)</f>
        <v>45903</v>
      </c>
      <c r="I1500" s="115" t="str">
        <f>IFERROR(__xludf.DUMMYFUNCTION("""COMPUTED_VALUE"""),"18")</f>
        <v>18</v>
      </c>
      <c r="J1500" s="115" t="str">
        <f>IFERROR(__xludf.DUMMYFUNCTION("""COMPUTED_VALUE"""),"Premkumar M2025-09-0318")</f>
        <v>Premkumar M2025-09-0318</v>
      </c>
      <c r="K1500" s="115">
        <f>IFERROR(__xludf.DUMMYFUNCTION("""COMPUTED_VALUE"""),280944.0)</f>
        <v>280944</v>
      </c>
    </row>
    <row r="1501">
      <c r="A1501" s="115" t="str">
        <f>IFERROR(__xludf.DUMMYFUNCTION("""COMPUTED_VALUE"""),"SOUTH")</f>
        <v>SOUTH</v>
      </c>
      <c r="B1501" s="115" t="str">
        <f>IFERROR(__xludf.DUMMYFUNCTION("""COMPUTED_VALUE"""),"Premkumar M")</f>
        <v>Premkumar M</v>
      </c>
      <c r="C1501" s="115" t="str">
        <f>IFERROR(__xludf.DUMMYFUNCTION("""COMPUTED_VALUE"""),"MYNTRA")</f>
        <v>MYNTRA</v>
      </c>
      <c r="D1501" s="115">
        <f>IFERROR(__xludf.DUMMYFUNCTION("""COMPUTED_VALUE"""),13935.0)</f>
        <v>13935</v>
      </c>
      <c r="E1501" s="115">
        <f>IFERROR(__xludf.DUMMYFUNCTION("""COMPUTED_VALUE"""),2971.0)</f>
        <v>2971</v>
      </c>
      <c r="F1501" s="115">
        <f>IFERROR(__xludf.DUMMYFUNCTION("""COMPUTED_VALUE"""),10633.0)</f>
        <v>10633</v>
      </c>
      <c r="G1501" s="115">
        <f>IFERROR(__xludf.DUMMYFUNCTION("""COMPUTED_VALUE"""),949.0)</f>
        <v>949</v>
      </c>
      <c r="H1501" s="116">
        <f>IFERROR(__xludf.DUMMYFUNCTION("""COMPUTED_VALUE"""),45903.0)</f>
        <v>45903</v>
      </c>
      <c r="I1501" s="115" t="str">
        <f>IFERROR(__xludf.DUMMYFUNCTION("""COMPUTED_VALUE"""),"18")</f>
        <v>18</v>
      </c>
      <c r="J1501" s="115" t="str">
        <f>IFERROR(__xludf.DUMMYFUNCTION("""COMPUTED_VALUE"""),"Premkumar M2025-09-0318")</f>
        <v>Premkumar M2025-09-0318</v>
      </c>
      <c r="K1501" s="115">
        <f>IFERROR(__xludf.DUMMYFUNCTION("""COMPUTED_VALUE"""),16906.0)</f>
        <v>16906</v>
      </c>
    </row>
    <row r="1502">
      <c r="A1502" s="115" t="str">
        <f>IFERROR(__xludf.DUMMYFUNCTION("""COMPUTED_VALUE"""),"SOUTH")</f>
        <v>SOUTH</v>
      </c>
      <c r="B1502" s="115" t="str">
        <f>IFERROR(__xludf.DUMMYFUNCTION("""COMPUTED_VALUE"""),"Vineeth V")</f>
        <v>Vineeth V</v>
      </c>
      <c r="C1502" s="115" t="str">
        <f>IFERROR(__xludf.DUMMYFUNCTION("""COMPUTED_VALUE"""),"EXTERNAL")</f>
        <v>EXTERNAL</v>
      </c>
      <c r="D1502" s="115">
        <f>IFERROR(__xludf.DUMMYFUNCTION("""COMPUTED_VALUE"""),22202.0)</f>
        <v>22202</v>
      </c>
      <c r="E1502" s="115">
        <f>IFERROR(__xludf.DUMMYFUNCTION("""COMPUTED_VALUE"""),935.0)</f>
        <v>935</v>
      </c>
      <c r="F1502" s="115">
        <f>IFERROR(__xludf.DUMMYFUNCTION("""COMPUTED_VALUE"""),10704.0)</f>
        <v>10704</v>
      </c>
      <c r="G1502" s="115">
        <f>IFERROR(__xludf.DUMMYFUNCTION("""COMPUTED_VALUE"""),314.0)</f>
        <v>314</v>
      </c>
      <c r="H1502" s="116">
        <f>IFERROR(__xludf.DUMMYFUNCTION("""COMPUTED_VALUE"""),45903.0)</f>
        <v>45903</v>
      </c>
      <c r="I1502" s="115" t="str">
        <f>IFERROR(__xludf.DUMMYFUNCTION("""COMPUTED_VALUE"""),"18")</f>
        <v>18</v>
      </c>
      <c r="J1502" s="115" t="str">
        <f>IFERROR(__xludf.DUMMYFUNCTION("""COMPUTED_VALUE"""),"Vineeth V2025-09-0318")</f>
        <v>Vineeth V2025-09-0318</v>
      </c>
      <c r="K1502" s="115">
        <f>IFERROR(__xludf.DUMMYFUNCTION("""COMPUTED_VALUE"""),23137.0)</f>
        <v>23137</v>
      </c>
    </row>
    <row r="1503">
      <c r="A1503" s="115" t="str">
        <f>IFERROR(__xludf.DUMMYFUNCTION("""COMPUTED_VALUE"""),"SOUTH")</f>
        <v>SOUTH</v>
      </c>
      <c r="B1503" s="115" t="str">
        <f>IFERROR(__xludf.DUMMYFUNCTION("""COMPUTED_VALUE"""),"Vineeth V")</f>
        <v>Vineeth V</v>
      </c>
      <c r="C1503" s="115" t="str">
        <f>IFERROR(__xludf.DUMMYFUNCTION("""COMPUTED_VALUE"""),"FLIPKART")</f>
        <v>FLIPKART</v>
      </c>
      <c r="D1503" s="115">
        <f>IFERROR(__xludf.DUMMYFUNCTION("""COMPUTED_VALUE"""),234318.0)</f>
        <v>234318</v>
      </c>
      <c r="E1503" s="115">
        <f>IFERROR(__xludf.DUMMYFUNCTION("""COMPUTED_VALUE"""),17397.0)</f>
        <v>17397</v>
      </c>
      <c r="F1503" s="115">
        <f>IFERROR(__xludf.DUMMYFUNCTION("""COMPUTED_VALUE"""),172723.0)</f>
        <v>172723</v>
      </c>
      <c r="G1503" s="115">
        <f>IFERROR(__xludf.DUMMYFUNCTION("""COMPUTED_VALUE"""),5791.0)</f>
        <v>5791</v>
      </c>
      <c r="H1503" s="116">
        <f>IFERROR(__xludf.DUMMYFUNCTION("""COMPUTED_VALUE"""),45903.0)</f>
        <v>45903</v>
      </c>
      <c r="I1503" s="115" t="str">
        <f>IFERROR(__xludf.DUMMYFUNCTION("""COMPUTED_VALUE"""),"18")</f>
        <v>18</v>
      </c>
      <c r="J1503" s="115" t="str">
        <f>IFERROR(__xludf.DUMMYFUNCTION("""COMPUTED_VALUE"""),"Vineeth V2025-09-0318")</f>
        <v>Vineeth V2025-09-0318</v>
      </c>
      <c r="K1503" s="115">
        <f>IFERROR(__xludf.DUMMYFUNCTION("""COMPUTED_VALUE"""),251715.0)</f>
        <v>251715</v>
      </c>
    </row>
    <row r="1504">
      <c r="A1504" s="115" t="str">
        <f>IFERROR(__xludf.DUMMYFUNCTION("""COMPUTED_VALUE"""),"SOUTH")</f>
        <v>SOUTH</v>
      </c>
      <c r="B1504" s="115" t="str">
        <f>IFERROR(__xludf.DUMMYFUNCTION("""COMPUTED_VALUE"""),"Vineeth V")</f>
        <v>Vineeth V</v>
      </c>
      <c r="C1504" s="115" t="str">
        <f>IFERROR(__xludf.DUMMYFUNCTION("""COMPUTED_VALUE"""),"MYNTRA")</f>
        <v>MYNTRA</v>
      </c>
      <c r="D1504" s="115">
        <f>IFERROR(__xludf.DUMMYFUNCTION("""COMPUTED_VALUE"""),22771.0)</f>
        <v>22771</v>
      </c>
      <c r="E1504" s="115">
        <f>IFERROR(__xludf.DUMMYFUNCTION("""COMPUTED_VALUE"""),4194.0)</f>
        <v>4194</v>
      </c>
      <c r="F1504" s="115">
        <f>IFERROR(__xludf.DUMMYFUNCTION("""COMPUTED_VALUE"""),18078.0)</f>
        <v>18078</v>
      </c>
      <c r="G1504" s="115">
        <f>IFERROR(__xludf.DUMMYFUNCTION("""COMPUTED_VALUE"""),1517.0)</f>
        <v>1517</v>
      </c>
      <c r="H1504" s="116">
        <f>IFERROR(__xludf.DUMMYFUNCTION("""COMPUTED_VALUE"""),45903.0)</f>
        <v>45903</v>
      </c>
      <c r="I1504" s="115" t="str">
        <f>IFERROR(__xludf.DUMMYFUNCTION("""COMPUTED_VALUE"""),"18")</f>
        <v>18</v>
      </c>
      <c r="J1504" s="115" t="str">
        <f>IFERROR(__xludf.DUMMYFUNCTION("""COMPUTED_VALUE"""),"Vineeth V2025-09-0318")</f>
        <v>Vineeth V2025-09-0318</v>
      </c>
      <c r="K1504" s="115">
        <f>IFERROR(__xludf.DUMMYFUNCTION("""COMPUTED_VALUE"""),26965.0)</f>
        <v>26965</v>
      </c>
    </row>
    <row r="1505">
      <c r="A1505" s="115" t="str">
        <f>IFERROR(__xludf.DUMMYFUNCTION("""COMPUTED_VALUE"""),"WEST")</f>
        <v>WEST</v>
      </c>
      <c r="B1505" s="115" t="str">
        <f>IFERROR(__xludf.DUMMYFUNCTION("""COMPUTED_VALUE"""),"Ashish Jakar")</f>
        <v>Ashish Jakar</v>
      </c>
      <c r="C1505" s="115" t="str">
        <f>IFERROR(__xludf.DUMMYFUNCTION("""COMPUTED_VALUE"""),"EXTERNAL")</f>
        <v>EXTERNAL</v>
      </c>
      <c r="D1505" s="115">
        <f>IFERROR(__xludf.DUMMYFUNCTION("""COMPUTED_VALUE"""),54563.0)</f>
        <v>54563</v>
      </c>
      <c r="E1505" s="115">
        <f>IFERROR(__xludf.DUMMYFUNCTION("""COMPUTED_VALUE"""),8228.0)</f>
        <v>8228</v>
      </c>
      <c r="F1505" s="115">
        <f>IFERROR(__xludf.DUMMYFUNCTION("""COMPUTED_VALUE"""),19790.0)</f>
        <v>19790</v>
      </c>
      <c r="G1505" s="115">
        <f>IFERROR(__xludf.DUMMYFUNCTION("""COMPUTED_VALUE"""),2330.0)</f>
        <v>2330</v>
      </c>
      <c r="H1505" s="116">
        <f>IFERROR(__xludf.DUMMYFUNCTION("""COMPUTED_VALUE"""),45903.0)</f>
        <v>45903</v>
      </c>
      <c r="I1505" s="115" t="str">
        <f>IFERROR(__xludf.DUMMYFUNCTION("""COMPUTED_VALUE"""),"18")</f>
        <v>18</v>
      </c>
      <c r="J1505" s="115" t="str">
        <f>IFERROR(__xludf.DUMMYFUNCTION("""COMPUTED_VALUE"""),"Ashish Jakar2025-09-0318")</f>
        <v>Ashish Jakar2025-09-0318</v>
      </c>
      <c r="K1505" s="115">
        <f>IFERROR(__xludf.DUMMYFUNCTION("""COMPUTED_VALUE"""),62791.0)</f>
        <v>62791</v>
      </c>
    </row>
    <row r="1506">
      <c r="A1506" s="115" t="str">
        <f>IFERROR(__xludf.DUMMYFUNCTION("""COMPUTED_VALUE"""),"WEST")</f>
        <v>WEST</v>
      </c>
      <c r="B1506" s="115" t="str">
        <f>IFERROR(__xludf.DUMMYFUNCTION("""COMPUTED_VALUE"""),"Ashish Jakar")</f>
        <v>Ashish Jakar</v>
      </c>
      <c r="C1506" s="115" t="str">
        <f>IFERROR(__xludf.DUMMYFUNCTION("""COMPUTED_VALUE"""),"FLIPKART")</f>
        <v>FLIPKART</v>
      </c>
      <c r="D1506" s="115">
        <f>IFERROR(__xludf.DUMMYFUNCTION("""COMPUTED_VALUE"""),320437.0)</f>
        <v>320437</v>
      </c>
      <c r="E1506" s="115">
        <f>IFERROR(__xludf.DUMMYFUNCTION("""COMPUTED_VALUE"""),34367.0)</f>
        <v>34367</v>
      </c>
      <c r="F1506" s="115">
        <f>IFERROR(__xludf.DUMMYFUNCTION("""COMPUTED_VALUE"""),212158.0)</f>
        <v>212158</v>
      </c>
      <c r="G1506" s="115">
        <f>IFERROR(__xludf.DUMMYFUNCTION("""COMPUTED_VALUE"""),16790.0)</f>
        <v>16790</v>
      </c>
      <c r="H1506" s="116">
        <f>IFERROR(__xludf.DUMMYFUNCTION("""COMPUTED_VALUE"""),45903.0)</f>
        <v>45903</v>
      </c>
      <c r="I1506" s="115" t="str">
        <f>IFERROR(__xludf.DUMMYFUNCTION("""COMPUTED_VALUE"""),"18")</f>
        <v>18</v>
      </c>
      <c r="J1506" s="115" t="str">
        <f>IFERROR(__xludf.DUMMYFUNCTION("""COMPUTED_VALUE"""),"Ashish Jakar2025-09-0318")</f>
        <v>Ashish Jakar2025-09-0318</v>
      </c>
      <c r="K1506" s="115">
        <f>IFERROR(__xludf.DUMMYFUNCTION("""COMPUTED_VALUE"""),354804.0)</f>
        <v>354804</v>
      </c>
    </row>
    <row r="1507">
      <c r="A1507" s="115" t="str">
        <f>IFERROR(__xludf.DUMMYFUNCTION("""COMPUTED_VALUE"""),"WEST")</f>
        <v>WEST</v>
      </c>
      <c r="B1507" s="115" t="str">
        <f>IFERROR(__xludf.DUMMYFUNCTION("""COMPUTED_VALUE"""),"Ashish Jakar")</f>
        <v>Ashish Jakar</v>
      </c>
      <c r="C1507" s="115" t="str">
        <f>IFERROR(__xludf.DUMMYFUNCTION("""COMPUTED_VALUE"""),"MYNTRA")</f>
        <v>MYNTRA</v>
      </c>
      <c r="D1507" s="115">
        <f>IFERROR(__xludf.DUMMYFUNCTION("""COMPUTED_VALUE"""),34926.0)</f>
        <v>34926</v>
      </c>
      <c r="E1507" s="115">
        <f>IFERROR(__xludf.DUMMYFUNCTION("""COMPUTED_VALUE"""),11367.0)</f>
        <v>11367</v>
      </c>
      <c r="F1507" s="115">
        <f>IFERROR(__xludf.DUMMYFUNCTION("""COMPUTED_VALUE"""),26160.0)</f>
        <v>26160</v>
      </c>
      <c r="G1507" s="115">
        <f>IFERROR(__xludf.DUMMYFUNCTION("""COMPUTED_VALUE"""),6083.0)</f>
        <v>6083</v>
      </c>
      <c r="H1507" s="116">
        <f>IFERROR(__xludf.DUMMYFUNCTION("""COMPUTED_VALUE"""),45903.0)</f>
        <v>45903</v>
      </c>
      <c r="I1507" s="115" t="str">
        <f>IFERROR(__xludf.DUMMYFUNCTION("""COMPUTED_VALUE"""),"18")</f>
        <v>18</v>
      </c>
      <c r="J1507" s="115" t="str">
        <f>IFERROR(__xludf.DUMMYFUNCTION("""COMPUTED_VALUE"""),"Ashish Jakar2025-09-0318")</f>
        <v>Ashish Jakar2025-09-0318</v>
      </c>
      <c r="K1507" s="115">
        <f>IFERROR(__xludf.DUMMYFUNCTION("""COMPUTED_VALUE"""),46293.0)</f>
        <v>46293</v>
      </c>
    </row>
    <row r="1508">
      <c r="A1508" s="115" t="str">
        <f>IFERROR(__xludf.DUMMYFUNCTION("""COMPUTED_VALUE"""),"WEST")</f>
        <v>WEST</v>
      </c>
      <c r="B1508" s="115" t="str">
        <f>IFERROR(__xludf.DUMMYFUNCTION("""COMPUTED_VALUE"""),"Ashvani Bhatt")</f>
        <v>Ashvani Bhatt</v>
      </c>
      <c r="C1508" s="115" t="str">
        <f>IFERROR(__xludf.DUMMYFUNCTION("""COMPUTED_VALUE"""),"EXTERNAL")</f>
        <v>EXTERNAL</v>
      </c>
      <c r="D1508" s="115">
        <f>IFERROR(__xludf.DUMMYFUNCTION("""COMPUTED_VALUE"""),34906.0)</f>
        <v>34906</v>
      </c>
      <c r="E1508" s="115">
        <f>IFERROR(__xludf.DUMMYFUNCTION("""COMPUTED_VALUE"""),5245.0)</f>
        <v>5245</v>
      </c>
      <c r="F1508" s="115">
        <f>IFERROR(__xludf.DUMMYFUNCTION("""COMPUTED_VALUE"""),13692.0)</f>
        <v>13692</v>
      </c>
      <c r="G1508" s="115">
        <f>IFERROR(__xludf.DUMMYFUNCTION("""COMPUTED_VALUE"""),1313.0)</f>
        <v>1313</v>
      </c>
      <c r="H1508" s="116">
        <f>IFERROR(__xludf.DUMMYFUNCTION("""COMPUTED_VALUE"""),45903.0)</f>
        <v>45903</v>
      </c>
      <c r="I1508" s="115" t="str">
        <f>IFERROR(__xludf.DUMMYFUNCTION("""COMPUTED_VALUE"""),"18")</f>
        <v>18</v>
      </c>
      <c r="J1508" s="115" t="str">
        <f>IFERROR(__xludf.DUMMYFUNCTION("""COMPUTED_VALUE"""),"Ashvani Bhatt2025-09-0318")</f>
        <v>Ashvani Bhatt2025-09-0318</v>
      </c>
      <c r="K1508" s="115">
        <f>IFERROR(__xludf.DUMMYFUNCTION("""COMPUTED_VALUE"""),40151.0)</f>
        <v>40151</v>
      </c>
    </row>
    <row r="1509">
      <c r="A1509" s="115" t="str">
        <f>IFERROR(__xludf.DUMMYFUNCTION("""COMPUTED_VALUE"""),"WEST")</f>
        <v>WEST</v>
      </c>
      <c r="B1509" s="115" t="str">
        <f>IFERROR(__xludf.DUMMYFUNCTION("""COMPUTED_VALUE"""),"Ashvani Bhatt")</f>
        <v>Ashvani Bhatt</v>
      </c>
      <c r="C1509" s="115" t="str">
        <f>IFERROR(__xludf.DUMMYFUNCTION("""COMPUTED_VALUE"""),"FLIPKART")</f>
        <v>FLIPKART</v>
      </c>
      <c r="D1509" s="115">
        <f>IFERROR(__xludf.DUMMYFUNCTION("""COMPUTED_VALUE"""),253198.0)</f>
        <v>253198</v>
      </c>
      <c r="E1509" s="115">
        <f>IFERROR(__xludf.DUMMYFUNCTION("""COMPUTED_VALUE"""),29286.0)</f>
        <v>29286</v>
      </c>
      <c r="F1509" s="115">
        <f>IFERROR(__xludf.DUMMYFUNCTION("""COMPUTED_VALUE"""),180792.0)</f>
        <v>180792</v>
      </c>
      <c r="G1509" s="115">
        <f>IFERROR(__xludf.DUMMYFUNCTION("""COMPUTED_VALUE"""),14920.0)</f>
        <v>14920</v>
      </c>
      <c r="H1509" s="116">
        <f>IFERROR(__xludf.DUMMYFUNCTION("""COMPUTED_VALUE"""),45903.0)</f>
        <v>45903</v>
      </c>
      <c r="I1509" s="115" t="str">
        <f>IFERROR(__xludf.DUMMYFUNCTION("""COMPUTED_VALUE"""),"18")</f>
        <v>18</v>
      </c>
      <c r="J1509" s="115" t="str">
        <f>IFERROR(__xludf.DUMMYFUNCTION("""COMPUTED_VALUE"""),"Ashvani Bhatt2025-09-0318")</f>
        <v>Ashvani Bhatt2025-09-0318</v>
      </c>
      <c r="K1509" s="115">
        <f>IFERROR(__xludf.DUMMYFUNCTION("""COMPUTED_VALUE"""),282484.0)</f>
        <v>282484</v>
      </c>
    </row>
    <row r="1510">
      <c r="A1510" s="115" t="str">
        <f>IFERROR(__xludf.DUMMYFUNCTION("""COMPUTED_VALUE"""),"WEST")</f>
        <v>WEST</v>
      </c>
      <c r="B1510" s="115" t="str">
        <f>IFERROR(__xludf.DUMMYFUNCTION("""COMPUTED_VALUE"""),"Ashvani Bhatt")</f>
        <v>Ashvani Bhatt</v>
      </c>
      <c r="C1510" s="115" t="str">
        <f>IFERROR(__xludf.DUMMYFUNCTION("""COMPUTED_VALUE"""),"MYNTRA")</f>
        <v>MYNTRA</v>
      </c>
      <c r="D1510" s="115">
        <f>IFERROR(__xludf.DUMMYFUNCTION("""COMPUTED_VALUE"""),29568.0)</f>
        <v>29568</v>
      </c>
      <c r="E1510" s="115">
        <f>IFERROR(__xludf.DUMMYFUNCTION("""COMPUTED_VALUE"""),8656.0)</f>
        <v>8656</v>
      </c>
      <c r="F1510" s="115">
        <f>IFERROR(__xludf.DUMMYFUNCTION("""COMPUTED_VALUE"""),24062.0)</f>
        <v>24062</v>
      </c>
      <c r="G1510" s="115">
        <f>IFERROR(__xludf.DUMMYFUNCTION("""COMPUTED_VALUE"""),4875.0)</f>
        <v>4875</v>
      </c>
      <c r="H1510" s="116">
        <f>IFERROR(__xludf.DUMMYFUNCTION("""COMPUTED_VALUE"""),45903.0)</f>
        <v>45903</v>
      </c>
      <c r="I1510" s="115" t="str">
        <f>IFERROR(__xludf.DUMMYFUNCTION("""COMPUTED_VALUE"""),"18")</f>
        <v>18</v>
      </c>
      <c r="J1510" s="115" t="str">
        <f>IFERROR(__xludf.DUMMYFUNCTION("""COMPUTED_VALUE"""),"Ashvani Bhatt2025-09-0318")</f>
        <v>Ashvani Bhatt2025-09-0318</v>
      </c>
      <c r="K1510" s="115">
        <f>IFERROR(__xludf.DUMMYFUNCTION("""COMPUTED_VALUE"""),38224.0)</f>
        <v>38224</v>
      </c>
    </row>
    <row r="1511">
      <c r="A1511" s="115"/>
      <c r="B1511" s="115"/>
      <c r="C1511" s="115" t="str">
        <f>IFERROR(__xludf.DUMMYFUNCTION("""COMPUTED_VALUE"""),"EXTERNAL")</f>
        <v>EXTERNAL</v>
      </c>
      <c r="D1511" s="115">
        <f>IFERROR(__xludf.DUMMYFUNCTION("""COMPUTED_VALUE"""),989.0)</f>
        <v>989</v>
      </c>
      <c r="E1511" s="115">
        <f>IFERROR(__xludf.DUMMYFUNCTION("""COMPUTED_VALUE"""),163.0)</f>
        <v>163</v>
      </c>
      <c r="F1511" s="115">
        <f>IFERROR(__xludf.DUMMYFUNCTION("""COMPUTED_VALUE"""),417.0)</f>
        <v>417</v>
      </c>
      <c r="G1511" s="115">
        <f>IFERROR(__xludf.DUMMYFUNCTION("""COMPUTED_VALUE"""),32.0)</f>
        <v>32</v>
      </c>
      <c r="H1511" s="116">
        <f>IFERROR(__xludf.DUMMYFUNCTION("""COMPUTED_VALUE"""),45903.0)</f>
        <v>45903</v>
      </c>
      <c r="I1511" s="115" t="str">
        <f>IFERROR(__xludf.DUMMYFUNCTION("""COMPUTED_VALUE"""),"18")</f>
        <v>18</v>
      </c>
      <c r="J1511" s="115" t="str">
        <f>IFERROR(__xludf.DUMMYFUNCTION("""COMPUTED_VALUE"""),"2025-09-0318")</f>
        <v>2025-09-0318</v>
      </c>
      <c r="K1511" s="115">
        <f>IFERROR(__xludf.DUMMYFUNCTION("""COMPUTED_VALUE"""),1152.0)</f>
        <v>1152</v>
      </c>
    </row>
    <row r="1512">
      <c r="A1512" s="115"/>
      <c r="B1512" s="115"/>
      <c r="C1512" s="115" t="str">
        <f>IFERROR(__xludf.DUMMYFUNCTION("""COMPUTED_VALUE"""),"FLIPKART")</f>
        <v>FLIPKART</v>
      </c>
      <c r="D1512" s="115">
        <f>IFERROR(__xludf.DUMMYFUNCTION("""COMPUTED_VALUE"""),6110.0)</f>
        <v>6110</v>
      </c>
      <c r="E1512" s="115">
        <f>IFERROR(__xludf.DUMMYFUNCTION("""COMPUTED_VALUE"""),788.0)</f>
        <v>788</v>
      </c>
      <c r="F1512" s="115">
        <f>IFERROR(__xludf.DUMMYFUNCTION("""COMPUTED_VALUE"""),4109.0)</f>
        <v>4109</v>
      </c>
      <c r="G1512" s="115">
        <f>IFERROR(__xludf.DUMMYFUNCTION("""COMPUTED_VALUE"""),307.0)</f>
        <v>307</v>
      </c>
      <c r="H1512" s="116">
        <f>IFERROR(__xludf.DUMMYFUNCTION("""COMPUTED_VALUE"""),45903.0)</f>
        <v>45903</v>
      </c>
      <c r="I1512" s="115" t="str">
        <f>IFERROR(__xludf.DUMMYFUNCTION("""COMPUTED_VALUE"""),"18")</f>
        <v>18</v>
      </c>
      <c r="J1512" s="115" t="str">
        <f>IFERROR(__xludf.DUMMYFUNCTION("""COMPUTED_VALUE"""),"2025-09-0318")</f>
        <v>2025-09-0318</v>
      </c>
      <c r="K1512" s="115">
        <f>IFERROR(__xludf.DUMMYFUNCTION("""COMPUTED_VALUE"""),6898.0)</f>
        <v>6898</v>
      </c>
    </row>
    <row r="1513">
      <c r="A1513" s="115"/>
      <c r="B1513" s="115"/>
      <c r="C1513" s="115" t="str">
        <f>IFERROR(__xludf.DUMMYFUNCTION("""COMPUTED_VALUE"""),"MYNTRA")</f>
        <v>MYNTRA</v>
      </c>
      <c r="D1513" s="115">
        <f>IFERROR(__xludf.DUMMYFUNCTION("""COMPUTED_VALUE"""),673.0)</f>
        <v>673</v>
      </c>
      <c r="E1513" s="115">
        <f>IFERROR(__xludf.DUMMYFUNCTION("""COMPUTED_VALUE"""),223.0)</f>
        <v>223</v>
      </c>
      <c r="F1513" s="115">
        <f>IFERROR(__xludf.DUMMYFUNCTION("""COMPUTED_VALUE"""),485.0)</f>
        <v>485</v>
      </c>
      <c r="G1513" s="115">
        <f>IFERROR(__xludf.DUMMYFUNCTION("""COMPUTED_VALUE"""),103.0)</f>
        <v>103</v>
      </c>
      <c r="H1513" s="116">
        <f>IFERROR(__xludf.DUMMYFUNCTION("""COMPUTED_VALUE"""),45903.0)</f>
        <v>45903</v>
      </c>
      <c r="I1513" s="115" t="str">
        <f>IFERROR(__xludf.DUMMYFUNCTION("""COMPUTED_VALUE"""),"18")</f>
        <v>18</v>
      </c>
      <c r="J1513" s="115" t="str">
        <f>IFERROR(__xludf.DUMMYFUNCTION("""COMPUTED_VALUE"""),"2025-09-0318")</f>
        <v>2025-09-0318</v>
      </c>
      <c r="K1513" s="115">
        <f>IFERROR(__xludf.DUMMYFUNCTION("""COMPUTED_VALUE"""),896.0)</f>
        <v>896</v>
      </c>
    </row>
    <row r="1514">
      <c r="A1514" s="115" t="str">
        <f>IFERROR(__xludf.DUMMYFUNCTION("""COMPUTED_VALUE"""),"EAST")</f>
        <v>EAST</v>
      </c>
      <c r="B1514" s="115" t="str">
        <f>IFERROR(__xludf.DUMMYFUNCTION("""COMPUTED_VALUE"""),"Ashish Ranjan")</f>
        <v>Ashish Ranjan</v>
      </c>
      <c r="C1514" s="115" t="str">
        <f>IFERROR(__xludf.DUMMYFUNCTION("""COMPUTED_VALUE"""),"EXTERNAL")</f>
        <v>EXTERNAL</v>
      </c>
      <c r="D1514" s="115">
        <f>IFERROR(__xludf.DUMMYFUNCTION("""COMPUTED_VALUE"""),40437.0)</f>
        <v>40437</v>
      </c>
      <c r="E1514" s="115">
        <f>IFERROR(__xludf.DUMMYFUNCTION("""COMPUTED_VALUE"""),4647.0)</f>
        <v>4647</v>
      </c>
      <c r="F1514" s="115">
        <f>IFERROR(__xludf.DUMMYFUNCTION("""COMPUTED_VALUE"""),21114.0)</f>
        <v>21114</v>
      </c>
      <c r="G1514" s="115">
        <f>IFERROR(__xludf.DUMMYFUNCTION("""COMPUTED_VALUE"""),1863.0)</f>
        <v>1863</v>
      </c>
      <c r="H1514" s="116">
        <f>IFERROR(__xludf.DUMMYFUNCTION("""COMPUTED_VALUE"""),45903.0)</f>
        <v>45903</v>
      </c>
      <c r="I1514" s="115" t="str">
        <f>IFERROR(__xludf.DUMMYFUNCTION("""COMPUTED_VALUE"""),"19")</f>
        <v>19</v>
      </c>
      <c r="J1514" s="115" t="str">
        <f>IFERROR(__xludf.DUMMYFUNCTION("""COMPUTED_VALUE"""),"Ashish Ranjan2025-09-0319")</f>
        <v>Ashish Ranjan2025-09-0319</v>
      </c>
      <c r="K1514" s="115">
        <f>IFERROR(__xludf.DUMMYFUNCTION("""COMPUTED_VALUE"""),45084.0)</f>
        <v>45084</v>
      </c>
    </row>
    <row r="1515">
      <c r="A1515" s="115" t="str">
        <f>IFERROR(__xludf.DUMMYFUNCTION("""COMPUTED_VALUE"""),"EAST")</f>
        <v>EAST</v>
      </c>
      <c r="B1515" s="115" t="str">
        <f>IFERROR(__xludf.DUMMYFUNCTION("""COMPUTED_VALUE"""),"Ashish Ranjan")</f>
        <v>Ashish Ranjan</v>
      </c>
      <c r="C1515" s="115" t="str">
        <f>IFERROR(__xludf.DUMMYFUNCTION("""COMPUTED_VALUE"""),"FLIPKART")</f>
        <v>FLIPKART</v>
      </c>
      <c r="D1515" s="115">
        <f>IFERROR(__xludf.DUMMYFUNCTION("""COMPUTED_VALUE"""),623938.0)</f>
        <v>623938</v>
      </c>
      <c r="E1515" s="115">
        <f>IFERROR(__xludf.DUMMYFUNCTION("""COMPUTED_VALUE"""),57747.0)</f>
        <v>57747</v>
      </c>
      <c r="F1515" s="115">
        <f>IFERROR(__xludf.DUMMYFUNCTION("""COMPUTED_VALUE"""),529325.0)</f>
        <v>529325</v>
      </c>
      <c r="G1515" s="115">
        <f>IFERROR(__xludf.DUMMYFUNCTION("""COMPUTED_VALUE"""),39558.0)</f>
        <v>39558</v>
      </c>
      <c r="H1515" s="116">
        <f>IFERROR(__xludf.DUMMYFUNCTION("""COMPUTED_VALUE"""),45903.0)</f>
        <v>45903</v>
      </c>
      <c r="I1515" s="115" t="str">
        <f>IFERROR(__xludf.DUMMYFUNCTION("""COMPUTED_VALUE"""),"19")</f>
        <v>19</v>
      </c>
      <c r="J1515" s="115" t="str">
        <f>IFERROR(__xludf.DUMMYFUNCTION("""COMPUTED_VALUE"""),"Ashish Ranjan2025-09-0319")</f>
        <v>Ashish Ranjan2025-09-0319</v>
      </c>
      <c r="K1515" s="115">
        <f>IFERROR(__xludf.DUMMYFUNCTION("""COMPUTED_VALUE"""),681685.0)</f>
        <v>681685</v>
      </c>
    </row>
    <row r="1516">
      <c r="A1516" s="115" t="str">
        <f>IFERROR(__xludf.DUMMYFUNCTION("""COMPUTED_VALUE"""),"EAST")</f>
        <v>EAST</v>
      </c>
      <c r="B1516" s="115" t="str">
        <f>IFERROR(__xludf.DUMMYFUNCTION("""COMPUTED_VALUE"""),"Ashish Ranjan")</f>
        <v>Ashish Ranjan</v>
      </c>
      <c r="C1516" s="115" t="str">
        <f>IFERROR(__xludf.DUMMYFUNCTION("""COMPUTED_VALUE"""),"MYNTRA")</f>
        <v>MYNTRA</v>
      </c>
      <c r="D1516" s="115">
        <f>IFERROR(__xludf.DUMMYFUNCTION("""COMPUTED_VALUE"""),56310.0)</f>
        <v>56310</v>
      </c>
      <c r="E1516" s="115">
        <f>IFERROR(__xludf.DUMMYFUNCTION("""COMPUTED_VALUE"""),12411.0)</f>
        <v>12411</v>
      </c>
      <c r="F1516" s="115">
        <f>IFERROR(__xludf.DUMMYFUNCTION("""COMPUTED_VALUE"""),47879.0)</f>
        <v>47879</v>
      </c>
      <c r="G1516" s="115">
        <f>IFERROR(__xludf.DUMMYFUNCTION("""COMPUTED_VALUE"""),8619.0)</f>
        <v>8619</v>
      </c>
      <c r="H1516" s="116">
        <f>IFERROR(__xludf.DUMMYFUNCTION("""COMPUTED_VALUE"""),45903.0)</f>
        <v>45903</v>
      </c>
      <c r="I1516" s="115" t="str">
        <f>IFERROR(__xludf.DUMMYFUNCTION("""COMPUTED_VALUE"""),"19")</f>
        <v>19</v>
      </c>
      <c r="J1516" s="115" t="str">
        <f>IFERROR(__xludf.DUMMYFUNCTION("""COMPUTED_VALUE"""),"Ashish Ranjan2025-09-0319")</f>
        <v>Ashish Ranjan2025-09-0319</v>
      </c>
      <c r="K1516" s="115">
        <f>IFERROR(__xludf.DUMMYFUNCTION("""COMPUTED_VALUE"""),68721.0)</f>
        <v>68721</v>
      </c>
    </row>
    <row r="1517">
      <c r="A1517" s="115" t="str">
        <f>IFERROR(__xludf.DUMMYFUNCTION("""COMPUTED_VALUE"""),"EAST")</f>
        <v>EAST</v>
      </c>
      <c r="B1517" s="115" t="str">
        <f>IFERROR(__xludf.DUMMYFUNCTION("""COMPUTED_VALUE"""),"Girish Chand")</f>
        <v>Girish Chand</v>
      </c>
      <c r="C1517" s="115" t="str">
        <f>IFERROR(__xludf.DUMMYFUNCTION("""COMPUTED_VALUE"""),"EXTERNAL")</f>
        <v>EXTERNAL</v>
      </c>
      <c r="D1517" s="115">
        <f>IFERROR(__xludf.DUMMYFUNCTION("""COMPUTED_VALUE"""),24912.0)</f>
        <v>24912</v>
      </c>
      <c r="E1517" s="115">
        <f>IFERROR(__xludf.DUMMYFUNCTION("""COMPUTED_VALUE"""),3190.0)</f>
        <v>3190</v>
      </c>
      <c r="F1517" s="115">
        <f>IFERROR(__xludf.DUMMYFUNCTION("""COMPUTED_VALUE"""),10275.0)</f>
        <v>10275</v>
      </c>
      <c r="G1517" s="115">
        <f>IFERROR(__xludf.DUMMYFUNCTION("""COMPUTED_VALUE"""),941.0)</f>
        <v>941</v>
      </c>
      <c r="H1517" s="116">
        <f>IFERROR(__xludf.DUMMYFUNCTION("""COMPUTED_VALUE"""),45903.0)</f>
        <v>45903</v>
      </c>
      <c r="I1517" s="115" t="str">
        <f>IFERROR(__xludf.DUMMYFUNCTION("""COMPUTED_VALUE"""),"19")</f>
        <v>19</v>
      </c>
      <c r="J1517" s="115" t="str">
        <f>IFERROR(__xludf.DUMMYFUNCTION("""COMPUTED_VALUE"""),"Girish Chand2025-09-0319")</f>
        <v>Girish Chand2025-09-0319</v>
      </c>
      <c r="K1517" s="115">
        <f>IFERROR(__xludf.DUMMYFUNCTION("""COMPUTED_VALUE"""),28102.0)</f>
        <v>28102</v>
      </c>
    </row>
    <row r="1518">
      <c r="A1518" s="115" t="str">
        <f>IFERROR(__xludf.DUMMYFUNCTION("""COMPUTED_VALUE"""),"EAST")</f>
        <v>EAST</v>
      </c>
      <c r="B1518" s="115" t="str">
        <f>IFERROR(__xludf.DUMMYFUNCTION("""COMPUTED_VALUE"""),"Girish Chand")</f>
        <v>Girish Chand</v>
      </c>
      <c r="C1518" s="115" t="str">
        <f>IFERROR(__xludf.DUMMYFUNCTION("""COMPUTED_VALUE"""),"FLIPKART")</f>
        <v>FLIPKART</v>
      </c>
      <c r="D1518" s="115">
        <f>IFERROR(__xludf.DUMMYFUNCTION("""COMPUTED_VALUE"""),430662.0)</f>
        <v>430662</v>
      </c>
      <c r="E1518" s="115">
        <f>IFERROR(__xludf.DUMMYFUNCTION("""COMPUTED_VALUE"""),37656.0)</f>
        <v>37656</v>
      </c>
      <c r="F1518" s="115">
        <f>IFERROR(__xludf.DUMMYFUNCTION("""COMPUTED_VALUE"""),316758.0)</f>
        <v>316758</v>
      </c>
      <c r="G1518" s="115">
        <f>IFERROR(__xludf.DUMMYFUNCTION("""COMPUTED_VALUE"""),22362.0)</f>
        <v>22362</v>
      </c>
      <c r="H1518" s="116">
        <f>IFERROR(__xludf.DUMMYFUNCTION("""COMPUTED_VALUE"""),45903.0)</f>
        <v>45903</v>
      </c>
      <c r="I1518" s="115" t="str">
        <f>IFERROR(__xludf.DUMMYFUNCTION("""COMPUTED_VALUE"""),"19")</f>
        <v>19</v>
      </c>
      <c r="J1518" s="115" t="str">
        <f>IFERROR(__xludf.DUMMYFUNCTION("""COMPUTED_VALUE"""),"Girish Chand2025-09-0319")</f>
        <v>Girish Chand2025-09-0319</v>
      </c>
      <c r="K1518" s="115">
        <f>IFERROR(__xludf.DUMMYFUNCTION("""COMPUTED_VALUE"""),468318.0)</f>
        <v>468318</v>
      </c>
    </row>
    <row r="1519">
      <c r="A1519" s="115" t="str">
        <f>IFERROR(__xludf.DUMMYFUNCTION("""COMPUTED_VALUE"""),"EAST")</f>
        <v>EAST</v>
      </c>
      <c r="B1519" s="115" t="str">
        <f>IFERROR(__xludf.DUMMYFUNCTION("""COMPUTED_VALUE"""),"Girish Chand")</f>
        <v>Girish Chand</v>
      </c>
      <c r="C1519" s="115" t="str">
        <f>IFERROR(__xludf.DUMMYFUNCTION("""COMPUTED_VALUE"""),"MYNTRA")</f>
        <v>MYNTRA</v>
      </c>
      <c r="D1519" s="115">
        <f>IFERROR(__xludf.DUMMYFUNCTION("""COMPUTED_VALUE"""),33674.0)</f>
        <v>33674</v>
      </c>
      <c r="E1519" s="115">
        <f>IFERROR(__xludf.DUMMYFUNCTION("""COMPUTED_VALUE"""),6451.0)</f>
        <v>6451</v>
      </c>
      <c r="F1519" s="115">
        <f>IFERROR(__xludf.DUMMYFUNCTION("""COMPUTED_VALUE"""),26186.0)</f>
        <v>26186</v>
      </c>
      <c r="G1519" s="115">
        <f>IFERROR(__xludf.DUMMYFUNCTION("""COMPUTED_VALUE"""),3967.0)</f>
        <v>3967</v>
      </c>
      <c r="H1519" s="116">
        <f>IFERROR(__xludf.DUMMYFUNCTION("""COMPUTED_VALUE"""),45903.0)</f>
        <v>45903</v>
      </c>
      <c r="I1519" s="115" t="str">
        <f>IFERROR(__xludf.DUMMYFUNCTION("""COMPUTED_VALUE"""),"19")</f>
        <v>19</v>
      </c>
      <c r="J1519" s="115" t="str">
        <f>IFERROR(__xludf.DUMMYFUNCTION("""COMPUTED_VALUE"""),"Girish Chand2025-09-0319")</f>
        <v>Girish Chand2025-09-0319</v>
      </c>
      <c r="K1519" s="115">
        <f>IFERROR(__xludf.DUMMYFUNCTION("""COMPUTED_VALUE"""),40125.0)</f>
        <v>40125</v>
      </c>
    </row>
    <row r="1520">
      <c r="A1520" s="115" t="str">
        <f>IFERROR(__xludf.DUMMYFUNCTION("""COMPUTED_VALUE"""),"EAST")</f>
        <v>EAST</v>
      </c>
      <c r="B1520" s="115" t="str">
        <f>IFERROR(__xludf.DUMMYFUNCTION("""COMPUTED_VALUE"""),"Parag Kashyap")</f>
        <v>Parag Kashyap</v>
      </c>
      <c r="C1520" s="115" t="str">
        <f>IFERROR(__xludf.DUMMYFUNCTION("""COMPUTED_VALUE"""),"EXTERNAL")</f>
        <v>EXTERNAL</v>
      </c>
      <c r="D1520" s="115">
        <f>IFERROR(__xludf.DUMMYFUNCTION("""COMPUTED_VALUE"""),21374.0)</f>
        <v>21374</v>
      </c>
      <c r="E1520" s="115">
        <f>IFERROR(__xludf.DUMMYFUNCTION("""COMPUTED_VALUE"""),1651.0)</f>
        <v>1651</v>
      </c>
      <c r="F1520" s="115">
        <f>IFERROR(__xludf.DUMMYFUNCTION("""COMPUTED_VALUE"""),8573.0)</f>
        <v>8573</v>
      </c>
      <c r="G1520" s="115">
        <f>IFERROR(__xludf.DUMMYFUNCTION("""COMPUTED_VALUE"""),425.0)</f>
        <v>425</v>
      </c>
      <c r="H1520" s="116">
        <f>IFERROR(__xludf.DUMMYFUNCTION("""COMPUTED_VALUE"""),45903.0)</f>
        <v>45903</v>
      </c>
      <c r="I1520" s="115" t="str">
        <f>IFERROR(__xludf.DUMMYFUNCTION("""COMPUTED_VALUE"""),"19")</f>
        <v>19</v>
      </c>
      <c r="J1520" s="115" t="str">
        <f>IFERROR(__xludf.DUMMYFUNCTION("""COMPUTED_VALUE"""),"Parag Kashyap2025-09-0319")</f>
        <v>Parag Kashyap2025-09-0319</v>
      </c>
      <c r="K1520" s="115">
        <f>IFERROR(__xludf.DUMMYFUNCTION("""COMPUTED_VALUE"""),23025.0)</f>
        <v>23025</v>
      </c>
    </row>
    <row r="1521">
      <c r="A1521" s="115" t="str">
        <f>IFERROR(__xludf.DUMMYFUNCTION("""COMPUTED_VALUE"""),"EAST")</f>
        <v>EAST</v>
      </c>
      <c r="B1521" s="115" t="str">
        <f>IFERROR(__xludf.DUMMYFUNCTION("""COMPUTED_VALUE"""),"Parag Kashyap")</f>
        <v>Parag Kashyap</v>
      </c>
      <c r="C1521" s="115" t="str">
        <f>IFERROR(__xludf.DUMMYFUNCTION("""COMPUTED_VALUE"""),"FLIPKART")</f>
        <v>FLIPKART</v>
      </c>
      <c r="D1521" s="115">
        <f>IFERROR(__xludf.DUMMYFUNCTION("""COMPUTED_VALUE"""),302146.0)</f>
        <v>302146</v>
      </c>
      <c r="E1521" s="115">
        <f>IFERROR(__xludf.DUMMYFUNCTION("""COMPUTED_VALUE"""),18962.0)</f>
        <v>18962</v>
      </c>
      <c r="F1521" s="115">
        <f>IFERROR(__xludf.DUMMYFUNCTION("""COMPUTED_VALUE"""),225352.0)</f>
        <v>225352</v>
      </c>
      <c r="G1521" s="115">
        <f>IFERROR(__xludf.DUMMYFUNCTION("""COMPUTED_VALUE"""),10040.0)</f>
        <v>10040</v>
      </c>
      <c r="H1521" s="116">
        <f>IFERROR(__xludf.DUMMYFUNCTION("""COMPUTED_VALUE"""),45903.0)</f>
        <v>45903</v>
      </c>
      <c r="I1521" s="115" t="str">
        <f>IFERROR(__xludf.DUMMYFUNCTION("""COMPUTED_VALUE"""),"19")</f>
        <v>19</v>
      </c>
      <c r="J1521" s="115" t="str">
        <f>IFERROR(__xludf.DUMMYFUNCTION("""COMPUTED_VALUE"""),"Parag Kashyap2025-09-0319")</f>
        <v>Parag Kashyap2025-09-0319</v>
      </c>
      <c r="K1521" s="115">
        <f>IFERROR(__xludf.DUMMYFUNCTION("""COMPUTED_VALUE"""),321108.0)</f>
        <v>321108</v>
      </c>
    </row>
    <row r="1522">
      <c r="A1522" s="115" t="str">
        <f>IFERROR(__xludf.DUMMYFUNCTION("""COMPUTED_VALUE"""),"EAST")</f>
        <v>EAST</v>
      </c>
      <c r="B1522" s="115" t="str">
        <f>IFERROR(__xludf.DUMMYFUNCTION("""COMPUTED_VALUE"""),"Parag Kashyap")</f>
        <v>Parag Kashyap</v>
      </c>
      <c r="C1522" s="115" t="str">
        <f>IFERROR(__xludf.DUMMYFUNCTION("""COMPUTED_VALUE"""),"MYNTRA")</f>
        <v>MYNTRA</v>
      </c>
      <c r="D1522" s="115">
        <f>IFERROR(__xludf.DUMMYFUNCTION("""COMPUTED_VALUE"""),34841.0)</f>
        <v>34841</v>
      </c>
      <c r="E1522" s="115">
        <f>IFERROR(__xludf.DUMMYFUNCTION("""COMPUTED_VALUE"""),4868.0)</f>
        <v>4868</v>
      </c>
      <c r="F1522" s="115">
        <f>IFERROR(__xludf.DUMMYFUNCTION("""COMPUTED_VALUE"""),26588.0)</f>
        <v>26588</v>
      </c>
      <c r="G1522" s="115">
        <f>IFERROR(__xludf.DUMMYFUNCTION("""COMPUTED_VALUE"""),2525.0)</f>
        <v>2525</v>
      </c>
      <c r="H1522" s="116">
        <f>IFERROR(__xludf.DUMMYFUNCTION("""COMPUTED_VALUE"""),45903.0)</f>
        <v>45903</v>
      </c>
      <c r="I1522" s="115" t="str">
        <f>IFERROR(__xludf.DUMMYFUNCTION("""COMPUTED_VALUE"""),"19")</f>
        <v>19</v>
      </c>
      <c r="J1522" s="115" t="str">
        <f>IFERROR(__xludf.DUMMYFUNCTION("""COMPUTED_VALUE"""),"Parag Kashyap2025-09-0319")</f>
        <v>Parag Kashyap2025-09-0319</v>
      </c>
      <c r="K1522" s="115">
        <f>IFERROR(__xludf.DUMMYFUNCTION("""COMPUTED_VALUE"""),39709.0)</f>
        <v>39709</v>
      </c>
    </row>
    <row r="1523">
      <c r="A1523" s="115" t="str">
        <f>IFERROR(__xludf.DUMMYFUNCTION("""COMPUTED_VALUE"""),"NORTH")</f>
        <v>NORTH</v>
      </c>
      <c r="B1523" s="115" t="str">
        <f>IFERROR(__xludf.DUMMYFUNCTION("""COMPUTED_VALUE"""),"Amit Kumar Pathak")</f>
        <v>Amit Kumar Pathak</v>
      </c>
      <c r="C1523" s="115" t="str">
        <f>IFERROR(__xludf.DUMMYFUNCTION("""COMPUTED_VALUE"""),"EXTERNAL")</f>
        <v>EXTERNAL</v>
      </c>
      <c r="D1523" s="115">
        <f>IFERROR(__xludf.DUMMYFUNCTION("""COMPUTED_VALUE"""),24091.0)</f>
        <v>24091</v>
      </c>
      <c r="E1523" s="115">
        <f>IFERROR(__xludf.DUMMYFUNCTION("""COMPUTED_VALUE"""),3340.0)</f>
        <v>3340</v>
      </c>
      <c r="F1523" s="115">
        <f>IFERROR(__xludf.DUMMYFUNCTION("""COMPUTED_VALUE"""),8284.0)</f>
        <v>8284</v>
      </c>
      <c r="G1523" s="115">
        <f>IFERROR(__xludf.DUMMYFUNCTION("""COMPUTED_VALUE"""),972.0)</f>
        <v>972</v>
      </c>
      <c r="H1523" s="116">
        <f>IFERROR(__xludf.DUMMYFUNCTION("""COMPUTED_VALUE"""),45903.0)</f>
        <v>45903</v>
      </c>
      <c r="I1523" s="115" t="str">
        <f>IFERROR(__xludf.DUMMYFUNCTION("""COMPUTED_VALUE"""),"19")</f>
        <v>19</v>
      </c>
      <c r="J1523" s="115" t="str">
        <f>IFERROR(__xludf.DUMMYFUNCTION("""COMPUTED_VALUE"""),"Amit Kumar Pathak2025-09-0319")</f>
        <v>Amit Kumar Pathak2025-09-0319</v>
      </c>
      <c r="K1523" s="115">
        <f>IFERROR(__xludf.DUMMYFUNCTION("""COMPUTED_VALUE"""),27431.0)</f>
        <v>27431</v>
      </c>
    </row>
    <row r="1524">
      <c r="A1524" s="115" t="str">
        <f>IFERROR(__xludf.DUMMYFUNCTION("""COMPUTED_VALUE"""),"NORTH")</f>
        <v>NORTH</v>
      </c>
      <c r="B1524" s="115" t="str">
        <f>IFERROR(__xludf.DUMMYFUNCTION("""COMPUTED_VALUE"""),"Amit Kumar Pathak")</f>
        <v>Amit Kumar Pathak</v>
      </c>
      <c r="C1524" s="115" t="str">
        <f>IFERROR(__xludf.DUMMYFUNCTION("""COMPUTED_VALUE"""),"FLIPKART")</f>
        <v>FLIPKART</v>
      </c>
      <c r="D1524" s="115">
        <f>IFERROR(__xludf.DUMMYFUNCTION("""COMPUTED_VALUE"""),194051.0)</f>
        <v>194051</v>
      </c>
      <c r="E1524" s="115">
        <f>IFERROR(__xludf.DUMMYFUNCTION("""COMPUTED_VALUE"""),23472.0)</f>
        <v>23472</v>
      </c>
      <c r="F1524" s="115">
        <f>IFERROR(__xludf.DUMMYFUNCTION("""COMPUTED_VALUE"""),124816.0)</f>
        <v>124816</v>
      </c>
      <c r="G1524" s="115">
        <f>IFERROR(__xludf.DUMMYFUNCTION("""COMPUTED_VALUE"""),11664.0)</f>
        <v>11664</v>
      </c>
      <c r="H1524" s="116">
        <f>IFERROR(__xludf.DUMMYFUNCTION("""COMPUTED_VALUE"""),45903.0)</f>
        <v>45903</v>
      </c>
      <c r="I1524" s="115" t="str">
        <f>IFERROR(__xludf.DUMMYFUNCTION("""COMPUTED_VALUE"""),"19")</f>
        <v>19</v>
      </c>
      <c r="J1524" s="115" t="str">
        <f>IFERROR(__xludf.DUMMYFUNCTION("""COMPUTED_VALUE"""),"Amit Kumar Pathak2025-09-0319")</f>
        <v>Amit Kumar Pathak2025-09-0319</v>
      </c>
      <c r="K1524" s="115">
        <f>IFERROR(__xludf.DUMMYFUNCTION("""COMPUTED_VALUE"""),217523.0)</f>
        <v>217523</v>
      </c>
    </row>
    <row r="1525">
      <c r="A1525" s="115" t="str">
        <f>IFERROR(__xludf.DUMMYFUNCTION("""COMPUTED_VALUE"""),"NORTH")</f>
        <v>NORTH</v>
      </c>
      <c r="B1525" s="115" t="str">
        <f>IFERROR(__xludf.DUMMYFUNCTION("""COMPUTED_VALUE"""),"Amit Kumar Pathak")</f>
        <v>Amit Kumar Pathak</v>
      </c>
      <c r="C1525" s="115" t="str">
        <f>IFERROR(__xludf.DUMMYFUNCTION("""COMPUTED_VALUE"""),"MYNTRA")</f>
        <v>MYNTRA</v>
      </c>
      <c r="D1525" s="115">
        <f>IFERROR(__xludf.DUMMYFUNCTION("""COMPUTED_VALUE"""),18282.0)</f>
        <v>18282</v>
      </c>
      <c r="E1525" s="115">
        <f>IFERROR(__xludf.DUMMYFUNCTION("""COMPUTED_VALUE"""),5827.0)</f>
        <v>5827</v>
      </c>
      <c r="F1525" s="115">
        <f>IFERROR(__xludf.DUMMYFUNCTION("""COMPUTED_VALUE"""),13900.0)</f>
        <v>13900</v>
      </c>
      <c r="G1525" s="115">
        <f>IFERROR(__xludf.DUMMYFUNCTION("""COMPUTED_VALUE"""),3293.0)</f>
        <v>3293</v>
      </c>
      <c r="H1525" s="116">
        <f>IFERROR(__xludf.DUMMYFUNCTION("""COMPUTED_VALUE"""),45903.0)</f>
        <v>45903</v>
      </c>
      <c r="I1525" s="115" t="str">
        <f>IFERROR(__xludf.DUMMYFUNCTION("""COMPUTED_VALUE"""),"19")</f>
        <v>19</v>
      </c>
      <c r="J1525" s="115" t="str">
        <f>IFERROR(__xludf.DUMMYFUNCTION("""COMPUTED_VALUE"""),"Amit Kumar Pathak2025-09-0319")</f>
        <v>Amit Kumar Pathak2025-09-0319</v>
      </c>
      <c r="K1525" s="115">
        <f>IFERROR(__xludf.DUMMYFUNCTION("""COMPUTED_VALUE"""),24109.0)</f>
        <v>24109</v>
      </c>
    </row>
    <row r="1526">
      <c r="A1526" s="115" t="str">
        <f>IFERROR(__xludf.DUMMYFUNCTION("""COMPUTED_VALUE"""),"NORTH")</f>
        <v>NORTH</v>
      </c>
      <c r="B1526" s="115" t="str">
        <f>IFERROR(__xludf.DUMMYFUNCTION("""COMPUTED_VALUE"""),"Loveleen Singh")</f>
        <v>Loveleen Singh</v>
      </c>
      <c r="C1526" s="115" t="str">
        <f>IFERROR(__xludf.DUMMYFUNCTION("""COMPUTED_VALUE"""),"EXTERNAL")</f>
        <v>EXTERNAL</v>
      </c>
      <c r="D1526" s="115">
        <f>IFERROR(__xludf.DUMMYFUNCTION("""COMPUTED_VALUE"""),26376.0)</f>
        <v>26376</v>
      </c>
      <c r="E1526" s="115">
        <f>IFERROR(__xludf.DUMMYFUNCTION("""COMPUTED_VALUE"""),2697.0)</f>
        <v>2697</v>
      </c>
      <c r="F1526" s="115">
        <f>IFERROR(__xludf.DUMMYFUNCTION("""COMPUTED_VALUE"""),9782.0)</f>
        <v>9782</v>
      </c>
      <c r="G1526" s="115">
        <f>IFERROR(__xludf.DUMMYFUNCTION("""COMPUTED_VALUE"""),705.0)</f>
        <v>705</v>
      </c>
      <c r="H1526" s="116">
        <f>IFERROR(__xludf.DUMMYFUNCTION("""COMPUTED_VALUE"""),45903.0)</f>
        <v>45903</v>
      </c>
      <c r="I1526" s="115" t="str">
        <f>IFERROR(__xludf.DUMMYFUNCTION("""COMPUTED_VALUE"""),"19")</f>
        <v>19</v>
      </c>
      <c r="J1526" s="115" t="str">
        <f>IFERROR(__xludf.DUMMYFUNCTION("""COMPUTED_VALUE"""),"Loveleen Singh2025-09-0319")</f>
        <v>Loveleen Singh2025-09-0319</v>
      </c>
      <c r="K1526" s="115">
        <f>IFERROR(__xludf.DUMMYFUNCTION("""COMPUTED_VALUE"""),29073.0)</f>
        <v>29073</v>
      </c>
    </row>
    <row r="1527">
      <c r="A1527" s="115" t="str">
        <f>IFERROR(__xludf.DUMMYFUNCTION("""COMPUTED_VALUE"""),"NORTH")</f>
        <v>NORTH</v>
      </c>
      <c r="B1527" s="115" t="str">
        <f>IFERROR(__xludf.DUMMYFUNCTION("""COMPUTED_VALUE"""),"Loveleen Singh")</f>
        <v>Loveleen Singh</v>
      </c>
      <c r="C1527" s="115" t="str">
        <f>IFERROR(__xludf.DUMMYFUNCTION("""COMPUTED_VALUE"""),"FLIPKART")</f>
        <v>FLIPKART</v>
      </c>
      <c r="D1527" s="115">
        <f>IFERROR(__xludf.DUMMYFUNCTION("""COMPUTED_VALUE"""),139953.0)</f>
        <v>139953</v>
      </c>
      <c r="E1527" s="115">
        <f>IFERROR(__xludf.DUMMYFUNCTION("""COMPUTED_VALUE"""),13664.0)</f>
        <v>13664</v>
      </c>
      <c r="F1527" s="115">
        <f>IFERROR(__xludf.DUMMYFUNCTION("""COMPUTED_VALUE"""),99650.0)</f>
        <v>99650</v>
      </c>
      <c r="G1527" s="115">
        <f>IFERROR(__xludf.DUMMYFUNCTION("""COMPUTED_VALUE"""),7499.0)</f>
        <v>7499</v>
      </c>
      <c r="H1527" s="116">
        <f>IFERROR(__xludf.DUMMYFUNCTION("""COMPUTED_VALUE"""),45903.0)</f>
        <v>45903</v>
      </c>
      <c r="I1527" s="115" t="str">
        <f>IFERROR(__xludf.DUMMYFUNCTION("""COMPUTED_VALUE"""),"19")</f>
        <v>19</v>
      </c>
      <c r="J1527" s="115" t="str">
        <f>IFERROR(__xludf.DUMMYFUNCTION("""COMPUTED_VALUE"""),"Loveleen Singh2025-09-0319")</f>
        <v>Loveleen Singh2025-09-0319</v>
      </c>
      <c r="K1527" s="115">
        <f>IFERROR(__xludf.DUMMYFUNCTION("""COMPUTED_VALUE"""),153617.0)</f>
        <v>153617</v>
      </c>
    </row>
    <row r="1528">
      <c r="A1528" s="115" t="str">
        <f>IFERROR(__xludf.DUMMYFUNCTION("""COMPUTED_VALUE"""),"NORTH")</f>
        <v>NORTH</v>
      </c>
      <c r="B1528" s="115" t="str">
        <f>IFERROR(__xludf.DUMMYFUNCTION("""COMPUTED_VALUE"""),"Loveleen Singh")</f>
        <v>Loveleen Singh</v>
      </c>
      <c r="C1528" s="115" t="str">
        <f>IFERROR(__xludf.DUMMYFUNCTION("""COMPUTED_VALUE"""),"MYNTRA")</f>
        <v>MYNTRA</v>
      </c>
      <c r="D1528" s="115">
        <f>IFERROR(__xludf.DUMMYFUNCTION("""COMPUTED_VALUE"""),21846.0)</f>
        <v>21846</v>
      </c>
      <c r="E1528" s="115">
        <f>IFERROR(__xludf.DUMMYFUNCTION("""COMPUTED_VALUE"""),5427.0)</f>
        <v>5427</v>
      </c>
      <c r="F1528" s="115">
        <f>IFERROR(__xludf.DUMMYFUNCTION("""COMPUTED_VALUE"""),17232.0)</f>
        <v>17232</v>
      </c>
      <c r="G1528" s="115">
        <f>IFERROR(__xludf.DUMMYFUNCTION("""COMPUTED_VALUE"""),3253.0)</f>
        <v>3253</v>
      </c>
      <c r="H1528" s="116">
        <f>IFERROR(__xludf.DUMMYFUNCTION("""COMPUTED_VALUE"""),45903.0)</f>
        <v>45903</v>
      </c>
      <c r="I1528" s="115" t="str">
        <f>IFERROR(__xludf.DUMMYFUNCTION("""COMPUTED_VALUE"""),"19")</f>
        <v>19</v>
      </c>
      <c r="J1528" s="115" t="str">
        <f>IFERROR(__xludf.DUMMYFUNCTION("""COMPUTED_VALUE"""),"Loveleen Singh2025-09-0319")</f>
        <v>Loveleen Singh2025-09-0319</v>
      </c>
      <c r="K1528" s="115">
        <f>IFERROR(__xludf.DUMMYFUNCTION("""COMPUTED_VALUE"""),27273.0)</f>
        <v>27273</v>
      </c>
    </row>
    <row r="1529">
      <c r="A1529" s="115" t="str">
        <f>IFERROR(__xludf.DUMMYFUNCTION("""COMPUTED_VALUE"""),"NORTH")</f>
        <v>NORTH</v>
      </c>
      <c r="B1529" s="115" t="str">
        <f>IFERROR(__xludf.DUMMYFUNCTION("""COMPUTED_VALUE"""),"Manoj Harsh")</f>
        <v>Manoj Harsh</v>
      </c>
      <c r="C1529" s="115" t="str">
        <f>IFERROR(__xludf.DUMMYFUNCTION("""COMPUTED_VALUE"""),"EXTERNAL")</f>
        <v>EXTERNAL</v>
      </c>
      <c r="D1529" s="115">
        <f>IFERROR(__xludf.DUMMYFUNCTION("""COMPUTED_VALUE"""),32746.0)</f>
        <v>32746</v>
      </c>
      <c r="E1529" s="115">
        <f>IFERROR(__xludf.DUMMYFUNCTION("""COMPUTED_VALUE"""),4718.0)</f>
        <v>4718</v>
      </c>
      <c r="F1529" s="115">
        <f>IFERROR(__xludf.DUMMYFUNCTION("""COMPUTED_VALUE"""),12966.0)</f>
        <v>12966</v>
      </c>
      <c r="G1529" s="115">
        <f>IFERROR(__xludf.DUMMYFUNCTION("""COMPUTED_VALUE"""),1330.0)</f>
        <v>1330</v>
      </c>
      <c r="H1529" s="116">
        <f>IFERROR(__xludf.DUMMYFUNCTION("""COMPUTED_VALUE"""),45903.0)</f>
        <v>45903</v>
      </c>
      <c r="I1529" s="115" t="str">
        <f>IFERROR(__xludf.DUMMYFUNCTION("""COMPUTED_VALUE"""),"19")</f>
        <v>19</v>
      </c>
      <c r="J1529" s="115" t="str">
        <f>IFERROR(__xludf.DUMMYFUNCTION("""COMPUTED_VALUE"""),"Manoj Harsh2025-09-0319")</f>
        <v>Manoj Harsh2025-09-0319</v>
      </c>
      <c r="K1529" s="115">
        <f>IFERROR(__xludf.DUMMYFUNCTION("""COMPUTED_VALUE"""),37464.0)</f>
        <v>37464</v>
      </c>
    </row>
    <row r="1530">
      <c r="A1530" s="115" t="str">
        <f>IFERROR(__xludf.DUMMYFUNCTION("""COMPUTED_VALUE"""),"NORTH")</f>
        <v>NORTH</v>
      </c>
      <c r="B1530" s="115" t="str">
        <f>IFERROR(__xludf.DUMMYFUNCTION("""COMPUTED_VALUE"""),"Manoj Harsh")</f>
        <v>Manoj Harsh</v>
      </c>
      <c r="C1530" s="115" t="str">
        <f>IFERROR(__xludf.DUMMYFUNCTION("""COMPUTED_VALUE"""),"FLIPKART")</f>
        <v>FLIPKART</v>
      </c>
      <c r="D1530" s="115">
        <f>IFERROR(__xludf.DUMMYFUNCTION("""COMPUTED_VALUE"""),391190.0)</f>
        <v>391190</v>
      </c>
      <c r="E1530" s="115">
        <f>IFERROR(__xludf.DUMMYFUNCTION("""COMPUTED_VALUE"""),41584.0)</f>
        <v>41584</v>
      </c>
      <c r="F1530" s="115">
        <f>IFERROR(__xludf.DUMMYFUNCTION("""COMPUTED_VALUE"""),281531.0)</f>
        <v>281531</v>
      </c>
      <c r="G1530" s="115">
        <f>IFERROR(__xludf.DUMMYFUNCTION("""COMPUTED_VALUE"""),24324.0)</f>
        <v>24324</v>
      </c>
      <c r="H1530" s="116">
        <f>IFERROR(__xludf.DUMMYFUNCTION("""COMPUTED_VALUE"""),45903.0)</f>
        <v>45903</v>
      </c>
      <c r="I1530" s="115" t="str">
        <f>IFERROR(__xludf.DUMMYFUNCTION("""COMPUTED_VALUE"""),"19")</f>
        <v>19</v>
      </c>
      <c r="J1530" s="115" t="str">
        <f>IFERROR(__xludf.DUMMYFUNCTION("""COMPUTED_VALUE"""),"Manoj Harsh2025-09-0319")</f>
        <v>Manoj Harsh2025-09-0319</v>
      </c>
      <c r="K1530" s="115">
        <f>IFERROR(__xludf.DUMMYFUNCTION("""COMPUTED_VALUE"""),432774.0)</f>
        <v>432774</v>
      </c>
    </row>
    <row r="1531">
      <c r="A1531" s="115" t="str">
        <f>IFERROR(__xludf.DUMMYFUNCTION("""COMPUTED_VALUE"""),"NORTH")</f>
        <v>NORTH</v>
      </c>
      <c r="B1531" s="115" t="str">
        <f>IFERROR(__xludf.DUMMYFUNCTION("""COMPUTED_VALUE"""),"Manoj Harsh")</f>
        <v>Manoj Harsh</v>
      </c>
      <c r="C1531" s="115" t="str">
        <f>IFERROR(__xludf.DUMMYFUNCTION("""COMPUTED_VALUE"""),"MYNTRA")</f>
        <v>MYNTRA</v>
      </c>
      <c r="D1531" s="115">
        <f>IFERROR(__xludf.DUMMYFUNCTION("""COMPUTED_VALUE"""),34514.0)</f>
        <v>34514</v>
      </c>
      <c r="E1531" s="115">
        <f>IFERROR(__xludf.DUMMYFUNCTION("""COMPUTED_VALUE"""),8196.0)</f>
        <v>8196</v>
      </c>
      <c r="F1531" s="115">
        <f>IFERROR(__xludf.DUMMYFUNCTION("""COMPUTED_VALUE"""),26913.0)</f>
        <v>26913</v>
      </c>
      <c r="G1531" s="115">
        <f>IFERROR(__xludf.DUMMYFUNCTION("""COMPUTED_VALUE"""),5203.0)</f>
        <v>5203</v>
      </c>
      <c r="H1531" s="116">
        <f>IFERROR(__xludf.DUMMYFUNCTION("""COMPUTED_VALUE"""),45903.0)</f>
        <v>45903</v>
      </c>
      <c r="I1531" s="115" t="str">
        <f>IFERROR(__xludf.DUMMYFUNCTION("""COMPUTED_VALUE"""),"19")</f>
        <v>19</v>
      </c>
      <c r="J1531" s="115" t="str">
        <f>IFERROR(__xludf.DUMMYFUNCTION("""COMPUTED_VALUE"""),"Manoj Harsh2025-09-0319")</f>
        <v>Manoj Harsh2025-09-0319</v>
      </c>
      <c r="K1531" s="115">
        <f>IFERROR(__xludf.DUMMYFUNCTION("""COMPUTED_VALUE"""),42710.0)</f>
        <v>42710</v>
      </c>
    </row>
    <row r="1532">
      <c r="A1532" s="115" t="str">
        <f>IFERROR(__xludf.DUMMYFUNCTION("""COMPUTED_VALUE"""),"NORTH")</f>
        <v>NORTH</v>
      </c>
      <c r="B1532" s="115" t="str">
        <f>IFERROR(__xludf.DUMMYFUNCTION("""COMPUTED_VALUE"""),"Pradeep Kothari")</f>
        <v>Pradeep Kothari</v>
      </c>
      <c r="C1532" s="115" t="str">
        <f>IFERROR(__xludf.DUMMYFUNCTION("""COMPUTED_VALUE"""),"EXTERNAL")</f>
        <v>EXTERNAL</v>
      </c>
      <c r="D1532" s="115">
        <f>IFERROR(__xludf.DUMMYFUNCTION("""COMPUTED_VALUE"""),17288.0)</f>
        <v>17288</v>
      </c>
      <c r="E1532" s="115">
        <f>IFERROR(__xludf.DUMMYFUNCTION("""COMPUTED_VALUE"""),2736.0)</f>
        <v>2736</v>
      </c>
      <c r="F1532" s="115">
        <f>IFERROR(__xludf.DUMMYFUNCTION("""COMPUTED_VALUE"""),6714.0)</f>
        <v>6714</v>
      </c>
      <c r="G1532" s="115">
        <f>IFERROR(__xludf.DUMMYFUNCTION("""COMPUTED_VALUE"""),920.0)</f>
        <v>920</v>
      </c>
      <c r="H1532" s="116">
        <f>IFERROR(__xludf.DUMMYFUNCTION("""COMPUTED_VALUE"""),45903.0)</f>
        <v>45903</v>
      </c>
      <c r="I1532" s="115" t="str">
        <f>IFERROR(__xludf.DUMMYFUNCTION("""COMPUTED_VALUE"""),"19")</f>
        <v>19</v>
      </c>
      <c r="J1532" s="115" t="str">
        <f>IFERROR(__xludf.DUMMYFUNCTION("""COMPUTED_VALUE"""),"Pradeep Kothari2025-09-0319")</f>
        <v>Pradeep Kothari2025-09-0319</v>
      </c>
      <c r="K1532" s="115">
        <f>IFERROR(__xludf.DUMMYFUNCTION("""COMPUTED_VALUE"""),20024.0)</f>
        <v>20024</v>
      </c>
    </row>
    <row r="1533">
      <c r="A1533" s="115" t="str">
        <f>IFERROR(__xludf.DUMMYFUNCTION("""COMPUTED_VALUE"""),"NORTH")</f>
        <v>NORTH</v>
      </c>
      <c r="B1533" s="115" t="str">
        <f>IFERROR(__xludf.DUMMYFUNCTION("""COMPUTED_VALUE"""),"Pradeep Kothari")</f>
        <v>Pradeep Kothari</v>
      </c>
      <c r="C1533" s="115" t="str">
        <f>IFERROR(__xludf.DUMMYFUNCTION("""COMPUTED_VALUE"""),"FLIPKART")</f>
        <v>FLIPKART</v>
      </c>
      <c r="D1533" s="115">
        <f>IFERROR(__xludf.DUMMYFUNCTION("""COMPUTED_VALUE"""),138105.0)</f>
        <v>138105</v>
      </c>
      <c r="E1533" s="115">
        <f>IFERROR(__xludf.DUMMYFUNCTION("""COMPUTED_VALUE"""),16220.0)</f>
        <v>16220</v>
      </c>
      <c r="F1533" s="115">
        <f>IFERROR(__xludf.DUMMYFUNCTION("""COMPUTED_VALUE"""),101419.0)</f>
        <v>101419</v>
      </c>
      <c r="G1533" s="115">
        <f>IFERROR(__xludf.DUMMYFUNCTION("""COMPUTED_VALUE"""),9706.0)</f>
        <v>9706</v>
      </c>
      <c r="H1533" s="116">
        <f>IFERROR(__xludf.DUMMYFUNCTION("""COMPUTED_VALUE"""),45903.0)</f>
        <v>45903</v>
      </c>
      <c r="I1533" s="115" t="str">
        <f>IFERROR(__xludf.DUMMYFUNCTION("""COMPUTED_VALUE"""),"19")</f>
        <v>19</v>
      </c>
      <c r="J1533" s="115" t="str">
        <f>IFERROR(__xludf.DUMMYFUNCTION("""COMPUTED_VALUE"""),"Pradeep Kothari2025-09-0319")</f>
        <v>Pradeep Kothari2025-09-0319</v>
      </c>
      <c r="K1533" s="115">
        <f>IFERROR(__xludf.DUMMYFUNCTION("""COMPUTED_VALUE"""),154325.0)</f>
        <v>154325</v>
      </c>
    </row>
    <row r="1534">
      <c r="A1534" s="115" t="str">
        <f>IFERROR(__xludf.DUMMYFUNCTION("""COMPUTED_VALUE"""),"NORTH")</f>
        <v>NORTH</v>
      </c>
      <c r="B1534" s="115" t="str">
        <f>IFERROR(__xludf.DUMMYFUNCTION("""COMPUTED_VALUE"""),"Pradeep Kothari")</f>
        <v>Pradeep Kothari</v>
      </c>
      <c r="C1534" s="115" t="str">
        <f>IFERROR(__xludf.DUMMYFUNCTION("""COMPUTED_VALUE"""),"MYNTRA")</f>
        <v>MYNTRA</v>
      </c>
      <c r="D1534" s="115">
        <f>IFERROR(__xludf.DUMMYFUNCTION("""COMPUTED_VALUE"""),22236.0)</f>
        <v>22236</v>
      </c>
      <c r="E1534" s="115">
        <f>IFERROR(__xludf.DUMMYFUNCTION("""COMPUTED_VALUE"""),6183.0)</f>
        <v>6183</v>
      </c>
      <c r="F1534" s="115">
        <f>IFERROR(__xludf.DUMMYFUNCTION("""COMPUTED_VALUE"""),18122.0)</f>
        <v>18122</v>
      </c>
      <c r="G1534" s="115">
        <f>IFERROR(__xludf.DUMMYFUNCTION("""COMPUTED_VALUE"""),4193.0)</f>
        <v>4193</v>
      </c>
      <c r="H1534" s="116">
        <f>IFERROR(__xludf.DUMMYFUNCTION("""COMPUTED_VALUE"""),45903.0)</f>
        <v>45903</v>
      </c>
      <c r="I1534" s="115" t="str">
        <f>IFERROR(__xludf.DUMMYFUNCTION("""COMPUTED_VALUE"""),"19")</f>
        <v>19</v>
      </c>
      <c r="J1534" s="115" t="str">
        <f>IFERROR(__xludf.DUMMYFUNCTION("""COMPUTED_VALUE"""),"Pradeep Kothari2025-09-0319")</f>
        <v>Pradeep Kothari2025-09-0319</v>
      </c>
      <c r="K1534" s="115">
        <f>IFERROR(__xludf.DUMMYFUNCTION("""COMPUTED_VALUE"""),28419.0)</f>
        <v>28419</v>
      </c>
    </row>
    <row r="1535">
      <c r="A1535" s="115" t="str">
        <f>IFERROR(__xludf.DUMMYFUNCTION("""COMPUTED_VALUE"""),"SOUTH")</f>
        <v>SOUTH</v>
      </c>
      <c r="B1535" s="115" t="str">
        <f>IFERROR(__xludf.DUMMYFUNCTION("""COMPUTED_VALUE"""),"Kandula Sampath")</f>
        <v>Kandula Sampath</v>
      </c>
      <c r="C1535" s="115" t="str">
        <f>IFERROR(__xludf.DUMMYFUNCTION("""COMPUTED_VALUE"""),"EXTERNAL")</f>
        <v>EXTERNAL</v>
      </c>
      <c r="D1535" s="115">
        <f>IFERROR(__xludf.DUMMYFUNCTION("""COMPUTED_VALUE"""),36055.0)</f>
        <v>36055</v>
      </c>
      <c r="E1535" s="115">
        <f>IFERROR(__xludf.DUMMYFUNCTION("""COMPUTED_VALUE"""),5817.0)</f>
        <v>5817</v>
      </c>
      <c r="F1535" s="115">
        <f>IFERROR(__xludf.DUMMYFUNCTION("""COMPUTED_VALUE"""),14790.0)</f>
        <v>14790</v>
      </c>
      <c r="G1535" s="115">
        <f>IFERROR(__xludf.DUMMYFUNCTION("""COMPUTED_VALUE"""),1402.0)</f>
        <v>1402</v>
      </c>
      <c r="H1535" s="116">
        <f>IFERROR(__xludf.DUMMYFUNCTION("""COMPUTED_VALUE"""),45903.0)</f>
        <v>45903</v>
      </c>
      <c r="I1535" s="115" t="str">
        <f>IFERROR(__xludf.DUMMYFUNCTION("""COMPUTED_VALUE"""),"19")</f>
        <v>19</v>
      </c>
      <c r="J1535" s="115" t="str">
        <f>IFERROR(__xludf.DUMMYFUNCTION("""COMPUTED_VALUE"""),"Kandula Sampath2025-09-0319")</f>
        <v>Kandula Sampath2025-09-0319</v>
      </c>
      <c r="K1535" s="115">
        <f>IFERROR(__xludf.DUMMYFUNCTION("""COMPUTED_VALUE"""),41872.0)</f>
        <v>41872</v>
      </c>
    </row>
    <row r="1536">
      <c r="A1536" s="115" t="str">
        <f>IFERROR(__xludf.DUMMYFUNCTION("""COMPUTED_VALUE"""),"SOUTH")</f>
        <v>SOUTH</v>
      </c>
      <c r="B1536" s="115" t="str">
        <f>IFERROR(__xludf.DUMMYFUNCTION("""COMPUTED_VALUE"""),"Kandula Sampath")</f>
        <v>Kandula Sampath</v>
      </c>
      <c r="C1536" s="115" t="str">
        <f>IFERROR(__xludf.DUMMYFUNCTION("""COMPUTED_VALUE"""),"FLIPKART")</f>
        <v>FLIPKART</v>
      </c>
      <c r="D1536" s="115">
        <f>IFERROR(__xludf.DUMMYFUNCTION("""COMPUTED_VALUE"""),306959.0)</f>
        <v>306959</v>
      </c>
      <c r="E1536" s="115">
        <f>IFERROR(__xludf.DUMMYFUNCTION("""COMPUTED_VALUE"""),33300.0)</f>
        <v>33300</v>
      </c>
      <c r="F1536" s="115">
        <f>IFERROR(__xludf.DUMMYFUNCTION("""COMPUTED_VALUE"""),219082.0)</f>
        <v>219082</v>
      </c>
      <c r="G1536" s="115">
        <f>IFERROR(__xludf.DUMMYFUNCTION("""COMPUTED_VALUE"""),17086.0)</f>
        <v>17086</v>
      </c>
      <c r="H1536" s="116">
        <f>IFERROR(__xludf.DUMMYFUNCTION("""COMPUTED_VALUE"""),45903.0)</f>
        <v>45903</v>
      </c>
      <c r="I1536" s="115" t="str">
        <f>IFERROR(__xludf.DUMMYFUNCTION("""COMPUTED_VALUE"""),"19")</f>
        <v>19</v>
      </c>
      <c r="J1536" s="115" t="str">
        <f>IFERROR(__xludf.DUMMYFUNCTION("""COMPUTED_VALUE"""),"Kandula Sampath2025-09-0319")</f>
        <v>Kandula Sampath2025-09-0319</v>
      </c>
      <c r="K1536" s="115">
        <f>IFERROR(__xludf.DUMMYFUNCTION("""COMPUTED_VALUE"""),340259.0)</f>
        <v>340259</v>
      </c>
    </row>
    <row r="1537">
      <c r="A1537" s="115" t="str">
        <f>IFERROR(__xludf.DUMMYFUNCTION("""COMPUTED_VALUE"""),"SOUTH")</f>
        <v>SOUTH</v>
      </c>
      <c r="B1537" s="115" t="str">
        <f>IFERROR(__xludf.DUMMYFUNCTION("""COMPUTED_VALUE"""),"Kandula Sampath")</f>
        <v>Kandula Sampath</v>
      </c>
      <c r="C1537" s="115" t="str">
        <f>IFERROR(__xludf.DUMMYFUNCTION("""COMPUTED_VALUE"""),"MYNTRA")</f>
        <v>MYNTRA</v>
      </c>
      <c r="D1537" s="115">
        <f>IFERROR(__xludf.DUMMYFUNCTION("""COMPUTED_VALUE"""),29915.0)</f>
        <v>29915</v>
      </c>
      <c r="E1537" s="115">
        <f>IFERROR(__xludf.DUMMYFUNCTION("""COMPUTED_VALUE"""),8628.0)</f>
        <v>8628</v>
      </c>
      <c r="F1537" s="115">
        <f>IFERROR(__xludf.DUMMYFUNCTION("""COMPUTED_VALUE"""),23336.0)</f>
        <v>23336</v>
      </c>
      <c r="G1537" s="115">
        <f>IFERROR(__xludf.DUMMYFUNCTION("""COMPUTED_VALUE"""),4612.0)</f>
        <v>4612</v>
      </c>
      <c r="H1537" s="116">
        <f>IFERROR(__xludf.DUMMYFUNCTION("""COMPUTED_VALUE"""),45903.0)</f>
        <v>45903</v>
      </c>
      <c r="I1537" s="115" t="str">
        <f>IFERROR(__xludf.DUMMYFUNCTION("""COMPUTED_VALUE"""),"19")</f>
        <v>19</v>
      </c>
      <c r="J1537" s="115" t="str">
        <f>IFERROR(__xludf.DUMMYFUNCTION("""COMPUTED_VALUE"""),"Kandula Sampath2025-09-0319")</f>
        <v>Kandula Sampath2025-09-0319</v>
      </c>
      <c r="K1537" s="115">
        <f>IFERROR(__xludf.DUMMYFUNCTION("""COMPUTED_VALUE"""),38543.0)</f>
        <v>38543</v>
      </c>
    </row>
    <row r="1538">
      <c r="A1538" s="115" t="str">
        <f>IFERROR(__xludf.DUMMYFUNCTION("""COMPUTED_VALUE"""),"SOUTH")</f>
        <v>SOUTH</v>
      </c>
      <c r="B1538" s="115" t="str">
        <f>IFERROR(__xludf.DUMMYFUNCTION("""COMPUTED_VALUE"""),"Martin A")</f>
        <v>Martin A</v>
      </c>
      <c r="C1538" s="115" t="str">
        <f>IFERROR(__xludf.DUMMYFUNCTION("""COMPUTED_VALUE"""),"EXTERNAL")</f>
        <v>EXTERNAL</v>
      </c>
      <c r="D1538" s="115">
        <f>IFERROR(__xludf.DUMMYFUNCTION("""COMPUTED_VALUE"""),35921.0)</f>
        <v>35921</v>
      </c>
      <c r="E1538" s="115">
        <f>IFERROR(__xludf.DUMMYFUNCTION("""COMPUTED_VALUE"""),3855.0)</f>
        <v>3855</v>
      </c>
      <c r="F1538" s="115">
        <f>IFERROR(__xludf.DUMMYFUNCTION("""COMPUTED_VALUE"""),14320.0)</f>
        <v>14320</v>
      </c>
      <c r="G1538" s="115">
        <f>IFERROR(__xludf.DUMMYFUNCTION("""COMPUTED_VALUE"""),1297.0)</f>
        <v>1297</v>
      </c>
      <c r="H1538" s="116">
        <f>IFERROR(__xludf.DUMMYFUNCTION("""COMPUTED_VALUE"""),45903.0)</f>
        <v>45903</v>
      </c>
      <c r="I1538" s="115" t="str">
        <f>IFERROR(__xludf.DUMMYFUNCTION("""COMPUTED_VALUE"""),"19")</f>
        <v>19</v>
      </c>
      <c r="J1538" s="115" t="str">
        <f>IFERROR(__xludf.DUMMYFUNCTION("""COMPUTED_VALUE"""),"Martin A2025-09-0319")</f>
        <v>Martin A2025-09-0319</v>
      </c>
      <c r="K1538" s="115">
        <f>IFERROR(__xludf.DUMMYFUNCTION("""COMPUTED_VALUE"""),39776.0)</f>
        <v>39776</v>
      </c>
    </row>
    <row r="1539">
      <c r="A1539" s="115" t="str">
        <f>IFERROR(__xludf.DUMMYFUNCTION("""COMPUTED_VALUE"""),"SOUTH")</f>
        <v>SOUTH</v>
      </c>
      <c r="B1539" s="115" t="str">
        <f>IFERROR(__xludf.DUMMYFUNCTION("""COMPUTED_VALUE"""),"Martin A")</f>
        <v>Martin A</v>
      </c>
      <c r="C1539" s="115" t="str">
        <f>IFERROR(__xludf.DUMMYFUNCTION("""COMPUTED_VALUE"""),"FLIPKART")</f>
        <v>FLIPKART</v>
      </c>
      <c r="D1539" s="115">
        <f>IFERROR(__xludf.DUMMYFUNCTION("""COMPUTED_VALUE"""),283091.0)</f>
        <v>283091</v>
      </c>
      <c r="E1539" s="115">
        <f>IFERROR(__xludf.DUMMYFUNCTION("""COMPUTED_VALUE"""),28501.0)</f>
        <v>28501</v>
      </c>
      <c r="F1539" s="115">
        <f>IFERROR(__xludf.DUMMYFUNCTION("""COMPUTED_VALUE"""),197144.0)</f>
        <v>197144</v>
      </c>
      <c r="G1539" s="115">
        <f>IFERROR(__xludf.DUMMYFUNCTION("""COMPUTED_VALUE"""),15665.0)</f>
        <v>15665</v>
      </c>
      <c r="H1539" s="116">
        <f>IFERROR(__xludf.DUMMYFUNCTION("""COMPUTED_VALUE"""),45903.0)</f>
        <v>45903</v>
      </c>
      <c r="I1539" s="115" t="str">
        <f>IFERROR(__xludf.DUMMYFUNCTION("""COMPUTED_VALUE"""),"19")</f>
        <v>19</v>
      </c>
      <c r="J1539" s="115" t="str">
        <f>IFERROR(__xludf.DUMMYFUNCTION("""COMPUTED_VALUE"""),"Martin A2025-09-0319")</f>
        <v>Martin A2025-09-0319</v>
      </c>
      <c r="K1539" s="115">
        <f>IFERROR(__xludf.DUMMYFUNCTION("""COMPUTED_VALUE"""),311592.0)</f>
        <v>311592</v>
      </c>
    </row>
    <row r="1540">
      <c r="A1540" s="115" t="str">
        <f>IFERROR(__xludf.DUMMYFUNCTION("""COMPUTED_VALUE"""),"SOUTH")</f>
        <v>SOUTH</v>
      </c>
      <c r="B1540" s="115" t="str">
        <f>IFERROR(__xludf.DUMMYFUNCTION("""COMPUTED_VALUE"""),"Martin A")</f>
        <v>Martin A</v>
      </c>
      <c r="C1540" s="115" t="str">
        <f>IFERROR(__xludf.DUMMYFUNCTION("""COMPUTED_VALUE"""),"MYNTRA")</f>
        <v>MYNTRA</v>
      </c>
      <c r="D1540" s="115">
        <f>IFERROR(__xludf.DUMMYFUNCTION("""COMPUTED_VALUE"""),24810.0)</f>
        <v>24810</v>
      </c>
      <c r="E1540" s="115">
        <f>IFERROR(__xludf.DUMMYFUNCTION("""COMPUTED_VALUE"""),7021.0)</f>
        <v>7021</v>
      </c>
      <c r="F1540" s="115">
        <f>IFERROR(__xludf.DUMMYFUNCTION("""COMPUTED_VALUE"""),19747.0)</f>
        <v>19747</v>
      </c>
      <c r="G1540" s="115">
        <f>IFERROR(__xludf.DUMMYFUNCTION("""COMPUTED_VALUE"""),4109.0)</f>
        <v>4109</v>
      </c>
      <c r="H1540" s="116">
        <f>IFERROR(__xludf.DUMMYFUNCTION("""COMPUTED_VALUE"""),45903.0)</f>
        <v>45903</v>
      </c>
      <c r="I1540" s="115" t="str">
        <f>IFERROR(__xludf.DUMMYFUNCTION("""COMPUTED_VALUE"""),"19")</f>
        <v>19</v>
      </c>
      <c r="J1540" s="115" t="str">
        <f>IFERROR(__xludf.DUMMYFUNCTION("""COMPUTED_VALUE"""),"Martin A2025-09-0319")</f>
        <v>Martin A2025-09-0319</v>
      </c>
      <c r="K1540" s="115">
        <f>IFERROR(__xludf.DUMMYFUNCTION("""COMPUTED_VALUE"""),31831.0)</f>
        <v>31831</v>
      </c>
    </row>
    <row r="1541">
      <c r="A1541" s="115" t="str">
        <f>IFERROR(__xludf.DUMMYFUNCTION("""COMPUTED_VALUE"""),"SOUTH")</f>
        <v>SOUTH</v>
      </c>
      <c r="B1541" s="115" t="str">
        <f>IFERROR(__xludf.DUMMYFUNCTION("""COMPUTED_VALUE"""),"Premkumar M")</f>
        <v>Premkumar M</v>
      </c>
      <c r="C1541" s="115" t="str">
        <f>IFERROR(__xludf.DUMMYFUNCTION("""COMPUTED_VALUE"""),"EXTERNAL")</f>
        <v>EXTERNAL</v>
      </c>
      <c r="D1541" s="115">
        <f>IFERROR(__xludf.DUMMYFUNCTION("""COMPUTED_VALUE"""),29625.0)</f>
        <v>29625</v>
      </c>
      <c r="E1541" s="115">
        <f>IFERROR(__xludf.DUMMYFUNCTION("""COMPUTED_VALUE"""),2864.0)</f>
        <v>2864</v>
      </c>
      <c r="F1541" s="115">
        <f>IFERROR(__xludf.DUMMYFUNCTION("""COMPUTED_VALUE"""),14022.0)</f>
        <v>14022</v>
      </c>
      <c r="G1541" s="115">
        <f>IFERROR(__xludf.DUMMYFUNCTION("""COMPUTED_VALUE"""),717.0)</f>
        <v>717</v>
      </c>
      <c r="H1541" s="116">
        <f>IFERROR(__xludf.DUMMYFUNCTION("""COMPUTED_VALUE"""),45903.0)</f>
        <v>45903</v>
      </c>
      <c r="I1541" s="115" t="str">
        <f>IFERROR(__xludf.DUMMYFUNCTION("""COMPUTED_VALUE"""),"19")</f>
        <v>19</v>
      </c>
      <c r="J1541" s="115" t="str">
        <f>IFERROR(__xludf.DUMMYFUNCTION("""COMPUTED_VALUE"""),"Premkumar M2025-09-0319")</f>
        <v>Premkumar M2025-09-0319</v>
      </c>
      <c r="K1541" s="115">
        <f>IFERROR(__xludf.DUMMYFUNCTION("""COMPUTED_VALUE"""),32489.0)</f>
        <v>32489</v>
      </c>
    </row>
    <row r="1542">
      <c r="A1542" s="115" t="str">
        <f>IFERROR(__xludf.DUMMYFUNCTION("""COMPUTED_VALUE"""),"SOUTH")</f>
        <v>SOUTH</v>
      </c>
      <c r="B1542" s="115" t="str">
        <f>IFERROR(__xludf.DUMMYFUNCTION("""COMPUTED_VALUE"""),"Premkumar M")</f>
        <v>Premkumar M</v>
      </c>
      <c r="C1542" s="115" t="str">
        <f>IFERROR(__xludf.DUMMYFUNCTION("""COMPUTED_VALUE"""),"FLIPKART")</f>
        <v>FLIPKART</v>
      </c>
      <c r="D1542" s="115">
        <f>IFERROR(__xludf.DUMMYFUNCTION("""COMPUTED_VALUE"""),261917.0)</f>
        <v>261917</v>
      </c>
      <c r="E1542" s="115">
        <f>IFERROR(__xludf.DUMMYFUNCTION("""COMPUTED_VALUE"""),19907.0)</f>
        <v>19907</v>
      </c>
      <c r="F1542" s="115">
        <f>IFERROR(__xludf.DUMMYFUNCTION("""COMPUTED_VALUE"""),188075.0)</f>
        <v>188075</v>
      </c>
      <c r="G1542" s="115">
        <f>IFERROR(__xludf.DUMMYFUNCTION("""COMPUTED_VALUE"""),7590.0)</f>
        <v>7590</v>
      </c>
      <c r="H1542" s="116">
        <f>IFERROR(__xludf.DUMMYFUNCTION("""COMPUTED_VALUE"""),45903.0)</f>
        <v>45903</v>
      </c>
      <c r="I1542" s="115" t="str">
        <f>IFERROR(__xludf.DUMMYFUNCTION("""COMPUTED_VALUE"""),"19")</f>
        <v>19</v>
      </c>
      <c r="J1542" s="115" t="str">
        <f>IFERROR(__xludf.DUMMYFUNCTION("""COMPUTED_VALUE"""),"Premkumar M2025-09-0319")</f>
        <v>Premkumar M2025-09-0319</v>
      </c>
      <c r="K1542" s="115">
        <f>IFERROR(__xludf.DUMMYFUNCTION("""COMPUTED_VALUE"""),281824.0)</f>
        <v>281824</v>
      </c>
    </row>
    <row r="1543">
      <c r="A1543" s="115" t="str">
        <f>IFERROR(__xludf.DUMMYFUNCTION("""COMPUTED_VALUE"""),"SOUTH")</f>
        <v>SOUTH</v>
      </c>
      <c r="B1543" s="115" t="str">
        <f>IFERROR(__xludf.DUMMYFUNCTION("""COMPUTED_VALUE"""),"Premkumar M")</f>
        <v>Premkumar M</v>
      </c>
      <c r="C1543" s="115" t="str">
        <f>IFERROR(__xludf.DUMMYFUNCTION("""COMPUTED_VALUE"""),"MYNTRA")</f>
        <v>MYNTRA</v>
      </c>
      <c r="D1543" s="115">
        <f>IFERROR(__xludf.DUMMYFUNCTION("""COMPUTED_VALUE"""),13959.0)</f>
        <v>13959</v>
      </c>
      <c r="E1543" s="115">
        <f>IFERROR(__xludf.DUMMYFUNCTION("""COMPUTED_VALUE"""),2977.0)</f>
        <v>2977</v>
      </c>
      <c r="F1543" s="115">
        <f>IFERROR(__xludf.DUMMYFUNCTION("""COMPUTED_VALUE"""),11270.0)</f>
        <v>11270</v>
      </c>
      <c r="G1543" s="115">
        <f>IFERROR(__xludf.DUMMYFUNCTION("""COMPUTED_VALUE"""),1215.0)</f>
        <v>1215</v>
      </c>
      <c r="H1543" s="116">
        <f>IFERROR(__xludf.DUMMYFUNCTION("""COMPUTED_VALUE"""),45903.0)</f>
        <v>45903</v>
      </c>
      <c r="I1543" s="115" t="str">
        <f>IFERROR(__xludf.DUMMYFUNCTION("""COMPUTED_VALUE"""),"19")</f>
        <v>19</v>
      </c>
      <c r="J1543" s="115" t="str">
        <f>IFERROR(__xludf.DUMMYFUNCTION("""COMPUTED_VALUE"""),"Premkumar M2025-09-0319")</f>
        <v>Premkumar M2025-09-0319</v>
      </c>
      <c r="K1543" s="115">
        <f>IFERROR(__xludf.DUMMYFUNCTION("""COMPUTED_VALUE"""),16936.0)</f>
        <v>16936</v>
      </c>
    </row>
    <row r="1544">
      <c r="A1544" s="115" t="str">
        <f>IFERROR(__xludf.DUMMYFUNCTION("""COMPUTED_VALUE"""),"SOUTH")</f>
        <v>SOUTH</v>
      </c>
      <c r="B1544" s="115" t="str">
        <f>IFERROR(__xludf.DUMMYFUNCTION("""COMPUTED_VALUE"""),"Vineeth V")</f>
        <v>Vineeth V</v>
      </c>
      <c r="C1544" s="115" t="str">
        <f>IFERROR(__xludf.DUMMYFUNCTION("""COMPUTED_VALUE"""),"EXTERNAL")</f>
        <v>EXTERNAL</v>
      </c>
      <c r="D1544" s="115">
        <f>IFERROR(__xludf.DUMMYFUNCTION("""COMPUTED_VALUE"""),22252.0)</f>
        <v>22252</v>
      </c>
      <c r="E1544" s="115">
        <f>IFERROR(__xludf.DUMMYFUNCTION("""COMPUTED_VALUE"""),936.0)</f>
        <v>936</v>
      </c>
      <c r="F1544" s="115">
        <f>IFERROR(__xludf.DUMMYFUNCTION("""COMPUTED_VALUE"""),11376.0)</f>
        <v>11376</v>
      </c>
      <c r="G1544" s="115">
        <f>IFERROR(__xludf.DUMMYFUNCTION("""COMPUTED_VALUE"""),390.0)</f>
        <v>390</v>
      </c>
      <c r="H1544" s="116">
        <f>IFERROR(__xludf.DUMMYFUNCTION("""COMPUTED_VALUE"""),45903.0)</f>
        <v>45903</v>
      </c>
      <c r="I1544" s="115" t="str">
        <f>IFERROR(__xludf.DUMMYFUNCTION("""COMPUTED_VALUE"""),"19")</f>
        <v>19</v>
      </c>
      <c r="J1544" s="115" t="str">
        <f>IFERROR(__xludf.DUMMYFUNCTION("""COMPUTED_VALUE"""),"Vineeth V2025-09-0319")</f>
        <v>Vineeth V2025-09-0319</v>
      </c>
      <c r="K1544" s="115">
        <f>IFERROR(__xludf.DUMMYFUNCTION("""COMPUTED_VALUE"""),23188.0)</f>
        <v>23188</v>
      </c>
    </row>
    <row r="1545">
      <c r="A1545" s="115" t="str">
        <f>IFERROR(__xludf.DUMMYFUNCTION("""COMPUTED_VALUE"""),"SOUTH")</f>
        <v>SOUTH</v>
      </c>
      <c r="B1545" s="115" t="str">
        <f>IFERROR(__xludf.DUMMYFUNCTION("""COMPUTED_VALUE"""),"Vineeth V")</f>
        <v>Vineeth V</v>
      </c>
      <c r="C1545" s="115" t="str">
        <f>IFERROR(__xludf.DUMMYFUNCTION("""COMPUTED_VALUE"""),"FLIPKART")</f>
        <v>FLIPKART</v>
      </c>
      <c r="D1545" s="115">
        <f>IFERROR(__xludf.DUMMYFUNCTION("""COMPUTED_VALUE"""),234651.0)</f>
        <v>234651</v>
      </c>
      <c r="E1545" s="115">
        <f>IFERROR(__xludf.DUMMYFUNCTION("""COMPUTED_VALUE"""),17423.0)</f>
        <v>17423</v>
      </c>
      <c r="F1545" s="115">
        <f>IFERROR(__xludf.DUMMYFUNCTION("""COMPUTED_VALUE"""),183708.0)</f>
        <v>183708</v>
      </c>
      <c r="G1545" s="115">
        <f>IFERROR(__xludf.DUMMYFUNCTION("""COMPUTED_VALUE"""),7367.0)</f>
        <v>7367</v>
      </c>
      <c r="H1545" s="116">
        <f>IFERROR(__xludf.DUMMYFUNCTION("""COMPUTED_VALUE"""),45903.0)</f>
        <v>45903</v>
      </c>
      <c r="I1545" s="115" t="str">
        <f>IFERROR(__xludf.DUMMYFUNCTION("""COMPUTED_VALUE"""),"19")</f>
        <v>19</v>
      </c>
      <c r="J1545" s="115" t="str">
        <f>IFERROR(__xludf.DUMMYFUNCTION("""COMPUTED_VALUE"""),"Vineeth V2025-09-0319")</f>
        <v>Vineeth V2025-09-0319</v>
      </c>
      <c r="K1545" s="115">
        <f>IFERROR(__xludf.DUMMYFUNCTION("""COMPUTED_VALUE"""),252074.0)</f>
        <v>252074</v>
      </c>
    </row>
    <row r="1546">
      <c r="A1546" s="115" t="str">
        <f>IFERROR(__xludf.DUMMYFUNCTION("""COMPUTED_VALUE"""),"SOUTH")</f>
        <v>SOUTH</v>
      </c>
      <c r="B1546" s="115" t="str">
        <f>IFERROR(__xludf.DUMMYFUNCTION("""COMPUTED_VALUE"""),"Vineeth V")</f>
        <v>Vineeth V</v>
      </c>
      <c r="C1546" s="115" t="str">
        <f>IFERROR(__xludf.DUMMYFUNCTION("""COMPUTED_VALUE"""),"MYNTRA")</f>
        <v>MYNTRA</v>
      </c>
      <c r="D1546" s="115">
        <f>IFERROR(__xludf.DUMMYFUNCTION("""COMPUTED_VALUE"""),22798.0)</f>
        <v>22798</v>
      </c>
      <c r="E1546" s="115">
        <f>IFERROR(__xludf.DUMMYFUNCTION("""COMPUTED_VALUE"""),4203.0)</f>
        <v>4203</v>
      </c>
      <c r="F1546" s="115">
        <f>IFERROR(__xludf.DUMMYFUNCTION("""COMPUTED_VALUE"""),19117.0)</f>
        <v>19117</v>
      </c>
      <c r="G1546" s="115">
        <f>IFERROR(__xludf.DUMMYFUNCTION("""COMPUTED_VALUE"""),1881.0)</f>
        <v>1881</v>
      </c>
      <c r="H1546" s="116">
        <f>IFERROR(__xludf.DUMMYFUNCTION("""COMPUTED_VALUE"""),45903.0)</f>
        <v>45903</v>
      </c>
      <c r="I1546" s="115" t="str">
        <f>IFERROR(__xludf.DUMMYFUNCTION("""COMPUTED_VALUE"""),"19")</f>
        <v>19</v>
      </c>
      <c r="J1546" s="115" t="str">
        <f>IFERROR(__xludf.DUMMYFUNCTION("""COMPUTED_VALUE"""),"Vineeth V2025-09-0319")</f>
        <v>Vineeth V2025-09-0319</v>
      </c>
      <c r="K1546" s="115">
        <f>IFERROR(__xludf.DUMMYFUNCTION("""COMPUTED_VALUE"""),27001.0)</f>
        <v>27001</v>
      </c>
    </row>
    <row r="1547">
      <c r="A1547" s="115" t="str">
        <f>IFERROR(__xludf.DUMMYFUNCTION("""COMPUTED_VALUE"""),"WEST")</f>
        <v>WEST</v>
      </c>
      <c r="B1547" s="115" t="str">
        <f>IFERROR(__xludf.DUMMYFUNCTION("""COMPUTED_VALUE"""),"Ashish Jakar")</f>
        <v>Ashish Jakar</v>
      </c>
      <c r="C1547" s="115" t="str">
        <f>IFERROR(__xludf.DUMMYFUNCTION("""COMPUTED_VALUE"""),"EXTERNAL")</f>
        <v>EXTERNAL</v>
      </c>
      <c r="D1547" s="115">
        <f>IFERROR(__xludf.DUMMYFUNCTION("""COMPUTED_VALUE"""),54718.0)</f>
        <v>54718</v>
      </c>
      <c r="E1547" s="115">
        <f>IFERROR(__xludf.DUMMYFUNCTION("""COMPUTED_VALUE"""),8248.0)</f>
        <v>8248</v>
      </c>
      <c r="F1547" s="115">
        <f>IFERROR(__xludf.DUMMYFUNCTION("""COMPUTED_VALUE"""),21088.0)</f>
        <v>21088</v>
      </c>
      <c r="G1547" s="115">
        <f>IFERROR(__xludf.DUMMYFUNCTION("""COMPUTED_VALUE"""),2613.0)</f>
        <v>2613</v>
      </c>
      <c r="H1547" s="116">
        <f>IFERROR(__xludf.DUMMYFUNCTION("""COMPUTED_VALUE"""),45903.0)</f>
        <v>45903</v>
      </c>
      <c r="I1547" s="115" t="str">
        <f>IFERROR(__xludf.DUMMYFUNCTION("""COMPUTED_VALUE"""),"19")</f>
        <v>19</v>
      </c>
      <c r="J1547" s="115" t="str">
        <f>IFERROR(__xludf.DUMMYFUNCTION("""COMPUTED_VALUE"""),"Ashish Jakar2025-09-0319")</f>
        <v>Ashish Jakar2025-09-0319</v>
      </c>
      <c r="K1547" s="115">
        <f>IFERROR(__xludf.DUMMYFUNCTION("""COMPUTED_VALUE"""),62966.0)</f>
        <v>62966</v>
      </c>
    </row>
    <row r="1548">
      <c r="A1548" s="115" t="str">
        <f>IFERROR(__xludf.DUMMYFUNCTION("""COMPUTED_VALUE"""),"WEST")</f>
        <v>WEST</v>
      </c>
      <c r="B1548" s="115" t="str">
        <f>IFERROR(__xludf.DUMMYFUNCTION("""COMPUTED_VALUE"""),"Ashish Jakar")</f>
        <v>Ashish Jakar</v>
      </c>
      <c r="C1548" s="115" t="str">
        <f>IFERROR(__xludf.DUMMYFUNCTION("""COMPUTED_VALUE"""),"FLIPKART")</f>
        <v>FLIPKART</v>
      </c>
      <c r="D1548" s="115">
        <f>IFERROR(__xludf.DUMMYFUNCTION("""COMPUTED_VALUE"""),321245.0)</f>
        <v>321245</v>
      </c>
      <c r="E1548" s="115">
        <f>IFERROR(__xludf.DUMMYFUNCTION("""COMPUTED_VALUE"""),34526.0)</f>
        <v>34526</v>
      </c>
      <c r="F1548" s="115">
        <f>IFERROR(__xludf.DUMMYFUNCTION("""COMPUTED_VALUE"""),223637.0)</f>
        <v>223637</v>
      </c>
      <c r="G1548" s="115">
        <f>IFERROR(__xludf.DUMMYFUNCTION("""COMPUTED_VALUE"""),19074.0)</f>
        <v>19074</v>
      </c>
      <c r="H1548" s="116">
        <f>IFERROR(__xludf.DUMMYFUNCTION("""COMPUTED_VALUE"""),45903.0)</f>
        <v>45903</v>
      </c>
      <c r="I1548" s="115" t="str">
        <f>IFERROR(__xludf.DUMMYFUNCTION("""COMPUTED_VALUE"""),"19")</f>
        <v>19</v>
      </c>
      <c r="J1548" s="115" t="str">
        <f>IFERROR(__xludf.DUMMYFUNCTION("""COMPUTED_VALUE"""),"Ashish Jakar2025-09-0319")</f>
        <v>Ashish Jakar2025-09-0319</v>
      </c>
      <c r="K1548" s="115">
        <f>IFERROR(__xludf.DUMMYFUNCTION("""COMPUTED_VALUE"""),355771.0)</f>
        <v>355771</v>
      </c>
    </row>
    <row r="1549">
      <c r="A1549" s="115" t="str">
        <f>IFERROR(__xludf.DUMMYFUNCTION("""COMPUTED_VALUE"""),"WEST")</f>
        <v>WEST</v>
      </c>
      <c r="B1549" s="115" t="str">
        <f>IFERROR(__xludf.DUMMYFUNCTION("""COMPUTED_VALUE"""),"Ashish Jakar")</f>
        <v>Ashish Jakar</v>
      </c>
      <c r="C1549" s="115" t="str">
        <f>IFERROR(__xludf.DUMMYFUNCTION("""COMPUTED_VALUE"""),"MYNTRA")</f>
        <v>MYNTRA</v>
      </c>
      <c r="D1549" s="115">
        <f>IFERROR(__xludf.DUMMYFUNCTION("""COMPUTED_VALUE"""),34970.0)</f>
        <v>34970</v>
      </c>
      <c r="E1549" s="115">
        <f>IFERROR(__xludf.DUMMYFUNCTION("""COMPUTED_VALUE"""),11393.0)</f>
        <v>11393</v>
      </c>
      <c r="F1549" s="115">
        <f>IFERROR(__xludf.DUMMYFUNCTION("""COMPUTED_VALUE"""),27502.0)</f>
        <v>27502</v>
      </c>
      <c r="G1549" s="115">
        <f>IFERROR(__xludf.DUMMYFUNCTION("""COMPUTED_VALUE"""),6807.0)</f>
        <v>6807</v>
      </c>
      <c r="H1549" s="116">
        <f>IFERROR(__xludf.DUMMYFUNCTION("""COMPUTED_VALUE"""),45903.0)</f>
        <v>45903</v>
      </c>
      <c r="I1549" s="115" t="str">
        <f>IFERROR(__xludf.DUMMYFUNCTION("""COMPUTED_VALUE"""),"19")</f>
        <v>19</v>
      </c>
      <c r="J1549" s="115" t="str">
        <f>IFERROR(__xludf.DUMMYFUNCTION("""COMPUTED_VALUE"""),"Ashish Jakar2025-09-0319")</f>
        <v>Ashish Jakar2025-09-0319</v>
      </c>
      <c r="K1549" s="115">
        <f>IFERROR(__xludf.DUMMYFUNCTION("""COMPUTED_VALUE"""),46363.0)</f>
        <v>46363</v>
      </c>
    </row>
    <row r="1550">
      <c r="A1550" s="115" t="str">
        <f>IFERROR(__xludf.DUMMYFUNCTION("""COMPUTED_VALUE"""),"WEST")</f>
        <v>WEST</v>
      </c>
      <c r="B1550" s="115" t="str">
        <f>IFERROR(__xludf.DUMMYFUNCTION("""COMPUTED_VALUE"""),"Ashvani Bhatt")</f>
        <v>Ashvani Bhatt</v>
      </c>
      <c r="C1550" s="115" t="str">
        <f>IFERROR(__xludf.DUMMYFUNCTION("""COMPUTED_VALUE"""),"EXTERNAL")</f>
        <v>EXTERNAL</v>
      </c>
      <c r="D1550" s="115">
        <f>IFERROR(__xludf.DUMMYFUNCTION("""COMPUTED_VALUE"""),35021.0)</f>
        <v>35021</v>
      </c>
      <c r="E1550" s="115">
        <f>IFERROR(__xludf.DUMMYFUNCTION("""COMPUTED_VALUE"""),5257.0)</f>
        <v>5257</v>
      </c>
      <c r="F1550" s="115">
        <f>IFERROR(__xludf.DUMMYFUNCTION("""COMPUTED_VALUE"""),14272.0)</f>
        <v>14272</v>
      </c>
      <c r="G1550" s="115">
        <f>IFERROR(__xludf.DUMMYFUNCTION("""COMPUTED_VALUE"""),1465.0)</f>
        <v>1465</v>
      </c>
      <c r="H1550" s="116">
        <f>IFERROR(__xludf.DUMMYFUNCTION("""COMPUTED_VALUE"""),45903.0)</f>
        <v>45903</v>
      </c>
      <c r="I1550" s="115" t="str">
        <f>IFERROR(__xludf.DUMMYFUNCTION("""COMPUTED_VALUE"""),"19")</f>
        <v>19</v>
      </c>
      <c r="J1550" s="115" t="str">
        <f>IFERROR(__xludf.DUMMYFUNCTION("""COMPUTED_VALUE"""),"Ashvani Bhatt2025-09-0319")</f>
        <v>Ashvani Bhatt2025-09-0319</v>
      </c>
      <c r="K1550" s="115">
        <f>IFERROR(__xludf.DUMMYFUNCTION("""COMPUTED_VALUE"""),40278.0)</f>
        <v>40278</v>
      </c>
    </row>
    <row r="1551">
      <c r="A1551" s="115" t="str">
        <f>IFERROR(__xludf.DUMMYFUNCTION("""COMPUTED_VALUE"""),"WEST")</f>
        <v>WEST</v>
      </c>
      <c r="B1551" s="115" t="str">
        <f>IFERROR(__xludf.DUMMYFUNCTION("""COMPUTED_VALUE"""),"Ashvani Bhatt")</f>
        <v>Ashvani Bhatt</v>
      </c>
      <c r="C1551" s="115" t="str">
        <f>IFERROR(__xludf.DUMMYFUNCTION("""COMPUTED_VALUE"""),"FLIPKART")</f>
        <v>FLIPKART</v>
      </c>
      <c r="D1551" s="115">
        <f>IFERROR(__xludf.DUMMYFUNCTION("""COMPUTED_VALUE"""),253899.0)</f>
        <v>253899</v>
      </c>
      <c r="E1551" s="115">
        <f>IFERROR(__xludf.DUMMYFUNCTION("""COMPUTED_VALUE"""),29373.0)</f>
        <v>29373</v>
      </c>
      <c r="F1551" s="115">
        <f>IFERROR(__xludf.DUMMYFUNCTION("""COMPUTED_VALUE"""),187243.0)</f>
        <v>187243</v>
      </c>
      <c r="G1551" s="115">
        <f>IFERROR(__xludf.DUMMYFUNCTION("""COMPUTED_VALUE"""),16854.0)</f>
        <v>16854</v>
      </c>
      <c r="H1551" s="116">
        <f>IFERROR(__xludf.DUMMYFUNCTION("""COMPUTED_VALUE"""),45903.0)</f>
        <v>45903</v>
      </c>
      <c r="I1551" s="115" t="str">
        <f>IFERROR(__xludf.DUMMYFUNCTION("""COMPUTED_VALUE"""),"19")</f>
        <v>19</v>
      </c>
      <c r="J1551" s="115" t="str">
        <f>IFERROR(__xludf.DUMMYFUNCTION("""COMPUTED_VALUE"""),"Ashvani Bhatt2025-09-0319")</f>
        <v>Ashvani Bhatt2025-09-0319</v>
      </c>
      <c r="K1551" s="115">
        <f>IFERROR(__xludf.DUMMYFUNCTION("""COMPUTED_VALUE"""),283272.0)</f>
        <v>283272</v>
      </c>
    </row>
    <row r="1552">
      <c r="A1552" s="115" t="str">
        <f>IFERROR(__xludf.DUMMYFUNCTION("""COMPUTED_VALUE"""),"WEST")</f>
        <v>WEST</v>
      </c>
      <c r="B1552" s="115" t="str">
        <f>IFERROR(__xludf.DUMMYFUNCTION("""COMPUTED_VALUE"""),"Ashvani Bhatt")</f>
        <v>Ashvani Bhatt</v>
      </c>
      <c r="C1552" s="115" t="str">
        <f>IFERROR(__xludf.DUMMYFUNCTION("""COMPUTED_VALUE"""),"MYNTRA")</f>
        <v>MYNTRA</v>
      </c>
      <c r="D1552" s="115">
        <f>IFERROR(__xludf.DUMMYFUNCTION("""COMPUTED_VALUE"""),29632.0)</f>
        <v>29632</v>
      </c>
      <c r="E1552" s="115">
        <f>IFERROR(__xludf.DUMMYFUNCTION("""COMPUTED_VALUE"""),8667.0)</f>
        <v>8667</v>
      </c>
      <c r="F1552" s="115">
        <f>IFERROR(__xludf.DUMMYFUNCTION("""COMPUTED_VALUE"""),24654.0)</f>
        <v>24654</v>
      </c>
      <c r="G1552" s="115">
        <f>IFERROR(__xludf.DUMMYFUNCTION("""COMPUTED_VALUE"""),5454.0)</f>
        <v>5454</v>
      </c>
      <c r="H1552" s="116">
        <f>IFERROR(__xludf.DUMMYFUNCTION("""COMPUTED_VALUE"""),45903.0)</f>
        <v>45903</v>
      </c>
      <c r="I1552" s="115" t="str">
        <f>IFERROR(__xludf.DUMMYFUNCTION("""COMPUTED_VALUE"""),"19")</f>
        <v>19</v>
      </c>
      <c r="J1552" s="115" t="str">
        <f>IFERROR(__xludf.DUMMYFUNCTION("""COMPUTED_VALUE"""),"Ashvani Bhatt2025-09-0319")</f>
        <v>Ashvani Bhatt2025-09-0319</v>
      </c>
      <c r="K1552" s="115">
        <f>IFERROR(__xludf.DUMMYFUNCTION("""COMPUTED_VALUE"""),38299.0)</f>
        <v>38299</v>
      </c>
    </row>
    <row r="1553">
      <c r="A1553" s="115"/>
      <c r="B1553" s="115"/>
      <c r="C1553" s="115" t="str">
        <f>IFERROR(__xludf.DUMMYFUNCTION("""COMPUTED_VALUE"""),"EXTERNAL")</f>
        <v>EXTERNAL</v>
      </c>
      <c r="D1553" s="115">
        <f>IFERROR(__xludf.DUMMYFUNCTION("""COMPUTED_VALUE"""),989.0)</f>
        <v>989</v>
      </c>
      <c r="E1553" s="115">
        <f>IFERROR(__xludf.DUMMYFUNCTION("""COMPUTED_VALUE"""),163.0)</f>
        <v>163</v>
      </c>
      <c r="F1553" s="115">
        <f>IFERROR(__xludf.DUMMYFUNCTION("""COMPUTED_VALUE"""),455.0)</f>
        <v>455</v>
      </c>
      <c r="G1553" s="115">
        <f>IFERROR(__xludf.DUMMYFUNCTION("""COMPUTED_VALUE"""),33.0)</f>
        <v>33</v>
      </c>
      <c r="H1553" s="116">
        <f>IFERROR(__xludf.DUMMYFUNCTION("""COMPUTED_VALUE"""),45903.0)</f>
        <v>45903</v>
      </c>
      <c r="I1553" s="115" t="str">
        <f>IFERROR(__xludf.DUMMYFUNCTION("""COMPUTED_VALUE"""),"19")</f>
        <v>19</v>
      </c>
      <c r="J1553" s="115" t="str">
        <f>IFERROR(__xludf.DUMMYFUNCTION("""COMPUTED_VALUE"""),"2025-09-0319")</f>
        <v>2025-09-0319</v>
      </c>
      <c r="K1553" s="115">
        <f>IFERROR(__xludf.DUMMYFUNCTION("""COMPUTED_VALUE"""),1152.0)</f>
        <v>1152</v>
      </c>
    </row>
    <row r="1554">
      <c r="A1554" s="115"/>
      <c r="B1554" s="115"/>
      <c r="C1554" s="115" t="str">
        <f>IFERROR(__xludf.DUMMYFUNCTION("""COMPUTED_VALUE"""),"FLIPKART")</f>
        <v>FLIPKART</v>
      </c>
      <c r="D1554" s="115">
        <f>IFERROR(__xludf.DUMMYFUNCTION("""COMPUTED_VALUE"""),6113.0)</f>
        <v>6113</v>
      </c>
      <c r="E1554" s="115">
        <f>IFERROR(__xludf.DUMMYFUNCTION("""COMPUTED_VALUE"""),788.0)</f>
        <v>788</v>
      </c>
      <c r="F1554" s="115">
        <f>IFERROR(__xludf.DUMMYFUNCTION("""COMPUTED_VALUE"""),4434.0)</f>
        <v>4434</v>
      </c>
      <c r="G1554" s="115">
        <f>IFERROR(__xludf.DUMMYFUNCTION("""COMPUTED_VALUE"""),362.0)</f>
        <v>362</v>
      </c>
      <c r="H1554" s="116">
        <f>IFERROR(__xludf.DUMMYFUNCTION("""COMPUTED_VALUE"""),45903.0)</f>
        <v>45903</v>
      </c>
      <c r="I1554" s="115" t="str">
        <f>IFERROR(__xludf.DUMMYFUNCTION("""COMPUTED_VALUE"""),"19")</f>
        <v>19</v>
      </c>
      <c r="J1554" s="115" t="str">
        <f>IFERROR(__xludf.DUMMYFUNCTION("""COMPUTED_VALUE"""),"2025-09-0319")</f>
        <v>2025-09-0319</v>
      </c>
      <c r="K1554" s="115">
        <f>IFERROR(__xludf.DUMMYFUNCTION("""COMPUTED_VALUE"""),6901.0)</f>
        <v>6901</v>
      </c>
    </row>
    <row r="1555">
      <c r="A1555" s="115"/>
      <c r="B1555" s="115"/>
      <c r="C1555" s="115" t="str">
        <f>IFERROR(__xludf.DUMMYFUNCTION("""COMPUTED_VALUE"""),"MYNTRA")</f>
        <v>MYNTRA</v>
      </c>
      <c r="D1555" s="115">
        <f>IFERROR(__xludf.DUMMYFUNCTION("""COMPUTED_VALUE"""),673.0)</f>
        <v>673</v>
      </c>
      <c r="E1555" s="115">
        <f>IFERROR(__xludf.DUMMYFUNCTION("""COMPUTED_VALUE"""),223.0)</f>
        <v>223</v>
      </c>
      <c r="F1555" s="115">
        <f>IFERROR(__xludf.DUMMYFUNCTION("""COMPUTED_VALUE"""),512.0)</f>
        <v>512</v>
      </c>
      <c r="G1555" s="115">
        <f>IFERROR(__xludf.DUMMYFUNCTION("""COMPUTED_VALUE"""),112.0)</f>
        <v>112</v>
      </c>
      <c r="H1555" s="116">
        <f>IFERROR(__xludf.DUMMYFUNCTION("""COMPUTED_VALUE"""),45903.0)</f>
        <v>45903</v>
      </c>
      <c r="I1555" s="115" t="str">
        <f>IFERROR(__xludf.DUMMYFUNCTION("""COMPUTED_VALUE"""),"19")</f>
        <v>19</v>
      </c>
      <c r="J1555" s="115" t="str">
        <f>IFERROR(__xludf.DUMMYFUNCTION("""COMPUTED_VALUE"""),"2025-09-0319")</f>
        <v>2025-09-0319</v>
      </c>
      <c r="K1555" s="115">
        <f>IFERROR(__xludf.DUMMYFUNCTION("""COMPUTED_VALUE"""),896.0)</f>
        <v>896</v>
      </c>
    </row>
    <row r="1556">
      <c r="A1556" s="115" t="str">
        <f>IFERROR(__xludf.DUMMYFUNCTION("""COMPUTED_VALUE"""),"EAST")</f>
        <v>EAST</v>
      </c>
      <c r="B1556" s="115" t="str">
        <f>IFERROR(__xludf.DUMMYFUNCTION("""COMPUTED_VALUE"""),"Ashish Ranjan")</f>
        <v>Ashish Ranjan</v>
      </c>
      <c r="C1556" s="115" t="str">
        <f>IFERROR(__xludf.DUMMYFUNCTION("""COMPUTED_VALUE"""),"EXTERNAL")</f>
        <v>EXTERNAL</v>
      </c>
      <c r="D1556" s="115">
        <f>IFERROR(__xludf.DUMMYFUNCTION("""COMPUTED_VALUE"""),40500.0)</f>
        <v>40500</v>
      </c>
      <c r="E1556" s="115">
        <f>IFERROR(__xludf.DUMMYFUNCTION("""COMPUTED_VALUE"""),4654.0)</f>
        <v>4654</v>
      </c>
      <c r="F1556" s="115">
        <f>IFERROR(__xludf.DUMMYFUNCTION("""COMPUTED_VALUE"""),21981.0)</f>
        <v>21981</v>
      </c>
      <c r="G1556" s="115">
        <f>IFERROR(__xludf.DUMMYFUNCTION("""COMPUTED_VALUE"""),2087.0)</f>
        <v>2087</v>
      </c>
      <c r="H1556" s="116">
        <f>IFERROR(__xludf.DUMMYFUNCTION("""COMPUTED_VALUE"""),45903.0)</f>
        <v>45903</v>
      </c>
      <c r="I1556" s="115" t="str">
        <f>IFERROR(__xludf.DUMMYFUNCTION("""COMPUTED_VALUE"""),"20")</f>
        <v>20</v>
      </c>
      <c r="J1556" s="115" t="str">
        <f>IFERROR(__xludf.DUMMYFUNCTION("""COMPUTED_VALUE"""),"Ashish Ranjan2025-09-0320")</f>
        <v>Ashish Ranjan2025-09-0320</v>
      </c>
      <c r="K1556" s="115">
        <f>IFERROR(__xludf.DUMMYFUNCTION("""COMPUTED_VALUE"""),45154.0)</f>
        <v>45154</v>
      </c>
    </row>
    <row r="1557">
      <c r="A1557" s="115" t="str">
        <f>IFERROR(__xludf.DUMMYFUNCTION("""COMPUTED_VALUE"""),"EAST")</f>
        <v>EAST</v>
      </c>
      <c r="B1557" s="115" t="str">
        <f>IFERROR(__xludf.DUMMYFUNCTION("""COMPUTED_VALUE"""),"Ashish Ranjan")</f>
        <v>Ashish Ranjan</v>
      </c>
      <c r="C1557" s="115" t="str">
        <f>IFERROR(__xludf.DUMMYFUNCTION("""COMPUTED_VALUE"""),"FLIPKART")</f>
        <v>FLIPKART</v>
      </c>
      <c r="D1557" s="115">
        <f>IFERROR(__xludf.DUMMYFUNCTION("""COMPUTED_VALUE"""),624504.0)</f>
        <v>624504</v>
      </c>
      <c r="E1557" s="115">
        <f>IFERROR(__xludf.DUMMYFUNCTION("""COMPUTED_VALUE"""),58223.0)</f>
        <v>58223</v>
      </c>
      <c r="F1557" s="115">
        <f>IFERROR(__xludf.DUMMYFUNCTION("""COMPUTED_VALUE"""),544445.0)</f>
        <v>544445</v>
      </c>
      <c r="G1557" s="115">
        <f>IFERROR(__xludf.DUMMYFUNCTION("""COMPUTED_VALUE"""),43723.0)</f>
        <v>43723</v>
      </c>
      <c r="H1557" s="116">
        <f>IFERROR(__xludf.DUMMYFUNCTION("""COMPUTED_VALUE"""),45903.0)</f>
        <v>45903</v>
      </c>
      <c r="I1557" s="115" t="str">
        <f>IFERROR(__xludf.DUMMYFUNCTION("""COMPUTED_VALUE"""),"20")</f>
        <v>20</v>
      </c>
      <c r="J1557" s="115" t="str">
        <f>IFERROR(__xludf.DUMMYFUNCTION("""COMPUTED_VALUE"""),"Ashish Ranjan2025-09-0320")</f>
        <v>Ashish Ranjan2025-09-0320</v>
      </c>
      <c r="K1557" s="115">
        <f>IFERROR(__xludf.DUMMYFUNCTION("""COMPUTED_VALUE"""),682727.0)</f>
        <v>682727</v>
      </c>
    </row>
    <row r="1558">
      <c r="A1558" s="115" t="str">
        <f>IFERROR(__xludf.DUMMYFUNCTION("""COMPUTED_VALUE"""),"EAST")</f>
        <v>EAST</v>
      </c>
      <c r="B1558" s="115" t="str">
        <f>IFERROR(__xludf.DUMMYFUNCTION("""COMPUTED_VALUE"""),"Ashish Ranjan")</f>
        <v>Ashish Ranjan</v>
      </c>
      <c r="C1558" s="115" t="str">
        <f>IFERROR(__xludf.DUMMYFUNCTION("""COMPUTED_VALUE"""),"MYNTRA")</f>
        <v>MYNTRA</v>
      </c>
      <c r="D1558" s="115">
        <f>IFERROR(__xludf.DUMMYFUNCTION("""COMPUTED_VALUE"""),56379.0)</f>
        <v>56379</v>
      </c>
      <c r="E1558" s="115">
        <f>IFERROR(__xludf.DUMMYFUNCTION("""COMPUTED_VALUE"""),12429.0)</f>
        <v>12429</v>
      </c>
      <c r="F1558" s="115">
        <f>IFERROR(__xludf.DUMMYFUNCTION("""COMPUTED_VALUE"""),49491.0)</f>
        <v>49491</v>
      </c>
      <c r="G1558" s="115">
        <f>IFERROR(__xludf.DUMMYFUNCTION("""COMPUTED_VALUE"""),9398.0)</f>
        <v>9398</v>
      </c>
      <c r="H1558" s="116">
        <f>IFERROR(__xludf.DUMMYFUNCTION("""COMPUTED_VALUE"""),45903.0)</f>
        <v>45903</v>
      </c>
      <c r="I1558" s="115" t="str">
        <f>IFERROR(__xludf.DUMMYFUNCTION("""COMPUTED_VALUE"""),"20")</f>
        <v>20</v>
      </c>
      <c r="J1558" s="115" t="str">
        <f>IFERROR(__xludf.DUMMYFUNCTION("""COMPUTED_VALUE"""),"Ashish Ranjan2025-09-0320")</f>
        <v>Ashish Ranjan2025-09-0320</v>
      </c>
      <c r="K1558" s="115">
        <f>IFERROR(__xludf.DUMMYFUNCTION("""COMPUTED_VALUE"""),68808.0)</f>
        <v>68808</v>
      </c>
    </row>
    <row r="1559">
      <c r="A1559" s="115" t="str">
        <f>IFERROR(__xludf.DUMMYFUNCTION("""COMPUTED_VALUE"""),"EAST")</f>
        <v>EAST</v>
      </c>
      <c r="B1559" s="115" t="str">
        <f>IFERROR(__xludf.DUMMYFUNCTION("""COMPUTED_VALUE"""),"Girish Chand")</f>
        <v>Girish Chand</v>
      </c>
      <c r="C1559" s="115" t="str">
        <f>IFERROR(__xludf.DUMMYFUNCTION("""COMPUTED_VALUE"""),"EXTERNAL")</f>
        <v>EXTERNAL</v>
      </c>
      <c r="D1559" s="115">
        <f>IFERROR(__xludf.DUMMYFUNCTION("""COMPUTED_VALUE"""),24928.0)</f>
        <v>24928</v>
      </c>
      <c r="E1559" s="115">
        <f>IFERROR(__xludf.DUMMYFUNCTION("""COMPUTED_VALUE"""),3190.0)</f>
        <v>3190</v>
      </c>
      <c r="F1559" s="115">
        <f>IFERROR(__xludf.DUMMYFUNCTION("""COMPUTED_VALUE"""),10490.0)</f>
        <v>10490</v>
      </c>
      <c r="G1559" s="115">
        <f>IFERROR(__xludf.DUMMYFUNCTION("""COMPUTED_VALUE"""),1072.0)</f>
        <v>1072</v>
      </c>
      <c r="H1559" s="116">
        <f>IFERROR(__xludf.DUMMYFUNCTION("""COMPUTED_VALUE"""),45903.0)</f>
        <v>45903</v>
      </c>
      <c r="I1559" s="115" t="str">
        <f>IFERROR(__xludf.DUMMYFUNCTION("""COMPUTED_VALUE"""),"20")</f>
        <v>20</v>
      </c>
      <c r="J1559" s="115" t="str">
        <f>IFERROR(__xludf.DUMMYFUNCTION("""COMPUTED_VALUE"""),"Girish Chand2025-09-0320")</f>
        <v>Girish Chand2025-09-0320</v>
      </c>
      <c r="K1559" s="115">
        <f>IFERROR(__xludf.DUMMYFUNCTION("""COMPUTED_VALUE"""),28118.0)</f>
        <v>28118</v>
      </c>
    </row>
    <row r="1560">
      <c r="A1560" s="115" t="str">
        <f>IFERROR(__xludf.DUMMYFUNCTION("""COMPUTED_VALUE"""),"EAST")</f>
        <v>EAST</v>
      </c>
      <c r="B1560" s="115" t="str">
        <f>IFERROR(__xludf.DUMMYFUNCTION("""COMPUTED_VALUE"""),"Girish Chand")</f>
        <v>Girish Chand</v>
      </c>
      <c r="C1560" s="115" t="str">
        <f>IFERROR(__xludf.DUMMYFUNCTION("""COMPUTED_VALUE"""),"FLIPKART")</f>
        <v>FLIPKART</v>
      </c>
      <c r="D1560" s="115">
        <f>IFERROR(__xludf.DUMMYFUNCTION("""COMPUTED_VALUE"""),430778.0)</f>
        <v>430778</v>
      </c>
      <c r="E1560" s="115">
        <f>IFERROR(__xludf.DUMMYFUNCTION("""COMPUTED_VALUE"""),37807.0)</f>
        <v>37807</v>
      </c>
      <c r="F1560" s="115">
        <f>IFERROR(__xludf.DUMMYFUNCTION("""COMPUTED_VALUE"""),322003.0)</f>
        <v>322003</v>
      </c>
      <c r="G1560" s="115">
        <f>IFERROR(__xludf.DUMMYFUNCTION("""COMPUTED_VALUE"""),25447.0)</f>
        <v>25447</v>
      </c>
      <c r="H1560" s="116">
        <f>IFERROR(__xludf.DUMMYFUNCTION("""COMPUTED_VALUE"""),45903.0)</f>
        <v>45903</v>
      </c>
      <c r="I1560" s="115" t="str">
        <f>IFERROR(__xludf.DUMMYFUNCTION("""COMPUTED_VALUE"""),"20")</f>
        <v>20</v>
      </c>
      <c r="J1560" s="115" t="str">
        <f>IFERROR(__xludf.DUMMYFUNCTION("""COMPUTED_VALUE"""),"Girish Chand2025-09-0320")</f>
        <v>Girish Chand2025-09-0320</v>
      </c>
      <c r="K1560" s="115">
        <f>IFERROR(__xludf.DUMMYFUNCTION("""COMPUTED_VALUE"""),468585.0)</f>
        <v>468585</v>
      </c>
    </row>
    <row r="1561">
      <c r="A1561" s="115" t="str">
        <f>IFERROR(__xludf.DUMMYFUNCTION("""COMPUTED_VALUE"""),"EAST")</f>
        <v>EAST</v>
      </c>
      <c r="B1561" s="115" t="str">
        <f>IFERROR(__xludf.DUMMYFUNCTION("""COMPUTED_VALUE"""),"Girish Chand")</f>
        <v>Girish Chand</v>
      </c>
      <c r="C1561" s="115" t="str">
        <f>IFERROR(__xludf.DUMMYFUNCTION("""COMPUTED_VALUE"""),"MYNTRA")</f>
        <v>MYNTRA</v>
      </c>
      <c r="D1561" s="115">
        <f>IFERROR(__xludf.DUMMYFUNCTION("""COMPUTED_VALUE"""),33682.0)</f>
        <v>33682</v>
      </c>
      <c r="E1561" s="115">
        <f>IFERROR(__xludf.DUMMYFUNCTION("""COMPUTED_VALUE"""),6519.0)</f>
        <v>6519</v>
      </c>
      <c r="F1561" s="115">
        <f>IFERROR(__xludf.DUMMYFUNCTION("""COMPUTED_VALUE"""),26632.0)</f>
        <v>26632</v>
      </c>
      <c r="G1561" s="115">
        <f>IFERROR(__xludf.DUMMYFUNCTION("""COMPUTED_VALUE"""),4497.0)</f>
        <v>4497</v>
      </c>
      <c r="H1561" s="116">
        <f>IFERROR(__xludf.DUMMYFUNCTION("""COMPUTED_VALUE"""),45903.0)</f>
        <v>45903</v>
      </c>
      <c r="I1561" s="115" t="str">
        <f>IFERROR(__xludf.DUMMYFUNCTION("""COMPUTED_VALUE"""),"20")</f>
        <v>20</v>
      </c>
      <c r="J1561" s="115" t="str">
        <f>IFERROR(__xludf.DUMMYFUNCTION("""COMPUTED_VALUE"""),"Girish Chand2025-09-0320")</f>
        <v>Girish Chand2025-09-0320</v>
      </c>
      <c r="K1561" s="115">
        <f>IFERROR(__xludf.DUMMYFUNCTION("""COMPUTED_VALUE"""),40201.0)</f>
        <v>40201</v>
      </c>
    </row>
    <row r="1562">
      <c r="A1562" s="115" t="str">
        <f>IFERROR(__xludf.DUMMYFUNCTION("""COMPUTED_VALUE"""),"EAST")</f>
        <v>EAST</v>
      </c>
      <c r="B1562" s="115" t="str">
        <f>IFERROR(__xludf.DUMMYFUNCTION("""COMPUTED_VALUE"""),"Parag Kashyap")</f>
        <v>Parag Kashyap</v>
      </c>
      <c r="C1562" s="115" t="str">
        <f>IFERROR(__xludf.DUMMYFUNCTION("""COMPUTED_VALUE"""),"EXTERNAL")</f>
        <v>EXTERNAL</v>
      </c>
      <c r="D1562" s="115">
        <f>IFERROR(__xludf.DUMMYFUNCTION("""COMPUTED_VALUE"""),21381.0)</f>
        <v>21381</v>
      </c>
      <c r="E1562" s="115">
        <f>IFERROR(__xludf.DUMMYFUNCTION("""COMPUTED_VALUE"""),1657.0)</f>
        <v>1657</v>
      </c>
      <c r="F1562" s="115">
        <f>IFERROR(__xludf.DUMMYFUNCTION("""COMPUTED_VALUE"""),8896.0)</f>
        <v>8896</v>
      </c>
      <c r="G1562" s="115">
        <f>IFERROR(__xludf.DUMMYFUNCTION("""COMPUTED_VALUE"""),558.0)</f>
        <v>558</v>
      </c>
      <c r="H1562" s="116">
        <f>IFERROR(__xludf.DUMMYFUNCTION("""COMPUTED_VALUE"""),45903.0)</f>
        <v>45903</v>
      </c>
      <c r="I1562" s="115" t="str">
        <f>IFERROR(__xludf.DUMMYFUNCTION("""COMPUTED_VALUE"""),"20")</f>
        <v>20</v>
      </c>
      <c r="J1562" s="115" t="str">
        <f>IFERROR(__xludf.DUMMYFUNCTION("""COMPUTED_VALUE"""),"Parag Kashyap2025-09-0320")</f>
        <v>Parag Kashyap2025-09-0320</v>
      </c>
      <c r="K1562" s="115">
        <f>IFERROR(__xludf.DUMMYFUNCTION("""COMPUTED_VALUE"""),23038.0)</f>
        <v>23038</v>
      </c>
    </row>
    <row r="1563">
      <c r="A1563" s="115" t="str">
        <f>IFERROR(__xludf.DUMMYFUNCTION("""COMPUTED_VALUE"""),"EAST")</f>
        <v>EAST</v>
      </c>
      <c r="B1563" s="115" t="str">
        <f>IFERROR(__xludf.DUMMYFUNCTION("""COMPUTED_VALUE"""),"Parag Kashyap")</f>
        <v>Parag Kashyap</v>
      </c>
      <c r="C1563" s="115" t="str">
        <f>IFERROR(__xludf.DUMMYFUNCTION("""COMPUTED_VALUE"""),"FLIPKART")</f>
        <v>FLIPKART</v>
      </c>
      <c r="D1563" s="115">
        <f>IFERROR(__xludf.DUMMYFUNCTION("""COMPUTED_VALUE"""),302256.0)</f>
        <v>302256</v>
      </c>
      <c r="E1563" s="115">
        <f>IFERROR(__xludf.DUMMYFUNCTION("""COMPUTED_VALUE"""),19217.0)</f>
        <v>19217</v>
      </c>
      <c r="F1563" s="115">
        <f>IFERROR(__xludf.DUMMYFUNCTION("""COMPUTED_VALUE"""),232603.0)</f>
        <v>232603</v>
      </c>
      <c r="G1563" s="115">
        <f>IFERROR(__xludf.DUMMYFUNCTION("""COMPUTED_VALUE"""),12120.0)</f>
        <v>12120</v>
      </c>
      <c r="H1563" s="116">
        <f>IFERROR(__xludf.DUMMYFUNCTION("""COMPUTED_VALUE"""),45903.0)</f>
        <v>45903</v>
      </c>
      <c r="I1563" s="115" t="str">
        <f>IFERROR(__xludf.DUMMYFUNCTION("""COMPUTED_VALUE"""),"20")</f>
        <v>20</v>
      </c>
      <c r="J1563" s="115" t="str">
        <f>IFERROR(__xludf.DUMMYFUNCTION("""COMPUTED_VALUE"""),"Parag Kashyap2025-09-0320")</f>
        <v>Parag Kashyap2025-09-0320</v>
      </c>
      <c r="K1563" s="115">
        <f>IFERROR(__xludf.DUMMYFUNCTION("""COMPUTED_VALUE"""),321473.0)</f>
        <v>321473</v>
      </c>
    </row>
    <row r="1564">
      <c r="A1564" s="115" t="str">
        <f>IFERROR(__xludf.DUMMYFUNCTION("""COMPUTED_VALUE"""),"EAST")</f>
        <v>EAST</v>
      </c>
      <c r="B1564" s="115" t="str">
        <f>IFERROR(__xludf.DUMMYFUNCTION("""COMPUTED_VALUE"""),"Parag Kashyap")</f>
        <v>Parag Kashyap</v>
      </c>
      <c r="C1564" s="115" t="str">
        <f>IFERROR(__xludf.DUMMYFUNCTION("""COMPUTED_VALUE"""),"MYNTRA")</f>
        <v>MYNTRA</v>
      </c>
      <c r="D1564" s="115">
        <f>IFERROR(__xludf.DUMMYFUNCTION("""COMPUTED_VALUE"""),34853.0)</f>
        <v>34853</v>
      </c>
      <c r="E1564" s="115">
        <f>IFERROR(__xludf.DUMMYFUNCTION("""COMPUTED_VALUE"""),4880.0)</f>
        <v>4880</v>
      </c>
      <c r="F1564" s="115">
        <f>IFERROR(__xludf.DUMMYFUNCTION("""COMPUTED_VALUE"""),27360.0)</f>
        <v>27360</v>
      </c>
      <c r="G1564" s="115">
        <f>IFERROR(__xludf.DUMMYFUNCTION("""COMPUTED_VALUE"""),3063.0)</f>
        <v>3063</v>
      </c>
      <c r="H1564" s="116">
        <f>IFERROR(__xludf.DUMMYFUNCTION("""COMPUTED_VALUE"""),45903.0)</f>
        <v>45903</v>
      </c>
      <c r="I1564" s="115" t="str">
        <f>IFERROR(__xludf.DUMMYFUNCTION("""COMPUTED_VALUE"""),"20")</f>
        <v>20</v>
      </c>
      <c r="J1564" s="115" t="str">
        <f>IFERROR(__xludf.DUMMYFUNCTION("""COMPUTED_VALUE"""),"Parag Kashyap2025-09-0320")</f>
        <v>Parag Kashyap2025-09-0320</v>
      </c>
      <c r="K1564" s="115">
        <f>IFERROR(__xludf.DUMMYFUNCTION("""COMPUTED_VALUE"""),39733.0)</f>
        <v>39733</v>
      </c>
    </row>
    <row r="1565">
      <c r="A1565" s="115" t="str">
        <f>IFERROR(__xludf.DUMMYFUNCTION("""COMPUTED_VALUE"""),"NORTH")</f>
        <v>NORTH</v>
      </c>
      <c r="B1565" s="115" t="str">
        <f>IFERROR(__xludf.DUMMYFUNCTION("""COMPUTED_VALUE"""),"Amit Kumar Pathak")</f>
        <v>Amit Kumar Pathak</v>
      </c>
      <c r="C1565" s="115" t="str">
        <f>IFERROR(__xludf.DUMMYFUNCTION("""COMPUTED_VALUE"""),"EXTERNAL")</f>
        <v>EXTERNAL</v>
      </c>
      <c r="D1565" s="115">
        <f>IFERROR(__xludf.DUMMYFUNCTION("""COMPUTED_VALUE"""),24126.0)</f>
        <v>24126</v>
      </c>
      <c r="E1565" s="115">
        <f>IFERROR(__xludf.DUMMYFUNCTION("""COMPUTED_VALUE"""),3341.0)</f>
        <v>3341</v>
      </c>
      <c r="F1565" s="115">
        <f>IFERROR(__xludf.DUMMYFUNCTION("""COMPUTED_VALUE"""),8797.0)</f>
        <v>8797</v>
      </c>
      <c r="G1565" s="115">
        <f>IFERROR(__xludf.DUMMYFUNCTION("""COMPUTED_VALUE"""),1067.0)</f>
        <v>1067</v>
      </c>
      <c r="H1565" s="116">
        <f>IFERROR(__xludf.DUMMYFUNCTION("""COMPUTED_VALUE"""),45903.0)</f>
        <v>45903</v>
      </c>
      <c r="I1565" s="115" t="str">
        <f>IFERROR(__xludf.DUMMYFUNCTION("""COMPUTED_VALUE"""),"20")</f>
        <v>20</v>
      </c>
      <c r="J1565" s="115" t="str">
        <f>IFERROR(__xludf.DUMMYFUNCTION("""COMPUTED_VALUE"""),"Amit Kumar Pathak2025-09-0320")</f>
        <v>Amit Kumar Pathak2025-09-0320</v>
      </c>
      <c r="K1565" s="115">
        <f>IFERROR(__xludf.DUMMYFUNCTION("""COMPUTED_VALUE"""),27467.0)</f>
        <v>27467</v>
      </c>
    </row>
    <row r="1566">
      <c r="A1566" s="115" t="str">
        <f>IFERROR(__xludf.DUMMYFUNCTION("""COMPUTED_VALUE"""),"NORTH")</f>
        <v>NORTH</v>
      </c>
      <c r="B1566" s="115" t="str">
        <f>IFERROR(__xludf.DUMMYFUNCTION("""COMPUTED_VALUE"""),"Amit Kumar Pathak")</f>
        <v>Amit Kumar Pathak</v>
      </c>
      <c r="C1566" s="115" t="str">
        <f>IFERROR(__xludf.DUMMYFUNCTION("""COMPUTED_VALUE"""),"FLIPKART")</f>
        <v>FLIPKART</v>
      </c>
      <c r="D1566" s="115">
        <f>IFERROR(__xludf.DUMMYFUNCTION("""COMPUTED_VALUE"""),194395.0)</f>
        <v>194395</v>
      </c>
      <c r="E1566" s="115">
        <f>IFERROR(__xludf.DUMMYFUNCTION("""COMPUTED_VALUE"""),23514.0)</f>
        <v>23514</v>
      </c>
      <c r="F1566" s="115">
        <f>IFERROR(__xludf.DUMMYFUNCTION("""COMPUTED_VALUE"""),131735.0)</f>
        <v>131735</v>
      </c>
      <c r="G1566" s="115">
        <f>IFERROR(__xludf.DUMMYFUNCTION("""COMPUTED_VALUE"""),13016.0)</f>
        <v>13016</v>
      </c>
      <c r="H1566" s="116">
        <f>IFERROR(__xludf.DUMMYFUNCTION("""COMPUTED_VALUE"""),45903.0)</f>
        <v>45903</v>
      </c>
      <c r="I1566" s="115" t="str">
        <f>IFERROR(__xludf.DUMMYFUNCTION("""COMPUTED_VALUE"""),"20")</f>
        <v>20</v>
      </c>
      <c r="J1566" s="115" t="str">
        <f>IFERROR(__xludf.DUMMYFUNCTION("""COMPUTED_VALUE"""),"Amit Kumar Pathak2025-09-0320")</f>
        <v>Amit Kumar Pathak2025-09-0320</v>
      </c>
      <c r="K1566" s="115">
        <f>IFERROR(__xludf.DUMMYFUNCTION("""COMPUTED_VALUE"""),217909.0)</f>
        <v>217909</v>
      </c>
    </row>
    <row r="1567">
      <c r="A1567" s="115" t="str">
        <f>IFERROR(__xludf.DUMMYFUNCTION("""COMPUTED_VALUE"""),"NORTH")</f>
        <v>NORTH</v>
      </c>
      <c r="B1567" s="115" t="str">
        <f>IFERROR(__xludf.DUMMYFUNCTION("""COMPUTED_VALUE"""),"Amit Kumar Pathak")</f>
        <v>Amit Kumar Pathak</v>
      </c>
      <c r="C1567" s="115" t="str">
        <f>IFERROR(__xludf.DUMMYFUNCTION("""COMPUTED_VALUE"""),"MYNTRA")</f>
        <v>MYNTRA</v>
      </c>
      <c r="D1567" s="115">
        <f>IFERROR(__xludf.DUMMYFUNCTION("""COMPUTED_VALUE"""),18310.0)</f>
        <v>18310</v>
      </c>
      <c r="E1567" s="115">
        <f>IFERROR(__xludf.DUMMYFUNCTION("""COMPUTED_VALUE"""),5834.0)</f>
        <v>5834</v>
      </c>
      <c r="F1567" s="115">
        <f>IFERROR(__xludf.DUMMYFUNCTION("""COMPUTED_VALUE"""),14606.0)</f>
        <v>14606</v>
      </c>
      <c r="G1567" s="115">
        <f>IFERROR(__xludf.DUMMYFUNCTION("""COMPUTED_VALUE"""),3570.0)</f>
        <v>3570</v>
      </c>
      <c r="H1567" s="116">
        <f>IFERROR(__xludf.DUMMYFUNCTION("""COMPUTED_VALUE"""),45903.0)</f>
        <v>45903</v>
      </c>
      <c r="I1567" s="115" t="str">
        <f>IFERROR(__xludf.DUMMYFUNCTION("""COMPUTED_VALUE"""),"20")</f>
        <v>20</v>
      </c>
      <c r="J1567" s="115" t="str">
        <f>IFERROR(__xludf.DUMMYFUNCTION("""COMPUTED_VALUE"""),"Amit Kumar Pathak2025-09-0320")</f>
        <v>Amit Kumar Pathak2025-09-0320</v>
      </c>
      <c r="K1567" s="115">
        <f>IFERROR(__xludf.DUMMYFUNCTION("""COMPUTED_VALUE"""),24144.0)</f>
        <v>24144</v>
      </c>
    </row>
    <row r="1568">
      <c r="A1568" s="115" t="str">
        <f>IFERROR(__xludf.DUMMYFUNCTION("""COMPUTED_VALUE"""),"NORTH")</f>
        <v>NORTH</v>
      </c>
      <c r="B1568" s="115" t="str">
        <f>IFERROR(__xludf.DUMMYFUNCTION("""COMPUTED_VALUE"""),"Loveleen Singh")</f>
        <v>Loveleen Singh</v>
      </c>
      <c r="C1568" s="115" t="str">
        <f>IFERROR(__xludf.DUMMYFUNCTION("""COMPUTED_VALUE"""),"EXTERNAL")</f>
        <v>EXTERNAL</v>
      </c>
      <c r="D1568" s="115">
        <f>IFERROR(__xludf.DUMMYFUNCTION("""COMPUTED_VALUE"""),26378.0)</f>
        <v>26378</v>
      </c>
      <c r="E1568" s="115">
        <f>IFERROR(__xludf.DUMMYFUNCTION("""COMPUTED_VALUE"""),2700.0)</f>
        <v>2700</v>
      </c>
      <c r="F1568" s="115">
        <f>IFERROR(__xludf.DUMMYFUNCTION("""COMPUTED_VALUE"""),10044.0)</f>
        <v>10044</v>
      </c>
      <c r="G1568" s="115">
        <f>IFERROR(__xludf.DUMMYFUNCTION("""COMPUTED_VALUE"""),774.0)</f>
        <v>774</v>
      </c>
      <c r="H1568" s="116">
        <f>IFERROR(__xludf.DUMMYFUNCTION("""COMPUTED_VALUE"""),45903.0)</f>
        <v>45903</v>
      </c>
      <c r="I1568" s="115" t="str">
        <f>IFERROR(__xludf.DUMMYFUNCTION("""COMPUTED_VALUE"""),"20")</f>
        <v>20</v>
      </c>
      <c r="J1568" s="115" t="str">
        <f>IFERROR(__xludf.DUMMYFUNCTION("""COMPUTED_VALUE"""),"Loveleen Singh2025-09-0320")</f>
        <v>Loveleen Singh2025-09-0320</v>
      </c>
      <c r="K1568" s="115">
        <f>IFERROR(__xludf.DUMMYFUNCTION("""COMPUTED_VALUE"""),29078.0)</f>
        <v>29078</v>
      </c>
    </row>
    <row r="1569">
      <c r="A1569" s="115" t="str">
        <f>IFERROR(__xludf.DUMMYFUNCTION("""COMPUTED_VALUE"""),"NORTH")</f>
        <v>NORTH</v>
      </c>
      <c r="B1569" s="115" t="str">
        <f>IFERROR(__xludf.DUMMYFUNCTION("""COMPUTED_VALUE"""),"Loveleen Singh")</f>
        <v>Loveleen Singh</v>
      </c>
      <c r="C1569" s="115" t="str">
        <f>IFERROR(__xludf.DUMMYFUNCTION("""COMPUTED_VALUE"""),"FLIPKART")</f>
        <v>FLIPKART</v>
      </c>
      <c r="D1569" s="115">
        <f>IFERROR(__xludf.DUMMYFUNCTION("""COMPUTED_VALUE"""),140003.0)</f>
        <v>140003</v>
      </c>
      <c r="E1569" s="115">
        <f>IFERROR(__xludf.DUMMYFUNCTION("""COMPUTED_VALUE"""),13687.0)</f>
        <v>13687</v>
      </c>
      <c r="F1569" s="115">
        <f>IFERROR(__xludf.DUMMYFUNCTION("""COMPUTED_VALUE"""),102164.0)</f>
        <v>102164</v>
      </c>
      <c r="G1569" s="115">
        <f>IFERROR(__xludf.DUMMYFUNCTION("""COMPUTED_VALUE"""),8293.0)</f>
        <v>8293</v>
      </c>
      <c r="H1569" s="116">
        <f>IFERROR(__xludf.DUMMYFUNCTION("""COMPUTED_VALUE"""),45903.0)</f>
        <v>45903</v>
      </c>
      <c r="I1569" s="115" t="str">
        <f>IFERROR(__xludf.DUMMYFUNCTION("""COMPUTED_VALUE"""),"20")</f>
        <v>20</v>
      </c>
      <c r="J1569" s="115" t="str">
        <f>IFERROR(__xludf.DUMMYFUNCTION("""COMPUTED_VALUE"""),"Loveleen Singh2025-09-0320")</f>
        <v>Loveleen Singh2025-09-0320</v>
      </c>
      <c r="K1569" s="115">
        <f>IFERROR(__xludf.DUMMYFUNCTION("""COMPUTED_VALUE"""),153690.0)</f>
        <v>153690</v>
      </c>
    </row>
    <row r="1570">
      <c r="A1570" s="115" t="str">
        <f>IFERROR(__xludf.DUMMYFUNCTION("""COMPUTED_VALUE"""),"NORTH")</f>
        <v>NORTH</v>
      </c>
      <c r="B1570" s="115" t="str">
        <f>IFERROR(__xludf.DUMMYFUNCTION("""COMPUTED_VALUE"""),"Loveleen Singh")</f>
        <v>Loveleen Singh</v>
      </c>
      <c r="C1570" s="115" t="str">
        <f>IFERROR(__xludf.DUMMYFUNCTION("""COMPUTED_VALUE"""),"MYNTRA")</f>
        <v>MYNTRA</v>
      </c>
      <c r="D1570" s="115">
        <f>IFERROR(__xludf.DUMMYFUNCTION("""COMPUTED_VALUE"""),21855.0)</f>
        <v>21855</v>
      </c>
      <c r="E1570" s="115">
        <f>IFERROR(__xludf.DUMMYFUNCTION("""COMPUTED_VALUE"""),5430.0)</f>
        <v>5430</v>
      </c>
      <c r="F1570" s="115">
        <f>IFERROR(__xludf.DUMMYFUNCTION("""COMPUTED_VALUE"""),17617.0)</f>
        <v>17617</v>
      </c>
      <c r="G1570" s="115">
        <f>IFERROR(__xludf.DUMMYFUNCTION("""COMPUTED_VALUE"""),3582.0)</f>
        <v>3582</v>
      </c>
      <c r="H1570" s="116">
        <f>IFERROR(__xludf.DUMMYFUNCTION("""COMPUTED_VALUE"""),45903.0)</f>
        <v>45903</v>
      </c>
      <c r="I1570" s="115" t="str">
        <f>IFERROR(__xludf.DUMMYFUNCTION("""COMPUTED_VALUE"""),"20")</f>
        <v>20</v>
      </c>
      <c r="J1570" s="115" t="str">
        <f>IFERROR(__xludf.DUMMYFUNCTION("""COMPUTED_VALUE"""),"Loveleen Singh2025-09-0320")</f>
        <v>Loveleen Singh2025-09-0320</v>
      </c>
      <c r="K1570" s="115">
        <f>IFERROR(__xludf.DUMMYFUNCTION("""COMPUTED_VALUE"""),27285.0)</f>
        <v>27285</v>
      </c>
    </row>
    <row r="1571">
      <c r="A1571" s="115" t="str">
        <f>IFERROR(__xludf.DUMMYFUNCTION("""COMPUTED_VALUE"""),"NORTH")</f>
        <v>NORTH</v>
      </c>
      <c r="B1571" s="115" t="str">
        <f>IFERROR(__xludf.DUMMYFUNCTION("""COMPUTED_VALUE"""),"Manoj Harsh")</f>
        <v>Manoj Harsh</v>
      </c>
      <c r="C1571" s="115" t="str">
        <f>IFERROR(__xludf.DUMMYFUNCTION("""COMPUTED_VALUE"""),"EXTERNAL")</f>
        <v>EXTERNAL</v>
      </c>
      <c r="D1571" s="115">
        <f>IFERROR(__xludf.DUMMYFUNCTION("""COMPUTED_VALUE"""),32759.0)</f>
        <v>32759</v>
      </c>
      <c r="E1571" s="115">
        <f>IFERROR(__xludf.DUMMYFUNCTION("""COMPUTED_VALUE"""),4724.0)</f>
        <v>4724</v>
      </c>
      <c r="F1571" s="115">
        <f>IFERROR(__xludf.DUMMYFUNCTION("""COMPUTED_VALUE"""),13295.0)</f>
        <v>13295</v>
      </c>
      <c r="G1571" s="115">
        <f>IFERROR(__xludf.DUMMYFUNCTION("""COMPUTED_VALUE"""),1493.0)</f>
        <v>1493</v>
      </c>
      <c r="H1571" s="116">
        <f>IFERROR(__xludf.DUMMYFUNCTION("""COMPUTED_VALUE"""),45903.0)</f>
        <v>45903</v>
      </c>
      <c r="I1571" s="115" t="str">
        <f>IFERROR(__xludf.DUMMYFUNCTION("""COMPUTED_VALUE"""),"20")</f>
        <v>20</v>
      </c>
      <c r="J1571" s="115" t="str">
        <f>IFERROR(__xludf.DUMMYFUNCTION("""COMPUTED_VALUE"""),"Manoj Harsh2025-09-0320")</f>
        <v>Manoj Harsh2025-09-0320</v>
      </c>
      <c r="K1571" s="115">
        <f>IFERROR(__xludf.DUMMYFUNCTION("""COMPUTED_VALUE"""),37483.0)</f>
        <v>37483</v>
      </c>
    </row>
    <row r="1572">
      <c r="A1572" s="115" t="str">
        <f>IFERROR(__xludf.DUMMYFUNCTION("""COMPUTED_VALUE"""),"NORTH")</f>
        <v>NORTH</v>
      </c>
      <c r="B1572" s="115" t="str">
        <f>IFERROR(__xludf.DUMMYFUNCTION("""COMPUTED_VALUE"""),"Manoj Harsh")</f>
        <v>Manoj Harsh</v>
      </c>
      <c r="C1572" s="115" t="str">
        <f>IFERROR(__xludf.DUMMYFUNCTION("""COMPUTED_VALUE"""),"FLIPKART")</f>
        <v>FLIPKART</v>
      </c>
      <c r="D1572" s="115">
        <f>IFERROR(__xludf.DUMMYFUNCTION("""COMPUTED_VALUE"""),391258.0)</f>
        <v>391258</v>
      </c>
      <c r="E1572" s="115">
        <f>IFERROR(__xludf.DUMMYFUNCTION("""COMPUTED_VALUE"""),41696.0)</f>
        <v>41696</v>
      </c>
      <c r="F1572" s="115">
        <f>IFERROR(__xludf.DUMMYFUNCTION("""COMPUTED_VALUE"""),287086.0)</f>
        <v>287086</v>
      </c>
      <c r="G1572" s="115">
        <f>IFERROR(__xludf.DUMMYFUNCTION("""COMPUTED_VALUE"""),26943.0)</f>
        <v>26943</v>
      </c>
      <c r="H1572" s="116">
        <f>IFERROR(__xludf.DUMMYFUNCTION("""COMPUTED_VALUE"""),45903.0)</f>
        <v>45903</v>
      </c>
      <c r="I1572" s="115" t="str">
        <f>IFERROR(__xludf.DUMMYFUNCTION("""COMPUTED_VALUE"""),"20")</f>
        <v>20</v>
      </c>
      <c r="J1572" s="115" t="str">
        <f>IFERROR(__xludf.DUMMYFUNCTION("""COMPUTED_VALUE"""),"Manoj Harsh2025-09-0320")</f>
        <v>Manoj Harsh2025-09-0320</v>
      </c>
      <c r="K1572" s="115">
        <f>IFERROR(__xludf.DUMMYFUNCTION("""COMPUTED_VALUE"""),432954.0)</f>
        <v>432954</v>
      </c>
    </row>
    <row r="1573">
      <c r="A1573" s="115" t="str">
        <f>IFERROR(__xludf.DUMMYFUNCTION("""COMPUTED_VALUE"""),"NORTH")</f>
        <v>NORTH</v>
      </c>
      <c r="B1573" s="115" t="str">
        <f>IFERROR(__xludf.DUMMYFUNCTION("""COMPUTED_VALUE"""),"Manoj Harsh")</f>
        <v>Manoj Harsh</v>
      </c>
      <c r="C1573" s="115" t="str">
        <f>IFERROR(__xludf.DUMMYFUNCTION("""COMPUTED_VALUE"""),"MYNTRA")</f>
        <v>MYNTRA</v>
      </c>
      <c r="D1573" s="115">
        <f>IFERROR(__xludf.DUMMYFUNCTION("""COMPUTED_VALUE"""),34532.0)</f>
        <v>34532</v>
      </c>
      <c r="E1573" s="115">
        <f>IFERROR(__xludf.DUMMYFUNCTION("""COMPUTED_VALUE"""),8209.0)</f>
        <v>8209</v>
      </c>
      <c r="F1573" s="115">
        <f>IFERROR(__xludf.DUMMYFUNCTION("""COMPUTED_VALUE"""),27388.0)</f>
        <v>27388</v>
      </c>
      <c r="G1573" s="115">
        <f>IFERROR(__xludf.DUMMYFUNCTION("""COMPUTED_VALUE"""),5630.0)</f>
        <v>5630</v>
      </c>
      <c r="H1573" s="116">
        <f>IFERROR(__xludf.DUMMYFUNCTION("""COMPUTED_VALUE"""),45903.0)</f>
        <v>45903</v>
      </c>
      <c r="I1573" s="115" t="str">
        <f>IFERROR(__xludf.DUMMYFUNCTION("""COMPUTED_VALUE"""),"20")</f>
        <v>20</v>
      </c>
      <c r="J1573" s="115" t="str">
        <f>IFERROR(__xludf.DUMMYFUNCTION("""COMPUTED_VALUE"""),"Manoj Harsh2025-09-0320")</f>
        <v>Manoj Harsh2025-09-0320</v>
      </c>
      <c r="K1573" s="115">
        <f>IFERROR(__xludf.DUMMYFUNCTION("""COMPUTED_VALUE"""),42741.0)</f>
        <v>42741</v>
      </c>
    </row>
    <row r="1574">
      <c r="A1574" s="115" t="str">
        <f>IFERROR(__xludf.DUMMYFUNCTION("""COMPUTED_VALUE"""),"NORTH")</f>
        <v>NORTH</v>
      </c>
      <c r="B1574" s="115" t="str">
        <f>IFERROR(__xludf.DUMMYFUNCTION("""COMPUTED_VALUE"""),"Pradeep Kothari")</f>
        <v>Pradeep Kothari</v>
      </c>
      <c r="C1574" s="115" t="str">
        <f>IFERROR(__xludf.DUMMYFUNCTION("""COMPUTED_VALUE"""),"EXTERNAL")</f>
        <v>EXTERNAL</v>
      </c>
      <c r="D1574" s="115">
        <f>IFERROR(__xludf.DUMMYFUNCTION("""COMPUTED_VALUE"""),17292.0)</f>
        <v>17292</v>
      </c>
      <c r="E1574" s="115">
        <f>IFERROR(__xludf.DUMMYFUNCTION("""COMPUTED_VALUE"""),2735.0)</f>
        <v>2735</v>
      </c>
      <c r="F1574" s="115">
        <f>IFERROR(__xludf.DUMMYFUNCTION("""COMPUTED_VALUE"""),6835.0)</f>
        <v>6835</v>
      </c>
      <c r="G1574" s="115">
        <f>IFERROR(__xludf.DUMMYFUNCTION("""COMPUTED_VALUE"""),1013.0)</f>
        <v>1013</v>
      </c>
      <c r="H1574" s="116">
        <f>IFERROR(__xludf.DUMMYFUNCTION("""COMPUTED_VALUE"""),45903.0)</f>
        <v>45903</v>
      </c>
      <c r="I1574" s="115" t="str">
        <f>IFERROR(__xludf.DUMMYFUNCTION("""COMPUTED_VALUE"""),"20")</f>
        <v>20</v>
      </c>
      <c r="J1574" s="115" t="str">
        <f>IFERROR(__xludf.DUMMYFUNCTION("""COMPUTED_VALUE"""),"Pradeep Kothari2025-09-0320")</f>
        <v>Pradeep Kothari2025-09-0320</v>
      </c>
      <c r="K1574" s="115">
        <f>IFERROR(__xludf.DUMMYFUNCTION("""COMPUTED_VALUE"""),20027.0)</f>
        <v>20027</v>
      </c>
    </row>
    <row r="1575">
      <c r="A1575" s="115" t="str">
        <f>IFERROR(__xludf.DUMMYFUNCTION("""COMPUTED_VALUE"""),"NORTH")</f>
        <v>NORTH</v>
      </c>
      <c r="B1575" s="115" t="str">
        <f>IFERROR(__xludf.DUMMYFUNCTION("""COMPUTED_VALUE"""),"Pradeep Kothari")</f>
        <v>Pradeep Kothari</v>
      </c>
      <c r="C1575" s="115" t="str">
        <f>IFERROR(__xludf.DUMMYFUNCTION("""COMPUTED_VALUE"""),"FLIPKART")</f>
        <v>FLIPKART</v>
      </c>
      <c r="D1575" s="115">
        <f>IFERROR(__xludf.DUMMYFUNCTION("""COMPUTED_VALUE"""),138162.0)</f>
        <v>138162</v>
      </c>
      <c r="E1575" s="115">
        <f>IFERROR(__xludf.DUMMYFUNCTION("""COMPUTED_VALUE"""),16237.0)</f>
        <v>16237</v>
      </c>
      <c r="F1575" s="115">
        <f>IFERROR(__xludf.DUMMYFUNCTION("""COMPUTED_VALUE"""),102940.0)</f>
        <v>102940</v>
      </c>
      <c r="G1575" s="115">
        <f>IFERROR(__xludf.DUMMYFUNCTION("""COMPUTED_VALUE"""),10482.0)</f>
        <v>10482</v>
      </c>
      <c r="H1575" s="116">
        <f>IFERROR(__xludf.DUMMYFUNCTION("""COMPUTED_VALUE"""),45903.0)</f>
        <v>45903</v>
      </c>
      <c r="I1575" s="115" t="str">
        <f>IFERROR(__xludf.DUMMYFUNCTION("""COMPUTED_VALUE"""),"20")</f>
        <v>20</v>
      </c>
      <c r="J1575" s="115" t="str">
        <f>IFERROR(__xludf.DUMMYFUNCTION("""COMPUTED_VALUE"""),"Pradeep Kothari2025-09-0320")</f>
        <v>Pradeep Kothari2025-09-0320</v>
      </c>
      <c r="K1575" s="115">
        <f>IFERROR(__xludf.DUMMYFUNCTION("""COMPUTED_VALUE"""),154399.0)</f>
        <v>154399</v>
      </c>
    </row>
    <row r="1576">
      <c r="A1576" s="115" t="str">
        <f>IFERROR(__xludf.DUMMYFUNCTION("""COMPUTED_VALUE"""),"NORTH")</f>
        <v>NORTH</v>
      </c>
      <c r="B1576" s="115" t="str">
        <f>IFERROR(__xludf.DUMMYFUNCTION("""COMPUTED_VALUE"""),"Pradeep Kothari")</f>
        <v>Pradeep Kothari</v>
      </c>
      <c r="C1576" s="115" t="str">
        <f>IFERROR(__xludf.DUMMYFUNCTION("""COMPUTED_VALUE"""),"MYNTRA")</f>
        <v>MYNTRA</v>
      </c>
      <c r="D1576" s="115">
        <f>IFERROR(__xludf.DUMMYFUNCTION("""COMPUTED_VALUE"""),22246.0)</f>
        <v>22246</v>
      </c>
      <c r="E1576" s="115">
        <f>IFERROR(__xludf.DUMMYFUNCTION("""COMPUTED_VALUE"""),6190.0)</f>
        <v>6190</v>
      </c>
      <c r="F1576" s="115">
        <f>IFERROR(__xludf.DUMMYFUNCTION("""COMPUTED_VALUE"""),18332.0)</f>
        <v>18332</v>
      </c>
      <c r="G1576" s="115">
        <f>IFERROR(__xludf.DUMMYFUNCTION("""COMPUTED_VALUE"""),4419.0)</f>
        <v>4419</v>
      </c>
      <c r="H1576" s="116">
        <f>IFERROR(__xludf.DUMMYFUNCTION("""COMPUTED_VALUE"""),45903.0)</f>
        <v>45903</v>
      </c>
      <c r="I1576" s="115" t="str">
        <f>IFERROR(__xludf.DUMMYFUNCTION("""COMPUTED_VALUE"""),"20")</f>
        <v>20</v>
      </c>
      <c r="J1576" s="115" t="str">
        <f>IFERROR(__xludf.DUMMYFUNCTION("""COMPUTED_VALUE"""),"Pradeep Kothari2025-09-0320")</f>
        <v>Pradeep Kothari2025-09-0320</v>
      </c>
      <c r="K1576" s="115">
        <f>IFERROR(__xludf.DUMMYFUNCTION("""COMPUTED_VALUE"""),28436.0)</f>
        <v>28436</v>
      </c>
    </row>
    <row r="1577">
      <c r="A1577" s="115" t="str">
        <f>IFERROR(__xludf.DUMMYFUNCTION("""COMPUTED_VALUE"""),"SOUTH")</f>
        <v>SOUTH</v>
      </c>
      <c r="B1577" s="115" t="str">
        <f>IFERROR(__xludf.DUMMYFUNCTION("""COMPUTED_VALUE"""),"Kandula Sampath")</f>
        <v>Kandula Sampath</v>
      </c>
      <c r="C1577" s="115" t="str">
        <f>IFERROR(__xludf.DUMMYFUNCTION("""COMPUTED_VALUE"""),"EXTERNAL")</f>
        <v>EXTERNAL</v>
      </c>
      <c r="D1577" s="115">
        <f>IFERROR(__xludf.DUMMYFUNCTION("""COMPUTED_VALUE"""),36068.0)</f>
        <v>36068</v>
      </c>
      <c r="E1577" s="115">
        <f>IFERROR(__xludf.DUMMYFUNCTION("""COMPUTED_VALUE"""),5825.0)</f>
        <v>5825</v>
      </c>
      <c r="F1577" s="115">
        <f>IFERROR(__xludf.DUMMYFUNCTION("""COMPUTED_VALUE"""),15232.0)</f>
        <v>15232</v>
      </c>
      <c r="G1577" s="115">
        <f>IFERROR(__xludf.DUMMYFUNCTION("""COMPUTED_VALUE"""),1618.0)</f>
        <v>1618</v>
      </c>
      <c r="H1577" s="116">
        <f>IFERROR(__xludf.DUMMYFUNCTION("""COMPUTED_VALUE"""),45903.0)</f>
        <v>45903</v>
      </c>
      <c r="I1577" s="115" t="str">
        <f>IFERROR(__xludf.DUMMYFUNCTION("""COMPUTED_VALUE"""),"20")</f>
        <v>20</v>
      </c>
      <c r="J1577" s="115" t="str">
        <f>IFERROR(__xludf.DUMMYFUNCTION("""COMPUTED_VALUE"""),"Kandula Sampath2025-09-0320")</f>
        <v>Kandula Sampath2025-09-0320</v>
      </c>
      <c r="K1577" s="115">
        <f>IFERROR(__xludf.DUMMYFUNCTION("""COMPUTED_VALUE"""),41893.0)</f>
        <v>41893</v>
      </c>
    </row>
    <row r="1578">
      <c r="A1578" s="115" t="str">
        <f>IFERROR(__xludf.DUMMYFUNCTION("""COMPUTED_VALUE"""),"SOUTH")</f>
        <v>SOUTH</v>
      </c>
      <c r="B1578" s="115" t="str">
        <f>IFERROR(__xludf.DUMMYFUNCTION("""COMPUTED_VALUE"""),"Kandula Sampath")</f>
        <v>Kandula Sampath</v>
      </c>
      <c r="C1578" s="115" t="str">
        <f>IFERROR(__xludf.DUMMYFUNCTION("""COMPUTED_VALUE"""),"FLIPKART")</f>
        <v>FLIPKART</v>
      </c>
      <c r="D1578" s="115">
        <f>IFERROR(__xludf.DUMMYFUNCTION("""COMPUTED_VALUE"""),307044.0)</f>
        <v>307044</v>
      </c>
      <c r="E1578" s="115">
        <f>IFERROR(__xludf.DUMMYFUNCTION("""COMPUTED_VALUE"""),33445.0)</f>
        <v>33445</v>
      </c>
      <c r="F1578" s="115">
        <f>IFERROR(__xludf.DUMMYFUNCTION("""COMPUTED_VALUE"""),225366.0)</f>
        <v>225366</v>
      </c>
      <c r="G1578" s="115">
        <f>IFERROR(__xludf.DUMMYFUNCTION("""COMPUTED_VALUE"""),19599.0)</f>
        <v>19599</v>
      </c>
      <c r="H1578" s="116">
        <f>IFERROR(__xludf.DUMMYFUNCTION("""COMPUTED_VALUE"""),45903.0)</f>
        <v>45903</v>
      </c>
      <c r="I1578" s="115" t="str">
        <f>IFERROR(__xludf.DUMMYFUNCTION("""COMPUTED_VALUE"""),"20")</f>
        <v>20</v>
      </c>
      <c r="J1578" s="115" t="str">
        <f>IFERROR(__xludf.DUMMYFUNCTION("""COMPUTED_VALUE"""),"Kandula Sampath2025-09-0320")</f>
        <v>Kandula Sampath2025-09-0320</v>
      </c>
      <c r="K1578" s="115">
        <f>IFERROR(__xludf.DUMMYFUNCTION("""COMPUTED_VALUE"""),340489.0)</f>
        <v>340489</v>
      </c>
    </row>
    <row r="1579">
      <c r="A1579" s="115" t="str">
        <f>IFERROR(__xludf.DUMMYFUNCTION("""COMPUTED_VALUE"""),"SOUTH")</f>
        <v>SOUTH</v>
      </c>
      <c r="B1579" s="115" t="str">
        <f>IFERROR(__xludf.DUMMYFUNCTION("""COMPUTED_VALUE"""),"Kandula Sampath")</f>
        <v>Kandula Sampath</v>
      </c>
      <c r="C1579" s="115" t="str">
        <f>IFERROR(__xludf.DUMMYFUNCTION("""COMPUTED_VALUE"""),"MYNTRA")</f>
        <v>MYNTRA</v>
      </c>
      <c r="D1579" s="115">
        <f>IFERROR(__xludf.DUMMYFUNCTION("""COMPUTED_VALUE"""),29918.0)</f>
        <v>29918</v>
      </c>
      <c r="E1579" s="115">
        <f>IFERROR(__xludf.DUMMYFUNCTION("""COMPUTED_VALUE"""),8653.0)</f>
        <v>8653</v>
      </c>
      <c r="F1579" s="115">
        <f>IFERROR(__xludf.DUMMYFUNCTION("""COMPUTED_VALUE"""),23930.0)</f>
        <v>23930</v>
      </c>
      <c r="G1579" s="115">
        <f>IFERROR(__xludf.DUMMYFUNCTION("""COMPUTED_VALUE"""),5266.0)</f>
        <v>5266</v>
      </c>
      <c r="H1579" s="116">
        <f>IFERROR(__xludf.DUMMYFUNCTION("""COMPUTED_VALUE"""),45903.0)</f>
        <v>45903</v>
      </c>
      <c r="I1579" s="115" t="str">
        <f>IFERROR(__xludf.DUMMYFUNCTION("""COMPUTED_VALUE"""),"20")</f>
        <v>20</v>
      </c>
      <c r="J1579" s="115" t="str">
        <f>IFERROR(__xludf.DUMMYFUNCTION("""COMPUTED_VALUE"""),"Kandula Sampath2025-09-0320")</f>
        <v>Kandula Sampath2025-09-0320</v>
      </c>
      <c r="K1579" s="115">
        <f>IFERROR(__xludf.DUMMYFUNCTION("""COMPUTED_VALUE"""),38571.0)</f>
        <v>38571</v>
      </c>
    </row>
    <row r="1580">
      <c r="A1580" s="115" t="str">
        <f>IFERROR(__xludf.DUMMYFUNCTION("""COMPUTED_VALUE"""),"SOUTH")</f>
        <v>SOUTH</v>
      </c>
      <c r="B1580" s="115" t="str">
        <f>IFERROR(__xludf.DUMMYFUNCTION("""COMPUTED_VALUE"""),"Martin A")</f>
        <v>Martin A</v>
      </c>
      <c r="C1580" s="115" t="str">
        <f>IFERROR(__xludf.DUMMYFUNCTION("""COMPUTED_VALUE"""),"EXTERNAL")</f>
        <v>EXTERNAL</v>
      </c>
      <c r="D1580" s="115">
        <f>IFERROR(__xludf.DUMMYFUNCTION("""COMPUTED_VALUE"""),36001.0)</f>
        <v>36001</v>
      </c>
      <c r="E1580" s="115">
        <f>IFERROR(__xludf.DUMMYFUNCTION("""COMPUTED_VALUE"""),3860.0)</f>
        <v>3860</v>
      </c>
      <c r="F1580" s="115">
        <f>IFERROR(__xludf.DUMMYFUNCTION("""COMPUTED_VALUE"""),14781.0)</f>
        <v>14781</v>
      </c>
      <c r="G1580" s="115">
        <f>IFERROR(__xludf.DUMMYFUNCTION("""COMPUTED_VALUE"""),1391.0)</f>
        <v>1391</v>
      </c>
      <c r="H1580" s="116">
        <f>IFERROR(__xludf.DUMMYFUNCTION("""COMPUTED_VALUE"""),45903.0)</f>
        <v>45903</v>
      </c>
      <c r="I1580" s="115" t="str">
        <f>IFERROR(__xludf.DUMMYFUNCTION("""COMPUTED_VALUE"""),"20")</f>
        <v>20</v>
      </c>
      <c r="J1580" s="115" t="str">
        <f>IFERROR(__xludf.DUMMYFUNCTION("""COMPUTED_VALUE"""),"Martin A2025-09-0320")</f>
        <v>Martin A2025-09-0320</v>
      </c>
      <c r="K1580" s="115">
        <f>IFERROR(__xludf.DUMMYFUNCTION("""COMPUTED_VALUE"""),39861.0)</f>
        <v>39861</v>
      </c>
    </row>
    <row r="1581">
      <c r="A1581" s="115" t="str">
        <f>IFERROR(__xludf.DUMMYFUNCTION("""COMPUTED_VALUE"""),"SOUTH")</f>
        <v>SOUTH</v>
      </c>
      <c r="B1581" s="115" t="str">
        <f>IFERROR(__xludf.DUMMYFUNCTION("""COMPUTED_VALUE"""),"Martin A")</f>
        <v>Martin A</v>
      </c>
      <c r="C1581" s="115" t="str">
        <f>IFERROR(__xludf.DUMMYFUNCTION("""COMPUTED_VALUE"""),"FLIPKART")</f>
        <v>FLIPKART</v>
      </c>
      <c r="D1581" s="115">
        <f>IFERROR(__xludf.DUMMYFUNCTION("""COMPUTED_VALUE"""),283781.0)</f>
        <v>283781</v>
      </c>
      <c r="E1581" s="115">
        <f>IFERROR(__xludf.DUMMYFUNCTION("""COMPUTED_VALUE"""),28644.0)</f>
        <v>28644</v>
      </c>
      <c r="F1581" s="115">
        <f>IFERROR(__xludf.DUMMYFUNCTION("""COMPUTED_VALUE"""),202773.0)</f>
        <v>202773</v>
      </c>
      <c r="G1581" s="115">
        <f>IFERROR(__xludf.DUMMYFUNCTION("""COMPUTED_VALUE"""),17347.0)</f>
        <v>17347</v>
      </c>
      <c r="H1581" s="116">
        <f>IFERROR(__xludf.DUMMYFUNCTION("""COMPUTED_VALUE"""),45903.0)</f>
        <v>45903</v>
      </c>
      <c r="I1581" s="115" t="str">
        <f>IFERROR(__xludf.DUMMYFUNCTION("""COMPUTED_VALUE"""),"20")</f>
        <v>20</v>
      </c>
      <c r="J1581" s="115" t="str">
        <f>IFERROR(__xludf.DUMMYFUNCTION("""COMPUTED_VALUE"""),"Martin A2025-09-0320")</f>
        <v>Martin A2025-09-0320</v>
      </c>
      <c r="K1581" s="115">
        <f>IFERROR(__xludf.DUMMYFUNCTION("""COMPUTED_VALUE"""),312425.0)</f>
        <v>312425</v>
      </c>
    </row>
    <row r="1582">
      <c r="A1582" s="115" t="str">
        <f>IFERROR(__xludf.DUMMYFUNCTION("""COMPUTED_VALUE"""),"SOUTH")</f>
        <v>SOUTH</v>
      </c>
      <c r="B1582" s="115" t="str">
        <f>IFERROR(__xludf.DUMMYFUNCTION("""COMPUTED_VALUE"""),"Martin A")</f>
        <v>Martin A</v>
      </c>
      <c r="C1582" s="115" t="str">
        <f>IFERROR(__xludf.DUMMYFUNCTION("""COMPUTED_VALUE"""),"MYNTRA")</f>
        <v>MYNTRA</v>
      </c>
      <c r="D1582" s="115">
        <f>IFERROR(__xludf.DUMMYFUNCTION("""COMPUTED_VALUE"""),24849.0)</f>
        <v>24849</v>
      </c>
      <c r="E1582" s="115">
        <f>IFERROR(__xludf.DUMMYFUNCTION("""COMPUTED_VALUE"""),7033.0)</f>
        <v>7033</v>
      </c>
      <c r="F1582" s="115">
        <f>IFERROR(__xludf.DUMMYFUNCTION("""COMPUTED_VALUE"""),20256.0)</f>
        <v>20256</v>
      </c>
      <c r="G1582" s="115">
        <f>IFERROR(__xludf.DUMMYFUNCTION("""COMPUTED_VALUE"""),4530.0)</f>
        <v>4530</v>
      </c>
      <c r="H1582" s="116">
        <f>IFERROR(__xludf.DUMMYFUNCTION("""COMPUTED_VALUE"""),45903.0)</f>
        <v>45903</v>
      </c>
      <c r="I1582" s="115" t="str">
        <f>IFERROR(__xludf.DUMMYFUNCTION("""COMPUTED_VALUE"""),"20")</f>
        <v>20</v>
      </c>
      <c r="J1582" s="115" t="str">
        <f>IFERROR(__xludf.DUMMYFUNCTION("""COMPUTED_VALUE"""),"Martin A2025-09-0320")</f>
        <v>Martin A2025-09-0320</v>
      </c>
      <c r="K1582" s="115">
        <f>IFERROR(__xludf.DUMMYFUNCTION("""COMPUTED_VALUE"""),31882.0)</f>
        <v>31882</v>
      </c>
    </row>
    <row r="1583">
      <c r="A1583" s="115" t="str">
        <f>IFERROR(__xludf.DUMMYFUNCTION("""COMPUTED_VALUE"""),"SOUTH")</f>
        <v>SOUTH</v>
      </c>
      <c r="B1583" s="115" t="str">
        <f>IFERROR(__xludf.DUMMYFUNCTION("""COMPUTED_VALUE"""),"Premkumar M")</f>
        <v>Premkumar M</v>
      </c>
      <c r="C1583" s="115" t="str">
        <f>IFERROR(__xludf.DUMMYFUNCTION("""COMPUTED_VALUE"""),"EXTERNAL")</f>
        <v>EXTERNAL</v>
      </c>
      <c r="D1583" s="115">
        <f>IFERROR(__xludf.DUMMYFUNCTION("""COMPUTED_VALUE"""),29668.0)</f>
        <v>29668</v>
      </c>
      <c r="E1583" s="115">
        <f>IFERROR(__xludf.DUMMYFUNCTION("""COMPUTED_VALUE"""),2867.0)</f>
        <v>2867</v>
      </c>
      <c r="F1583" s="115">
        <f>IFERROR(__xludf.DUMMYFUNCTION("""COMPUTED_VALUE"""),14879.0)</f>
        <v>14879</v>
      </c>
      <c r="G1583" s="115">
        <f>IFERROR(__xludf.DUMMYFUNCTION("""COMPUTED_VALUE"""),870.0)</f>
        <v>870</v>
      </c>
      <c r="H1583" s="116">
        <f>IFERROR(__xludf.DUMMYFUNCTION("""COMPUTED_VALUE"""),45903.0)</f>
        <v>45903</v>
      </c>
      <c r="I1583" s="115" t="str">
        <f>IFERROR(__xludf.DUMMYFUNCTION("""COMPUTED_VALUE"""),"20")</f>
        <v>20</v>
      </c>
      <c r="J1583" s="115" t="str">
        <f>IFERROR(__xludf.DUMMYFUNCTION("""COMPUTED_VALUE"""),"Premkumar M2025-09-0320")</f>
        <v>Premkumar M2025-09-0320</v>
      </c>
      <c r="K1583" s="115">
        <f>IFERROR(__xludf.DUMMYFUNCTION("""COMPUTED_VALUE"""),32535.0)</f>
        <v>32535</v>
      </c>
    </row>
    <row r="1584">
      <c r="A1584" s="115" t="str">
        <f>IFERROR(__xludf.DUMMYFUNCTION("""COMPUTED_VALUE"""),"SOUTH")</f>
        <v>SOUTH</v>
      </c>
      <c r="B1584" s="115" t="str">
        <f>IFERROR(__xludf.DUMMYFUNCTION("""COMPUTED_VALUE"""),"Premkumar M")</f>
        <v>Premkumar M</v>
      </c>
      <c r="C1584" s="115" t="str">
        <f>IFERROR(__xludf.DUMMYFUNCTION("""COMPUTED_VALUE"""),"FLIPKART")</f>
        <v>FLIPKART</v>
      </c>
      <c r="D1584" s="115">
        <f>IFERROR(__xludf.DUMMYFUNCTION("""COMPUTED_VALUE"""),262240.0)</f>
        <v>262240</v>
      </c>
      <c r="E1584" s="115">
        <f>IFERROR(__xludf.DUMMYFUNCTION("""COMPUTED_VALUE"""),20025.0)</f>
        <v>20025</v>
      </c>
      <c r="F1584" s="115">
        <f>IFERROR(__xludf.DUMMYFUNCTION("""COMPUTED_VALUE"""),198258.0)</f>
        <v>198258</v>
      </c>
      <c r="G1584" s="115">
        <f>IFERROR(__xludf.DUMMYFUNCTION("""COMPUTED_VALUE"""),9332.0)</f>
        <v>9332</v>
      </c>
      <c r="H1584" s="116">
        <f>IFERROR(__xludf.DUMMYFUNCTION("""COMPUTED_VALUE"""),45903.0)</f>
        <v>45903</v>
      </c>
      <c r="I1584" s="115" t="str">
        <f>IFERROR(__xludf.DUMMYFUNCTION("""COMPUTED_VALUE"""),"20")</f>
        <v>20</v>
      </c>
      <c r="J1584" s="115" t="str">
        <f>IFERROR(__xludf.DUMMYFUNCTION("""COMPUTED_VALUE"""),"Premkumar M2025-09-0320")</f>
        <v>Premkumar M2025-09-0320</v>
      </c>
      <c r="K1584" s="115">
        <f>IFERROR(__xludf.DUMMYFUNCTION("""COMPUTED_VALUE"""),282265.0)</f>
        <v>282265</v>
      </c>
    </row>
    <row r="1585">
      <c r="A1585" s="115" t="str">
        <f>IFERROR(__xludf.DUMMYFUNCTION("""COMPUTED_VALUE"""),"SOUTH")</f>
        <v>SOUTH</v>
      </c>
      <c r="B1585" s="115" t="str">
        <f>IFERROR(__xludf.DUMMYFUNCTION("""COMPUTED_VALUE"""),"Premkumar M")</f>
        <v>Premkumar M</v>
      </c>
      <c r="C1585" s="115" t="str">
        <f>IFERROR(__xludf.DUMMYFUNCTION("""COMPUTED_VALUE"""),"MYNTRA")</f>
        <v>MYNTRA</v>
      </c>
      <c r="D1585" s="115">
        <f>IFERROR(__xludf.DUMMYFUNCTION("""COMPUTED_VALUE"""),13972.0)</f>
        <v>13972</v>
      </c>
      <c r="E1585" s="115">
        <f>IFERROR(__xludf.DUMMYFUNCTION("""COMPUTED_VALUE"""),2983.0)</f>
        <v>2983</v>
      </c>
      <c r="F1585" s="115">
        <f>IFERROR(__xludf.DUMMYFUNCTION("""COMPUTED_VALUE"""),11758.0)</f>
        <v>11758</v>
      </c>
      <c r="G1585" s="115">
        <f>IFERROR(__xludf.DUMMYFUNCTION("""COMPUTED_VALUE"""),1474.0)</f>
        <v>1474</v>
      </c>
      <c r="H1585" s="116">
        <f>IFERROR(__xludf.DUMMYFUNCTION("""COMPUTED_VALUE"""),45903.0)</f>
        <v>45903</v>
      </c>
      <c r="I1585" s="115" t="str">
        <f>IFERROR(__xludf.DUMMYFUNCTION("""COMPUTED_VALUE"""),"20")</f>
        <v>20</v>
      </c>
      <c r="J1585" s="115" t="str">
        <f>IFERROR(__xludf.DUMMYFUNCTION("""COMPUTED_VALUE"""),"Premkumar M2025-09-0320")</f>
        <v>Premkumar M2025-09-0320</v>
      </c>
      <c r="K1585" s="115">
        <f>IFERROR(__xludf.DUMMYFUNCTION("""COMPUTED_VALUE"""),16955.0)</f>
        <v>16955</v>
      </c>
    </row>
    <row r="1586">
      <c r="A1586" s="115" t="str">
        <f>IFERROR(__xludf.DUMMYFUNCTION("""COMPUTED_VALUE"""),"SOUTH")</f>
        <v>SOUTH</v>
      </c>
      <c r="B1586" s="115" t="str">
        <f>IFERROR(__xludf.DUMMYFUNCTION("""COMPUTED_VALUE"""),"Vineeth V")</f>
        <v>Vineeth V</v>
      </c>
      <c r="C1586" s="115" t="str">
        <f>IFERROR(__xludf.DUMMYFUNCTION("""COMPUTED_VALUE"""),"EXTERNAL")</f>
        <v>EXTERNAL</v>
      </c>
      <c r="D1586" s="115">
        <f>IFERROR(__xludf.DUMMYFUNCTION("""COMPUTED_VALUE"""),22305.0)</f>
        <v>22305</v>
      </c>
      <c r="E1586" s="115">
        <f>IFERROR(__xludf.DUMMYFUNCTION("""COMPUTED_VALUE"""),939.0)</f>
        <v>939</v>
      </c>
      <c r="F1586" s="115">
        <f>IFERROR(__xludf.DUMMYFUNCTION("""COMPUTED_VALUE"""),11815.0)</f>
        <v>11815</v>
      </c>
      <c r="G1586" s="115">
        <f>IFERROR(__xludf.DUMMYFUNCTION("""COMPUTED_VALUE"""),464.0)</f>
        <v>464</v>
      </c>
      <c r="H1586" s="116">
        <f>IFERROR(__xludf.DUMMYFUNCTION("""COMPUTED_VALUE"""),45903.0)</f>
        <v>45903</v>
      </c>
      <c r="I1586" s="115" t="str">
        <f>IFERROR(__xludf.DUMMYFUNCTION("""COMPUTED_VALUE"""),"20")</f>
        <v>20</v>
      </c>
      <c r="J1586" s="115" t="str">
        <f>IFERROR(__xludf.DUMMYFUNCTION("""COMPUTED_VALUE"""),"Vineeth V2025-09-0320")</f>
        <v>Vineeth V2025-09-0320</v>
      </c>
      <c r="K1586" s="115">
        <f>IFERROR(__xludf.DUMMYFUNCTION("""COMPUTED_VALUE"""),23244.0)</f>
        <v>23244</v>
      </c>
    </row>
    <row r="1587">
      <c r="A1587" s="115" t="str">
        <f>IFERROR(__xludf.DUMMYFUNCTION("""COMPUTED_VALUE"""),"SOUTH")</f>
        <v>SOUTH</v>
      </c>
      <c r="B1587" s="115" t="str">
        <f>IFERROR(__xludf.DUMMYFUNCTION("""COMPUTED_VALUE"""),"Vineeth V")</f>
        <v>Vineeth V</v>
      </c>
      <c r="C1587" s="115" t="str">
        <f>IFERROR(__xludf.DUMMYFUNCTION("""COMPUTED_VALUE"""),"FLIPKART")</f>
        <v>FLIPKART</v>
      </c>
      <c r="D1587" s="115">
        <f>IFERROR(__xludf.DUMMYFUNCTION("""COMPUTED_VALUE"""),234988.0)</f>
        <v>234988</v>
      </c>
      <c r="E1587" s="115">
        <f>IFERROR(__xludf.DUMMYFUNCTION("""COMPUTED_VALUE"""),17467.0)</f>
        <v>17467</v>
      </c>
      <c r="F1587" s="115">
        <f>IFERROR(__xludf.DUMMYFUNCTION("""COMPUTED_VALUE"""),191040.0)</f>
        <v>191040</v>
      </c>
      <c r="G1587" s="115">
        <f>IFERROR(__xludf.DUMMYFUNCTION("""COMPUTED_VALUE"""),8879.0)</f>
        <v>8879</v>
      </c>
      <c r="H1587" s="116">
        <f>IFERROR(__xludf.DUMMYFUNCTION("""COMPUTED_VALUE"""),45903.0)</f>
        <v>45903</v>
      </c>
      <c r="I1587" s="115" t="str">
        <f>IFERROR(__xludf.DUMMYFUNCTION("""COMPUTED_VALUE"""),"20")</f>
        <v>20</v>
      </c>
      <c r="J1587" s="115" t="str">
        <f>IFERROR(__xludf.DUMMYFUNCTION("""COMPUTED_VALUE"""),"Vineeth V2025-09-0320")</f>
        <v>Vineeth V2025-09-0320</v>
      </c>
      <c r="K1587" s="115">
        <f>IFERROR(__xludf.DUMMYFUNCTION("""COMPUTED_VALUE"""),252455.0)</f>
        <v>252455</v>
      </c>
    </row>
    <row r="1588">
      <c r="A1588" s="115" t="str">
        <f>IFERROR(__xludf.DUMMYFUNCTION("""COMPUTED_VALUE"""),"SOUTH")</f>
        <v>SOUTH</v>
      </c>
      <c r="B1588" s="115" t="str">
        <f>IFERROR(__xludf.DUMMYFUNCTION("""COMPUTED_VALUE"""),"Vineeth V")</f>
        <v>Vineeth V</v>
      </c>
      <c r="C1588" s="115" t="str">
        <f>IFERROR(__xludf.DUMMYFUNCTION("""COMPUTED_VALUE"""),"MYNTRA")</f>
        <v>MYNTRA</v>
      </c>
      <c r="D1588" s="115">
        <f>IFERROR(__xludf.DUMMYFUNCTION("""COMPUTED_VALUE"""),22832.0)</f>
        <v>22832</v>
      </c>
      <c r="E1588" s="115">
        <f>IFERROR(__xludf.DUMMYFUNCTION("""COMPUTED_VALUE"""),4213.0)</f>
        <v>4213</v>
      </c>
      <c r="F1588" s="115">
        <f>IFERROR(__xludf.DUMMYFUNCTION("""COMPUTED_VALUE"""),19737.0)</f>
        <v>19737</v>
      </c>
      <c r="G1588" s="115">
        <f>IFERROR(__xludf.DUMMYFUNCTION("""COMPUTED_VALUE"""),2308.0)</f>
        <v>2308</v>
      </c>
      <c r="H1588" s="116">
        <f>IFERROR(__xludf.DUMMYFUNCTION("""COMPUTED_VALUE"""),45903.0)</f>
        <v>45903</v>
      </c>
      <c r="I1588" s="115" t="str">
        <f>IFERROR(__xludf.DUMMYFUNCTION("""COMPUTED_VALUE"""),"20")</f>
        <v>20</v>
      </c>
      <c r="J1588" s="115" t="str">
        <f>IFERROR(__xludf.DUMMYFUNCTION("""COMPUTED_VALUE"""),"Vineeth V2025-09-0320")</f>
        <v>Vineeth V2025-09-0320</v>
      </c>
      <c r="K1588" s="115">
        <f>IFERROR(__xludf.DUMMYFUNCTION("""COMPUTED_VALUE"""),27045.0)</f>
        <v>27045</v>
      </c>
    </row>
    <row r="1589">
      <c r="A1589" s="115" t="str">
        <f>IFERROR(__xludf.DUMMYFUNCTION("""COMPUTED_VALUE"""),"WEST")</f>
        <v>WEST</v>
      </c>
      <c r="B1589" s="115" t="str">
        <f>IFERROR(__xludf.DUMMYFUNCTION("""COMPUTED_VALUE"""),"Ashish Jakar")</f>
        <v>Ashish Jakar</v>
      </c>
      <c r="C1589" s="115" t="str">
        <f>IFERROR(__xludf.DUMMYFUNCTION("""COMPUTED_VALUE"""),"EXTERNAL")</f>
        <v>EXTERNAL</v>
      </c>
      <c r="D1589" s="115">
        <f>IFERROR(__xludf.DUMMYFUNCTION("""COMPUTED_VALUE"""),54795.0)</f>
        <v>54795</v>
      </c>
      <c r="E1589" s="115">
        <f>IFERROR(__xludf.DUMMYFUNCTION("""COMPUTED_VALUE"""),8259.0)</f>
        <v>8259</v>
      </c>
      <c r="F1589" s="115">
        <f>IFERROR(__xludf.DUMMYFUNCTION("""COMPUTED_VALUE"""),21889.0)</f>
        <v>21889</v>
      </c>
      <c r="G1589" s="115">
        <f>IFERROR(__xludf.DUMMYFUNCTION("""COMPUTED_VALUE"""),2875.0)</f>
        <v>2875</v>
      </c>
      <c r="H1589" s="116">
        <f>IFERROR(__xludf.DUMMYFUNCTION("""COMPUTED_VALUE"""),45903.0)</f>
        <v>45903</v>
      </c>
      <c r="I1589" s="115" t="str">
        <f>IFERROR(__xludf.DUMMYFUNCTION("""COMPUTED_VALUE"""),"20")</f>
        <v>20</v>
      </c>
      <c r="J1589" s="115" t="str">
        <f>IFERROR(__xludf.DUMMYFUNCTION("""COMPUTED_VALUE"""),"Ashish Jakar2025-09-0320")</f>
        <v>Ashish Jakar2025-09-0320</v>
      </c>
      <c r="K1589" s="115">
        <f>IFERROR(__xludf.DUMMYFUNCTION("""COMPUTED_VALUE"""),63054.0)</f>
        <v>63054</v>
      </c>
    </row>
    <row r="1590">
      <c r="A1590" s="115" t="str">
        <f>IFERROR(__xludf.DUMMYFUNCTION("""COMPUTED_VALUE"""),"WEST")</f>
        <v>WEST</v>
      </c>
      <c r="B1590" s="115" t="str">
        <f>IFERROR(__xludf.DUMMYFUNCTION("""COMPUTED_VALUE"""),"Ashish Jakar")</f>
        <v>Ashish Jakar</v>
      </c>
      <c r="C1590" s="115" t="str">
        <f>IFERROR(__xludf.DUMMYFUNCTION("""COMPUTED_VALUE"""),"FLIPKART")</f>
        <v>FLIPKART</v>
      </c>
      <c r="D1590" s="115">
        <f>IFERROR(__xludf.DUMMYFUNCTION("""COMPUTED_VALUE"""),321620.0)</f>
        <v>321620</v>
      </c>
      <c r="E1590" s="115">
        <f>IFERROR(__xludf.DUMMYFUNCTION("""COMPUTED_VALUE"""),34628.0)</f>
        <v>34628</v>
      </c>
      <c r="F1590" s="115">
        <f>IFERROR(__xludf.DUMMYFUNCTION("""COMPUTED_VALUE"""),230990.0)</f>
        <v>230990</v>
      </c>
      <c r="G1590" s="115">
        <f>IFERROR(__xludf.DUMMYFUNCTION("""COMPUTED_VALUE"""),20949.0)</f>
        <v>20949</v>
      </c>
      <c r="H1590" s="116">
        <f>IFERROR(__xludf.DUMMYFUNCTION("""COMPUTED_VALUE"""),45903.0)</f>
        <v>45903</v>
      </c>
      <c r="I1590" s="115" t="str">
        <f>IFERROR(__xludf.DUMMYFUNCTION("""COMPUTED_VALUE"""),"20")</f>
        <v>20</v>
      </c>
      <c r="J1590" s="115" t="str">
        <f>IFERROR(__xludf.DUMMYFUNCTION("""COMPUTED_VALUE"""),"Ashish Jakar2025-09-0320")</f>
        <v>Ashish Jakar2025-09-0320</v>
      </c>
      <c r="K1590" s="115">
        <f>IFERROR(__xludf.DUMMYFUNCTION("""COMPUTED_VALUE"""),356248.0)</f>
        <v>356248</v>
      </c>
    </row>
    <row r="1591">
      <c r="A1591" s="115" t="str">
        <f>IFERROR(__xludf.DUMMYFUNCTION("""COMPUTED_VALUE"""),"WEST")</f>
        <v>WEST</v>
      </c>
      <c r="B1591" s="115" t="str">
        <f>IFERROR(__xludf.DUMMYFUNCTION("""COMPUTED_VALUE"""),"Ashish Jakar")</f>
        <v>Ashish Jakar</v>
      </c>
      <c r="C1591" s="115" t="str">
        <f>IFERROR(__xludf.DUMMYFUNCTION("""COMPUTED_VALUE"""),"MYNTRA")</f>
        <v>MYNTRA</v>
      </c>
      <c r="D1591" s="115">
        <f>IFERROR(__xludf.DUMMYFUNCTION("""COMPUTED_VALUE"""),35013.0)</f>
        <v>35013</v>
      </c>
      <c r="E1591" s="115">
        <f>IFERROR(__xludf.DUMMYFUNCTION("""COMPUTED_VALUE"""),11405.0)</f>
        <v>11405</v>
      </c>
      <c r="F1591" s="115">
        <f>IFERROR(__xludf.DUMMYFUNCTION("""COMPUTED_VALUE"""),28334.0)</f>
        <v>28334</v>
      </c>
      <c r="G1591" s="115">
        <f>IFERROR(__xludf.DUMMYFUNCTION("""COMPUTED_VALUE"""),7377.0)</f>
        <v>7377</v>
      </c>
      <c r="H1591" s="116">
        <f>IFERROR(__xludf.DUMMYFUNCTION("""COMPUTED_VALUE"""),45903.0)</f>
        <v>45903</v>
      </c>
      <c r="I1591" s="115" t="str">
        <f>IFERROR(__xludf.DUMMYFUNCTION("""COMPUTED_VALUE"""),"20")</f>
        <v>20</v>
      </c>
      <c r="J1591" s="115" t="str">
        <f>IFERROR(__xludf.DUMMYFUNCTION("""COMPUTED_VALUE"""),"Ashish Jakar2025-09-0320")</f>
        <v>Ashish Jakar2025-09-0320</v>
      </c>
      <c r="K1591" s="115">
        <f>IFERROR(__xludf.DUMMYFUNCTION("""COMPUTED_VALUE"""),46418.0)</f>
        <v>46418</v>
      </c>
    </row>
    <row r="1592">
      <c r="A1592" s="115" t="str">
        <f>IFERROR(__xludf.DUMMYFUNCTION("""COMPUTED_VALUE"""),"WEST")</f>
        <v>WEST</v>
      </c>
      <c r="B1592" s="115" t="str">
        <f>IFERROR(__xludf.DUMMYFUNCTION("""COMPUTED_VALUE"""),"Ashvani Bhatt")</f>
        <v>Ashvani Bhatt</v>
      </c>
      <c r="C1592" s="115" t="str">
        <f>IFERROR(__xludf.DUMMYFUNCTION("""COMPUTED_VALUE"""),"EXTERNAL")</f>
        <v>EXTERNAL</v>
      </c>
      <c r="D1592" s="115">
        <f>IFERROR(__xludf.DUMMYFUNCTION("""COMPUTED_VALUE"""),35050.0)</f>
        <v>35050</v>
      </c>
      <c r="E1592" s="115">
        <f>IFERROR(__xludf.DUMMYFUNCTION("""COMPUTED_VALUE"""),5258.0)</f>
        <v>5258</v>
      </c>
      <c r="F1592" s="115">
        <f>IFERROR(__xludf.DUMMYFUNCTION("""COMPUTED_VALUE"""),14579.0)</f>
        <v>14579</v>
      </c>
      <c r="G1592" s="115">
        <f>IFERROR(__xludf.DUMMYFUNCTION("""COMPUTED_VALUE"""),1638.0)</f>
        <v>1638</v>
      </c>
      <c r="H1592" s="116">
        <f>IFERROR(__xludf.DUMMYFUNCTION("""COMPUTED_VALUE"""),45903.0)</f>
        <v>45903</v>
      </c>
      <c r="I1592" s="115" t="str">
        <f>IFERROR(__xludf.DUMMYFUNCTION("""COMPUTED_VALUE"""),"20")</f>
        <v>20</v>
      </c>
      <c r="J1592" s="115" t="str">
        <f>IFERROR(__xludf.DUMMYFUNCTION("""COMPUTED_VALUE"""),"Ashvani Bhatt2025-09-0320")</f>
        <v>Ashvani Bhatt2025-09-0320</v>
      </c>
      <c r="K1592" s="115">
        <f>IFERROR(__xludf.DUMMYFUNCTION("""COMPUTED_VALUE"""),40308.0)</f>
        <v>40308</v>
      </c>
    </row>
    <row r="1593">
      <c r="A1593" s="115" t="str">
        <f>IFERROR(__xludf.DUMMYFUNCTION("""COMPUTED_VALUE"""),"WEST")</f>
        <v>WEST</v>
      </c>
      <c r="B1593" s="115" t="str">
        <f>IFERROR(__xludf.DUMMYFUNCTION("""COMPUTED_VALUE"""),"Ashvani Bhatt")</f>
        <v>Ashvani Bhatt</v>
      </c>
      <c r="C1593" s="115" t="str">
        <f>IFERROR(__xludf.DUMMYFUNCTION("""COMPUTED_VALUE"""),"FLIPKART")</f>
        <v>FLIPKART</v>
      </c>
      <c r="D1593" s="115">
        <f>IFERROR(__xludf.DUMMYFUNCTION("""COMPUTED_VALUE"""),254050.0)</f>
        <v>254050</v>
      </c>
      <c r="E1593" s="115">
        <f>IFERROR(__xludf.DUMMYFUNCTION("""COMPUTED_VALUE"""),29418.0)</f>
        <v>29418</v>
      </c>
      <c r="F1593" s="115">
        <f>IFERROR(__xludf.DUMMYFUNCTION("""COMPUTED_VALUE"""),190713.0)</f>
        <v>190713</v>
      </c>
      <c r="G1593" s="115">
        <f>IFERROR(__xludf.DUMMYFUNCTION("""COMPUTED_VALUE"""),18645.0)</f>
        <v>18645</v>
      </c>
      <c r="H1593" s="116">
        <f>IFERROR(__xludf.DUMMYFUNCTION("""COMPUTED_VALUE"""),45903.0)</f>
        <v>45903</v>
      </c>
      <c r="I1593" s="115" t="str">
        <f>IFERROR(__xludf.DUMMYFUNCTION("""COMPUTED_VALUE"""),"20")</f>
        <v>20</v>
      </c>
      <c r="J1593" s="115" t="str">
        <f>IFERROR(__xludf.DUMMYFUNCTION("""COMPUTED_VALUE"""),"Ashvani Bhatt2025-09-0320")</f>
        <v>Ashvani Bhatt2025-09-0320</v>
      </c>
      <c r="K1593" s="115">
        <f>IFERROR(__xludf.DUMMYFUNCTION("""COMPUTED_VALUE"""),283468.0)</f>
        <v>283468</v>
      </c>
    </row>
    <row r="1594">
      <c r="A1594" s="115" t="str">
        <f>IFERROR(__xludf.DUMMYFUNCTION("""COMPUTED_VALUE"""),"WEST")</f>
        <v>WEST</v>
      </c>
      <c r="B1594" s="115" t="str">
        <f>IFERROR(__xludf.DUMMYFUNCTION("""COMPUTED_VALUE"""),"Ashvani Bhatt")</f>
        <v>Ashvani Bhatt</v>
      </c>
      <c r="C1594" s="115" t="str">
        <f>IFERROR(__xludf.DUMMYFUNCTION("""COMPUTED_VALUE"""),"MYNTRA")</f>
        <v>MYNTRA</v>
      </c>
      <c r="D1594" s="115">
        <f>IFERROR(__xludf.DUMMYFUNCTION("""COMPUTED_VALUE"""),29637.0)</f>
        <v>29637</v>
      </c>
      <c r="E1594" s="115">
        <f>IFERROR(__xludf.DUMMYFUNCTION("""COMPUTED_VALUE"""),8673.0)</f>
        <v>8673</v>
      </c>
      <c r="F1594" s="115">
        <f>IFERROR(__xludf.DUMMYFUNCTION("""COMPUTED_VALUE"""),24977.0)</f>
        <v>24977</v>
      </c>
      <c r="G1594" s="115">
        <f>IFERROR(__xludf.DUMMYFUNCTION("""COMPUTED_VALUE"""),5856.0)</f>
        <v>5856</v>
      </c>
      <c r="H1594" s="116">
        <f>IFERROR(__xludf.DUMMYFUNCTION("""COMPUTED_VALUE"""),45903.0)</f>
        <v>45903</v>
      </c>
      <c r="I1594" s="115" t="str">
        <f>IFERROR(__xludf.DUMMYFUNCTION("""COMPUTED_VALUE"""),"20")</f>
        <v>20</v>
      </c>
      <c r="J1594" s="115" t="str">
        <f>IFERROR(__xludf.DUMMYFUNCTION("""COMPUTED_VALUE"""),"Ashvani Bhatt2025-09-0320")</f>
        <v>Ashvani Bhatt2025-09-0320</v>
      </c>
      <c r="K1594" s="115">
        <f>IFERROR(__xludf.DUMMYFUNCTION("""COMPUTED_VALUE"""),38310.0)</f>
        <v>38310</v>
      </c>
    </row>
    <row r="1595">
      <c r="A1595" s="115"/>
      <c r="B1595" s="115"/>
      <c r="C1595" s="115" t="str">
        <f>IFERROR(__xludf.DUMMYFUNCTION("""COMPUTED_VALUE"""),"EXTERNAL")</f>
        <v>EXTERNAL</v>
      </c>
      <c r="D1595" s="115">
        <f>IFERROR(__xludf.DUMMYFUNCTION("""COMPUTED_VALUE"""),989.0)</f>
        <v>989</v>
      </c>
      <c r="E1595" s="115">
        <f>IFERROR(__xludf.DUMMYFUNCTION("""COMPUTED_VALUE"""),163.0)</f>
        <v>163</v>
      </c>
      <c r="F1595" s="115">
        <f>IFERROR(__xludf.DUMMYFUNCTION("""COMPUTED_VALUE"""),477.0)</f>
        <v>477</v>
      </c>
      <c r="G1595" s="115">
        <f>IFERROR(__xludf.DUMMYFUNCTION("""COMPUTED_VALUE"""),37.0)</f>
        <v>37</v>
      </c>
      <c r="H1595" s="116">
        <f>IFERROR(__xludf.DUMMYFUNCTION("""COMPUTED_VALUE"""),45903.0)</f>
        <v>45903</v>
      </c>
      <c r="I1595" s="115" t="str">
        <f>IFERROR(__xludf.DUMMYFUNCTION("""COMPUTED_VALUE"""),"20")</f>
        <v>20</v>
      </c>
      <c r="J1595" s="115" t="str">
        <f>IFERROR(__xludf.DUMMYFUNCTION("""COMPUTED_VALUE"""),"2025-09-0320")</f>
        <v>2025-09-0320</v>
      </c>
      <c r="K1595" s="115">
        <f>IFERROR(__xludf.DUMMYFUNCTION("""COMPUTED_VALUE"""),1152.0)</f>
        <v>1152</v>
      </c>
    </row>
    <row r="1596">
      <c r="A1596" s="115"/>
      <c r="B1596" s="115"/>
      <c r="C1596" s="115" t="str">
        <f>IFERROR(__xludf.DUMMYFUNCTION("""COMPUTED_VALUE"""),"FLIPKART")</f>
        <v>FLIPKART</v>
      </c>
      <c r="D1596" s="115">
        <f>IFERROR(__xludf.DUMMYFUNCTION("""COMPUTED_VALUE"""),6114.0)</f>
        <v>6114</v>
      </c>
      <c r="E1596" s="115">
        <f>IFERROR(__xludf.DUMMYFUNCTION("""COMPUTED_VALUE"""),790.0)</f>
        <v>790</v>
      </c>
      <c r="F1596" s="115">
        <f>IFERROR(__xludf.DUMMYFUNCTION("""COMPUTED_VALUE"""),4620.0)</f>
        <v>4620</v>
      </c>
      <c r="G1596" s="115">
        <f>IFERROR(__xludf.DUMMYFUNCTION("""COMPUTED_VALUE"""),410.0)</f>
        <v>410</v>
      </c>
      <c r="H1596" s="116">
        <f>IFERROR(__xludf.DUMMYFUNCTION("""COMPUTED_VALUE"""),45903.0)</f>
        <v>45903</v>
      </c>
      <c r="I1596" s="115" t="str">
        <f>IFERROR(__xludf.DUMMYFUNCTION("""COMPUTED_VALUE"""),"20")</f>
        <v>20</v>
      </c>
      <c r="J1596" s="115" t="str">
        <f>IFERROR(__xludf.DUMMYFUNCTION("""COMPUTED_VALUE"""),"2025-09-0320")</f>
        <v>2025-09-0320</v>
      </c>
      <c r="K1596" s="115">
        <f>IFERROR(__xludf.DUMMYFUNCTION("""COMPUTED_VALUE"""),6904.0)</f>
        <v>6904</v>
      </c>
    </row>
    <row r="1597">
      <c r="A1597" s="115"/>
      <c r="B1597" s="115"/>
      <c r="C1597" s="115" t="str">
        <f>IFERROR(__xludf.DUMMYFUNCTION("""COMPUTED_VALUE"""),"MYNTRA")</f>
        <v>MYNTRA</v>
      </c>
      <c r="D1597" s="115">
        <f>IFERROR(__xludf.DUMMYFUNCTION("""COMPUTED_VALUE"""),673.0)</f>
        <v>673</v>
      </c>
      <c r="E1597" s="115">
        <f>IFERROR(__xludf.DUMMYFUNCTION("""COMPUTED_VALUE"""),223.0)</f>
        <v>223</v>
      </c>
      <c r="F1597" s="115">
        <f>IFERROR(__xludf.DUMMYFUNCTION("""COMPUTED_VALUE"""),522.0)</f>
        <v>522</v>
      </c>
      <c r="G1597" s="115">
        <f>IFERROR(__xludf.DUMMYFUNCTION("""COMPUTED_VALUE"""),119.0)</f>
        <v>119</v>
      </c>
      <c r="H1597" s="116">
        <f>IFERROR(__xludf.DUMMYFUNCTION("""COMPUTED_VALUE"""),45903.0)</f>
        <v>45903</v>
      </c>
      <c r="I1597" s="115" t="str">
        <f>IFERROR(__xludf.DUMMYFUNCTION("""COMPUTED_VALUE"""),"20")</f>
        <v>20</v>
      </c>
      <c r="J1597" s="115" t="str">
        <f>IFERROR(__xludf.DUMMYFUNCTION("""COMPUTED_VALUE"""),"2025-09-0320")</f>
        <v>2025-09-0320</v>
      </c>
      <c r="K1597" s="115">
        <f>IFERROR(__xludf.DUMMYFUNCTION("""COMPUTED_VALUE"""),896.0)</f>
        <v>896</v>
      </c>
    </row>
    <row r="1598">
      <c r="A1598" s="115" t="str">
        <f>IFERROR(__xludf.DUMMYFUNCTION("""COMPUTED_VALUE"""),"EAST")</f>
        <v>EAST</v>
      </c>
      <c r="B1598" s="115" t="str">
        <f>IFERROR(__xludf.DUMMYFUNCTION("""COMPUTED_VALUE"""),"Ashish Ranjan")</f>
        <v>Ashish Ranjan</v>
      </c>
      <c r="C1598" s="115" t="str">
        <f>IFERROR(__xludf.DUMMYFUNCTION("""COMPUTED_VALUE"""),"EXTERNAL")</f>
        <v>EXTERNAL</v>
      </c>
      <c r="D1598" s="115">
        <f>IFERROR(__xludf.DUMMYFUNCTION("""COMPUTED_VALUE"""),40532.0)</f>
        <v>40532</v>
      </c>
      <c r="E1598" s="115">
        <f>IFERROR(__xludf.DUMMYFUNCTION("""COMPUTED_VALUE"""),4659.0)</f>
        <v>4659</v>
      </c>
      <c r="F1598" s="115">
        <f>IFERROR(__xludf.DUMMYFUNCTION("""COMPUTED_VALUE"""),22424.0)</f>
        <v>22424</v>
      </c>
      <c r="G1598" s="115">
        <f>IFERROR(__xludf.DUMMYFUNCTION("""COMPUTED_VALUE"""),2216.0)</f>
        <v>2216</v>
      </c>
      <c r="H1598" s="116">
        <f>IFERROR(__xludf.DUMMYFUNCTION("""COMPUTED_VALUE"""),45903.0)</f>
        <v>45903</v>
      </c>
      <c r="I1598" s="115" t="str">
        <f>IFERROR(__xludf.DUMMYFUNCTION("""COMPUTED_VALUE"""),"21")</f>
        <v>21</v>
      </c>
      <c r="J1598" s="115" t="str">
        <f>IFERROR(__xludf.DUMMYFUNCTION("""COMPUTED_VALUE"""),"Ashish Ranjan2025-09-0321")</f>
        <v>Ashish Ranjan2025-09-0321</v>
      </c>
      <c r="K1598" s="115">
        <f>IFERROR(__xludf.DUMMYFUNCTION("""COMPUTED_VALUE"""),45191.0)</f>
        <v>45191</v>
      </c>
    </row>
    <row r="1599">
      <c r="A1599" s="115" t="str">
        <f>IFERROR(__xludf.DUMMYFUNCTION("""COMPUTED_VALUE"""),"EAST")</f>
        <v>EAST</v>
      </c>
      <c r="B1599" s="115" t="str">
        <f>IFERROR(__xludf.DUMMYFUNCTION("""COMPUTED_VALUE"""),"Ashish Ranjan")</f>
        <v>Ashish Ranjan</v>
      </c>
      <c r="C1599" s="115" t="str">
        <f>IFERROR(__xludf.DUMMYFUNCTION("""COMPUTED_VALUE"""),"FLIPKART")</f>
        <v>FLIPKART</v>
      </c>
      <c r="D1599" s="115">
        <f>IFERROR(__xludf.DUMMYFUNCTION("""COMPUTED_VALUE"""),625016.0)</f>
        <v>625016</v>
      </c>
      <c r="E1599" s="115">
        <f>IFERROR(__xludf.DUMMYFUNCTION("""COMPUTED_VALUE"""),58526.0)</f>
        <v>58526</v>
      </c>
      <c r="F1599" s="115">
        <f>IFERROR(__xludf.DUMMYFUNCTION("""COMPUTED_VALUE"""),552169.0)</f>
        <v>552169</v>
      </c>
      <c r="G1599" s="115">
        <f>IFERROR(__xludf.DUMMYFUNCTION("""COMPUTED_VALUE"""),46425.0)</f>
        <v>46425</v>
      </c>
      <c r="H1599" s="116">
        <f>IFERROR(__xludf.DUMMYFUNCTION("""COMPUTED_VALUE"""),45903.0)</f>
        <v>45903</v>
      </c>
      <c r="I1599" s="115" t="str">
        <f>IFERROR(__xludf.DUMMYFUNCTION("""COMPUTED_VALUE"""),"21")</f>
        <v>21</v>
      </c>
      <c r="J1599" s="115" t="str">
        <f>IFERROR(__xludf.DUMMYFUNCTION("""COMPUTED_VALUE"""),"Ashish Ranjan2025-09-0321")</f>
        <v>Ashish Ranjan2025-09-0321</v>
      </c>
      <c r="K1599" s="115">
        <f>IFERROR(__xludf.DUMMYFUNCTION("""COMPUTED_VALUE"""),683542.0)</f>
        <v>683542</v>
      </c>
    </row>
    <row r="1600">
      <c r="A1600" s="115" t="str">
        <f>IFERROR(__xludf.DUMMYFUNCTION("""COMPUTED_VALUE"""),"EAST")</f>
        <v>EAST</v>
      </c>
      <c r="B1600" s="115" t="str">
        <f>IFERROR(__xludf.DUMMYFUNCTION("""COMPUTED_VALUE"""),"Ashish Ranjan")</f>
        <v>Ashish Ranjan</v>
      </c>
      <c r="C1600" s="115" t="str">
        <f>IFERROR(__xludf.DUMMYFUNCTION("""COMPUTED_VALUE"""),"MYNTRA")</f>
        <v>MYNTRA</v>
      </c>
      <c r="D1600" s="115">
        <f>IFERROR(__xludf.DUMMYFUNCTION("""COMPUTED_VALUE"""),56390.0)</f>
        <v>56390</v>
      </c>
      <c r="E1600" s="115">
        <f>IFERROR(__xludf.DUMMYFUNCTION("""COMPUTED_VALUE"""),12433.0)</f>
        <v>12433</v>
      </c>
      <c r="F1600" s="115">
        <f>IFERROR(__xludf.DUMMYFUNCTION("""COMPUTED_VALUE"""),50251.0)</f>
        <v>50251</v>
      </c>
      <c r="G1600" s="115">
        <f>IFERROR(__xludf.DUMMYFUNCTION("""COMPUTED_VALUE"""),9882.0)</f>
        <v>9882</v>
      </c>
      <c r="H1600" s="116">
        <f>IFERROR(__xludf.DUMMYFUNCTION("""COMPUTED_VALUE"""),45903.0)</f>
        <v>45903</v>
      </c>
      <c r="I1600" s="115" t="str">
        <f>IFERROR(__xludf.DUMMYFUNCTION("""COMPUTED_VALUE"""),"21")</f>
        <v>21</v>
      </c>
      <c r="J1600" s="115" t="str">
        <f>IFERROR(__xludf.DUMMYFUNCTION("""COMPUTED_VALUE"""),"Ashish Ranjan2025-09-0321")</f>
        <v>Ashish Ranjan2025-09-0321</v>
      </c>
      <c r="K1600" s="115">
        <f>IFERROR(__xludf.DUMMYFUNCTION("""COMPUTED_VALUE"""),68823.0)</f>
        <v>68823</v>
      </c>
    </row>
    <row r="1601">
      <c r="A1601" s="115" t="str">
        <f>IFERROR(__xludf.DUMMYFUNCTION("""COMPUTED_VALUE"""),"EAST")</f>
        <v>EAST</v>
      </c>
      <c r="B1601" s="115" t="str">
        <f>IFERROR(__xludf.DUMMYFUNCTION("""COMPUTED_VALUE"""),"Girish Chand")</f>
        <v>Girish Chand</v>
      </c>
      <c r="C1601" s="115" t="str">
        <f>IFERROR(__xludf.DUMMYFUNCTION("""COMPUTED_VALUE"""),"EXTERNAL")</f>
        <v>EXTERNAL</v>
      </c>
      <c r="D1601" s="115">
        <f>IFERROR(__xludf.DUMMYFUNCTION("""COMPUTED_VALUE"""),24933.0)</f>
        <v>24933</v>
      </c>
      <c r="E1601" s="115">
        <f>IFERROR(__xludf.DUMMYFUNCTION("""COMPUTED_VALUE"""),3193.0)</f>
        <v>3193</v>
      </c>
      <c r="F1601" s="115">
        <f>IFERROR(__xludf.DUMMYFUNCTION("""COMPUTED_VALUE"""),10602.0)</f>
        <v>10602</v>
      </c>
      <c r="G1601" s="115">
        <f>IFERROR(__xludf.DUMMYFUNCTION("""COMPUTED_VALUE"""),1159.0)</f>
        <v>1159</v>
      </c>
      <c r="H1601" s="116">
        <f>IFERROR(__xludf.DUMMYFUNCTION("""COMPUTED_VALUE"""),45903.0)</f>
        <v>45903</v>
      </c>
      <c r="I1601" s="115" t="str">
        <f>IFERROR(__xludf.DUMMYFUNCTION("""COMPUTED_VALUE"""),"21")</f>
        <v>21</v>
      </c>
      <c r="J1601" s="115" t="str">
        <f>IFERROR(__xludf.DUMMYFUNCTION("""COMPUTED_VALUE"""),"Girish Chand2025-09-0321")</f>
        <v>Girish Chand2025-09-0321</v>
      </c>
      <c r="K1601" s="115">
        <f>IFERROR(__xludf.DUMMYFUNCTION("""COMPUTED_VALUE"""),28126.0)</f>
        <v>28126</v>
      </c>
    </row>
    <row r="1602">
      <c r="A1602" s="115" t="str">
        <f>IFERROR(__xludf.DUMMYFUNCTION("""COMPUTED_VALUE"""),"EAST")</f>
        <v>EAST</v>
      </c>
      <c r="B1602" s="115" t="str">
        <f>IFERROR(__xludf.DUMMYFUNCTION("""COMPUTED_VALUE"""),"Girish Chand")</f>
        <v>Girish Chand</v>
      </c>
      <c r="C1602" s="115" t="str">
        <f>IFERROR(__xludf.DUMMYFUNCTION("""COMPUTED_VALUE"""),"FLIPKART")</f>
        <v>FLIPKART</v>
      </c>
      <c r="D1602" s="115">
        <f>IFERROR(__xludf.DUMMYFUNCTION("""COMPUTED_VALUE"""),430816.0)</f>
        <v>430816</v>
      </c>
      <c r="E1602" s="115">
        <f>IFERROR(__xludf.DUMMYFUNCTION("""COMPUTED_VALUE"""),37911.0)</f>
        <v>37911</v>
      </c>
      <c r="F1602" s="115">
        <f>IFERROR(__xludf.DUMMYFUNCTION("""COMPUTED_VALUE"""),324005.0)</f>
        <v>324005</v>
      </c>
      <c r="G1602" s="115">
        <f>IFERROR(__xludf.DUMMYFUNCTION("""COMPUTED_VALUE"""),27371.0)</f>
        <v>27371</v>
      </c>
      <c r="H1602" s="116">
        <f>IFERROR(__xludf.DUMMYFUNCTION("""COMPUTED_VALUE"""),45903.0)</f>
        <v>45903</v>
      </c>
      <c r="I1602" s="115" t="str">
        <f>IFERROR(__xludf.DUMMYFUNCTION("""COMPUTED_VALUE"""),"21")</f>
        <v>21</v>
      </c>
      <c r="J1602" s="115" t="str">
        <f>IFERROR(__xludf.DUMMYFUNCTION("""COMPUTED_VALUE"""),"Girish Chand2025-09-0321")</f>
        <v>Girish Chand2025-09-0321</v>
      </c>
      <c r="K1602" s="115">
        <f>IFERROR(__xludf.DUMMYFUNCTION("""COMPUTED_VALUE"""),468727.0)</f>
        <v>468727</v>
      </c>
    </row>
    <row r="1603">
      <c r="A1603" s="115" t="str">
        <f>IFERROR(__xludf.DUMMYFUNCTION("""COMPUTED_VALUE"""),"EAST")</f>
        <v>EAST</v>
      </c>
      <c r="B1603" s="115" t="str">
        <f>IFERROR(__xludf.DUMMYFUNCTION("""COMPUTED_VALUE"""),"Girish Chand")</f>
        <v>Girish Chand</v>
      </c>
      <c r="C1603" s="115" t="str">
        <f>IFERROR(__xludf.DUMMYFUNCTION("""COMPUTED_VALUE"""),"MYNTRA")</f>
        <v>MYNTRA</v>
      </c>
      <c r="D1603" s="115">
        <f>IFERROR(__xludf.DUMMYFUNCTION("""COMPUTED_VALUE"""),33684.0)</f>
        <v>33684</v>
      </c>
      <c r="E1603" s="115">
        <f>IFERROR(__xludf.DUMMYFUNCTION("""COMPUTED_VALUE"""),6527.0)</f>
        <v>6527</v>
      </c>
      <c r="F1603" s="115">
        <f>IFERROR(__xludf.DUMMYFUNCTION("""COMPUTED_VALUE"""),26779.0)</f>
        <v>26779</v>
      </c>
      <c r="G1603" s="115">
        <f>IFERROR(__xludf.DUMMYFUNCTION("""COMPUTED_VALUE"""),4796.0)</f>
        <v>4796</v>
      </c>
      <c r="H1603" s="116">
        <f>IFERROR(__xludf.DUMMYFUNCTION("""COMPUTED_VALUE"""),45903.0)</f>
        <v>45903</v>
      </c>
      <c r="I1603" s="115" t="str">
        <f>IFERROR(__xludf.DUMMYFUNCTION("""COMPUTED_VALUE"""),"21")</f>
        <v>21</v>
      </c>
      <c r="J1603" s="115" t="str">
        <f>IFERROR(__xludf.DUMMYFUNCTION("""COMPUTED_VALUE"""),"Girish Chand2025-09-0321")</f>
        <v>Girish Chand2025-09-0321</v>
      </c>
      <c r="K1603" s="115">
        <f>IFERROR(__xludf.DUMMYFUNCTION("""COMPUTED_VALUE"""),40211.0)</f>
        <v>40211</v>
      </c>
    </row>
    <row r="1604">
      <c r="A1604" s="115" t="str">
        <f>IFERROR(__xludf.DUMMYFUNCTION("""COMPUTED_VALUE"""),"EAST")</f>
        <v>EAST</v>
      </c>
      <c r="B1604" s="115" t="str">
        <f>IFERROR(__xludf.DUMMYFUNCTION("""COMPUTED_VALUE"""),"Parag Kashyap")</f>
        <v>Parag Kashyap</v>
      </c>
      <c r="C1604" s="115" t="str">
        <f>IFERROR(__xludf.DUMMYFUNCTION("""COMPUTED_VALUE"""),"EXTERNAL")</f>
        <v>EXTERNAL</v>
      </c>
      <c r="D1604" s="115">
        <f>IFERROR(__xludf.DUMMYFUNCTION("""COMPUTED_VALUE"""),21399.0)</f>
        <v>21399</v>
      </c>
      <c r="E1604" s="115">
        <f>IFERROR(__xludf.DUMMYFUNCTION("""COMPUTED_VALUE"""),1659.0)</f>
        <v>1659</v>
      </c>
      <c r="F1604" s="115">
        <f>IFERROR(__xludf.DUMMYFUNCTION("""COMPUTED_VALUE"""),9058.0)</f>
        <v>9058</v>
      </c>
      <c r="G1604" s="115">
        <f>IFERROR(__xludf.DUMMYFUNCTION("""COMPUTED_VALUE"""),620.0)</f>
        <v>620</v>
      </c>
      <c r="H1604" s="116">
        <f>IFERROR(__xludf.DUMMYFUNCTION("""COMPUTED_VALUE"""),45903.0)</f>
        <v>45903</v>
      </c>
      <c r="I1604" s="115" t="str">
        <f>IFERROR(__xludf.DUMMYFUNCTION("""COMPUTED_VALUE"""),"21")</f>
        <v>21</v>
      </c>
      <c r="J1604" s="115" t="str">
        <f>IFERROR(__xludf.DUMMYFUNCTION("""COMPUTED_VALUE"""),"Parag Kashyap2025-09-0321")</f>
        <v>Parag Kashyap2025-09-0321</v>
      </c>
      <c r="K1604" s="115">
        <f>IFERROR(__xludf.DUMMYFUNCTION("""COMPUTED_VALUE"""),23058.0)</f>
        <v>23058</v>
      </c>
    </row>
    <row r="1605">
      <c r="A1605" s="115" t="str">
        <f>IFERROR(__xludf.DUMMYFUNCTION("""COMPUTED_VALUE"""),"EAST")</f>
        <v>EAST</v>
      </c>
      <c r="B1605" s="115" t="str">
        <f>IFERROR(__xludf.DUMMYFUNCTION("""COMPUTED_VALUE"""),"Parag Kashyap")</f>
        <v>Parag Kashyap</v>
      </c>
      <c r="C1605" s="115" t="str">
        <f>IFERROR(__xludf.DUMMYFUNCTION("""COMPUTED_VALUE"""),"FLIPKART")</f>
        <v>FLIPKART</v>
      </c>
      <c r="D1605" s="115">
        <f>IFERROR(__xludf.DUMMYFUNCTION("""COMPUTED_VALUE"""),302385.0)</f>
        <v>302385</v>
      </c>
      <c r="E1605" s="115">
        <f>IFERROR(__xludf.DUMMYFUNCTION("""COMPUTED_VALUE"""),19352.0)</f>
        <v>19352</v>
      </c>
      <c r="F1605" s="115">
        <f>IFERROR(__xludf.DUMMYFUNCTION("""COMPUTED_VALUE"""),236244.0)</f>
        <v>236244</v>
      </c>
      <c r="G1605" s="115">
        <f>IFERROR(__xludf.DUMMYFUNCTION("""COMPUTED_VALUE"""),13650.0)</f>
        <v>13650</v>
      </c>
      <c r="H1605" s="116">
        <f>IFERROR(__xludf.DUMMYFUNCTION("""COMPUTED_VALUE"""),45903.0)</f>
        <v>45903</v>
      </c>
      <c r="I1605" s="115" t="str">
        <f>IFERROR(__xludf.DUMMYFUNCTION("""COMPUTED_VALUE"""),"21")</f>
        <v>21</v>
      </c>
      <c r="J1605" s="115" t="str">
        <f>IFERROR(__xludf.DUMMYFUNCTION("""COMPUTED_VALUE"""),"Parag Kashyap2025-09-0321")</f>
        <v>Parag Kashyap2025-09-0321</v>
      </c>
      <c r="K1605" s="115">
        <f>IFERROR(__xludf.DUMMYFUNCTION("""COMPUTED_VALUE"""),321737.0)</f>
        <v>321737</v>
      </c>
    </row>
    <row r="1606">
      <c r="A1606" s="115" t="str">
        <f>IFERROR(__xludf.DUMMYFUNCTION("""COMPUTED_VALUE"""),"EAST")</f>
        <v>EAST</v>
      </c>
      <c r="B1606" s="115" t="str">
        <f>IFERROR(__xludf.DUMMYFUNCTION("""COMPUTED_VALUE"""),"Parag Kashyap")</f>
        <v>Parag Kashyap</v>
      </c>
      <c r="C1606" s="115" t="str">
        <f>IFERROR(__xludf.DUMMYFUNCTION("""COMPUTED_VALUE"""),"MYNTRA")</f>
        <v>MYNTRA</v>
      </c>
      <c r="D1606" s="115">
        <f>IFERROR(__xludf.DUMMYFUNCTION("""COMPUTED_VALUE"""),34863.0)</f>
        <v>34863</v>
      </c>
      <c r="E1606" s="115">
        <f>IFERROR(__xludf.DUMMYFUNCTION("""COMPUTED_VALUE"""),4887.0)</f>
        <v>4887</v>
      </c>
      <c r="F1606" s="115">
        <f>IFERROR(__xludf.DUMMYFUNCTION("""COMPUTED_VALUE"""),27762.0)</f>
        <v>27762</v>
      </c>
      <c r="G1606" s="115">
        <f>IFERROR(__xludf.DUMMYFUNCTION("""COMPUTED_VALUE"""),3379.0)</f>
        <v>3379</v>
      </c>
      <c r="H1606" s="116">
        <f>IFERROR(__xludf.DUMMYFUNCTION("""COMPUTED_VALUE"""),45903.0)</f>
        <v>45903</v>
      </c>
      <c r="I1606" s="115" t="str">
        <f>IFERROR(__xludf.DUMMYFUNCTION("""COMPUTED_VALUE"""),"21")</f>
        <v>21</v>
      </c>
      <c r="J1606" s="115" t="str">
        <f>IFERROR(__xludf.DUMMYFUNCTION("""COMPUTED_VALUE"""),"Parag Kashyap2025-09-0321")</f>
        <v>Parag Kashyap2025-09-0321</v>
      </c>
      <c r="K1606" s="115">
        <f>IFERROR(__xludf.DUMMYFUNCTION("""COMPUTED_VALUE"""),39750.0)</f>
        <v>39750</v>
      </c>
    </row>
    <row r="1607">
      <c r="A1607" s="115" t="str">
        <f>IFERROR(__xludf.DUMMYFUNCTION("""COMPUTED_VALUE"""),"NORTH")</f>
        <v>NORTH</v>
      </c>
      <c r="B1607" s="115" t="str">
        <f>IFERROR(__xludf.DUMMYFUNCTION("""COMPUTED_VALUE"""),"Amit Kumar Pathak")</f>
        <v>Amit Kumar Pathak</v>
      </c>
      <c r="C1607" s="115" t="str">
        <f>IFERROR(__xludf.DUMMYFUNCTION("""COMPUTED_VALUE"""),"EXTERNAL")</f>
        <v>EXTERNAL</v>
      </c>
      <c r="D1607" s="115">
        <f>IFERROR(__xludf.DUMMYFUNCTION("""COMPUTED_VALUE"""),24130.0)</f>
        <v>24130</v>
      </c>
      <c r="E1607" s="115">
        <f>IFERROR(__xludf.DUMMYFUNCTION("""COMPUTED_VALUE"""),3345.0)</f>
        <v>3345</v>
      </c>
      <c r="F1607" s="115">
        <f>IFERROR(__xludf.DUMMYFUNCTION("""COMPUTED_VALUE"""),9099.0)</f>
        <v>9099</v>
      </c>
      <c r="G1607" s="115">
        <f>IFERROR(__xludf.DUMMYFUNCTION("""COMPUTED_VALUE"""),1148.0)</f>
        <v>1148</v>
      </c>
      <c r="H1607" s="116">
        <f>IFERROR(__xludf.DUMMYFUNCTION("""COMPUTED_VALUE"""),45903.0)</f>
        <v>45903</v>
      </c>
      <c r="I1607" s="115" t="str">
        <f>IFERROR(__xludf.DUMMYFUNCTION("""COMPUTED_VALUE"""),"21")</f>
        <v>21</v>
      </c>
      <c r="J1607" s="115" t="str">
        <f>IFERROR(__xludf.DUMMYFUNCTION("""COMPUTED_VALUE"""),"Amit Kumar Pathak2025-09-0321")</f>
        <v>Amit Kumar Pathak2025-09-0321</v>
      </c>
      <c r="K1607" s="115">
        <f>IFERROR(__xludf.DUMMYFUNCTION("""COMPUTED_VALUE"""),27475.0)</f>
        <v>27475</v>
      </c>
    </row>
    <row r="1608">
      <c r="A1608" s="115" t="str">
        <f>IFERROR(__xludf.DUMMYFUNCTION("""COMPUTED_VALUE"""),"NORTH")</f>
        <v>NORTH</v>
      </c>
      <c r="B1608" s="115" t="str">
        <f>IFERROR(__xludf.DUMMYFUNCTION("""COMPUTED_VALUE"""),"Amit Kumar Pathak")</f>
        <v>Amit Kumar Pathak</v>
      </c>
      <c r="C1608" s="115" t="str">
        <f>IFERROR(__xludf.DUMMYFUNCTION("""COMPUTED_VALUE"""),"FLIPKART")</f>
        <v>FLIPKART</v>
      </c>
      <c r="D1608" s="115">
        <f>IFERROR(__xludf.DUMMYFUNCTION("""COMPUTED_VALUE"""),194480.0)</f>
        <v>194480</v>
      </c>
      <c r="E1608" s="115">
        <f>IFERROR(__xludf.DUMMYFUNCTION("""COMPUTED_VALUE"""),23564.0)</f>
        <v>23564</v>
      </c>
      <c r="F1608" s="115">
        <f>IFERROR(__xludf.DUMMYFUNCTION("""COMPUTED_VALUE"""),135393.0)</f>
        <v>135393</v>
      </c>
      <c r="G1608" s="115">
        <f>IFERROR(__xludf.DUMMYFUNCTION("""COMPUTED_VALUE"""),14144.0)</f>
        <v>14144</v>
      </c>
      <c r="H1608" s="116">
        <f>IFERROR(__xludf.DUMMYFUNCTION("""COMPUTED_VALUE"""),45903.0)</f>
        <v>45903</v>
      </c>
      <c r="I1608" s="115" t="str">
        <f>IFERROR(__xludf.DUMMYFUNCTION("""COMPUTED_VALUE"""),"21")</f>
        <v>21</v>
      </c>
      <c r="J1608" s="115" t="str">
        <f>IFERROR(__xludf.DUMMYFUNCTION("""COMPUTED_VALUE"""),"Amit Kumar Pathak2025-09-0321")</f>
        <v>Amit Kumar Pathak2025-09-0321</v>
      </c>
      <c r="K1608" s="115">
        <f>IFERROR(__xludf.DUMMYFUNCTION("""COMPUTED_VALUE"""),218044.0)</f>
        <v>218044</v>
      </c>
    </row>
    <row r="1609">
      <c r="A1609" s="115" t="str">
        <f>IFERROR(__xludf.DUMMYFUNCTION("""COMPUTED_VALUE"""),"NORTH")</f>
        <v>NORTH</v>
      </c>
      <c r="B1609" s="115" t="str">
        <f>IFERROR(__xludf.DUMMYFUNCTION("""COMPUTED_VALUE"""),"Amit Kumar Pathak")</f>
        <v>Amit Kumar Pathak</v>
      </c>
      <c r="C1609" s="115" t="str">
        <f>IFERROR(__xludf.DUMMYFUNCTION("""COMPUTED_VALUE"""),"MYNTRA")</f>
        <v>MYNTRA</v>
      </c>
      <c r="D1609" s="115">
        <f>IFERROR(__xludf.DUMMYFUNCTION("""COMPUTED_VALUE"""),18312.0)</f>
        <v>18312</v>
      </c>
      <c r="E1609" s="115">
        <f>IFERROR(__xludf.DUMMYFUNCTION("""COMPUTED_VALUE"""),5841.0)</f>
        <v>5841</v>
      </c>
      <c r="F1609" s="115">
        <f>IFERROR(__xludf.DUMMYFUNCTION("""COMPUTED_VALUE"""),14976.0)</f>
        <v>14976</v>
      </c>
      <c r="G1609" s="115">
        <f>IFERROR(__xludf.DUMMYFUNCTION("""COMPUTED_VALUE"""),3849.0)</f>
        <v>3849</v>
      </c>
      <c r="H1609" s="116">
        <f>IFERROR(__xludf.DUMMYFUNCTION("""COMPUTED_VALUE"""),45903.0)</f>
        <v>45903</v>
      </c>
      <c r="I1609" s="115" t="str">
        <f>IFERROR(__xludf.DUMMYFUNCTION("""COMPUTED_VALUE"""),"21")</f>
        <v>21</v>
      </c>
      <c r="J1609" s="115" t="str">
        <f>IFERROR(__xludf.DUMMYFUNCTION("""COMPUTED_VALUE"""),"Amit Kumar Pathak2025-09-0321")</f>
        <v>Amit Kumar Pathak2025-09-0321</v>
      </c>
      <c r="K1609" s="115">
        <f>IFERROR(__xludf.DUMMYFUNCTION("""COMPUTED_VALUE"""),24153.0)</f>
        <v>24153</v>
      </c>
    </row>
    <row r="1610">
      <c r="A1610" s="115" t="str">
        <f>IFERROR(__xludf.DUMMYFUNCTION("""COMPUTED_VALUE"""),"NORTH")</f>
        <v>NORTH</v>
      </c>
      <c r="B1610" s="115" t="str">
        <f>IFERROR(__xludf.DUMMYFUNCTION("""COMPUTED_VALUE"""),"Loveleen Singh")</f>
        <v>Loveleen Singh</v>
      </c>
      <c r="C1610" s="115" t="str">
        <f>IFERROR(__xludf.DUMMYFUNCTION("""COMPUTED_VALUE"""),"EXTERNAL")</f>
        <v>EXTERNAL</v>
      </c>
      <c r="D1610" s="115">
        <f>IFERROR(__xludf.DUMMYFUNCTION("""COMPUTED_VALUE"""),26384.0)</f>
        <v>26384</v>
      </c>
      <c r="E1610" s="115">
        <f>IFERROR(__xludf.DUMMYFUNCTION("""COMPUTED_VALUE"""),2703.0)</f>
        <v>2703</v>
      </c>
      <c r="F1610" s="115">
        <f>IFERROR(__xludf.DUMMYFUNCTION("""COMPUTED_VALUE"""),10143.0)</f>
        <v>10143</v>
      </c>
      <c r="G1610" s="115">
        <f>IFERROR(__xludf.DUMMYFUNCTION("""COMPUTED_VALUE"""),846.0)</f>
        <v>846</v>
      </c>
      <c r="H1610" s="116">
        <f>IFERROR(__xludf.DUMMYFUNCTION("""COMPUTED_VALUE"""),45903.0)</f>
        <v>45903</v>
      </c>
      <c r="I1610" s="115" t="str">
        <f>IFERROR(__xludf.DUMMYFUNCTION("""COMPUTED_VALUE"""),"21")</f>
        <v>21</v>
      </c>
      <c r="J1610" s="115" t="str">
        <f>IFERROR(__xludf.DUMMYFUNCTION("""COMPUTED_VALUE"""),"Loveleen Singh2025-09-0321")</f>
        <v>Loveleen Singh2025-09-0321</v>
      </c>
      <c r="K1610" s="115">
        <f>IFERROR(__xludf.DUMMYFUNCTION("""COMPUTED_VALUE"""),29087.0)</f>
        <v>29087</v>
      </c>
    </row>
    <row r="1611">
      <c r="A1611" s="115" t="str">
        <f>IFERROR(__xludf.DUMMYFUNCTION("""COMPUTED_VALUE"""),"NORTH")</f>
        <v>NORTH</v>
      </c>
      <c r="B1611" s="115" t="str">
        <f>IFERROR(__xludf.DUMMYFUNCTION("""COMPUTED_VALUE"""),"Loveleen Singh")</f>
        <v>Loveleen Singh</v>
      </c>
      <c r="C1611" s="115" t="str">
        <f>IFERROR(__xludf.DUMMYFUNCTION("""COMPUTED_VALUE"""),"FLIPKART")</f>
        <v>FLIPKART</v>
      </c>
      <c r="D1611" s="115">
        <f>IFERROR(__xludf.DUMMYFUNCTION("""COMPUTED_VALUE"""),140084.0)</f>
        <v>140084</v>
      </c>
      <c r="E1611" s="115">
        <f>IFERROR(__xludf.DUMMYFUNCTION("""COMPUTED_VALUE"""),13722.0)</f>
        <v>13722</v>
      </c>
      <c r="F1611" s="115">
        <f>IFERROR(__xludf.DUMMYFUNCTION("""COMPUTED_VALUE"""),103062.0)</f>
        <v>103062</v>
      </c>
      <c r="G1611" s="115">
        <f>IFERROR(__xludf.DUMMYFUNCTION("""COMPUTED_VALUE"""),8932.0)</f>
        <v>8932</v>
      </c>
      <c r="H1611" s="116">
        <f>IFERROR(__xludf.DUMMYFUNCTION("""COMPUTED_VALUE"""),45903.0)</f>
        <v>45903</v>
      </c>
      <c r="I1611" s="115" t="str">
        <f>IFERROR(__xludf.DUMMYFUNCTION("""COMPUTED_VALUE"""),"21")</f>
        <v>21</v>
      </c>
      <c r="J1611" s="115" t="str">
        <f>IFERROR(__xludf.DUMMYFUNCTION("""COMPUTED_VALUE"""),"Loveleen Singh2025-09-0321")</f>
        <v>Loveleen Singh2025-09-0321</v>
      </c>
      <c r="K1611" s="115">
        <f>IFERROR(__xludf.DUMMYFUNCTION("""COMPUTED_VALUE"""),153806.0)</f>
        <v>153806</v>
      </c>
    </row>
    <row r="1612">
      <c r="A1612" s="115" t="str">
        <f>IFERROR(__xludf.DUMMYFUNCTION("""COMPUTED_VALUE"""),"NORTH")</f>
        <v>NORTH</v>
      </c>
      <c r="B1612" s="115" t="str">
        <f>IFERROR(__xludf.DUMMYFUNCTION("""COMPUTED_VALUE"""),"Loveleen Singh")</f>
        <v>Loveleen Singh</v>
      </c>
      <c r="C1612" s="115" t="str">
        <f>IFERROR(__xludf.DUMMYFUNCTION("""COMPUTED_VALUE"""),"MYNTRA")</f>
        <v>MYNTRA</v>
      </c>
      <c r="D1612" s="115">
        <f>IFERROR(__xludf.DUMMYFUNCTION("""COMPUTED_VALUE"""),21868.0)</f>
        <v>21868</v>
      </c>
      <c r="E1612" s="115">
        <f>IFERROR(__xludf.DUMMYFUNCTION("""COMPUTED_VALUE"""),5443.0)</f>
        <v>5443</v>
      </c>
      <c r="F1612" s="115">
        <f>IFERROR(__xludf.DUMMYFUNCTION("""COMPUTED_VALUE"""),17764.0)</f>
        <v>17764</v>
      </c>
      <c r="G1612" s="115">
        <f>IFERROR(__xludf.DUMMYFUNCTION("""COMPUTED_VALUE"""),3839.0)</f>
        <v>3839</v>
      </c>
      <c r="H1612" s="116">
        <f>IFERROR(__xludf.DUMMYFUNCTION("""COMPUTED_VALUE"""),45903.0)</f>
        <v>45903</v>
      </c>
      <c r="I1612" s="115" t="str">
        <f>IFERROR(__xludf.DUMMYFUNCTION("""COMPUTED_VALUE"""),"21")</f>
        <v>21</v>
      </c>
      <c r="J1612" s="115" t="str">
        <f>IFERROR(__xludf.DUMMYFUNCTION("""COMPUTED_VALUE"""),"Loveleen Singh2025-09-0321")</f>
        <v>Loveleen Singh2025-09-0321</v>
      </c>
      <c r="K1612" s="115">
        <f>IFERROR(__xludf.DUMMYFUNCTION("""COMPUTED_VALUE"""),27311.0)</f>
        <v>27311</v>
      </c>
    </row>
    <row r="1613">
      <c r="A1613" s="115" t="str">
        <f>IFERROR(__xludf.DUMMYFUNCTION("""COMPUTED_VALUE"""),"NORTH")</f>
        <v>NORTH</v>
      </c>
      <c r="B1613" s="115" t="str">
        <f>IFERROR(__xludf.DUMMYFUNCTION("""COMPUTED_VALUE"""),"Manoj Harsh")</f>
        <v>Manoj Harsh</v>
      </c>
      <c r="C1613" s="115" t="str">
        <f>IFERROR(__xludf.DUMMYFUNCTION("""COMPUTED_VALUE"""),"EXTERNAL")</f>
        <v>EXTERNAL</v>
      </c>
      <c r="D1613" s="115">
        <f>IFERROR(__xludf.DUMMYFUNCTION("""COMPUTED_VALUE"""),32757.0)</f>
        <v>32757</v>
      </c>
      <c r="E1613" s="115">
        <f>IFERROR(__xludf.DUMMYFUNCTION("""COMPUTED_VALUE"""),4726.0)</f>
        <v>4726</v>
      </c>
      <c r="F1613" s="115">
        <f>IFERROR(__xludf.DUMMYFUNCTION("""COMPUTED_VALUE"""),13473.0)</f>
        <v>13473</v>
      </c>
      <c r="G1613" s="115">
        <f>IFERROR(__xludf.DUMMYFUNCTION("""COMPUTED_VALUE"""),1593.0)</f>
        <v>1593</v>
      </c>
      <c r="H1613" s="116">
        <f>IFERROR(__xludf.DUMMYFUNCTION("""COMPUTED_VALUE"""),45903.0)</f>
        <v>45903</v>
      </c>
      <c r="I1613" s="115" t="str">
        <f>IFERROR(__xludf.DUMMYFUNCTION("""COMPUTED_VALUE"""),"21")</f>
        <v>21</v>
      </c>
      <c r="J1613" s="115" t="str">
        <f>IFERROR(__xludf.DUMMYFUNCTION("""COMPUTED_VALUE"""),"Manoj Harsh2025-09-0321")</f>
        <v>Manoj Harsh2025-09-0321</v>
      </c>
      <c r="K1613" s="115">
        <f>IFERROR(__xludf.DUMMYFUNCTION("""COMPUTED_VALUE"""),37483.0)</f>
        <v>37483</v>
      </c>
    </row>
    <row r="1614">
      <c r="A1614" s="115" t="str">
        <f>IFERROR(__xludf.DUMMYFUNCTION("""COMPUTED_VALUE"""),"NORTH")</f>
        <v>NORTH</v>
      </c>
      <c r="B1614" s="115" t="str">
        <f>IFERROR(__xludf.DUMMYFUNCTION("""COMPUTED_VALUE"""),"Manoj Harsh")</f>
        <v>Manoj Harsh</v>
      </c>
      <c r="C1614" s="115" t="str">
        <f>IFERROR(__xludf.DUMMYFUNCTION("""COMPUTED_VALUE"""),"FLIPKART")</f>
        <v>FLIPKART</v>
      </c>
      <c r="D1614" s="115">
        <f>IFERROR(__xludf.DUMMYFUNCTION("""COMPUTED_VALUE"""),391225.0)</f>
        <v>391225</v>
      </c>
      <c r="E1614" s="115">
        <f>IFERROR(__xludf.DUMMYFUNCTION("""COMPUTED_VALUE"""),41745.0)</f>
        <v>41745</v>
      </c>
      <c r="F1614" s="115">
        <f>IFERROR(__xludf.DUMMYFUNCTION("""COMPUTED_VALUE"""),289419.0)</f>
        <v>289419</v>
      </c>
      <c r="G1614" s="115">
        <f>IFERROR(__xludf.DUMMYFUNCTION("""COMPUTED_VALUE"""),28469.0)</f>
        <v>28469</v>
      </c>
      <c r="H1614" s="116">
        <f>IFERROR(__xludf.DUMMYFUNCTION("""COMPUTED_VALUE"""),45903.0)</f>
        <v>45903</v>
      </c>
      <c r="I1614" s="115" t="str">
        <f>IFERROR(__xludf.DUMMYFUNCTION("""COMPUTED_VALUE"""),"21")</f>
        <v>21</v>
      </c>
      <c r="J1614" s="115" t="str">
        <f>IFERROR(__xludf.DUMMYFUNCTION("""COMPUTED_VALUE"""),"Manoj Harsh2025-09-0321")</f>
        <v>Manoj Harsh2025-09-0321</v>
      </c>
      <c r="K1614" s="115">
        <f>IFERROR(__xludf.DUMMYFUNCTION("""COMPUTED_VALUE"""),432970.0)</f>
        <v>432970</v>
      </c>
    </row>
    <row r="1615">
      <c r="A1615" s="115" t="str">
        <f>IFERROR(__xludf.DUMMYFUNCTION("""COMPUTED_VALUE"""),"NORTH")</f>
        <v>NORTH</v>
      </c>
      <c r="B1615" s="115" t="str">
        <f>IFERROR(__xludf.DUMMYFUNCTION("""COMPUTED_VALUE"""),"Manoj Harsh")</f>
        <v>Manoj Harsh</v>
      </c>
      <c r="C1615" s="115" t="str">
        <f>IFERROR(__xludf.DUMMYFUNCTION("""COMPUTED_VALUE"""),"MYNTRA")</f>
        <v>MYNTRA</v>
      </c>
      <c r="D1615" s="115">
        <f>IFERROR(__xludf.DUMMYFUNCTION("""COMPUTED_VALUE"""),34534.0)</f>
        <v>34534</v>
      </c>
      <c r="E1615" s="115">
        <f>IFERROR(__xludf.DUMMYFUNCTION("""COMPUTED_VALUE"""),8214.0)</f>
        <v>8214</v>
      </c>
      <c r="F1615" s="115">
        <f>IFERROR(__xludf.DUMMYFUNCTION("""COMPUTED_VALUE"""),27590.0)</f>
        <v>27590</v>
      </c>
      <c r="G1615" s="115">
        <f>IFERROR(__xludf.DUMMYFUNCTION("""COMPUTED_VALUE"""),5852.0)</f>
        <v>5852</v>
      </c>
      <c r="H1615" s="116">
        <f>IFERROR(__xludf.DUMMYFUNCTION("""COMPUTED_VALUE"""),45903.0)</f>
        <v>45903</v>
      </c>
      <c r="I1615" s="115" t="str">
        <f>IFERROR(__xludf.DUMMYFUNCTION("""COMPUTED_VALUE"""),"21")</f>
        <v>21</v>
      </c>
      <c r="J1615" s="115" t="str">
        <f>IFERROR(__xludf.DUMMYFUNCTION("""COMPUTED_VALUE"""),"Manoj Harsh2025-09-0321")</f>
        <v>Manoj Harsh2025-09-0321</v>
      </c>
      <c r="K1615" s="115">
        <f>IFERROR(__xludf.DUMMYFUNCTION("""COMPUTED_VALUE"""),42748.0)</f>
        <v>42748</v>
      </c>
    </row>
    <row r="1616">
      <c r="A1616" s="115" t="str">
        <f>IFERROR(__xludf.DUMMYFUNCTION("""COMPUTED_VALUE"""),"NORTH")</f>
        <v>NORTH</v>
      </c>
      <c r="B1616" s="115" t="str">
        <f>IFERROR(__xludf.DUMMYFUNCTION("""COMPUTED_VALUE"""),"Pradeep Kothari")</f>
        <v>Pradeep Kothari</v>
      </c>
      <c r="C1616" s="115" t="str">
        <f>IFERROR(__xludf.DUMMYFUNCTION("""COMPUTED_VALUE"""),"EXTERNAL")</f>
        <v>EXTERNAL</v>
      </c>
      <c r="D1616" s="115">
        <f>IFERROR(__xludf.DUMMYFUNCTION("""COMPUTED_VALUE"""),17292.0)</f>
        <v>17292</v>
      </c>
      <c r="E1616" s="115">
        <f>IFERROR(__xludf.DUMMYFUNCTION("""COMPUTED_VALUE"""),2735.0)</f>
        <v>2735</v>
      </c>
      <c r="F1616" s="115">
        <f>IFERROR(__xludf.DUMMYFUNCTION("""COMPUTED_VALUE"""),6888.0)</f>
        <v>6888</v>
      </c>
      <c r="G1616" s="115">
        <f>IFERROR(__xludf.DUMMYFUNCTION("""COMPUTED_VALUE"""),1036.0)</f>
        <v>1036</v>
      </c>
      <c r="H1616" s="116">
        <f>IFERROR(__xludf.DUMMYFUNCTION("""COMPUTED_VALUE"""),45903.0)</f>
        <v>45903</v>
      </c>
      <c r="I1616" s="115" t="str">
        <f>IFERROR(__xludf.DUMMYFUNCTION("""COMPUTED_VALUE"""),"21")</f>
        <v>21</v>
      </c>
      <c r="J1616" s="115" t="str">
        <f>IFERROR(__xludf.DUMMYFUNCTION("""COMPUTED_VALUE"""),"Pradeep Kothari2025-09-0321")</f>
        <v>Pradeep Kothari2025-09-0321</v>
      </c>
      <c r="K1616" s="115">
        <f>IFERROR(__xludf.DUMMYFUNCTION("""COMPUTED_VALUE"""),20027.0)</f>
        <v>20027</v>
      </c>
    </row>
    <row r="1617">
      <c r="A1617" s="115" t="str">
        <f>IFERROR(__xludf.DUMMYFUNCTION("""COMPUTED_VALUE"""),"NORTH")</f>
        <v>NORTH</v>
      </c>
      <c r="B1617" s="115" t="str">
        <f>IFERROR(__xludf.DUMMYFUNCTION("""COMPUTED_VALUE"""),"Pradeep Kothari")</f>
        <v>Pradeep Kothari</v>
      </c>
      <c r="C1617" s="115" t="str">
        <f>IFERROR(__xludf.DUMMYFUNCTION("""COMPUTED_VALUE"""),"FLIPKART")</f>
        <v>FLIPKART</v>
      </c>
      <c r="D1617" s="115">
        <f>IFERROR(__xludf.DUMMYFUNCTION("""COMPUTED_VALUE"""),138219.0)</f>
        <v>138219</v>
      </c>
      <c r="E1617" s="115">
        <f>IFERROR(__xludf.DUMMYFUNCTION("""COMPUTED_VALUE"""),16251.0)</f>
        <v>16251</v>
      </c>
      <c r="F1617" s="115">
        <f>IFERROR(__xludf.DUMMYFUNCTION("""COMPUTED_VALUE"""),103540.0)</f>
        <v>103540</v>
      </c>
      <c r="G1617" s="115">
        <f>IFERROR(__xludf.DUMMYFUNCTION("""COMPUTED_VALUE"""),10724.0)</f>
        <v>10724</v>
      </c>
      <c r="H1617" s="116">
        <f>IFERROR(__xludf.DUMMYFUNCTION("""COMPUTED_VALUE"""),45903.0)</f>
        <v>45903</v>
      </c>
      <c r="I1617" s="115" t="str">
        <f>IFERROR(__xludf.DUMMYFUNCTION("""COMPUTED_VALUE"""),"21")</f>
        <v>21</v>
      </c>
      <c r="J1617" s="115" t="str">
        <f>IFERROR(__xludf.DUMMYFUNCTION("""COMPUTED_VALUE"""),"Pradeep Kothari2025-09-0321")</f>
        <v>Pradeep Kothari2025-09-0321</v>
      </c>
      <c r="K1617" s="115">
        <f>IFERROR(__xludf.DUMMYFUNCTION("""COMPUTED_VALUE"""),154470.0)</f>
        <v>154470</v>
      </c>
    </row>
    <row r="1618">
      <c r="A1618" s="115" t="str">
        <f>IFERROR(__xludf.DUMMYFUNCTION("""COMPUTED_VALUE"""),"NORTH")</f>
        <v>NORTH</v>
      </c>
      <c r="B1618" s="115" t="str">
        <f>IFERROR(__xludf.DUMMYFUNCTION("""COMPUTED_VALUE"""),"Pradeep Kothari")</f>
        <v>Pradeep Kothari</v>
      </c>
      <c r="C1618" s="115" t="str">
        <f>IFERROR(__xludf.DUMMYFUNCTION("""COMPUTED_VALUE"""),"MYNTRA")</f>
        <v>MYNTRA</v>
      </c>
      <c r="D1618" s="115">
        <f>IFERROR(__xludf.DUMMYFUNCTION("""COMPUTED_VALUE"""),22248.0)</f>
        <v>22248</v>
      </c>
      <c r="E1618" s="115">
        <f>IFERROR(__xludf.DUMMYFUNCTION("""COMPUTED_VALUE"""),6190.0)</f>
        <v>6190</v>
      </c>
      <c r="F1618" s="115">
        <f>IFERROR(__xludf.DUMMYFUNCTION("""COMPUTED_VALUE"""),18420.0)</f>
        <v>18420</v>
      </c>
      <c r="G1618" s="115">
        <f>IFERROR(__xludf.DUMMYFUNCTION("""COMPUTED_VALUE"""),4520.0)</f>
        <v>4520</v>
      </c>
      <c r="H1618" s="116">
        <f>IFERROR(__xludf.DUMMYFUNCTION("""COMPUTED_VALUE"""),45903.0)</f>
        <v>45903</v>
      </c>
      <c r="I1618" s="115" t="str">
        <f>IFERROR(__xludf.DUMMYFUNCTION("""COMPUTED_VALUE"""),"21")</f>
        <v>21</v>
      </c>
      <c r="J1618" s="115" t="str">
        <f>IFERROR(__xludf.DUMMYFUNCTION("""COMPUTED_VALUE"""),"Pradeep Kothari2025-09-0321")</f>
        <v>Pradeep Kothari2025-09-0321</v>
      </c>
      <c r="K1618" s="115">
        <f>IFERROR(__xludf.DUMMYFUNCTION("""COMPUTED_VALUE"""),28438.0)</f>
        <v>28438</v>
      </c>
    </row>
    <row r="1619">
      <c r="A1619" s="115" t="str">
        <f>IFERROR(__xludf.DUMMYFUNCTION("""COMPUTED_VALUE"""),"SOUTH")</f>
        <v>SOUTH</v>
      </c>
      <c r="B1619" s="115" t="str">
        <f>IFERROR(__xludf.DUMMYFUNCTION("""COMPUTED_VALUE"""),"Kandula Sampath")</f>
        <v>Kandula Sampath</v>
      </c>
      <c r="C1619" s="115" t="str">
        <f>IFERROR(__xludf.DUMMYFUNCTION("""COMPUTED_VALUE"""),"EXTERNAL")</f>
        <v>EXTERNAL</v>
      </c>
      <c r="D1619" s="115">
        <f>IFERROR(__xludf.DUMMYFUNCTION("""COMPUTED_VALUE"""),36074.0)</f>
        <v>36074</v>
      </c>
      <c r="E1619" s="115">
        <f>IFERROR(__xludf.DUMMYFUNCTION("""COMPUTED_VALUE"""),5826.0)</f>
        <v>5826</v>
      </c>
      <c r="F1619" s="115">
        <f>IFERROR(__xludf.DUMMYFUNCTION("""COMPUTED_VALUE"""),15426.0)</f>
        <v>15426</v>
      </c>
      <c r="G1619" s="115">
        <f>IFERROR(__xludf.DUMMYFUNCTION("""COMPUTED_VALUE"""),1748.0)</f>
        <v>1748</v>
      </c>
      <c r="H1619" s="116">
        <f>IFERROR(__xludf.DUMMYFUNCTION("""COMPUTED_VALUE"""),45903.0)</f>
        <v>45903</v>
      </c>
      <c r="I1619" s="115" t="str">
        <f>IFERROR(__xludf.DUMMYFUNCTION("""COMPUTED_VALUE"""),"21")</f>
        <v>21</v>
      </c>
      <c r="J1619" s="115" t="str">
        <f>IFERROR(__xludf.DUMMYFUNCTION("""COMPUTED_VALUE"""),"Kandula Sampath2025-09-0321")</f>
        <v>Kandula Sampath2025-09-0321</v>
      </c>
      <c r="K1619" s="115">
        <f>IFERROR(__xludf.DUMMYFUNCTION("""COMPUTED_VALUE"""),41900.0)</f>
        <v>41900</v>
      </c>
    </row>
    <row r="1620">
      <c r="A1620" s="115" t="str">
        <f>IFERROR(__xludf.DUMMYFUNCTION("""COMPUTED_VALUE"""),"SOUTH")</f>
        <v>SOUTH</v>
      </c>
      <c r="B1620" s="115" t="str">
        <f>IFERROR(__xludf.DUMMYFUNCTION("""COMPUTED_VALUE"""),"Kandula Sampath")</f>
        <v>Kandula Sampath</v>
      </c>
      <c r="C1620" s="115" t="str">
        <f>IFERROR(__xludf.DUMMYFUNCTION("""COMPUTED_VALUE"""),"FLIPKART")</f>
        <v>FLIPKART</v>
      </c>
      <c r="D1620" s="115">
        <f>IFERROR(__xludf.DUMMYFUNCTION("""COMPUTED_VALUE"""),307086.0)</f>
        <v>307086</v>
      </c>
      <c r="E1620" s="115">
        <f>IFERROR(__xludf.DUMMYFUNCTION("""COMPUTED_VALUE"""),33511.0)</f>
        <v>33511</v>
      </c>
      <c r="F1620" s="115">
        <f>IFERROR(__xludf.DUMMYFUNCTION("""COMPUTED_VALUE"""),228218.0)</f>
        <v>228218</v>
      </c>
      <c r="G1620" s="115">
        <f>IFERROR(__xludf.DUMMYFUNCTION("""COMPUTED_VALUE"""),21310.0)</f>
        <v>21310</v>
      </c>
      <c r="H1620" s="116">
        <f>IFERROR(__xludf.DUMMYFUNCTION("""COMPUTED_VALUE"""),45903.0)</f>
        <v>45903</v>
      </c>
      <c r="I1620" s="115" t="str">
        <f>IFERROR(__xludf.DUMMYFUNCTION("""COMPUTED_VALUE"""),"21")</f>
        <v>21</v>
      </c>
      <c r="J1620" s="115" t="str">
        <f>IFERROR(__xludf.DUMMYFUNCTION("""COMPUTED_VALUE"""),"Kandula Sampath2025-09-0321")</f>
        <v>Kandula Sampath2025-09-0321</v>
      </c>
      <c r="K1620" s="115">
        <f>IFERROR(__xludf.DUMMYFUNCTION("""COMPUTED_VALUE"""),340597.0)</f>
        <v>340597</v>
      </c>
    </row>
    <row r="1621">
      <c r="A1621" s="115" t="str">
        <f>IFERROR(__xludf.DUMMYFUNCTION("""COMPUTED_VALUE"""),"SOUTH")</f>
        <v>SOUTH</v>
      </c>
      <c r="B1621" s="115" t="str">
        <f>IFERROR(__xludf.DUMMYFUNCTION("""COMPUTED_VALUE"""),"Kandula Sampath")</f>
        <v>Kandula Sampath</v>
      </c>
      <c r="C1621" s="115" t="str">
        <f>IFERROR(__xludf.DUMMYFUNCTION("""COMPUTED_VALUE"""),"MYNTRA")</f>
        <v>MYNTRA</v>
      </c>
      <c r="D1621" s="115">
        <f>IFERROR(__xludf.DUMMYFUNCTION("""COMPUTED_VALUE"""),29921.0)</f>
        <v>29921</v>
      </c>
      <c r="E1621" s="115">
        <f>IFERROR(__xludf.DUMMYFUNCTION("""COMPUTED_VALUE"""),8659.0)</f>
        <v>8659</v>
      </c>
      <c r="F1621" s="115">
        <f>IFERROR(__xludf.DUMMYFUNCTION("""COMPUTED_VALUE"""),24205.0)</f>
        <v>24205</v>
      </c>
      <c r="G1621" s="115">
        <f>IFERROR(__xludf.DUMMYFUNCTION("""COMPUTED_VALUE"""),5756.0)</f>
        <v>5756</v>
      </c>
      <c r="H1621" s="116">
        <f>IFERROR(__xludf.DUMMYFUNCTION("""COMPUTED_VALUE"""),45903.0)</f>
        <v>45903</v>
      </c>
      <c r="I1621" s="115" t="str">
        <f>IFERROR(__xludf.DUMMYFUNCTION("""COMPUTED_VALUE"""),"21")</f>
        <v>21</v>
      </c>
      <c r="J1621" s="115" t="str">
        <f>IFERROR(__xludf.DUMMYFUNCTION("""COMPUTED_VALUE"""),"Kandula Sampath2025-09-0321")</f>
        <v>Kandula Sampath2025-09-0321</v>
      </c>
      <c r="K1621" s="115">
        <f>IFERROR(__xludf.DUMMYFUNCTION("""COMPUTED_VALUE"""),38580.0)</f>
        <v>38580</v>
      </c>
    </row>
    <row r="1622">
      <c r="A1622" s="115" t="str">
        <f>IFERROR(__xludf.DUMMYFUNCTION("""COMPUTED_VALUE"""),"SOUTH")</f>
        <v>SOUTH</v>
      </c>
      <c r="B1622" s="115" t="str">
        <f>IFERROR(__xludf.DUMMYFUNCTION("""COMPUTED_VALUE"""),"Martin A")</f>
        <v>Martin A</v>
      </c>
      <c r="C1622" s="115" t="str">
        <f>IFERROR(__xludf.DUMMYFUNCTION("""COMPUTED_VALUE"""),"EXTERNAL")</f>
        <v>EXTERNAL</v>
      </c>
      <c r="D1622" s="115">
        <f>IFERROR(__xludf.DUMMYFUNCTION("""COMPUTED_VALUE"""),36011.0)</f>
        <v>36011</v>
      </c>
      <c r="E1622" s="115">
        <f>IFERROR(__xludf.DUMMYFUNCTION("""COMPUTED_VALUE"""),3863.0)</f>
        <v>3863</v>
      </c>
      <c r="F1622" s="115">
        <f>IFERROR(__xludf.DUMMYFUNCTION("""COMPUTED_VALUE"""),15116.0)</f>
        <v>15116</v>
      </c>
      <c r="G1622" s="115">
        <f>IFERROR(__xludf.DUMMYFUNCTION("""COMPUTED_VALUE"""),1474.0)</f>
        <v>1474</v>
      </c>
      <c r="H1622" s="116">
        <f>IFERROR(__xludf.DUMMYFUNCTION("""COMPUTED_VALUE"""),45903.0)</f>
        <v>45903</v>
      </c>
      <c r="I1622" s="115" t="str">
        <f>IFERROR(__xludf.DUMMYFUNCTION("""COMPUTED_VALUE"""),"21")</f>
        <v>21</v>
      </c>
      <c r="J1622" s="115" t="str">
        <f>IFERROR(__xludf.DUMMYFUNCTION("""COMPUTED_VALUE"""),"Martin A2025-09-0321")</f>
        <v>Martin A2025-09-0321</v>
      </c>
      <c r="K1622" s="115">
        <f>IFERROR(__xludf.DUMMYFUNCTION("""COMPUTED_VALUE"""),39874.0)</f>
        <v>39874</v>
      </c>
    </row>
    <row r="1623">
      <c r="A1623" s="115" t="str">
        <f>IFERROR(__xludf.DUMMYFUNCTION("""COMPUTED_VALUE"""),"SOUTH")</f>
        <v>SOUTH</v>
      </c>
      <c r="B1623" s="115" t="str">
        <f>IFERROR(__xludf.DUMMYFUNCTION("""COMPUTED_VALUE"""),"Martin A")</f>
        <v>Martin A</v>
      </c>
      <c r="C1623" s="115" t="str">
        <f>IFERROR(__xludf.DUMMYFUNCTION("""COMPUTED_VALUE"""),"FLIPKART")</f>
        <v>FLIPKART</v>
      </c>
      <c r="D1623" s="115">
        <f>IFERROR(__xludf.DUMMYFUNCTION("""COMPUTED_VALUE"""),283916.0)</f>
        <v>283916</v>
      </c>
      <c r="E1623" s="115">
        <f>IFERROR(__xludf.DUMMYFUNCTION("""COMPUTED_VALUE"""),28710.0)</f>
        <v>28710</v>
      </c>
      <c r="F1623" s="115">
        <f>IFERROR(__xludf.DUMMYFUNCTION("""COMPUTED_VALUE"""),207248.0)</f>
        <v>207248</v>
      </c>
      <c r="G1623" s="115">
        <f>IFERROR(__xludf.DUMMYFUNCTION("""COMPUTED_VALUE"""),18434.0)</f>
        <v>18434</v>
      </c>
      <c r="H1623" s="116">
        <f>IFERROR(__xludf.DUMMYFUNCTION("""COMPUTED_VALUE"""),45903.0)</f>
        <v>45903</v>
      </c>
      <c r="I1623" s="115" t="str">
        <f>IFERROR(__xludf.DUMMYFUNCTION("""COMPUTED_VALUE"""),"21")</f>
        <v>21</v>
      </c>
      <c r="J1623" s="115" t="str">
        <f>IFERROR(__xludf.DUMMYFUNCTION("""COMPUTED_VALUE"""),"Martin A2025-09-0321")</f>
        <v>Martin A2025-09-0321</v>
      </c>
      <c r="K1623" s="115">
        <f>IFERROR(__xludf.DUMMYFUNCTION("""COMPUTED_VALUE"""),312626.0)</f>
        <v>312626</v>
      </c>
    </row>
    <row r="1624">
      <c r="A1624" s="115" t="str">
        <f>IFERROR(__xludf.DUMMYFUNCTION("""COMPUTED_VALUE"""),"SOUTH")</f>
        <v>SOUTH</v>
      </c>
      <c r="B1624" s="115" t="str">
        <f>IFERROR(__xludf.DUMMYFUNCTION("""COMPUTED_VALUE"""),"Martin A")</f>
        <v>Martin A</v>
      </c>
      <c r="C1624" s="115" t="str">
        <f>IFERROR(__xludf.DUMMYFUNCTION("""COMPUTED_VALUE"""),"MYNTRA")</f>
        <v>MYNTRA</v>
      </c>
      <c r="D1624" s="115">
        <f>IFERROR(__xludf.DUMMYFUNCTION("""COMPUTED_VALUE"""),24866.0)</f>
        <v>24866</v>
      </c>
      <c r="E1624" s="115">
        <f>IFERROR(__xludf.DUMMYFUNCTION("""COMPUTED_VALUE"""),7045.0)</f>
        <v>7045</v>
      </c>
      <c r="F1624" s="115">
        <f>IFERROR(__xludf.DUMMYFUNCTION("""COMPUTED_VALUE"""),20649.0)</f>
        <v>20649</v>
      </c>
      <c r="G1624" s="115">
        <f>IFERROR(__xludf.DUMMYFUNCTION("""COMPUTED_VALUE"""),4820.0)</f>
        <v>4820</v>
      </c>
      <c r="H1624" s="116">
        <f>IFERROR(__xludf.DUMMYFUNCTION("""COMPUTED_VALUE"""),45903.0)</f>
        <v>45903</v>
      </c>
      <c r="I1624" s="115" t="str">
        <f>IFERROR(__xludf.DUMMYFUNCTION("""COMPUTED_VALUE"""),"21")</f>
        <v>21</v>
      </c>
      <c r="J1624" s="115" t="str">
        <f>IFERROR(__xludf.DUMMYFUNCTION("""COMPUTED_VALUE"""),"Martin A2025-09-0321")</f>
        <v>Martin A2025-09-0321</v>
      </c>
      <c r="K1624" s="115">
        <f>IFERROR(__xludf.DUMMYFUNCTION("""COMPUTED_VALUE"""),31911.0)</f>
        <v>31911</v>
      </c>
    </row>
    <row r="1625">
      <c r="A1625" s="115" t="str">
        <f>IFERROR(__xludf.DUMMYFUNCTION("""COMPUTED_VALUE"""),"SOUTH")</f>
        <v>SOUTH</v>
      </c>
      <c r="B1625" s="115" t="str">
        <f>IFERROR(__xludf.DUMMYFUNCTION("""COMPUTED_VALUE"""),"Premkumar M")</f>
        <v>Premkumar M</v>
      </c>
      <c r="C1625" s="115" t="str">
        <f>IFERROR(__xludf.DUMMYFUNCTION("""COMPUTED_VALUE"""),"EXTERNAL")</f>
        <v>EXTERNAL</v>
      </c>
      <c r="D1625" s="115">
        <f>IFERROR(__xludf.DUMMYFUNCTION("""COMPUTED_VALUE"""),29678.0)</f>
        <v>29678</v>
      </c>
      <c r="E1625" s="115">
        <f>IFERROR(__xludf.DUMMYFUNCTION("""COMPUTED_VALUE"""),2868.0)</f>
        <v>2868</v>
      </c>
      <c r="F1625" s="115">
        <f>IFERROR(__xludf.DUMMYFUNCTION("""COMPUTED_VALUE"""),15351.0)</f>
        <v>15351</v>
      </c>
      <c r="G1625" s="115">
        <f>IFERROR(__xludf.DUMMYFUNCTION("""COMPUTED_VALUE"""),1040.0)</f>
        <v>1040</v>
      </c>
      <c r="H1625" s="116">
        <f>IFERROR(__xludf.DUMMYFUNCTION("""COMPUTED_VALUE"""),45903.0)</f>
        <v>45903</v>
      </c>
      <c r="I1625" s="115" t="str">
        <f>IFERROR(__xludf.DUMMYFUNCTION("""COMPUTED_VALUE"""),"21")</f>
        <v>21</v>
      </c>
      <c r="J1625" s="115" t="str">
        <f>IFERROR(__xludf.DUMMYFUNCTION("""COMPUTED_VALUE"""),"Premkumar M2025-09-0321")</f>
        <v>Premkumar M2025-09-0321</v>
      </c>
      <c r="K1625" s="115">
        <f>IFERROR(__xludf.DUMMYFUNCTION("""COMPUTED_VALUE"""),32546.0)</f>
        <v>32546</v>
      </c>
    </row>
    <row r="1626">
      <c r="A1626" s="115" t="str">
        <f>IFERROR(__xludf.DUMMYFUNCTION("""COMPUTED_VALUE"""),"SOUTH")</f>
        <v>SOUTH</v>
      </c>
      <c r="B1626" s="115" t="str">
        <f>IFERROR(__xludf.DUMMYFUNCTION("""COMPUTED_VALUE"""),"Premkumar M")</f>
        <v>Premkumar M</v>
      </c>
      <c r="C1626" s="115" t="str">
        <f>IFERROR(__xludf.DUMMYFUNCTION("""COMPUTED_VALUE"""),"FLIPKART")</f>
        <v>FLIPKART</v>
      </c>
      <c r="D1626" s="115">
        <f>IFERROR(__xludf.DUMMYFUNCTION("""COMPUTED_VALUE"""),262332.0)</f>
        <v>262332</v>
      </c>
      <c r="E1626" s="115">
        <f>IFERROR(__xludf.DUMMYFUNCTION("""COMPUTED_VALUE"""),20091.0)</f>
        <v>20091</v>
      </c>
      <c r="F1626" s="115">
        <f>IFERROR(__xludf.DUMMYFUNCTION("""COMPUTED_VALUE"""),203891.0)</f>
        <v>203891</v>
      </c>
      <c r="G1626" s="115">
        <f>IFERROR(__xludf.DUMMYFUNCTION("""COMPUTED_VALUE"""),10928.0)</f>
        <v>10928</v>
      </c>
      <c r="H1626" s="116">
        <f>IFERROR(__xludf.DUMMYFUNCTION("""COMPUTED_VALUE"""),45903.0)</f>
        <v>45903</v>
      </c>
      <c r="I1626" s="115" t="str">
        <f>IFERROR(__xludf.DUMMYFUNCTION("""COMPUTED_VALUE"""),"21")</f>
        <v>21</v>
      </c>
      <c r="J1626" s="115" t="str">
        <f>IFERROR(__xludf.DUMMYFUNCTION("""COMPUTED_VALUE"""),"Premkumar M2025-09-0321")</f>
        <v>Premkumar M2025-09-0321</v>
      </c>
      <c r="K1626" s="115">
        <f>IFERROR(__xludf.DUMMYFUNCTION("""COMPUTED_VALUE"""),282423.0)</f>
        <v>282423</v>
      </c>
    </row>
    <row r="1627">
      <c r="A1627" s="115" t="str">
        <f>IFERROR(__xludf.DUMMYFUNCTION("""COMPUTED_VALUE"""),"SOUTH")</f>
        <v>SOUTH</v>
      </c>
      <c r="B1627" s="115" t="str">
        <f>IFERROR(__xludf.DUMMYFUNCTION("""COMPUTED_VALUE"""),"Premkumar M")</f>
        <v>Premkumar M</v>
      </c>
      <c r="C1627" s="115" t="str">
        <f>IFERROR(__xludf.DUMMYFUNCTION("""COMPUTED_VALUE"""),"MYNTRA")</f>
        <v>MYNTRA</v>
      </c>
      <c r="D1627" s="115">
        <f>IFERROR(__xludf.DUMMYFUNCTION("""COMPUTED_VALUE"""),13975.0)</f>
        <v>13975</v>
      </c>
      <c r="E1627" s="115">
        <f>IFERROR(__xludf.DUMMYFUNCTION("""COMPUTED_VALUE"""),2986.0)</f>
        <v>2986</v>
      </c>
      <c r="F1627" s="115">
        <f>IFERROR(__xludf.DUMMYFUNCTION("""COMPUTED_VALUE"""),11968.0)</f>
        <v>11968</v>
      </c>
      <c r="G1627" s="115">
        <f>IFERROR(__xludf.DUMMYFUNCTION("""COMPUTED_VALUE"""),1725.0)</f>
        <v>1725</v>
      </c>
      <c r="H1627" s="116">
        <f>IFERROR(__xludf.DUMMYFUNCTION("""COMPUTED_VALUE"""),45903.0)</f>
        <v>45903</v>
      </c>
      <c r="I1627" s="115" t="str">
        <f>IFERROR(__xludf.DUMMYFUNCTION("""COMPUTED_VALUE"""),"21")</f>
        <v>21</v>
      </c>
      <c r="J1627" s="115" t="str">
        <f>IFERROR(__xludf.DUMMYFUNCTION("""COMPUTED_VALUE"""),"Premkumar M2025-09-0321")</f>
        <v>Premkumar M2025-09-0321</v>
      </c>
      <c r="K1627" s="115">
        <f>IFERROR(__xludf.DUMMYFUNCTION("""COMPUTED_VALUE"""),16961.0)</f>
        <v>16961</v>
      </c>
    </row>
    <row r="1628">
      <c r="A1628" s="115" t="str">
        <f>IFERROR(__xludf.DUMMYFUNCTION("""COMPUTED_VALUE"""),"SOUTH")</f>
        <v>SOUTH</v>
      </c>
      <c r="B1628" s="115" t="str">
        <f>IFERROR(__xludf.DUMMYFUNCTION("""COMPUTED_VALUE"""),"Vineeth V")</f>
        <v>Vineeth V</v>
      </c>
      <c r="C1628" s="115" t="str">
        <f>IFERROR(__xludf.DUMMYFUNCTION("""COMPUTED_VALUE"""),"EXTERNAL")</f>
        <v>EXTERNAL</v>
      </c>
      <c r="D1628" s="115">
        <f>IFERROR(__xludf.DUMMYFUNCTION("""COMPUTED_VALUE"""),22340.0)</f>
        <v>22340</v>
      </c>
      <c r="E1628" s="115">
        <f>IFERROR(__xludf.DUMMYFUNCTION("""COMPUTED_VALUE"""),940.0)</f>
        <v>940</v>
      </c>
      <c r="F1628" s="115">
        <f>IFERROR(__xludf.DUMMYFUNCTION("""COMPUTED_VALUE"""),12080.0)</f>
        <v>12080</v>
      </c>
      <c r="G1628" s="115">
        <f>IFERROR(__xludf.DUMMYFUNCTION("""COMPUTED_VALUE"""),526.0)</f>
        <v>526</v>
      </c>
      <c r="H1628" s="116">
        <f>IFERROR(__xludf.DUMMYFUNCTION("""COMPUTED_VALUE"""),45903.0)</f>
        <v>45903</v>
      </c>
      <c r="I1628" s="115" t="str">
        <f>IFERROR(__xludf.DUMMYFUNCTION("""COMPUTED_VALUE"""),"21")</f>
        <v>21</v>
      </c>
      <c r="J1628" s="115" t="str">
        <f>IFERROR(__xludf.DUMMYFUNCTION("""COMPUTED_VALUE"""),"Vineeth V2025-09-0321")</f>
        <v>Vineeth V2025-09-0321</v>
      </c>
      <c r="K1628" s="115">
        <f>IFERROR(__xludf.DUMMYFUNCTION("""COMPUTED_VALUE"""),23280.0)</f>
        <v>23280</v>
      </c>
    </row>
    <row r="1629">
      <c r="A1629" s="115" t="str">
        <f>IFERROR(__xludf.DUMMYFUNCTION("""COMPUTED_VALUE"""),"SOUTH")</f>
        <v>SOUTH</v>
      </c>
      <c r="B1629" s="115" t="str">
        <f>IFERROR(__xludf.DUMMYFUNCTION("""COMPUTED_VALUE"""),"Vineeth V")</f>
        <v>Vineeth V</v>
      </c>
      <c r="C1629" s="115" t="str">
        <f>IFERROR(__xludf.DUMMYFUNCTION("""COMPUTED_VALUE"""),"FLIPKART")</f>
        <v>FLIPKART</v>
      </c>
      <c r="D1629" s="115">
        <f>IFERROR(__xludf.DUMMYFUNCTION("""COMPUTED_VALUE"""),235141.0)</f>
        <v>235141</v>
      </c>
      <c r="E1629" s="115">
        <f>IFERROR(__xludf.DUMMYFUNCTION("""COMPUTED_VALUE"""),17500.0)</f>
        <v>17500</v>
      </c>
      <c r="F1629" s="115">
        <f>IFERROR(__xludf.DUMMYFUNCTION("""COMPUTED_VALUE"""),195003.0)</f>
        <v>195003</v>
      </c>
      <c r="G1629" s="115">
        <f>IFERROR(__xludf.DUMMYFUNCTION("""COMPUTED_VALUE"""),10136.0)</f>
        <v>10136</v>
      </c>
      <c r="H1629" s="116">
        <f>IFERROR(__xludf.DUMMYFUNCTION("""COMPUTED_VALUE"""),45903.0)</f>
        <v>45903</v>
      </c>
      <c r="I1629" s="115" t="str">
        <f>IFERROR(__xludf.DUMMYFUNCTION("""COMPUTED_VALUE"""),"21")</f>
        <v>21</v>
      </c>
      <c r="J1629" s="115" t="str">
        <f>IFERROR(__xludf.DUMMYFUNCTION("""COMPUTED_VALUE"""),"Vineeth V2025-09-0321")</f>
        <v>Vineeth V2025-09-0321</v>
      </c>
      <c r="K1629" s="115">
        <f>IFERROR(__xludf.DUMMYFUNCTION("""COMPUTED_VALUE"""),252641.0)</f>
        <v>252641</v>
      </c>
    </row>
    <row r="1630">
      <c r="A1630" s="115" t="str">
        <f>IFERROR(__xludf.DUMMYFUNCTION("""COMPUTED_VALUE"""),"SOUTH")</f>
        <v>SOUTH</v>
      </c>
      <c r="B1630" s="115" t="str">
        <f>IFERROR(__xludf.DUMMYFUNCTION("""COMPUTED_VALUE"""),"Vineeth V")</f>
        <v>Vineeth V</v>
      </c>
      <c r="C1630" s="115" t="str">
        <f>IFERROR(__xludf.DUMMYFUNCTION("""COMPUTED_VALUE"""),"MYNTRA")</f>
        <v>MYNTRA</v>
      </c>
      <c r="D1630" s="115">
        <f>IFERROR(__xludf.DUMMYFUNCTION("""COMPUTED_VALUE"""),22850.0)</f>
        <v>22850</v>
      </c>
      <c r="E1630" s="115">
        <f>IFERROR(__xludf.DUMMYFUNCTION("""COMPUTED_VALUE"""),4216.0)</f>
        <v>4216</v>
      </c>
      <c r="F1630" s="115">
        <f>IFERROR(__xludf.DUMMYFUNCTION("""COMPUTED_VALUE"""),20066.0)</f>
        <v>20066</v>
      </c>
      <c r="G1630" s="115">
        <f>IFERROR(__xludf.DUMMYFUNCTION("""COMPUTED_VALUE"""),2628.0)</f>
        <v>2628</v>
      </c>
      <c r="H1630" s="116">
        <f>IFERROR(__xludf.DUMMYFUNCTION("""COMPUTED_VALUE"""),45903.0)</f>
        <v>45903</v>
      </c>
      <c r="I1630" s="115" t="str">
        <f>IFERROR(__xludf.DUMMYFUNCTION("""COMPUTED_VALUE"""),"21")</f>
        <v>21</v>
      </c>
      <c r="J1630" s="115" t="str">
        <f>IFERROR(__xludf.DUMMYFUNCTION("""COMPUTED_VALUE"""),"Vineeth V2025-09-0321")</f>
        <v>Vineeth V2025-09-0321</v>
      </c>
      <c r="K1630" s="115">
        <f>IFERROR(__xludf.DUMMYFUNCTION("""COMPUTED_VALUE"""),27066.0)</f>
        <v>27066</v>
      </c>
    </row>
    <row r="1631">
      <c r="A1631" s="115" t="str">
        <f>IFERROR(__xludf.DUMMYFUNCTION("""COMPUTED_VALUE"""),"WEST")</f>
        <v>WEST</v>
      </c>
      <c r="B1631" s="115" t="str">
        <f>IFERROR(__xludf.DUMMYFUNCTION("""COMPUTED_VALUE"""),"Ashish Jakar")</f>
        <v>Ashish Jakar</v>
      </c>
      <c r="C1631" s="115" t="str">
        <f>IFERROR(__xludf.DUMMYFUNCTION("""COMPUTED_VALUE"""),"EXTERNAL")</f>
        <v>EXTERNAL</v>
      </c>
      <c r="D1631" s="115">
        <f>IFERROR(__xludf.DUMMYFUNCTION("""COMPUTED_VALUE"""),54808.0)</f>
        <v>54808</v>
      </c>
      <c r="E1631" s="115">
        <f>IFERROR(__xludf.DUMMYFUNCTION("""COMPUTED_VALUE"""),8276.0)</f>
        <v>8276</v>
      </c>
      <c r="F1631" s="115">
        <f>IFERROR(__xludf.DUMMYFUNCTION("""COMPUTED_VALUE"""),22318.0)</f>
        <v>22318</v>
      </c>
      <c r="G1631" s="115">
        <f>IFERROR(__xludf.DUMMYFUNCTION("""COMPUTED_VALUE"""),3045.0)</f>
        <v>3045</v>
      </c>
      <c r="H1631" s="116">
        <f>IFERROR(__xludf.DUMMYFUNCTION("""COMPUTED_VALUE"""),45903.0)</f>
        <v>45903</v>
      </c>
      <c r="I1631" s="115" t="str">
        <f>IFERROR(__xludf.DUMMYFUNCTION("""COMPUTED_VALUE"""),"21")</f>
        <v>21</v>
      </c>
      <c r="J1631" s="115" t="str">
        <f>IFERROR(__xludf.DUMMYFUNCTION("""COMPUTED_VALUE"""),"Ashish Jakar2025-09-0321")</f>
        <v>Ashish Jakar2025-09-0321</v>
      </c>
      <c r="K1631" s="115">
        <f>IFERROR(__xludf.DUMMYFUNCTION("""COMPUTED_VALUE"""),63084.0)</f>
        <v>63084</v>
      </c>
    </row>
    <row r="1632">
      <c r="A1632" s="115" t="str">
        <f>IFERROR(__xludf.DUMMYFUNCTION("""COMPUTED_VALUE"""),"WEST")</f>
        <v>WEST</v>
      </c>
      <c r="B1632" s="115" t="str">
        <f>IFERROR(__xludf.DUMMYFUNCTION("""COMPUTED_VALUE"""),"Ashish Jakar")</f>
        <v>Ashish Jakar</v>
      </c>
      <c r="C1632" s="115" t="str">
        <f>IFERROR(__xludf.DUMMYFUNCTION("""COMPUTED_VALUE"""),"FLIPKART")</f>
        <v>FLIPKART</v>
      </c>
      <c r="D1632" s="115">
        <f>IFERROR(__xludf.DUMMYFUNCTION("""COMPUTED_VALUE"""),321712.0)</f>
        <v>321712</v>
      </c>
      <c r="E1632" s="115">
        <f>IFERROR(__xludf.DUMMYFUNCTION("""COMPUTED_VALUE"""),34677.0)</f>
        <v>34677</v>
      </c>
      <c r="F1632" s="115">
        <f>IFERROR(__xludf.DUMMYFUNCTION("""COMPUTED_VALUE"""),234928.0)</f>
        <v>234928</v>
      </c>
      <c r="G1632" s="115">
        <f>IFERROR(__xludf.DUMMYFUNCTION("""COMPUTED_VALUE"""),22275.0)</f>
        <v>22275</v>
      </c>
      <c r="H1632" s="116">
        <f>IFERROR(__xludf.DUMMYFUNCTION("""COMPUTED_VALUE"""),45903.0)</f>
        <v>45903</v>
      </c>
      <c r="I1632" s="115" t="str">
        <f>IFERROR(__xludf.DUMMYFUNCTION("""COMPUTED_VALUE"""),"21")</f>
        <v>21</v>
      </c>
      <c r="J1632" s="115" t="str">
        <f>IFERROR(__xludf.DUMMYFUNCTION("""COMPUTED_VALUE"""),"Ashish Jakar2025-09-0321")</f>
        <v>Ashish Jakar2025-09-0321</v>
      </c>
      <c r="K1632" s="115">
        <f>IFERROR(__xludf.DUMMYFUNCTION("""COMPUTED_VALUE"""),356389.0)</f>
        <v>356389</v>
      </c>
    </row>
    <row r="1633">
      <c r="A1633" s="115" t="str">
        <f>IFERROR(__xludf.DUMMYFUNCTION("""COMPUTED_VALUE"""),"WEST")</f>
        <v>WEST</v>
      </c>
      <c r="B1633" s="115" t="str">
        <f>IFERROR(__xludf.DUMMYFUNCTION("""COMPUTED_VALUE"""),"Ashish Jakar")</f>
        <v>Ashish Jakar</v>
      </c>
      <c r="C1633" s="115" t="str">
        <f>IFERROR(__xludf.DUMMYFUNCTION("""COMPUTED_VALUE"""),"MYNTRA")</f>
        <v>MYNTRA</v>
      </c>
      <c r="D1633" s="115">
        <f>IFERROR(__xludf.DUMMYFUNCTION("""COMPUTED_VALUE"""),35025.0)</f>
        <v>35025</v>
      </c>
      <c r="E1633" s="115">
        <f>IFERROR(__xludf.DUMMYFUNCTION("""COMPUTED_VALUE"""),11421.0)</f>
        <v>11421</v>
      </c>
      <c r="F1633" s="115">
        <f>IFERROR(__xludf.DUMMYFUNCTION("""COMPUTED_VALUE"""),28797.0)</f>
        <v>28797</v>
      </c>
      <c r="G1633" s="115">
        <f>IFERROR(__xludf.DUMMYFUNCTION("""COMPUTED_VALUE"""),7728.0)</f>
        <v>7728</v>
      </c>
      <c r="H1633" s="116">
        <f>IFERROR(__xludf.DUMMYFUNCTION("""COMPUTED_VALUE"""),45903.0)</f>
        <v>45903</v>
      </c>
      <c r="I1633" s="115" t="str">
        <f>IFERROR(__xludf.DUMMYFUNCTION("""COMPUTED_VALUE"""),"21")</f>
        <v>21</v>
      </c>
      <c r="J1633" s="115" t="str">
        <f>IFERROR(__xludf.DUMMYFUNCTION("""COMPUTED_VALUE"""),"Ashish Jakar2025-09-0321")</f>
        <v>Ashish Jakar2025-09-0321</v>
      </c>
      <c r="K1633" s="115">
        <f>IFERROR(__xludf.DUMMYFUNCTION("""COMPUTED_VALUE"""),46446.0)</f>
        <v>46446</v>
      </c>
    </row>
    <row r="1634">
      <c r="A1634" s="115" t="str">
        <f>IFERROR(__xludf.DUMMYFUNCTION("""COMPUTED_VALUE"""),"WEST")</f>
        <v>WEST</v>
      </c>
      <c r="B1634" s="115" t="str">
        <f>IFERROR(__xludf.DUMMYFUNCTION("""COMPUTED_VALUE"""),"Ashvani Bhatt")</f>
        <v>Ashvani Bhatt</v>
      </c>
      <c r="C1634" s="115" t="str">
        <f>IFERROR(__xludf.DUMMYFUNCTION("""COMPUTED_VALUE"""),"EXTERNAL")</f>
        <v>EXTERNAL</v>
      </c>
      <c r="D1634" s="115">
        <f>IFERROR(__xludf.DUMMYFUNCTION("""COMPUTED_VALUE"""),35101.0)</f>
        <v>35101</v>
      </c>
      <c r="E1634" s="115">
        <f>IFERROR(__xludf.DUMMYFUNCTION("""COMPUTED_VALUE"""),5261.0)</f>
        <v>5261</v>
      </c>
      <c r="F1634" s="115">
        <f>IFERROR(__xludf.DUMMYFUNCTION("""COMPUTED_VALUE"""),14714.0)</f>
        <v>14714</v>
      </c>
      <c r="G1634" s="115">
        <f>IFERROR(__xludf.DUMMYFUNCTION("""COMPUTED_VALUE"""),1741.0)</f>
        <v>1741</v>
      </c>
      <c r="H1634" s="116">
        <f>IFERROR(__xludf.DUMMYFUNCTION("""COMPUTED_VALUE"""),45903.0)</f>
        <v>45903</v>
      </c>
      <c r="I1634" s="115" t="str">
        <f>IFERROR(__xludf.DUMMYFUNCTION("""COMPUTED_VALUE"""),"21")</f>
        <v>21</v>
      </c>
      <c r="J1634" s="115" t="str">
        <f>IFERROR(__xludf.DUMMYFUNCTION("""COMPUTED_VALUE"""),"Ashvani Bhatt2025-09-0321")</f>
        <v>Ashvani Bhatt2025-09-0321</v>
      </c>
      <c r="K1634" s="115">
        <f>IFERROR(__xludf.DUMMYFUNCTION("""COMPUTED_VALUE"""),40362.0)</f>
        <v>40362</v>
      </c>
    </row>
    <row r="1635">
      <c r="A1635" s="115" t="str">
        <f>IFERROR(__xludf.DUMMYFUNCTION("""COMPUTED_VALUE"""),"WEST")</f>
        <v>WEST</v>
      </c>
      <c r="B1635" s="115" t="str">
        <f>IFERROR(__xludf.DUMMYFUNCTION("""COMPUTED_VALUE"""),"Ashvani Bhatt")</f>
        <v>Ashvani Bhatt</v>
      </c>
      <c r="C1635" s="115" t="str">
        <f>IFERROR(__xludf.DUMMYFUNCTION("""COMPUTED_VALUE"""),"FLIPKART")</f>
        <v>FLIPKART</v>
      </c>
      <c r="D1635" s="115">
        <f>IFERROR(__xludf.DUMMYFUNCTION("""COMPUTED_VALUE"""),254118.0)</f>
        <v>254118</v>
      </c>
      <c r="E1635" s="115">
        <f>IFERROR(__xludf.DUMMYFUNCTION("""COMPUTED_VALUE"""),29453.0)</f>
        <v>29453</v>
      </c>
      <c r="F1635" s="115">
        <f>IFERROR(__xludf.DUMMYFUNCTION("""COMPUTED_VALUE"""),192496.0)</f>
        <v>192496</v>
      </c>
      <c r="G1635" s="115">
        <f>IFERROR(__xludf.DUMMYFUNCTION("""COMPUTED_VALUE"""),19665.0)</f>
        <v>19665</v>
      </c>
      <c r="H1635" s="116">
        <f>IFERROR(__xludf.DUMMYFUNCTION("""COMPUTED_VALUE"""),45903.0)</f>
        <v>45903</v>
      </c>
      <c r="I1635" s="115" t="str">
        <f>IFERROR(__xludf.DUMMYFUNCTION("""COMPUTED_VALUE"""),"21")</f>
        <v>21</v>
      </c>
      <c r="J1635" s="115" t="str">
        <f>IFERROR(__xludf.DUMMYFUNCTION("""COMPUTED_VALUE"""),"Ashvani Bhatt2025-09-0321")</f>
        <v>Ashvani Bhatt2025-09-0321</v>
      </c>
      <c r="K1635" s="115">
        <f>IFERROR(__xludf.DUMMYFUNCTION("""COMPUTED_VALUE"""),283571.0)</f>
        <v>283571</v>
      </c>
    </row>
    <row r="1636">
      <c r="A1636" s="115" t="str">
        <f>IFERROR(__xludf.DUMMYFUNCTION("""COMPUTED_VALUE"""),"WEST")</f>
        <v>WEST</v>
      </c>
      <c r="B1636" s="115" t="str">
        <f>IFERROR(__xludf.DUMMYFUNCTION("""COMPUTED_VALUE"""),"Ashvani Bhatt")</f>
        <v>Ashvani Bhatt</v>
      </c>
      <c r="C1636" s="115" t="str">
        <f>IFERROR(__xludf.DUMMYFUNCTION("""COMPUTED_VALUE"""),"MYNTRA")</f>
        <v>MYNTRA</v>
      </c>
      <c r="D1636" s="115">
        <f>IFERROR(__xludf.DUMMYFUNCTION("""COMPUTED_VALUE"""),29646.0)</f>
        <v>29646</v>
      </c>
      <c r="E1636" s="115">
        <f>IFERROR(__xludf.DUMMYFUNCTION("""COMPUTED_VALUE"""),8679.0)</f>
        <v>8679</v>
      </c>
      <c r="F1636" s="115">
        <f>IFERROR(__xludf.DUMMYFUNCTION("""COMPUTED_VALUE"""),25133.0)</f>
        <v>25133</v>
      </c>
      <c r="G1636" s="115">
        <f>IFERROR(__xludf.DUMMYFUNCTION("""COMPUTED_VALUE"""),6086.0)</f>
        <v>6086</v>
      </c>
      <c r="H1636" s="116">
        <f>IFERROR(__xludf.DUMMYFUNCTION("""COMPUTED_VALUE"""),45903.0)</f>
        <v>45903</v>
      </c>
      <c r="I1636" s="115" t="str">
        <f>IFERROR(__xludf.DUMMYFUNCTION("""COMPUTED_VALUE"""),"21")</f>
        <v>21</v>
      </c>
      <c r="J1636" s="115" t="str">
        <f>IFERROR(__xludf.DUMMYFUNCTION("""COMPUTED_VALUE"""),"Ashvani Bhatt2025-09-0321")</f>
        <v>Ashvani Bhatt2025-09-0321</v>
      </c>
      <c r="K1636" s="115">
        <f>IFERROR(__xludf.DUMMYFUNCTION("""COMPUTED_VALUE"""),38325.0)</f>
        <v>38325</v>
      </c>
    </row>
    <row r="1637">
      <c r="A1637" s="115"/>
      <c r="B1637" s="115"/>
      <c r="C1637" s="115" t="str">
        <f>IFERROR(__xludf.DUMMYFUNCTION("""COMPUTED_VALUE"""),"EXTERNAL")</f>
        <v>EXTERNAL</v>
      </c>
      <c r="D1637" s="115">
        <f>IFERROR(__xludf.DUMMYFUNCTION("""COMPUTED_VALUE"""),989.0)</f>
        <v>989</v>
      </c>
      <c r="E1637" s="115">
        <f>IFERROR(__xludf.DUMMYFUNCTION("""COMPUTED_VALUE"""),163.0)</f>
        <v>163</v>
      </c>
      <c r="F1637" s="115">
        <f>IFERROR(__xludf.DUMMYFUNCTION("""COMPUTED_VALUE"""),488.0)</f>
        <v>488</v>
      </c>
      <c r="G1637" s="115">
        <f>IFERROR(__xludf.DUMMYFUNCTION("""COMPUTED_VALUE"""),41.0)</f>
        <v>41</v>
      </c>
      <c r="H1637" s="116">
        <f>IFERROR(__xludf.DUMMYFUNCTION("""COMPUTED_VALUE"""),45903.0)</f>
        <v>45903</v>
      </c>
      <c r="I1637" s="115" t="str">
        <f>IFERROR(__xludf.DUMMYFUNCTION("""COMPUTED_VALUE"""),"21")</f>
        <v>21</v>
      </c>
      <c r="J1637" s="115" t="str">
        <f>IFERROR(__xludf.DUMMYFUNCTION("""COMPUTED_VALUE"""),"2025-09-0321")</f>
        <v>2025-09-0321</v>
      </c>
      <c r="K1637" s="115">
        <f>IFERROR(__xludf.DUMMYFUNCTION("""COMPUTED_VALUE"""),1152.0)</f>
        <v>1152</v>
      </c>
    </row>
    <row r="1638">
      <c r="A1638" s="115"/>
      <c r="B1638" s="115"/>
      <c r="C1638" s="115" t="str">
        <f>IFERROR(__xludf.DUMMYFUNCTION("""COMPUTED_VALUE"""),"FLIPKART")</f>
        <v>FLIPKART</v>
      </c>
      <c r="D1638" s="115">
        <f>IFERROR(__xludf.DUMMYFUNCTION("""COMPUTED_VALUE"""),6118.0)</f>
        <v>6118</v>
      </c>
      <c r="E1638" s="115">
        <f>IFERROR(__xludf.DUMMYFUNCTION("""COMPUTED_VALUE"""),790.0)</f>
        <v>790</v>
      </c>
      <c r="F1638" s="115">
        <f>IFERROR(__xludf.DUMMYFUNCTION("""COMPUTED_VALUE"""),4719.0)</f>
        <v>4719</v>
      </c>
      <c r="G1638" s="115">
        <f>IFERROR(__xludf.DUMMYFUNCTION("""COMPUTED_VALUE"""),435.0)</f>
        <v>435</v>
      </c>
      <c r="H1638" s="116">
        <f>IFERROR(__xludf.DUMMYFUNCTION("""COMPUTED_VALUE"""),45903.0)</f>
        <v>45903</v>
      </c>
      <c r="I1638" s="115" t="str">
        <f>IFERROR(__xludf.DUMMYFUNCTION("""COMPUTED_VALUE"""),"21")</f>
        <v>21</v>
      </c>
      <c r="J1638" s="115" t="str">
        <f>IFERROR(__xludf.DUMMYFUNCTION("""COMPUTED_VALUE"""),"2025-09-0321")</f>
        <v>2025-09-0321</v>
      </c>
      <c r="K1638" s="115">
        <f>IFERROR(__xludf.DUMMYFUNCTION("""COMPUTED_VALUE"""),6908.0)</f>
        <v>6908</v>
      </c>
    </row>
    <row r="1639">
      <c r="A1639" s="115"/>
      <c r="B1639" s="115"/>
      <c r="C1639" s="115" t="str">
        <f>IFERROR(__xludf.DUMMYFUNCTION("""COMPUTED_VALUE"""),"MYNTRA")</f>
        <v>MYNTRA</v>
      </c>
      <c r="D1639" s="115">
        <f>IFERROR(__xludf.DUMMYFUNCTION("""COMPUTED_VALUE"""),673.0)</f>
        <v>673</v>
      </c>
      <c r="E1639" s="115">
        <f>IFERROR(__xludf.DUMMYFUNCTION("""COMPUTED_VALUE"""),223.0)</f>
        <v>223</v>
      </c>
      <c r="F1639" s="115">
        <f>IFERROR(__xludf.DUMMYFUNCTION("""COMPUTED_VALUE"""),531.0)</f>
        <v>531</v>
      </c>
      <c r="G1639" s="115">
        <f>IFERROR(__xludf.DUMMYFUNCTION("""COMPUTED_VALUE"""),128.0)</f>
        <v>128</v>
      </c>
      <c r="H1639" s="116">
        <f>IFERROR(__xludf.DUMMYFUNCTION("""COMPUTED_VALUE"""),45903.0)</f>
        <v>45903</v>
      </c>
      <c r="I1639" s="115" t="str">
        <f>IFERROR(__xludf.DUMMYFUNCTION("""COMPUTED_VALUE"""),"21")</f>
        <v>21</v>
      </c>
      <c r="J1639" s="115" t="str">
        <f>IFERROR(__xludf.DUMMYFUNCTION("""COMPUTED_VALUE"""),"2025-09-0321")</f>
        <v>2025-09-0321</v>
      </c>
      <c r="K1639" s="115">
        <f>IFERROR(__xludf.DUMMYFUNCTION("""COMPUTED_VALUE"""),896.0)</f>
        <v>896</v>
      </c>
    </row>
    <row r="1640">
      <c r="A1640" s="115" t="str">
        <f>IFERROR(__xludf.DUMMYFUNCTION("""COMPUTED_VALUE"""),"EAST")</f>
        <v>EAST</v>
      </c>
      <c r="B1640" s="115" t="str">
        <f>IFERROR(__xludf.DUMMYFUNCTION("""COMPUTED_VALUE"""),"Ashish Ranjan")</f>
        <v>Ashish Ranjan</v>
      </c>
      <c r="C1640" s="115" t="str">
        <f>IFERROR(__xludf.DUMMYFUNCTION("""COMPUTED_VALUE"""),"EXTERNAL")</f>
        <v>EXTERNAL</v>
      </c>
      <c r="D1640" s="115">
        <f>IFERROR(__xludf.DUMMYFUNCTION("""COMPUTED_VALUE"""),40554.0)</f>
        <v>40554</v>
      </c>
      <c r="E1640" s="115">
        <f>IFERROR(__xludf.DUMMYFUNCTION("""COMPUTED_VALUE"""),4663.0)</f>
        <v>4663</v>
      </c>
      <c r="F1640" s="115">
        <f>IFERROR(__xludf.DUMMYFUNCTION("""COMPUTED_VALUE"""),22610.0)</f>
        <v>22610</v>
      </c>
      <c r="G1640" s="115">
        <f>IFERROR(__xludf.DUMMYFUNCTION("""COMPUTED_VALUE"""),2310.0)</f>
        <v>2310</v>
      </c>
      <c r="H1640" s="116">
        <f>IFERROR(__xludf.DUMMYFUNCTION("""COMPUTED_VALUE"""),45903.0)</f>
        <v>45903</v>
      </c>
      <c r="I1640" s="115" t="str">
        <f>IFERROR(__xludf.DUMMYFUNCTION("""COMPUTED_VALUE"""),"22")</f>
        <v>22</v>
      </c>
      <c r="J1640" s="115" t="str">
        <f>IFERROR(__xludf.DUMMYFUNCTION("""COMPUTED_VALUE"""),"Ashish Ranjan2025-09-0322")</f>
        <v>Ashish Ranjan2025-09-0322</v>
      </c>
      <c r="K1640" s="115">
        <f>IFERROR(__xludf.DUMMYFUNCTION("""COMPUTED_VALUE"""),45217.0)</f>
        <v>45217</v>
      </c>
    </row>
    <row r="1641">
      <c r="A1641" s="115" t="str">
        <f>IFERROR(__xludf.DUMMYFUNCTION("""COMPUTED_VALUE"""),"EAST")</f>
        <v>EAST</v>
      </c>
      <c r="B1641" s="115" t="str">
        <f>IFERROR(__xludf.DUMMYFUNCTION("""COMPUTED_VALUE"""),"Ashish Ranjan")</f>
        <v>Ashish Ranjan</v>
      </c>
      <c r="C1641" s="115" t="str">
        <f>IFERROR(__xludf.DUMMYFUNCTION("""COMPUTED_VALUE"""),"FLIPKART")</f>
        <v>FLIPKART</v>
      </c>
      <c r="D1641" s="115">
        <f>IFERROR(__xludf.DUMMYFUNCTION("""COMPUTED_VALUE"""),625306.0)</f>
        <v>625306</v>
      </c>
      <c r="E1641" s="115">
        <f>IFERROR(__xludf.DUMMYFUNCTION("""COMPUTED_VALUE"""),58688.0)</f>
        <v>58688</v>
      </c>
      <c r="F1641" s="115">
        <f>IFERROR(__xludf.DUMMYFUNCTION("""COMPUTED_VALUE"""),555848.0)</f>
        <v>555848</v>
      </c>
      <c r="G1641" s="115">
        <f>IFERROR(__xludf.DUMMYFUNCTION("""COMPUTED_VALUE"""),48174.0)</f>
        <v>48174</v>
      </c>
      <c r="H1641" s="116">
        <f>IFERROR(__xludf.DUMMYFUNCTION("""COMPUTED_VALUE"""),45903.0)</f>
        <v>45903</v>
      </c>
      <c r="I1641" s="115" t="str">
        <f>IFERROR(__xludf.DUMMYFUNCTION("""COMPUTED_VALUE"""),"22")</f>
        <v>22</v>
      </c>
      <c r="J1641" s="115" t="str">
        <f>IFERROR(__xludf.DUMMYFUNCTION("""COMPUTED_VALUE"""),"Ashish Ranjan2025-09-0322")</f>
        <v>Ashish Ranjan2025-09-0322</v>
      </c>
      <c r="K1641" s="115">
        <f>IFERROR(__xludf.DUMMYFUNCTION("""COMPUTED_VALUE"""),683994.0)</f>
        <v>683994</v>
      </c>
    </row>
    <row r="1642">
      <c r="A1642" s="115" t="str">
        <f>IFERROR(__xludf.DUMMYFUNCTION("""COMPUTED_VALUE"""),"EAST")</f>
        <v>EAST</v>
      </c>
      <c r="B1642" s="115" t="str">
        <f>IFERROR(__xludf.DUMMYFUNCTION("""COMPUTED_VALUE"""),"Ashish Ranjan")</f>
        <v>Ashish Ranjan</v>
      </c>
      <c r="C1642" s="115" t="str">
        <f>IFERROR(__xludf.DUMMYFUNCTION("""COMPUTED_VALUE"""),"MYNTRA")</f>
        <v>MYNTRA</v>
      </c>
      <c r="D1642" s="115">
        <f>IFERROR(__xludf.DUMMYFUNCTION("""COMPUTED_VALUE"""),56393.0)</f>
        <v>56393</v>
      </c>
      <c r="E1642" s="115">
        <f>IFERROR(__xludf.DUMMYFUNCTION("""COMPUTED_VALUE"""),12445.0)</f>
        <v>12445</v>
      </c>
      <c r="F1642" s="115">
        <f>IFERROR(__xludf.DUMMYFUNCTION("""COMPUTED_VALUE"""),50577.0)</f>
        <v>50577</v>
      </c>
      <c r="G1642" s="115">
        <f>IFERROR(__xludf.DUMMYFUNCTION("""COMPUTED_VALUE"""),10223.0)</f>
        <v>10223</v>
      </c>
      <c r="H1642" s="116">
        <f>IFERROR(__xludf.DUMMYFUNCTION("""COMPUTED_VALUE"""),45903.0)</f>
        <v>45903</v>
      </c>
      <c r="I1642" s="115" t="str">
        <f>IFERROR(__xludf.DUMMYFUNCTION("""COMPUTED_VALUE"""),"22")</f>
        <v>22</v>
      </c>
      <c r="J1642" s="115" t="str">
        <f>IFERROR(__xludf.DUMMYFUNCTION("""COMPUTED_VALUE"""),"Ashish Ranjan2025-09-0322")</f>
        <v>Ashish Ranjan2025-09-0322</v>
      </c>
      <c r="K1642" s="115">
        <f>IFERROR(__xludf.DUMMYFUNCTION("""COMPUTED_VALUE"""),68838.0)</f>
        <v>68838</v>
      </c>
    </row>
    <row r="1643">
      <c r="A1643" s="115" t="str">
        <f>IFERROR(__xludf.DUMMYFUNCTION("""COMPUTED_VALUE"""),"EAST")</f>
        <v>EAST</v>
      </c>
      <c r="B1643" s="115" t="str">
        <f>IFERROR(__xludf.DUMMYFUNCTION("""COMPUTED_VALUE"""),"Girish Chand")</f>
        <v>Girish Chand</v>
      </c>
      <c r="C1643" s="115" t="str">
        <f>IFERROR(__xludf.DUMMYFUNCTION("""COMPUTED_VALUE"""),"EXTERNAL")</f>
        <v>EXTERNAL</v>
      </c>
      <c r="D1643" s="115">
        <f>IFERROR(__xludf.DUMMYFUNCTION("""COMPUTED_VALUE"""),24936.0)</f>
        <v>24936</v>
      </c>
      <c r="E1643" s="115">
        <f>IFERROR(__xludf.DUMMYFUNCTION("""COMPUTED_VALUE"""),3195.0)</f>
        <v>3195</v>
      </c>
      <c r="F1643" s="115">
        <f>IFERROR(__xludf.DUMMYFUNCTION("""COMPUTED_VALUE"""),10638.0)</f>
        <v>10638</v>
      </c>
      <c r="G1643" s="115">
        <f>IFERROR(__xludf.DUMMYFUNCTION("""COMPUTED_VALUE"""),1198.0)</f>
        <v>1198</v>
      </c>
      <c r="H1643" s="116">
        <f>IFERROR(__xludf.DUMMYFUNCTION("""COMPUTED_VALUE"""),45903.0)</f>
        <v>45903</v>
      </c>
      <c r="I1643" s="115" t="str">
        <f>IFERROR(__xludf.DUMMYFUNCTION("""COMPUTED_VALUE"""),"22")</f>
        <v>22</v>
      </c>
      <c r="J1643" s="115" t="str">
        <f>IFERROR(__xludf.DUMMYFUNCTION("""COMPUTED_VALUE"""),"Girish Chand2025-09-0322")</f>
        <v>Girish Chand2025-09-0322</v>
      </c>
      <c r="K1643" s="115">
        <f>IFERROR(__xludf.DUMMYFUNCTION("""COMPUTED_VALUE"""),28131.0)</f>
        <v>28131</v>
      </c>
    </row>
    <row r="1644">
      <c r="A1644" s="115" t="str">
        <f>IFERROR(__xludf.DUMMYFUNCTION("""COMPUTED_VALUE"""),"EAST")</f>
        <v>EAST</v>
      </c>
      <c r="B1644" s="115" t="str">
        <f>IFERROR(__xludf.DUMMYFUNCTION("""COMPUTED_VALUE"""),"Girish Chand")</f>
        <v>Girish Chand</v>
      </c>
      <c r="C1644" s="115" t="str">
        <f>IFERROR(__xludf.DUMMYFUNCTION("""COMPUTED_VALUE"""),"FLIPKART")</f>
        <v>FLIPKART</v>
      </c>
      <c r="D1644" s="115">
        <f>IFERROR(__xludf.DUMMYFUNCTION("""COMPUTED_VALUE"""),430847.0)</f>
        <v>430847</v>
      </c>
      <c r="E1644" s="115">
        <f>IFERROR(__xludf.DUMMYFUNCTION("""COMPUTED_VALUE"""),37970.0)</f>
        <v>37970</v>
      </c>
      <c r="F1644" s="115">
        <f>IFERROR(__xludf.DUMMYFUNCTION("""COMPUTED_VALUE"""),324632.0)</f>
        <v>324632</v>
      </c>
      <c r="G1644" s="115">
        <f>IFERROR(__xludf.DUMMYFUNCTION("""COMPUTED_VALUE"""),28294.0)</f>
        <v>28294</v>
      </c>
      <c r="H1644" s="116">
        <f>IFERROR(__xludf.DUMMYFUNCTION("""COMPUTED_VALUE"""),45903.0)</f>
        <v>45903</v>
      </c>
      <c r="I1644" s="115" t="str">
        <f>IFERROR(__xludf.DUMMYFUNCTION("""COMPUTED_VALUE"""),"22")</f>
        <v>22</v>
      </c>
      <c r="J1644" s="115" t="str">
        <f>IFERROR(__xludf.DUMMYFUNCTION("""COMPUTED_VALUE"""),"Girish Chand2025-09-0322")</f>
        <v>Girish Chand2025-09-0322</v>
      </c>
      <c r="K1644" s="115">
        <f>IFERROR(__xludf.DUMMYFUNCTION("""COMPUTED_VALUE"""),468817.0)</f>
        <v>468817</v>
      </c>
    </row>
    <row r="1645">
      <c r="A1645" s="115" t="str">
        <f>IFERROR(__xludf.DUMMYFUNCTION("""COMPUTED_VALUE"""),"EAST")</f>
        <v>EAST</v>
      </c>
      <c r="B1645" s="115" t="str">
        <f>IFERROR(__xludf.DUMMYFUNCTION("""COMPUTED_VALUE"""),"Girish Chand")</f>
        <v>Girish Chand</v>
      </c>
      <c r="C1645" s="115" t="str">
        <f>IFERROR(__xludf.DUMMYFUNCTION("""COMPUTED_VALUE"""),"MYNTRA")</f>
        <v>MYNTRA</v>
      </c>
      <c r="D1645" s="115">
        <f>IFERROR(__xludf.DUMMYFUNCTION("""COMPUTED_VALUE"""),33687.0)</f>
        <v>33687</v>
      </c>
      <c r="E1645" s="115">
        <f>IFERROR(__xludf.DUMMYFUNCTION("""COMPUTED_VALUE"""),6533.0)</f>
        <v>6533</v>
      </c>
      <c r="F1645" s="115">
        <f>IFERROR(__xludf.DUMMYFUNCTION("""COMPUTED_VALUE"""),26818.0)</f>
        <v>26818</v>
      </c>
      <c r="G1645" s="115">
        <f>IFERROR(__xludf.DUMMYFUNCTION("""COMPUTED_VALUE"""),4940.0)</f>
        <v>4940</v>
      </c>
      <c r="H1645" s="116">
        <f>IFERROR(__xludf.DUMMYFUNCTION("""COMPUTED_VALUE"""),45903.0)</f>
        <v>45903</v>
      </c>
      <c r="I1645" s="115" t="str">
        <f>IFERROR(__xludf.DUMMYFUNCTION("""COMPUTED_VALUE"""),"22")</f>
        <v>22</v>
      </c>
      <c r="J1645" s="115" t="str">
        <f>IFERROR(__xludf.DUMMYFUNCTION("""COMPUTED_VALUE"""),"Girish Chand2025-09-0322")</f>
        <v>Girish Chand2025-09-0322</v>
      </c>
      <c r="K1645" s="115">
        <f>IFERROR(__xludf.DUMMYFUNCTION("""COMPUTED_VALUE"""),40220.0)</f>
        <v>40220</v>
      </c>
    </row>
    <row r="1646">
      <c r="A1646" s="115" t="str">
        <f>IFERROR(__xludf.DUMMYFUNCTION("""COMPUTED_VALUE"""),"EAST")</f>
        <v>EAST</v>
      </c>
      <c r="B1646" s="115" t="str">
        <f>IFERROR(__xludf.DUMMYFUNCTION("""COMPUTED_VALUE"""),"Parag Kashyap")</f>
        <v>Parag Kashyap</v>
      </c>
      <c r="C1646" s="115" t="str">
        <f>IFERROR(__xludf.DUMMYFUNCTION("""COMPUTED_VALUE"""),"EXTERNAL")</f>
        <v>EXTERNAL</v>
      </c>
      <c r="D1646" s="115">
        <f>IFERROR(__xludf.DUMMYFUNCTION("""COMPUTED_VALUE"""),21403.0)</f>
        <v>21403</v>
      </c>
      <c r="E1646" s="115">
        <f>IFERROR(__xludf.DUMMYFUNCTION("""COMPUTED_VALUE"""),1659.0)</f>
        <v>1659</v>
      </c>
      <c r="F1646" s="115">
        <f>IFERROR(__xludf.DUMMYFUNCTION("""COMPUTED_VALUE"""),9142.0)</f>
        <v>9142</v>
      </c>
      <c r="G1646" s="115">
        <f>IFERROR(__xludf.DUMMYFUNCTION("""COMPUTED_VALUE"""),685.0)</f>
        <v>685</v>
      </c>
      <c r="H1646" s="116">
        <f>IFERROR(__xludf.DUMMYFUNCTION("""COMPUTED_VALUE"""),45903.0)</f>
        <v>45903</v>
      </c>
      <c r="I1646" s="115" t="str">
        <f>IFERROR(__xludf.DUMMYFUNCTION("""COMPUTED_VALUE"""),"22")</f>
        <v>22</v>
      </c>
      <c r="J1646" s="115" t="str">
        <f>IFERROR(__xludf.DUMMYFUNCTION("""COMPUTED_VALUE"""),"Parag Kashyap2025-09-0322")</f>
        <v>Parag Kashyap2025-09-0322</v>
      </c>
      <c r="K1646" s="115">
        <f>IFERROR(__xludf.DUMMYFUNCTION("""COMPUTED_VALUE"""),23062.0)</f>
        <v>23062</v>
      </c>
    </row>
    <row r="1647">
      <c r="A1647" s="115" t="str">
        <f>IFERROR(__xludf.DUMMYFUNCTION("""COMPUTED_VALUE"""),"EAST")</f>
        <v>EAST</v>
      </c>
      <c r="B1647" s="115" t="str">
        <f>IFERROR(__xludf.DUMMYFUNCTION("""COMPUTED_VALUE"""),"Parag Kashyap")</f>
        <v>Parag Kashyap</v>
      </c>
      <c r="C1647" s="115" t="str">
        <f>IFERROR(__xludf.DUMMYFUNCTION("""COMPUTED_VALUE"""),"FLIPKART")</f>
        <v>FLIPKART</v>
      </c>
      <c r="D1647" s="115">
        <f>IFERROR(__xludf.DUMMYFUNCTION("""COMPUTED_VALUE"""),302414.0)</f>
        <v>302414</v>
      </c>
      <c r="E1647" s="115">
        <f>IFERROR(__xludf.DUMMYFUNCTION("""COMPUTED_VALUE"""),19427.0)</f>
        <v>19427</v>
      </c>
      <c r="F1647" s="115">
        <f>IFERROR(__xludf.DUMMYFUNCTION("""COMPUTED_VALUE"""),237848.0)</f>
        <v>237848</v>
      </c>
      <c r="G1647" s="115">
        <f>IFERROR(__xludf.DUMMYFUNCTION("""COMPUTED_VALUE"""),14640.0)</f>
        <v>14640</v>
      </c>
      <c r="H1647" s="116">
        <f>IFERROR(__xludf.DUMMYFUNCTION("""COMPUTED_VALUE"""),45903.0)</f>
        <v>45903</v>
      </c>
      <c r="I1647" s="115" t="str">
        <f>IFERROR(__xludf.DUMMYFUNCTION("""COMPUTED_VALUE"""),"22")</f>
        <v>22</v>
      </c>
      <c r="J1647" s="115" t="str">
        <f>IFERROR(__xludf.DUMMYFUNCTION("""COMPUTED_VALUE"""),"Parag Kashyap2025-09-0322")</f>
        <v>Parag Kashyap2025-09-0322</v>
      </c>
      <c r="K1647" s="115">
        <f>IFERROR(__xludf.DUMMYFUNCTION("""COMPUTED_VALUE"""),321841.0)</f>
        <v>321841</v>
      </c>
    </row>
    <row r="1648">
      <c r="A1648" s="115" t="str">
        <f>IFERROR(__xludf.DUMMYFUNCTION("""COMPUTED_VALUE"""),"EAST")</f>
        <v>EAST</v>
      </c>
      <c r="B1648" s="115" t="str">
        <f>IFERROR(__xludf.DUMMYFUNCTION("""COMPUTED_VALUE"""),"Parag Kashyap")</f>
        <v>Parag Kashyap</v>
      </c>
      <c r="C1648" s="115" t="str">
        <f>IFERROR(__xludf.DUMMYFUNCTION("""COMPUTED_VALUE"""),"MYNTRA")</f>
        <v>MYNTRA</v>
      </c>
      <c r="D1648" s="115">
        <f>IFERROR(__xludf.DUMMYFUNCTION("""COMPUTED_VALUE"""),34865.0)</f>
        <v>34865</v>
      </c>
      <c r="E1648" s="115">
        <f>IFERROR(__xludf.DUMMYFUNCTION("""COMPUTED_VALUE"""),4890.0)</f>
        <v>4890</v>
      </c>
      <c r="F1648" s="115">
        <f>IFERROR(__xludf.DUMMYFUNCTION("""COMPUTED_VALUE"""),27974.0)</f>
        <v>27974</v>
      </c>
      <c r="G1648" s="115">
        <f>IFERROR(__xludf.DUMMYFUNCTION("""COMPUTED_VALUE"""),3585.0)</f>
        <v>3585</v>
      </c>
      <c r="H1648" s="116">
        <f>IFERROR(__xludf.DUMMYFUNCTION("""COMPUTED_VALUE"""),45903.0)</f>
        <v>45903</v>
      </c>
      <c r="I1648" s="115" t="str">
        <f>IFERROR(__xludf.DUMMYFUNCTION("""COMPUTED_VALUE"""),"22")</f>
        <v>22</v>
      </c>
      <c r="J1648" s="115" t="str">
        <f>IFERROR(__xludf.DUMMYFUNCTION("""COMPUTED_VALUE"""),"Parag Kashyap2025-09-0322")</f>
        <v>Parag Kashyap2025-09-0322</v>
      </c>
      <c r="K1648" s="115">
        <f>IFERROR(__xludf.DUMMYFUNCTION("""COMPUTED_VALUE"""),39755.0)</f>
        <v>39755</v>
      </c>
    </row>
    <row r="1649">
      <c r="A1649" s="115" t="str">
        <f>IFERROR(__xludf.DUMMYFUNCTION("""COMPUTED_VALUE"""),"NORTH")</f>
        <v>NORTH</v>
      </c>
      <c r="B1649" s="115" t="str">
        <f>IFERROR(__xludf.DUMMYFUNCTION("""COMPUTED_VALUE"""),"Amit Kumar Pathak")</f>
        <v>Amit Kumar Pathak</v>
      </c>
      <c r="C1649" s="115" t="str">
        <f>IFERROR(__xludf.DUMMYFUNCTION("""COMPUTED_VALUE"""),"EXTERNAL")</f>
        <v>EXTERNAL</v>
      </c>
      <c r="D1649" s="115">
        <f>IFERROR(__xludf.DUMMYFUNCTION("""COMPUTED_VALUE"""),24141.0)</f>
        <v>24141</v>
      </c>
      <c r="E1649" s="115">
        <f>IFERROR(__xludf.DUMMYFUNCTION("""COMPUTED_VALUE"""),3346.0)</f>
        <v>3346</v>
      </c>
      <c r="F1649" s="115">
        <f>IFERROR(__xludf.DUMMYFUNCTION("""COMPUTED_VALUE"""),9207.0)</f>
        <v>9207</v>
      </c>
      <c r="G1649" s="115">
        <f>IFERROR(__xludf.DUMMYFUNCTION("""COMPUTED_VALUE"""),1198.0)</f>
        <v>1198</v>
      </c>
      <c r="H1649" s="116">
        <f>IFERROR(__xludf.DUMMYFUNCTION("""COMPUTED_VALUE"""),45903.0)</f>
        <v>45903</v>
      </c>
      <c r="I1649" s="115" t="str">
        <f>IFERROR(__xludf.DUMMYFUNCTION("""COMPUTED_VALUE"""),"22")</f>
        <v>22</v>
      </c>
      <c r="J1649" s="115" t="str">
        <f>IFERROR(__xludf.DUMMYFUNCTION("""COMPUTED_VALUE"""),"Amit Kumar Pathak2025-09-0322")</f>
        <v>Amit Kumar Pathak2025-09-0322</v>
      </c>
      <c r="K1649" s="115">
        <f>IFERROR(__xludf.DUMMYFUNCTION("""COMPUTED_VALUE"""),27487.0)</f>
        <v>27487</v>
      </c>
    </row>
    <row r="1650">
      <c r="A1650" s="115" t="str">
        <f>IFERROR(__xludf.DUMMYFUNCTION("""COMPUTED_VALUE"""),"NORTH")</f>
        <v>NORTH</v>
      </c>
      <c r="B1650" s="115" t="str">
        <f>IFERROR(__xludf.DUMMYFUNCTION("""COMPUTED_VALUE"""),"Amit Kumar Pathak")</f>
        <v>Amit Kumar Pathak</v>
      </c>
      <c r="C1650" s="115" t="str">
        <f>IFERROR(__xludf.DUMMYFUNCTION("""COMPUTED_VALUE"""),"FLIPKART")</f>
        <v>FLIPKART</v>
      </c>
      <c r="D1650" s="115">
        <f>IFERROR(__xludf.DUMMYFUNCTION("""COMPUTED_VALUE"""),194510.0)</f>
        <v>194510</v>
      </c>
      <c r="E1650" s="115">
        <f>IFERROR(__xludf.DUMMYFUNCTION("""COMPUTED_VALUE"""),23582.0)</f>
        <v>23582</v>
      </c>
      <c r="F1650" s="115">
        <f>IFERROR(__xludf.DUMMYFUNCTION("""COMPUTED_VALUE"""),136941.0)</f>
        <v>136941</v>
      </c>
      <c r="G1650" s="115">
        <f>IFERROR(__xludf.DUMMYFUNCTION("""COMPUTED_VALUE"""),14852.0)</f>
        <v>14852</v>
      </c>
      <c r="H1650" s="116">
        <f>IFERROR(__xludf.DUMMYFUNCTION("""COMPUTED_VALUE"""),45903.0)</f>
        <v>45903</v>
      </c>
      <c r="I1650" s="115" t="str">
        <f>IFERROR(__xludf.DUMMYFUNCTION("""COMPUTED_VALUE"""),"22")</f>
        <v>22</v>
      </c>
      <c r="J1650" s="115" t="str">
        <f>IFERROR(__xludf.DUMMYFUNCTION("""COMPUTED_VALUE"""),"Amit Kumar Pathak2025-09-0322")</f>
        <v>Amit Kumar Pathak2025-09-0322</v>
      </c>
      <c r="K1650" s="115">
        <f>IFERROR(__xludf.DUMMYFUNCTION("""COMPUTED_VALUE"""),218092.0)</f>
        <v>218092</v>
      </c>
    </row>
    <row r="1651">
      <c r="A1651" s="115" t="str">
        <f>IFERROR(__xludf.DUMMYFUNCTION("""COMPUTED_VALUE"""),"NORTH")</f>
        <v>NORTH</v>
      </c>
      <c r="B1651" s="115" t="str">
        <f>IFERROR(__xludf.DUMMYFUNCTION("""COMPUTED_VALUE"""),"Amit Kumar Pathak")</f>
        <v>Amit Kumar Pathak</v>
      </c>
      <c r="C1651" s="115" t="str">
        <f>IFERROR(__xludf.DUMMYFUNCTION("""COMPUTED_VALUE"""),"MYNTRA")</f>
        <v>MYNTRA</v>
      </c>
      <c r="D1651" s="115">
        <f>IFERROR(__xludf.DUMMYFUNCTION("""COMPUTED_VALUE"""),18318.0)</f>
        <v>18318</v>
      </c>
      <c r="E1651" s="115">
        <f>IFERROR(__xludf.DUMMYFUNCTION("""COMPUTED_VALUE"""),5842.0)</f>
        <v>5842</v>
      </c>
      <c r="F1651" s="115">
        <f>IFERROR(__xludf.DUMMYFUNCTION("""COMPUTED_VALUE"""),15136.0)</f>
        <v>15136</v>
      </c>
      <c r="G1651" s="115">
        <f>IFERROR(__xludf.DUMMYFUNCTION("""COMPUTED_VALUE"""),4011.0)</f>
        <v>4011</v>
      </c>
      <c r="H1651" s="116">
        <f>IFERROR(__xludf.DUMMYFUNCTION("""COMPUTED_VALUE"""),45903.0)</f>
        <v>45903</v>
      </c>
      <c r="I1651" s="115" t="str">
        <f>IFERROR(__xludf.DUMMYFUNCTION("""COMPUTED_VALUE"""),"22")</f>
        <v>22</v>
      </c>
      <c r="J1651" s="115" t="str">
        <f>IFERROR(__xludf.DUMMYFUNCTION("""COMPUTED_VALUE"""),"Amit Kumar Pathak2025-09-0322")</f>
        <v>Amit Kumar Pathak2025-09-0322</v>
      </c>
      <c r="K1651" s="115">
        <f>IFERROR(__xludf.DUMMYFUNCTION("""COMPUTED_VALUE"""),24160.0)</f>
        <v>24160</v>
      </c>
    </row>
    <row r="1652">
      <c r="A1652" s="115" t="str">
        <f>IFERROR(__xludf.DUMMYFUNCTION("""COMPUTED_VALUE"""),"NORTH")</f>
        <v>NORTH</v>
      </c>
      <c r="B1652" s="115" t="str">
        <f>IFERROR(__xludf.DUMMYFUNCTION("""COMPUTED_VALUE"""),"Loveleen Singh")</f>
        <v>Loveleen Singh</v>
      </c>
      <c r="C1652" s="115" t="str">
        <f>IFERROR(__xludf.DUMMYFUNCTION("""COMPUTED_VALUE"""),"EXTERNAL")</f>
        <v>EXTERNAL</v>
      </c>
      <c r="D1652" s="115">
        <f>IFERROR(__xludf.DUMMYFUNCTION("""COMPUTED_VALUE"""),26387.0)</f>
        <v>26387</v>
      </c>
      <c r="E1652" s="115">
        <f>IFERROR(__xludf.DUMMYFUNCTION("""COMPUTED_VALUE"""),2704.0)</f>
        <v>2704</v>
      </c>
      <c r="F1652" s="115">
        <f>IFERROR(__xludf.DUMMYFUNCTION("""COMPUTED_VALUE"""),10207.0)</f>
        <v>10207</v>
      </c>
      <c r="G1652" s="115">
        <f>IFERROR(__xludf.DUMMYFUNCTION("""COMPUTED_VALUE"""),852.0)</f>
        <v>852</v>
      </c>
      <c r="H1652" s="116">
        <f>IFERROR(__xludf.DUMMYFUNCTION("""COMPUTED_VALUE"""),45903.0)</f>
        <v>45903</v>
      </c>
      <c r="I1652" s="115" t="str">
        <f>IFERROR(__xludf.DUMMYFUNCTION("""COMPUTED_VALUE"""),"22")</f>
        <v>22</v>
      </c>
      <c r="J1652" s="115" t="str">
        <f>IFERROR(__xludf.DUMMYFUNCTION("""COMPUTED_VALUE"""),"Loveleen Singh2025-09-0322")</f>
        <v>Loveleen Singh2025-09-0322</v>
      </c>
      <c r="K1652" s="115">
        <f>IFERROR(__xludf.DUMMYFUNCTION("""COMPUTED_VALUE"""),29091.0)</f>
        <v>29091</v>
      </c>
    </row>
    <row r="1653">
      <c r="A1653" s="115" t="str">
        <f>IFERROR(__xludf.DUMMYFUNCTION("""COMPUTED_VALUE"""),"NORTH")</f>
        <v>NORTH</v>
      </c>
      <c r="B1653" s="115" t="str">
        <f>IFERROR(__xludf.DUMMYFUNCTION("""COMPUTED_VALUE"""),"Loveleen Singh")</f>
        <v>Loveleen Singh</v>
      </c>
      <c r="C1653" s="115" t="str">
        <f>IFERROR(__xludf.DUMMYFUNCTION("""COMPUTED_VALUE"""),"FLIPKART")</f>
        <v>FLIPKART</v>
      </c>
      <c r="D1653" s="115">
        <f>IFERROR(__xludf.DUMMYFUNCTION("""COMPUTED_VALUE"""),140097.0)</f>
        <v>140097</v>
      </c>
      <c r="E1653" s="115">
        <f>IFERROR(__xludf.DUMMYFUNCTION("""COMPUTED_VALUE"""),13728.0)</f>
        <v>13728</v>
      </c>
      <c r="F1653" s="115">
        <f>IFERROR(__xludf.DUMMYFUNCTION("""COMPUTED_VALUE"""),103455.0)</f>
        <v>103455</v>
      </c>
      <c r="G1653" s="115">
        <f>IFERROR(__xludf.DUMMYFUNCTION("""COMPUTED_VALUE"""),9184.0)</f>
        <v>9184</v>
      </c>
      <c r="H1653" s="116">
        <f>IFERROR(__xludf.DUMMYFUNCTION("""COMPUTED_VALUE"""),45903.0)</f>
        <v>45903</v>
      </c>
      <c r="I1653" s="115" t="str">
        <f>IFERROR(__xludf.DUMMYFUNCTION("""COMPUTED_VALUE"""),"22")</f>
        <v>22</v>
      </c>
      <c r="J1653" s="115" t="str">
        <f>IFERROR(__xludf.DUMMYFUNCTION("""COMPUTED_VALUE"""),"Loveleen Singh2025-09-0322")</f>
        <v>Loveleen Singh2025-09-0322</v>
      </c>
      <c r="K1653" s="115">
        <f>IFERROR(__xludf.DUMMYFUNCTION("""COMPUTED_VALUE"""),153825.0)</f>
        <v>153825</v>
      </c>
    </row>
    <row r="1654">
      <c r="A1654" s="115" t="str">
        <f>IFERROR(__xludf.DUMMYFUNCTION("""COMPUTED_VALUE"""),"NORTH")</f>
        <v>NORTH</v>
      </c>
      <c r="B1654" s="115" t="str">
        <f>IFERROR(__xludf.DUMMYFUNCTION("""COMPUTED_VALUE"""),"Loveleen Singh")</f>
        <v>Loveleen Singh</v>
      </c>
      <c r="C1654" s="115" t="str">
        <f>IFERROR(__xludf.DUMMYFUNCTION("""COMPUTED_VALUE"""),"MYNTRA")</f>
        <v>MYNTRA</v>
      </c>
      <c r="D1654" s="115">
        <f>IFERROR(__xludf.DUMMYFUNCTION("""COMPUTED_VALUE"""),21869.0)</f>
        <v>21869</v>
      </c>
      <c r="E1654" s="115">
        <f>IFERROR(__xludf.DUMMYFUNCTION("""COMPUTED_VALUE"""),5439.0)</f>
        <v>5439</v>
      </c>
      <c r="F1654" s="115">
        <f>IFERROR(__xludf.DUMMYFUNCTION("""COMPUTED_VALUE"""),17852.0)</f>
        <v>17852</v>
      </c>
      <c r="G1654" s="115">
        <f>IFERROR(__xludf.DUMMYFUNCTION("""COMPUTED_VALUE"""),3942.0)</f>
        <v>3942</v>
      </c>
      <c r="H1654" s="116">
        <f>IFERROR(__xludf.DUMMYFUNCTION("""COMPUTED_VALUE"""),45903.0)</f>
        <v>45903</v>
      </c>
      <c r="I1654" s="115" t="str">
        <f>IFERROR(__xludf.DUMMYFUNCTION("""COMPUTED_VALUE"""),"22")</f>
        <v>22</v>
      </c>
      <c r="J1654" s="115" t="str">
        <f>IFERROR(__xludf.DUMMYFUNCTION("""COMPUTED_VALUE"""),"Loveleen Singh2025-09-0322")</f>
        <v>Loveleen Singh2025-09-0322</v>
      </c>
      <c r="K1654" s="115">
        <f>IFERROR(__xludf.DUMMYFUNCTION("""COMPUTED_VALUE"""),27308.0)</f>
        <v>27308</v>
      </c>
    </row>
    <row r="1655">
      <c r="A1655" s="115" t="str">
        <f>IFERROR(__xludf.DUMMYFUNCTION("""COMPUTED_VALUE"""),"NORTH")</f>
        <v>NORTH</v>
      </c>
      <c r="B1655" s="115" t="str">
        <f>IFERROR(__xludf.DUMMYFUNCTION("""COMPUTED_VALUE"""),"Manoj Harsh")</f>
        <v>Manoj Harsh</v>
      </c>
      <c r="C1655" s="115" t="str">
        <f>IFERROR(__xludf.DUMMYFUNCTION("""COMPUTED_VALUE"""),"EXTERNAL")</f>
        <v>EXTERNAL</v>
      </c>
      <c r="D1655" s="115">
        <f>IFERROR(__xludf.DUMMYFUNCTION("""COMPUTED_VALUE"""),32761.0)</f>
        <v>32761</v>
      </c>
      <c r="E1655" s="115">
        <f>IFERROR(__xludf.DUMMYFUNCTION("""COMPUTED_VALUE"""),4724.0)</f>
        <v>4724</v>
      </c>
      <c r="F1655" s="115">
        <f>IFERROR(__xludf.DUMMYFUNCTION("""COMPUTED_VALUE"""),13546.0)</f>
        <v>13546</v>
      </c>
      <c r="G1655" s="115">
        <f>IFERROR(__xludf.DUMMYFUNCTION("""COMPUTED_VALUE"""),1640.0)</f>
        <v>1640</v>
      </c>
      <c r="H1655" s="116">
        <f>IFERROR(__xludf.DUMMYFUNCTION("""COMPUTED_VALUE"""),45903.0)</f>
        <v>45903</v>
      </c>
      <c r="I1655" s="115" t="str">
        <f>IFERROR(__xludf.DUMMYFUNCTION("""COMPUTED_VALUE"""),"22")</f>
        <v>22</v>
      </c>
      <c r="J1655" s="115" t="str">
        <f>IFERROR(__xludf.DUMMYFUNCTION("""COMPUTED_VALUE"""),"Manoj Harsh2025-09-0322")</f>
        <v>Manoj Harsh2025-09-0322</v>
      </c>
      <c r="K1655" s="115">
        <f>IFERROR(__xludf.DUMMYFUNCTION("""COMPUTED_VALUE"""),37485.0)</f>
        <v>37485</v>
      </c>
    </row>
    <row r="1656">
      <c r="A1656" s="115" t="str">
        <f>IFERROR(__xludf.DUMMYFUNCTION("""COMPUTED_VALUE"""),"NORTH")</f>
        <v>NORTH</v>
      </c>
      <c r="B1656" s="115" t="str">
        <f>IFERROR(__xludf.DUMMYFUNCTION("""COMPUTED_VALUE"""),"Manoj Harsh")</f>
        <v>Manoj Harsh</v>
      </c>
      <c r="C1656" s="115" t="str">
        <f>IFERROR(__xludf.DUMMYFUNCTION("""COMPUTED_VALUE"""),"FLIPKART")</f>
        <v>FLIPKART</v>
      </c>
      <c r="D1656" s="115">
        <f>IFERROR(__xludf.DUMMYFUNCTION("""COMPUTED_VALUE"""),391297.0)</f>
        <v>391297</v>
      </c>
      <c r="E1656" s="115">
        <f>IFERROR(__xludf.DUMMYFUNCTION("""COMPUTED_VALUE"""),41786.0)</f>
        <v>41786</v>
      </c>
      <c r="F1656" s="115">
        <f>IFERROR(__xludf.DUMMYFUNCTION("""COMPUTED_VALUE"""),290326.0)</f>
        <v>290326</v>
      </c>
      <c r="G1656" s="115">
        <f>IFERROR(__xludf.DUMMYFUNCTION("""COMPUTED_VALUE"""),29233.0)</f>
        <v>29233</v>
      </c>
      <c r="H1656" s="116">
        <f>IFERROR(__xludf.DUMMYFUNCTION("""COMPUTED_VALUE"""),45903.0)</f>
        <v>45903</v>
      </c>
      <c r="I1656" s="115" t="str">
        <f>IFERROR(__xludf.DUMMYFUNCTION("""COMPUTED_VALUE"""),"22")</f>
        <v>22</v>
      </c>
      <c r="J1656" s="115" t="str">
        <f>IFERROR(__xludf.DUMMYFUNCTION("""COMPUTED_VALUE"""),"Manoj Harsh2025-09-0322")</f>
        <v>Manoj Harsh2025-09-0322</v>
      </c>
      <c r="K1656" s="115">
        <f>IFERROR(__xludf.DUMMYFUNCTION("""COMPUTED_VALUE"""),433083.0)</f>
        <v>433083</v>
      </c>
    </row>
    <row r="1657">
      <c r="A1657" s="115" t="str">
        <f>IFERROR(__xludf.DUMMYFUNCTION("""COMPUTED_VALUE"""),"NORTH")</f>
        <v>NORTH</v>
      </c>
      <c r="B1657" s="115" t="str">
        <f>IFERROR(__xludf.DUMMYFUNCTION("""COMPUTED_VALUE"""),"Manoj Harsh")</f>
        <v>Manoj Harsh</v>
      </c>
      <c r="C1657" s="115" t="str">
        <f>IFERROR(__xludf.DUMMYFUNCTION("""COMPUTED_VALUE"""),"MYNTRA")</f>
        <v>MYNTRA</v>
      </c>
      <c r="D1657" s="115">
        <f>IFERROR(__xludf.DUMMYFUNCTION("""COMPUTED_VALUE"""),34535.0)</f>
        <v>34535</v>
      </c>
      <c r="E1657" s="115">
        <f>IFERROR(__xludf.DUMMYFUNCTION("""COMPUTED_VALUE"""),8215.0)</f>
        <v>8215</v>
      </c>
      <c r="F1657" s="115">
        <f>IFERROR(__xludf.DUMMYFUNCTION("""COMPUTED_VALUE"""),27655.0)</f>
        <v>27655</v>
      </c>
      <c r="G1657" s="115">
        <f>IFERROR(__xludf.DUMMYFUNCTION("""COMPUTED_VALUE"""),6011.0)</f>
        <v>6011</v>
      </c>
      <c r="H1657" s="116">
        <f>IFERROR(__xludf.DUMMYFUNCTION("""COMPUTED_VALUE"""),45903.0)</f>
        <v>45903</v>
      </c>
      <c r="I1657" s="115" t="str">
        <f>IFERROR(__xludf.DUMMYFUNCTION("""COMPUTED_VALUE"""),"22")</f>
        <v>22</v>
      </c>
      <c r="J1657" s="115" t="str">
        <f>IFERROR(__xludf.DUMMYFUNCTION("""COMPUTED_VALUE"""),"Manoj Harsh2025-09-0322")</f>
        <v>Manoj Harsh2025-09-0322</v>
      </c>
      <c r="K1657" s="115">
        <f>IFERROR(__xludf.DUMMYFUNCTION("""COMPUTED_VALUE"""),42750.0)</f>
        <v>42750</v>
      </c>
    </row>
    <row r="1658">
      <c r="A1658" s="115" t="str">
        <f>IFERROR(__xludf.DUMMYFUNCTION("""COMPUTED_VALUE"""),"NORTH")</f>
        <v>NORTH</v>
      </c>
      <c r="B1658" s="115" t="str">
        <f>IFERROR(__xludf.DUMMYFUNCTION("""COMPUTED_VALUE"""),"Pradeep Kothari")</f>
        <v>Pradeep Kothari</v>
      </c>
      <c r="C1658" s="115" t="str">
        <f>IFERROR(__xludf.DUMMYFUNCTION("""COMPUTED_VALUE"""),"EXTERNAL")</f>
        <v>EXTERNAL</v>
      </c>
      <c r="D1658" s="115">
        <f>IFERROR(__xludf.DUMMYFUNCTION("""COMPUTED_VALUE"""),17292.0)</f>
        <v>17292</v>
      </c>
      <c r="E1658" s="115">
        <f>IFERROR(__xludf.DUMMYFUNCTION("""COMPUTED_VALUE"""),2735.0)</f>
        <v>2735</v>
      </c>
      <c r="F1658" s="115">
        <f>IFERROR(__xludf.DUMMYFUNCTION("""COMPUTED_VALUE"""),6901.0)</f>
        <v>6901</v>
      </c>
      <c r="G1658" s="115">
        <f>IFERROR(__xludf.DUMMYFUNCTION("""COMPUTED_VALUE"""),1064.0)</f>
        <v>1064</v>
      </c>
      <c r="H1658" s="116">
        <f>IFERROR(__xludf.DUMMYFUNCTION("""COMPUTED_VALUE"""),45903.0)</f>
        <v>45903</v>
      </c>
      <c r="I1658" s="115" t="str">
        <f>IFERROR(__xludf.DUMMYFUNCTION("""COMPUTED_VALUE"""),"22")</f>
        <v>22</v>
      </c>
      <c r="J1658" s="115" t="str">
        <f>IFERROR(__xludf.DUMMYFUNCTION("""COMPUTED_VALUE"""),"Pradeep Kothari2025-09-0322")</f>
        <v>Pradeep Kothari2025-09-0322</v>
      </c>
      <c r="K1658" s="115">
        <f>IFERROR(__xludf.DUMMYFUNCTION("""COMPUTED_VALUE"""),20027.0)</f>
        <v>20027</v>
      </c>
    </row>
    <row r="1659">
      <c r="A1659" s="115" t="str">
        <f>IFERROR(__xludf.DUMMYFUNCTION("""COMPUTED_VALUE"""),"NORTH")</f>
        <v>NORTH</v>
      </c>
      <c r="B1659" s="115" t="str">
        <f>IFERROR(__xludf.DUMMYFUNCTION("""COMPUTED_VALUE"""),"Pradeep Kothari")</f>
        <v>Pradeep Kothari</v>
      </c>
      <c r="C1659" s="115" t="str">
        <f>IFERROR(__xludf.DUMMYFUNCTION("""COMPUTED_VALUE"""),"FLIPKART")</f>
        <v>FLIPKART</v>
      </c>
      <c r="D1659" s="115">
        <f>IFERROR(__xludf.DUMMYFUNCTION("""COMPUTED_VALUE"""),138466.0)</f>
        <v>138466</v>
      </c>
      <c r="E1659" s="115">
        <f>IFERROR(__xludf.DUMMYFUNCTION("""COMPUTED_VALUE"""),16256.0)</f>
        <v>16256</v>
      </c>
      <c r="F1659" s="115">
        <f>IFERROR(__xludf.DUMMYFUNCTION("""COMPUTED_VALUE"""),104005.0)</f>
        <v>104005</v>
      </c>
      <c r="G1659" s="115">
        <f>IFERROR(__xludf.DUMMYFUNCTION("""COMPUTED_VALUE"""),10933.0)</f>
        <v>10933</v>
      </c>
      <c r="H1659" s="116">
        <f>IFERROR(__xludf.DUMMYFUNCTION("""COMPUTED_VALUE"""),45903.0)</f>
        <v>45903</v>
      </c>
      <c r="I1659" s="115" t="str">
        <f>IFERROR(__xludf.DUMMYFUNCTION("""COMPUTED_VALUE"""),"22")</f>
        <v>22</v>
      </c>
      <c r="J1659" s="115" t="str">
        <f>IFERROR(__xludf.DUMMYFUNCTION("""COMPUTED_VALUE"""),"Pradeep Kothari2025-09-0322")</f>
        <v>Pradeep Kothari2025-09-0322</v>
      </c>
      <c r="K1659" s="115">
        <f>IFERROR(__xludf.DUMMYFUNCTION("""COMPUTED_VALUE"""),154722.0)</f>
        <v>154722</v>
      </c>
    </row>
    <row r="1660">
      <c r="A1660" s="115" t="str">
        <f>IFERROR(__xludf.DUMMYFUNCTION("""COMPUTED_VALUE"""),"NORTH")</f>
        <v>NORTH</v>
      </c>
      <c r="B1660" s="115" t="str">
        <f>IFERROR(__xludf.DUMMYFUNCTION("""COMPUTED_VALUE"""),"Pradeep Kothari")</f>
        <v>Pradeep Kothari</v>
      </c>
      <c r="C1660" s="115" t="str">
        <f>IFERROR(__xludf.DUMMYFUNCTION("""COMPUTED_VALUE"""),"MYNTRA")</f>
        <v>MYNTRA</v>
      </c>
      <c r="D1660" s="115">
        <f>IFERROR(__xludf.DUMMYFUNCTION("""COMPUTED_VALUE"""),22252.0)</f>
        <v>22252</v>
      </c>
      <c r="E1660" s="115">
        <f>IFERROR(__xludf.DUMMYFUNCTION("""COMPUTED_VALUE"""),6200.0)</f>
        <v>6200</v>
      </c>
      <c r="F1660" s="115">
        <f>IFERROR(__xludf.DUMMYFUNCTION("""COMPUTED_VALUE"""),18474.0)</f>
        <v>18474</v>
      </c>
      <c r="G1660" s="115">
        <f>IFERROR(__xludf.DUMMYFUNCTION("""COMPUTED_VALUE"""),4619.0)</f>
        <v>4619</v>
      </c>
      <c r="H1660" s="116">
        <f>IFERROR(__xludf.DUMMYFUNCTION("""COMPUTED_VALUE"""),45903.0)</f>
        <v>45903</v>
      </c>
      <c r="I1660" s="115" t="str">
        <f>IFERROR(__xludf.DUMMYFUNCTION("""COMPUTED_VALUE"""),"22")</f>
        <v>22</v>
      </c>
      <c r="J1660" s="115" t="str">
        <f>IFERROR(__xludf.DUMMYFUNCTION("""COMPUTED_VALUE"""),"Pradeep Kothari2025-09-0322")</f>
        <v>Pradeep Kothari2025-09-0322</v>
      </c>
      <c r="K1660" s="115">
        <f>IFERROR(__xludf.DUMMYFUNCTION("""COMPUTED_VALUE"""),28452.0)</f>
        <v>28452</v>
      </c>
    </row>
    <row r="1661">
      <c r="A1661" s="115" t="str">
        <f>IFERROR(__xludf.DUMMYFUNCTION("""COMPUTED_VALUE"""),"SOUTH")</f>
        <v>SOUTH</v>
      </c>
      <c r="B1661" s="115" t="str">
        <f>IFERROR(__xludf.DUMMYFUNCTION("""COMPUTED_VALUE"""),"Kandula Sampath")</f>
        <v>Kandula Sampath</v>
      </c>
      <c r="C1661" s="115" t="str">
        <f>IFERROR(__xludf.DUMMYFUNCTION("""COMPUTED_VALUE"""),"EXTERNAL")</f>
        <v>EXTERNAL</v>
      </c>
      <c r="D1661" s="115">
        <f>IFERROR(__xludf.DUMMYFUNCTION("""COMPUTED_VALUE"""),36078.0)</f>
        <v>36078</v>
      </c>
      <c r="E1661" s="115">
        <f>IFERROR(__xludf.DUMMYFUNCTION("""COMPUTED_VALUE"""),5828.0)</f>
        <v>5828</v>
      </c>
      <c r="F1661" s="115">
        <f>IFERROR(__xludf.DUMMYFUNCTION("""COMPUTED_VALUE"""),15510.0)</f>
        <v>15510</v>
      </c>
      <c r="G1661" s="115">
        <f>IFERROR(__xludf.DUMMYFUNCTION("""COMPUTED_VALUE"""),1844.0)</f>
        <v>1844</v>
      </c>
      <c r="H1661" s="116">
        <f>IFERROR(__xludf.DUMMYFUNCTION("""COMPUTED_VALUE"""),45903.0)</f>
        <v>45903</v>
      </c>
      <c r="I1661" s="115" t="str">
        <f>IFERROR(__xludf.DUMMYFUNCTION("""COMPUTED_VALUE"""),"22")</f>
        <v>22</v>
      </c>
      <c r="J1661" s="115" t="str">
        <f>IFERROR(__xludf.DUMMYFUNCTION("""COMPUTED_VALUE"""),"Kandula Sampath2025-09-0322")</f>
        <v>Kandula Sampath2025-09-0322</v>
      </c>
      <c r="K1661" s="115">
        <f>IFERROR(__xludf.DUMMYFUNCTION("""COMPUTED_VALUE"""),41906.0)</f>
        <v>41906</v>
      </c>
    </row>
    <row r="1662">
      <c r="A1662" s="115" t="str">
        <f>IFERROR(__xludf.DUMMYFUNCTION("""COMPUTED_VALUE"""),"SOUTH")</f>
        <v>SOUTH</v>
      </c>
      <c r="B1662" s="115" t="str">
        <f>IFERROR(__xludf.DUMMYFUNCTION("""COMPUTED_VALUE"""),"Kandula Sampath")</f>
        <v>Kandula Sampath</v>
      </c>
      <c r="C1662" s="115" t="str">
        <f>IFERROR(__xludf.DUMMYFUNCTION("""COMPUTED_VALUE"""),"FLIPKART")</f>
        <v>FLIPKART</v>
      </c>
      <c r="D1662" s="115">
        <f>IFERROR(__xludf.DUMMYFUNCTION("""COMPUTED_VALUE"""),307120.0)</f>
        <v>307120</v>
      </c>
      <c r="E1662" s="115">
        <f>IFERROR(__xludf.DUMMYFUNCTION("""COMPUTED_VALUE"""),33533.0)</f>
        <v>33533</v>
      </c>
      <c r="F1662" s="115">
        <f>IFERROR(__xludf.DUMMYFUNCTION("""COMPUTED_VALUE"""),229435.0)</f>
        <v>229435</v>
      </c>
      <c r="G1662" s="115">
        <f>IFERROR(__xludf.DUMMYFUNCTION("""COMPUTED_VALUE"""),22258.0)</f>
        <v>22258</v>
      </c>
      <c r="H1662" s="116">
        <f>IFERROR(__xludf.DUMMYFUNCTION("""COMPUTED_VALUE"""),45903.0)</f>
        <v>45903</v>
      </c>
      <c r="I1662" s="115" t="str">
        <f>IFERROR(__xludf.DUMMYFUNCTION("""COMPUTED_VALUE"""),"22")</f>
        <v>22</v>
      </c>
      <c r="J1662" s="115" t="str">
        <f>IFERROR(__xludf.DUMMYFUNCTION("""COMPUTED_VALUE"""),"Kandula Sampath2025-09-0322")</f>
        <v>Kandula Sampath2025-09-0322</v>
      </c>
      <c r="K1662" s="115">
        <f>IFERROR(__xludf.DUMMYFUNCTION("""COMPUTED_VALUE"""),340653.0)</f>
        <v>340653</v>
      </c>
    </row>
    <row r="1663">
      <c r="A1663" s="115" t="str">
        <f>IFERROR(__xludf.DUMMYFUNCTION("""COMPUTED_VALUE"""),"SOUTH")</f>
        <v>SOUTH</v>
      </c>
      <c r="B1663" s="115" t="str">
        <f>IFERROR(__xludf.DUMMYFUNCTION("""COMPUTED_VALUE"""),"Kandula Sampath")</f>
        <v>Kandula Sampath</v>
      </c>
      <c r="C1663" s="115" t="str">
        <f>IFERROR(__xludf.DUMMYFUNCTION("""COMPUTED_VALUE"""),"MYNTRA")</f>
        <v>MYNTRA</v>
      </c>
      <c r="D1663" s="115">
        <f>IFERROR(__xludf.DUMMYFUNCTION("""COMPUTED_VALUE"""),29921.0)</f>
        <v>29921</v>
      </c>
      <c r="E1663" s="115">
        <f>IFERROR(__xludf.DUMMYFUNCTION("""COMPUTED_VALUE"""),8661.0)</f>
        <v>8661</v>
      </c>
      <c r="F1663" s="115">
        <f>IFERROR(__xludf.DUMMYFUNCTION("""COMPUTED_VALUE"""),24357.0)</f>
        <v>24357</v>
      </c>
      <c r="G1663" s="115">
        <f>IFERROR(__xludf.DUMMYFUNCTION("""COMPUTED_VALUE"""),6053.0)</f>
        <v>6053</v>
      </c>
      <c r="H1663" s="116">
        <f>IFERROR(__xludf.DUMMYFUNCTION("""COMPUTED_VALUE"""),45903.0)</f>
        <v>45903</v>
      </c>
      <c r="I1663" s="115" t="str">
        <f>IFERROR(__xludf.DUMMYFUNCTION("""COMPUTED_VALUE"""),"22")</f>
        <v>22</v>
      </c>
      <c r="J1663" s="115" t="str">
        <f>IFERROR(__xludf.DUMMYFUNCTION("""COMPUTED_VALUE"""),"Kandula Sampath2025-09-0322")</f>
        <v>Kandula Sampath2025-09-0322</v>
      </c>
      <c r="K1663" s="115">
        <f>IFERROR(__xludf.DUMMYFUNCTION("""COMPUTED_VALUE"""),38582.0)</f>
        <v>38582</v>
      </c>
    </row>
    <row r="1664">
      <c r="A1664" s="115" t="str">
        <f>IFERROR(__xludf.DUMMYFUNCTION("""COMPUTED_VALUE"""),"SOUTH")</f>
        <v>SOUTH</v>
      </c>
      <c r="B1664" s="115" t="str">
        <f>IFERROR(__xludf.DUMMYFUNCTION("""COMPUTED_VALUE"""),"Martin A")</f>
        <v>Martin A</v>
      </c>
      <c r="C1664" s="115" t="str">
        <f>IFERROR(__xludf.DUMMYFUNCTION("""COMPUTED_VALUE"""),"EXTERNAL")</f>
        <v>EXTERNAL</v>
      </c>
      <c r="D1664" s="115">
        <f>IFERROR(__xludf.DUMMYFUNCTION("""COMPUTED_VALUE"""),36020.0)</f>
        <v>36020</v>
      </c>
      <c r="E1664" s="115">
        <f>IFERROR(__xludf.DUMMYFUNCTION("""COMPUTED_VALUE"""),3867.0)</f>
        <v>3867</v>
      </c>
      <c r="F1664" s="115">
        <f>IFERROR(__xludf.DUMMYFUNCTION("""COMPUTED_VALUE"""),15243.0)</f>
        <v>15243</v>
      </c>
      <c r="G1664" s="115">
        <f>IFERROR(__xludf.DUMMYFUNCTION("""COMPUTED_VALUE"""),1546.0)</f>
        <v>1546</v>
      </c>
      <c r="H1664" s="116">
        <f>IFERROR(__xludf.DUMMYFUNCTION("""COMPUTED_VALUE"""),45903.0)</f>
        <v>45903</v>
      </c>
      <c r="I1664" s="115" t="str">
        <f>IFERROR(__xludf.DUMMYFUNCTION("""COMPUTED_VALUE"""),"22")</f>
        <v>22</v>
      </c>
      <c r="J1664" s="115" t="str">
        <f>IFERROR(__xludf.DUMMYFUNCTION("""COMPUTED_VALUE"""),"Martin A2025-09-0322")</f>
        <v>Martin A2025-09-0322</v>
      </c>
      <c r="K1664" s="115">
        <f>IFERROR(__xludf.DUMMYFUNCTION("""COMPUTED_VALUE"""),39887.0)</f>
        <v>39887</v>
      </c>
    </row>
    <row r="1665">
      <c r="A1665" s="115" t="str">
        <f>IFERROR(__xludf.DUMMYFUNCTION("""COMPUTED_VALUE"""),"SOUTH")</f>
        <v>SOUTH</v>
      </c>
      <c r="B1665" s="115" t="str">
        <f>IFERROR(__xludf.DUMMYFUNCTION("""COMPUTED_VALUE"""),"Martin A")</f>
        <v>Martin A</v>
      </c>
      <c r="C1665" s="115" t="str">
        <f>IFERROR(__xludf.DUMMYFUNCTION("""COMPUTED_VALUE"""),"FLIPKART")</f>
        <v>FLIPKART</v>
      </c>
      <c r="D1665" s="115">
        <f>IFERROR(__xludf.DUMMYFUNCTION("""COMPUTED_VALUE"""),284030.0)</f>
        <v>284030</v>
      </c>
      <c r="E1665" s="115">
        <f>IFERROR(__xludf.DUMMYFUNCTION("""COMPUTED_VALUE"""),28766.0)</f>
        <v>28766</v>
      </c>
      <c r="F1665" s="115">
        <f>IFERROR(__xludf.DUMMYFUNCTION("""COMPUTED_VALUE"""),209200.0)</f>
        <v>209200</v>
      </c>
      <c r="G1665" s="115">
        <f>IFERROR(__xludf.DUMMYFUNCTION("""COMPUTED_VALUE"""),19105.0)</f>
        <v>19105</v>
      </c>
      <c r="H1665" s="116">
        <f>IFERROR(__xludf.DUMMYFUNCTION("""COMPUTED_VALUE"""),45903.0)</f>
        <v>45903</v>
      </c>
      <c r="I1665" s="115" t="str">
        <f>IFERROR(__xludf.DUMMYFUNCTION("""COMPUTED_VALUE"""),"22")</f>
        <v>22</v>
      </c>
      <c r="J1665" s="115" t="str">
        <f>IFERROR(__xludf.DUMMYFUNCTION("""COMPUTED_VALUE"""),"Martin A2025-09-0322")</f>
        <v>Martin A2025-09-0322</v>
      </c>
      <c r="K1665" s="115">
        <f>IFERROR(__xludf.DUMMYFUNCTION("""COMPUTED_VALUE"""),312796.0)</f>
        <v>312796</v>
      </c>
    </row>
    <row r="1666">
      <c r="A1666" s="115" t="str">
        <f>IFERROR(__xludf.DUMMYFUNCTION("""COMPUTED_VALUE"""),"SOUTH")</f>
        <v>SOUTH</v>
      </c>
      <c r="B1666" s="115" t="str">
        <f>IFERROR(__xludf.DUMMYFUNCTION("""COMPUTED_VALUE"""),"Martin A")</f>
        <v>Martin A</v>
      </c>
      <c r="C1666" s="115" t="str">
        <f>IFERROR(__xludf.DUMMYFUNCTION("""COMPUTED_VALUE"""),"MYNTRA")</f>
        <v>MYNTRA</v>
      </c>
      <c r="D1666" s="115">
        <f>IFERROR(__xludf.DUMMYFUNCTION("""COMPUTED_VALUE"""),24875.0)</f>
        <v>24875</v>
      </c>
      <c r="E1666" s="115">
        <f>IFERROR(__xludf.DUMMYFUNCTION("""COMPUTED_VALUE"""),7059.0)</f>
        <v>7059</v>
      </c>
      <c r="F1666" s="115">
        <f>IFERROR(__xludf.DUMMYFUNCTION("""COMPUTED_VALUE"""),20812.0)</f>
        <v>20812</v>
      </c>
      <c r="G1666" s="115">
        <f>IFERROR(__xludf.DUMMYFUNCTION("""COMPUTED_VALUE"""),4937.0)</f>
        <v>4937</v>
      </c>
      <c r="H1666" s="116">
        <f>IFERROR(__xludf.DUMMYFUNCTION("""COMPUTED_VALUE"""),45903.0)</f>
        <v>45903</v>
      </c>
      <c r="I1666" s="115" t="str">
        <f>IFERROR(__xludf.DUMMYFUNCTION("""COMPUTED_VALUE"""),"22")</f>
        <v>22</v>
      </c>
      <c r="J1666" s="115" t="str">
        <f>IFERROR(__xludf.DUMMYFUNCTION("""COMPUTED_VALUE"""),"Martin A2025-09-0322")</f>
        <v>Martin A2025-09-0322</v>
      </c>
      <c r="K1666" s="115">
        <f>IFERROR(__xludf.DUMMYFUNCTION("""COMPUTED_VALUE"""),31934.0)</f>
        <v>31934</v>
      </c>
    </row>
    <row r="1667">
      <c r="A1667" s="115" t="str">
        <f>IFERROR(__xludf.DUMMYFUNCTION("""COMPUTED_VALUE"""),"SOUTH")</f>
        <v>SOUTH</v>
      </c>
      <c r="B1667" s="115" t="str">
        <f>IFERROR(__xludf.DUMMYFUNCTION("""COMPUTED_VALUE"""),"Premkumar M")</f>
        <v>Premkumar M</v>
      </c>
      <c r="C1667" s="115" t="str">
        <f>IFERROR(__xludf.DUMMYFUNCTION("""COMPUTED_VALUE"""),"EXTERNAL")</f>
        <v>EXTERNAL</v>
      </c>
      <c r="D1667" s="115">
        <f>IFERROR(__xludf.DUMMYFUNCTION("""COMPUTED_VALUE"""),29684.0)</f>
        <v>29684</v>
      </c>
      <c r="E1667" s="115">
        <f>IFERROR(__xludf.DUMMYFUNCTION("""COMPUTED_VALUE"""),2869.0)</f>
        <v>2869</v>
      </c>
      <c r="F1667" s="115">
        <f>IFERROR(__xludf.DUMMYFUNCTION("""COMPUTED_VALUE"""),15603.0)</f>
        <v>15603</v>
      </c>
      <c r="G1667" s="115">
        <f>IFERROR(__xludf.DUMMYFUNCTION("""COMPUTED_VALUE"""),1187.0)</f>
        <v>1187</v>
      </c>
      <c r="H1667" s="116">
        <f>IFERROR(__xludf.DUMMYFUNCTION("""COMPUTED_VALUE"""),45903.0)</f>
        <v>45903</v>
      </c>
      <c r="I1667" s="115" t="str">
        <f>IFERROR(__xludf.DUMMYFUNCTION("""COMPUTED_VALUE"""),"22")</f>
        <v>22</v>
      </c>
      <c r="J1667" s="115" t="str">
        <f>IFERROR(__xludf.DUMMYFUNCTION("""COMPUTED_VALUE"""),"Premkumar M2025-09-0322")</f>
        <v>Premkumar M2025-09-0322</v>
      </c>
      <c r="K1667" s="115">
        <f>IFERROR(__xludf.DUMMYFUNCTION("""COMPUTED_VALUE"""),32553.0)</f>
        <v>32553</v>
      </c>
    </row>
    <row r="1668">
      <c r="A1668" s="115" t="str">
        <f>IFERROR(__xludf.DUMMYFUNCTION("""COMPUTED_VALUE"""),"SOUTH")</f>
        <v>SOUTH</v>
      </c>
      <c r="B1668" s="115" t="str">
        <f>IFERROR(__xludf.DUMMYFUNCTION("""COMPUTED_VALUE"""),"Premkumar M")</f>
        <v>Premkumar M</v>
      </c>
      <c r="C1668" s="115" t="str">
        <f>IFERROR(__xludf.DUMMYFUNCTION("""COMPUTED_VALUE"""),"FLIPKART")</f>
        <v>FLIPKART</v>
      </c>
      <c r="D1668" s="115">
        <f>IFERROR(__xludf.DUMMYFUNCTION("""COMPUTED_VALUE"""),262373.0)</f>
        <v>262373</v>
      </c>
      <c r="E1668" s="115">
        <f>IFERROR(__xludf.DUMMYFUNCTION("""COMPUTED_VALUE"""),20148.0)</f>
        <v>20148</v>
      </c>
      <c r="F1668" s="115">
        <f>IFERROR(__xludf.DUMMYFUNCTION("""COMPUTED_VALUE"""),206549.0)</f>
        <v>206549</v>
      </c>
      <c r="G1668" s="115">
        <f>IFERROR(__xludf.DUMMYFUNCTION("""COMPUTED_VALUE"""),12235.0)</f>
        <v>12235</v>
      </c>
      <c r="H1668" s="116">
        <f>IFERROR(__xludf.DUMMYFUNCTION("""COMPUTED_VALUE"""),45903.0)</f>
        <v>45903</v>
      </c>
      <c r="I1668" s="115" t="str">
        <f>IFERROR(__xludf.DUMMYFUNCTION("""COMPUTED_VALUE"""),"22")</f>
        <v>22</v>
      </c>
      <c r="J1668" s="115" t="str">
        <f>IFERROR(__xludf.DUMMYFUNCTION("""COMPUTED_VALUE"""),"Premkumar M2025-09-0322")</f>
        <v>Premkumar M2025-09-0322</v>
      </c>
      <c r="K1668" s="115">
        <f>IFERROR(__xludf.DUMMYFUNCTION("""COMPUTED_VALUE"""),282521.0)</f>
        <v>282521</v>
      </c>
    </row>
    <row r="1669">
      <c r="A1669" s="115" t="str">
        <f>IFERROR(__xludf.DUMMYFUNCTION("""COMPUTED_VALUE"""),"SOUTH")</f>
        <v>SOUTH</v>
      </c>
      <c r="B1669" s="115" t="str">
        <f>IFERROR(__xludf.DUMMYFUNCTION("""COMPUTED_VALUE"""),"Premkumar M")</f>
        <v>Premkumar M</v>
      </c>
      <c r="C1669" s="115" t="str">
        <f>IFERROR(__xludf.DUMMYFUNCTION("""COMPUTED_VALUE"""),"MYNTRA")</f>
        <v>MYNTRA</v>
      </c>
      <c r="D1669" s="115">
        <f>IFERROR(__xludf.DUMMYFUNCTION("""COMPUTED_VALUE"""),13981.0)</f>
        <v>13981</v>
      </c>
      <c r="E1669" s="115">
        <f>IFERROR(__xludf.DUMMYFUNCTION("""COMPUTED_VALUE"""),2989.0)</f>
        <v>2989</v>
      </c>
      <c r="F1669" s="115">
        <f>IFERROR(__xludf.DUMMYFUNCTION("""COMPUTED_VALUE"""),12076.0)</f>
        <v>12076</v>
      </c>
      <c r="G1669" s="115">
        <f>IFERROR(__xludf.DUMMYFUNCTION("""COMPUTED_VALUE"""),1933.0)</f>
        <v>1933</v>
      </c>
      <c r="H1669" s="116">
        <f>IFERROR(__xludf.DUMMYFUNCTION("""COMPUTED_VALUE"""),45903.0)</f>
        <v>45903</v>
      </c>
      <c r="I1669" s="115" t="str">
        <f>IFERROR(__xludf.DUMMYFUNCTION("""COMPUTED_VALUE"""),"22")</f>
        <v>22</v>
      </c>
      <c r="J1669" s="115" t="str">
        <f>IFERROR(__xludf.DUMMYFUNCTION("""COMPUTED_VALUE"""),"Premkumar M2025-09-0322")</f>
        <v>Premkumar M2025-09-0322</v>
      </c>
      <c r="K1669" s="115">
        <f>IFERROR(__xludf.DUMMYFUNCTION("""COMPUTED_VALUE"""),16970.0)</f>
        <v>16970</v>
      </c>
    </row>
    <row r="1670">
      <c r="A1670" s="115" t="str">
        <f>IFERROR(__xludf.DUMMYFUNCTION("""COMPUTED_VALUE"""),"SOUTH")</f>
        <v>SOUTH</v>
      </c>
      <c r="B1670" s="115" t="str">
        <f>IFERROR(__xludf.DUMMYFUNCTION("""COMPUTED_VALUE"""),"Vineeth V")</f>
        <v>Vineeth V</v>
      </c>
      <c r="C1670" s="115" t="str">
        <f>IFERROR(__xludf.DUMMYFUNCTION("""COMPUTED_VALUE"""),"EXTERNAL")</f>
        <v>EXTERNAL</v>
      </c>
      <c r="D1670" s="115">
        <f>IFERROR(__xludf.DUMMYFUNCTION("""COMPUTED_VALUE"""),22345.0)</f>
        <v>22345</v>
      </c>
      <c r="E1670" s="115">
        <f>IFERROR(__xludf.DUMMYFUNCTION("""COMPUTED_VALUE"""),941.0)</f>
        <v>941</v>
      </c>
      <c r="F1670" s="115">
        <f>IFERROR(__xludf.DUMMYFUNCTION("""COMPUTED_VALUE"""),12195.0)</f>
        <v>12195</v>
      </c>
      <c r="G1670" s="115">
        <f>IFERROR(__xludf.DUMMYFUNCTION("""COMPUTED_VALUE"""),575.0)</f>
        <v>575</v>
      </c>
      <c r="H1670" s="116">
        <f>IFERROR(__xludf.DUMMYFUNCTION("""COMPUTED_VALUE"""),45903.0)</f>
        <v>45903</v>
      </c>
      <c r="I1670" s="115" t="str">
        <f>IFERROR(__xludf.DUMMYFUNCTION("""COMPUTED_VALUE"""),"22")</f>
        <v>22</v>
      </c>
      <c r="J1670" s="115" t="str">
        <f>IFERROR(__xludf.DUMMYFUNCTION("""COMPUTED_VALUE"""),"Vineeth V2025-09-0322")</f>
        <v>Vineeth V2025-09-0322</v>
      </c>
      <c r="K1670" s="115">
        <f>IFERROR(__xludf.DUMMYFUNCTION("""COMPUTED_VALUE"""),23286.0)</f>
        <v>23286</v>
      </c>
    </row>
    <row r="1671">
      <c r="A1671" s="115" t="str">
        <f>IFERROR(__xludf.DUMMYFUNCTION("""COMPUTED_VALUE"""),"SOUTH")</f>
        <v>SOUTH</v>
      </c>
      <c r="B1671" s="115" t="str">
        <f>IFERROR(__xludf.DUMMYFUNCTION("""COMPUTED_VALUE"""),"Vineeth V")</f>
        <v>Vineeth V</v>
      </c>
      <c r="C1671" s="115" t="str">
        <f>IFERROR(__xludf.DUMMYFUNCTION("""COMPUTED_VALUE"""),"FLIPKART")</f>
        <v>FLIPKART</v>
      </c>
      <c r="D1671" s="115">
        <f>IFERROR(__xludf.DUMMYFUNCTION("""COMPUTED_VALUE"""),235181.0)</f>
        <v>235181</v>
      </c>
      <c r="E1671" s="115">
        <f>IFERROR(__xludf.DUMMYFUNCTION("""COMPUTED_VALUE"""),17512.0)</f>
        <v>17512</v>
      </c>
      <c r="F1671" s="115">
        <f>IFERROR(__xludf.DUMMYFUNCTION("""COMPUTED_VALUE"""),196931.0)</f>
        <v>196931</v>
      </c>
      <c r="G1671" s="115">
        <f>IFERROR(__xludf.DUMMYFUNCTION("""COMPUTED_VALUE"""),11061.0)</f>
        <v>11061</v>
      </c>
      <c r="H1671" s="116">
        <f>IFERROR(__xludf.DUMMYFUNCTION("""COMPUTED_VALUE"""),45903.0)</f>
        <v>45903</v>
      </c>
      <c r="I1671" s="115" t="str">
        <f>IFERROR(__xludf.DUMMYFUNCTION("""COMPUTED_VALUE"""),"22")</f>
        <v>22</v>
      </c>
      <c r="J1671" s="115" t="str">
        <f>IFERROR(__xludf.DUMMYFUNCTION("""COMPUTED_VALUE"""),"Vineeth V2025-09-0322")</f>
        <v>Vineeth V2025-09-0322</v>
      </c>
      <c r="K1671" s="115">
        <f>IFERROR(__xludf.DUMMYFUNCTION("""COMPUTED_VALUE"""),252693.0)</f>
        <v>252693</v>
      </c>
    </row>
    <row r="1672">
      <c r="A1672" s="115" t="str">
        <f>IFERROR(__xludf.DUMMYFUNCTION("""COMPUTED_VALUE"""),"SOUTH")</f>
        <v>SOUTH</v>
      </c>
      <c r="B1672" s="115" t="str">
        <f>IFERROR(__xludf.DUMMYFUNCTION("""COMPUTED_VALUE"""),"Vineeth V")</f>
        <v>Vineeth V</v>
      </c>
      <c r="C1672" s="115" t="str">
        <f>IFERROR(__xludf.DUMMYFUNCTION("""COMPUTED_VALUE"""),"MYNTRA")</f>
        <v>MYNTRA</v>
      </c>
      <c r="D1672" s="115">
        <f>IFERROR(__xludf.DUMMYFUNCTION("""COMPUTED_VALUE"""),22856.0)</f>
        <v>22856</v>
      </c>
      <c r="E1672" s="115">
        <f>IFERROR(__xludf.DUMMYFUNCTION("""COMPUTED_VALUE"""),4219.0)</f>
        <v>4219</v>
      </c>
      <c r="F1672" s="115">
        <f>IFERROR(__xludf.DUMMYFUNCTION("""COMPUTED_VALUE"""),20234.0)</f>
        <v>20234</v>
      </c>
      <c r="G1672" s="115">
        <f>IFERROR(__xludf.DUMMYFUNCTION("""COMPUTED_VALUE"""),2810.0)</f>
        <v>2810</v>
      </c>
      <c r="H1672" s="116">
        <f>IFERROR(__xludf.DUMMYFUNCTION("""COMPUTED_VALUE"""),45903.0)</f>
        <v>45903</v>
      </c>
      <c r="I1672" s="115" t="str">
        <f>IFERROR(__xludf.DUMMYFUNCTION("""COMPUTED_VALUE"""),"22")</f>
        <v>22</v>
      </c>
      <c r="J1672" s="115" t="str">
        <f>IFERROR(__xludf.DUMMYFUNCTION("""COMPUTED_VALUE"""),"Vineeth V2025-09-0322")</f>
        <v>Vineeth V2025-09-0322</v>
      </c>
      <c r="K1672" s="115">
        <f>IFERROR(__xludf.DUMMYFUNCTION("""COMPUTED_VALUE"""),27075.0)</f>
        <v>27075</v>
      </c>
    </row>
    <row r="1673">
      <c r="A1673" s="115" t="str">
        <f>IFERROR(__xludf.DUMMYFUNCTION("""COMPUTED_VALUE"""),"WEST")</f>
        <v>WEST</v>
      </c>
      <c r="B1673" s="115" t="str">
        <f>IFERROR(__xludf.DUMMYFUNCTION("""COMPUTED_VALUE"""),"Ashish Jakar")</f>
        <v>Ashish Jakar</v>
      </c>
      <c r="C1673" s="115" t="str">
        <f>IFERROR(__xludf.DUMMYFUNCTION("""COMPUTED_VALUE"""),"EXTERNAL")</f>
        <v>EXTERNAL</v>
      </c>
      <c r="D1673" s="115">
        <f>IFERROR(__xludf.DUMMYFUNCTION("""COMPUTED_VALUE"""),54815.0)</f>
        <v>54815</v>
      </c>
      <c r="E1673" s="115">
        <f>IFERROR(__xludf.DUMMYFUNCTION("""COMPUTED_VALUE"""),8277.0)</f>
        <v>8277</v>
      </c>
      <c r="F1673" s="115">
        <f>IFERROR(__xludf.DUMMYFUNCTION("""COMPUTED_VALUE"""),22550.0)</f>
        <v>22550</v>
      </c>
      <c r="G1673" s="115">
        <f>IFERROR(__xludf.DUMMYFUNCTION("""COMPUTED_VALUE"""),3184.0)</f>
        <v>3184</v>
      </c>
      <c r="H1673" s="116">
        <f>IFERROR(__xludf.DUMMYFUNCTION("""COMPUTED_VALUE"""),45903.0)</f>
        <v>45903</v>
      </c>
      <c r="I1673" s="115" t="str">
        <f>IFERROR(__xludf.DUMMYFUNCTION("""COMPUTED_VALUE"""),"22")</f>
        <v>22</v>
      </c>
      <c r="J1673" s="115" t="str">
        <f>IFERROR(__xludf.DUMMYFUNCTION("""COMPUTED_VALUE"""),"Ashish Jakar2025-09-0322")</f>
        <v>Ashish Jakar2025-09-0322</v>
      </c>
      <c r="K1673" s="115">
        <f>IFERROR(__xludf.DUMMYFUNCTION("""COMPUTED_VALUE"""),63092.0)</f>
        <v>63092</v>
      </c>
    </row>
    <row r="1674">
      <c r="A1674" s="115" t="str">
        <f>IFERROR(__xludf.DUMMYFUNCTION("""COMPUTED_VALUE"""),"WEST")</f>
        <v>WEST</v>
      </c>
      <c r="B1674" s="115" t="str">
        <f>IFERROR(__xludf.DUMMYFUNCTION("""COMPUTED_VALUE"""),"Ashish Jakar")</f>
        <v>Ashish Jakar</v>
      </c>
      <c r="C1674" s="115" t="str">
        <f>IFERROR(__xludf.DUMMYFUNCTION("""COMPUTED_VALUE"""),"FLIPKART")</f>
        <v>FLIPKART</v>
      </c>
      <c r="D1674" s="115">
        <f>IFERROR(__xludf.DUMMYFUNCTION("""COMPUTED_VALUE"""),321753.0)</f>
        <v>321753</v>
      </c>
      <c r="E1674" s="115">
        <f>IFERROR(__xludf.DUMMYFUNCTION("""COMPUTED_VALUE"""),34703.0)</f>
        <v>34703</v>
      </c>
      <c r="F1674" s="115">
        <f>IFERROR(__xludf.DUMMYFUNCTION("""COMPUTED_VALUE"""),236594.0)</f>
        <v>236594</v>
      </c>
      <c r="G1674" s="115">
        <f>IFERROR(__xludf.DUMMYFUNCTION("""COMPUTED_VALUE"""),23116.0)</f>
        <v>23116</v>
      </c>
      <c r="H1674" s="116">
        <f>IFERROR(__xludf.DUMMYFUNCTION("""COMPUTED_VALUE"""),45903.0)</f>
        <v>45903</v>
      </c>
      <c r="I1674" s="115" t="str">
        <f>IFERROR(__xludf.DUMMYFUNCTION("""COMPUTED_VALUE"""),"22")</f>
        <v>22</v>
      </c>
      <c r="J1674" s="115" t="str">
        <f>IFERROR(__xludf.DUMMYFUNCTION("""COMPUTED_VALUE"""),"Ashish Jakar2025-09-0322")</f>
        <v>Ashish Jakar2025-09-0322</v>
      </c>
      <c r="K1674" s="115">
        <f>IFERROR(__xludf.DUMMYFUNCTION("""COMPUTED_VALUE"""),356456.0)</f>
        <v>356456</v>
      </c>
    </row>
    <row r="1675">
      <c r="A1675" s="115" t="str">
        <f>IFERROR(__xludf.DUMMYFUNCTION("""COMPUTED_VALUE"""),"WEST")</f>
        <v>WEST</v>
      </c>
      <c r="B1675" s="115" t="str">
        <f>IFERROR(__xludf.DUMMYFUNCTION("""COMPUTED_VALUE"""),"Ashish Jakar")</f>
        <v>Ashish Jakar</v>
      </c>
      <c r="C1675" s="115" t="str">
        <f>IFERROR(__xludf.DUMMYFUNCTION("""COMPUTED_VALUE"""),"MYNTRA")</f>
        <v>MYNTRA</v>
      </c>
      <c r="D1675" s="115">
        <f>IFERROR(__xludf.DUMMYFUNCTION("""COMPUTED_VALUE"""),35036.0)</f>
        <v>35036</v>
      </c>
      <c r="E1675" s="115">
        <f>IFERROR(__xludf.DUMMYFUNCTION("""COMPUTED_VALUE"""),11423.0)</f>
        <v>11423</v>
      </c>
      <c r="F1675" s="115">
        <f>IFERROR(__xludf.DUMMYFUNCTION("""COMPUTED_VALUE"""),29034.0)</f>
        <v>29034</v>
      </c>
      <c r="G1675" s="115">
        <f>IFERROR(__xludf.DUMMYFUNCTION("""COMPUTED_VALUE"""),7936.0)</f>
        <v>7936</v>
      </c>
      <c r="H1675" s="116">
        <f>IFERROR(__xludf.DUMMYFUNCTION("""COMPUTED_VALUE"""),45903.0)</f>
        <v>45903</v>
      </c>
      <c r="I1675" s="115" t="str">
        <f>IFERROR(__xludf.DUMMYFUNCTION("""COMPUTED_VALUE"""),"22")</f>
        <v>22</v>
      </c>
      <c r="J1675" s="115" t="str">
        <f>IFERROR(__xludf.DUMMYFUNCTION("""COMPUTED_VALUE"""),"Ashish Jakar2025-09-0322")</f>
        <v>Ashish Jakar2025-09-0322</v>
      </c>
      <c r="K1675" s="115">
        <f>IFERROR(__xludf.DUMMYFUNCTION("""COMPUTED_VALUE"""),46459.0)</f>
        <v>46459</v>
      </c>
    </row>
    <row r="1676">
      <c r="A1676" s="115" t="str">
        <f>IFERROR(__xludf.DUMMYFUNCTION("""COMPUTED_VALUE"""),"WEST")</f>
        <v>WEST</v>
      </c>
      <c r="B1676" s="115" t="str">
        <f>IFERROR(__xludf.DUMMYFUNCTION("""COMPUTED_VALUE"""),"Ashvani Bhatt")</f>
        <v>Ashvani Bhatt</v>
      </c>
      <c r="C1676" s="115" t="str">
        <f>IFERROR(__xludf.DUMMYFUNCTION("""COMPUTED_VALUE"""),"EXTERNAL")</f>
        <v>EXTERNAL</v>
      </c>
      <c r="D1676" s="115">
        <f>IFERROR(__xludf.DUMMYFUNCTION("""COMPUTED_VALUE"""),35111.0)</f>
        <v>35111</v>
      </c>
      <c r="E1676" s="115">
        <f>IFERROR(__xludf.DUMMYFUNCTION("""COMPUTED_VALUE"""),5261.0)</f>
        <v>5261</v>
      </c>
      <c r="F1676" s="115">
        <f>IFERROR(__xludf.DUMMYFUNCTION("""COMPUTED_VALUE"""),14779.0)</f>
        <v>14779</v>
      </c>
      <c r="G1676" s="115">
        <f>IFERROR(__xludf.DUMMYFUNCTION("""COMPUTED_VALUE"""),1827.0)</f>
        <v>1827</v>
      </c>
      <c r="H1676" s="116">
        <f>IFERROR(__xludf.DUMMYFUNCTION("""COMPUTED_VALUE"""),45903.0)</f>
        <v>45903</v>
      </c>
      <c r="I1676" s="115" t="str">
        <f>IFERROR(__xludf.DUMMYFUNCTION("""COMPUTED_VALUE"""),"22")</f>
        <v>22</v>
      </c>
      <c r="J1676" s="115" t="str">
        <f>IFERROR(__xludf.DUMMYFUNCTION("""COMPUTED_VALUE"""),"Ashvani Bhatt2025-09-0322")</f>
        <v>Ashvani Bhatt2025-09-0322</v>
      </c>
      <c r="K1676" s="115">
        <f>IFERROR(__xludf.DUMMYFUNCTION("""COMPUTED_VALUE"""),40372.0)</f>
        <v>40372</v>
      </c>
    </row>
    <row r="1677">
      <c r="A1677" s="115" t="str">
        <f>IFERROR(__xludf.DUMMYFUNCTION("""COMPUTED_VALUE"""),"WEST")</f>
        <v>WEST</v>
      </c>
      <c r="B1677" s="115" t="str">
        <f>IFERROR(__xludf.DUMMYFUNCTION("""COMPUTED_VALUE"""),"Ashvani Bhatt")</f>
        <v>Ashvani Bhatt</v>
      </c>
      <c r="C1677" s="115" t="str">
        <f>IFERROR(__xludf.DUMMYFUNCTION("""COMPUTED_VALUE"""),"FLIPKART")</f>
        <v>FLIPKART</v>
      </c>
      <c r="D1677" s="115">
        <f>IFERROR(__xludf.DUMMYFUNCTION("""COMPUTED_VALUE"""),254158.0)</f>
        <v>254158</v>
      </c>
      <c r="E1677" s="115">
        <f>IFERROR(__xludf.DUMMYFUNCTION("""COMPUTED_VALUE"""),29468.0)</f>
        <v>29468</v>
      </c>
      <c r="F1677" s="115">
        <f>IFERROR(__xludf.DUMMYFUNCTION("""COMPUTED_VALUE"""),193208.0)</f>
        <v>193208</v>
      </c>
      <c r="G1677" s="115">
        <f>IFERROR(__xludf.DUMMYFUNCTION("""COMPUTED_VALUE"""),20348.0)</f>
        <v>20348</v>
      </c>
      <c r="H1677" s="116">
        <f>IFERROR(__xludf.DUMMYFUNCTION("""COMPUTED_VALUE"""),45903.0)</f>
        <v>45903</v>
      </c>
      <c r="I1677" s="115" t="str">
        <f>IFERROR(__xludf.DUMMYFUNCTION("""COMPUTED_VALUE"""),"22")</f>
        <v>22</v>
      </c>
      <c r="J1677" s="115" t="str">
        <f>IFERROR(__xludf.DUMMYFUNCTION("""COMPUTED_VALUE"""),"Ashvani Bhatt2025-09-0322")</f>
        <v>Ashvani Bhatt2025-09-0322</v>
      </c>
      <c r="K1677" s="115">
        <f>IFERROR(__xludf.DUMMYFUNCTION("""COMPUTED_VALUE"""),283626.0)</f>
        <v>283626</v>
      </c>
    </row>
    <row r="1678">
      <c r="A1678" s="115" t="str">
        <f>IFERROR(__xludf.DUMMYFUNCTION("""COMPUTED_VALUE"""),"WEST")</f>
        <v>WEST</v>
      </c>
      <c r="B1678" s="115" t="str">
        <f>IFERROR(__xludf.DUMMYFUNCTION("""COMPUTED_VALUE"""),"Ashvani Bhatt")</f>
        <v>Ashvani Bhatt</v>
      </c>
      <c r="C1678" s="115" t="str">
        <f>IFERROR(__xludf.DUMMYFUNCTION("""COMPUTED_VALUE"""),"MYNTRA")</f>
        <v>MYNTRA</v>
      </c>
      <c r="D1678" s="115">
        <f>IFERROR(__xludf.DUMMYFUNCTION("""COMPUTED_VALUE"""),29652.0)</f>
        <v>29652</v>
      </c>
      <c r="E1678" s="115">
        <f>IFERROR(__xludf.DUMMYFUNCTION("""COMPUTED_VALUE"""),8680.0)</f>
        <v>8680</v>
      </c>
      <c r="F1678" s="115">
        <f>IFERROR(__xludf.DUMMYFUNCTION("""COMPUTED_VALUE"""),25184.0)</f>
        <v>25184</v>
      </c>
      <c r="G1678" s="115">
        <f>IFERROR(__xludf.DUMMYFUNCTION("""COMPUTED_VALUE"""),6361.0)</f>
        <v>6361</v>
      </c>
      <c r="H1678" s="116">
        <f>IFERROR(__xludf.DUMMYFUNCTION("""COMPUTED_VALUE"""),45903.0)</f>
        <v>45903</v>
      </c>
      <c r="I1678" s="115" t="str">
        <f>IFERROR(__xludf.DUMMYFUNCTION("""COMPUTED_VALUE"""),"22")</f>
        <v>22</v>
      </c>
      <c r="J1678" s="115" t="str">
        <f>IFERROR(__xludf.DUMMYFUNCTION("""COMPUTED_VALUE"""),"Ashvani Bhatt2025-09-0322")</f>
        <v>Ashvani Bhatt2025-09-0322</v>
      </c>
      <c r="K1678" s="115">
        <f>IFERROR(__xludf.DUMMYFUNCTION("""COMPUTED_VALUE"""),38332.0)</f>
        <v>38332</v>
      </c>
    </row>
    <row r="1679">
      <c r="A1679" s="115"/>
      <c r="B1679" s="115"/>
      <c r="C1679" s="115" t="str">
        <f>IFERROR(__xludf.DUMMYFUNCTION("""COMPUTED_VALUE"""),"EXTERNAL")</f>
        <v>EXTERNAL</v>
      </c>
      <c r="D1679" s="115">
        <f>IFERROR(__xludf.DUMMYFUNCTION("""COMPUTED_VALUE"""),989.0)</f>
        <v>989</v>
      </c>
      <c r="E1679" s="115">
        <f>IFERROR(__xludf.DUMMYFUNCTION("""COMPUTED_VALUE"""),163.0)</f>
        <v>163</v>
      </c>
      <c r="F1679" s="115">
        <f>IFERROR(__xludf.DUMMYFUNCTION("""COMPUTED_VALUE"""),491.0)</f>
        <v>491</v>
      </c>
      <c r="G1679" s="115">
        <f>IFERROR(__xludf.DUMMYFUNCTION("""COMPUTED_VALUE"""),50.0)</f>
        <v>50</v>
      </c>
      <c r="H1679" s="116">
        <f>IFERROR(__xludf.DUMMYFUNCTION("""COMPUTED_VALUE"""),45903.0)</f>
        <v>45903</v>
      </c>
      <c r="I1679" s="115" t="str">
        <f>IFERROR(__xludf.DUMMYFUNCTION("""COMPUTED_VALUE"""),"22")</f>
        <v>22</v>
      </c>
      <c r="J1679" s="115" t="str">
        <f>IFERROR(__xludf.DUMMYFUNCTION("""COMPUTED_VALUE"""),"2025-09-0322")</f>
        <v>2025-09-0322</v>
      </c>
      <c r="K1679" s="115">
        <f>IFERROR(__xludf.DUMMYFUNCTION("""COMPUTED_VALUE"""),1152.0)</f>
        <v>1152</v>
      </c>
    </row>
    <row r="1680">
      <c r="A1680" s="115"/>
      <c r="B1680" s="115"/>
      <c r="C1680" s="115" t="str">
        <f>IFERROR(__xludf.DUMMYFUNCTION("""COMPUTED_VALUE"""),"FLIPKART")</f>
        <v>FLIPKART</v>
      </c>
      <c r="D1680" s="115">
        <f>IFERROR(__xludf.DUMMYFUNCTION("""COMPUTED_VALUE"""),6118.0)</f>
        <v>6118</v>
      </c>
      <c r="E1680" s="115">
        <f>IFERROR(__xludf.DUMMYFUNCTION("""COMPUTED_VALUE"""),790.0)</f>
        <v>790</v>
      </c>
      <c r="F1680" s="115">
        <f>IFERROR(__xludf.DUMMYFUNCTION("""COMPUTED_VALUE"""),4745.0)</f>
        <v>4745</v>
      </c>
      <c r="G1680" s="115">
        <f>IFERROR(__xludf.DUMMYFUNCTION("""COMPUTED_VALUE"""),469.0)</f>
        <v>469</v>
      </c>
      <c r="H1680" s="116">
        <f>IFERROR(__xludf.DUMMYFUNCTION("""COMPUTED_VALUE"""),45903.0)</f>
        <v>45903</v>
      </c>
      <c r="I1680" s="115" t="str">
        <f>IFERROR(__xludf.DUMMYFUNCTION("""COMPUTED_VALUE"""),"22")</f>
        <v>22</v>
      </c>
      <c r="J1680" s="115" t="str">
        <f>IFERROR(__xludf.DUMMYFUNCTION("""COMPUTED_VALUE"""),"2025-09-0322")</f>
        <v>2025-09-0322</v>
      </c>
      <c r="K1680" s="115">
        <f>IFERROR(__xludf.DUMMYFUNCTION("""COMPUTED_VALUE"""),6908.0)</f>
        <v>6908</v>
      </c>
    </row>
    <row r="1681">
      <c r="A1681" s="115"/>
      <c r="B1681" s="115"/>
      <c r="C1681" s="115" t="str">
        <f>IFERROR(__xludf.DUMMYFUNCTION("""COMPUTED_VALUE"""),"MYNTRA")</f>
        <v>MYNTRA</v>
      </c>
      <c r="D1681" s="115">
        <f>IFERROR(__xludf.DUMMYFUNCTION("""COMPUTED_VALUE"""),673.0)</f>
        <v>673</v>
      </c>
      <c r="E1681" s="115">
        <f>IFERROR(__xludf.DUMMYFUNCTION("""COMPUTED_VALUE"""),223.0)</f>
        <v>223</v>
      </c>
      <c r="F1681" s="115">
        <f>IFERROR(__xludf.DUMMYFUNCTION("""COMPUTED_VALUE"""),532.0)</f>
        <v>532</v>
      </c>
      <c r="G1681" s="115">
        <f>IFERROR(__xludf.DUMMYFUNCTION("""COMPUTED_VALUE"""),134.0)</f>
        <v>134</v>
      </c>
      <c r="H1681" s="116">
        <f>IFERROR(__xludf.DUMMYFUNCTION("""COMPUTED_VALUE"""),45903.0)</f>
        <v>45903</v>
      </c>
      <c r="I1681" s="115" t="str">
        <f>IFERROR(__xludf.DUMMYFUNCTION("""COMPUTED_VALUE"""),"22")</f>
        <v>22</v>
      </c>
      <c r="J1681" s="115" t="str">
        <f>IFERROR(__xludf.DUMMYFUNCTION("""COMPUTED_VALUE"""),"2025-09-0322")</f>
        <v>2025-09-0322</v>
      </c>
      <c r="K1681" s="115">
        <f>IFERROR(__xludf.DUMMYFUNCTION("""COMPUTED_VALUE"""),896.0)</f>
        <v>896</v>
      </c>
    </row>
    <row r="1682">
      <c r="A1682" s="115" t="str">
        <f>IFERROR(__xludf.DUMMYFUNCTION("""COMPUTED_VALUE"""),"EAST")</f>
        <v>EAST</v>
      </c>
      <c r="B1682" s="115" t="str">
        <f>IFERROR(__xludf.DUMMYFUNCTION("""COMPUTED_VALUE"""),"Ashish Ranjan")</f>
        <v>Ashish Ranjan</v>
      </c>
      <c r="C1682" s="115" t="str">
        <f>IFERROR(__xludf.DUMMYFUNCTION("""COMPUTED_VALUE"""),"EXTERNAL")</f>
        <v>EXTERNAL</v>
      </c>
      <c r="D1682" s="115">
        <f>IFERROR(__xludf.DUMMYFUNCTION("""COMPUTED_VALUE"""),20922.0)</f>
        <v>20922</v>
      </c>
      <c r="E1682" s="115">
        <f>IFERROR(__xludf.DUMMYFUNCTION("""COMPUTED_VALUE"""),1975.0)</f>
        <v>1975</v>
      </c>
      <c r="F1682" s="115">
        <f>IFERROR(__xludf.DUMMYFUNCTION("""COMPUTED_VALUE"""),1524.0)</f>
        <v>1524</v>
      </c>
      <c r="G1682" s="115">
        <f>IFERROR(__xludf.DUMMYFUNCTION("""COMPUTED_VALUE"""),40.0)</f>
        <v>40</v>
      </c>
      <c r="H1682" s="116">
        <f>IFERROR(__xludf.DUMMYFUNCTION("""COMPUTED_VALUE"""),45904.0)</f>
        <v>45904</v>
      </c>
      <c r="I1682" s="115" t="str">
        <f>IFERROR(__xludf.DUMMYFUNCTION("""COMPUTED_VALUE"""),"10")</f>
        <v>10</v>
      </c>
      <c r="J1682" s="115" t="str">
        <f>IFERROR(__xludf.DUMMYFUNCTION("""COMPUTED_VALUE"""),"Ashish Ranjan2025-09-0410")</f>
        <v>Ashish Ranjan2025-09-0410</v>
      </c>
      <c r="K1682" s="115">
        <f>IFERROR(__xludf.DUMMYFUNCTION("""COMPUTED_VALUE"""),22897.0)</f>
        <v>22897</v>
      </c>
    </row>
    <row r="1683">
      <c r="A1683" s="115" t="str">
        <f>IFERROR(__xludf.DUMMYFUNCTION("""COMPUTED_VALUE"""),"EAST")</f>
        <v>EAST</v>
      </c>
      <c r="B1683" s="115" t="str">
        <f>IFERROR(__xludf.DUMMYFUNCTION("""COMPUTED_VALUE"""),"Ashish Ranjan")</f>
        <v>Ashish Ranjan</v>
      </c>
      <c r="C1683" s="115" t="str">
        <f>IFERROR(__xludf.DUMMYFUNCTION("""COMPUTED_VALUE"""),"FLIPKART")</f>
        <v>FLIPKART</v>
      </c>
      <c r="D1683" s="115">
        <f>IFERROR(__xludf.DUMMYFUNCTION("""COMPUTED_VALUE"""),358055.0)</f>
        <v>358055</v>
      </c>
      <c r="E1683" s="115">
        <f>IFERROR(__xludf.DUMMYFUNCTION("""COMPUTED_VALUE"""),36252.0)</f>
        <v>36252</v>
      </c>
      <c r="F1683" s="115">
        <f>IFERROR(__xludf.DUMMYFUNCTION("""COMPUTED_VALUE"""),40844.0)</f>
        <v>40844</v>
      </c>
      <c r="G1683" s="115">
        <f>IFERROR(__xludf.DUMMYFUNCTION("""COMPUTED_VALUE"""),1299.0)</f>
        <v>1299</v>
      </c>
      <c r="H1683" s="116">
        <f>IFERROR(__xludf.DUMMYFUNCTION("""COMPUTED_VALUE"""),45904.0)</f>
        <v>45904</v>
      </c>
      <c r="I1683" s="115" t="str">
        <f>IFERROR(__xludf.DUMMYFUNCTION("""COMPUTED_VALUE"""),"10")</f>
        <v>10</v>
      </c>
      <c r="J1683" s="115" t="str">
        <f>IFERROR(__xludf.DUMMYFUNCTION("""COMPUTED_VALUE"""),"Ashish Ranjan2025-09-0410")</f>
        <v>Ashish Ranjan2025-09-0410</v>
      </c>
      <c r="K1683" s="115">
        <f>IFERROR(__xludf.DUMMYFUNCTION("""COMPUTED_VALUE"""),394307.0)</f>
        <v>394307</v>
      </c>
    </row>
    <row r="1684">
      <c r="A1684" s="115" t="str">
        <f>IFERROR(__xludf.DUMMYFUNCTION("""COMPUTED_VALUE"""),"EAST")</f>
        <v>EAST</v>
      </c>
      <c r="B1684" s="115" t="str">
        <f>IFERROR(__xludf.DUMMYFUNCTION("""COMPUTED_VALUE"""),"Ashish Ranjan")</f>
        <v>Ashish Ranjan</v>
      </c>
      <c r="C1684" s="115" t="str">
        <f>IFERROR(__xludf.DUMMYFUNCTION("""COMPUTED_VALUE"""),"MYNTRA")</f>
        <v>MYNTRA</v>
      </c>
      <c r="D1684" s="115">
        <f>IFERROR(__xludf.DUMMYFUNCTION("""COMPUTED_VALUE"""),34056.0)</f>
        <v>34056</v>
      </c>
      <c r="E1684" s="115">
        <f>IFERROR(__xludf.DUMMYFUNCTION("""COMPUTED_VALUE"""),7490.0)</f>
        <v>7490</v>
      </c>
      <c r="F1684" s="115">
        <f>IFERROR(__xludf.DUMMYFUNCTION("""COMPUTED_VALUE"""),3859.0)</f>
        <v>3859</v>
      </c>
      <c r="G1684" s="115">
        <f>IFERROR(__xludf.DUMMYFUNCTION("""COMPUTED_VALUE"""),222.0)</f>
        <v>222</v>
      </c>
      <c r="H1684" s="116">
        <f>IFERROR(__xludf.DUMMYFUNCTION("""COMPUTED_VALUE"""),45904.0)</f>
        <v>45904</v>
      </c>
      <c r="I1684" s="115" t="str">
        <f>IFERROR(__xludf.DUMMYFUNCTION("""COMPUTED_VALUE"""),"10")</f>
        <v>10</v>
      </c>
      <c r="J1684" s="115" t="str">
        <f>IFERROR(__xludf.DUMMYFUNCTION("""COMPUTED_VALUE"""),"Ashish Ranjan2025-09-0410")</f>
        <v>Ashish Ranjan2025-09-0410</v>
      </c>
      <c r="K1684" s="115">
        <f>IFERROR(__xludf.DUMMYFUNCTION("""COMPUTED_VALUE"""),41546.0)</f>
        <v>41546</v>
      </c>
    </row>
    <row r="1685">
      <c r="A1685" s="115" t="str">
        <f>IFERROR(__xludf.DUMMYFUNCTION("""COMPUTED_VALUE"""),"EAST")</f>
        <v>EAST</v>
      </c>
      <c r="B1685" s="115" t="str">
        <f>IFERROR(__xludf.DUMMYFUNCTION("""COMPUTED_VALUE"""),"Girish Chand")</f>
        <v>Girish Chand</v>
      </c>
      <c r="C1685" s="115" t="str">
        <f>IFERROR(__xludf.DUMMYFUNCTION("""COMPUTED_VALUE"""),"EXTERNAL")</f>
        <v>EXTERNAL</v>
      </c>
      <c r="D1685" s="115">
        <f>IFERROR(__xludf.DUMMYFUNCTION("""COMPUTED_VALUE"""),13333.0)</f>
        <v>13333</v>
      </c>
      <c r="E1685" s="115">
        <f>IFERROR(__xludf.DUMMYFUNCTION("""COMPUTED_VALUE"""),931.0)</f>
        <v>931</v>
      </c>
      <c r="F1685" s="115">
        <f>IFERROR(__xludf.DUMMYFUNCTION("""COMPUTED_VALUE"""),497.0)</f>
        <v>497</v>
      </c>
      <c r="G1685" s="115">
        <f>IFERROR(__xludf.DUMMYFUNCTION("""COMPUTED_VALUE"""),15.0)</f>
        <v>15</v>
      </c>
      <c r="H1685" s="116">
        <f>IFERROR(__xludf.DUMMYFUNCTION("""COMPUTED_VALUE"""),45904.0)</f>
        <v>45904</v>
      </c>
      <c r="I1685" s="115" t="str">
        <f>IFERROR(__xludf.DUMMYFUNCTION("""COMPUTED_VALUE"""),"10")</f>
        <v>10</v>
      </c>
      <c r="J1685" s="115" t="str">
        <f>IFERROR(__xludf.DUMMYFUNCTION("""COMPUTED_VALUE"""),"Girish Chand2025-09-0410")</f>
        <v>Girish Chand2025-09-0410</v>
      </c>
      <c r="K1685" s="115">
        <f>IFERROR(__xludf.DUMMYFUNCTION("""COMPUTED_VALUE"""),14264.0)</f>
        <v>14264</v>
      </c>
    </row>
    <row r="1686">
      <c r="A1686" s="115" t="str">
        <f>IFERROR(__xludf.DUMMYFUNCTION("""COMPUTED_VALUE"""),"EAST")</f>
        <v>EAST</v>
      </c>
      <c r="B1686" s="115" t="str">
        <f>IFERROR(__xludf.DUMMYFUNCTION("""COMPUTED_VALUE"""),"Girish Chand")</f>
        <v>Girish Chand</v>
      </c>
      <c r="C1686" s="115" t="str">
        <f>IFERROR(__xludf.DUMMYFUNCTION("""COMPUTED_VALUE"""),"FLIPKART")</f>
        <v>FLIPKART</v>
      </c>
      <c r="D1686" s="115">
        <f>IFERROR(__xludf.DUMMYFUNCTION("""COMPUTED_VALUE"""),255064.0)</f>
        <v>255064</v>
      </c>
      <c r="E1686" s="115">
        <f>IFERROR(__xludf.DUMMYFUNCTION("""COMPUTED_VALUE"""),20611.0)</f>
        <v>20611</v>
      </c>
      <c r="F1686" s="115">
        <f>IFERROR(__xludf.DUMMYFUNCTION("""COMPUTED_VALUE"""),17382.0)</f>
        <v>17382</v>
      </c>
      <c r="G1686" s="115">
        <f>IFERROR(__xludf.DUMMYFUNCTION("""COMPUTED_VALUE"""),445.0)</f>
        <v>445</v>
      </c>
      <c r="H1686" s="116">
        <f>IFERROR(__xludf.DUMMYFUNCTION("""COMPUTED_VALUE"""),45904.0)</f>
        <v>45904</v>
      </c>
      <c r="I1686" s="115" t="str">
        <f>IFERROR(__xludf.DUMMYFUNCTION("""COMPUTED_VALUE"""),"10")</f>
        <v>10</v>
      </c>
      <c r="J1686" s="115" t="str">
        <f>IFERROR(__xludf.DUMMYFUNCTION("""COMPUTED_VALUE"""),"Girish Chand2025-09-0410")</f>
        <v>Girish Chand2025-09-0410</v>
      </c>
      <c r="K1686" s="115">
        <f>IFERROR(__xludf.DUMMYFUNCTION("""COMPUTED_VALUE"""),275675.0)</f>
        <v>275675</v>
      </c>
    </row>
    <row r="1687">
      <c r="A1687" s="115" t="str">
        <f>IFERROR(__xludf.DUMMYFUNCTION("""COMPUTED_VALUE"""),"EAST")</f>
        <v>EAST</v>
      </c>
      <c r="B1687" s="115" t="str">
        <f>IFERROR(__xludf.DUMMYFUNCTION("""COMPUTED_VALUE"""),"Girish Chand")</f>
        <v>Girish Chand</v>
      </c>
      <c r="C1687" s="115" t="str">
        <f>IFERROR(__xludf.DUMMYFUNCTION("""COMPUTED_VALUE"""),"MYNTRA")</f>
        <v>MYNTRA</v>
      </c>
      <c r="D1687" s="115">
        <f>IFERROR(__xludf.DUMMYFUNCTION("""COMPUTED_VALUE"""),20786.0)</f>
        <v>20786</v>
      </c>
      <c r="E1687" s="115">
        <f>IFERROR(__xludf.DUMMYFUNCTION("""COMPUTED_VALUE"""),3775.0)</f>
        <v>3775</v>
      </c>
      <c r="F1687" s="115">
        <f>IFERROR(__xludf.DUMMYFUNCTION("""COMPUTED_VALUE"""),1659.0)</f>
        <v>1659</v>
      </c>
      <c r="G1687" s="115">
        <f>IFERROR(__xludf.DUMMYFUNCTION("""COMPUTED_VALUE"""),71.0)</f>
        <v>71</v>
      </c>
      <c r="H1687" s="116">
        <f>IFERROR(__xludf.DUMMYFUNCTION("""COMPUTED_VALUE"""),45904.0)</f>
        <v>45904</v>
      </c>
      <c r="I1687" s="115" t="str">
        <f>IFERROR(__xludf.DUMMYFUNCTION("""COMPUTED_VALUE"""),"10")</f>
        <v>10</v>
      </c>
      <c r="J1687" s="115" t="str">
        <f>IFERROR(__xludf.DUMMYFUNCTION("""COMPUTED_VALUE"""),"Girish Chand2025-09-0410")</f>
        <v>Girish Chand2025-09-0410</v>
      </c>
      <c r="K1687" s="115">
        <f>IFERROR(__xludf.DUMMYFUNCTION("""COMPUTED_VALUE"""),24561.0)</f>
        <v>24561</v>
      </c>
    </row>
    <row r="1688">
      <c r="A1688" s="115" t="str">
        <f>IFERROR(__xludf.DUMMYFUNCTION("""COMPUTED_VALUE"""),"EAST")</f>
        <v>EAST</v>
      </c>
      <c r="B1688" s="115" t="str">
        <f>IFERROR(__xludf.DUMMYFUNCTION("""COMPUTED_VALUE"""),"Parag Kashyap")</f>
        <v>Parag Kashyap</v>
      </c>
      <c r="C1688" s="115" t="str">
        <f>IFERROR(__xludf.DUMMYFUNCTION("""COMPUTED_VALUE"""),"EXTERNAL")</f>
        <v>EXTERNAL</v>
      </c>
      <c r="D1688" s="115">
        <f>IFERROR(__xludf.DUMMYFUNCTION("""COMPUTED_VALUE"""),11022.0)</f>
        <v>11022</v>
      </c>
      <c r="E1688" s="115">
        <f>IFERROR(__xludf.DUMMYFUNCTION("""COMPUTED_VALUE"""),457.0)</f>
        <v>457</v>
      </c>
      <c r="F1688" s="115">
        <f>IFERROR(__xludf.DUMMYFUNCTION("""COMPUTED_VALUE"""),305.0)</f>
        <v>305</v>
      </c>
      <c r="G1688" s="115">
        <f>IFERROR(__xludf.DUMMYFUNCTION("""COMPUTED_VALUE"""),11.0)</f>
        <v>11</v>
      </c>
      <c r="H1688" s="116">
        <f>IFERROR(__xludf.DUMMYFUNCTION("""COMPUTED_VALUE"""),45904.0)</f>
        <v>45904</v>
      </c>
      <c r="I1688" s="115" t="str">
        <f>IFERROR(__xludf.DUMMYFUNCTION("""COMPUTED_VALUE"""),"10")</f>
        <v>10</v>
      </c>
      <c r="J1688" s="115" t="str">
        <f>IFERROR(__xludf.DUMMYFUNCTION("""COMPUTED_VALUE"""),"Parag Kashyap2025-09-0410")</f>
        <v>Parag Kashyap2025-09-0410</v>
      </c>
      <c r="K1688" s="115">
        <f>IFERROR(__xludf.DUMMYFUNCTION("""COMPUTED_VALUE"""),11479.0)</f>
        <v>11479</v>
      </c>
    </row>
    <row r="1689">
      <c r="A1689" s="115" t="str">
        <f>IFERROR(__xludf.DUMMYFUNCTION("""COMPUTED_VALUE"""),"EAST")</f>
        <v>EAST</v>
      </c>
      <c r="B1689" s="115" t="str">
        <f>IFERROR(__xludf.DUMMYFUNCTION("""COMPUTED_VALUE"""),"Parag Kashyap")</f>
        <v>Parag Kashyap</v>
      </c>
      <c r="C1689" s="115" t="str">
        <f>IFERROR(__xludf.DUMMYFUNCTION("""COMPUTED_VALUE"""),"FLIPKART")</f>
        <v>FLIPKART</v>
      </c>
      <c r="D1689" s="115">
        <f>IFERROR(__xludf.DUMMYFUNCTION("""COMPUTED_VALUE"""),174205.0)</f>
        <v>174205</v>
      </c>
      <c r="E1689" s="115">
        <f>IFERROR(__xludf.DUMMYFUNCTION("""COMPUTED_VALUE"""),9019.0)</f>
        <v>9019</v>
      </c>
      <c r="F1689" s="115">
        <f>IFERROR(__xludf.DUMMYFUNCTION("""COMPUTED_VALUE"""),8905.0)</f>
        <v>8905</v>
      </c>
      <c r="G1689" s="115">
        <f>IFERROR(__xludf.DUMMYFUNCTION("""COMPUTED_VALUE"""),139.0)</f>
        <v>139</v>
      </c>
      <c r="H1689" s="116">
        <f>IFERROR(__xludf.DUMMYFUNCTION("""COMPUTED_VALUE"""),45904.0)</f>
        <v>45904</v>
      </c>
      <c r="I1689" s="115" t="str">
        <f>IFERROR(__xludf.DUMMYFUNCTION("""COMPUTED_VALUE"""),"10")</f>
        <v>10</v>
      </c>
      <c r="J1689" s="115" t="str">
        <f>IFERROR(__xludf.DUMMYFUNCTION("""COMPUTED_VALUE"""),"Parag Kashyap2025-09-0410")</f>
        <v>Parag Kashyap2025-09-0410</v>
      </c>
      <c r="K1689" s="115">
        <f>IFERROR(__xludf.DUMMYFUNCTION("""COMPUTED_VALUE"""),183224.0)</f>
        <v>183224</v>
      </c>
    </row>
    <row r="1690">
      <c r="A1690" s="115" t="str">
        <f>IFERROR(__xludf.DUMMYFUNCTION("""COMPUTED_VALUE"""),"EAST")</f>
        <v>EAST</v>
      </c>
      <c r="B1690" s="115" t="str">
        <f>IFERROR(__xludf.DUMMYFUNCTION("""COMPUTED_VALUE"""),"Parag Kashyap")</f>
        <v>Parag Kashyap</v>
      </c>
      <c r="C1690" s="115" t="str">
        <f>IFERROR(__xludf.DUMMYFUNCTION("""COMPUTED_VALUE"""),"MYNTRA")</f>
        <v>MYNTRA</v>
      </c>
      <c r="D1690" s="115">
        <f>IFERROR(__xludf.DUMMYFUNCTION("""COMPUTED_VALUE"""),19837.0)</f>
        <v>19837</v>
      </c>
      <c r="E1690" s="115">
        <f>IFERROR(__xludf.DUMMYFUNCTION("""COMPUTED_VALUE"""),2417.0)</f>
        <v>2417</v>
      </c>
      <c r="F1690" s="115">
        <f>IFERROR(__xludf.DUMMYFUNCTION("""COMPUTED_VALUE"""),1272.0)</f>
        <v>1272</v>
      </c>
      <c r="G1690" s="115">
        <f>IFERROR(__xludf.DUMMYFUNCTION("""COMPUTED_VALUE"""),31.0)</f>
        <v>31</v>
      </c>
      <c r="H1690" s="116">
        <f>IFERROR(__xludf.DUMMYFUNCTION("""COMPUTED_VALUE"""),45904.0)</f>
        <v>45904</v>
      </c>
      <c r="I1690" s="115" t="str">
        <f>IFERROR(__xludf.DUMMYFUNCTION("""COMPUTED_VALUE"""),"10")</f>
        <v>10</v>
      </c>
      <c r="J1690" s="115" t="str">
        <f>IFERROR(__xludf.DUMMYFUNCTION("""COMPUTED_VALUE"""),"Parag Kashyap2025-09-0410")</f>
        <v>Parag Kashyap2025-09-0410</v>
      </c>
      <c r="K1690" s="115">
        <f>IFERROR(__xludf.DUMMYFUNCTION("""COMPUTED_VALUE"""),22254.0)</f>
        <v>22254</v>
      </c>
    </row>
    <row r="1691">
      <c r="A1691" s="115" t="str">
        <f>IFERROR(__xludf.DUMMYFUNCTION("""COMPUTED_VALUE"""),"NORTH")</f>
        <v>NORTH</v>
      </c>
      <c r="B1691" s="115" t="str">
        <f>IFERROR(__xludf.DUMMYFUNCTION("""COMPUTED_VALUE"""),"Amit Kumar Pathak")</f>
        <v>Amit Kumar Pathak</v>
      </c>
      <c r="C1691" s="115" t="str">
        <f>IFERROR(__xludf.DUMMYFUNCTION("""COMPUTED_VALUE"""),"EXTERNAL")</f>
        <v>EXTERNAL</v>
      </c>
      <c r="D1691" s="115">
        <f>IFERROR(__xludf.DUMMYFUNCTION("""COMPUTED_VALUE"""),14425.0)</f>
        <v>14425</v>
      </c>
      <c r="E1691" s="115">
        <f>IFERROR(__xludf.DUMMYFUNCTION("""COMPUTED_VALUE"""),1937.0)</f>
        <v>1937</v>
      </c>
      <c r="F1691" s="115">
        <f>IFERROR(__xludf.DUMMYFUNCTION("""COMPUTED_VALUE"""),446.0)</f>
        <v>446</v>
      </c>
      <c r="G1691" s="115">
        <f>IFERROR(__xludf.DUMMYFUNCTION("""COMPUTED_VALUE"""),69.0)</f>
        <v>69</v>
      </c>
      <c r="H1691" s="116">
        <f>IFERROR(__xludf.DUMMYFUNCTION("""COMPUTED_VALUE"""),45904.0)</f>
        <v>45904</v>
      </c>
      <c r="I1691" s="115" t="str">
        <f>IFERROR(__xludf.DUMMYFUNCTION("""COMPUTED_VALUE"""),"10")</f>
        <v>10</v>
      </c>
      <c r="J1691" s="115" t="str">
        <f>IFERROR(__xludf.DUMMYFUNCTION("""COMPUTED_VALUE"""),"Amit Kumar Pathak2025-09-0410")</f>
        <v>Amit Kumar Pathak2025-09-0410</v>
      </c>
      <c r="K1691" s="115">
        <f>IFERROR(__xludf.DUMMYFUNCTION("""COMPUTED_VALUE"""),16362.0)</f>
        <v>16362</v>
      </c>
    </row>
    <row r="1692">
      <c r="A1692" s="115" t="str">
        <f>IFERROR(__xludf.DUMMYFUNCTION("""COMPUTED_VALUE"""),"NORTH")</f>
        <v>NORTH</v>
      </c>
      <c r="B1692" s="115" t="str">
        <f>IFERROR(__xludf.DUMMYFUNCTION("""COMPUTED_VALUE"""),"Amit Kumar Pathak")</f>
        <v>Amit Kumar Pathak</v>
      </c>
      <c r="C1692" s="115" t="str">
        <f>IFERROR(__xludf.DUMMYFUNCTION("""COMPUTED_VALUE"""),"FLIPKART")</f>
        <v>FLIPKART</v>
      </c>
      <c r="D1692" s="115">
        <f>IFERROR(__xludf.DUMMYFUNCTION("""COMPUTED_VALUE"""),114446.0)</f>
        <v>114446</v>
      </c>
      <c r="E1692" s="115">
        <f>IFERROR(__xludf.DUMMYFUNCTION("""COMPUTED_VALUE"""),14506.0)</f>
        <v>14506</v>
      </c>
      <c r="F1692" s="115">
        <f>IFERROR(__xludf.DUMMYFUNCTION("""COMPUTED_VALUE"""),7171.0)</f>
        <v>7171</v>
      </c>
      <c r="G1692" s="115">
        <f>IFERROR(__xludf.DUMMYFUNCTION("""COMPUTED_VALUE"""),493.0)</f>
        <v>493</v>
      </c>
      <c r="H1692" s="116">
        <f>IFERROR(__xludf.DUMMYFUNCTION("""COMPUTED_VALUE"""),45904.0)</f>
        <v>45904</v>
      </c>
      <c r="I1692" s="115" t="str">
        <f>IFERROR(__xludf.DUMMYFUNCTION("""COMPUTED_VALUE"""),"10")</f>
        <v>10</v>
      </c>
      <c r="J1692" s="115" t="str">
        <f>IFERROR(__xludf.DUMMYFUNCTION("""COMPUTED_VALUE"""),"Amit Kumar Pathak2025-09-0410")</f>
        <v>Amit Kumar Pathak2025-09-0410</v>
      </c>
      <c r="K1692" s="115">
        <f>IFERROR(__xludf.DUMMYFUNCTION("""COMPUTED_VALUE"""),128952.0)</f>
        <v>128952</v>
      </c>
    </row>
    <row r="1693">
      <c r="A1693" s="115" t="str">
        <f>IFERROR(__xludf.DUMMYFUNCTION("""COMPUTED_VALUE"""),"NORTH")</f>
        <v>NORTH</v>
      </c>
      <c r="B1693" s="115" t="str">
        <f>IFERROR(__xludf.DUMMYFUNCTION("""COMPUTED_VALUE"""),"Amit Kumar Pathak")</f>
        <v>Amit Kumar Pathak</v>
      </c>
      <c r="C1693" s="115" t="str">
        <f>IFERROR(__xludf.DUMMYFUNCTION("""COMPUTED_VALUE"""),"MYNTRA")</f>
        <v>MYNTRA</v>
      </c>
      <c r="D1693" s="115">
        <f>IFERROR(__xludf.DUMMYFUNCTION("""COMPUTED_VALUE"""),10980.0)</f>
        <v>10980</v>
      </c>
      <c r="E1693" s="115">
        <f>IFERROR(__xludf.DUMMYFUNCTION("""COMPUTED_VALUE"""),3653.0)</f>
        <v>3653</v>
      </c>
      <c r="F1693" s="115">
        <f>IFERROR(__xludf.DUMMYFUNCTION("""COMPUTED_VALUE"""),944.0)</f>
        <v>944</v>
      </c>
      <c r="G1693" s="115">
        <f>IFERROR(__xludf.DUMMYFUNCTION("""COMPUTED_VALUE"""),165.0)</f>
        <v>165</v>
      </c>
      <c r="H1693" s="116">
        <f>IFERROR(__xludf.DUMMYFUNCTION("""COMPUTED_VALUE"""),45904.0)</f>
        <v>45904</v>
      </c>
      <c r="I1693" s="115" t="str">
        <f>IFERROR(__xludf.DUMMYFUNCTION("""COMPUTED_VALUE"""),"10")</f>
        <v>10</v>
      </c>
      <c r="J1693" s="115" t="str">
        <f>IFERROR(__xludf.DUMMYFUNCTION("""COMPUTED_VALUE"""),"Amit Kumar Pathak2025-09-0410")</f>
        <v>Amit Kumar Pathak2025-09-0410</v>
      </c>
      <c r="K1693" s="115">
        <f>IFERROR(__xludf.DUMMYFUNCTION("""COMPUTED_VALUE"""),14633.0)</f>
        <v>14633</v>
      </c>
    </row>
    <row r="1694">
      <c r="A1694" s="115" t="str">
        <f>IFERROR(__xludf.DUMMYFUNCTION("""COMPUTED_VALUE"""),"NORTH")</f>
        <v>NORTH</v>
      </c>
      <c r="B1694" s="115" t="str">
        <f>IFERROR(__xludf.DUMMYFUNCTION("""COMPUTED_VALUE"""),"Loveleen Singh")</f>
        <v>Loveleen Singh</v>
      </c>
      <c r="C1694" s="115" t="str">
        <f>IFERROR(__xludf.DUMMYFUNCTION("""COMPUTED_VALUE"""),"EXTERNAL")</f>
        <v>EXTERNAL</v>
      </c>
      <c r="D1694" s="115">
        <f>IFERROR(__xludf.DUMMYFUNCTION("""COMPUTED_VALUE"""),13754.0)</f>
        <v>13754</v>
      </c>
      <c r="E1694" s="115">
        <f>IFERROR(__xludf.DUMMYFUNCTION("""COMPUTED_VALUE"""),634.0)</f>
        <v>634</v>
      </c>
      <c r="F1694" s="115">
        <f>IFERROR(__xludf.DUMMYFUNCTION("""COMPUTED_VALUE"""),378.0)</f>
        <v>378</v>
      </c>
      <c r="G1694" s="115">
        <f>IFERROR(__xludf.DUMMYFUNCTION("""COMPUTED_VALUE"""),17.0)</f>
        <v>17</v>
      </c>
      <c r="H1694" s="116">
        <f>IFERROR(__xludf.DUMMYFUNCTION("""COMPUTED_VALUE"""),45904.0)</f>
        <v>45904</v>
      </c>
      <c r="I1694" s="115" t="str">
        <f>IFERROR(__xludf.DUMMYFUNCTION("""COMPUTED_VALUE"""),"10")</f>
        <v>10</v>
      </c>
      <c r="J1694" s="115" t="str">
        <f>IFERROR(__xludf.DUMMYFUNCTION("""COMPUTED_VALUE"""),"Loveleen Singh2025-09-0410")</f>
        <v>Loveleen Singh2025-09-0410</v>
      </c>
      <c r="K1694" s="115">
        <f>IFERROR(__xludf.DUMMYFUNCTION("""COMPUTED_VALUE"""),14388.0)</f>
        <v>14388</v>
      </c>
    </row>
    <row r="1695">
      <c r="A1695" s="115" t="str">
        <f>IFERROR(__xludf.DUMMYFUNCTION("""COMPUTED_VALUE"""),"NORTH")</f>
        <v>NORTH</v>
      </c>
      <c r="B1695" s="115" t="str">
        <f>IFERROR(__xludf.DUMMYFUNCTION("""COMPUTED_VALUE"""),"Loveleen Singh")</f>
        <v>Loveleen Singh</v>
      </c>
      <c r="C1695" s="115" t="str">
        <f>IFERROR(__xludf.DUMMYFUNCTION("""COMPUTED_VALUE"""),"FLIPKART")</f>
        <v>FLIPKART</v>
      </c>
      <c r="D1695" s="115">
        <f>IFERROR(__xludf.DUMMYFUNCTION("""COMPUTED_VALUE"""),74529.0)</f>
        <v>74529</v>
      </c>
      <c r="E1695" s="115">
        <f>IFERROR(__xludf.DUMMYFUNCTION("""COMPUTED_VALUE"""),5665.0)</f>
        <v>5665</v>
      </c>
      <c r="F1695" s="115">
        <f>IFERROR(__xludf.DUMMYFUNCTION("""COMPUTED_VALUE"""),4765.0)</f>
        <v>4765</v>
      </c>
      <c r="G1695" s="115">
        <f>IFERROR(__xludf.DUMMYFUNCTION("""COMPUTED_VALUE"""),182.0)</f>
        <v>182</v>
      </c>
      <c r="H1695" s="116">
        <f>IFERROR(__xludf.DUMMYFUNCTION("""COMPUTED_VALUE"""),45904.0)</f>
        <v>45904</v>
      </c>
      <c r="I1695" s="115" t="str">
        <f>IFERROR(__xludf.DUMMYFUNCTION("""COMPUTED_VALUE"""),"10")</f>
        <v>10</v>
      </c>
      <c r="J1695" s="115" t="str">
        <f>IFERROR(__xludf.DUMMYFUNCTION("""COMPUTED_VALUE"""),"Loveleen Singh2025-09-0410")</f>
        <v>Loveleen Singh2025-09-0410</v>
      </c>
      <c r="K1695" s="115">
        <f>IFERROR(__xludf.DUMMYFUNCTION("""COMPUTED_VALUE"""),80194.0)</f>
        <v>80194</v>
      </c>
    </row>
    <row r="1696">
      <c r="A1696" s="115" t="str">
        <f>IFERROR(__xludf.DUMMYFUNCTION("""COMPUTED_VALUE"""),"NORTH")</f>
        <v>NORTH</v>
      </c>
      <c r="B1696" s="115" t="str">
        <f>IFERROR(__xludf.DUMMYFUNCTION("""COMPUTED_VALUE"""),"Loveleen Singh")</f>
        <v>Loveleen Singh</v>
      </c>
      <c r="C1696" s="115" t="str">
        <f>IFERROR(__xludf.DUMMYFUNCTION("""COMPUTED_VALUE"""),"MYNTRA")</f>
        <v>MYNTRA</v>
      </c>
      <c r="D1696" s="115">
        <f>IFERROR(__xludf.DUMMYFUNCTION("""COMPUTED_VALUE"""),11629.0)</f>
        <v>11629</v>
      </c>
      <c r="E1696" s="115">
        <f>IFERROR(__xludf.DUMMYFUNCTION("""COMPUTED_VALUE"""),2178.0)</f>
        <v>2178</v>
      </c>
      <c r="F1696" s="115">
        <f>IFERROR(__xludf.DUMMYFUNCTION("""COMPUTED_VALUE"""),1007.0)</f>
        <v>1007</v>
      </c>
      <c r="G1696" s="115">
        <f>IFERROR(__xludf.DUMMYFUNCTION("""COMPUTED_VALUE"""),51.0)</f>
        <v>51</v>
      </c>
      <c r="H1696" s="116">
        <f>IFERROR(__xludf.DUMMYFUNCTION("""COMPUTED_VALUE"""),45904.0)</f>
        <v>45904</v>
      </c>
      <c r="I1696" s="115" t="str">
        <f>IFERROR(__xludf.DUMMYFUNCTION("""COMPUTED_VALUE"""),"10")</f>
        <v>10</v>
      </c>
      <c r="J1696" s="115" t="str">
        <f>IFERROR(__xludf.DUMMYFUNCTION("""COMPUTED_VALUE"""),"Loveleen Singh2025-09-0410")</f>
        <v>Loveleen Singh2025-09-0410</v>
      </c>
      <c r="K1696" s="115">
        <f>IFERROR(__xludf.DUMMYFUNCTION("""COMPUTED_VALUE"""),13807.0)</f>
        <v>13807</v>
      </c>
    </row>
    <row r="1697">
      <c r="A1697" s="115" t="str">
        <f>IFERROR(__xludf.DUMMYFUNCTION("""COMPUTED_VALUE"""),"NORTH")</f>
        <v>NORTH</v>
      </c>
      <c r="B1697" s="115" t="str">
        <f>IFERROR(__xludf.DUMMYFUNCTION("""COMPUTED_VALUE"""),"Manoj Harsh")</f>
        <v>Manoj Harsh</v>
      </c>
      <c r="C1697" s="115" t="str">
        <f>IFERROR(__xludf.DUMMYFUNCTION("""COMPUTED_VALUE"""),"EXTERNAL")</f>
        <v>EXTERNAL</v>
      </c>
      <c r="D1697" s="115">
        <f>IFERROR(__xludf.DUMMYFUNCTION("""COMPUTED_VALUE"""),16328.0)</f>
        <v>16328</v>
      </c>
      <c r="E1697" s="115">
        <f>IFERROR(__xludf.DUMMYFUNCTION("""COMPUTED_VALUE"""),1249.0)</f>
        <v>1249</v>
      </c>
      <c r="F1697" s="115">
        <f>IFERROR(__xludf.DUMMYFUNCTION("""COMPUTED_VALUE"""),463.0)</f>
        <v>463</v>
      </c>
      <c r="G1697" s="115">
        <f>IFERROR(__xludf.DUMMYFUNCTION("""COMPUTED_VALUE"""),17.0)</f>
        <v>17</v>
      </c>
      <c r="H1697" s="116">
        <f>IFERROR(__xludf.DUMMYFUNCTION("""COMPUTED_VALUE"""),45904.0)</f>
        <v>45904</v>
      </c>
      <c r="I1697" s="115" t="str">
        <f>IFERROR(__xludf.DUMMYFUNCTION("""COMPUTED_VALUE"""),"10")</f>
        <v>10</v>
      </c>
      <c r="J1697" s="115" t="str">
        <f>IFERROR(__xludf.DUMMYFUNCTION("""COMPUTED_VALUE"""),"Manoj Harsh2025-09-0410")</f>
        <v>Manoj Harsh2025-09-0410</v>
      </c>
      <c r="K1697" s="115">
        <f>IFERROR(__xludf.DUMMYFUNCTION("""COMPUTED_VALUE"""),17577.0)</f>
        <v>17577</v>
      </c>
    </row>
    <row r="1698">
      <c r="A1698" s="115" t="str">
        <f>IFERROR(__xludf.DUMMYFUNCTION("""COMPUTED_VALUE"""),"NORTH")</f>
        <v>NORTH</v>
      </c>
      <c r="B1698" s="115" t="str">
        <f>IFERROR(__xludf.DUMMYFUNCTION("""COMPUTED_VALUE"""),"Manoj Harsh")</f>
        <v>Manoj Harsh</v>
      </c>
      <c r="C1698" s="115" t="str">
        <f>IFERROR(__xludf.DUMMYFUNCTION("""COMPUTED_VALUE"""),"FLIPKART")</f>
        <v>FLIPKART</v>
      </c>
      <c r="D1698" s="115">
        <f>IFERROR(__xludf.DUMMYFUNCTION("""COMPUTED_VALUE"""),228072.0)</f>
        <v>228072</v>
      </c>
      <c r="E1698" s="115">
        <f>IFERROR(__xludf.DUMMYFUNCTION("""COMPUTED_VALUE"""),19006.0)</f>
        <v>19006</v>
      </c>
      <c r="F1698" s="115">
        <f>IFERROR(__xludf.DUMMYFUNCTION("""COMPUTED_VALUE"""),12455.0)</f>
        <v>12455</v>
      </c>
      <c r="G1698" s="115">
        <f>IFERROR(__xludf.DUMMYFUNCTION("""COMPUTED_VALUE"""),396.0)</f>
        <v>396</v>
      </c>
      <c r="H1698" s="116">
        <f>IFERROR(__xludf.DUMMYFUNCTION("""COMPUTED_VALUE"""),45904.0)</f>
        <v>45904</v>
      </c>
      <c r="I1698" s="115" t="str">
        <f>IFERROR(__xludf.DUMMYFUNCTION("""COMPUTED_VALUE"""),"10")</f>
        <v>10</v>
      </c>
      <c r="J1698" s="115" t="str">
        <f>IFERROR(__xludf.DUMMYFUNCTION("""COMPUTED_VALUE"""),"Manoj Harsh2025-09-0410")</f>
        <v>Manoj Harsh2025-09-0410</v>
      </c>
      <c r="K1698" s="115">
        <f>IFERROR(__xludf.DUMMYFUNCTION("""COMPUTED_VALUE"""),247078.0)</f>
        <v>247078</v>
      </c>
    </row>
    <row r="1699">
      <c r="A1699" s="115" t="str">
        <f>IFERROR(__xludf.DUMMYFUNCTION("""COMPUTED_VALUE"""),"NORTH")</f>
        <v>NORTH</v>
      </c>
      <c r="B1699" s="115" t="str">
        <f>IFERROR(__xludf.DUMMYFUNCTION("""COMPUTED_VALUE"""),"Manoj Harsh")</f>
        <v>Manoj Harsh</v>
      </c>
      <c r="C1699" s="115" t="str">
        <f>IFERROR(__xludf.DUMMYFUNCTION("""COMPUTED_VALUE"""),"MYNTRA")</f>
        <v>MYNTRA</v>
      </c>
      <c r="D1699" s="115">
        <f>IFERROR(__xludf.DUMMYFUNCTION("""COMPUTED_VALUE"""),21308.0)</f>
        <v>21308</v>
      </c>
      <c r="E1699" s="115">
        <f>IFERROR(__xludf.DUMMYFUNCTION("""COMPUTED_VALUE"""),3931.0)</f>
        <v>3931</v>
      </c>
      <c r="F1699" s="115">
        <f>IFERROR(__xludf.DUMMYFUNCTION("""COMPUTED_VALUE"""),1276.0)</f>
        <v>1276</v>
      </c>
      <c r="G1699" s="115">
        <f>IFERROR(__xludf.DUMMYFUNCTION("""COMPUTED_VALUE"""),104.0)</f>
        <v>104</v>
      </c>
      <c r="H1699" s="116">
        <f>IFERROR(__xludf.DUMMYFUNCTION("""COMPUTED_VALUE"""),45904.0)</f>
        <v>45904</v>
      </c>
      <c r="I1699" s="115" t="str">
        <f>IFERROR(__xludf.DUMMYFUNCTION("""COMPUTED_VALUE"""),"10")</f>
        <v>10</v>
      </c>
      <c r="J1699" s="115" t="str">
        <f>IFERROR(__xludf.DUMMYFUNCTION("""COMPUTED_VALUE"""),"Manoj Harsh2025-09-0410")</f>
        <v>Manoj Harsh2025-09-0410</v>
      </c>
      <c r="K1699" s="115">
        <f>IFERROR(__xludf.DUMMYFUNCTION("""COMPUTED_VALUE"""),25239.0)</f>
        <v>25239</v>
      </c>
    </row>
    <row r="1700">
      <c r="A1700" s="115" t="str">
        <f>IFERROR(__xludf.DUMMYFUNCTION("""COMPUTED_VALUE"""),"NORTH")</f>
        <v>NORTH</v>
      </c>
      <c r="B1700" s="115" t="str">
        <f>IFERROR(__xludf.DUMMYFUNCTION("""COMPUTED_VALUE"""),"Pradeep Kothari")</f>
        <v>Pradeep Kothari</v>
      </c>
      <c r="C1700" s="115" t="str">
        <f>IFERROR(__xludf.DUMMYFUNCTION("""COMPUTED_VALUE"""),"EXTERNAL")</f>
        <v>EXTERNAL</v>
      </c>
      <c r="D1700" s="115">
        <f>IFERROR(__xludf.DUMMYFUNCTION("""COMPUTED_VALUE"""),9257.0)</f>
        <v>9257</v>
      </c>
      <c r="E1700" s="115">
        <f>IFERROR(__xludf.DUMMYFUNCTION("""COMPUTED_VALUE"""),953.0)</f>
        <v>953</v>
      </c>
      <c r="F1700" s="115">
        <f>IFERROR(__xludf.DUMMYFUNCTION("""COMPUTED_VALUE"""),319.0)</f>
        <v>319</v>
      </c>
      <c r="G1700" s="115">
        <f>IFERROR(__xludf.DUMMYFUNCTION("""COMPUTED_VALUE"""),14.0)</f>
        <v>14</v>
      </c>
      <c r="H1700" s="116">
        <f>IFERROR(__xludf.DUMMYFUNCTION("""COMPUTED_VALUE"""),45904.0)</f>
        <v>45904</v>
      </c>
      <c r="I1700" s="115" t="str">
        <f>IFERROR(__xludf.DUMMYFUNCTION("""COMPUTED_VALUE"""),"10")</f>
        <v>10</v>
      </c>
      <c r="J1700" s="115" t="str">
        <f>IFERROR(__xludf.DUMMYFUNCTION("""COMPUTED_VALUE"""),"Pradeep Kothari2025-09-0410")</f>
        <v>Pradeep Kothari2025-09-0410</v>
      </c>
      <c r="K1700" s="115">
        <f>IFERROR(__xludf.DUMMYFUNCTION("""COMPUTED_VALUE"""),10210.0)</f>
        <v>10210</v>
      </c>
    </row>
    <row r="1701">
      <c r="A1701" s="115" t="str">
        <f>IFERROR(__xludf.DUMMYFUNCTION("""COMPUTED_VALUE"""),"NORTH")</f>
        <v>NORTH</v>
      </c>
      <c r="B1701" s="115" t="str">
        <f>IFERROR(__xludf.DUMMYFUNCTION("""COMPUTED_VALUE"""),"Pradeep Kothari")</f>
        <v>Pradeep Kothari</v>
      </c>
      <c r="C1701" s="115" t="str">
        <f>IFERROR(__xludf.DUMMYFUNCTION("""COMPUTED_VALUE"""),"FLIPKART")</f>
        <v>FLIPKART</v>
      </c>
      <c r="D1701" s="115">
        <f>IFERROR(__xludf.DUMMYFUNCTION("""COMPUTED_VALUE"""),81002.0)</f>
        <v>81002</v>
      </c>
      <c r="E1701" s="115">
        <f>IFERROR(__xludf.DUMMYFUNCTION("""COMPUTED_VALUE"""),8885.0)</f>
        <v>8885</v>
      </c>
      <c r="F1701" s="115">
        <f>IFERROR(__xludf.DUMMYFUNCTION("""COMPUTED_VALUE"""),5765.0)</f>
        <v>5765</v>
      </c>
      <c r="G1701" s="115">
        <f>IFERROR(__xludf.DUMMYFUNCTION("""COMPUTED_VALUE"""),245.0)</f>
        <v>245</v>
      </c>
      <c r="H1701" s="116">
        <f>IFERROR(__xludf.DUMMYFUNCTION("""COMPUTED_VALUE"""),45904.0)</f>
        <v>45904</v>
      </c>
      <c r="I1701" s="115" t="str">
        <f>IFERROR(__xludf.DUMMYFUNCTION("""COMPUTED_VALUE"""),"10")</f>
        <v>10</v>
      </c>
      <c r="J1701" s="115" t="str">
        <f>IFERROR(__xludf.DUMMYFUNCTION("""COMPUTED_VALUE"""),"Pradeep Kothari2025-09-0410")</f>
        <v>Pradeep Kothari2025-09-0410</v>
      </c>
      <c r="K1701" s="115">
        <f>IFERROR(__xludf.DUMMYFUNCTION("""COMPUTED_VALUE"""),89887.0)</f>
        <v>89887</v>
      </c>
    </row>
    <row r="1702">
      <c r="A1702" s="115" t="str">
        <f>IFERROR(__xludf.DUMMYFUNCTION("""COMPUTED_VALUE"""),"NORTH")</f>
        <v>NORTH</v>
      </c>
      <c r="B1702" s="115" t="str">
        <f>IFERROR(__xludf.DUMMYFUNCTION("""COMPUTED_VALUE"""),"Pradeep Kothari")</f>
        <v>Pradeep Kothari</v>
      </c>
      <c r="C1702" s="115" t="str">
        <f>IFERROR(__xludf.DUMMYFUNCTION("""COMPUTED_VALUE"""),"MYNTRA")</f>
        <v>MYNTRA</v>
      </c>
      <c r="D1702" s="115">
        <f>IFERROR(__xludf.DUMMYFUNCTION("""COMPUTED_VALUE"""),13698.0)</f>
        <v>13698</v>
      </c>
      <c r="E1702" s="115">
        <f>IFERROR(__xludf.DUMMYFUNCTION("""COMPUTED_VALUE"""),3159.0)</f>
        <v>3159</v>
      </c>
      <c r="F1702" s="115">
        <f>IFERROR(__xludf.DUMMYFUNCTION("""COMPUTED_VALUE"""),1355.0)</f>
        <v>1355</v>
      </c>
      <c r="G1702" s="115">
        <f>IFERROR(__xludf.DUMMYFUNCTION("""COMPUTED_VALUE"""),112.0)</f>
        <v>112</v>
      </c>
      <c r="H1702" s="116">
        <f>IFERROR(__xludf.DUMMYFUNCTION("""COMPUTED_VALUE"""),45904.0)</f>
        <v>45904</v>
      </c>
      <c r="I1702" s="115" t="str">
        <f>IFERROR(__xludf.DUMMYFUNCTION("""COMPUTED_VALUE"""),"10")</f>
        <v>10</v>
      </c>
      <c r="J1702" s="115" t="str">
        <f>IFERROR(__xludf.DUMMYFUNCTION("""COMPUTED_VALUE"""),"Pradeep Kothari2025-09-0410")</f>
        <v>Pradeep Kothari2025-09-0410</v>
      </c>
      <c r="K1702" s="115">
        <f>IFERROR(__xludf.DUMMYFUNCTION("""COMPUTED_VALUE"""),16857.0)</f>
        <v>16857</v>
      </c>
    </row>
    <row r="1703">
      <c r="A1703" s="115" t="str">
        <f>IFERROR(__xludf.DUMMYFUNCTION("""COMPUTED_VALUE"""),"SOUTH")</f>
        <v>SOUTH</v>
      </c>
      <c r="B1703" s="115" t="str">
        <f>IFERROR(__xludf.DUMMYFUNCTION("""COMPUTED_VALUE"""),"Kandula Sampath")</f>
        <v>Kandula Sampath</v>
      </c>
      <c r="C1703" s="115" t="str">
        <f>IFERROR(__xludf.DUMMYFUNCTION("""COMPUTED_VALUE"""),"EXTERNAL")</f>
        <v>EXTERNAL</v>
      </c>
      <c r="D1703" s="115">
        <f>IFERROR(__xludf.DUMMYFUNCTION("""COMPUTED_VALUE"""),22312.0)</f>
        <v>22312</v>
      </c>
      <c r="E1703" s="115">
        <f>IFERROR(__xludf.DUMMYFUNCTION("""COMPUTED_VALUE"""),2451.0)</f>
        <v>2451</v>
      </c>
      <c r="F1703" s="115">
        <f>IFERROR(__xludf.DUMMYFUNCTION("""COMPUTED_VALUE"""),1573.0)</f>
        <v>1573</v>
      </c>
      <c r="G1703" s="115">
        <f>IFERROR(__xludf.DUMMYFUNCTION("""COMPUTED_VALUE"""),43.0)</f>
        <v>43</v>
      </c>
      <c r="H1703" s="116">
        <f>IFERROR(__xludf.DUMMYFUNCTION("""COMPUTED_VALUE"""),45904.0)</f>
        <v>45904</v>
      </c>
      <c r="I1703" s="115" t="str">
        <f>IFERROR(__xludf.DUMMYFUNCTION("""COMPUTED_VALUE"""),"10")</f>
        <v>10</v>
      </c>
      <c r="J1703" s="115" t="str">
        <f>IFERROR(__xludf.DUMMYFUNCTION("""COMPUTED_VALUE"""),"Kandula Sampath2025-09-0410")</f>
        <v>Kandula Sampath2025-09-0410</v>
      </c>
      <c r="K1703" s="115">
        <f>IFERROR(__xludf.DUMMYFUNCTION("""COMPUTED_VALUE"""),24763.0)</f>
        <v>24763</v>
      </c>
    </row>
    <row r="1704">
      <c r="A1704" s="115" t="str">
        <f>IFERROR(__xludf.DUMMYFUNCTION("""COMPUTED_VALUE"""),"SOUTH")</f>
        <v>SOUTH</v>
      </c>
      <c r="B1704" s="115" t="str">
        <f>IFERROR(__xludf.DUMMYFUNCTION("""COMPUTED_VALUE"""),"Kandula Sampath")</f>
        <v>Kandula Sampath</v>
      </c>
      <c r="C1704" s="115" t="str">
        <f>IFERROR(__xludf.DUMMYFUNCTION("""COMPUTED_VALUE"""),"FLIPKART")</f>
        <v>FLIPKART</v>
      </c>
      <c r="D1704" s="115">
        <f>IFERROR(__xludf.DUMMYFUNCTION("""COMPUTED_VALUE"""),217780.0)</f>
        <v>217780</v>
      </c>
      <c r="E1704" s="115">
        <f>IFERROR(__xludf.DUMMYFUNCTION("""COMPUTED_VALUE"""),21087.0)</f>
        <v>21087</v>
      </c>
      <c r="F1704" s="115">
        <f>IFERROR(__xludf.DUMMYFUNCTION("""COMPUTED_VALUE"""),30628.0)</f>
        <v>30628</v>
      </c>
      <c r="G1704" s="115">
        <f>IFERROR(__xludf.DUMMYFUNCTION("""COMPUTED_VALUE"""),486.0)</f>
        <v>486</v>
      </c>
      <c r="H1704" s="116">
        <f>IFERROR(__xludf.DUMMYFUNCTION("""COMPUTED_VALUE"""),45904.0)</f>
        <v>45904</v>
      </c>
      <c r="I1704" s="115" t="str">
        <f>IFERROR(__xludf.DUMMYFUNCTION("""COMPUTED_VALUE"""),"10")</f>
        <v>10</v>
      </c>
      <c r="J1704" s="115" t="str">
        <f>IFERROR(__xludf.DUMMYFUNCTION("""COMPUTED_VALUE"""),"Kandula Sampath2025-09-0410")</f>
        <v>Kandula Sampath2025-09-0410</v>
      </c>
      <c r="K1704" s="115">
        <f>IFERROR(__xludf.DUMMYFUNCTION("""COMPUTED_VALUE"""),238867.0)</f>
        <v>238867</v>
      </c>
    </row>
    <row r="1705">
      <c r="A1705" s="115" t="str">
        <f>IFERROR(__xludf.DUMMYFUNCTION("""COMPUTED_VALUE"""),"SOUTH")</f>
        <v>SOUTH</v>
      </c>
      <c r="B1705" s="115" t="str">
        <f>IFERROR(__xludf.DUMMYFUNCTION("""COMPUTED_VALUE"""),"Kandula Sampath")</f>
        <v>Kandula Sampath</v>
      </c>
      <c r="C1705" s="115" t="str">
        <f>IFERROR(__xludf.DUMMYFUNCTION("""COMPUTED_VALUE"""),"MYNTRA")</f>
        <v>MYNTRA</v>
      </c>
      <c r="D1705" s="115">
        <f>IFERROR(__xludf.DUMMYFUNCTION("""COMPUTED_VALUE"""),22458.0)</f>
        <v>22458</v>
      </c>
      <c r="E1705" s="115">
        <f>IFERROR(__xludf.DUMMYFUNCTION("""COMPUTED_VALUE"""),5392.0)</f>
        <v>5392</v>
      </c>
      <c r="F1705" s="115">
        <f>IFERROR(__xludf.DUMMYFUNCTION("""COMPUTED_VALUE"""),3801.0)</f>
        <v>3801</v>
      </c>
      <c r="G1705" s="115">
        <f>IFERROR(__xludf.DUMMYFUNCTION("""COMPUTED_VALUE"""),121.0)</f>
        <v>121</v>
      </c>
      <c r="H1705" s="116">
        <f>IFERROR(__xludf.DUMMYFUNCTION("""COMPUTED_VALUE"""),45904.0)</f>
        <v>45904</v>
      </c>
      <c r="I1705" s="115" t="str">
        <f>IFERROR(__xludf.DUMMYFUNCTION("""COMPUTED_VALUE"""),"10")</f>
        <v>10</v>
      </c>
      <c r="J1705" s="115" t="str">
        <f>IFERROR(__xludf.DUMMYFUNCTION("""COMPUTED_VALUE"""),"Kandula Sampath2025-09-0410")</f>
        <v>Kandula Sampath2025-09-0410</v>
      </c>
      <c r="K1705" s="115">
        <f>IFERROR(__xludf.DUMMYFUNCTION("""COMPUTED_VALUE"""),27850.0)</f>
        <v>27850</v>
      </c>
    </row>
    <row r="1706">
      <c r="A1706" s="115" t="str">
        <f>IFERROR(__xludf.DUMMYFUNCTION("""COMPUTED_VALUE"""),"SOUTH")</f>
        <v>SOUTH</v>
      </c>
      <c r="B1706" s="115" t="str">
        <f>IFERROR(__xludf.DUMMYFUNCTION("""COMPUTED_VALUE"""),"Martin A")</f>
        <v>Martin A</v>
      </c>
      <c r="C1706" s="115" t="str">
        <f>IFERROR(__xludf.DUMMYFUNCTION("""COMPUTED_VALUE"""),"EXTERNAL")</f>
        <v>EXTERNAL</v>
      </c>
      <c r="D1706" s="115">
        <f>IFERROR(__xludf.DUMMYFUNCTION("""COMPUTED_VALUE"""),19525.0)</f>
        <v>19525</v>
      </c>
      <c r="E1706" s="115">
        <f>IFERROR(__xludf.DUMMYFUNCTION("""COMPUTED_VALUE"""),2116.0)</f>
        <v>2116</v>
      </c>
      <c r="F1706" s="115">
        <f>IFERROR(__xludf.DUMMYFUNCTION("""COMPUTED_VALUE"""),1163.0)</f>
        <v>1163</v>
      </c>
      <c r="G1706" s="115">
        <f>IFERROR(__xludf.DUMMYFUNCTION("""COMPUTED_VALUE"""),55.0)</f>
        <v>55</v>
      </c>
      <c r="H1706" s="116">
        <f>IFERROR(__xludf.DUMMYFUNCTION("""COMPUTED_VALUE"""),45904.0)</f>
        <v>45904</v>
      </c>
      <c r="I1706" s="115" t="str">
        <f>IFERROR(__xludf.DUMMYFUNCTION("""COMPUTED_VALUE"""),"10")</f>
        <v>10</v>
      </c>
      <c r="J1706" s="115" t="str">
        <f>IFERROR(__xludf.DUMMYFUNCTION("""COMPUTED_VALUE"""),"Martin A2025-09-0410")</f>
        <v>Martin A2025-09-0410</v>
      </c>
      <c r="K1706" s="115">
        <f>IFERROR(__xludf.DUMMYFUNCTION("""COMPUTED_VALUE"""),21641.0)</f>
        <v>21641</v>
      </c>
    </row>
    <row r="1707">
      <c r="A1707" s="115" t="str">
        <f>IFERROR(__xludf.DUMMYFUNCTION("""COMPUTED_VALUE"""),"SOUTH")</f>
        <v>SOUTH</v>
      </c>
      <c r="B1707" s="115" t="str">
        <f>IFERROR(__xludf.DUMMYFUNCTION("""COMPUTED_VALUE"""),"Martin A")</f>
        <v>Martin A</v>
      </c>
      <c r="C1707" s="115" t="str">
        <f>IFERROR(__xludf.DUMMYFUNCTION("""COMPUTED_VALUE"""),"FLIPKART")</f>
        <v>FLIPKART</v>
      </c>
      <c r="D1707" s="115">
        <f>IFERROR(__xludf.DUMMYFUNCTION("""COMPUTED_VALUE"""),168966.0)</f>
        <v>168966</v>
      </c>
      <c r="E1707" s="115">
        <f>IFERROR(__xludf.DUMMYFUNCTION("""COMPUTED_VALUE"""),17726.0)</f>
        <v>17726</v>
      </c>
      <c r="F1707" s="115">
        <f>IFERROR(__xludf.DUMMYFUNCTION("""COMPUTED_VALUE"""),18807.0)</f>
        <v>18807</v>
      </c>
      <c r="G1707" s="115">
        <f>IFERROR(__xludf.DUMMYFUNCTION("""COMPUTED_VALUE"""),587.0)</f>
        <v>587</v>
      </c>
      <c r="H1707" s="116">
        <f>IFERROR(__xludf.DUMMYFUNCTION("""COMPUTED_VALUE"""),45904.0)</f>
        <v>45904</v>
      </c>
      <c r="I1707" s="115" t="str">
        <f>IFERROR(__xludf.DUMMYFUNCTION("""COMPUTED_VALUE"""),"10")</f>
        <v>10</v>
      </c>
      <c r="J1707" s="115" t="str">
        <f>IFERROR(__xludf.DUMMYFUNCTION("""COMPUTED_VALUE"""),"Martin A2025-09-0410")</f>
        <v>Martin A2025-09-0410</v>
      </c>
      <c r="K1707" s="115">
        <f>IFERROR(__xludf.DUMMYFUNCTION("""COMPUTED_VALUE"""),186692.0)</f>
        <v>186692</v>
      </c>
    </row>
    <row r="1708">
      <c r="A1708" s="115" t="str">
        <f>IFERROR(__xludf.DUMMYFUNCTION("""COMPUTED_VALUE"""),"SOUTH")</f>
        <v>SOUTH</v>
      </c>
      <c r="B1708" s="115" t="str">
        <f>IFERROR(__xludf.DUMMYFUNCTION("""COMPUTED_VALUE"""),"Martin A")</f>
        <v>Martin A</v>
      </c>
      <c r="C1708" s="115" t="str">
        <f>IFERROR(__xludf.DUMMYFUNCTION("""COMPUTED_VALUE"""),"MYNTRA")</f>
        <v>MYNTRA</v>
      </c>
      <c r="D1708" s="115">
        <f>IFERROR(__xludf.DUMMYFUNCTION("""COMPUTED_VALUE"""),14398.0)</f>
        <v>14398</v>
      </c>
      <c r="E1708" s="115">
        <f>IFERROR(__xludf.DUMMYFUNCTION("""COMPUTED_VALUE"""),4296.0)</f>
        <v>4296</v>
      </c>
      <c r="F1708" s="115">
        <f>IFERROR(__xludf.DUMMYFUNCTION("""COMPUTED_VALUE"""),1978.0)</f>
        <v>1978</v>
      </c>
      <c r="G1708" s="115">
        <f>IFERROR(__xludf.DUMMYFUNCTION("""COMPUTED_VALUE"""),174.0)</f>
        <v>174</v>
      </c>
      <c r="H1708" s="116">
        <f>IFERROR(__xludf.DUMMYFUNCTION("""COMPUTED_VALUE"""),45904.0)</f>
        <v>45904</v>
      </c>
      <c r="I1708" s="115" t="str">
        <f>IFERROR(__xludf.DUMMYFUNCTION("""COMPUTED_VALUE"""),"10")</f>
        <v>10</v>
      </c>
      <c r="J1708" s="115" t="str">
        <f>IFERROR(__xludf.DUMMYFUNCTION("""COMPUTED_VALUE"""),"Martin A2025-09-0410")</f>
        <v>Martin A2025-09-0410</v>
      </c>
      <c r="K1708" s="115">
        <f>IFERROR(__xludf.DUMMYFUNCTION("""COMPUTED_VALUE"""),18694.0)</f>
        <v>18694</v>
      </c>
    </row>
    <row r="1709">
      <c r="A1709" s="115" t="str">
        <f>IFERROR(__xludf.DUMMYFUNCTION("""COMPUTED_VALUE"""),"SOUTH")</f>
        <v>SOUTH</v>
      </c>
      <c r="B1709" s="115" t="str">
        <f>IFERROR(__xludf.DUMMYFUNCTION("""COMPUTED_VALUE"""),"Premkumar M")</f>
        <v>Premkumar M</v>
      </c>
      <c r="C1709" s="115" t="str">
        <f>IFERROR(__xludf.DUMMYFUNCTION("""COMPUTED_VALUE"""),"EXTERNAL")</f>
        <v>EXTERNAL</v>
      </c>
      <c r="D1709" s="115">
        <f>IFERROR(__xludf.DUMMYFUNCTION("""COMPUTED_VALUE"""),9802.0)</f>
        <v>9802</v>
      </c>
      <c r="E1709" s="115">
        <f>IFERROR(__xludf.DUMMYFUNCTION("""COMPUTED_VALUE"""),529.0)</f>
        <v>529</v>
      </c>
      <c r="F1709" s="115">
        <f>IFERROR(__xludf.DUMMYFUNCTION("""COMPUTED_VALUE"""),409.0)</f>
        <v>409</v>
      </c>
      <c r="G1709" s="115">
        <f>IFERROR(__xludf.DUMMYFUNCTION("""COMPUTED_VALUE"""),1.0)</f>
        <v>1</v>
      </c>
      <c r="H1709" s="116">
        <f>IFERROR(__xludf.DUMMYFUNCTION("""COMPUTED_VALUE"""),45904.0)</f>
        <v>45904</v>
      </c>
      <c r="I1709" s="115" t="str">
        <f>IFERROR(__xludf.DUMMYFUNCTION("""COMPUTED_VALUE"""),"10")</f>
        <v>10</v>
      </c>
      <c r="J1709" s="115" t="str">
        <f>IFERROR(__xludf.DUMMYFUNCTION("""COMPUTED_VALUE"""),"Premkumar M2025-09-0410")</f>
        <v>Premkumar M2025-09-0410</v>
      </c>
      <c r="K1709" s="115">
        <f>IFERROR(__xludf.DUMMYFUNCTION("""COMPUTED_VALUE"""),10331.0)</f>
        <v>10331</v>
      </c>
    </row>
    <row r="1710">
      <c r="A1710" s="115" t="str">
        <f>IFERROR(__xludf.DUMMYFUNCTION("""COMPUTED_VALUE"""),"SOUTH")</f>
        <v>SOUTH</v>
      </c>
      <c r="B1710" s="115" t="str">
        <f>IFERROR(__xludf.DUMMYFUNCTION("""COMPUTED_VALUE"""),"Premkumar M")</f>
        <v>Premkumar M</v>
      </c>
      <c r="C1710" s="115" t="str">
        <f>IFERROR(__xludf.DUMMYFUNCTION("""COMPUTED_VALUE"""),"FLIPKART")</f>
        <v>FLIPKART</v>
      </c>
      <c r="D1710" s="115">
        <f>IFERROR(__xludf.DUMMYFUNCTION("""COMPUTED_VALUE"""),104132.0)</f>
        <v>104132</v>
      </c>
      <c r="E1710" s="115">
        <f>IFERROR(__xludf.DUMMYFUNCTION("""COMPUTED_VALUE"""),6159.0)</f>
        <v>6159</v>
      </c>
      <c r="F1710" s="115">
        <f>IFERROR(__xludf.DUMMYFUNCTION("""COMPUTED_VALUE"""),6081.0)</f>
        <v>6081</v>
      </c>
      <c r="G1710" s="115">
        <f>IFERROR(__xludf.DUMMYFUNCTION("""COMPUTED_VALUE"""),88.0)</f>
        <v>88</v>
      </c>
      <c r="H1710" s="116">
        <f>IFERROR(__xludf.DUMMYFUNCTION("""COMPUTED_VALUE"""),45904.0)</f>
        <v>45904</v>
      </c>
      <c r="I1710" s="115" t="str">
        <f>IFERROR(__xludf.DUMMYFUNCTION("""COMPUTED_VALUE"""),"10")</f>
        <v>10</v>
      </c>
      <c r="J1710" s="115" t="str">
        <f>IFERROR(__xludf.DUMMYFUNCTION("""COMPUTED_VALUE"""),"Premkumar M2025-09-0410")</f>
        <v>Premkumar M2025-09-0410</v>
      </c>
      <c r="K1710" s="115">
        <f>IFERROR(__xludf.DUMMYFUNCTION("""COMPUTED_VALUE"""),110291.0)</f>
        <v>110291</v>
      </c>
    </row>
    <row r="1711">
      <c r="A1711" s="115" t="str">
        <f>IFERROR(__xludf.DUMMYFUNCTION("""COMPUTED_VALUE"""),"SOUTH")</f>
        <v>SOUTH</v>
      </c>
      <c r="B1711" s="115" t="str">
        <f>IFERROR(__xludf.DUMMYFUNCTION("""COMPUTED_VALUE"""),"Premkumar M")</f>
        <v>Premkumar M</v>
      </c>
      <c r="C1711" s="115" t="str">
        <f>IFERROR(__xludf.DUMMYFUNCTION("""COMPUTED_VALUE"""),"MYNTRA")</f>
        <v>MYNTRA</v>
      </c>
      <c r="D1711" s="115">
        <f>IFERROR(__xludf.DUMMYFUNCTION("""COMPUTED_VALUE"""),5350.0)</f>
        <v>5350</v>
      </c>
      <c r="E1711" s="115">
        <f>IFERROR(__xludf.DUMMYFUNCTION("""COMPUTED_VALUE"""),1014.0)</f>
        <v>1014</v>
      </c>
      <c r="F1711" s="115">
        <f>IFERROR(__xludf.DUMMYFUNCTION("""COMPUTED_VALUE"""),379.0)</f>
        <v>379</v>
      </c>
      <c r="G1711" s="115">
        <f>IFERROR(__xludf.DUMMYFUNCTION("""COMPUTED_VALUE"""),12.0)</f>
        <v>12</v>
      </c>
      <c r="H1711" s="116">
        <f>IFERROR(__xludf.DUMMYFUNCTION("""COMPUTED_VALUE"""),45904.0)</f>
        <v>45904</v>
      </c>
      <c r="I1711" s="115" t="str">
        <f>IFERROR(__xludf.DUMMYFUNCTION("""COMPUTED_VALUE"""),"10")</f>
        <v>10</v>
      </c>
      <c r="J1711" s="115" t="str">
        <f>IFERROR(__xludf.DUMMYFUNCTION("""COMPUTED_VALUE"""),"Premkumar M2025-09-0410")</f>
        <v>Premkumar M2025-09-0410</v>
      </c>
      <c r="K1711" s="115">
        <f>IFERROR(__xludf.DUMMYFUNCTION("""COMPUTED_VALUE"""),6364.0)</f>
        <v>6364</v>
      </c>
    </row>
    <row r="1712">
      <c r="A1712" s="115" t="str">
        <f>IFERROR(__xludf.DUMMYFUNCTION("""COMPUTED_VALUE"""),"SOUTH")</f>
        <v>SOUTH</v>
      </c>
      <c r="B1712" s="115" t="str">
        <f>IFERROR(__xludf.DUMMYFUNCTION("""COMPUTED_VALUE"""),"Vineeth V")</f>
        <v>Vineeth V</v>
      </c>
      <c r="C1712" s="115" t="str">
        <f>IFERROR(__xludf.DUMMYFUNCTION("""COMPUTED_VALUE"""),"EXTERNAL")</f>
        <v>EXTERNAL</v>
      </c>
      <c r="D1712" s="115">
        <f>IFERROR(__xludf.DUMMYFUNCTION("""COMPUTED_VALUE"""),5864.0)</f>
        <v>5864</v>
      </c>
      <c r="E1712" s="115">
        <f>IFERROR(__xludf.DUMMYFUNCTION("""COMPUTED_VALUE"""),194.0)</f>
        <v>194</v>
      </c>
      <c r="F1712" s="115">
        <f>IFERROR(__xludf.DUMMYFUNCTION("""COMPUTED_VALUE"""),145.0)</f>
        <v>145</v>
      </c>
      <c r="G1712" s="115">
        <f>IFERROR(__xludf.DUMMYFUNCTION("""COMPUTED_VALUE"""),1.0)</f>
        <v>1</v>
      </c>
      <c r="H1712" s="116">
        <f>IFERROR(__xludf.DUMMYFUNCTION("""COMPUTED_VALUE"""),45904.0)</f>
        <v>45904</v>
      </c>
      <c r="I1712" s="115" t="str">
        <f>IFERROR(__xludf.DUMMYFUNCTION("""COMPUTED_VALUE"""),"10")</f>
        <v>10</v>
      </c>
      <c r="J1712" s="115" t="str">
        <f>IFERROR(__xludf.DUMMYFUNCTION("""COMPUTED_VALUE"""),"Vineeth V2025-09-0410")</f>
        <v>Vineeth V2025-09-0410</v>
      </c>
      <c r="K1712" s="115">
        <f>IFERROR(__xludf.DUMMYFUNCTION("""COMPUTED_VALUE"""),6058.0)</f>
        <v>6058</v>
      </c>
    </row>
    <row r="1713">
      <c r="A1713" s="115" t="str">
        <f>IFERROR(__xludf.DUMMYFUNCTION("""COMPUTED_VALUE"""),"SOUTH")</f>
        <v>SOUTH</v>
      </c>
      <c r="B1713" s="115" t="str">
        <f>IFERROR(__xludf.DUMMYFUNCTION("""COMPUTED_VALUE"""),"Vineeth V")</f>
        <v>Vineeth V</v>
      </c>
      <c r="C1713" s="115" t="str">
        <f>IFERROR(__xludf.DUMMYFUNCTION("""COMPUTED_VALUE"""),"FLIPKART")</f>
        <v>FLIPKART</v>
      </c>
      <c r="D1713" s="115">
        <f>IFERROR(__xludf.DUMMYFUNCTION("""COMPUTED_VALUE"""),67919.0)</f>
        <v>67919</v>
      </c>
      <c r="E1713" s="115">
        <f>IFERROR(__xludf.DUMMYFUNCTION("""COMPUTED_VALUE"""),4227.0)</f>
        <v>4227</v>
      </c>
      <c r="F1713" s="115">
        <f>IFERROR(__xludf.DUMMYFUNCTION("""COMPUTED_VALUE"""),2784.0)</f>
        <v>2784</v>
      </c>
      <c r="G1713" s="115">
        <f>IFERROR(__xludf.DUMMYFUNCTION("""COMPUTED_VALUE"""),39.0)</f>
        <v>39</v>
      </c>
      <c r="H1713" s="116">
        <f>IFERROR(__xludf.DUMMYFUNCTION("""COMPUTED_VALUE"""),45904.0)</f>
        <v>45904</v>
      </c>
      <c r="I1713" s="115" t="str">
        <f>IFERROR(__xludf.DUMMYFUNCTION("""COMPUTED_VALUE"""),"10")</f>
        <v>10</v>
      </c>
      <c r="J1713" s="115" t="str">
        <f>IFERROR(__xludf.DUMMYFUNCTION("""COMPUTED_VALUE"""),"Vineeth V2025-09-0410")</f>
        <v>Vineeth V2025-09-0410</v>
      </c>
      <c r="K1713" s="115">
        <f>IFERROR(__xludf.DUMMYFUNCTION("""COMPUTED_VALUE"""),72146.0)</f>
        <v>72146</v>
      </c>
    </row>
    <row r="1714">
      <c r="A1714" s="115" t="str">
        <f>IFERROR(__xludf.DUMMYFUNCTION("""COMPUTED_VALUE"""),"SOUTH")</f>
        <v>SOUTH</v>
      </c>
      <c r="B1714" s="115" t="str">
        <f>IFERROR(__xludf.DUMMYFUNCTION("""COMPUTED_VALUE"""),"Vineeth V")</f>
        <v>Vineeth V</v>
      </c>
      <c r="C1714" s="115" t="str">
        <f>IFERROR(__xludf.DUMMYFUNCTION("""COMPUTED_VALUE"""),"MYNTRA")</f>
        <v>MYNTRA</v>
      </c>
      <c r="D1714" s="115">
        <f>IFERROR(__xludf.DUMMYFUNCTION("""COMPUTED_VALUE"""),6046.0)</f>
        <v>6046</v>
      </c>
      <c r="E1714" s="115">
        <f>IFERROR(__xludf.DUMMYFUNCTION("""COMPUTED_VALUE"""),1051.0)</f>
        <v>1051</v>
      </c>
      <c r="F1714" s="115">
        <f>IFERROR(__xludf.DUMMYFUNCTION("""COMPUTED_VALUE"""),283.0)</f>
        <v>283</v>
      </c>
      <c r="G1714" s="115">
        <f>IFERROR(__xludf.DUMMYFUNCTION("""COMPUTED_VALUE"""),1.0)</f>
        <v>1</v>
      </c>
      <c r="H1714" s="116">
        <f>IFERROR(__xludf.DUMMYFUNCTION("""COMPUTED_VALUE"""),45904.0)</f>
        <v>45904</v>
      </c>
      <c r="I1714" s="115" t="str">
        <f>IFERROR(__xludf.DUMMYFUNCTION("""COMPUTED_VALUE"""),"10")</f>
        <v>10</v>
      </c>
      <c r="J1714" s="115" t="str">
        <f>IFERROR(__xludf.DUMMYFUNCTION("""COMPUTED_VALUE"""),"Vineeth V2025-09-0410")</f>
        <v>Vineeth V2025-09-0410</v>
      </c>
      <c r="K1714" s="115">
        <f>IFERROR(__xludf.DUMMYFUNCTION("""COMPUTED_VALUE"""),7097.0)</f>
        <v>7097</v>
      </c>
    </row>
    <row r="1715">
      <c r="A1715" s="115" t="str">
        <f>IFERROR(__xludf.DUMMYFUNCTION("""COMPUTED_VALUE"""),"WEST")</f>
        <v>WEST</v>
      </c>
      <c r="B1715" s="115" t="str">
        <f>IFERROR(__xludf.DUMMYFUNCTION("""COMPUTED_VALUE"""),"Ashish Jakar")</f>
        <v>Ashish Jakar</v>
      </c>
      <c r="C1715" s="115" t="str">
        <f>IFERROR(__xludf.DUMMYFUNCTION("""COMPUTED_VALUE"""),"EXTERNAL")</f>
        <v>EXTERNAL</v>
      </c>
      <c r="D1715" s="115">
        <f>IFERROR(__xludf.DUMMYFUNCTION("""COMPUTED_VALUE"""),29076.0)</f>
        <v>29076</v>
      </c>
      <c r="E1715" s="115">
        <f>IFERROR(__xludf.DUMMYFUNCTION("""COMPUTED_VALUE"""),3479.0)</f>
        <v>3479</v>
      </c>
      <c r="F1715" s="115">
        <f>IFERROR(__xludf.DUMMYFUNCTION("""COMPUTED_VALUE"""),1332.0)</f>
        <v>1332</v>
      </c>
      <c r="G1715" s="115">
        <f>IFERROR(__xludf.DUMMYFUNCTION("""COMPUTED_VALUE"""),102.0)</f>
        <v>102</v>
      </c>
      <c r="H1715" s="116">
        <f>IFERROR(__xludf.DUMMYFUNCTION("""COMPUTED_VALUE"""),45904.0)</f>
        <v>45904</v>
      </c>
      <c r="I1715" s="115" t="str">
        <f>IFERROR(__xludf.DUMMYFUNCTION("""COMPUTED_VALUE"""),"10")</f>
        <v>10</v>
      </c>
      <c r="J1715" s="115" t="str">
        <f>IFERROR(__xludf.DUMMYFUNCTION("""COMPUTED_VALUE"""),"Ashish Jakar2025-09-0410")</f>
        <v>Ashish Jakar2025-09-0410</v>
      </c>
      <c r="K1715" s="115">
        <f>IFERROR(__xludf.DUMMYFUNCTION("""COMPUTED_VALUE"""),32555.0)</f>
        <v>32555</v>
      </c>
    </row>
    <row r="1716">
      <c r="A1716" s="115" t="str">
        <f>IFERROR(__xludf.DUMMYFUNCTION("""COMPUTED_VALUE"""),"WEST")</f>
        <v>WEST</v>
      </c>
      <c r="B1716" s="115" t="str">
        <f>IFERROR(__xludf.DUMMYFUNCTION("""COMPUTED_VALUE"""),"Ashish Jakar")</f>
        <v>Ashish Jakar</v>
      </c>
      <c r="C1716" s="115" t="str">
        <f>IFERROR(__xludf.DUMMYFUNCTION("""COMPUTED_VALUE"""),"FLIPKART")</f>
        <v>FLIPKART</v>
      </c>
      <c r="D1716" s="115">
        <f>IFERROR(__xludf.DUMMYFUNCTION("""COMPUTED_VALUE"""),175275.0)</f>
        <v>175275</v>
      </c>
      <c r="E1716" s="115">
        <f>IFERROR(__xludf.DUMMYFUNCTION("""COMPUTED_VALUE"""),18247.0)</f>
        <v>18247</v>
      </c>
      <c r="F1716" s="115">
        <f>IFERROR(__xludf.DUMMYFUNCTION("""COMPUTED_VALUE"""),11643.0)</f>
        <v>11643</v>
      </c>
      <c r="G1716" s="115">
        <f>IFERROR(__xludf.DUMMYFUNCTION("""COMPUTED_VALUE"""),372.0)</f>
        <v>372</v>
      </c>
      <c r="H1716" s="116">
        <f>IFERROR(__xludf.DUMMYFUNCTION("""COMPUTED_VALUE"""),45904.0)</f>
        <v>45904</v>
      </c>
      <c r="I1716" s="115" t="str">
        <f>IFERROR(__xludf.DUMMYFUNCTION("""COMPUTED_VALUE"""),"10")</f>
        <v>10</v>
      </c>
      <c r="J1716" s="115" t="str">
        <f>IFERROR(__xludf.DUMMYFUNCTION("""COMPUTED_VALUE"""),"Ashish Jakar2025-09-0410")</f>
        <v>Ashish Jakar2025-09-0410</v>
      </c>
      <c r="K1716" s="115">
        <f>IFERROR(__xludf.DUMMYFUNCTION("""COMPUTED_VALUE"""),193522.0)</f>
        <v>193522</v>
      </c>
    </row>
    <row r="1717">
      <c r="A1717" s="115" t="str">
        <f>IFERROR(__xludf.DUMMYFUNCTION("""COMPUTED_VALUE"""),"WEST")</f>
        <v>WEST</v>
      </c>
      <c r="B1717" s="115" t="str">
        <f>IFERROR(__xludf.DUMMYFUNCTION("""COMPUTED_VALUE"""),"Ashish Jakar")</f>
        <v>Ashish Jakar</v>
      </c>
      <c r="C1717" s="115" t="str">
        <f>IFERROR(__xludf.DUMMYFUNCTION("""COMPUTED_VALUE"""),"MYNTRA")</f>
        <v>MYNTRA</v>
      </c>
      <c r="D1717" s="115">
        <f>IFERROR(__xludf.DUMMYFUNCTION("""COMPUTED_VALUE"""),21491.0)</f>
        <v>21491</v>
      </c>
      <c r="E1717" s="115">
        <f>IFERROR(__xludf.DUMMYFUNCTION("""COMPUTED_VALUE"""),5649.0)</f>
        <v>5649</v>
      </c>
      <c r="F1717" s="115">
        <f>IFERROR(__xludf.DUMMYFUNCTION("""COMPUTED_VALUE"""),1648.0)</f>
        <v>1648</v>
      </c>
      <c r="G1717" s="115">
        <f>IFERROR(__xludf.DUMMYFUNCTION("""COMPUTED_VALUE"""),115.0)</f>
        <v>115</v>
      </c>
      <c r="H1717" s="116">
        <f>IFERROR(__xludf.DUMMYFUNCTION("""COMPUTED_VALUE"""),45904.0)</f>
        <v>45904</v>
      </c>
      <c r="I1717" s="115" t="str">
        <f>IFERROR(__xludf.DUMMYFUNCTION("""COMPUTED_VALUE"""),"10")</f>
        <v>10</v>
      </c>
      <c r="J1717" s="115" t="str">
        <f>IFERROR(__xludf.DUMMYFUNCTION("""COMPUTED_VALUE"""),"Ashish Jakar2025-09-0410")</f>
        <v>Ashish Jakar2025-09-0410</v>
      </c>
      <c r="K1717" s="115">
        <f>IFERROR(__xludf.DUMMYFUNCTION("""COMPUTED_VALUE"""),27140.0)</f>
        <v>27140</v>
      </c>
    </row>
    <row r="1718">
      <c r="A1718" s="115" t="str">
        <f>IFERROR(__xludf.DUMMYFUNCTION("""COMPUTED_VALUE"""),"WEST")</f>
        <v>WEST</v>
      </c>
      <c r="B1718" s="115" t="str">
        <f>IFERROR(__xludf.DUMMYFUNCTION("""COMPUTED_VALUE"""),"Ashvani Bhatt")</f>
        <v>Ashvani Bhatt</v>
      </c>
      <c r="C1718" s="115" t="str">
        <f>IFERROR(__xludf.DUMMYFUNCTION("""COMPUTED_VALUE"""),"EXTERNAL")</f>
        <v>EXTERNAL</v>
      </c>
      <c r="D1718" s="115">
        <f>IFERROR(__xludf.DUMMYFUNCTION("""COMPUTED_VALUE"""),18149.0)</f>
        <v>18149</v>
      </c>
      <c r="E1718" s="115">
        <f>IFERROR(__xludf.DUMMYFUNCTION("""COMPUTED_VALUE"""),1282.0)</f>
        <v>1282</v>
      </c>
      <c r="F1718" s="115">
        <f>IFERROR(__xludf.DUMMYFUNCTION("""COMPUTED_VALUE"""),815.0)</f>
        <v>815</v>
      </c>
      <c r="G1718" s="115">
        <f>IFERROR(__xludf.DUMMYFUNCTION("""COMPUTED_VALUE"""),14.0)</f>
        <v>14</v>
      </c>
      <c r="H1718" s="116">
        <f>IFERROR(__xludf.DUMMYFUNCTION("""COMPUTED_VALUE"""),45904.0)</f>
        <v>45904</v>
      </c>
      <c r="I1718" s="115" t="str">
        <f>IFERROR(__xludf.DUMMYFUNCTION("""COMPUTED_VALUE"""),"10")</f>
        <v>10</v>
      </c>
      <c r="J1718" s="115" t="str">
        <f>IFERROR(__xludf.DUMMYFUNCTION("""COMPUTED_VALUE"""),"Ashvani Bhatt2025-09-0410")</f>
        <v>Ashvani Bhatt2025-09-0410</v>
      </c>
      <c r="K1718" s="115">
        <f>IFERROR(__xludf.DUMMYFUNCTION("""COMPUTED_VALUE"""),19431.0)</f>
        <v>19431</v>
      </c>
    </row>
    <row r="1719">
      <c r="A1719" s="115" t="str">
        <f>IFERROR(__xludf.DUMMYFUNCTION("""COMPUTED_VALUE"""),"WEST")</f>
        <v>WEST</v>
      </c>
      <c r="B1719" s="115" t="str">
        <f>IFERROR(__xludf.DUMMYFUNCTION("""COMPUTED_VALUE"""),"Ashvani Bhatt")</f>
        <v>Ashvani Bhatt</v>
      </c>
      <c r="C1719" s="115" t="str">
        <f>IFERROR(__xludf.DUMMYFUNCTION("""COMPUTED_VALUE"""),"FLIPKART")</f>
        <v>FLIPKART</v>
      </c>
      <c r="D1719" s="115">
        <f>IFERROR(__xludf.DUMMYFUNCTION("""COMPUTED_VALUE"""),142220.0)</f>
        <v>142220</v>
      </c>
      <c r="E1719" s="115">
        <f>IFERROR(__xludf.DUMMYFUNCTION("""COMPUTED_VALUE"""),12291.0)</f>
        <v>12291</v>
      </c>
      <c r="F1719" s="115">
        <f>IFERROR(__xludf.DUMMYFUNCTION("""COMPUTED_VALUE"""),12186.0)</f>
        <v>12186</v>
      </c>
      <c r="G1719" s="115">
        <f>IFERROR(__xludf.DUMMYFUNCTION("""COMPUTED_VALUE"""),231.0)</f>
        <v>231</v>
      </c>
      <c r="H1719" s="116">
        <f>IFERROR(__xludf.DUMMYFUNCTION("""COMPUTED_VALUE"""),45904.0)</f>
        <v>45904</v>
      </c>
      <c r="I1719" s="115" t="str">
        <f>IFERROR(__xludf.DUMMYFUNCTION("""COMPUTED_VALUE"""),"10")</f>
        <v>10</v>
      </c>
      <c r="J1719" s="115" t="str">
        <f>IFERROR(__xludf.DUMMYFUNCTION("""COMPUTED_VALUE"""),"Ashvani Bhatt2025-09-0410")</f>
        <v>Ashvani Bhatt2025-09-0410</v>
      </c>
      <c r="K1719" s="115">
        <f>IFERROR(__xludf.DUMMYFUNCTION("""COMPUTED_VALUE"""),154511.0)</f>
        <v>154511</v>
      </c>
    </row>
    <row r="1720">
      <c r="A1720" s="115" t="str">
        <f>IFERROR(__xludf.DUMMYFUNCTION("""COMPUTED_VALUE"""),"WEST")</f>
        <v>WEST</v>
      </c>
      <c r="B1720" s="115" t="str">
        <f>IFERROR(__xludf.DUMMYFUNCTION("""COMPUTED_VALUE"""),"Ashvani Bhatt")</f>
        <v>Ashvani Bhatt</v>
      </c>
      <c r="C1720" s="115" t="str">
        <f>IFERROR(__xludf.DUMMYFUNCTION("""COMPUTED_VALUE"""),"MYNTRA")</f>
        <v>MYNTRA</v>
      </c>
      <c r="D1720" s="115">
        <f>IFERROR(__xludf.DUMMYFUNCTION("""COMPUTED_VALUE"""),19386.0)</f>
        <v>19386</v>
      </c>
      <c r="E1720" s="115">
        <f>IFERROR(__xludf.DUMMYFUNCTION("""COMPUTED_VALUE"""),4005.0)</f>
        <v>4005</v>
      </c>
      <c r="F1720" s="115">
        <f>IFERROR(__xludf.DUMMYFUNCTION("""COMPUTED_VALUE"""),1881.0)</f>
        <v>1881</v>
      </c>
      <c r="G1720" s="115">
        <f>IFERROR(__xludf.DUMMYFUNCTION("""COMPUTED_VALUE"""),115.0)</f>
        <v>115</v>
      </c>
      <c r="H1720" s="116">
        <f>IFERROR(__xludf.DUMMYFUNCTION("""COMPUTED_VALUE"""),45904.0)</f>
        <v>45904</v>
      </c>
      <c r="I1720" s="115" t="str">
        <f>IFERROR(__xludf.DUMMYFUNCTION("""COMPUTED_VALUE"""),"10")</f>
        <v>10</v>
      </c>
      <c r="J1720" s="115" t="str">
        <f>IFERROR(__xludf.DUMMYFUNCTION("""COMPUTED_VALUE"""),"Ashvani Bhatt2025-09-0410")</f>
        <v>Ashvani Bhatt2025-09-0410</v>
      </c>
      <c r="K1720" s="115">
        <f>IFERROR(__xludf.DUMMYFUNCTION("""COMPUTED_VALUE"""),23391.0)</f>
        <v>23391</v>
      </c>
    </row>
    <row r="1721">
      <c r="A1721" s="115"/>
      <c r="B1721" s="115"/>
      <c r="C1721" s="115" t="str">
        <f>IFERROR(__xludf.DUMMYFUNCTION("""COMPUTED_VALUE"""),"EXTERNAL")</f>
        <v>EXTERNAL</v>
      </c>
      <c r="D1721" s="115">
        <f>IFERROR(__xludf.DUMMYFUNCTION("""COMPUTED_VALUE"""),294.0)</f>
        <v>294</v>
      </c>
      <c r="E1721" s="115">
        <f>IFERROR(__xludf.DUMMYFUNCTION("""COMPUTED_VALUE"""),20.0)</f>
        <v>20</v>
      </c>
      <c r="F1721" s="115">
        <f>IFERROR(__xludf.DUMMYFUNCTION("""COMPUTED_VALUE"""),4.0)</f>
        <v>4</v>
      </c>
      <c r="G1721" s="115">
        <f>IFERROR(__xludf.DUMMYFUNCTION("""COMPUTED_VALUE"""),0.0)</f>
        <v>0</v>
      </c>
      <c r="H1721" s="116">
        <f>IFERROR(__xludf.DUMMYFUNCTION("""COMPUTED_VALUE"""),45904.0)</f>
        <v>45904</v>
      </c>
      <c r="I1721" s="115" t="str">
        <f>IFERROR(__xludf.DUMMYFUNCTION("""COMPUTED_VALUE"""),"10")</f>
        <v>10</v>
      </c>
      <c r="J1721" s="115" t="str">
        <f>IFERROR(__xludf.DUMMYFUNCTION("""COMPUTED_VALUE"""),"2025-09-0410")</f>
        <v>2025-09-0410</v>
      </c>
      <c r="K1721" s="115">
        <f>IFERROR(__xludf.DUMMYFUNCTION("""COMPUTED_VALUE"""),314.0)</f>
        <v>314</v>
      </c>
    </row>
    <row r="1722">
      <c r="A1722" s="115"/>
      <c r="B1722" s="115"/>
      <c r="C1722" s="115" t="str">
        <f>IFERROR(__xludf.DUMMYFUNCTION("""COMPUTED_VALUE"""),"FLIPKART")</f>
        <v>FLIPKART</v>
      </c>
      <c r="D1722" s="115">
        <f>IFERROR(__xludf.DUMMYFUNCTION("""COMPUTED_VALUE"""),2614.0)</f>
        <v>2614</v>
      </c>
      <c r="E1722" s="115">
        <f>IFERROR(__xludf.DUMMYFUNCTION("""COMPUTED_VALUE"""),160.0)</f>
        <v>160</v>
      </c>
      <c r="F1722" s="115">
        <f>IFERROR(__xludf.DUMMYFUNCTION("""COMPUTED_VALUE"""),86.0)</f>
        <v>86</v>
      </c>
      <c r="G1722" s="115">
        <f>IFERROR(__xludf.DUMMYFUNCTION("""COMPUTED_VALUE"""),7.0)</f>
        <v>7</v>
      </c>
      <c r="H1722" s="116">
        <f>IFERROR(__xludf.DUMMYFUNCTION("""COMPUTED_VALUE"""),45904.0)</f>
        <v>45904</v>
      </c>
      <c r="I1722" s="115" t="str">
        <f>IFERROR(__xludf.DUMMYFUNCTION("""COMPUTED_VALUE"""),"10")</f>
        <v>10</v>
      </c>
      <c r="J1722" s="115" t="str">
        <f>IFERROR(__xludf.DUMMYFUNCTION("""COMPUTED_VALUE"""),"2025-09-0410")</f>
        <v>2025-09-0410</v>
      </c>
      <c r="K1722" s="115">
        <f>IFERROR(__xludf.DUMMYFUNCTION("""COMPUTED_VALUE"""),2774.0)</f>
        <v>2774</v>
      </c>
    </row>
    <row r="1723">
      <c r="A1723" s="115"/>
      <c r="B1723" s="115"/>
      <c r="C1723" s="115" t="str">
        <f>IFERROR(__xludf.DUMMYFUNCTION("""COMPUTED_VALUE"""),"MYNTRA")</f>
        <v>MYNTRA</v>
      </c>
      <c r="D1723" s="115">
        <f>IFERROR(__xludf.DUMMYFUNCTION("""COMPUTED_VALUE"""),285.0)</f>
        <v>285</v>
      </c>
      <c r="E1723" s="115">
        <f>IFERROR(__xludf.DUMMYFUNCTION("""COMPUTED_VALUE"""),72.0)</f>
        <v>72</v>
      </c>
      <c r="F1723" s="115">
        <f>IFERROR(__xludf.DUMMYFUNCTION("""COMPUTED_VALUE"""),14.0)</f>
        <v>14</v>
      </c>
      <c r="G1723" s="115">
        <f>IFERROR(__xludf.DUMMYFUNCTION("""COMPUTED_VALUE"""),0.0)</f>
        <v>0</v>
      </c>
      <c r="H1723" s="116">
        <f>IFERROR(__xludf.DUMMYFUNCTION("""COMPUTED_VALUE"""),45904.0)</f>
        <v>45904</v>
      </c>
      <c r="I1723" s="115" t="str">
        <f>IFERROR(__xludf.DUMMYFUNCTION("""COMPUTED_VALUE"""),"10")</f>
        <v>10</v>
      </c>
      <c r="J1723" s="115" t="str">
        <f>IFERROR(__xludf.DUMMYFUNCTION("""COMPUTED_VALUE"""),"2025-09-0410")</f>
        <v>2025-09-0410</v>
      </c>
      <c r="K1723" s="115">
        <f>IFERROR(__xludf.DUMMYFUNCTION("""COMPUTED_VALUE"""),357.0)</f>
        <v>357</v>
      </c>
    </row>
    <row r="1724">
      <c r="A1724" s="115" t="str">
        <f>IFERROR(__xludf.DUMMYFUNCTION("""COMPUTED_VALUE"""),"EAST")</f>
        <v>EAST</v>
      </c>
      <c r="B1724" s="115" t="str">
        <f>IFERROR(__xludf.DUMMYFUNCTION("""COMPUTED_VALUE"""),"Ashish Ranjan")</f>
        <v>Ashish Ranjan</v>
      </c>
      <c r="C1724" s="115" t="str">
        <f>IFERROR(__xludf.DUMMYFUNCTION("""COMPUTED_VALUE"""),"EXTERNAL")</f>
        <v>EXTERNAL</v>
      </c>
      <c r="D1724" s="115">
        <f>IFERROR(__xludf.DUMMYFUNCTION("""COMPUTED_VALUE"""),26639.0)</f>
        <v>26639</v>
      </c>
      <c r="E1724" s="115">
        <f>IFERROR(__xludf.DUMMYFUNCTION("""COMPUTED_VALUE"""),2719.0)</f>
        <v>2719</v>
      </c>
      <c r="F1724" s="115">
        <f>IFERROR(__xludf.DUMMYFUNCTION("""COMPUTED_VALUE"""),3855.0)</f>
        <v>3855</v>
      </c>
      <c r="G1724" s="115">
        <f>IFERROR(__xludf.DUMMYFUNCTION("""COMPUTED_VALUE"""),139.0)</f>
        <v>139</v>
      </c>
      <c r="H1724" s="116">
        <f>IFERROR(__xludf.DUMMYFUNCTION("""COMPUTED_VALUE"""),45904.0)</f>
        <v>45904</v>
      </c>
      <c r="I1724" s="115" t="str">
        <f>IFERROR(__xludf.DUMMYFUNCTION("""COMPUTED_VALUE"""),"11")</f>
        <v>11</v>
      </c>
      <c r="J1724" s="115" t="str">
        <f>IFERROR(__xludf.DUMMYFUNCTION("""COMPUTED_VALUE"""),"Ashish Ranjan2025-09-0411")</f>
        <v>Ashish Ranjan2025-09-0411</v>
      </c>
      <c r="K1724" s="115">
        <f>IFERROR(__xludf.DUMMYFUNCTION("""COMPUTED_VALUE"""),29358.0)</f>
        <v>29358</v>
      </c>
    </row>
    <row r="1725">
      <c r="A1725" s="115" t="str">
        <f>IFERROR(__xludf.DUMMYFUNCTION("""COMPUTED_VALUE"""),"EAST")</f>
        <v>EAST</v>
      </c>
      <c r="B1725" s="115" t="str">
        <f>IFERROR(__xludf.DUMMYFUNCTION("""COMPUTED_VALUE"""),"Ashish Ranjan")</f>
        <v>Ashish Ranjan</v>
      </c>
      <c r="C1725" s="115" t="str">
        <f>IFERROR(__xludf.DUMMYFUNCTION("""COMPUTED_VALUE"""),"FLIPKART")</f>
        <v>FLIPKART</v>
      </c>
      <c r="D1725" s="115">
        <f>IFERROR(__xludf.DUMMYFUNCTION("""COMPUTED_VALUE"""),443807.0)</f>
        <v>443807</v>
      </c>
      <c r="E1725" s="115">
        <f>IFERROR(__xludf.DUMMYFUNCTION("""COMPUTED_VALUE"""),47528.0)</f>
        <v>47528</v>
      </c>
      <c r="F1725" s="115">
        <f>IFERROR(__xludf.DUMMYFUNCTION("""COMPUTED_VALUE"""),107503.0)</f>
        <v>107503</v>
      </c>
      <c r="G1725" s="115">
        <f>IFERROR(__xludf.DUMMYFUNCTION("""COMPUTED_VALUE"""),3366.0)</f>
        <v>3366</v>
      </c>
      <c r="H1725" s="116">
        <f>IFERROR(__xludf.DUMMYFUNCTION("""COMPUTED_VALUE"""),45904.0)</f>
        <v>45904</v>
      </c>
      <c r="I1725" s="115" t="str">
        <f>IFERROR(__xludf.DUMMYFUNCTION("""COMPUTED_VALUE"""),"11")</f>
        <v>11</v>
      </c>
      <c r="J1725" s="115" t="str">
        <f>IFERROR(__xludf.DUMMYFUNCTION("""COMPUTED_VALUE"""),"Ashish Ranjan2025-09-0411")</f>
        <v>Ashish Ranjan2025-09-0411</v>
      </c>
      <c r="K1725" s="115">
        <f>IFERROR(__xludf.DUMMYFUNCTION("""COMPUTED_VALUE"""),491335.0)</f>
        <v>491335</v>
      </c>
    </row>
    <row r="1726">
      <c r="A1726" s="115" t="str">
        <f>IFERROR(__xludf.DUMMYFUNCTION("""COMPUTED_VALUE"""),"EAST")</f>
        <v>EAST</v>
      </c>
      <c r="B1726" s="115" t="str">
        <f>IFERROR(__xludf.DUMMYFUNCTION("""COMPUTED_VALUE"""),"Ashish Ranjan")</f>
        <v>Ashish Ranjan</v>
      </c>
      <c r="C1726" s="115" t="str">
        <f>IFERROR(__xludf.DUMMYFUNCTION("""COMPUTED_VALUE"""),"MYNTRA")</f>
        <v>MYNTRA</v>
      </c>
      <c r="D1726" s="115">
        <f>IFERROR(__xludf.DUMMYFUNCTION("""COMPUTED_VALUE"""),42254.0)</f>
        <v>42254</v>
      </c>
      <c r="E1726" s="115">
        <f>IFERROR(__xludf.DUMMYFUNCTION("""COMPUTED_VALUE"""),9966.0)</f>
        <v>9966</v>
      </c>
      <c r="F1726" s="115">
        <f>IFERROR(__xludf.DUMMYFUNCTION("""COMPUTED_VALUE"""),10333.0)</f>
        <v>10333</v>
      </c>
      <c r="G1726" s="115">
        <f>IFERROR(__xludf.DUMMYFUNCTION("""COMPUTED_VALUE"""),671.0)</f>
        <v>671</v>
      </c>
      <c r="H1726" s="116">
        <f>IFERROR(__xludf.DUMMYFUNCTION("""COMPUTED_VALUE"""),45904.0)</f>
        <v>45904</v>
      </c>
      <c r="I1726" s="115" t="str">
        <f>IFERROR(__xludf.DUMMYFUNCTION("""COMPUTED_VALUE"""),"11")</f>
        <v>11</v>
      </c>
      <c r="J1726" s="115" t="str">
        <f>IFERROR(__xludf.DUMMYFUNCTION("""COMPUTED_VALUE"""),"Ashish Ranjan2025-09-0411")</f>
        <v>Ashish Ranjan2025-09-0411</v>
      </c>
      <c r="K1726" s="115">
        <f>IFERROR(__xludf.DUMMYFUNCTION("""COMPUTED_VALUE"""),52220.0)</f>
        <v>52220</v>
      </c>
    </row>
    <row r="1727">
      <c r="A1727" s="115" t="str">
        <f>IFERROR(__xludf.DUMMYFUNCTION("""COMPUTED_VALUE"""),"EAST")</f>
        <v>EAST</v>
      </c>
      <c r="B1727" s="115" t="str">
        <f>IFERROR(__xludf.DUMMYFUNCTION("""COMPUTED_VALUE"""),"Girish Chand")</f>
        <v>Girish Chand</v>
      </c>
      <c r="C1727" s="115" t="str">
        <f>IFERROR(__xludf.DUMMYFUNCTION("""COMPUTED_VALUE"""),"EXTERNAL")</f>
        <v>EXTERNAL</v>
      </c>
      <c r="D1727" s="115">
        <f>IFERROR(__xludf.DUMMYFUNCTION("""COMPUTED_VALUE"""),17683.0)</f>
        <v>17683</v>
      </c>
      <c r="E1727" s="115">
        <f>IFERROR(__xludf.DUMMYFUNCTION("""COMPUTED_VALUE"""),1448.0)</f>
        <v>1448</v>
      </c>
      <c r="F1727" s="115">
        <f>IFERROR(__xludf.DUMMYFUNCTION("""COMPUTED_VALUE"""),1445.0)</f>
        <v>1445</v>
      </c>
      <c r="G1727" s="115">
        <f>IFERROR(__xludf.DUMMYFUNCTION("""COMPUTED_VALUE"""),26.0)</f>
        <v>26</v>
      </c>
      <c r="H1727" s="116">
        <f>IFERROR(__xludf.DUMMYFUNCTION("""COMPUTED_VALUE"""),45904.0)</f>
        <v>45904</v>
      </c>
      <c r="I1727" s="115" t="str">
        <f>IFERROR(__xludf.DUMMYFUNCTION("""COMPUTED_VALUE"""),"11")</f>
        <v>11</v>
      </c>
      <c r="J1727" s="115" t="str">
        <f>IFERROR(__xludf.DUMMYFUNCTION("""COMPUTED_VALUE"""),"Girish Chand2025-09-0411")</f>
        <v>Girish Chand2025-09-0411</v>
      </c>
      <c r="K1727" s="115">
        <f>IFERROR(__xludf.DUMMYFUNCTION("""COMPUTED_VALUE"""),19131.0)</f>
        <v>19131</v>
      </c>
    </row>
    <row r="1728">
      <c r="A1728" s="115" t="str">
        <f>IFERROR(__xludf.DUMMYFUNCTION("""COMPUTED_VALUE"""),"EAST")</f>
        <v>EAST</v>
      </c>
      <c r="B1728" s="115" t="str">
        <f>IFERROR(__xludf.DUMMYFUNCTION("""COMPUTED_VALUE"""),"Girish Chand")</f>
        <v>Girish Chand</v>
      </c>
      <c r="C1728" s="115" t="str">
        <f>IFERROR(__xludf.DUMMYFUNCTION("""COMPUTED_VALUE"""),"FLIPKART")</f>
        <v>FLIPKART</v>
      </c>
      <c r="D1728" s="115">
        <f>IFERROR(__xludf.DUMMYFUNCTION("""COMPUTED_VALUE"""),331436.0)</f>
        <v>331436</v>
      </c>
      <c r="E1728" s="115">
        <f>IFERROR(__xludf.DUMMYFUNCTION("""COMPUTED_VALUE"""),30063.0)</f>
        <v>30063</v>
      </c>
      <c r="F1728" s="115">
        <f>IFERROR(__xludf.DUMMYFUNCTION("""COMPUTED_VALUE"""),49559.0)</f>
        <v>49559</v>
      </c>
      <c r="G1728" s="115">
        <f>IFERROR(__xludf.DUMMYFUNCTION("""COMPUTED_VALUE"""),1074.0)</f>
        <v>1074</v>
      </c>
      <c r="H1728" s="116">
        <f>IFERROR(__xludf.DUMMYFUNCTION("""COMPUTED_VALUE"""),45904.0)</f>
        <v>45904</v>
      </c>
      <c r="I1728" s="115" t="str">
        <f>IFERROR(__xludf.DUMMYFUNCTION("""COMPUTED_VALUE"""),"11")</f>
        <v>11</v>
      </c>
      <c r="J1728" s="115" t="str">
        <f>IFERROR(__xludf.DUMMYFUNCTION("""COMPUTED_VALUE"""),"Girish Chand2025-09-0411")</f>
        <v>Girish Chand2025-09-0411</v>
      </c>
      <c r="K1728" s="115">
        <f>IFERROR(__xludf.DUMMYFUNCTION("""COMPUTED_VALUE"""),361499.0)</f>
        <v>361499</v>
      </c>
    </row>
    <row r="1729">
      <c r="A1729" s="115" t="str">
        <f>IFERROR(__xludf.DUMMYFUNCTION("""COMPUTED_VALUE"""),"EAST")</f>
        <v>EAST</v>
      </c>
      <c r="B1729" s="115" t="str">
        <f>IFERROR(__xludf.DUMMYFUNCTION("""COMPUTED_VALUE"""),"Girish Chand")</f>
        <v>Girish Chand</v>
      </c>
      <c r="C1729" s="115" t="str">
        <f>IFERROR(__xludf.DUMMYFUNCTION("""COMPUTED_VALUE"""),"MYNTRA")</f>
        <v>MYNTRA</v>
      </c>
      <c r="D1729" s="115">
        <f>IFERROR(__xludf.DUMMYFUNCTION("""COMPUTED_VALUE"""),26659.0)</f>
        <v>26659</v>
      </c>
      <c r="E1729" s="115">
        <f>IFERROR(__xludf.DUMMYFUNCTION("""COMPUTED_VALUE"""),5344.0)</f>
        <v>5344</v>
      </c>
      <c r="F1729" s="115">
        <f>IFERROR(__xludf.DUMMYFUNCTION("""COMPUTED_VALUE"""),4654.0)</f>
        <v>4654</v>
      </c>
      <c r="G1729" s="115">
        <f>IFERROR(__xludf.DUMMYFUNCTION("""COMPUTED_VALUE"""),199.0)</f>
        <v>199</v>
      </c>
      <c r="H1729" s="116">
        <f>IFERROR(__xludf.DUMMYFUNCTION("""COMPUTED_VALUE"""),45904.0)</f>
        <v>45904</v>
      </c>
      <c r="I1729" s="115" t="str">
        <f>IFERROR(__xludf.DUMMYFUNCTION("""COMPUTED_VALUE"""),"11")</f>
        <v>11</v>
      </c>
      <c r="J1729" s="115" t="str">
        <f>IFERROR(__xludf.DUMMYFUNCTION("""COMPUTED_VALUE"""),"Girish Chand2025-09-0411")</f>
        <v>Girish Chand2025-09-0411</v>
      </c>
      <c r="K1729" s="115">
        <f>IFERROR(__xludf.DUMMYFUNCTION("""COMPUTED_VALUE"""),32003.0)</f>
        <v>32003</v>
      </c>
    </row>
    <row r="1730">
      <c r="A1730" s="115" t="str">
        <f>IFERROR(__xludf.DUMMYFUNCTION("""COMPUTED_VALUE"""),"EAST")</f>
        <v>EAST</v>
      </c>
      <c r="B1730" s="115" t="str">
        <f>IFERROR(__xludf.DUMMYFUNCTION("""COMPUTED_VALUE"""),"Parag Kashyap")</f>
        <v>Parag Kashyap</v>
      </c>
      <c r="C1730" s="115" t="str">
        <f>IFERROR(__xludf.DUMMYFUNCTION("""COMPUTED_VALUE"""),"EXTERNAL")</f>
        <v>EXTERNAL</v>
      </c>
      <c r="D1730" s="115">
        <f>IFERROR(__xludf.DUMMYFUNCTION("""COMPUTED_VALUE"""),15565.0)</f>
        <v>15565</v>
      </c>
      <c r="E1730" s="115">
        <f>IFERROR(__xludf.DUMMYFUNCTION("""COMPUTED_VALUE"""),726.0)</f>
        <v>726</v>
      </c>
      <c r="F1730" s="115">
        <f>IFERROR(__xludf.DUMMYFUNCTION("""COMPUTED_VALUE"""),936.0)</f>
        <v>936</v>
      </c>
      <c r="G1730" s="115">
        <f>IFERROR(__xludf.DUMMYFUNCTION("""COMPUTED_VALUE"""),21.0)</f>
        <v>21</v>
      </c>
      <c r="H1730" s="116">
        <f>IFERROR(__xludf.DUMMYFUNCTION("""COMPUTED_VALUE"""),45904.0)</f>
        <v>45904</v>
      </c>
      <c r="I1730" s="115" t="str">
        <f>IFERROR(__xludf.DUMMYFUNCTION("""COMPUTED_VALUE"""),"11")</f>
        <v>11</v>
      </c>
      <c r="J1730" s="115" t="str">
        <f>IFERROR(__xludf.DUMMYFUNCTION("""COMPUTED_VALUE"""),"Parag Kashyap2025-09-0411")</f>
        <v>Parag Kashyap2025-09-0411</v>
      </c>
      <c r="K1730" s="115">
        <f>IFERROR(__xludf.DUMMYFUNCTION("""COMPUTED_VALUE"""),16291.0)</f>
        <v>16291</v>
      </c>
    </row>
    <row r="1731">
      <c r="A1731" s="115" t="str">
        <f>IFERROR(__xludf.DUMMYFUNCTION("""COMPUTED_VALUE"""),"EAST")</f>
        <v>EAST</v>
      </c>
      <c r="B1731" s="115" t="str">
        <f>IFERROR(__xludf.DUMMYFUNCTION("""COMPUTED_VALUE"""),"Parag Kashyap")</f>
        <v>Parag Kashyap</v>
      </c>
      <c r="C1731" s="115" t="str">
        <f>IFERROR(__xludf.DUMMYFUNCTION("""COMPUTED_VALUE"""),"FLIPKART")</f>
        <v>FLIPKART</v>
      </c>
      <c r="D1731" s="115">
        <f>IFERROR(__xludf.DUMMYFUNCTION("""COMPUTED_VALUE"""),235516.0)</f>
        <v>235516</v>
      </c>
      <c r="E1731" s="115">
        <f>IFERROR(__xludf.DUMMYFUNCTION("""COMPUTED_VALUE"""),12976.0)</f>
        <v>12976</v>
      </c>
      <c r="F1731" s="115">
        <f>IFERROR(__xludf.DUMMYFUNCTION("""COMPUTED_VALUE"""),26852.0)</f>
        <v>26852</v>
      </c>
      <c r="G1731" s="115">
        <f>IFERROR(__xludf.DUMMYFUNCTION("""COMPUTED_VALUE"""),333.0)</f>
        <v>333</v>
      </c>
      <c r="H1731" s="116">
        <f>IFERROR(__xludf.DUMMYFUNCTION("""COMPUTED_VALUE"""),45904.0)</f>
        <v>45904</v>
      </c>
      <c r="I1731" s="115" t="str">
        <f>IFERROR(__xludf.DUMMYFUNCTION("""COMPUTED_VALUE"""),"11")</f>
        <v>11</v>
      </c>
      <c r="J1731" s="115" t="str">
        <f>IFERROR(__xludf.DUMMYFUNCTION("""COMPUTED_VALUE"""),"Parag Kashyap2025-09-0411")</f>
        <v>Parag Kashyap2025-09-0411</v>
      </c>
      <c r="K1731" s="115">
        <f>IFERROR(__xludf.DUMMYFUNCTION("""COMPUTED_VALUE"""),248492.0)</f>
        <v>248492</v>
      </c>
    </row>
    <row r="1732">
      <c r="A1732" s="115" t="str">
        <f>IFERROR(__xludf.DUMMYFUNCTION("""COMPUTED_VALUE"""),"EAST")</f>
        <v>EAST</v>
      </c>
      <c r="B1732" s="115" t="str">
        <f>IFERROR(__xludf.DUMMYFUNCTION("""COMPUTED_VALUE"""),"Parag Kashyap")</f>
        <v>Parag Kashyap</v>
      </c>
      <c r="C1732" s="115" t="str">
        <f>IFERROR(__xludf.DUMMYFUNCTION("""COMPUTED_VALUE"""),"MYNTRA")</f>
        <v>MYNTRA</v>
      </c>
      <c r="D1732" s="115">
        <f>IFERROR(__xludf.DUMMYFUNCTION("""COMPUTED_VALUE"""),27148.0)</f>
        <v>27148</v>
      </c>
      <c r="E1732" s="115">
        <f>IFERROR(__xludf.DUMMYFUNCTION("""COMPUTED_VALUE"""),3439.0)</f>
        <v>3439</v>
      </c>
      <c r="F1732" s="115">
        <f>IFERROR(__xludf.DUMMYFUNCTION("""COMPUTED_VALUE"""),3576.0)</f>
        <v>3576</v>
      </c>
      <c r="G1732" s="115">
        <f>IFERROR(__xludf.DUMMYFUNCTION("""COMPUTED_VALUE"""),93.0)</f>
        <v>93</v>
      </c>
      <c r="H1732" s="116">
        <f>IFERROR(__xludf.DUMMYFUNCTION("""COMPUTED_VALUE"""),45904.0)</f>
        <v>45904</v>
      </c>
      <c r="I1732" s="115" t="str">
        <f>IFERROR(__xludf.DUMMYFUNCTION("""COMPUTED_VALUE"""),"11")</f>
        <v>11</v>
      </c>
      <c r="J1732" s="115" t="str">
        <f>IFERROR(__xludf.DUMMYFUNCTION("""COMPUTED_VALUE"""),"Parag Kashyap2025-09-0411")</f>
        <v>Parag Kashyap2025-09-0411</v>
      </c>
      <c r="K1732" s="115">
        <f>IFERROR(__xludf.DUMMYFUNCTION("""COMPUTED_VALUE"""),30587.0)</f>
        <v>30587</v>
      </c>
    </row>
    <row r="1733">
      <c r="A1733" s="115" t="str">
        <f>IFERROR(__xludf.DUMMYFUNCTION("""COMPUTED_VALUE"""),"NORTH")</f>
        <v>NORTH</v>
      </c>
      <c r="B1733" s="115" t="str">
        <f>IFERROR(__xludf.DUMMYFUNCTION("""COMPUTED_VALUE"""),"Amit Kumar Pathak")</f>
        <v>Amit Kumar Pathak</v>
      </c>
      <c r="C1733" s="115" t="str">
        <f>IFERROR(__xludf.DUMMYFUNCTION("""COMPUTED_VALUE"""),"EXTERNAL")</f>
        <v>EXTERNAL</v>
      </c>
      <c r="D1733" s="115">
        <f>IFERROR(__xludf.DUMMYFUNCTION("""COMPUTED_VALUE"""),18640.0)</f>
        <v>18640</v>
      </c>
      <c r="E1733" s="115">
        <f>IFERROR(__xludf.DUMMYFUNCTION("""COMPUTED_VALUE"""),2391.0)</f>
        <v>2391</v>
      </c>
      <c r="F1733" s="115">
        <f>IFERROR(__xludf.DUMMYFUNCTION("""COMPUTED_VALUE"""),1328.0)</f>
        <v>1328</v>
      </c>
      <c r="G1733" s="115">
        <f>IFERROR(__xludf.DUMMYFUNCTION("""COMPUTED_VALUE"""),164.0)</f>
        <v>164</v>
      </c>
      <c r="H1733" s="116">
        <f>IFERROR(__xludf.DUMMYFUNCTION("""COMPUTED_VALUE"""),45904.0)</f>
        <v>45904</v>
      </c>
      <c r="I1733" s="115" t="str">
        <f>IFERROR(__xludf.DUMMYFUNCTION("""COMPUTED_VALUE"""),"11")</f>
        <v>11</v>
      </c>
      <c r="J1733" s="115" t="str">
        <f>IFERROR(__xludf.DUMMYFUNCTION("""COMPUTED_VALUE"""),"Amit Kumar Pathak2025-09-0411")</f>
        <v>Amit Kumar Pathak2025-09-0411</v>
      </c>
      <c r="K1733" s="115">
        <f>IFERROR(__xludf.DUMMYFUNCTION("""COMPUTED_VALUE"""),21031.0)</f>
        <v>21031</v>
      </c>
    </row>
    <row r="1734">
      <c r="A1734" s="115" t="str">
        <f>IFERROR(__xludf.DUMMYFUNCTION("""COMPUTED_VALUE"""),"NORTH")</f>
        <v>NORTH</v>
      </c>
      <c r="B1734" s="115" t="str">
        <f>IFERROR(__xludf.DUMMYFUNCTION("""COMPUTED_VALUE"""),"Amit Kumar Pathak")</f>
        <v>Amit Kumar Pathak</v>
      </c>
      <c r="C1734" s="115" t="str">
        <f>IFERROR(__xludf.DUMMYFUNCTION("""COMPUTED_VALUE"""),"FLIPKART")</f>
        <v>FLIPKART</v>
      </c>
      <c r="D1734" s="115">
        <f>IFERROR(__xludf.DUMMYFUNCTION("""COMPUTED_VALUE"""),146364.0)</f>
        <v>146364</v>
      </c>
      <c r="E1734" s="115">
        <f>IFERROR(__xludf.DUMMYFUNCTION("""COMPUTED_VALUE"""),18120.0)</f>
        <v>18120</v>
      </c>
      <c r="F1734" s="115">
        <f>IFERROR(__xludf.DUMMYFUNCTION("""COMPUTED_VALUE"""),19794.0)</f>
        <v>19794</v>
      </c>
      <c r="G1734" s="115">
        <f>IFERROR(__xludf.DUMMYFUNCTION("""COMPUTED_VALUE"""),1506.0)</f>
        <v>1506</v>
      </c>
      <c r="H1734" s="116">
        <f>IFERROR(__xludf.DUMMYFUNCTION("""COMPUTED_VALUE"""),45904.0)</f>
        <v>45904</v>
      </c>
      <c r="I1734" s="115" t="str">
        <f>IFERROR(__xludf.DUMMYFUNCTION("""COMPUTED_VALUE"""),"11")</f>
        <v>11</v>
      </c>
      <c r="J1734" s="115" t="str">
        <f>IFERROR(__xludf.DUMMYFUNCTION("""COMPUTED_VALUE"""),"Amit Kumar Pathak2025-09-0411")</f>
        <v>Amit Kumar Pathak2025-09-0411</v>
      </c>
      <c r="K1734" s="115">
        <f>IFERROR(__xludf.DUMMYFUNCTION("""COMPUTED_VALUE"""),164484.0)</f>
        <v>164484</v>
      </c>
    </row>
    <row r="1735">
      <c r="A1735" s="115" t="str">
        <f>IFERROR(__xludf.DUMMYFUNCTION("""COMPUTED_VALUE"""),"NORTH")</f>
        <v>NORTH</v>
      </c>
      <c r="B1735" s="115" t="str">
        <f>IFERROR(__xludf.DUMMYFUNCTION("""COMPUTED_VALUE"""),"Amit Kumar Pathak")</f>
        <v>Amit Kumar Pathak</v>
      </c>
      <c r="C1735" s="115" t="str">
        <f>IFERROR(__xludf.DUMMYFUNCTION("""COMPUTED_VALUE"""),"MYNTRA")</f>
        <v>MYNTRA</v>
      </c>
      <c r="D1735" s="115">
        <f>IFERROR(__xludf.DUMMYFUNCTION("""COMPUTED_VALUE"""),13619.0)</f>
        <v>13619</v>
      </c>
      <c r="E1735" s="115">
        <f>IFERROR(__xludf.DUMMYFUNCTION("""COMPUTED_VALUE"""),4486.0)</f>
        <v>4486</v>
      </c>
      <c r="F1735" s="115">
        <f>IFERROR(__xludf.DUMMYFUNCTION("""COMPUTED_VALUE"""),2539.0)</f>
        <v>2539</v>
      </c>
      <c r="G1735" s="115">
        <f>IFERROR(__xludf.DUMMYFUNCTION("""COMPUTED_VALUE"""),426.0)</f>
        <v>426</v>
      </c>
      <c r="H1735" s="116">
        <f>IFERROR(__xludf.DUMMYFUNCTION("""COMPUTED_VALUE"""),45904.0)</f>
        <v>45904</v>
      </c>
      <c r="I1735" s="115" t="str">
        <f>IFERROR(__xludf.DUMMYFUNCTION("""COMPUTED_VALUE"""),"11")</f>
        <v>11</v>
      </c>
      <c r="J1735" s="115" t="str">
        <f>IFERROR(__xludf.DUMMYFUNCTION("""COMPUTED_VALUE"""),"Amit Kumar Pathak2025-09-0411")</f>
        <v>Amit Kumar Pathak2025-09-0411</v>
      </c>
      <c r="K1735" s="115">
        <f>IFERROR(__xludf.DUMMYFUNCTION("""COMPUTED_VALUE"""),18105.0)</f>
        <v>18105</v>
      </c>
    </row>
    <row r="1736">
      <c r="A1736" s="115" t="str">
        <f>IFERROR(__xludf.DUMMYFUNCTION("""COMPUTED_VALUE"""),"NORTH")</f>
        <v>NORTH</v>
      </c>
      <c r="B1736" s="115" t="str">
        <f>IFERROR(__xludf.DUMMYFUNCTION("""COMPUTED_VALUE"""),"Loveleen Singh")</f>
        <v>Loveleen Singh</v>
      </c>
      <c r="C1736" s="115" t="str">
        <f>IFERROR(__xludf.DUMMYFUNCTION("""COMPUTED_VALUE"""),"EXTERNAL")</f>
        <v>EXTERNAL</v>
      </c>
      <c r="D1736" s="115">
        <f>IFERROR(__xludf.DUMMYFUNCTION("""COMPUTED_VALUE"""),23757.0)</f>
        <v>23757</v>
      </c>
      <c r="E1736" s="115">
        <f>IFERROR(__xludf.DUMMYFUNCTION("""COMPUTED_VALUE"""),1271.0)</f>
        <v>1271</v>
      </c>
      <c r="F1736" s="115">
        <f>IFERROR(__xludf.DUMMYFUNCTION("""COMPUTED_VALUE"""),1316.0)</f>
        <v>1316</v>
      </c>
      <c r="G1736" s="115">
        <f>IFERROR(__xludf.DUMMYFUNCTION("""COMPUTED_VALUE"""),44.0)</f>
        <v>44</v>
      </c>
      <c r="H1736" s="116">
        <f>IFERROR(__xludf.DUMMYFUNCTION("""COMPUTED_VALUE"""),45904.0)</f>
        <v>45904</v>
      </c>
      <c r="I1736" s="115" t="str">
        <f>IFERROR(__xludf.DUMMYFUNCTION("""COMPUTED_VALUE"""),"11")</f>
        <v>11</v>
      </c>
      <c r="J1736" s="115" t="str">
        <f>IFERROR(__xludf.DUMMYFUNCTION("""COMPUTED_VALUE"""),"Loveleen Singh2025-09-0411")</f>
        <v>Loveleen Singh2025-09-0411</v>
      </c>
      <c r="K1736" s="115">
        <f>IFERROR(__xludf.DUMMYFUNCTION("""COMPUTED_VALUE"""),25028.0)</f>
        <v>25028</v>
      </c>
    </row>
    <row r="1737">
      <c r="A1737" s="115" t="str">
        <f>IFERROR(__xludf.DUMMYFUNCTION("""COMPUTED_VALUE"""),"NORTH")</f>
        <v>NORTH</v>
      </c>
      <c r="B1737" s="115" t="str">
        <f>IFERROR(__xludf.DUMMYFUNCTION("""COMPUTED_VALUE"""),"Loveleen Singh")</f>
        <v>Loveleen Singh</v>
      </c>
      <c r="C1737" s="115" t="str">
        <f>IFERROR(__xludf.DUMMYFUNCTION("""COMPUTED_VALUE"""),"FLIPKART")</f>
        <v>FLIPKART</v>
      </c>
      <c r="D1737" s="115">
        <f>IFERROR(__xludf.DUMMYFUNCTION("""COMPUTED_VALUE"""),119428.0)</f>
        <v>119428</v>
      </c>
      <c r="E1737" s="115">
        <f>IFERROR(__xludf.DUMMYFUNCTION("""COMPUTED_VALUE"""),10123.0)</f>
        <v>10123</v>
      </c>
      <c r="F1737" s="115">
        <f>IFERROR(__xludf.DUMMYFUNCTION("""COMPUTED_VALUE"""),13882.0)</f>
        <v>13882</v>
      </c>
      <c r="G1737" s="115">
        <f>IFERROR(__xludf.DUMMYFUNCTION("""COMPUTED_VALUE"""),537.0)</f>
        <v>537</v>
      </c>
      <c r="H1737" s="116">
        <f>IFERROR(__xludf.DUMMYFUNCTION("""COMPUTED_VALUE"""),45904.0)</f>
        <v>45904</v>
      </c>
      <c r="I1737" s="115" t="str">
        <f>IFERROR(__xludf.DUMMYFUNCTION("""COMPUTED_VALUE"""),"11")</f>
        <v>11</v>
      </c>
      <c r="J1737" s="115" t="str">
        <f>IFERROR(__xludf.DUMMYFUNCTION("""COMPUTED_VALUE"""),"Loveleen Singh2025-09-0411")</f>
        <v>Loveleen Singh2025-09-0411</v>
      </c>
      <c r="K1737" s="115">
        <f>IFERROR(__xludf.DUMMYFUNCTION("""COMPUTED_VALUE"""),129551.0)</f>
        <v>129551</v>
      </c>
    </row>
    <row r="1738">
      <c r="A1738" s="115" t="str">
        <f>IFERROR(__xludf.DUMMYFUNCTION("""COMPUTED_VALUE"""),"NORTH")</f>
        <v>NORTH</v>
      </c>
      <c r="B1738" s="115" t="str">
        <f>IFERROR(__xludf.DUMMYFUNCTION("""COMPUTED_VALUE"""),"Loveleen Singh")</f>
        <v>Loveleen Singh</v>
      </c>
      <c r="C1738" s="115" t="str">
        <f>IFERROR(__xludf.DUMMYFUNCTION("""COMPUTED_VALUE"""),"MYNTRA")</f>
        <v>MYNTRA</v>
      </c>
      <c r="D1738" s="115">
        <f>IFERROR(__xludf.DUMMYFUNCTION("""COMPUTED_VALUE"""),18294.0)</f>
        <v>18294</v>
      </c>
      <c r="E1738" s="115">
        <f>IFERROR(__xludf.DUMMYFUNCTION("""COMPUTED_VALUE"""),3812.0)</f>
        <v>3812</v>
      </c>
      <c r="F1738" s="115">
        <f>IFERROR(__xludf.DUMMYFUNCTION("""COMPUTED_VALUE"""),2784.0)</f>
        <v>2784</v>
      </c>
      <c r="G1738" s="115">
        <f>IFERROR(__xludf.DUMMYFUNCTION("""COMPUTED_VALUE"""),168.0)</f>
        <v>168</v>
      </c>
      <c r="H1738" s="116">
        <f>IFERROR(__xludf.DUMMYFUNCTION("""COMPUTED_VALUE"""),45904.0)</f>
        <v>45904</v>
      </c>
      <c r="I1738" s="115" t="str">
        <f>IFERROR(__xludf.DUMMYFUNCTION("""COMPUTED_VALUE"""),"11")</f>
        <v>11</v>
      </c>
      <c r="J1738" s="115" t="str">
        <f>IFERROR(__xludf.DUMMYFUNCTION("""COMPUTED_VALUE"""),"Loveleen Singh2025-09-0411")</f>
        <v>Loveleen Singh2025-09-0411</v>
      </c>
      <c r="K1738" s="115">
        <f>IFERROR(__xludf.DUMMYFUNCTION("""COMPUTED_VALUE"""),22106.0)</f>
        <v>22106</v>
      </c>
    </row>
    <row r="1739">
      <c r="A1739" s="115" t="str">
        <f>IFERROR(__xludf.DUMMYFUNCTION("""COMPUTED_VALUE"""),"NORTH")</f>
        <v>NORTH</v>
      </c>
      <c r="B1739" s="115" t="str">
        <f>IFERROR(__xludf.DUMMYFUNCTION("""COMPUTED_VALUE"""),"Manoj Harsh")</f>
        <v>Manoj Harsh</v>
      </c>
      <c r="C1739" s="115" t="str">
        <f>IFERROR(__xludf.DUMMYFUNCTION("""COMPUTED_VALUE"""),"EXTERNAL")</f>
        <v>EXTERNAL</v>
      </c>
      <c r="D1739" s="115">
        <f>IFERROR(__xludf.DUMMYFUNCTION("""COMPUTED_VALUE"""),24027.0)</f>
        <v>24027</v>
      </c>
      <c r="E1739" s="115">
        <f>IFERROR(__xludf.DUMMYFUNCTION("""COMPUTED_VALUE"""),1953.0)</f>
        <v>1953</v>
      </c>
      <c r="F1739" s="115">
        <f>IFERROR(__xludf.DUMMYFUNCTION("""COMPUTED_VALUE"""),1479.0)</f>
        <v>1479</v>
      </c>
      <c r="G1739" s="115">
        <f>IFERROR(__xludf.DUMMYFUNCTION("""COMPUTED_VALUE"""),42.0)</f>
        <v>42</v>
      </c>
      <c r="H1739" s="116">
        <f>IFERROR(__xludf.DUMMYFUNCTION("""COMPUTED_VALUE"""),45904.0)</f>
        <v>45904</v>
      </c>
      <c r="I1739" s="115" t="str">
        <f>IFERROR(__xludf.DUMMYFUNCTION("""COMPUTED_VALUE"""),"11")</f>
        <v>11</v>
      </c>
      <c r="J1739" s="115" t="str">
        <f>IFERROR(__xludf.DUMMYFUNCTION("""COMPUTED_VALUE"""),"Manoj Harsh2025-09-0411")</f>
        <v>Manoj Harsh2025-09-0411</v>
      </c>
      <c r="K1739" s="115">
        <f>IFERROR(__xludf.DUMMYFUNCTION("""COMPUTED_VALUE"""),25980.0)</f>
        <v>25980</v>
      </c>
    </row>
    <row r="1740">
      <c r="A1740" s="115" t="str">
        <f>IFERROR(__xludf.DUMMYFUNCTION("""COMPUTED_VALUE"""),"NORTH")</f>
        <v>NORTH</v>
      </c>
      <c r="B1740" s="115" t="str">
        <f>IFERROR(__xludf.DUMMYFUNCTION("""COMPUTED_VALUE"""),"Manoj Harsh")</f>
        <v>Manoj Harsh</v>
      </c>
      <c r="C1740" s="115" t="str">
        <f>IFERROR(__xludf.DUMMYFUNCTION("""COMPUTED_VALUE"""),"FLIPKART")</f>
        <v>FLIPKART</v>
      </c>
      <c r="D1740" s="115">
        <f>IFERROR(__xludf.DUMMYFUNCTION("""COMPUTED_VALUE"""),320326.0)</f>
        <v>320326</v>
      </c>
      <c r="E1740" s="115">
        <f>IFERROR(__xludf.DUMMYFUNCTION("""COMPUTED_VALUE"""),27845.0)</f>
        <v>27845</v>
      </c>
      <c r="F1740" s="115">
        <f>IFERROR(__xludf.DUMMYFUNCTION("""COMPUTED_VALUE"""),38862.0)</f>
        <v>38862</v>
      </c>
      <c r="G1740" s="115">
        <f>IFERROR(__xludf.DUMMYFUNCTION("""COMPUTED_VALUE"""),1040.0)</f>
        <v>1040</v>
      </c>
      <c r="H1740" s="116">
        <f>IFERROR(__xludf.DUMMYFUNCTION("""COMPUTED_VALUE"""),45904.0)</f>
        <v>45904</v>
      </c>
      <c r="I1740" s="115" t="str">
        <f>IFERROR(__xludf.DUMMYFUNCTION("""COMPUTED_VALUE"""),"11")</f>
        <v>11</v>
      </c>
      <c r="J1740" s="115" t="str">
        <f>IFERROR(__xludf.DUMMYFUNCTION("""COMPUTED_VALUE"""),"Manoj Harsh2025-09-0411")</f>
        <v>Manoj Harsh2025-09-0411</v>
      </c>
      <c r="K1740" s="115">
        <f>IFERROR(__xludf.DUMMYFUNCTION("""COMPUTED_VALUE"""),348171.0)</f>
        <v>348171</v>
      </c>
    </row>
    <row r="1741">
      <c r="A1741" s="115" t="str">
        <f>IFERROR(__xludf.DUMMYFUNCTION("""COMPUTED_VALUE"""),"NORTH")</f>
        <v>NORTH</v>
      </c>
      <c r="B1741" s="115" t="str">
        <f>IFERROR(__xludf.DUMMYFUNCTION("""COMPUTED_VALUE"""),"Manoj Harsh")</f>
        <v>Manoj Harsh</v>
      </c>
      <c r="C1741" s="115" t="str">
        <f>IFERROR(__xludf.DUMMYFUNCTION("""COMPUTED_VALUE"""),"MYNTRA")</f>
        <v>MYNTRA</v>
      </c>
      <c r="D1741" s="115">
        <f>IFERROR(__xludf.DUMMYFUNCTION("""COMPUTED_VALUE"""),29479.0)</f>
        <v>29479</v>
      </c>
      <c r="E1741" s="115">
        <f>IFERROR(__xludf.DUMMYFUNCTION("""COMPUTED_VALUE"""),5707.0)</f>
        <v>5707</v>
      </c>
      <c r="F1741" s="115">
        <f>IFERROR(__xludf.DUMMYFUNCTION("""COMPUTED_VALUE"""),4218.0)</f>
        <v>4218</v>
      </c>
      <c r="G1741" s="115">
        <f>IFERROR(__xludf.DUMMYFUNCTION("""COMPUTED_VALUE"""),283.0)</f>
        <v>283</v>
      </c>
      <c r="H1741" s="116">
        <f>IFERROR(__xludf.DUMMYFUNCTION("""COMPUTED_VALUE"""),45904.0)</f>
        <v>45904</v>
      </c>
      <c r="I1741" s="115" t="str">
        <f>IFERROR(__xludf.DUMMYFUNCTION("""COMPUTED_VALUE"""),"11")</f>
        <v>11</v>
      </c>
      <c r="J1741" s="115" t="str">
        <f>IFERROR(__xludf.DUMMYFUNCTION("""COMPUTED_VALUE"""),"Manoj Harsh2025-09-0411")</f>
        <v>Manoj Harsh2025-09-0411</v>
      </c>
      <c r="K1741" s="115">
        <f>IFERROR(__xludf.DUMMYFUNCTION("""COMPUTED_VALUE"""),35186.0)</f>
        <v>35186</v>
      </c>
    </row>
    <row r="1742">
      <c r="A1742" s="115" t="str">
        <f>IFERROR(__xludf.DUMMYFUNCTION("""COMPUTED_VALUE"""),"NORTH")</f>
        <v>NORTH</v>
      </c>
      <c r="B1742" s="115" t="str">
        <f>IFERROR(__xludf.DUMMYFUNCTION("""COMPUTED_VALUE"""),"Pradeep Kothari")</f>
        <v>Pradeep Kothari</v>
      </c>
      <c r="C1742" s="115" t="str">
        <f>IFERROR(__xludf.DUMMYFUNCTION("""COMPUTED_VALUE"""),"EXTERNAL")</f>
        <v>EXTERNAL</v>
      </c>
      <c r="D1742" s="115">
        <f>IFERROR(__xludf.DUMMYFUNCTION("""COMPUTED_VALUE"""),13847.0)</f>
        <v>13847</v>
      </c>
      <c r="E1742" s="115">
        <f>IFERROR(__xludf.DUMMYFUNCTION("""COMPUTED_VALUE"""),1459.0)</f>
        <v>1459</v>
      </c>
      <c r="F1742" s="115">
        <f>IFERROR(__xludf.DUMMYFUNCTION("""COMPUTED_VALUE"""),1032.0)</f>
        <v>1032</v>
      </c>
      <c r="G1742" s="115">
        <f>IFERROR(__xludf.DUMMYFUNCTION("""COMPUTED_VALUE"""),68.0)</f>
        <v>68</v>
      </c>
      <c r="H1742" s="116">
        <f>IFERROR(__xludf.DUMMYFUNCTION("""COMPUTED_VALUE"""),45904.0)</f>
        <v>45904</v>
      </c>
      <c r="I1742" s="115" t="str">
        <f>IFERROR(__xludf.DUMMYFUNCTION("""COMPUTED_VALUE"""),"11")</f>
        <v>11</v>
      </c>
      <c r="J1742" s="115" t="str">
        <f>IFERROR(__xludf.DUMMYFUNCTION("""COMPUTED_VALUE"""),"Pradeep Kothari2025-09-0411")</f>
        <v>Pradeep Kothari2025-09-0411</v>
      </c>
      <c r="K1742" s="115">
        <f>IFERROR(__xludf.DUMMYFUNCTION("""COMPUTED_VALUE"""),15306.0)</f>
        <v>15306</v>
      </c>
    </row>
    <row r="1743">
      <c r="A1743" s="115" t="str">
        <f>IFERROR(__xludf.DUMMYFUNCTION("""COMPUTED_VALUE"""),"NORTH")</f>
        <v>NORTH</v>
      </c>
      <c r="B1743" s="115" t="str">
        <f>IFERROR(__xludf.DUMMYFUNCTION("""COMPUTED_VALUE"""),"Pradeep Kothari")</f>
        <v>Pradeep Kothari</v>
      </c>
      <c r="C1743" s="115" t="str">
        <f>IFERROR(__xludf.DUMMYFUNCTION("""COMPUTED_VALUE"""),"FLIPKART")</f>
        <v>FLIPKART</v>
      </c>
      <c r="D1743" s="115">
        <f>IFERROR(__xludf.DUMMYFUNCTION("""COMPUTED_VALUE"""),115929.0)</f>
        <v>115929</v>
      </c>
      <c r="E1743" s="115">
        <f>IFERROR(__xludf.DUMMYFUNCTION("""COMPUTED_VALUE"""),13050.0)</f>
        <v>13050</v>
      </c>
      <c r="F1743" s="115">
        <f>IFERROR(__xludf.DUMMYFUNCTION("""COMPUTED_VALUE"""),17019.0)</f>
        <v>17019</v>
      </c>
      <c r="G1743" s="115">
        <f>IFERROR(__xludf.DUMMYFUNCTION("""COMPUTED_VALUE"""),671.0)</f>
        <v>671</v>
      </c>
      <c r="H1743" s="116">
        <f>IFERROR(__xludf.DUMMYFUNCTION("""COMPUTED_VALUE"""),45904.0)</f>
        <v>45904</v>
      </c>
      <c r="I1743" s="115" t="str">
        <f>IFERROR(__xludf.DUMMYFUNCTION("""COMPUTED_VALUE"""),"11")</f>
        <v>11</v>
      </c>
      <c r="J1743" s="115" t="str">
        <f>IFERROR(__xludf.DUMMYFUNCTION("""COMPUTED_VALUE"""),"Pradeep Kothari2025-09-0411")</f>
        <v>Pradeep Kothari2025-09-0411</v>
      </c>
      <c r="K1743" s="115">
        <f>IFERROR(__xludf.DUMMYFUNCTION("""COMPUTED_VALUE"""),128979.0)</f>
        <v>128979</v>
      </c>
    </row>
    <row r="1744">
      <c r="A1744" s="115" t="str">
        <f>IFERROR(__xludf.DUMMYFUNCTION("""COMPUTED_VALUE"""),"NORTH")</f>
        <v>NORTH</v>
      </c>
      <c r="B1744" s="115" t="str">
        <f>IFERROR(__xludf.DUMMYFUNCTION("""COMPUTED_VALUE"""),"Pradeep Kothari")</f>
        <v>Pradeep Kothari</v>
      </c>
      <c r="C1744" s="115" t="str">
        <f>IFERROR(__xludf.DUMMYFUNCTION("""COMPUTED_VALUE"""),"MYNTRA")</f>
        <v>MYNTRA</v>
      </c>
      <c r="D1744" s="115">
        <f>IFERROR(__xludf.DUMMYFUNCTION("""COMPUTED_VALUE"""),19036.0)</f>
        <v>19036</v>
      </c>
      <c r="E1744" s="115">
        <f>IFERROR(__xludf.DUMMYFUNCTION("""COMPUTED_VALUE"""),4815.0)</f>
        <v>4815</v>
      </c>
      <c r="F1744" s="115">
        <f>IFERROR(__xludf.DUMMYFUNCTION("""COMPUTED_VALUE"""),3643.0)</f>
        <v>3643</v>
      </c>
      <c r="G1744" s="115">
        <f>IFERROR(__xludf.DUMMYFUNCTION("""COMPUTED_VALUE"""),295.0)</f>
        <v>295</v>
      </c>
      <c r="H1744" s="116">
        <f>IFERROR(__xludf.DUMMYFUNCTION("""COMPUTED_VALUE"""),45904.0)</f>
        <v>45904</v>
      </c>
      <c r="I1744" s="115" t="str">
        <f>IFERROR(__xludf.DUMMYFUNCTION("""COMPUTED_VALUE"""),"11")</f>
        <v>11</v>
      </c>
      <c r="J1744" s="115" t="str">
        <f>IFERROR(__xludf.DUMMYFUNCTION("""COMPUTED_VALUE"""),"Pradeep Kothari2025-09-0411")</f>
        <v>Pradeep Kothari2025-09-0411</v>
      </c>
      <c r="K1744" s="115">
        <f>IFERROR(__xludf.DUMMYFUNCTION("""COMPUTED_VALUE"""),23851.0)</f>
        <v>23851</v>
      </c>
    </row>
    <row r="1745">
      <c r="A1745" s="115" t="str">
        <f>IFERROR(__xludf.DUMMYFUNCTION("""COMPUTED_VALUE"""),"SOUTH")</f>
        <v>SOUTH</v>
      </c>
      <c r="B1745" s="115" t="str">
        <f>IFERROR(__xludf.DUMMYFUNCTION("""COMPUTED_VALUE"""),"Kandula Sampath")</f>
        <v>Kandula Sampath</v>
      </c>
      <c r="C1745" s="115" t="str">
        <f>IFERROR(__xludf.DUMMYFUNCTION("""COMPUTED_VALUE"""),"EXTERNAL")</f>
        <v>EXTERNAL</v>
      </c>
      <c r="D1745" s="115">
        <f>IFERROR(__xludf.DUMMYFUNCTION("""COMPUTED_VALUE"""),27963.0)</f>
        <v>27963</v>
      </c>
      <c r="E1745" s="115">
        <f>IFERROR(__xludf.DUMMYFUNCTION("""COMPUTED_VALUE"""),3274.0)</f>
        <v>3274</v>
      </c>
      <c r="F1745" s="115">
        <f>IFERROR(__xludf.DUMMYFUNCTION("""COMPUTED_VALUE"""),3325.0)</f>
        <v>3325</v>
      </c>
      <c r="G1745" s="115">
        <f>IFERROR(__xludf.DUMMYFUNCTION("""COMPUTED_VALUE"""),98.0)</f>
        <v>98</v>
      </c>
      <c r="H1745" s="116">
        <f>IFERROR(__xludf.DUMMYFUNCTION("""COMPUTED_VALUE"""),45904.0)</f>
        <v>45904</v>
      </c>
      <c r="I1745" s="115" t="str">
        <f>IFERROR(__xludf.DUMMYFUNCTION("""COMPUTED_VALUE"""),"11")</f>
        <v>11</v>
      </c>
      <c r="J1745" s="115" t="str">
        <f>IFERROR(__xludf.DUMMYFUNCTION("""COMPUTED_VALUE"""),"Kandula Sampath2025-09-0411")</f>
        <v>Kandula Sampath2025-09-0411</v>
      </c>
      <c r="K1745" s="115">
        <f>IFERROR(__xludf.DUMMYFUNCTION("""COMPUTED_VALUE"""),31237.0)</f>
        <v>31237</v>
      </c>
    </row>
    <row r="1746">
      <c r="A1746" s="115" t="str">
        <f>IFERROR(__xludf.DUMMYFUNCTION("""COMPUTED_VALUE"""),"SOUTH")</f>
        <v>SOUTH</v>
      </c>
      <c r="B1746" s="115" t="str">
        <f>IFERROR(__xludf.DUMMYFUNCTION("""COMPUTED_VALUE"""),"Kandula Sampath")</f>
        <v>Kandula Sampath</v>
      </c>
      <c r="C1746" s="115" t="str">
        <f>IFERROR(__xludf.DUMMYFUNCTION("""COMPUTED_VALUE"""),"FLIPKART")</f>
        <v>FLIPKART</v>
      </c>
      <c r="D1746" s="115">
        <f>IFERROR(__xludf.DUMMYFUNCTION("""COMPUTED_VALUE"""),258306.0)</f>
        <v>258306</v>
      </c>
      <c r="E1746" s="115">
        <f>IFERROR(__xludf.DUMMYFUNCTION("""COMPUTED_VALUE"""),26769.0)</f>
        <v>26769</v>
      </c>
      <c r="F1746" s="115">
        <f>IFERROR(__xludf.DUMMYFUNCTION("""COMPUTED_VALUE"""),60618.0)</f>
        <v>60618</v>
      </c>
      <c r="G1746" s="115">
        <f>IFERROR(__xludf.DUMMYFUNCTION("""COMPUTED_VALUE"""),1255.0)</f>
        <v>1255</v>
      </c>
      <c r="H1746" s="116">
        <f>IFERROR(__xludf.DUMMYFUNCTION("""COMPUTED_VALUE"""),45904.0)</f>
        <v>45904</v>
      </c>
      <c r="I1746" s="115" t="str">
        <f>IFERROR(__xludf.DUMMYFUNCTION("""COMPUTED_VALUE"""),"11")</f>
        <v>11</v>
      </c>
      <c r="J1746" s="115" t="str">
        <f>IFERROR(__xludf.DUMMYFUNCTION("""COMPUTED_VALUE"""),"Kandula Sampath2025-09-0411")</f>
        <v>Kandula Sampath2025-09-0411</v>
      </c>
      <c r="K1746" s="115">
        <f>IFERROR(__xludf.DUMMYFUNCTION("""COMPUTED_VALUE"""),285075.0)</f>
        <v>285075</v>
      </c>
    </row>
    <row r="1747">
      <c r="A1747" s="115" t="str">
        <f>IFERROR(__xludf.DUMMYFUNCTION("""COMPUTED_VALUE"""),"SOUTH")</f>
        <v>SOUTH</v>
      </c>
      <c r="B1747" s="115" t="str">
        <f>IFERROR(__xludf.DUMMYFUNCTION("""COMPUTED_VALUE"""),"Kandula Sampath")</f>
        <v>Kandula Sampath</v>
      </c>
      <c r="C1747" s="115" t="str">
        <f>IFERROR(__xludf.DUMMYFUNCTION("""COMPUTED_VALUE"""),"MYNTRA")</f>
        <v>MYNTRA</v>
      </c>
      <c r="D1747" s="115">
        <f>IFERROR(__xludf.DUMMYFUNCTION("""COMPUTED_VALUE"""),26493.0)</f>
        <v>26493</v>
      </c>
      <c r="E1747" s="115">
        <f>IFERROR(__xludf.DUMMYFUNCTION("""COMPUTED_VALUE"""),6799.0)</f>
        <v>6799</v>
      </c>
      <c r="F1747" s="115">
        <f>IFERROR(__xludf.DUMMYFUNCTION("""COMPUTED_VALUE"""),7351.0)</f>
        <v>7351</v>
      </c>
      <c r="G1747" s="115">
        <f>IFERROR(__xludf.DUMMYFUNCTION("""COMPUTED_VALUE"""),330.0)</f>
        <v>330</v>
      </c>
      <c r="H1747" s="116">
        <f>IFERROR(__xludf.DUMMYFUNCTION("""COMPUTED_VALUE"""),45904.0)</f>
        <v>45904</v>
      </c>
      <c r="I1747" s="115" t="str">
        <f>IFERROR(__xludf.DUMMYFUNCTION("""COMPUTED_VALUE"""),"11")</f>
        <v>11</v>
      </c>
      <c r="J1747" s="115" t="str">
        <f>IFERROR(__xludf.DUMMYFUNCTION("""COMPUTED_VALUE"""),"Kandula Sampath2025-09-0411")</f>
        <v>Kandula Sampath2025-09-0411</v>
      </c>
      <c r="K1747" s="115">
        <f>IFERROR(__xludf.DUMMYFUNCTION("""COMPUTED_VALUE"""),33292.0)</f>
        <v>33292</v>
      </c>
    </row>
    <row r="1748">
      <c r="A1748" s="115" t="str">
        <f>IFERROR(__xludf.DUMMYFUNCTION("""COMPUTED_VALUE"""),"SOUTH")</f>
        <v>SOUTH</v>
      </c>
      <c r="B1748" s="115" t="str">
        <f>IFERROR(__xludf.DUMMYFUNCTION("""COMPUTED_VALUE"""),"Martin A")</f>
        <v>Martin A</v>
      </c>
      <c r="C1748" s="115" t="str">
        <f>IFERROR(__xludf.DUMMYFUNCTION("""COMPUTED_VALUE"""),"EXTERNAL")</f>
        <v>EXTERNAL</v>
      </c>
      <c r="D1748" s="115">
        <f>IFERROR(__xludf.DUMMYFUNCTION("""COMPUTED_VALUE"""),24582.0)</f>
        <v>24582</v>
      </c>
      <c r="E1748" s="115">
        <f>IFERROR(__xludf.DUMMYFUNCTION("""COMPUTED_VALUE"""),2749.0)</f>
        <v>2749</v>
      </c>
      <c r="F1748" s="115">
        <f>IFERROR(__xludf.DUMMYFUNCTION("""COMPUTED_VALUE"""),2726.0)</f>
        <v>2726</v>
      </c>
      <c r="G1748" s="115">
        <f>IFERROR(__xludf.DUMMYFUNCTION("""COMPUTED_VALUE"""),170.0)</f>
        <v>170</v>
      </c>
      <c r="H1748" s="116">
        <f>IFERROR(__xludf.DUMMYFUNCTION("""COMPUTED_VALUE"""),45904.0)</f>
        <v>45904</v>
      </c>
      <c r="I1748" s="115" t="str">
        <f>IFERROR(__xludf.DUMMYFUNCTION("""COMPUTED_VALUE"""),"11")</f>
        <v>11</v>
      </c>
      <c r="J1748" s="115" t="str">
        <f>IFERROR(__xludf.DUMMYFUNCTION("""COMPUTED_VALUE"""),"Martin A2025-09-0411")</f>
        <v>Martin A2025-09-0411</v>
      </c>
      <c r="K1748" s="115">
        <f>IFERROR(__xludf.DUMMYFUNCTION("""COMPUTED_VALUE"""),27331.0)</f>
        <v>27331</v>
      </c>
    </row>
    <row r="1749">
      <c r="A1749" s="115" t="str">
        <f>IFERROR(__xludf.DUMMYFUNCTION("""COMPUTED_VALUE"""),"SOUTH")</f>
        <v>SOUTH</v>
      </c>
      <c r="B1749" s="115" t="str">
        <f>IFERROR(__xludf.DUMMYFUNCTION("""COMPUTED_VALUE"""),"Martin A")</f>
        <v>Martin A</v>
      </c>
      <c r="C1749" s="115" t="str">
        <f>IFERROR(__xludf.DUMMYFUNCTION("""COMPUTED_VALUE"""),"FLIPKART")</f>
        <v>FLIPKART</v>
      </c>
      <c r="D1749" s="115">
        <f>IFERROR(__xludf.DUMMYFUNCTION("""COMPUTED_VALUE"""),206488.0)</f>
        <v>206488</v>
      </c>
      <c r="E1749" s="115">
        <f>IFERROR(__xludf.DUMMYFUNCTION("""COMPUTED_VALUE"""),22458.0)</f>
        <v>22458</v>
      </c>
      <c r="F1749" s="115">
        <f>IFERROR(__xludf.DUMMYFUNCTION("""COMPUTED_VALUE"""),41699.0)</f>
        <v>41699</v>
      </c>
      <c r="G1749" s="115">
        <f>IFERROR(__xludf.DUMMYFUNCTION("""COMPUTED_VALUE"""),1383.0)</f>
        <v>1383</v>
      </c>
      <c r="H1749" s="116">
        <f>IFERROR(__xludf.DUMMYFUNCTION("""COMPUTED_VALUE"""),45904.0)</f>
        <v>45904</v>
      </c>
      <c r="I1749" s="115" t="str">
        <f>IFERROR(__xludf.DUMMYFUNCTION("""COMPUTED_VALUE"""),"11")</f>
        <v>11</v>
      </c>
      <c r="J1749" s="115" t="str">
        <f>IFERROR(__xludf.DUMMYFUNCTION("""COMPUTED_VALUE"""),"Martin A2025-09-0411")</f>
        <v>Martin A2025-09-0411</v>
      </c>
      <c r="K1749" s="115">
        <f>IFERROR(__xludf.DUMMYFUNCTION("""COMPUTED_VALUE"""),228946.0)</f>
        <v>228946</v>
      </c>
    </row>
    <row r="1750">
      <c r="A1750" s="115" t="str">
        <f>IFERROR(__xludf.DUMMYFUNCTION("""COMPUTED_VALUE"""),"SOUTH")</f>
        <v>SOUTH</v>
      </c>
      <c r="B1750" s="115" t="str">
        <f>IFERROR(__xludf.DUMMYFUNCTION("""COMPUTED_VALUE"""),"Martin A")</f>
        <v>Martin A</v>
      </c>
      <c r="C1750" s="115" t="str">
        <f>IFERROR(__xludf.DUMMYFUNCTION("""COMPUTED_VALUE"""),"MYNTRA")</f>
        <v>MYNTRA</v>
      </c>
      <c r="D1750" s="115">
        <f>IFERROR(__xludf.DUMMYFUNCTION("""COMPUTED_VALUE"""),17254.0)</f>
        <v>17254</v>
      </c>
      <c r="E1750" s="115">
        <f>IFERROR(__xludf.DUMMYFUNCTION("""COMPUTED_VALUE"""),5382.0)</f>
        <v>5382</v>
      </c>
      <c r="F1750" s="115">
        <f>IFERROR(__xludf.DUMMYFUNCTION("""COMPUTED_VALUE"""),4217.0)</f>
        <v>4217</v>
      </c>
      <c r="G1750" s="115">
        <f>IFERROR(__xludf.DUMMYFUNCTION("""COMPUTED_VALUE"""),378.0)</f>
        <v>378</v>
      </c>
      <c r="H1750" s="116">
        <f>IFERROR(__xludf.DUMMYFUNCTION("""COMPUTED_VALUE"""),45904.0)</f>
        <v>45904</v>
      </c>
      <c r="I1750" s="115" t="str">
        <f>IFERROR(__xludf.DUMMYFUNCTION("""COMPUTED_VALUE"""),"11")</f>
        <v>11</v>
      </c>
      <c r="J1750" s="115" t="str">
        <f>IFERROR(__xludf.DUMMYFUNCTION("""COMPUTED_VALUE"""),"Martin A2025-09-0411")</f>
        <v>Martin A2025-09-0411</v>
      </c>
      <c r="K1750" s="115">
        <f>IFERROR(__xludf.DUMMYFUNCTION("""COMPUTED_VALUE"""),22636.0)</f>
        <v>22636</v>
      </c>
    </row>
    <row r="1751">
      <c r="A1751" s="115" t="str">
        <f>IFERROR(__xludf.DUMMYFUNCTION("""COMPUTED_VALUE"""),"SOUTH")</f>
        <v>SOUTH</v>
      </c>
      <c r="B1751" s="115" t="str">
        <f>IFERROR(__xludf.DUMMYFUNCTION("""COMPUTED_VALUE"""),"Premkumar M")</f>
        <v>Premkumar M</v>
      </c>
      <c r="C1751" s="115" t="str">
        <f>IFERROR(__xludf.DUMMYFUNCTION("""COMPUTED_VALUE"""),"EXTERNAL")</f>
        <v>EXTERNAL</v>
      </c>
      <c r="D1751" s="115">
        <f>IFERROR(__xludf.DUMMYFUNCTION("""COMPUTED_VALUE"""),16570.0)</f>
        <v>16570</v>
      </c>
      <c r="E1751" s="115">
        <f>IFERROR(__xludf.DUMMYFUNCTION("""COMPUTED_VALUE"""),972.0)</f>
        <v>972</v>
      </c>
      <c r="F1751" s="115">
        <f>IFERROR(__xludf.DUMMYFUNCTION("""COMPUTED_VALUE"""),1195.0)</f>
        <v>1195</v>
      </c>
      <c r="G1751" s="115">
        <f>IFERROR(__xludf.DUMMYFUNCTION("""COMPUTED_VALUE"""),9.0)</f>
        <v>9</v>
      </c>
      <c r="H1751" s="116">
        <f>IFERROR(__xludf.DUMMYFUNCTION("""COMPUTED_VALUE"""),45904.0)</f>
        <v>45904</v>
      </c>
      <c r="I1751" s="115" t="str">
        <f>IFERROR(__xludf.DUMMYFUNCTION("""COMPUTED_VALUE"""),"11")</f>
        <v>11</v>
      </c>
      <c r="J1751" s="115" t="str">
        <f>IFERROR(__xludf.DUMMYFUNCTION("""COMPUTED_VALUE"""),"Premkumar M2025-09-0411")</f>
        <v>Premkumar M2025-09-0411</v>
      </c>
      <c r="K1751" s="115">
        <f>IFERROR(__xludf.DUMMYFUNCTION("""COMPUTED_VALUE"""),17542.0)</f>
        <v>17542</v>
      </c>
    </row>
    <row r="1752">
      <c r="A1752" s="115" t="str">
        <f>IFERROR(__xludf.DUMMYFUNCTION("""COMPUTED_VALUE"""),"SOUTH")</f>
        <v>SOUTH</v>
      </c>
      <c r="B1752" s="115" t="str">
        <f>IFERROR(__xludf.DUMMYFUNCTION("""COMPUTED_VALUE"""),"Premkumar M")</f>
        <v>Premkumar M</v>
      </c>
      <c r="C1752" s="115" t="str">
        <f>IFERROR(__xludf.DUMMYFUNCTION("""COMPUTED_VALUE"""),"FLIPKART")</f>
        <v>FLIPKART</v>
      </c>
      <c r="D1752" s="115">
        <f>IFERROR(__xludf.DUMMYFUNCTION("""COMPUTED_VALUE"""),169061.0)</f>
        <v>169061</v>
      </c>
      <c r="E1752" s="115">
        <f>IFERROR(__xludf.DUMMYFUNCTION("""COMPUTED_VALUE"""),10287.0)</f>
        <v>10287</v>
      </c>
      <c r="F1752" s="115">
        <f>IFERROR(__xludf.DUMMYFUNCTION("""COMPUTED_VALUE"""),18584.0)</f>
        <v>18584</v>
      </c>
      <c r="G1752" s="115">
        <f>IFERROR(__xludf.DUMMYFUNCTION("""COMPUTED_VALUE"""),189.0)</f>
        <v>189</v>
      </c>
      <c r="H1752" s="116">
        <f>IFERROR(__xludf.DUMMYFUNCTION("""COMPUTED_VALUE"""),45904.0)</f>
        <v>45904</v>
      </c>
      <c r="I1752" s="115" t="str">
        <f>IFERROR(__xludf.DUMMYFUNCTION("""COMPUTED_VALUE"""),"11")</f>
        <v>11</v>
      </c>
      <c r="J1752" s="115" t="str">
        <f>IFERROR(__xludf.DUMMYFUNCTION("""COMPUTED_VALUE"""),"Premkumar M2025-09-0411")</f>
        <v>Premkumar M2025-09-0411</v>
      </c>
      <c r="K1752" s="115">
        <f>IFERROR(__xludf.DUMMYFUNCTION("""COMPUTED_VALUE"""),179348.0)</f>
        <v>179348</v>
      </c>
    </row>
    <row r="1753">
      <c r="A1753" s="115" t="str">
        <f>IFERROR(__xludf.DUMMYFUNCTION("""COMPUTED_VALUE"""),"SOUTH")</f>
        <v>SOUTH</v>
      </c>
      <c r="B1753" s="115" t="str">
        <f>IFERROR(__xludf.DUMMYFUNCTION("""COMPUTED_VALUE"""),"Premkumar M")</f>
        <v>Premkumar M</v>
      </c>
      <c r="C1753" s="115" t="str">
        <f>IFERROR(__xludf.DUMMYFUNCTION("""COMPUTED_VALUE"""),"MYNTRA")</f>
        <v>MYNTRA</v>
      </c>
      <c r="D1753" s="115">
        <f>IFERROR(__xludf.DUMMYFUNCTION("""COMPUTED_VALUE"""),8534.0)</f>
        <v>8534</v>
      </c>
      <c r="E1753" s="115">
        <f>IFERROR(__xludf.DUMMYFUNCTION("""COMPUTED_VALUE"""),1614.0)</f>
        <v>1614</v>
      </c>
      <c r="F1753" s="115">
        <f>IFERROR(__xludf.DUMMYFUNCTION("""COMPUTED_VALUE"""),1059.0)</f>
        <v>1059</v>
      </c>
      <c r="G1753" s="115">
        <f>IFERROR(__xludf.DUMMYFUNCTION("""COMPUTED_VALUE"""),39.0)</f>
        <v>39</v>
      </c>
      <c r="H1753" s="116">
        <f>IFERROR(__xludf.DUMMYFUNCTION("""COMPUTED_VALUE"""),45904.0)</f>
        <v>45904</v>
      </c>
      <c r="I1753" s="115" t="str">
        <f>IFERROR(__xludf.DUMMYFUNCTION("""COMPUTED_VALUE"""),"11")</f>
        <v>11</v>
      </c>
      <c r="J1753" s="115" t="str">
        <f>IFERROR(__xludf.DUMMYFUNCTION("""COMPUTED_VALUE"""),"Premkumar M2025-09-0411")</f>
        <v>Premkumar M2025-09-0411</v>
      </c>
      <c r="K1753" s="115">
        <f>IFERROR(__xludf.DUMMYFUNCTION("""COMPUTED_VALUE"""),10148.0)</f>
        <v>10148</v>
      </c>
    </row>
    <row r="1754">
      <c r="A1754" s="115" t="str">
        <f>IFERROR(__xludf.DUMMYFUNCTION("""COMPUTED_VALUE"""),"SOUTH")</f>
        <v>SOUTH</v>
      </c>
      <c r="B1754" s="115" t="str">
        <f>IFERROR(__xludf.DUMMYFUNCTION("""COMPUTED_VALUE"""),"Vineeth V")</f>
        <v>Vineeth V</v>
      </c>
      <c r="C1754" s="115" t="str">
        <f>IFERROR(__xludf.DUMMYFUNCTION("""COMPUTED_VALUE"""),"EXTERNAL")</f>
        <v>EXTERNAL</v>
      </c>
      <c r="D1754" s="115">
        <f>IFERROR(__xludf.DUMMYFUNCTION("""COMPUTED_VALUE"""),11984.0)</f>
        <v>11984</v>
      </c>
      <c r="E1754" s="115">
        <f>IFERROR(__xludf.DUMMYFUNCTION("""COMPUTED_VALUE"""),389.0)</f>
        <v>389</v>
      </c>
      <c r="F1754" s="115">
        <f>IFERROR(__xludf.DUMMYFUNCTION("""COMPUTED_VALUE"""),644.0)</f>
        <v>644</v>
      </c>
      <c r="G1754" s="115">
        <f>IFERROR(__xludf.DUMMYFUNCTION("""COMPUTED_VALUE"""),2.0)</f>
        <v>2</v>
      </c>
      <c r="H1754" s="116">
        <f>IFERROR(__xludf.DUMMYFUNCTION("""COMPUTED_VALUE"""),45904.0)</f>
        <v>45904</v>
      </c>
      <c r="I1754" s="115" t="str">
        <f>IFERROR(__xludf.DUMMYFUNCTION("""COMPUTED_VALUE"""),"11")</f>
        <v>11</v>
      </c>
      <c r="J1754" s="115" t="str">
        <f>IFERROR(__xludf.DUMMYFUNCTION("""COMPUTED_VALUE"""),"Vineeth V2025-09-0411")</f>
        <v>Vineeth V2025-09-0411</v>
      </c>
      <c r="K1754" s="115">
        <f>IFERROR(__xludf.DUMMYFUNCTION("""COMPUTED_VALUE"""),12373.0)</f>
        <v>12373</v>
      </c>
    </row>
    <row r="1755">
      <c r="A1755" s="115" t="str">
        <f>IFERROR(__xludf.DUMMYFUNCTION("""COMPUTED_VALUE"""),"SOUTH")</f>
        <v>SOUTH</v>
      </c>
      <c r="B1755" s="115" t="str">
        <f>IFERROR(__xludf.DUMMYFUNCTION("""COMPUTED_VALUE"""),"Vineeth V")</f>
        <v>Vineeth V</v>
      </c>
      <c r="C1755" s="115" t="str">
        <f>IFERROR(__xludf.DUMMYFUNCTION("""COMPUTED_VALUE"""),"FLIPKART")</f>
        <v>FLIPKART</v>
      </c>
      <c r="D1755" s="115">
        <f>IFERROR(__xludf.DUMMYFUNCTION("""COMPUTED_VALUE"""),133864.0)</f>
        <v>133864</v>
      </c>
      <c r="E1755" s="115">
        <f>IFERROR(__xludf.DUMMYFUNCTION("""COMPUTED_VALUE"""),8850.0)</f>
        <v>8850</v>
      </c>
      <c r="F1755" s="115">
        <f>IFERROR(__xludf.DUMMYFUNCTION("""COMPUTED_VALUE"""),11395.0)</f>
        <v>11395</v>
      </c>
      <c r="G1755" s="115">
        <f>IFERROR(__xludf.DUMMYFUNCTION("""COMPUTED_VALUE"""),127.0)</f>
        <v>127</v>
      </c>
      <c r="H1755" s="116">
        <f>IFERROR(__xludf.DUMMYFUNCTION("""COMPUTED_VALUE"""),45904.0)</f>
        <v>45904</v>
      </c>
      <c r="I1755" s="115" t="str">
        <f>IFERROR(__xludf.DUMMYFUNCTION("""COMPUTED_VALUE"""),"11")</f>
        <v>11</v>
      </c>
      <c r="J1755" s="115" t="str">
        <f>IFERROR(__xludf.DUMMYFUNCTION("""COMPUTED_VALUE"""),"Vineeth V2025-09-0411")</f>
        <v>Vineeth V2025-09-0411</v>
      </c>
      <c r="K1755" s="115">
        <f>IFERROR(__xludf.DUMMYFUNCTION("""COMPUTED_VALUE"""),142714.0)</f>
        <v>142714</v>
      </c>
    </row>
    <row r="1756">
      <c r="A1756" s="115" t="str">
        <f>IFERROR(__xludf.DUMMYFUNCTION("""COMPUTED_VALUE"""),"SOUTH")</f>
        <v>SOUTH</v>
      </c>
      <c r="B1756" s="115" t="str">
        <f>IFERROR(__xludf.DUMMYFUNCTION("""COMPUTED_VALUE"""),"Vineeth V")</f>
        <v>Vineeth V</v>
      </c>
      <c r="C1756" s="115" t="str">
        <f>IFERROR(__xludf.DUMMYFUNCTION("""COMPUTED_VALUE"""),"MYNTRA")</f>
        <v>MYNTRA</v>
      </c>
      <c r="D1756" s="115">
        <f>IFERROR(__xludf.DUMMYFUNCTION("""COMPUTED_VALUE"""),11757.0)</f>
        <v>11757</v>
      </c>
      <c r="E1756" s="115">
        <f>IFERROR(__xludf.DUMMYFUNCTION("""COMPUTED_VALUE"""),2141.0)</f>
        <v>2141</v>
      </c>
      <c r="F1756" s="115">
        <f>IFERROR(__xludf.DUMMYFUNCTION("""COMPUTED_VALUE"""),1190.0)</f>
        <v>1190</v>
      </c>
      <c r="G1756" s="115">
        <f>IFERROR(__xludf.DUMMYFUNCTION("""COMPUTED_VALUE"""),15.0)</f>
        <v>15</v>
      </c>
      <c r="H1756" s="116">
        <f>IFERROR(__xludf.DUMMYFUNCTION("""COMPUTED_VALUE"""),45904.0)</f>
        <v>45904</v>
      </c>
      <c r="I1756" s="115" t="str">
        <f>IFERROR(__xludf.DUMMYFUNCTION("""COMPUTED_VALUE"""),"11")</f>
        <v>11</v>
      </c>
      <c r="J1756" s="115" t="str">
        <f>IFERROR(__xludf.DUMMYFUNCTION("""COMPUTED_VALUE"""),"Vineeth V2025-09-0411")</f>
        <v>Vineeth V2025-09-0411</v>
      </c>
      <c r="K1756" s="115">
        <f>IFERROR(__xludf.DUMMYFUNCTION("""COMPUTED_VALUE"""),13898.0)</f>
        <v>13898</v>
      </c>
    </row>
    <row r="1757">
      <c r="A1757" s="115" t="str">
        <f>IFERROR(__xludf.DUMMYFUNCTION("""COMPUTED_VALUE"""),"WEST")</f>
        <v>WEST</v>
      </c>
      <c r="B1757" s="115" t="str">
        <f>IFERROR(__xludf.DUMMYFUNCTION("""COMPUTED_VALUE"""),"Ashish Jakar")</f>
        <v>Ashish Jakar</v>
      </c>
      <c r="C1757" s="115" t="str">
        <f>IFERROR(__xludf.DUMMYFUNCTION("""COMPUTED_VALUE"""),"EXTERNAL")</f>
        <v>EXTERNAL</v>
      </c>
      <c r="D1757" s="115">
        <f>IFERROR(__xludf.DUMMYFUNCTION("""COMPUTED_VALUE"""),41095.0)</f>
        <v>41095</v>
      </c>
      <c r="E1757" s="115">
        <f>IFERROR(__xludf.DUMMYFUNCTION("""COMPUTED_VALUE"""),4754.0)</f>
        <v>4754</v>
      </c>
      <c r="F1757" s="115">
        <f>IFERROR(__xludf.DUMMYFUNCTION("""COMPUTED_VALUE"""),3309.0)</f>
        <v>3309</v>
      </c>
      <c r="G1757" s="115">
        <f>IFERROR(__xludf.DUMMYFUNCTION("""COMPUTED_VALUE"""),272.0)</f>
        <v>272</v>
      </c>
      <c r="H1757" s="116">
        <f>IFERROR(__xludf.DUMMYFUNCTION("""COMPUTED_VALUE"""),45904.0)</f>
        <v>45904</v>
      </c>
      <c r="I1757" s="115" t="str">
        <f>IFERROR(__xludf.DUMMYFUNCTION("""COMPUTED_VALUE"""),"11")</f>
        <v>11</v>
      </c>
      <c r="J1757" s="115" t="str">
        <f>IFERROR(__xludf.DUMMYFUNCTION("""COMPUTED_VALUE"""),"Ashish Jakar2025-09-0411")</f>
        <v>Ashish Jakar2025-09-0411</v>
      </c>
      <c r="K1757" s="115">
        <f>IFERROR(__xludf.DUMMYFUNCTION("""COMPUTED_VALUE"""),45849.0)</f>
        <v>45849</v>
      </c>
    </row>
    <row r="1758">
      <c r="A1758" s="115" t="str">
        <f>IFERROR(__xludf.DUMMYFUNCTION("""COMPUTED_VALUE"""),"WEST")</f>
        <v>WEST</v>
      </c>
      <c r="B1758" s="115" t="str">
        <f>IFERROR(__xludf.DUMMYFUNCTION("""COMPUTED_VALUE"""),"Ashish Jakar")</f>
        <v>Ashish Jakar</v>
      </c>
      <c r="C1758" s="115" t="str">
        <f>IFERROR(__xludf.DUMMYFUNCTION("""COMPUTED_VALUE"""),"FLIPKART")</f>
        <v>FLIPKART</v>
      </c>
      <c r="D1758" s="115">
        <f>IFERROR(__xludf.DUMMYFUNCTION("""COMPUTED_VALUE"""),240740.0)</f>
        <v>240740</v>
      </c>
      <c r="E1758" s="115">
        <f>IFERROR(__xludf.DUMMYFUNCTION("""COMPUTED_VALUE"""),25432.0)</f>
        <v>25432</v>
      </c>
      <c r="F1758" s="115">
        <f>IFERROR(__xludf.DUMMYFUNCTION("""COMPUTED_VALUE"""),33909.0)</f>
        <v>33909</v>
      </c>
      <c r="G1758" s="115">
        <f>IFERROR(__xludf.DUMMYFUNCTION("""COMPUTED_VALUE"""),1213.0)</f>
        <v>1213</v>
      </c>
      <c r="H1758" s="116">
        <f>IFERROR(__xludf.DUMMYFUNCTION("""COMPUTED_VALUE"""),45904.0)</f>
        <v>45904</v>
      </c>
      <c r="I1758" s="115" t="str">
        <f>IFERROR(__xludf.DUMMYFUNCTION("""COMPUTED_VALUE"""),"11")</f>
        <v>11</v>
      </c>
      <c r="J1758" s="115" t="str">
        <f>IFERROR(__xludf.DUMMYFUNCTION("""COMPUTED_VALUE"""),"Ashish Jakar2025-09-0411")</f>
        <v>Ashish Jakar2025-09-0411</v>
      </c>
      <c r="K1758" s="115">
        <f>IFERROR(__xludf.DUMMYFUNCTION("""COMPUTED_VALUE"""),266172.0)</f>
        <v>266172</v>
      </c>
    </row>
    <row r="1759">
      <c r="A1759" s="115" t="str">
        <f>IFERROR(__xludf.DUMMYFUNCTION("""COMPUTED_VALUE"""),"WEST")</f>
        <v>WEST</v>
      </c>
      <c r="B1759" s="115" t="str">
        <f>IFERROR(__xludf.DUMMYFUNCTION("""COMPUTED_VALUE"""),"Ashish Jakar")</f>
        <v>Ashish Jakar</v>
      </c>
      <c r="C1759" s="115" t="str">
        <f>IFERROR(__xludf.DUMMYFUNCTION("""COMPUTED_VALUE"""),"MYNTRA")</f>
        <v>MYNTRA</v>
      </c>
      <c r="D1759" s="115">
        <f>IFERROR(__xludf.DUMMYFUNCTION("""COMPUTED_VALUE"""),28874.0)</f>
        <v>28874</v>
      </c>
      <c r="E1759" s="115">
        <f>IFERROR(__xludf.DUMMYFUNCTION("""COMPUTED_VALUE"""),7923.0)</f>
        <v>7923</v>
      </c>
      <c r="F1759" s="115">
        <f>IFERROR(__xludf.DUMMYFUNCTION("""COMPUTED_VALUE"""),4844.0)</f>
        <v>4844</v>
      </c>
      <c r="G1759" s="115">
        <f>IFERROR(__xludf.DUMMYFUNCTION("""COMPUTED_VALUE"""),357.0)</f>
        <v>357</v>
      </c>
      <c r="H1759" s="116">
        <f>IFERROR(__xludf.DUMMYFUNCTION("""COMPUTED_VALUE"""),45904.0)</f>
        <v>45904</v>
      </c>
      <c r="I1759" s="115" t="str">
        <f>IFERROR(__xludf.DUMMYFUNCTION("""COMPUTED_VALUE"""),"11")</f>
        <v>11</v>
      </c>
      <c r="J1759" s="115" t="str">
        <f>IFERROR(__xludf.DUMMYFUNCTION("""COMPUTED_VALUE"""),"Ashish Jakar2025-09-0411")</f>
        <v>Ashish Jakar2025-09-0411</v>
      </c>
      <c r="K1759" s="115">
        <f>IFERROR(__xludf.DUMMYFUNCTION("""COMPUTED_VALUE"""),36797.0)</f>
        <v>36797</v>
      </c>
    </row>
    <row r="1760">
      <c r="A1760" s="115" t="str">
        <f>IFERROR(__xludf.DUMMYFUNCTION("""COMPUTED_VALUE"""),"WEST")</f>
        <v>WEST</v>
      </c>
      <c r="B1760" s="115" t="str">
        <f>IFERROR(__xludf.DUMMYFUNCTION("""COMPUTED_VALUE"""),"Ashvani Bhatt")</f>
        <v>Ashvani Bhatt</v>
      </c>
      <c r="C1760" s="115" t="str">
        <f>IFERROR(__xludf.DUMMYFUNCTION("""COMPUTED_VALUE"""),"EXTERNAL")</f>
        <v>EXTERNAL</v>
      </c>
      <c r="D1760" s="115">
        <f>IFERROR(__xludf.DUMMYFUNCTION("""COMPUTED_VALUE"""),26372.0)</f>
        <v>26372</v>
      </c>
      <c r="E1760" s="115">
        <f>IFERROR(__xludf.DUMMYFUNCTION("""COMPUTED_VALUE"""),2206.0)</f>
        <v>2206</v>
      </c>
      <c r="F1760" s="115">
        <f>IFERROR(__xludf.DUMMYFUNCTION("""COMPUTED_VALUE"""),2395.0)</f>
        <v>2395</v>
      </c>
      <c r="G1760" s="115">
        <f>IFERROR(__xludf.DUMMYFUNCTION("""COMPUTED_VALUE"""),64.0)</f>
        <v>64</v>
      </c>
      <c r="H1760" s="116">
        <f>IFERROR(__xludf.DUMMYFUNCTION("""COMPUTED_VALUE"""),45904.0)</f>
        <v>45904</v>
      </c>
      <c r="I1760" s="115" t="str">
        <f>IFERROR(__xludf.DUMMYFUNCTION("""COMPUTED_VALUE"""),"11")</f>
        <v>11</v>
      </c>
      <c r="J1760" s="115" t="str">
        <f>IFERROR(__xludf.DUMMYFUNCTION("""COMPUTED_VALUE"""),"Ashvani Bhatt2025-09-0411")</f>
        <v>Ashvani Bhatt2025-09-0411</v>
      </c>
      <c r="K1760" s="115">
        <f>IFERROR(__xludf.DUMMYFUNCTION("""COMPUTED_VALUE"""),28578.0)</f>
        <v>28578</v>
      </c>
    </row>
    <row r="1761">
      <c r="A1761" s="115" t="str">
        <f>IFERROR(__xludf.DUMMYFUNCTION("""COMPUTED_VALUE"""),"WEST")</f>
        <v>WEST</v>
      </c>
      <c r="B1761" s="115" t="str">
        <f>IFERROR(__xludf.DUMMYFUNCTION("""COMPUTED_VALUE"""),"Ashvani Bhatt")</f>
        <v>Ashvani Bhatt</v>
      </c>
      <c r="C1761" s="115" t="str">
        <f>IFERROR(__xludf.DUMMYFUNCTION("""COMPUTED_VALUE"""),"FLIPKART")</f>
        <v>FLIPKART</v>
      </c>
      <c r="D1761" s="115">
        <f>IFERROR(__xludf.DUMMYFUNCTION("""COMPUTED_VALUE"""),197363.0)</f>
        <v>197363</v>
      </c>
      <c r="E1761" s="115">
        <f>IFERROR(__xludf.DUMMYFUNCTION("""COMPUTED_VALUE"""),19263.0)</f>
        <v>19263</v>
      </c>
      <c r="F1761" s="115">
        <f>IFERROR(__xludf.DUMMYFUNCTION("""COMPUTED_VALUE"""),33654.0)</f>
        <v>33654</v>
      </c>
      <c r="G1761" s="115">
        <f>IFERROR(__xludf.DUMMYFUNCTION("""COMPUTED_VALUE"""),704.0)</f>
        <v>704</v>
      </c>
      <c r="H1761" s="116">
        <f>IFERROR(__xludf.DUMMYFUNCTION("""COMPUTED_VALUE"""),45904.0)</f>
        <v>45904</v>
      </c>
      <c r="I1761" s="115" t="str">
        <f>IFERROR(__xludf.DUMMYFUNCTION("""COMPUTED_VALUE"""),"11")</f>
        <v>11</v>
      </c>
      <c r="J1761" s="115" t="str">
        <f>IFERROR(__xludf.DUMMYFUNCTION("""COMPUTED_VALUE"""),"Ashvani Bhatt2025-09-0411")</f>
        <v>Ashvani Bhatt2025-09-0411</v>
      </c>
      <c r="K1761" s="115">
        <f>IFERROR(__xludf.DUMMYFUNCTION("""COMPUTED_VALUE"""),216626.0)</f>
        <v>216626</v>
      </c>
    </row>
    <row r="1762">
      <c r="A1762" s="115" t="str">
        <f>IFERROR(__xludf.DUMMYFUNCTION("""COMPUTED_VALUE"""),"WEST")</f>
        <v>WEST</v>
      </c>
      <c r="B1762" s="115" t="str">
        <f>IFERROR(__xludf.DUMMYFUNCTION("""COMPUTED_VALUE"""),"Ashvani Bhatt")</f>
        <v>Ashvani Bhatt</v>
      </c>
      <c r="C1762" s="115" t="str">
        <f>IFERROR(__xludf.DUMMYFUNCTION("""COMPUTED_VALUE"""),"MYNTRA")</f>
        <v>MYNTRA</v>
      </c>
      <c r="D1762" s="115">
        <f>IFERROR(__xludf.DUMMYFUNCTION("""COMPUTED_VALUE"""),26207.0)</f>
        <v>26207</v>
      </c>
      <c r="E1762" s="115">
        <f>IFERROR(__xludf.DUMMYFUNCTION("""COMPUTED_VALUE"""),6119.0)</f>
        <v>6119</v>
      </c>
      <c r="F1762" s="115">
        <f>IFERROR(__xludf.DUMMYFUNCTION("""COMPUTED_VALUE"""),5367.0)</f>
        <v>5367</v>
      </c>
      <c r="G1762" s="115">
        <f>IFERROR(__xludf.DUMMYFUNCTION("""COMPUTED_VALUE"""),330.0)</f>
        <v>330</v>
      </c>
      <c r="H1762" s="116">
        <f>IFERROR(__xludf.DUMMYFUNCTION("""COMPUTED_VALUE"""),45904.0)</f>
        <v>45904</v>
      </c>
      <c r="I1762" s="115" t="str">
        <f>IFERROR(__xludf.DUMMYFUNCTION("""COMPUTED_VALUE"""),"11")</f>
        <v>11</v>
      </c>
      <c r="J1762" s="115" t="str">
        <f>IFERROR(__xludf.DUMMYFUNCTION("""COMPUTED_VALUE"""),"Ashvani Bhatt2025-09-0411")</f>
        <v>Ashvani Bhatt2025-09-0411</v>
      </c>
      <c r="K1762" s="115">
        <f>IFERROR(__xludf.DUMMYFUNCTION("""COMPUTED_VALUE"""),32326.0)</f>
        <v>32326</v>
      </c>
    </row>
    <row r="1763">
      <c r="A1763" s="115"/>
      <c r="B1763" s="115"/>
      <c r="C1763" s="115" t="str">
        <f>IFERROR(__xludf.DUMMYFUNCTION("""COMPUTED_VALUE"""),"EXTERNAL")</f>
        <v>EXTERNAL</v>
      </c>
      <c r="D1763" s="115">
        <f>IFERROR(__xludf.DUMMYFUNCTION("""COMPUTED_VALUE"""),449.0)</f>
        <v>449</v>
      </c>
      <c r="E1763" s="115">
        <f>IFERROR(__xludf.DUMMYFUNCTION("""COMPUTED_VALUE"""),38.0)</f>
        <v>38</v>
      </c>
      <c r="F1763" s="115">
        <f>IFERROR(__xludf.DUMMYFUNCTION("""COMPUTED_VALUE"""),37.0)</f>
        <v>37</v>
      </c>
      <c r="G1763" s="115">
        <f>IFERROR(__xludf.DUMMYFUNCTION("""COMPUTED_VALUE"""),1.0)</f>
        <v>1</v>
      </c>
      <c r="H1763" s="116">
        <f>IFERROR(__xludf.DUMMYFUNCTION("""COMPUTED_VALUE"""),45904.0)</f>
        <v>45904</v>
      </c>
      <c r="I1763" s="115" t="str">
        <f>IFERROR(__xludf.DUMMYFUNCTION("""COMPUTED_VALUE"""),"11")</f>
        <v>11</v>
      </c>
      <c r="J1763" s="115" t="str">
        <f>IFERROR(__xludf.DUMMYFUNCTION("""COMPUTED_VALUE"""),"2025-09-0411")</f>
        <v>2025-09-0411</v>
      </c>
      <c r="K1763" s="115">
        <f>IFERROR(__xludf.DUMMYFUNCTION("""COMPUTED_VALUE"""),487.0)</f>
        <v>487</v>
      </c>
    </row>
    <row r="1764">
      <c r="A1764" s="115"/>
      <c r="B1764" s="115"/>
      <c r="C1764" s="115" t="str">
        <f>IFERROR(__xludf.DUMMYFUNCTION("""COMPUTED_VALUE"""),"FLIPKART")</f>
        <v>FLIPKART</v>
      </c>
      <c r="D1764" s="115">
        <f>IFERROR(__xludf.DUMMYFUNCTION("""COMPUTED_VALUE"""),4013.0)</f>
        <v>4013</v>
      </c>
      <c r="E1764" s="115">
        <f>IFERROR(__xludf.DUMMYFUNCTION("""COMPUTED_VALUE"""),312.0)</f>
        <v>312</v>
      </c>
      <c r="F1764" s="115">
        <f>IFERROR(__xludf.DUMMYFUNCTION("""COMPUTED_VALUE"""),454.0)</f>
        <v>454</v>
      </c>
      <c r="G1764" s="115">
        <f>IFERROR(__xludf.DUMMYFUNCTION("""COMPUTED_VALUE"""),12.0)</f>
        <v>12</v>
      </c>
      <c r="H1764" s="116">
        <f>IFERROR(__xludf.DUMMYFUNCTION("""COMPUTED_VALUE"""),45904.0)</f>
        <v>45904</v>
      </c>
      <c r="I1764" s="115" t="str">
        <f>IFERROR(__xludf.DUMMYFUNCTION("""COMPUTED_VALUE"""),"11")</f>
        <v>11</v>
      </c>
      <c r="J1764" s="115" t="str">
        <f>IFERROR(__xludf.DUMMYFUNCTION("""COMPUTED_VALUE"""),"2025-09-0411")</f>
        <v>2025-09-0411</v>
      </c>
      <c r="K1764" s="115">
        <f>IFERROR(__xludf.DUMMYFUNCTION("""COMPUTED_VALUE"""),4325.0)</f>
        <v>4325</v>
      </c>
    </row>
    <row r="1765">
      <c r="A1765" s="115"/>
      <c r="B1765" s="115"/>
      <c r="C1765" s="115" t="str">
        <f>IFERROR(__xludf.DUMMYFUNCTION("""COMPUTED_VALUE"""),"MYNTRA")</f>
        <v>MYNTRA</v>
      </c>
      <c r="D1765" s="115">
        <f>IFERROR(__xludf.DUMMYFUNCTION("""COMPUTED_VALUE"""),433.0)</f>
        <v>433</v>
      </c>
      <c r="E1765" s="115">
        <f>IFERROR(__xludf.DUMMYFUNCTION("""COMPUTED_VALUE"""),109.0)</f>
        <v>109</v>
      </c>
      <c r="F1765" s="115">
        <f>IFERROR(__xludf.DUMMYFUNCTION("""COMPUTED_VALUE"""),37.0)</f>
        <v>37</v>
      </c>
      <c r="G1765" s="115">
        <f>IFERROR(__xludf.DUMMYFUNCTION("""COMPUTED_VALUE"""),7.0)</f>
        <v>7</v>
      </c>
      <c r="H1765" s="116">
        <f>IFERROR(__xludf.DUMMYFUNCTION("""COMPUTED_VALUE"""),45904.0)</f>
        <v>45904</v>
      </c>
      <c r="I1765" s="115" t="str">
        <f>IFERROR(__xludf.DUMMYFUNCTION("""COMPUTED_VALUE"""),"11")</f>
        <v>11</v>
      </c>
      <c r="J1765" s="115" t="str">
        <f>IFERROR(__xludf.DUMMYFUNCTION("""COMPUTED_VALUE"""),"2025-09-0411")</f>
        <v>2025-09-0411</v>
      </c>
      <c r="K1765" s="115">
        <f>IFERROR(__xludf.DUMMYFUNCTION("""COMPUTED_VALUE"""),542.0)</f>
        <v>542</v>
      </c>
    </row>
    <row r="1766">
      <c r="A1766" s="115" t="str">
        <f>IFERROR(__xludf.DUMMYFUNCTION("""COMPUTED_VALUE"""),"EAST")</f>
        <v>EAST</v>
      </c>
      <c r="B1766" s="115" t="str">
        <f>IFERROR(__xludf.DUMMYFUNCTION("""COMPUTED_VALUE"""),"Ashish Ranjan")</f>
        <v>Ashish Ranjan</v>
      </c>
      <c r="C1766" s="115" t="str">
        <f>IFERROR(__xludf.DUMMYFUNCTION("""COMPUTED_VALUE"""),"EXTERNAL")</f>
        <v>EXTERNAL</v>
      </c>
      <c r="D1766" s="115">
        <f>IFERROR(__xludf.DUMMYFUNCTION("""COMPUTED_VALUE"""),31303.0)</f>
        <v>31303</v>
      </c>
      <c r="E1766" s="115">
        <f>IFERROR(__xludf.DUMMYFUNCTION("""COMPUTED_VALUE"""),3299.0)</f>
        <v>3299</v>
      </c>
      <c r="F1766" s="115">
        <f>IFERROR(__xludf.DUMMYFUNCTION("""COMPUTED_VALUE"""),12075.0)</f>
        <v>12075</v>
      </c>
      <c r="G1766" s="115">
        <f>IFERROR(__xludf.DUMMYFUNCTION("""COMPUTED_VALUE"""),705.0)</f>
        <v>705</v>
      </c>
      <c r="H1766" s="116">
        <f>IFERROR(__xludf.DUMMYFUNCTION("""COMPUTED_VALUE"""),45904.0)</f>
        <v>45904</v>
      </c>
      <c r="I1766" s="115" t="str">
        <f>IFERROR(__xludf.DUMMYFUNCTION("""COMPUTED_VALUE"""),"14")</f>
        <v>14</v>
      </c>
      <c r="J1766" s="115" t="str">
        <f>IFERROR(__xludf.DUMMYFUNCTION("""COMPUTED_VALUE"""),"Ashish Ranjan2025-09-0414")</f>
        <v>Ashish Ranjan2025-09-0414</v>
      </c>
      <c r="K1766" s="115">
        <f>IFERROR(__xludf.DUMMYFUNCTION("""COMPUTED_VALUE"""),34602.0)</f>
        <v>34602</v>
      </c>
    </row>
    <row r="1767">
      <c r="A1767" s="115" t="str">
        <f>IFERROR(__xludf.DUMMYFUNCTION("""COMPUTED_VALUE"""),"EAST")</f>
        <v>EAST</v>
      </c>
      <c r="B1767" s="115" t="str">
        <f>IFERROR(__xludf.DUMMYFUNCTION("""COMPUTED_VALUE"""),"Ashish Ranjan")</f>
        <v>Ashish Ranjan</v>
      </c>
      <c r="C1767" s="115" t="str">
        <f>IFERROR(__xludf.DUMMYFUNCTION("""COMPUTED_VALUE"""),"FLIPKART")</f>
        <v>FLIPKART</v>
      </c>
      <c r="D1767" s="115">
        <f>IFERROR(__xludf.DUMMYFUNCTION("""COMPUTED_VALUE"""),506031.0)</f>
        <v>506031</v>
      </c>
      <c r="E1767" s="115">
        <f>IFERROR(__xludf.DUMMYFUNCTION("""COMPUTED_VALUE"""),56397.0)</f>
        <v>56397</v>
      </c>
      <c r="F1767" s="115">
        <f>IFERROR(__xludf.DUMMYFUNCTION("""COMPUTED_VALUE"""),318692.0)</f>
        <v>318692</v>
      </c>
      <c r="G1767" s="115">
        <f>IFERROR(__xludf.DUMMYFUNCTION("""COMPUTED_VALUE"""),17238.0)</f>
        <v>17238</v>
      </c>
      <c r="H1767" s="116">
        <f>IFERROR(__xludf.DUMMYFUNCTION("""COMPUTED_VALUE"""),45904.0)</f>
        <v>45904</v>
      </c>
      <c r="I1767" s="115" t="str">
        <f>IFERROR(__xludf.DUMMYFUNCTION("""COMPUTED_VALUE"""),"14")</f>
        <v>14</v>
      </c>
      <c r="J1767" s="115" t="str">
        <f>IFERROR(__xludf.DUMMYFUNCTION("""COMPUTED_VALUE"""),"Ashish Ranjan2025-09-0414")</f>
        <v>Ashish Ranjan2025-09-0414</v>
      </c>
      <c r="K1767" s="115">
        <f>IFERROR(__xludf.DUMMYFUNCTION("""COMPUTED_VALUE"""),562428.0)</f>
        <v>562428</v>
      </c>
    </row>
    <row r="1768">
      <c r="A1768" s="115" t="str">
        <f>IFERROR(__xludf.DUMMYFUNCTION("""COMPUTED_VALUE"""),"EAST")</f>
        <v>EAST</v>
      </c>
      <c r="B1768" s="115" t="str">
        <f>IFERROR(__xludf.DUMMYFUNCTION("""COMPUTED_VALUE"""),"Ashish Ranjan")</f>
        <v>Ashish Ranjan</v>
      </c>
      <c r="C1768" s="115" t="str">
        <f>IFERROR(__xludf.DUMMYFUNCTION("""COMPUTED_VALUE"""),"MYNTRA")</f>
        <v>MYNTRA</v>
      </c>
      <c r="D1768" s="115">
        <f>IFERROR(__xludf.DUMMYFUNCTION("""COMPUTED_VALUE"""),48903.0)</f>
        <v>48903</v>
      </c>
      <c r="E1768" s="115">
        <f>IFERROR(__xludf.DUMMYFUNCTION("""COMPUTED_VALUE"""),12061.0)</f>
        <v>12061</v>
      </c>
      <c r="F1768" s="115">
        <f>IFERROR(__xludf.DUMMYFUNCTION("""COMPUTED_VALUE"""),31635.0)</f>
        <v>31635</v>
      </c>
      <c r="G1768" s="115">
        <f>IFERROR(__xludf.DUMMYFUNCTION("""COMPUTED_VALUE"""),3904.0)</f>
        <v>3904</v>
      </c>
      <c r="H1768" s="116">
        <f>IFERROR(__xludf.DUMMYFUNCTION("""COMPUTED_VALUE"""),45904.0)</f>
        <v>45904</v>
      </c>
      <c r="I1768" s="115" t="str">
        <f>IFERROR(__xludf.DUMMYFUNCTION("""COMPUTED_VALUE"""),"14")</f>
        <v>14</v>
      </c>
      <c r="J1768" s="115" t="str">
        <f>IFERROR(__xludf.DUMMYFUNCTION("""COMPUTED_VALUE"""),"Ashish Ranjan2025-09-0414")</f>
        <v>Ashish Ranjan2025-09-0414</v>
      </c>
      <c r="K1768" s="115">
        <f>IFERROR(__xludf.DUMMYFUNCTION("""COMPUTED_VALUE"""),60964.0)</f>
        <v>60964</v>
      </c>
    </row>
    <row r="1769">
      <c r="A1769" s="115" t="str">
        <f>IFERROR(__xludf.DUMMYFUNCTION("""COMPUTED_VALUE"""),"EAST")</f>
        <v>EAST</v>
      </c>
      <c r="B1769" s="115" t="str">
        <f>IFERROR(__xludf.DUMMYFUNCTION("""COMPUTED_VALUE"""),"Girish Chand")</f>
        <v>Girish Chand</v>
      </c>
      <c r="C1769" s="115" t="str">
        <f>IFERROR(__xludf.DUMMYFUNCTION("""COMPUTED_VALUE"""),"EXTERNAL")</f>
        <v>EXTERNAL</v>
      </c>
      <c r="D1769" s="115">
        <f>IFERROR(__xludf.DUMMYFUNCTION("""COMPUTED_VALUE"""),20862.0)</f>
        <v>20862</v>
      </c>
      <c r="E1769" s="115">
        <f>IFERROR(__xludf.DUMMYFUNCTION("""COMPUTED_VALUE"""),1885.0)</f>
        <v>1885</v>
      </c>
      <c r="F1769" s="115">
        <f>IFERROR(__xludf.DUMMYFUNCTION("""COMPUTED_VALUE"""),5393.0)</f>
        <v>5393</v>
      </c>
      <c r="G1769" s="115">
        <f>IFERROR(__xludf.DUMMYFUNCTION("""COMPUTED_VALUE"""),205.0)</f>
        <v>205</v>
      </c>
      <c r="H1769" s="116">
        <f>IFERROR(__xludf.DUMMYFUNCTION("""COMPUTED_VALUE"""),45904.0)</f>
        <v>45904</v>
      </c>
      <c r="I1769" s="115" t="str">
        <f>IFERROR(__xludf.DUMMYFUNCTION("""COMPUTED_VALUE"""),"14")</f>
        <v>14</v>
      </c>
      <c r="J1769" s="115" t="str">
        <f>IFERROR(__xludf.DUMMYFUNCTION("""COMPUTED_VALUE"""),"Girish Chand2025-09-0414")</f>
        <v>Girish Chand2025-09-0414</v>
      </c>
      <c r="K1769" s="115">
        <f>IFERROR(__xludf.DUMMYFUNCTION("""COMPUTED_VALUE"""),22747.0)</f>
        <v>22747</v>
      </c>
    </row>
    <row r="1770">
      <c r="A1770" s="115" t="str">
        <f>IFERROR(__xludf.DUMMYFUNCTION("""COMPUTED_VALUE"""),"EAST")</f>
        <v>EAST</v>
      </c>
      <c r="B1770" s="115" t="str">
        <f>IFERROR(__xludf.DUMMYFUNCTION("""COMPUTED_VALUE"""),"Girish Chand")</f>
        <v>Girish Chand</v>
      </c>
      <c r="C1770" s="115" t="str">
        <f>IFERROR(__xludf.DUMMYFUNCTION("""COMPUTED_VALUE"""),"FLIPKART")</f>
        <v>FLIPKART</v>
      </c>
      <c r="D1770" s="115">
        <f>IFERROR(__xludf.DUMMYFUNCTION("""COMPUTED_VALUE"""),374323.0)</f>
        <v>374323</v>
      </c>
      <c r="E1770" s="115">
        <f>IFERROR(__xludf.DUMMYFUNCTION("""COMPUTED_VALUE"""),38115.0)</f>
        <v>38115</v>
      </c>
      <c r="F1770" s="115">
        <f>IFERROR(__xludf.DUMMYFUNCTION("""COMPUTED_VALUE"""),182579.0)</f>
        <v>182579</v>
      </c>
      <c r="G1770" s="115">
        <f>IFERROR(__xludf.DUMMYFUNCTION("""COMPUTED_VALUE"""),7037.0)</f>
        <v>7037</v>
      </c>
      <c r="H1770" s="116">
        <f>IFERROR(__xludf.DUMMYFUNCTION("""COMPUTED_VALUE"""),45904.0)</f>
        <v>45904</v>
      </c>
      <c r="I1770" s="115" t="str">
        <f>IFERROR(__xludf.DUMMYFUNCTION("""COMPUTED_VALUE"""),"14")</f>
        <v>14</v>
      </c>
      <c r="J1770" s="115" t="str">
        <f>IFERROR(__xludf.DUMMYFUNCTION("""COMPUTED_VALUE"""),"Girish Chand2025-09-0414")</f>
        <v>Girish Chand2025-09-0414</v>
      </c>
      <c r="K1770" s="115">
        <f>IFERROR(__xludf.DUMMYFUNCTION("""COMPUTED_VALUE"""),412438.0)</f>
        <v>412438</v>
      </c>
    </row>
    <row r="1771">
      <c r="A1771" s="115" t="str">
        <f>IFERROR(__xludf.DUMMYFUNCTION("""COMPUTED_VALUE"""),"EAST")</f>
        <v>EAST</v>
      </c>
      <c r="B1771" s="115" t="str">
        <f>IFERROR(__xludf.DUMMYFUNCTION("""COMPUTED_VALUE"""),"Girish Chand")</f>
        <v>Girish Chand</v>
      </c>
      <c r="C1771" s="115" t="str">
        <f>IFERROR(__xludf.DUMMYFUNCTION("""COMPUTED_VALUE"""),"MYNTRA")</f>
        <v>MYNTRA</v>
      </c>
      <c r="D1771" s="115">
        <f>IFERROR(__xludf.DUMMYFUNCTION("""COMPUTED_VALUE"""),30176.0)</f>
        <v>30176</v>
      </c>
      <c r="E1771" s="115">
        <f>IFERROR(__xludf.DUMMYFUNCTION("""COMPUTED_VALUE"""),6664.0)</f>
        <v>6664</v>
      </c>
      <c r="F1771" s="115">
        <f>IFERROR(__xludf.DUMMYFUNCTION("""COMPUTED_VALUE"""),16166.0)</f>
        <v>16166</v>
      </c>
      <c r="G1771" s="115">
        <f>IFERROR(__xludf.DUMMYFUNCTION("""COMPUTED_VALUE"""),1440.0)</f>
        <v>1440</v>
      </c>
      <c r="H1771" s="116">
        <f>IFERROR(__xludf.DUMMYFUNCTION("""COMPUTED_VALUE"""),45904.0)</f>
        <v>45904</v>
      </c>
      <c r="I1771" s="115" t="str">
        <f>IFERROR(__xludf.DUMMYFUNCTION("""COMPUTED_VALUE"""),"14")</f>
        <v>14</v>
      </c>
      <c r="J1771" s="115" t="str">
        <f>IFERROR(__xludf.DUMMYFUNCTION("""COMPUTED_VALUE"""),"Girish Chand2025-09-0414")</f>
        <v>Girish Chand2025-09-0414</v>
      </c>
      <c r="K1771" s="115">
        <f>IFERROR(__xludf.DUMMYFUNCTION("""COMPUTED_VALUE"""),36840.0)</f>
        <v>36840</v>
      </c>
    </row>
    <row r="1772">
      <c r="A1772" s="115" t="str">
        <f>IFERROR(__xludf.DUMMYFUNCTION("""COMPUTED_VALUE"""),"EAST")</f>
        <v>EAST</v>
      </c>
      <c r="B1772" s="115" t="str">
        <f>IFERROR(__xludf.DUMMYFUNCTION("""COMPUTED_VALUE"""),"Parag Kashyap")</f>
        <v>Parag Kashyap</v>
      </c>
      <c r="C1772" s="115" t="str">
        <f>IFERROR(__xludf.DUMMYFUNCTION("""COMPUTED_VALUE"""),"EXTERNAL")</f>
        <v>EXTERNAL</v>
      </c>
      <c r="D1772" s="115">
        <f>IFERROR(__xludf.DUMMYFUNCTION("""COMPUTED_VALUE"""),19605.0)</f>
        <v>19605</v>
      </c>
      <c r="E1772" s="115">
        <f>IFERROR(__xludf.DUMMYFUNCTION("""COMPUTED_VALUE"""),1070.0)</f>
        <v>1070</v>
      </c>
      <c r="F1772" s="115">
        <f>IFERROR(__xludf.DUMMYFUNCTION("""COMPUTED_VALUE"""),4222.0)</f>
        <v>4222</v>
      </c>
      <c r="G1772" s="115">
        <f>IFERROR(__xludf.DUMMYFUNCTION("""COMPUTED_VALUE"""),76.0)</f>
        <v>76</v>
      </c>
      <c r="H1772" s="116">
        <f>IFERROR(__xludf.DUMMYFUNCTION("""COMPUTED_VALUE"""),45904.0)</f>
        <v>45904</v>
      </c>
      <c r="I1772" s="115" t="str">
        <f>IFERROR(__xludf.DUMMYFUNCTION("""COMPUTED_VALUE"""),"14")</f>
        <v>14</v>
      </c>
      <c r="J1772" s="115" t="str">
        <f>IFERROR(__xludf.DUMMYFUNCTION("""COMPUTED_VALUE"""),"Parag Kashyap2025-09-0414")</f>
        <v>Parag Kashyap2025-09-0414</v>
      </c>
      <c r="K1772" s="115">
        <f>IFERROR(__xludf.DUMMYFUNCTION("""COMPUTED_VALUE"""),20675.0)</f>
        <v>20675</v>
      </c>
    </row>
    <row r="1773">
      <c r="A1773" s="115" t="str">
        <f>IFERROR(__xludf.DUMMYFUNCTION("""COMPUTED_VALUE"""),"EAST")</f>
        <v>EAST</v>
      </c>
      <c r="B1773" s="115" t="str">
        <f>IFERROR(__xludf.DUMMYFUNCTION("""COMPUTED_VALUE"""),"Parag Kashyap")</f>
        <v>Parag Kashyap</v>
      </c>
      <c r="C1773" s="115" t="str">
        <f>IFERROR(__xludf.DUMMYFUNCTION("""COMPUTED_VALUE"""),"FLIPKART")</f>
        <v>FLIPKART</v>
      </c>
      <c r="D1773" s="115">
        <f>IFERROR(__xludf.DUMMYFUNCTION("""COMPUTED_VALUE"""),288392.0)</f>
        <v>288392</v>
      </c>
      <c r="E1773" s="115">
        <f>IFERROR(__xludf.DUMMYFUNCTION("""COMPUTED_VALUE"""),18520.0)</f>
        <v>18520</v>
      </c>
      <c r="F1773" s="115">
        <f>IFERROR(__xludf.DUMMYFUNCTION("""COMPUTED_VALUE"""),119180.0)</f>
        <v>119180</v>
      </c>
      <c r="G1773" s="115">
        <f>IFERROR(__xludf.DUMMYFUNCTION("""COMPUTED_VALUE"""),2000.0)</f>
        <v>2000</v>
      </c>
      <c r="H1773" s="116">
        <f>IFERROR(__xludf.DUMMYFUNCTION("""COMPUTED_VALUE"""),45904.0)</f>
        <v>45904</v>
      </c>
      <c r="I1773" s="115" t="str">
        <f>IFERROR(__xludf.DUMMYFUNCTION("""COMPUTED_VALUE"""),"14")</f>
        <v>14</v>
      </c>
      <c r="J1773" s="115" t="str">
        <f>IFERROR(__xludf.DUMMYFUNCTION("""COMPUTED_VALUE"""),"Parag Kashyap2025-09-0414")</f>
        <v>Parag Kashyap2025-09-0414</v>
      </c>
      <c r="K1773" s="115">
        <f>IFERROR(__xludf.DUMMYFUNCTION("""COMPUTED_VALUE"""),306912.0)</f>
        <v>306912</v>
      </c>
    </row>
    <row r="1774">
      <c r="A1774" s="115" t="str">
        <f>IFERROR(__xludf.DUMMYFUNCTION("""COMPUTED_VALUE"""),"EAST")</f>
        <v>EAST</v>
      </c>
      <c r="B1774" s="115" t="str">
        <f>IFERROR(__xludf.DUMMYFUNCTION("""COMPUTED_VALUE"""),"Parag Kashyap")</f>
        <v>Parag Kashyap</v>
      </c>
      <c r="C1774" s="115" t="str">
        <f>IFERROR(__xludf.DUMMYFUNCTION("""COMPUTED_VALUE"""),"MYNTRA")</f>
        <v>MYNTRA</v>
      </c>
      <c r="D1774" s="115">
        <f>IFERROR(__xludf.DUMMYFUNCTION("""COMPUTED_VALUE"""),33587.0)</f>
        <v>33587</v>
      </c>
      <c r="E1774" s="115">
        <f>IFERROR(__xludf.DUMMYFUNCTION("""COMPUTED_VALUE"""),4888.0)</f>
        <v>4888</v>
      </c>
      <c r="F1774" s="115">
        <f>IFERROR(__xludf.DUMMYFUNCTION("""COMPUTED_VALUE"""),14882.0)</f>
        <v>14882</v>
      </c>
      <c r="G1774" s="115">
        <f>IFERROR(__xludf.DUMMYFUNCTION("""COMPUTED_VALUE"""),530.0)</f>
        <v>530</v>
      </c>
      <c r="H1774" s="116">
        <f>IFERROR(__xludf.DUMMYFUNCTION("""COMPUTED_VALUE"""),45904.0)</f>
        <v>45904</v>
      </c>
      <c r="I1774" s="115" t="str">
        <f>IFERROR(__xludf.DUMMYFUNCTION("""COMPUTED_VALUE"""),"14")</f>
        <v>14</v>
      </c>
      <c r="J1774" s="115" t="str">
        <f>IFERROR(__xludf.DUMMYFUNCTION("""COMPUTED_VALUE"""),"Parag Kashyap2025-09-0414")</f>
        <v>Parag Kashyap2025-09-0414</v>
      </c>
      <c r="K1774" s="115">
        <f>IFERROR(__xludf.DUMMYFUNCTION("""COMPUTED_VALUE"""),38475.0)</f>
        <v>38475</v>
      </c>
    </row>
    <row r="1775">
      <c r="A1775" s="115" t="str">
        <f>IFERROR(__xludf.DUMMYFUNCTION("""COMPUTED_VALUE"""),"NORTH")</f>
        <v>NORTH</v>
      </c>
      <c r="B1775" s="115" t="str">
        <f>IFERROR(__xludf.DUMMYFUNCTION("""COMPUTED_VALUE"""),"Amit Kumar Pathak")</f>
        <v>Amit Kumar Pathak</v>
      </c>
      <c r="C1775" s="115" t="str">
        <f>IFERROR(__xludf.DUMMYFUNCTION("""COMPUTED_VALUE"""),"EXTERNAL")</f>
        <v>EXTERNAL</v>
      </c>
      <c r="D1775" s="115">
        <f>IFERROR(__xludf.DUMMYFUNCTION("""COMPUTED_VALUE"""),22829.0)</f>
        <v>22829</v>
      </c>
      <c r="E1775" s="115">
        <f>IFERROR(__xludf.DUMMYFUNCTION("""COMPUTED_VALUE"""),3028.0)</f>
        <v>3028</v>
      </c>
      <c r="F1775" s="115">
        <f>IFERROR(__xludf.DUMMYFUNCTION("""COMPUTED_VALUE"""),5379.0)</f>
        <v>5379</v>
      </c>
      <c r="G1775" s="115">
        <f>IFERROR(__xludf.DUMMYFUNCTION("""COMPUTED_VALUE"""),672.0)</f>
        <v>672</v>
      </c>
      <c r="H1775" s="116">
        <f>IFERROR(__xludf.DUMMYFUNCTION("""COMPUTED_VALUE"""),45904.0)</f>
        <v>45904</v>
      </c>
      <c r="I1775" s="115" t="str">
        <f>IFERROR(__xludf.DUMMYFUNCTION("""COMPUTED_VALUE"""),"14")</f>
        <v>14</v>
      </c>
      <c r="J1775" s="115" t="str">
        <f>IFERROR(__xludf.DUMMYFUNCTION("""COMPUTED_VALUE"""),"Amit Kumar Pathak2025-09-0414")</f>
        <v>Amit Kumar Pathak2025-09-0414</v>
      </c>
      <c r="K1775" s="115">
        <f>IFERROR(__xludf.DUMMYFUNCTION("""COMPUTED_VALUE"""),25857.0)</f>
        <v>25857</v>
      </c>
    </row>
    <row r="1776">
      <c r="A1776" s="115" t="str">
        <f>IFERROR(__xludf.DUMMYFUNCTION("""COMPUTED_VALUE"""),"NORTH")</f>
        <v>NORTH</v>
      </c>
      <c r="B1776" s="115" t="str">
        <f>IFERROR(__xludf.DUMMYFUNCTION("""COMPUTED_VALUE"""),"Amit Kumar Pathak")</f>
        <v>Amit Kumar Pathak</v>
      </c>
      <c r="C1776" s="115" t="str">
        <f>IFERROR(__xludf.DUMMYFUNCTION("""COMPUTED_VALUE"""),"FLIPKART")</f>
        <v>FLIPKART</v>
      </c>
      <c r="D1776" s="115">
        <f>IFERROR(__xludf.DUMMYFUNCTION("""COMPUTED_VALUE"""),174535.0)</f>
        <v>174535</v>
      </c>
      <c r="E1776" s="115">
        <f>IFERROR(__xludf.DUMMYFUNCTION("""COMPUTED_VALUE"""),22760.0)</f>
        <v>22760</v>
      </c>
      <c r="F1776" s="115">
        <f>IFERROR(__xludf.DUMMYFUNCTION("""COMPUTED_VALUE"""),74949.0)</f>
        <v>74949</v>
      </c>
      <c r="G1776" s="115">
        <f>IFERROR(__xludf.DUMMYFUNCTION("""COMPUTED_VALUE"""),5873.0)</f>
        <v>5873</v>
      </c>
      <c r="H1776" s="116">
        <f>IFERROR(__xludf.DUMMYFUNCTION("""COMPUTED_VALUE"""),45904.0)</f>
        <v>45904</v>
      </c>
      <c r="I1776" s="115" t="str">
        <f>IFERROR(__xludf.DUMMYFUNCTION("""COMPUTED_VALUE"""),"14")</f>
        <v>14</v>
      </c>
      <c r="J1776" s="115" t="str">
        <f>IFERROR(__xludf.DUMMYFUNCTION("""COMPUTED_VALUE"""),"Amit Kumar Pathak2025-09-0414")</f>
        <v>Amit Kumar Pathak2025-09-0414</v>
      </c>
      <c r="K1776" s="115">
        <f>IFERROR(__xludf.DUMMYFUNCTION("""COMPUTED_VALUE"""),197295.0)</f>
        <v>197295</v>
      </c>
    </row>
    <row r="1777">
      <c r="A1777" s="115" t="str">
        <f>IFERROR(__xludf.DUMMYFUNCTION("""COMPUTED_VALUE"""),"NORTH")</f>
        <v>NORTH</v>
      </c>
      <c r="B1777" s="115" t="str">
        <f>IFERROR(__xludf.DUMMYFUNCTION("""COMPUTED_VALUE"""),"Amit Kumar Pathak")</f>
        <v>Amit Kumar Pathak</v>
      </c>
      <c r="C1777" s="115" t="str">
        <f>IFERROR(__xludf.DUMMYFUNCTION("""COMPUTED_VALUE"""),"MYNTRA")</f>
        <v>MYNTRA</v>
      </c>
      <c r="D1777" s="115">
        <f>IFERROR(__xludf.DUMMYFUNCTION("""COMPUTED_VALUE"""),16109.0)</f>
        <v>16109</v>
      </c>
      <c r="E1777" s="115">
        <f>IFERROR(__xludf.DUMMYFUNCTION("""COMPUTED_VALUE"""),5633.0)</f>
        <v>5633</v>
      </c>
      <c r="F1777" s="115">
        <f>IFERROR(__xludf.DUMMYFUNCTION("""COMPUTED_VALUE"""),8513.0)</f>
        <v>8513</v>
      </c>
      <c r="G1777" s="115">
        <f>IFERROR(__xludf.DUMMYFUNCTION("""COMPUTED_VALUE"""),1668.0)</f>
        <v>1668</v>
      </c>
      <c r="H1777" s="116">
        <f>IFERROR(__xludf.DUMMYFUNCTION("""COMPUTED_VALUE"""),45904.0)</f>
        <v>45904</v>
      </c>
      <c r="I1777" s="115" t="str">
        <f>IFERROR(__xludf.DUMMYFUNCTION("""COMPUTED_VALUE"""),"14")</f>
        <v>14</v>
      </c>
      <c r="J1777" s="115" t="str">
        <f>IFERROR(__xludf.DUMMYFUNCTION("""COMPUTED_VALUE"""),"Amit Kumar Pathak2025-09-0414")</f>
        <v>Amit Kumar Pathak2025-09-0414</v>
      </c>
      <c r="K1777" s="115">
        <f>IFERROR(__xludf.DUMMYFUNCTION("""COMPUTED_VALUE"""),21742.0)</f>
        <v>21742</v>
      </c>
    </row>
    <row r="1778">
      <c r="A1778" s="115" t="str">
        <f>IFERROR(__xludf.DUMMYFUNCTION("""COMPUTED_VALUE"""),"NORTH")</f>
        <v>NORTH</v>
      </c>
      <c r="B1778" s="115" t="str">
        <f>IFERROR(__xludf.DUMMYFUNCTION("""COMPUTED_VALUE"""),"Loveleen Singh")</f>
        <v>Loveleen Singh</v>
      </c>
      <c r="C1778" s="115" t="str">
        <f>IFERROR(__xludf.DUMMYFUNCTION("""COMPUTED_VALUE"""),"EXTERNAL")</f>
        <v>EXTERNAL</v>
      </c>
      <c r="D1778" s="115">
        <f>IFERROR(__xludf.DUMMYFUNCTION("""COMPUTED_VALUE"""),33253.0)</f>
        <v>33253</v>
      </c>
      <c r="E1778" s="115">
        <f>IFERROR(__xludf.DUMMYFUNCTION("""COMPUTED_VALUE"""),2167.0)</f>
        <v>2167</v>
      </c>
      <c r="F1778" s="115">
        <f>IFERROR(__xludf.DUMMYFUNCTION("""COMPUTED_VALUE"""),6885.0)</f>
        <v>6885</v>
      </c>
      <c r="G1778" s="115">
        <f>IFERROR(__xludf.DUMMYFUNCTION("""COMPUTED_VALUE"""),225.0)</f>
        <v>225</v>
      </c>
      <c r="H1778" s="116">
        <f>IFERROR(__xludf.DUMMYFUNCTION("""COMPUTED_VALUE"""),45904.0)</f>
        <v>45904</v>
      </c>
      <c r="I1778" s="115" t="str">
        <f>IFERROR(__xludf.DUMMYFUNCTION("""COMPUTED_VALUE"""),"14")</f>
        <v>14</v>
      </c>
      <c r="J1778" s="115" t="str">
        <f>IFERROR(__xludf.DUMMYFUNCTION("""COMPUTED_VALUE"""),"Loveleen Singh2025-09-0414")</f>
        <v>Loveleen Singh2025-09-0414</v>
      </c>
      <c r="K1778" s="115">
        <f>IFERROR(__xludf.DUMMYFUNCTION("""COMPUTED_VALUE"""),35420.0)</f>
        <v>35420</v>
      </c>
    </row>
    <row r="1779">
      <c r="A1779" s="115" t="str">
        <f>IFERROR(__xludf.DUMMYFUNCTION("""COMPUTED_VALUE"""),"NORTH")</f>
        <v>NORTH</v>
      </c>
      <c r="B1779" s="115" t="str">
        <f>IFERROR(__xludf.DUMMYFUNCTION("""COMPUTED_VALUE"""),"Loveleen Singh")</f>
        <v>Loveleen Singh</v>
      </c>
      <c r="C1779" s="115" t="str">
        <f>IFERROR(__xludf.DUMMYFUNCTION("""COMPUTED_VALUE"""),"FLIPKART")</f>
        <v>FLIPKART</v>
      </c>
      <c r="D1779" s="115">
        <f>IFERROR(__xludf.DUMMYFUNCTION("""COMPUTED_VALUE"""),159619.0)</f>
        <v>159619</v>
      </c>
      <c r="E1779" s="115">
        <f>IFERROR(__xludf.DUMMYFUNCTION("""COMPUTED_VALUE"""),16505.0)</f>
        <v>16505</v>
      </c>
      <c r="F1779" s="115">
        <f>IFERROR(__xludf.DUMMYFUNCTION("""COMPUTED_VALUE"""),64609.0)</f>
        <v>64609</v>
      </c>
      <c r="G1779" s="115">
        <f>IFERROR(__xludf.DUMMYFUNCTION("""COMPUTED_VALUE"""),2898.0)</f>
        <v>2898</v>
      </c>
      <c r="H1779" s="116">
        <f>IFERROR(__xludf.DUMMYFUNCTION("""COMPUTED_VALUE"""),45904.0)</f>
        <v>45904</v>
      </c>
      <c r="I1779" s="115" t="str">
        <f>IFERROR(__xludf.DUMMYFUNCTION("""COMPUTED_VALUE"""),"14")</f>
        <v>14</v>
      </c>
      <c r="J1779" s="115" t="str">
        <f>IFERROR(__xludf.DUMMYFUNCTION("""COMPUTED_VALUE"""),"Loveleen Singh2025-09-0414")</f>
        <v>Loveleen Singh2025-09-0414</v>
      </c>
      <c r="K1779" s="115">
        <f>IFERROR(__xludf.DUMMYFUNCTION("""COMPUTED_VALUE"""),176124.0)</f>
        <v>176124</v>
      </c>
    </row>
    <row r="1780">
      <c r="A1780" s="115" t="str">
        <f>IFERROR(__xludf.DUMMYFUNCTION("""COMPUTED_VALUE"""),"NORTH")</f>
        <v>NORTH</v>
      </c>
      <c r="B1780" s="115" t="str">
        <f>IFERROR(__xludf.DUMMYFUNCTION("""COMPUTED_VALUE"""),"Loveleen Singh")</f>
        <v>Loveleen Singh</v>
      </c>
      <c r="C1780" s="115" t="str">
        <f>IFERROR(__xludf.DUMMYFUNCTION("""COMPUTED_VALUE"""),"MYNTRA")</f>
        <v>MYNTRA</v>
      </c>
      <c r="D1780" s="115">
        <f>IFERROR(__xludf.DUMMYFUNCTION("""COMPUTED_VALUE"""),24017.0)</f>
        <v>24017</v>
      </c>
      <c r="E1780" s="115">
        <f>IFERROR(__xludf.DUMMYFUNCTION("""COMPUTED_VALUE"""),6174.0)</f>
        <v>6174</v>
      </c>
      <c r="F1780" s="115">
        <f>IFERROR(__xludf.DUMMYFUNCTION("""COMPUTED_VALUE"""),11378.0)</f>
        <v>11378</v>
      </c>
      <c r="G1780" s="115">
        <f>IFERROR(__xludf.DUMMYFUNCTION("""COMPUTED_VALUE"""),1176.0)</f>
        <v>1176</v>
      </c>
      <c r="H1780" s="116">
        <f>IFERROR(__xludf.DUMMYFUNCTION("""COMPUTED_VALUE"""),45904.0)</f>
        <v>45904</v>
      </c>
      <c r="I1780" s="115" t="str">
        <f>IFERROR(__xludf.DUMMYFUNCTION("""COMPUTED_VALUE"""),"14")</f>
        <v>14</v>
      </c>
      <c r="J1780" s="115" t="str">
        <f>IFERROR(__xludf.DUMMYFUNCTION("""COMPUTED_VALUE"""),"Loveleen Singh2025-09-0414")</f>
        <v>Loveleen Singh2025-09-0414</v>
      </c>
      <c r="K1780" s="115">
        <f>IFERROR(__xludf.DUMMYFUNCTION("""COMPUTED_VALUE"""),30191.0)</f>
        <v>30191</v>
      </c>
    </row>
    <row r="1781">
      <c r="A1781" s="115" t="str">
        <f>IFERROR(__xludf.DUMMYFUNCTION("""COMPUTED_VALUE"""),"NORTH")</f>
        <v>NORTH</v>
      </c>
      <c r="B1781" s="115" t="str">
        <f>IFERROR(__xludf.DUMMYFUNCTION("""COMPUTED_VALUE"""),"Manoj Harsh")</f>
        <v>Manoj Harsh</v>
      </c>
      <c r="C1781" s="115" t="str">
        <f>IFERROR(__xludf.DUMMYFUNCTION("""COMPUTED_VALUE"""),"EXTERNAL")</f>
        <v>EXTERNAL</v>
      </c>
      <c r="D1781" s="115">
        <f>IFERROR(__xludf.DUMMYFUNCTION("""COMPUTED_VALUE"""),31261.0)</f>
        <v>31261</v>
      </c>
      <c r="E1781" s="115">
        <f>IFERROR(__xludf.DUMMYFUNCTION("""COMPUTED_VALUE"""),2955.0)</f>
        <v>2955</v>
      </c>
      <c r="F1781" s="115">
        <f>IFERROR(__xludf.DUMMYFUNCTION("""COMPUTED_VALUE"""),7657.0)</f>
        <v>7657</v>
      </c>
      <c r="G1781" s="115">
        <f>IFERROR(__xludf.DUMMYFUNCTION("""COMPUTED_VALUE"""),274.0)</f>
        <v>274</v>
      </c>
      <c r="H1781" s="116">
        <f>IFERROR(__xludf.DUMMYFUNCTION("""COMPUTED_VALUE"""),45904.0)</f>
        <v>45904</v>
      </c>
      <c r="I1781" s="115" t="str">
        <f>IFERROR(__xludf.DUMMYFUNCTION("""COMPUTED_VALUE"""),"14")</f>
        <v>14</v>
      </c>
      <c r="J1781" s="115" t="str">
        <f>IFERROR(__xludf.DUMMYFUNCTION("""COMPUTED_VALUE"""),"Manoj Harsh2025-09-0414")</f>
        <v>Manoj Harsh2025-09-0414</v>
      </c>
      <c r="K1781" s="115">
        <f>IFERROR(__xludf.DUMMYFUNCTION("""COMPUTED_VALUE"""),34216.0)</f>
        <v>34216</v>
      </c>
    </row>
    <row r="1782">
      <c r="A1782" s="115" t="str">
        <f>IFERROR(__xludf.DUMMYFUNCTION("""COMPUTED_VALUE"""),"NORTH")</f>
        <v>NORTH</v>
      </c>
      <c r="B1782" s="115" t="str">
        <f>IFERROR(__xludf.DUMMYFUNCTION("""COMPUTED_VALUE"""),"Manoj Harsh")</f>
        <v>Manoj Harsh</v>
      </c>
      <c r="C1782" s="115" t="str">
        <f>IFERROR(__xludf.DUMMYFUNCTION("""COMPUTED_VALUE"""),"FLIPKART")</f>
        <v>FLIPKART</v>
      </c>
      <c r="D1782" s="115">
        <f>IFERROR(__xludf.DUMMYFUNCTION("""COMPUTED_VALUE"""),396684.0)</f>
        <v>396684</v>
      </c>
      <c r="E1782" s="115">
        <f>IFERROR(__xludf.DUMMYFUNCTION("""COMPUTED_VALUE"""),38898.0)</f>
        <v>38898</v>
      </c>
      <c r="F1782" s="115">
        <f>IFERROR(__xludf.DUMMYFUNCTION("""COMPUTED_VALUE"""),169844.0)</f>
        <v>169844</v>
      </c>
      <c r="G1782" s="115">
        <f>IFERROR(__xludf.DUMMYFUNCTION("""COMPUTED_VALUE"""),6350.0)</f>
        <v>6350</v>
      </c>
      <c r="H1782" s="116">
        <f>IFERROR(__xludf.DUMMYFUNCTION("""COMPUTED_VALUE"""),45904.0)</f>
        <v>45904</v>
      </c>
      <c r="I1782" s="115" t="str">
        <f>IFERROR(__xludf.DUMMYFUNCTION("""COMPUTED_VALUE"""),"14")</f>
        <v>14</v>
      </c>
      <c r="J1782" s="115" t="str">
        <f>IFERROR(__xludf.DUMMYFUNCTION("""COMPUTED_VALUE"""),"Manoj Harsh2025-09-0414")</f>
        <v>Manoj Harsh2025-09-0414</v>
      </c>
      <c r="K1782" s="115">
        <f>IFERROR(__xludf.DUMMYFUNCTION("""COMPUTED_VALUE"""),435582.0)</f>
        <v>435582</v>
      </c>
    </row>
    <row r="1783">
      <c r="A1783" s="115" t="str">
        <f>IFERROR(__xludf.DUMMYFUNCTION("""COMPUTED_VALUE"""),"NORTH")</f>
        <v>NORTH</v>
      </c>
      <c r="B1783" s="115" t="str">
        <f>IFERROR(__xludf.DUMMYFUNCTION("""COMPUTED_VALUE"""),"Manoj Harsh")</f>
        <v>Manoj Harsh</v>
      </c>
      <c r="C1783" s="115" t="str">
        <f>IFERROR(__xludf.DUMMYFUNCTION("""COMPUTED_VALUE"""),"MYNTRA")</f>
        <v>MYNTRA</v>
      </c>
      <c r="D1783" s="115">
        <f>IFERROR(__xludf.DUMMYFUNCTION("""COMPUTED_VALUE"""),35628.0)</f>
        <v>35628</v>
      </c>
      <c r="E1783" s="115">
        <f>IFERROR(__xludf.DUMMYFUNCTION("""COMPUTED_VALUE"""),7749.0)</f>
        <v>7749</v>
      </c>
      <c r="F1783" s="115">
        <f>IFERROR(__xludf.DUMMYFUNCTION("""COMPUTED_VALUE"""),17493.0)</f>
        <v>17493</v>
      </c>
      <c r="G1783" s="115">
        <f>IFERROR(__xludf.DUMMYFUNCTION("""COMPUTED_VALUE"""),1589.0)</f>
        <v>1589</v>
      </c>
      <c r="H1783" s="116">
        <f>IFERROR(__xludf.DUMMYFUNCTION("""COMPUTED_VALUE"""),45904.0)</f>
        <v>45904</v>
      </c>
      <c r="I1783" s="115" t="str">
        <f>IFERROR(__xludf.DUMMYFUNCTION("""COMPUTED_VALUE"""),"14")</f>
        <v>14</v>
      </c>
      <c r="J1783" s="115" t="str">
        <f>IFERROR(__xludf.DUMMYFUNCTION("""COMPUTED_VALUE"""),"Manoj Harsh2025-09-0414")</f>
        <v>Manoj Harsh2025-09-0414</v>
      </c>
      <c r="K1783" s="115">
        <f>IFERROR(__xludf.DUMMYFUNCTION("""COMPUTED_VALUE"""),43377.0)</f>
        <v>43377</v>
      </c>
    </row>
    <row r="1784">
      <c r="A1784" s="115" t="str">
        <f>IFERROR(__xludf.DUMMYFUNCTION("""COMPUTED_VALUE"""),"NORTH")</f>
        <v>NORTH</v>
      </c>
      <c r="B1784" s="115" t="str">
        <f>IFERROR(__xludf.DUMMYFUNCTION("""COMPUTED_VALUE"""),"Pradeep Kothari")</f>
        <v>Pradeep Kothari</v>
      </c>
      <c r="C1784" s="115" t="str">
        <f>IFERROR(__xludf.DUMMYFUNCTION("""COMPUTED_VALUE"""),"EXTERNAL")</f>
        <v>EXTERNAL</v>
      </c>
      <c r="D1784" s="115">
        <f>IFERROR(__xludf.DUMMYFUNCTION("""COMPUTED_VALUE"""),17517.0)</f>
        <v>17517</v>
      </c>
      <c r="E1784" s="115">
        <f>IFERROR(__xludf.DUMMYFUNCTION("""COMPUTED_VALUE"""),1930.0)</f>
        <v>1930</v>
      </c>
      <c r="F1784" s="115">
        <f>IFERROR(__xludf.DUMMYFUNCTION("""COMPUTED_VALUE"""),4568.0)</f>
        <v>4568</v>
      </c>
      <c r="G1784" s="115">
        <f>IFERROR(__xludf.DUMMYFUNCTION("""COMPUTED_VALUE"""),346.0)</f>
        <v>346</v>
      </c>
      <c r="H1784" s="116">
        <f>IFERROR(__xludf.DUMMYFUNCTION("""COMPUTED_VALUE"""),45904.0)</f>
        <v>45904</v>
      </c>
      <c r="I1784" s="115" t="str">
        <f>IFERROR(__xludf.DUMMYFUNCTION("""COMPUTED_VALUE"""),"14")</f>
        <v>14</v>
      </c>
      <c r="J1784" s="115" t="str">
        <f>IFERROR(__xludf.DUMMYFUNCTION("""COMPUTED_VALUE"""),"Pradeep Kothari2025-09-0414")</f>
        <v>Pradeep Kothari2025-09-0414</v>
      </c>
      <c r="K1784" s="115">
        <f>IFERROR(__xludf.DUMMYFUNCTION("""COMPUTED_VALUE"""),19447.0)</f>
        <v>19447</v>
      </c>
    </row>
    <row r="1785">
      <c r="A1785" s="115" t="str">
        <f>IFERROR(__xludf.DUMMYFUNCTION("""COMPUTED_VALUE"""),"NORTH")</f>
        <v>NORTH</v>
      </c>
      <c r="B1785" s="115" t="str">
        <f>IFERROR(__xludf.DUMMYFUNCTION("""COMPUTED_VALUE"""),"Pradeep Kothari")</f>
        <v>Pradeep Kothari</v>
      </c>
      <c r="C1785" s="115" t="str">
        <f>IFERROR(__xludf.DUMMYFUNCTION("""COMPUTED_VALUE"""),"FLIPKART")</f>
        <v>FLIPKART</v>
      </c>
      <c r="D1785" s="115">
        <f>IFERROR(__xludf.DUMMYFUNCTION("""COMPUTED_VALUE"""),141024.0)</f>
        <v>141024</v>
      </c>
      <c r="E1785" s="115">
        <f>IFERROR(__xludf.DUMMYFUNCTION("""COMPUTED_VALUE"""),17028.0)</f>
        <v>17028</v>
      </c>
      <c r="F1785" s="115">
        <f>IFERROR(__xludf.DUMMYFUNCTION("""COMPUTED_VALUE"""),67996.0)</f>
        <v>67996</v>
      </c>
      <c r="G1785" s="115">
        <f>IFERROR(__xludf.DUMMYFUNCTION("""COMPUTED_VALUE"""),3968.0)</f>
        <v>3968</v>
      </c>
      <c r="H1785" s="116">
        <f>IFERROR(__xludf.DUMMYFUNCTION("""COMPUTED_VALUE"""),45904.0)</f>
        <v>45904</v>
      </c>
      <c r="I1785" s="115" t="str">
        <f>IFERROR(__xludf.DUMMYFUNCTION("""COMPUTED_VALUE"""),"14")</f>
        <v>14</v>
      </c>
      <c r="J1785" s="115" t="str">
        <f>IFERROR(__xludf.DUMMYFUNCTION("""COMPUTED_VALUE"""),"Pradeep Kothari2025-09-0414")</f>
        <v>Pradeep Kothari2025-09-0414</v>
      </c>
      <c r="K1785" s="115">
        <f>IFERROR(__xludf.DUMMYFUNCTION("""COMPUTED_VALUE"""),158052.0)</f>
        <v>158052</v>
      </c>
    </row>
    <row r="1786">
      <c r="A1786" s="115" t="str">
        <f>IFERROR(__xludf.DUMMYFUNCTION("""COMPUTED_VALUE"""),"NORTH")</f>
        <v>NORTH</v>
      </c>
      <c r="B1786" s="115" t="str">
        <f>IFERROR(__xludf.DUMMYFUNCTION("""COMPUTED_VALUE"""),"Pradeep Kothari")</f>
        <v>Pradeep Kothari</v>
      </c>
      <c r="C1786" s="115" t="str">
        <f>IFERROR(__xludf.DUMMYFUNCTION("""COMPUTED_VALUE"""),"MYNTRA")</f>
        <v>MYNTRA</v>
      </c>
      <c r="D1786" s="115">
        <f>IFERROR(__xludf.DUMMYFUNCTION("""COMPUTED_VALUE"""),22723.0)</f>
        <v>22723</v>
      </c>
      <c r="E1786" s="115">
        <f>IFERROR(__xludf.DUMMYFUNCTION("""COMPUTED_VALUE"""),6526.0)</f>
        <v>6526</v>
      </c>
      <c r="F1786" s="115">
        <f>IFERROR(__xludf.DUMMYFUNCTION("""COMPUTED_VALUE"""),12855.0)</f>
        <v>12855</v>
      </c>
      <c r="G1786" s="115">
        <f>IFERROR(__xludf.DUMMYFUNCTION("""COMPUTED_VALUE"""),1789.0)</f>
        <v>1789</v>
      </c>
      <c r="H1786" s="116">
        <f>IFERROR(__xludf.DUMMYFUNCTION("""COMPUTED_VALUE"""),45904.0)</f>
        <v>45904</v>
      </c>
      <c r="I1786" s="115" t="str">
        <f>IFERROR(__xludf.DUMMYFUNCTION("""COMPUTED_VALUE"""),"14")</f>
        <v>14</v>
      </c>
      <c r="J1786" s="115" t="str">
        <f>IFERROR(__xludf.DUMMYFUNCTION("""COMPUTED_VALUE"""),"Pradeep Kothari2025-09-0414")</f>
        <v>Pradeep Kothari2025-09-0414</v>
      </c>
      <c r="K1786" s="115">
        <f>IFERROR(__xludf.DUMMYFUNCTION("""COMPUTED_VALUE"""),29249.0)</f>
        <v>29249</v>
      </c>
    </row>
    <row r="1787">
      <c r="A1787" s="115" t="str">
        <f>IFERROR(__xludf.DUMMYFUNCTION("""COMPUTED_VALUE"""),"SOUTH")</f>
        <v>SOUTH</v>
      </c>
      <c r="B1787" s="115" t="str">
        <f>IFERROR(__xludf.DUMMYFUNCTION("""COMPUTED_VALUE"""),"Kandula Sampath")</f>
        <v>Kandula Sampath</v>
      </c>
      <c r="C1787" s="115" t="str">
        <f>IFERROR(__xludf.DUMMYFUNCTION("""COMPUTED_VALUE"""),"EXTERNAL")</f>
        <v>EXTERNAL</v>
      </c>
      <c r="D1787" s="115">
        <f>IFERROR(__xludf.DUMMYFUNCTION("""COMPUTED_VALUE"""),31544.0)</f>
        <v>31544</v>
      </c>
      <c r="E1787" s="115">
        <f>IFERROR(__xludf.DUMMYFUNCTION("""COMPUTED_VALUE"""),3858.0)</f>
        <v>3858</v>
      </c>
      <c r="F1787" s="115">
        <f>IFERROR(__xludf.DUMMYFUNCTION("""COMPUTED_VALUE"""),8888.0)</f>
        <v>8888</v>
      </c>
      <c r="G1787" s="115">
        <f>IFERROR(__xludf.DUMMYFUNCTION("""COMPUTED_VALUE"""),519.0)</f>
        <v>519</v>
      </c>
      <c r="H1787" s="116">
        <f>IFERROR(__xludf.DUMMYFUNCTION("""COMPUTED_VALUE"""),45904.0)</f>
        <v>45904</v>
      </c>
      <c r="I1787" s="115" t="str">
        <f>IFERROR(__xludf.DUMMYFUNCTION("""COMPUTED_VALUE"""),"14")</f>
        <v>14</v>
      </c>
      <c r="J1787" s="115" t="str">
        <f>IFERROR(__xludf.DUMMYFUNCTION("""COMPUTED_VALUE"""),"Kandula Sampath2025-09-0414")</f>
        <v>Kandula Sampath2025-09-0414</v>
      </c>
      <c r="K1787" s="115">
        <f>IFERROR(__xludf.DUMMYFUNCTION("""COMPUTED_VALUE"""),35402.0)</f>
        <v>35402</v>
      </c>
    </row>
    <row r="1788">
      <c r="A1788" s="115" t="str">
        <f>IFERROR(__xludf.DUMMYFUNCTION("""COMPUTED_VALUE"""),"SOUTH")</f>
        <v>SOUTH</v>
      </c>
      <c r="B1788" s="115" t="str">
        <f>IFERROR(__xludf.DUMMYFUNCTION("""COMPUTED_VALUE"""),"Kandula Sampath")</f>
        <v>Kandula Sampath</v>
      </c>
      <c r="C1788" s="115" t="str">
        <f>IFERROR(__xludf.DUMMYFUNCTION("""COMPUTED_VALUE"""),"FLIPKART")</f>
        <v>FLIPKART</v>
      </c>
      <c r="D1788" s="115">
        <f>IFERROR(__xludf.DUMMYFUNCTION("""COMPUTED_VALUE"""),281150.0)</f>
        <v>281150</v>
      </c>
      <c r="E1788" s="115">
        <f>IFERROR(__xludf.DUMMYFUNCTION("""COMPUTED_VALUE"""),31370.0)</f>
        <v>31370</v>
      </c>
      <c r="F1788" s="115">
        <f>IFERROR(__xludf.DUMMYFUNCTION("""COMPUTED_VALUE"""),142462.0)</f>
        <v>142462</v>
      </c>
      <c r="G1788" s="115">
        <f>IFERROR(__xludf.DUMMYFUNCTION("""COMPUTED_VALUE"""),6166.0)</f>
        <v>6166</v>
      </c>
      <c r="H1788" s="116">
        <f>IFERROR(__xludf.DUMMYFUNCTION("""COMPUTED_VALUE"""),45904.0)</f>
        <v>45904</v>
      </c>
      <c r="I1788" s="115" t="str">
        <f>IFERROR(__xludf.DUMMYFUNCTION("""COMPUTED_VALUE"""),"14")</f>
        <v>14</v>
      </c>
      <c r="J1788" s="115" t="str">
        <f>IFERROR(__xludf.DUMMYFUNCTION("""COMPUTED_VALUE"""),"Kandula Sampath2025-09-0414")</f>
        <v>Kandula Sampath2025-09-0414</v>
      </c>
      <c r="K1788" s="115">
        <f>IFERROR(__xludf.DUMMYFUNCTION("""COMPUTED_VALUE"""),312520.0)</f>
        <v>312520</v>
      </c>
    </row>
    <row r="1789">
      <c r="A1789" s="115" t="str">
        <f>IFERROR(__xludf.DUMMYFUNCTION("""COMPUTED_VALUE"""),"SOUTH")</f>
        <v>SOUTH</v>
      </c>
      <c r="B1789" s="115" t="str">
        <f>IFERROR(__xludf.DUMMYFUNCTION("""COMPUTED_VALUE"""),"Kandula Sampath")</f>
        <v>Kandula Sampath</v>
      </c>
      <c r="C1789" s="115" t="str">
        <f>IFERROR(__xludf.DUMMYFUNCTION("""COMPUTED_VALUE"""),"MYNTRA")</f>
        <v>MYNTRA</v>
      </c>
      <c r="D1789" s="115">
        <f>IFERROR(__xludf.DUMMYFUNCTION("""COMPUTED_VALUE"""),28773.0)</f>
        <v>28773</v>
      </c>
      <c r="E1789" s="115">
        <f>IFERROR(__xludf.DUMMYFUNCTION("""COMPUTED_VALUE"""),7952.0)</f>
        <v>7952</v>
      </c>
      <c r="F1789" s="115">
        <f>IFERROR(__xludf.DUMMYFUNCTION("""COMPUTED_VALUE"""),16422.0)</f>
        <v>16422</v>
      </c>
      <c r="G1789" s="115">
        <f>IFERROR(__xludf.DUMMYFUNCTION("""COMPUTED_VALUE"""),1660.0)</f>
        <v>1660</v>
      </c>
      <c r="H1789" s="116">
        <f>IFERROR(__xludf.DUMMYFUNCTION("""COMPUTED_VALUE"""),45904.0)</f>
        <v>45904</v>
      </c>
      <c r="I1789" s="115" t="str">
        <f>IFERROR(__xludf.DUMMYFUNCTION("""COMPUTED_VALUE"""),"14")</f>
        <v>14</v>
      </c>
      <c r="J1789" s="115" t="str">
        <f>IFERROR(__xludf.DUMMYFUNCTION("""COMPUTED_VALUE"""),"Kandula Sampath2025-09-0414")</f>
        <v>Kandula Sampath2025-09-0414</v>
      </c>
      <c r="K1789" s="115">
        <f>IFERROR(__xludf.DUMMYFUNCTION("""COMPUTED_VALUE"""),36725.0)</f>
        <v>36725</v>
      </c>
    </row>
    <row r="1790">
      <c r="A1790" s="115" t="str">
        <f>IFERROR(__xludf.DUMMYFUNCTION("""COMPUTED_VALUE"""),"SOUTH")</f>
        <v>SOUTH</v>
      </c>
      <c r="B1790" s="115" t="str">
        <f>IFERROR(__xludf.DUMMYFUNCTION("""COMPUTED_VALUE"""),"Martin A")</f>
        <v>Martin A</v>
      </c>
      <c r="C1790" s="115" t="str">
        <f>IFERROR(__xludf.DUMMYFUNCTION("""COMPUTED_VALUE"""),"EXTERNAL")</f>
        <v>EXTERNAL</v>
      </c>
      <c r="D1790" s="115">
        <f>IFERROR(__xludf.DUMMYFUNCTION("""COMPUTED_VALUE"""),29396.0)</f>
        <v>29396</v>
      </c>
      <c r="E1790" s="115">
        <f>IFERROR(__xludf.DUMMYFUNCTION("""COMPUTED_VALUE"""),3224.0)</f>
        <v>3224</v>
      </c>
      <c r="F1790" s="115">
        <f>IFERROR(__xludf.DUMMYFUNCTION("""COMPUTED_VALUE"""),7978.0)</f>
        <v>7978</v>
      </c>
      <c r="G1790" s="115">
        <f>IFERROR(__xludf.DUMMYFUNCTION("""COMPUTED_VALUE"""),826.0)</f>
        <v>826</v>
      </c>
      <c r="H1790" s="116">
        <f>IFERROR(__xludf.DUMMYFUNCTION("""COMPUTED_VALUE"""),45904.0)</f>
        <v>45904</v>
      </c>
      <c r="I1790" s="115" t="str">
        <f>IFERROR(__xludf.DUMMYFUNCTION("""COMPUTED_VALUE"""),"14")</f>
        <v>14</v>
      </c>
      <c r="J1790" s="115" t="str">
        <f>IFERROR(__xludf.DUMMYFUNCTION("""COMPUTED_VALUE"""),"Martin A2025-09-0414")</f>
        <v>Martin A2025-09-0414</v>
      </c>
      <c r="K1790" s="115">
        <f>IFERROR(__xludf.DUMMYFUNCTION("""COMPUTED_VALUE"""),32620.0)</f>
        <v>32620</v>
      </c>
    </row>
    <row r="1791">
      <c r="A1791" s="115" t="str">
        <f>IFERROR(__xludf.DUMMYFUNCTION("""COMPUTED_VALUE"""),"SOUTH")</f>
        <v>SOUTH</v>
      </c>
      <c r="B1791" s="115" t="str">
        <f>IFERROR(__xludf.DUMMYFUNCTION("""COMPUTED_VALUE"""),"Martin A")</f>
        <v>Martin A</v>
      </c>
      <c r="C1791" s="115" t="str">
        <f>IFERROR(__xludf.DUMMYFUNCTION("""COMPUTED_VALUE"""),"FLIPKART")</f>
        <v>FLIPKART</v>
      </c>
      <c r="D1791" s="115">
        <f>IFERROR(__xludf.DUMMYFUNCTION("""COMPUTED_VALUE"""),237892.0)</f>
        <v>237892</v>
      </c>
      <c r="E1791" s="115">
        <f>IFERROR(__xludf.DUMMYFUNCTION("""COMPUTED_VALUE"""),26470.0)</f>
        <v>26470</v>
      </c>
      <c r="F1791" s="115">
        <f>IFERROR(__xludf.DUMMYFUNCTION("""COMPUTED_VALUE"""),119548.0)</f>
        <v>119548</v>
      </c>
      <c r="G1791" s="115">
        <f>IFERROR(__xludf.DUMMYFUNCTION("""COMPUTED_VALUE"""),6256.0)</f>
        <v>6256</v>
      </c>
      <c r="H1791" s="116">
        <f>IFERROR(__xludf.DUMMYFUNCTION("""COMPUTED_VALUE"""),45904.0)</f>
        <v>45904</v>
      </c>
      <c r="I1791" s="115" t="str">
        <f>IFERROR(__xludf.DUMMYFUNCTION("""COMPUTED_VALUE"""),"14")</f>
        <v>14</v>
      </c>
      <c r="J1791" s="115" t="str">
        <f>IFERROR(__xludf.DUMMYFUNCTION("""COMPUTED_VALUE"""),"Martin A2025-09-0414")</f>
        <v>Martin A2025-09-0414</v>
      </c>
      <c r="K1791" s="115">
        <f>IFERROR(__xludf.DUMMYFUNCTION("""COMPUTED_VALUE"""),264362.0)</f>
        <v>264362</v>
      </c>
    </row>
    <row r="1792">
      <c r="A1792" s="115" t="str">
        <f>IFERROR(__xludf.DUMMYFUNCTION("""COMPUTED_VALUE"""),"SOUTH")</f>
        <v>SOUTH</v>
      </c>
      <c r="B1792" s="115" t="str">
        <f>IFERROR(__xludf.DUMMYFUNCTION("""COMPUTED_VALUE"""),"Martin A")</f>
        <v>Martin A</v>
      </c>
      <c r="C1792" s="115" t="str">
        <f>IFERROR(__xludf.DUMMYFUNCTION("""COMPUTED_VALUE"""),"MYNTRA")</f>
        <v>MYNTRA</v>
      </c>
      <c r="D1792" s="115">
        <f>IFERROR(__xludf.DUMMYFUNCTION("""COMPUTED_VALUE"""),19644.0)</f>
        <v>19644</v>
      </c>
      <c r="E1792" s="115">
        <f>IFERROR(__xludf.DUMMYFUNCTION("""COMPUTED_VALUE"""),6261.0)</f>
        <v>6261</v>
      </c>
      <c r="F1792" s="115">
        <f>IFERROR(__xludf.DUMMYFUNCTION("""COMPUTED_VALUE"""),11453.0)</f>
        <v>11453</v>
      </c>
      <c r="G1792" s="115">
        <f>IFERROR(__xludf.DUMMYFUNCTION("""COMPUTED_VALUE"""),1671.0)</f>
        <v>1671</v>
      </c>
      <c r="H1792" s="116">
        <f>IFERROR(__xludf.DUMMYFUNCTION("""COMPUTED_VALUE"""),45904.0)</f>
        <v>45904</v>
      </c>
      <c r="I1792" s="115" t="str">
        <f>IFERROR(__xludf.DUMMYFUNCTION("""COMPUTED_VALUE"""),"14")</f>
        <v>14</v>
      </c>
      <c r="J1792" s="115" t="str">
        <f>IFERROR(__xludf.DUMMYFUNCTION("""COMPUTED_VALUE"""),"Martin A2025-09-0414")</f>
        <v>Martin A2025-09-0414</v>
      </c>
      <c r="K1792" s="115">
        <f>IFERROR(__xludf.DUMMYFUNCTION("""COMPUTED_VALUE"""),25905.0)</f>
        <v>25905</v>
      </c>
    </row>
    <row r="1793">
      <c r="A1793" s="115" t="str">
        <f>IFERROR(__xludf.DUMMYFUNCTION("""COMPUTED_VALUE"""),"SOUTH")</f>
        <v>SOUTH</v>
      </c>
      <c r="B1793" s="115" t="str">
        <f>IFERROR(__xludf.DUMMYFUNCTION("""COMPUTED_VALUE"""),"Premkumar M")</f>
        <v>Premkumar M</v>
      </c>
      <c r="C1793" s="115" t="str">
        <f>IFERROR(__xludf.DUMMYFUNCTION("""COMPUTED_VALUE"""),"EXTERNAL")</f>
        <v>EXTERNAL</v>
      </c>
      <c r="D1793" s="115">
        <f>IFERROR(__xludf.DUMMYFUNCTION("""COMPUTED_VALUE"""),24781.0)</f>
        <v>24781</v>
      </c>
      <c r="E1793" s="115">
        <f>IFERROR(__xludf.DUMMYFUNCTION("""COMPUTED_VALUE"""),1714.0)</f>
        <v>1714</v>
      </c>
      <c r="F1793" s="115">
        <f>IFERROR(__xludf.DUMMYFUNCTION("""COMPUTED_VALUE"""),5977.0)</f>
        <v>5977</v>
      </c>
      <c r="G1793" s="115">
        <f>IFERROR(__xludf.DUMMYFUNCTION("""COMPUTED_VALUE"""),90.0)</f>
        <v>90</v>
      </c>
      <c r="H1793" s="116">
        <f>IFERROR(__xludf.DUMMYFUNCTION("""COMPUTED_VALUE"""),45904.0)</f>
        <v>45904</v>
      </c>
      <c r="I1793" s="115" t="str">
        <f>IFERROR(__xludf.DUMMYFUNCTION("""COMPUTED_VALUE"""),"14")</f>
        <v>14</v>
      </c>
      <c r="J1793" s="115" t="str">
        <f>IFERROR(__xludf.DUMMYFUNCTION("""COMPUTED_VALUE"""),"Premkumar M2025-09-0414")</f>
        <v>Premkumar M2025-09-0414</v>
      </c>
      <c r="K1793" s="115">
        <f>IFERROR(__xludf.DUMMYFUNCTION("""COMPUTED_VALUE"""),26495.0)</f>
        <v>26495</v>
      </c>
    </row>
    <row r="1794">
      <c r="A1794" s="115" t="str">
        <f>IFERROR(__xludf.DUMMYFUNCTION("""COMPUTED_VALUE"""),"SOUTH")</f>
        <v>SOUTH</v>
      </c>
      <c r="B1794" s="115" t="str">
        <f>IFERROR(__xludf.DUMMYFUNCTION("""COMPUTED_VALUE"""),"Premkumar M")</f>
        <v>Premkumar M</v>
      </c>
      <c r="C1794" s="115" t="str">
        <f>IFERROR(__xludf.DUMMYFUNCTION("""COMPUTED_VALUE"""),"FLIPKART")</f>
        <v>FLIPKART</v>
      </c>
      <c r="D1794" s="115">
        <f>IFERROR(__xludf.DUMMYFUNCTION("""COMPUTED_VALUE"""),239759.0)</f>
        <v>239759</v>
      </c>
      <c r="E1794" s="115">
        <f>IFERROR(__xludf.DUMMYFUNCTION("""COMPUTED_VALUE"""),17178.0)</f>
        <v>17178</v>
      </c>
      <c r="F1794" s="115">
        <f>IFERROR(__xludf.DUMMYFUNCTION("""COMPUTED_VALUE"""),89958.0)</f>
        <v>89958</v>
      </c>
      <c r="G1794" s="115">
        <f>IFERROR(__xludf.DUMMYFUNCTION("""COMPUTED_VALUE"""),1248.0)</f>
        <v>1248</v>
      </c>
      <c r="H1794" s="116">
        <f>IFERROR(__xludf.DUMMYFUNCTION("""COMPUTED_VALUE"""),45904.0)</f>
        <v>45904</v>
      </c>
      <c r="I1794" s="115" t="str">
        <f>IFERROR(__xludf.DUMMYFUNCTION("""COMPUTED_VALUE"""),"14")</f>
        <v>14</v>
      </c>
      <c r="J1794" s="115" t="str">
        <f>IFERROR(__xludf.DUMMYFUNCTION("""COMPUTED_VALUE"""),"Premkumar M2025-09-0414")</f>
        <v>Premkumar M2025-09-0414</v>
      </c>
      <c r="K1794" s="115">
        <f>IFERROR(__xludf.DUMMYFUNCTION("""COMPUTED_VALUE"""),256937.0)</f>
        <v>256937</v>
      </c>
    </row>
    <row r="1795">
      <c r="A1795" s="115" t="str">
        <f>IFERROR(__xludf.DUMMYFUNCTION("""COMPUTED_VALUE"""),"SOUTH")</f>
        <v>SOUTH</v>
      </c>
      <c r="B1795" s="115" t="str">
        <f>IFERROR(__xludf.DUMMYFUNCTION("""COMPUTED_VALUE"""),"Premkumar M")</f>
        <v>Premkumar M</v>
      </c>
      <c r="C1795" s="115" t="str">
        <f>IFERROR(__xludf.DUMMYFUNCTION("""COMPUTED_VALUE"""),"MYNTRA")</f>
        <v>MYNTRA</v>
      </c>
      <c r="D1795" s="115">
        <f>IFERROR(__xludf.DUMMYFUNCTION("""COMPUTED_VALUE"""),11860.0)</f>
        <v>11860</v>
      </c>
      <c r="E1795" s="115">
        <f>IFERROR(__xludf.DUMMYFUNCTION("""COMPUTED_VALUE"""),2613.0)</f>
        <v>2613</v>
      </c>
      <c r="F1795" s="115">
        <f>IFERROR(__xludf.DUMMYFUNCTION("""COMPUTED_VALUE"""),5210.0)</f>
        <v>5210</v>
      </c>
      <c r="G1795" s="115">
        <f>IFERROR(__xludf.DUMMYFUNCTION("""COMPUTED_VALUE"""),187.0)</f>
        <v>187</v>
      </c>
      <c r="H1795" s="116">
        <f>IFERROR(__xludf.DUMMYFUNCTION("""COMPUTED_VALUE"""),45904.0)</f>
        <v>45904</v>
      </c>
      <c r="I1795" s="115" t="str">
        <f>IFERROR(__xludf.DUMMYFUNCTION("""COMPUTED_VALUE"""),"14")</f>
        <v>14</v>
      </c>
      <c r="J1795" s="115" t="str">
        <f>IFERROR(__xludf.DUMMYFUNCTION("""COMPUTED_VALUE"""),"Premkumar M2025-09-0414")</f>
        <v>Premkumar M2025-09-0414</v>
      </c>
      <c r="K1795" s="115">
        <f>IFERROR(__xludf.DUMMYFUNCTION("""COMPUTED_VALUE"""),14473.0)</f>
        <v>14473</v>
      </c>
    </row>
    <row r="1796">
      <c r="A1796" s="115" t="str">
        <f>IFERROR(__xludf.DUMMYFUNCTION("""COMPUTED_VALUE"""),"SOUTH")</f>
        <v>SOUTH</v>
      </c>
      <c r="B1796" s="115" t="str">
        <f>IFERROR(__xludf.DUMMYFUNCTION("""COMPUTED_VALUE"""),"Vineeth V")</f>
        <v>Vineeth V</v>
      </c>
      <c r="C1796" s="115" t="str">
        <f>IFERROR(__xludf.DUMMYFUNCTION("""COMPUTED_VALUE"""),"EXTERNAL")</f>
        <v>EXTERNAL</v>
      </c>
      <c r="D1796" s="115">
        <f>IFERROR(__xludf.DUMMYFUNCTION("""COMPUTED_VALUE"""),18189.0)</f>
        <v>18189</v>
      </c>
      <c r="E1796" s="115">
        <f>IFERROR(__xludf.DUMMYFUNCTION("""COMPUTED_VALUE"""),691.0)</f>
        <v>691</v>
      </c>
      <c r="F1796" s="115">
        <f>IFERROR(__xludf.DUMMYFUNCTION("""COMPUTED_VALUE"""),4800.0)</f>
        <v>4800</v>
      </c>
      <c r="G1796" s="115">
        <f>IFERROR(__xludf.DUMMYFUNCTION("""COMPUTED_VALUE"""),41.0)</f>
        <v>41</v>
      </c>
      <c r="H1796" s="116">
        <f>IFERROR(__xludf.DUMMYFUNCTION("""COMPUTED_VALUE"""),45904.0)</f>
        <v>45904</v>
      </c>
      <c r="I1796" s="115" t="str">
        <f>IFERROR(__xludf.DUMMYFUNCTION("""COMPUTED_VALUE"""),"14")</f>
        <v>14</v>
      </c>
      <c r="J1796" s="115" t="str">
        <f>IFERROR(__xludf.DUMMYFUNCTION("""COMPUTED_VALUE"""),"Vineeth V2025-09-0414")</f>
        <v>Vineeth V2025-09-0414</v>
      </c>
      <c r="K1796" s="115">
        <f>IFERROR(__xludf.DUMMYFUNCTION("""COMPUTED_VALUE"""),18880.0)</f>
        <v>18880</v>
      </c>
    </row>
    <row r="1797">
      <c r="A1797" s="115" t="str">
        <f>IFERROR(__xludf.DUMMYFUNCTION("""COMPUTED_VALUE"""),"SOUTH")</f>
        <v>SOUTH</v>
      </c>
      <c r="B1797" s="115" t="str">
        <f>IFERROR(__xludf.DUMMYFUNCTION("""COMPUTED_VALUE"""),"Vineeth V")</f>
        <v>Vineeth V</v>
      </c>
      <c r="C1797" s="115" t="str">
        <f>IFERROR(__xludf.DUMMYFUNCTION("""COMPUTED_VALUE"""),"FLIPKART")</f>
        <v>FLIPKART</v>
      </c>
      <c r="D1797" s="115">
        <f>IFERROR(__xludf.DUMMYFUNCTION("""COMPUTED_VALUE"""),197088.0)</f>
        <v>197088</v>
      </c>
      <c r="E1797" s="115">
        <f>IFERROR(__xludf.DUMMYFUNCTION("""COMPUTED_VALUE"""),15832.0)</f>
        <v>15832</v>
      </c>
      <c r="F1797" s="115">
        <f>IFERROR(__xludf.DUMMYFUNCTION("""COMPUTED_VALUE"""),81130.0)</f>
        <v>81130</v>
      </c>
      <c r="G1797" s="115">
        <f>IFERROR(__xludf.DUMMYFUNCTION("""COMPUTED_VALUE"""),1170.0)</f>
        <v>1170</v>
      </c>
      <c r="H1797" s="116">
        <f>IFERROR(__xludf.DUMMYFUNCTION("""COMPUTED_VALUE"""),45904.0)</f>
        <v>45904</v>
      </c>
      <c r="I1797" s="115" t="str">
        <f>IFERROR(__xludf.DUMMYFUNCTION("""COMPUTED_VALUE"""),"14")</f>
        <v>14</v>
      </c>
      <c r="J1797" s="115" t="str">
        <f>IFERROR(__xludf.DUMMYFUNCTION("""COMPUTED_VALUE"""),"Vineeth V2025-09-0414")</f>
        <v>Vineeth V2025-09-0414</v>
      </c>
      <c r="K1797" s="115">
        <f>IFERROR(__xludf.DUMMYFUNCTION("""COMPUTED_VALUE"""),212920.0)</f>
        <v>212920</v>
      </c>
    </row>
    <row r="1798">
      <c r="A1798" s="115" t="str">
        <f>IFERROR(__xludf.DUMMYFUNCTION("""COMPUTED_VALUE"""),"SOUTH")</f>
        <v>SOUTH</v>
      </c>
      <c r="B1798" s="115" t="str">
        <f>IFERROR(__xludf.DUMMYFUNCTION("""COMPUTED_VALUE"""),"Vineeth V")</f>
        <v>Vineeth V</v>
      </c>
      <c r="C1798" s="115" t="str">
        <f>IFERROR(__xludf.DUMMYFUNCTION("""COMPUTED_VALUE"""),"MYNTRA")</f>
        <v>MYNTRA</v>
      </c>
      <c r="D1798" s="115">
        <f>IFERROR(__xludf.DUMMYFUNCTION("""COMPUTED_VALUE"""),16983.0)</f>
        <v>16983</v>
      </c>
      <c r="E1798" s="115">
        <f>IFERROR(__xludf.DUMMYFUNCTION("""COMPUTED_VALUE"""),3947.0)</f>
        <v>3947</v>
      </c>
      <c r="F1798" s="115">
        <f>IFERROR(__xludf.DUMMYFUNCTION("""COMPUTED_VALUE"""),7751.0)</f>
        <v>7751</v>
      </c>
      <c r="G1798" s="115">
        <f>IFERROR(__xludf.DUMMYFUNCTION("""COMPUTED_VALUE"""),284.0)</f>
        <v>284</v>
      </c>
      <c r="H1798" s="116">
        <f>IFERROR(__xludf.DUMMYFUNCTION("""COMPUTED_VALUE"""),45904.0)</f>
        <v>45904</v>
      </c>
      <c r="I1798" s="115" t="str">
        <f>IFERROR(__xludf.DUMMYFUNCTION("""COMPUTED_VALUE"""),"14")</f>
        <v>14</v>
      </c>
      <c r="J1798" s="115" t="str">
        <f>IFERROR(__xludf.DUMMYFUNCTION("""COMPUTED_VALUE"""),"Vineeth V2025-09-0414")</f>
        <v>Vineeth V2025-09-0414</v>
      </c>
      <c r="K1798" s="115">
        <f>IFERROR(__xludf.DUMMYFUNCTION("""COMPUTED_VALUE"""),20930.0)</f>
        <v>20930</v>
      </c>
    </row>
    <row r="1799">
      <c r="A1799" s="115" t="str">
        <f>IFERROR(__xludf.DUMMYFUNCTION("""COMPUTED_VALUE"""),"WEST")</f>
        <v>WEST</v>
      </c>
      <c r="B1799" s="115" t="str">
        <f>IFERROR(__xludf.DUMMYFUNCTION("""COMPUTED_VALUE"""),"Ashish Jakar")</f>
        <v>Ashish Jakar</v>
      </c>
      <c r="C1799" s="115" t="str">
        <f>IFERROR(__xludf.DUMMYFUNCTION("""COMPUTED_VALUE"""),"EXTERNAL")</f>
        <v>EXTERNAL</v>
      </c>
      <c r="D1799" s="115">
        <f>IFERROR(__xludf.DUMMYFUNCTION("""COMPUTED_VALUE"""),52890.0)</f>
        <v>52890</v>
      </c>
      <c r="E1799" s="115">
        <f>IFERROR(__xludf.DUMMYFUNCTION("""COMPUTED_VALUE"""),6147.0)</f>
        <v>6147</v>
      </c>
      <c r="F1799" s="115">
        <f>IFERROR(__xludf.DUMMYFUNCTION("""COMPUTED_VALUE"""),12564.0)</f>
        <v>12564</v>
      </c>
      <c r="G1799" s="115">
        <f>IFERROR(__xludf.DUMMYFUNCTION("""COMPUTED_VALUE"""),1124.0)</f>
        <v>1124</v>
      </c>
      <c r="H1799" s="116">
        <f>IFERROR(__xludf.DUMMYFUNCTION("""COMPUTED_VALUE"""),45904.0)</f>
        <v>45904</v>
      </c>
      <c r="I1799" s="115" t="str">
        <f>IFERROR(__xludf.DUMMYFUNCTION("""COMPUTED_VALUE"""),"14")</f>
        <v>14</v>
      </c>
      <c r="J1799" s="115" t="str">
        <f>IFERROR(__xludf.DUMMYFUNCTION("""COMPUTED_VALUE"""),"Ashish Jakar2025-09-0414")</f>
        <v>Ashish Jakar2025-09-0414</v>
      </c>
      <c r="K1799" s="115">
        <f>IFERROR(__xludf.DUMMYFUNCTION("""COMPUTED_VALUE"""),59037.0)</f>
        <v>59037</v>
      </c>
    </row>
    <row r="1800">
      <c r="A1800" s="115" t="str">
        <f>IFERROR(__xludf.DUMMYFUNCTION("""COMPUTED_VALUE"""),"WEST")</f>
        <v>WEST</v>
      </c>
      <c r="B1800" s="115" t="str">
        <f>IFERROR(__xludf.DUMMYFUNCTION("""COMPUTED_VALUE"""),"Ashish Jakar")</f>
        <v>Ashish Jakar</v>
      </c>
      <c r="C1800" s="115" t="str">
        <f>IFERROR(__xludf.DUMMYFUNCTION("""COMPUTED_VALUE"""),"FLIPKART")</f>
        <v>FLIPKART</v>
      </c>
      <c r="D1800" s="115">
        <f>IFERROR(__xludf.DUMMYFUNCTION("""COMPUTED_VALUE"""),300119.0)</f>
        <v>300119</v>
      </c>
      <c r="E1800" s="115">
        <f>IFERROR(__xludf.DUMMYFUNCTION("""COMPUTED_VALUE"""),33202.0)</f>
        <v>33202</v>
      </c>
      <c r="F1800" s="115">
        <f>IFERROR(__xludf.DUMMYFUNCTION("""COMPUTED_VALUE"""),130109.0)</f>
        <v>130109</v>
      </c>
      <c r="G1800" s="115">
        <f>IFERROR(__xludf.DUMMYFUNCTION("""COMPUTED_VALUE"""),6831.0)</f>
        <v>6831</v>
      </c>
      <c r="H1800" s="116">
        <f>IFERROR(__xludf.DUMMYFUNCTION("""COMPUTED_VALUE"""),45904.0)</f>
        <v>45904</v>
      </c>
      <c r="I1800" s="115" t="str">
        <f>IFERROR(__xludf.DUMMYFUNCTION("""COMPUTED_VALUE"""),"14")</f>
        <v>14</v>
      </c>
      <c r="J1800" s="115" t="str">
        <f>IFERROR(__xludf.DUMMYFUNCTION("""COMPUTED_VALUE"""),"Ashish Jakar2025-09-0414")</f>
        <v>Ashish Jakar2025-09-0414</v>
      </c>
      <c r="K1800" s="115">
        <f>IFERROR(__xludf.DUMMYFUNCTION("""COMPUTED_VALUE"""),333321.0)</f>
        <v>333321</v>
      </c>
    </row>
    <row r="1801">
      <c r="A1801" s="115" t="str">
        <f>IFERROR(__xludf.DUMMYFUNCTION("""COMPUTED_VALUE"""),"WEST")</f>
        <v>WEST</v>
      </c>
      <c r="B1801" s="115" t="str">
        <f>IFERROR(__xludf.DUMMYFUNCTION("""COMPUTED_VALUE"""),"Ashish Jakar")</f>
        <v>Ashish Jakar</v>
      </c>
      <c r="C1801" s="115" t="str">
        <f>IFERROR(__xludf.DUMMYFUNCTION("""COMPUTED_VALUE"""),"MYNTRA")</f>
        <v>MYNTRA</v>
      </c>
      <c r="D1801" s="115">
        <f>IFERROR(__xludf.DUMMYFUNCTION("""COMPUTED_VALUE"""),35560.0)</f>
        <v>35560</v>
      </c>
      <c r="E1801" s="115">
        <f>IFERROR(__xludf.DUMMYFUNCTION("""COMPUTED_VALUE"""),10470.0)</f>
        <v>10470</v>
      </c>
      <c r="F1801" s="115">
        <f>IFERROR(__xludf.DUMMYFUNCTION("""COMPUTED_VALUE"""),18687.0)</f>
        <v>18687</v>
      </c>
      <c r="G1801" s="115">
        <f>IFERROR(__xludf.DUMMYFUNCTION("""COMPUTED_VALUE"""),2292.0)</f>
        <v>2292</v>
      </c>
      <c r="H1801" s="116">
        <f>IFERROR(__xludf.DUMMYFUNCTION("""COMPUTED_VALUE"""),45904.0)</f>
        <v>45904</v>
      </c>
      <c r="I1801" s="115" t="str">
        <f>IFERROR(__xludf.DUMMYFUNCTION("""COMPUTED_VALUE"""),"14")</f>
        <v>14</v>
      </c>
      <c r="J1801" s="115" t="str">
        <f>IFERROR(__xludf.DUMMYFUNCTION("""COMPUTED_VALUE"""),"Ashish Jakar2025-09-0414")</f>
        <v>Ashish Jakar2025-09-0414</v>
      </c>
      <c r="K1801" s="115">
        <f>IFERROR(__xludf.DUMMYFUNCTION("""COMPUTED_VALUE"""),46030.0)</f>
        <v>46030</v>
      </c>
    </row>
    <row r="1802">
      <c r="A1802" s="115" t="str">
        <f>IFERROR(__xludf.DUMMYFUNCTION("""COMPUTED_VALUE"""),"WEST")</f>
        <v>WEST</v>
      </c>
      <c r="B1802" s="115" t="str">
        <f>IFERROR(__xludf.DUMMYFUNCTION("""COMPUTED_VALUE"""),"Ashvani Bhatt")</f>
        <v>Ashvani Bhatt</v>
      </c>
      <c r="C1802" s="115" t="str">
        <f>IFERROR(__xludf.DUMMYFUNCTION("""COMPUTED_VALUE"""),"EXTERNAL")</f>
        <v>EXTERNAL</v>
      </c>
      <c r="D1802" s="115">
        <f>IFERROR(__xludf.DUMMYFUNCTION("""COMPUTED_VALUE"""),34299.0)</f>
        <v>34299</v>
      </c>
      <c r="E1802" s="115">
        <f>IFERROR(__xludf.DUMMYFUNCTION("""COMPUTED_VALUE"""),3204.0)</f>
        <v>3204</v>
      </c>
      <c r="F1802" s="115">
        <f>IFERROR(__xludf.DUMMYFUNCTION("""COMPUTED_VALUE"""),9429.0)</f>
        <v>9429</v>
      </c>
      <c r="G1802" s="115">
        <f>IFERROR(__xludf.DUMMYFUNCTION("""COMPUTED_VALUE"""),394.0)</f>
        <v>394</v>
      </c>
      <c r="H1802" s="116">
        <f>IFERROR(__xludf.DUMMYFUNCTION("""COMPUTED_VALUE"""),45904.0)</f>
        <v>45904</v>
      </c>
      <c r="I1802" s="115" t="str">
        <f>IFERROR(__xludf.DUMMYFUNCTION("""COMPUTED_VALUE"""),"14")</f>
        <v>14</v>
      </c>
      <c r="J1802" s="115" t="str">
        <f>IFERROR(__xludf.DUMMYFUNCTION("""COMPUTED_VALUE"""),"Ashvani Bhatt2025-09-0414")</f>
        <v>Ashvani Bhatt2025-09-0414</v>
      </c>
      <c r="K1802" s="115">
        <f>IFERROR(__xludf.DUMMYFUNCTION("""COMPUTED_VALUE"""),37503.0)</f>
        <v>37503</v>
      </c>
    </row>
    <row r="1803">
      <c r="A1803" s="115" t="str">
        <f>IFERROR(__xludf.DUMMYFUNCTION("""COMPUTED_VALUE"""),"WEST")</f>
        <v>WEST</v>
      </c>
      <c r="B1803" s="115" t="str">
        <f>IFERROR(__xludf.DUMMYFUNCTION("""COMPUTED_VALUE"""),"Ashvani Bhatt")</f>
        <v>Ashvani Bhatt</v>
      </c>
      <c r="C1803" s="115" t="str">
        <f>IFERROR(__xludf.DUMMYFUNCTION("""COMPUTED_VALUE"""),"FLIPKART")</f>
        <v>FLIPKART</v>
      </c>
      <c r="D1803" s="115">
        <f>IFERROR(__xludf.DUMMYFUNCTION("""COMPUTED_VALUE"""),248012.0)</f>
        <v>248012</v>
      </c>
      <c r="E1803" s="115">
        <f>IFERROR(__xludf.DUMMYFUNCTION("""COMPUTED_VALUE"""),26929.0)</f>
        <v>26929</v>
      </c>
      <c r="F1803" s="115">
        <f>IFERROR(__xludf.DUMMYFUNCTION("""COMPUTED_VALUE"""),122573.0)</f>
        <v>122573</v>
      </c>
      <c r="G1803" s="115">
        <f>IFERROR(__xludf.DUMMYFUNCTION("""COMPUTED_VALUE"""),5047.0)</f>
        <v>5047</v>
      </c>
      <c r="H1803" s="116">
        <f>IFERROR(__xludf.DUMMYFUNCTION("""COMPUTED_VALUE"""),45904.0)</f>
        <v>45904</v>
      </c>
      <c r="I1803" s="115" t="str">
        <f>IFERROR(__xludf.DUMMYFUNCTION("""COMPUTED_VALUE"""),"14")</f>
        <v>14</v>
      </c>
      <c r="J1803" s="115" t="str">
        <f>IFERROR(__xludf.DUMMYFUNCTION("""COMPUTED_VALUE"""),"Ashvani Bhatt2025-09-0414")</f>
        <v>Ashvani Bhatt2025-09-0414</v>
      </c>
      <c r="K1803" s="115">
        <f>IFERROR(__xludf.DUMMYFUNCTION("""COMPUTED_VALUE"""),274941.0)</f>
        <v>274941</v>
      </c>
    </row>
    <row r="1804">
      <c r="A1804" s="115" t="str">
        <f>IFERROR(__xludf.DUMMYFUNCTION("""COMPUTED_VALUE"""),"WEST")</f>
        <v>WEST</v>
      </c>
      <c r="B1804" s="115" t="str">
        <f>IFERROR(__xludf.DUMMYFUNCTION("""COMPUTED_VALUE"""),"Ashvani Bhatt")</f>
        <v>Ashvani Bhatt</v>
      </c>
      <c r="C1804" s="115" t="str">
        <f>IFERROR(__xludf.DUMMYFUNCTION("""COMPUTED_VALUE"""),"MYNTRA")</f>
        <v>MYNTRA</v>
      </c>
      <c r="D1804" s="115">
        <f>IFERROR(__xludf.DUMMYFUNCTION("""COMPUTED_VALUE"""),31688.0)</f>
        <v>31688</v>
      </c>
      <c r="E1804" s="115">
        <f>IFERROR(__xludf.DUMMYFUNCTION("""COMPUTED_VALUE"""),8224.0)</f>
        <v>8224</v>
      </c>
      <c r="F1804" s="115">
        <f>IFERROR(__xludf.DUMMYFUNCTION("""COMPUTED_VALUE"""),18917.0)</f>
        <v>18917</v>
      </c>
      <c r="G1804" s="115">
        <f>IFERROR(__xludf.DUMMYFUNCTION("""COMPUTED_VALUE"""),1996.0)</f>
        <v>1996</v>
      </c>
      <c r="H1804" s="116">
        <f>IFERROR(__xludf.DUMMYFUNCTION("""COMPUTED_VALUE"""),45904.0)</f>
        <v>45904</v>
      </c>
      <c r="I1804" s="115" t="str">
        <f>IFERROR(__xludf.DUMMYFUNCTION("""COMPUTED_VALUE"""),"14")</f>
        <v>14</v>
      </c>
      <c r="J1804" s="115" t="str">
        <f>IFERROR(__xludf.DUMMYFUNCTION("""COMPUTED_VALUE"""),"Ashvani Bhatt2025-09-0414")</f>
        <v>Ashvani Bhatt2025-09-0414</v>
      </c>
      <c r="K1804" s="115">
        <f>IFERROR(__xludf.DUMMYFUNCTION("""COMPUTED_VALUE"""),39912.0)</f>
        <v>39912</v>
      </c>
    </row>
    <row r="1805">
      <c r="A1805" s="115"/>
      <c r="B1805" s="115"/>
      <c r="C1805" s="115" t="str">
        <f>IFERROR(__xludf.DUMMYFUNCTION("""COMPUTED_VALUE"""),"EXTERNAL")</f>
        <v>EXTERNAL</v>
      </c>
      <c r="D1805" s="115">
        <f>IFERROR(__xludf.DUMMYFUNCTION("""COMPUTED_VALUE"""),1161.0)</f>
        <v>1161</v>
      </c>
      <c r="E1805" s="115">
        <f>IFERROR(__xludf.DUMMYFUNCTION("""COMPUTED_VALUE"""),199.0)</f>
        <v>199</v>
      </c>
      <c r="F1805" s="115">
        <f>IFERROR(__xludf.DUMMYFUNCTION("""COMPUTED_VALUE"""),272.0)</f>
        <v>272</v>
      </c>
      <c r="G1805" s="115">
        <f>IFERROR(__xludf.DUMMYFUNCTION("""COMPUTED_VALUE"""),38.0)</f>
        <v>38</v>
      </c>
      <c r="H1805" s="116">
        <f>IFERROR(__xludf.DUMMYFUNCTION("""COMPUTED_VALUE"""),45904.0)</f>
        <v>45904</v>
      </c>
      <c r="I1805" s="115" t="str">
        <f>IFERROR(__xludf.DUMMYFUNCTION("""COMPUTED_VALUE"""),"14")</f>
        <v>14</v>
      </c>
      <c r="J1805" s="115" t="str">
        <f>IFERROR(__xludf.DUMMYFUNCTION("""COMPUTED_VALUE"""),"2025-09-0414")</f>
        <v>2025-09-0414</v>
      </c>
      <c r="K1805" s="115">
        <f>IFERROR(__xludf.DUMMYFUNCTION("""COMPUTED_VALUE"""),1360.0)</f>
        <v>1360</v>
      </c>
    </row>
    <row r="1806">
      <c r="A1806" s="115"/>
      <c r="B1806" s="115"/>
      <c r="C1806" s="115" t="str">
        <f>IFERROR(__xludf.DUMMYFUNCTION("""COMPUTED_VALUE"""),"FLIPKART")</f>
        <v>FLIPKART</v>
      </c>
      <c r="D1806" s="115">
        <f>IFERROR(__xludf.DUMMYFUNCTION("""COMPUTED_VALUE"""),8077.0)</f>
        <v>8077</v>
      </c>
      <c r="E1806" s="115">
        <f>IFERROR(__xludf.DUMMYFUNCTION("""COMPUTED_VALUE"""),994.0)</f>
        <v>994</v>
      </c>
      <c r="F1806" s="115">
        <f>IFERROR(__xludf.DUMMYFUNCTION("""COMPUTED_VALUE"""),3168.0)</f>
        <v>3168</v>
      </c>
      <c r="G1806" s="115">
        <f>IFERROR(__xludf.DUMMYFUNCTION("""COMPUTED_VALUE"""),167.0)</f>
        <v>167</v>
      </c>
      <c r="H1806" s="116">
        <f>IFERROR(__xludf.DUMMYFUNCTION("""COMPUTED_VALUE"""),45904.0)</f>
        <v>45904</v>
      </c>
      <c r="I1806" s="115" t="str">
        <f>IFERROR(__xludf.DUMMYFUNCTION("""COMPUTED_VALUE"""),"14")</f>
        <v>14</v>
      </c>
      <c r="J1806" s="115" t="str">
        <f>IFERROR(__xludf.DUMMYFUNCTION("""COMPUTED_VALUE"""),"2025-09-0414")</f>
        <v>2025-09-0414</v>
      </c>
      <c r="K1806" s="115">
        <f>IFERROR(__xludf.DUMMYFUNCTION("""COMPUTED_VALUE"""),9071.0)</f>
        <v>9071</v>
      </c>
    </row>
    <row r="1807">
      <c r="A1807" s="115"/>
      <c r="B1807" s="115"/>
      <c r="C1807" s="115" t="str">
        <f>IFERROR(__xludf.DUMMYFUNCTION("""COMPUTED_VALUE"""),"MYNTRA")</f>
        <v>MYNTRA</v>
      </c>
      <c r="D1807" s="115">
        <f>IFERROR(__xludf.DUMMYFUNCTION("""COMPUTED_VALUE"""),864.0)</f>
        <v>864</v>
      </c>
      <c r="E1807" s="115">
        <f>IFERROR(__xludf.DUMMYFUNCTION("""COMPUTED_VALUE"""),272.0)</f>
        <v>272</v>
      </c>
      <c r="F1807" s="115">
        <f>IFERROR(__xludf.DUMMYFUNCTION("""COMPUTED_VALUE"""),350.0)</f>
        <v>350</v>
      </c>
      <c r="G1807" s="115">
        <f>IFERROR(__xludf.DUMMYFUNCTION("""COMPUTED_VALUE"""),74.0)</f>
        <v>74</v>
      </c>
      <c r="H1807" s="116">
        <f>IFERROR(__xludf.DUMMYFUNCTION("""COMPUTED_VALUE"""),45904.0)</f>
        <v>45904</v>
      </c>
      <c r="I1807" s="115" t="str">
        <f>IFERROR(__xludf.DUMMYFUNCTION("""COMPUTED_VALUE"""),"14")</f>
        <v>14</v>
      </c>
      <c r="J1807" s="115" t="str">
        <f>IFERROR(__xludf.DUMMYFUNCTION("""COMPUTED_VALUE"""),"2025-09-0414")</f>
        <v>2025-09-0414</v>
      </c>
      <c r="K1807" s="115">
        <f>IFERROR(__xludf.DUMMYFUNCTION("""COMPUTED_VALUE"""),1136.0)</f>
        <v>1136</v>
      </c>
    </row>
    <row r="1808">
      <c r="A1808" s="115" t="str">
        <f>IFERROR(__xludf.DUMMYFUNCTION("""COMPUTED_VALUE"""),"EAST")</f>
        <v>EAST</v>
      </c>
      <c r="B1808" s="115" t="str">
        <f>IFERROR(__xludf.DUMMYFUNCTION("""COMPUTED_VALUE"""),"Ashish Ranjan")</f>
        <v>Ashish Ranjan</v>
      </c>
      <c r="C1808" s="115" t="str">
        <f>IFERROR(__xludf.DUMMYFUNCTION("""COMPUTED_VALUE"""),"EXTERNAL")</f>
        <v>EXTERNAL</v>
      </c>
      <c r="D1808" s="115">
        <f>IFERROR(__xludf.DUMMYFUNCTION("""COMPUTED_VALUE"""),32478.0)</f>
        <v>32478</v>
      </c>
      <c r="E1808" s="115">
        <f>IFERROR(__xludf.DUMMYFUNCTION("""COMPUTED_VALUE"""),3340.0)</f>
        <v>3340</v>
      </c>
      <c r="F1808" s="115">
        <f>IFERROR(__xludf.DUMMYFUNCTION("""COMPUTED_VALUE"""),13785.0)</f>
        <v>13785</v>
      </c>
      <c r="G1808" s="115">
        <f>IFERROR(__xludf.DUMMYFUNCTION("""COMPUTED_VALUE"""),895.0)</f>
        <v>895</v>
      </c>
      <c r="H1808" s="116">
        <f>IFERROR(__xludf.DUMMYFUNCTION("""COMPUTED_VALUE"""),45904.0)</f>
        <v>45904</v>
      </c>
      <c r="I1808" s="115" t="str">
        <f>IFERROR(__xludf.DUMMYFUNCTION("""COMPUTED_VALUE"""),"15")</f>
        <v>15</v>
      </c>
      <c r="J1808" s="115" t="str">
        <f>IFERROR(__xludf.DUMMYFUNCTION("""COMPUTED_VALUE"""),"Ashish Ranjan2025-09-0415")</f>
        <v>Ashish Ranjan2025-09-0415</v>
      </c>
      <c r="K1808" s="115">
        <f>IFERROR(__xludf.DUMMYFUNCTION("""COMPUTED_VALUE"""),35818.0)</f>
        <v>35818</v>
      </c>
    </row>
    <row r="1809">
      <c r="A1809" s="115" t="str">
        <f>IFERROR(__xludf.DUMMYFUNCTION("""COMPUTED_VALUE"""),"EAST")</f>
        <v>EAST</v>
      </c>
      <c r="B1809" s="115" t="str">
        <f>IFERROR(__xludf.DUMMYFUNCTION("""COMPUTED_VALUE"""),"Ashish Ranjan")</f>
        <v>Ashish Ranjan</v>
      </c>
      <c r="C1809" s="115" t="str">
        <f>IFERROR(__xludf.DUMMYFUNCTION("""COMPUTED_VALUE"""),"FLIPKART")</f>
        <v>FLIPKART</v>
      </c>
      <c r="D1809" s="115">
        <f>IFERROR(__xludf.DUMMYFUNCTION("""COMPUTED_VALUE"""),523703.0)</f>
        <v>523703</v>
      </c>
      <c r="E1809" s="115">
        <f>IFERROR(__xludf.DUMMYFUNCTION("""COMPUTED_VALUE"""),57684.0)</f>
        <v>57684</v>
      </c>
      <c r="F1809" s="115">
        <f>IFERROR(__xludf.DUMMYFUNCTION("""COMPUTED_VALUE"""),361093.0)</f>
        <v>361093</v>
      </c>
      <c r="G1809" s="115">
        <f>IFERROR(__xludf.DUMMYFUNCTION("""COMPUTED_VALUE"""),22751.0)</f>
        <v>22751</v>
      </c>
      <c r="H1809" s="116">
        <f>IFERROR(__xludf.DUMMYFUNCTION("""COMPUTED_VALUE"""),45904.0)</f>
        <v>45904</v>
      </c>
      <c r="I1809" s="115" t="str">
        <f>IFERROR(__xludf.DUMMYFUNCTION("""COMPUTED_VALUE"""),"15")</f>
        <v>15</v>
      </c>
      <c r="J1809" s="115" t="str">
        <f>IFERROR(__xludf.DUMMYFUNCTION("""COMPUTED_VALUE"""),"Ashish Ranjan2025-09-0415")</f>
        <v>Ashish Ranjan2025-09-0415</v>
      </c>
      <c r="K1809" s="115">
        <f>IFERROR(__xludf.DUMMYFUNCTION("""COMPUTED_VALUE"""),581387.0)</f>
        <v>581387</v>
      </c>
    </row>
    <row r="1810">
      <c r="A1810" s="115" t="str">
        <f>IFERROR(__xludf.DUMMYFUNCTION("""COMPUTED_VALUE"""),"EAST")</f>
        <v>EAST</v>
      </c>
      <c r="B1810" s="115" t="str">
        <f>IFERROR(__xludf.DUMMYFUNCTION("""COMPUTED_VALUE"""),"Ashish Ranjan")</f>
        <v>Ashish Ranjan</v>
      </c>
      <c r="C1810" s="115" t="str">
        <f>IFERROR(__xludf.DUMMYFUNCTION("""COMPUTED_VALUE"""),"MYNTRA")</f>
        <v>MYNTRA</v>
      </c>
      <c r="D1810" s="115">
        <f>IFERROR(__xludf.DUMMYFUNCTION("""COMPUTED_VALUE"""),50890.0)</f>
        <v>50890</v>
      </c>
      <c r="E1810" s="115">
        <f>IFERROR(__xludf.DUMMYFUNCTION("""COMPUTED_VALUE"""),12207.0)</f>
        <v>12207</v>
      </c>
      <c r="F1810" s="115">
        <f>IFERROR(__xludf.DUMMYFUNCTION("""COMPUTED_VALUE"""),35999.0)</f>
        <v>35999</v>
      </c>
      <c r="G1810" s="115">
        <f>IFERROR(__xludf.DUMMYFUNCTION("""COMPUTED_VALUE"""),5003.0)</f>
        <v>5003</v>
      </c>
      <c r="H1810" s="116">
        <f>IFERROR(__xludf.DUMMYFUNCTION("""COMPUTED_VALUE"""),45904.0)</f>
        <v>45904</v>
      </c>
      <c r="I1810" s="115" t="str">
        <f>IFERROR(__xludf.DUMMYFUNCTION("""COMPUTED_VALUE"""),"15")</f>
        <v>15</v>
      </c>
      <c r="J1810" s="115" t="str">
        <f>IFERROR(__xludf.DUMMYFUNCTION("""COMPUTED_VALUE"""),"Ashish Ranjan2025-09-0415")</f>
        <v>Ashish Ranjan2025-09-0415</v>
      </c>
      <c r="K1810" s="115">
        <f>IFERROR(__xludf.DUMMYFUNCTION("""COMPUTED_VALUE"""),63097.0)</f>
        <v>63097</v>
      </c>
    </row>
    <row r="1811">
      <c r="A1811" s="115" t="str">
        <f>IFERROR(__xludf.DUMMYFUNCTION("""COMPUTED_VALUE"""),"EAST")</f>
        <v>EAST</v>
      </c>
      <c r="B1811" s="115" t="str">
        <f>IFERROR(__xludf.DUMMYFUNCTION("""COMPUTED_VALUE"""),"Girish Chand")</f>
        <v>Girish Chand</v>
      </c>
      <c r="C1811" s="115" t="str">
        <f>IFERROR(__xludf.DUMMYFUNCTION("""COMPUTED_VALUE"""),"EXTERNAL")</f>
        <v>EXTERNAL</v>
      </c>
      <c r="D1811" s="115">
        <f>IFERROR(__xludf.DUMMYFUNCTION("""COMPUTED_VALUE"""),21165.0)</f>
        <v>21165</v>
      </c>
      <c r="E1811" s="115">
        <f>IFERROR(__xludf.DUMMYFUNCTION("""COMPUTED_VALUE"""),1918.0)</f>
        <v>1918</v>
      </c>
      <c r="F1811" s="115">
        <f>IFERROR(__xludf.DUMMYFUNCTION("""COMPUTED_VALUE"""),6447.0)</f>
        <v>6447</v>
      </c>
      <c r="G1811" s="115">
        <f>IFERROR(__xludf.DUMMYFUNCTION("""COMPUTED_VALUE"""),298.0)</f>
        <v>298</v>
      </c>
      <c r="H1811" s="116">
        <f>IFERROR(__xludf.DUMMYFUNCTION("""COMPUTED_VALUE"""),45904.0)</f>
        <v>45904</v>
      </c>
      <c r="I1811" s="115" t="str">
        <f>IFERROR(__xludf.DUMMYFUNCTION("""COMPUTED_VALUE"""),"15")</f>
        <v>15</v>
      </c>
      <c r="J1811" s="115" t="str">
        <f>IFERROR(__xludf.DUMMYFUNCTION("""COMPUTED_VALUE"""),"Girish Chand2025-09-0415")</f>
        <v>Girish Chand2025-09-0415</v>
      </c>
      <c r="K1811" s="115">
        <f>IFERROR(__xludf.DUMMYFUNCTION("""COMPUTED_VALUE"""),23083.0)</f>
        <v>23083</v>
      </c>
    </row>
    <row r="1812">
      <c r="A1812" s="115" t="str">
        <f>IFERROR(__xludf.DUMMYFUNCTION("""COMPUTED_VALUE"""),"EAST")</f>
        <v>EAST</v>
      </c>
      <c r="B1812" s="115" t="str">
        <f>IFERROR(__xludf.DUMMYFUNCTION("""COMPUTED_VALUE"""),"Girish Chand")</f>
        <v>Girish Chand</v>
      </c>
      <c r="C1812" s="115" t="str">
        <f>IFERROR(__xludf.DUMMYFUNCTION("""COMPUTED_VALUE"""),"FLIPKART")</f>
        <v>FLIPKART</v>
      </c>
      <c r="D1812" s="115">
        <f>IFERROR(__xludf.DUMMYFUNCTION("""COMPUTED_VALUE"""),378382.0)</f>
        <v>378382</v>
      </c>
      <c r="E1812" s="115">
        <f>IFERROR(__xludf.DUMMYFUNCTION("""COMPUTED_VALUE"""),38789.0)</f>
        <v>38789</v>
      </c>
      <c r="F1812" s="115">
        <f>IFERROR(__xludf.DUMMYFUNCTION("""COMPUTED_VALUE"""),214905.0)</f>
        <v>214905</v>
      </c>
      <c r="G1812" s="115">
        <f>IFERROR(__xludf.DUMMYFUNCTION("""COMPUTED_VALUE"""),10396.0)</f>
        <v>10396</v>
      </c>
      <c r="H1812" s="116">
        <f>IFERROR(__xludf.DUMMYFUNCTION("""COMPUTED_VALUE"""),45904.0)</f>
        <v>45904</v>
      </c>
      <c r="I1812" s="115" t="str">
        <f>IFERROR(__xludf.DUMMYFUNCTION("""COMPUTED_VALUE"""),"15")</f>
        <v>15</v>
      </c>
      <c r="J1812" s="115" t="str">
        <f>IFERROR(__xludf.DUMMYFUNCTION("""COMPUTED_VALUE"""),"Girish Chand2025-09-0415")</f>
        <v>Girish Chand2025-09-0415</v>
      </c>
      <c r="K1812" s="115">
        <f>IFERROR(__xludf.DUMMYFUNCTION("""COMPUTED_VALUE"""),417171.0)</f>
        <v>417171</v>
      </c>
    </row>
    <row r="1813">
      <c r="A1813" s="115" t="str">
        <f>IFERROR(__xludf.DUMMYFUNCTION("""COMPUTED_VALUE"""),"EAST")</f>
        <v>EAST</v>
      </c>
      <c r="B1813" s="115" t="str">
        <f>IFERROR(__xludf.DUMMYFUNCTION("""COMPUTED_VALUE"""),"Girish Chand")</f>
        <v>Girish Chand</v>
      </c>
      <c r="C1813" s="115" t="str">
        <f>IFERROR(__xludf.DUMMYFUNCTION("""COMPUTED_VALUE"""),"MYNTRA")</f>
        <v>MYNTRA</v>
      </c>
      <c r="D1813" s="115">
        <f>IFERROR(__xludf.DUMMYFUNCTION("""COMPUTED_VALUE"""),30638.0)</f>
        <v>30638</v>
      </c>
      <c r="E1813" s="115">
        <f>IFERROR(__xludf.DUMMYFUNCTION("""COMPUTED_VALUE"""),6775.0)</f>
        <v>6775</v>
      </c>
      <c r="F1813" s="115">
        <f>IFERROR(__xludf.DUMMYFUNCTION("""COMPUTED_VALUE"""),18663.0)</f>
        <v>18663</v>
      </c>
      <c r="G1813" s="115">
        <f>IFERROR(__xludf.DUMMYFUNCTION("""COMPUTED_VALUE"""),2062.0)</f>
        <v>2062</v>
      </c>
      <c r="H1813" s="116">
        <f>IFERROR(__xludf.DUMMYFUNCTION("""COMPUTED_VALUE"""),45904.0)</f>
        <v>45904</v>
      </c>
      <c r="I1813" s="115" t="str">
        <f>IFERROR(__xludf.DUMMYFUNCTION("""COMPUTED_VALUE"""),"15")</f>
        <v>15</v>
      </c>
      <c r="J1813" s="115" t="str">
        <f>IFERROR(__xludf.DUMMYFUNCTION("""COMPUTED_VALUE"""),"Girish Chand2025-09-0415")</f>
        <v>Girish Chand2025-09-0415</v>
      </c>
      <c r="K1813" s="115">
        <f>IFERROR(__xludf.DUMMYFUNCTION("""COMPUTED_VALUE"""),37413.0)</f>
        <v>37413</v>
      </c>
    </row>
    <row r="1814">
      <c r="A1814" s="115" t="str">
        <f>IFERROR(__xludf.DUMMYFUNCTION("""COMPUTED_VALUE"""),"EAST")</f>
        <v>EAST</v>
      </c>
      <c r="B1814" s="115" t="str">
        <f>IFERROR(__xludf.DUMMYFUNCTION("""COMPUTED_VALUE"""),"Parag Kashyap")</f>
        <v>Parag Kashyap</v>
      </c>
      <c r="C1814" s="115" t="str">
        <f>IFERROR(__xludf.DUMMYFUNCTION("""COMPUTED_VALUE"""),"EXTERNAL")</f>
        <v>EXTERNAL</v>
      </c>
      <c r="D1814" s="115">
        <f>IFERROR(__xludf.DUMMYFUNCTION("""COMPUTED_VALUE"""),20053.0)</f>
        <v>20053</v>
      </c>
      <c r="E1814" s="115">
        <f>IFERROR(__xludf.DUMMYFUNCTION("""COMPUTED_VALUE"""),1092.0)</f>
        <v>1092</v>
      </c>
      <c r="F1814" s="115">
        <f>IFERROR(__xludf.DUMMYFUNCTION("""COMPUTED_VALUE"""),5278.0)</f>
        <v>5278</v>
      </c>
      <c r="G1814" s="115">
        <f>IFERROR(__xludf.DUMMYFUNCTION("""COMPUTED_VALUE"""),117.0)</f>
        <v>117</v>
      </c>
      <c r="H1814" s="116">
        <f>IFERROR(__xludf.DUMMYFUNCTION("""COMPUTED_VALUE"""),45904.0)</f>
        <v>45904</v>
      </c>
      <c r="I1814" s="115" t="str">
        <f>IFERROR(__xludf.DUMMYFUNCTION("""COMPUTED_VALUE"""),"15")</f>
        <v>15</v>
      </c>
      <c r="J1814" s="115" t="str">
        <f>IFERROR(__xludf.DUMMYFUNCTION("""COMPUTED_VALUE"""),"Parag Kashyap2025-09-0415")</f>
        <v>Parag Kashyap2025-09-0415</v>
      </c>
      <c r="K1814" s="115">
        <f>IFERROR(__xludf.DUMMYFUNCTION("""COMPUTED_VALUE"""),21145.0)</f>
        <v>21145</v>
      </c>
    </row>
    <row r="1815">
      <c r="A1815" s="115" t="str">
        <f>IFERROR(__xludf.DUMMYFUNCTION("""COMPUTED_VALUE"""),"EAST")</f>
        <v>EAST</v>
      </c>
      <c r="B1815" s="115" t="str">
        <f>IFERROR(__xludf.DUMMYFUNCTION("""COMPUTED_VALUE"""),"Parag Kashyap")</f>
        <v>Parag Kashyap</v>
      </c>
      <c r="C1815" s="115" t="str">
        <f>IFERROR(__xludf.DUMMYFUNCTION("""COMPUTED_VALUE"""),"FLIPKART")</f>
        <v>FLIPKART</v>
      </c>
      <c r="D1815" s="115">
        <f>IFERROR(__xludf.DUMMYFUNCTION("""COMPUTED_VALUE"""),293706.0)</f>
        <v>293706</v>
      </c>
      <c r="E1815" s="115">
        <f>IFERROR(__xludf.DUMMYFUNCTION("""COMPUTED_VALUE"""),19047.0)</f>
        <v>19047</v>
      </c>
      <c r="F1815" s="115">
        <f>IFERROR(__xludf.DUMMYFUNCTION("""COMPUTED_VALUE"""),147990.0)</f>
        <v>147990</v>
      </c>
      <c r="G1815" s="115">
        <f>IFERROR(__xludf.DUMMYFUNCTION("""COMPUTED_VALUE"""),3202.0)</f>
        <v>3202</v>
      </c>
      <c r="H1815" s="116">
        <f>IFERROR(__xludf.DUMMYFUNCTION("""COMPUTED_VALUE"""),45904.0)</f>
        <v>45904</v>
      </c>
      <c r="I1815" s="115" t="str">
        <f>IFERROR(__xludf.DUMMYFUNCTION("""COMPUTED_VALUE"""),"15")</f>
        <v>15</v>
      </c>
      <c r="J1815" s="115" t="str">
        <f>IFERROR(__xludf.DUMMYFUNCTION("""COMPUTED_VALUE"""),"Parag Kashyap2025-09-0415")</f>
        <v>Parag Kashyap2025-09-0415</v>
      </c>
      <c r="K1815" s="115">
        <f>IFERROR(__xludf.DUMMYFUNCTION("""COMPUTED_VALUE"""),312753.0)</f>
        <v>312753</v>
      </c>
    </row>
    <row r="1816">
      <c r="A1816" s="115" t="str">
        <f>IFERROR(__xludf.DUMMYFUNCTION("""COMPUTED_VALUE"""),"EAST")</f>
        <v>EAST</v>
      </c>
      <c r="B1816" s="115" t="str">
        <f>IFERROR(__xludf.DUMMYFUNCTION("""COMPUTED_VALUE"""),"Parag Kashyap")</f>
        <v>Parag Kashyap</v>
      </c>
      <c r="C1816" s="115" t="str">
        <f>IFERROR(__xludf.DUMMYFUNCTION("""COMPUTED_VALUE"""),"MYNTRA")</f>
        <v>MYNTRA</v>
      </c>
      <c r="D1816" s="115">
        <f>IFERROR(__xludf.DUMMYFUNCTION("""COMPUTED_VALUE"""),34030.0)</f>
        <v>34030</v>
      </c>
      <c r="E1816" s="115">
        <f>IFERROR(__xludf.DUMMYFUNCTION("""COMPUTED_VALUE"""),5007.0)</f>
        <v>5007</v>
      </c>
      <c r="F1816" s="115">
        <f>IFERROR(__xludf.DUMMYFUNCTION("""COMPUTED_VALUE"""),18347.0)</f>
        <v>18347</v>
      </c>
      <c r="G1816" s="115">
        <f>IFERROR(__xludf.DUMMYFUNCTION("""COMPUTED_VALUE"""),847.0)</f>
        <v>847</v>
      </c>
      <c r="H1816" s="116">
        <f>IFERROR(__xludf.DUMMYFUNCTION("""COMPUTED_VALUE"""),45904.0)</f>
        <v>45904</v>
      </c>
      <c r="I1816" s="115" t="str">
        <f>IFERROR(__xludf.DUMMYFUNCTION("""COMPUTED_VALUE"""),"15")</f>
        <v>15</v>
      </c>
      <c r="J1816" s="115" t="str">
        <f>IFERROR(__xludf.DUMMYFUNCTION("""COMPUTED_VALUE"""),"Parag Kashyap2025-09-0415")</f>
        <v>Parag Kashyap2025-09-0415</v>
      </c>
      <c r="K1816" s="115">
        <f>IFERROR(__xludf.DUMMYFUNCTION("""COMPUTED_VALUE"""),39037.0)</f>
        <v>39037</v>
      </c>
    </row>
    <row r="1817">
      <c r="A1817" s="115" t="str">
        <f>IFERROR(__xludf.DUMMYFUNCTION("""COMPUTED_VALUE"""),"NORTH")</f>
        <v>NORTH</v>
      </c>
      <c r="B1817" s="115" t="str">
        <f>IFERROR(__xludf.DUMMYFUNCTION("""COMPUTED_VALUE"""),"Amit Kumar Pathak")</f>
        <v>Amit Kumar Pathak</v>
      </c>
      <c r="C1817" s="115" t="str">
        <f>IFERROR(__xludf.DUMMYFUNCTION("""COMPUTED_VALUE"""),"EXTERNAL")</f>
        <v>EXTERNAL</v>
      </c>
      <c r="D1817" s="115">
        <f>IFERROR(__xludf.DUMMYFUNCTION("""COMPUTED_VALUE"""),24780.0)</f>
        <v>24780</v>
      </c>
      <c r="E1817" s="115">
        <f>IFERROR(__xludf.DUMMYFUNCTION("""COMPUTED_VALUE"""),3084.0)</f>
        <v>3084</v>
      </c>
      <c r="F1817" s="115">
        <f>IFERROR(__xludf.DUMMYFUNCTION("""COMPUTED_VALUE"""),6515.0)</f>
        <v>6515</v>
      </c>
      <c r="G1817" s="115">
        <f>IFERROR(__xludf.DUMMYFUNCTION("""COMPUTED_VALUE"""),830.0)</f>
        <v>830</v>
      </c>
      <c r="H1817" s="116">
        <f>IFERROR(__xludf.DUMMYFUNCTION("""COMPUTED_VALUE"""),45904.0)</f>
        <v>45904</v>
      </c>
      <c r="I1817" s="115" t="str">
        <f>IFERROR(__xludf.DUMMYFUNCTION("""COMPUTED_VALUE"""),"15")</f>
        <v>15</v>
      </c>
      <c r="J1817" s="115" t="str">
        <f>IFERROR(__xludf.DUMMYFUNCTION("""COMPUTED_VALUE"""),"Amit Kumar Pathak2025-09-0415")</f>
        <v>Amit Kumar Pathak2025-09-0415</v>
      </c>
      <c r="K1817" s="115">
        <f>IFERROR(__xludf.DUMMYFUNCTION("""COMPUTED_VALUE"""),27864.0)</f>
        <v>27864</v>
      </c>
    </row>
    <row r="1818">
      <c r="A1818" s="115" t="str">
        <f>IFERROR(__xludf.DUMMYFUNCTION("""COMPUTED_VALUE"""),"NORTH")</f>
        <v>NORTH</v>
      </c>
      <c r="B1818" s="115" t="str">
        <f>IFERROR(__xludf.DUMMYFUNCTION("""COMPUTED_VALUE"""),"Amit Kumar Pathak")</f>
        <v>Amit Kumar Pathak</v>
      </c>
      <c r="C1818" s="115" t="str">
        <f>IFERROR(__xludf.DUMMYFUNCTION("""COMPUTED_VALUE"""),"FLIPKART")</f>
        <v>FLIPKART</v>
      </c>
      <c r="D1818" s="115">
        <f>IFERROR(__xludf.DUMMYFUNCTION("""COMPUTED_VALUE"""),187971.0)</f>
        <v>187971</v>
      </c>
      <c r="E1818" s="115">
        <f>IFERROR(__xludf.DUMMYFUNCTION("""COMPUTED_VALUE"""),23287.0)</f>
        <v>23287</v>
      </c>
      <c r="F1818" s="115">
        <f>IFERROR(__xludf.DUMMYFUNCTION("""COMPUTED_VALUE"""),89871.0)</f>
        <v>89871</v>
      </c>
      <c r="G1818" s="115">
        <f>IFERROR(__xludf.DUMMYFUNCTION("""COMPUTED_VALUE"""),7365.0)</f>
        <v>7365</v>
      </c>
      <c r="H1818" s="116">
        <f>IFERROR(__xludf.DUMMYFUNCTION("""COMPUTED_VALUE"""),45904.0)</f>
        <v>45904</v>
      </c>
      <c r="I1818" s="115" t="str">
        <f>IFERROR(__xludf.DUMMYFUNCTION("""COMPUTED_VALUE"""),"15")</f>
        <v>15</v>
      </c>
      <c r="J1818" s="115" t="str">
        <f>IFERROR(__xludf.DUMMYFUNCTION("""COMPUTED_VALUE"""),"Amit Kumar Pathak2025-09-0415")</f>
        <v>Amit Kumar Pathak2025-09-0415</v>
      </c>
      <c r="K1818" s="115">
        <f>IFERROR(__xludf.DUMMYFUNCTION("""COMPUTED_VALUE"""),211258.0)</f>
        <v>211258</v>
      </c>
    </row>
    <row r="1819">
      <c r="A1819" s="115" t="str">
        <f>IFERROR(__xludf.DUMMYFUNCTION("""COMPUTED_VALUE"""),"NORTH")</f>
        <v>NORTH</v>
      </c>
      <c r="B1819" s="115" t="str">
        <f>IFERROR(__xludf.DUMMYFUNCTION("""COMPUTED_VALUE"""),"Amit Kumar Pathak")</f>
        <v>Amit Kumar Pathak</v>
      </c>
      <c r="C1819" s="115" t="str">
        <f>IFERROR(__xludf.DUMMYFUNCTION("""COMPUTED_VALUE"""),"MYNTRA")</f>
        <v>MYNTRA</v>
      </c>
      <c r="D1819" s="115">
        <f>IFERROR(__xludf.DUMMYFUNCTION("""COMPUTED_VALUE"""),17601.0)</f>
        <v>17601</v>
      </c>
      <c r="E1819" s="115">
        <f>IFERROR(__xludf.DUMMYFUNCTION("""COMPUTED_VALUE"""),5745.0)</f>
        <v>5745</v>
      </c>
      <c r="F1819" s="115">
        <f>IFERROR(__xludf.DUMMYFUNCTION("""COMPUTED_VALUE"""),10162.0)</f>
        <v>10162</v>
      </c>
      <c r="G1819" s="115">
        <f>IFERROR(__xludf.DUMMYFUNCTION("""COMPUTED_VALUE"""),2069.0)</f>
        <v>2069</v>
      </c>
      <c r="H1819" s="116">
        <f>IFERROR(__xludf.DUMMYFUNCTION("""COMPUTED_VALUE"""),45904.0)</f>
        <v>45904</v>
      </c>
      <c r="I1819" s="115" t="str">
        <f>IFERROR(__xludf.DUMMYFUNCTION("""COMPUTED_VALUE"""),"15")</f>
        <v>15</v>
      </c>
      <c r="J1819" s="115" t="str">
        <f>IFERROR(__xludf.DUMMYFUNCTION("""COMPUTED_VALUE"""),"Amit Kumar Pathak2025-09-0415")</f>
        <v>Amit Kumar Pathak2025-09-0415</v>
      </c>
      <c r="K1819" s="115">
        <f>IFERROR(__xludf.DUMMYFUNCTION("""COMPUTED_VALUE"""),23346.0)</f>
        <v>23346</v>
      </c>
    </row>
    <row r="1820">
      <c r="A1820" s="115" t="str">
        <f>IFERROR(__xludf.DUMMYFUNCTION("""COMPUTED_VALUE"""),"NORTH")</f>
        <v>NORTH</v>
      </c>
      <c r="B1820" s="115" t="str">
        <f>IFERROR(__xludf.DUMMYFUNCTION("""COMPUTED_VALUE"""),"Loveleen Singh")</f>
        <v>Loveleen Singh</v>
      </c>
      <c r="C1820" s="115" t="str">
        <f>IFERROR(__xludf.DUMMYFUNCTION("""COMPUTED_VALUE"""),"EXTERNAL")</f>
        <v>EXTERNAL</v>
      </c>
      <c r="D1820" s="115">
        <f>IFERROR(__xludf.DUMMYFUNCTION("""COMPUTED_VALUE"""),33611.0)</f>
        <v>33611</v>
      </c>
      <c r="E1820" s="115">
        <f>IFERROR(__xludf.DUMMYFUNCTION("""COMPUTED_VALUE"""),2241.0)</f>
        <v>2241</v>
      </c>
      <c r="F1820" s="115">
        <f>IFERROR(__xludf.DUMMYFUNCTION("""COMPUTED_VALUE"""),8546.0)</f>
        <v>8546</v>
      </c>
      <c r="G1820" s="115">
        <f>IFERROR(__xludf.DUMMYFUNCTION("""COMPUTED_VALUE"""),322.0)</f>
        <v>322</v>
      </c>
      <c r="H1820" s="116">
        <f>IFERROR(__xludf.DUMMYFUNCTION("""COMPUTED_VALUE"""),45904.0)</f>
        <v>45904</v>
      </c>
      <c r="I1820" s="115" t="str">
        <f>IFERROR(__xludf.DUMMYFUNCTION("""COMPUTED_VALUE"""),"15")</f>
        <v>15</v>
      </c>
      <c r="J1820" s="115" t="str">
        <f>IFERROR(__xludf.DUMMYFUNCTION("""COMPUTED_VALUE"""),"Loveleen Singh2025-09-0415")</f>
        <v>Loveleen Singh2025-09-0415</v>
      </c>
      <c r="K1820" s="115">
        <f>IFERROR(__xludf.DUMMYFUNCTION("""COMPUTED_VALUE"""),35852.0)</f>
        <v>35852</v>
      </c>
    </row>
    <row r="1821">
      <c r="A1821" s="115" t="str">
        <f>IFERROR(__xludf.DUMMYFUNCTION("""COMPUTED_VALUE"""),"NORTH")</f>
        <v>NORTH</v>
      </c>
      <c r="B1821" s="115" t="str">
        <f>IFERROR(__xludf.DUMMYFUNCTION("""COMPUTED_VALUE"""),"Loveleen Singh")</f>
        <v>Loveleen Singh</v>
      </c>
      <c r="C1821" s="115" t="str">
        <f>IFERROR(__xludf.DUMMYFUNCTION("""COMPUTED_VALUE"""),"FLIPKART")</f>
        <v>FLIPKART</v>
      </c>
      <c r="D1821" s="115">
        <f>IFERROR(__xludf.DUMMYFUNCTION("""COMPUTED_VALUE"""),161581.0)</f>
        <v>161581</v>
      </c>
      <c r="E1821" s="115">
        <f>IFERROR(__xludf.DUMMYFUNCTION("""COMPUTED_VALUE"""),16945.0)</f>
        <v>16945</v>
      </c>
      <c r="F1821" s="115">
        <f>IFERROR(__xludf.DUMMYFUNCTION("""COMPUTED_VALUE"""),79693.0)</f>
        <v>79693</v>
      </c>
      <c r="G1821" s="115">
        <f>IFERROR(__xludf.DUMMYFUNCTION("""COMPUTED_VALUE"""),3907.0)</f>
        <v>3907</v>
      </c>
      <c r="H1821" s="116">
        <f>IFERROR(__xludf.DUMMYFUNCTION("""COMPUTED_VALUE"""),45904.0)</f>
        <v>45904</v>
      </c>
      <c r="I1821" s="115" t="str">
        <f>IFERROR(__xludf.DUMMYFUNCTION("""COMPUTED_VALUE"""),"15")</f>
        <v>15</v>
      </c>
      <c r="J1821" s="115" t="str">
        <f>IFERROR(__xludf.DUMMYFUNCTION("""COMPUTED_VALUE"""),"Loveleen Singh2025-09-0415")</f>
        <v>Loveleen Singh2025-09-0415</v>
      </c>
      <c r="K1821" s="115">
        <f>IFERROR(__xludf.DUMMYFUNCTION("""COMPUTED_VALUE"""),178526.0)</f>
        <v>178526</v>
      </c>
    </row>
    <row r="1822">
      <c r="A1822" s="115" t="str">
        <f>IFERROR(__xludf.DUMMYFUNCTION("""COMPUTED_VALUE"""),"NORTH")</f>
        <v>NORTH</v>
      </c>
      <c r="B1822" s="115" t="str">
        <f>IFERROR(__xludf.DUMMYFUNCTION("""COMPUTED_VALUE"""),"Loveleen Singh")</f>
        <v>Loveleen Singh</v>
      </c>
      <c r="C1822" s="115" t="str">
        <f>IFERROR(__xludf.DUMMYFUNCTION("""COMPUTED_VALUE"""),"MYNTRA")</f>
        <v>MYNTRA</v>
      </c>
      <c r="D1822" s="115">
        <f>IFERROR(__xludf.DUMMYFUNCTION("""COMPUTED_VALUE"""),24255.0)</f>
        <v>24255</v>
      </c>
      <c r="E1822" s="115">
        <f>IFERROR(__xludf.DUMMYFUNCTION("""COMPUTED_VALUE"""),6312.0)</f>
        <v>6312</v>
      </c>
      <c r="F1822" s="115">
        <f>IFERROR(__xludf.DUMMYFUNCTION("""COMPUTED_VALUE"""),13909.0)</f>
        <v>13909</v>
      </c>
      <c r="G1822" s="115">
        <f>IFERROR(__xludf.DUMMYFUNCTION("""COMPUTED_VALUE"""),1582.0)</f>
        <v>1582</v>
      </c>
      <c r="H1822" s="116">
        <f>IFERROR(__xludf.DUMMYFUNCTION("""COMPUTED_VALUE"""),45904.0)</f>
        <v>45904</v>
      </c>
      <c r="I1822" s="115" t="str">
        <f>IFERROR(__xludf.DUMMYFUNCTION("""COMPUTED_VALUE"""),"15")</f>
        <v>15</v>
      </c>
      <c r="J1822" s="115" t="str">
        <f>IFERROR(__xludf.DUMMYFUNCTION("""COMPUTED_VALUE"""),"Loveleen Singh2025-09-0415")</f>
        <v>Loveleen Singh2025-09-0415</v>
      </c>
      <c r="K1822" s="115">
        <f>IFERROR(__xludf.DUMMYFUNCTION("""COMPUTED_VALUE"""),30567.0)</f>
        <v>30567</v>
      </c>
    </row>
    <row r="1823">
      <c r="A1823" s="115" t="str">
        <f>IFERROR(__xludf.DUMMYFUNCTION("""COMPUTED_VALUE"""),"NORTH")</f>
        <v>NORTH</v>
      </c>
      <c r="B1823" s="115" t="str">
        <f>IFERROR(__xludf.DUMMYFUNCTION("""COMPUTED_VALUE"""),"Manoj Harsh")</f>
        <v>Manoj Harsh</v>
      </c>
      <c r="C1823" s="115" t="str">
        <f>IFERROR(__xludf.DUMMYFUNCTION("""COMPUTED_VALUE"""),"EXTERNAL")</f>
        <v>EXTERNAL</v>
      </c>
      <c r="D1823" s="115">
        <f>IFERROR(__xludf.DUMMYFUNCTION("""COMPUTED_VALUE"""),31745.0)</f>
        <v>31745</v>
      </c>
      <c r="E1823" s="115">
        <f>IFERROR(__xludf.DUMMYFUNCTION("""COMPUTED_VALUE"""),3025.0)</f>
        <v>3025</v>
      </c>
      <c r="F1823" s="115">
        <f>IFERROR(__xludf.DUMMYFUNCTION("""COMPUTED_VALUE"""),9443.0)</f>
        <v>9443</v>
      </c>
      <c r="G1823" s="115">
        <f>IFERROR(__xludf.DUMMYFUNCTION("""COMPUTED_VALUE"""),420.0)</f>
        <v>420</v>
      </c>
      <c r="H1823" s="116">
        <f>IFERROR(__xludf.DUMMYFUNCTION("""COMPUTED_VALUE"""),45904.0)</f>
        <v>45904</v>
      </c>
      <c r="I1823" s="115" t="str">
        <f>IFERROR(__xludf.DUMMYFUNCTION("""COMPUTED_VALUE"""),"15")</f>
        <v>15</v>
      </c>
      <c r="J1823" s="115" t="str">
        <f>IFERROR(__xludf.DUMMYFUNCTION("""COMPUTED_VALUE"""),"Manoj Harsh2025-09-0415")</f>
        <v>Manoj Harsh2025-09-0415</v>
      </c>
      <c r="K1823" s="115">
        <f>IFERROR(__xludf.DUMMYFUNCTION("""COMPUTED_VALUE"""),34770.0)</f>
        <v>34770</v>
      </c>
    </row>
    <row r="1824">
      <c r="A1824" s="115" t="str">
        <f>IFERROR(__xludf.DUMMYFUNCTION("""COMPUTED_VALUE"""),"NORTH")</f>
        <v>NORTH</v>
      </c>
      <c r="B1824" s="115" t="str">
        <f>IFERROR(__xludf.DUMMYFUNCTION("""COMPUTED_VALUE"""),"Manoj Harsh")</f>
        <v>Manoj Harsh</v>
      </c>
      <c r="C1824" s="115" t="str">
        <f>IFERROR(__xludf.DUMMYFUNCTION("""COMPUTED_VALUE"""),"FLIPKART")</f>
        <v>FLIPKART</v>
      </c>
      <c r="D1824" s="115">
        <f>IFERROR(__xludf.DUMMYFUNCTION("""COMPUTED_VALUE"""),401480.0)</f>
        <v>401480</v>
      </c>
      <c r="E1824" s="115">
        <f>IFERROR(__xludf.DUMMYFUNCTION("""COMPUTED_VALUE"""),39794.0)</f>
        <v>39794</v>
      </c>
      <c r="F1824" s="115">
        <f>IFERROR(__xludf.DUMMYFUNCTION("""COMPUTED_VALUE"""),208939.0)</f>
        <v>208939</v>
      </c>
      <c r="G1824" s="115">
        <f>IFERROR(__xludf.DUMMYFUNCTION("""COMPUTED_VALUE"""),9454.0)</f>
        <v>9454</v>
      </c>
      <c r="H1824" s="116">
        <f>IFERROR(__xludf.DUMMYFUNCTION("""COMPUTED_VALUE"""),45904.0)</f>
        <v>45904</v>
      </c>
      <c r="I1824" s="115" t="str">
        <f>IFERROR(__xludf.DUMMYFUNCTION("""COMPUTED_VALUE"""),"15")</f>
        <v>15</v>
      </c>
      <c r="J1824" s="115" t="str">
        <f>IFERROR(__xludf.DUMMYFUNCTION("""COMPUTED_VALUE"""),"Manoj Harsh2025-09-0415")</f>
        <v>Manoj Harsh2025-09-0415</v>
      </c>
      <c r="K1824" s="115">
        <f>IFERROR(__xludf.DUMMYFUNCTION("""COMPUTED_VALUE"""),441274.0)</f>
        <v>441274</v>
      </c>
    </row>
    <row r="1825">
      <c r="A1825" s="115" t="str">
        <f>IFERROR(__xludf.DUMMYFUNCTION("""COMPUTED_VALUE"""),"NORTH")</f>
        <v>NORTH</v>
      </c>
      <c r="B1825" s="115" t="str">
        <f>IFERROR(__xludf.DUMMYFUNCTION("""COMPUTED_VALUE"""),"Manoj Harsh")</f>
        <v>Manoj Harsh</v>
      </c>
      <c r="C1825" s="115" t="str">
        <f>IFERROR(__xludf.DUMMYFUNCTION("""COMPUTED_VALUE"""),"MYNTRA")</f>
        <v>MYNTRA</v>
      </c>
      <c r="D1825" s="115">
        <f>IFERROR(__xludf.DUMMYFUNCTION("""COMPUTED_VALUE"""),36227.0)</f>
        <v>36227</v>
      </c>
      <c r="E1825" s="115">
        <f>IFERROR(__xludf.DUMMYFUNCTION("""COMPUTED_VALUE"""),7947.0)</f>
        <v>7947</v>
      </c>
      <c r="F1825" s="115">
        <f>IFERROR(__xludf.DUMMYFUNCTION("""COMPUTED_VALUE"""),21304.0)</f>
        <v>21304</v>
      </c>
      <c r="G1825" s="115">
        <f>IFERROR(__xludf.DUMMYFUNCTION("""COMPUTED_VALUE"""),2283.0)</f>
        <v>2283</v>
      </c>
      <c r="H1825" s="116">
        <f>IFERROR(__xludf.DUMMYFUNCTION("""COMPUTED_VALUE"""),45904.0)</f>
        <v>45904</v>
      </c>
      <c r="I1825" s="115" t="str">
        <f>IFERROR(__xludf.DUMMYFUNCTION("""COMPUTED_VALUE"""),"15")</f>
        <v>15</v>
      </c>
      <c r="J1825" s="115" t="str">
        <f>IFERROR(__xludf.DUMMYFUNCTION("""COMPUTED_VALUE"""),"Manoj Harsh2025-09-0415")</f>
        <v>Manoj Harsh2025-09-0415</v>
      </c>
      <c r="K1825" s="115">
        <f>IFERROR(__xludf.DUMMYFUNCTION("""COMPUTED_VALUE"""),44174.0)</f>
        <v>44174</v>
      </c>
    </row>
    <row r="1826">
      <c r="A1826" s="115" t="str">
        <f>IFERROR(__xludf.DUMMYFUNCTION("""COMPUTED_VALUE"""),"NORTH")</f>
        <v>NORTH</v>
      </c>
      <c r="B1826" s="115" t="str">
        <f>IFERROR(__xludf.DUMMYFUNCTION("""COMPUTED_VALUE"""),"Pradeep Kothari")</f>
        <v>Pradeep Kothari</v>
      </c>
      <c r="C1826" s="115" t="str">
        <f>IFERROR(__xludf.DUMMYFUNCTION("""COMPUTED_VALUE"""),"EXTERNAL")</f>
        <v>EXTERNAL</v>
      </c>
      <c r="D1826" s="115">
        <f>IFERROR(__xludf.DUMMYFUNCTION("""COMPUTED_VALUE"""),17778.0)</f>
        <v>17778</v>
      </c>
      <c r="E1826" s="115">
        <f>IFERROR(__xludf.DUMMYFUNCTION("""COMPUTED_VALUE"""),1955.0)</f>
        <v>1955</v>
      </c>
      <c r="F1826" s="115">
        <f>IFERROR(__xludf.DUMMYFUNCTION("""COMPUTED_VALUE"""),5549.0)</f>
        <v>5549</v>
      </c>
      <c r="G1826" s="115">
        <f>IFERROR(__xludf.DUMMYFUNCTION("""COMPUTED_VALUE"""),458.0)</f>
        <v>458</v>
      </c>
      <c r="H1826" s="116">
        <f>IFERROR(__xludf.DUMMYFUNCTION("""COMPUTED_VALUE"""),45904.0)</f>
        <v>45904</v>
      </c>
      <c r="I1826" s="115" t="str">
        <f>IFERROR(__xludf.DUMMYFUNCTION("""COMPUTED_VALUE"""),"15")</f>
        <v>15</v>
      </c>
      <c r="J1826" s="115" t="str">
        <f>IFERROR(__xludf.DUMMYFUNCTION("""COMPUTED_VALUE"""),"Pradeep Kothari2025-09-0415")</f>
        <v>Pradeep Kothari2025-09-0415</v>
      </c>
      <c r="K1826" s="115">
        <f>IFERROR(__xludf.DUMMYFUNCTION("""COMPUTED_VALUE"""),19733.0)</f>
        <v>19733</v>
      </c>
    </row>
    <row r="1827">
      <c r="A1827" s="115" t="str">
        <f>IFERROR(__xludf.DUMMYFUNCTION("""COMPUTED_VALUE"""),"NORTH")</f>
        <v>NORTH</v>
      </c>
      <c r="B1827" s="115" t="str">
        <f>IFERROR(__xludf.DUMMYFUNCTION("""COMPUTED_VALUE"""),"Pradeep Kothari")</f>
        <v>Pradeep Kothari</v>
      </c>
      <c r="C1827" s="115" t="str">
        <f>IFERROR(__xludf.DUMMYFUNCTION("""COMPUTED_VALUE"""),"FLIPKART")</f>
        <v>FLIPKART</v>
      </c>
      <c r="D1827" s="115">
        <f>IFERROR(__xludf.DUMMYFUNCTION("""COMPUTED_VALUE"""),142601.0)</f>
        <v>142601</v>
      </c>
      <c r="E1827" s="115">
        <f>IFERROR(__xludf.DUMMYFUNCTION("""COMPUTED_VALUE"""),17320.0)</f>
        <v>17320</v>
      </c>
      <c r="F1827" s="115">
        <f>IFERROR(__xludf.DUMMYFUNCTION("""COMPUTED_VALUE"""),81300.0)</f>
        <v>81300</v>
      </c>
      <c r="G1827" s="115">
        <f>IFERROR(__xludf.DUMMYFUNCTION("""COMPUTED_VALUE"""),5448.0)</f>
        <v>5448</v>
      </c>
      <c r="H1827" s="116">
        <f>IFERROR(__xludf.DUMMYFUNCTION("""COMPUTED_VALUE"""),45904.0)</f>
        <v>45904</v>
      </c>
      <c r="I1827" s="115" t="str">
        <f>IFERROR(__xludf.DUMMYFUNCTION("""COMPUTED_VALUE"""),"15")</f>
        <v>15</v>
      </c>
      <c r="J1827" s="115" t="str">
        <f>IFERROR(__xludf.DUMMYFUNCTION("""COMPUTED_VALUE"""),"Pradeep Kothari2025-09-0415")</f>
        <v>Pradeep Kothari2025-09-0415</v>
      </c>
      <c r="K1827" s="115">
        <f>IFERROR(__xludf.DUMMYFUNCTION("""COMPUTED_VALUE"""),159921.0)</f>
        <v>159921</v>
      </c>
    </row>
    <row r="1828">
      <c r="A1828" s="115" t="str">
        <f>IFERROR(__xludf.DUMMYFUNCTION("""COMPUTED_VALUE"""),"NORTH")</f>
        <v>NORTH</v>
      </c>
      <c r="B1828" s="115" t="str">
        <f>IFERROR(__xludf.DUMMYFUNCTION("""COMPUTED_VALUE"""),"Pradeep Kothari")</f>
        <v>Pradeep Kothari</v>
      </c>
      <c r="C1828" s="115" t="str">
        <f>IFERROR(__xludf.DUMMYFUNCTION("""COMPUTED_VALUE"""),"MYNTRA")</f>
        <v>MYNTRA</v>
      </c>
      <c r="D1828" s="115">
        <f>IFERROR(__xludf.DUMMYFUNCTION("""COMPUTED_VALUE"""),23009.0)</f>
        <v>23009</v>
      </c>
      <c r="E1828" s="115">
        <f>IFERROR(__xludf.DUMMYFUNCTION("""COMPUTED_VALUE"""),6668.0)</f>
        <v>6668</v>
      </c>
      <c r="F1828" s="115">
        <f>IFERROR(__xludf.DUMMYFUNCTION("""COMPUTED_VALUE"""),14965.0)</f>
        <v>14965</v>
      </c>
      <c r="G1828" s="115">
        <f>IFERROR(__xludf.DUMMYFUNCTION("""COMPUTED_VALUE"""),2369.0)</f>
        <v>2369</v>
      </c>
      <c r="H1828" s="116">
        <f>IFERROR(__xludf.DUMMYFUNCTION("""COMPUTED_VALUE"""),45904.0)</f>
        <v>45904</v>
      </c>
      <c r="I1828" s="115" t="str">
        <f>IFERROR(__xludf.DUMMYFUNCTION("""COMPUTED_VALUE"""),"15")</f>
        <v>15</v>
      </c>
      <c r="J1828" s="115" t="str">
        <f>IFERROR(__xludf.DUMMYFUNCTION("""COMPUTED_VALUE"""),"Pradeep Kothari2025-09-0415")</f>
        <v>Pradeep Kothari2025-09-0415</v>
      </c>
      <c r="K1828" s="115">
        <f>IFERROR(__xludf.DUMMYFUNCTION("""COMPUTED_VALUE"""),29677.0)</f>
        <v>29677</v>
      </c>
    </row>
    <row r="1829">
      <c r="A1829" s="115" t="str">
        <f>IFERROR(__xludf.DUMMYFUNCTION("""COMPUTED_VALUE"""),"SOUTH")</f>
        <v>SOUTH</v>
      </c>
      <c r="B1829" s="115" t="str">
        <f>IFERROR(__xludf.DUMMYFUNCTION("""COMPUTED_VALUE"""),"Kandula Sampath")</f>
        <v>Kandula Sampath</v>
      </c>
      <c r="C1829" s="115" t="str">
        <f>IFERROR(__xludf.DUMMYFUNCTION("""COMPUTED_VALUE"""),"EXTERNAL")</f>
        <v>EXTERNAL</v>
      </c>
      <c r="D1829" s="115">
        <f>IFERROR(__xludf.DUMMYFUNCTION("""COMPUTED_VALUE"""),32206.0)</f>
        <v>32206</v>
      </c>
      <c r="E1829" s="115">
        <f>IFERROR(__xludf.DUMMYFUNCTION("""COMPUTED_VALUE"""),3894.0)</f>
        <v>3894</v>
      </c>
      <c r="F1829" s="115">
        <f>IFERROR(__xludf.DUMMYFUNCTION("""COMPUTED_VALUE"""),10005.0)</f>
        <v>10005</v>
      </c>
      <c r="G1829" s="115">
        <f>IFERROR(__xludf.DUMMYFUNCTION("""COMPUTED_VALUE"""),678.0)</f>
        <v>678</v>
      </c>
      <c r="H1829" s="116">
        <f>IFERROR(__xludf.DUMMYFUNCTION("""COMPUTED_VALUE"""),45904.0)</f>
        <v>45904</v>
      </c>
      <c r="I1829" s="115" t="str">
        <f>IFERROR(__xludf.DUMMYFUNCTION("""COMPUTED_VALUE"""),"15")</f>
        <v>15</v>
      </c>
      <c r="J1829" s="115" t="str">
        <f>IFERROR(__xludf.DUMMYFUNCTION("""COMPUTED_VALUE"""),"Kandula Sampath2025-09-0415")</f>
        <v>Kandula Sampath2025-09-0415</v>
      </c>
      <c r="K1829" s="115">
        <f>IFERROR(__xludf.DUMMYFUNCTION("""COMPUTED_VALUE"""),36100.0)</f>
        <v>36100</v>
      </c>
    </row>
    <row r="1830">
      <c r="A1830" s="115" t="str">
        <f>IFERROR(__xludf.DUMMYFUNCTION("""COMPUTED_VALUE"""),"SOUTH")</f>
        <v>SOUTH</v>
      </c>
      <c r="B1830" s="115" t="str">
        <f>IFERROR(__xludf.DUMMYFUNCTION("""COMPUTED_VALUE"""),"Kandula Sampath")</f>
        <v>Kandula Sampath</v>
      </c>
      <c r="C1830" s="115" t="str">
        <f>IFERROR(__xludf.DUMMYFUNCTION("""COMPUTED_VALUE"""),"FLIPKART")</f>
        <v>FLIPKART</v>
      </c>
      <c r="D1830" s="115">
        <f>IFERROR(__xludf.DUMMYFUNCTION("""COMPUTED_VALUE"""),284358.0)</f>
        <v>284358</v>
      </c>
      <c r="E1830" s="115">
        <f>IFERROR(__xludf.DUMMYFUNCTION("""COMPUTED_VALUE"""),31882.0)</f>
        <v>31882</v>
      </c>
      <c r="F1830" s="115">
        <f>IFERROR(__xludf.DUMMYFUNCTION("""COMPUTED_VALUE"""),158385.0)</f>
        <v>158385</v>
      </c>
      <c r="G1830" s="115">
        <f>IFERROR(__xludf.DUMMYFUNCTION("""COMPUTED_VALUE"""),8263.0)</f>
        <v>8263</v>
      </c>
      <c r="H1830" s="116">
        <f>IFERROR(__xludf.DUMMYFUNCTION("""COMPUTED_VALUE"""),45904.0)</f>
        <v>45904</v>
      </c>
      <c r="I1830" s="115" t="str">
        <f>IFERROR(__xludf.DUMMYFUNCTION("""COMPUTED_VALUE"""),"15")</f>
        <v>15</v>
      </c>
      <c r="J1830" s="115" t="str">
        <f>IFERROR(__xludf.DUMMYFUNCTION("""COMPUTED_VALUE"""),"Kandula Sampath2025-09-0415")</f>
        <v>Kandula Sampath2025-09-0415</v>
      </c>
      <c r="K1830" s="115">
        <f>IFERROR(__xludf.DUMMYFUNCTION("""COMPUTED_VALUE"""),316240.0)</f>
        <v>316240</v>
      </c>
    </row>
    <row r="1831">
      <c r="A1831" s="115" t="str">
        <f>IFERROR(__xludf.DUMMYFUNCTION("""COMPUTED_VALUE"""),"SOUTH")</f>
        <v>SOUTH</v>
      </c>
      <c r="B1831" s="115" t="str">
        <f>IFERROR(__xludf.DUMMYFUNCTION("""COMPUTED_VALUE"""),"Kandula Sampath")</f>
        <v>Kandula Sampath</v>
      </c>
      <c r="C1831" s="115" t="str">
        <f>IFERROR(__xludf.DUMMYFUNCTION("""COMPUTED_VALUE"""),"MYNTRA")</f>
        <v>MYNTRA</v>
      </c>
      <c r="D1831" s="115">
        <f>IFERROR(__xludf.DUMMYFUNCTION("""COMPUTED_VALUE"""),29029.0)</f>
        <v>29029</v>
      </c>
      <c r="E1831" s="115">
        <f>IFERROR(__xludf.DUMMYFUNCTION("""COMPUTED_VALUE"""),8066.0)</f>
        <v>8066</v>
      </c>
      <c r="F1831" s="115">
        <f>IFERROR(__xludf.DUMMYFUNCTION("""COMPUTED_VALUE"""),18081.0)</f>
        <v>18081</v>
      </c>
      <c r="G1831" s="115">
        <f>IFERROR(__xludf.DUMMYFUNCTION("""COMPUTED_VALUE"""),2202.0)</f>
        <v>2202</v>
      </c>
      <c r="H1831" s="116">
        <f>IFERROR(__xludf.DUMMYFUNCTION("""COMPUTED_VALUE"""),45904.0)</f>
        <v>45904</v>
      </c>
      <c r="I1831" s="115" t="str">
        <f>IFERROR(__xludf.DUMMYFUNCTION("""COMPUTED_VALUE"""),"15")</f>
        <v>15</v>
      </c>
      <c r="J1831" s="115" t="str">
        <f>IFERROR(__xludf.DUMMYFUNCTION("""COMPUTED_VALUE"""),"Kandula Sampath2025-09-0415")</f>
        <v>Kandula Sampath2025-09-0415</v>
      </c>
      <c r="K1831" s="115">
        <f>IFERROR(__xludf.DUMMYFUNCTION("""COMPUTED_VALUE"""),37095.0)</f>
        <v>37095</v>
      </c>
    </row>
    <row r="1832">
      <c r="A1832" s="115" t="str">
        <f>IFERROR(__xludf.DUMMYFUNCTION("""COMPUTED_VALUE"""),"SOUTH")</f>
        <v>SOUTH</v>
      </c>
      <c r="B1832" s="115" t="str">
        <f>IFERROR(__xludf.DUMMYFUNCTION("""COMPUTED_VALUE"""),"Martin A")</f>
        <v>Martin A</v>
      </c>
      <c r="C1832" s="115" t="str">
        <f>IFERROR(__xludf.DUMMYFUNCTION("""COMPUTED_VALUE"""),"EXTERNAL")</f>
        <v>EXTERNAL</v>
      </c>
      <c r="D1832" s="115">
        <f>IFERROR(__xludf.DUMMYFUNCTION("""COMPUTED_VALUE"""),29864.0)</f>
        <v>29864</v>
      </c>
      <c r="E1832" s="115">
        <f>IFERROR(__xludf.DUMMYFUNCTION("""COMPUTED_VALUE"""),3271.0)</f>
        <v>3271</v>
      </c>
      <c r="F1832" s="115">
        <f>IFERROR(__xludf.DUMMYFUNCTION("""COMPUTED_VALUE"""),9286.0)</f>
        <v>9286</v>
      </c>
      <c r="G1832" s="115">
        <f>IFERROR(__xludf.DUMMYFUNCTION("""COMPUTED_VALUE"""),1063.0)</f>
        <v>1063</v>
      </c>
      <c r="H1832" s="116">
        <f>IFERROR(__xludf.DUMMYFUNCTION("""COMPUTED_VALUE"""),45904.0)</f>
        <v>45904</v>
      </c>
      <c r="I1832" s="115" t="str">
        <f>IFERROR(__xludf.DUMMYFUNCTION("""COMPUTED_VALUE"""),"15")</f>
        <v>15</v>
      </c>
      <c r="J1832" s="115" t="str">
        <f>IFERROR(__xludf.DUMMYFUNCTION("""COMPUTED_VALUE"""),"Martin A2025-09-0415")</f>
        <v>Martin A2025-09-0415</v>
      </c>
      <c r="K1832" s="115">
        <f>IFERROR(__xludf.DUMMYFUNCTION("""COMPUTED_VALUE"""),33135.0)</f>
        <v>33135</v>
      </c>
    </row>
    <row r="1833">
      <c r="A1833" s="115" t="str">
        <f>IFERROR(__xludf.DUMMYFUNCTION("""COMPUTED_VALUE"""),"SOUTH")</f>
        <v>SOUTH</v>
      </c>
      <c r="B1833" s="115" t="str">
        <f>IFERROR(__xludf.DUMMYFUNCTION("""COMPUTED_VALUE"""),"Martin A")</f>
        <v>Martin A</v>
      </c>
      <c r="C1833" s="115" t="str">
        <f>IFERROR(__xludf.DUMMYFUNCTION("""COMPUTED_VALUE"""),"FLIPKART")</f>
        <v>FLIPKART</v>
      </c>
      <c r="D1833" s="115">
        <f>IFERROR(__xludf.DUMMYFUNCTION("""COMPUTED_VALUE"""),241672.0)</f>
        <v>241672</v>
      </c>
      <c r="E1833" s="115">
        <f>IFERROR(__xludf.DUMMYFUNCTION("""COMPUTED_VALUE"""),26947.0)</f>
        <v>26947</v>
      </c>
      <c r="F1833" s="115">
        <f>IFERROR(__xludf.DUMMYFUNCTION("""COMPUTED_VALUE"""),136533.0)</f>
        <v>136533</v>
      </c>
      <c r="G1833" s="115">
        <f>IFERROR(__xludf.DUMMYFUNCTION("""COMPUTED_VALUE"""),8491.0)</f>
        <v>8491</v>
      </c>
      <c r="H1833" s="116">
        <f>IFERROR(__xludf.DUMMYFUNCTION("""COMPUTED_VALUE"""),45904.0)</f>
        <v>45904</v>
      </c>
      <c r="I1833" s="115" t="str">
        <f>IFERROR(__xludf.DUMMYFUNCTION("""COMPUTED_VALUE"""),"15")</f>
        <v>15</v>
      </c>
      <c r="J1833" s="115" t="str">
        <f>IFERROR(__xludf.DUMMYFUNCTION("""COMPUTED_VALUE"""),"Martin A2025-09-0415")</f>
        <v>Martin A2025-09-0415</v>
      </c>
      <c r="K1833" s="115">
        <f>IFERROR(__xludf.DUMMYFUNCTION("""COMPUTED_VALUE"""),268619.0)</f>
        <v>268619</v>
      </c>
    </row>
    <row r="1834">
      <c r="A1834" s="115" t="str">
        <f>IFERROR(__xludf.DUMMYFUNCTION("""COMPUTED_VALUE"""),"SOUTH")</f>
        <v>SOUTH</v>
      </c>
      <c r="B1834" s="115" t="str">
        <f>IFERROR(__xludf.DUMMYFUNCTION("""COMPUTED_VALUE"""),"Martin A")</f>
        <v>Martin A</v>
      </c>
      <c r="C1834" s="115" t="str">
        <f>IFERROR(__xludf.DUMMYFUNCTION("""COMPUTED_VALUE"""),"MYNTRA")</f>
        <v>MYNTRA</v>
      </c>
      <c r="D1834" s="115">
        <f>IFERROR(__xludf.DUMMYFUNCTION("""COMPUTED_VALUE"""),20014.0)</f>
        <v>20014</v>
      </c>
      <c r="E1834" s="115">
        <f>IFERROR(__xludf.DUMMYFUNCTION("""COMPUTED_VALUE"""),6341.0)</f>
        <v>6341</v>
      </c>
      <c r="F1834" s="115">
        <f>IFERROR(__xludf.DUMMYFUNCTION("""COMPUTED_VALUE"""),12963.0)</f>
        <v>12963</v>
      </c>
      <c r="G1834" s="115">
        <f>IFERROR(__xludf.DUMMYFUNCTION("""COMPUTED_VALUE"""),2233.0)</f>
        <v>2233</v>
      </c>
      <c r="H1834" s="116">
        <f>IFERROR(__xludf.DUMMYFUNCTION("""COMPUTED_VALUE"""),45904.0)</f>
        <v>45904</v>
      </c>
      <c r="I1834" s="115" t="str">
        <f>IFERROR(__xludf.DUMMYFUNCTION("""COMPUTED_VALUE"""),"15")</f>
        <v>15</v>
      </c>
      <c r="J1834" s="115" t="str">
        <f>IFERROR(__xludf.DUMMYFUNCTION("""COMPUTED_VALUE"""),"Martin A2025-09-0415")</f>
        <v>Martin A2025-09-0415</v>
      </c>
      <c r="K1834" s="115">
        <f>IFERROR(__xludf.DUMMYFUNCTION("""COMPUTED_VALUE"""),26355.0)</f>
        <v>26355</v>
      </c>
    </row>
    <row r="1835">
      <c r="A1835" s="115" t="str">
        <f>IFERROR(__xludf.DUMMYFUNCTION("""COMPUTED_VALUE"""),"SOUTH")</f>
        <v>SOUTH</v>
      </c>
      <c r="B1835" s="115" t="str">
        <f>IFERROR(__xludf.DUMMYFUNCTION("""COMPUTED_VALUE"""),"Premkumar M")</f>
        <v>Premkumar M</v>
      </c>
      <c r="C1835" s="115" t="str">
        <f>IFERROR(__xludf.DUMMYFUNCTION("""COMPUTED_VALUE"""),"EXTERNAL")</f>
        <v>EXTERNAL</v>
      </c>
      <c r="D1835" s="115">
        <f>IFERROR(__xludf.DUMMYFUNCTION("""COMPUTED_VALUE"""),25636.0)</f>
        <v>25636</v>
      </c>
      <c r="E1835" s="115">
        <f>IFERROR(__xludf.DUMMYFUNCTION("""COMPUTED_VALUE"""),1793.0)</f>
        <v>1793</v>
      </c>
      <c r="F1835" s="115">
        <f>IFERROR(__xludf.DUMMYFUNCTION("""COMPUTED_VALUE"""),7551.0)</f>
        <v>7551</v>
      </c>
      <c r="G1835" s="115">
        <f>IFERROR(__xludf.DUMMYFUNCTION("""COMPUTED_VALUE"""),127.0)</f>
        <v>127</v>
      </c>
      <c r="H1835" s="116">
        <f>IFERROR(__xludf.DUMMYFUNCTION("""COMPUTED_VALUE"""),45904.0)</f>
        <v>45904</v>
      </c>
      <c r="I1835" s="115" t="str">
        <f>IFERROR(__xludf.DUMMYFUNCTION("""COMPUTED_VALUE"""),"15")</f>
        <v>15</v>
      </c>
      <c r="J1835" s="115" t="str">
        <f>IFERROR(__xludf.DUMMYFUNCTION("""COMPUTED_VALUE"""),"Premkumar M2025-09-0415")</f>
        <v>Premkumar M2025-09-0415</v>
      </c>
      <c r="K1835" s="115">
        <f>IFERROR(__xludf.DUMMYFUNCTION("""COMPUTED_VALUE"""),27429.0)</f>
        <v>27429</v>
      </c>
    </row>
    <row r="1836">
      <c r="A1836" s="115" t="str">
        <f>IFERROR(__xludf.DUMMYFUNCTION("""COMPUTED_VALUE"""),"SOUTH")</f>
        <v>SOUTH</v>
      </c>
      <c r="B1836" s="115" t="str">
        <f>IFERROR(__xludf.DUMMYFUNCTION("""COMPUTED_VALUE"""),"Premkumar M")</f>
        <v>Premkumar M</v>
      </c>
      <c r="C1836" s="115" t="str">
        <f>IFERROR(__xludf.DUMMYFUNCTION("""COMPUTED_VALUE"""),"FLIPKART")</f>
        <v>FLIPKART</v>
      </c>
      <c r="D1836" s="115">
        <f>IFERROR(__xludf.DUMMYFUNCTION("""COMPUTED_VALUE"""),246535.0)</f>
        <v>246535</v>
      </c>
      <c r="E1836" s="115">
        <f>IFERROR(__xludf.DUMMYFUNCTION("""COMPUTED_VALUE"""),17804.0)</f>
        <v>17804</v>
      </c>
      <c r="F1836" s="115">
        <f>IFERROR(__xludf.DUMMYFUNCTION("""COMPUTED_VALUE"""),111683.0)</f>
        <v>111683</v>
      </c>
      <c r="G1836" s="115">
        <f>IFERROR(__xludf.DUMMYFUNCTION("""COMPUTED_VALUE"""),1972.0)</f>
        <v>1972</v>
      </c>
      <c r="H1836" s="116">
        <f>IFERROR(__xludf.DUMMYFUNCTION("""COMPUTED_VALUE"""),45904.0)</f>
        <v>45904</v>
      </c>
      <c r="I1836" s="115" t="str">
        <f>IFERROR(__xludf.DUMMYFUNCTION("""COMPUTED_VALUE"""),"15")</f>
        <v>15</v>
      </c>
      <c r="J1836" s="115" t="str">
        <f>IFERROR(__xludf.DUMMYFUNCTION("""COMPUTED_VALUE"""),"Premkumar M2025-09-0415")</f>
        <v>Premkumar M2025-09-0415</v>
      </c>
      <c r="K1836" s="115">
        <f>IFERROR(__xludf.DUMMYFUNCTION("""COMPUTED_VALUE"""),264339.0)</f>
        <v>264339</v>
      </c>
    </row>
    <row r="1837">
      <c r="A1837" s="115" t="str">
        <f>IFERROR(__xludf.DUMMYFUNCTION("""COMPUTED_VALUE"""),"SOUTH")</f>
        <v>SOUTH</v>
      </c>
      <c r="B1837" s="115" t="str">
        <f>IFERROR(__xludf.DUMMYFUNCTION("""COMPUTED_VALUE"""),"Premkumar M")</f>
        <v>Premkumar M</v>
      </c>
      <c r="C1837" s="115" t="str">
        <f>IFERROR(__xludf.DUMMYFUNCTION("""COMPUTED_VALUE"""),"MYNTRA")</f>
        <v>MYNTRA</v>
      </c>
      <c r="D1837" s="115">
        <f>IFERROR(__xludf.DUMMYFUNCTION("""COMPUTED_VALUE"""),12120.0)</f>
        <v>12120</v>
      </c>
      <c r="E1837" s="115">
        <f>IFERROR(__xludf.DUMMYFUNCTION("""COMPUTED_VALUE"""),2704.0)</f>
        <v>2704</v>
      </c>
      <c r="F1837" s="115">
        <f>IFERROR(__xludf.DUMMYFUNCTION("""COMPUTED_VALUE"""),6377.0)</f>
        <v>6377</v>
      </c>
      <c r="G1837" s="115">
        <f>IFERROR(__xludf.DUMMYFUNCTION("""COMPUTED_VALUE"""),305.0)</f>
        <v>305</v>
      </c>
      <c r="H1837" s="116">
        <f>IFERROR(__xludf.DUMMYFUNCTION("""COMPUTED_VALUE"""),45904.0)</f>
        <v>45904</v>
      </c>
      <c r="I1837" s="115" t="str">
        <f>IFERROR(__xludf.DUMMYFUNCTION("""COMPUTED_VALUE"""),"15")</f>
        <v>15</v>
      </c>
      <c r="J1837" s="115" t="str">
        <f>IFERROR(__xludf.DUMMYFUNCTION("""COMPUTED_VALUE"""),"Premkumar M2025-09-0415")</f>
        <v>Premkumar M2025-09-0415</v>
      </c>
      <c r="K1837" s="115">
        <f>IFERROR(__xludf.DUMMYFUNCTION("""COMPUTED_VALUE"""),14824.0)</f>
        <v>14824</v>
      </c>
    </row>
    <row r="1838">
      <c r="A1838" s="115" t="str">
        <f>IFERROR(__xludf.DUMMYFUNCTION("""COMPUTED_VALUE"""),"SOUTH")</f>
        <v>SOUTH</v>
      </c>
      <c r="B1838" s="115" t="str">
        <f>IFERROR(__xludf.DUMMYFUNCTION("""COMPUTED_VALUE"""),"Vineeth V")</f>
        <v>Vineeth V</v>
      </c>
      <c r="C1838" s="115" t="str">
        <f>IFERROR(__xludf.DUMMYFUNCTION("""COMPUTED_VALUE"""),"EXTERNAL")</f>
        <v>EXTERNAL</v>
      </c>
      <c r="D1838" s="115">
        <f>IFERROR(__xludf.DUMMYFUNCTION("""COMPUTED_VALUE"""),18602.0)</f>
        <v>18602</v>
      </c>
      <c r="E1838" s="115">
        <f>IFERROR(__xludf.DUMMYFUNCTION("""COMPUTED_VALUE"""),705.0)</f>
        <v>705</v>
      </c>
      <c r="F1838" s="115">
        <f>IFERROR(__xludf.DUMMYFUNCTION("""COMPUTED_VALUE"""),6293.0)</f>
        <v>6293</v>
      </c>
      <c r="G1838" s="115">
        <f>IFERROR(__xludf.DUMMYFUNCTION("""COMPUTED_VALUE"""),89.0)</f>
        <v>89</v>
      </c>
      <c r="H1838" s="116">
        <f>IFERROR(__xludf.DUMMYFUNCTION("""COMPUTED_VALUE"""),45904.0)</f>
        <v>45904</v>
      </c>
      <c r="I1838" s="115" t="str">
        <f>IFERROR(__xludf.DUMMYFUNCTION("""COMPUTED_VALUE"""),"15")</f>
        <v>15</v>
      </c>
      <c r="J1838" s="115" t="str">
        <f>IFERROR(__xludf.DUMMYFUNCTION("""COMPUTED_VALUE"""),"Vineeth V2025-09-0415")</f>
        <v>Vineeth V2025-09-0415</v>
      </c>
      <c r="K1838" s="115">
        <f>IFERROR(__xludf.DUMMYFUNCTION("""COMPUTED_VALUE"""),19307.0)</f>
        <v>19307</v>
      </c>
    </row>
    <row r="1839">
      <c r="A1839" s="115" t="str">
        <f>IFERROR(__xludf.DUMMYFUNCTION("""COMPUTED_VALUE"""),"SOUTH")</f>
        <v>SOUTH</v>
      </c>
      <c r="B1839" s="115" t="str">
        <f>IFERROR(__xludf.DUMMYFUNCTION("""COMPUTED_VALUE"""),"Vineeth V")</f>
        <v>Vineeth V</v>
      </c>
      <c r="C1839" s="115" t="str">
        <f>IFERROR(__xludf.DUMMYFUNCTION("""COMPUTED_VALUE"""),"FLIPKART")</f>
        <v>FLIPKART</v>
      </c>
      <c r="D1839" s="115">
        <f>IFERROR(__xludf.DUMMYFUNCTION("""COMPUTED_VALUE"""),200123.0)</f>
        <v>200123</v>
      </c>
      <c r="E1839" s="115">
        <f>IFERROR(__xludf.DUMMYFUNCTION("""COMPUTED_VALUE"""),16101.0)</f>
        <v>16101</v>
      </c>
      <c r="F1839" s="115">
        <f>IFERROR(__xludf.DUMMYFUNCTION("""COMPUTED_VALUE"""),105761.0)</f>
        <v>105761</v>
      </c>
      <c r="G1839" s="115">
        <f>IFERROR(__xludf.DUMMYFUNCTION("""COMPUTED_VALUE"""),2157.0)</f>
        <v>2157</v>
      </c>
      <c r="H1839" s="116">
        <f>IFERROR(__xludf.DUMMYFUNCTION("""COMPUTED_VALUE"""),45904.0)</f>
        <v>45904</v>
      </c>
      <c r="I1839" s="115" t="str">
        <f>IFERROR(__xludf.DUMMYFUNCTION("""COMPUTED_VALUE"""),"15")</f>
        <v>15</v>
      </c>
      <c r="J1839" s="115" t="str">
        <f>IFERROR(__xludf.DUMMYFUNCTION("""COMPUTED_VALUE"""),"Vineeth V2025-09-0415")</f>
        <v>Vineeth V2025-09-0415</v>
      </c>
      <c r="K1839" s="115">
        <f>IFERROR(__xludf.DUMMYFUNCTION("""COMPUTED_VALUE"""),216224.0)</f>
        <v>216224</v>
      </c>
    </row>
    <row r="1840">
      <c r="A1840" s="115" t="str">
        <f>IFERROR(__xludf.DUMMYFUNCTION("""COMPUTED_VALUE"""),"SOUTH")</f>
        <v>SOUTH</v>
      </c>
      <c r="B1840" s="115" t="str">
        <f>IFERROR(__xludf.DUMMYFUNCTION("""COMPUTED_VALUE"""),"Vineeth V")</f>
        <v>Vineeth V</v>
      </c>
      <c r="C1840" s="115" t="str">
        <f>IFERROR(__xludf.DUMMYFUNCTION("""COMPUTED_VALUE"""),"MYNTRA")</f>
        <v>MYNTRA</v>
      </c>
      <c r="D1840" s="115">
        <f>IFERROR(__xludf.DUMMYFUNCTION("""COMPUTED_VALUE"""),17237.0)</f>
        <v>17237</v>
      </c>
      <c r="E1840" s="115">
        <f>IFERROR(__xludf.DUMMYFUNCTION("""COMPUTED_VALUE"""),4002.0)</f>
        <v>4002</v>
      </c>
      <c r="F1840" s="115">
        <f>IFERROR(__xludf.DUMMYFUNCTION("""COMPUTED_VALUE"""),9969.0)</f>
        <v>9969</v>
      </c>
      <c r="G1840" s="115">
        <f>IFERROR(__xludf.DUMMYFUNCTION("""COMPUTED_VALUE"""),597.0)</f>
        <v>597</v>
      </c>
      <c r="H1840" s="116">
        <f>IFERROR(__xludf.DUMMYFUNCTION("""COMPUTED_VALUE"""),45904.0)</f>
        <v>45904</v>
      </c>
      <c r="I1840" s="115" t="str">
        <f>IFERROR(__xludf.DUMMYFUNCTION("""COMPUTED_VALUE"""),"15")</f>
        <v>15</v>
      </c>
      <c r="J1840" s="115" t="str">
        <f>IFERROR(__xludf.DUMMYFUNCTION("""COMPUTED_VALUE"""),"Vineeth V2025-09-0415")</f>
        <v>Vineeth V2025-09-0415</v>
      </c>
      <c r="K1840" s="115">
        <f>IFERROR(__xludf.DUMMYFUNCTION("""COMPUTED_VALUE"""),21239.0)</f>
        <v>21239</v>
      </c>
    </row>
    <row r="1841">
      <c r="A1841" s="115" t="str">
        <f>IFERROR(__xludf.DUMMYFUNCTION("""COMPUTED_VALUE"""),"WEST")</f>
        <v>WEST</v>
      </c>
      <c r="B1841" s="115" t="str">
        <f>IFERROR(__xludf.DUMMYFUNCTION("""COMPUTED_VALUE"""),"Ashish Jakar")</f>
        <v>Ashish Jakar</v>
      </c>
      <c r="C1841" s="115" t="str">
        <f>IFERROR(__xludf.DUMMYFUNCTION("""COMPUTED_VALUE"""),"EXTERNAL")</f>
        <v>EXTERNAL</v>
      </c>
      <c r="D1841" s="115">
        <f>IFERROR(__xludf.DUMMYFUNCTION("""COMPUTED_VALUE"""),54205.0)</f>
        <v>54205</v>
      </c>
      <c r="E1841" s="115">
        <f>IFERROR(__xludf.DUMMYFUNCTION("""COMPUTED_VALUE"""),6253.0)</f>
        <v>6253</v>
      </c>
      <c r="F1841" s="115">
        <f>IFERROR(__xludf.DUMMYFUNCTION("""COMPUTED_VALUE"""),15219.0)</f>
        <v>15219</v>
      </c>
      <c r="G1841" s="115">
        <f>IFERROR(__xludf.DUMMYFUNCTION("""COMPUTED_VALUE"""),1473.0)</f>
        <v>1473</v>
      </c>
      <c r="H1841" s="116">
        <f>IFERROR(__xludf.DUMMYFUNCTION("""COMPUTED_VALUE"""),45904.0)</f>
        <v>45904</v>
      </c>
      <c r="I1841" s="115" t="str">
        <f>IFERROR(__xludf.DUMMYFUNCTION("""COMPUTED_VALUE"""),"15")</f>
        <v>15</v>
      </c>
      <c r="J1841" s="115" t="str">
        <f>IFERROR(__xludf.DUMMYFUNCTION("""COMPUTED_VALUE"""),"Ashish Jakar2025-09-0415")</f>
        <v>Ashish Jakar2025-09-0415</v>
      </c>
      <c r="K1841" s="115">
        <f>IFERROR(__xludf.DUMMYFUNCTION("""COMPUTED_VALUE"""),60458.0)</f>
        <v>60458</v>
      </c>
    </row>
    <row r="1842">
      <c r="A1842" s="115" t="str">
        <f>IFERROR(__xludf.DUMMYFUNCTION("""COMPUTED_VALUE"""),"WEST")</f>
        <v>WEST</v>
      </c>
      <c r="B1842" s="115" t="str">
        <f>IFERROR(__xludf.DUMMYFUNCTION("""COMPUTED_VALUE"""),"Ashish Jakar")</f>
        <v>Ashish Jakar</v>
      </c>
      <c r="C1842" s="115" t="str">
        <f>IFERROR(__xludf.DUMMYFUNCTION("""COMPUTED_VALUE"""),"FLIPKART")</f>
        <v>FLIPKART</v>
      </c>
      <c r="D1842" s="115">
        <f>IFERROR(__xludf.DUMMYFUNCTION("""COMPUTED_VALUE"""),307254.0)</f>
        <v>307254</v>
      </c>
      <c r="E1842" s="115">
        <f>IFERROR(__xludf.DUMMYFUNCTION("""COMPUTED_VALUE"""),33826.0)</f>
        <v>33826</v>
      </c>
      <c r="F1842" s="115">
        <f>IFERROR(__xludf.DUMMYFUNCTION("""COMPUTED_VALUE"""),156344.0)</f>
        <v>156344</v>
      </c>
      <c r="G1842" s="115">
        <f>IFERROR(__xludf.DUMMYFUNCTION("""COMPUTED_VALUE"""),9451.0)</f>
        <v>9451</v>
      </c>
      <c r="H1842" s="116">
        <f>IFERROR(__xludf.DUMMYFUNCTION("""COMPUTED_VALUE"""),45904.0)</f>
        <v>45904</v>
      </c>
      <c r="I1842" s="115" t="str">
        <f>IFERROR(__xludf.DUMMYFUNCTION("""COMPUTED_VALUE"""),"15")</f>
        <v>15</v>
      </c>
      <c r="J1842" s="115" t="str">
        <f>IFERROR(__xludf.DUMMYFUNCTION("""COMPUTED_VALUE"""),"Ashish Jakar2025-09-0415")</f>
        <v>Ashish Jakar2025-09-0415</v>
      </c>
      <c r="K1842" s="115">
        <f>IFERROR(__xludf.DUMMYFUNCTION("""COMPUTED_VALUE"""),341080.0)</f>
        <v>341080</v>
      </c>
    </row>
    <row r="1843">
      <c r="A1843" s="115" t="str">
        <f>IFERROR(__xludf.DUMMYFUNCTION("""COMPUTED_VALUE"""),"WEST")</f>
        <v>WEST</v>
      </c>
      <c r="B1843" s="115" t="str">
        <f>IFERROR(__xludf.DUMMYFUNCTION("""COMPUTED_VALUE"""),"Ashish Jakar")</f>
        <v>Ashish Jakar</v>
      </c>
      <c r="C1843" s="115" t="str">
        <f>IFERROR(__xludf.DUMMYFUNCTION("""COMPUTED_VALUE"""),"MYNTRA")</f>
        <v>MYNTRA</v>
      </c>
      <c r="D1843" s="115">
        <f>IFERROR(__xludf.DUMMYFUNCTION("""COMPUTED_VALUE"""),36432.0)</f>
        <v>36432</v>
      </c>
      <c r="E1843" s="115">
        <f>IFERROR(__xludf.DUMMYFUNCTION("""COMPUTED_VALUE"""),10644.0)</f>
        <v>10644</v>
      </c>
      <c r="F1843" s="115">
        <f>IFERROR(__xludf.DUMMYFUNCTION("""COMPUTED_VALUE"""),22058.0)</f>
        <v>22058</v>
      </c>
      <c r="G1843" s="115">
        <f>IFERROR(__xludf.DUMMYFUNCTION("""COMPUTED_VALUE"""),3076.0)</f>
        <v>3076</v>
      </c>
      <c r="H1843" s="116">
        <f>IFERROR(__xludf.DUMMYFUNCTION("""COMPUTED_VALUE"""),45904.0)</f>
        <v>45904</v>
      </c>
      <c r="I1843" s="115" t="str">
        <f>IFERROR(__xludf.DUMMYFUNCTION("""COMPUTED_VALUE"""),"15")</f>
        <v>15</v>
      </c>
      <c r="J1843" s="115" t="str">
        <f>IFERROR(__xludf.DUMMYFUNCTION("""COMPUTED_VALUE"""),"Ashish Jakar2025-09-0415")</f>
        <v>Ashish Jakar2025-09-0415</v>
      </c>
      <c r="K1843" s="115">
        <f>IFERROR(__xludf.DUMMYFUNCTION("""COMPUTED_VALUE"""),47076.0)</f>
        <v>47076</v>
      </c>
    </row>
    <row r="1844">
      <c r="A1844" s="115" t="str">
        <f>IFERROR(__xludf.DUMMYFUNCTION("""COMPUTED_VALUE"""),"WEST")</f>
        <v>WEST</v>
      </c>
      <c r="B1844" s="115" t="str">
        <f>IFERROR(__xludf.DUMMYFUNCTION("""COMPUTED_VALUE"""),"Ashvani Bhatt")</f>
        <v>Ashvani Bhatt</v>
      </c>
      <c r="C1844" s="115" t="str">
        <f>IFERROR(__xludf.DUMMYFUNCTION("""COMPUTED_VALUE"""),"EXTERNAL")</f>
        <v>EXTERNAL</v>
      </c>
      <c r="D1844" s="115">
        <f>IFERROR(__xludf.DUMMYFUNCTION("""COMPUTED_VALUE"""),35778.0)</f>
        <v>35778</v>
      </c>
      <c r="E1844" s="115">
        <f>IFERROR(__xludf.DUMMYFUNCTION("""COMPUTED_VALUE"""),3324.0)</f>
        <v>3324</v>
      </c>
      <c r="F1844" s="115">
        <f>IFERROR(__xludf.DUMMYFUNCTION("""COMPUTED_VALUE"""),11286.0)</f>
        <v>11286</v>
      </c>
      <c r="G1844" s="115">
        <f>IFERROR(__xludf.DUMMYFUNCTION("""COMPUTED_VALUE"""),544.0)</f>
        <v>544</v>
      </c>
      <c r="H1844" s="116">
        <f>IFERROR(__xludf.DUMMYFUNCTION("""COMPUTED_VALUE"""),45904.0)</f>
        <v>45904</v>
      </c>
      <c r="I1844" s="115" t="str">
        <f>IFERROR(__xludf.DUMMYFUNCTION("""COMPUTED_VALUE"""),"15")</f>
        <v>15</v>
      </c>
      <c r="J1844" s="115" t="str">
        <f>IFERROR(__xludf.DUMMYFUNCTION("""COMPUTED_VALUE"""),"Ashvani Bhatt2025-09-0415")</f>
        <v>Ashvani Bhatt2025-09-0415</v>
      </c>
      <c r="K1844" s="115">
        <f>IFERROR(__xludf.DUMMYFUNCTION("""COMPUTED_VALUE"""),39102.0)</f>
        <v>39102</v>
      </c>
    </row>
    <row r="1845">
      <c r="A1845" s="115" t="str">
        <f>IFERROR(__xludf.DUMMYFUNCTION("""COMPUTED_VALUE"""),"WEST")</f>
        <v>WEST</v>
      </c>
      <c r="B1845" s="115" t="str">
        <f>IFERROR(__xludf.DUMMYFUNCTION("""COMPUTED_VALUE"""),"Ashvani Bhatt")</f>
        <v>Ashvani Bhatt</v>
      </c>
      <c r="C1845" s="115" t="str">
        <f>IFERROR(__xludf.DUMMYFUNCTION("""COMPUTED_VALUE"""),"FLIPKART")</f>
        <v>FLIPKART</v>
      </c>
      <c r="D1845" s="115">
        <f>IFERROR(__xludf.DUMMYFUNCTION("""COMPUTED_VALUE"""),255126.0)</f>
        <v>255126</v>
      </c>
      <c r="E1845" s="115">
        <f>IFERROR(__xludf.DUMMYFUNCTION("""COMPUTED_VALUE"""),27699.0)</f>
        <v>27699</v>
      </c>
      <c r="F1845" s="115">
        <f>IFERROR(__xludf.DUMMYFUNCTION("""COMPUTED_VALUE"""),144328.0)</f>
        <v>144328</v>
      </c>
      <c r="G1845" s="115">
        <f>IFERROR(__xludf.DUMMYFUNCTION("""COMPUTED_VALUE"""),7385.0)</f>
        <v>7385</v>
      </c>
      <c r="H1845" s="116">
        <f>IFERROR(__xludf.DUMMYFUNCTION("""COMPUTED_VALUE"""),45904.0)</f>
        <v>45904</v>
      </c>
      <c r="I1845" s="115" t="str">
        <f>IFERROR(__xludf.DUMMYFUNCTION("""COMPUTED_VALUE"""),"15")</f>
        <v>15</v>
      </c>
      <c r="J1845" s="115" t="str">
        <f>IFERROR(__xludf.DUMMYFUNCTION("""COMPUTED_VALUE"""),"Ashvani Bhatt2025-09-0415")</f>
        <v>Ashvani Bhatt2025-09-0415</v>
      </c>
      <c r="K1845" s="115">
        <f>IFERROR(__xludf.DUMMYFUNCTION("""COMPUTED_VALUE"""),282825.0)</f>
        <v>282825</v>
      </c>
    </row>
    <row r="1846">
      <c r="A1846" s="115" t="str">
        <f>IFERROR(__xludf.DUMMYFUNCTION("""COMPUTED_VALUE"""),"WEST")</f>
        <v>WEST</v>
      </c>
      <c r="B1846" s="115" t="str">
        <f>IFERROR(__xludf.DUMMYFUNCTION("""COMPUTED_VALUE"""),"Ashvani Bhatt")</f>
        <v>Ashvani Bhatt</v>
      </c>
      <c r="C1846" s="115" t="str">
        <f>IFERROR(__xludf.DUMMYFUNCTION("""COMPUTED_VALUE"""),"MYNTRA")</f>
        <v>MYNTRA</v>
      </c>
      <c r="D1846" s="115">
        <f>IFERROR(__xludf.DUMMYFUNCTION("""COMPUTED_VALUE"""),32263.0)</f>
        <v>32263</v>
      </c>
      <c r="E1846" s="115">
        <f>IFERROR(__xludf.DUMMYFUNCTION("""COMPUTED_VALUE"""),8389.0)</f>
        <v>8389</v>
      </c>
      <c r="F1846" s="115">
        <f>IFERROR(__xludf.DUMMYFUNCTION("""COMPUTED_VALUE"""),21911.0)</f>
        <v>21911</v>
      </c>
      <c r="G1846" s="115">
        <f>IFERROR(__xludf.DUMMYFUNCTION("""COMPUTED_VALUE"""),2746.0)</f>
        <v>2746</v>
      </c>
      <c r="H1846" s="116">
        <f>IFERROR(__xludf.DUMMYFUNCTION("""COMPUTED_VALUE"""),45904.0)</f>
        <v>45904</v>
      </c>
      <c r="I1846" s="115" t="str">
        <f>IFERROR(__xludf.DUMMYFUNCTION("""COMPUTED_VALUE"""),"15")</f>
        <v>15</v>
      </c>
      <c r="J1846" s="115" t="str">
        <f>IFERROR(__xludf.DUMMYFUNCTION("""COMPUTED_VALUE"""),"Ashvani Bhatt2025-09-0415")</f>
        <v>Ashvani Bhatt2025-09-0415</v>
      </c>
      <c r="K1846" s="115">
        <f>IFERROR(__xludf.DUMMYFUNCTION("""COMPUTED_VALUE"""),40652.0)</f>
        <v>40652</v>
      </c>
    </row>
    <row r="1847">
      <c r="A1847" s="115"/>
      <c r="B1847" s="115"/>
      <c r="C1847" s="115" t="str">
        <f>IFERROR(__xludf.DUMMYFUNCTION("""COMPUTED_VALUE"""),"EXTERNAL")</f>
        <v>EXTERNAL</v>
      </c>
      <c r="D1847" s="115">
        <f>IFERROR(__xludf.DUMMYFUNCTION("""COMPUTED_VALUE"""),1182.0)</f>
        <v>1182</v>
      </c>
      <c r="E1847" s="115">
        <f>IFERROR(__xludf.DUMMYFUNCTION("""COMPUTED_VALUE"""),208.0)</f>
        <v>208</v>
      </c>
      <c r="F1847" s="115">
        <f>IFERROR(__xludf.DUMMYFUNCTION("""COMPUTED_VALUE"""),340.0)</f>
        <v>340</v>
      </c>
      <c r="G1847" s="115">
        <f>IFERROR(__xludf.DUMMYFUNCTION("""COMPUTED_VALUE"""),70.0)</f>
        <v>70</v>
      </c>
      <c r="H1847" s="116">
        <f>IFERROR(__xludf.DUMMYFUNCTION("""COMPUTED_VALUE"""),45904.0)</f>
        <v>45904</v>
      </c>
      <c r="I1847" s="115" t="str">
        <f>IFERROR(__xludf.DUMMYFUNCTION("""COMPUTED_VALUE"""),"15")</f>
        <v>15</v>
      </c>
      <c r="J1847" s="115" t="str">
        <f>IFERROR(__xludf.DUMMYFUNCTION("""COMPUTED_VALUE"""),"2025-09-0415")</f>
        <v>2025-09-0415</v>
      </c>
      <c r="K1847" s="115">
        <f>IFERROR(__xludf.DUMMYFUNCTION("""COMPUTED_VALUE"""),1390.0)</f>
        <v>1390</v>
      </c>
    </row>
    <row r="1848">
      <c r="A1848" s="115"/>
      <c r="B1848" s="115"/>
      <c r="C1848" s="115" t="str">
        <f>IFERROR(__xludf.DUMMYFUNCTION("""COMPUTED_VALUE"""),"FLIPKART")</f>
        <v>FLIPKART</v>
      </c>
      <c r="D1848" s="115">
        <f>IFERROR(__xludf.DUMMYFUNCTION("""COMPUTED_VALUE"""),8196.0)</f>
        <v>8196</v>
      </c>
      <c r="E1848" s="115">
        <f>IFERROR(__xludf.DUMMYFUNCTION("""COMPUTED_VALUE"""),1037.0)</f>
        <v>1037</v>
      </c>
      <c r="F1848" s="115">
        <f>IFERROR(__xludf.DUMMYFUNCTION("""COMPUTED_VALUE"""),4155.0)</f>
        <v>4155</v>
      </c>
      <c r="G1848" s="115">
        <f>IFERROR(__xludf.DUMMYFUNCTION("""COMPUTED_VALUE"""),265.0)</f>
        <v>265</v>
      </c>
      <c r="H1848" s="116">
        <f>IFERROR(__xludf.DUMMYFUNCTION("""COMPUTED_VALUE"""),45904.0)</f>
        <v>45904</v>
      </c>
      <c r="I1848" s="115" t="str">
        <f>IFERROR(__xludf.DUMMYFUNCTION("""COMPUTED_VALUE"""),"15")</f>
        <v>15</v>
      </c>
      <c r="J1848" s="115" t="str">
        <f>IFERROR(__xludf.DUMMYFUNCTION("""COMPUTED_VALUE"""),"2025-09-0415")</f>
        <v>2025-09-0415</v>
      </c>
      <c r="K1848" s="115">
        <f>IFERROR(__xludf.DUMMYFUNCTION("""COMPUTED_VALUE"""),9233.0)</f>
        <v>9233</v>
      </c>
    </row>
    <row r="1849">
      <c r="A1849" s="115"/>
      <c r="B1849" s="115"/>
      <c r="C1849" s="115" t="str">
        <f>IFERROR(__xludf.DUMMYFUNCTION("""COMPUTED_VALUE"""),"MYNTRA")</f>
        <v>MYNTRA</v>
      </c>
      <c r="D1849" s="115">
        <f>IFERROR(__xludf.DUMMYFUNCTION("""COMPUTED_VALUE"""),875.0)</f>
        <v>875</v>
      </c>
      <c r="E1849" s="115">
        <f>IFERROR(__xludf.DUMMYFUNCTION("""COMPUTED_VALUE"""),299.0)</f>
        <v>299</v>
      </c>
      <c r="F1849" s="115">
        <f>IFERROR(__xludf.DUMMYFUNCTION("""COMPUTED_VALUE"""),473.0)</f>
        <v>473</v>
      </c>
      <c r="G1849" s="115">
        <f>IFERROR(__xludf.DUMMYFUNCTION("""COMPUTED_VALUE"""),96.0)</f>
        <v>96</v>
      </c>
      <c r="H1849" s="116">
        <f>IFERROR(__xludf.DUMMYFUNCTION("""COMPUTED_VALUE"""),45904.0)</f>
        <v>45904</v>
      </c>
      <c r="I1849" s="115" t="str">
        <f>IFERROR(__xludf.DUMMYFUNCTION("""COMPUTED_VALUE"""),"15")</f>
        <v>15</v>
      </c>
      <c r="J1849" s="115" t="str">
        <f>IFERROR(__xludf.DUMMYFUNCTION("""COMPUTED_VALUE"""),"2025-09-0415")</f>
        <v>2025-09-0415</v>
      </c>
      <c r="K1849" s="115">
        <f>IFERROR(__xludf.DUMMYFUNCTION("""COMPUTED_VALUE"""),1174.0)</f>
        <v>1174</v>
      </c>
    </row>
    <row r="1850">
      <c r="A1850" s="115" t="str">
        <f>IFERROR(__xludf.DUMMYFUNCTION("""COMPUTED_VALUE"""),"EAST")</f>
        <v>EAST</v>
      </c>
      <c r="B1850" s="115" t="str">
        <f>IFERROR(__xludf.DUMMYFUNCTION("""COMPUTED_VALUE"""),"Ashish Ranjan")</f>
        <v>Ashish Ranjan</v>
      </c>
      <c r="C1850" s="115" t="str">
        <f>IFERROR(__xludf.DUMMYFUNCTION("""COMPUTED_VALUE"""),"EXTERNAL")</f>
        <v>EXTERNAL</v>
      </c>
      <c r="D1850" s="115">
        <f>IFERROR(__xludf.DUMMYFUNCTION("""COMPUTED_VALUE"""),33986.0)</f>
        <v>33986</v>
      </c>
      <c r="E1850" s="115">
        <f>IFERROR(__xludf.DUMMYFUNCTION("""COMPUTED_VALUE"""),3380.0)</f>
        <v>3380</v>
      </c>
      <c r="F1850" s="115">
        <f>IFERROR(__xludf.DUMMYFUNCTION("""COMPUTED_VALUE"""),15272.0)</f>
        <v>15272</v>
      </c>
      <c r="G1850" s="115">
        <f>IFERROR(__xludf.DUMMYFUNCTION("""COMPUTED_VALUE"""),1088.0)</f>
        <v>1088</v>
      </c>
      <c r="H1850" s="116">
        <f>IFERROR(__xludf.DUMMYFUNCTION("""COMPUTED_VALUE"""),45904.0)</f>
        <v>45904</v>
      </c>
      <c r="I1850" s="115" t="str">
        <f>IFERROR(__xludf.DUMMYFUNCTION("""COMPUTED_VALUE"""),"16")</f>
        <v>16</v>
      </c>
      <c r="J1850" s="115" t="str">
        <f>IFERROR(__xludf.DUMMYFUNCTION("""COMPUTED_VALUE"""),"Ashish Ranjan2025-09-0416")</f>
        <v>Ashish Ranjan2025-09-0416</v>
      </c>
      <c r="K1850" s="115">
        <f>IFERROR(__xludf.DUMMYFUNCTION("""COMPUTED_VALUE"""),37366.0)</f>
        <v>37366</v>
      </c>
    </row>
    <row r="1851">
      <c r="A1851" s="115" t="str">
        <f>IFERROR(__xludf.DUMMYFUNCTION("""COMPUTED_VALUE"""),"EAST")</f>
        <v>EAST</v>
      </c>
      <c r="B1851" s="115" t="str">
        <f>IFERROR(__xludf.DUMMYFUNCTION("""COMPUTED_VALUE"""),"Ashish Ranjan")</f>
        <v>Ashish Ranjan</v>
      </c>
      <c r="C1851" s="115" t="str">
        <f>IFERROR(__xludf.DUMMYFUNCTION("""COMPUTED_VALUE"""),"FLIPKART")</f>
        <v>FLIPKART</v>
      </c>
      <c r="D1851" s="115">
        <f>IFERROR(__xludf.DUMMYFUNCTION("""COMPUTED_VALUE"""),544502.0)</f>
        <v>544502</v>
      </c>
      <c r="E1851" s="115">
        <f>IFERROR(__xludf.DUMMYFUNCTION("""COMPUTED_VALUE"""),58739.0)</f>
        <v>58739</v>
      </c>
      <c r="F1851" s="115">
        <f>IFERROR(__xludf.DUMMYFUNCTION("""COMPUTED_VALUE"""),396439.0)</f>
        <v>396439</v>
      </c>
      <c r="G1851" s="115">
        <f>IFERROR(__xludf.DUMMYFUNCTION("""COMPUTED_VALUE"""),28079.0)</f>
        <v>28079</v>
      </c>
      <c r="H1851" s="116">
        <f>IFERROR(__xludf.DUMMYFUNCTION("""COMPUTED_VALUE"""),45904.0)</f>
        <v>45904</v>
      </c>
      <c r="I1851" s="115" t="str">
        <f>IFERROR(__xludf.DUMMYFUNCTION("""COMPUTED_VALUE"""),"16")</f>
        <v>16</v>
      </c>
      <c r="J1851" s="115" t="str">
        <f>IFERROR(__xludf.DUMMYFUNCTION("""COMPUTED_VALUE"""),"Ashish Ranjan2025-09-0416")</f>
        <v>Ashish Ranjan2025-09-0416</v>
      </c>
      <c r="K1851" s="115">
        <f>IFERROR(__xludf.DUMMYFUNCTION("""COMPUTED_VALUE"""),603241.0)</f>
        <v>603241</v>
      </c>
    </row>
    <row r="1852">
      <c r="A1852" s="115" t="str">
        <f>IFERROR(__xludf.DUMMYFUNCTION("""COMPUTED_VALUE"""),"EAST")</f>
        <v>EAST</v>
      </c>
      <c r="B1852" s="115" t="str">
        <f>IFERROR(__xludf.DUMMYFUNCTION("""COMPUTED_VALUE"""),"Ashish Ranjan")</f>
        <v>Ashish Ranjan</v>
      </c>
      <c r="C1852" s="115" t="str">
        <f>IFERROR(__xludf.DUMMYFUNCTION("""COMPUTED_VALUE"""),"MYNTRA")</f>
        <v>MYNTRA</v>
      </c>
      <c r="D1852" s="115">
        <f>IFERROR(__xludf.DUMMYFUNCTION("""COMPUTED_VALUE"""),53412.0)</f>
        <v>53412</v>
      </c>
      <c r="E1852" s="115">
        <f>IFERROR(__xludf.DUMMYFUNCTION("""COMPUTED_VALUE"""),12322.0)</f>
        <v>12322</v>
      </c>
      <c r="F1852" s="115">
        <f>IFERROR(__xludf.DUMMYFUNCTION("""COMPUTED_VALUE"""),39626.0)</f>
        <v>39626</v>
      </c>
      <c r="G1852" s="115">
        <f>IFERROR(__xludf.DUMMYFUNCTION("""COMPUTED_VALUE"""),6103.0)</f>
        <v>6103</v>
      </c>
      <c r="H1852" s="116">
        <f>IFERROR(__xludf.DUMMYFUNCTION("""COMPUTED_VALUE"""),45904.0)</f>
        <v>45904</v>
      </c>
      <c r="I1852" s="115" t="str">
        <f>IFERROR(__xludf.DUMMYFUNCTION("""COMPUTED_VALUE"""),"16")</f>
        <v>16</v>
      </c>
      <c r="J1852" s="115" t="str">
        <f>IFERROR(__xludf.DUMMYFUNCTION("""COMPUTED_VALUE"""),"Ashish Ranjan2025-09-0416")</f>
        <v>Ashish Ranjan2025-09-0416</v>
      </c>
      <c r="K1852" s="115">
        <f>IFERROR(__xludf.DUMMYFUNCTION("""COMPUTED_VALUE"""),65734.0)</f>
        <v>65734</v>
      </c>
    </row>
    <row r="1853">
      <c r="A1853" s="115" t="str">
        <f>IFERROR(__xludf.DUMMYFUNCTION("""COMPUTED_VALUE"""),"EAST")</f>
        <v>EAST</v>
      </c>
      <c r="B1853" s="115" t="str">
        <f>IFERROR(__xludf.DUMMYFUNCTION("""COMPUTED_VALUE"""),"Girish Chand")</f>
        <v>Girish Chand</v>
      </c>
      <c r="C1853" s="115" t="str">
        <f>IFERROR(__xludf.DUMMYFUNCTION("""COMPUTED_VALUE"""),"EXTERNAL")</f>
        <v>EXTERNAL</v>
      </c>
      <c r="D1853" s="115">
        <f>IFERROR(__xludf.DUMMYFUNCTION("""COMPUTED_VALUE"""),21336.0)</f>
        <v>21336</v>
      </c>
      <c r="E1853" s="115">
        <f>IFERROR(__xludf.DUMMYFUNCTION("""COMPUTED_VALUE"""),1926.0)</f>
        <v>1926</v>
      </c>
      <c r="F1853" s="115">
        <f>IFERROR(__xludf.DUMMYFUNCTION("""COMPUTED_VALUE"""),7273.0)</f>
        <v>7273</v>
      </c>
      <c r="G1853" s="115">
        <f>IFERROR(__xludf.DUMMYFUNCTION("""COMPUTED_VALUE"""),401.0)</f>
        <v>401</v>
      </c>
      <c r="H1853" s="116">
        <f>IFERROR(__xludf.DUMMYFUNCTION("""COMPUTED_VALUE"""),45904.0)</f>
        <v>45904</v>
      </c>
      <c r="I1853" s="115" t="str">
        <f>IFERROR(__xludf.DUMMYFUNCTION("""COMPUTED_VALUE"""),"16")</f>
        <v>16</v>
      </c>
      <c r="J1853" s="115" t="str">
        <f>IFERROR(__xludf.DUMMYFUNCTION("""COMPUTED_VALUE"""),"Girish Chand2025-09-0416")</f>
        <v>Girish Chand2025-09-0416</v>
      </c>
      <c r="K1853" s="115">
        <f>IFERROR(__xludf.DUMMYFUNCTION("""COMPUTED_VALUE"""),23262.0)</f>
        <v>23262</v>
      </c>
    </row>
    <row r="1854">
      <c r="A1854" s="115" t="str">
        <f>IFERROR(__xludf.DUMMYFUNCTION("""COMPUTED_VALUE"""),"EAST")</f>
        <v>EAST</v>
      </c>
      <c r="B1854" s="115" t="str">
        <f>IFERROR(__xludf.DUMMYFUNCTION("""COMPUTED_VALUE"""),"Girish Chand")</f>
        <v>Girish Chand</v>
      </c>
      <c r="C1854" s="115" t="str">
        <f>IFERROR(__xludf.DUMMYFUNCTION("""COMPUTED_VALUE"""),"FLIPKART")</f>
        <v>FLIPKART</v>
      </c>
      <c r="D1854" s="115">
        <f>IFERROR(__xludf.DUMMYFUNCTION("""COMPUTED_VALUE"""),380647.0)</f>
        <v>380647</v>
      </c>
      <c r="E1854" s="115">
        <f>IFERROR(__xludf.DUMMYFUNCTION("""COMPUTED_VALUE"""),39197.0)</f>
        <v>39197</v>
      </c>
      <c r="F1854" s="115">
        <f>IFERROR(__xludf.DUMMYFUNCTION("""COMPUTED_VALUE"""),239764.0)</f>
        <v>239764</v>
      </c>
      <c r="G1854" s="115">
        <f>IFERROR(__xludf.DUMMYFUNCTION("""COMPUTED_VALUE"""),14254.0)</f>
        <v>14254</v>
      </c>
      <c r="H1854" s="116">
        <f>IFERROR(__xludf.DUMMYFUNCTION("""COMPUTED_VALUE"""),45904.0)</f>
        <v>45904</v>
      </c>
      <c r="I1854" s="115" t="str">
        <f>IFERROR(__xludf.DUMMYFUNCTION("""COMPUTED_VALUE"""),"16")</f>
        <v>16</v>
      </c>
      <c r="J1854" s="115" t="str">
        <f>IFERROR(__xludf.DUMMYFUNCTION("""COMPUTED_VALUE"""),"Girish Chand2025-09-0416")</f>
        <v>Girish Chand2025-09-0416</v>
      </c>
      <c r="K1854" s="115">
        <f>IFERROR(__xludf.DUMMYFUNCTION("""COMPUTED_VALUE"""),419844.0)</f>
        <v>419844</v>
      </c>
    </row>
    <row r="1855">
      <c r="A1855" s="115" t="str">
        <f>IFERROR(__xludf.DUMMYFUNCTION("""COMPUTED_VALUE"""),"EAST")</f>
        <v>EAST</v>
      </c>
      <c r="B1855" s="115" t="str">
        <f>IFERROR(__xludf.DUMMYFUNCTION("""COMPUTED_VALUE"""),"Girish Chand")</f>
        <v>Girish Chand</v>
      </c>
      <c r="C1855" s="115" t="str">
        <f>IFERROR(__xludf.DUMMYFUNCTION("""COMPUTED_VALUE"""),"MYNTRA")</f>
        <v>MYNTRA</v>
      </c>
      <c r="D1855" s="115">
        <f>IFERROR(__xludf.DUMMYFUNCTION("""COMPUTED_VALUE"""),30803.0)</f>
        <v>30803</v>
      </c>
      <c r="E1855" s="115">
        <f>IFERROR(__xludf.DUMMYFUNCTION("""COMPUTED_VALUE"""),6852.0)</f>
        <v>6852</v>
      </c>
      <c r="F1855" s="115">
        <f>IFERROR(__xludf.DUMMYFUNCTION("""COMPUTED_VALUE"""),20626.0)</f>
        <v>20626</v>
      </c>
      <c r="G1855" s="115">
        <f>IFERROR(__xludf.DUMMYFUNCTION("""COMPUTED_VALUE"""),2716.0)</f>
        <v>2716</v>
      </c>
      <c r="H1855" s="116">
        <f>IFERROR(__xludf.DUMMYFUNCTION("""COMPUTED_VALUE"""),45904.0)</f>
        <v>45904</v>
      </c>
      <c r="I1855" s="115" t="str">
        <f>IFERROR(__xludf.DUMMYFUNCTION("""COMPUTED_VALUE"""),"16")</f>
        <v>16</v>
      </c>
      <c r="J1855" s="115" t="str">
        <f>IFERROR(__xludf.DUMMYFUNCTION("""COMPUTED_VALUE"""),"Girish Chand2025-09-0416")</f>
        <v>Girish Chand2025-09-0416</v>
      </c>
      <c r="K1855" s="115">
        <f>IFERROR(__xludf.DUMMYFUNCTION("""COMPUTED_VALUE"""),37655.0)</f>
        <v>37655</v>
      </c>
    </row>
    <row r="1856">
      <c r="A1856" s="115" t="str">
        <f>IFERROR(__xludf.DUMMYFUNCTION("""COMPUTED_VALUE"""),"EAST")</f>
        <v>EAST</v>
      </c>
      <c r="B1856" s="115" t="str">
        <f>IFERROR(__xludf.DUMMYFUNCTION("""COMPUTED_VALUE"""),"Parag Kashyap")</f>
        <v>Parag Kashyap</v>
      </c>
      <c r="C1856" s="115" t="str">
        <f>IFERROR(__xludf.DUMMYFUNCTION("""COMPUTED_VALUE"""),"EXTERNAL")</f>
        <v>EXTERNAL</v>
      </c>
      <c r="D1856" s="115">
        <f>IFERROR(__xludf.DUMMYFUNCTION("""COMPUTED_VALUE"""),20265.0)</f>
        <v>20265</v>
      </c>
      <c r="E1856" s="115">
        <f>IFERROR(__xludf.DUMMYFUNCTION("""COMPUTED_VALUE"""),1106.0)</f>
        <v>1106</v>
      </c>
      <c r="F1856" s="115">
        <f>IFERROR(__xludf.DUMMYFUNCTION("""COMPUTED_VALUE"""),6199.0)</f>
        <v>6199</v>
      </c>
      <c r="G1856" s="115">
        <f>IFERROR(__xludf.DUMMYFUNCTION("""COMPUTED_VALUE"""),165.0)</f>
        <v>165</v>
      </c>
      <c r="H1856" s="116">
        <f>IFERROR(__xludf.DUMMYFUNCTION("""COMPUTED_VALUE"""),45904.0)</f>
        <v>45904</v>
      </c>
      <c r="I1856" s="115" t="str">
        <f>IFERROR(__xludf.DUMMYFUNCTION("""COMPUTED_VALUE"""),"16")</f>
        <v>16</v>
      </c>
      <c r="J1856" s="115" t="str">
        <f>IFERROR(__xludf.DUMMYFUNCTION("""COMPUTED_VALUE"""),"Parag Kashyap2025-09-0416")</f>
        <v>Parag Kashyap2025-09-0416</v>
      </c>
      <c r="K1856" s="115">
        <f>IFERROR(__xludf.DUMMYFUNCTION("""COMPUTED_VALUE"""),21371.0)</f>
        <v>21371</v>
      </c>
    </row>
    <row r="1857">
      <c r="A1857" s="115" t="str">
        <f>IFERROR(__xludf.DUMMYFUNCTION("""COMPUTED_VALUE"""),"EAST")</f>
        <v>EAST</v>
      </c>
      <c r="B1857" s="115" t="str">
        <f>IFERROR(__xludf.DUMMYFUNCTION("""COMPUTED_VALUE"""),"Parag Kashyap")</f>
        <v>Parag Kashyap</v>
      </c>
      <c r="C1857" s="115" t="str">
        <f>IFERROR(__xludf.DUMMYFUNCTION("""COMPUTED_VALUE"""),"FLIPKART")</f>
        <v>FLIPKART</v>
      </c>
      <c r="D1857" s="115">
        <f>IFERROR(__xludf.DUMMYFUNCTION("""COMPUTED_VALUE"""),295180.0)</f>
        <v>295180</v>
      </c>
      <c r="E1857" s="115">
        <f>IFERROR(__xludf.DUMMYFUNCTION("""COMPUTED_VALUE"""),19407.0)</f>
        <v>19407</v>
      </c>
      <c r="F1857" s="115">
        <f>IFERROR(__xludf.DUMMYFUNCTION("""COMPUTED_VALUE"""),172532.0)</f>
        <v>172532</v>
      </c>
      <c r="G1857" s="115">
        <f>IFERROR(__xludf.DUMMYFUNCTION("""COMPUTED_VALUE"""),4720.0)</f>
        <v>4720</v>
      </c>
      <c r="H1857" s="116">
        <f>IFERROR(__xludf.DUMMYFUNCTION("""COMPUTED_VALUE"""),45904.0)</f>
        <v>45904</v>
      </c>
      <c r="I1857" s="115" t="str">
        <f>IFERROR(__xludf.DUMMYFUNCTION("""COMPUTED_VALUE"""),"16")</f>
        <v>16</v>
      </c>
      <c r="J1857" s="115" t="str">
        <f>IFERROR(__xludf.DUMMYFUNCTION("""COMPUTED_VALUE"""),"Parag Kashyap2025-09-0416")</f>
        <v>Parag Kashyap2025-09-0416</v>
      </c>
      <c r="K1857" s="115">
        <f>IFERROR(__xludf.DUMMYFUNCTION("""COMPUTED_VALUE"""),314587.0)</f>
        <v>314587</v>
      </c>
    </row>
    <row r="1858">
      <c r="A1858" s="115" t="str">
        <f>IFERROR(__xludf.DUMMYFUNCTION("""COMPUTED_VALUE"""),"EAST")</f>
        <v>EAST</v>
      </c>
      <c r="B1858" s="115" t="str">
        <f>IFERROR(__xludf.DUMMYFUNCTION("""COMPUTED_VALUE"""),"Parag Kashyap")</f>
        <v>Parag Kashyap</v>
      </c>
      <c r="C1858" s="115" t="str">
        <f>IFERROR(__xludf.DUMMYFUNCTION("""COMPUTED_VALUE"""),"MYNTRA")</f>
        <v>MYNTRA</v>
      </c>
      <c r="D1858" s="115">
        <f>IFERROR(__xludf.DUMMYFUNCTION("""COMPUTED_VALUE"""),34200.0)</f>
        <v>34200</v>
      </c>
      <c r="E1858" s="115">
        <f>IFERROR(__xludf.DUMMYFUNCTION("""COMPUTED_VALUE"""),5065.0)</f>
        <v>5065</v>
      </c>
      <c r="F1858" s="115">
        <f>IFERROR(__xludf.DUMMYFUNCTION("""COMPUTED_VALUE"""),20950.0)</f>
        <v>20950</v>
      </c>
      <c r="G1858" s="115">
        <f>IFERROR(__xludf.DUMMYFUNCTION("""COMPUTED_VALUE"""),1234.0)</f>
        <v>1234</v>
      </c>
      <c r="H1858" s="116">
        <f>IFERROR(__xludf.DUMMYFUNCTION("""COMPUTED_VALUE"""),45904.0)</f>
        <v>45904</v>
      </c>
      <c r="I1858" s="115" t="str">
        <f>IFERROR(__xludf.DUMMYFUNCTION("""COMPUTED_VALUE"""),"16")</f>
        <v>16</v>
      </c>
      <c r="J1858" s="115" t="str">
        <f>IFERROR(__xludf.DUMMYFUNCTION("""COMPUTED_VALUE"""),"Parag Kashyap2025-09-0416")</f>
        <v>Parag Kashyap2025-09-0416</v>
      </c>
      <c r="K1858" s="115">
        <f>IFERROR(__xludf.DUMMYFUNCTION("""COMPUTED_VALUE"""),39265.0)</f>
        <v>39265</v>
      </c>
    </row>
    <row r="1859">
      <c r="A1859" s="115" t="str">
        <f>IFERROR(__xludf.DUMMYFUNCTION("""COMPUTED_VALUE"""),"NORTH")</f>
        <v>NORTH</v>
      </c>
      <c r="B1859" s="115" t="str">
        <f>IFERROR(__xludf.DUMMYFUNCTION("""COMPUTED_VALUE"""),"Amit Kumar Pathak")</f>
        <v>Amit Kumar Pathak</v>
      </c>
      <c r="C1859" s="115" t="str">
        <f>IFERROR(__xludf.DUMMYFUNCTION("""COMPUTED_VALUE"""),"EXTERNAL")</f>
        <v>EXTERNAL</v>
      </c>
      <c r="D1859" s="115">
        <f>IFERROR(__xludf.DUMMYFUNCTION("""COMPUTED_VALUE"""),26646.0)</f>
        <v>26646</v>
      </c>
      <c r="E1859" s="115">
        <f>IFERROR(__xludf.DUMMYFUNCTION("""COMPUTED_VALUE"""),3117.0)</f>
        <v>3117</v>
      </c>
      <c r="F1859" s="115">
        <f>IFERROR(__xludf.DUMMYFUNCTION("""COMPUTED_VALUE"""),7646.0)</f>
        <v>7646</v>
      </c>
      <c r="G1859" s="115">
        <f>IFERROR(__xludf.DUMMYFUNCTION("""COMPUTED_VALUE"""),1004.0)</f>
        <v>1004</v>
      </c>
      <c r="H1859" s="116">
        <f>IFERROR(__xludf.DUMMYFUNCTION("""COMPUTED_VALUE"""),45904.0)</f>
        <v>45904</v>
      </c>
      <c r="I1859" s="115" t="str">
        <f>IFERROR(__xludf.DUMMYFUNCTION("""COMPUTED_VALUE"""),"16")</f>
        <v>16</v>
      </c>
      <c r="J1859" s="115" t="str">
        <f>IFERROR(__xludf.DUMMYFUNCTION("""COMPUTED_VALUE"""),"Amit Kumar Pathak2025-09-0416")</f>
        <v>Amit Kumar Pathak2025-09-0416</v>
      </c>
      <c r="K1859" s="115">
        <f>IFERROR(__xludf.DUMMYFUNCTION("""COMPUTED_VALUE"""),29763.0)</f>
        <v>29763</v>
      </c>
    </row>
    <row r="1860">
      <c r="A1860" s="115" t="str">
        <f>IFERROR(__xludf.DUMMYFUNCTION("""COMPUTED_VALUE"""),"NORTH")</f>
        <v>NORTH</v>
      </c>
      <c r="B1860" s="115" t="str">
        <f>IFERROR(__xludf.DUMMYFUNCTION("""COMPUTED_VALUE"""),"Amit Kumar Pathak")</f>
        <v>Amit Kumar Pathak</v>
      </c>
      <c r="C1860" s="115" t="str">
        <f>IFERROR(__xludf.DUMMYFUNCTION("""COMPUTED_VALUE"""),"FLIPKART")</f>
        <v>FLIPKART</v>
      </c>
      <c r="D1860" s="115">
        <f>IFERROR(__xludf.DUMMYFUNCTION("""COMPUTED_VALUE"""),203471.0)</f>
        <v>203471</v>
      </c>
      <c r="E1860" s="115">
        <f>IFERROR(__xludf.DUMMYFUNCTION("""COMPUTED_VALUE"""),23746.0)</f>
        <v>23746</v>
      </c>
      <c r="F1860" s="115">
        <f>IFERROR(__xludf.DUMMYFUNCTION("""COMPUTED_VALUE"""),104619.0)</f>
        <v>104619</v>
      </c>
      <c r="G1860" s="115">
        <f>IFERROR(__xludf.DUMMYFUNCTION("""COMPUTED_VALUE"""),8890.0)</f>
        <v>8890</v>
      </c>
      <c r="H1860" s="116">
        <f>IFERROR(__xludf.DUMMYFUNCTION("""COMPUTED_VALUE"""),45904.0)</f>
        <v>45904</v>
      </c>
      <c r="I1860" s="115" t="str">
        <f>IFERROR(__xludf.DUMMYFUNCTION("""COMPUTED_VALUE"""),"16")</f>
        <v>16</v>
      </c>
      <c r="J1860" s="115" t="str">
        <f>IFERROR(__xludf.DUMMYFUNCTION("""COMPUTED_VALUE"""),"Amit Kumar Pathak2025-09-0416")</f>
        <v>Amit Kumar Pathak2025-09-0416</v>
      </c>
      <c r="K1860" s="115">
        <f>IFERROR(__xludf.DUMMYFUNCTION("""COMPUTED_VALUE"""),227217.0)</f>
        <v>227217</v>
      </c>
    </row>
    <row r="1861">
      <c r="A1861" s="115" t="str">
        <f>IFERROR(__xludf.DUMMYFUNCTION("""COMPUTED_VALUE"""),"NORTH")</f>
        <v>NORTH</v>
      </c>
      <c r="B1861" s="115" t="str">
        <f>IFERROR(__xludf.DUMMYFUNCTION("""COMPUTED_VALUE"""),"Amit Kumar Pathak")</f>
        <v>Amit Kumar Pathak</v>
      </c>
      <c r="C1861" s="115" t="str">
        <f>IFERROR(__xludf.DUMMYFUNCTION("""COMPUTED_VALUE"""),"MYNTRA")</f>
        <v>MYNTRA</v>
      </c>
      <c r="D1861" s="115">
        <f>IFERROR(__xludf.DUMMYFUNCTION("""COMPUTED_VALUE"""),19313.0)</f>
        <v>19313</v>
      </c>
      <c r="E1861" s="115">
        <f>IFERROR(__xludf.DUMMYFUNCTION("""COMPUTED_VALUE"""),5855.0)</f>
        <v>5855</v>
      </c>
      <c r="F1861" s="115">
        <f>IFERROR(__xludf.DUMMYFUNCTION("""COMPUTED_VALUE"""),11775.0)</f>
        <v>11775</v>
      </c>
      <c r="G1861" s="115">
        <f>IFERROR(__xludf.DUMMYFUNCTION("""COMPUTED_VALUE"""),2484.0)</f>
        <v>2484</v>
      </c>
      <c r="H1861" s="116">
        <f>IFERROR(__xludf.DUMMYFUNCTION("""COMPUTED_VALUE"""),45904.0)</f>
        <v>45904</v>
      </c>
      <c r="I1861" s="115" t="str">
        <f>IFERROR(__xludf.DUMMYFUNCTION("""COMPUTED_VALUE"""),"16")</f>
        <v>16</v>
      </c>
      <c r="J1861" s="115" t="str">
        <f>IFERROR(__xludf.DUMMYFUNCTION("""COMPUTED_VALUE"""),"Amit Kumar Pathak2025-09-0416")</f>
        <v>Amit Kumar Pathak2025-09-0416</v>
      </c>
      <c r="K1861" s="115">
        <f>IFERROR(__xludf.DUMMYFUNCTION("""COMPUTED_VALUE"""),25168.0)</f>
        <v>25168</v>
      </c>
    </row>
    <row r="1862">
      <c r="A1862" s="115" t="str">
        <f>IFERROR(__xludf.DUMMYFUNCTION("""COMPUTED_VALUE"""),"NORTH")</f>
        <v>NORTH</v>
      </c>
      <c r="B1862" s="115" t="str">
        <f>IFERROR(__xludf.DUMMYFUNCTION("""COMPUTED_VALUE"""),"Loveleen Singh")</f>
        <v>Loveleen Singh</v>
      </c>
      <c r="C1862" s="115" t="str">
        <f>IFERROR(__xludf.DUMMYFUNCTION("""COMPUTED_VALUE"""),"EXTERNAL")</f>
        <v>EXTERNAL</v>
      </c>
      <c r="D1862" s="115">
        <f>IFERROR(__xludf.DUMMYFUNCTION("""COMPUTED_VALUE"""),33746.0)</f>
        <v>33746</v>
      </c>
      <c r="E1862" s="115">
        <f>IFERROR(__xludf.DUMMYFUNCTION("""COMPUTED_VALUE"""),2256.0)</f>
        <v>2256</v>
      </c>
      <c r="F1862" s="115">
        <f>IFERROR(__xludf.DUMMYFUNCTION("""COMPUTED_VALUE"""),9987.0)</f>
        <v>9987</v>
      </c>
      <c r="G1862" s="115">
        <f>IFERROR(__xludf.DUMMYFUNCTION("""COMPUTED_VALUE"""),433.0)</f>
        <v>433</v>
      </c>
      <c r="H1862" s="116">
        <f>IFERROR(__xludf.DUMMYFUNCTION("""COMPUTED_VALUE"""),45904.0)</f>
        <v>45904</v>
      </c>
      <c r="I1862" s="115" t="str">
        <f>IFERROR(__xludf.DUMMYFUNCTION("""COMPUTED_VALUE"""),"16")</f>
        <v>16</v>
      </c>
      <c r="J1862" s="115" t="str">
        <f>IFERROR(__xludf.DUMMYFUNCTION("""COMPUTED_VALUE"""),"Loveleen Singh2025-09-0416")</f>
        <v>Loveleen Singh2025-09-0416</v>
      </c>
      <c r="K1862" s="115">
        <f>IFERROR(__xludf.DUMMYFUNCTION("""COMPUTED_VALUE"""),36002.0)</f>
        <v>36002</v>
      </c>
    </row>
    <row r="1863">
      <c r="A1863" s="115" t="str">
        <f>IFERROR(__xludf.DUMMYFUNCTION("""COMPUTED_VALUE"""),"NORTH")</f>
        <v>NORTH</v>
      </c>
      <c r="B1863" s="115" t="str">
        <f>IFERROR(__xludf.DUMMYFUNCTION("""COMPUTED_VALUE"""),"Loveleen Singh")</f>
        <v>Loveleen Singh</v>
      </c>
      <c r="C1863" s="115" t="str">
        <f>IFERROR(__xludf.DUMMYFUNCTION("""COMPUTED_VALUE"""),"FLIPKART")</f>
        <v>FLIPKART</v>
      </c>
      <c r="D1863" s="115">
        <f>IFERROR(__xludf.DUMMYFUNCTION("""COMPUTED_VALUE"""),162290.0)</f>
        <v>162290</v>
      </c>
      <c r="E1863" s="115">
        <f>IFERROR(__xludf.DUMMYFUNCTION("""COMPUTED_VALUE"""),17140.0)</f>
        <v>17140</v>
      </c>
      <c r="F1863" s="115">
        <f>IFERROR(__xludf.DUMMYFUNCTION("""COMPUTED_VALUE"""),92253.0)</f>
        <v>92253</v>
      </c>
      <c r="G1863" s="115">
        <f>IFERROR(__xludf.DUMMYFUNCTION("""COMPUTED_VALUE"""),5185.0)</f>
        <v>5185</v>
      </c>
      <c r="H1863" s="116">
        <f>IFERROR(__xludf.DUMMYFUNCTION("""COMPUTED_VALUE"""),45904.0)</f>
        <v>45904</v>
      </c>
      <c r="I1863" s="115" t="str">
        <f>IFERROR(__xludf.DUMMYFUNCTION("""COMPUTED_VALUE"""),"16")</f>
        <v>16</v>
      </c>
      <c r="J1863" s="115" t="str">
        <f>IFERROR(__xludf.DUMMYFUNCTION("""COMPUTED_VALUE"""),"Loveleen Singh2025-09-0416")</f>
        <v>Loveleen Singh2025-09-0416</v>
      </c>
      <c r="K1863" s="115">
        <f>IFERROR(__xludf.DUMMYFUNCTION("""COMPUTED_VALUE"""),179430.0)</f>
        <v>179430</v>
      </c>
    </row>
    <row r="1864">
      <c r="A1864" s="115" t="str">
        <f>IFERROR(__xludf.DUMMYFUNCTION("""COMPUTED_VALUE"""),"NORTH")</f>
        <v>NORTH</v>
      </c>
      <c r="B1864" s="115" t="str">
        <f>IFERROR(__xludf.DUMMYFUNCTION("""COMPUTED_VALUE"""),"Loveleen Singh")</f>
        <v>Loveleen Singh</v>
      </c>
      <c r="C1864" s="115" t="str">
        <f>IFERROR(__xludf.DUMMYFUNCTION("""COMPUTED_VALUE"""),"MYNTRA")</f>
        <v>MYNTRA</v>
      </c>
      <c r="D1864" s="115">
        <f>IFERROR(__xludf.DUMMYFUNCTION("""COMPUTED_VALUE"""),24354.0)</f>
        <v>24354</v>
      </c>
      <c r="E1864" s="115">
        <f>IFERROR(__xludf.DUMMYFUNCTION("""COMPUTED_VALUE"""),6366.0)</f>
        <v>6366</v>
      </c>
      <c r="F1864" s="115">
        <f>IFERROR(__xludf.DUMMYFUNCTION("""COMPUTED_VALUE"""),15960.0)</f>
        <v>15960</v>
      </c>
      <c r="G1864" s="115">
        <f>IFERROR(__xludf.DUMMYFUNCTION("""COMPUTED_VALUE"""),2124.0)</f>
        <v>2124</v>
      </c>
      <c r="H1864" s="116">
        <f>IFERROR(__xludf.DUMMYFUNCTION("""COMPUTED_VALUE"""),45904.0)</f>
        <v>45904</v>
      </c>
      <c r="I1864" s="115" t="str">
        <f>IFERROR(__xludf.DUMMYFUNCTION("""COMPUTED_VALUE"""),"16")</f>
        <v>16</v>
      </c>
      <c r="J1864" s="115" t="str">
        <f>IFERROR(__xludf.DUMMYFUNCTION("""COMPUTED_VALUE"""),"Loveleen Singh2025-09-0416")</f>
        <v>Loveleen Singh2025-09-0416</v>
      </c>
      <c r="K1864" s="115">
        <f>IFERROR(__xludf.DUMMYFUNCTION("""COMPUTED_VALUE"""),30720.0)</f>
        <v>30720</v>
      </c>
    </row>
    <row r="1865">
      <c r="A1865" s="115" t="str">
        <f>IFERROR(__xludf.DUMMYFUNCTION("""COMPUTED_VALUE"""),"NORTH")</f>
        <v>NORTH</v>
      </c>
      <c r="B1865" s="115" t="str">
        <f>IFERROR(__xludf.DUMMYFUNCTION("""COMPUTED_VALUE"""),"Manoj Harsh")</f>
        <v>Manoj Harsh</v>
      </c>
      <c r="C1865" s="115" t="str">
        <f>IFERROR(__xludf.DUMMYFUNCTION("""COMPUTED_VALUE"""),"EXTERNAL")</f>
        <v>EXTERNAL</v>
      </c>
      <c r="D1865" s="115">
        <f>IFERROR(__xludf.DUMMYFUNCTION("""COMPUTED_VALUE"""),32025.0)</f>
        <v>32025</v>
      </c>
      <c r="E1865" s="115">
        <f>IFERROR(__xludf.DUMMYFUNCTION("""COMPUTED_VALUE"""),3071.0)</f>
        <v>3071</v>
      </c>
      <c r="F1865" s="115">
        <f>IFERROR(__xludf.DUMMYFUNCTION("""COMPUTED_VALUE"""),10991.0)</f>
        <v>10991</v>
      </c>
      <c r="G1865" s="115">
        <f>IFERROR(__xludf.DUMMYFUNCTION("""COMPUTED_VALUE"""),587.0)</f>
        <v>587</v>
      </c>
      <c r="H1865" s="116">
        <f>IFERROR(__xludf.DUMMYFUNCTION("""COMPUTED_VALUE"""),45904.0)</f>
        <v>45904</v>
      </c>
      <c r="I1865" s="115" t="str">
        <f>IFERROR(__xludf.DUMMYFUNCTION("""COMPUTED_VALUE"""),"16")</f>
        <v>16</v>
      </c>
      <c r="J1865" s="115" t="str">
        <f>IFERROR(__xludf.DUMMYFUNCTION("""COMPUTED_VALUE"""),"Manoj Harsh2025-09-0416")</f>
        <v>Manoj Harsh2025-09-0416</v>
      </c>
      <c r="K1865" s="115">
        <f>IFERROR(__xludf.DUMMYFUNCTION("""COMPUTED_VALUE"""),35096.0)</f>
        <v>35096</v>
      </c>
    </row>
    <row r="1866">
      <c r="A1866" s="115" t="str">
        <f>IFERROR(__xludf.DUMMYFUNCTION("""COMPUTED_VALUE"""),"NORTH")</f>
        <v>NORTH</v>
      </c>
      <c r="B1866" s="115" t="str">
        <f>IFERROR(__xludf.DUMMYFUNCTION("""COMPUTED_VALUE"""),"Manoj Harsh")</f>
        <v>Manoj Harsh</v>
      </c>
      <c r="C1866" s="115" t="str">
        <f>IFERROR(__xludf.DUMMYFUNCTION("""COMPUTED_VALUE"""),"FLIPKART")</f>
        <v>FLIPKART</v>
      </c>
      <c r="D1866" s="115">
        <f>IFERROR(__xludf.DUMMYFUNCTION("""COMPUTED_VALUE"""),403908.0)</f>
        <v>403908</v>
      </c>
      <c r="E1866" s="115">
        <f>IFERROR(__xludf.DUMMYFUNCTION("""COMPUTED_VALUE"""),40418.0)</f>
        <v>40418</v>
      </c>
      <c r="F1866" s="115">
        <f>IFERROR(__xludf.DUMMYFUNCTION("""COMPUTED_VALUE"""),241342.0)</f>
        <v>241342</v>
      </c>
      <c r="G1866" s="115">
        <f>IFERROR(__xludf.DUMMYFUNCTION("""COMPUTED_VALUE"""),13125.0)</f>
        <v>13125</v>
      </c>
      <c r="H1866" s="116">
        <f>IFERROR(__xludf.DUMMYFUNCTION("""COMPUTED_VALUE"""),45904.0)</f>
        <v>45904</v>
      </c>
      <c r="I1866" s="115" t="str">
        <f>IFERROR(__xludf.DUMMYFUNCTION("""COMPUTED_VALUE"""),"16")</f>
        <v>16</v>
      </c>
      <c r="J1866" s="115" t="str">
        <f>IFERROR(__xludf.DUMMYFUNCTION("""COMPUTED_VALUE"""),"Manoj Harsh2025-09-0416")</f>
        <v>Manoj Harsh2025-09-0416</v>
      </c>
      <c r="K1866" s="115">
        <f>IFERROR(__xludf.DUMMYFUNCTION("""COMPUTED_VALUE"""),444326.0)</f>
        <v>444326</v>
      </c>
    </row>
    <row r="1867">
      <c r="A1867" s="115" t="str">
        <f>IFERROR(__xludf.DUMMYFUNCTION("""COMPUTED_VALUE"""),"NORTH")</f>
        <v>NORTH</v>
      </c>
      <c r="B1867" s="115" t="str">
        <f>IFERROR(__xludf.DUMMYFUNCTION("""COMPUTED_VALUE"""),"Manoj Harsh")</f>
        <v>Manoj Harsh</v>
      </c>
      <c r="C1867" s="115" t="str">
        <f>IFERROR(__xludf.DUMMYFUNCTION("""COMPUTED_VALUE"""),"MYNTRA")</f>
        <v>MYNTRA</v>
      </c>
      <c r="D1867" s="115">
        <f>IFERROR(__xludf.DUMMYFUNCTION("""COMPUTED_VALUE"""),36416.0)</f>
        <v>36416</v>
      </c>
      <c r="E1867" s="115">
        <f>IFERROR(__xludf.DUMMYFUNCTION("""COMPUTED_VALUE"""),8084.0)</f>
        <v>8084</v>
      </c>
      <c r="F1867" s="115">
        <f>IFERROR(__xludf.DUMMYFUNCTION("""COMPUTED_VALUE"""),24271.0)</f>
        <v>24271</v>
      </c>
      <c r="G1867" s="115">
        <f>IFERROR(__xludf.DUMMYFUNCTION("""COMPUTED_VALUE"""),3126.0)</f>
        <v>3126</v>
      </c>
      <c r="H1867" s="116">
        <f>IFERROR(__xludf.DUMMYFUNCTION("""COMPUTED_VALUE"""),45904.0)</f>
        <v>45904</v>
      </c>
      <c r="I1867" s="115" t="str">
        <f>IFERROR(__xludf.DUMMYFUNCTION("""COMPUTED_VALUE"""),"16")</f>
        <v>16</v>
      </c>
      <c r="J1867" s="115" t="str">
        <f>IFERROR(__xludf.DUMMYFUNCTION("""COMPUTED_VALUE"""),"Manoj Harsh2025-09-0416")</f>
        <v>Manoj Harsh2025-09-0416</v>
      </c>
      <c r="K1867" s="115">
        <f>IFERROR(__xludf.DUMMYFUNCTION("""COMPUTED_VALUE"""),44500.0)</f>
        <v>44500</v>
      </c>
    </row>
    <row r="1868">
      <c r="A1868" s="115" t="str">
        <f>IFERROR(__xludf.DUMMYFUNCTION("""COMPUTED_VALUE"""),"NORTH")</f>
        <v>NORTH</v>
      </c>
      <c r="B1868" s="115" t="str">
        <f>IFERROR(__xludf.DUMMYFUNCTION("""COMPUTED_VALUE"""),"Pradeep Kothari")</f>
        <v>Pradeep Kothari</v>
      </c>
      <c r="C1868" s="115" t="str">
        <f>IFERROR(__xludf.DUMMYFUNCTION("""COMPUTED_VALUE"""),"EXTERNAL")</f>
        <v>EXTERNAL</v>
      </c>
      <c r="D1868" s="115">
        <f>IFERROR(__xludf.DUMMYFUNCTION("""COMPUTED_VALUE"""),18055.0)</f>
        <v>18055</v>
      </c>
      <c r="E1868" s="115">
        <f>IFERROR(__xludf.DUMMYFUNCTION("""COMPUTED_VALUE"""),1973.0)</f>
        <v>1973</v>
      </c>
      <c r="F1868" s="115">
        <f>IFERROR(__xludf.DUMMYFUNCTION("""COMPUTED_VALUE"""),6319.0)</f>
        <v>6319</v>
      </c>
      <c r="G1868" s="115">
        <f>IFERROR(__xludf.DUMMYFUNCTION("""COMPUTED_VALUE"""),565.0)</f>
        <v>565</v>
      </c>
      <c r="H1868" s="116">
        <f>IFERROR(__xludf.DUMMYFUNCTION("""COMPUTED_VALUE"""),45904.0)</f>
        <v>45904</v>
      </c>
      <c r="I1868" s="115" t="str">
        <f>IFERROR(__xludf.DUMMYFUNCTION("""COMPUTED_VALUE"""),"16")</f>
        <v>16</v>
      </c>
      <c r="J1868" s="115" t="str">
        <f>IFERROR(__xludf.DUMMYFUNCTION("""COMPUTED_VALUE"""),"Pradeep Kothari2025-09-0416")</f>
        <v>Pradeep Kothari2025-09-0416</v>
      </c>
      <c r="K1868" s="115">
        <f>IFERROR(__xludf.DUMMYFUNCTION("""COMPUTED_VALUE"""),20028.0)</f>
        <v>20028</v>
      </c>
    </row>
    <row r="1869">
      <c r="A1869" s="115" t="str">
        <f>IFERROR(__xludf.DUMMYFUNCTION("""COMPUTED_VALUE"""),"NORTH")</f>
        <v>NORTH</v>
      </c>
      <c r="B1869" s="115" t="str">
        <f>IFERROR(__xludf.DUMMYFUNCTION("""COMPUTED_VALUE"""),"Pradeep Kothari")</f>
        <v>Pradeep Kothari</v>
      </c>
      <c r="C1869" s="115" t="str">
        <f>IFERROR(__xludf.DUMMYFUNCTION("""COMPUTED_VALUE"""),"FLIPKART")</f>
        <v>FLIPKART</v>
      </c>
      <c r="D1869" s="115">
        <f>IFERROR(__xludf.DUMMYFUNCTION("""COMPUTED_VALUE"""),144445.0)</f>
        <v>144445</v>
      </c>
      <c r="E1869" s="115">
        <f>IFERROR(__xludf.DUMMYFUNCTION("""COMPUTED_VALUE"""),17589.0)</f>
        <v>17589</v>
      </c>
      <c r="F1869" s="115">
        <f>IFERROR(__xludf.DUMMYFUNCTION("""COMPUTED_VALUE"""),91355.0)</f>
        <v>91355</v>
      </c>
      <c r="G1869" s="115">
        <f>IFERROR(__xludf.DUMMYFUNCTION("""COMPUTED_VALUE"""),6967.0)</f>
        <v>6967</v>
      </c>
      <c r="H1869" s="116">
        <f>IFERROR(__xludf.DUMMYFUNCTION("""COMPUTED_VALUE"""),45904.0)</f>
        <v>45904</v>
      </c>
      <c r="I1869" s="115" t="str">
        <f>IFERROR(__xludf.DUMMYFUNCTION("""COMPUTED_VALUE"""),"16")</f>
        <v>16</v>
      </c>
      <c r="J1869" s="115" t="str">
        <f>IFERROR(__xludf.DUMMYFUNCTION("""COMPUTED_VALUE"""),"Pradeep Kothari2025-09-0416")</f>
        <v>Pradeep Kothari2025-09-0416</v>
      </c>
      <c r="K1869" s="115">
        <f>IFERROR(__xludf.DUMMYFUNCTION("""COMPUTED_VALUE"""),162034.0)</f>
        <v>162034</v>
      </c>
    </row>
    <row r="1870">
      <c r="A1870" s="115" t="str">
        <f>IFERROR(__xludf.DUMMYFUNCTION("""COMPUTED_VALUE"""),"NORTH")</f>
        <v>NORTH</v>
      </c>
      <c r="B1870" s="115" t="str">
        <f>IFERROR(__xludf.DUMMYFUNCTION("""COMPUTED_VALUE"""),"Pradeep Kothari")</f>
        <v>Pradeep Kothari</v>
      </c>
      <c r="C1870" s="115" t="str">
        <f>IFERROR(__xludf.DUMMYFUNCTION("""COMPUTED_VALUE"""),"MYNTRA")</f>
        <v>MYNTRA</v>
      </c>
      <c r="D1870" s="115">
        <f>IFERROR(__xludf.DUMMYFUNCTION("""COMPUTED_VALUE"""),23253.0)</f>
        <v>23253</v>
      </c>
      <c r="E1870" s="115">
        <f>IFERROR(__xludf.DUMMYFUNCTION("""COMPUTED_VALUE"""),6758.0)</f>
        <v>6758</v>
      </c>
      <c r="F1870" s="115">
        <f>IFERROR(__xludf.DUMMYFUNCTION("""COMPUTED_VALUE"""),16675.0)</f>
        <v>16675</v>
      </c>
      <c r="G1870" s="115">
        <f>IFERROR(__xludf.DUMMYFUNCTION("""COMPUTED_VALUE"""),3044.0)</f>
        <v>3044</v>
      </c>
      <c r="H1870" s="116">
        <f>IFERROR(__xludf.DUMMYFUNCTION("""COMPUTED_VALUE"""),45904.0)</f>
        <v>45904</v>
      </c>
      <c r="I1870" s="115" t="str">
        <f>IFERROR(__xludf.DUMMYFUNCTION("""COMPUTED_VALUE"""),"16")</f>
        <v>16</v>
      </c>
      <c r="J1870" s="115" t="str">
        <f>IFERROR(__xludf.DUMMYFUNCTION("""COMPUTED_VALUE"""),"Pradeep Kothari2025-09-0416")</f>
        <v>Pradeep Kothari2025-09-0416</v>
      </c>
      <c r="K1870" s="115">
        <f>IFERROR(__xludf.DUMMYFUNCTION("""COMPUTED_VALUE"""),30011.0)</f>
        <v>30011</v>
      </c>
    </row>
    <row r="1871">
      <c r="A1871" s="115" t="str">
        <f>IFERROR(__xludf.DUMMYFUNCTION("""COMPUTED_VALUE"""),"SOUTH")</f>
        <v>SOUTH</v>
      </c>
      <c r="B1871" s="115" t="str">
        <f>IFERROR(__xludf.DUMMYFUNCTION("""COMPUTED_VALUE"""),"Kandula Sampath")</f>
        <v>Kandula Sampath</v>
      </c>
      <c r="C1871" s="115" t="str">
        <f>IFERROR(__xludf.DUMMYFUNCTION("""COMPUTED_VALUE"""),"EXTERNAL")</f>
        <v>EXTERNAL</v>
      </c>
      <c r="D1871" s="115">
        <f>IFERROR(__xludf.DUMMYFUNCTION("""COMPUTED_VALUE"""),32798.0)</f>
        <v>32798</v>
      </c>
      <c r="E1871" s="115">
        <f>IFERROR(__xludf.DUMMYFUNCTION("""COMPUTED_VALUE"""),3925.0)</f>
        <v>3925</v>
      </c>
      <c r="F1871" s="115">
        <f>IFERROR(__xludf.DUMMYFUNCTION("""COMPUTED_VALUE"""),11055.0)</f>
        <v>11055</v>
      </c>
      <c r="G1871" s="115">
        <f>IFERROR(__xludf.DUMMYFUNCTION("""COMPUTED_VALUE"""),857.0)</f>
        <v>857</v>
      </c>
      <c r="H1871" s="116">
        <f>IFERROR(__xludf.DUMMYFUNCTION("""COMPUTED_VALUE"""),45904.0)</f>
        <v>45904</v>
      </c>
      <c r="I1871" s="115" t="str">
        <f>IFERROR(__xludf.DUMMYFUNCTION("""COMPUTED_VALUE"""),"16")</f>
        <v>16</v>
      </c>
      <c r="J1871" s="115" t="str">
        <f>IFERROR(__xludf.DUMMYFUNCTION("""COMPUTED_VALUE"""),"Kandula Sampath2025-09-0416")</f>
        <v>Kandula Sampath2025-09-0416</v>
      </c>
      <c r="K1871" s="115">
        <f>IFERROR(__xludf.DUMMYFUNCTION("""COMPUTED_VALUE"""),36723.0)</f>
        <v>36723</v>
      </c>
    </row>
    <row r="1872">
      <c r="A1872" s="115" t="str">
        <f>IFERROR(__xludf.DUMMYFUNCTION("""COMPUTED_VALUE"""),"SOUTH")</f>
        <v>SOUTH</v>
      </c>
      <c r="B1872" s="115" t="str">
        <f>IFERROR(__xludf.DUMMYFUNCTION("""COMPUTED_VALUE"""),"Kandula Sampath")</f>
        <v>Kandula Sampath</v>
      </c>
      <c r="C1872" s="115" t="str">
        <f>IFERROR(__xludf.DUMMYFUNCTION("""COMPUTED_VALUE"""),"FLIPKART")</f>
        <v>FLIPKART</v>
      </c>
      <c r="D1872" s="115">
        <f>IFERROR(__xludf.DUMMYFUNCTION("""COMPUTED_VALUE"""),286924.0)</f>
        <v>286924</v>
      </c>
      <c r="E1872" s="115">
        <f>IFERROR(__xludf.DUMMYFUNCTION("""COMPUTED_VALUE"""),32227.0)</f>
        <v>32227</v>
      </c>
      <c r="F1872" s="115">
        <f>IFERROR(__xludf.DUMMYFUNCTION("""COMPUTED_VALUE"""),172653.0)</f>
        <v>172653</v>
      </c>
      <c r="G1872" s="115">
        <f>IFERROR(__xludf.DUMMYFUNCTION("""COMPUTED_VALUE"""),10145.0)</f>
        <v>10145</v>
      </c>
      <c r="H1872" s="116">
        <f>IFERROR(__xludf.DUMMYFUNCTION("""COMPUTED_VALUE"""),45904.0)</f>
        <v>45904</v>
      </c>
      <c r="I1872" s="115" t="str">
        <f>IFERROR(__xludf.DUMMYFUNCTION("""COMPUTED_VALUE"""),"16")</f>
        <v>16</v>
      </c>
      <c r="J1872" s="115" t="str">
        <f>IFERROR(__xludf.DUMMYFUNCTION("""COMPUTED_VALUE"""),"Kandula Sampath2025-09-0416")</f>
        <v>Kandula Sampath2025-09-0416</v>
      </c>
      <c r="K1872" s="115">
        <f>IFERROR(__xludf.DUMMYFUNCTION("""COMPUTED_VALUE"""),319151.0)</f>
        <v>319151</v>
      </c>
    </row>
    <row r="1873">
      <c r="A1873" s="115" t="str">
        <f>IFERROR(__xludf.DUMMYFUNCTION("""COMPUTED_VALUE"""),"SOUTH")</f>
        <v>SOUTH</v>
      </c>
      <c r="B1873" s="115" t="str">
        <f>IFERROR(__xludf.DUMMYFUNCTION("""COMPUTED_VALUE"""),"Kandula Sampath")</f>
        <v>Kandula Sampath</v>
      </c>
      <c r="C1873" s="115" t="str">
        <f>IFERROR(__xludf.DUMMYFUNCTION("""COMPUTED_VALUE"""),"MYNTRA")</f>
        <v>MYNTRA</v>
      </c>
      <c r="D1873" s="115">
        <f>IFERROR(__xludf.DUMMYFUNCTION("""COMPUTED_VALUE"""),29295.0)</f>
        <v>29295</v>
      </c>
      <c r="E1873" s="115">
        <f>IFERROR(__xludf.DUMMYFUNCTION("""COMPUTED_VALUE"""),8164.0)</f>
        <v>8164</v>
      </c>
      <c r="F1873" s="115">
        <f>IFERROR(__xludf.DUMMYFUNCTION("""COMPUTED_VALUE"""),19649.0)</f>
        <v>19649</v>
      </c>
      <c r="G1873" s="115">
        <f>IFERROR(__xludf.DUMMYFUNCTION("""COMPUTED_VALUE"""),2711.0)</f>
        <v>2711</v>
      </c>
      <c r="H1873" s="116">
        <f>IFERROR(__xludf.DUMMYFUNCTION("""COMPUTED_VALUE"""),45904.0)</f>
        <v>45904</v>
      </c>
      <c r="I1873" s="115" t="str">
        <f>IFERROR(__xludf.DUMMYFUNCTION("""COMPUTED_VALUE"""),"16")</f>
        <v>16</v>
      </c>
      <c r="J1873" s="115" t="str">
        <f>IFERROR(__xludf.DUMMYFUNCTION("""COMPUTED_VALUE"""),"Kandula Sampath2025-09-0416")</f>
        <v>Kandula Sampath2025-09-0416</v>
      </c>
      <c r="K1873" s="115">
        <f>IFERROR(__xludf.DUMMYFUNCTION("""COMPUTED_VALUE"""),37459.0)</f>
        <v>37459</v>
      </c>
    </row>
    <row r="1874">
      <c r="A1874" s="115" t="str">
        <f>IFERROR(__xludf.DUMMYFUNCTION("""COMPUTED_VALUE"""),"SOUTH")</f>
        <v>SOUTH</v>
      </c>
      <c r="B1874" s="115" t="str">
        <f>IFERROR(__xludf.DUMMYFUNCTION("""COMPUTED_VALUE"""),"Martin A")</f>
        <v>Martin A</v>
      </c>
      <c r="C1874" s="115" t="str">
        <f>IFERROR(__xludf.DUMMYFUNCTION("""COMPUTED_VALUE"""),"EXTERNAL")</f>
        <v>EXTERNAL</v>
      </c>
      <c r="D1874" s="115">
        <f>IFERROR(__xludf.DUMMYFUNCTION("""COMPUTED_VALUE"""),31035.0)</f>
        <v>31035</v>
      </c>
      <c r="E1874" s="115">
        <f>IFERROR(__xludf.DUMMYFUNCTION("""COMPUTED_VALUE"""),3349.0)</f>
        <v>3349</v>
      </c>
      <c r="F1874" s="115">
        <f>IFERROR(__xludf.DUMMYFUNCTION("""COMPUTED_VALUE"""),10346.0)</f>
        <v>10346</v>
      </c>
      <c r="G1874" s="115">
        <f>IFERROR(__xludf.DUMMYFUNCTION("""COMPUTED_VALUE"""),1266.0)</f>
        <v>1266</v>
      </c>
      <c r="H1874" s="116">
        <f>IFERROR(__xludf.DUMMYFUNCTION("""COMPUTED_VALUE"""),45904.0)</f>
        <v>45904</v>
      </c>
      <c r="I1874" s="115" t="str">
        <f>IFERROR(__xludf.DUMMYFUNCTION("""COMPUTED_VALUE"""),"16")</f>
        <v>16</v>
      </c>
      <c r="J1874" s="115" t="str">
        <f>IFERROR(__xludf.DUMMYFUNCTION("""COMPUTED_VALUE"""),"Martin A2025-09-0416")</f>
        <v>Martin A2025-09-0416</v>
      </c>
      <c r="K1874" s="115">
        <f>IFERROR(__xludf.DUMMYFUNCTION("""COMPUTED_VALUE"""),34384.0)</f>
        <v>34384</v>
      </c>
    </row>
    <row r="1875">
      <c r="A1875" s="115" t="str">
        <f>IFERROR(__xludf.DUMMYFUNCTION("""COMPUTED_VALUE"""),"SOUTH")</f>
        <v>SOUTH</v>
      </c>
      <c r="B1875" s="115" t="str">
        <f>IFERROR(__xludf.DUMMYFUNCTION("""COMPUTED_VALUE"""),"Martin A")</f>
        <v>Martin A</v>
      </c>
      <c r="C1875" s="115" t="str">
        <f>IFERROR(__xludf.DUMMYFUNCTION("""COMPUTED_VALUE"""),"FLIPKART")</f>
        <v>FLIPKART</v>
      </c>
      <c r="D1875" s="115">
        <f>IFERROR(__xludf.DUMMYFUNCTION("""COMPUTED_VALUE"""),251441.0)</f>
        <v>251441</v>
      </c>
      <c r="E1875" s="115">
        <f>IFERROR(__xludf.DUMMYFUNCTION("""COMPUTED_VALUE"""),27549.0)</f>
        <v>27549</v>
      </c>
      <c r="F1875" s="115">
        <f>IFERROR(__xludf.DUMMYFUNCTION("""COMPUTED_VALUE"""),150058.0)</f>
        <v>150058</v>
      </c>
      <c r="G1875" s="115">
        <f>IFERROR(__xludf.DUMMYFUNCTION("""COMPUTED_VALUE"""),10491.0)</f>
        <v>10491</v>
      </c>
      <c r="H1875" s="116">
        <f>IFERROR(__xludf.DUMMYFUNCTION("""COMPUTED_VALUE"""),45904.0)</f>
        <v>45904</v>
      </c>
      <c r="I1875" s="115" t="str">
        <f>IFERROR(__xludf.DUMMYFUNCTION("""COMPUTED_VALUE"""),"16")</f>
        <v>16</v>
      </c>
      <c r="J1875" s="115" t="str">
        <f>IFERROR(__xludf.DUMMYFUNCTION("""COMPUTED_VALUE"""),"Martin A2025-09-0416")</f>
        <v>Martin A2025-09-0416</v>
      </c>
      <c r="K1875" s="115">
        <f>IFERROR(__xludf.DUMMYFUNCTION("""COMPUTED_VALUE"""),278990.0)</f>
        <v>278990</v>
      </c>
    </row>
    <row r="1876">
      <c r="A1876" s="115" t="str">
        <f>IFERROR(__xludf.DUMMYFUNCTION("""COMPUTED_VALUE"""),"SOUTH")</f>
        <v>SOUTH</v>
      </c>
      <c r="B1876" s="115" t="str">
        <f>IFERROR(__xludf.DUMMYFUNCTION("""COMPUTED_VALUE"""),"Martin A")</f>
        <v>Martin A</v>
      </c>
      <c r="C1876" s="115" t="str">
        <f>IFERROR(__xludf.DUMMYFUNCTION("""COMPUTED_VALUE"""),"MYNTRA")</f>
        <v>MYNTRA</v>
      </c>
      <c r="D1876" s="115">
        <f>IFERROR(__xludf.DUMMYFUNCTION("""COMPUTED_VALUE"""),21127.0)</f>
        <v>21127</v>
      </c>
      <c r="E1876" s="115">
        <f>IFERROR(__xludf.DUMMYFUNCTION("""COMPUTED_VALUE"""),6450.0)</f>
        <v>6450</v>
      </c>
      <c r="F1876" s="115">
        <f>IFERROR(__xludf.DUMMYFUNCTION("""COMPUTED_VALUE"""),14158.0)</f>
        <v>14158</v>
      </c>
      <c r="G1876" s="115">
        <f>IFERROR(__xludf.DUMMYFUNCTION("""COMPUTED_VALUE"""),2696.0)</f>
        <v>2696</v>
      </c>
      <c r="H1876" s="116">
        <f>IFERROR(__xludf.DUMMYFUNCTION("""COMPUTED_VALUE"""),45904.0)</f>
        <v>45904</v>
      </c>
      <c r="I1876" s="115" t="str">
        <f>IFERROR(__xludf.DUMMYFUNCTION("""COMPUTED_VALUE"""),"16")</f>
        <v>16</v>
      </c>
      <c r="J1876" s="115" t="str">
        <f>IFERROR(__xludf.DUMMYFUNCTION("""COMPUTED_VALUE"""),"Martin A2025-09-0416")</f>
        <v>Martin A2025-09-0416</v>
      </c>
      <c r="K1876" s="115">
        <f>IFERROR(__xludf.DUMMYFUNCTION("""COMPUTED_VALUE"""),27577.0)</f>
        <v>27577</v>
      </c>
    </row>
    <row r="1877">
      <c r="A1877" s="115" t="str">
        <f>IFERROR(__xludf.DUMMYFUNCTION("""COMPUTED_VALUE"""),"SOUTH")</f>
        <v>SOUTH</v>
      </c>
      <c r="B1877" s="115" t="str">
        <f>IFERROR(__xludf.DUMMYFUNCTION("""COMPUTED_VALUE"""),"Premkumar M")</f>
        <v>Premkumar M</v>
      </c>
      <c r="C1877" s="115" t="str">
        <f>IFERROR(__xludf.DUMMYFUNCTION("""COMPUTED_VALUE"""),"EXTERNAL")</f>
        <v>EXTERNAL</v>
      </c>
      <c r="D1877" s="115">
        <f>IFERROR(__xludf.DUMMYFUNCTION("""COMPUTED_VALUE"""),26280.0)</f>
        <v>26280</v>
      </c>
      <c r="E1877" s="115">
        <f>IFERROR(__xludf.DUMMYFUNCTION("""COMPUTED_VALUE"""),1818.0)</f>
        <v>1818</v>
      </c>
      <c r="F1877" s="115">
        <f>IFERROR(__xludf.DUMMYFUNCTION("""COMPUTED_VALUE"""),8962.0)</f>
        <v>8962</v>
      </c>
      <c r="G1877" s="115">
        <f>IFERROR(__xludf.DUMMYFUNCTION("""COMPUTED_VALUE"""),185.0)</f>
        <v>185</v>
      </c>
      <c r="H1877" s="116">
        <f>IFERROR(__xludf.DUMMYFUNCTION("""COMPUTED_VALUE"""),45904.0)</f>
        <v>45904</v>
      </c>
      <c r="I1877" s="115" t="str">
        <f>IFERROR(__xludf.DUMMYFUNCTION("""COMPUTED_VALUE"""),"16")</f>
        <v>16</v>
      </c>
      <c r="J1877" s="115" t="str">
        <f>IFERROR(__xludf.DUMMYFUNCTION("""COMPUTED_VALUE"""),"Premkumar M2025-09-0416")</f>
        <v>Premkumar M2025-09-0416</v>
      </c>
      <c r="K1877" s="115">
        <f>IFERROR(__xludf.DUMMYFUNCTION("""COMPUTED_VALUE"""),28098.0)</f>
        <v>28098</v>
      </c>
    </row>
    <row r="1878">
      <c r="A1878" s="115" t="str">
        <f>IFERROR(__xludf.DUMMYFUNCTION("""COMPUTED_VALUE"""),"SOUTH")</f>
        <v>SOUTH</v>
      </c>
      <c r="B1878" s="115" t="str">
        <f>IFERROR(__xludf.DUMMYFUNCTION("""COMPUTED_VALUE"""),"Premkumar M")</f>
        <v>Premkumar M</v>
      </c>
      <c r="C1878" s="115" t="str">
        <f>IFERROR(__xludf.DUMMYFUNCTION("""COMPUTED_VALUE"""),"FLIPKART")</f>
        <v>FLIPKART</v>
      </c>
      <c r="D1878" s="115">
        <f>IFERROR(__xludf.DUMMYFUNCTION("""COMPUTED_VALUE"""),251907.0)</f>
        <v>251907</v>
      </c>
      <c r="E1878" s="115">
        <f>IFERROR(__xludf.DUMMYFUNCTION("""COMPUTED_VALUE"""),18194.0)</f>
        <v>18194</v>
      </c>
      <c r="F1878" s="115">
        <f>IFERROR(__xludf.DUMMYFUNCTION("""COMPUTED_VALUE"""),131006.0)</f>
        <v>131006</v>
      </c>
      <c r="G1878" s="115">
        <f>IFERROR(__xludf.DUMMYFUNCTION("""COMPUTED_VALUE"""),2799.0)</f>
        <v>2799</v>
      </c>
      <c r="H1878" s="116">
        <f>IFERROR(__xludf.DUMMYFUNCTION("""COMPUTED_VALUE"""),45904.0)</f>
        <v>45904</v>
      </c>
      <c r="I1878" s="115" t="str">
        <f>IFERROR(__xludf.DUMMYFUNCTION("""COMPUTED_VALUE"""),"16")</f>
        <v>16</v>
      </c>
      <c r="J1878" s="115" t="str">
        <f>IFERROR(__xludf.DUMMYFUNCTION("""COMPUTED_VALUE"""),"Premkumar M2025-09-0416")</f>
        <v>Premkumar M2025-09-0416</v>
      </c>
      <c r="K1878" s="115">
        <f>IFERROR(__xludf.DUMMYFUNCTION("""COMPUTED_VALUE"""),270101.0)</f>
        <v>270101</v>
      </c>
    </row>
    <row r="1879">
      <c r="A1879" s="115" t="str">
        <f>IFERROR(__xludf.DUMMYFUNCTION("""COMPUTED_VALUE"""),"SOUTH")</f>
        <v>SOUTH</v>
      </c>
      <c r="B1879" s="115" t="str">
        <f>IFERROR(__xludf.DUMMYFUNCTION("""COMPUTED_VALUE"""),"Premkumar M")</f>
        <v>Premkumar M</v>
      </c>
      <c r="C1879" s="115" t="str">
        <f>IFERROR(__xludf.DUMMYFUNCTION("""COMPUTED_VALUE"""),"MYNTRA")</f>
        <v>MYNTRA</v>
      </c>
      <c r="D1879" s="115">
        <f>IFERROR(__xludf.DUMMYFUNCTION("""COMPUTED_VALUE"""),12320.0)</f>
        <v>12320</v>
      </c>
      <c r="E1879" s="115">
        <f>IFERROR(__xludf.DUMMYFUNCTION("""COMPUTED_VALUE"""),2746.0)</f>
        <v>2746</v>
      </c>
      <c r="F1879" s="115">
        <f>IFERROR(__xludf.DUMMYFUNCTION("""COMPUTED_VALUE"""),7486.0)</f>
        <v>7486</v>
      </c>
      <c r="G1879" s="115">
        <f>IFERROR(__xludf.DUMMYFUNCTION("""COMPUTED_VALUE"""),456.0)</f>
        <v>456</v>
      </c>
      <c r="H1879" s="116">
        <f>IFERROR(__xludf.DUMMYFUNCTION("""COMPUTED_VALUE"""),45904.0)</f>
        <v>45904</v>
      </c>
      <c r="I1879" s="115" t="str">
        <f>IFERROR(__xludf.DUMMYFUNCTION("""COMPUTED_VALUE"""),"16")</f>
        <v>16</v>
      </c>
      <c r="J1879" s="115" t="str">
        <f>IFERROR(__xludf.DUMMYFUNCTION("""COMPUTED_VALUE"""),"Premkumar M2025-09-0416")</f>
        <v>Premkumar M2025-09-0416</v>
      </c>
      <c r="K1879" s="115">
        <f>IFERROR(__xludf.DUMMYFUNCTION("""COMPUTED_VALUE"""),15066.0)</f>
        <v>15066</v>
      </c>
    </row>
    <row r="1880">
      <c r="A1880" s="115" t="str">
        <f>IFERROR(__xludf.DUMMYFUNCTION("""COMPUTED_VALUE"""),"SOUTH")</f>
        <v>SOUTH</v>
      </c>
      <c r="B1880" s="115" t="str">
        <f>IFERROR(__xludf.DUMMYFUNCTION("""COMPUTED_VALUE"""),"Vineeth V")</f>
        <v>Vineeth V</v>
      </c>
      <c r="C1880" s="115" t="str">
        <f>IFERROR(__xludf.DUMMYFUNCTION("""COMPUTED_VALUE"""),"EXTERNAL")</f>
        <v>EXTERNAL</v>
      </c>
      <c r="D1880" s="115">
        <f>IFERROR(__xludf.DUMMYFUNCTION("""COMPUTED_VALUE"""),18862.0)</f>
        <v>18862</v>
      </c>
      <c r="E1880" s="115">
        <f>IFERROR(__xludf.DUMMYFUNCTION("""COMPUTED_VALUE"""),717.0)</f>
        <v>717</v>
      </c>
      <c r="F1880" s="115">
        <f>IFERROR(__xludf.DUMMYFUNCTION("""COMPUTED_VALUE"""),7508.0)</f>
        <v>7508</v>
      </c>
      <c r="G1880" s="115">
        <f>IFERROR(__xludf.DUMMYFUNCTION("""COMPUTED_VALUE"""),138.0)</f>
        <v>138</v>
      </c>
      <c r="H1880" s="116">
        <f>IFERROR(__xludf.DUMMYFUNCTION("""COMPUTED_VALUE"""),45904.0)</f>
        <v>45904</v>
      </c>
      <c r="I1880" s="115" t="str">
        <f>IFERROR(__xludf.DUMMYFUNCTION("""COMPUTED_VALUE"""),"16")</f>
        <v>16</v>
      </c>
      <c r="J1880" s="115" t="str">
        <f>IFERROR(__xludf.DUMMYFUNCTION("""COMPUTED_VALUE"""),"Vineeth V2025-09-0416")</f>
        <v>Vineeth V2025-09-0416</v>
      </c>
      <c r="K1880" s="115">
        <f>IFERROR(__xludf.DUMMYFUNCTION("""COMPUTED_VALUE"""),19579.0)</f>
        <v>19579</v>
      </c>
    </row>
    <row r="1881">
      <c r="A1881" s="115" t="str">
        <f>IFERROR(__xludf.DUMMYFUNCTION("""COMPUTED_VALUE"""),"SOUTH")</f>
        <v>SOUTH</v>
      </c>
      <c r="B1881" s="115" t="str">
        <f>IFERROR(__xludf.DUMMYFUNCTION("""COMPUTED_VALUE"""),"Vineeth V")</f>
        <v>Vineeth V</v>
      </c>
      <c r="C1881" s="115" t="str">
        <f>IFERROR(__xludf.DUMMYFUNCTION("""COMPUTED_VALUE"""),"FLIPKART")</f>
        <v>FLIPKART</v>
      </c>
      <c r="D1881" s="115">
        <f>IFERROR(__xludf.DUMMYFUNCTION("""COMPUTED_VALUE"""),201942.0)</f>
        <v>201942</v>
      </c>
      <c r="E1881" s="115">
        <f>IFERROR(__xludf.DUMMYFUNCTION("""COMPUTED_VALUE"""),16382.0)</f>
        <v>16382</v>
      </c>
      <c r="F1881" s="115">
        <f>IFERROR(__xludf.DUMMYFUNCTION("""COMPUTED_VALUE"""),126167.0)</f>
        <v>126167</v>
      </c>
      <c r="G1881" s="115">
        <f>IFERROR(__xludf.DUMMYFUNCTION("""COMPUTED_VALUE"""),3424.0)</f>
        <v>3424</v>
      </c>
      <c r="H1881" s="116">
        <f>IFERROR(__xludf.DUMMYFUNCTION("""COMPUTED_VALUE"""),45904.0)</f>
        <v>45904</v>
      </c>
      <c r="I1881" s="115" t="str">
        <f>IFERROR(__xludf.DUMMYFUNCTION("""COMPUTED_VALUE"""),"16")</f>
        <v>16</v>
      </c>
      <c r="J1881" s="115" t="str">
        <f>IFERROR(__xludf.DUMMYFUNCTION("""COMPUTED_VALUE"""),"Vineeth V2025-09-0416")</f>
        <v>Vineeth V2025-09-0416</v>
      </c>
      <c r="K1881" s="115">
        <f>IFERROR(__xludf.DUMMYFUNCTION("""COMPUTED_VALUE"""),218324.0)</f>
        <v>218324</v>
      </c>
    </row>
    <row r="1882">
      <c r="A1882" s="115" t="str">
        <f>IFERROR(__xludf.DUMMYFUNCTION("""COMPUTED_VALUE"""),"SOUTH")</f>
        <v>SOUTH</v>
      </c>
      <c r="B1882" s="115" t="str">
        <f>IFERROR(__xludf.DUMMYFUNCTION("""COMPUTED_VALUE"""),"Vineeth V")</f>
        <v>Vineeth V</v>
      </c>
      <c r="C1882" s="115" t="str">
        <f>IFERROR(__xludf.DUMMYFUNCTION("""COMPUTED_VALUE"""),"MYNTRA")</f>
        <v>MYNTRA</v>
      </c>
      <c r="D1882" s="115">
        <f>IFERROR(__xludf.DUMMYFUNCTION("""COMPUTED_VALUE"""),17362.0)</f>
        <v>17362</v>
      </c>
      <c r="E1882" s="115">
        <f>IFERROR(__xludf.DUMMYFUNCTION("""COMPUTED_VALUE"""),4067.0)</f>
        <v>4067</v>
      </c>
      <c r="F1882" s="115">
        <f>IFERROR(__xludf.DUMMYFUNCTION("""COMPUTED_VALUE"""),11824.0)</f>
        <v>11824</v>
      </c>
      <c r="G1882" s="115">
        <f>IFERROR(__xludf.DUMMYFUNCTION("""COMPUTED_VALUE"""),956.0)</f>
        <v>956</v>
      </c>
      <c r="H1882" s="116">
        <f>IFERROR(__xludf.DUMMYFUNCTION("""COMPUTED_VALUE"""),45904.0)</f>
        <v>45904</v>
      </c>
      <c r="I1882" s="115" t="str">
        <f>IFERROR(__xludf.DUMMYFUNCTION("""COMPUTED_VALUE"""),"16")</f>
        <v>16</v>
      </c>
      <c r="J1882" s="115" t="str">
        <f>IFERROR(__xludf.DUMMYFUNCTION("""COMPUTED_VALUE"""),"Vineeth V2025-09-0416")</f>
        <v>Vineeth V2025-09-0416</v>
      </c>
      <c r="K1882" s="115">
        <f>IFERROR(__xludf.DUMMYFUNCTION("""COMPUTED_VALUE"""),21429.0)</f>
        <v>21429</v>
      </c>
    </row>
    <row r="1883">
      <c r="A1883" s="115" t="str">
        <f>IFERROR(__xludf.DUMMYFUNCTION("""COMPUTED_VALUE"""),"WEST")</f>
        <v>WEST</v>
      </c>
      <c r="B1883" s="115" t="str">
        <f>IFERROR(__xludf.DUMMYFUNCTION("""COMPUTED_VALUE"""),"Ashish Jakar")</f>
        <v>Ashish Jakar</v>
      </c>
      <c r="C1883" s="115" t="str">
        <f>IFERROR(__xludf.DUMMYFUNCTION("""COMPUTED_VALUE"""),"EXTERNAL")</f>
        <v>EXTERNAL</v>
      </c>
      <c r="D1883" s="115">
        <f>IFERROR(__xludf.DUMMYFUNCTION("""COMPUTED_VALUE"""),55836.0)</f>
        <v>55836</v>
      </c>
      <c r="E1883" s="115">
        <f>IFERROR(__xludf.DUMMYFUNCTION("""COMPUTED_VALUE"""),6353.0)</f>
        <v>6353</v>
      </c>
      <c r="F1883" s="115">
        <f>IFERROR(__xludf.DUMMYFUNCTION("""COMPUTED_VALUE"""),17524.0)</f>
        <v>17524</v>
      </c>
      <c r="G1883" s="115">
        <f>IFERROR(__xludf.DUMMYFUNCTION("""COMPUTED_VALUE"""),1784.0)</f>
        <v>1784</v>
      </c>
      <c r="H1883" s="116">
        <f>IFERROR(__xludf.DUMMYFUNCTION("""COMPUTED_VALUE"""),45904.0)</f>
        <v>45904</v>
      </c>
      <c r="I1883" s="115" t="str">
        <f>IFERROR(__xludf.DUMMYFUNCTION("""COMPUTED_VALUE"""),"16")</f>
        <v>16</v>
      </c>
      <c r="J1883" s="115" t="str">
        <f>IFERROR(__xludf.DUMMYFUNCTION("""COMPUTED_VALUE"""),"Ashish Jakar2025-09-0416")</f>
        <v>Ashish Jakar2025-09-0416</v>
      </c>
      <c r="K1883" s="115">
        <f>IFERROR(__xludf.DUMMYFUNCTION("""COMPUTED_VALUE"""),62189.0)</f>
        <v>62189</v>
      </c>
    </row>
    <row r="1884">
      <c r="A1884" s="115" t="str">
        <f>IFERROR(__xludf.DUMMYFUNCTION("""COMPUTED_VALUE"""),"WEST")</f>
        <v>WEST</v>
      </c>
      <c r="B1884" s="115" t="str">
        <f>IFERROR(__xludf.DUMMYFUNCTION("""COMPUTED_VALUE"""),"Ashish Jakar")</f>
        <v>Ashish Jakar</v>
      </c>
      <c r="C1884" s="115" t="str">
        <f>IFERROR(__xludf.DUMMYFUNCTION("""COMPUTED_VALUE"""),"FLIPKART")</f>
        <v>FLIPKART</v>
      </c>
      <c r="D1884" s="115">
        <f>IFERROR(__xludf.DUMMYFUNCTION("""COMPUTED_VALUE"""),316270.0)</f>
        <v>316270</v>
      </c>
      <c r="E1884" s="115">
        <f>IFERROR(__xludf.DUMMYFUNCTION("""COMPUTED_VALUE"""),34359.0)</f>
        <v>34359</v>
      </c>
      <c r="F1884" s="115">
        <f>IFERROR(__xludf.DUMMYFUNCTION("""COMPUTED_VALUE"""),178028.0)</f>
        <v>178028</v>
      </c>
      <c r="G1884" s="115">
        <f>IFERROR(__xludf.DUMMYFUNCTION("""COMPUTED_VALUE"""),11962.0)</f>
        <v>11962</v>
      </c>
      <c r="H1884" s="116">
        <f>IFERROR(__xludf.DUMMYFUNCTION("""COMPUTED_VALUE"""),45904.0)</f>
        <v>45904</v>
      </c>
      <c r="I1884" s="115" t="str">
        <f>IFERROR(__xludf.DUMMYFUNCTION("""COMPUTED_VALUE"""),"16")</f>
        <v>16</v>
      </c>
      <c r="J1884" s="115" t="str">
        <f>IFERROR(__xludf.DUMMYFUNCTION("""COMPUTED_VALUE"""),"Ashish Jakar2025-09-0416")</f>
        <v>Ashish Jakar2025-09-0416</v>
      </c>
      <c r="K1884" s="115">
        <f>IFERROR(__xludf.DUMMYFUNCTION("""COMPUTED_VALUE"""),350629.0)</f>
        <v>350629</v>
      </c>
    </row>
    <row r="1885">
      <c r="A1885" s="115" t="str">
        <f>IFERROR(__xludf.DUMMYFUNCTION("""COMPUTED_VALUE"""),"WEST")</f>
        <v>WEST</v>
      </c>
      <c r="B1885" s="115" t="str">
        <f>IFERROR(__xludf.DUMMYFUNCTION("""COMPUTED_VALUE"""),"Ashish Jakar")</f>
        <v>Ashish Jakar</v>
      </c>
      <c r="C1885" s="115" t="str">
        <f>IFERROR(__xludf.DUMMYFUNCTION("""COMPUTED_VALUE"""),"MYNTRA")</f>
        <v>MYNTRA</v>
      </c>
      <c r="D1885" s="115">
        <f>IFERROR(__xludf.DUMMYFUNCTION("""COMPUTED_VALUE"""),37759.0)</f>
        <v>37759</v>
      </c>
      <c r="E1885" s="115">
        <f>IFERROR(__xludf.DUMMYFUNCTION("""COMPUTED_VALUE"""),10791.0)</f>
        <v>10791</v>
      </c>
      <c r="F1885" s="115">
        <f>IFERROR(__xludf.DUMMYFUNCTION("""COMPUTED_VALUE"""),24829.0)</f>
        <v>24829</v>
      </c>
      <c r="G1885" s="115">
        <f>IFERROR(__xludf.DUMMYFUNCTION("""COMPUTED_VALUE"""),3969.0)</f>
        <v>3969</v>
      </c>
      <c r="H1885" s="116">
        <f>IFERROR(__xludf.DUMMYFUNCTION("""COMPUTED_VALUE"""),45904.0)</f>
        <v>45904</v>
      </c>
      <c r="I1885" s="115" t="str">
        <f>IFERROR(__xludf.DUMMYFUNCTION("""COMPUTED_VALUE"""),"16")</f>
        <v>16</v>
      </c>
      <c r="J1885" s="115" t="str">
        <f>IFERROR(__xludf.DUMMYFUNCTION("""COMPUTED_VALUE"""),"Ashish Jakar2025-09-0416")</f>
        <v>Ashish Jakar2025-09-0416</v>
      </c>
      <c r="K1885" s="115">
        <f>IFERROR(__xludf.DUMMYFUNCTION("""COMPUTED_VALUE"""),48550.0)</f>
        <v>48550</v>
      </c>
    </row>
    <row r="1886">
      <c r="A1886" s="115" t="str">
        <f>IFERROR(__xludf.DUMMYFUNCTION("""COMPUTED_VALUE"""),"WEST")</f>
        <v>WEST</v>
      </c>
      <c r="B1886" s="115" t="str">
        <f>IFERROR(__xludf.DUMMYFUNCTION("""COMPUTED_VALUE"""),"Ashvani Bhatt")</f>
        <v>Ashvani Bhatt</v>
      </c>
      <c r="C1886" s="115" t="str">
        <f>IFERROR(__xludf.DUMMYFUNCTION("""COMPUTED_VALUE"""),"EXTERNAL")</f>
        <v>EXTERNAL</v>
      </c>
      <c r="D1886" s="115">
        <f>IFERROR(__xludf.DUMMYFUNCTION("""COMPUTED_VALUE"""),36861.0)</f>
        <v>36861</v>
      </c>
      <c r="E1886" s="115">
        <f>IFERROR(__xludf.DUMMYFUNCTION("""COMPUTED_VALUE"""),3363.0)</f>
        <v>3363</v>
      </c>
      <c r="F1886" s="115">
        <f>IFERROR(__xludf.DUMMYFUNCTION("""COMPUTED_VALUE"""),12832.0)</f>
        <v>12832</v>
      </c>
      <c r="G1886" s="115">
        <f>IFERROR(__xludf.DUMMYFUNCTION("""COMPUTED_VALUE"""),710.0)</f>
        <v>710</v>
      </c>
      <c r="H1886" s="116">
        <f>IFERROR(__xludf.DUMMYFUNCTION("""COMPUTED_VALUE"""),45904.0)</f>
        <v>45904</v>
      </c>
      <c r="I1886" s="115" t="str">
        <f>IFERROR(__xludf.DUMMYFUNCTION("""COMPUTED_VALUE"""),"16")</f>
        <v>16</v>
      </c>
      <c r="J1886" s="115" t="str">
        <f>IFERROR(__xludf.DUMMYFUNCTION("""COMPUTED_VALUE"""),"Ashvani Bhatt2025-09-0416")</f>
        <v>Ashvani Bhatt2025-09-0416</v>
      </c>
      <c r="K1886" s="115">
        <f>IFERROR(__xludf.DUMMYFUNCTION("""COMPUTED_VALUE"""),40224.0)</f>
        <v>40224</v>
      </c>
    </row>
    <row r="1887">
      <c r="A1887" s="115" t="str">
        <f>IFERROR(__xludf.DUMMYFUNCTION("""COMPUTED_VALUE"""),"WEST")</f>
        <v>WEST</v>
      </c>
      <c r="B1887" s="115" t="str">
        <f>IFERROR(__xludf.DUMMYFUNCTION("""COMPUTED_VALUE"""),"Ashvani Bhatt")</f>
        <v>Ashvani Bhatt</v>
      </c>
      <c r="C1887" s="115" t="str">
        <f>IFERROR(__xludf.DUMMYFUNCTION("""COMPUTED_VALUE"""),"FLIPKART")</f>
        <v>FLIPKART</v>
      </c>
      <c r="D1887" s="115">
        <f>IFERROR(__xludf.DUMMYFUNCTION("""COMPUTED_VALUE"""),259834.0)</f>
        <v>259834</v>
      </c>
      <c r="E1887" s="115">
        <f>IFERROR(__xludf.DUMMYFUNCTION("""COMPUTED_VALUE"""),28097.0)</f>
        <v>28097</v>
      </c>
      <c r="F1887" s="115">
        <f>IFERROR(__xludf.DUMMYFUNCTION("""COMPUTED_VALUE"""),161723.0)</f>
        <v>161723</v>
      </c>
      <c r="G1887" s="115">
        <f>IFERROR(__xludf.DUMMYFUNCTION("""COMPUTED_VALUE"""),9730.0)</f>
        <v>9730</v>
      </c>
      <c r="H1887" s="116">
        <f>IFERROR(__xludf.DUMMYFUNCTION("""COMPUTED_VALUE"""),45904.0)</f>
        <v>45904</v>
      </c>
      <c r="I1887" s="115" t="str">
        <f>IFERROR(__xludf.DUMMYFUNCTION("""COMPUTED_VALUE"""),"16")</f>
        <v>16</v>
      </c>
      <c r="J1887" s="115" t="str">
        <f>IFERROR(__xludf.DUMMYFUNCTION("""COMPUTED_VALUE"""),"Ashvani Bhatt2025-09-0416")</f>
        <v>Ashvani Bhatt2025-09-0416</v>
      </c>
      <c r="K1887" s="115">
        <f>IFERROR(__xludf.DUMMYFUNCTION("""COMPUTED_VALUE"""),287931.0)</f>
        <v>287931</v>
      </c>
    </row>
    <row r="1888">
      <c r="A1888" s="115" t="str">
        <f>IFERROR(__xludf.DUMMYFUNCTION("""COMPUTED_VALUE"""),"WEST")</f>
        <v>WEST</v>
      </c>
      <c r="B1888" s="115" t="str">
        <f>IFERROR(__xludf.DUMMYFUNCTION("""COMPUTED_VALUE"""),"Ashvani Bhatt")</f>
        <v>Ashvani Bhatt</v>
      </c>
      <c r="C1888" s="115" t="str">
        <f>IFERROR(__xludf.DUMMYFUNCTION("""COMPUTED_VALUE"""),"MYNTRA")</f>
        <v>MYNTRA</v>
      </c>
      <c r="D1888" s="115">
        <f>IFERROR(__xludf.DUMMYFUNCTION("""COMPUTED_VALUE"""),32651.0)</f>
        <v>32651</v>
      </c>
      <c r="E1888" s="115">
        <f>IFERROR(__xludf.DUMMYFUNCTION("""COMPUTED_VALUE"""),8505.0)</f>
        <v>8505</v>
      </c>
      <c r="F1888" s="115">
        <f>IFERROR(__xludf.DUMMYFUNCTION("""COMPUTED_VALUE"""),24003.0)</f>
        <v>24003</v>
      </c>
      <c r="G1888" s="115">
        <f>IFERROR(__xludf.DUMMYFUNCTION("""COMPUTED_VALUE"""),3556.0)</f>
        <v>3556</v>
      </c>
      <c r="H1888" s="116">
        <f>IFERROR(__xludf.DUMMYFUNCTION("""COMPUTED_VALUE"""),45904.0)</f>
        <v>45904</v>
      </c>
      <c r="I1888" s="115" t="str">
        <f>IFERROR(__xludf.DUMMYFUNCTION("""COMPUTED_VALUE"""),"16")</f>
        <v>16</v>
      </c>
      <c r="J1888" s="115" t="str">
        <f>IFERROR(__xludf.DUMMYFUNCTION("""COMPUTED_VALUE"""),"Ashvani Bhatt2025-09-0416")</f>
        <v>Ashvani Bhatt2025-09-0416</v>
      </c>
      <c r="K1888" s="115">
        <f>IFERROR(__xludf.DUMMYFUNCTION("""COMPUTED_VALUE"""),41156.0)</f>
        <v>41156</v>
      </c>
    </row>
    <row r="1889">
      <c r="A1889" s="115"/>
      <c r="B1889" s="115"/>
      <c r="C1889" s="115" t="str">
        <f>IFERROR(__xludf.DUMMYFUNCTION("""COMPUTED_VALUE"""),"EXTERNAL")</f>
        <v>EXTERNAL</v>
      </c>
      <c r="D1889" s="115">
        <f>IFERROR(__xludf.DUMMYFUNCTION("""COMPUTED_VALUE"""),1189.0)</f>
        <v>1189</v>
      </c>
      <c r="E1889" s="115">
        <f>IFERROR(__xludf.DUMMYFUNCTION("""COMPUTED_VALUE"""),224.0)</f>
        <v>224</v>
      </c>
      <c r="F1889" s="115">
        <f>IFERROR(__xludf.DUMMYFUNCTION("""COMPUTED_VALUE"""),398.0)</f>
        <v>398</v>
      </c>
      <c r="G1889" s="115">
        <f>IFERROR(__xludf.DUMMYFUNCTION("""COMPUTED_VALUE"""),78.0)</f>
        <v>78</v>
      </c>
      <c r="H1889" s="116">
        <f>IFERROR(__xludf.DUMMYFUNCTION("""COMPUTED_VALUE"""),45904.0)</f>
        <v>45904</v>
      </c>
      <c r="I1889" s="115" t="str">
        <f>IFERROR(__xludf.DUMMYFUNCTION("""COMPUTED_VALUE"""),"16")</f>
        <v>16</v>
      </c>
      <c r="J1889" s="115" t="str">
        <f>IFERROR(__xludf.DUMMYFUNCTION("""COMPUTED_VALUE"""),"2025-09-0416")</f>
        <v>2025-09-0416</v>
      </c>
      <c r="K1889" s="115">
        <f>IFERROR(__xludf.DUMMYFUNCTION("""COMPUTED_VALUE"""),1413.0)</f>
        <v>1413</v>
      </c>
    </row>
    <row r="1890">
      <c r="A1890" s="115"/>
      <c r="B1890" s="115"/>
      <c r="C1890" s="115" t="str">
        <f>IFERROR(__xludf.DUMMYFUNCTION("""COMPUTED_VALUE"""),"FLIPKART")</f>
        <v>FLIPKART</v>
      </c>
      <c r="D1890" s="115">
        <f>IFERROR(__xludf.DUMMYFUNCTION("""COMPUTED_VALUE"""),8223.0)</f>
        <v>8223</v>
      </c>
      <c r="E1890" s="115">
        <f>IFERROR(__xludf.DUMMYFUNCTION("""COMPUTED_VALUE"""),1117.0)</f>
        <v>1117</v>
      </c>
      <c r="F1890" s="115">
        <f>IFERROR(__xludf.DUMMYFUNCTION("""COMPUTED_VALUE"""),4887.0)</f>
        <v>4887</v>
      </c>
      <c r="G1890" s="115">
        <f>IFERROR(__xludf.DUMMYFUNCTION("""COMPUTED_VALUE"""),343.0)</f>
        <v>343</v>
      </c>
      <c r="H1890" s="116">
        <f>IFERROR(__xludf.DUMMYFUNCTION("""COMPUTED_VALUE"""),45904.0)</f>
        <v>45904</v>
      </c>
      <c r="I1890" s="115" t="str">
        <f>IFERROR(__xludf.DUMMYFUNCTION("""COMPUTED_VALUE"""),"16")</f>
        <v>16</v>
      </c>
      <c r="J1890" s="115" t="str">
        <f>IFERROR(__xludf.DUMMYFUNCTION("""COMPUTED_VALUE"""),"2025-09-0416")</f>
        <v>2025-09-0416</v>
      </c>
      <c r="K1890" s="115">
        <f>IFERROR(__xludf.DUMMYFUNCTION("""COMPUTED_VALUE"""),9340.0)</f>
        <v>9340</v>
      </c>
    </row>
    <row r="1891">
      <c r="A1891" s="115"/>
      <c r="B1891" s="115"/>
      <c r="C1891" s="115" t="str">
        <f>IFERROR(__xludf.DUMMYFUNCTION("""COMPUTED_VALUE"""),"MYNTRA")</f>
        <v>MYNTRA</v>
      </c>
      <c r="D1891" s="115">
        <f>IFERROR(__xludf.DUMMYFUNCTION("""COMPUTED_VALUE"""),875.0)</f>
        <v>875</v>
      </c>
      <c r="E1891" s="115">
        <f>IFERROR(__xludf.DUMMYFUNCTION("""COMPUTED_VALUE"""),322.0)</f>
        <v>322</v>
      </c>
      <c r="F1891" s="115">
        <f>IFERROR(__xludf.DUMMYFUNCTION("""COMPUTED_VALUE"""),542.0)</f>
        <v>542</v>
      </c>
      <c r="G1891" s="115">
        <f>IFERROR(__xludf.DUMMYFUNCTION("""COMPUTED_VALUE"""),134.0)</f>
        <v>134</v>
      </c>
      <c r="H1891" s="116">
        <f>IFERROR(__xludf.DUMMYFUNCTION("""COMPUTED_VALUE"""),45904.0)</f>
        <v>45904</v>
      </c>
      <c r="I1891" s="115" t="str">
        <f>IFERROR(__xludf.DUMMYFUNCTION("""COMPUTED_VALUE"""),"16")</f>
        <v>16</v>
      </c>
      <c r="J1891" s="115" t="str">
        <f>IFERROR(__xludf.DUMMYFUNCTION("""COMPUTED_VALUE"""),"2025-09-0416")</f>
        <v>2025-09-0416</v>
      </c>
      <c r="K1891" s="115">
        <f>IFERROR(__xludf.DUMMYFUNCTION("""COMPUTED_VALUE"""),1197.0)</f>
        <v>1197</v>
      </c>
    </row>
    <row r="1892">
      <c r="A1892" s="115" t="str">
        <f>IFERROR(__xludf.DUMMYFUNCTION("""COMPUTED_VALUE"""),"EAST")</f>
        <v>EAST</v>
      </c>
      <c r="B1892" s="115" t="str">
        <f>IFERROR(__xludf.DUMMYFUNCTION("""COMPUTED_VALUE"""),"Ashish Ranjan")</f>
        <v>Ashish Ranjan</v>
      </c>
      <c r="C1892" s="115" t="str">
        <f>IFERROR(__xludf.DUMMYFUNCTION("""COMPUTED_VALUE"""),"EXTERNAL")</f>
        <v>EXTERNAL</v>
      </c>
      <c r="D1892" s="115">
        <f>IFERROR(__xludf.DUMMYFUNCTION("""COMPUTED_VALUE"""),34984.0)</f>
        <v>34984</v>
      </c>
      <c r="E1892" s="115">
        <f>IFERROR(__xludf.DUMMYFUNCTION("""COMPUTED_VALUE"""),3408.0)</f>
        <v>3408</v>
      </c>
      <c r="F1892" s="115">
        <f>IFERROR(__xludf.DUMMYFUNCTION("""COMPUTED_VALUE"""),16752.0)</f>
        <v>16752</v>
      </c>
      <c r="G1892" s="115">
        <f>IFERROR(__xludf.DUMMYFUNCTION("""COMPUTED_VALUE"""),1269.0)</f>
        <v>1269</v>
      </c>
      <c r="H1892" s="116">
        <f>IFERROR(__xludf.DUMMYFUNCTION("""COMPUTED_VALUE"""),45904.0)</f>
        <v>45904</v>
      </c>
      <c r="I1892" s="115" t="str">
        <f>IFERROR(__xludf.DUMMYFUNCTION("""COMPUTED_VALUE"""),"17")</f>
        <v>17</v>
      </c>
      <c r="J1892" s="115" t="str">
        <f>IFERROR(__xludf.DUMMYFUNCTION("""COMPUTED_VALUE"""),"Ashish Ranjan2025-09-0417")</f>
        <v>Ashish Ranjan2025-09-0417</v>
      </c>
      <c r="K1892" s="115">
        <f>IFERROR(__xludf.DUMMYFUNCTION("""COMPUTED_VALUE"""),38392.0)</f>
        <v>38392</v>
      </c>
    </row>
    <row r="1893">
      <c r="A1893" s="115" t="str">
        <f>IFERROR(__xludf.DUMMYFUNCTION("""COMPUTED_VALUE"""),"EAST")</f>
        <v>EAST</v>
      </c>
      <c r="B1893" s="115" t="str">
        <f>IFERROR(__xludf.DUMMYFUNCTION("""COMPUTED_VALUE"""),"Ashish Ranjan")</f>
        <v>Ashish Ranjan</v>
      </c>
      <c r="C1893" s="115" t="str">
        <f>IFERROR(__xludf.DUMMYFUNCTION("""COMPUTED_VALUE"""),"FLIPKART")</f>
        <v>FLIPKART</v>
      </c>
      <c r="D1893" s="115">
        <f>IFERROR(__xludf.DUMMYFUNCTION("""COMPUTED_VALUE"""),559663.0)</f>
        <v>559663</v>
      </c>
      <c r="E1893" s="115">
        <f>IFERROR(__xludf.DUMMYFUNCTION("""COMPUTED_VALUE"""),59586.0)</f>
        <v>59586</v>
      </c>
      <c r="F1893" s="115">
        <f>IFERROR(__xludf.DUMMYFUNCTION("""COMPUTED_VALUE"""),430026.0)</f>
        <v>430026</v>
      </c>
      <c r="G1893" s="115">
        <f>IFERROR(__xludf.DUMMYFUNCTION("""COMPUTED_VALUE"""),33388.0)</f>
        <v>33388</v>
      </c>
      <c r="H1893" s="116">
        <f>IFERROR(__xludf.DUMMYFUNCTION("""COMPUTED_VALUE"""),45904.0)</f>
        <v>45904</v>
      </c>
      <c r="I1893" s="115" t="str">
        <f>IFERROR(__xludf.DUMMYFUNCTION("""COMPUTED_VALUE"""),"17")</f>
        <v>17</v>
      </c>
      <c r="J1893" s="115" t="str">
        <f>IFERROR(__xludf.DUMMYFUNCTION("""COMPUTED_VALUE"""),"Ashish Ranjan2025-09-0417")</f>
        <v>Ashish Ranjan2025-09-0417</v>
      </c>
      <c r="K1893" s="115">
        <f>IFERROR(__xludf.DUMMYFUNCTION("""COMPUTED_VALUE"""),619249.0)</f>
        <v>619249</v>
      </c>
    </row>
    <row r="1894">
      <c r="A1894" s="115" t="str">
        <f>IFERROR(__xludf.DUMMYFUNCTION("""COMPUTED_VALUE"""),"EAST")</f>
        <v>EAST</v>
      </c>
      <c r="B1894" s="115" t="str">
        <f>IFERROR(__xludf.DUMMYFUNCTION("""COMPUTED_VALUE"""),"Ashish Ranjan")</f>
        <v>Ashish Ranjan</v>
      </c>
      <c r="C1894" s="115" t="str">
        <f>IFERROR(__xludf.DUMMYFUNCTION("""COMPUTED_VALUE"""),"MYNTRA")</f>
        <v>MYNTRA</v>
      </c>
      <c r="D1894" s="115">
        <f>IFERROR(__xludf.DUMMYFUNCTION("""COMPUTED_VALUE"""),55597.0)</f>
        <v>55597</v>
      </c>
      <c r="E1894" s="115">
        <f>IFERROR(__xludf.DUMMYFUNCTION("""COMPUTED_VALUE"""),12427.0)</f>
        <v>12427</v>
      </c>
      <c r="F1894" s="115">
        <f>IFERROR(__xludf.DUMMYFUNCTION("""COMPUTED_VALUE"""),43016.0)</f>
        <v>43016</v>
      </c>
      <c r="G1894" s="115">
        <f>IFERROR(__xludf.DUMMYFUNCTION("""COMPUTED_VALUE"""),7127.0)</f>
        <v>7127</v>
      </c>
      <c r="H1894" s="116">
        <f>IFERROR(__xludf.DUMMYFUNCTION("""COMPUTED_VALUE"""),45904.0)</f>
        <v>45904</v>
      </c>
      <c r="I1894" s="115" t="str">
        <f>IFERROR(__xludf.DUMMYFUNCTION("""COMPUTED_VALUE"""),"17")</f>
        <v>17</v>
      </c>
      <c r="J1894" s="115" t="str">
        <f>IFERROR(__xludf.DUMMYFUNCTION("""COMPUTED_VALUE"""),"Ashish Ranjan2025-09-0417")</f>
        <v>Ashish Ranjan2025-09-0417</v>
      </c>
      <c r="K1894" s="115">
        <f>IFERROR(__xludf.DUMMYFUNCTION("""COMPUTED_VALUE"""),68024.0)</f>
        <v>68024</v>
      </c>
    </row>
    <row r="1895">
      <c r="A1895" s="115" t="str">
        <f>IFERROR(__xludf.DUMMYFUNCTION("""COMPUTED_VALUE"""),"EAST")</f>
        <v>EAST</v>
      </c>
      <c r="B1895" s="115" t="str">
        <f>IFERROR(__xludf.DUMMYFUNCTION("""COMPUTED_VALUE"""),"Girish Chand")</f>
        <v>Girish Chand</v>
      </c>
      <c r="C1895" s="115" t="str">
        <f>IFERROR(__xludf.DUMMYFUNCTION("""COMPUTED_VALUE"""),"EXTERNAL")</f>
        <v>EXTERNAL</v>
      </c>
      <c r="D1895" s="115">
        <f>IFERROR(__xludf.DUMMYFUNCTION("""COMPUTED_VALUE"""),21454.0)</f>
        <v>21454</v>
      </c>
      <c r="E1895" s="115">
        <f>IFERROR(__xludf.DUMMYFUNCTION("""COMPUTED_VALUE"""),1928.0)</f>
        <v>1928</v>
      </c>
      <c r="F1895" s="115">
        <f>IFERROR(__xludf.DUMMYFUNCTION("""COMPUTED_VALUE"""),7900.0)</f>
        <v>7900</v>
      </c>
      <c r="G1895" s="115">
        <f>IFERROR(__xludf.DUMMYFUNCTION("""COMPUTED_VALUE"""),501.0)</f>
        <v>501</v>
      </c>
      <c r="H1895" s="116">
        <f>IFERROR(__xludf.DUMMYFUNCTION("""COMPUTED_VALUE"""),45904.0)</f>
        <v>45904</v>
      </c>
      <c r="I1895" s="115" t="str">
        <f>IFERROR(__xludf.DUMMYFUNCTION("""COMPUTED_VALUE"""),"17")</f>
        <v>17</v>
      </c>
      <c r="J1895" s="115" t="str">
        <f>IFERROR(__xludf.DUMMYFUNCTION("""COMPUTED_VALUE"""),"Girish Chand2025-09-0417")</f>
        <v>Girish Chand2025-09-0417</v>
      </c>
      <c r="K1895" s="115">
        <f>IFERROR(__xludf.DUMMYFUNCTION("""COMPUTED_VALUE"""),23382.0)</f>
        <v>23382</v>
      </c>
    </row>
    <row r="1896">
      <c r="A1896" s="115" t="str">
        <f>IFERROR(__xludf.DUMMYFUNCTION("""COMPUTED_VALUE"""),"EAST")</f>
        <v>EAST</v>
      </c>
      <c r="B1896" s="115" t="str">
        <f>IFERROR(__xludf.DUMMYFUNCTION("""COMPUTED_VALUE"""),"Girish Chand")</f>
        <v>Girish Chand</v>
      </c>
      <c r="C1896" s="115" t="str">
        <f>IFERROR(__xludf.DUMMYFUNCTION("""COMPUTED_VALUE"""),"FLIPKART")</f>
        <v>FLIPKART</v>
      </c>
      <c r="D1896" s="115">
        <f>IFERROR(__xludf.DUMMYFUNCTION("""COMPUTED_VALUE"""),382197.0)</f>
        <v>382197</v>
      </c>
      <c r="E1896" s="115">
        <f>IFERROR(__xludf.DUMMYFUNCTION("""COMPUTED_VALUE"""),39531.0)</f>
        <v>39531</v>
      </c>
      <c r="F1896" s="115">
        <f>IFERROR(__xludf.DUMMYFUNCTION("""COMPUTED_VALUE"""),258576.0)</f>
        <v>258576</v>
      </c>
      <c r="G1896" s="115">
        <f>IFERROR(__xludf.DUMMYFUNCTION("""COMPUTED_VALUE"""),18104.0)</f>
        <v>18104</v>
      </c>
      <c r="H1896" s="116">
        <f>IFERROR(__xludf.DUMMYFUNCTION("""COMPUTED_VALUE"""),45904.0)</f>
        <v>45904</v>
      </c>
      <c r="I1896" s="115" t="str">
        <f>IFERROR(__xludf.DUMMYFUNCTION("""COMPUTED_VALUE"""),"17")</f>
        <v>17</v>
      </c>
      <c r="J1896" s="115" t="str">
        <f>IFERROR(__xludf.DUMMYFUNCTION("""COMPUTED_VALUE"""),"Girish Chand2025-09-0417")</f>
        <v>Girish Chand2025-09-0417</v>
      </c>
      <c r="K1896" s="115">
        <f>IFERROR(__xludf.DUMMYFUNCTION("""COMPUTED_VALUE"""),421728.0)</f>
        <v>421728</v>
      </c>
    </row>
    <row r="1897">
      <c r="A1897" s="115" t="str">
        <f>IFERROR(__xludf.DUMMYFUNCTION("""COMPUTED_VALUE"""),"EAST")</f>
        <v>EAST</v>
      </c>
      <c r="B1897" s="115" t="str">
        <f>IFERROR(__xludf.DUMMYFUNCTION("""COMPUTED_VALUE"""),"Girish Chand")</f>
        <v>Girish Chand</v>
      </c>
      <c r="C1897" s="115" t="str">
        <f>IFERROR(__xludf.DUMMYFUNCTION("""COMPUTED_VALUE"""),"MYNTRA")</f>
        <v>MYNTRA</v>
      </c>
      <c r="D1897" s="115">
        <f>IFERROR(__xludf.DUMMYFUNCTION("""COMPUTED_VALUE"""),30932.0)</f>
        <v>30932</v>
      </c>
      <c r="E1897" s="115">
        <f>IFERROR(__xludf.DUMMYFUNCTION("""COMPUTED_VALUE"""),6927.0)</f>
        <v>6927</v>
      </c>
      <c r="F1897" s="115">
        <f>IFERROR(__xludf.DUMMYFUNCTION("""COMPUTED_VALUE"""),22313.0)</f>
        <v>22313</v>
      </c>
      <c r="G1897" s="115">
        <f>IFERROR(__xludf.DUMMYFUNCTION("""COMPUTED_VALUE"""),3394.0)</f>
        <v>3394</v>
      </c>
      <c r="H1897" s="116">
        <f>IFERROR(__xludf.DUMMYFUNCTION("""COMPUTED_VALUE"""),45904.0)</f>
        <v>45904</v>
      </c>
      <c r="I1897" s="115" t="str">
        <f>IFERROR(__xludf.DUMMYFUNCTION("""COMPUTED_VALUE"""),"17")</f>
        <v>17</v>
      </c>
      <c r="J1897" s="115" t="str">
        <f>IFERROR(__xludf.DUMMYFUNCTION("""COMPUTED_VALUE"""),"Girish Chand2025-09-0417")</f>
        <v>Girish Chand2025-09-0417</v>
      </c>
      <c r="K1897" s="115">
        <f>IFERROR(__xludf.DUMMYFUNCTION("""COMPUTED_VALUE"""),37859.0)</f>
        <v>37859</v>
      </c>
    </row>
    <row r="1898">
      <c r="A1898" s="115" t="str">
        <f>IFERROR(__xludf.DUMMYFUNCTION("""COMPUTED_VALUE"""),"EAST")</f>
        <v>EAST</v>
      </c>
      <c r="B1898" s="115" t="str">
        <f>IFERROR(__xludf.DUMMYFUNCTION("""COMPUTED_VALUE"""),"Parag Kashyap")</f>
        <v>Parag Kashyap</v>
      </c>
      <c r="C1898" s="115" t="str">
        <f>IFERROR(__xludf.DUMMYFUNCTION("""COMPUTED_VALUE"""),"EXTERNAL")</f>
        <v>EXTERNAL</v>
      </c>
      <c r="D1898" s="115">
        <f>IFERROR(__xludf.DUMMYFUNCTION("""COMPUTED_VALUE"""),20341.0)</f>
        <v>20341</v>
      </c>
      <c r="E1898" s="115">
        <f>IFERROR(__xludf.DUMMYFUNCTION("""COMPUTED_VALUE"""),1112.0)</f>
        <v>1112</v>
      </c>
      <c r="F1898" s="115">
        <f>IFERROR(__xludf.DUMMYFUNCTION("""COMPUTED_VALUE"""),7027.0)</f>
        <v>7027</v>
      </c>
      <c r="G1898" s="115">
        <f>IFERROR(__xludf.DUMMYFUNCTION("""COMPUTED_VALUE"""),233.0)</f>
        <v>233</v>
      </c>
      <c r="H1898" s="116">
        <f>IFERROR(__xludf.DUMMYFUNCTION("""COMPUTED_VALUE"""),45904.0)</f>
        <v>45904</v>
      </c>
      <c r="I1898" s="115" t="str">
        <f>IFERROR(__xludf.DUMMYFUNCTION("""COMPUTED_VALUE"""),"17")</f>
        <v>17</v>
      </c>
      <c r="J1898" s="115" t="str">
        <f>IFERROR(__xludf.DUMMYFUNCTION("""COMPUTED_VALUE"""),"Parag Kashyap2025-09-0417")</f>
        <v>Parag Kashyap2025-09-0417</v>
      </c>
      <c r="K1898" s="115">
        <f>IFERROR(__xludf.DUMMYFUNCTION("""COMPUTED_VALUE"""),21453.0)</f>
        <v>21453</v>
      </c>
    </row>
    <row r="1899">
      <c r="A1899" s="115" t="str">
        <f>IFERROR(__xludf.DUMMYFUNCTION("""COMPUTED_VALUE"""),"EAST")</f>
        <v>EAST</v>
      </c>
      <c r="B1899" s="115" t="str">
        <f>IFERROR(__xludf.DUMMYFUNCTION("""COMPUTED_VALUE"""),"Parag Kashyap")</f>
        <v>Parag Kashyap</v>
      </c>
      <c r="C1899" s="115" t="str">
        <f>IFERROR(__xludf.DUMMYFUNCTION("""COMPUTED_VALUE"""),"FLIPKART")</f>
        <v>FLIPKART</v>
      </c>
      <c r="D1899" s="115">
        <f>IFERROR(__xludf.DUMMYFUNCTION("""COMPUTED_VALUE"""),295704.0)</f>
        <v>295704</v>
      </c>
      <c r="E1899" s="115">
        <f>IFERROR(__xludf.DUMMYFUNCTION("""COMPUTED_VALUE"""),19622.0)</f>
        <v>19622</v>
      </c>
      <c r="F1899" s="115">
        <f>IFERROR(__xludf.DUMMYFUNCTION("""COMPUTED_VALUE"""),193241.0)</f>
        <v>193241</v>
      </c>
      <c r="G1899" s="115">
        <f>IFERROR(__xludf.DUMMYFUNCTION("""COMPUTED_VALUE"""),6428.0)</f>
        <v>6428</v>
      </c>
      <c r="H1899" s="116">
        <f>IFERROR(__xludf.DUMMYFUNCTION("""COMPUTED_VALUE"""),45904.0)</f>
        <v>45904</v>
      </c>
      <c r="I1899" s="115" t="str">
        <f>IFERROR(__xludf.DUMMYFUNCTION("""COMPUTED_VALUE"""),"17")</f>
        <v>17</v>
      </c>
      <c r="J1899" s="115" t="str">
        <f>IFERROR(__xludf.DUMMYFUNCTION("""COMPUTED_VALUE"""),"Parag Kashyap2025-09-0417")</f>
        <v>Parag Kashyap2025-09-0417</v>
      </c>
      <c r="K1899" s="115">
        <f>IFERROR(__xludf.DUMMYFUNCTION("""COMPUTED_VALUE"""),315326.0)</f>
        <v>315326</v>
      </c>
    </row>
    <row r="1900">
      <c r="A1900" s="115" t="str">
        <f>IFERROR(__xludf.DUMMYFUNCTION("""COMPUTED_VALUE"""),"EAST")</f>
        <v>EAST</v>
      </c>
      <c r="B1900" s="115" t="str">
        <f>IFERROR(__xludf.DUMMYFUNCTION("""COMPUTED_VALUE"""),"Parag Kashyap")</f>
        <v>Parag Kashyap</v>
      </c>
      <c r="C1900" s="115" t="str">
        <f>IFERROR(__xludf.DUMMYFUNCTION("""COMPUTED_VALUE"""),"MYNTRA")</f>
        <v>MYNTRA</v>
      </c>
      <c r="D1900" s="115">
        <f>IFERROR(__xludf.DUMMYFUNCTION("""COMPUTED_VALUE"""),34260.0)</f>
        <v>34260</v>
      </c>
      <c r="E1900" s="115">
        <f>IFERROR(__xludf.DUMMYFUNCTION("""COMPUTED_VALUE"""),5096.0)</f>
        <v>5096</v>
      </c>
      <c r="F1900" s="115">
        <f>IFERROR(__xludf.DUMMYFUNCTION("""COMPUTED_VALUE"""),23251.0)</f>
        <v>23251</v>
      </c>
      <c r="G1900" s="115">
        <f>IFERROR(__xludf.DUMMYFUNCTION("""COMPUTED_VALUE"""),1669.0)</f>
        <v>1669</v>
      </c>
      <c r="H1900" s="116">
        <f>IFERROR(__xludf.DUMMYFUNCTION("""COMPUTED_VALUE"""),45904.0)</f>
        <v>45904</v>
      </c>
      <c r="I1900" s="115" t="str">
        <f>IFERROR(__xludf.DUMMYFUNCTION("""COMPUTED_VALUE"""),"17")</f>
        <v>17</v>
      </c>
      <c r="J1900" s="115" t="str">
        <f>IFERROR(__xludf.DUMMYFUNCTION("""COMPUTED_VALUE"""),"Parag Kashyap2025-09-0417")</f>
        <v>Parag Kashyap2025-09-0417</v>
      </c>
      <c r="K1900" s="115">
        <f>IFERROR(__xludf.DUMMYFUNCTION("""COMPUTED_VALUE"""),39356.0)</f>
        <v>39356</v>
      </c>
    </row>
    <row r="1901">
      <c r="A1901" s="115" t="str">
        <f>IFERROR(__xludf.DUMMYFUNCTION("""COMPUTED_VALUE"""),"NORTH")</f>
        <v>NORTH</v>
      </c>
      <c r="B1901" s="115" t="str">
        <f>IFERROR(__xludf.DUMMYFUNCTION("""COMPUTED_VALUE"""),"Amit Kumar Pathak")</f>
        <v>Amit Kumar Pathak</v>
      </c>
      <c r="C1901" s="115" t="str">
        <f>IFERROR(__xludf.DUMMYFUNCTION("""COMPUTED_VALUE"""),"EXTERNAL")</f>
        <v>EXTERNAL</v>
      </c>
      <c r="D1901" s="115">
        <f>IFERROR(__xludf.DUMMYFUNCTION("""COMPUTED_VALUE"""),27542.0)</f>
        <v>27542</v>
      </c>
      <c r="E1901" s="115">
        <f>IFERROR(__xludf.DUMMYFUNCTION("""COMPUTED_VALUE"""),3143.0)</f>
        <v>3143</v>
      </c>
      <c r="F1901" s="115">
        <f>IFERROR(__xludf.DUMMYFUNCTION("""COMPUTED_VALUE"""),8863.0)</f>
        <v>8863</v>
      </c>
      <c r="G1901" s="115">
        <f>IFERROR(__xludf.DUMMYFUNCTION("""COMPUTED_VALUE"""),1164.0)</f>
        <v>1164</v>
      </c>
      <c r="H1901" s="116">
        <f>IFERROR(__xludf.DUMMYFUNCTION("""COMPUTED_VALUE"""),45904.0)</f>
        <v>45904</v>
      </c>
      <c r="I1901" s="115" t="str">
        <f>IFERROR(__xludf.DUMMYFUNCTION("""COMPUTED_VALUE"""),"17")</f>
        <v>17</v>
      </c>
      <c r="J1901" s="115" t="str">
        <f>IFERROR(__xludf.DUMMYFUNCTION("""COMPUTED_VALUE"""),"Amit Kumar Pathak2025-09-0417")</f>
        <v>Amit Kumar Pathak2025-09-0417</v>
      </c>
      <c r="K1901" s="115">
        <f>IFERROR(__xludf.DUMMYFUNCTION("""COMPUTED_VALUE"""),30685.0)</f>
        <v>30685</v>
      </c>
    </row>
    <row r="1902">
      <c r="A1902" s="115" t="str">
        <f>IFERROR(__xludf.DUMMYFUNCTION("""COMPUTED_VALUE"""),"NORTH")</f>
        <v>NORTH</v>
      </c>
      <c r="B1902" s="115" t="str">
        <f>IFERROR(__xludf.DUMMYFUNCTION("""COMPUTED_VALUE"""),"Amit Kumar Pathak")</f>
        <v>Amit Kumar Pathak</v>
      </c>
      <c r="C1902" s="115" t="str">
        <f>IFERROR(__xludf.DUMMYFUNCTION("""COMPUTED_VALUE"""),"FLIPKART")</f>
        <v>FLIPKART</v>
      </c>
      <c r="D1902" s="115">
        <f>IFERROR(__xludf.DUMMYFUNCTION("""COMPUTED_VALUE"""),210601.0)</f>
        <v>210601</v>
      </c>
      <c r="E1902" s="115">
        <f>IFERROR(__xludf.DUMMYFUNCTION("""COMPUTED_VALUE"""),24118.0)</f>
        <v>24118</v>
      </c>
      <c r="F1902" s="115">
        <f>IFERROR(__xludf.DUMMYFUNCTION("""COMPUTED_VALUE"""),120118.0)</f>
        <v>120118</v>
      </c>
      <c r="G1902" s="115">
        <f>IFERROR(__xludf.DUMMYFUNCTION("""COMPUTED_VALUE"""),10390.0)</f>
        <v>10390</v>
      </c>
      <c r="H1902" s="116">
        <f>IFERROR(__xludf.DUMMYFUNCTION("""COMPUTED_VALUE"""),45904.0)</f>
        <v>45904</v>
      </c>
      <c r="I1902" s="115" t="str">
        <f>IFERROR(__xludf.DUMMYFUNCTION("""COMPUTED_VALUE"""),"17")</f>
        <v>17</v>
      </c>
      <c r="J1902" s="115" t="str">
        <f>IFERROR(__xludf.DUMMYFUNCTION("""COMPUTED_VALUE"""),"Amit Kumar Pathak2025-09-0417")</f>
        <v>Amit Kumar Pathak2025-09-0417</v>
      </c>
      <c r="K1902" s="115">
        <f>IFERROR(__xludf.DUMMYFUNCTION("""COMPUTED_VALUE"""),234719.0)</f>
        <v>234719</v>
      </c>
    </row>
    <row r="1903">
      <c r="A1903" s="115" t="str">
        <f>IFERROR(__xludf.DUMMYFUNCTION("""COMPUTED_VALUE"""),"NORTH")</f>
        <v>NORTH</v>
      </c>
      <c r="B1903" s="115" t="str">
        <f>IFERROR(__xludf.DUMMYFUNCTION("""COMPUTED_VALUE"""),"Amit Kumar Pathak")</f>
        <v>Amit Kumar Pathak</v>
      </c>
      <c r="C1903" s="115" t="str">
        <f>IFERROR(__xludf.DUMMYFUNCTION("""COMPUTED_VALUE"""),"MYNTRA")</f>
        <v>MYNTRA</v>
      </c>
      <c r="D1903" s="115">
        <f>IFERROR(__xludf.DUMMYFUNCTION("""COMPUTED_VALUE"""),19895.0)</f>
        <v>19895</v>
      </c>
      <c r="E1903" s="115">
        <f>IFERROR(__xludf.DUMMYFUNCTION("""COMPUTED_VALUE"""),5936.0)</f>
        <v>5936</v>
      </c>
      <c r="F1903" s="115">
        <f>IFERROR(__xludf.DUMMYFUNCTION("""COMPUTED_VALUE"""),13494.0)</f>
        <v>13494</v>
      </c>
      <c r="G1903" s="115">
        <f>IFERROR(__xludf.DUMMYFUNCTION("""COMPUTED_VALUE"""),2880.0)</f>
        <v>2880</v>
      </c>
      <c r="H1903" s="116">
        <f>IFERROR(__xludf.DUMMYFUNCTION("""COMPUTED_VALUE"""),45904.0)</f>
        <v>45904</v>
      </c>
      <c r="I1903" s="115" t="str">
        <f>IFERROR(__xludf.DUMMYFUNCTION("""COMPUTED_VALUE"""),"17")</f>
        <v>17</v>
      </c>
      <c r="J1903" s="115" t="str">
        <f>IFERROR(__xludf.DUMMYFUNCTION("""COMPUTED_VALUE"""),"Amit Kumar Pathak2025-09-0417")</f>
        <v>Amit Kumar Pathak2025-09-0417</v>
      </c>
      <c r="K1903" s="115">
        <f>IFERROR(__xludf.DUMMYFUNCTION("""COMPUTED_VALUE"""),25831.0)</f>
        <v>25831</v>
      </c>
    </row>
    <row r="1904">
      <c r="A1904" s="115" t="str">
        <f>IFERROR(__xludf.DUMMYFUNCTION("""COMPUTED_VALUE"""),"NORTH")</f>
        <v>NORTH</v>
      </c>
      <c r="B1904" s="115" t="str">
        <f>IFERROR(__xludf.DUMMYFUNCTION("""COMPUTED_VALUE"""),"Loveleen Singh")</f>
        <v>Loveleen Singh</v>
      </c>
      <c r="C1904" s="115" t="str">
        <f>IFERROR(__xludf.DUMMYFUNCTION("""COMPUTED_VALUE"""),"EXTERNAL")</f>
        <v>EXTERNAL</v>
      </c>
      <c r="D1904" s="115">
        <f>IFERROR(__xludf.DUMMYFUNCTION("""COMPUTED_VALUE"""),33834.0)</f>
        <v>33834</v>
      </c>
      <c r="E1904" s="115">
        <f>IFERROR(__xludf.DUMMYFUNCTION("""COMPUTED_VALUE"""),2262.0)</f>
        <v>2262</v>
      </c>
      <c r="F1904" s="115">
        <f>IFERROR(__xludf.DUMMYFUNCTION("""COMPUTED_VALUE"""),11225.0)</f>
        <v>11225</v>
      </c>
      <c r="G1904" s="115">
        <f>IFERROR(__xludf.DUMMYFUNCTION("""COMPUTED_VALUE"""),539.0)</f>
        <v>539</v>
      </c>
      <c r="H1904" s="116">
        <f>IFERROR(__xludf.DUMMYFUNCTION("""COMPUTED_VALUE"""),45904.0)</f>
        <v>45904</v>
      </c>
      <c r="I1904" s="115" t="str">
        <f>IFERROR(__xludf.DUMMYFUNCTION("""COMPUTED_VALUE"""),"17")</f>
        <v>17</v>
      </c>
      <c r="J1904" s="115" t="str">
        <f>IFERROR(__xludf.DUMMYFUNCTION("""COMPUTED_VALUE"""),"Loveleen Singh2025-09-0417")</f>
        <v>Loveleen Singh2025-09-0417</v>
      </c>
      <c r="K1904" s="115">
        <f>IFERROR(__xludf.DUMMYFUNCTION("""COMPUTED_VALUE"""),36096.0)</f>
        <v>36096</v>
      </c>
    </row>
    <row r="1905">
      <c r="A1905" s="115" t="str">
        <f>IFERROR(__xludf.DUMMYFUNCTION("""COMPUTED_VALUE"""),"NORTH")</f>
        <v>NORTH</v>
      </c>
      <c r="B1905" s="115" t="str">
        <f>IFERROR(__xludf.DUMMYFUNCTION("""COMPUTED_VALUE"""),"Loveleen Singh")</f>
        <v>Loveleen Singh</v>
      </c>
      <c r="C1905" s="115" t="str">
        <f>IFERROR(__xludf.DUMMYFUNCTION("""COMPUTED_VALUE"""),"FLIPKART")</f>
        <v>FLIPKART</v>
      </c>
      <c r="D1905" s="115">
        <f>IFERROR(__xludf.DUMMYFUNCTION("""COMPUTED_VALUE"""),162752.0)</f>
        <v>162752</v>
      </c>
      <c r="E1905" s="115">
        <f>IFERROR(__xludf.DUMMYFUNCTION("""COMPUTED_VALUE"""),17241.0)</f>
        <v>17241</v>
      </c>
      <c r="F1905" s="115">
        <f>IFERROR(__xludf.DUMMYFUNCTION("""COMPUTED_VALUE"""),102601.0)</f>
        <v>102601</v>
      </c>
      <c r="G1905" s="115">
        <f>IFERROR(__xludf.DUMMYFUNCTION("""COMPUTED_VALUE"""),6448.0)</f>
        <v>6448</v>
      </c>
      <c r="H1905" s="116">
        <f>IFERROR(__xludf.DUMMYFUNCTION("""COMPUTED_VALUE"""),45904.0)</f>
        <v>45904</v>
      </c>
      <c r="I1905" s="115" t="str">
        <f>IFERROR(__xludf.DUMMYFUNCTION("""COMPUTED_VALUE"""),"17")</f>
        <v>17</v>
      </c>
      <c r="J1905" s="115" t="str">
        <f>IFERROR(__xludf.DUMMYFUNCTION("""COMPUTED_VALUE"""),"Loveleen Singh2025-09-0417")</f>
        <v>Loveleen Singh2025-09-0417</v>
      </c>
      <c r="K1905" s="115">
        <f>IFERROR(__xludf.DUMMYFUNCTION("""COMPUTED_VALUE"""),179993.0)</f>
        <v>179993</v>
      </c>
    </row>
    <row r="1906">
      <c r="A1906" s="115" t="str">
        <f>IFERROR(__xludf.DUMMYFUNCTION("""COMPUTED_VALUE"""),"NORTH")</f>
        <v>NORTH</v>
      </c>
      <c r="B1906" s="115" t="str">
        <f>IFERROR(__xludf.DUMMYFUNCTION("""COMPUTED_VALUE"""),"Loveleen Singh")</f>
        <v>Loveleen Singh</v>
      </c>
      <c r="C1906" s="115" t="str">
        <f>IFERROR(__xludf.DUMMYFUNCTION("""COMPUTED_VALUE"""),"MYNTRA")</f>
        <v>MYNTRA</v>
      </c>
      <c r="D1906" s="115">
        <f>IFERROR(__xludf.DUMMYFUNCTION("""COMPUTED_VALUE"""),24407.0)</f>
        <v>24407</v>
      </c>
      <c r="E1906" s="115">
        <f>IFERROR(__xludf.DUMMYFUNCTION("""COMPUTED_VALUE"""),6389.0)</f>
        <v>6389</v>
      </c>
      <c r="F1906" s="115">
        <f>IFERROR(__xludf.DUMMYFUNCTION("""COMPUTED_VALUE"""),17616.0)</f>
        <v>17616</v>
      </c>
      <c r="G1906" s="115">
        <f>IFERROR(__xludf.DUMMYFUNCTION("""COMPUTED_VALUE"""),2652.0)</f>
        <v>2652</v>
      </c>
      <c r="H1906" s="116">
        <f>IFERROR(__xludf.DUMMYFUNCTION("""COMPUTED_VALUE"""),45904.0)</f>
        <v>45904</v>
      </c>
      <c r="I1906" s="115" t="str">
        <f>IFERROR(__xludf.DUMMYFUNCTION("""COMPUTED_VALUE"""),"17")</f>
        <v>17</v>
      </c>
      <c r="J1906" s="115" t="str">
        <f>IFERROR(__xludf.DUMMYFUNCTION("""COMPUTED_VALUE"""),"Loveleen Singh2025-09-0417")</f>
        <v>Loveleen Singh2025-09-0417</v>
      </c>
      <c r="K1906" s="115">
        <f>IFERROR(__xludf.DUMMYFUNCTION("""COMPUTED_VALUE"""),30796.0)</f>
        <v>30796</v>
      </c>
    </row>
    <row r="1907">
      <c r="A1907" s="115" t="str">
        <f>IFERROR(__xludf.DUMMYFUNCTION("""COMPUTED_VALUE"""),"NORTH")</f>
        <v>NORTH</v>
      </c>
      <c r="B1907" s="115" t="str">
        <f>IFERROR(__xludf.DUMMYFUNCTION("""COMPUTED_VALUE"""),"Manoj Harsh")</f>
        <v>Manoj Harsh</v>
      </c>
      <c r="C1907" s="115" t="str">
        <f>IFERROR(__xludf.DUMMYFUNCTION("""COMPUTED_VALUE"""),"EXTERNAL")</f>
        <v>EXTERNAL</v>
      </c>
      <c r="D1907" s="115">
        <f>IFERROR(__xludf.DUMMYFUNCTION("""COMPUTED_VALUE"""),32126.0)</f>
        <v>32126</v>
      </c>
      <c r="E1907" s="115">
        <f>IFERROR(__xludf.DUMMYFUNCTION("""COMPUTED_VALUE"""),3088.0)</f>
        <v>3088</v>
      </c>
      <c r="F1907" s="115">
        <f>IFERROR(__xludf.DUMMYFUNCTION("""COMPUTED_VALUE"""),12157.0)</f>
        <v>12157</v>
      </c>
      <c r="G1907" s="115">
        <f>IFERROR(__xludf.DUMMYFUNCTION("""COMPUTED_VALUE"""),787.0)</f>
        <v>787</v>
      </c>
      <c r="H1907" s="116">
        <f>IFERROR(__xludf.DUMMYFUNCTION("""COMPUTED_VALUE"""),45904.0)</f>
        <v>45904</v>
      </c>
      <c r="I1907" s="115" t="str">
        <f>IFERROR(__xludf.DUMMYFUNCTION("""COMPUTED_VALUE"""),"17")</f>
        <v>17</v>
      </c>
      <c r="J1907" s="115" t="str">
        <f>IFERROR(__xludf.DUMMYFUNCTION("""COMPUTED_VALUE"""),"Manoj Harsh2025-09-0417")</f>
        <v>Manoj Harsh2025-09-0417</v>
      </c>
      <c r="K1907" s="115">
        <f>IFERROR(__xludf.DUMMYFUNCTION("""COMPUTED_VALUE"""),35214.0)</f>
        <v>35214</v>
      </c>
    </row>
    <row r="1908">
      <c r="A1908" s="115" t="str">
        <f>IFERROR(__xludf.DUMMYFUNCTION("""COMPUTED_VALUE"""),"NORTH")</f>
        <v>NORTH</v>
      </c>
      <c r="B1908" s="115" t="str">
        <f>IFERROR(__xludf.DUMMYFUNCTION("""COMPUTED_VALUE"""),"Manoj Harsh")</f>
        <v>Manoj Harsh</v>
      </c>
      <c r="C1908" s="115" t="str">
        <f>IFERROR(__xludf.DUMMYFUNCTION("""COMPUTED_VALUE"""),"FLIPKART")</f>
        <v>FLIPKART</v>
      </c>
      <c r="D1908" s="115">
        <f>IFERROR(__xludf.DUMMYFUNCTION("""COMPUTED_VALUE"""),404850.0)</f>
        <v>404850</v>
      </c>
      <c r="E1908" s="115">
        <f>IFERROR(__xludf.DUMMYFUNCTION("""COMPUTED_VALUE"""),40793.0)</f>
        <v>40793</v>
      </c>
      <c r="F1908" s="115">
        <f>IFERROR(__xludf.DUMMYFUNCTION("""COMPUTED_VALUE"""),266369.0)</f>
        <v>266369</v>
      </c>
      <c r="G1908" s="115">
        <f>IFERROR(__xludf.DUMMYFUNCTION("""COMPUTED_VALUE"""),17021.0)</f>
        <v>17021</v>
      </c>
      <c r="H1908" s="116">
        <f>IFERROR(__xludf.DUMMYFUNCTION("""COMPUTED_VALUE"""),45904.0)</f>
        <v>45904</v>
      </c>
      <c r="I1908" s="115" t="str">
        <f>IFERROR(__xludf.DUMMYFUNCTION("""COMPUTED_VALUE"""),"17")</f>
        <v>17</v>
      </c>
      <c r="J1908" s="115" t="str">
        <f>IFERROR(__xludf.DUMMYFUNCTION("""COMPUTED_VALUE"""),"Manoj Harsh2025-09-0417")</f>
        <v>Manoj Harsh2025-09-0417</v>
      </c>
      <c r="K1908" s="115">
        <f>IFERROR(__xludf.DUMMYFUNCTION("""COMPUTED_VALUE"""),445643.0)</f>
        <v>445643</v>
      </c>
    </row>
    <row r="1909">
      <c r="A1909" s="115" t="str">
        <f>IFERROR(__xludf.DUMMYFUNCTION("""COMPUTED_VALUE"""),"NORTH")</f>
        <v>NORTH</v>
      </c>
      <c r="B1909" s="115" t="str">
        <f>IFERROR(__xludf.DUMMYFUNCTION("""COMPUTED_VALUE"""),"Manoj Harsh")</f>
        <v>Manoj Harsh</v>
      </c>
      <c r="C1909" s="115" t="str">
        <f>IFERROR(__xludf.DUMMYFUNCTION("""COMPUTED_VALUE"""),"MYNTRA")</f>
        <v>MYNTRA</v>
      </c>
      <c r="D1909" s="115">
        <f>IFERROR(__xludf.DUMMYFUNCTION("""COMPUTED_VALUE"""),36484.0)</f>
        <v>36484</v>
      </c>
      <c r="E1909" s="115">
        <f>IFERROR(__xludf.DUMMYFUNCTION("""COMPUTED_VALUE"""),8179.0)</f>
        <v>8179</v>
      </c>
      <c r="F1909" s="115">
        <f>IFERROR(__xludf.DUMMYFUNCTION("""COMPUTED_VALUE"""),26528.0)</f>
        <v>26528</v>
      </c>
      <c r="G1909" s="115">
        <f>IFERROR(__xludf.DUMMYFUNCTION("""COMPUTED_VALUE"""),3956.0)</f>
        <v>3956</v>
      </c>
      <c r="H1909" s="116">
        <f>IFERROR(__xludf.DUMMYFUNCTION("""COMPUTED_VALUE"""),45904.0)</f>
        <v>45904</v>
      </c>
      <c r="I1909" s="115" t="str">
        <f>IFERROR(__xludf.DUMMYFUNCTION("""COMPUTED_VALUE"""),"17")</f>
        <v>17</v>
      </c>
      <c r="J1909" s="115" t="str">
        <f>IFERROR(__xludf.DUMMYFUNCTION("""COMPUTED_VALUE"""),"Manoj Harsh2025-09-0417")</f>
        <v>Manoj Harsh2025-09-0417</v>
      </c>
      <c r="K1909" s="115">
        <f>IFERROR(__xludf.DUMMYFUNCTION("""COMPUTED_VALUE"""),44663.0)</f>
        <v>44663</v>
      </c>
    </row>
    <row r="1910">
      <c r="A1910" s="115" t="str">
        <f>IFERROR(__xludf.DUMMYFUNCTION("""COMPUTED_VALUE"""),"NORTH")</f>
        <v>NORTH</v>
      </c>
      <c r="B1910" s="115" t="str">
        <f>IFERROR(__xludf.DUMMYFUNCTION("""COMPUTED_VALUE"""),"Pradeep Kothari")</f>
        <v>Pradeep Kothari</v>
      </c>
      <c r="C1910" s="115" t="str">
        <f>IFERROR(__xludf.DUMMYFUNCTION("""COMPUTED_VALUE"""),"EXTERNAL")</f>
        <v>EXTERNAL</v>
      </c>
      <c r="D1910" s="115">
        <f>IFERROR(__xludf.DUMMYFUNCTION("""COMPUTED_VALUE"""),18277.0)</f>
        <v>18277</v>
      </c>
      <c r="E1910" s="115">
        <f>IFERROR(__xludf.DUMMYFUNCTION("""COMPUTED_VALUE"""),1985.0)</f>
        <v>1985</v>
      </c>
      <c r="F1910" s="115">
        <f>IFERROR(__xludf.DUMMYFUNCTION("""COMPUTED_VALUE"""),6865.0)</f>
        <v>6865</v>
      </c>
      <c r="G1910" s="115">
        <f>IFERROR(__xludf.DUMMYFUNCTION("""COMPUTED_VALUE"""),660.0)</f>
        <v>660</v>
      </c>
      <c r="H1910" s="116">
        <f>IFERROR(__xludf.DUMMYFUNCTION("""COMPUTED_VALUE"""),45904.0)</f>
        <v>45904</v>
      </c>
      <c r="I1910" s="115" t="str">
        <f>IFERROR(__xludf.DUMMYFUNCTION("""COMPUTED_VALUE"""),"17")</f>
        <v>17</v>
      </c>
      <c r="J1910" s="115" t="str">
        <f>IFERROR(__xludf.DUMMYFUNCTION("""COMPUTED_VALUE"""),"Pradeep Kothari2025-09-0417")</f>
        <v>Pradeep Kothari2025-09-0417</v>
      </c>
      <c r="K1910" s="115">
        <f>IFERROR(__xludf.DUMMYFUNCTION("""COMPUTED_VALUE"""),20262.0)</f>
        <v>20262</v>
      </c>
    </row>
    <row r="1911">
      <c r="A1911" s="115" t="str">
        <f>IFERROR(__xludf.DUMMYFUNCTION("""COMPUTED_VALUE"""),"NORTH")</f>
        <v>NORTH</v>
      </c>
      <c r="B1911" s="115" t="str">
        <f>IFERROR(__xludf.DUMMYFUNCTION("""COMPUTED_VALUE"""),"Pradeep Kothari")</f>
        <v>Pradeep Kothari</v>
      </c>
      <c r="C1911" s="115" t="str">
        <f>IFERROR(__xludf.DUMMYFUNCTION("""COMPUTED_VALUE"""),"FLIPKART")</f>
        <v>FLIPKART</v>
      </c>
      <c r="D1911" s="115">
        <f>IFERROR(__xludf.DUMMYFUNCTION("""COMPUTED_VALUE"""),145384.0)</f>
        <v>145384</v>
      </c>
      <c r="E1911" s="115">
        <f>IFERROR(__xludf.DUMMYFUNCTION("""COMPUTED_VALUE"""),17695.0)</f>
        <v>17695</v>
      </c>
      <c r="F1911" s="115">
        <f>IFERROR(__xludf.DUMMYFUNCTION("""COMPUTED_VALUE"""),98859.0)</f>
        <v>98859</v>
      </c>
      <c r="G1911" s="115">
        <f>IFERROR(__xludf.DUMMYFUNCTION("""COMPUTED_VALUE"""),8370.0)</f>
        <v>8370</v>
      </c>
      <c r="H1911" s="116">
        <f>IFERROR(__xludf.DUMMYFUNCTION("""COMPUTED_VALUE"""),45904.0)</f>
        <v>45904</v>
      </c>
      <c r="I1911" s="115" t="str">
        <f>IFERROR(__xludf.DUMMYFUNCTION("""COMPUTED_VALUE"""),"17")</f>
        <v>17</v>
      </c>
      <c r="J1911" s="115" t="str">
        <f>IFERROR(__xludf.DUMMYFUNCTION("""COMPUTED_VALUE"""),"Pradeep Kothari2025-09-0417")</f>
        <v>Pradeep Kothari2025-09-0417</v>
      </c>
      <c r="K1911" s="115">
        <f>IFERROR(__xludf.DUMMYFUNCTION("""COMPUTED_VALUE"""),163079.0)</f>
        <v>163079</v>
      </c>
    </row>
    <row r="1912">
      <c r="A1912" s="115" t="str">
        <f>IFERROR(__xludf.DUMMYFUNCTION("""COMPUTED_VALUE"""),"NORTH")</f>
        <v>NORTH</v>
      </c>
      <c r="B1912" s="115" t="str">
        <f>IFERROR(__xludf.DUMMYFUNCTION("""COMPUTED_VALUE"""),"Pradeep Kothari")</f>
        <v>Pradeep Kothari</v>
      </c>
      <c r="C1912" s="115" t="str">
        <f>IFERROR(__xludf.DUMMYFUNCTION("""COMPUTED_VALUE"""),"MYNTRA")</f>
        <v>MYNTRA</v>
      </c>
      <c r="D1912" s="115">
        <f>IFERROR(__xludf.DUMMYFUNCTION("""COMPUTED_VALUE"""),23351.0)</f>
        <v>23351</v>
      </c>
      <c r="E1912" s="115">
        <f>IFERROR(__xludf.DUMMYFUNCTION("""COMPUTED_VALUE"""),6858.0)</f>
        <v>6858</v>
      </c>
      <c r="F1912" s="115">
        <f>IFERROR(__xludf.DUMMYFUNCTION("""COMPUTED_VALUE"""),17824.0)</f>
        <v>17824</v>
      </c>
      <c r="G1912" s="115">
        <f>IFERROR(__xludf.DUMMYFUNCTION("""COMPUTED_VALUE"""),3670.0)</f>
        <v>3670</v>
      </c>
      <c r="H1912" s="116">
        <f>IFERROR(__xludf.DUMMYFUNCTION("""COMPUTED_VALUE"""),45904.0)</f>
        <v>45904</v>
      </c>
      <c r="I1912" s="115" t="str">
        <f>IFERROR(__xludf.DUMMYFUNCTION("""COMPUTED_VALUE"""),"17")</f>
        <v>17</v>
      </c>
      <c r="J1912" s="115" t="str">
        <f>IFERROR(__xludf.DUMMYFUNCTION("""COMPUTED_VALUE"""),"Pradeep Kothari2025-09-0417")</f>
        <v>Pradeep Kothari2025-09-0417</v>
      </c>
      <c r="K1912" s="115">
        <f>IFERROR(__xludf.DUMMYFUNCTION("""COMPUTED_VALUE"""),30209.0)</f>
        <v>30209</v>
      </c>
    </row>
    <row r="1913">
      <c r="A1913" s="115" t="str">
        <f>IFERROR(__xludf.DUMMYFUNCTION("""COMPUTED_VALUE"""),"SOUTH")</f>
        <v>SOUTH</v>
      </c>
      <c r="B1913" s="115" t="str">
        <f>IFERROR(__xludf.DUMMYFUNCTION("""COMPUTED_VALUE"""),"Kandula Sampath")</f>
        <v>Kandula Sampath</v>
      </c>
      <c r="C1913" s="115" t="str">
        <f>IFERROR(__xludf.DUMMYFUNCTION("""COMPUTED_VALUE"""),"EXTERNAL")</f>
        <v>EXTERNAL</v>
      </c>
      <c r="D1913" s="115">
        <f>IFERROR(__xludf.DUMMYFUNCTION("""COMPUTED_VALUE"""),33085.0)</f>
        <v>33085</v>
      </c>
      <c r="E1913" s="115">
        <f>IFERROR(__xludf.DUMMYFUNCTION("""COMPUTED_VALUE"""),3941.0)</f>
        <v>3941</v>
      </c>
      <c r="F1913" s="115">
        <f>IFERROR(__xludf.DUMMYFUNCTION("""COMPUTED_VALUE"""),12071.0)</f>
        <v>12071</v>
      </c>
      <c r="G1913" s="115">
        <f>IFERROR(__xludf.DUMMYFUNCTION("""COMPUTED_VALUE"""),1035.0)</f>
        <v>1035</v>
      </c>
      <c r="H1913" s="116">
        <f>IFERROR(__xludf.DUMMYFUNCTION("""COMPUTED_VALUE"""),45904.0)</f>
        <v>45904</v>
      </c>
      <c r="I1913" s="115" t="str">
        <f>IFERROR(__xludf.DUMMYFUNCTION("""COMPUTED_VALUE"""),"17")</f>
        <v>17</v>
      </c>
      <c r="J1913" s="115" t="str">
        <f>IFERROR(__xludf.DUMMYFUNCTION("""COMPUTED_VALUE"""),"Kandula Sampath2025-09-0417")</f>
        <v>Kandula Sampath2025-09-0417</v>
      </c>
      <c r="K1913" s="115">
        <f>IFERROR(__xludf.DUMMYFUNCTION("""COMPUTED_VALUE"""),37026.0)</f>
        <v>37026</v>
      </c>
    </row>
    <row r="1914">
      <c r="A1914" s="115" t="str">
        <f>IFERROR(__xludf.DUMMYFUNCTION("""COMPUTED_VALUE"""),"SOUTH")</f>
        <v>SOUTH</v>
      </c>
      <c r="B1914" s="115" t="str">
        <f>IFERROR(__xludf.DUMMYFUNCTION("""COMPUTED_VALUE"""),"Kandula Sampath")</f>
        <v>Kandula Sampath</v>
      </c>
      <c r="C1914" s="115" t="str">
        <f>IFERROR(__xludf.DUMMYFUNCTION("""COMPUTED_VALUE"""),"FLIPKART")</f>
        <v>FLIPKART</v>
      </c>
      <c r="D1914" s="115">
        <f>IFERROR(__xludf.DUMMYFUNCTION("""COMPUTED_VALUE"""),287676.0)</f>
        <v>287676</v>
      </c>
      <c r="E1914" s="115">
        <f>IFERROR(__xludf.DUMMYFUNCTION("""COMPUTED_VALUE"""),32453.0)</f>
        <v>32453</v>
      </c>
      <c r="F1914" s="115">
        <f>IFERROR(__xludf.DUMMYFUNCTION("""COMPUTED_VALUE"""),186523.0)</f>
        <v>186523</v>
      </c>
      <c r="G1914" s="115">
        <f>IFERROR(__xludf.DUMMYFUNCTION("""COMPUTED_VALUE"""),12397.0)</f>
        <v>12397</v>
      </c>
      <c r="H1914" s="116">
        <f>IFERROR(__xludf.DUMMYFUNCTION("""COMPUTED_VALUE"""),45904.0)</f>
        <v>45904</v>
      </c>
      <c r="I1914" s="115" t="str">
        <f>IFERROR(__xludf.DUMMYFUNCTION("""COMPUTED_VALUE"""),"17")</f>
        <v>17</v>
      </c>
      <c r="J1914" s="115" t="str">
        <f>IFERROR(__xludf.DUMMYFUNCTION("""COMPUTED_VALUE"""),"Kandula Sampath2025-09-0417")</f>
        <v>Kandula Sampath2025-09-0417</v>
      </c>
      <c r="K1914" s="115">
        <f>IFERROR(__xludf.DUMMYFUNCTION("""COMPUTED_VALUE"""),320129.0)</f>
        <v>320129</v>
      </c>
    </row>
    <row r="1915">
      <c r="A1915" s="115" t="str">
        <f>IFERROR(__xludf.DUMMYFUNCTION("""COMPUTED_VALUE"""),"SOUTH")</f>
        <v>SOUTH</v>
      </c>
      <c r="B1915" s="115" t="str">
        <f>IFERROR(__xludf.DUMMYFUNCTION("""COMPUTED_VALUE"""),"Kandula Sampath")</f>
        <v>Kandula Sampath</v>
      </c>
      <c r="C1915" s="115" t="str">
        <f>IFERROR(__xludf.DUMMYFUNCTION("""COMPUTED_VALUE"""),"MYNTRA")</f>
        <v>MYNTRA</v>
      </c>
      <c r="D1915" s="115">
        <f>IFERROR(__xludf.DUMMYFUNCTION("""COMPUTED_VALUE"""),29389.0)</f>
        <v>29389</v>
      </c>
      <c r="E1915" s="115">
        <f>IFERROR(__xludf.DUMMYFUNCTION("""COMPUTED_VALUE"""),8214.0)</f>
        <v>8214</v>
      </c>
      <c r="F1915" s="115">
        <f>IFERROR(__xludf.DUMMYFUNCTION("""COMPUTED_VALUE"""),21163.0)</f>
        <v>21163</v>
      </c>
      <c r="G1915" s="115">
        <f>IFERROR(__xludf.DUMMYFUNCTION("""COMPUTED_VALUE"""),3222.0)</f>
        <v>3222</v>
      </c>
      <c r="H1915" s="116">
        <f>IFERROR(__xludf.DUMMYFUNCTION("""COMPUTED_VALUE"""),45904.0)</f>
        <v>45904</v>
      </c>
      <c r="I1915" s="115" t="str">
        <f>IFERROR(__xludf.DUMMYFUNCTION("""COMPUTED_VALUE"""),"17")</f>
        <v>17</v>
      </c>
      <c r="J1915" s="115" t="str">
        <f>IFERROR(__xludf.DUMMYFUNCTION("""COMPUTED_VALUE"""),"Kandula Sampath2025-09-0417")</f>
        <v>Kandula Sampath2025-09-0417</v>
      </c>
      <c r="K1915" s="115">
        <f>IFERROR(__xludf.DUMMYFUNCTION("""COMPUTED_VALUE"""),37603.0)</f>
        <v>37603</v>
      </c>
    </row>
    <row r="1916">
      <c r="A1916" s="115" t="str">
        <f>IFERROR(__xludf.DUMMYFUNCTION("""COMPUTED_VALUE"""),"SOUTH")</f>
        <v>SOUTH</v>
      </c>
      <c r="B1916" s="115" t="str">
        <f>IFERROR(__xludf.DUMMYFUNCTION("""COMPUTED_VALUE"""),"Martin A")</f>
        <v>Martin A</v>
      </c>
      <c r="C1916" s="115" t="str">
        <f>IFERROR(__xludf.DUMMYFUNCTION("""COMPUTED_VALUE"""),"EXTERNAL")</f>
        <v>EXTERNAL</v>
      </c>
      <c r="D1916" s="115">
        <f>IFERROR(__xludf.DUMMYFUNCTION("""COMPUTED_VALUE"""),32033.0)</f>
        <v>32033</v>
      </c>
      <c r="E1916" s="115">
        <f>IFERROR(__xludf.DUMMYFUNCTION("""COMPUTED_VALUE"""),3360.0)</f>
        <v>3360</v>
      </c>
      <c r="F1916" s="115">
        <f>IFERROR(__xludf.DUMMYFUNCTION("""COMPUTED_VALUE"""),11389.0)</f>
        <v>11389</v>
      </c>
      <c r="G1916" s="115">
        <f>IFERROR(__xludf.DUMMYFUNCTION("""COMPUTED_VALUE"""),1459.0)</f>
        <v>1459</v>
      </c>
      <c r="H1916" s="116">
        <f>IFERROR(__xludf.DUMMYFUNCTION("""COMPUTED_VALUE"""),45904.0)</f>
        <v>45904</v>
      </c>
      <c r="I1916" s="115" t="str">
        <f>IFERROR(__xludf.DUMMYFUNCTION("""COMPUTED_VALUE"""),"17")</f>
        <v>17</v>
      </c>
      <c r="J1916" s="115" t="str">
        <f>IFERROR(__xludf.DUMMYFUNCTION("""COMPUTED_VALUE"""),"Martin A2025-09-0417")</f>
        <v>Martin A2025-09-0417</v>
      </c>
      <c r="K1916" s="115">
        <f>IFERROR(__xludf.DUMMYFUNCTION("""COMPUTED_VALUE"""),35393.0)</f>
        <v>35393</v>
      </c>
    </row>
    <row r="1917">
      <c r="A1917" s="115" t="str">
        <f>IFERROR(__xludf.DUMMYFUNCTION("""COMPUTED_VALUE"""),"SOUTH")</f>
        <v>SOUTH</v>
      </c>
      <c r="B1917" s="115" t="str">
        <f>IFERROR(__xludf.DUMMYFUNCTION("""COMPUTED_VALUE"""),"Martin A")</f>
        <v>Martin A</v>
      </c>
      <c r="C1917" s="115" t="str">
        <f>IFERROR(__xludf.DUMMYFUNCTION("""COMPUTED_VALUE"""),"FLIPKART")</f>
        <v>FLIPKART</v>
      </c>
      <c r="D1917" s="115">
        <f>IFERROR(__xludf.DUMMYFUNCTION("""COMPUTED_VALUE"""),258686.0)</f>
        <v>258686</v>
      </c>
      <c r="E1917" s="115">
        <f>IFERROR(__xludf.DUMMYFUNCTION("""COMPUTED_VALUE"""),27948.0)</f>
        <v>27948</v>
      </c>
      <c r="F1917" s="115">
        <f>IFERROR(__xludf.DUMMYFUNCTION("""COMPUTED_VALUE"""),163722.0)</f>
        <v>163722</v>
      </c>
      <c r="G1917" s="115">
        <f>IFERROR(__xludf.DUMMYFUNCTION("""COMPUTED_VALUE"""),12389.0)</f>
        <v>12389</v>
      </c>
      <c r="H1917" s="116">
        <f>IFERROR(__xludf.DUMMYFUNCTION("""COMPUTED_VALUE"""),45904.0)</f>
        <v>45904</v>
      </c>
      <c r="I1917" s="115" t="str">
        <f>IFERROR(__xludf.DUMMYFUNCTION("""COMPUTED_VALUE"""),"17")</f>
        <v>17</v>
      </c>
      <c r="J1917" s="115" t="str">
        <f>IFERROR(__xludf.DUMMYFUNCTION("""COMPUTED_VALUE"""),"Martin A2025-09-0417")</f>
        <v>Martin A2025-09-0417</v>
      </c>
      <c r="K1917" s="115">
        <f>IFERROR(__xludf.DUMMYFUNCTION("""COMPUTED_VALUE"""),286634.0)</f>
        <v>286634</v>
      </c>
    </row>
    <row r="1918">
      <c r="A1918" s="115" t="str">
        <f>IFERROR(__xludf.DUMMYFUNCTION("""COMPUTED_VALUE"""),"SOUTH")</f>
        <v>SOUTH</v>
      </c>
      <c r="B1918" s="115" t="str">
        <f>IFERROR(__xludf.DUMMYFUNCTION("""COMPUTED_VALUE"""),"Martin A")</f>
        <v>Martin A</v>
      </c>
      <c r="C1918" s="115" t="str">
        <f>IFERROR(__xludf.DUMMYFUNCTION("""COMPUTED_VALUE"""),"MYNTRA")</f>
        <v>MYNTRA</v>
      </c>
      <c r="D1918" s="115">
        <f>IFERROR(__xludf.DUMMYFUNCTION("""COMPUTED_VALUE"""),21822.0)</f>
        <v>21822</v>
      </c>
      <c r="E1918" s="115">
        <f>IFERROR(__xludf.DUMMYFUNCTION("""COMPUTED_VALUE"""),6516.0)</f>
        <v>6516</v>
      </c>
      <c r="F1918" s="115">
        <f>IFERROR(__xludf.DUMMYFUNCTION("""COMPUTED_VALUE"""),15541.0)</f>
        <v>15541</v>
      </c>
      <c r="G1918" s="115">
        <f>IFERROR(__xludf.DUMMYFUNCTION("""COMPUTED_VALUE"""),3148.0)</f>
        <v>3148</v>
      </c>
      <c r="H1918" s="116">
        <f>IFERROR(__xludf.DUMMYFUNCTION("""COMPUTED_VALUE"""),45904.0)</f>
        <v>45904</v>
      </c>
      <c r="I1918" s="115" t="str">
        <f>IFERROR(__xludf.DUMMYFUNCTION("""COMPUTED_VALUE"""),"17")</f>
        <v>17</v>
      </c>
      <c r="J1918" s="115" t="str">
        <f>IFERROR(__xludf.DUMMYFUNCTION("""COMPUTED_VALUE"""),"Martin A2025-09-0417")</f>
        <v>Martin A2025-09-0417</v>
      </c>
      <c r="K1918" s="115">
        <f>IFERROR(__xludf.DUMMYFUNCTION("""COMPUTED_VALUE"""),28338.0)</f>
        <v>28338</v>
      </c>
    </row>
    <row r="1919">
      <c r="A1919" s="115" t="str">
        <f>IFERROR(__xludf.DUMMYFUNCTION("""COMPUTED_VALUE"""),"SOUTH")</f>
        <v>SOUTH</v>
      </c>
      <c r="B1919" s="115" t="str">
        <f>IFERROR(__xludf.DUMMYFUNCTION("""COMPUTED_VALUE"""),"Premkumar M")</f>
        <v>Premkumar M</v>
      </c>
      <c r="C1919" s="115" t="str">
        <f>IFERROR(__xludf.DUMMYFUNCTION("""COMPUTED_VALUE"""),"EXTERNAL")</f>
        <v>EXTERNAL</v>
      </c>
      <c r="D1919" s="115">
        <f>IFERROR(__xludf.DUMMYFUNCTION("""COMPUTED_VALUE"""),26729.0)</f>
        <v>26729</v>
      </c>
      <c r="E1919" s="115">
        <f>IFERROR(__xludf.DUMMYFUNCTION("""COMPUTED_VALUE"""),1851.0)</f>
        <v>1851</v>
      </c>
      <c r="F1919" s="115">
        <f>IFERROR(__xludf.DUMMYFUNCTION("""COMPUTED_VALUE"""),10238.0)</f>
        <v>10238</v>
      </c>
      <c r="G1919" s="115">
        <f>IFERROR(__xludf.DUMMYFUNCTION("""COMPUTED_VALUE"""),253.0)</f>
        <v>253</v>
      </c>
      <c r="H1919" s="116">
        <f>IFERROR(__xludf.DUMMYFUNCTION("""COMPUTED_VALUE"""),45904.0)</f>
        <v>45904</v>
      </c>
      <c r="I1919" s="115" t="str">
        <f>IFERROR(__xludf.DUMMYFUNCTION("""COMPUTED_VALUE"""),"17")</f>
        <v>17</v>
      </c>
      <c r="J1919" s="115" t="str">
        <f>IFERROR(__xludf.DUMMYFUNCTION("""COMPUTED_VALUE"""),"Premkumar M2025-09-0417")</f>
        <v>Premkumar M2025-09-0417</v>
      </c>
      <c r="K1919" s="115">
        <f>IFERROR(__xludf.DUMMYFUNCTION("""COMPUTED_VALUE"""),28580.0)</f>
        <v>28580</v>
      </c>
    </row>
    <row r="1920">
      <c r="A1920" s="115" t="str">
        <f>IFERROR(__xludf.DUMMYFUNCTION("""COMPUTED_VALUE"""),"SOUTH")</f>
        <v>SOUTH</v>
      </c>
      <c r="B1920" s="115" t="str">
        <f>IFERROR(__xludf.DUMMYFUNCTION("""COMPUTED_VALUE"""),"Premkumar M")</f>
        <v>Premkumar M</v>
      </c>
      <c r="C1920" s="115" t="str">
        <f>IFERROR(__xludf.DUMMYFUNCTION("""COMPUTED_VALUE"""),"FLIPKART")</f>
        <v>FLIPKART</v>
      </c>
      <c r="D1920" s="115">
        <f>IFERROR(__xludf.DUMMYFUNCTION("""COMPUTED_VALUE"""),255150.0)</f>
        <v>255150</v>
      </c>
      <c r="E1920" s="115">
        <f>IFERROR(__xludf.DUMMYFUNCTION("""COMPUTED_VALUE"""),18530.0)</f>
        <v>18530</v>
      </c>
      <c r="F1920" s="115">
        <f>IFERROR(__xludf.DUMMYFUNCTION("""COMPUTED_VALUE"""),150278.0)</f>
        <v>150278</v>
      </c>
      <c r="G1920" s="115">
        <f>IFERROR(__xludf.DUMMYFUNCTION("""COMPUTED_VALUE"""),3872.0)</f>
        <v>3872</v>
      </c>
      <c r="H1920" s="116">
        <f>IFERROR(__xludf.DUMMYFUNCTION("""COMPUTED_VALUE"""),45904.0)</f>
        <v>45904</v>
      </c>
      <c r="I1920" s="115" t="str">
        <f>IFERROR(__xludf.DUMMYFUNCTION("""COMPUTED_VALUE"""),"17")</f>
        <v>17</v>
      </c>
      <c r="J1920" s="115" t="str">
        <f>IFERROR(__xludf.DUMMYFUNCTION("""COMPUTED_VALUE"""),"Premkumar M2025-09-0417")</f>
        <v>Premkumar M2025-09-0417</v>
      </c>
      <c r="K1920" s="115">
        <f>IFERROR(__xludf.DUMMYFUNCTION("""COMPUTED_VALUE"""),273680.0)</f>
        <v>273680</v>
      </c>
    </row>
    <row r="1921">
      <c r="A1921" s="115" t="str">
        <f>IFERROR(__xludf.DUMMYFUNCTION("""COMPUTED_VALUE"""),"SOUTH")</f>
        <v>SOUTH</v>
      </c>
      <c r="B1921" s="115" t="str">
        <f>IFERROR(__xludf.DUMMYFUNCTION("""COMPUTED_VALUE"""),"Premkumar M")</f>
        <v>Premkumar M</v>
      </c>
      <c r="C1921" s="115" t="str">
        <f>IFERROR(__xludf.DUMMYFUNCTION("""COMPUTED_VALUE"""),"MYNTRA")</f>
        <v>MYNTRA</v>
      </c>
      <c r="D1921" s="115">
        <f>IFERROR(__xludf.DUMMYFUNCTION("""COMPUTED_VALUE"""),12437.0)</f>
        <v>12437</v>
      </c>
      <c r="E1921" s="115">
        <f>IFERROR(__xludf.DUMMYFUNCTION("""COMPUTED_VALUE"""),2779.0)</f>
        <v>2779</v>
      </c>
      <c r="F1921" s="115">
        <f>IFERROR(__xludf.DUMMYFUNCTION("""COMPUTED_VALUE"""),8454.0)</f>
        <v>8454</v>
      </c>
      <c r="G1921" s="115">
        <f>IFERROR(__xludf.DUMMYFUNCTION("""COMPUTED_VALUE"""),623.0)</f>
        <v>623</v>
      </c>
      <c r="H1921" s="116">
        <f>IFERROR(__xludf.DUMMYFUNCTION("""COMPUTED_VALUE"""),45904.0)</f>
        <v>45904</v>
      </c>
      <c r="I1921" s="115" t="str">
        <f>IFERROR(__xludf.DUMMYFUNCTION("""COMPUTED_VALUE"""),"17")</f>
        <v>17</v>
      </c>
      <c r="J1921" s="115" t="str">
        <f>IFERROR(__xludf.DUMMYFUNCTION("""COMPUTED_VALUE"""),"Premkumar M2025-09-0417")</f>
        <v>Premkumar M2025-09-0417</v>
      </c>
      <c r="K1921" s="115">
        <f>IFERROR(__xludf.DUMMYFUNCTION("""COMPUTED_VALUE"""),15216.0)</f>
        <v>15216</v>
      </c>
    </row>
    <row r="1922">
      <c r="A1922" s="115" t="str">
        <f>IFERROR(__xludf.DUMMYFUNCTION("""COMPUTED_VALUE"""),"SOUTH")</f>
        <v>SOUTH</v>
      </c>
      <c r="B1922" s="115" t="str">
        <f>IFERROR(__xludf.DUMMYFUNCTION("""COMPUTED_VALUE"""),"Vineeth V")</f>
        <v>Vineeth V</v>
      </c>
      <c r="C1922" s="115" t="str">
        <f>IFERROR(__xludf.DUMMYFUNCTION("""COMPUTED_VALUE"""),"EXTERNAL")</f>
        <v>EXTERNAL</v>
      </c>
      <c r="D1922" s="115">
        <f>IFERROR(__xludf.DUMMYFUNCTION("""COMPUTED_VALUE"""),18964.0)</f>
        <v>18964</v>
      </c>
      <c r="E1922" s="115">
        <f>IFERROR(__xludf.DUMMYFUNCTION("""COMPUTED_VALUE"""),717.0)</f>
        <v>717</v>
      </c>
      <c r="F1922" s="115">
        <f>IFERROR(__xludf.DUMMYFUNCTION("""COMPUTED_VALUE"""),8515.0)</f>
        <v>8515</v>
      </c>
      <c r="G1922" s="115">
        <f>IFERROR(__xludf.DUMMYFUNCTION("""COMPUTED_VALUE"""),197.0)</f>
        <v>197</v>
      </c>
      <c r="H1922" s="116">
        <f>IFERROR(__xludf.DUMMYFUNCTION("""COMPUTED_VALUE"""),45904.0)</f>
        <v>45904</v>
      </c>
      <c r="I1922" s="115" t="str">
        <f>IFERROR(__xludf.DUMMYFUNCTION("""COMPUTED_VALUE"""),"17")</f>
        <v>17</v>
      </c>
      <c r="J1922" s="115" t="str">
        <f>IFERROR(__xludf.DUMMYFUNCTION("""COMPUTED_VALUE"""),"Vineeth V2025-09-0417")</f>
        <v>Vineeth V2025-09-0417</v>
      </c>
      <c r="K1922" s="115">
        <f>IFERROR(__xludf.DUMMYFUNCTION("""COMPUTED_VALUE"""),19681.0)</f>
        <v>19681</v>
      </c>
    </row>
    <row r="1923">
      <c r="A1923" s="115" t="str">
        <f>IFERROR(__xludf.DUMMYFUNCTION("""COMPUTED_VALUE"""),"SOUTH")</f>
        <v>SOUTH</v>
      </c>
      <c r="B1923" s="115" t="str">
        <f>IFERROR(__xludf.DUMMYFUNCTION("""COMPUTED_VALUE"""),"Vineeth V")</f>
        <v>Vineeth V</v>
      </c>
      <c r="C1923" s="115" t="str">
        <f>IFERROR(__xludf.DUMMYFUNCTION("""COMPUTED_VALUE"""),"FLIPKART")</f>
        <v>FLIPKART</v>
      </c>
      <c r="D1923" s="115">
        <f>IFERROR(__xludf.DUMMYFUNCTION("""COMPUTED_VALUE"""),202873.0)</f>
        <v>202873</v>
      </c>
      <c r="E1923" s="115">
        <f>IFERROR(__xludf.DUMMYFUNCTION("""COMPUTED_VALUE"""),16447.0)</f>
        <v>16447</v>
      </c>
      <c r="F1923" s="115">
        <f>IFERROR(__xludf.DUMMYFUNCTION("""COMPUTED_VALUE"""),142592.0)</f>
        <v>142592</v>
      </c>
      <c r="G1923" s="115">
        <f>IFERROR(__xludf.DUMMYFUNCTION("""COMPUTED_VALUE"""),4965.0)</f>
        <v>4965</v>
      </c>
      <c r="H1923" s="116">
        <f>IFERROR(__xludf.DUMMYFUNCTION("""COMPUTED_VALUE"""),45904.0)</f>
        <v>45904</v>
      </c>
      <c r="I1923" s="115" t="str">
        <f>IFERROR(__xludf.DUMMYFUNCTION("""COMPUTED_VALUE"""),"17")</f>
        <v>17</v>
      </c>
      <c r="J1923" s="115" t="str">
        <f>IFERROR(__xludf.DUMMYFUNCTION("""COMPUTED_VALUE"""),"Vineeth V2025-09-0417")</f>
        <v>Vineeth V2025-09-0417</v>
      </c>
      <c r="K1923" s="115">
        <f>IFERROR(__xludf.DUMMYFUNCTION("""COMPUTED_VALUE"""),219320.0)</f>
        <v>219320</v>
      </c>
    </row>
    <row r="1924">
      <c r="A1924" s="115" t="str">
        <f>IFERROR(__xludf.DUMMYFUNCTION("""COMPUTED_VALUE"""),"SOUTH")</f>
        <v>SOUTH</v>
      </c>
      <c r="B1924" s="115" t="str">
        <f>IFERROR(__xludf.DUMMYFUNCTION("""COMPUTED_VALUE"""),"Vineeth V")</f>
        <v>Vineeth V</v>
      </c>
      <c r="C1924" s="115" t="str">
        <f>IFERROR(__xludf.DUMMYFUNCTION("""COMPUTED_VALUE"""),"MYNTRA")</f>
        <v>MYNTRA</v>
      </c>
      <c r="D1924" s="115">
        <f>IFERROR(__xludf.DUMMYFUNCTION("""COMPUTED_VALUE"""),17418.0)</f>
        <v>17418</v>
      </c>
      <c r="E1924" s="115">
        <f>IFERROR(__xludf.DUMMYFUNCTION("""COMPUTED_VALUE"""),4075.0)</f>
        <v>4075</v>
      </c>
      <c r="F1924" s="115">
        <f>IFERROR(__xludf.DUMMYFUNCTION("""COMPUTED_VALUE"""),13272.0)</f>
        <v>13272</v>
      </c>
      <c r="G1924" s="115">
        <f>IFERROR(__xludf.DUMMYFUNCTION("""COMPUTED_VALUE"""),1342.0)</f>
        <v>1342</v>
      </c>
      <c r="H1924" s="116">
        <f>IFERROR(__xludf.DUMMYFUNCTION("""COMPUTED_VALUE"""),45904.0)</f>
        <v>45904</v>
      </c>
      <c r="I1924" s="115" t="str">
        <f>IFERROR(__xludf.DUMMYFUNCTION("""COMPUTED_VALUE"""),"17")</f>
        <v>17</v>
      </c>
      <c r="J1924" s="115" t="str">
        <f>IFERROR(__xludf.DUMMYFUNCTION("""COMPUTED_VALUE"""),"Vineeth V2025-09-0417")</f>
        <v>Vineeth V2025-09-0417</v>
      </c>
      <c r="K1924" s="115">
        <f>IFERROR(__xludf.DUMMYFUNCTION("""COMPUTED_VALUE"""),21493.0)</f>
        <v>21493</v>
      </c>
    </row>
    <row r="1925">
      <c r="A1925" s="115" t="str">
        <f>IFERROR(__xludf.DUMMYFUNCTION("""COMPUTED_VALUE"""),"WEST")</f>
        <v>WEST</v>
      </c>
      <c r="B1925" s="115" t="str">
        <f>IFERROR(__xludf.DUMMYFUNCTION("""COMPUTED_VALUE"""),"Ashish Jakar")</f>
        <v>Ashish Jakar</v>
      </c>
      <c r="C1925" s="115" t="str">
        <f>IFERROR(__xludf.DUMMYFUNCTION("""COMPUTED_VALUE"""),"EXTERNAL")</f>
        <v>EXTERNAL</v>
      </c>
      <c r="D1925" s="115">
        <f>IFERROR(__xludf.DUMMYFUNCTION("""COMPUTED_VALUE"""),57506.0)</f>
        <v>57506</v>
      </c>
      <c r="E1925" s="115">
        <f>IFERROR(__xludf.DUMMYFUNCTION("""COMPUTED_VALUE"""),6433.0)</f>
        <v>6433</v>
      </c>
      <c r="F1925" s="115">
        <f>IFERROR(__xludf.DUMMYFUNCTION("""COMPUTED_VALUE"""),19500.0)</f>
        <v>19500</v>
      </c>
      <c r="G1925" s="115">
        <f>IFERROR(__xludf.DUMMYFUNCTION("""COMPUTED_VALUE"""),2138.0)</f>
        <v>2138</v>
      </c>
      <c r="H1925" s="116">
        <f>IFERROR(__xludf.DUMMYFUNCTION("""COMPUTED_VALUE"""),45904.0)</f>
        <v>45904</v>
      </c>
      <c r="I1925" s="115" t="str">
        <f>IFERROR(__xludf.DUMMYFUNCTION("""COMPUTED_VALUE"""),"17")</f>
        <v>17</v>
      </c>
      <c r="J1925" s="115" t="str">
        <f>IFERROR(__xludf.DUMMYFUNCTION("""COMPUTED_VALUE"""),"Ashish Jakar2025-09-0417")</f>
        <v>Ashish Jakar2025-09-0417</v>
      </c>
      <c r="K1925" s="115">
        <f>IFERROR(__xludf.DUMMYFUNCTION("""COMPUTED_VALUE"""),63939.0)</f>
        <v>63939</v>
      </c>
    </row>
    <row r="1926">
      <c r="A1926" s="115" t="str">
        <f>IFERROR(__xludf.DUMMYFUNCTION("""COMPUTED_VALUE"""),"WEST")</f>
        <v>WEST</v>
      </c>
      <c r="B1926" s="115" t="str">
        <f>IFERROR(__xludf.DUMMYFUNCTION("""COMPUTED_VALUE"""),"Ashish Jakar")</f>
        <v>Ashish Jakar</v>
      </c>
      <c r="C1926" s="115" t="str">
        <f>IFERROR(__xludf.DUMMYFUNCTION("""COMPUTED_VALUE"""),"FLIPKART")</f>
        <v>FLIPKART</v>
      </c>
      <c r="D1926" s="115">
        <f>IFERROR(__xludf.DUMMYFUNCTION("""COMPUTED_VALUE"""),323441.0)</f>
        <v>323441</v>
      </c>
      <c r="E1926" s="115">
        <f>IFERROR(__xludf.DUMMYFUNCTION("""COMPUTED_VALUE"""),34851.0)</f>
        <v>34851</v>
      </c>
      <c r="F1926" s="115">
        <f>IFERROR(__xludf.DUMMYFUNCTION("""COMPUTED_VALUE"""),197262.0)</f>
        <v>197262</v>
      </c>
      <c r="G1926" s="115">
        <f>IFERROR(__xludf.DUMMYFUNCTION("""COMPUTED_VALUE"""),14572.0)</f>
        <v>14572</v>
      </c>
      <c r="H1926" s="116">
        <f>IFERROR(__xludf.DUMMYFUNCTION("""COMPUTED_VALUE"""),45904.0)</f>
        <v>45904</v>
      </c>
      <c r="I1926" s="115" t="str">
        <f>IFERROR(__xludf.DUMMYFUNCTION("""COMPUTED_VALUE"""),"17")</f>
        <v>17</v>
      </c>
      <c r="J1926" s="115" t="str">
        <f>IFERROR(__xludf.DUMMYFUNCTION("""COMPUTED_VALUE"""),"Ashish Jakar2025-09-0417")</f>
        <v>Ashish Jakar2025-09-0417</v>
      </c>
      <c r="K1926" s="115">
        <f>IFERROR(__xludf.DUMMYFUNCTION("""COMPUTED_VALUE"""),358292.0)</f>
        <v>358292</v>
      </c>
    </row>
    <row r="1927">
      <c r="A1927" s="115" t="str">
        <f>IFERROR(__xludf.DUMMYFUNCTION("""COMPUTED_VALUE"""),"WEST")</f>
        <v>WEST</v>
      </c>
      <c r="B1927" s="115" t="str">
        <f>IFERROR(__xludf.DUMMYFUNCTION("""COMPUTED_VALUE"""),"Ashish Jakar")</f>
        <v>Ashish Jakar</v>
      </c>
      <c r="C1927" s="115" t="str">
        <f>IFERROR(__xludf.DUMMYFUNCTION("""COMPUTED_VALUE"""),"MYNTRA")</f>
        <v>MYNTRA</v>
      </c>
      <c r="D1927" s="115">
        <f>IFERROR(__xludf.DUMMYFUNCTION("""COMPUTED_VALUE"""),38577.0)</f>
        <v>38577</v>
      </c>
      <c r="E1927" s="115">
        <f>IFERROR(__xludf.DUMMYFUNCTION("""COMPUTED_VALUE"""),10934.0)</f>
        <v>10934</v>
      </c>
      <c r="F1927" s="115">
        <f>IFERROR(__xludf.DUMMYFUNCTION("""COMPUTED_VALUE"""),27285.0)</f>
        <v>27285</v>
      </c>
      <c r="G1927" s="115">
        <f>IFERROR(__xludf.DUMMYFUNCTION("""COMPUTED_VALUE"""),4781.0)</f>
        <v>4781</v>
      </c>
      <c r="H1927" s="116">
        <f>IFERROR(__xludf.DUMMYFUNCTION("""COMPUTED_VALUE"""),45904.0)</f>
        <v>45904</v>
      </c>
      <c r="I1927" s="115" t="str">
        <f>IFERROR(__xludf.DUMMYFUNCTION("""COMPUTED_VALUE"""),"17")</f>
        <v>17</v>
      </c>
      <c r="J1927" s="115" t="str">
        <f>IFERROR(__xludf.DUMMYFUNCTION("""COMPUTED_VALUE"""),"Ashish Jakar2025-09-0417")</f>
        <v>Ashish Jakar2025-09-0417</v>
      </c>
      <c r="K1927" s="115">
        <f>IFERROR(__xludf.DUMMYFUNCTION("""COMPUTED_VALUE"""),49511.0)</f>
        <v>49511</v>
      </c>
    </row>
    <row r="1928">
      <c r="A1928" s="115" t="str">
        <f>IFERROR(__xludf.DUMMYFUNCTION("""COMPUTED_VALUE"""),"WEST")</f>
        <v>WEST</v>
      </c>
      <c r="B1928" s="115" t="str">
        <f>IFERROR(__xludf.DUMMYFUNCTION("""COMPUTED_VALUE"""),"Ashvani Bhatt")</f>
        <v>Ashvani Bhatt</v>
      </c>
      <c r="C1928" s="115" t="str">
        <f>IFERROR(__xludf.DUMMYFUNCTION("""COMPUTED_VALUE"""),"EXTERNAL")</f>
        <v>EXTERNAL</v>
      </c>
      <c r="D1928" s="115">
        <f>IFERROR(__xludf.DUMMYFUNCTION("""COMPUTED_VALUE"""),37374.0)</f>
        <v>37374</v>
      </c>
      <c r="E1928" s="115">
        <f>IFERROR(__xludf.DUMMYFUNCTION("""COMPUTED_VALUE"""),3403.0)</f>
        <v>3403</v>
      </c>
      <c r="F1928" s="115">
        <f>IFERROR(__xludf.DUMMYFUNCTION("""COMPUTED_VALUE"""),14058.0)</f>
        <v>14058</v>
      </c>
      <c r="G1928" s="115">
        <f>IFERROR(__xludf.DUMMYFUNCTION("""COMPUTED_VALUE"""),871.0)</f>
        <v>871</v>
      </c>
      <c r="H1928" s="116">
        <f>IFERROR(__xludf.DUMMYFUNCTION("""COMPUTED_VALUE"""),45904.0)</f>
        <v>45904</v>
      </c>
      <c r="I1928" s="115" t="str">
        <f>IFERROR(__xludf.DUMMYFUNCTION("""COMPUTED_VALUE"""),"17")</f>
        <v>17</v>
      </c>
      <c r="J1928" s="115" t="str">
        <f>IFERROR(__xludf.DUMMYFUNCTION("""COMPUTED_VALUE"""),"Ashvani Bhatt2025-09-0417")</f>
        <v>Ashvani Bhatt2025-09-0417</v>
      </c>
      <c r="K1928" s="115">
        <f>IFERROR(__xludf.DUMMYFUNCTION("""COMPUTED_VALUE"""),40777.0)</f>
        <v>40777</v>
      </c>
    </row>
    <row r="1929">
      <c r="A1929" s="115" t="str">
        <f>IFERROR(__xludf.DUMMYFUNCTION("""COMPUTED_VALUE"""),"WEST")</f>
        <v>WEST</v>
      </c>
      <c r="B1929" s="115" t="str">
        <f>IFERROR(__xludf.DUMMYFUNCTION("""COMPUTED_VALUE"""),"Ashvani Bhatt")</f>
        <v>Ashvani Bhatt</v>
      </c>
      <c r="C1929" s="115" t="str">
        <f>IFERROR(__xludf.DUMMYFUNCTION("""COMPUTED_VALUE"""),"FLIPKART")</f>
        <v>FLIPKART</v>
      </c>
      <c r="D1929" s="115">
        <f>IFERROR(__xludf.DUMMYFUNCTION("""COMPUTED_VALUE"""),262002.0)</f>
        <v>262002</v>
      </c>
      <c r="E1929" s="115">
        <f>IFERROR(__xludf.DUMMYFUNCTION("""COMPUTED_VALUE"""),28334.0)</f>
        <v>28334</v>
      </c>
      <c r="F1929" s="115">
        <f>IFERROR(__xludf.DUMMYFUNCTION("""COMPUTED_VALUE"""),176075.0)</f>
        <v>176075</v>
      </c>
      <c r="G1929" s="115">
        <f>IFERROR(__xludf.DUMMYFUNCTION("""COMPUTED_VALUE"""),12040.0)</f>
        <v>12040</v>
      </c>
      <c r="H1929" s="116">
        <f>IFERROR(__xludf.DUMMYFUNCTION("""COMPUTED_VALUE"""),45904.0)</f>
        <v>45904</v>
      </c>
      <c r="I1929" s="115" t="str">
        <f>IFERROR(__xludf.DUMMYFUNCTION("""COMPUTED_VALUE"""),"17")</f>
        <v>17</v>
      </c>
      <c r="J1929" s="115" t="str">
        <f>IFERROR(__xludf.DUMMYFUNCTION("""COMPUTED_VALUE"""),"Ashvani Bhatt2025-09-0417")</f>
        <v>Ashvani Bhatt2025-09-0417</v>
      </c>
      <c r="K1929" s="115">
        <f>IFERROR(__xludf.DUMMYFUNCTION("""COMPUTED_VALUE"""),290336.0)</f>
        <v>290336</v>
      </c>
    </row>
    <row r="1930">
      <c r="A1930" s="115" t="str">
        <f>IFERROR(__xludf.DUMMYFUNCTION("""COMPUTED_VALUE"""),"WEST")</f>
        <v>WEST</v>
      </c>
      <c r="B1930" s="115" t="str">
        <f>IFERROR(__xludf.DUMMYFUNCTION("""COMPUTED_VALUE"""),"Ashvani Bhatt")</f>
        <v>Ashvani Bhatt</v>
      </c>
      <c r="C1930" s="115" t="str">
        <f>IFERROR(__xludf.DUMMYFUNCTION("""COMPUTED_VALUE"""),"MYNTRA")</f>
        <v>MYNTRA</v>
      </c>
      <c r="D1930" s="115">
        <f>IFERROR(__xludf.DUMMYFUNCTION("""COMPUTED_VALUE"""),32817.0)</f>
        <v>32817</v>
      </c>
      <c r="E1930" s="115">
        <f>IFERROR(__xludf.DUMMYFUNCTION("""COMPUTED_VALUE"""),8600.0)</f>
        <v>8600</v>
      </c>
      <c r="F1930" s="115">
        <f>IFERROR(__xludf.DUMMYFUNCTION("""COMPUTED_VALUE"""),25521.0)</f>
        <v>25521</v>
      </c>
      <c r="G1930" s="115">
        <f>IFERROR(__xludf.DUMMYFUNCTION("""COMPUTED_VALUE"""),4266.0)</f>
        <v>4266</v>
      </c>
      <c r="H1930" s="116">
        <f>IFERROR(__xludf.DUMMYFUNCTION("""COMPUTED_VALUE"""),45904.0)</f>
        <v>45904</v>
      </c>
      <c r="I1930" s="115" t="str">
        <f>IFERROR(__xludf.DUMMYFUNCTION("""COMPUTED_VALUE"""),"17")</f>
        <v>17</v>
      </c>
      <c r="J1930" s="115" t="str">
        <f>IFERROR(__xludf.DUMMYFUNCTION("""COMPUTED_VALUE"""),"Ashvani Bhatt2025-09-0417")</f>
        <v>Ashvani Bhatt2025-09-0417</v>
      </c>
      <c r="K1930" s="115">
        <f>IFERROR(__xludf.DUMMYFUNCTION("""COMPUTED_VALUE"""),41417.0)</f>
        <v>41417</v>
      </c>
    </row>
    <row r="1931">
      <c r="A1931" s="115"/>
      <c r="B1931" s="115"/>
      <c r="C1931" s="115" t="str">
        <f>IFERROR(__xludf.DUMMYFUNCTION("""COMPUTED_VALUE"""),"EXTERNAL")</f>
        <v>EXTERNAL</v>
      </c>
      <c r="D1931" s="115">
        <f>IFERROR(__xludf.DUMMYFUNCTION("""COMPUTED_VALUE"""),1234.0)</f>
        <v>1234</v>
      </c>
      <c r="E1931" s="115">
        <f>IFERROR(__xludf.DUMMYFUNCTION("""COMPUTED_VALUE"""),229.0)</f>
        <v>229</v>
      </c>
      <c r="F1931" s="115">
        <f>IFERROR(__xludf.DUMMYFUNCTION("""COMPUTED_VALUE"""),441.0)</f>
        <v>441</v>
      </c>
      <c r="G1931" s="115">
        <f>IFERROR(__xludf.DUMMYFUNCTION("""COMPUTED_VALUE"""),81.0)</f>
        <v>81</v>
      </c>
      <c r="H1931" s="116">
        <f>IFERROR(__xludf.DUMMYFUNCTION("""COMPUTED_VALUE"""),45904.0)</f>
        <v>45904</v>
      </c>
      <c r="I1931" s="115" t="str">
        <f>IFERROR(__xludf.DUMMYFUNCTION("""COMPUTED_VALUE"""),"17")</f>
        <v>17</v>
      </c>
      <c r="J1931" s="115" t="str">
        <f>IFERROR(__xludf.DUMMYFUNCTION("""COMPUTED_VALUE"""),"2025-09-0417")</f>
        <v>2025-09-0417</v>
      </c>
      <c r="K1931" s="115">
        <f>IFERROR(__xludf.DUMMYFUNCTION("""COMPUTED_VALUE"""),1463.0)</f>
        <v>1463</v>
      </c>
    </row>
    <row r="1932">
      <c r="A1932" s="115"/>
      <c r="B1932" s="115"/>
      <c r="C1932" s="115" t="str">
        <f>IFERROR(__xludf.DUMMYFUNCTION("""COMPUTED_VALUE"""),"FLIPKART")</f>
        <v>FLIPKART</v>
      </c>
      <c r="D1932" s="115">
        <f>IFERROR(__xludf.DUMMYFUNCTION("""COMPUTED_VALUE"""),8496.0)</f>
        <v>8496</v>
      </c>
      <c r="E1932" s="115">
        <f>IFERROR(__xludf.DUMMYFUNCTION("""COMPUTED_VALUE"""),1128.0)</f>
        <v>1128</v>
      </c>
      <c r="F1932" s="115">
        <f>IFERROR(__xludf.DUMMYFUNCTION("""COMPUTED_VALUE"""),5448.0)</f>
        <v>5448</v>
      </c>
      <c r="G1932" s="115">
        <f>IFERROR(__xludf.DUMMYFUNCTION("""COMPUTED_VALUE"""),434.0)</f>
        <v>434</v>
      </c>
      <c r="H1932" s="116">
        <f>IFERROR(__xludf.DUMMYFUNCTION("""COMPUTED_VALUE"""),45904.0)</f>
        <v>45904</v>
      </c>
      <c r="I1932" s="115" t="str">
        <f>IFERROR(__xludf.DUMMYFUNCTION("""COMPUTED_VALUE"""),"17")</f>
        <v>17</v>
      </c>
      <c r="J1932" s="115" t="str">
        <f>IFERROR(__xludf.DUMMYFUNCTION("""COMPUTED_VALUE"""),"2025-09-0417")</f>
        <v>2025-09-0417</v>
      </c>
      <c r="K1932" s="115">
        <f>IFERROR(__xludf.DUMMYFUNCTION("""COMPUTED_VALUE"""),9624.0)</f>
        <v>9624</v>
      </c>
    </row>
    <row r="1933">
      <c r="A1933" s="115"/>
      <c r="B1933" s="115"/>
      <c r="C1933" s="115" t="str">
        <f>IFERROR(__xludf.DUMMYFUNCTION("""COMPUTED_VALUE"""),"MYNTRA")</f>
        <v>MYNTRA</v>
      </c>
      <c r="D1933" s="115">
        <f>IFERROR(__xludf.DUMMYFUNCTION("""COMPUTED_VALUE"""),903.0)</f>
        <v>903</v>
      </c>
      <c r="E1933" s="115">
        <f>IFERROR(__xludf.DUMMYFUNCTION("""COMPUTED_VALUE"""),333.0)</f>
        <v>333</v>
      </c>
      <c r="F1933" s="115">
        <f>IFERROR(__xludf.DUMMYFUNCTION("""COMPUTED_VALUE"""),602.0)</f>
        <v>602</v>
      </c>
      <c r="G1933" s="115">
        <f>IFERROR(__xludf.DUMMYFUNCTION("""COMPUTED_VALUE"""),159.0)</f>
        <v>159</v>
      </c>
      <c r="H1933" s="116">
        <f>IFERROR(__xludf.DUMMYFUNCTION("""COMPUTED_VALUE"""),45904.0)</f>
        <v>45904</v>
      </c>
      <c r="I1933" s="115" t="str">
        <f>IFERROR(__xludf.DUMMYFUNCTION("""COMPUTED_VALUE"""),"17")</f>
        <v>17</v>
      </c>
      <c r="J1933" s="115" t="str">
        <f>IFERROR(__xludf.DUMMYFUNCTION("""COMPUTED_VALUE"""),"2025-09-0417")</f>
        <v>2025-09-0417</v>
      </c>
      <c r="K1933" s="115">
        <f>IFERROR(__xludf.DUMMYFUNCTION("""COMPUTED_VALUE"""),1236.0)</f>
        <v>1236</v>
      </c>
    </row>
    <row r="1934">
      <c r="A1934" s="115" t="str">
        <f>IFERROR(__xludf.DUMMYFUNCTION("""COMPUTED_VALUE"""),"EAST")</f>
        <v>EAST</v>
      </c>
      <c r="B1934" s="115" t="str">
        <f>IFERROR(__xludf.DUMMYFUNCTION("""COMPUTED_VALUE"""),"Ashish Ranjan")</f>
        <v>Ashish Ranjan</v>
      </c>
      <c r="C1934" s="115" t="str">
        <f>IFERROR(__xludf.DUMMYFUNCTION("""COMPUTED_VALUE"""),"EXTERNAL")</f>
        <v>EXTERNAL</v>
      </c>
      <c r="D1934" s="115">
        <f>IFERROR(__xludf.DUMMYFUNCTION("""COMPUTED_VALUE"""),35340.0)</f>
        <v>35340</v>
      </c>
      <c r="E1934" s="115">
        <f>IFERROR(__xludf.DUMMYFUNCTION("""COMPUTED_VALUE"""),3436.0)</f>
        <v>3436</v>
      </c>
      <c r="F1934" s="115">
        <f>IFERROR(__xludf.DUMMYFUNCTION("""COMPUTED_VALUE"""),18160.0)</f>
        <v>18160</v>
      </c>
      <c r="G1934" s="115">
        <f>IFERROR(__xludf.DUMMYFUNCTION("""COMPUTED_VALUE"""),1467.0)</f>
        <v>1467</v>
      </c>
      <c r="H1934" s="116">
        <f>IFERROR(__xludf.DUMMYFUNCTION("""COMPUTED_VALUE"""),45904.0)</f>
        <v>45904</v>
      </c>
      <c r="I1934" s="115" t="str">
        <f>IFERROR(__xludf.DUMMYFUNCTION("""COMPUTED_VALUE"""),"18")</f>
        <v>18</v>
      </c>
      <c r="J1934" s="115" t="str">
        <f>IFERROR(__xludf.DUMMYFUNCTION("""COMPUTED_VALUE"""),"Ashish Ranjan2025-09-0418")</f>
        <v>Ashish Ranjan2025-09-0418</v>
      </c>
      <c r="K1934" s="115">
        <f>IFERROR(__xludf.DUMMYFUNCTION("""COMPUTED_VALUE"""),38776.0)</f>
        <v>38776</v>
      </c>
    </row>
    <row r="1935">
      <c r="A1935" s="115" t="str">
        <f>IFERROR(__xludf.DUMMYFUNCTION("""COMPUTED_VALUE"""),"EAST")</f>
        <v>EAST</v>
      </c>
      <c r="B1935" s="115" t="str">
        <f>IFERROR(__xludf.DUMMYFUNCTION("""COMPUTED_VALUE"""),"Ashish Ranjan")</f>
        <v>Ashish Ranjan</v>
      </c>
      <c r="C1935" s="115" t="str">
        <f>IFERROR(__xludf.DUMMYFUNCTION("""COMPUTED_VALUE"""),"FLIPKART")</f>
        <v>FLIPKART</v>
      </c>
      <c r="D1935" s="115">
        <f>IFERROR(__xludf.DUMMYFUNCTION("""COMPUTED_VALUE"""),564697.0)</f>
        <v>564697</v>
      </c>
      <c r="E1935" s="115">
        <f>IFERROR(__xludf.DUMMYFUNCTION("""COMPUTED_VALUE"""),60216.0)</f>
        <v>60216</v>
      </c>
      <c r="F1935" s="115">
        <f>IFERROR(__xludf.DUMMYFUNCTION("""COMPUTED_VALUE"""),459766.0)</f>
        <v>459766</v>
      </c>
      <c r="G1935" s="115">
        <f>IFERROR(__xludf.DUMMYFUNCTION("""COMPUTED_VALUE"""),38473.0)</f>
        <v>38473</v>
      </c>
      <c r="H1935" s="116">
        <f>IFERROR(__xludf.DUMMYFUNCTION("""COMPUTED_VALUE"""),45904.0)</f>
        <v>45904</v>
      </c>
      <c r="I1935" s="115" t="str">
        <f>IFERROR(__xludf.DUMMYFUNCTION("""COMPUTED_VALUE"""),"18")</f>
        <v>18</v>
      </c>
      <c r="J1935" s="115" t="str">
        <f>IFERROR(__xludf.DUMMYFUNCTION("""COMPUTED_VALUE"""),"Ashish Ranjan2025-09-0418")</f>
        <v>Ashish Ranjan2025-09-0418</v>
      </c>
      <c r="K1935" s="115">
        <f>IFERROR(__xludf.DUMMYFUNCTION("""COMPUTED_VALUE"""),624913.0)</f>
        <v>624913</v>
      </c>
    </row>
    <row r="1936">
      <c r="A1936" s="115" t="str">
        <f>IFERROR(__xludf.DUMMYFUNCTION("""COMPUTED_VALUE"""),"EAST")</f>
        <v>EAST</v>
      </c>
      <c r="B1936" s="115" t="str">
        <f>IFERROR(__xludf.DUMMYFUNCTION("""COMPUTED_VALUE"""),"Ashish Ranjan")</f>
        <v>Ashish Ranjan</v>
      </c>
      <c r="C1936" s="115" t="str">
        <f>IFERROR(__xludf.DUMMYFUNCTION("""COMPUTED_VALUE"""),"MYNTRA")</f>
        <v>MYNTRA</v>
      </c>
      <c r="D1936" s="115">
        <f>IFERROR(__xludf.DUMMYFUNCTION("""COMPUTED_VALUE"""),56462.0)</f>
        <v>56462</v>
      </c>
      <c r="E1936" s="115">
        <f>IFERROR(__xludf.DUMMYFUNCTION("""COMPUTED_VALUE"""),12502.0)</f>
        <v>12502</v>
      </c>
      <c r="F1936" s="115">
        <f>IFERROR(__xludf.DUMMYFUNCTION("""COMPUTED_VALUE"""),46326.0)</f>
        <v>46326</v>
      </c>
      <c r="G1936" s="115">
        <f>IFERROR(__xludf.DUMMYFUNCTION("""COMPUTED_VALUE"""),8056.0)</f>
        <v>8056</v>
      </c>
      <c r="H1936" s="116">
        <f>IFERROR(__xludf.DUMMYFUNCTION("""COMPUTED_VALUE"""),45904.0)</f>
        <v>45904</v>
      </c>
      <c r="I1936" s="115" t="str">
        <f>IFERROR(__xludf.DUMMYFUNCTION("""COMPUTED_VALUE"""),"18")</f>
        <v>18</v>
      </c>
      <c r="J1936" s="115" t="str">
        <f>IFERROR(__xludf.DUMMYFUNCTION("""COMPUTED_VALUE"""),"Ashish Ranjan2025-09-0418")</f>
        <v>Ashish Ranjan2025-09-0418</v>
      </c>
      <c r="K1936" s="115">
        <f>IFERROR(__xludf.DUMMYFUNCTION("""COMPUTED_VALUE"""),68964.0)</f>
        <v>68964</v>
      </c>
    </row>
    <row r="1937">
      <c r="A1937" s="115" t="str">
        <f>IFERROR(__xludf.DUMMYFUNCTION("""COMPUTED_VALUE"""),"EAST")</f>
        <v>EAST</v>
      </c>
      <c r="B1937" s="115" t="str">
        <f>IFERROR(__xludf.DUMMYFUNCTION("""COMPUTED_VALUE"""),"Girish Chand")</f>
        <v>Girish Chand</v>
      </c>
      <c r="C1937" s="115" t="str">
        <f>IFERROR(__xludf.DUMMYFUNCTION("""COMPUTED_VALUE"""),"EXTERNAL")</f>
        <v>EXTERNAL</v>
      </c>
      <c r="D1937" s="115">
        <f>IFERROR(__xludf.DUMMYFUNCTION("""COMPUTED_VALUE"""),21478.0)</f>
        <v>21478</v>
      </c>
      <c r="E1937" s="115">
        <f>IFERROR(__xludf.DUMMYFUNCTION("""COMPUTED_VALUE"""),1930.0)</f>
        <v>1930</v>
      </c>
      <c r="F1937" s="115">
        <f>IFERROR(__xludf.DUMMYFUNCTION("""COMPUTED_VALUE"""),8373.0)</f>
        <v>8373</v>
      </c>
      <c r="G1937" s="115">
        <f>IFERROR(__xludf.DUMMYFUNCTION("""COMPUTED_VALUE"""),591.0)</f>
        <v>591</v>
      </c>
      <c r="H1937" s="116">
        <f>IFERROR(__xludf.DUMMYFUNCTION("""COMPUTED_VALUE"""),45904.0)</f>
        <v>45904</v>
      </c>
      <c r="I1937" s="115" t="str">
        <f>IFERROR(__xludf.DUMMYFUNCTION("""COMPUTED_VALUE"""),"18")</f>
        <v>18</v>
      </c>
      <c r="J1937" s="115" t="str">
        <f>IFERROR(__xludf.DUMMYFUNCTION("""COMPUTED_VALUE"""),"Girish Chand2025-09-0418")</f>
        <v>Girish Chand2025-09-0418</v>
      </c>
      <c r="K1937" s="115">
        <f>IFERROR(__xludf.DUMMYFUNCTION("""COMPUTED_VALUE"""),23408.0)</f>
        <v>23408</v>
      </c>
    </row>
    <row r="1938">
      <c r="A1938" s="115" t="str">
        <f>IFERROR(__xludf.DUMMYFUNCTION("""COMPUTED_VALUE"""),"EAST")</f>
        <v>EAST</v>
      </c>
      <c r="B1938" s="115" t="str">
        <f>IFERROR(__xludf.DUMMYFUNCTION("""COMPUTED_VALUE"""),"Girish Chand")</f>
        <v>Girish Chand</v>
      </c>
      <c r="C1938" s="115" t="str">
        <f>IFERROR(__xludf.DUMMYFUNCTION("""COMPUTED_VALUE"""),"FLIPKART")</f>
        <v>FLIPKART</v>
      </c>
      <c r="D1938" s="115">
        <f>IFERROR(__xludf.DUMMYFUNCTION("""COMPUTED_VALUE"""),382798.0)</f>
        <v>382798</v>
      </c>
      <c r="E1938" s="115">
        <f>IFERROR(__xludf.DUMMYFUNCTION("""COMPUTED_VALUE"""),39769.0)</f>
        <v>39769</v>
      </c>
      <c r="F1938" s="115">
        <f>IFERROR(__xludf.DUMMYFUNCTION("""COMPUTED_VALUE"""),271747.0)</f>
        <v>271747</v>
      </c>
      <c r="G1938" s="115">
        <f>IFERROR(__xludf.DUMMYFUNCTION("""COMPUTED_VALUE"""),21832.0)</f>
        <v>21832</v>
      </c>
      <c r="H1938" s="116">
        <f>IFERROR(__xludf.DUMMYFUNCTION("""COMPUTED_VALUE"""),45904.0)</f>
        <v>45904</v>
      </c>
      <c r="I1938" s="115" t="str">
        <f>IFERROR(__xludf.DUMMYFUNCTION("""COMPUTED_VALUE"""),"18")</f>
        <v>18</v>
      </c>
      <c r="J1938" s="115" t="str">
        <f>IFERROR(__xludf.DUMMYFUNCTION("""COMPUTED_VALUE"""),"Girish Chand2025-09-0418")</f>
        <v>Girish Chand2025-09-0418</v>
      </c>
      <c r="K1938" s="115">
        <f>IFERROR(__xludf.DUMMYFUNCTION("""COMPUTED_VALUE"""),422567.0)</f>
        <v>422567</v>
      </c>
    </row>
    <row r="1939">
      <c r="A1939" s="115" t="str">
        <f>IFERROR(__xludf.DUMMYFUNCTION("""COMPUTED_VALUE"""),"EAST")</f>
        <v>EAST</v>
      </c>
      <c r="B1939" s="115" t="str">
        <f>IFERROR(__xludf.DUMMYFUNCTION("""COMPUTED_VALUE"""),"Girish Chand")</f>
        <v>Girish Chand</v>
      </c>
      <c r="C1939" s="115" t="str">
        <f>IFERROR(__xludf.DUMMYFUNCTION("""COMPUTED_VALUE"""),"MYNTRA")</f>
        <v>MYNTRA</v>
      </c>
      <c r="D1939" s="115">
        <f>IFERROR(__xludf.DUMMYFUNCTION("""COMPUTED_VALUE"""),30965.0)</f>
        <v>30965</v>
      </c>
      <c r="E1939" s="115">
        <f>IFERROR(__xludf.DUMMYFUNCTION("""COMPUTED_VALUE"""),6957.0)</f>
        <v>6957</v>
      </c>
      <c r="F1939" s="115">
        <f>IFERROR(__xludf.DUMMYFUNCTION("""COMPUTED_VALUE"""),23417.0)</f>
        <v>23417</v>
      </c>
      <c r="G1939" s="115">
        <f>IFERROR(__xludf.DUMMYFUNCTION("""COMPUTED_VALUE"""),4082.0)</f>
        <v>4082</v>
      </c>
      <c r="H1939" s="116">
        <f>IFERROR(__xludf.DUMMYFUNCTION("""COMPUTED_VALUE"""),45904.0)</f>
        <v>45904</v>
      </c>
      <c r="I1939" s="115" t="str">
        <f>IFERROR(__xludf.DUMMYFUNCTION("""COMPUTED_VALUE"""),"18")</f>
        <v>18</v>
      </c>
      <c r="J1939" s="115" t="str">
        <f>IFERROR(__xludf.DUMMYFUNCTION("""COMPUTED_VALUE"""),"Girish Chand2025-09-0418")</f>
        <v>Girish Chand2025-09-0418</v>
      </c>
      <c r="K1939" s="115">
        <f>IFERROR(__xludf.DUMMYFUNCTION("""COMPUTED_VALUE"""),37922.0)</f>
        <v>37922</v>
      </c>
    </row>
    <row r="1940">
      <c r="A1940" s="115" t="str">
        <f>IFERROR(__xludf.DUMMYFUNCTION("""COMPUTED_VALUE"""),"EAST")</f>
        <v>EAST</v>
      </c>
      <c r="B1940" s="115" t="str">
        <f>IFERROR(__xludf.DUMMYFUNCTION("""COMPUTED_VALUE"""),"Parag Kashyap")</f>
        <v>Parag Kashyap</v>
      </c>
      <c r="C1940" s="115" t="str">
        <f>IFERROR(__xludf.DUMMYFUNCTION("""COMPUTED_VALUE"""),"EXTERNAL")</f>
        <v>EXTERNAL</v>
      </c>
      <c r="D1940" s="115">
        <f>IFERROR(__xludf.DUMMYFUNCTION("""COMPUTED_VALUE"""),20379.0)</f>
        <v>20379</v>
      </c>
      <c r="E1940" s="115">
        <f>IFERROR(__xludf.DUMMYFUNCTION("""COMPUTED_VALUE"""),1115.0)</f>
        <v>1115</v>
      </c>
      <c r="F1940" s="115">
        <f>IFERROR(__xludf.DUMMYFUNCTION("""COMPUTED_VALUE"""),7698.0)</f>
        <v>7698</v>
      </c>
      <c r="G1940" s="115">
        <f>IFERROR(__xludf.DUMMYFUNCTION("""COMPUTED_VALUE"""),300.0)</f>
        <v>300</v>
      </c>
      <c r="H1940" s="116">
        <f>IFERROR(__xludf.DUMMYFUNCTION("""COMPUTED_VALUE"""),45904.0)</f>
        <v>45904</v>
      </c>
      <c r="I1940" s="115" t="str">
        <f>IFERROR(__xludf.DUMMYFUNCTION("""COMPUTED_VALUE"""),"18")</f>
        <v>18</v>
      </c>
      <c r="J1940" s="115" t="str">
        <f>IFERROR(__xludf.DUMMYFUNCTION("""COMPUTED_VALUE"""),"Parag Kashyap2025-09-0418")</f>
        <v>Parag Kashyap2025-09-0418</v>
      </c>
      <c r="K1940" s="115">
        <f>IFERROR(__xludf.DUMMYFUNCTION("""COMPUTED_VALUE"""),21494.0)</f>
        <v>21494</v>
      </c>
    </row>
    <row r="1941">
      <c r="A1941" s="115" t="str">
        <f>IFERROR(__xludf.DUMMYFUNCTION("""COMPUTED_VALUE"""),"EAST")</f>
        <v>EAST</v>
      </c>
      <c r="B1941" s="115" t="str">
        <f>IFERROR(__xludf.DUMMYFUNCTION("""COMPUTED_VALUE"""),"Parag Kashyap")</f>
        <v>Parag Kashyap</v>
      </c>
      <c r="C1941" s="115" t="str">
        <f>IFERROR(__xludf.DUMMYFUNCTION("""COMPUTED_VALUE"""),"FLIPKART")</f>
        <v>FLIPKART</v>
      </c>
      <c r="D1941" s="115">
        <f>IFERROR(__xludf.DUMMYFUNCTION("""COMPUTED_VALUE"""),295939.0)</f>
        <v>295939</v>
      </c>
      <c r="E1941" s="115">
        <f>IFERROR(__xludf.DUMMYFUNCTION("""COMPUTED_VALUE"""),19835.0)</f>
        <v>19835</v>
      </c>
      <c r="F1941" s="115">
        <f>IFERROR(__xludf.DUMMYFUNCTION("""COMPUTED_VALUE"""),209585.0)</f>
        <v>209585</v>
      </c>
      <c r="G1941" s="115">
        <f>IFERROR(__xludf.DUMMYFUNCTION("""COMPUTED_VALUE"""),8590.0)</f>
        <v>8590</v>
      </c>
      <c r="H1941" s="116">
        <f>IFERROR(__xludf.DUMMYFUNCTION("""COMPUTED_VALUE"""),45904.0)</f>
        <v>45904</v>
      </c>
      <c r="I1941" s="115" t="str">
        <f>IFERROR(__xludf.DUMMYFUNCTION("""COMPUTED_VALUE"""),"18")</f>
        <v>18</v>
      </c>
      <c r="J1941" s="115" t="str">
        <f>IFERROR(__xludf.DUMMYFUNCTION("""COMPUTED_VALUE"""),"Parag Kashyap2025-09-0418")</f>
        <v>Parag Kashyap2025-09-0418</v>
      </c>
      <c r="K1941" s="115">
        <f>IFERROR(__xludf.DUMMYFUNCTION("""COMPUTED_VALUE"""),315774.0)</f>
        <v>315774</v>
      </c>
    </row>
    <row r="1942">
      <c r="A1942" s="115" t="str">
        <f>IFERROR(__xludf.DUMMYFUNCTION("""COMPUTED_VALUE"""),"EAST")</f>
        <v>EAST</v>
      </c>
      <c r="B1942" s="115" t="str">
        <f>IFERROR(__xludf.DUMMYFUNCTION("""COMPUTED_VALUE"""),"Parag Kashyap")</f>
        <v>Parag Kashyap</v>
      </c>
      <c r="C1942" s="115" t="str">
        <f>IFERROR(__xludf.DUMMYFUNCTION("""COMPUTED_VALUE"""),"MYNTRA")</f>
        <v>MYNTRA</v>
      </c>
      <c r="D1942" s="115">
        <f>IFERROR(__xludf.DUMMYFUNCTION("""COMPUTED_VALUE"""),34282.0)</f>
        <v>34282</v>
      </c>
      <c r="E1942" s="115">
        <f>IFERROR(__xludf.DUMMYFUNCTION("""COMPUTED_VALUE"""),5126.0)</f>
        <v>5126</v>
      </c>
      <c r="F1942" s="115">
        <f>IFERROR(__xludf.DUMMYFUNCTION("""COMPUTED_VALUE"""),25113.0)</f>
        <v>25113</v>
      </c>
      <c r="G1942" s="115">
        <f>IFERROR(__xludf.DUMMYFUNCTION("""COMPUTED_VALUE"""),2254.0)</f>
        <v>2254</v>
      </c>
      <c r="H1942" s="116">
        <f>IFERROR(__xludf.DUMMYFUNCTION("""COMPUTED_VALUE"""),45904.0)</f>
        <v>45904</v>
      </c>
      <c r="I1942" s="115" t="str">
        <f>IFERROR(__xludf.DUMMYFUNCTION("""COMPUTED_VALUE"""),"18")</f>
        <v>18</v>
      </c>
      <c r="J1942" s="115" t="str">
        <f>IFERROR(__xludf.DUMMYFUNCTION("""COMPUTED_VALUE"""),"Parag Kashyap2025-09-0418")</f>
        <v>Parag Kashyap2025-09-0418</v>
      </c>
      <c r="K1942" s="115">
        <f>IFERROR(__xludf.DUMMYFUNCTION("""COMPUTED_VALUE"""),39408.0)</f>
        <v>39408</v>
      </c>
    </row>
    <row r="1943">
      <c r="A1943" s="115" t="str">
        <f>IFERROR(__xludf.DUMMYFUNCTION("""COMPUTED_VALUE"""),"NORTH")</f>
        <v>NORTH</v>
      </c>
      <c r="B1943" s="115" t="str">
        <f>IFERROR(__xludf.DUMMYFUNCTION("""COMPUTED_VALUE"""),"Amit Kumar Pathak")</f>
        <v>Amit Kumar Pathak</v>
      </c>
      <c r="C1943" s="115" t="str">
        <f>IFERROR(__xludf.DUMMYFUNCTION("""COMPUTED_VALUE"""),"EXTERNAL")</f>
        <v>EXTERNAL</v>
      </c>
      <c r="D1943" s="115">
        <f>IFERROR(__xludf.DUMMYFUNCTION("""COMPUTED_VALUE"""),27905.0)</f>
        <v>27905</v>
      </c>
      <c r="E1943" s="115">
        <f>IFERROR(__xludf.DUMMYFUNCTION("""COMPUTED_VALUE"""),3160.0)</f>
        <v>3160</v>
      </c>
      <c r="F1943" s="115">
        <f>IFERROR(__xludf.DUMMYFUNCTION("""COMPUTED_VALUE"""),9961.0)</f>
        <v>9961</v>
      </c>
      <c r="G1943" s="115">
        <f>IFERROR(__xludf.DUMMYFUNCTION("""COMPUTED_VALUE"""),1330.0)</f>
        <v>1330</v>
      </c>
      <c r="H1943" s="116">
        <f>IFERROR(__xludf.DUMMYFUNCTION("""COMPUTED_VALUE"""),45904.0)</f>
        <v>45904</v>
      </c>
      <c r="I1943" s="115" t="str">
        <f>IFERROR(__xludf.DUMMYFUNCTION("""COMPUTED_VALUE"""),"18")</f>
        <v>18</v>
      </c>
      <c r="J1943" s="115" t="str">
        <f>IFERROR(__xludf.DUMMYFUNCTION("""COMPUTED_VALUE"""),"Amit Kumar Pathak2025-09-0418")</f>
        <v>Amit Kumar Pathak2025-09-0418</v>
      </c>
      <c r="K1943" s="115">
        <f>IFERROR(__xludf.DUMMYFUNCTION("""COMPUTED_VALUE"""),31065.0)</f>
        <v>31065</v>
      </c>
    </row>
    <row r="1944">
      <c r="A1944" s="115" t="str">
        <f>IFERROR(__xludf.DUMMYFUNCTION("""COMPUTED_VALUE"""),"NORTH")</f>
        <v>NORTH</v>
      </c>
      <c r="B1944" s="115" t="str">
        <f>IFERROR(__xludf.DUMMYFUNCTION("""COMPUTED_VALUE"""),"Amit Kumar Pathak")</f>
        <v>Amit Kumar Pathak</v>
      </c>
      <c r="C1944" s="115" t="str">
        <f>IFERROR(__xludf.DUMMYFUNCTION("""COMPUTED_VALUE"""),"FLIPKART")</f>
        <v>FLIPKART</v>
      </c>
      <c r="D1944" s="115">
        <f>IFERROR(__xludf.DUMMYFUNCTION("""COMPUTED_VALUE"""),214641.0)</f>
        <v>214641</v>
      </c>
      <c r="E1944" s="115">
        <f>IFERROR(__xludf.DUMMYFUNCTION("""COMPUTED_VALUE"""),24267.0)</f>
        <v>24267</v>
      </c>
      <c r="F1944" s="115">
        <f>IFERROR(__xludf.DUMMYFUNCTION("""COMPUTED_VALUE"""),133784.0)</f>
        <v>133784</v>
      </c>
      <c r="G1944" s="115">
        <f>IFERROR(__xludf.DUMMYFUNCTION("""COMPUTED_VALUE"""),11947.0)</f>
        <v>11947</v>
      </c>
      <c r="H1944" s="116">
        <f>IFERROR(__xludf.DUMMYFUNCTION("""COMPUTED_VALUE"""),45904.0)</f>
        <v>45904</v>
      </c>
      <c r="I1944" s="115" t="str">
        <f>IFERROR(__xludf.DUMMYFUNCTION("""COMPUTED_VALUE"""),"18")</f>
        <v>18</v>
      </c>
      <c r="J1944" s="115" t="str">
        <f>IFERROR(__xludf.DUMMYFUNCTION("""COMPUTED_VALUE"""),"Amit Kumar Pathak2025-09-0418")</f>
        <v>Amit Kumar Pathak2025-09-0418</v>
      </c>
      <c r="K1944" s="115">
        <f>IFERROR(__xludf.DUMMYFUNCTION("""COMPUTED_VALUE"""),238908.0)</f>
        <v>238908</v>
      </c>
    </row>
    <row r="1945">
      <c r="A1945" s="115" t="str">
        <f>IFERROR(__xludf.DUMMYFUNCTION("""COMPUTED_VALUE"""),"NORTH")</f>
        <v>NORTH</v>
      </c>
      <c r="B1945" s="115" t="str">
        <f>IFERROR(__xludf.DUMMYFUNCTION("""COMPUTED_VALUE"""),"Amit Kumar Pathak")</f>
        <v>Amit Kumar Pathak</v>
      </c>
      <c r="C1945" s="115" t="str">
        <f>IFERROR(__xludf.DUMMYFUNCTION("""COMPUTED_VALUE"""),"MYNTRA")</f>
        <v>MYNTRA</v>
      </c>
      <c r="D1945" s="115">
        <f>IFERROR(__xludf.DUMMYFUNCTION("""COMPUTED_VALUE"""),20082.0)</f>
        <v>20082</v>
      </c>
      <c r="E1945" s="115">
        <f>IFERROR(__xludf.DUMMYFUNCTION("""COMPUTED_VALUE"""),5960.0)</f>
        <v>5960</v>
      </c>
      <c r="F1945" s="115">
        <f>IFERROR(__xludf.DUMMYFUNCTION("""COMPUTED_VALUE"""),14895.0)</f>
        <v>14895</v>
      </c>
      <c r="G1945" s="115">
        <f>IFERROR(__xludf.DUMMYFUNCTION("""COMPUTED_VALUE"""),3287.0)</f>
        <v>3287</v>
      </c>
      <c r="H1945" s="116">
        <f>IFERROR(__xludf.DUMMYFUNCTION("""COMPUTED_VALUE"""),45904.0)</f>
        <v>45904</v>
      </c>
      <c r="I1945" s="115" t="str">
        <f>IFERROR(__xludf.DUMMYFUNCTION("""COMPUTED_VALUE"""),"18")</f>
        <v>18</v>
      </c>
      <c r="J1945" s="115" t="str">
        <f>IFERROR(__xludf.DUMMYFUNCTION("""COMPUTED_VALUE"""),"Amit Kumar Pathak2025-09-0418")</f>
        <v>Amit Kumar Pathak2025-09-0418</v>
      </c>
      <c r="K1945" s="115">
        <f>IFERROR(__xludf.DUMMYFUNCTION("""COMPUTED_VALUE"""),26042.0)</f>
        <v>26042</v>
      </c>
    </row>
    <row r="1946">
      <c r="A1946" s="115" t="str">
        <f>IFERROR(__xludf.DUMMYFUNCTION("""COMPUTED_VALUE"""),"NORTH")</f>
        <v>NORTH</v>
      </c>
      <c r="B1946" s="115" t="str">
        <f>IFERROR(__xludf.DUMMYFUNCTION("""COMPUTED_VALUE"""),"Loveleen Singh")</f>
        <v>Loveleen Singh</v>
      </c>
      <c r="C1946" s="115" t="str">
        <f>IFERROR(__xludf.DUMMYFUNCTION("""COMPUTED_VALUE"""),"EXTERNAL")</f>
        <v>EXTERNAL</v>
      </c>
      <c r="D1946" s="115">
        <f>IFERROR(__xludf.DUMMYFUNCTION("""COMPUTED_VALUE"""),33905.0)</f>
        <v>33905</v>
      </c>
      <c r="E1946" s="115">
        <f>IFERROR(__xludf.DUMMYFUNCTION("""COMPUTED_VALUE"""),2269.0)</f>
        <v>2269</v>
      </c>
      <c r="F1946" s="115">
        <f>IFERROR(__xludf.DUMMYFUNCTION("""COMPUTED_VALUE"""),12102.0)</f>
        <v>12102</v>
      </c>
      <c r="G1946" s="115">
        <f>IFERROR(__xludf.DUMMYFUNCTION("""COMPUTED_VALUE"""),687.0)</f>
        <v>687</v>
      </c>
      <c r="H1946" s="116">
        <f>IFERROR(__xludf.DUMMYFUNCTION("""COMPUTED_VALUE"""),45904.0)</f>
        <v>45904</v>
      </c>
      <c r="I1946" s="115" t="str">
        <f>IFERROR(__xludf.DUMMYFUNCTION("""COMPUTED_VALUE"""),"18")</f>
        <v>18</v>
      </c>
      <c r="J1946" s="115" t="str">
        <f>IFERROR(__xludf.DUMMYFUNCTION("""COMPUTED_VALUE"""),"Loveleen Singh2025-09-0418")</f>
        <v>Loveleen Singh2025-09-0418</v>
      </c>
      <c r="K1946" s="115">
        <f>IFERROR(__xludf.DUMMYFUNCTION("""COMPUTED_VALUE"""),36174.0)</f>
        <v>36174</v>
      </c>
    </row>
    <row r="1947">
      <c r="A1947" s="115" t="str">
        <f>IFERROR(__xludf.DUMMYFUNCTION("""COMPUTED_VALUE"""),"NORTH")</f>
        <v>NORTH</v>
      </c>
      <c r="B1947" s="115" t="str">
        <f>IFERROR(__xludf.DUMMYFUNCTION("""COMPUTED_VALUE"""),"Loveleen Singh")</f>
        <v>Loveleen Singh</v>
      </c>
      <c r="C1947" s="115" t="str">
        <f>IFERROR(__xludf.DUMMYFUNCTION("""COMPUTED_VALUE"""),"FLIPKART")</f>
        <v>FLIPKART</v>
      </c>
      <c r="D1947" s="115">
        <f>IFERROR(__xludf.DUMMYFUNCTION("""COMPUTED_VALUE"""),163105.0)</f>
        <v>163105</v>
      </c>
      <c r="E1947" s="115">
        <f>IFERROR(__xludf.DUMMYFUNCTION("""COMPUTED_VALUE"""),17327.0)</f>
        <v>17327</v>
      </c>
      <c r="F1947" s="115">
        <f>IFERROR(__xludf.DUMMYFUNCTION("""COMPUTED_VALUE"""),110259.0)</f>
        <v>110259</v>
      </c>
      <c r="G1947" s="115">
        <f>IFERROR(__xludf.DUMMYFUNCTION("""COMPUTED_VALUE"""),7852.0)</f>
        <v>7852</v>
      </c>
      <c r="H1947" s="116">
        <f>IFERROR(__xludf.DUMMYFUNCTION("""COMPUTED_VALUE"""),45904.0)</f>
        <v>45904</v>
      </c>
      <c r="I1947" s="115" t="str">
        <f>IFERROR(__xludf.DUMMYFUNCTION("""COMPUTED_VALUE"""),"18")</f>
        <v>18</v>
      </c>
      <c r="J1947" s="115" t="str">
        <f>IFERROR(__xludf.DUMMYFUNCTION("""COMPUTED_VALUE"""),"Loveleen Singh2025-09-0418")</f>
        <v>Loveleen Singh2025-09-0418</v>
      </c>
      <c r="K1947" s="115">
        <f>IFERROR(__xludf.DUMMYFUNCTION("""COMPUTED_VALUE"""),180432.0)</f>
        <v>180432</v>
      </c>
    </row>
    <row r="1948">
      <c r="A1948" s="115" t="str">
        <f>IFERROR(__xludf.DUMMYFUNCTION("""COMPUTED_VALUE"""),"NORTH")</f>
        <v>NORTH</v>
      </c>
      <c r="B1948" s="115" t="str">
        <f>IFERROR(__xludf.DUMMYFUNCTION("""COMPUTED_VALUE"""),"Loveleen Singh")</f>
        <v>Loveleen Singh</v>
      </c>
      <c r="C1948" s="115" t="str">
        <f>IFERROR(__xludf.DUMMYFUNCTION("""COMPUTED_VALUE"""),"MYNTRA")</f>
        <v>MYNTRA</v>
      </c>
      <c r="D1948" s="115">
        <f>IFERROR(__xludf.DUMMYFUNCTION("""COMPUTED_VALUE"""),24527.0)</f>
        <v>24527</v>
      </c>
      <c r="E1948" s="115">
        <f>IFERROR(__xludf.DUMMYFUNCTION("""COMPUTED_VALUE"""),6418.0)</f>
        <v>6418</v>
      </c>
      <c r="F1948" s="115">
        <f>IFERROR(__xludf.DUMMYFUNCTION("""COMPUTED_VALUE"""),18678.0)</f>
        <v>18678</v>
      </c>
      <c r="G1948" s="115">
        <f>IFERROR(__xludf.DUMMYFUNCTION("""COMPUTED_VALUE"""),3233.0)</f>
        <v>3233</v>
      </c>
      <c r="H1948" s="116">
        <f>IFERROR(__xludf.DUMMYFUNCTION("""COMPUTED_VALUE"""),45904.0)</f>
        <v>45904</v>
      </c>
      <c r="I1948" s="115" t="str">
        <f>IFERROR(__xludf.DUMMYFUNCTION("""COMPUTED_VALUE"""),"18")</f>
        <v>18</v>
      </c>
      <c r="J1948" s="115" t="str">
        <f>IFERROR(__xludf.DUMMYFUNCTION("""COMPUTED_VALUE"""),"Loveleen Singh2025-09-0418")</f>
        <v>Loveleen Singh2025-09-0418</v>
      </c>
      <c r="K1948" s="115">
        <f>IFERROR(__xludf.DUMMYFUNCTION("""COMPUTED_VALUE"""),30945.0)</f>
        <v>30945</v>
      </c>
    </row>
    <row r="1949">
      <c r="A1949" s="115" t="str">
        <f>IFERROR(__xludf.DUMMYFUNCTION("""COMPUTED_VALUE"""),"NORTH")</f>
        <v>NORTH</v>
      </c>
      <c r="B1949" s="115" t="str">
        <f>IFERROR(__xludf.DUMMYFUNCTION("""COMPUTED_VALUE"""),"Manoj Harsh")</f>
        <v>Manoj Harsh</v>
      </c>
      <c r="C1949" s="115" t="str">
        <f>IFERROR(__xludf.DUMMYFUNCTION("""COMPUTED_VALUE"""),"EXTERNAL")</f>
        <v>EXTERNAL</v>
      </c>
      <c r="D1949" s="115">
        <f>IFERROR(__xludf.DUMMYFUNCTION("""COMPUTED_VALUE"""),32162.0)</f>
        <v>32162</v>
      </c>
      <c r="E1949" s="115">
        <f>IFERROR(__xludf.DUMMYFUNCTION("""COMPUTED_VALUE"""),3095.0)</f>
        <v>3095</v>
      </c>
      <c r="F1949" s="115">
        <f>IFERROR(__xludf.DUMMYFUNCTION("""COMPUTED_VALUE"""),13088.0)</f>
        <v>13088</v>
      </c>
      <c r="G1949" s="115">
        <f>IFERROR(__xludf.DUMMYFUNCTION("""COMPUTED_VALUE"""),935.0)</f>
        <v>935</v>
      </c>
      <c r="H1949" s="116">
        <f>IFERROR(__xludf.DUMMYFUNCTION("""COMPUTED_VALUE"""),45904.0)</f>
        <v>45904</v>
      </c>
      <c r="I1949" s="115" t="str">
        <f>IFERROR(__xludf.DUMMYFUNCTION("""COMPUTED_VALUE"""),"18")</f>
        <v>18</v>
      </c>
      <c r="J1949" s="115" t="str">
        <f>IFERROR(__xludf.DUMMYFUNCTION("""COMPUTED_VALUE"""),"Manoj Harsh2025-09-0418")</f>
        <v>Manoj Harsh2025-09-0418</v>
      </c>
      <c r="K1949" s="115">
        <f>IFERROR(__xludf.DUMMYFUNCTION("""COMPUTED_VALUE"""),35257.0)</f>
        <v>35257</v>
      </c>
    </row>
    <row r="1950">
      <c r="A1950" s="115" t="str">
        <f>IFERROR(__xludf.DUMMYFUNCTION("""COMPUTED_VALUE"""),"NORTH")</f>
        <v>NORTH</v>
      </c>
      <c r="B1950" s="115" t="str">
        <f>IFERROR(__xludf.DUMMYFUNCTION("""COMPUTED_VALUE"""),"Manoj Harsh")</f>
        <v>Manoj Harsh</v>
      </c>
      <c r="C1950" s="115" t="str">
        <f>IFERROR(__xludf.DUMMYFUNCTION("""COMPUTED_VALUE"""),"FLIPKART")</f>
        <v>FLIPKART</v>
      </c>
      <c r="D1950" s="115">
        <f>IFERROR(__xludf.DUMMYFUNCTION("""COMPUTED_VALUE"""),405348.0)</f>
        <v>405348</v>
      </c>
      <c r="E1950" s="115">
        <f>IFERROR(__xludf.DUMMYFUNCTION("""COMPUTED_VALUE"""),41092.0)</f>
        <v>41092</v>
      </c>
      <c r="F1950" s="115">
        <f>IFERROR(__xludf.DUMMYFUNCTION("""COMPUTED_VALUE"""),284073.0)</f>
        <v>284073</v>
      </c>
      <c r="G1950" s="115">
        <f>IFERROR(__xludf.DUMMYFUNCTION("""COMPUTED_VALUE"""),20638.0)</f>
        <v>20638</v>
      </c>
      <c r="H1950" s="116">
        <f>IFERROR(__xludf.DUMMYFUNCTION("""COMPUTED_VALUE"""),45904.0)</f>
        <v>45904</v>
      </c>
      <c r="I1950" s="115" t="str">
        <f>IFERROR(__xludf.DUMMYFUNCTION("""COMPUTED_VALUE"""),"18")</f>
        <v>18</v>
      </c>
      <c r="J1950" s="115" t="str">
        <f>IFERROR(__xludf.DUMMYFUNCTION("""COMPUTED_VALUE"""),"Manoj Harsh2025-09-0418")</f>
        <v>Manoj Harsh2025-09-0418</v>
      </c>
      <c r="K1950" s="115">
        <f>IFERROR(__xludf.DUMMYFUNCTION("""COMPUTED_VALUE"""),446440.0)</f>
        <v>446440</v>
      </c>
    </row>
    <row r="1951">
      <c r="A1951" s="115" t="str">
        <f>IFERROR(__xludf.DUMMYFUNCTION("""COMPUTED_VALUE"""),"NORTH")</f>
        <v>NORTH</v>
      </c>
      <c r="B1951" s="115" t="str">
        <f>IFERROR(__xludf.DUMMYFUNCTION("""COMPUTED_VALUE"""),"Manoj Harsh")</f>
        <v>Manoj Harsh</v>
      </c>
      <c r="C1951" s="115" t="str">
        <f>IFERROR(__xludf.DUMMYFUNCTION("""COMPUTED_VALUE"""),"MYNTRA")</f>
        <v>MYNTRA</v>
      </c>
      <c r="D1951" s="115">
        <f>IFERROR(__xludf.DUMMYFUNCTION("""COMPUTED_VALUE"""),36540.0)</f>
        <v>36540</v>
      </c>
      <c r="E1951" s="115">
        <f>IFERROR(__xludf.DUMMYFUNCTION("""COMPUTED_VALUE"""),8219.0)</f>
        <v>8219</v>
      </c>
      <c r="F1951" s="115">
        <f>IFERROR(__xludf.DUMMYFUNCTION("""COMPUTED_VALUE"""),28042.0)</f>
        <v>28042</v>
      </c>
      <c r="G1951" s="115">
        <f>IFERROR(__xludf.DUMMYFUNCTION("""COMPUTED_VALUE"""),4662.0)</f>
        <v>4662</v>
      </c>
      <c r="H1951" s="116">
        <f>IFERROR(__xludf.DUMMYFUNCTION("""COMPUTED_VALUE"""),45904.0)</f>
        <v>45904</v>
      </c>
      <c r="I1951" s="115" t="str">
        <f>IFERROR(__xludf.DUMMYFUNCTION("""COMPUTED_VALUE"""),"18")</f>
        <v>18</v>
      </c>
      <c r="J1951" s="115" t="str">
        <f>IFERROR(__xludf.DUMMYFUNCTION("""COMPUTED_VALUE"""),"Manoj Harsh2025-09-0418")</f>
        <v>Manoj Harsh2025-09-0418</v>
      </c>
      <c r="K1951" s="115">
        <f>IFERROR(__xludf.DUMMYFUNCTION("""COMPUTED_VALUE"""),44759.0)</f>
        <v>44759</v>
      </c>
    </row>
    <row r="1952">
      <c r="A1952" s="115" t="str">
        <f>IFERROR(__xludf.DUMMYFUNCTION("""COMPUTED_VALUE"""),"NORTH")</f>
        <v>NORTH</v>
      </c>
      <c r="B1952" s="115" t="str">
        <f>IFERROR(__xludf.DUMMYFUNCTION("""COMPUTED_VALUE"""),"Pradeep Kothari")</f>
        <v>Pradeep Kothari</v>
      </c>
      <c r="C1952" s="115" t="str">
        <f>IFERROR(__xludf.DUMMYFUNCTION("""COMPUTED_VALUE"""),"EXTERNAL")</f>
        <v>EXTERNAL</v>
      </c>
      <c r="D1952" s="115">
        <f>IFERROR(__xludf.DUMMYFUNCTION("""COMPUTED_VALUE"""),18305.0)</f>
        <v>18305</v>
      </c>
      <c r="E1952" s="115">
        <f>IFERROR(__xludf.DUMMYFUNCTION("""COMPUTED_VALUE"""),1989.0)</f>
        <v>1989</v>
      </c>
      <c r="F1952" s="115">
        <f>IFERROR(__xludf.DUMMYFUNCTION("""COMPUTED_VALUE"""),7264.0)</f>
        <v>7264</v>
      </c>
      <c r="G1952" s="115">
        <f>IFERROR(__xludf.DUMMYFUNCTION("""COMPUTED_VALUE"""),732.0)</f>
        <v>732</v>
      </c>
      <c r="H1952" s="116">
        <f>IFERROR(__xludf.DUMMYFUNCTION("""COMPUTED_VALUE"""),45904.0)</f>
        <v>45904</v>
      </c>
      <c r="I1952" s="115" t="str">
        <f>IFERROR(__xludf.DUMMYFUNCTION("""COMPUTED_VALUE"""),"18")</f>
        <v>18</v>
      </c>
      <c r="J1952" s="115" t="str">
        <f>IFERROR(__xludf.DUMMYFUNCTION("""COMPUTED_VALUE"""),"Pradeep Kothari2025-09-0418")</f>
        <v>Pradeep Kothari2025-09-0418</v>
      </c>
      <c r="K1952" s="115">
        <f>IFERROR(__xludf.DUMMYFUNCTION("""COMPUTED_VALUE"""),20294.0)</f>
        <v>20294</v>
      </c>
    </row>
    <row r="1953">
      <c r="A1953" s="115" t="str">
        <f>IFERROR(__xludf.DUMMYFUNCTION("""COMPUTED_VALUE"""),"NORTH")</f>
        <v>NORTH</v>
      </c>
      <c r="B1953" s="115" t="str">
        <f>IFERROR(__xludf.DUMMYFUNCTION("""COMPUTED_VALUE"""),"Pradeep Kothari")</f>
        <v>Pradeep Kothari</v>
      </c>
      <c r="C1953" s="115" t="str">
        <f>IFERROR(__xludf.DUMMYFUNCTION("""COMPUTED_VALUE"""),"FLIPKART")</f>
        <v>FLIPKART</v>
      </c>
      <c r="D1953" s="115">
        <f>IFERROR(__xludf.DUMMYFUNCTION("""COMPUTED_VALUE"""),145608.0)</f>
        <v>145608</v>
      </c>
      <c r="E1953" s="115">
        <f>IFERROR(__xludf.DUMMYFUNCTION("""COMPUTED_VALUE"""),17798.0)</f>
        <v>17798</v>
      </c>
      <c r="F1953" s="115">
        <f>IFERROR(__xludf.DUMMYFUNCTION("""COMPUTED_VALUE"""),104170.0)</f>
        <v>104170</v>
      </c>
      <c r="G1953" s="115">
        <f>IFERROR(__xludf.DUMMYFUNCTION("""COMPUTED_VALUE"""),9670.0)</f>
        <v>9670</v>
      </c>
      <c r="H1953" s="116">
        <f>IFERROR(__xludf.DUMMYFUNCTION("""COMPUTED_VALUE"""),45904.0)</f>
        <v>45904</v>
      </c>
      <c r="I1953" s="115" t="str">
        <f>IFERROR(__xludf.DUMMYFUNCTION("""COMPUTED_VALUE"""),"18")</f>
        <v>18</v>
      </c>
      <c r="J1953" s="115" t="str">
        <f>IFERROR(__xludf.DUMMYFUNCTION("""COMPUTED_VALUE"""),"Pradeep Kothari2025-09-0418")</f>
        <v>Pradeep Kothari2025-09-0418</v>
      </c>
      <c r="K1953" s="115">
        <f>IFERROR(__xludf.DUMMYFUNCTION("""COMPUTED_VALUE"""),163406.0)</f>
        <v>163406</v>
      </c>
    </row>
    <row r="1954">
      <c r="A1954" s="115" t="str">
        <f>IFERROR(__xludf.DUMMYFUNCTION("""COMPUTED_VALUE"""),"NORTH")</f>
        <v>NORTH</v>
      </c>
      <c r="B1954" s="115" t="str">
        <f>IFERROR(__xludf.DUMMYFUNCTION("""COMPUTED_VALUE"""),"Pradeep Kothari")</f>
        <v>Pradeep Kothari</v>
      </c>
      <c r="C1954" s="115" t="str">
        <f>IFERROR(__xludf.DUMMYFUNCTION("""COMPUTED_VALUE"""),"MYNTRA")</f>
        <v>MYNTRA</v>
      </c>
      <c r="D1954" s="115">
        <f>IFERROR(__xludf.DUMMYFUNCTION("""COMPUTED_VALUE"""),23383.0)</f>
        <v>23383</v>
      </c>
      <c r="E1954" s="115">
        <f>IFERROR(__xludf.DUMMYFUNCTION("""COMPUTED_VALUE"""),6878.0)</f>
        <v>6878</v>
      </c>
      <c r="F1954" s="115">
        <f>IFERROR(__xludf.DUMMYFUNCTION("""COMPUTED_VALUE"""),18646.0)</f>
        <v>18646</v>
      </c>
      <c r="G1954" s="115">
        <f>IFERROR(__xludf.DUMMYFUNCTION("""COMPUTED_VALUE"""),4180.0)</f>
        <v>4180</v>
      </c>
      <c r="H1954" s="116">
        <f>IFERROR(__xludf.DUMMYFUNCTION("""COMPUTED_VALUE"""),45904.0)</f>
        <v>45904</v>
      </c>
      <c r="I1954" s="115" t="str">
        <f>IFERROR(__xludf.DUMMYFUNCTION("""COMPUTED_VALUE"""),"18")</f>
        <v>18</v>
      </c>
      <c r="J1954" s="115" t="str">
        <f>IFERROR(__xludf.DUMMYFUNCTION("""COMPUTED_VALUE"""),"Pradeep Kothari2025-09-0418")</f>
        <v>Pradeep Kothari2025-09-0418</v>
      </c>
      <c r="K1954" s="115">
        <f>IFERROR(__xludf.DUMMYFUNCTION("""COMPUTED_VALUE"""),30261.0)</f>
        <v>30261</v>
      </c>
    </row>
    <row r="1955">
      <c r="A1955" s="115" t="str">
        <f>IFERROR(__xludf.DUMMYFUNCTION("""COMPUTED_VALUE"""),"SOUTH")</f>
        <v>SOUTH</v>
      </c>
      <c r="B1955" s="115" t="str">
        <f>IFERROR(__xludf.DUMMYFUNCTION("""COMPUTED_VALUE"""),"Kandula Sampath")</f>
        <v>Kandula Sampath</v>
      </c>
      <c r="C1955" s="115" t="str">
        <f>IFERROR(__xludf.DUMMYFUNCTION("""COMPUTED_VALUE"""),"EXTERNAL")</f>
        <v>EXTERNAL</v>
      </c>
      <c r="D1955" s="115">
        <f>IFERROR(__xludf.DUMMYFUNCTION("""COMPUTED_VALUE"""),33130.0)</f>
        <v>33130</v>
      </c>
      <c r="E1955" s="115">
        <f>IFERROR(__xludf.DUMMYFUNCTION("""COMPUTED_VALUE"""),3956.0)</f>
        <v>3956</v>
      </c>
      <c r="F1955" s="115">
        <f>IFERROR(__xludf.DUMMYFUNCTION("""COMPUTED_VALUE"""),12942.0)</f>
        <v>12942</v>
      </c>
      <c r="G1955" s="115">
        <f>IFERROR(__xludf.DUMMYFUNCTION("""COMPUTED_VALUE"""),1204.0)</f>
        <v>1204</v>
      </c>
      <c r="H1955" s="116">
        <f>IFERROR(__xludf.DUMMYFUNCTION("""COMPUTED_VALUE"""),45904.0)</f>
        <v>45904</v>
      </c>
      <c r="I1955" s="115" t="str">
        <f>IFERROR(__xludf.DUMMYFUNCTION("""COMPUTED_VALUE"""),"18")</f>
        <v>18</v>
      </c>
      <c r="J1955" s="115" t="str">
        <f>IFERROR(__xludf.DUMMYFUNCTION("""COMPUTED_VALUE"""),"Kandula Sampath2025-09-0418")</f>
        <v>Kandula Sampath2025-09-0418</v>
      </c>
      <c r="K1955" s="115">
        <f>IFERROR(__xludf.DUMMYFUNCTION("""COMPUTED_VALUE"""),37086.0)</f>
        <v>37086</v>
      </c>
    </row>
    <row r="1956">
      <c r="A1956" s="115" t="str">
        <f>IFERROR(__xludf.DUMMYFUNCTION("""COMPUTED_VALUE"""),"SOUTH")</f>
        <v>SOUTH</v>
      </c>
      <c r="B1956" s="115" t="str">
        <f>IFERROR(__xludf.DUMMYFUNCTION("""COMPUTED_VALUE"""),"Kandula Sampath")</f>
        <v>Kandula Sampath</v>
      </c>
      <c r="C1956" s="115" t="str">
        <f>IFERROR(__xludf.DUMMYFUNCTION("""COMPUTED_VALUE"""),"FLIPKART")</f>
        <v>FLIPKART</v>
      </c>
      <c r="D1956" s="115">
        <f>IFERROR(__xludf.DUMMYFUNCTION("""COMPUTED_VALUE"""),287957.0)</f>
        <v>287957</v>
      </c>
      <c r="E1956" s="115">
        <f>IFERROR(__xludf.DUMMYFUNCTION("""COMPUTED_VALUE"""),32655.0)</f>
        <v>32655</v>
      </c>
      <c r="F1956" s="115">
        <f>IFERROR(__xludf.DUMMYFUNCTION("""COMPUTED_VALUE"""),198780.0)</f>
        <v>198780</v>
      </c>
      <c r="G1956" s="115">
        <f>IFERROR(__xludf.DUMMYFUNCTION("""COMPUTED_VALUE"""),14703.0)</f>
        <v>14703</v>
      </c>
      <c r="H1956" s="116">
        <f>IFERROR(__xludf.DUMMYFUNCTION("""COMPUTED_VALUE"""),45904.0)</f>
        <v>45904</v>
      </c>
      <c r="I1956" s="115" t="str">
        <f>IFERROR(__xludf.DUMMYFUNCTION("""COMPUTED_VALUE"""),"18")</f>
        <v>18</v>
      </c>
      <c r="J1956" s="115" t="str">
        <f>IFERROR(__xludf.DUMMYFUNCTION("""COMPUTED_VALUE"""),"Kandula Sampath2025-09-0418")</f>
        <v>Kandula Sampath2025-09-0418</v>
      </c>
      <c r="K1956" s="115">
        <f>IFERROR(__xludf.DUMMYFUNCTION("""COMPUTED_VALUE"""),320612.0)</f>
        <v>320612</v>
      </c>
    </row>
    <row r="1957">
      <c r="A1957" s="115" t="str">
        <f>IFERROR(__xludf.DUMMYFUNCTION("""COMPUTED_VALUE"""),"SOUTH")</f>
        <v>SOUTH</v>
      </c>
      <c r="B1957" s="115" t="str">
        <f>IFERROR(__xludf.DUMMYFUNCTION("""COMPUTED_VALUE"""),"Kandula Sampath")</f>
        <v>Kandula Sampath</v>
      </c>
      <c r="C1957" s="115" t="str">
        <f>IFERROR(__xludf.DUMMYFUNCTION("""COMPUTED_VALUE"""),"MYNTRA")</f>
        <v>MYNTRA</v>
      </c>
      <c r="D1957" s="115">
        <f>IFERROR(__xludf.DUMMYFUNCTION("""COMPUTED_VALUE"""),29406.0)</f>
        <v>29406</v>
      </c>
      <c r="E1957" s="115">
        <f>IFERROR(__xludf.DUMMYFUNCTION("""COMPUTED_VALUE"""),8255.0)</f>
        <v>8255</v>
      </c>
      <c r="F1957" s="115">
        <f>IFERROR(__xludf.DUMMYFUNCTION("""COMPUTED_VALUE"""),22506.0)</f>
        <v>22506</v>
      </c>
      <c r="G1957" s="115">
        <f>IFERROR(__xludf.DUMMYFUNCTION("""COMPUTED_VALUE"""),3842.0)</f>
        <v>3842</v>
      </c>
      <c r="H1957" s="116">
        <f>IFERROR(__xludf.DUMMYFUNCTION("""COMPUTED_VALUE"""),45904.0)</f>
        <v>45904</v>
      </c>
      <c r="I1957" s="115" t="str">
        <f>IFERROR(__xludf.DUMMYFUNCTION("""COMPUTED_VALUE"""),"18")</f>
        <v>18</v>
      </c>
      <c r="J1957" s="115" t="str">
        <f>IFERROR(__xludf.DUMMYFUNCTION("""COMPUTED_VALUE"""),"Kandula Sampath2025-09-0418")</f>
        <v>Kandula Sampath2025-09-0418</v>
      </c>
      <c r="K1957" s="115">
        <f>IFERROR(__xludf.DUMMYFUNCTION("""COMPUTED_VALUE"""),37661.0)</f>
        <v>37661</v>
      </c>
    </row>
    <row r="1958">
      <c r="A1958" s="115" t="str">
        <f>IFERROR(__xludf.DUMMYFUNCTION("""COMPUTED_VALUE"""),"SOUTH")</f>
        <v>SOUTH</v>
      </c>
      <c r="B1958" s="115" t="str">
        <f>IFERROR(__xludf.DUMMYFUNCTION("""COMPUTED_VALUE"""),"Martin A")</f>
        <v>Martin A</v>
      </c>
      <c r="C1958" s="115" t="str">
        <f>IFERROR(__xludf.DUMMYFUNCTION("""COMPUTED_VALUE"""),"EXTERNAL")</f>
        <v>EXTERNAL</v>
      </c>
      <c r="D1958" s="115">
        <f>IFERROR(__xludf.DUMMYFUNCTION("""COMPUTED_VALUE"""),32755.0)</f>
        <v>32755</v>
      </c>
      <c r="E1958" s="115">
        <f>IFERROR(__xludf.DUMMYFUNCTION("""COMPUTED_VALUE"""),3418.0)</f>
        <v>3418</v>
      </c>
      <c r="F1958" s="115">
        <f>IFERROR(__xludf.DUMMYFUNCTION("""COMPUTED_VALUE"""),12470.0)</f>
        <v>12470</v>
      </c>
      <c r="G1958" s="115">
        <f>IFERROR(__xludf.DUMMYFUNCTION("""COMPUTED_VALUE"""),1648.0)</f>
        <v>1648</v>
      </c>
      <c r="H1958" s="116">
        <f>IFERROR(__xludf.DUMMYFUNCTION("""COMPUTED_VALUE"""),45904.0)</f>
        <v>45904</v>
      </c>
      <c r="I1958" s="115" t="str">
        <f>IFERROR(__xludf.DUMMYFUNCTION("""COMPUTED_VALUE"""),"18")</f>
        <v>18</v>
      </c>
      <c r="J1958" s="115" t="str">
        <f>IFERROR(__xludf.DUMMYFUNCTION("""COMPUTED_VALUE"""),"Martin A2025-09-0418")</f>
        <v>Martin A2025-09-0418</v>
      </c>
      <c r="K1958" s="115">
        <f>IFERROR(__xludf.DUMMYFUNCTION("""COMPUTED_VALUE"""),36173.0)</f>
        <v>36173</v>
      </c>
    </row>
    <row r="1959">
      <c r="A1959" s="115" t="str">
        <f>IFERROR(__xludf.DUMMYFUNCTION("""COMPUTED_VALUE"""),"SOUTH")</f>
        <v>SOUTH</v>
      </c>
      <c r="B1959" s="115" t="str">
        <f>IFERROR(__xludf.DUMMYFUNCTION("""COMPUTED_VALUE"""),"Martin A")</f>
        <v>Martin A</v>
      </c>
      <c r="C1959" s="115" t="str">
        <f>IFERROR(__xludf.DUMMYFUNCTION("""COMPUTED_VALUE"""),"FLIPKART")</f>
        <v>FLIPKART</v>
      </c>
      <c r="D1959" s="115">
        <f>IFERROR(__xludf.DUMMYFUNCTION("""COMPUTED_VALUE"""),263411.0)</f>
        <v>263411</v>
      </c>
      <c r="E1959" s="115">
        <f>IFERROR(__xludf.DUMMYFUNCTION("""COMPUTED_VALUE"""),28468.0)</f>
        <v>28468</v>
      </c>
      <c r="F1959" s="115">
        <f>IFERROR(__xludf.DUMMYFUNCTION("""COMPUTED_VALUE"""),177036.0)</f>
        <v>177036</v>
      </c>
      <c r="G1959" s="115">
        <f>IFERROR(__xludf.DUMMYFUNCTION("""COMPUTED_VALUE"""),14564.0)</f>
        <v>14564</v>
      </c>
      <c r="H1959" s="116">
        <f>IFERROR(__xludf.DUMMYFUNCTION("""COMPUTED_VALUE"""),45904.0)</f>
        <v>45904</v>
      </c>
      <c r="I1959" s="115" t="str">
        <f>IFERROR(__xludf.DUMMYFUNCTION("""COMPUTED_VALUE"""),"18")</f>
        <v>18</v>
      </c>
      <c r="J1959" s="115" t="str">
        <f>IFERROR(__xludf.DUMMYFUNCTION("""COMPUTED_VALUE"""),"Martin A2025-09-0418")</f>
        <v>Martin A2025-09-0418</v>
      </c>
      <c r="K1959" s="115">
        <f>IFERROR(__xludf.DUMMYFUNCTION("""COMPUTED_VALUE"""),291879.0)</f>
        <v>291879</v>
      </c>
    </row>
    <row r="1960">
      <c r="A1960" s="115" t="str">
        <f>IFERROR(__xludf.DUMMYFUNCTION("""COMPUTED_VALUE"""),"SOUTH")</f>
        <v>SOUTH</v>
      </c>
      <c r="B1960" s="115" t="str">
        <f>IFERROR(__xludf.DUMMYFUNCTION("""COMPUTED_VALUE"""),"Martin A")</f>
        <v>Martin A</v>
      </c>
      <c r="C1960" s="115" t="str">
        <f>IFERROR(__xludf.DUMMYFUNCTION("""COMPUTED_VALUE"""),"MYNTRA")</f>
        <v>MYNTRA</v>
      </c>
      <c r="D1960" s="115">
        <f>IFERROR(__xludf.DUMMYFUNCTION("""COMPUTED_VALUE"""),22344.0)</f>
        <v>22344</v>
      </c>
      <c r="E1960" s="115">
        <f>IFERROR(__xludf.DUMMYFUNCTION("""COMPUTED_VALUE"""),6598.0)</f>
        <v>6598</v>
      </c>
      <c r="F1960" s="115">
        <f>IFERROR(__xludf.DUMMYFUNCTION("""COMPUTED_VALUE"""),16820.0)</f>
        <v>16820</v>
      </c>
      <c r="G1960" s="115">
        <f>IFERROR(__xludf.DUMMYFUNCTION("""COMPUTED_VALUE"""),3695.0)</f>
        <v>3695</v>
      </c>
      <c r="H1960" s="116">
        <f>IFERROR(__xludf.DUMMYFUNCTION("""COMPUTED_VALUE"""),45904.0)</f>
        <v>45904</v>
      </c>
      <c r="I1960" s="115" t="str">
        <f>IFERROR(__xludf.DUMMYFUNCTION("""COMPUTED_VALUE"""),"18")</f>
        <v>18</v>
      </c>
      <c r="J1960" s="115" t="str">
        <f>IFERROR(__xludf.DUMMYFUNCTION("""COMPUTED_VALUE"""),"Martin A2025-09-0418")</f>
        <v>Martin A2025-09-0418</v>
      </c>
      <c r="K1960" s="115">
        <f>IFERROR(__xludf.DUMMYFUNCTION("""COMPUTED_VALUE"""),28942.0)</f>
        <v>28942</v>
      </c>
    </row>
    <row r="1961">
      <c r="A1961" s="115" t="str">
        <f>IFERROR(__xludf.DUMMYFUNCTION("""COMPUTED_VALUE"""),"SOUTH")</f>
        <v>SOUTH</v>
      </c>
      <c r="B1961" s="115" t="str">
        <f>IFERROR(__xludf.DUMMYFUNCTION("""COMPUTED_VALUE"""),"Premkumar M")</f>
        <v>Premkumar M</v>
      </c>
      <c r="C1961" s="115" t="str">
        <f>IFERROR(__xludf.DUMMYFUNCTION("""COMPUTED_VALUE"""),"EXTERNAL")</f>
        <v>EXTERNAL</v>
      </c>
      <c r="D1961" s="115">
        <f>IFERROR(__xludf.DUMMYFUNCTION("""COMPUTED_VALUE"""),26990.0)</f>
        <v>26990</v>
      </c>
      <c r="E1961" s="115">
        <f>IFERROR(__xludf.DUMMYFUNCTION("""COMPUTED_VALUE"""),1863.0)</f>
        <v>1863</v>
      </c>
      <c r="F1961" s="115">
        <f>IFERROR(__xludf.DUMMYFUNCTION("""COMPUTED_VALUE"""),11475.0)</f>
        <v>11475</v>
      </c>
      <c r="G1961" s="115">
        <f>IFERROR(__xludf.DUMMYFUNCTION("""COMPUTED_VALUE"""),363.0)</f>
        <v>363</v>
      </c>
      <c r="H1961" s="116">
        <f>IFERROR(__xludf.DUMMYFUNCTION("""COMPUTED_VALUE"""),45904.0)</f>
        <v>45904</v>
      </c>
      <c r="I1961" s="115" t="str">
        <f>IFERROR(__xludf.DUMMYFUNCTION("""COMPUTED_VALUE"""),"18")</f>
        <v>18</v>
      </c>
      <c r="J1961" s="115" t="str">
        <f>IFERROR(__xludf.DUMMYFUNCTION("""COMPUTED_VALUE"""),"Premkumar M2025-09-0418")</f>
        <v>Premkumar M2025-09-0418</v>
      </c>
      <c r="K1961" s="115">
        <f>IFERROR(__xludf.DUMMYFUNCTION("""COMPUTED_VALUE"""),28853.0)</f>
        <v>28853</v>
      </c>
    </row>
    <row r="1962">
      <c r="A1962" s="115" t="str">
        <f>IFERROR(__xludf.DUMMYFUNCTION("""COMPUTED_VALUE"""),"SOUTH")</f>
        <v>SOUTH</v>
      </c>
      <c r="B1962" s="115" t="str">
        <f>IFERROR(__xludf.DUMMYFUNCTION("""COMPUTED_VALUE"""),"Premkumar M")</f>
        <v>Premkumar M</v>
      </c>
      <c r="C1962" s="115" t="str">
        <f>IFERROR(__xludf.DUMMYFUNCTION("""COMPUTED_VALUE"""),"FLIPKART")</f>
        <v>FLIPKART</v>
      </c>
      <c r="D1962" s="115">
        <f>IFERROR(__xludf.DUMMYFUNCTION("""COMPUTED_VALUE"""),257219.0)</f>
        <v>257219</v>
      </c>
      <c r="E1962" s="115">
        <f>IFERROR(__xludf.DUMMYFUNCTION("""COMPUTED_VALUE"""),18682.0)</f>
        <v>18682</v>
      </c>
      <c r="F1962" s="115">
        <f>IFERROR(__xludf.DUMMYFUNCTION("""COMPUTED_VALUE"""),167613.0)</f>
        <v>167613</v>
      </c>
      <c r="G1962" s="115">
        <f>IFERROR(__xludf.DUMMYFUNCTION("""COMPUTED_VALUE"""),5121.0)</f>
        <v>5121</v>
      </c>
      <c r="H1962" s="116">
        <f>IFERROR(__xludf.DUMMYFUNCTION("""COMPUTED_VALUE"""),45904.0)</f>
        <v>45904</v>
      </c>
      <c r="I1962" s="115" t="str">
        <f>IFERROR(__xludf.DUMMYFUNCTION("""COMPUTED_VALUE"""),"18")</f>
        <v>18</v>
      </c>
      <c r="J1962" s="115" t="str">
        <f>IFERROR(__xludf.DUMMYFUNCTION("""COMPUTED_VALUE"""),"Premkumar M2025-09-0418")</f>
        <v>Premkumar M2025-09-0418</v>
      </c>
      <c r="K1962" s="115">
        <f>IFERROR(__xludf.DUMMYFUNCTION("""COMPUTED_VALUE"""),275901.0)</f>
        <v>275901</v>
      </c>
    </row>
    <row r="1963">
      <c r="A1963" s="115" t="str">
        <f>IFERROR(__xludf.DUMMYFUNCTION("""COMPUTED_VALUE"""),"SOUTH")</f>
        <v>SOUTH</v>
      </c>
      <c r="B1963" s="115" t="str">
        <f>IFERROR(__xludf.DUMMYFUNCTION("""COMPUTED_VALUE"""),"Premkumar M")</f>
        <v>Premkumar M</v>
      </c>
      <c r="C1963" s="115" t="str">
        <f>IFERROR(__xludf.DUMMYFUNCTION("""COMPUTED_VALUE"""),"MYNTRA")</f>
        <v>MYNTRA</v>
      </c>
      <c r="D1963" s="115">
        <f>IFERROR(__xludf.DUMMYFUNCTION("""COMPUTED_VALUE"""),12527.0)</f>
        <v>12527</v>
      </c>
      <c r="E1963" s="115">
        <f>IFERROR(__xludf.DUMMYFUNCTION("""COMPUTED_VALUE"""),2784.0)</f>
        <v>2784</v>
      </c>
      <c r="F1963" s="115">
        <f>IFERROR(__xludf.DUMMYFUNCTION("""COMPUTED_VALUE"""),9284.0)</f>
        <v>9284</v>
      </c>
      <c r="G1963" s="115">
        <f>IFERROR(__xludf.DUMMYFUNCTION("""COMPUTED_VALUE"""),800.0)</f>
        <v>800</v>
      </c>
      <c r="H1963" s="116">
        <f>IFERROR(__xludf.DUMMYFUNCTION("""COMPUTED_VALUE"""),45904.0)</f>
        <v>45904</v>
      </c>
      <c r="I1963" s="115" t="str">
        <f>IFERROR(__xludf.DUMMYFUNCTION("""COMPUTED_VALUE"""),"18")</f>
        <v>18</v>
      </c>
      <c r="J1963" s="115" t="str">
        <f>IFERROR(__xludf.DUMMYFUNCTION("""COMPUTED_VALUE"""),"Premkumar M2025-09-0418")</f>
        <v>Premkumar M2025-09-0418</v>
      </c>
      <c r="K1963" s="115">
        <f>IFERROR(__xludf.DUMMYFUNCTION("""COMPUTED_VALUE"""),15311.0)</f>
        <v>15311</v>
      </c>
    </row>
    <row r="1964">
      <c r="A1964" s="115" t="str">
        <f>IFERROR(__xludf.DUMMYFUNCTION("""COMPUTED_VALUE"""),"SOUTH")</f>
        <v>SOUTH</v>
      </c>
      <c r="B1964" s="115" t="str">
        <f>IFERROR(__xludf.DUMMYFUNCTION("""COMPUTED_VALUE"""),"Vineeth V")</f>
        <v>Vineeth V</v>
      </c>
      <c r="C1964" s="115" t="str">
        <f>IFERROR(__xludf.DUMMYFUNCTION("""COMPUTED_VALUE"""),"EXTERNAL")</f>
        <v>EXTERNAL</v>
      </c>
      <c r="D1964" s="115">
        <f>IFERROR(__xludf.DUMMYFUNCTION("""COMPUTED_VALUE"""),19026.0)</f>
        <v>19026</v>
      </c>
      <c r="E1964" s="115">
        <f>IFERROR(__xludf.DUMMYFUNCTION("""COMPUTED_VALUE"""),721.0)</f>
        <v>721</v>
      </c>
      <c r="F1964" s="115">
        <f>IFERROR(__xludf.DUMMYFUNCTION("""COMPUTED_VALUE"""),9242.0)</f>
        <v>9242</v>
      </c>
      <c r="G1964" s="115">
        <f>IFERROR(__xludf.DUMMYFUNCTION("""COMPUTED_VALUE"""),253.0)</f>
        <v>253</v>
      </c>
      <c r="H1964" s="116">
        <f>IFERROR(__xludf.DUMMYFUNCTION("""COMPUTED_VALUE"""),45904.0)</f>
        <v>45904</v>
      </c>
      <c r="I1964" s="115" t="str">
        <f>IFERROR(__xludf.DUMMYFUNCTION("""COMPUTED_VALUE"""),"18")</f>
        <v>18</v>
      </c>
      <c r="J1964" s="115" t="str">
        <f>IFERROR(__xludf.DUMMYFUNCTION("""COMPUTED_VALUE"""),"Vineeth V2025-09-0418")</f>
        <v>Vineeth V2025-09-0418</v>
      </c>
      <c r="K1964" s="115">
        <f>IFERROR(__xludf.DUMMYFUNCTION("""COMPUTED_VALUE"""),19747.0)</f>
        <v>19747</v>
      </c>
    </row>
    <row r="1965">
      <c r="A1965" s="115" t="str">
        <f>IFERROR(__xludf.DUMMYFUNCTION("""COMPUTED_VALUE"""),"SOUTH")</f>
        <v>SOUTH</v>
      </c>
      <c r="B1965" s="115" t="str">
        <f>IFERROR(__xludf.DUMMYFUNCTION("""COMPUTED_VALUE"""),"Vineeth V")</f>
        <v>Vineeth V</v>
      </c>
      <c r="C1965" s="115" t="str">
        <f>IFERROR(__xludf.DUMMYFUNCTION("""COMPUTED_VALUE"""),"FLIPKART")</f>
        <v>FLIPKART</v>
      </c>
      <c r="D1965" s="115">
        <f>IFERROR(__xludf.DUMMYFUNCTION("""COMPUTED_VALUE"""),203391.0)</f>
        <v>203391</v>
      </c>
      <c r="E1965" s="115">
        <f>IFERROR(__xludf.DUMMYFUNCTION("""COMPUTED_VALUE"""),16504.0)</f>
        <v>16504</v>
      </c>
      <c r="F1965" s="115">
        <f>IFERROR(__xludf.DUMMYFUNCTION("""COMPUTED_VALUE"""),154099.0)</f>
        <v>154099</v>
      </c>
      <c r="G1965" s="115">
        <f>IFERROR(__xludf.DUMMYFUNCTION("""COMPUTED_VALUE"""),6568.0)</f>
        <v>6568</v>
      </c>
      <c r="H1965" s="116">
        <f>IFERROR(__xludf.DUMMYFUNCTION("""COMPUTED_VALUE"""),45904.0)</f>
        <v>45904</v>
      </c>
      <c r="I1965" s="115" t="str">
        <f>IFERROR(__xludf.DUMMYFUNCTION("""COMPUTED_VALUE"""),"18")</f>
        <v>18</v>
      </c>
      <c r="J1965" s="115" t="str">
        <f>IFERROR(__xludf.DUMMYFUNCTION("""COMPUTED_VALUE"""),"Vineeth V2025-09-0418")</f>
        <v>Vineeth V2025-09-0418</v>
      </c>
      <c r="K1965" s="115">
        <f>IFERROR(__xludf.DUMMYFUNCTION("""COMPUTED_VALUE"""),219895.0)</f>
        <v>219895</v>
      </c>
    </row>
    <row r="1966">
      <c r="A1966" s="115" t="str">
        <f>IFERROR(__xludf.DUMMYFUNCTION("""COMPUTED_VALUE"""),"SOUTH")</f>
        <v>SOUTH</v>
      </c>
      <c r="B1966" s="115" t="str">
        <f>IFERROR(__xludf.DUMMYFUNCTION("""COMPUTED_VALUE"""),"Vineeth V")</f>
        <v>Vineeth V</v>
      </c>
      <c r="C1966" s="115" t="str">
        <f>IFERROR(__xludf.DUMMYFUNCTION("""COMPUTED_VALUE"""),"MYNTRA")</f>
        <v>MYNTRA</v>
      </c>
      <c r="D1966" s="115">
        <f>IFERROR(__xludf.DUMMYFUNCTION("""COMPUTED_VALUE"""),17457.0)</f>
        <v>17457</v>
      </c>
      <c r="E1966" s="115">
        <f>IFERROR(__xludf.DUMMYFUNCTION("""COMPUTED_VALUE"""),4088.0)</f>
        <v>4088</v>
      </c>
      <c r="F1966" s="115">
        <f>IFERROR(__xludf.DUMMYFUNCTION("""COMPUTED_VALUE"""),14169.0)</f>
        <v>14169</v>
      </c>
      <c r="G1966" s="115">
        <f>IFERROR(__xludf.DUMMYFUNCTION("""COMPUTED_VALUE"""),1745.0)</f>
        <v>1745</v>
      </c>
      <c r="H1966" s="116">
        <f>IFERROR(__xludf.DUMMYFUNCTION("""COMPUTED_VALUE"""),45904.0)</f>
        <v>45904</v>
      </c>
      <c r="I1966" s="115" t="str">
        <f>IFERROR(__xludf.DUMMYFUNCTION("""COMPUTED_VALUE"""),"18")</f>
        <v>18</v>
      </c>
      <c r="J1966" s="115" t="str">
        <f>IFERROR(__xludf.DUMMYFUNCTION("""COMPUTED_VALUE"""),"Vineeth V2025-09-0418")</f>
        <v>Vineeth V2025-09-0418</v>
      </c>
      <c r="K1966" s="115">
        <f>IFERROR(__xludf.DUMMYFUNCTION("""COMPUTED_VALUE"""),21545.0)</f>
        <v>21545</v>
      </c>
    </row>
    <row r="1967">
      <c r="A1967" s="115" t="str">
        <f>IFERROR(__xludf.DUMMYFUNCTION("""COMPUTED_VALUE"""),"WEST")</f>
        <v>WEST</v>
      </c>
      <c r="B1967" s="115" t="str">
        <f>IFERROR(__xludf.DUMMYFUNCTION("""COMPUTED_VALUE"""),"Ashish Jakar")</f>
        <v>Ashish Jakar</v>
      </c>
      <c r="C1967" s="115" t="str">
        <f>IFERROR(__xludf.DUMMYFUNCTION("""COMPUTED_VALUE"""),"EXTERNAL")</f>
        <v>EXTERNAL</v>
      </c>
      <c r="D1967" s="115">
        <f>IFERROR(__xludf.DUMMYFUNCTION("""COMPUTED_VALUE"""),57901.0)</f>
        <v>57901</v>
      </c>
      <c r="E1967" s="115">
        <f>IFERROR(__xludf.DUMMYFUNCTION("""COMPUTED_VALUE"""),6458.0)</f>
        <v>6458</v>
      </c>
      <c r="F1967" s="115">
        <f>IFERROR(__xludf.DUMMYFUNCTION("""COMPUTED_VALUE"""),21290.0)</f>
        <v>21290</v>
      </c>
      <c r="G1967" s="115">
        <f>IFERROR(__xludf.DUMMYFUNCTION("""COMPUTED_VALUE"""),2475.0)</f>
        <v>2475</v>
      </c>
      <c r="H1967" s="116">
        <f>IFERROR(__xludf.DUMMYFUNCTION("""COMPUTED_VALUE"""),45904.0)</f>
        <v>45904</v>
      </c>
      <c r="I1967" s="115" t="str">
        <f>IFERROR(__xludf.DUMMYFUNCTION("""COMPUTED_VALUE"""),"18")</f>
        <v>18</v>
      </c>
      <c r="J1967" s="115" t="str">
        <f>IFERROR(__xludf.DUMMYFUNCTION("""COMPUTED_VALUE"""),"Ashish Jakar2025-09-0418")</f>
        <v>Ashish Jakar2025-09-0418</v>
      </c>
      <c r="K1967" s="115">
        <f>IFERROR(__xludf.DUMMYFUNCTION("""COMPUTED_VALUE"""),64359.0)</f>
        <v>64359</v>
      </c>
    </row>
    <row r="1968">
      <c r="A1968" s="115" t="str">
        <f>IFERROR(__xludf.DUMMYFUNCTION("""COMPUTED_VALUE"""),"WEST")</f>
        <v>WEST</v>
      </c>
      <c r="B1968" s="115" t="str">
        <f>IFERROR(__xludf.DUMMYFUNCTION("""COMPUTED_VALUE"""),"Ashish Jakar")</f>
        <v>Ashish Jakar</v>
      </c>
      <c r="C1968" s="115" t="str">
        <f>IFERROR(__xludf.DUMMYFUNCTION("""COMPUTED_VALUE"""),"FLIPKART")</f>
        <v>FLIPKART</v>
      </c>
      <c r="D1968" s="115">
        <f>IFERROR(__xludf.DUMMYFUNCTION("""COMPUTED_VALUE"""),325367.0)</f>
        <v>325367</v>
      </c>
      <c r="E1968" s="115">
        <f>IFERROR(__xludf.DUMMYFUNCTION("""COMPUTED_VALUE"""),35103.0)</f>
        <v>35103</v>
      </c>
      <c r="F1968" s="115">
        <f>IFERROR(__xludf.DUMMYFUNCTION("""COMPUTED_VALUE"""),212937.0)</f>
        <v>212937</v>
      </c>
      <c r="G1968" s="115">
        <f>IFERROR(__xludf.DUMMYFUNCTION("""COMPUTED_VALUE"""),17221.0)</f>
        <v>17221</v>
      </c>
      <c r="H1968" s="116">
        <f>IFERROR(__xludf.DUMMYFUNCTION("""COMPUTED_VALUE"""),45904.0)</f>
        <v>45904</v>
      </c>
      <c r="I1968" s="115" t="str">
        <f>IFERROR(__xludf.DUMMYFUNCTION("""COMPUTED_VALUE"""),"18")</f>
        <v>18</v>
      </c>
      <c r="J1968" s="115" t="str">
        <f>IFERROR(__xludf.DUMMYFUNCTION("""COMPUTED_VALUE"""),"Ashish Jakar2025-09-0418")</f>
        <v>Ashish Jakar2025-09-0418</v>
      </c>
      <c r="K1968" s="115">
        <f>IFERROR(__xludf.DUMMYFUNCTION("""COMPUTED_VALUE"""),360470.0)</f>
        <v>360470</v>
      </c>
    </row>
    <row r="1969">
      <c r="A1969" s="115" t="str">
        <f>IFERROR(__xludf.DUMMYFUNCTION("""COMPUTED_VALUE"""),"WEST")</f>
        <v>WEST</v>
      </c>
      <c r="B1969" s="115" t="str">
        <f>IFERROR(__xludf.DUMMYFUNCTION("""COMPUTED_VALUE"""),"Ashish Jakar")</f>
        <v>Ashish Jakar</v>
      </c>
      <c r="C1969" s="115" t="str">
        <f>IFERROR(__xludf.DUMMYFUNCTION("""COMPUTED_VALUE"""),"MYNTRA")</f>
        <v>MYNTRA</v>
      </c>
      <c r="D1969" s="115">
        <f>IFERROR(__xludf.DUMMYFUNCTION("""COMPUTED_VALUE"""),38817.0)</f>
        <v>38817</v>
      </c>
      <c r="E1969" s="115">
        <f>IFERROR(__xludf.DUMMYFUNCTION("""COMPUTED_VALUE"""),10971.0)</f>
        <v>10971</v>
      </c>
      <c r="F1969" s="115">
        <f>IFERROR(__xludf.DUMMYFUNCTION("""COMPUTED_VALUE"""),29313.0)</f>
        <v>29313</v>
      </c>
      <c r="G1969" s="115">
        <f>IFERROR(__xludf.DUMMYFUNCTION("""COMPUTED_VALUE"""),5562.0)</f>
        <v>5562</v>
      </c>
      <c r="H1969" s="116">
        <f>IFERROR(__xludf.DUMMYFUNCTION("""COMPUTED_VALUE"""),45904.0)</f>
        <v>45904</v>
      </c>
      <c r="I1969" s="115" t="str">
        <f>IFERROR(__xludf.DUMMYFUNCTION("""COMPUTED_VALUE"""),"18")</f>
        <v>18</v>
      </c>
      <c r="J1969" s="115" t="str">
        <f>IFERROR(__xludf.DUMMYFUNCTION("""COMPUTED_VALUE"""),"Ashish Jakar2025-09-0418")</f>
        <v>Ashish Jakar2025-09-0418</v>
      </c>
      <c r="K1969" s="115">
        <f>IFERROR(__xludf.DUMMYFUNCTION("""COMPUTED_VALUE"""),49788.0)</f>
        <v>49788</v>
      </c>
    </row>
    <row r="1970">
      <c r="A1970" s="115" t="str">
        <f>IFERROR(__xludf.DUMMYFUNCTION("""COMPUTED_VALUE"""),"WEST")</f>
        <v>WEST</v>
      </c>
      <c r="B1970" s="115" t="str">
        <f>IFERROR(__xludf.DUMMYFUNCTION("""COMPUTED_VALUE"""),"Ashvani Bhatt")</f>
        <v>Ashvani Bhatt</v>
      </c>
      <c r="C1970" s="115" t="str">
        <f>IFERROR(__xludf.DUMMYFUNCTION("""COMPUTED_VALUE"""),"EXTERNAL")</f>
        <v>EXTERNAL</v>
      </c>
      <c r="D1970" s="115">
        <f>IFERROR(__xludf.DUMMYFUNCTION("""COMPUTED_VALUE"""),37552.0)</f>
        <v>37552</v>
      </c>
      <c r="E1970" s="115">
        <f>IFERROR(__xludf.DUMMYFUNCTION("""COMPUTED_VALUE"""),3423.0)</f>
        <v>3423</v>
      </c>
      <c r="F1970" s="115">
        <f>IFERROR(__xludf.DUMMYFUNCTION("""COMPUTED_VALUE"""),15036.0)</f>
        <v>15036</v>
      </c>
      <c r="G1970" s="115">
        <f>IFERROR(__xludf.DUMMYFUNCTION("""COMPUTED_VALUE"""),1065.0)</f>
        <v>1065</v>
      </c>
      <c r="H1970" s="116">
        <f>IFERROR(__xludf.DUMMYFUNCTION("""COMPUTED_VALUE"""),45904.0)</f>
        <v>45904</v>
      </c>
      <c r="I1970" s="115" t="str">
        <f>IFERROR(__xludf.DUMMYFUNCTION("""COMPUTED_VALUE"""),"18")</f>
        <v>18</v>
      </c>
      <c r="J1970" s="115" t="str">
        <f>IFERROR(__xludf.DUMMYFUNCTION("""COMPUTED_VALUE"""),"Ashvani Bhatt2025-09-0418")</f>
        <v>Ashvani Bhatt2025-09-0418</v>
      </c>
      <c r="K1970" s="115">
        <f>IFERROR(__xludf.DUMMYFUNCTION("""COMPUTED_VALUE"""),40975.0)</f>
        <v>40975</v>
      </c>
    </row>
    <row r="1971">
      <c r="A1971" s="115" t="str">
        <f>IFERROR(__xludf.DUMMYFUNCTION("""COMPUTED_VALUE"""),"WEST")</f>
        <v>WEST</v>
      </c>
      <c r="B1971" s="115" t="str">
        <f>IFERROR(__xludf.DUMMYFUNCTION("""COMPUTED_VALUE"""),"Ashvani Bhatt")</f>
        <v>Ashvani Bhatt</v>
      </c>
      <c r="C1971" s="115" t="str">
        <f>IFERROR(__xludf.DUMMYFUNCTION("""COMPUTED_VALUE"""),"FLIPKART")</f>
        <v>FLIPKART</v>
      </c>
      <c r="D1971" s="115">
        <f>IFERROR(__xludf.DUMMYFUNCTION("""COMPUTED_VALUE"""),262976.0)</f>
        <v>262976</v>
      </c>
      <c r="E1971" s="115">
        <f>IFERROR(__xludf.DUMMYFUNCTION("""COMPUTED_VALUE"""),28578.0)</f>
        <v>28578</v>
      </c>
      <c r="F1971" s="115">
        <f>IFERROR(__xludf.DUMMYFUNCTION("""COMPUTED_VALUE"""),186521.0)</f>
        <v>186521</v>
      </c>
      <c r="G1971" s="115">
        <f>IFERROR(__xludf.DUMMYFUNCTION("""COMPUTED_VALUE"""),14376.0)</f>
        <v>14376</v>
      </c>
      <c r="H1971" s="116">
        <f>IFERROR(__xludf.DUMMYFUNCTION("""COMPUTED_VALUE"""),45904.0)</f>
        <v>45904</v>
      </c>
      <c r="I1971" s="115" t="str">
        <f>IFERROR(__xludf.DUMMYFUNCTION("""COMPUTED_VALUE"""),"18")</f>
        <v>18</v>
      </c>
      <c r="J1971" s="115" t="str">
        <f>IFERROR(__xludf.DUMMYFUNCTION("""COMPUTED_VALUE"""),"Ashvani Bhatt2025-09-0418")</f>
        <v>Ashvani Bhatt2025-09-0418</v>
      </c>
      <c r="K1971" s="115">
        <f>IFERROR(__xludf.DUMMYFUNCTION("""COMPUTED_VALUE"""),291554.0)</f>
        <v>291554</v>
      </c>
    </row>
    <row r="1972">
      <c r="A1972" s="115" t="str">
        <f>IFERROR(__xludf.DUMMYFUNCTION("""COMPUTED_VALUE"""),"WEST")</f>
        <v>WEST</v>
      </c>
      <c r="B1972" s="115" t="str">
        <f>IFERROR(__xludf.DUMMYFUNCTION("""COMPUTED_VALUE"""),"Ashvani Bhatt")</f>
        <v>Ashvani Bhatt</v>
      </c>
      <c r="C1972" s="115" t="str">
        <f>IFERROR(__xludf.DUMMYFUNCTION("""COMPUTED_VALUE"""),"MYNTRA")</f>
        <v>MYNTRA</v>
      </c>
      <c r="D1972" s="115">
        <f>IFERROR(__xludf.DUMMYFUNCTION("""COMPUTED_VALUE"""),32870.0)</f>
        <v>32870</v>
      </c>
      <c r="E1972" s="115">
        <f>IFERROR(__xludf.DUMMYFUNCTION("""COMPUTED_VALUE"""),8671.0)</f>
        <v>8671</v>
      </c>
      <c r="F1972" s="115">
        <f>IFERROR(__xludf.DUMMYFUNCTION("""COMPUTED_VALUE"""),26619.0)</f>
        <v>26619</v>
      </c>
      <c r="G1972" s="115">
        <f>IFERROR(__xludf.DUMMYFUNCTION("""COMPUTED_VALUE"""),4975.0)</f>
        <v>4975</v>
      </c>
      <c r="H1972" s="116">
        <f>IFERROR(__xludf.DUMMYFUNCTION("""COMPUTED_VALUE"""),45904.0)</f>
        <v>45904</v>
      </c>
      <c r="I1972" s="115" t="str">
        <f>IFERROR(__xludf.DUMMYFUNCTION("""COMPUTED_VALUE"""),"18")</f>
        <v>18</v>
      </c>
      <c r="J1972" s="115" t="str">
        <f>IFERROR(__xludf.DUMMYFUNCTION("""COMPUTED_VALUE"""),"Ashvani Bhatt2025-09-0418")</f>
        <v>Ashvani Bhatt2025-09-0418</v>
      </c>
      <c r="K1972" s="115">
        <f>IFERROR(__xludf.DUMMYFUNCTION("""COMPUTED_VALUE"""),41541.0)</f>
        <v>41541</v>
      </c>
    </row>
    <row r="1973">
      <c r="A1973" s="115"/>
      <c r="B1973" s="115"/>
      <c r="C1973" s="115" t="str">
        <f>IFERROR(__xludf.DUMMYFUNCTION("""COMPUTED_VALUE"""),"EXTERNAL")</f>
        <v>EXTERNAL</v>
      </c>
      <c r="D1973" s="115">
        <f>IFERROR(__xludf.DUMMYFUNCTION("""COMPUTED_VALUE"""),1284.0)</f>
        <v>1284</v>
      </c>
      <c r="E1973" s="115">
        <f>IFERROR(__xludf.DUMMYFUNCTION("""COMPUTED_VALUE"""),232.0)</f>
        <v>232</v>
      </c>
      <c r="F1973" s="115">
        <f>IFERROR(__xludf.DUMMYFUNCTION("""COMPUTED_VALUE"""),475.0)</f>
        <v>475</v>
      </c>
      <c r="G1973" s="115">
        <f>IFERROR(__xludf.DUMMYFUNCTION("""COMPUTED_VALUE"""),92.0)</f>
        <v>92</v>
      </c>
      <c r="H1973" s="116">
        <f>IFERROR(__xludf.DUMMYFUNCTION("""COMPUTED_VALUE"""),45904.0)</f>
        <v>45904</v>
      </c>
      <c r="I1973" s="115" t="str">
        <f>IFERROR(__xludf.DUMMYFUNCTION("""COMPUTED_VALUE"""),"18")</f>
        <v>18</v>
      </c>
      <c r="J1973" s="115" t="str">
        <f>IFERROR(__xludf.DUMMYFUNCTION("""COMPUTED_VALUE"""),"2025-09-0418")</f>
        <v>2025-09-0418</v>
      </c>
      <c r="K1973" s="115">
        <f>IFERROR(__xludf.DUMMYFUNCTION("""COMPUTED_VALUE"""),1516.0)</f>
        <v>1516</v>
      </c>
    </row>
    <row r="1974">
      <c r="A1974" s="115"/>
      <c r="B1974" s="115"/>
      <c r="C1974" s="115" t="str">
        <f>IFERROR(__xludf.DUMMYFUNCTION("""COMPUTED_VALUE"""),"FLIPKART")</f>
        <v>FLIPKART</v>
      </c>
      <c r="D1974" s="115">
        <f>IFERROR(__xludf.DUMMYFUNCTION("""COMPUTED_VALUE"""),8846.0)</f>
        <v>8846</v>
      </c>
      <c r="E1974" s="115">
        <f>IFERROR(__xludf.DUMMYFUNCTION("""COMPUTED_VALUE"""),1139.0)</f>
        <v>1139</v>
      </c>
      <c r="F1974" s="115">
        <f>IFERROR(__xludf.DUMMYFUNCTION("""COMPUTED_VALUE"""),5954.0)</f>
        <v>5954</v>
      </c>
      <c r="G1974" s="115">
        <f>IFERROR(__xludf.DUMMYFUNCTION("""COMPUTED_VALUE"""),498.0)</f>
        <v>498</v>
      </c>
      <c r="H1974" s="116">
        <f>IFERROR(__xludf.DUMMYFUNCTION("""COMPUTED_VALUE"""),45904.0)</f>
        <v>45904</v>
      </c>
      <c r="I1974" s="115" t="str">
        <f>IFERROR(__xludf.DUMMYFUNCTION("""COMPUTED_VALUE"""),"18")</f>
        <v>18</v>
      </c>
      <c r="J1974" s="115" t="str">
        <f>IFERROR(__xludf.DUMMYFUNCTION("""COMPUTED_VALUE"""),"2025-09-0418")</f>
        <v>2025-09-0418</v>
      </c>
      <c r="K1974" s="115">
        <f>IFERROR(__xludf.DUMMYFUNCTION("""COMPUTED_VALUE"""),9985.0)</f>
        <v>9985</v>
      </c>
    </row>
    <row r="1975">
      <c r="A1975" s="115"/>
      <c r="B1975" s="115"/>
      <c r="C1975" s="115" t="str">
        <f>IFERROR(__xludf.DUMMYFUNCTION("""COMPUTED_VALUE"""),"MYNTRA")</f>
        <v>MYNTRA</v>
      </c>
      <c r="D1975" s="115">
        <f>IFERROR(__xludf.DUMMYFUNCTION("""COMPUTED_VALUE"""),917.0)</f>
        <v>917</v>
      </c>
      <c r="E1975" s="115">
        <f>IFERROR(__xludf.DUMMYFUNCTION("""COMPUTED_VALUE"""),336.0)</f>
        <v>336</v>
      </c>
      <c r="F1975" s="115">
        <f>IFERROR(__xludf.DUMMYFUNCTION("""COMPUTED_VALUE"""),652.0)</f>
        <v>652</v>
      </c>
      <c r="G1975" s="115">
        <f>IFERROR(__xludf.DUMMYFUNCTION("""COMPUTED_VALUE"""),187.0)</f>
        <v>187</v>
      </c>
      <c r="H1975" s="116">
        <f>IFERROR(__xludf.DUMMYFUNCTION("""COMPUTED_VALUE"""),45904.0)</f>
        <v>45904</v>
      </c>
      <c r="I1975" s="115" t="str">
        <f>IFERROR(__xludf.DUMMYFUNCTION("""COMPUTED_VALUE"""),"18")</f>
        <v>18</v>
      </c>
      <c r="J1975" s="115" t="str">
        <f>IFERROR(__xludf.DUMMYFUNCTION("""COMPUTED_VALUE"""),"2025-09-0418")</f>
        <v>2025-09-0418</v>
      </c>
      <c r="K1975" s="115">
        <f>IFERROR(__xludf.DUMMYFUNCTION("""COMPUTED_VALUE"""),1253.0)</f>
        <v>1253</v>
      </c>
    </row>
    <row r="1976">
      <c r="A1976" s="115" t="str">
        <f>IFERROR(__xludf.DUMMYFUNCTION("""COMPUTED_VALUE"""),"EAST")</f>
        <v>EAST</v>
      </c>
      <c r="B1976" s="115" t="str">
        <f>IFERROR(__xludf.DUMMYFUNCTION("""COMPUTED_VALUE"""),"Ashish Ranjan")</f>
        <v>Ashish Ranjan</v>
      </c>
      <c r="C1976" s="115" t="str">
        <f>IFERROR(__xludf.DUMMYFUNCTION("""COMPUTED_VALUE"""),"EXTERNAL")</f>
        <v>EXTERNAL</v>
      </c>
      <c r="D1976" s="115">
        <f>IFERROR(__xludf.DUMMYFUNCTION("""COMPUTED_VALUE"""),35525.0)</f>
        <v>35525</v>
      </c>
      <c r="E1976" s="115">
        <f>IFERROR(__xludf.DUMMYFUNCTION("""COMPUTED_VALUE"""),3448.0)</f>
        <v>3448</v>
      </c>
      <c r="F1976" s="115">
        <f>IFERROR(__xludf.DUMMYFUNCTION("""COMPUTED_VALUE"""),19173.0)</f>
        <v>19173</v>
      </c>
      <c r="G1976" s="115">
        <f>IFERROR(__xludf.DUMMYFUNCTION("""COMPUTED_VALUE"""),1654.0)</f>
        <v>1654</v>
      </c>
      <c r="H1976" s="116">
        <f>IFERROR(__xludf.DUMMYFUNCTION("""COMPUTED_VALUE"""),45904.0)</f>
        <v>45904</v>
      </c>
      <c r="I1976" s="115" t="str">
        <f>IFERROR(__xludf.DUMMYFUNCTION("""COMPUTED_VALUE"""),"19")</f>
        <v>19</v>
      </c>
      <c r="J1976" s="115" t="str">
        <f>IFERROR(__xludf.DUMMYFUNCTION("""COMPUTED_VALUE"""),"Ashish Ranjan2025-09-0419")</f>
        <v>Ashish Ranjan2025-09-0419</v>
      </c>
      <c r="K1976" s="115">
        <f>IFERROR(__xludf.DUMMYFUNCTION("""COMPUTED_VALUE"""),38973.0)</f>
        <v>38973</v>
      </c>
    </row>
    <row r="1977">
      <c r="A1977" s="115" t="str">
        <f>IFERROR(__xludf.DUMMYFUNCTION("""COMPUTED_VALUE"""),"EAST")</f>
        <v>EAST</v>
      </c>
      <c r="B1977" s="115" t="str">
        <f>IFERROR(__xludf.DUMMYFUNCTION("""COMPUTED_VALUE"""),"Ashish Ranjan")</f>
        <v>Ashish Ranjan</v>
      </c>
      <c r="C1977" s="115" t="str">
        <f>IFERROR(__xludf.DUMMYFUNCTION("""COMPUTED_VALUE"""),"FLIPKART")</f>
        <v>FLIPKART</v>
      </c>
      <c r="D1977" s="115">
        <f>IFERROR(__xludf.DUMMYFUNCTION("""COMPUTED_VALUE"""),566972.0)</f>
        <v>566972</v>
      </c>
      <c r="E1977" s="115">
        <f>IFERROR(__xludf.DUMMYFUNCTION("""COMPUTED_VALUE"""),60748.0)</f>
        <v>60748</v>
      </c>
      <c r="F1977" s="115">
        <f>IFERROR(__xludf.DUMMYFUNCTION("""COMPUTED_VALUE"""),481600.0)</f>
        <v>481600</v>
      </c>
      <c r="G1977" s="115">
        <f>IFERROR(__xludf.DUMMYFUNCTION("""COMPUTED_VALUE"""),43185.0)</f>
        <v>43185</v>
      </c>
      <c r="H1977" s="116">
        <f>IFERROR(__xludf.DUMMYFUNCTION("""COMPUTED_VALUE"""),45904.0)</f>
        <v>45904</v>
      </c>
      <c r="I1977" s="115" t="str">
        <f>IFERROR(__xludf.DUMMYFUNCTION("""COMPUTED_VALUE"""),"19")</f>
        <v>19</v>
      </c>
      <c r="J1977" s="115" t="str">
        <f>IFERROR(__xludf.DUMMYFUNCTION("""COMPUTED_VALUE"""),"Ashish Ranjan2025-09-0419")</f>
        <v>Ashish Ranjan2025-09-0419</v>
      </c>
      <c r="K1977" s="115">
        <f>IFERROR(__xludf.DUMMYFUNCTION("""COMPUTED_VALUE"""),627720.0)</f>
        <v>627720</v>
      </c>
    </row>
    <row r="1978">
      <c r="A1978" s="115" t="str">
        <f>IFERROR(__xludf.DUMMYFUNCTION("""COMPUTED_VALUE"""),"EAST")</f>
        <v>EAST</v>
      </c>
      <c r="B1978" s="115" t="str">
        <f>IFERROR(__xludf.DUMMYFUNCTION("""COMPUTED_VALUE"""),"Ashish Ranjan")</f>
        <v>Ashish Ranjan</v>
      </c>
      <c r="C1978" s="115" t="str">
        <f>IFERROR(__xludf.DUMMYFUNCTION("""COMPUTED_VALUE"""),"MYNTRA")</f>
        <v>MYNTRA</v>
      </c>
      <c r="D1978" s="115">
        <f>IFERROR(__xludf.DUMMYFUNCTION("""COMPUTED_VALUE"""),56910.0)</f>
        <v>56910</v>
      </c>
      <c r="E1978" s="115">
        <f>IFERROR(__xludf.DUMMYFUNCTION("""COMPUTED_VALUE"""),12524.0)</f>
        <v>12524</v>
      </c>
      <c r="F1978" s="115">
        <f>IFERROR(__xludf.DUMMYFUNCTION("""COMPUTED_VALUE"""),48765.0)</f>
        <v>48765</v>
      </c>
      <c r="G1978" s="115">
        <f>IFERROR(__xludf.DUMMYFUNCTION("""COMPUTED_VALUE"""),8939.0)</f>
        <v>8939</v>
      </c>
      <c r="H1978" s="116">
        <f>IFERROR(__xludf.DUMMYFUNCTION("""COMPUTED_VALUE"""),45904.0)</f>
        <v>45904</v>
      </c>
      <c r="I1978" s="115" t="str">
        <f>IFERROR(__xludf.DUMMYFUNCTION("""COMPUTED_VALUE"""),"19")</f>
        <v>19</v>
      </c>
      <c r="J1978" s="115" t="str">
        <f>IFERROR(__xludf.DUMMYFUNCTION("""COMPUTED_VALUE"""),"Ashish Ranjan2025-09-0419")</f>
        <v>Ashish Ranjan2025-09-0419</v>
      </c>
      <c r="K1978" s="115">
        <f>IFERROR(__xludf.DUMMYFUNCTION("""COMPUTED_VALUE"""),69434.0)</f>
        <v>69434</v>
      </c>
    </row>
    <row r="1979">
      <c r="A1979" s="115" t="str">
        <f>IFERROR(__xludf.DUMMYFUNCTION("""COMPUTED_VALUE"""),"EAST")</f>
        <v>EAST</v>
      </c>
      <c r="B1979" s="115" t="str">
        <f>IFERROR(__xludf.DUMMYFUNCTION("""COMPUTED_VALUE"""),"Girish Chand")</f>
        <v>Girish Chand</v>
      </c>
      <c r="C1979" s="115" t="str">
        <f>IFERROR(__xludf.DUMMYFUNCTION("""COMPUTED_VALUE"""),"EXTERNAL")</f>
        <v>EXTERNAL</v>
      </c>
      <c r="D1979" s="115">
        <f>IFERROR(__xludf.DUMMYFUNCTION("""COMPUTED_VALUE"""),21492.0)</f>
        <v>21492</v>
      </c>
      <c r="E1979" s="115">
        <f>IFERROR(__xludf.DUMMYFUNCTION("""COMPUTED_VALUE"""),1934.0)</f>
        <v>1934</v>
      </c>
      <c r="F1979" s="115">
        <f>IFERROR(__xludf.DUMMYFUNCTION("""COMPUTED_VALUE"""),8669.0)</f>
        <v>8669</v>
      </c>
      <c r="G1979" s="115">
        <f>IFERROR(__xludf.DUMMYFUNCTION("""COMPUTED_VALUE"""),675.0)</f>
        <v>675</v>
      </c>
      <c r="H1979" s="116">
        <f>IFERROR(__xludf.DUMMYFUNCTION("""COMPUTED_VALUE"""),45904.0)</f>
        <v>45904</v>
      </c>
      <c r="I1979" s="115" t="str">
        <f>IFERROR(__xludf.DUMMYFUNCTION("""COMPUTED_VALUE"""),"19")</f>
        <v>19</v>
      </c>
      <c r="J1979" s="115" t="str">
        <f>IFERROR(__xludf.DUMMYFUNCTION("""COMPUTED_VALUE"""),"Girish Chand2025-09-0419")</f>
        <v>Girish Chand2025-09-0419</v>
      </c>
      <c r="K1979" s="115">
        <f>IFERROR(__xludf.DUMMYFUNCTION("""COMPUTED_VALUE"""),23426.0)</f>
        <v>23426</v>
      </c>
    </row>
    <row r="1980">
      <c r="A1980" s="115" t="str">
        <f>IFERROR(__xludf.DUMMYFUNCTION("""COMPUTED_VALUE"""),"EAST")</f>
        <v>EAST</v>
      </c>
      <c r="B1980" s="115" t="str">
        <f>IFERROR(__xludf.DUMMYFUNCTION("""COMPUTED_VALUE"""),"Girish Chand")</f>
        <v>Girish Chand</v>
      </c>
      <c r="C1980" s="115" t="str">
        <f>IFERROR(__xludf.DUMMYFUNCTION("""COMPUTED_VALUE"""),"FLIPKART")</f>
        <v>FLIPKART</v>
      </c>
      <c r="D1980" s="115">
        <f>IFERROR(__xludf.DUMMYFUNCTION("""COMPUTED_VALUE"""),382986.0)</f>
        <v>382986</v>
      </c>
      <c r="E1980" s="115">
        <f>IFERROR(__xludf.DUMMYFUNCTION("""COMPUTED_VALUE"""),39955.0)</f>
        <v>39955</v>
      </c>
      <c r="F1980" s="115">
        <f>IFERROR(__xludf.DUMMYFUNCTION("""COMPUTED_VALUE"""),279604.0)</f>
        <v>279604</v>
      </c>
      <c r="G1980" s="115">
        <f>IFERROR(__xludf.DUMMYFUNCTION("""COMPUTED_VALUE"""),25197.0)</f>
        <v>25197</v>
      </c>
      <c r="H1980" s="116">
        <f>IFERROR(__xludf.DUMMYFUNCTION("""COMPUTED_VALUE"""),45904.0)</f>
        <v>45904</v>
      </c>
      <c r="I1980" s="115" t="str">
        <f>IFERROR(__xludf.DUMMYFUNCTION("""COMPUTED_VALUE"""),"19")</f>
        <v>19</v>
      </c>
      <c r="J1980" s="115" t="str">
        <f>IFERROR(__xludf.DUMMYFUNCTION("""COMPUTED_VALUE"""),"Girish Chand2025-09-0419")</f>
        <v>Girish Chand2025-09-0419</v>
      </c>
      <c r="K1980" s="115">
        <f>IFERROR(__xludf.DUMMYFUNCTION("""COMPUTED_VALUE"""),422941.0)</f>
        <v>422941</v>
      </c>
    </row>
    <row r="1981">
      <c r="A1981" s="115" t="str">
        <f>IFERROR(__xludf.DUMMYFUNCTION("""COMPUTED_VALUE"""),"EAST")</f>
        <v>EAST</v>
      </c>
      <c r="B1981" s="115" t="str">
        <f>IFERROR(__xludf.DUMMYFUNCTION("""COMPUTED_VALUE"""),"Girish Chand")</f>
        <v>Girish Chand</v>
      </c>
      <c r="C1981" s="115" t="str">
        <f>IFERROR(__xludf.DUMMYFUNCTION("""COMPUTED_VALUE"""),"MYNTRA")</f>
        <v>MYNTRA</v>
      </c>
      <c r="D1981" s="115">
        <f>IFERROR(__xludf.DUMMYFUNCTION("""COMPUTED_VALUE"""),30978.0)</f>
        <v>30978</v>
      </c>
      <c r="E1981" s="115">
        <f>IFERROR(__xludf.DUMMYFUNCTION("""COMPUTED_VALUE"""),6976.0)</f>
        <v>6976</v>
      </c>
      <c r="F1981" s="115">
        <f>IFERROR(__xludf.DUMMYFUNCTION("""COMPUTED_VALUE"""),23975.0)</f>
        <v>23975</v>
      </c>
      <c r="G1981" s="115">
        <f>IFERROR(__xludf.DUMMYFUNCTION("""COMPUTED_VALUE"""),4616.0)</f>
        <v>4616</v>
      </c>
      <c r="H1981" s="116">
        <f>IFERROR(__xludf.DUMMYFUNCTION("""COMPUTED_VALUE"""),45904.0)</f>
        <v>45904</v>
      </c>
      <c r="I1981" s="115" t="str">
        <f>IFERROR(__xludf.DUMMYFUNCTION("""COMPUTED_VALUE"""),"19")</f>
        <v>19</v>
      </c>
      <c r="J1981" s="115" t="str">
        <f>IFERROR(__xludf.DUMMYFUNCTION("""COMPUTED_VALUE"""),"Girish Chand2025-09-0419")</f>
        <v>Girish Chand2025-09-0419</v>
      </c>
      <c r="K1981" s="115">
        <f>IFERROR(__xludf.DUMMYFUNCTION("""COMPUTED_VALUE"""),37954.0)</f>
        <v>37954</v>
      </c>
    </row>
    <row r="1982">
      <c r="A1982" s="115" t="str">
        <f>IFERROR(__xludf.DUMMYFUNCTION("""COMPUTED_VALUE"""),"EAST")</f>
        <v>EAST</v>
      </c>
      <c r="B1982" s="115" t="str">
        <f>IFERROR(__xludf.DUMMYFUNCTION("""COMPUTED_VALUE"""),"Parag Kashyap")</f>
        <v>Parag Kashyap</v>
      </c>
      <c r="C1982" s="115" t="str">
        <f>IFERROR(__xludf.DUMMYFUNCTION("""COMPUTED_VALUE"""),"EXTERNAL")</f>
        <v>EXTERNAL</v>
      </c>
      <c r="D1982" s="115">
        <f>IFERROR(__xludf.DUMMYFUNCTION("""COMPUTED_VALUE"""),20391.0)</f>
        <v>20391</v>
      </c>
      <c r="E1982" s="115">
        <f>IFERROR(__xludf.DUMMYFUNCTION("""COMPUTED_VALUE"""),1119.0)</f>
        <v>1119</v>
      </c>
      <c r="F1982" s="115">
        <f>IFERROR(__xludf.DUMMYFUNCTION("""COMPUTED_VALUE"""),8200.0)</f>
        <v>8200</v>
      </c>
      <c r="G1982" s="115">
        <f>IFERROR(__xludf.DUMMYFUNCTION("""COMPUTED_VALUE"""),375.0)</f>
        <v>375</v>
      </c>
      <c r="H1982" s="116">
        <f>IFERROR(__xludf.DUMMYFUNCTION("""COMPUTED_VALUE"""),45904.0)</f>
        <v>45904</v>
      </c>
      <c r="I1982" s="115" t="str">
        <f>IFERROR(__xludf.DUMMYFUNCTION("""COMPUTED_VALUE"""),"19")</f>
        <v>19</v>
      </c>
      <c r="J1982" s="115" t="str">
        <f>IFERROR(__xludf.DUMMYFUNCTION("""COMPUTED_VALUE"""),"Parag Kashyap2025-09-0419")</f>
        <v>Parag Kashyap2025-09-0419</v>
      </c>
      <c r="K1982" s="115">
        <f>IFERROR(__xludf.DUMMYFUNCTION("""COMPUTED_VALUE"""),21510.0)</f>
        <v>21510</v>
      </c>
    </row>
    <row r="1983">
      <c r="A1983" s="115" t="str">
        <f>IFERROR(__xludf.DUMMYFUNCTION("""COMPUTED_VALUE"""),"EAST")</f>
        <v>EAST</v>
      </c>
      <c r="B1983" s="115" t="str">
        <f>IFERROR(__xludf.DUMMYFUNCTION("""COMPUTED_VALUE"""),"Parag Kashyap")</f>
        <v>Parag Kashyap</v>
      </c>
      <c r="C1983" s="115" t="str">
        <f>IFERROR(__xludf.DUMMYFUNCTION("""COMPUTED_VALUE"""),"FLIPKART")</f>
        <v>FLIPKART</v>
      </c>
      <c r="D1983" s="115">
        <f>IFERROR(__xludf.DUMMYFUNCTION("""COMPUTED_VALUE"""),296106.0)</f>
        <v>296106</v>
      </c>
      <c r="E1983" s="115">
        <f>IFERROR(__xludf.DUMMYFUNCTION("""COMPUTED_VALUE"""),20143.0)</f>
        <v>20143</v>
      </c>
      <c r="F1983" s="115">
        <f>IFERROR(__xludf.DUMMYFUNCTION("""COMPUTED_VALUE"""),221022.0)</f>
        <v>221022</v>
      </c>
      <c r="G1983" s="115">
        <f>IFERROR(__xludf.DUMMYFUNCTION("""COMPUTED_VALUE"""),11189.0)</f>
        <v>11189</v>
      </c>
      <c r="H1983" s="116">
        <f>IFERROR(__xludf.DUMMYFUNCTION("""COMPUTED_VALUE"""),45904.0)</f>
        <v>45904</v>
      </c>
      <c r="I1983" s="115" t="str">
        <f>IFERROR(__xludf.DUMMYFUNCTION("""COMPUTED_VALUE"""),"19")</f>
        <v>19</v>
      </c>
      <c r="J1983" s="115" t="str">
        <f>IFERROR(__xludf.DUMMYFUNCTION("""COMPUTED_VALUE"""),"Parag Kashyap2025-09-0419")</f>
        <v>Parag Kashyap2025-09-0419</v>
      </c>
      <c r="K1983" s="115">
        <f>IFERROR(__xludf.DUMMYFUNCTION("""COMPUTED_VALUE"""),316249.0)</f>
        <v>316249</v>
      </c>
    </row>
    <row r="1984">
      <c r="A1984" s="115" t="str">
        <f>IFERROR(__xludf.DUMMYFUNCTION("""COMPUTED_VALUE"""),"EAST")</f>
        <v>EAST</v>
      </c>
      <c r="B1984" s="115" t="str">
        <f>IFERROR(__xludf.DUMMYFUNCTION("""COMPUTED_VALUE"""),"Parag Kashyap")</f>
        <v>Parag Kashyap</v>
      </c>
      <c r="C1984" s="115" t="str">
        <f>IFERROR(__xludf.DUMMYFUNCTION("""COMPUTED_VALUE"""),"MYNTRA")</f>
        <v>MYNTRA</v>
      </c>
      <c r="D1984" s="115">
        <f>IFERROR(__xludf.DUMMYFUNCTION("""COMPUTED_VALUE"""),34300.0)</f>
        <v>34300</v>
      </c>
      <c r="E1984" s="115">
        <f>IFERROR(__xludf.DUMMYFUNCTION("""COMPUTED_VALUE"""),5139.0)</f>
        <v>5139</v>
      </c>
      <c r="F1984" s="115">
        <f>IFERROR(__xludf.DUMMYFUNCTION("""COMPUTED_VALUE"""),26319.0)</f>
        <v>26319</v>
      </c>
      <c r="G1984" s="115">
        <f>IFERROR(__xludf.DUMMYFUNCTION("""COMPUTED_VALUE"""),2814.0)</f>
        <v>2814</v>
      </c>
      <c r="H1984" s="116">
        <f>IFERROR(__xludf.DUMMYFUNCTION("""COMPUTED_VALUE"""),45904.0)</f>
        <v>45904</v>
      </c>
      <c r="I1984" s="115" t="str">
        <f>IFERROR(__xludf.DUMMYFUNCTION("""COMPUTED_VALUE"""),"19")</f>
        <v>19</v>
      </c>
      <c r="J1984" s="115" t="str">
        <f>IFERROR(__xludf.DUMMYFUNCTION("""COMPUTED_VALUE"""),"Parag Kashyap2025-09-0419")</f>
        <v>Parag Kashyap2025-09-0419</v>
      </c>
      <c r="K1984" s="115">
        <f>IFERROR(__xludf.DUMMYFUNCTION("""COMPUTED_VALUE"""),39439.0)</f>
        <v>39439</v>
      </c>
    </row>
    <row r="1985">
      <c r="A1985" s="115" t="str">
        <f>IFERROR(__xludf.DUMMYFUNCTION("""COMPUTED_VALUE"""),"NORTH")</f>
        <v>NORTH</v>
      </c>
      <c r="B1985" s="115" t="str">
        <f>IFERROR(__xludf.DUMMYFUNCTION("""COMPUTED_VALUE"""),"Amit Kumar Pathak")</f>
        <v>Amit Kumar Pathak</v>
      </c>
      <c r="C1985" s="115" t="str">
        <f>IFERROR(__xludf.DUMMYFUNCTION("""COMPUTED_VALUE"""),"EXTERNAL")</f>
        <v>EXTERNAL</v>
      </c>
      <c r="D1985" s="115">
        <f>IFERROR(__xludf.DUMMYFUNCTION("""COMPUTED_VALUE"""),27968.0)</f>
        <v>27968</v>
      </c>
      <c r="E1985" s="115">
        <f>IFERROR(__xludf.DUMMYFUNCTION("""COMPUTED_VALUE"""),3166.0)</f>
        <v>3166</v>
      </c>
      <c r="F1985" s="115">
        <f>IFERROR(__xludf.DUMMYFUNCTION("""COMPUTED_VALUE"""),10922.0)</f>
        <v>10922</v>
      </c>
      <c r="G1985" s="115">
        <f>IFERROR(__xludf.DUMMYFUNCTION("""COMPUTED_VALUE"""),1478.0)</f>
        <v>1478</v>
      </c>
      <c r="H1985" s="116">
        <f>IFERROR(__xludf.DUMMYFUNCTION("""COMPUTED_VALUE"""),45904.0)</f>
        <v>45904</v>
      </c>
      <c r="I1985" s="115" t="str">
        <f>IFERROR(__xludf.DUMMYFUNCTION("""COMPUTED_VALUE"""),"19")</f>
        <v>19</v>
      </c>
      <c r="J1985" s="115" t="str">
        <f>IFERROR(__xludf.DUMMYFUNCTION("""COMPUTED_VALUE"""),"Amit Kumar Pathak2025-09-0419")</f>
        <v>Amit Kumar Pathak2025-09-0419</v>
      </c>
      <c r="K1985" s="115">
        <f>IFERROR(__xludf.DUMMYFUNCTION("""COMPUTED_VALUE"""),31134.0)</f>
        <v>31134</v>
      </c>
    </row>
    <row r="1986">
      <c r="A1986" s="115" t="str">
        <f>IFERROR(__xludf.DUMMYFUNCTION("""COMPUTED_VALUE"""),"NORTH")</f>
        <v>NORTH</v>
      </c>
      <c r="B1986" s="115" t="str">
        <f>IFERROR(__xludf.DUMMYFUNCTION("""COMPUTED_VALUE"""),"Amit Kumar Pathak")</f>
        <v>Amit Kumar Pathak</v>
      </c>
      <c r="C1986" s="115" t="str">
        <f>IFERROR(__xludf.DUMMYFUNCTION("""COMPUTED_VALUE"""),"FLIPKART")</f>
        <v>FLIPKART</v>
      </c>
      <c r="D1986" s="115">
        <f>IFERROR(__xludf.DUMMYFUNCTION("""COMPUTED_VALUE"""),215315.0)</f>
        <v>215315</v>
      </c>
      <c r="E1986" s="115">
        <f>IFERROR(__xludf.DUMMYFUNCTION("""COMPUTED_VALUE"""),24376.0)</f>
        <v>24376</v>
      </c>
      <c r="F1986" s="115">
        <f>IFERROR(__xludf.DUMMYFUNCTION("""COMPUTED_VALUE"""),144813.0)</f>
        <v>144813</v>
      </c>
      <c r="G1986" s="115">
        <f>IFERROR(__xludf.DUMMYFUNCTION("""COMPUTED_VALUE"""),13306.0)</f>
        <v>13306</v>
      </c>
      <c r="H1986" s="116">
        <f>IFERROR(__xludf.DUMMYFUNCTION("""COMPUTED_VALUE"""),45904.0)</f>
        <v>45904</v>
      </c>
      <c r="I1986" s="115" t="str">
        <f>IFERROR(__xludf.DUMMYFUNCTION("""COMPUTED_VALUE"""),"19")</f>
        <v>19</v>
      </c>
      <c r="J1986" s="115" t="str">
        <f>IFERROR(__xludf.DUMMYFUNCTION("""COMPUTED_VALUE"""),"Amit Kumar Pathak2025-09-0419")</f>
        <v>Amit Kumar Pathak2025-09-0419</v>
      </c>
      <c r="K1986" s="115">
        <f>IFERROR(__xludf.DUMMYFUNCTION("""COMPUTED_VALUE"""),239691.0)</f>
        <v>239691</v>
      </c>
    </row>
    <row r="1987">
      <c r="A1987" s="115" t="str">
        <f>IFERROR(__xludf.DUMMYFUNCTION("""COMPUTED_VALUE"""),"NORTH")</f>
        <v>NORTH</v>
      </c>
      <c r="B1987" s="115" t="str">
        <f>IFERROR(__xludf.DUMMYFUNCTION("""COMPUTED_VALUE"""),"Amit Kumar Pathak")</f>
        <v>Amit Kumar Pathak</v>
      </c>
      <c r="C1987" s="115" t="str">
        <f>IFERROR(__xludf.DUMMYFUNCTION("""COMPUTED_VALUE"""),"MYNTRA")</f>
        <v>MYNTRA</v>
      </c>
      <c r="D1987" s="115">
        <f>IFERROR(__xludf.DUMMYFUNCTION("""COMPUTED_VALUE"""),20143.0)</f>
        <v>20143</v>
      </c>
      <c r="E1987" s="115">
        <f>IFERROR(__xludf.DUMMYFUNCTION("""COMPUTED_VALUE"""),5975.0)</f>
        <v>5975</v>
      </c>
      <c r="F1987" s="115">
        <f>IFERROR(__xludf.DUMMYFUNCTION("""COMPUTED_VALUE"""),16067.0)</f>
        <v>16067</v>
      </c>
      <c r="G1987" s="115">
        <f>IFERROR(__xludf.DUMMYFUNCTION("""COMPUTED_VALUE"""),3614.0)</f>
        <v>3614</v>
      </c>
      <c r="H1987" s="116">
        <f>IFERROR(__xludf.DUMMYFUNCTION("""COMPUTED_VALUE"""),45904.0)</f>
        <v>45904</v>
      </c>
      <c r="I1987" s="115" t="str">
        <f>IFERROR(__xludf.DUMMYFUNCTION("""COMPUTED_VALUE"""),"19")</f>
        <v>19</v>
      </c>
      <c r="J1987" s="115" t="str">
        <f>IFERROR(__xludf.DUMMYFUNCTION("""COMPUTED_VALUE"""),"Amit Kumar Pathak2025-09-0419")</f>
        <v>Amit Kumar Pathak2025-09-0419</v>
      </c>
      <c r="K1987" s="115">
        <f>IFERROR(__xludf.DUMMYFUNCTION("""COMPUTED_VALUE"""),26118.0)</f>
        <v>26118</v>
      </c>
    </row>
    <row r="1988">
      <c r="A1988" s="115" t="str">
        <f>IFERROR(__xludf.DUMMYFUNCTION("""COMPUTED_VALUE"""),"NORTH")</f>
        <v>NORTH</v>
      </c>
      <c r="B1988" s="115" t="str">
        <f>IFERROR(__xludf.DUMMYFUNCTION("""COMPUTED_VALUE"""),"Loveleen Singh")</f>
        <v>Loveleen Singh</v>
      </c>
      <c r="C1988" s="115" t="str">
        <f>IFERROR(__xludf.DUMMYFUNCTION("""COMPUTED_VALUE"""),"EXTERNAL")</f>
        <v>EXTERNAL</v>
      </c>
      <c r="D1988" s="115">
        <f>IFERROR(__xludf.DUMMYFUNCTION("""COMPUTED_VALUE"""),33941.0)</f>
        <v>33941</v>
      </c>
      <c r="E1988" s="115">
        <f>IFERROR(__xludf.DUMMYFUNCTION("""COMPUTED_VALUE"""),2274.0)</f>
        <v>2274</v>
      </c>
      <c r="F1988" s="115">
        <f>IFERROR(__xludf.DUMMYFUNCTION("""COMPUTED_VALUE"""),12666.0)</f>
        <v>12666</v>
      </c>
      <c r="G1988" s="115">
        <f>IFERROR(__xludf.DUMMYFUNCTION("""COMPUTED_VALUE"""),781.0)</f>
        <v>781</v>
      </c>
      <c r="H1988" s="116">
        <f>IFERROR(__xludf.DUMMYFUNCTION("""COMPUTED_VALUE"""),45904.0)</f>
        <v>45904</v>
      </c>
      <c r="I1988" s="115" t="str">
        <f>IFERROR(__xludf.DUMMYFUNCTION("""COMPUTED_VALUE"""),"19")</f>
        <v>19</v>
      </c>
      <c r="J1988" s="115" t="str">
        <f>IFERROR(__xludf.DUMMYFUNCTION("""COMPUTED_VALUE"""),"Loveleen Singh2025-09-0419")</f>
        <v>Loveleen Singh2025-09-0419</v>
      </c>
      <c r="K1988" s="115">
        <f>IFERROR(__xludf.DUMMYFUNCTION("""COMPUTED_VALUE"""),36215.0)</f>
        <v>36215</v>
      </c>
    </row>
    <row r="1989">
      <c r="A1989" s="115" t="str">
        <f>IFERROR(__xludf.DUMMYFUNCTION("""COMPUTED_VALUE"""),"NORTH")</f>
        <v>NORTH</v>
      </c>
      <c r="B1989" s="115" t="str">
        <f>IFERROR(__xludf.DUMMYFUNCTION("""COMPUTED_VALUE"""),"Loveleen Singh")</f>
        <v>Loveleen Singh</v>
      </c>
      <c r="C1989" s="115" t="str">
        <f>IFERROR(__xludf.DUMMYFUNCTION("""COMPUTED_VALUE"""),"FLIPKART")</f>
        <v>FLIPKART</v>
      </c>
      <c r="D1989" s="115">
        <f>IFERROR(__xludf.DUMMYFUNCTION("""COMPUTED_VALUE"""),163259.0)</f>
        <v>163259</v>
      </c>
      <c r="E1989" s="115">
        <f>IFERROR(__xludf.DUMMYFUNCTION("""COMPUTED_VALUE"""),17387.0)</f>
        <v>17387</v>
      </c>
      <c r="F1989" s="115">
        <f>IFERROR(__xludf.DUMMYFUNCTION("""COMPUTED_VALUE"""),115091.0)</f>
        <v>115091</v>
      </c>
      <c r="G1989" s="115">
        <f>IFERROR(__xludf.DUMMYFUNCTION("""COMPUTED_VALUE"""),9101.0)</f>
        <v>9101</v>
      </c>
      <c r="H1989" s="116">
        <f>IFERROR(__xludf.DUMMYFUNCTION("""COMPUTED_VALUE"""),45904.0)</f>
        <v>45904</v>
      </c>
      <c r="I1989" s="115" t="str">
        <f>IFERROR(__xludf.DUMMYFUNCTION("""COMPUTED_VALUE"""),"19")</f>
        <v>19</v>
      </c>
      <c r="J1989" s="115" t="str">
        <f>IFERROR(__xludf.DUMMYFUNCTION("""COMPUTED_VALUE"""),"Loveleen Singh2025-09-0419")</f>
        <v>Loveleen Singh2025-09-0419</v>
      </c>
      <c r="K1989" s="115">
        <f>IFERROR(__xludf.DUMMYFUNCTION("""COMPUTED_VALUE"""),180646.0)</f>
        <v>180646</v>
      </c>
    </row>
    <row r="1990">
      <c r="A1990" s="115" t="str">
        <f>IFERROR(__xludf.DUMMYFUNCTION("""COMPUTED_VALUE"""),"NORTH")</f>
        <v>NORTH</v>
      </c>
      <c r="B1990" s="115" t="str">
        <f>IFERROR(__xludf.DUMMYFUNCTION("""COMPUTED_VALUE"""),"Loveleen Singh")</f>
        <v>Loveleen Singh</v>
      </c>
      <c r="C1990" s="115" t="str">
        <f>IFERROR(__xludf.DUMMYFUNCTION("""COMPUTED_VALUE"""),"MYNTRA")</f>
        <v>MYNTRA</v>
      </c>
      <c r="D1990" s="115">
        <f>IFERROR(__xludf.DUMMYFUNCTION("""COMPUTED_VALUE"""),24568.0)</f>
        <v>24568</v>
      </c>
      <c r="E1990" s="115">
        <f>IFERROR(__xludf.DUMMYFUNCTION("""COMPUTED_VALUE"""),6436.0)</f>
        <v>6436</v>
      </c>
      <c r="F1990" s="115">
        <f>IFERROR(__xludf.DUMMYFUNCTION("""COMPUTED_VALUE"""),19326.0)</f>
        <v>19326</v>
      </c>
      <c r="G1990" s="115">
        <f>IFERROR(__xludf.DUMMYFUNCTION("""COMPUTED_VALUE"""),3712.0)</f>
        <v>3712</v>
      </c>
      <c r="H1990" s="116">
        <f>IFERROR(__xludf.DUMMYFUNCTION("""COMPUTED_VALUE"""),45904.0)</f>
        <v>45904</v>
      </c>
      <c r="I1990" s="115" t="str">
        <f>IFERROR(__xludf.DUMMYFUNCTION("""COMPUTED_VALUE"""),"19")</f>
        <v>19</v>
      </c>
      <c r="J1990" s="115" t="str">
        <f>IFERROR(__xludf.DUMMYFUNCTION("""COMPUTED_VALUE"""),"Loveleen Singh2025-09-0419")</f>
        <v>Loveleen Singh2025-09-0419</v>
      </c>
      <c r="K1990" s="115">
        <f>IFERROR(__xludf.DUMMYFUNCTION("""COMPUTED_VALUE"""),31004.0)</f>
        <v>31004</v>
      </c>
    </row>
    <row r="1991">
      <c r="A1991" s="115" t="str">
        <f>IFERROR(__xludf.DUMMYFUNCTION("""COMPUTED_VALUE"""),"NORTH")</f>
        <v>NORTH</v>
      </c>
      <c r="B1991" s="115" t="str">
        <f>IFERROR(__xludf.DUMMYFUNCTION("""COMPUTED_VALUE"""),"Manoj Harsh")</f>
        <v>Manoj Harsh</v>
      </c>
      <c r="C1991" s="115" t="str">
        <f>IFERROR(__xludf.DUMMYFUNCTION("""COMPUTED_VALUE"""),"EXTERNAL")</f>
        <v>EXTERNAL</v>
      </c>
      <c r="D1991" s="115">
        <f>IFERROR(__xludf.DUMMYFUNCTION("""COMPUTED_VALUE"""),32176.0)</f>
        <v>32176</v>
      </c>
      <c r="E1991" s="115">
        <f>IFERROR(__xludf.DUMMYFUNCTION("""COMPUTED_VALUE"""),3103.0)</f>
        <v>3103</v>
      </c>
      <c r="F1991" s="115">
        <f>IFERROR(__xludf.DUMMYFUNCTION("""COMPUTED_VALUE"""),13652.0)</f>
        <v>13652</v>
      </c>
      <c r="G1991" s="115">
        <f>IFERROR(__xludf.DUMMYFUNCTION("""COMPUTED_VALUE"""),1089.0)</f>
        <v>1089</v>
      </c>
      <c r="H1991" s="116">
        <f>IFERROR(__xludf.DUMMYFUNCTION("""COMPUTED_VALUE"""),45904.0)</f>
        <v>45904</v>
      </c>
      <c r="I1991" s="115" t="str">
        <f>IFERROR(__xludf.DUMMYFUNCTION("""COMPUTED_VALUE"""),"19")</f>
        <v>19</v>
      </c>
      <c r="J1991" s="115" t="str">
        <f>IFERROR(__xludf.DUMMYFUNCTION("""COMPUTED_VALUE"""),"Manoj Harsh2025-09-0419")</f>
        <v>Manoj Harsh2025-09-0419</v>
      </c>
      <c r="K1991" s="115">
        <f>IFERROR(__xludf.DUMMYFUNCTION("""COMPUTED_VALUE"""),35279.0)</f>
        <v>35279</v>
      </c>
    </row>
    <row r="1992">
      <c r="A1992" s="115" t="str">
        <f>IFERROR(__xludf.DUMMYFUNCTION("""COMPUTED_VALUE"""),"NORTH")</f>
        <v>NORTH</v>
      </c>
      <c r="B1992" s="115" t="str">
        <f>IFERROR(__xludf.DUMMYFUNCTION("""COMPUTED_VALUE"""),"Manoj Harsh")</f>
        <v>Manoj Harsh</v>
      </c>
      <c r="C1992" s="115" t="str">
        <f>IFERROR(__xludf.DUMMYFUNCTION("""COMPUTED_VALUE"""),"FLIPKART")</f>
        <v>FLIPKART</v>
      </c>
      <c r="D1992" s="115">
        <f>IFERROR(__xludf.DUMMYFUNCTION("""COMPUTED_VALUE"""),405528.0)</f>
        <v>405528</v>
      </c>
      <c r="E1992" s="115">
        <f>IFERROR(__xludf.DUMMYFUNCTION("""COMPUTED_VALUE"""),41220.0)</f>
        <v>41220</v>
      </c>
      <c r="F1992" s="115">
        <f>IFERROR(__xludf.DUMMYFUNCTION("""COMPUTED_VALUE"""),295637.0)</f>
        <v>295637</v>
      </c>
      <c r="G1992" s="115">
        <f>IFERROR(__xludf.DUMMYFUNCTION("""COMPUTED_VALUE"""),23909.0)</f>
        <v>23909</v>
      </c>
      <c r="H1992" s="116">
        <f>IFERROR(__xludf.DUMMYFUNCTION("""COMPUTED_VALUE"""),45904.0)</f>
        <v>45904</v>
      </c>
      <c r="I1992" s="115" t="str">
        <f>IFERROR(__xludf.DUMMYFUNCTION("""COMPUTED_VALUE"""),"19")</f>
        <v>19</v>
      </c>
      <c r="J1992" s="115" t="str">
        <f>IFERROR(__xludf.DUMMYFUNCTION("""COMPUTED_VALUE"""),"Manoj Harsh2025-09-0419")</f>
        <v>Manoj Harsh2025-09-0419</v>
      </c>
      <c r="K1992" s="115">
        <f>IFERROR(__xludf.DUMMYFUNCTION("""COMPUTED_VALUE"""),446748.0)</f>
        <v>446748</v>
      </c>
    </row>
    <row r="1993">
      <c r="A1993" s="115" t="str">
        <f>IFERROR(__xludf.DUMMYFUNCTION("""COMPUTED_VALUE"""),"NORTH")</f>
        <v>NORTH</v>
      </c>
      <c r="B1993" s="115" t="str">
        <f>IFERROR(__xludf.DUMMYFUNCTION("""COMPUTED_VALUE"""),"Manoj Harsh")</f>
        <v>Manoj Harsh</v>
      </c>
      <c r="C1993" s="115" t="str">
        <f>IFERROR(__xludf.DUMMYFUNCTION("""COMPUTED_VALUE"""),"MYNTRA")</f>
        <v>MYNTRA</v>
      </c>
      <c r="D1993" s="115">
        <f>IFERROR(__xludf.DUMMYFUNCTION("""COMPUTED_VALUE"""),36556.0)</f>
        <v>36556</v>
      </c>
      <c r="E1993" s="115">
        <f>IFERROR(__xludf.DUMMYFUNCTION("""COMPUTED_VALUE"""),8236.0)</f>
        <v>8236</v>
      </c>
      <c r="F1993" s="115">
        <f>IFERROR(__xludf.DUMMYFUNCTION("""COMPUTED_VALUE"""),28926.0)</f>
        <v>28926</v>
      </c>
      <c r="G1993" s="115">
        <f>IFERROR(__xludf.DUMMYFUNCTION("""COMPUTED_VALUE"""),5313.0)</f>
        <v>5313</v>
      </c>
      <c r="H1993" s="116">
        <f>IFERROR(__xludf.DUMMYFUNCTION("""COMPUTED_VALUE"""),45904.0)</f>
        <v>45904</v>
      </c>
      <c r="I1993" s="115" t="str">
        <f>IFERROR(__xludf.DUMMYFUNCTION("""COMPUTED_VALUE"""),"19")</f>
        <v>19</v>
      </c>
      <c r="J1993" s="115" t="str">
        <f>IFERROR(__xludf.DUMMYFUNCTION("""COMPUTED_VALUE"""),"Manoj Harsh2025-09-0419")</f>
        <v>Manoj Harsh2025-09-0419</v>
      </c>
      <c r="K1993" s="115">
        <f>IFERROR(__xludf.DUMMYFUNCTION("""COMPUTED_VALUE"""),44792.0)</f>
        <v>44792</v>
      </c>
    </row>
    <row r="1994">
      <c r="A1994" s="115" t="str">
        <f>IFERROR(__xludf.DUMMYFUNCTION("""COMPUTED_VALUE"""),"NORTH")</f>
        <v>NORTH</v>
      </c>
      <c r="B1994" s="115" t="str">
        <f>IFERROR(__xludf.DUMMYFUNCTION("""COMPUTED_VALUE"""),"Pradeep Kothari")</f>
        <v>Pradeep Kothari</v>
      </c>
      <c r="C1994" s="115" t="str">
        <f>IFERROR(__xludf.DUMMYFUNCTION("""COMPUTED_VALUE"""),"EXTERNAL")</f>
        <v>EXTERNAL</v>
      </c>
      <c r="D1994" s="115">
        <f>IFERROR(__xludf.DUMMYFUNCTION("""COMPUTED_VALUE"""),18321.0)</f>
        <v>18321</v>
      </c>
      <c r="E1994" s="115">
        <f>IFERROR(__xludf.DUMMYFUNCTION("""COMPUTED_VALUE"""),1990.0)</f>
        <v>1990</v>
      </c>
      <c r="F1994" s="115">
        <f>IFERROR(__xludf.DUMMYFUNCTION("""COMPUTED_VALUE"""),7565.0)</f>
        <v>7565</v>
      </c>
      <c r="G1994" s="115">
        <f>IFERROR(__xludf.DUMMYFUNCTION("""COMPUTED_VALUE"""),780.0)</f>
        <v>780</v>
      </c>
      <c r="H1994" s="116">
        <f>IFERROR(__xludf.DUMMYFUNCTION("""COMPUTED_VALUE"""),45904.0)</f>
        <v>45904</v>
      </c>
      <c r="I1994" s="115" t="str">
        <f>IFERROR(__xludf.DUMMYFUNCTION("""COMPUTED_VALUE"""),"19")</f>
        <v>19</v>
      </c>
      <c r="J1994" s="115" t="str">
        <f>IFERROR(__xludf.DUMMYFUNCTION("""COMPUTED_VALUE"""),"Pradeep Kothari2025-09-0419")</f>
        <v>Pradeep Kothari2025-09-0419</v>
      </c>
      <c r="K1994" s="115">
        <f>IFERROR(__xludf.DUMMYFUNCTION("""COMPUTED_VALUE"""),20311.0)</f>
        <v>20311</v>
      </c>
    </row>
    <row r="1995">
      <c r="A1995" s="115" t="str">
        <f>IFERROR(__xludf.DUMMYFUNCTION("""COMPUTED_VALUE"""),"NORTH")</f>
        <v>NORTH</v>
      </c>
      <c r="B1995" s="115" t="str">
        <f>IFERROR(__xludf.DUMMYFUNCTION("""COMPUTED_VALUE"""),"Pradeep Kothari")</f>
        <v>Pradeep Kothari</v>
      </c>
      <c r="C1995" s="115" t="str">
        <f>IFERROR(__xludf.DUMMYFUNCTION("""COMPUTED_VALUE"""),"FLIPKART")</f>
        <v>FLIPKART</v>
      </c>
      <c r="D1995" s="115">
        <f>IFERROR(__xludf.DUMMYFUNCTION("""COMPUTED_VALUE"""),145787.0)</f>
        <v>145787</v>
      </c>
      <c r="E1995" s="115">
        <f>IFERROR(__xludf.DUMMYFUNCTION("""COMPUTED_VALUE"""),17852.0)</f>
        <v>17852</v>
      </c>
      <c r="F1995" s="115">
        <f>IFERROR(__xludf.DUMMYFUNCTION("""COMPUTED_VALUE"""),107554.0)</f>
        <v>107554</v>
      </c>
      <c r="G1995" s="115">
        <f>IFERROR(__xludf.DUMMYFUNCTION("""COMPUTED_VALUE"""),10606.0)</f>
        <v>10606</v>
      </c>
      <c r="H1995" s="116">
        <f>IFERROR(__xludf.DUMMYFUNCTION("""COMPUTED_VALUE"""),45904.0)</f>
        <v>45904</v>
      </c>
      <c r="I1995" s="115" t="str">
        <f>IFERROR(__xludf.DUMMYFUNCTION("""COMPUTED_VALUE"""),"19")</f>
        <v>19</v>
      </c>
      <c r="J1995" s="115" t="str">
        <f>IFERROR(__xludf.DUMMYFUNCTION("""COMPUTED_VALUE"""),"Pradeep Kothari2025-09-0419")</f>
        <v>Pradeep Kothari2025-09-0419</v>
      </c>
      <c r="K1995" s="115">
        <f>IFERROR(__xludf.DUMMYFUNCTION("""COMPUTED_VALUE"""),163639.0)</f>
        <v>163639</v>
      </c>
    </row>
    <row r="1996">
      <c r="A1996" s="115" t="str">
        <f>IFERROR(__xludf.DUMMYFUNCTION("""COMPUTED_VALUE"""),"NORTH")</f>
        <v>NORTH</v>
      </c>
      <c r="B1996" s="115" t="str">
        <f>IFERROR(__xludf.DUMMYFUNCTION("""COMPUTED_VALUE"""),"Pradeep Kothari")</f>
        <v>Pradeep Kothari</v>
      </c>
      <c r="C1996" s="115" t="str">
        <f>IFERROR(__xludf.DUMMYFUNCTION("""COMPUTED_VALUE"""),"MYNTRA")</f>
        <v>MYNTRA</v>
      </c>
      <c r="D1996" s="115">
        <f>IFERROR(__xludf.DUMMYFUNCTION("""COMPUTED_VALUE"""),23398.0)</f>
        <v>23398</v>
      </c>
      <c r="E1996" s="115">
        <f>IFERROR(__xludf.DUMMYFUNCTION("""COMPUTED_VALUE"""),6887.0)</f>
        <v>6887</v>
      </c>
      <c r="F1996" s="115">
        <f>IFERROR(__xludf.DUMMYFUNCTION("""COMPUTED_VALUE"""),19082.0)</f>
        <v>19082</v>
      </c>
      <c r="G1996" s="115">
        <f>IFERROR(__xludf.DUMMYFUNCTION("""COMPUTED_VALUE"""),4548.0)</f>
        <v>4548</v>
      </c>
      <c r="H1996" s="116">
        <f>IFERROR(__xludf.DUMMYFUNCTION("""COMPUTED_VALUE"""),45904.0)</f>
        <v>45904</v>
      </c>
      <c r="I1996" s="115" t="str">
        <f>IFERROR(__xludf.DUMMYFUNCTION("""COMPUTED_VALUE"""),"19")</f>
        <v>19</v>
      </c>
      <c r="J1996" s="115" t="str">
        <f>IFERROR(__xludf.DUMMYFUNCTION("""COMPUTED_VALUE"""),"Pradeep Kothari2025-09-0419")</f>
        <v>Pradeep Kothari2025-09-0419</v>
      </c>
      <c r="K1996" s="115">
        <f>IFERROR(__xludf.DUMMYFUNCTION("""COMPUTED_VALUE"""),30285.0)</f>
        <v>30285</v>
      </c>
    </row>
    <row r="1997">
      <c r="A1997" s="115" t="str">
        <f>IFERROR(__xludf.DUMMYFUNCTION("""COMPUTED_VALUE"""),"SOUTH")</f>
        <v>SOUTH</v>
      </c>
      <c r="B1997" s="115" t="str">
        <f>IFERROR(__xludf.DUMMYFUNCTION("""COMPUTED_VALUE"""),"Kandula Sampath")</f>
        <v>Kandula Sampath</v>
      </c>
      <c r="C1997" s="115" t="str">
        <f>IFERROR(__xludf.DUMMYFUNCTION("""COMPUTED_VALUE"""),"EXTERNAL")</f>
        <v>EXTERNAL</v>
      </c>
      <c r="D1997" s="115">
        <f>IFERROR(__xludf.DUMMYFUNCTION("""COMPUTED_VALUE"""),33155.0)</f>
        <v>33155</v>
      </c>
      <c r="E1997" s="115">
        <f>IFERROR(__xludf.DUMMYFUNCTION("""COMPUTED_VALUE"""),3969.0)</f>
        <v>3969</v>
      </c>
      <c r="F1997" s="115">
        <f>IFERROR(__xludf.DUMMYFUNCTION("""COMPUTED_VALUE"""),13574.0)</f>
        <v>13574</v>
      </c>
      <c r="G1997" s="115">
        <f>IFERROR(__xludf.DUMMYFUNCTION("""COMPUTED_VALUE"""),1372.0)</f>
        <v>1372</v>
      </c>
      <c r="H1997" s="116">
        <f>IFERROR(__xludf.DUMMYFUNCTION("""COMPUTED_VALUE"""),45904.0)</f>
        <v>45904</v>
      </c>
      <c r="I1997" s="115" t="str">
        <f>IFERROR(__xludf.DUMMYFUNCTION("""COMPUTED_VALUE"""),"19")</f>
        <v>19</v>
      </c>
      <c r="J1997" s="115" t="str">
        <f>IFERROR(__xludf.DUMMYFUNCTION("""COMPUTED_VALUE"""),"Kandula Sampath2025-09-0419")</f>
        <v>Kandula Sampath2025-09-0419</v>
      </c>
      <c r="K1997" s="115">
        <f>IFERROR(__xludf.DUMMYFUNCTION("""COMPUTED_VALUE"""),37124.0)</f>
        <v>37124</v>
      </c>
    </row>
    <row r="1998">
      <c r="A1998" s="115" t="str">
        <f>IFERROR(__xludf.DUMMYFUNCTION("""COMPUTED_VALUE"""),"SOUTH")</f>
        <v>SOUTH</v>
      </c>
      <c r="B1998" s="115" t="str">
        <f>IFERROR(__xludf.DUMMYFUNCTION("""COMPUTED_VALUE"""),"Kandula Sampath")</f>
        <v>Kandula Sampath</v>
      </c>
      <c r="C1998" s="115" t="str">
        <f>IFERROR(__xludf.DUMMYFUNCTION("""COMPUTED_VALUE"""),"FLIPKART")</f>
        <v>FLIPKART</v>
      </c>
      <c r="D1998" s="115">
        <f>IFERROR(__xludf.DUMMYFUNCTION("""COMPUTED_VALUE"""),288110.0)</f>
        <v>288110</v>
      </c>
      <c r="E1998" s="115">
        <f>IFERROR(__xludf.DUMMYFUNCTION("""COMPUTED_VALUE"""),32789.0)</f>
        <v>32789</v>
      </c>
      <c r="F1998" s="115">
        <f>IFERROR(__xludf.DUMMYFUNCTION("""COMPUTED_VALUE"""),207644.0)</f>
        <v>207644</v>
      </c>
      <c r="G1998" s="115">
        <f>IFERROR(__xludf.DUMMYFUNCTION("""COMPUTED_VALUE"""),17129.0)</f>
        <v>17129</v>
      </c>
      <c r="H1998" s="116">
        <f>IFERROR(__xludf.DUMMYFUNCTION("""COMPUTED_VALUE"""),45904.0)</f>
        <v>45904</v>
      </c>
      <c r="I1998" s="115" t="str">
        <f>IFERROR(__xludf.DUMMYFUNCTION("""COMPUTED_VALUE"""),"19")</f>
        <v>19</v>
      </c>
      <c r="J1998" s="115" t="str">
        <f>IFERROR(__xludf.DUMMYFUNCTION("""COMPUTED_VALUE"""),"Kandula Sampath2025-09-0419")</f>
        <v>Kandula Sampath2025-09-0419</v>
      </c>
      <c r="K1998" s="115">
        <f>IFERROR(__xludf.DUMMYFUNCTION("""COMPUTED_VALUE"""),320899.0)</f>
        <v>320899</v>
      </c>
    </row>
    <row r="1999">
      <c r="A1999" s="115" t="str">
        <f>IFERROR(__xludf.DUMMYFUNCTION("""COMPUTED_VALUE"""),"SOUTH")</f>
        <v>SOUTH</v>
      </c>
      <c r="B1999" s="115" t="str">
        <f>IFERROR(__xludf.DUMMYFUNCTION("""COMPUTED_VALUE"""),"Kandula Sampath")</f>
        <v>Kandula Sampath</v>
      </c>
      <c r="C1999" s="115" t="str">
        <f>IFERROR(__xludf.DUMMYFUNCTION("""COMPUTED_VALUE"""),"MYNTRA")</f>
        <v>MYNTRA</v>
      </c>
      <c r="D1999" s="115">
        <f>IFERROR(__xludf.DUMMYFUNCTION("""COMPUTED_VALUE"""),29416.0)</f>
        <v>29416</v>
      </c>
      <c r="E1999" s="115">
        <f>IFERROR(__xludf.DUMMYFUNCTION("""COMPUTED_VALUE"""),8282.0)</f>
        <v>8282</v>
      </c>
      <c r="F1999" s="115">
        <f>IFERROR(__xludf.DUMMYFUNCTION("""COMPUTED_VALUE"""),23378.0)</f>
        <v>23378</v>
      </c>
      <c r="G1999" s="115">
        <f>IFERROR(__xludf.DUMMYFUNCTION("""COMPUTED_VALUE"""),4443.0)</f>
        <v>4443</v>
      </c>
      <c r="H1999" s="116">
        <f>IFERROR(__xludf.DUMMYFUNCTION("""COMPUTED_VALUE"""),45904.0)</f>
        <v>45904</v>
      </c>
      <c r="I1999" s="115" t="str">
        <f>IFERROR(__xludf.DUMMYFUNCTION("""COMPUTED_VALUE"""),"19")</f>
        <v>19</v>
      </c>
      <c r="J1999" s="115" t="str">
        <f>IFERROR(__xludf.DUMMYFUNCTION("""COMPUTED_VALUE"""),"Kandula Sampath2025-09-0419")</f>
        <v>Kandula Sampath2025-09-0419</v>
      </c>
      <c r="K1999" s="115">
        <f>IFERROR(__xludf.DUMMYFUNCTION("""COMPUTED_VALUE"""),37698.0)</f>
        <v>37698</v>
      </c>
    </row>
    <row r="2000">
      <c r="A2000" s="115" t="str">
        <f>IFERROR(__xludf.DUMMYFUNCTION("""COMPUTED_VALUE"""),"SOUTH")</f>
        <v>SOUTH</v>
      </c>
      <c r="B2000" s="115" t="str">
        <f>IFERROR(__xludf.DUMMYFUNCTION("""COMPUTED_VALUE"""),"Martin A")</f>
        <v>Martin A</v>
      </c>
      <c r="C2000" s="115" t="str">
        <f>IFERROR(__xludf.DUMMYFUNCTION("""COMPUTED_VALUE"""),"EXTERNAL")</f>
        <v>EXTERNAL</v>
      </c>
      <c r="D2000" s="115">
        <f>IFERROR(__xludf.DUMMYFUNCTION("""COMPUTED_VALUE"""),33016.0)</f>
        <v>33016</v>
      </c>
      <c r="E2000" s="115">
        <f>IFERROR(__xludf.DUMMYFUNCTION("""COMPUTED_VALUE"""),3441.0)</f>
        <v>3441</v>
      </c>
      <c r="F2000" s="115">
        <f>IFERROR(__xludf.DUMMYFUNCTION("""COMPUTED_VALUE"""),13286.0)</f>
        <v>13286</v>
      </c>
      <c r="G2000" s="115">
        <f>IFERROR(__xludf.DUMMYFUNCTION("""COMPUTED_VALUE"""),1793.0)</f>
        <v>1793</v>
      </c>
      <c r="H2000" s="116">
        <f>IFERROR(__xludf.DUMMYFUNCTION("""COMPUTED_VALUE"""),45904.0)</f>
        <v>45904</v>
      </c>
      <c r="I2000" s="115" t="str">
        <f>IFERROR(__xludf.DUMMYFUNCTION("""COMPUTED_VALUE"""),"19")</f>
        <v>19</v>
      </c>
      <c r="J2000" s="115" t="str">
        <f>IFERROR(__xludf.DUMMYFUNCTION("""COMPUTED_VALUE"""),"Martin A2025-09-0419")</f>
        <v>Martin A2025-09-0419</v>
      </c>
      <c r="K2000" s="115">
        <f>IFERROR(__xludf.DUMMYFUNCTION("""COMPUTED_VALUE"""),36457.0)</f>
        <v>36457</v>
      </c>
    </row>
    <row r="2001">
      <c r="A2001" s="115" t="str">
        <f>IFERROR(__xludf.DUMMYFUNCTION("""COMPUTED_VALUE"""),"SOUTH")</f>
        <v>SOUTH</v>
      </c>
      <c r="B2001" s="115" t="str">
        <f>IFERROR(__xludf.DUMMYFUNCTION("""COMPUTED_VALUE"""),"Martin A")</f>
        <v>Martin A</v>
      </c>
      <c r="C2001" s="115" t="str">
        <f>IFERROR(__xludf.DUMMYFUNCTION("""COMPUTED_VALUE"""),"FLIPKART")</f>
        <v>FLIPKART</v>
      </c>
      <c r="D2001" s="115">
        <f>IFERROR(__xludf.DUMMYFUNCTION("""COMPUTED_VALUE"""),265072.0)</f>
        <v>265072</v>
      </c>
      <c r="E2001" s="115">
        <f>IFERROR(__xludf.DUMMYFUNCTION("""COMPUTED_VALUE"""),28698.0)</f>
        <v>28698</v>
      </c>
      <c r="F2001" s="115">
        <f>IFERROR(__xludf.DUMMYFUNCTION("""COMPUTED_VALUE"""),187575.0)</f>
        <v>187575</v>
      </c>
      <c r="G2001" s="115">
        <f>IFERROR(__xludf.DUMMYFUNCTION("""COMPUTED_VALUE"""),16631.0)</f>
        <v>16631</v>
      </c>
      <c r="H2001" s="116">
        <f>IFERROR(__xludf.DUMMYFUNCTION("""COMPUTED_VALUE"""),45904.0)</f>
        <v>45904</v>
      </c>
      <c r="I2001" s="115" t="str">
        <f>IFERROR(__xludf.DUMMYFUNCTION("""COMPUTED_VALUE"""),"19")</f>
        <v>19</v>
      </c>
      <c r="J2001" s="115" t="str">
        <f>IFERROR(__xludf.DUMMYFUNCTION("""COMPUTED_VALUE"""),"Martin A2025-09-0419")</f>
        <v>Martin A2025-09-0419</v>
      </c>
      <c r="K2001" s="115">
        <f>IFERROR(__xludf.DUMMYFUNCTION("""COMPUTED_VALUE"""),293770.0)</f>
        <v>293770</v>
      </c>
    </row>
    <row r="2002">
      <c r="A2002" s="115" t="str">
        <f>IFERROR(__xludf.DUMMYFUNCTION("""COMPUTED_VALUE"""),"SOUTH")</f>
        <v>SOUTH</v>
      </c>
      <c r="B2002" s="115" t="str">
        <f>IFERROR(__xludf.DUMMYFUNCTION("""COMPUTED_VALUE"""),"Martin A")</f>
        <v>Martin A</v>
      </c>
      <c r="C2002" s="115" t="str">
        <f>IFERROR(__xludf.DUMMYFUNCTION("""COMPUTED_VALUE"""),"MYNTRA")</f>
        <v>MYNTRA</v>
      </c>
      <c r="D2002" s="115">
        <f>IFERROR(__xludf.DUMMYFUNCTION("""COMPUTED_VALUE"""),22458.0)</f>
        <v>22458</v>
      </c>
      <c r="E2002" s="115">
        <f>IFERROR(__xludf.DUMMYFUNCTION("""COMPUTED_VALUE"""),6628.0)</f>
        <v>6628</v>
      </c>
      <c r="F2002" s="115">
        <f>IFERROR(__xludf.DUMMYFUNCTION("""COMPUTED_VALUE"""),17765.0)</f>
        <v>17765</v>
      </c>
      <c r="G2002" s="115">
        <f>IFERROR(__xludf.DUMMYFUNCTION("""COMPUTED_VALUE"""),4091.0)</f>
        <v>4091</v>
      </c>
      <c r="H2002" s="116">
        <f>IFERROR(__xludf.DUMMYFUNCTION("""COMPUTED_VALUE"""),45904.0)</f>
        <v>45904</v>
      </c>
      <c r="I2002" s="115" t="str">
        <f>IFERROR(__xludf.DUMMYFUNCTION("""COMPUTED_VALUE"""),"19")</f>
        <v>19</v>
      </c>
      <c r="J2002" s="115" t="str">
        <f>IFERROR(__xludf.DUMMYFUNCTION("""COMPUTED_VALUE"""),"Martin A2025-09-0419")</f>
        <v>Martin A2025-09-0419</v>
      </c>
      <c r="K2002" s="115">
        <f>IFERROR(__xludf.DUMMYFUNCTION("""COMPUTED_VALUE"""),29086.0)</f>
        <v>29086</v>
      </c>
    </row>
    <row r="2003">
      <c r="A2003" s="115" t="str">
        <f>IFERROR(__xludf.DUMMYFUNCTION("""COMPUTED_VALUE"""),"SOUTH")</f>
        <v>SOUTH</v>
      </c>
      <c r="B2003" s="115" t="str">
        <f>IFERROR(__xludf.DUMMYFUNCTION("""COMPUTED_VALUE"""),"Premkumar M")</f>
        <v>Premkumar M</v>
      </c>
      <c r="C2003" s="115" t="str">
        <f>IFERROR(__xludf.DUMMYFUNCTION("""COMPUTED_VALUE"""),"EXTERNAL")</f>
        <v>EXTERNAL</v>
      </c>
      <c r="D2003" s="115">
        <f>IFERROR(__xludf.DUMMYFUNCTION("""COMPUTED_VALUE"""),27112.0)</f>
        <v>27112</v>
      </c>
      <c r="E2003" s="115">
        <f>IFERROR(__xludf.DUMMYFUNCTION("""COMPUTED_VALUE"""),1868.0)</f>
        <v>1868</v>
      </c>
      <c r="F2003" s="115">
        <f>IFERROR(__xludf.DUMMYFUNCTION("""COMPUTED_VALUE"""),12473.0)</f>
        <v>12473</v>
      </c>
      <c r="G2003" s="115">
        <f>IFERROR(__xludf.DUMMYFUNCTION("""COMPUTED_VALUE"""),504.0)</f>
        <v>504</v>
      </c>
      <c r="H2003" s="116">
        <f>IFERROR(__xludf.DUMMYFUNCTION("""COMPUTED_VALUE"""),45904.0)</f>
        <v>45904</v>
      </c>
      <c r="I2003" s="115" t="str">
        <f>IFERROR(__xludf.DUMMYFUNCTION("""COMPUTED_VALUE"""),"19")</f>
        <v>19</v>
      </c>
      <c r="J2003" s="115" t="str">
        <f>IFERROR(__xludf.DUMMYFUNCTION("""COMPUTED_VALUE"""),"Premkumar M2025-09-0419")</f>
        <v>Premkumar M2025-09-0419</v>
      </c>
      <c r="K2003" s="115">
        <f>IFERROR(__xludf.DUMMYFUNCTION("""COMPUTED_VALUE"""),28980.0)</f>
        <v>28980</v>
      </c>
    </row>
    <row r="2004">
      <c r="A2004" s="115" t="str">
        <f>IFERROR(__xludf.DUMMYFUNCTION("""COMPUTED_VALUE"""),"SOUTH")</f>
        <v>SOUTH</v>
      </c>
      <c r="B2004" s="115" t="str">
        <f>IFERROR(__xludf.DUMMYFUNCTION("""COMPUTED_VALUE"""),"Premkumar M")</f>
        <v>Premkumar M</v>
      </c>
      <c r="C2004" s="115" t="str">
        <f>IFERROR(__xludf.DUMMYFUNCTION("""COMPUTED_VALUE"""),"FLIPKART")</f>
        <v>FLIPKART</v>
      </c>
      <c r="D2004" s="115">
        <f>IFERROR(__xludf.DUMMYFUNCTION("""COMPUTED_VALUE"""),258344.0)</f>
        <v>258344</v>
      </c>
      <c r="E2004" s="115">
        <f>IFERROR(__xludf.DUMMYFUNCTION("""COMPUTED_VALUE"""),18888.0)</f>
        <v>18888</v>
      </c>
      <c r="F2004" s="115">
        <f>IFERROR(__xludf.DUMMYFUNCTION("""COMPUTED_VALUE"""),181778.0)</f>
        <v>181778</v>
      </c>
      <c r="G2004" s="115">
        <f>IFERROR(__xludf.DUMMYFUNCTION("""COMPUTED_VALUE"""),6841.0)</f>
        <v>6841</v>
      </c>
      <c r="H2004" s="116">
        <f>IFERROR(__xludf.DUMMYFUNCTION("""COMPUTED_VALUE"""),45904.0)</f>
        <v>45904</v>
      </c>
      <c r="I2004" s="115" t="str">
        <f>IFERROR(__xludf.DUMMYFUNCTION("""COMPUTED_VALUE"""),"19")</f>
        <v>19</v>
      </c>
      <c r="J2004" s="115" t="str">
        <f>IFERROR(__xludf.DUMMYFUNCTION("""COMPUTED_VALUE"""),"Premkumar M2025-09-0419")</f>
        <v>Premkumar M2025-09-0419</v>
      </c>
      <c r="K2004" s="115">
        <f>IFERROR(__xludf.DUMMYFUNCTION("""COMPUTED_VALUE"""),277232.0)</f>
        <v>277232</v>
      </c>
    </row>
    <row r="2005">
      <c r="A2005" s="115" t="str">
        <f>IFERROR(__xludf.DUMMYFUNCTION("""COMPUTED_VALUE"""),"SOUTH")</f>
        <v>SOUTH</v>
      </c>
      <c r="B2005" s="115" t="str">
        <f>IFERROR(__xludf.DUMMYFUNCTION("""COMPUTED_VALUE"""),"Premkumar M")</f>
        <v>Premkumar M</v>
      </c>
      <c r="C2005" s="115" t="str">
        <f>IFERROR(__xludf.DUMMYFUNCTION("""COMPUTED_VALUE"""),"MYNTRA")</f>
        <v>MYNTRA</v>
      </c>
      <c r="D2005" s="115">
        <f>IFERROR(__xludf.DUMMYFUNCTION("""COMPUTED_VALUE"""),12559.0)</f>
        <v>12559</v>
      </c>
      <c r="E2005" s="115">
        <f>IFERROR(__xludf.DUMMYFUNCTION("""COMPUTED_VALUE"""),2808.0)</f>
        <v>2808</v>
      </c>
      <c r="F2005" s="115">
        <f>IFERROR(__xludf.DUMMYFUNCTION("""COMPUTED_VALUE"""),9880.0)</f>
        <v>9880</v>
      </c>
      <c r="G2005" s="115">
        <f>IFERROR(__xludf.DUMMYFUNCTION("""COMPUTED_VALUE"""),1036.0)</f>
        <v>1036</v>
      </c>
      <c r="H2005" s="116">
        <f>IFERROR(__xludf.DUMMYFUNCTION("""COMPUTED_VALUE"""),45904.0)</f>
        <v>45904</v>
      </c>
      <c r="I2005" s="115" t="str">
        <f>IFERROR(__xludf.DUMMYFUNCTION("""COMPUTED_VALUE"""),"19")</f>
        <v>19</v>
      </c>
      <c r="J2005" s="115" t="str">
        <f>IFERROR(__xludf.DUMMYFUNCTION("""COMPUTED_VALUE"""),"Premkumar M2025-09-0419")</f>
        <v>Premkumar M2025-09-0419</v>
      </c>
      <c r="K2005" s="115">
        <f>IFERROR(__xludf.DUMMYFUNCTION("""COMPUTED_VALUE"""),15367.0)</f>
        <v>15367</v>
      </c>
    </row>
    <row r="2006">
      <c r="A2006" s="115" t="str">
        <f>IFERROR(__xludf.DUMMYFUNCTION("""COMPUTED_VALUE"""),"SOUTH")</f>
        <v>SOUTH</v>
      </c>
      <c r="B2006" s="115" t="str">
        <f>IFERROR(__xludf.DUMMYFUNCTION("""COMPUTED_VALUE"""),"Vineeth V")</f>
        <v>Vineeth V</v>
      </c>
      <c r="C2006" s="115" t="str">
        <f>IFERROR(__xludf.DUMMYFUNCTION("""COMPUTED_VALUE"""),"EXTERNAL")</f>
        <v>EXTERNAL</v>
      </c>
      <c r="D2006" s="115">
        <f>IFERROR(__xludf.DUMMYFUNCTION("""COMPUTED_VALUE"""),19044.0)</f>
        <v>19044</v>
      </c>
      <c r="E2006" s="115">
        <f>IFERROR(__xludf.DUMMYFUNCTION("""COMPUTED_VALUE"""),721.0)</f>
        <v>721</v>
      </c>
      <c r="F2006" s="115">
        <f>IFERROR(__xludf.DUMMYFUNCTION("""COMPUTED_VALUE"""),9695.0)</f>
        <v>9695</v>
      </c>
      <c r="G2006" s="115">
        <f>IFERROR(__xludf.DUMMYFUNCTION("""COMPUTED_VALUE"""),316.0)</f>
        <v>316</v>
      </c>
      <c r="H2006" s="116">
        <f>IFERROR(__xludf.DUMMYFUNCTION("""COMPUTED_VALUE"""),45904.0)</f>
        <v>45904</v>
      </c>
      <c r="I2006" s="115" t="str">
        <f>IFERROR(__xludf.DUMMYFUNCTION("""COMPUTED_VALUE"""),"19")</f>
        <v>19</v>
      </c>
      <c r="J2006" s="115" t="str">
        <f>IFERROR(__xludf.DUMMYFUNCTION("""COMPUTED_VALUE"""),"Vineeth V2025-09-0419")</f>
        <v>Vineeth V2025-09-0419</v>
      </c>
      <c r="K2006" s="115">
        <f>IFERROR(__xludf.DUMMYFUNCTION("""COMPUTED_VALUE"""),19765.0)</f>
        <v>19765</v>
      </c>
    </row>
    <row r="2007">
      <c r="A2007" s="115" t="str">
        <f>IFERROR(__xludf.DUMMYFUNCTION("""COMPUTED_VALUE"""),"SOUTH")</f>
        <v>SOUTH</v>
      </c>
      <c r="B2007" s="115" t="str">
        <f>IFERROR(__xludf.DUMMYFUNCTION("""COMPUTED_VALUE"""),"Vineeth V")</f>
        <v>Vineeth V</v>
      </c>
      <c r="C2007" s="115" t="str">
        <f>IFERROR(__xludf.DUMMYFUNCTION("""COMPUTED_VALUE"""),"FLIPKART")</f>
        <v>FLIPKART</v>
      </c>
      <c r="D2007" s="115">
        <f>IFERROR(__xludf.DUMMYFUNCTION("""COMPUTED_VALUE"""),203589.0)</f>
        <v>203589</v>
      </c>
      <c r="E2007" s="115">
        <f>IFERROR(__xludf.DUMMYFUNCTION("""COMPUTED_VALUE"""),16527.0)</f>
        <v>16527</v>
      </c>
      <c r="F2007" s="115">
        <f>IFERROR(__xludf.DUMMYFUNCTION("""COMPUTED_VALUE"""),161554.0)</f>
        <v>161554</v>
      </c>
      <c r="G2007" s="115">
        <f>IFERROR(__xludf.DUMMYFUNCTION("""COMPUTED_VALUE"""),8082.0)</f>
        <v>8082</v>
      </c>
      <c r="H2007" s="116">
        <f>IFERROR(__xludf.DUMMYFUNCTION("""COMPUTED_VALUE"""),45904.0)</f>
        <v>45904</v>
      </c>
      <c r="I2007" s="115" t="str">
        <f>IFERROR(__xludf.DUMMYFUNCTION("""COMPUTED_VALUE"""),"19")</f>
        <v>19</v>
      </c>
      <c r="J2007" s="115" t="str">
        <f>IFERROR(__xludf.DUMMYFUNCTION("""COMPUTED_VALUE"""),"Vineeth V2025-09-0419")</f>
        <v>Vineeth V2025-09-0419</v>
      </c>
      <c r="K2007" s="115">
        <f>IFERROR(__xludf.DUMMYFUNCTION("""COMPUTED_VALUE"""),220116.0)</f>
        <v>220116</v>
      </c>
    </row>
    <row r="2008">
      <c r="A2008" s="115" t="str">
        <f>IFERROR(__xludf.DUMMYFUNCTION("""COMPUTED_VALUE"""),"SOUTH")</f>
        <v>SOUTH</v>
      </c>
      <c r="B2008" s="115" t="str">
        <f>IFERROR(__xludf.DUMMYFUNCTION("""COMPUTED_VALUE"""),"Vineeth V")</f>
        <v>Vineeth V</v>
      </c>
      <c r="C2008" s="115" t="str">
        <f>IFERROR(__xludf.DUMMYFUNCTION("""COMPUTED_VALUE"""),"MYNTRA")</f>
        <v>MYNTRA</v>
      </c>
      <c r="D2008" s="115">
        <f>IFERROR(__xludf.DUMMYFUNCTION("""COMPUTED_VALUE"""),17473.0)</f>
        <v>17473</v>
      </c>
      <c r="E2008" s="115">
        <f>IFERROR(__xludf.DUMMYFUNCTION("""COMPUTED_VALUE"""),4091.0)</f>
        <v>4091</v>
      </c>
      <c r="F2008" s="115">
        <f>IFERROR(__xludf.DUMMYFUNCTION("""COMPUTED_VALUE"""),14733.0)</f>
        <v>14733</v>
      </c>
      <c r="G2008" s="115">
        <f>IFERROR(__xludf.DUMMYFUNCTION("""COMPUTED_VALUE"""),2058.0)</f>
        <v>2058</v>
      </c>
      <c r="H2008" s="116">
        <f>IFERROR(__xludf.DUMMYFUNCTION("""COMPUTED_VALUE"""),45904.0)</f>
        <v>45904</v>
      </c>
      <c r="I2008" s="115" t="str">
        <f>IFERROR(__xludf.DUMMYFUNCTION("""COMPUTED_VALUE"""),"19")</f>
        <v>19</v>
      </c>
      <c r="J2008" s="115" t="str">
        <f>IFERROR(__xludf.DUMMYFUNCTION("""COMPUTED_VALUE"""),"Vineeth V2025-09-0419")</f>
        <v>Vineeth V2025-09-0419</v>
      </c>
      <c r="K2008" s="115">
        <f>IFERROR(__xludf.DUMMYFUNCTION("""COMPUTED_VALUE"""),21564.0)</f>
        <v>21564</v>
      </c>
    </row>
    <row r="2009">
      <c r="A2009" s="115" t="str">
        <f>IFERROR(__xludf.DUMMYFUNCTION("""COMPUTED_VALUE"""),"WEST")</f>
        <v>WEST</v>
      </c>
      <c r="B2009" s="115" t="str">
        <f>IFERROR(__xludf.DUMMYFUNCTION("""COMPUTED_VALUE"""),"Ashish Jakar")</f>
        <v>Ashish Jakar</v>
      </c>
      <c r="C2009" s="115" t="str">
        <f>IFERROR(__xludf.DUMMYFUNCTION("""COMPUTED_VALUE"""),"EXTERNAL")</f>
        <v>EXTERNAL</v>
      </c>
      <c r="D2009" s="115">
        <f>IFERROR(__xludf.DUMMYFUNCTION("""COMPUTED_VALUE"""),58028.0)</f>
        <v>58028</v>
      </c>
      <c r="E2009" s="115">
        <f>IFERROR(__xludf.DUMMYFUNCTION("""COMPUTED_VALUE"""),6498.0)</f>
        <v>6498</v>
      </c>
      <c r="F2009" s="115">
        <f>IFERROR(__xludf.DUMMYFUNCTION("""COMPUTED_VALUE"""),22602.0)</f>
        <v>22602</v>
      </c>
      <c r="G2009" s="115">
        <f>IFERROR(__xludf.DUMMYFUNCTION("""COMPUTED_VALUE"""),2801.0)</f>
        <v>2801</v>
      </c>
      <c r="H2009" s="116">
        <f>IFERROR(__xludf.DUMMYFUNCTION("""COMPUTED_VALUE"""),45904.0)</f>
        <v>45904</v>
      </c>
      <c r="I2009" s="115" t="str">
        <f>IFERROR(__xludf.DUMMYFUNCTION("""COMPUTED_VALUE"""),"19")</f>
        <v>19</v>
      </c>
      <c r="J2009" s="115" t="str">
        <f>IFERROR(__xludf.DUMMYFUNCTION("""COMPUTED_VALUE"""),"Ashish Jakar2025-09-0419")</f>
        <v>Ashish Jakar2025-09-0419</v>
      </c>
      <c r="K2009" s="115">
        <f>IFERROR(__xludf.DUMMYFUNCTION("""COMPUTED_VALUE"""),64526.0)</f>
        <v>64526</v>
      </c>
    </row>
    <row r="2010">
      <c r="A2010" s="115" t="str">
        <f>IFERROR(__xludf.DUMMYFUNCTION("""COMPUTED_VALUE"""),"WEST")</f>
        <v>WEST</v>
      </c>
      <c r="B2010" s="115" t="str">
        <f>IFERROR(__xludf.DUMMYFUNCTION("""COMPUTED_VALUE"""),"Ashish Jakar")</f>
        <v>Ashish Jakar</v>
      </c>
      <c r="C2010" s="115" t="str">
        <f>IFERROR(__xludf.DUMMYFUNCTION("""COMPUTED_VALUE"""),"FLIPKART")</f>
        <v>FLIPKART</v>
      </c>
      <c r="D2010" s="115">
        <f>IFERROR(__xludf.DUMMYFUNCTION("""COMPUTED_VALUE"""),326025.0)</f>
        <v>326025</v>
      </c>
      <c r="E2010" s="115">
        <f>IFERROR(__xludf.DUMMYFUNCTION("""COMPUTED_VALUE"""),35236.0)</f>
        <v>35236</v>
      </c>
      <c r="F2010" s="115">
        <f>IFERROR(__xludf.DUMMYFUNCTION("""COMPUTED_VALUE"""),224324.0)</f>
        <v>224324</v>
      </c>
      <c r="G2010" s="115">
        <f>IFERROR(__xludf.DUMMYFUNCTION("""COMPUTED_VALUE"""),19536.0)</f>
        <v>19536</v>
      </c>
      <c r="H2010" s="116">
        <f>IFERROR(__xludf.DUMMYFUNCTION("""COMPUTED_VALUE"""),45904.0)</f>
        <v>45904</v>
      </c>
      <c r="I2010" s="115" t="str">
        <f>IFERROR(__xludf.DUMMYFUNCTION("""COMPUTED_VALUE"""),"19")</f>
        <v>19</v>
      </c>
      <c r="J2010" s="115" t="str">
        <f>IFERROR(__xludf.DUMMYFUNCTION("""COMPUTED_VALUE"""),"Ashish Jakar2025-09-0419")</f>
        <v>Ashish Jakar2025-09-0419</v>
      </c>
      <c r="K2010" s="115">
        <f>IFERROR(__xludf.DUMMYFUNCTION("""COMPUTED_VALUE"""),361261.0)</f>
        <v>361261</v>
      </c>
    </row>
    <row r="2011">
      <c r="A2011" s="115" t="str">
        <f>IFERROR(__xludf.DUMMYFUNCTION("""COMPUTED_VALUE"""),"WEST")</f>
        <v>WEST</v>
      </c>
      <c r="B2011" s="115" t="str">
        <f>IFERROR(__xludf.DUMMYFUNCTION("""COMPUTED_VALUE"""),"Ashish Jakar")</f>
        <v>Ashish Jakar</v>
      </c>
      <c r="C2011" s="115" t="str">
        <f>IFERROR(__xludf.DUMMYFUNCTION("""COMPUTED_VALUE"""),"MYNTRA")</f>
        <v>MYNTRA</v>
      </c>
      <c r="D2011" s="115">
        <f>IFERROR(__xludf.DUMMYFUNCTION("""COMPUTED_VALUE"""),38913.0)</f>
        <v>38913</v>
      </c>
      <c r="E2011" s="115">
        <f>IFERROR(__xludf.DUMMYFUNCTION("""COMPUTED_VALUE"""),10993.0)</f>
        <v>10993</v>
      </c>
      <c r="F2011" s="115">
        <f>IFERROR(__xludf.DUMMYFUNCTION("""COMPUTED_VALUE"""),30781.0)</f>
        <v>30781</v>
      </c>
      <c r="G2011" s="115">
        <f>IFERROR(__xludf.DUMMYFUNCTION("""COMPUTED_VALUE"""),6252.0)</f>
        <v>6252</v>
      </c>
      <c r="H2011" s="116">
        <f>IFERROR(__xludf.DUMMYFUNCTION("""COMPUTED_VALUE"""),45904.0)</f>
        <v>45904</v>
      </c>
      <c r="I2011" s="115" t="str">
        <f>IFERROR(__xludf.DUMMYFUNCTION("""COMPUTED_VALUE"""),"19")</f>
        <v>19</v>
      </c>
      <c r="J2011" s="115" t="str">
        <f>IFERROR(__xludf.DUMMYFUNCTION("""COMPUTED_VALUE"""),"Ashish Jakar2025-09-0419")</f>
        <v>Ashish Jakar2025-09-0419</v>
      </c>
      <c r="K2011" s="115">
        <f>IFERROR(__xludf.DUMMYFUNCTION("""COMPUTED_VALUE"""),49906.0)</f>
        <v>49906</v>
      </c>
    </row>
    <row r="2012">
      <c r="A2012" s="115" t="str">
        <f>IFERROR(__xludf.DUMMYFUNCTION("""COMPUTED_VALUE"""),"WEST")</f>
        <v>WEST</v>
      </c>
      <c r="B2012" s="115" t="str">
        <f>IFERROR(__xludf.DUMMYFUNCTION("""COMPUTED_VALUE"""),"Ashvani Bhatt")</f>
        <v>Ashvani Bhatt</v>
      </c>
      <c r="C2012" s="115" t="str">
        <f>IFERROR(__xludf.DUMMYFUNCTION("""COMPUTED_VALUE"""),"EXTERNAL")</f>
        <v>EXTERNAL</v>
      </c>
      <c r="D2012" s="115">
        <f>IFERROR(__xludf.DUMMYFUNCTION("""COMPUTED_VALUE"""),37652.0)</f>
        <v>37652</v>
      </c>
      <c r="E2012" s="115">
        <f>IFERROR(__xludf.DUMMYFUNCTION("""COMPUTED_VALUE"""),3430.0)</f>
        <v>3430</v>
      </c>
      <c r="F2012" s="115">
        <f>IFERROR(__xludf.DUMMYFUNCTION("""COMPUTED_VALUE"""),15644.0)</f>
        <v>15644</v>
      </c>
      <c r="G2012" s="115">
        <f>IFERROR(__xludf.DUMMYFUNCTION("""COMPUTED_VALUE"""),1226.0)</f>
        <v>1226</v>
      </c>
      <c r="H2012" s="116">
        <f>IFERROR(__xludf.DUMMYFUNCTION("""COMPUTED_VALUE"""),45904.0)</f>
        <v>45904</v>
      </c>
      <c r="I2012" s="115" t="str">
        <f>IFERROR(__xludf.DUMMYFUNCTION("""COMPUTED_VALUE"""),"19")</f>
        <v>19</v>
      </c>
      <c r="J2012" s="115" t="str">
        <f>IFERROR(__xludf.DUMMYFUNCTION("""COMPUTED_VALUE"""),"Ashvani Bhatt2025-09-0419")</f>
        <v>Ashvani Bhatt2025-09-0419</v>
      </c>
      <c r="K2012" s="115">
        <f>IFERROR(__xludf.DUMMYFUNCTION("""COMPUTED_VALUE"""),41082.0)</f>
        <v>41082</v>
      </c>
    </row>
    <row r="2013">
      <c r="A2013" s="115" t="str">
        <f>IFERROR(__xludf.DUMMYFUNCTION("""COMPUTED_VALUE"""),"WEST")</f>
        <v>WEST</v>
      </c>
      <c r="B2013" s="115" t="str">
        <f>IFERROR(__xludf.DUMMYFUNCTION("""COMPUTED_VALUE"""),"Ashvani Bhatt")</f>
        <v>Ashvani Bhatt</v>
      </c>
      <c r="C2013" s="115" t="str">
        <f>IFERROR(__xludf.DUMMYFUNCTION("""COMPUTED_VALUE"""),"FLIPKART")</f>
        <v>FLIPKART</v>
      </c>
      <c r="D2013" s="115">
        <f>IFERROR(__xludf.DUMMYFUNCTION("""COMPUTED_VALUE"""),263592.0)</f>
        <v>263592</v>
      </c>
      <c r="E2013" s="115">
        <f>IFERROR(__xludf.DUMMYFUNCTION("""COMPUTED_VALUE"""),28664.0)</f>
        <v>28664</v>
      </c>
      <c r="F2013" s="115">
        <f>IFERROR(__xludf.DUMMYFUNCTION("""COMPUTED_VALUE"""),193653.0)</f>
        <v>193653</v>
      </c>
      <c r="G2013" s="115">
        <f>IFERROR(__xludf.DUMMYFUNCTION("""COMPUTED_VALUE"""),16372.0)</f>
        <v>16372</v>
      </c>
      <c r="H2013" s="116">
        <f>IFERROR(__xludf.DUMMYFUNCTION("""COMPUTED_VALUE"""),45904.0)</f>
        <v>45904</v>
      </c>
      <c r="I2013" s="115" t="str">
        <f>IFERROR(__xludf.DUMMYFUNCTION("""COMPUTED_VALUE"""),"19")</f>
        <v>19</v>
      </c>
      <c r="J2013" s="115" t="str">
        <f>IFERROR(__xludf.DUMMYFUNCTION("""COMPUTED_VALUE"""),"Ashvani Bhatt2025-09-0419")</f>
        <v>Ashvani Bhatt2025-09-0419</v>
      </c>
      <c r="K2013" s="115">
        <f>IFERROR(__xludf.DUMMYFUNCTION("""COMPUTED_VALUE"""),292256.0)</f>
        <v>292256</v>
      </c>
    </row>
    <row r="2014">
      <c r="A2014" s="115" t="str">
        <f>IFERROR(__xludf.DUMMYFUNCTION("""COMPUTED_VALUE"""),"WEST")</f>
        <v>WEST</v>
      </c>
      <c r="B2014" s="115" t="str">
        <f>IFERROR(__xludf.DUMMYFUNCTION("""COMPUTED_VALUE"""),"Ashvani Bhatt")</f>
        <v>Ashvani Bhatt</v>
      </c>
      <c r="C2014" s="115" t="str">
        <f>IFERROR(__xludf.DUMMYFUNCTION("""COMPUTED_VALUE"""),"MYNTRA")</f>
        <v>MYNTRA</v>
      </c>
      <c r="D2014" s="115">
        <f>IFERROR(__xludf.DUMMYFUNCTION("""COMPUTED_VALUE"""),32928.0)</f>
        <v>32928</v>
      </c>
      <c r="E2014" s="115">
        <f>IFERROR(__xludf.DUMMYFUNCTION("""COMPUTED_VALUE"""),8708.0)</f>
        <v>8708</v>
      </c>
      <c r="F2014" s="115">
        <f>IFERROR(__xludf.DUMMYFUNCTION("""COMPUTED_VALUE"""),27341.0)</f>
        <v>27341</v>
      </c>
      <c r="G2014" s="115">
        <f>IFERROR(__xludf.DUMMYFUNCTION("""COMPUTED_VALUE"""),5541.0)</f>
        <v>5541</v>
      </c>
      <c r="H2014" s="116">
        <f>IFERROR(__xludf.DUMMYFUNCTION("""COMPUTED_VALUE"""),45904.0)</f>
        <v>45904</v>
      </c>
      <c r="I2014" s="115" t="str">
        <f>IFERROR(__xludf.DUMMYFUNCTION("""COMPUTED_VALUE"""),"19")</f>
        <v>19</v>
      </c>
      <c r="J2014" s="115" t="str">
        <f>IFERROR(__xludf.DUMMYFUNCTION("""COMPUTED_VALUE"""),"Ashvani Bhatt2025-09-0419")</f>
        <v>Ashvani Bhatt2025-09-0419</v>
      </c>
      <c r="K2014" s="115">
        <f>IFERROR(__xludf.DUMMYFUNCTION("""COMPUTED_VALUE"""),41636.0)</f>
        <v>41636</v>
      </c>
    </row>
    <row r="2015">
      <c r="A2015" s="115"/>
      <c r="B2015" s="115"/>
      <c r="C2015" s="115" t="str">
        <f>IFERROR(__xludf.DUMMYFUNCTION("""COMPUTED_VALUE"""),"EXTERNAL")</f>
        <v>EXTERNAL</v>
      </c>
      <c r="D2015" s="115">
        <f>IFERROR(__xludf.DUMMYFUNCTION("""COMPUTED_VALUE"""),1286.0)</f>
        <v>1286</v>
      </c>
      <c r="E2015" s="115">
        <f>IFERROR(__xludf.DUMMYFUNCTION("""COMPUTED_VALUE"""),232.0)</f>
        <v>232</v>
      </c>
      <c r="F2015" s="115">
        <f>IFERROR(__xludf.DUMMYFUNCTION("""COMPUTED_VALUE"""),511.0)</f>
        <v>511</v>
      </c>
      <c r="G2015" s="115">
        <f>IFERROR(__xludf.DUMMYFUNCTION("""COMPUTED_VALUE"""),98.0)</f>
        <v>98</v>
      </c>
      <c r="H2015" s="116">
        <f>IFERROR(__xludf.DUMMYFUNCTION("""COMPUTED_VALUE"""),45904.0)</f>
        <v>45904</v>
      </c>
      <c r="I2015" s="115" t="str">
        <f>IFERROR(__xludf.DUMMYFUNCTION("""COMPUTED_VALUE"""),"19")</f>
        <v>19</v>
      </c>
      <c r="J2015" s="115" t="str">
        <f>IFERROR(__xludf.DUMMYFUNCTION("""COMPUTED_VALUE"""),"2025-09-0419")</f>
        <v>2025-09-0419</v>
      </c>
      <c r="K2015" s="115">
        <f>IFERROR(__xludf.DUMMYFUNCTION("""COMPUTED_VALUE"""),1518.0)</f>
        <v>1518</v>
      </c>
    </row>
    <row r="2016">
      <c r="A2016" s="115"/>
      <c r="B2016" s="115"/>
      <c r="C2016" s="115" t="str">
        <f>IFERROR(__xludf.DUMMYFUNCTION("""COMPUTED_VALUE"""),"FLIPKART")</f>
        <v>FLIPKART</v>
      </c>
      <c r="D2016" s="115">
        <f>IFERROR(__xludf.DUMMYFUNCTION("""COMPUTED_VALUE"""),8859.0)</f>
        <v>8859</v>
      </c>
      <c r="E2016" s="115">
        <f>IFERROR(__xludf.DUMMYFUNCTION("""COMPUTED_VALUE"""),1142.0)</f>
        <v>1142</v>
      </c>
      <c r="F2016" s="115">
        <f>IFERROR(__xludf.DUMMYFUNCTION("""COMPUTED_VALUE"""),6306.0)</f>
        <v>6306</v>
      </c>
      <c r="G2016" s="115">
        <f>IFERROR(__xludf.DUMMYFUNCTION("""COMPUTED_VALUE"""),628.0)</f>
        <v>628</v>
      </c>
      <c r="H2016" s="116">
        <f>IFERROR(__xludf.DUMMYFUNCTION("""COMPUTED_VALUE"""),45904.0)</f>
        <v>45904</v>
      </c>
      <c r="I2016" s="115" t="str">
        <f>IFERROR(__xludf.DUMMYFUNCTION("""COMPUTED_VALUE"""),"19")</f>
        <v>19</v>
      </c>
      <c r="J2016" s="115" t="str">
        <f>IFERROR(__xludf.DUMMYFUNCTION("""COMPUTED_VALUE"""),"2025-09-0419")</f>
        <v>2025-09-0419</v>
      </c>
      <c r="K2016" s="115">
        <f>IFERROR(__xludf.DUMMYFUNCTION("""COMPUTED_VALUE"""),10001.0)</f>
        <v>10001</v>
      </c>
    </row>
    <row r="2017">
      <c r="A2017" s="115"/>
      <c r="B2017" s="115"/>
      <c r="C2017" s="115" t="str">
        <f>IFERROR(__xludf.DUMMYFUNCTION("""COMPUTED_VALUE"""),"MYNTRA")</f>
        <v>MYNTRA</v>
      </c>
      <c r="D2017" s="115">
        <f>IFERROR(__xludf.DUMMYFUNCTION("""COMPUTED_VALUE"""),918.0)</f>
        <v>918</v>
      </c>
      <c r="E2017" s="115">
        <f>IFERROR(__xludf.DUMMYFUNCTION("""COMPUTED_VALUE"""),337.0)</f>
        <v>337</v>
      </c>
      <c r="F2017" s="115">
        <f>IFERROR(__xludf.DUMMYFUNCTION("""COMPUTED_VALUE"""),679.0)</f>
        <v>679</v>
      </c>
      <c r="G2017" s="115">
        <f>IFERROR(__xludf.DUMMYFUNCTION("""COMPUTED_VALUE"""),216.0)</f>
        <v>216</v>
      </c>
      <c r="H2017" s="116">
        <f>IFERROR(__xludf.DUMMYFUNCTION("""COMPUTED_VALUE"""),45904.0)</f>
        <v>45904</v>
      </c>
      <c r="I2017" s="115" t="str">
        <f>IFERROR(__xludf.DUMMYFUNCTION("""COMPUTED_VALUE"""),"19")</f>
        <v>19</v>
      </c>
      <c r="J2017" s="115" t="str">
        <f>IFERROR(__xludf.DUMMYFUNCTION("""COMPUTED_VALUE"""),"2025-09-0419")</f>
        <v>2025-09-0419</v>
      </c>
      <c r="K2017" s="115">
        <f>IFERROR(__xludf.DUMMYFUNCTION("""COMPUTED_VALUE"""),1255.0)</f>
        <v>1255</v>
      </c>
    </row>
    <row r="2018">
      <c r="A2018" s="115" t="str">
        <f>IFERROR(__xludf.DUMMYFUNCTION("""COMPUTED_VALUE"""),"EAST")</f>
        <v>EAST</v>
      </c>
      <c r="B2018" s="115" t="str">
        <f>IFERROR(__xludf.DUMMYFUNCTION("""COMPUTED_VALUE"""),"Ashish Ranjan")</f>
        <v>Ashish Ranjan</v>
      </c>
      <c r="C2018" s="115" t="str">
        <f>IFERROR(__xludf.DUMMYFUNCTION("""COMPUTED_VALUE"""),"EXTERNAL")</f>
        <v>EXTERNAL</v>
      </c>
      <c r="D2018" s="115">
        <f>IFERROR(__xludf.DUMMYFUNCTION("""COMPUTED_VALUE"""),35580.0)</f>
        <v>35580</v>
      </c>
      <c r="E2018" s="115">
        <f>IFERROR(__xludf.DUMMYFUNCTION("""COMPUTED_VALUE"""),3450.0)</f>
        <v>3450</v>
      </c>
      <c r="F2018" s="115">
        <f>IFERROR(__xludf.DUMMYFUNCTION("""COMPUTED_VALUE"""),19817.0)</f>
        <v>19817</v>
      </c>
      <c r="G2018" s="115">
        <f>IFERROR(__xludf.DUMMYFUNCTION("""COMPUTED_VALUE"""),1851.0)</f>
        <v>1851</v>
      </c>
      <c r="H2018" s="116">
        <f>IFERROR(__xludf.DUMMYFUNCTION("""COMPUTED_VALUE"""),45904.0)</f>
        <v>45904</v>
      </c>
      <c r="I2018" s="115" t="str">
        <f>IFERROR(__xludf.DUMMYFUNCTION("""COMPUTED_VALUE"""),"20")</f>
        <v>20</v>
      </c>
      <c r="J2018" s="115" t="str">
        <f>IFERROR(__xludf.DUMMYFUNCTION("""COMPUTED_VALUE"""),"Ashish Ranjan2025-09-0420")</f>
        <v>Ashish Ranjan2025-09-0420</v>
      </c>
      <c r="K2018" s="115">
        <f>IFERROR(__xludf.DUMMYFUNCTION("""COMPUTED_VALUE"""),39030.0)</f>
        <v>39030</v>
      </c>
    </row>
    <row r="2019">
      <c r="A2019" s="115" t="str">
        <f>IFERROR(__xludf.DUMMYFUNCTION("""COMPUTED_VALUE"""),"EAST")</f>
        <v>EAST</v>
      </c>
      <c r="B2019" s="115" t="str">
        <f>IFERROR(__xludf.DUMMYFUNCTION("""COMPUTED_VALUE"""),"Ashish Ranjan")</f>
        <v>Ashish Ranjan</v>
      </c>
      <c r="C2019" s="115" t="str">
        <f>IFERROR(__xludf.DUMMYFUNCTION("""COMPUTED_VALUE"""),"FLIPKART")</f>
        <v>FLIPKART</v>
      </c>
      <c r="D2019" s="115">
        <f>IFERROR(__xludf.DUMMYFUNCTION("""COMPUTED_VALUE"""),567290.0)</f>
        <v>567290</v>
      </c>
      <c r="E2019" s="115">
        <f>IFERROR(__xludf.DUMMYFUNCTION("""COMPUTED_VALUE"""),61150.0)</f>
        <v>61150</v>
      </c>
      <c r="F2019" s="115">
        <f>IFERROR(__xludf.DUMMYFUNCTION("""COMPUTED_VALUE"""),495051.0)</f>
        <v>495051</v>
      </c>
      <c r="G2019" s="115">
        <f>IFERROR(__xludf.DUMMYFUNCTION("""COMPUTED_VALUE"""),47142.0)</f>
        <v>47142</v>
      </c>
      <c r="H2019" s="116">
        <f>IFERROR(__xludf.DUMMYFUNCTION("""COMPUTED_VALUE"""),45904.0)</f>
        <v>45904</v>
      </c>
      <c r="I2019" s="115" t="str">
        <f>IFERROR(__xludf.DUMMYFUNCTION("""COMPUTED_VALUE"""),"20")</f>
        <v>20</v>
      </c>
      <c r="J2019" s="115" t="str">
        <f>IFERROR(__xludf.DUMMYFUNCTION("""COMPUTED_VALUE"""),"Ashish Ranjan2025-09-0420")</f>
        <v>Ashish Ranjan2025-09-0420</v>
      </c>
      <c r="K2019" s="115">
        <f>IFERROR(__xludf.DUMMYFUNCTION("""COMPUTED_VALUE"""),628440.0)</f>
        <v>628440</v>
      </c>
    </row>
    <row r="2020">
      <c r="A2020" s="115" t="str">
        <f>IFERROR(__xludf.DUMMYFUNCTION("""COMPUTED_VALUE"""),"EAST")</f>
        <v>EAST</v>
      </c>
      <c r="B2020" s="115" t="str">
        <f>IFERROR(__xludf.DUMMYFUNCTION("""COMPUTED_VALUE"""),"Ashish Ranjan")</f>
        <v>Ashish Ranjan</v>
      </c>
      <c r="C2020" s="115" t="str">
        <f>IFERROR(__xludf.DUMMYFUNCTION("""COMPUTED_VALUE"""),"MYNTRA")</f>
        <v>MYNTRA</v>
      </c>
      <c r="D2020" s="115">
        <f>IFERROR(__xludf.DUMMYFUNCTION("""COMPUTED_VALUE"""),56941.0)</f>
        <v>56941</v>
      </c>
      <c r="E2020" s="115">
        <f>IFERROR(__xludf.DUMMYFUNCTION("""COMPUTED_VALUE"""),12538.0)</f>
        <v>12538</v>
      </c>
      <c r="F2020" s="115">
        <f>IFERROR(__xludf.DUMMYFUNCTION("""COMPUTED_VALUE"""),50333.0)</f>
        <v>50333</v>
      </c>
      <c r="G2020" s="115">
        <f>IFERROR(__xludf.DUMMYFUNCTION("""COMPUTED_VALUE"""),9670.0)</f>
        <v>9670</v>
      </c>
      <c r="H2020" s="116">
        <f>IFERROR(__xludf.DUMMYFUNCTION("""COMPUTED_VALUE"""),45904.0)</f>
        <v>45904</v>
      </c>
      <c r="I2020" s="115" t="str">
        <f>IFERROR(__xludf.DUMMYFUNCTION("""COMPUTED_VALUE"""),"20")</f>
        <v>20</v>
      </c>
      <c r="J2020" s="115" t="str">
        <f>IFERROR(__xludf.DUMMYFUNCTION("""COMPUTED_VALUE"""),"Ashish Ranjan2025-09-0420")</f>
        <v>Ashish Ranjan2025-09-0420</v>
      </c>
      <c r="K2020" s="115">
        <f>IFERROR(__xludf.DUMMYFUNCTION("""COMPUTED_VALUE"""),69479.0)</f>
        <v>69479</v>
      </c>
    </row>
    <row r="2021">
      <c r="A2021" s="115" t="str">
        <f>IFERROR(__xludf.DUMMYFUNCTION("""COMPUTED_VALUE"""),"EAST")</f>
        <v>EAST</v>
      </c>
      <c r="B2021" s="115" t="str">
        <f>IFERROR(__xludf.DUMMYFUNCTION("""COMPUTED_VALUE"""),"Girish Chand")</f>
        <v>Girish Chand</v>
      </c>
      <c r="C2021" s="115" t="str">
        <f>IFERROR(__xludf.DUMMYFUNCTION("""COMPUTED_VALUE"""),"EXTERNAL")</f>
        <v>EXTERNAL</v>
      </c>
      <c r="D2021" s="115">
        <f>IFERROR(__xludf.DUMMYFUNCTION("""COMPUTED_VALUE"""),21498.0)</f>
        <v>21498</v>
      </c>
      <c r="E2021" s="115">
        <f>IFERROR(__xludf.DUMMYFUNCTION("""COMPUTED_VALUE"""),1934.0)</f>
        <v>1934</v>
      </c>
      <c r="F2021" s="115">
        <f>IFERROR(__xludf.DUMMYFUNCTION("""COMPUTED_VALUE"""),8862.0)</f>
        <v>8862</v>
      </c>
      <c r="G2021" s="115">
        <f>IFERROR(__xludf.DUMMYFUNCTION("""COMPUTED_VALUE"""),790.0)</f>
        <v>790</v>
      </c>
      <c r="H2021" s="116">
        <f>IFERROR(__xludf.DUMMYFUNCTION("""COMPUTED_VALUE"""),45904.0)</f>
        <v>45904</v>
      </c>
      <c r="I2021" s="115" t="str">
        <f>IFERROR(__xludf.DUMMYFUNCTION("""COMPUTED_VALUE"""),"20")</f>
        <v>20</v>
      </c>
      <c r="J2021" s="115" t="str">
        <f>IFERROR(__xludf.DUMMYFUNCTION("""COMPUTED_VALUE"""),"Girish Chand2025-09-0420")</f>
        <v>Girish Chand2025-09-0420</v>
      </c>
      <c r="K2021" s="115">
        <f>IFERROR(__xludf.DUMMYFUNCTION("""COMPUTED_VALUE"""),23432.0)</f>
        <v>23432</v>
      </c>
    </row>
    <row r="2022">
      <c r="A2022" s="115" t="str">
        <f>IFERROR(__xludf.DUMMYFUNCTION("""COMPUTED_VALUE"""),"EAST")</f>
        <v>EAST</v>
      </c>
      <c r="B2022" s="115" t="str">
        <f>IFERROR(__xludf.DUMMYFUNCTION("""COMPUTED_VALUE"""),"Girish Chand")</f>
        <v>Girish Chand</v>
      </c>
      <c r="C2022" s="115" t="str">
        <f>IFERROR(__xludf.DUMMYFUNCTION("""COMPUTED_VALUE"""),"FLIPKART")</f>
        <v>FLIPKART</v>
      </c>
      <c r="D2022" s="115">
        <f>IFERROR(__xludf.DUMMYFUNCTION("""COMPUTED_VALUE"""),383075.0)</f>
        <v>383075</v>
      </c>
      <c r="E2022" s="115">
        <f>IFERROR(__xludf.DUMMYFUNCTION("""COMPUTED_VALUE"""),40064.0)</f>
        <v>40064</v>
      </c>
      <c r="F2022" s="115">
        <f>IFERROR(__xludf.DUMMYFUNCTION("""COMPUTED_VALUE"""),283413.0)</f>
        <v>283413</v>
      </c>
      <c r="G2022" s="115">
        <f>IFERROR(__xludf.DUMMYFUNCTION("""COMPUTED_VALUE"""),27892.0)</f>
        <v>27892</v>
      </c>
      <c r="H2022" s="116">
        <f>IFERROR(__xludf.DUMMYFUNCTION("""COMPUTED_VALUE"""),45904.0)</f>
        <v>45904</v>
      </c>
      <c r="I2022" s="115" t="str">
        <f>IFERROR(__xludf.DUMMYFUNCTION("""COMPUTED_VALUE"""),"20")</f>
        <v>20</v>
      </c>
      <c r="J2022" s="115" t="str">
        <f>IFERROR(__xludf.DUMMYFUNCTION("""COMPUTED_VALUE"""),"Girish Chand2025-09-0420")</f>
        <v>Girish Chand2025-09-0420</v>
      </c>
      <c r="K2022" s="115">
        <f>IFERROR(__xludf.DUMMYFUNCTION("""COMPUTED_VALUE"""),423139.0)</f>
        <v>423139</v>
      </c>
    </row>
    <row r="2023">
      <c r="A2023" s="115" t="str">
        <f>IFERROR(__xludf.DUMMYFUNCTION("""COMPUTED_VALUE"""),"EAST")</f>
        <v>EAST</v>
      </c>
      <c r="B2023" s="115" t="str">
        <f>IFERROR(__xludf.DUMMYFUNCTION("""COMPUTED_VALUE"""),"Girish Chand")</f>
        <v>Girish Chand</v>
      </c>
      <c r="C2023" s="115" t="str">
        <f>IFERROR(__xludf.DUMMYFUNCTION("""COMPUTED_VALUE"""),"MYNTRA")</f>
        <v>MYNTRA</v>
      </c>
      <c r="D2023" s="115">
        <f>IFERROR(__xludf.DUMMYFUNCTION("""COMPUTED_VALUE"""),30987.0)</f>
        <v>30987</v>
      </c>
      <c r="E2023" s="115">
        <f>IFERROR(__xludf.DUMMYFUNCTION("""COMPUTED_VALUE"""),6983.0)</f>
        <v>6983</v>
      </c>
      <c r="F2023" s="115">
        <f>IFERROR(__xludf.DUMMYFUNCTION("""COMPUTED_VALUE"""),24256.0)</f>
        <v>24256</v>
      </c>
      <c r="G2023" s="115">
        <f>IFERROR(__xludf.DUMMYFUNCTION("""COMPUTED_VALUE"""),5051.0)</f>
        <v>5051</v>
      </c>
      <c r="H2023" s="116">
        <f>IFERROR(__xludf.DUMMYFUNCTION("""COMPUTED_VALUE"""),45904.0)</f>
        <v>45904</v>
      </c>
      <c r="I2023" s="115" t="str">
        <f>IFERROR(__xludf.DUMMYFUNCTION("""COMPUTED_VALUE"""),"20")</f>
        <v>20</v>
      </c>
      <c r="J2023" s="115" t="str">
        <f>IFERROR(__xludf.DUMMYFUNCTION("""COMPUTED_VALUE"""),"Girish Chand2025-09-0420")</f>
        <v>Girish Chand2025-09-0420</v>
      </c>
      <c r="K2023" s="115">
        <f>IFERROR(__xludf.DUMMYFUNCTION("""COMPUTED_VALUE"""),37970.0)</f>
        <v>37970</v>
      </c>
    </row>
    <row r="2024">
      <c r="A2024" s="115" t="str">
        <f>IFERROR(__xludf.DUMMYFUNCTION("""COMPUTED_VALUE"""),"EAST")</f>
        <v>EAST</v>
      </c>
      <c r="B2024" s="115" t="str">
        <f>IFERROR(__xludf.DUMMYFUNCTION("""COMPUTED_VALUE"""),"Parag Kashyap")</f>
        <v>Parag Kashyap</v>
      </c>
      <c r="C2024" s="115" t="str">
        <f>IFERROR(__xludf.DUMMYFUNCTION("""COMPUTED_VALUE"""),"EXTERNAL")</f>
        <v>EXTERNAL</v>
      </c>
      <c r="D2024" s="115">
        <f>IFERROR(__xludf.DUMMYFUNCTION("""COMPUTED_VALUE"""),20396.0)</f>
        <v>20396</v>
      </c>
      <c r="E2024" s="115">
        <f>IFERROR(__xludf.DUMMYFUNCTION("""COMPUTED_VALUE"""),1123.0)</f>
        <v>1123</v>
      </c>
      <c r="F2024" s="115">
        <f>IFERROR(__xludf.DUMMYFUNCTION("""COMPUTED_VALUE"""),8482.0)</f>
        <v>8482</v>
      </c>
      <c r="G2024" s="115">
        <f>IFERROR(__xludf.DUMMYFUNCTION("""COMPUTED_VALUE"""),450.0)</f>
        <v>450</v>
      </c>
      <c r="H2024" s="116">
        <f>IFERROR(__xludf.DUMMYFUNCTION("""COMPUTED_VALUE"""),45904.0)</f>
        <v>45904</v>
      </c>
      <c r="I2024" s="115" t="str">
        <f>IFERROR(__xludf.DUMMYFUNCTION("""COMPUTED_VALUE"""),"20")</f>
        <v>20</v>
      </c>
      <c r="J2024" s="115" t="str">
        <f>IFERROR(__xludf.DUMMYFUNCTION("""COMPUTED_VALUE"""),"Parag Kashyap2025-09-0420")</f>
        <v>Parag Kashyap2025-09-0420</v>
      </c>
      <c r="K2024" s="115">
        <f>IFERROR(__xludf.DUMMYFUNCTION("""COMPUTED_VALUE"""),21519.0)</f>
        <v>21519</v>
      </c>
    </row>
    <row r="2025">
      <c r="A2025" s="115" t="str">
        <f>IFERROR(__xludf.DUMMYFUNCTION("""COMPUTED_VALUE"""),"EAST")</f>
        <v>EAST</v>
      </c>
      <c r="B2025" s="115" t="str">
        <f>IFERROR(__xludf.DUMMYFUNCTION("""COMPUTED_VALUE"""),"Parag Kashyap")</f>
        <v>Parag Kashyap</v>
      </c>
      <c r="C2025" s="115" t="str">
        <f>IFERROR(__xludf.DUMMYFUNCTION("""COMPUTED_VALUE"""),"FLIPKART")</f>
        <v>FLIPKART</v>
      </c>
      <c r="D2025" s="115">
        <f>IFERROR(__xludf.DUMMYFUNCTION("""COMPUTED_VALUE"""),296153.0)</f>
        <v>296153</v>
      </c>
      <c r="E2025" s="115">
        <f>IFERROR(__xludf.DUMMYFUNCTION("""COMPUTED_VALUE"""),20412.0)</f>
        <v>20412</v>
      </c>
      <c r="F2025" s="115">
        <f>IFERROR(__xludf.DUMMYFUNCTION("""COMPUTED_VALUE"""),227539.0)</f>
        <v>227539</v>
      </c>
      <c r="G2025" s="115">
        <f>IFERROR(__xludf.DUMMYFUNCTION("""COMPUTED_VALUE"""),13246.0)</f>
        <v>13246</v>
      </c>
      <c r="H2025" s="116">
        <f>IFERROR(__xludf.DUMMYFUNCTION("""COMPUTED_VALUE"""),45904.0)</f>
        <v>45904</v>
      </c>
      <c r="I2025" s="115" t="str">
        <f>IFERROR(__xludf.DUMMYFUNCTION("""COMPUTED_VALUE"""),"20")</f>
        <v>20</v>
      </c>
      <c r="J2025" s="115" t="str">
        <f>IFERROR(__xludf.DUMMYFUNCTION("""COMPUTED_VALUE"""),"Parag Kashyap2025-09-0420")</f>
        <v>Parag Kashyap2025-09-0420</v>
      </c>
      <c r="K2025" s="115">
        <f>IFERROR(__xludf.DUMMYFUNCTION("""COMPUTED_VALUE"""),316565.0)</f>
        <v>316565</v>
      </c>
    </row>
    <row r="2026">
      <c r="A2026" s="115" t="str">
        <f>IFERROR(__xludf.DUMMYFUNCTION("""COMPUTED_VALUE"""),"EAST")</f>
        <v>EAST</v>
      </c>
      <c r="B2026" s="115" t="str">
        <f>IFERROR(__xludf.DUMMYFUNCTION("""COMPUTED_VALUE"""),"Parag Kashyap")</f>
        <v>Parag Kashyap</v>
      </c>
      <c r="C2026" s="115" t="str">
        <f>IFERROR(__xludf.DUMMYFUNCTION("""COMPUTED_VALUE"""),"MYNTRA")</f>
        <v>MYNTRA</v>
      </c>
      <c r="D2026" s="115">
        <f>IFERROR(__xludf.DUMMYFUNCTION("""COMPUTED_VALUE"""),34309.0)</f>
        <v>34309</v>
      </c>
      <c r="E2026" s="115">
        <f>IFERROR(__xludf.DUMMYFUNCTION("""COMPUTED_VALUE"""),5142.0)</f>
        <v>5142</v>
      </c>
      <c r="F2026" s="115">
        <f>IFERROR(__xludf.DUMMYFUNCTION("""COMPUTED_VALUE"""),27025.0)</f>
        <v>27025</v>
      </c>
      <c r="G2026" s="115">
        <f>IFERROR(__xludf.DUMMYFUNCTION("""COMPUTED_VALUE"""),3292.0)</f>
        <v>3292</v>
      </c>
      <c r="H2026" s="116">
        <f>IFERROR(__xludf.DUMMYFUNCTION("""COMPUTED_VALUE"""),45904.0)</f>
        <v>45904</v>
      </c>
      <c r="I2026" s="115" t="str">
        <f>IFERROR(__xludf.DUMMYFUNCTION("""COMPUTED_VALUE"""),"20")</f>
        <v>20</v>
      </c>
      <c r="J2026" s="115" t="str">
        <f>IFERROR(__xludf.DUMMYFUNCTION("""COMPUTED_VALUE"""),"Parag Kashyap2025-09-0420")</f>
        <v>Parag Kashyap2025-09-0420</v>
      </c>
      <c r="K2026" s="115">
        <f>IFERROR(__xludf.DUMMYFUNCTION("""COMPUTED_VALUE"""),39451.0)</f>
        <v>39451</v>
      </c>
    </row>
    <row r="2027">
      <c r="A2027" s="115" t="str">
        <f>IFERROR(__xludf.DUMMYFUNCTION("""COMPUTED_VALUE"""),"NORTH")</f>
        <v>NORTH</v>
      </c>
      <c r="B2027" s="115" t="str">
        <f>IFERROR(__xludf.DUMMYFUNCTION("""COMPUTED_VALUE"""),"Amit Kumar Pathak")</f>
        <v>Amit Kumar Pathak</v>
      </c>
      <c r="C2027" s="115" t="str">
        <f>IFERROR(__xludf.DUMMYFUNCTION("""COMPUTED_VALUE"""),"EXTERNAL")</f>
        <v>EXTERNAL</v>
      </c>
      <c r="D2027" s="115">
        <f>IFERROR(__xludf.DUMMYFUNCTION("""COMPUTED_VALUE"""),27984.0)</f>
        <v>27984</v>
      </c>
      <c r="E2027" s="115">
        <f>IFERROR(__xludf.DUMMYFUNCTION("""COMPUTED_VALUE"""),3167.0)</f>
        <v>3167</v>
      </c>
      <c r="F2027" s="115">
        <f>IFERROR(__xludf.DUMMYFUNCTION("""COMPUTED_VALUE"""),11503.0)</f>
        <v>11503</v>
      </c>
      <c r="G2027" s="115">
        <f>IFERROR(__xludf.DUMMYFUNCTION("""COMPUTED_VALUE"""),1611.0)</f>
        <v>1611</v>
      </c>
      <c r="H2027" s="116">
        <f>IFERROR(__xludf.DUMMYFUNCTION("""COMPUTED_VALUE"""),45904.0)</f>
        <v>45904</v>
      </c>
      <c r="I2027" s="115" t="str">
        <f>IFERROR(__xludf.DUMMYFUNCTION("""COMPUTED_VALUE"""),"20")</f>
        <v>20</v>
      </c>
      <c r="J2027" s="115" t="str">
        <f>IFERROR(__xludf.DUMMYFUNCTION("""COMPUTED_VALUE"""),"Amit Kumar Pathak2025-09-0420")</f>
        <v>Amit Kumar Pathak2025-09-0420</v>
      </c>
      <c r="K2027" s="115">
        <f>IFERROR(__xludf.DUMMYFUNCTION("""COMPUTED_VALUE"""),31151.0)</f>
        <v>31151</v>
      </c>
    </row>
    <row r="2028">
      <c r="A2028" s="115" t="str">
        <f>IFERROR(__xludf.DUMMYFUNCTION("""COMPUTED_VALUE"""),"NORTH")</f>
        <v>NORTH</v>
      </c>
      <c r="B2028" s="115" t="str">
        <f>IFERROR(__xludf.DUMMYFUNCTION("""COMPUTED_VALUE"""),"Amit Kumar Pathak")</f>
        <v>Amit Kumar Pathak</v>
      </c>
      <c r="C2028" s="115" t="str">
        <f>IFERROR(__xludf.DUMMYFUNCTION("""COMPUTED_VALUE"""),"FLIPKART")</f>
        <v>FLIPKART</v>
      </c>
      <c r="D2028" s="115">
        <f>IFERROR(__xludf.DUMMYFUNCTION("""COMPUTED_VALUE"""),215534.0)</f>
        <v>215534</v>
      </c>
      <c r="E2028" s="115">
        <f>IFERROR(__xludf.DUMMYFUNCTION("""COMPUTED_VALUE"""),24444.0)</f>
        <v>24444</v>
      </c>
      <c r="F2028" s="115">
        <f>IFERROR(__xludf.DUMMYFUNCTION("""COMPUTED_VALUE"""),153051.0)</f>
        <v>153051</v>
      </c>
      <c r="G2028" s="115">
        <f>IFERROR(__xludf.DUMMYFUNCTION("""COMPUTED_VALUE"""),14725.0)</f>
        <v>14725</v>
      </c>
      <c r="H2028" s="116">
        <f>IFERROR(__xludf.DUMMYFUNCTION("""COMPUTED_VALUE"""),45904.0)</f>
        <v>45904</v>
      </c>
      <c r="I2028" s="115" t="str">
        <f>IFERROR(__xludf.DUMMYFUNCTION("""COMPUTED_VALUE"""),"20")</f>
        <v>20</v>
      </c>
      <c r="J2028" s="115" t="str">
        <f>IFERROR(__xludf.DUMMYFUNCTION("""COMPUTED_VALUE"""),"Amit Kumar Pathak2025-09-0420")</f>
        <v>Amit Kumar Pathak2025-09-0420</v>
      </c>
      <c r="K2028" s="115">
        <f>IFERROR(__xludf.DUMMYFUNCTION("""COMPUTED_VALUE"""),239978.0)</f>
        <v>239978</v>
      </c>
    </row>
    <row r="2029">
      <c r="A2029" s="115" t="str">
        <f>IFERROR(__xludf.DUMMYFUNCTION("""COMPUTED_VALUE"""),"NORTH")</f>
        <v>NORTH</v>
      </c>
      <c r="B2029" s="115" t="str">
        <f>IFERROR(__xludf.DUMMYFUNCTION("""COMPUTED_VALUE"""),"Amit Kumar Pathak")</f>
        <v>Amit Kumar Pathak</v>
      </c>
      <c r="C2029" s="115" t="str">
        <f>IFERROR(__xludf.DUMMYFUNCTION("""COMPUTED_VALUE"""),"MYNTRA")</f>
        <v>MYNTRA</v>
      </c>
      <c r="D2029" s="115">
        <f>IFERROR(__xludf.DUMMYFUNCTION("""COMPUTED_VALUE"""),20148.0)</f>
        <v>20148</v>
      </c>
      <c r="E2029" s="115">
        <f>IFERROR(__xludf.DUMMYFUNCTION("""COMPUTED_VALUE"""),5980.0)</f>
        <v>5980</v>
      </c>
      <c r="F2029" s="115">
        <f>IFERROR(__xludf.DUMMYFUNCTION("""COMPUTED_VALUE"""),16856.0)</f>
        <v>16856</v>
      </c>
      <c r="G2029" s="115">
        <f>IFERROR(__xludf.DUMMYFUNCTION("""COMPUTED_VALUE"""),3892.0)</f>
        <v>3892</v>
      </c>
      <c r="H2029" s="116">
        <f>IFERROR(__xludf.DUMMYFUNCTION("""COMPUTED_VALUE"""),45904.0)</f>
        <v>45904</v>
      </c>
      <c r="I2029" s="115" t="str">
        <f>IFERROR(__xludf.DUMMYFUNCTION("""COMPUTED_VALUE"""),"20")</f>
        <v>20</v>
      </c>
      <c r="J2029" s="115" t="str">
        <f>IFERROR(__xludf.DUMMYFUNCTION("""COMPUTED_VALUE"""),"Amit Kumar Pathak2025-09-0420")</f>
        <v>Amit Kumar Pathak2025-09-0420</v>
      </c>
      <c r="K2029" s="115">
        <f>IFERROR(__xludf.DUMMYFUNCTION("""COMPUTED_VALUE"""),26128.0)</f>
        <v>26128</v>
      </c>
    </row>
    <row r="2030">
      <c r="A2030" s="115" t="str">
        <f>IFERROR(__xludf.DUMMYFUNCTION("""COMPUTED_VALUE"""),"NORTH")</f>
        <v>NORTH</v>
      </c>
      <c r="B2030" s="115" t="str">
        <f>IFERROR(__xludf.DUMMYFUNCTION("""COMPUTED_VALUE"""),"Loveleen Singh")</f>
        <v>Loveleen Singh</v>
      </c>
      <c r="C2030" s="115" t="str">
        <f>IFERROR(__xludf.DUMMYFUNCTION("""COMPUTED_VALUE"""),"EXTERNAL")</f>
        <v>EXTERNAL</v>
      </c>
      <c r="D2030" s="115">
        <f>IFERROR(__xludf.DUMMYFUNCTION("""COMPUTED_VALUE"""),33953.0)</f>
        <v>33953</v>
      </c>
      <c r="E2030" s="115">
        <f>IFERROR(__xludf.DUMMYFUNCTION("""COMPUTED_VALUE"""),2274.0)</f>
        <v>2274</v>
      </c>
      <c r="F2030" s="115">
        <f>IFERROR(__xludf.DUMMYFUNCTION("""COMPUTED_VALUE"""),12961.0)</f>
        <v>12961</v>
      </c>
      <c r="G2030" s="115">
        <f>IFERROR(__xludf.DUMMYFUNCTION("""COMPUTED_VALUE"""),886.0)</f>
        <v>886</v>
      </c>
      <c r="H2030" s="116">
        <f>IFERROR(__xludf.DUMMYFUNCTION("""COMPUTED_VALUE"""),45904.0)</f>
        <v>45904</v>
      </c>
      <c r="I2030" s="115" t="str">
        <f>IFERROR(__xludf.DUMMYFUNCTION("""COMPUTED_VALUE"""),"20")</f>
        <v>20</v>
      </c>
      <c r="J2030" s="115" t="str">
        <f>IFERROR(__xludf.DUMMYFUNCTION("""COMPUTED_VALUE"""),"Loveleen Singh2025-09-0420")</f>
        <v>Loveleen Singh2025-09-0420</v>
      </c>
      <c r="K2030" s="115">
        <f>IFERROR(__xludf.DUMMYFUNCTION("""COMPUTED_VALUE"""),36227.0)</f>
        <v>36227</v>
      </c>
    </row>
    <row r="2031">
      <c r="A2031" s="115" t="str">
        <f>IFERROR(__xludf.DUMMYFUNCTION("""COMPUTED_VALUE"""),"NORTH")</f>
        <v>NORTH</v>
      </c>
      <c r="B2031" s="115" t="str">
        <f>IFERROR(__xludf.DUMMYFUNCTION("""COMPUTED_VALUE"""),"Loveleen Singh")</f>
        <v>Loveleen Singh</v>
      </c>
      <c r="C2031" s="115" t="str">
        <f>IFERROR(__xludf.DUMMYFUNCTION("""COMPUTED_VALUE"""),"FLIPKART")</f>
        <v>FLIPKART</v>
      </c>
      <c r="D2031" s="115">
        <f>IFERROR(__xludf.DUMMYFUNCTION("""COMPUTED_VALUE"""),163299.0)</f>
        <v>163299</v>
      </c>
      <c r="E2031" s="115">
        <f>IFERROR(__xludf.DUMMYFUNCTION("""COMPUTED_VALUE"""),17395.0)</f>
        <v>17395</v>
      </c>
      <c r="F2031" s="115">
        <f>IFERROR(__xludf.DUMMYFUNCTION("""COMPUTED_VALUE"""),117820.0)</f>
        <v>117820</v>
      </c>
      <c r="G2031" s="115">
        <f>IFERROR(__xludf.DUMMYFUNCTION("""COMPUTED_VALUE"""),10199.0)</f>
        <v>10199</v>
      </c>
      <c r="H2031" s="116">
        <f>IFERROR(__xludf.DUMMYFUNCTION("""COMPUTED_VALUE"""),45904.0)</f>
        <v>45904</v>
      </c>
      <c r="I2031" s="115" t="str">
        <f>IFERROR(__xludf.DUMMYFUNCTION("""COMPUTED_VALUE"""),"20")</f>
        <v>20</v>
      </c>
      <c r="J2031" s="115" t="str">
        <f>IFERROR(__xludf.DUMMYFUNCTION("""COMPUTED_VALUE"""),"Loveleen Singh2025-09-0420")</f>
        <v>Loveleen Singh2025-09-0420</v>
      </c>
      <c r="K2031" s="115">
        <f>IFERROR(__xludf.DUMMYFUNCTION("""COMPUTED_VALUE"""),180694.0)</f>
        <v>180694</v>
      </c>
    </row>
    <row r="2032">
      <c r="A2032" s="115" t="str">
        <f>IFERROR(__xludf.DUMMYFUNCTION("""COMPUTED_VALUE"""),"NORTH")</f>
        <v>NORTH</v>
      </c>
      <c r="B2032" s="115" t="str">
        <f>IFERROR(__xludf.DUMMYFUNCTION("""COMPUTED_VALUE"""),"Loveleen Singh")</f>
        <v>Loveleen Singh</v>
      </c>
      <c r="C2032" s="115" t="str">
        <f>IFERROR(__xludf.DUMMYFUNCTION("""COMPUTED_VALUE"""),"MYNTRA")</f>
        <v>MYNTRA</v>
      </c>
      <c r="D2032" s="115">
        <f>IFERROR(__xludf.DUMMYFUNCTION("""COMPUTED_VALUE"""),24825.0)</f>
        <v>24825</v>
      </c>
      <c r="E2032" s="115">
        <f>IFERROR(__xludf.DUMMYFUNCTION("""COMPUTED_VALUE"""),6437.0)</f>
        <v>6437</v>
      </c>
      <c r="F2032" s="115">
        <f>IFERROR(__xludf.DUMMYFUNCTION("""COMPUTED_VALUE"""),19761.0)</f>
        <v>19761</v>
      </c>
      <c r="G2032" s="115">
        <f>IFERROR(__xludf.DUMMYFUNCTION("""COMPUTED_VALUE"""),4044.0)</f>
        <v>4044</v>
      </c>
      <c r="H2032" s="116">
        <f>IFERROR(__xludf.DUMMYFUNCTION("""COMPUTED_VALUE"""),45904.0)</f>
        <v>45904</v>
      </c>
      <c r="I2032" s="115" t="str">
        <f>IFERROR(__xludf.DUMMYFUNCTION("""COMPUTED_VALUE"""),"20")</f>
        <v>20</v>
      </c>
      <c r="J2032" s="115" t="str">
        <f>IFERROR(__xludf.DUMMYFUNCTION("""COMPUTED_VALUE"""),"Loveleen Singh2025-09-0420")</f>
        <v>Loveleen Singh2025-09-0420</v>
      </c>
      <c r="K2032" s="115">
        <f>IFERROR(__xludf.DUMMYFUNCTION("""COMPUTED_VALUE"""),31262.0)</f>
        <v>31262</v>
      </c>
    </row>
    <row r="2033">
      <c r="A2033" s="115" t="str">
        <f>IFERROR(__xludf.DUMMYFUNCTION("""COMPUTED_VALUE"""),"NORTH")</f>
        <v>NORTH</v>
      </c>
      <c r="B2033" s="115" t="str">
        <f>IFERROR(__xludf.DUMMYFUNCTION("""COMPUTED_VALUE"""),"Manoj Harsh")</f>
        <v>Manoj Harsh</v>
      </c>
      <c r="C2033" s="115" t="str">
        <f>IFERROR(__xludf.DUMMYFUNCTION("""COMPUTED_VALUE"""),"EXTERNAL")</f>
        <v>EXTERNAL</v>
      </c>
      <c r="D2033" s="115">
        <f>IFERROR(__xludf.DUMMYFUNCTION("""COMPUTED_VALUE"""),32189.0)</f>
        <v>32189</v>
      </c>
      <c r="E2033" s="115">
        <f>IFERROR(__xludf.DUMMYFUNCTION("""COMPUTED_VALUE"""),3107.0)</f>
        <v>3107</v>
      </c>
      <c r="F2033" s="115">
        <f>IFERROR(__xludf.DUMMYFUNCTION("""COMPUTED_VALUE"""),13972.0)</f>
        <v>13972</v>
      </c>
      <c r="G2033" s="115">
        <f>IFERROR(__xludf.DUMMYFUNCTION("""COMPUTED_VALUE"""),1232.0)</f>
        <v>1232</v>
      </c>
      <c r="H2033" s="116">
        <f>IFERROR(__xludf.DUMMYFUNCTION("""COMPUTED_VALUE"""),45904.0)</f>
        <v>45904</v>
      </c>
      <c r="I2033" s="115" t="str">
        <f>IFERROR(__xludf.DUMMYFUNCTION("""COMPUTED_VALUE"""),"20")</f>
        <v>20</v>
      </c>
      <c r="J2033" s="115" t="str">
        <f>IFERROR(__xludf.DUMMYFUNCTION("""COMPUTED_VALUE"""),"Manoj Harsh2025-09-0420")</f>
        <v>Manoj Harsh2025-09-0420</v>
      </c>
      <c r="K2033" s="115">
        <f>IFERROR(__xludf.DUMMYFUNCTION("""COMPUTED_VALUE"""),35296.0)</f>
        <v>35296</v>
      </c>
    </row>
    <row r="2034">
      <c r="A2034" s="115" t="str">
        <f>IFERROR(__xludf.DUMMYFUNCTION("""COMPUTED_VALUE"""),"NORTH")</f>
        <v>NORTH</v>
      </c>
      <c r="B2034" s="115" t="str">
        <f>IFERROR(__xludf.DUMMYFUNCTION("""COMPUTED_VALUE"""),"Manoj Harsh")</f>
        <v>Manoj Harsh</v>
      </c>
      <c r="C2034" s="115" t="str">
        <f>IFERROR(__xludf.DUMMYFUNCTION("""COMPUTED_VALUE"""),"FLIPKART")</f>
        <v>FLIPKART</v>
      </c>
      <c r="D2034" s="115">
        <f>IFERROR(__xludf.DUMMYFUNCTION("""COMPUTED_VALUE"""),405701.0)</f>
        <v>405701</v>
      </c>
      <c r="E2034" s="115">
        <f>IFERROR(__xludf.DUMMYFUNCTION("""COMPUTED_VALUE"""),41335.0)</f>
        <v>41335</v>
      </c>
      <c r="F2034" s="115">
        <f>IFERROR(__xludf.DUMMYFUNCTION("""COMPUTED_VALUE"""),301520.0)</f>
        <v>301520</v>
      </c>
      <c r="G2034" s="115">
        <f>IFERROR(__xludf.DUMMYFUNCTION("""COMPUTED_VALUE"""),26576.0)</f>
        <v>26576</v>
      </c>
      <c r="H2034" s="116">
        <f>IFERROR(__xludf.DUMMYFUNCTION("""COMPUTED_VALUE"""),45904.0)</f>
        <v>45904</v>
      </c>
      <c r="I2034" s="115" t="str">
        <f>IFERROR(__xludf.DUMMYFUNCTION("""COMPUTED_VALUE"""),"20")</f>
        <v>20</v>
      </c>
      <c r="J2034" s="115" t="str">
        <f>IFERROR(__xludf.DUMMYFUNCTION("""COMPUTED_VALUE"""),"Manoj Harsh2025-09-0420")</f>
        <v>Manoj Harsh2025-09-0420</v>
      </c>
      <c r="K2034" s="115">
        <f>IFERROR(__xludf.DUMMYFUNCTION("""COMPUTED_VALUE"""),447036.0)</f>
        <v>447036</v>
      </c>
    </row>
    <row r="2035">
      <c r="A2035" s="115" t="str">
        <f>IFERROR(__xludf.DUMMYFUNCTION("""COMPUTED_VALUE"""),"NORTH")</f>
        <v>NORTH</v>
      </c>
      <c r="B2035" s="115" t="str">
        <f>IFERROR(__xludf.DUMMYFUNCTION("""COMPUTED_VALUE"""),"Manoj Harsh")</f>
        <v>Manoj Harsh</v>
      </c>
      <c r="C2035" s="115" t="str">
        <f>IFERROR(__xludf.DUMMYFUNCTION("""COMPUTED_VALUE"""),"MYNTRA")</f>
        <v>MYNTRA</v>
      </c>
      <c r="D2035" s="115">
        <f>IFERROR(__xludf.DUMMYFUNCTION("""COMPUTED_VALUE"""),36568.0)</f>
        <v>36568</v>
      </c>
      <c r="E2035" s="115">
        <f>IFERROR(__xludf.DUMMYFUNCTION("""COMPUTED_VALUE"""),8253.0)</f>
        <v>8253</v>
      </c>
      <c r="F2035" s="115">
        <f>IFERROR(__xludf.DUMMYFUNCTION("""COMPUTED_VALUE"""),29426.0)</f>
        <v>29426</v>
      </c>
      <c r="G2035" s="115">
        <f>IFERROR(__xludf.DUMMYFUNCTION("""COMPUTED_VALUE"""),5799.0)</f>
        <v>5799</v>
      </c>
      <c r="H2035" s="116">
        <f>IFERROR(__xludf.DUMMYFUNCTION("""COMPUTED_VALUE"""),45904.0)</f>
        <v>45904</v>
      </c>
      <c r="I2035" s="115" t="str">
        <f>IFERROR(__xludf.DUMMYFUNCTION("""COMPUTED_VALUE"""),"20")</f>
        <v>20</v>
      </c>
      <c r="J2035" s="115" t="str">
        <f>IFERROR(__xludf.DUMMYFUNCTION("""COMPUTED_VALUE"""),"Manoj Harsh2025-09-0420")</f>
        <v>Manoj Harsh2025-09-0420</v>
      </c>
      <c r="K2035" s="115">
        <f>IFERROR(__xludf.DUMMYFUNCTION("""COMPUTED_VALUE"""),44821.0)</f>
        <v>44821</v>
      </c>
    </row>
    <row r="2036">
      <c r="A2036" s="115" t="str">
        <f>IFERROR(__xludf.DUMMYFUNCTION("""COMPUTED_VALUE"""),"NORTH")</f>
        <v>NORTH</v>
      </c>
      <c r="B2036" s="115" t="str">
        <f>IFERROR(__xludf.DUMMYFUNCTION("""COMPUTED_VALUE"""),"Pradeep Kothari")</f>
        <v>Pradeep Kothari</v>
      </c>
      <c r="C2036" s="115" t="str">
        <f>IFERROR(__xludf.DUMMYFUNCTION("""COMPUTED_VALUE"""),"EXTERNAL")</f>
        <v>EXTERNAL</v>
      </c>
      <c r="D2036" s="115">
        <f>IFERROR(__xludf.DUMMYFUNCTION("""COMPUTED_VALUE"""),18323.0)</f>
        <v>18323</v>
      </c>
      <c r="E2036" s="115">
        <f>IFERROR(__xludf.DUMMYFUNCTION("""COMPUTED_VALUE"""),1990.0)</f>
        <v>1990</v>
      </c>
      <c r="F2036" s="115">
        <f>IFERROR(__xludf.DUMMYFUNCTION("""COMPUTED_VALUE"""),7702.0)</f>
        <v>7702</v>
      </c>
      <c r="G2036" s="115">
        <f>IFERROR(__xludf.DUMMYFUNCTION("""COMPUTED_VALUE"""),858.0)</f>
        <v>858</v>
      </c>
      <c r="H2036" s="116">
        <f>IFERROR(__xludf.DUMMYFUNCTION("""COMPUTED_VALUE"""),45904.0)</f>
        <v>45904</v>
      </c>
      <c r="I2036" s="115" t="str">
        <f>IFERROR(__xludf.DUMMYFUNCTION("""COMPUTED_VALUE"""),"20")</f>
        <v>20</v>
      </c>
      <c r="J2036" s="115" t="str">
        <f>IFERROR(__xludf.DUMMYFUNCTION("""COMPUTED_VALUE"""),"Pradeep Kothari2025-09-0420")</f>
        <v>Pradeep Kothari2025-09-0420</v>
      </c>
      <c r="K2036" s="115">
        <f>IFERROR(__xludf.DUMMYFUNCTION("""COMPUTED_VALUE"""),20313.0)</f>
        <v>20313</v>
      </c>
    </row>
    <row r="2037">
      <c r="A2037" s="115" t="str">
        <f>IFERROR(__xludf.DUMMYFUNCTION("""COMPUTED_VALUE"""),"NORTH")</f>
        <v>NORTH</v>
      </c>
      <c r="B2037" s="115" t="str">
        <f>IFERROR(__xludf.DUMMYFUNCTION("""COMPUTED_VALUE"""),"Pradeep Kothari")</f>
        <v>Pradeep Kothari</v>
      </c>
      <c r="C2037" s="115" t="str">
        <f>IFERROR(__xludf.DUMMYFUNCTION("""COMPUTED_VALUE"""),"FLIPKART")</f>
        <v>FLIPKART</v>
      </c>
      <c r="D2037" s="115">
        <f>IFERROR(__xludf.DUMMYFUNCTION("""COMPUTED_VALUE"""),145840.0)</f>
        <v>145840</v>
      </c>
      <c r="E2037" s="115">
        <f>IFERROR(__xludf.DUMMYFUNCTION("""COMPUTED_VALUE"""),17881.0)</f>
        <v>17881</v>
      </c>
      <c r="F2037" s="115">
        <f>IFERROR(__xludf.DUMMYFUNCTION("""COMPUTED_VALUE"""),109150.0)</f>
        <v>109150</v>
      </c>
      <c r="G2037" s="115">
        <f>IFERROR(__xludf.DUMMYFUNCTION("""COMPUTED_VALUE"""),11530.0)</f>
        <v>11530</v>
      </c>
      <c r="H2037" s="116">
        <f>IFERROR(__xludf.DUMMYFUNCTION("""COMPUTED_VALUE"""),45904.0)</f>
        <v>45904</v>
      </c>
      <c r="I2037" s="115" t="str">
        <f>IFERROR(__xludf.DUMMYFUNCTION("""COMPUTED_VALUE"""),"20")</f>
        <v>20</v>
      </c>
      <c r="J2037" s="115" t="str">
        <f>IFERROR(__xludf.DUMMYFUNCTION("""COMPUTED_VALUE"""),"Pradeep Kothari2025-09-0420")</f>
        <v>Pradeep Kothari2025-09-0420</v>
      </c>
      <c r="K2037" s="115">
        <f>IFERROR(__xludf.DUMMYFUNCTION("""COMPUTED_VALUE"""),163721.0)</f>
        <v>163721</v>
      </c>
    </row>
    <row r="2038">
      <c r="A2038" s="115" t="str">
        <f>IFERROR(__xludf.DUMMYFUNCTION("""COMPUTED_VALUE"""),"NORTH")</f>
        <v>NORTH</v>
      </c>
      <c r="B2038" s="115" t="str">
        <f>IFERROR(__xludf.DUMMYFUNCTION("""COMPUTED_VALUE"""),"Pradeep Kothari")</f>
        <v>Pradeep Kothari</v>
      </c>
      <c r="C2038" s="115" t="str">
        <f>IFERROR(__xludf.DUMMYFUNCTION("""COMPUTED_VALUE"""),"MYNTRA")</f>
        <v>MYNTRA</v>
      </c>
      <c r="D2038" s="115">
        <f>IFERROR(__xludf.DUMMYFUNCTION("""COMPUTED_VALUE"""),23401.0)</f>
        <v>23401</v>
      </c>
      <c r="E2038" s="115">
        <f>IFERROR(__xludf.DUMMYFUNCTION("""COMPUTED_VALUE"""),6896.0)</f>
        <v>6896</v>
      </c>
      <c r="F2038" s="115">
        <f>IFERROR(__xludf.DUMMYFUNCTION("""COMPUTED_VALUE"""),19291.0)</f>
        <v>19291</v>
      </c>
      <c r="G2038" s="115">
        <f>IFERROR(__xludf.DUMMYFUNCTION("""COMPUTED_VALUE"""),4828.0)</f>
        <v>4828</v>
      </c>
      <c r="H2038" s="116">
        <f>IFERROR(__xludf.DUMMYFUNCTION("""COMPUTED_VALUE"""),45904.0)</f>
        <v>45904</v>
      </c>
      <c r="I2038" s="115" t="str">
        <f>IFERROR(__xludf.DUMMYFUNCTION("""COMPUTED_VALUE"""),"20")</f>
        <v>20</v>
      </c>
      <c r="J2038" s="115" t="str">
        <f>IFERROR(__xludf.DUMMYFUNCTION("""COMPUTED_VALUE"""),"Pradeep Kothari2025-09-0420")</f>
        <v>Pradeep Kothari2025-09-0420</v>
      </c>
      <c r="K2038" s="115">
        <f>IFERROR(__xludf.DUMMYFUNCTION("""COMPUTED_VALUE"""),30297.0)</f>
        <v>30297</v>
      </c>
    </row>
    <row r="2039">
      <c r="A2039" s="115" t="str">
        <f>IFERROR(__xludf.DUMMYFUNCTION("""COMPUTED_VALUE"""),"SOUTH")</f>
        <v>SOUTH</v>
      </c>
      <c r="B2039" s="115" t="str">
        <f>IFERROR(__xludf.DUMMYFUNCTION("""COMPUTED_VALUE"""),"Kandula Sampath")</f>
        <v>Kandula Sampath</v>
      </c>
      <c r="C2039" s="115" t="str">
        <f>IFERROR(__xludf.DUMMYFUNCTION("""COMPUTED_VALUE"""),"EXTERNAL")</f>
        <v>EXTERNAL</v>
      </c>
      <c r="D2039" s="115">
        <f>IFERROR(__xludf.DUMMYFUNCTION("""COMPUTED_VALUE"""),33169.0)</f>
        <v>33169</v>
      </c>
      <c r="E2039" s="115">
        <f>IFERROR(__xludf.DUMMYFUNCTION("""COMPUTED_VALUE"""),3971.0)</f>
        <v>3971</v>
      </c>
      <c r="F2039" s="115">
        <f>IFERROR(__xludf.DUMMYFUNCTION("""COMPUTED_VALUE"""),13964.0)</f>
        <v>13964</v>
      </c>
      <c r="G2039" s="115">
        <f>IFERROR(__xludf.DUMMYFUNCTION("""COMPUTED_VALUE"""),1527.0)</f>
        <v>1527</v>
      </c>
      <c r="H2039" s="116">
        <f>IFERROR(__xludf.DUMMYFUNCTION("""COMPUTED_VALUE"""),45904.0)</f>
        <v>45904</v>
      </c>
      <c r="I2039" s="115" t="str">
        <f>IFERROR(__xludf.DUMMYFUNCTION("""COMPUTED_VALUE"""),"20")</f>
        <v>20</v>
      </c>
      <c r="J2039" s="115" t="str">
        <f>IFERROR(__xludf.DUMMYFUNCTION("""COMPUTED_VALUE"""),"Kandula Sampath2025-09-0420")</f>
        <v>Kandula Sampath2025-09-0420</v>
      </c>
      <c r="K2039" s="115">
        <f>IFERROR(__xludf.DUMMYFUNCTION("""COMPUTED_VALUE"""),37140.0)</f>
        <v>37140</v>
      </c>
    </row>
    <row r="2040">
      <c r="A2040" s="115" t="str">
        <f>IFERROR(__xludf.DUMMYFUNCTION("""COMPUTED_VALUE"""),"SOUTH")</f>
        <v>SOUTH</v>
      </c>
      <c r="B2040" s="115" t="str">
        <f>IFERROR(__xludf.DUMMYFUNCTION("""COMPUTED_VALUE"""),"Kandula Sampath")</f>
        <v>Kandula Sampath</v>
      </c>
      <c r="C2040" s="115" t="str">
        <f>IFERROR(__xludf.DUMMYFUNCTION("""COMPUTED_VALUE"""),"FLIPKART")</f>
        <v>FLIPKART</v>
      </c>
      <c r="D2040" s="115">
        <f>IFERROR(__xludf.DUMMYFUNCTION("""COMPUTED_VALUE"""),288203.0)</f>
        <v>288203</v>
      </c>
      <c r="E2040" s="115">
        <f>IFERROR(__xludf.DUMMYFUNCTION("""COMPUTED_VALUE"""),32926.0)</f>
        <v>32926</v>
      </c>
      <c r="F2040" s="115">
        <f>IFERROR(__xludf.DUMMYFUNCTION("""COMPUTED_VALUE"""),212685.0)</f>
        <v>212685</v>
      </c>
      <c r="G2040" s="115">
        <f>IFERROR(__xludf.DUMMYFUNCTION("""COMPUTED_VALUE"""),19306.0)</f>
        <v>19306</v>
      </c>
      <c r="H2040" s="116">
        <f>IFERROR(__xludf.DUMMYFUNCTION("""COMPUTED_VALUE"""),45904.0)</f>
        <v>45904</v>
      </c>
      <c r="I2040" s="115" t="str">
        <f>IFERROR(__xludf.DUMMYFUNCTION("""COMPUTED_VALUE"""),"20")</f>
        <v>20</v>
      </c>
      <c r="J2040" s="115" t="str">
        <f>IFERROR(__xludf.DUMMYFUNCTION("""COMPUTED_VALUE"""),"Kandula Sampath2025-09-0420")</f>
        <v>Kandula Sampath2025-09-0420</v>
      </c>
      <c r="K2040" s="115">
        <f>IFERROR(__xludf.DUMMYFUNCTION("""COMPUTED_VALUE"""),321129.0)</f>
        <v>321129</v>
      </c>
    </row>
    <row r="2041">
      <c r="A2041" s="115" t="str">
        <f>IFERROR(__xludf.DUMMYFUNCTION("""COMPUTED_VALUE"""),"SOUTH")</f>
        <v>SOUTH</v>
      </c>
      <c r="B2041" s="115" t="str">
        <f>IFERROR(__xludf.DUMMYFUNCTION("""COMPUTED_VALUE"""),"Kandula Sampath")</f>
        <v>Kandula Sampath</v>
      </c>
      <c r="C2041" s="115" t="str">
        <f>IFERROR(__xludf.DUMMYFUNCTION("""COMPUTED_VALUE"""),"MYNTRA")</f>
        <v>MYNTRA</v>
      </c>
      <c r="D2041" s="115">
        <f>IFERROR(__xludf.DUMMYFUNCTION("""COMPUTED_VALUE"""),29423.0)</f>
        <v>29423</v>
      </c>
      <c r="E2041" s="115">
        <f>IFERROR(__xludf.DUMMYFUNCTION("""COMPUTED_VALUE"""),8290.0)</f>
        <v>8290</v>
      </c>
      <c r="F2041" s="115">
        <f>IFERROR(__xludf.DUMMYFUNCTION("""COMPUTED_VALUE"""),23911.0)</f>
        <v>23911</v>
      </c>
      <c r="G2041" s="115">
        <f>IFERROR(__xludf.DUMMYFUNCTION("""COMPUTED_VALUE"""),5027.0)</f>
        <v>5027</v>
      </c>
      <c r="H2041" s="116">
        <f>IFERROR(__xludf.DUMMYFUNCTION("""COMPUTED_VALUE"""),45904.0)</f>
        <v>45904</v>
      </c>
      <c r="I2041" s="115" t="str">
        <f>IFERROR(__xludf.DUMMYFUNCTION("""COMPUTED_VALUE"""),"20")</f>
        <v>20</v>
      </c>
      <c r="J2041" s="115" t="str">
        <f>IFERROR(__xludf.DUMMYFUNCTION("""COMPUTED_VALUE"""),"Kandula Sampath2025-09-0420")</f>
        <v>Kandula Sampath2025-09-0420</v>
      </c>
      <c r="K2041" s="115">
        <f>IFERROR(__xludf.DUMMYFUNCTION("""COMPUTED_VALUE"""),37713.0)</f>
        <v>37713</v>
      </c>
    </row>
    <row r="2042">
      <c r="A2042" s="115" t="str">
        <f>IFERROR(__xludf.DUMMYFUNCTION("""COMPUTED_VALUE"""),"SOUTH")</f>
        <v>SOUTH</v>
      </c>
      <c r="B2042" s="115" t="str">
        <f>IFERROR(__xludf.DUMMYFUNCTION("""COMPUTED_VALUE"""),"Martin A")</f>
        <v>Martin A</v>
      </c>
      <c r="C2042" s="115" t="str">
        <f>IFERROR(__xludf.DUMMYFUNCTION("""COMPUTED_VALUE"""),"EXTERNAL")</f>
        <v>EXTERNAL</v>
      </c>
      <c r="D2042" s="115">
        <f>IFERROR(__xludf.DUMMYFUNCTION("""COMPUTED_VALUE"""),33165.0)</f>
        <v>33165</v>
      </c>
      <c r="E2042" s="115">
        <f>IFERROR(__xludf.DUMMYFUNCTION("""COMPUTED_VALUE"""),3448.0)</f>
        <v>3448</v>
      </c>
      <c r="F2042" s="115">
        <f>IFERROR(__xludf.DUMMYFUNCTION("""COMPUTED_VALUE"""),13797.0)</f>
        <v>13797</v>
      </c>
      <c r="G2042" s="115">
        <f>IFERROR(__xludf.DUMMYFUNCTION("""COMPUTED_VALUE"""),1934.0)</f>
        <v>1934</v>
      </c>
      <c r="H2042" s="116">
        <f>IFERROR(__xludf.DUMMYFUNCTION("""COMPUTED_VALUE"""),45904.0)</f>
        <v>45904</v>
      </c>
      <c r="I2042" s="115" t="str">
        <f>IFERROR(__xludf.DUMMYFUNCTION("""COMPUTED_VALUE"""),"20")</f>
        <v>20</v>
      </c>
      <c r="J2042" s="115" t="str">
        <f>IFERROR(__xludf.DUMMYFUNCTION("""COMPUTED_VALUE"""),"Martin A2025-09-0420")</f>
        <v>Martin A2025-09-0420</v>
      </c>
      <c r="K2042" s="115">
        <f>IFERROR(__xludf.DUMMYFUNCTION("""COMPUTED_VALUE"""),36613.0)</f>
        <v>36613</v>
      </c>
    </row>
    <row r="2043">
      <c r="A2043" s="115" t="str">
        <f>IFERROR(__xludf.DUMMYFUNCTION("""COMPUTED_VALUE"""),"SOUTH")</f>
        <v>SOUTH</v>
      </c>
      <c r="B2043" s="115" t="str">
        <f>IFERROR(__xludf.DUMMYFUNCTION("""COMPUTED_VALUE"""),"Martin A")</f>
        <v>Martin A</v>
      </c>
      <c r="C2043" s="115" t="str">
        <f>IFERROR(__xludf.DUMMYFUNCTION("""COMPUTED_VALUE"""),"FLIPKART")</f>
        <v>FLIPKART</v>
      </c>
      <c r="D2043" s="115">
        <f>IFERROR(__xludf.DUMMYFUNCTION("""COMPUTED_VALUE"""),265875.0)</f>
        <v>265875</v>
      </c>
      <c r="E2043" s="115">
        <f>IFERROR(__xludf.DUMMYFUNCTION("""COMPUTED_VALUE"""),28821.0)</f>
        <v>28821</v>
      </c>
      <c r="F2043" s="115">
        <f>IFERROR(__xludf.DUMMYFUNCTION("""COMPUTED_VALUE"""),194045.0)</f>
        <v>194045</v>
      </c>
      <c r="G2043" s="115">
        <f>IFERROR(__xludf.DUMMYFUNCTION("""COMPUTED_VALUE"""),18341.0)</f>
        <v>18341</v>
      </c>
      <c r="H2043" s="116">
        <f>IFERROR(__xludf.DUMMYFUNCTION("""COMPUTED_VALUE"""),45904.0)</f>
        <v>45904</v>
      </c>
      <c r="I2043" s="115" t="str">
        <f>IFERROR(__xludf.DUMMYFUNCTION("""COMPUTED_VALUE"""),"20")</f>
        <v>20</v>
      </c>
      <c r="J2043" s="115" t="str">
        <f>IFERROR(__xludf.DUMMYFUNCTION("""COMPUTED_VALUE"""),"Martin A2025-09-0420")</f>
        <v>Martin A2025-09-0420</v>
      </c>
      <c r="K2043" s="115">
        <f>IFERROR(__xludf.DUMMYFUNCTION("""COMPUTED_VALUE"""),294696.0)</f>
        <v>294696</v>
      </c>
    </row>
    <row r="2044">
      <c r="A2044" s="115" t="str">
        <f>IFERROR(__xludf.DUMMYFUNCTION("""COMPUTED_VALUE"""),"SOUTH")</f>
        <v>SOUTH</v>
      </c>
      <c r="B2044" s="115" t="str">
        <f>IFERROR(__xludf.DUMMYFUNCTION("""COMPUTED_VALUE"""),"Martin A")</f>
        <v>Martin A</v>
      </c>
      <c r="C2044" s="115" t="str">
        <f>IFERROR(__xludf.DUMMYFUNCTION("""COMPUTED_VALUE"""),"MYNTRA")</f>
        <v>MYNTRA</v>
      </c>
      <c r="D2044" s="115">
        <f>IFERROR(__xludf.DUMMYFUNCTION("""COMPUTED_VALUE"""),22488.0)</f>
        <v>22488</v>
      </c>
      <c r="E2044" s="115">
        <f>IFERROR(__xludf.DUMMYFUNCTION("""COMPUTED_VALUE"""),6647.0)</f>
        <v>6647</v>
      </c>
      <c r="F2044" s="115">
        <f>IFERROR(__xludf.DUMMYFUNCTION("""COMPUTED_VALUE"""),18381.0)</f>
        <v>18381</v>
      </c>
      <c r="G2044" s="115">
        <f>IFERROR(__xludf.DUMMYFUNCTION("""COMPUTED_VALUE"""),4455.0)</f>
        <v>4455</v>
      </c>
      <c r="H2044" s="116">
        <f>IFERROR(__xludf.DUMMYFUNCTION("""COMPUTED_VALUE"""),45904.0)</f>
        <v>45904</v>
      </c>
      <c r="I2044" s="115" t="str">
        <f>IFERROR(__xludf.DUMMYFUNCTION("""COMPUTED_VALUE"""),"20")</f>
        <v>20</v>
      </c>
      <c r="J2044" s="115" t="str">
        <f>IFERROR(__xludf.DUMMYFUNCTION("""COMPUTED_VALUE"""),"Martin A2025-09-0420")</f>
        <v>Martin A2025-09-0420</v>
      </c>
      <c r="K2044" s="115">
        <f>IFERROR(__xludf.DUMMYFUNCTION("""COMPUTED_VALUE"""),29135.0)</f>
        <v>29135</v>
      </c>
    </row>
    <row r="2045">
      <c r="A2045" s="115" t="str">
        <f>IFERROR(__xludf.DUMMYFUNCTION("""COMPUTED_VALUE"""),"SOUTH")</f>
        <v>SOUTH</v>
      </c>
      <c r="B2045" s="115" t="str">
        <f>IFERROR(__xludf.DUMMYFUNCTION("""COMPUTED_VALUE"""),"Premkumar M")</f>
        <v>Premkumar M</v>
      </c>
      <c r="C2045" s="115" t="str">
        <f>IFERROR(__xludf.DUMMYFUNCTION("""COMPUTED_VALUE"""),"EXTERNAL")</f>
        <v>EXTERNAL</v>
      </c>
      <c r="D2045" s="115">
        <f>IFERROR(__xludf.DUMMYFUNCTION("""COMPUTED_VALUE"""),27148.0)</f>
        <v>27148</v>
      </c>
      <c r="E2045" s="115">
        <f>IFERROR(__xludf.DUMMYFUNCTION("""COMPUTED_VALUE"""),1868.0)</f>
        <v>1868</v>
      </c>
      <c r="F2045" s="115">
        <f>IFERROR(__xludf.DUMMYFUNCTION("""COMPUTED_VALUE"""),13243.0)</f>
        <v>13243</v>
      </c>
      <c r="G2045" s="115">
        <f>IFERROR(__xludf.DUMMYFUNCTION("""COMPUTED_VALUE"""),634.0)</f>
        <v>634</v>
      </c>
      <c r="H2045" s="116">
        <f>IFERROR(__xludf.DUMMYFUNCTION("""COMPUTED_VALUE"""),45904.0)</f>
        <v>45904</v>
      </c>
      <c r="I2045" s="115" t="str">
        <f>IFERROR(__xludf.DUMMYFUNCTION("""COMPUTED_VALUE"""),"20")</f>
        <v>20</v>
      </c>
      <c r="J2045" s="115" t="str">
        <f>IFERROR(__xludf.DUMMYFUNCTION("""COMPUTED_VALUE"""),"Premkumar M2025-09-0420")</f>
        <v>Premkumar M2025-09-0420</v>
      </c>
      <c r="K2045" s="115">
        <f>IFERROR(__xludf.DUMMYFUNCTION("""COMPUTED_VALUE"""),29016.0)</f>
        <v>29016</v>
      </c>
    </row>
    <row r="2046">
      <c r="A2046" s="115" t="str">
        <f>IFERROR(__xludf.DUMMYFUNCTION("""COMPUTED_VALUE"""),"SOUTH")</f>
        <v>SOUTH</v>
      </c>
      <c r="B2046" s="115" t="str">
        <f>IFERROR(__xludf.DUMMYFUNCTION("""COMPUTED_VALUE"""),"Premkumar M")</f>
        <v>Premkumar M</v>
      </c>
      <c r="C2046" s="115" t="str">
        <f>IFERROR(__xludf.DUMMYFUNCTION("""COMPUTED_VALUE"""),"FLIPKART")</f>
        <v>FLIPKART</v>
      </c>
      <c r="D2046" s="115">
        <f>IFERROR(__xludf.DUMMYFUNCTION("""COMPUTED_VALUE"""),258652.0)</f>
        <v>258652</v>
      </c>
      <c r="E2046" s="115">
        <f>IFERROR(__xludf.DUMMYFUNCTION("""COMPUTED_VALUE"""),18958.0)</f>
        <v>18958</v>
      </c>
      <c r="F2046" s="115">
        <f>IFERROR(__xludf.DUMMYFUNCTION("""COMPUTED_VALUE"""),191932.0)</f>
        <v>191932</v>
      </c>
      <c r="G2046" s="115">
        <f>IFERROR(__xludf.DUMMYFUNCTION("""COMPUTED_VALUE"""),8628.0)</f>
        <v>8628</v>
      </c>
      <c r="H2046" s="116">
        <f>IFERROR(__xludf.DUMMYFUNCTION("""COMPUTED_VALUE"""),45904.0)</f>
        <v>45904</v>
      </c>
      <c r="I2046" s="115" t="str">
        <f>IFERROR(__xludf.DUMMYFUNCTION("""COMPUTED_VALUE"""),"20")</f>
        <v>20</v>
      </c>
      <c r="J2046" s="115" t="str">
        <f>IFERROR(__xludf.DUMMYFUNCTION("""COMPUTED_VALUE"""),"Premkumar M2025-09-0420")</f>
        <v>Premkumar M2025-09-0420</v>
      </c>
      <c r="K2046" s="115">
        <f>IFERROR(__xludf.DUMMYFUNCTION("""COMPUTED_VALUE"""),277610.0)</f>
        <v>277610</v>
      </c>
    </row>
    <row r="2047">
      <c r="A2047" s="115" t="str">
        <f>IFERROR(__xludf.DUMMYFUNCTION("""COMPUTED_VALUE"""),"SOUTH")</f>
        <v>SOUTH</v>
      </c>
      <c r="B2047" s="115" t="str">
        <f>IFERROR(__xludf.DUMMYFUNCTION("""COMPUTED_VALUE"""),"Premkumar M")</f>
        <v>Premkumar M</v>
      </c>
      <c r="C2047" s="115" t="str">
        <f>IFERROR(__xludf.DUMMYFUNCTION("""COMPUTED_VALUE"""),"MYNTRA")</f>
        <v>MYNTRA</v>
      </c>
      <c r="D2047" s="115">
        <f>IFERROR(__xludf.DUMMYFUNCTION("""COMPUTED_VALUE"""),12584.0)</f>
        <v>12584</v>
      </c>
      <c r="E2047" s="115">
        <f>IFERROR(__xludf.DUMMYFUNCTION("""COMPUTED_VALUE"""),2812.0)</f>
        <v>2812</v>
      </c>
      <c r="F2047" s="115">
        <f>IFERROR(__xludf.DUMMYFUNCTION("""COMPUTED_VALUE"""),10350.0)</f>
        <v>10350</v>
      </c>
      <c r="G2047" s="115">
        <f>IFERROR(__xludf.DUMMYFUNCTION("""COMPUTED_VALUE"""),1284.0)</f>
        <v>1284</v>
      </c>
      <c r="H2047" s="116">
        <f>IFERROR(__xludf.DUMMYFUNCTION("""COMPUTED_VALUE"""),45904.0)</f>
        <v>45904</v>
      </c>
      <c r="I2047" s="115" t="str">
        <f>IFERROR(__xludf.DUMMYFUNCTION("""COMPUTED_VALUE"""),"20")</f>
        <v>20</v>
      </c>
      <c r="J2047" s="115" t="str">
        <f>IFERROR(__xludf.DUMMYFUNCTION("""COMPUTED_VALUE"""),"Premkumar M2025-09-0420")</f>
        <v>Premkumar M2025-09-0420</v>
      </c>
      <c r="K2047" s="115">
        <f>IFERROR(__xludf.DUMMYFUNCTION("""COMPUTED_VALUE"""),15396.0)</f>
        <v>15396</v>
      </c>
    </row>
    <row r="2048">
      <c r="A2048" s="115" t="str">
        <f>IFERROR(__xludf.DUMMYFUNCTION("""COMPUTED_VALUE"""),"SOUTH")</f>
        <v>SOUTH</v>
      </c>
      <c r="B2048" s="115" t="str">
        <f>IFERROR(__xludf.DUMMYFUNCTION("""COMPUTED_VALUE"""),"Vineeth V")</f>
        <v>Vineeth V</v>
      </c>
      <c r="C2048" s="115" t="str">
        <f>IFERROR(__xludf.DUMMYFUNCTION("""COMPUTED_VALUE"""),"EXTERNAL")</f>
        <v>EXTERNAL</v>
      </c>
      <c r="D2048" s="115">
        <f>IFERROR(__xludf.DUMMYFUNCTION("""COMPUTED_VALUE"""),19057.0)</f>
        <v>19057</v>
      </c>
      <c r="E2048" s="115">
        <f>IFERROR(__xludf.DUMMYFUNCTION("""COMPUTED_VALUE"""),721.0)</f>
        <v>721</v>
      </c>
      <c r="F2048" s="115">
        <f>IFERROR(__xludf.DUMMYFUNCTION("""COMPUTED_VALUE"""),9939.0)</f>
        <v>9939</v>
      </c>
      <c r="G2048" s="115">
        <f>IFERROR(__xludf.DUMMYFUNCTION("""COMPUTED_VALUE"""),373.0)</f>
        <v>373</v>
      </c>
      <c r="H2048" s="116">
        <f>IFERROR(__xludf.DUMMYFUNCTION("""COMPUTED_VALUE"""),45904.0)</f>
        <v>45904</v>
      </c>
      <c r="I2048" s="115" t="str">
        <f>IFERROR(__xludf.DUMMYFUNCTION("""COMPUTED_VALUE"""),"20")</f>
        <v>20</v>
      </c>
      <c r="J2048" s="115" t="str">
        <f>IFERROR(__xludf.DUMMYFUNCTION("""COMPUTED_VALUE"""),"Vineeth V2025-09-0420")</f>
        <v>Vineeth V2025-09-0420</v>
      </c>
      <c r="K2048" s="115">
        <f>IFERROR(__xludf.DUMMYFUNCTION("""COMPUTED_VALUE"""),19778.0)</f>
        <v>19778</v>
      </c>
    </row>
    <row r="2049">
      <c r="A2049" s="115" t="str">
        <f>IFERROR(__xludf.DUMMYFUNCTION("""COMPUTED_VALUE"""),"SOUTH")</f>
        <v>SOUTH</v>
      </c>
      <c r="B2049" s="115" t="str">
        <f>IFERROR(__xludf.DUMMYFUNCTION("""COMPUTED_VALUE"""),"Vineeth V")</f>
        <v>Vineeth V</v>
      </c>
      <c r="C2049" s="115" t="str">
        <f>IFERROR(__xludf.DUMMYFUNCTION("""COMPUTED_VALUE"""),"FLIPKART")</f>
        <v>FLIPKART</v>
      </c>
      <c r="D2049" s="115">
        <f>IFERROR(__xludf.DUMMYFUNCTION("""COMPUTED_VALUE"""),203696.0)</f>
        <v>203696</v>
      </c>
      <c r="E2049" s="115">
        <f>IFERROR(__xludf.DUMMYFUNCTION("""COMPUTED_VALUE"""),16569.0)</f>
        <v>16569</v>
      </c>
      <c r="F2049" s="115">
        <f>IFERROR(__xludf.DUMMYFUNCTION("""COMPUTED_VALUE"""),165637.0)</f>
        <v>165637</v>
      </c>
      <c r="G2049" s="115">
        <f>IFERROR(__xludf.DUMMYFUNCTION("""COMPUTED_VALUE"""),9264.0)</f>
        <v>9264</v>
      </c>
      <c r="H2049" s="116">
        <f>IFERROR(__xludf.DUMMYFUNCTION("""COMPUTED_VALUE"""),45904.0)</f>
        <v>45904</v>
      </c>
      <c r="I2049" s="115" t="str">
        <f>IFERROR(__xludf.DUMMYFUNCTION("""COMPUTED_VALUE"""),"20")</f>
        <v>20</v>
      </c>
      <c r="J2049" s="115" t="str">
        <f>IFERROR(__xludf.DUMMYFUNCTION("""COMPUTED_VALUE"""),"Vineeth V2025-09-0420")</f>
        <v>Vineeth V2025-09-0420</v>
      </c>
      <c r="K2049" s="115">
        <f>IFERROR(__xludf.DUMMYFUNCTION("""COMPUTED_VALUE"""),220265.0)</f>
        <v>220265</v>
      </c>
    </row>
    <row r="2050">
      <c r="A2050" s="115" t="str">
        <f>IFERROR(__xludf.DUMMYFUNCTION("""COMPUTED_VALUE"""),"SOUTH")</f>
        <v>SOUTH</v>
      </c>
      <c r="B2050" s="115" t="str">
        <f>IFERROR(__xludf.DUMMYFUNCTION("""COMPUTED_VALUE"""),"Vineeth V")</f>
        <v>Vineeth V</v>
      </c>
      <c r="C2050" s="115" t="str">
        <f>IFERROR(__xludf.DUMMYFUNCTION("""COMPUTED_VALUE"""),"MYNTRA")</f>
        <v>MYNTRA</v>
      </c>
      <c r="D2050" s="115">
        <f>IFERROR(__xludf.DUMMYFUNCTION("""COMPUTED_VALUE"""),17486.0)</f>
        <v>17486</v>
      </c>
      <c r="E2050" s="115">
        <f>IFERROR(__xludf.DUMMYFUNCTION("""COMPUTED_VALUE"""),4096.0)</f>
        <v>4096</v>
      </c>
      <c r="F2050" s="115">
        <f>IFERROR(__xludf.DUMMYFUNCTION("""COMPUTED_VALUE"""),15082.0)</f>
        <v>15082</v>
      </c>
      <c r="G2050" s="115">
        <f>IFERROR(__xludf.DUMMYFUNCTION("""COMPUTED_VALUE"""),2385.0)</f>
        <v>2385</v>
      </c>
      <c r="H2050" s="116">
        <f>IFERROR(__xludf.DUMMYFUNCTION("""COMPUTED_VALUE"""),45904.0)</f>
        <v>45904</v>
      </c>
      <c r="I2050" s="115" t="str">
        <f>IFERROR(__xludf.DUMMYFUNCTION("""COMPUTED_VALUE"""),"20")</f>
        <v>20</v>
      </c>
      <c r="J2050" s="115" t="str">
        <f>IFERROR(__xludf.DUMMYFUNCTION("""COMPUTED_VALUE"""),"Vineeth V2025-09-0420")</f>
        <v>Vineeth V2025-09-0420</v>
      </c>
      <c r="K2050" s="115">
        <f>IFERROR(__xludf.DUMMYFUNCTION("""COMPUTED_VALUE"""),21582.0)</f>
        <v>21582</v>
      </c>
    </row>
    <row r="2051">
      <c r="A2051" s="115" t="str">
        <f>IFERROR(__xludf.DUMMYFUNCTION("""COMPUTED_VALUE"""),"WEST")</f>
        <v>WEST</v>
      </c>
      <c r="B2051" s="115" t="str">
        <f>IFERROR(__xludf.DUMMYFUNCTION("""COMPUTED_VALUE"""),"Ashish Jakar")</f>
        <v>Ashish Jakar</v>
      </c>
      <c r="C2051" s="115" t="str">
        <f>IFERROR(__xludf.DUMMYFUNCTION("""COMPUTED_VALUE"""),"EXTERNAL")</f>
        <v>EXTERNAL</v>
      </c>
      <c r="D2051" s="115">
        <f>IFERROR(__xludf.DUMMYFUNCTION("""COMPUTED_VALUE"""),58088.0)</f>
        <v>58088</v>
      </c>
      <c r="E2051" s="115">
        <f>IFERROR(__xludf.DUMMYFUNCTION("""COMPUTED_VALUE"""),6541.0)</f>
        <v>6541</v>
      </c>
      <c r="F2051" s="115">
        <f>IFERROR(__xludf.DUMMYFUNCTION("""COMPUTED_VALUE"""),23487.0)</f>
        <v>23487</v>
      </c>
      <c r="G2051" s="115">
        <f>IFERROR(__xludf.DUMMYFUNCTION("""COMPUTED_VALUE"""),3096.0)</f>
        <v>3096</v>
      </c>
      <c r="H2051" s="116">
        <f>IFERROR(__xludf.DUMMYFUNCTION("""COMPUTED_VALUE"""),45904.0)</f>
        <v>45904</v>
      </c>
      <c r="I2051" s="115" t="str">
        <f>IFERROR(__xludf.DUMMYFUNCTION("""COMPUTED_VALUE"""),"20")</f>
        <v>20</v>
      </c>
      <c r="J2051" s="115" t="str">
        <f>IFERROR(__xludf.DUMMYFUNCTION("""COMPUTED_VALUE"""),"Ashish Jakar2025-09-0420")</f>
        <v>Ashish Jakar2025-09-0420</v>
      </c>
      <c r="K2051" s="115">
        <f>IFERROR(__xludf.DUMMYFUNCTION("""COMPUTED_VALUE"""),64629.0)</f>
        <v>64629</v>
      </c>
    </row>
    <row r="2052">
      <c r="A2052" s="115" t="str">
        <f>IFERROR(__xludf.DUMMYFUNCTION("""COMPUTED_VALUE"""),"WEST")</f>
        <v>WEST</v>
      </c>
      <c r="B2052" s="115" t="str">
        <f>IFERROR(__xludf.DUMMYFUNCTION("""COMPUTED_VALUE"""),"Ashish Jakar")</f>
        <v>Ashish Jakar</v>
      </c>
      <c r="C2052" s="115" t="str">
        <f>IFERROR(__xludf.DUMMYFUNCTION("""COMPUTED_VALUE"""),"FLIPKART")</f>
        <v>FLIPKART</v>
      </c>
      <c r="D2052" s="115">
        <f>IFERROR(__xludf.DUMMYFUNCTION("""COMPUTED_VALUE"""),326361.0)</f>
        <v>326361</v>
      </c>
      <c r="E2052" s="115">
        <f>IFERROR(__xludf.DUMMYFUNCTION("""COMPUTED_VALUE"""),35321.0)</f>
        <v>35321</v>
      </c>
      <c r="F2052" s="115">
        <f>IFERROR(__xludf.DUMMYFUNCTION("""COMPUTED_VALUE"""),231353.0)</f>
        <v>231353</v>
      </c>
      <c r="G2052" s="115">
        <f>IFERROR(__xludf.DUMMYFUNCTION("""COMPUTED_VALUE"""),21348.0)</f>
        <v>21348</v>
      </c>
      <c r="H2052" s="116">
        <f>IFERROR(__xludf.DUMMYFUNCTION("""COMPUTED_VALUE"""),45904.0)</f>
        <v>45904</v>
      </c>
      <c r="I2052" s="115" t="str">
        <f>IFERROR(__xludf.DUMMYFUNCTION("""COMPUTED_VALUE"""),"20")</f>
        <v>20</v>
      </c>
      <c r="J2052" s="115" t="str">
        <f>IFERROR(__xludf.DUMMYFUNCTION("""COMPUTED_VALUE"""),"Ashish Jakar2025-09-0420")</f>
        <v>Ashish Jakar2025-09-0420</v>
      </c>
      <c r="K2052" s="115">
        <f>IFERROR(__xludf.DUMMYFUNCTION("""COMPUTED_VALUE"""),361682.0)</f>
        <v>361682</v>
      </c>
    </row>
    <row r="2053">
      <c r="A2053" s="115" t="str">
        <f>IFERROR(__xludf.DUMMYFUNCTION("""COMPUTED_VALUE"""),"WEST")</f>
        <v>WEST</v>
      </c>
      <c r="B2053" s="115" t="str">
        <f>IFERROR(__xludf.DUMMYFUNCTION("""COMPUTED_VALUE"""),"Ashish Jakar")</f>
        <v>Ashish Jakar</v>
      </c>
      <c r="C2053" s="115" t="str">
        <f>IFERROR(__xludf.DUMMYFUNCTION("""COMPUTED_VALUE"""),"MYNTRA")</f>
        <v>MYNTRA</v>
      </c>
      <c r="D2053" s="115">
        <f>IFERROR(__xludf.DUMMYFUNCTION("""COMPUTED_VALUE"""),38952.0)</f>
        <v>38952</v>
      </c>
      <c r="E2053" s="115">
        <f>IFERROR(__xludf.DUMMYFUNCTION("""COMPUTED_VALUE"""),11006.0)</f>
        <v>11006</v>
      </c>
      <c r="F2053" s="115">
        <f>IFERROR(__xludf.DUMMYFUNCTION("""COMPUTED_VALUE"""),31752.0)</f>
        <v>31752</v>
      </c>
      <c r="G2053" s="115">
        <f>IFERROR(__xludf.DUMMYFUNCTION("""COMPUTED_VALUE"""),6842.0)</f>
        <v>6842</v>
      </c>
      <c r="H2053" s="116">
        <f>IFERROR(__xludf.DUMMYFUNCTION("""COMPUTED_VALUE"""),45904.0)</f>
        <v>45904</v>
      </c>
      <c r="I2053" s="115" t="str">
        <f>IFERROR(__xludf.DUMMYFUNCTION("""COMPUTED_VALUE"""),"20")</f>
        <v>20</v>
      </c>
      <c r="J2053" s="115" t="str">
        <f>IFERROR(__xludf.DUMMYFUNCTION("""COMPUTED_VALUE"""),"Ashish Jakar2025-09-0420")</f>
        <v>Ashish Jakar2025-09-0420</v>
      </c>
      <c r="K2053" s="115">
        <f>IFERROR(__xludf.DUMMYFUNCTION("""COMPUTED_VALUE"""),49958.0)</f>
        <v>49958</v>
      </c>
    </row>
    <row r="2054">
      <c r="A2054" s="115" t="str">
        <f>IFERROR(__xludf.DUMMYFUNCTION("""COMPUTED_VALUE"""),"WEST")</f>
        <v>WEST</v>
      </c>
      <c r="B2054" s="115" t="str">
        <f>IFERROR(__xludf.DUMMYFUNCTION("""COMPUTED_VALUE"""),"Ashvani Bhatt")</f>
        <v>Ashvani Bhatt</v>
      </c>
      <c r="C2054" s="115" t="str">
        <f>IFERROR(__xludf.DUMMYFUNCTION("""COMPUTED_VALUE"""),"EXTERNAL")</f>
        <v>EXTERNAL</v>
      </c>
      <c r="D2054" s="115">
        <f>IFERROR(__xludf.DUMMYFUNCTION("""COMPUTED_VALUE"""),37683.0)</f>
        <v>37683</v>
      </c>
      <c r="E2054" s="115">
        <f>IFERROR(__xludf.DUMMYFUNCTION("""COMPUTED_VALUE"""),3433.0)</f>
        <v>3433</v>
      </c>
      <c r="F2054" s="115">
        <f>IFERROR(__xludf.DUMMYFUNCTION("""COMPUTED_VALUE"""),16051.0)</f>
        <v>16051</v>
      </c>
      <c r="G2054" s="115">
        <f>IFERROR(__xludf.DUMMYFUNCTION("""COMPUTED_VALUE"""),1377.0)</f>
        <v>1377</v>
      </c>
      <c r="H2054" s="116">
        <f>IFERROR(__xludf.DUMMYFUNCTION("""COMPUTED_VALUE"""),45904.0)</f>
        <v>45904</v>
      </c>
      <c r="I2054" s="115" t="str">
        <f>IFERROR(__xludf.DUMMYFUNCTION("""COMPUTED_VALUE"""),"20")</f>
        <v>20</v>
      </c>
      <c r="J2054" s="115" t="str">
        <f>IFERROR(__xludf.DUMMYFUNCTION("""COMPUTED_VALUE"""),"Ashvani Bhatt2025-09-0420")</f>
        <v>Ashvani Bhatt2025-09-0420</v>
      </c>
      <c r="K2054" s="115">
        <f>IFERROR(__xludf.DUMMYFUNCTION("""COMPUTED_VALUE"""),41116.0)</f>
        <v>41116</v>
      </c>
    </row>
    <row r="2055">
      <c r="A2055" s="115" t="str">
        <f>IFERROR(__xludf.DUMMYFUNCTION("""COMPUTED_VALUE"""),"WEST")</f>
        <v>WEST</v>
      </c>
      <c r="B2055" s="115" t="str">
        <f>IFERROR(__xludf.DUMMYFUNCTION("""COMPUTED_VALUE"""),"Ashvani Bhatt")</f>
        <v>Ashvani Bhatt</v>
      </c>
      <c r="C2055" s="115" t="str">
        <f>IFERROR(__xludf.DUMMYFUNCTION("""COMPUTED_VALUE"""),"FLIPKART")</f>
        <v>FLIPKART</v>
      </c>
      <c r="D2055" s="115">
        <f>IFERROR(__xludf.DUMMYFUNCTION("""COMPUTED_VALUE"""),263827.0)</f>
        <v>263827</v>
      </c>
      <c r="E2055" s="115">
        <f>IFERROR(__xludf.DUMMYFUNCTION("""COMPUTED_VALUE"""),28699.0)</f>
        <v>28699</v>
      </c>
      <c r="F2055" s="115">
        <f>IFERROR(__xludf.DUMMYFUNCTION("""COMPUTED_VALUE"""),197794.0)</f>
        <v>197794</v>
      </c>
      <c r="G2055" s="115">
        <f>IFERROR(__xludf.DUMMYFUNCTION("""COMPUTED_VALUE"""),18041.0)</f>
        <v>18041</v>
      </c>
      <c r="H2055" s="116">
        <f>IFERROR(__xludf.DUMMYFUNCTION("""COMPUTED_VALUE"""),45904.0)</f>
        <v>45904</v>
      </c>
      <c r="I2055" s="115" t="str">
        <f>IFERROR(__xludf.DUMMYFUNCTION("""COMPUTED_VALUE"""),"20")</f>
        <v>20</v>
      </c>
      <c r="J2055" s="115" t="str">
        <f>IFERROR(__xludf.DUMMYFUNCTION("""COMPUTED_VALUE"""),"Ashvani Bhatt2025-09-0420")</f>
        <v>Ashvani Bhatt2025-09-0420</v>
      </c>
      <c r="K2055" s="115">
        <f>IFERROR(__xludf.DUMMYFUNCTION("""COMPUTED_VALUE"""),292526.0)</f>
        <v>292526</v>
      </c>
    </row>
    <row r="2056">
      <c r="A2056" s="115" t="str">
        <f>IFERROR(__xludf.DUMMYFUNCTION("""COMPUTED_VALUE"""),"WEST")</f>
        <v>WEST</v>
      </c>
      <c r="B2056" s="115" t="str">
        <f>IFERROR(__xludf.DUMMYFUNCTION("""COMPUTED_VALUE"""),"Ashvani Bhatt")</f>
        <v>Ashvani Bhatt</v>
      </c>
      <c r="C2056" s="115" t="str">
        <f>IFERROR(__xludf.DUMMYFUNCTION("""COMPUTED_VALUE"""),"MYNTRA")</f>
        <v>MYNTRA</v>
      </c>
      <c r="D2056" s="115">
        <f>IFERROR(__xludf.DUMMYFUNCTION("""COMPUTED_VALUE"""),32943.0)</f>
        <v>32943</v>
      </c>
      <c r="E2056" s="115">
        <f>IFERROR(__xludf.DUMMYFUNCTION("""COMPUTED_VALUE"""),8712.0)</f>
        <v>8712</v>
      </c>
      <c r="F2056" s="115">
        <f>IFERROR(__xludf.DUMMYFUNCTION("""COMPUTED_VALUE"""),27756.0)</f>
        <v>27756</v>
      </c>
      <c r="G2056" s="115">
        <f>IFERROR(__xludf.DUMMYFUNCTION("""COMPUTED_VALUE"""),5980.0)</f>
        <v>5980</v>
      </c>
      <c r="H2056" s="116">
        <f>IFERROR(__xludf.DUMMYFUNCTION("""COMPUTED_VALUE"""),45904.0)</f>
        <v>45904</v>
      </c>
      <c r="I2056" s="115" t="str">
        <f>IFERROR(__xludf.DUMMYFUNCTION("""COMPUTED_VALUE"""),"20")</f>
        <v>20</v>
      </c>
      <c r="J2056" s="115" t="str">
        <f>IFERROR(__xludf.DUMMYFUNCTION("""COMPUTED_VALUE"""),"Ashvani Bhatt2025-09-0420")</f>
        <v>Ashvani Bhatt2025-09-0420</v>
      </c>
      <c r="K2056" s="115">
        <f>IFERROR(__xludf.DUMMYFUNCTION("""COMPUTED_VALUE"""),41655.0)</f>
        <v>41655</v>
      </c>
    </row>
    <row r="2057">
      <c r="A2057" s="115"/>
      <c r="B2057" s="115"/>
      <c r="C2057" s="115" t="str">
        <f>IFERROR(__xludf.DUMMYFUNCTION("""COMPUTED_VALUE"""),"EXTERNAL")</f>
        <v>EXTERNAL</v>
      </c>
      <c r="D2057" s="115">
        <f>IFERROR(__xludf.DUMMYFUNCTION("""COMPUTED_VALUE"""),1288.0)</f>
        <v>1288</v>
      </c>
      <c r="E2057" s="115">
        <f>IFERROR(__xludf.DUMMYFUNCTION("""COMPUTED_VALUE"""),232.0)</f>
        <v>232</v>
      </c>
      <c r="F2057" s="115">
        <f>IFERROR(__xludf.DUMMYFUNCTION("""COMPUTED_VALUE"""),534.0)</f>
        <v>534</v>
      </c>
      <c r="G2057" s="115">
        <f>IFERROR(__xludf.DUMMYFUNCTION("""COMPUTED_VALUE"""),110.0)</f>
        <v>110</v>
      </c>
      <c r="H2057" s="116">
        <f>IFERROR(__xludf.DUMMYFUNCTION("""COMPUTED_VALUE"""),45904.0)</f>
        <v>45904</v>
      </c>
      <c r="I2057" s="115" t="str">
        <f>IFERROR(__xludf.DUMMYFUNCTION("""COMPUTED_VALUE"""),"20")</f>
        <v>20</v>
      </c>
      <c r="J2057" s="115" t="str">
        <f>IFERROR(__xludf.DUMMYFUNCTION("""COMPUTED_VALUE"""),"2025-09-0420")</f>
        <v>2025-09-0420</v>
      </c>
      <c r="K2057" s="115">
        <f>IFERROR(__xludf.DUMMYFUNCTION("""COMPUTED_VALUE"""),1520.0)</f>
        <v>1520</v>
      </c>
    </row>
    <row r="2058">
      <c r="A2058" s="115"/>
      <c r="B2058" s="115"/>
      <c r="C2058" s="115" t="str">
        <f>IFERROR(__xludf.DUMMYFUNCTION("""COMPUTED_VALUE"""),"FLIPKART")</f>
        <v>FLIPKART</v>
      </c>
      <c r="D2058" s="115">
        <f>IFERROR(__xludf.DUMMYFUNCTION("""COMPUTED_VALUE"""),8894.0)</f>
        <v>8894</v>
      </c>
      <c r="E2058" s="115">
        <f>IFERROR(__xludf.DUMMYFUNCTION("""COMPUTED_VALUE"""),1142.0)</f>
        <v>1142</v>
      </c>
      <c r="F2058" s="115">
        <f>IFERROR(__xludf.DUMMYFUNCTION("""COMPUTED_VALUE"""),6564.0)</f>
        <v>6564</v>
      </c>
      <c r="G2058" s="115">
        <f>IFERROR(__xludf.DUMMYFUNCTION("""COMPUTED_VALUE"""),695.0)</f>
        <v>695</v>
      </c>
      <c r="H2058" s="116">
        <f>IFERROR(__xludf.DUMMYFUNCTION("""COMPUTED_VALUE"""),45904.0)</f>
        <v>45904</v>
      </c>
      <c r="I2058" s="115" t="str">
        <f>IFERROR(__xludf.DUMMYFUNCTION("""COMPUTED_VALUE"""),"20")</f>
        <v>20</v>
      </c>
      <c r="J2058" s="115" t="str">
        <f>IFERROR(__xludf.DUMMYFUNCTION("""COMPUTED_VALUE"""),"2025-09-0420")</f>
        <v>2025-09-0420</v>
      </c>
      <c r="K2058" s="115">
        <f>IFERROR(__xludf.DUMMYFUNCTION("""COMPUTED_VALUE"""),10036.0)</f>
        <v>10036</v>
      </c>
    </row>
    <row r="2059">
      <c r="A2059" s="115"/>
      <c r="B2059" s="115"/>
      <c r="C2059" s="115" t="str">
        <f>IFERROR(__xludf.DUMMYFUNCTION("""COMPUTED_VALUE"""),"MYNTRA")</f>
        <v>MYNTRA</v>
      </c>
      <c r="D2059" s="115">
        <f>IFERROR(__xludf.DUMMYFUNCTION("""COMPUTED_VALUE"""),922.0)</f>
        <v>922</v>
      </c>
      <c r="E2059" s="115">
        <f>IFERROR(__xludf.DUMMYFUNCTION("""COMPUTED_VALUE"""),337.0)</f>
        <v>337</v>
      </c>
      <c r="F2059" s="115">
        <f>IFERROR(__xludf.DUMMYFUNCTION("""COMPUTED_VALUE"""),695.0)</f>
        <v>695</v>
      </c>
      <c r="G2059" s="115">
        <f>IFERROR(__xludf.DUMMYFUNCTION("""COMPUTED_VALUE"""),224.0)</f>
        <v>224</v>
      </c>
      <c r="H2059" s="116">
        <f>IFERROR(__xludf.DUMMYFUNCTION("""COMPUTED_VALUE"""),45904.0)</f>
        <v>45904</v>
      </c>
      <c r="I2059" s="115" t="str">
        <f>IFERROR(__xludf.DUMMYFUNCTION("""COMPUTED_VALUE"""),"20")</f>
        <v>20</v>
      </c>
      <c r="J2059" s="115" t="str">
        <f>IFERROR(__xludf.DUMMYFUNCTION("""COMPUTED_VALUE"""),"2025-09-0420")</f>
        <v>2025-09-0420</v>
      </c>
      <c r="K2059" s="115">
        <f>IFERROR(__xludf.DUMMYFUNCTION("""COMPUTED_VALUE"""),1259.0)</f>
        <v>1259</v>
      </c>
    </row>
    <row r="2060">
      <c r="A2060" s="115" t="str">
        <f>IFERROR(__xludf.DUMMYFUNCTION("""COMPUTED_VALUE"""),"EAST")</f>
        <v>EAST</v>
      </c>
      <c r="B2060" s="115" t="str">
        <f>IFERROR(__xludf.DUMMYFUNCTION("""COMPUTED_VALUE"""),"Ashish Ranjan")</f>
        <v>Ashish Ranjan</v>
      </c>
      <c r="C2060" s="115" t="str">
        <f>IFERROR(__xludf.DUMMYFUNCTION("""COMPUTED_VALUE"""),"EXTERNAL")</f>
        <v>EXTERNAL</v>
      </c>
      <c r="D2060" s="115">
        <f>IFERROR(__xludf.DUMMYFUNCTION("""COMPUTED_VALUE"""),35592.0)</f>
        <v>35592</v>
      </c>
      <c r="E2060" s="115">
        <f>IFERROR(__xludf.DUMMYFUNCTION("""COMPUTED_VALUE"""),3454.0)</f>
        <v>3454</v>
      </c>
      <c r="F2060" s="115">
        <f>IFERROR(__xludf.DUMMYFUNCTION("""COMPUTED_VALUE"""),20147.0)</f>
        <v>20147</v>
      </c>
      <c r="G2060" s="115">
        <f>IFERROR(__xludf.DUMMYFUNCTION("""COMPUTED_VALUE"""),1955.0)</f>
        <v>1955</v>
      </c>
      <c r="H2060" s="116">
        <f>IFERROR(__xludf.DUMMYFUNCTION("""COMPUTED_VALUE"""),45904.0)</f>
        <v>45904</v>
      </c>
      <c r="I2060" s="115" t="str">
        <f>IFERROR(__xludf.DUMMYFUNCTION("""COMPUTED_VALUE"""),"21")</f>
        <v>21</v>
      </c>
      <c r="J2060" s="115" t="str">
        <f>IFERROR(__xludf.DUMMYFUNCTION("""COMPUTED_VALUE"""),"Ashish Ranjan2025-09-0421")</f>
        <v>Ashish Ranjan2025-09-0421</v>
      </c>
      <c r="K2060" s="115">
        <f>IFERROR(__xludf.DUMMYFUNCTION("""COMPUTED_VALUE"""),39046.0)</f>
        <v>39046</v>
      </c>
    </row>
    <row r="2061">
      <c r="A2061" s="115" t="str">
        <f>IFERROR(__xludf.DUMMYFUNCTION("""COMPUTED_VALUE"""),"EAST")</f>
        <v>EAST</v>
      </c>
      <c r="B2061" s="115" t="str">
        <f>IFERROR(__xludf.DUMMYFUNCTION("""COMPUTED_VALUE"""),"Ashish Ranjan")</f>
        <v>Ashish Ranjan</v>
      </c>
      <c r="C2061" s="115" t="str">
        <f>IFERROR(__xludf.DUMMYFUNCTION("""COMPUTED_VALUE"""),"FLIPKART")</f>
        <v>FLIPKART</v>
      </c>
      <c r="D2061" s="115">
        <f>IFERROR(__xludf.DUMMYFUNCTION("""COMPUTED_VALUE"""),567655.0)</f>
        <v>567655</v>
      </c>
      <c r="E2061" s="115">
        <f>IFERROR(__xludf.DUMMYFUNCTION("""COMPUTED_VALUE"""),61364.0)</f>
        <v>61364</v>
      </c>
      <c r="F2061" s="115">
        <f>IFERROR(__xludf.DUMMYFUNCTION("""COMPUTED_VALUE"""),501584.0)</f>
        <v>501584</v>
      </c>
      <c r="G2061" s="115">
        <f>IFERROR(__xludf.DUMMYFUNCTION("""COMPUTED_VALUE"""),49571.0)</f>
        <v>49571</v>
      </c>
      <c r="H2061" s="116">
        <f>IFERROR(__xludf.DUMMYFUNCTION("""COMPUTED_VALUE"""),45904.0)</f>
        <v>45904</v>
      </c>
      <c r="I2061" s="115" t="str">
        <f>IFERROR(__xludf.DUMMYFUNCTION("""COMPUTED_VALUE"""),"21")</f>
        <v>21</v>
      </c>
      <c r="J2061" s="115" t="str">
        <f>IFERROR(__xludf.DUMMYFUNCTION("""COMPUTED_VALUE"""),"Ashish Ranjan2025-09-0421")</f>
        <v>Ashish Ranjan2025-09-0421</v>
      </c>
      <c r="K2061" s="115">
        <f>IFERROR(__xludf.DUMMYFUNCTION("""COMPUTED_VALUE"""),629019.0)</f>
        <v>629019</v>
      </c>
    </row>
    <row r="2062">
      <c r="A2062" s="115" t="str">
        <f>IFERROR(__xludf.DUMMYFUNCTION("""COMPUTED_VALUE"""),"EAST")</f>
        <v>EAST</v>
      </c>
      <c r="B2062" s="115" t="str">
        <f>IFERROR(__xludf.DUMMYFUNCTION("""COMPUTED_VALUE"""),"Ashish Ranjan")</f>
        <v>Ashish Ranjan</v>
      </c>
      <c r="C2062" s="115" t="str">
        <f>IFERROR(__xludf.DUMMYFUNCTION("""COMPUTED_VALUE"""),"MYNTRA")</f>
        <v>MYNTRA</v>
      </c>
      <c r="D2062" s="115">
        <f>IFERROR(__xludf.DUMMYFUNCTION("""COMPUTED_VALUE"""),56952.0)</f>
        <v>56952</v>
      </c>
      <c r="E2062" s="115">
        <f>IFERROR(__xludf.DUMMYFUNCTION("""COMPUTED_VALUE"""),12553.0)</f>
        <v>12553</v>
      </c>
      <c r="F2062" s="115">
        <f>IFERROR(__xludf.DUMMYFUNCTION("""COMPUTED_VALUE"""),51192.0)</f>
        <v>51192</v>
      </c>
      <c r="G2062" s="115">
        <f>IFERROR(__xludf.DUMMYFUNCTION("""COMPUTED_VALUE"""),10179.0)</f>
        <v>10179</v>
      </c>
      <c r="H2062" s="116">
        <f>IFERROR(__xludf.DUMMYFUNCTION("""COMPUTED_VALUE"""),45904.0)</f>
        <v>45904</v>
      </c>
      <c r="I2062" s="115" t="str">
        <f>IFERROR(__xludf.DUMMYFUNCTION("""COMPUTED_VALUE"""),"21")</f>
        <v>21</v>
      </c>
      <c r="J2062" s="115" t="str">
        <f>IFERROR(__xludf.DUMMYFUNCTION("""COMPUTED_VALUE"""),"Ashish Ranjan2025-09-0421")</f>
        <v>Ashish Ranjan2025-09-0421</v>
      </c>
      <c r="K2062" s="115">
        <f>IFERROR(__xludf.DUMMYFUNCTION("""COMPUTED_VALUE"""),69505.0)</f>
        <v>69505</v>
      </c>
    </row>
    <row r="2063">
      <c r="A2063" s="115" t="str">
        <f>IFERROR(__xludf.DUMMYFUNCTION("""COMPUTED_VALUE"""),"EAST")</f>
        <v>EAST</v>
      </c>
      <c r="B2063" s="115" t="str">
        <f>IFERROR(__xludf.DUMMYFUNCTION("""COMPUTED_VALUE"""),"Girish Chand")</f>
        <v>Girish Chand</v>
      </c>
      <c r="C2063" s="115" t="str">
        <f>IFERROR(__xludf.DUMMYFUNCTION("""COMPUTED_VALUE"""),"EXTERNAL")</f>
        <v>EXTERNAL</v>
      </c>
      <c r="D2063" s="115">
        <f>IFERROR(__xludf.DUMMYFUNCTION("""COMPUTED_VALUE"""),21504.0)</f>
        <v>21504</v>
      </c>
      <c r="E2063" s="115">
        <f>IFERROR(__xludf.DUMMYFUNCTION("""COMPUTED_VALUE"""),1935.0)</f>
        <v>1935</v>
      </c>
      <c r="F2063" s="115">
        <f>IFERROR(__xludf.DUMMYFUNCTION("""COMPUTED_VALUE"""),8936.0)</f>
        <v>8936</v>
      </c>
      <c r="G2063" s="115">
        <f>IFERROR(__xludf.DUMMYFUNCTION("""COMPUTED_VALUE"""),858.0)</f>
        <v>858</v>
      </c>
      <c r="H2063" s="116">
        <f>IFERROR(__xludf.DUMMYFUNCTION("""COMPUTED_VALUE"""),45904.0)</f>
        <v>45904</v>
      </c>
      <c r="I2063" s="115" t="str">
        <f>IFERROR(__xludf.DUMMYFUNCTION("""COMPUTED_VALUE"""),"21")</f>
        <v>21</v>
      </c>
      <c r="J2063" s="115" t="str">
        <f>IFERROR(__xludf.DUMMYFUNCTION("""COMPUTED_VALUE"""),"Girish Chand2025-09-0421")</f>
        <v>Girish Chand2025-09-0421</v>
      </c>
      <c r="K2063" s="115">
        <f>IFERROR(__xludf.DUMMYFUNCTION("""COMPUTED_VALUE"""),23439.0)</f>
        <v>23439</v>
      </c>
    </row>
    <row r="2064">
      <c r="A2064" s="115" t="str">
        <f>IFERROR(__xludf.DUMMYFUNCTION("""COMPUTED_VALUE"""),"EAST")</f>
        <v>EAST</v>
      </c>
      <c r="B2064" s="115" t="str">
        <f>IFERROR(__xludf.DUMMYFUNCTION("""COMPUTED_VALUE"""),"Girish Chand")</f>
        <v>Girish Chand</v>
      </c>
      <c r="C2064" s="115" t="str">
        <f>IFERROR(__xludf.DUMMYFUNCTION("""COMPUTED_VALUE"""),"FLIPKART")</f>
        <v>FLIPKART</v>
      </c>
      <c r="D2064" s="115">
        <f>IFERROR(__xludf.DUMMYFUNCTION("""COMPUTED_VALUE"""),383093.0)</f>
        <v>383093</v>
      </c>
      <c r="E2064" s="115">
        <f>IFERROR(__xludf.DUMMYFUNCTION("""COMPUTED_VALUE"""),40155.0)</f>
        <v>40155</v>
      </c>
      <c r="F2064" s="115">
        <f>IFERROR(__xludf.DUMMYFUNCTION("""COMPUTED_VALUE"""),284937.0)</f>
        <v>284937</v>
      </c>
      <c r="G2064" s="115">
        <f>IFERROR(__xludf.DUMMYFUNCTION("""COMPUTED_VALUE"""),29631.0)</f>
        <v>29631</v>
      </c>
      <c r="H2064" s="116">
        <f>IFERROR(__xludf.DUMMYFUNCTION("""COMPUTED_VALUE"""),45904.0)</f>
        <v>45904</v>
      </c>
      <c r="I2064" s="115" t="str">
        <f>IFERROR(__xludf.DUMMYFUNCTION("""COMPUTED_VALUE"""),"21")</f>
        <v>21</v>
      </c>
      <c r="J2064" s="115" t="str">
        <f>IFERROR(__xludf.DUMMYFUNCTION("""COMPUTED_VALUE"""),"Girish Chand2025-09-0421")</f>
        <v>Girish Chand2025-09-0421</v>
      </c>
      <c r="K2064" s="115">
        <f>IFERROR(__xludf.DUMMYFUNCTION("""COMPUTED_VALUE"""),423248.0)</f>
        <v>423248</v>
      </c>
    </row>
    <row r="2065">
      <c r="A2065" s="115" t="str">
        <f>IFERROR(__xludf.DUMMYFUNCTION("""COMPUTED_VALUE"""),"EAST")</f>
        <v>EAST</v>
      </c>
      <c r="B2065" s="115" t="str">
        <f>IFERROR(__xludf.DUMMYFUNCTION("""COMPUTED_VALUE"""),"Girish Chand")</f>
        <v>Girish Chand</v>
      </c>
      <c r="C2065" s="115" t="str">
        <f>IFERROR(__xludf.DUMMYFUNCTION("""COMPUTED_VALUE"""),"MYNTRA")</f>
        <v>MYNTRA</v>
      </c>
      <c r="D2065" s="115">
        <f>IFERROR(__xludf.DUMMYFUNCTION("""COMPUTED_VALUE"""),30987.0)</f>
        <v>30987</v>
      </c>
      <c r="E2065" s="115">
        <f>IFERROR(__xludf.DUMMYFUNCTION("""COMPUTED_VALUE"""),6990.0)</f>
        <v>6990</v>
      </c>
      <c r="F2065" s="115">
        <f>IFERROR(__xludf.DUMMYFUNCTION("""COMPUTED_VALUE"""),24375.0)</f>
        <v>24375</v>
      </c>
      <c r="G2065" s="115">
        <f>IFERROR(__xludf.DUMMYFUNCTION("""COMPUTED_VALUE"""),5290.0)</f>
        <v>5290</v>
      </c>
      <c r="H2065" s="116">
        <f>IFERROR(__xludf.DUMMYFUNCTION("""COMPUTED_VALUE"""),45904.0)</f>
        <v>45904</v>
      </c>
      <c r="I2065" s="115" t="str">
        <f>IFERROR(__xludf.DUMMYFUNCTION("""COMPUTED_VALUE"""),"21")</f>
        <v>21</v>
      </c>
      <c r="J2065" s="115" t="str">
        <f>IFERROR(__xludf.DUMMYFUNCTION("""COMPUTED_VALUE"""),"Girish Chand2025-09-0421")</f>
        <v>Girish Chand2025-09-0421</v>
      </c>
      <c r="K2065" s="115">
        <f>IFERROR(__xludf.DUMMYFUNCTION("""COMPUTED_VALUE"""),37977.0)</f>
        <v>37977</v>
      </c>
    </row>
    <row r="2066">
      <c r="A2066" s="115" t="str">
        <f>IFERROR(__xludf.DUMMYFUNCTION("""COMPUTED_VALUE"""),"EAST")</f>
        <v>EAST</v>
      </c>
      <c r="B2066" s="115" t="str">
        <f>IFERROR(__xludf.DUMMYFUNCTION("""COMPUTED_VALUE"""),"Parag Kashyap")</f>
        <v>Parag Kashyap</v>
      </c>
      <c r="C2066" s="115" t="str">
        <f>IFERROR(__xludf.DUMMYFUNCTION("""COMPUTED_VALUE"""),"EXTERNAL")</f>
        <v>EXTERNAL</v>
      </c>
      <c r="D2066" s="115">
        <f>IFERROR(__xludf.DUMMYFUNCTION("""COMPUTED_VALUE"""),20397.0)</f>
        <v>20397</v>
      </c>
      <c r="E2066" s="115">
        <f>IFERROR(__xludf.DUMMYFUNCTION("""COMPUTED_VALUE"""),1125.0)</f>
        <v>1125</v>
      </c>
      <c r="F2066" s="115">
        <f>IFERROR(__xludf.DUMMYFUNCTION("""COMPUTED_VALUE"""),8638.0)</f>
        <v>8638</v>
      </c>
      <c r="G2066" s="115">
        <f>IFERROR(__xludf.DUMMYFUNCTION("""COMPUTED_VALUE"""),496.0)</f>
        <v>496</v>
      </c>
      <c r="H2066" s="116">
        <f>IFERROR(__xludf.DUMMYFUNCTION("""COMPUTED_VALUE"""),45904.0)</f>
        <v>45904</v>
      </c>
      <c r="I2066" s="115" t="str">
        <f>IFERROR(__xludf.DUMMYFUNCTION("""COMPUTED_VALUE"""),"21")</f>
        <v>21</v>
      </c>
      <c r="J2066" s="115" t="str">
        <f>IFERROR(__xludf.DUMMYFUNCTION("""COMPUTED_VALUE"""),"Parag Kashyap2025-09-0421")</f>
        <v>Parag Kashyap2025-09-0421</v>
      </c>
      <c r="K2066" s="115">
        <f>IFERROR(__xludf.DUMMYFUNCTION("""COMPUTED_VALUE"""),21522.0)</f>
        <v>21522</v>
      </c>
    </row>
    <row r="2067">
      <c r="A2067" s="115" t="str">
        <f>IFERROR(__xludf.DUMMYFUNCTION("""COMPUTED_VALUE"""),"EAST")</f>
        <v>EAST</v>
      </c>
      <c r="B2067" s="115" t="str">
        <f>IFERROR(__xludf.DUMMYFUNCTION("""COMPUTED_VALUE"""),"Parag Kashyap")</f>
        <v>Parag Kashyap</v>
      </c>
      <c r="C2067" s="115" t="str">
        <f>IFERROR(__xludf.DUMMYFUNCTION("""COMPUTED_VALUE"""),"FLIPKART")</f>
        <v>FLIPKART</v>
      </c>
      <c r="D2067" s="115">
        <f>IFERROR(__xludf.DUMMYFUNCTION("""COMPUTED_VALUE"""),296145.0)</f>
        <v>296145</v>
      </c>
      <c r="E2067" s="115">
        <f>IFERROR(__xludf.DUMMYFUNCTION("""COMPUTED_VALUE"""),20553.0)</f>
        <v>20553</v>
      </c>
      <c r="F2067" s="115">
        <f>IFERROR(__xludf.DUMMYFUNCTION("""COMPUTED_VALUE"""),231016.0)</f>
        <v>231016</v>
      </c>
      <c r="G2067" s="115">
        <f>IFERROR(__xludf.DUMMYFUNCTION("""COMPUTED_VALUE"""),14503.0)</f>
        <v>14503</v>
      </c>
      <c r="H2067" s="116">
        <f>IFERROR(__xludf.DUMMYFUNCTION("""COMPUTED_VALUE"""),45904.0)</f>
        <v>45904</v>
      </c>
      <c r="I2067" s="115" t="str">
        <f>IFERROR(__xludf.DUMMYFUNCTION("""COMPUTED_VALUE"""),"21")</f>
        <v>21</v>
      </c>
      <c r="J2067" s="115" t="str">
        <f>IFERROR(__xludf.DUMMYFUNCTION("""COMPUTED_VALUE"""),"Parag Kashyap2025-09-0421")</f>
        <v>Parag Kashyap2025-09-0421</v>
      </c>
      <c r="K2067" s="115">
        <f>IFERROR(__xludf.DUMMYFUNCTION("""COMPUTED_VALUE"""),316698.0)</f>
        <v>316698</v>
      </c>
    </row>
    <row r="2068">
      <c r="A2068" s="115" t="str">
        <f>IFERROR(__xludf.DUMMYFUNCTION("""COMPUTED_VALUE"""),"EAST")</f>
        <v>EAST</v>
      </c>
      <c r="B2068" s="115" t="str">
        <f>IFERROR(__xludf.DUMMYFUNCTION("""COMPUTED_VALUE"""),"Parag Kashyap")</f>
        <v>Parag Kashyap</v>
      </c>
      <c r="C2068" s="115" t="str">
        <f>IFERROR(__xludf.DUMMYFUNCTION("""COMPUTED_VALUE"""),"MYNTRA")</f>
        <v>MYNTRA</v>
      </c>
      <c r="D2068" s="115">
        <f>IFERROR(__xludf.DUMMYFUNCTION("""COMPUTED_VALUE"""),34311.0)</f>
        <v>34311</v>
      </c>
      <c r="E2068" s="115">
        <f>IFERROR(__xludf.DUMMYFUNCTION("""COMPUTED_VALUE"""),5151.0)</f>
        <v>5151</v>
      </c>
      <c r="F2068" s="115">
        <f>IFERROR(__xludf.DUMMYFUNCTION("""COMPUTED_VALUE"""),27380.0)</f>
        <v>27380</v>
      </c>
      <c r="G2068" s="115">
        <f>IFERROR(__xludf.DUMMYFUNCTION("""COMPUTED_VALUE"""),3619.0)</f>
        <v>3619</v>
      </c>
      <c r="H2068" s="116">
        <f>IFERROR(__xludf.DUMMYFUNCTION("""COMPUTED_VALUE"""),45904.0)</f>
        <v>45904</v>
      </c>
      <c r="I2068" s="115" t="str">
        <f>IFERROR(__xludf.DUMMYFUNCTION("""COMPUTED_VALUE"""),"21")</f>
        <v>21</v>
      </c>
      <c r="J2068" s="115" t="str">
        <f>IFERROR(__xludf.DUMMYFUNCTION("""COMPUTED_VALUE"""),"Parag Kashyap2025-09-0421")</f>
        <v>Parag Kashyap2025-09-0421</v>
      </c>
      <c r="K2068" s="115">
        <f>IFERROR(__xludf.DUMMYFUNCTION("""COMPUTED_VALUE"""),39462.0)</f>
        <v>39462</v>
      </c>
    </row>
    <row r="2069">
      <c r="A2069" s="115" t="str">
        <f>IFERROR(__xludf.DUMMYFUNCTION("""COMPUTED_VALUE"""),"NORTH")</f>
        <v>NORTH</v>
      </c>
      <c r="B2069" s="115" t="str">
        <f>IFERROR(__xludf.DUMMYFUNCTION("""COMPUTED_VALUE"""),"Amit Kumar Pathak")</f>
        <v>Amit Kumar Pathak</v>
      </c>
      <c r="C2069" s="115" t="str">
        <f>IFERROR(__xludf.DUMMYFUNCTION("""COMPUTED_VALUE"""),"EXTERNAL")</f>
        <v>EXTERNAL</v>
      </c>
      <c r="D2069" s="115">
        <f>IFERROR(__xludf.DUMMYFUNCTION("""COMPUTED_VALUE"""),27990.0)</f>
        <v>27990</v>
      </c>
      <c r="E2069" s="115">
        <f>IFERROR(__xludf.DUMMYFUNCTION("""COMPUTED_VALUE"""),3167.0)</f>
        <v>3167</v>
      </c>
      <c r="F2069" s="115">
        <f>IFERROR(__xludf.DUMMYFUNCTION("""COMPUTED_VALUE"""),11802.0)</f>
        <v>11802</v>
      </c>
      <c r="G2069" s="115">
        <f>IFERROR(__xludf.DUMMYFUNCTION("""COMPUTED_VALUE"""),1710.0)</f>
        <v>1710</v>
      </c>
      <c r="H2069" s="116">
        <f>IFERROR(__xludf.DUMMYFUNCTION("""COMPUTED_VALUE"""),45904.0)</f>
        <v>45904</v>
      </c>
      <c r="I2069" s="115" t="str">
        <f>IFERROR(__xludf.DUMMYFUNCTION("""COMPUTED_VALUE"""),"21")</f>
        <v>21</v>
      </c>
      <c r="J2069" s="115" t="str">
        <f>IFERROR(__xludf.DUMMYFUNCTION("""COMPUTED_VALUE"""),"Amit Kumar Pathak2025-09-0421")</f>
        <v>Amit Kumar Pathak2025-09-0421</v>
      </c>
      <c r="K2069" s="115">
        <f>IFERROR(__xludf.DUMMYFUNCTION("""COMPUTED_VALUE"""),31157.0)</f>
        <v>31157</v>
      </c>
    </row>
    <row r="2070">
      <c r="A2070" s="115" t="str">
        <f>IFERROR(__xludf.DUMMYFUNCTION("""COMPUTED_VALUE"""),"NORTH")</f>
        <v>NORTH</v>
      </c>
      <c r="B2070" s="115" t="str">
        <f>IFERROR(__xludf.DUMMYFUNCTION("""COMPUTED_VALUE"""),"Amit Kumar Pathak")</f>
        <v>Amit Kumar Pathak</v>
      </c>
      <c r="C2070" s="115" t="str">
        <f>IFERROR(__xludf.DUMMYFUNCTION("""COMPUTED_VALUE"""),"FLIPKART")</f>
        <v>FLIPKART</v>
      </c>
      <c r="D2070" s="115">
        <f>IFERROR(__xludf.DUMMYFUNCTION("""COMPUTED_VALUE"""),215567.0)</f>
        <v>215567</v>
      </c>
      <c r="E2070" s="115">
        <f>IFERROR(__xludf.DUMMYFUNCTION("""COMPUTED_VALUE"""),24467.0)</f>
        <v>24467</v>
      </c>
      <c r="F2070" s="115">
        <f>IFERROR(__xludf.DUMMYFUNCTION("""COMPUTED_VALUE"""),158080.0)</f>
        <v>158080</v>
      </c>
      <c r="G2070" s="115">
        <f>IFERROR(__xludf.DUMMYFUNCTION("""COMPUTED_VALUE"""),15770.0)</f>
        <v>15770</v>
      </c>
      <c r="H2070" s="116">
        <f>IFERROR(__xludf.DUMMYFUNCTION("""COMPUTED_VALUE"""),45904.0)</f>
        <v>45904</v>
      </c>
      <c r="I2070" s="115" t="str">
        <f>IFERROR(__xludf.DUMMYFUNCTION("""COMPUTED_VALUE"""),"21")</f>
        <v>21</v>
      </c>
      <c r="J2070" s="115" t="str">
        <f>IFERROR(__xludf.DUMMYFUNCTION("""COMPUTED_VALUE"""),"Amit Kumar Pathak2025-09-0421")</f>
        <v>Amit Kumar Pathak2025-09-0421</v>
      </c>
      <c r="K2070" s="115">
        <f>IFERROR(__xludf.DUMMYFUNCTION("""COMPUTED_VALUE"""),240034.0)</f>
        <v>240034</v>
      </c>
    </row>
    <row r="2071">
      <c r="A2071" s="115" t="str">
        <f>IFERROR(__xludf.DUMMYFUNCTION("""COMPUTED_VALUE"""),"NORTH")</f>
        <v>NORTH</v>
      </c>
      <c r="B2071" s="115" t="str">
        <f>IFERROR(__xludf.DUMMYFUNCTION("""COMPUTED_VALUE"""),"Amit Kumar Pathak")</f>
        <v>Amit Kumar Pathak</v>
      </c>
      <c r="C2071" s="115" t="str">
        <f>IFERROR(__xludf.DUMMYFUNCTION("""COMPUTED_VALUE"""),"MYNTRA")</f>
        <v>MYNTRA</v>
      </c>
      <c r="D2071" s="115">
        <f>IFERROR(__xludf.DUMMYFUNCTION("""COMPUTED_VALUE"""),20151.0)</f>
        <v>20151</v>
      </c>
      <c r="E2071" s="115">
        <f>IFERROR(__xludf.DUMMYFUNCTION("""COMPUTED_VALUE"""),5981.0)</f>
        <v>5981</v>
      </c>
      <c r="F2071" s="115">
        <f>IFERROR(__xludf.DUMMYFUNCTION("""COMPUTED_VALUE"""),17301.0)</f>
        <v>17301</v>
      </c>
      <c r="G2071" s="115">
        <f>IFERROR(__xludf.DUMMYFUNCTION("""COMPUTED_VALUE"""),4120.0)</f>
        <v>4120</v>
      </c>
      <c r="H2071" s="116">
        <f>IFERROR(__xludf.DUMMYFUNCTION("""COMPUTED_VALUE"""),45904.0)</f>
        <v>45904</v>
      </c>
      <c r="I2071" s="115" t="str">
        <f>IFERROR(__xludf.DUMMYFUNCTION("""COMPUTED_VALUE"""),"21")</f>
        <v>21</v>
      </c>
      <c r="J2071" s="115" t="str">
        <f>IFERROR(__xludf.DUMMYFUNCTION("""COMPUTED_VALUE"""),"Amit Kumar Pathak2025-09-0421")</f>
        <v>Amit Kumar Pathak2025-09-0421</v>
      </c>
      <c r="K2071" s="115">
        <f>IFERROR(__xludf.DUMMYFUNCTION("""COMPUTED_VALUE"""),26132.0)</f>
        <v>26132</v>
      </c>
    </row>
    <row r="2072">
      <c r="A2072" s="115" t="str">
        <f>IFERROR(__xludf.DUMMYFUNCTION("""COMPUTED_VALUE"""),"NORTH")</f>
        <v>NORTH</v>
      </c>
      <c r="B2072" s="115" t="str">
        <f>IFERROR(__xludf.DUMMYFUNCTION("""COMPUTED_VALUE"""),"Loveleen Singh")</f>
        <v>Loveleen Singh</v>
      </c>
      <c r="C2072" s="115" t="str">
        <f>IFERROR(__xludf.DUMMYFUNCTION("""COMPUTED_VALUE"""),"EXTERNAL")</f>
        <v>EXTERNAL</v>
      </c>
      <c r="D2072" s="115">
        <f>IFERROR(__xludf.DUMMYFUNCTION("""COMPUTED_VALUE"""),33960.0)</f>
        <v>33960</v>
      </c>
      <c r="E2072" s="115">
        <f>IFERROR(__xludf.DUMMYFUNCTION("""COMPUTED_VALUE"""),2274.0)</f>
        <v>2274</v>
      </c>
      <c r="F2072" s="115">
        <f>IFERROR(__xludf.DUMMYFUNCTION("""COMPUTED_VALUE"""),13114.0)</f>
        <v>13114</v>
      </c>
      <c r="G2072" s="115">
        <f>IFERROR(__xludf.DUMMYFUNCTION("""COMPUTED_VALUE"""),940.0)</f>
        <v>940</v>
      </c>
      <c r="H2072" s="116">
        <f>IFERROR(__xludf.DUMMYFUNCTION("""COMPUTED_VALUE"""),45904.0)</f>
        <v>45904</v>
      </c>
      <c r="I2072" s="115" t="str">
        <f>IFERROR(__xludf.DUMMYFUNCTION("""COMPUTED_VALUE"""),"21")</f>
        <v>21</v>
      </c>
      <c r="J2072" s="115" t="str">
        <f>IFERROR(__xludf.DUMMYFUNCTION("""COMPUTED_VALUE"""),"Loveleen Singh2025-09-0421")</f>
        <v>Loveleen Singh2025-09-0421</v>
      </c>
      <c r="K2072" s="115">
        <f>IFERROR(__xludf.DUMMYFUNCTION("""COMPUTED_VALUE"""),36234.0)</f>
        <v>36234</v>
      </c>
    </row>
    <row r="2073">
      <c r="A2073" s="115" t="str">
        <f>IFERROR(__xludf.DUMMYFUNCTION("""COMPUTED_VALUE"""),"NORTH")</f>
        <v>NORTH</v>
      </c>
      <c r="B2073" s="115" t="str">
        <f>IFERROR(__xludf.DUMMYFUNCTION("""COMPUTED_VALUE"""),"Loveleen Singh")</f>
        <v>Loveleen Singh</v>
      </c>
      <c r="C2073" s="115" t="str">
        <f>IFERROR(__xludf.DUMMYFUNCTION("""COMPUTED_VALUE"""),"FLIPKART")</f>
        <v>FLIPKART</v>
      </c>
      <c r="D2073" s="115">
        <f>IFERROR(__xludf.DUMMYFUNCTION("""COMPUTED_VALUE"""),163319.0)</f>
        <v>163319</v>
      </c>
      <c r="E2073" s="115">
        <f>IFERROR(__xludf.DUMMYFUNCTION("""COMPUTED_VALUE"""),17403.0)</f>
        <v>17403</v>
      </c>
      <c r="F2073" s="115">
        <f>IFERROR(__xludf.DUMMYFUNCTION("""COMPUTED_VALUE"""),118973.0)</f>
        <v>118973</v>
      </c>
      <c r="G2073" s="115">
        <f>IFERROR(__xludf.DUMMYFUNCTION("""COMPUTED_VALUE"""),10817.0)</f>
        <v>10817</v>
      </c>
      <c r="H2073" s="116">
        <f>IFERROR(__xludf.DUMMYFUNCTION("""COMPUTED_VALUE"""),45904.0)</f>
        <v>45904</v>
      </c>
      <c r="I2073" s="115" t="str">
        <f>IFERROR(__xludf.DUMMYFUNCTION("""COMPUTED_VALUE"""),"21")</f>
        <v>21</v>
      </c>
      <c r="J2073" s="115" t="str">
        <f>IFERROR(__xludf.DUMMYFUNCTION("""COMPUTED_VALUE"""),"Loveleen Singh2025-09-0421")</f>
        <v>Loveleen Singh2025-09-0421</v>
      </c>
      <c r="K2073" s="115">
        <f>IFERROR(__xludf.DUMMYFUNCTION("""COMPUTED_VALUE"""),180722.0)</f>
        <v>180722</v>
      </c>
    </row>
    <row r="2074">
      <c r="A2074" s="115" t="str">
        <f>IFERROR(__xludf.DUMMYFUNCTION("""COMPUTED_VALUE"""),"NORTH")</f>
        <v>NORTH</v>
      </c>
      <c r="B2074" s="115" t="str">
        <f>IFERROR(__xludf.DUMMYFUNCTION("""COMPUTED_VALUE"""),"Loveleen Singh")</f>
        <v>Loveleen Singh</v>
      </c>
      <c r="C2074" s="115" t="str">
        <f>IFERROR(__xludf.DUMMYFUNCTION("""COMPUTED_VALUE"""),"MYNTRA")</f>
        <v>MYNTRA</v>
      </c>
      <c r="D2074" s="115">
        <f>IFERROR(__xludf.DUMMYFUNCTION("""COMPUTED_VALUE"""),24830.0)</f>
        <v>24830</v>
      </c>
      <c r="E2074" s="115">
        <f>IFERROR(__xludf.DUMMYFUNCTION("""COMPUTED_VALUE"""),6438.0)</f>
        <v>6438</v>
      </c>
      <c r="F2074" s="115">
        <f>IFERROR(__xludf.DUMMYFUNCTION("""COMPUTED_VALUE"""),20086.0)</f>
        <v>20086</v>
      </c>
      <c r="G2074" s="115">
        <f>IFERROR(__xludf.DUMMYFUNCTION("""COMPUTED_VALUE"""),4287.0)</f>
        <v>4287</v>
      </c>
      <c r="H2074" s="116">
        <f>IFERROR(__xludf.DUMMYFUNCTION("""COMPUTED_VALUE"""),45904.0)</f>
        <v>45904</v>
      </c>
      <c r="I2074" s="115" t="str">
        <f>IFERROR(__xludf.DUMMYFUNCTION("""COMPUTED_VALUE"""),"21")</f>
        <v>21</v>
      </c>
      <c r="J2074" s="115" t="str">
        <f>IFERROR(__xludf.DUMMYFUNCTION("""COMPUTED_VALUE"""),"Loveleen Singh2025-09-0421")</f>
        <v>Loveleen Singh2025-09-0421</v>
      </c>
      <c r="K2074" s="115">
        <f>IFERROR(__xludf.DUMMYFUNCTION("""COMPUTED_VALUE"""),31268.0)</f>
        <v>31268</v>
      </c>
    </row>
    <row r="2075">
      <c r="A2075" s="115" t="str">
        <f>IFERROR(__xludf.DUMMYFUNCTION("""COMPUTED_VALUE"""),"NORTH")</f>
        <v>NORTH</v>
      </c>
      <c r="B2075" s="115" t="str">
        <f>IFERROR(__xludf.DUMMYFUNCTION("""COMPUTED_VALUE"""),"Manoj Harsh")</f>
        <v>Manoj Harsh</v>
      </c>
      <c r="C2075" s="115" t="str">
        <f>IFERROR(__xludf.DUMMYFUNCTION("""COMPUTED_VALUE"""),"EXTERNAL")</f>
        <v>EXTERNAL</v>
      </c>
      <c r="D2075" s="115">
        <f>IFERROR(__xludf.DUMMYFUNCTION("""COMPUTED_VALUE"""),32222.0)</f>
        <v>32222</v>
      </c>
      <c r="E2075" s="115">
        <f>IFERROR(__xludf.DUMMYFUNCTION("""COMPUTED_VALUE"""),3108.0)</f>
        <v>3108</v>
      </c>
      <c r="F2075" s="115">
        <f>IFERROR(__xludf.DUMMYFUNCTION("""COMPUTED_VALUE"""),14161.0)</f>
        <v>14161</v>
      </c>
      <c r="G2075" s="115">
        <f>IFERROR(__xludf.DUMMYFUNCTION("""COMPUTED_VALUE"""),1320.0)</f>
        <v>1320</v>
      </c>
      <c r="H2075" s="116">
        <f>IFERROR(__xludf.DUMMYFUNCTION("""COMPUTED_VALUE"""),45904.0)</f>
        <v>45904</v>
      </c>
      <c r="I2075" s="115" t="str">
        <f>IFERROR(__xludf.DUMMYFUNCTION("""COMPUTED_VALUE"""),"21")</f>
        <v>21</v>
      </c>
      <c r="J2075" s="115" t="str">
        <f>IFERROR(__xludf.DUMMYFUNCTION("""COMPUTED_VALUE"""),"Manoj Harsh2025-09-0421")</f>
        <v>Manoj Harsh2025-09-0421</v>
      </c>
      <c r="K2075" s="115">
        <f>IFERROR(__xludf.DUMMYFUNCTION("""COMPUTED_VALUE"""),35330.0)</f>
        <v>35330</v>
      </c>
    </row>
    <row r="2076">
      <c r="A2076" s="115" t="str">
        <f>IFERROR(__xludf.DUMMYFUNCTION("""COMPUTED_VALUE"""),"NORTH")</f>
        <v>NORTH</v>
      </c>
      <c r="B2076" s="115" t="str">
        <f>IFERROR(__xludf.DUMMYFUNCTION("""COMPUTED_VALUE"""),"Manoj Harsh")</f>
        <v>Manoj Harsh</v>
      </c>
      <c r="C2076" s="115" t="str">
        <f>IFERROR(__xludf.DUMMYFUNCTION("""COMPUTED_VALUE"""),"FLIPKART")</f>
        <v>FLIPKART</v>
      </c>
      <c r="D2076" s="115">
        <f>IFERROR(__xludf.DUMMYFUNCTION("""COMPUTED_VALUE"""),405833.0)</f>
        <v>405833</v>
      </c>
      <c r="E2076" s="115">
        <f>IFERROR(__xludf.DUMMYFUNCTION("""COMPUTED_VALUE"""),41401.0)</f>
        <v>41401</v>
      </c>
      <c r="F2076" s="115">
        <f>IFERROR(__xludf.DUMMYFUNCTION("""COMPUTED_VALUE"""),304220.0)</f>
        <v>304220</v>
      </c>
      <c r="G2076" s="115">
        <f>IFERROR(__xludf.DUMMYFUNCTION("""COMPUTED_VALUE"""),27967.0)</f>
        <v>27967</v>
      </c>
      <c r="H2076" s="116">
        <f>IFERROR(__xludf.DUMMYFUNCTION("""COMPUTED_VALUE"""),45904.0)</f>
        <v>45904</v>
      </c>
      <c r="I2076" s="115" t="str">
        <f>IFERROR(__xludf.DUMMYFUNCTION("""COMPUTED_VALUE"""),"21")</f>
        <v>21</v>
      </c>
      <c r="J2076" s="115" t="str">
        <f>IFERROR(__xludf.DUMMYFUNCTION("""COMPUTED_VALUE"""),"Manoj Harsh2025-09-0421")</f>
        <v>Manoj Harsh2025-09-0421</v>
      </c>
      <c r="K2076" s="115">
        <f>IFERROR(__xludf.DUMMYFUNCTION("""COMPUTED_VALUE"""),447234.0)</f>
        <v>447234</v>
      </c>
    </row>
    <row r="2077">
      <c r="A2077" s="115" t="str">
        <f>IFERROR(__xludf.DUMMYFUNCTION("""COMPUTED_VALUE"""),"NORTH")</f>
        <v>NORTH</v>
      </c>
      <c r="B2077" s="115" t="str">
        <f>IFERROR(__xludf.DUMMYFUNCTION("""COMPUTED_VALUE"""),"Manoj Harsh")</f>
        <v>Manoj Harsh</v>
      </c>
      <c r="C2077" s="115" t="str">
        <f>IFERROR(__xludf.DUMMYFUNCTION("""COMPUTED_VALUE"""),"MYNTRA")</f>
        <v>MYNTRA</v>
      </c>
      <c r="D2077" s="115">
        <f>IFERROR(__xludf.DUMMYFUNCTION("""COMPUTED_VALUE"""),36574.0)</f>
        <v>36574</v>
      </c>
      <c r="E2077" s="115">
        <f>IFERROR(__xludf.DUMMYFUNCTION("""COMPUTED_VALUE"""),8257.0)</f>
        <v>8257</v>
      </c>
      <c r="F2077" s="115">
        <f>IFERROR(__xludf.DUMMYFUNCTION("""COMPUTED_VALUE"""),29639.0)</f>
        <v>29639</v>
      </c>
      <c r="G2077" s="115">
        <f>IFERROR(__xludf.DUMMYFUNCTION("""COMPUTED_VALUE"""),6055.0)</f>
        <v>6055</v>
      </c>
      <c r="H2077" s="116">
        <f>IFERROR(__xludf.DUMMYFUNCTION("""COMPUTED_VALUE"""),45904.0)</f>
        <v>45904</v>
      </c>
      <c r="I2077" s="115" t="str">
        <f>IFERROR(__xludf.DUMMYFUNCTION("""COMPUTED_VALUE"""),"21")</f>
        <v>21</v>
      </c>
      <c r="J2077" s="115" t="str">
        <f>IFERROR(__xludf.DUMMYFUNCTION("""COMPUTED_VALUE"""),"Manoj Harsh2025-09-0421")</f>
        <v>Manoj Harsh2025-09-0421</v>
      </c>
      <c r="K2077" s="115">
        <f>IFERROR(__xludf.DUMMYFUNCTION("""COMPUTED_VALUE"""),44831.0)</f>
        <v>44831</v>
      </c>
    </row>
    <row r="2078">
      <c r="A2078" s="115" t="str">
        <f>IFERROR(__xludf.DUMMYFUNCTION("""COMPUTED_VALUE"""),"NORTH")</f>
        <v>NORTH</v>
      </c>
      <c r="B2078" s="115" t="str">
        <f>IFERROR(__xludf.DUMMYFUNCTION("""COMPUTED_VALUE"""),"Pradeep Kothari")</f>
        <v>Pradeep Kothari</v>
      </c>
      <c r="C2078" s="115" t="str">
        <f>IFERROR(__xludf.DUMMYFUNCTION("""COMPUTED_VALUE"""),"EXTERNAL")</f>
        <v>EXTERNAL</v>
      </c>
      <c r="D2078" s="115">
        <f>IFERROR(__xludf.DUMMYFUNCTION("""COMPUTED_VALUE"""),18321.0)</f>
        <v>18321</v>
      </c>
      <c r="E2078" s="115">
        <f>IFERROR(__xludf.DUMMYFUNCTION("""COMPUTED_VALUE"""),1991.0)</f>
        <v>1991</v>
      </c>
      <c r="F2078" s="115">
        <f>IFERROR(__xludf.DUMMYFUNCTION("""COMPUTED_VALUE"""),7755.0)</f>
        <v>7755</v>
      </c>
      <c r="G2078" s="115">
        <f>IFERROR(__xludf.DUMMYFUNCTION("""COMPUTED_VALUE"""),881.0)</f>
        <v>881</v>
      </c>
      <c r="H2078" s="116">
        <f>IFERROR(__xludf.DUMMYFUNCTION("""COMPUTED_VALUE"""),45904.0)</f>
        <v>45904</v>
      </c>
      <c r="I2078" s="115" t="str">
        <f>IFERROR(__xludf.DUMMYFUNCTION("""COMPUTED_VALUE"""),"21")</f>
        <v>21</v>
      </c>
      <c r="J2078" s="115" t="str">
        <f>IFERROR(__xludf.DUMMYFUNCTION("""COMPUTED_VALUE"""),"Pradeep Kothari2025-09-0421")</f>
        <v>Pradeep Kothari2025-09-0421</v>
      </c>
      <c r="K2078" s="115">
        <f>IFERROR(__xludf.DUMMYFUNCTION("""COMPUTED_VALUE"""),20312.0)</f>
        <v>20312</v>
      </c>
    </row>
    <row r="2079">
      <c r="A2079" s="115" t="str">
        <f>IFERROR(__xludf.DUMMYFUNCTION("""COMPUTED_VALUE"""),"NORTH")</f>
        <v>NORTH</v>
      </c>
      <c r="B2079" s="115" t="str">
        <f>IFERROR(__xludf.DUMMYFUNCTION("""COMPUTED_VALUE"""),"Pradeep Kothari")</f>
        <v>Pradeep Kothari</v>
      </c>
      <c r="C2079" s="115" t="str">
        <f>IFERROR(__xludf.DUMMYFUNCTION("""COMPUTED_VALUE"""),"FLIPKART")</f>
        <v>FLIPKART</v>
      </c>
      <c r="D2079" s="115">
        <f>IFERROR(__xludf.DUMMYFUNCTION("""COMPUTED_VALUE"""),145921.0)</f>
        <v>145921</v>
      </c>
      <c r="E2079" s="115">
        <f>IFERROR(__xludf.DUMMYFUNCTION("""COMPUTED_VALUE"""),17896.0)</f>
        <v>17896</v>
      </c>
      <c r="F2079" s="115">
        <f>IFERROR(__xludf.DUMMYFUNCTION("""COMPUTED_VALUE"""),109930.0)</f>
        <v>109930</v>
      </c>
      <c r="G2079" s="115">
        <f>IFERROR(__xludf.DUMMYFUNCTION("""COMPUTED_VALUE"""),11877.0)</f>
        <v>11877</v>
      </c>
      <c r="H2079" s="116">
        <f>IFERROR(__xludf.DUMMYFUNCTION("""COMPUTED_VALUE"""),45904.0)</f>
        <v>45904</v>
      </c>
      <c r="I2079" s="115" t="str">
        <f>IFERROR(__xludf.DUMMYFUNCTION("""COMPUTED_VALUE"""),"21")</f>
        <v>21</v>
      </c>
      <c r="J2079" s="115" t="str">
        <f>IFERROR(__xludf.DUMMYFUNCTION("""COMPUTED_VALUE"""),"Pradeep Kothari2025-09-0421")</f>
        <v>Pradeep Kothari2025-09-0421</v>
      </c>
      <c r="K2079" s="115">
        <f>IFERROR(__xludf.DUMMYFUNCTION("""COMPUTED_VALUE"""),163817.0)</f>
        <v>163817</v>
      </c>
    </row>
    <row r="2080">
      <c r="A2080" s="115" t="str">
        <f>IFERROR(__xludf.DUMMYFUNCTION("""COMPUTED_VALUE"""),"NORTH")</f>
        <v>NORTH</v>
      </c>
      <c r="B2080" s="115" t="str">
        <f>IFERROR(__xludf.DUMMYFUNCTION("""COMPUTED_VALUE"""),"Pradeep Kothari")</f>
        <v>Pradeep Kothari</v>
      </c>
      <c r="C2080" s="115" t="str">
        <f>IFERROR(__xludf.DUMMYFUNCTION("""COMPUTED_VALUE"""),"MYNTRA")</f>
        <v>MYNTRA</v>
      </c>
      <c r="D2080" s="115">
        <f>IFERROR(__xludf.DUMMYFUNCTION("""COMPUTED_VALUE"""),23403.0)</f>
        <v>23403</v>
      </c>
      <c r="E2080" s="115">
        <f>IFERROR(__xludf.DUMMYFUNCTION("""COMPUTED_VALUE"""),6919.0)</f>
        <v>6919</v>
      </c>
      <c r="F2080" s="115">
        <f>IFERROR(__xludf.DUMMYFUNCTION("""COMPUTED_VALUE"""),19422.0)</f>
        <v>19422</v>
      </c>
      <c r="G2080" s="115">
        <f>IFERROR(__xludf.DUMMYFUNCTION("""COMPUTED_VALUE"""),4993.0)</f>
        <v>4993</v>
      </c>
      <c r="H2080" s="116">
        <f>IFERROR(__xludf.DUMMYFUNCTION("""COMPUTED_VALUE"""),45904.0)</f>
        <v>45904</v>
      </c>
      <c r="I2080" s="115" t="str">
        <f>IFERROR(__xludf.DUMMYFUNCTION("""COMPUTED_VALUE"""),"21")</f>
        <v>21</v>
      </c>
      <c r="J2080" s="115" t="str">
        <f>IFERROR(__xludf.DUMMYFUNCTION("""COMPUTED_VALUE"""),"Pradeep Kothari2025-09-0421")</f>
        <v>Pradeep Kothari2025-09-0421</v>
      </c>
      <c r="K2080" s="115">
        <f>IFERROR(__xludf.DUMMYFUNCTION("""COMPUTED_VALUE"""),30322.0)</f>
        <v>30322</v>
      </c>
    </row>
    <row r="2081">
      <c r="A2081" s="115" t="str">
        <f>IFERROR(__xludf.DUMMYFUNCTION("""COMPUTED_VALUE"""),"SOUTH")</f>
        <v>SOUTH</v>
      </c>
      <c r="B2081" s="115" t="str">
        <f>IFERROR(__xludf.DUMMYFUNCTION("""COMPUTED_VALUE"""),"Kandula Sampath")</f>
        <v>Kandula Sampath</v>
      </c>
      <c r="C2081" s="115" t="str">
        <f>IFERROR(__xludf.DUMMYFUNCTION("""COMPUTED_VALUE"""),"EXTERNAL")</f>
        <v>EXTERNAL</v>
      </c>
      <c r="D2081" s="115">
        <f>IFERROR(__xludf.DUMMYFUNCTION("""COMPUTED_VALUE"""),33173.0)</f>
        <v>33173</v>
      </c>
      <c r="E2081" s="115">
        <f>IFERROR(__xludf.DUMMYFUNCTION("""COMPUTED_VALUE"""),3972.0)</f>
        <v>3972</v>
      </c>
      <c r="F2081" s="115">
        <f>IFERROR(__xludf.DUMMYFUNCTION("""COMPUTED_VALUE"""),14148.0)</f>
        <v>14148</v>
      </c>
      <c r="G2081" s="115">
        <f>IFERROR(__xludf.DUMMYFUNCTION("""COMPUTED_VALUE"""),1664.0)</f>
        <v>1664</v>
      </c>
      <c r="H2081" s="116">
        <f>IFERROR(__xludf.DUMMYFUNCTION("""COMPUTED_VALUE"""),45904.0)</f>
        <v>45904</v>
      </c>
      <c r="I2081" s="115" t="str">
        <f>IFERROR(__xludf.DUMMYFUNCTION("""COMPUTED_VALUE"""),"21")</f>
        <v>21</v>
      </c>
      <c r="J2081" s="115" t="str">
        <f>IFERROR(__xludf.DUMMYFUNCTION("""COMPUTED_VALUE"""),"Kandula Sampath2025-09-0421")</f>
        <v>Kandula Sampath2025-09-0421</v>
      </c>
      <c r="K2081" s="115">
        <f>IFERROR(__xludf.DUMMYFUNCTION("""COMPUTED_VALUE"""),37145.0)</f>
        <v>37145</v>
      </c>
    </row>
    <row r="2082">
      <c r="A2082" s="115" t="str">
        <f>IFERROR(__xludf.DUMMYFUNCTION("""COMPUTED_VALUE"""),"SOUTH")</f>
        <v>SOUTH</v>
      </c>
      <c r="B2082" s="115" t="str">
        <f>IFERROR(__xludf.DUMMYFUNCTION("""COMPUTED_VALUE"""),"Kandula Sampath")</f>
        <v>Kandula Sampath</v>
      </c>
      <c r="C2082" s="115" t="str">
        <f>IFERROR(__xludf.DUMMYFUNCTION("""COMPUTED_VALUE"""),"FLIPKART")</f>
        <v>FLIPKART</v>
      </c>
      <c r="D2082" s="115">
        <f>IFERROR(__xludf.DUMMYFUNCTION("""COMPUTED_VALUE"""),288225.0)</f>
        <v>288225</v>
      </c>
      <c r="E2082" s="115">
        <f>IFERROR(__xludf.DUMMYFUNCTION("""COMPUTED_VALUE"""),32993.0)</f>
        <v>32993</v>
      </c>
      <c r="F2082" s="115">
        <f>IFERROR(__xludf.DUMMYFUNCTION("""COMPUTED_VALUE"""),215009.0)</f>
        <v>215009</v>
      </c>
      <c r="G2082" s="115">
        <f>IFERROR(__xludf.DUMMYFUNCTION("""COMPUTED_VALUE"""),20788.0)</f>
        <v>20788</v>
      </c>
      <c r="H2082" s="116">
        <f>IFERROR(__xludf.DUMMYFUNCTION("""COMPUTED_VALUE"""),45904.0)</f>
        <v>45904</v>
      </c>
      <c r="I2082" s="115" t="str">
        <f>IFERROR(__xludf.DUMMYFUNCTION("""COMPUTED_VALUE"""),"21")</f>
        <v>21</v>
      </c>
      <c r="J2082" s="115" t="str">
        <f>IFERROR(__xludf.DUMMYFUNCTION("""COMPUTED_VALUE"""),"Kandula Sampath2025-09-0421")</f>
        <v>Kandula Sampath2025-09-0421</v>
      </c>
      <c r="K2082" s="115">
        <f>IFERROR(__xludf.DUMMYFUNCTION("""COMPUTED_VALUE"""),321218.0)</f>
        <v>321218</v>
      </c>
    </row>
    <row r="2083">
      <c r="A2083" s="115" t="str">
        <f>IFERROR(__xludf.DUMMYFUNCTION("""COMPUTED_VALUE"""),"SOUTH")</f>
        <v>SOUTH</v>
      </c>
      <c r="B2083" s="115" t="str">
        <f>IFERROR(__xludf.DUMMYFUNCTION("""COMPUTED_VALUE"""),"Kandula Sampath")</f>
        <v>Kandula Sampath</v>
      </c>
      <c r="C2083" s="115" t="str">
        <f>IFERROR(__xludf.DUMMYFUNCTION("""COMPUTED_VALUE"""),"MYNTRA")</f>
        <v>MYNTRA</v>
      </c>
      <c r="D2083" s="115">
        <f>IFERROR(__xludf.DUMMYFUNCTION("""COMPUTED_VALUE"""),29424.0)</f>
        <v>29424</v>
      </c>
      <c r="E2083" s="115">
        <f>IFERROR(__xludf.DUMMYFUNCTION("""COMPUTED_VALUE"""),8292.0)</f>
        <v>8292</v>
      </c>
      <c r="F2083" s="115">
        <f>IFERROR(__xludf.DUMMYFUNCTION("""COMPUTED_VALUE"""),24140.0)</f>
        <v>24140</v>
      </c>
      <c r="G2083" s="115">
        <f>IFERROR(__xludf.DUMMYFUNCTION("""COMPUTED_VALUE"""),5485.0)</f>
        <v>5485</v>
      </c>
      <c r="H2083" s="116">
        <f>IFERROR(__xludf.DUMMYFUNCTION("""COMPUTED_VALUE"""),45904.0)</f>
        <v>45904</v>
      </c>
      <c r="I2083" s="115" t="str">
        <f>IFERROR(__xludf.DUMMYFUNCTION("""COMPUTED_VALUE"""),"21")</f>
        <v>21</v>
      </c>
      <c r="J2083" s="115" t="str">
        <f>IFERROR(__xludf.DUMMYFUNCTION("""COMPUTED_VALUE"""),"Kandula Sampath2025-09-0421")</f>
        <v>Kandula Sampath2025-09-0421</v>
      </c>
      <c r="K2083" s="115">
        <f>IFERROR(__xludf.DUMMYFUNCTION("""COMPUTED_VALUE"""),37716.0)</f>
        <v>37716</v>
      </c>
    </row>
    <row r="2084">
      <c r="A2084" s="115" t="str">
        <f>IFERROR(__xludf.DUMMYFUNCTION("""COMPUTED_VALUE"""),"SOUTH")</f>
        <v>SOUTH</v>
      </c>
      <c r="B2084" s="115" t="str">
        <f>IFERROR(__xludf.DUMMYFUNCTION("""COMPUTED_VALUE"""),"Martin A")</f>
        <v>Martin A</v>
      </c>
      <c r="C2084" s="115" t="str">
        <f>IFERROR(__xludf.DUMMYFUNCTION("""COMPUTED_VALUE"""),"EXTERNAL")</f>
        <v>EXTERNAL</v>
      </c>
      <c r="D2084" s="115">
        <f>IFERROR(__xludf.DUMMYFUNCTION("""COMPUTED_VALUE"""),33197.0)</f>
        <v>33197</v>
      </c>
      <c r="E2084" s="115">
        <f>IFERROR(__xludf.DUMMYFUNCTION("""COMPUTED_VALUE"""),3459.0)</f>
        <v>3459</v>
      </c>
      <c r="F2084" s="115">
        <f>IFERROR(__xludf.DUMMYFUNCTION("""COMPUTED_VALUE"""),14075.0)</f>
        <v>14075</v>
      </c>
      <c r="G2084" s="115">
        <f>IFERROR(__xludf.DUMMYFUNCTION("""COMPUTED_VALUE"""),2028.0)</f>
        <v>2028</v>
      </c>
      <c r="H2084" s="116">
        <f>IFERROR(__xludf.DUMMYFUNCTION("""COMPUTED_VALUE"""),45904.0)</f>
        <v>45904</v>
      </c>
      <c r="I2084" s="115" t="str">
        <f>IFERROR(__xludf.DUMMYFUNCTION("""COMPUTED_VALUE"""),"21")</f>
        <v>21</v>
      </c>
      <c r="J2084" s="115" t="str">
        <f>IFERROR(__xludf.DUMMYFUNCTION("""COMPUTED_VALUE"""),"Martin A2025-09-0421")</f>
        <v>Martin A2025-09-0421</v>
      </c>
      <c r="K2084" s="115">
        <f>IFERROR(__xludf.DUMMYFUNCTION("""COMPUTED_VALUE"""),36656.0)</f>
        <v>36656</v>
      </c>
    </row>
    <row r="2085">
      <c r="A2085" s="115" t="str">
        <f>IFERROR(__xludf.DUMMYFUNCTION("""COMPUTED_VALUE"""),"SOUTH")</f>
        <v>SOUTH</v>
      </c>
      <c r="B2085" s="115" t="str">
        <f>IFERROR(__xludf.DUMMYFUNCTION("""COMPUTED_VALUE"""),"Martin A")</f>
        <v>Martin A</v>
      </c>
      <c r="C2085" s="115" t="str">
        <f>IFERROR(__xludf.DUMMYFUNCTION("""COMPUTED_VALUE"""),"FLIPKART")</f>
        <v>FLIPKART</v>
      </c>
      <c r="D2085" s="115">
        <f>IFERROR(__xludf.DUMMYFUNCTION("""COMPUTED_VALUE"""),266027.0)</f>
        <v>266027</v>
      </c>
      <c r="E2085" s="115">
        <f>IFERROR(__xludf.DUMMYFUNCTION("""COMPUTED_VALUE"""),28861.0)</f>
        <v>28861</v>
      </c>
      <c r="F2085" s="115">
        <f>IFERROR(__xludf.DUMMYFUNCTION("""COMPUTED_VALUE"""),197480.0)</f>
        <v>197480</v>
      </c>
      <c r="G2085" s="115">
        <f>IFERROR(__xludf.DUMMYFUNCTION("""COMPUTED_VALUE"""),19275.0)</f>
        <v>19275</v>
      </c>
      <c r="H2085" s="116">
        <f>IFERROR(__xludf.DUMMYFUNCTION("""COMPUTED_VALUE"""),45904.0)</f>
        <v>45904</v>
      </c>
      <c r="I2085" s="115" t="str">
        <f>IFERROR(__xludf.DUMMYFUNCTION("""COMPUTED_VALUE"""),"21")</f>
        <v>21</v>
      </c>
      <c r="J2085" s="115" t="str">
        <f>IFERROR(__xludf.DUMMYFUNCTION("""COMPUTED_VALUE"""),"Martin A2025-09-0421")</f>
        <v>Martin A2025-09-0421</v>
      </c>
      <c r="K2085" s="115">
        <f>IFERROR(__xludf.DUMMYFUNCTION("""COMPUTED_VALUE"""),294888.0)</f>
        <v>294888</v>
      </c>
    </row>
    <row r="2086">
      <c r="A2086" s="115" t="str">
        <f>IFERROR(__xludf.DUMMYFUNCTION("""COMPUTED_VALUE"""),"SOUTH")</f>
        <v>SOUTH</v>
      </c>
      <c r="B2086" s="115" t="str">
        <f>IFERROR(__xludf.DUMMYFUNCTION("""COMPUTED_VALUE"""),"Martin A")</f>
        <v>Martin A</v>
      </c>
      <c r="C2086" s="115" t="str">
        <f>IFERROR(__xludf.DUMMYFUNCTION("""COMPUTED_VALUE"""),"MYNTRA")</f>
        <v>MYNTRA</v>
      </c>
      <c r="D2086" s="115">
        <f>IFERROR(__xludf.DUMMYFUNCTION("""COMPUTED_VALUE"""),22505.0)</f>
        <v>22505</v>
      </c>
      <c r="E2086" s="115">
        <f>IFERROR(__xludf.DUMMYFUNCTION("""COMPUTED_VALUE"""),6673.0)</f>
        <v>6673</v>
      </c>
      <c r="F2086" s="115">
        <f>IFERROR(__xludf.DUMMYFUNCTION("""COMPUTED_VALUE"""),18723.0)</f>
        <v>18723</v>
      </c>
      <c r="G2086" s="115">
        <f>IFERROR(__xludf.DUMMYFUNCTION("""COMPUTED_VALUE"""),4672.0)</f>
        <v>4672</v>
      </c>
      <c r="H2086" s="116">
        <f>IFERROR(__xludf.DUMMYFUNCTION("""COMPUTED_VALUE"""),45904.0)</f>
        <v>45904</v>
      </c>
      <c r="I2086" s="115" t="str">
        <f>IFERROR(__xludf.DUMMYFUNCTION("""COMPUTED_VALUE"""),"21")</f>
        <v>21</v>
      </c>
      <c r="J2086" s="115" t="str">
        <f>IFERROR(__xludf.DUMMYFUNCTION("""COMPUTED_VALUE"""),"Martin A2025-09-0421")</f>
        <v>Martin A2025-09-0421</v>
      </c>
      <c r="K2086" s="115">
        <f>IFERROR(__xludf.DUMMYFUNCTION("""COMPUTED_VALUE"""),29178.0)</f>
        <v>29178</v>
      </c>
    </row>
    <row r="2087">
      <c r="A2087" s="115" t="str">
        <f>IFERROR(__xludf.DUMMYFUNCTION("""COMPUTED_VALUE"""),"SOUTH")</f>
        <v>SOUTH</v>
      </c>
      <c r="B2087" s="115" t="str">
        <f>IFERROR(__xludf.DUMMYFUNCTION("""COMPUTED_VALUE"""),"Premkumar M")</f>
        <v>Premkumar M</v>
      </c>
      <c r="C2087" s="115" t="str">
        <f>IFERROR(__xludf.DUMMYFUNCTION("""COMPUTED_VALUE"""),"EXTERNAL")</f>
        <v>EXTERNAL</v>
      </c>
      <c r="D2087" s="115">
        <f>IFERROR(__xludf.DUMMYFUNCTION("""COMPUTED_VALUE"""),27167.0)</f>
        <v>27167</v>
      </c>
      <c r="E2087" s="115">
        <f>IFERROR(__xludf.DUMMYFUNCTION("""COMPUTED_VALUE"""),1874.0)</f>
        <v>1874</v>
      </c>
      <c r="F2087" s="115">
        <f>IFERROR(__xludf.DUMMYFUNCTION("""COMPUTED_VALUE"""),13714.0)</f>
        <v>13714</v>
      </c>
      <c r="G2087" s="115">
        <f>IFERROR(__xludf.DUMMYFUNCTION("""COMPUTED_VALUE"""),743.0)</f>
        <v>743</v>
      </c>
      <c r="H2087" s="116">
        <f>IFERROR(__xludf.DUMMYFUNCTION("""COMPUTED_VALUE"""),45904.0)</f>
        <v>45904</v>
      </c>
      <c r="I2087" s="115" t="str">
        <f>IFERROR(__xludf.DUMMYFUNCTION("""COMPUTED_VALUE"""),"21")</f>
        <v>21</v>
      </c>
      <c r="J2087" s="115" t="str">
        <f>IFERROR(__xludf.DUMMYFUNCTION("""COMPUTED_VALUE"""),"Premkumar M2025-09-0421")</f>
        <v>Premkumar M2025-09-0421</v>
      </c>
      <c r="K2087" s="115">
        <f>IFERROR(__xludf.DUMMYFUNCTION("""COMPUTED_VALUE"""),29041.0)</f>
        <v>29041</v>
      </c>
    </row>
    <row r="2088">
      <c r="A2088" s="115" t="str">
        <f>IFERROR(__xludf.DUMMYFUNCTION("""COMPUTED_VALUE"""),"SOUTH")</f>
        <v>SOUTH</v>
      </c>
      <c r="B2088" s="115" t="str">
        <f>IFERROR(__xludf.DUMMYFUNCTION("""COMPUTED_VALUE"""),"Premkumar M")</f>
        <v>Premkumar M</v>
      </c>
      <c r="C2088" s="115" t="str">
        <f>IFERROR(__xludf.DUMMYFUNCTION("""COMPUTED_VALUE"""),"FLIPKART")</f>
        <v>FLIPKART</v>
      </c>
      <c r="D2088" s="115">
        <f>IFERROR(__xludf.DUMMYFUNCTION("""COMPUTED_VALUE"""),258811.0)</f>
        <v>258811</v>
      </c>
      <c r="E2088" s="115">
        <f>IFERROR(__xludf.DUMMYFUNCTION("""COMPUTED_VALUE"""),19047.0)</f>
        <v>19047</v>
      </c>
      <c r="F2088" s="115">
        <f>IFERROR(__xludf.DUMMYFUNCTION("""COMPUTED_VALUE"""),198175.0)</f>
        <v>198175</v>
      </c>
      <c r="G2088" s="115">
        <f>IFERROR(__xludf.DUMMYFUNCTION("""COMPUTED_VALUE"""),10057.0)</f>
        <v>10057</v>
      </c>
      <c r="H2088" s="116">
        <f>IFERROR(__xludf.DUMMYFUNCTION("""COMPUTED_VALUE"""),45904.0)</f>
        <v>45904</v>
      </c>
      <c r="I2088" s="115" t="str">
        <f>IFERROR(__xludf.DUMMYFUNCTION("""COMPUTED_VALUE"""),"21")</f>
        <v>21</v>
      </c>
      <c r="J2088" s="115" t="str">
        <f>IFERROR(__xludf.DUMMYFUNCTION("""COMPUTED_VALUE"""),"Premkumar M2025-09-0421")</f>
        <v>Premkumar M2025-09-0421</v>
      </c>
      <c r="K2088" s="115">
        <f>IFERROR(__xludf.DUMMYFUNCTION("""COMPUTED_VALUE"""),277858.0)</f>
        <v>277858</v>
      </c>
    </row>
    <row r="2089">
      <c r="A2089" s="115" t="str">
        <f>IFERROR(__xludf.DUMMYFUNCTION("""COMPUTED_VALUE"""),"SOUTH")</f>
        <v>SOUTH</v>
      </c>
      <c r="B2089" s="115" t="str">
        <f>IFERROR(__xludf.DUMMYFUNCTION("""COMPUTED_VALUE"""),"Premkumar M")</f>
        <v>Premkumar M</v>
      </c>
      <c r="C2089" s="115" t="str">
        <f>IFERROR(__xludf.DUMMYFUNCTION("""COMPUTED_VALUE"""),"MYNTRA")</f>
        <v>MYNTRA</v>
      </c>
      <c r="D2089" s="115">
        <f>IFERROR(__xludf.DUMMYFUNCTION("""COMPUTED_VALUE"""),12589.0)</f>
        <v>12589</v>
      </c>
      <c r="E2089" s="115">
        <f>IFERROR(__xludf.DUMMYFUNCTION("""COMPUTED_VALUE"""),2816.0)</f>
        <v>2816</v>
      </c>
      <c r="F2089" s="115">
        <f>IFERROR(__xludf.DUMMYFUNCTION("""COMPUTED_VALUE"""),10609.0)</f>
        <v>10609</v>
      </c>
      <c r="G2089" s="115">
        <f>IFERROR(__xludf.DUMMYFUNCTION("""COMPUTED_VALUE"""),1528.0)</f>
        <v>1528</v>
      </c>
      <c r="H2089" s="116">
        <f>IFERROR(__xludf.DUMMYFUNCTION("""COMPUTED_VALUE"""),45904.0)</f>
        <v>45904</v>
      </c>
      <c r="I2089" s="115" t="str">
        <f>IFERROR(__xludf.DUMMYFUNCTION("""COMPUTED_VALUE"""),"21")</f>
        <v>21</v>
      </c>
      <c r="J2089" s="115" t="str">
        <f>IFERROR(__xludf.DUMMYFUNCTION("""COMPUTED_VALUE"""),"Premkumar M2025-09-0421")</f>
        <v>Premkumar M2025-09-0421</v>
      </c>
      <c r="K2089" s="115">
        <f>IFERROR(__xludf.DUMMYFUNCTION("""COMPUTED_VALUE"""),15405.0)</f>
        <v>15405</v>
      </c>
    </row>
    <row r="2090">
      <c r="A2090" s="115" t="str">
        <f>IFERROR(__xludf.DUMMYFUNCTION("""COMPUTED_VALUE"""),"SOUTH")</f>
        <v>SOUTH</v>
      </c>
      <c r="B2090" s="115" t="str">
        <f>IFERROR(__xludf.DUMMYFUNCTION("""COMPUTED_VALUE"""),"Vineeth V")</f>
        <v>Vineeth V</v>
      </c>
      <c r="C2090" s="115" t="str">
        <f>IFERROR(__xludf.DUMMYFUNCTION("""COMPUTED_VALUE"""),"EXTERNAL")</f>
        <v>EXTERNAL</v>
      </c>
      <c r="D2090" s="115">
        <f>IFERROR(__xludf.DUMMYFUNCTION("""COMPUTED_VALUE"""),19059.0)</f>
        <v>19059</v>
      </c>
      <c r="E2090" s="115">
        <f>IFERROR(__xludf.DUMMYFUNCTION("""COMPUTED_VALUE"""),722.0)</f>
        <v>722</v>
      </c>
      <c r="F2090" s="115">
        <f>IFERROR(__xludf.DUMMYFUNCTION("""COMPUTED_VALUE"""),10063.0)</f>
        <v>10063</v>
      </c>
      <c r="G2090" s="115">
        <f>IFERROR(__xludf.DUMMYFUNCTION("""COMPUTED_VALUE"""),415.0)</f>
        <v>415</v>
      </c>
      <c r="H2090" s="116">
        <f>IFERROR(__xludf.DUMMYFUNCTION("""COMPUTED_VALUE"""),45904.0)</f>
        <v>45904</v>
      </c>
      <c r="I2090" s="115" t="str">
        <f>IFERROR(__xludf.DUMMYFUNCTION("""COMPUTED_VALUE"""),"21")</f>
        <v>21</v>
      </c>
      <c r="J2090" s="115" t="str">
        <f>IFERROR(__xludf.DUMMYFUNCTION("""COMPUTED_VALUE"""),"Vineeth V2025-09-0421")</f>
        <v>Vineeth V2025-09-0421</v>
      </c>
      <c r="K2090" s="115">
        <f>IFERROR(__xludf.DUMMYFUNCTION("""COMPUTED_VALUE"""),19781.0)</f>
        <v>19781</v>
      </c>
    </row>
    <row r="2091">
      <c r="A2091" s="115" t="str">
        <f>IFERROR(__xludf.DUMMYFUNCTION("""COMPUTED_VALUE"""),"SOUTH")</f>
        <v>SOUTH</v>
      </c>
      <c r="B2091" s="115" t="str">
        <f>IFERROR(__xludf.DUMMYFUNCTION("""COMPUTED_VALUE"""),"Vineeth V")</f>
        <v>Vineeth V</v>
      </c>
      <c r="C2091" s="115" t="str">
        <f>IFERROR(__xludf.DUMMYFUNCTION("""COMPUTED_VALUE"""),"FLIPKART")</f>
        <v>FLIPKART</v>
      </c>
      <c r="D2091" s="115">
        <f>IFERROR(__xludf.DUMMYFUNCTION("""COMPUTED_VALUE"""),203734.0)</f>
        <v>203734</v>
      </c>
      <c r="E2091" s="115">
        <f>IFERROR(__xludf.DUMMYFUNCTION("""COMPUTED_VALUE"""),16579.0)</f>
        <v>16579</v>
      </c>
      <c r="F2091" s="115">
        <f>IFERROR(__xludf.DUMMYFUNCTION("""COMPUTED_VALUE"""),167937.0)</f>
        <v>167937</v>
      </c>
      <c r="G2091" s="115">
        <f>IFERROR(__xludf.DUMMYFUNCTION("""COMPUTED_VALUE"""),10169.0)</f>
        <v>10169</v>
      </c>
      <c r="H2091" s="116">
        <f>IFERROR(__xludf.DUMMYFUNCTION("""COMPUTED_VALUE"""),45904.0)</f>
        <v>45904</v>
      </c>
      <c r="I2091" s="115" t="str">
        <f>IFERROR(__xludf.DUMMYFUNCTION("""COMPUTED_VALUE"""),"21")</f>
        <v>21</v>
      </c>
      <c r="J2091" s="115" t="str">
        <f>IFERROR(__xludf.DUMMYFUNCTION("""COMPUTED_VALUE"""),"Vineeth V2025-09-0421")</f>
        <v>Vineeth V2025-09-0421</v>
      </c>
      <c r="K2091" s="115">
        <f>IFERROR(__xludf.DUMMYFUNCTION("""COMPUTED_VALUE"""),220313.0)</f>
        <v>220313</v>
      </c>
    </row>
    <row r="2092">
      <c r="A2092" s="115" t="str">
        <f>IFERROR(__xludf.DUMMYFUNCTION("""COMPUTED_VALUE"""),"SOUTH")</f>
        <v>SOUTH</v>
      </c>
      <c r="B2092" s="115" t="str">
        <f>IFERROR(__xludf.DUMMYFUNCTION("""COMPUTED_VALUE"""),"Vineeth V")</f>
        <v>Vineeth V</v>
      </c>
      <c r="C2092" s="115" t="str">
        <f>IFERROR(__xludf.DUMMYFUNCTION("""COMPUTED_VALUE"""),"MYNTRA")</f>
        <v>MYNTRA</v>
      </c>
      <c r="D2092" s="115">
        <f>IFERROR(__xludf.DUMMYFUNCTION("""COMPUTED_VALUE"""),17490.0)</f>
        <v>17490</v>
      </c>
      <c r="E2092" s="115">
        <f>IFERROR(__xludf.DUMMYFUNCTION("""COMPUTED_VALUE"""),4098.0)</f>
        <v>4098</v>
      </c>
      <c r="F2092" s="115">
        <f>IFERROR(__xludf.DUMMYFUNCTION("""COMPUTED_VALUE"""),15233.0)</f>
        <v>15233</v>
      </c>
      <c r="G2092" s="115">
        <f>IFERROR(__xludf.DUMMYFUNCTION("""COMPUTED_VALUE"""),2611.0)</f>
        <v>2611</v>
      </c>
      <c r="H2092" s="116">
        <f>IFERROR(__xludf.DUMMYFUNCTION("""COMPUTED_VALUE"""),45904.0)</f>
        <v>45904</v>
      </c>
      <c r="I2092" s="115" t="str">
        <f>IFERROR(__xludf.DUMMYFUNCTION("""COMPUTED_VALUE"""),"21")</f>
        <v>21</v>
      </c>
      <c r="J2092" s="115" t="str">
        <f>IFERROR(__xludf.DUMMYFUNCTION("""COMPUTED_VALUE"""),"Vineeth V2025-09-0421")</f>
        <v>Vineeth V2025-09-0421</v>
      </c>
      <c r="K2092" s="115">
        <f>IFERROR(__xludf.DUMMYFUNCTION("""COMPUTED_VALUE"""),21588.0)</f>
        <v>21588</v>
      </c>
    </row>
    <row r="2093">
      <c r="A2093" s="115" t="str">
        <f>IFERROR(__xludf.DUMMYFUNCTION("""COMPUTED_VALUE"""),"WEST")</f>
        <v>WEST</v>
      </c>
      <c r="B2093" s="115" t="str">
        <f>IFERROR(__xludf.DUMMYFUNCTION("""COMPUTED_VALUE"""),"Ashish Jakar")</f>
        <v>Ashish Jakar</v>
      </c>
      <c r="C2093" s="115" t="str">
        <f>IFERROR(__xludf.DUMMYFUNCTION("""COMPUTED_VALUE"""),"EXTERNAL")</f>
        <v>EXTERNAL</v>
      </c>
      <c r="D2093" s="115">
        <f>IFERROR(__xludf.DUMMYFUNCTION("""COMPUTED_VALUE"""),58104.0)</f>
        <v>58104</v>
      </c>
      <c r="E2093" s="115">
        <f>IFERROR(__xludf.DUMMYFUNCTION("""COMPUTED_VALUE"""),6601.0)</f>
        <v>6601</v>
      </c>
      <c r="F2093" s="115">
        <f>IFERROR(__xludf.DUMMYFUNCTION("""COMPUTED_VALUE"""),23937.0)</f>
        <v>23937</v>
      </c>
      <c r="G2093" s="115">
        <f>IFERROR(__xludf.DUMMYFUNCTION("""COMPUTED_VALUE"""),3323.0)</f>
        <v>3323</v>
      </c>
      <c r="H2093" s="116">
        <f>IFERROR(__xludf.DUMMYFUNCTION("""COMPUTED_VALUE"""),45904.0)</f>
        <v>45904</v>
      </c>
      <c r="I2093" s="115" t="str">
        <f>IFERROR(__xludf.DUMMYFUNCTION("""COMPUTED_VALUE"""),"21")</f>
        <v>21</v>
      </c>
      <c r="J2093" s="115" t="str">
        <f>IFERROR(__xludf.DUMMYFUNCTION("""COMPUTED_VALUE"""),"Ashish Jakar2025-09-0421")</f>
        <v>Ashish Jakar2025-09-0421</v>
      </c>
      <c r="K2093" s="115">
        <f>IFERROR(__xludf.DUMMYFUNCTION("""COMPUTED_VALUE"""),64705.0)</f>
        <v>64705</v>
      </c>
    </row>
    <row r="2094">
      <c r="A2094" s="115" t="str">
        <f>IFERROR(__xludf.DUMMYFUNCTION("""COMPUTED_VALUE"""),"WEST")</f>
        <v>WEST</v>
      </c>
      <c r="B2094" s="115" t="str">
        <f>IFERROR(__xludf.DUMMYFUNCTION("""COMPUTED_VALUE"""),"Ashish Jakar")</f>
        <v>Ashish Jakar</v>
      </c>
      <c r="C2094" s="115" t="str">
        <f>IFERROR(__xludf.DUMMYFUNCTION("""COMPUTED_VALUE"""),"FLIPKART")</f>
        <v>FLIPKART</v>
      </c>
      <c r="D2094" s="115">
        <f>IFERROR(__xludf.DUMMYFUNCTION("""COMPUTED_VALUE"""),326440.0)</f>
        <v>326440</v>
      </c>
      <c r="E2094" s="115">
        <f>IFERROR(__xludf.DUMMYFUNCTION("""COMPUTED_VALUE"""),35368.0)</f>
        <v>35368</v>
      </c>
      <c r="F2094" s="115">
        <f>IFERROR(__xludf.DUMMYFUNCTION("""COMPUTED_VALUE"""),235229.0)</f>
        <v>235229</v>
      </c>
      <c r="G2094" s="115">
        <f>IFERROR(__xludf.DUMMYFUNCTION("""COMPUTED_VALUE"""),22578.0)</f>
        <v>22578</v>
      </c>
      <c r="H2094" s="116">
        <f>IFERROR(__xludf.DUMMYFUNCTION("""COMPUTED_VALUE"""),45904.0)</f>
        <v>45904</v>
      </c>
      <c r="I2094" s="115" t="str">
        <f>IFERROR(__xludf.DUMMYFUNCTION("""COMPUTED_VALUE"""),"21")</f>
        <v>21</v>
      </c>
      <c r="J2094" s="115" t="str">
        <f>IFERROR(__xludf.DUMMYFUNCTION("""COMPUTED_VALUE"""),"Ashish Jakar2025-09-0421")</f>
        <v>Ashish Jakar2025-09-0421</v>
      </c>
      <c r="K2094" s="115">
        <f>IFERROR(__xludf.DUMMYFUNCTION("""COMPUTED_VALUE"""),361808.0)</f>
        <v>361808</v>
      </c>
    </row>
    <row r="2095">
      <c r="A2095" s="115" t="str">
        <f>IFERROR(__xludf.DUMMYFUNCTION("""COMPUTED_VALUE"""),"WEST")</f>
        <v>WEST</v>
      </c>
      <c r="B2095" s="115" t="str">
        <f>IFERROR(__xludf.DUMMYFUNCTION("""COMPUTED_VALUE"""),"Ashish Jakar")</f>
        <v>Ashish Jakar</v>
      </c>
      <c r="C2095" s="115" t="str">
        <f>IFERROR(__xludf.DUMMYFUNCTION("""COMPUTED_VALUE"""),"MYNTRA")</f>
        <v>MYNTRA</v>
      </c>
      <c r="D2095" s="115">
        <f>IFERROR(__xludf.DUMMYFUNCTION("""COMPUTED_VALUE"""),38965.0)</f>
        <v>38965</v>
      </c>
      <c r="E2095" s="115">
        <f>IFERROR(__xludf.DUMMYFUNCTION("""COMPUTED_VALUE"""),11012.0)</f>
        <v>11012</v>
      </c>
      <c r="F2095" s="115">
        <f>IFERROR(__xludf.DUMMYFUNCTION("""COMPUTED_VALUE"""),32237.0)</f>
        <v>32237</v>
      </c>
      <c r="G2095" s="115">
        <f>IFERROR(__xludf.DUMMYFUNCTION("""COMPUTED_VALUE"""),7191.0)</f>
        <v>7191</v>
      </c>
      <c r="H2095" s="116">
        <f>IFERROR(__xludf.DUMMYFUNCTION("""COMPUTED_VALUE"""),45904.0)</f>
        <v>45904</v>
      </c>
      <c r="I2095" s="115" t="str">
        <f>IFERROR(__xludf.DUMMYFUNCTION("""COMPUTED_VALUE"""),"21")</f>
        <v>21</v>
      </c>
      <c r="J2095" s="115" t="str">
        <f>IFERROR(__xludf.DUMMYFUNCTION("""COMPUTED_VALUE"""),"Ashish Jakar2025-09-0421")</f>
        <v>Ashish Jakar2025-09-0421</v>
      </c>
      <c r="K2095" s="115">
        <f>IFERROR(__xludf.DUMMYFUNCTION("""COMPUTED_VALUE"""),49977.0)</f>
        <v>49977</v>
      </c>
    </row>
    <row r="2096">
      <c r="A2096" s="115" t="str">
        <f>IFERROR(__xludf.DUMMYFUNCTION("""COMPUTED_VALUE"""),"WEST")</f>
        <v>WEST</v>
      </c>
      <c r="B2096" s="115" t="str">
        <f>IFERROR(__xludf.DUMMYFUNCTION("""COMPUTED_VALUE"""),"Ashvani Bhatt")</f>
        <v>Ashvani Bhatt</v>
      </c>
      <c r="C2096" s="115" t="str">
        <f>IFERROR(__xludf.DUMMYFUNCTION("""COMPUTED_VALUE"""),"EXTERNAL")</f>
        <v>EXTERNAL</v>
      </c>
      <c r="D2096" s="115">
        <f>IFERROR(__xludf.DUMMYFUNCTION("""COMPUTED_VALUE"""),37706.0)</f>
        <v>37706</v>
      </c>
      <c r="E2096" s="115">
        <f>IFERROR(__xludf.DUMMYFUNCTION("""COMPUTED_VALUE"""),3433.0)</f>
        <v>3433</v>
      </c>
      <c r="F2096" s="115">
        <f>IFERROR(__xludf.DUMMYFUNCTION("""COMPUTED_VALUE"""),16277.0)</f>
        <v>16277</v>
      </c>
      <c r="G2096" s="115">
        <f>IFERROR(__xludf.DUMMYFUNCTION("""COMPUTED_VALUE"""),1491.0)</f>
        <v>1491</v>
      </c>
      <c r="H2096" s="116">
        <f>IFERROR(__xludf.DUMMYFUNCTION("""COMPUTED_VALUE"""),45904.0)</f>
        <v>45904</v>
      </c>
      <c r="I2096" s="115" t="str">
        <f>IFERROR(__xludf.DUMMYFUNCTION("""COMPUTED_VALUE"""),"21")</f>
        <v>21</v>
      </c>
      <c r="J2096" s="115" t="str">
        <f>IFERROR(__xludf.DUMMYFUNCTION("""COMPUTED_VALUE"""),"Ashvani Bhatt2025-09-0421")</f>
        <v>Ashvani Bhatt2025-09-0421</v>
      </c>
      <c r="K2096" s="115">
        <f>IFERROR(__xludf.DUMMYFUNCTION("""COMPUTED_VALUE"""),41139.0)</f>
        <v>41139</v>
      </c>
    </row>
    <row r="2097">
      <c r="A2097" s="115" t="str">
        <f>IFERROR(__xludf.DUMMYFUNCTION("""COMPUTED_VALUE"""),"WEST")</f>
        <v>WEST</v>
      </c>
      <c r="B2097" s="115" t="str">
        <f>IFERROR(__xludf.DUMMYFUNCTION("""COMPUTED_VALUE"""),"Ashvani Bhatt")</f>
        <v>Ashvani Bhatt</v>
      </c>
      <c r="C2097" s="115" t="str">
        <f>IFERROR(__xludf.DUMMYFUNCTION("""COMPUTED_VALUE"""),"FLIPKART")</f>
        <v>FLIPKART</v>
      </c>
      <c r="D2097" s="115">
        <f>IFERROR(__xludf.DUMMYFUNCTION("""COMPUTED_VALUE"""),263897.0)</f>
        <v>263897</v>
      </c>
      <c r="E2097" s="115">
        <f>IFERROR(__xludf.DUMMYFUNCTION("""COMPUTED_VALUE"""),28733.0)</f>
        <v>28733</v>
      </c>
      <c r="F2097" s="115">
        <f>IFERROR(__xludf.DUMMYFUNCTION("""COMPUTED_VALUE"""),199705.0)</f>
        <v>199705</v>
      </c>
      <c r="G2097" s="115">
        <f>IFERROR(__xludf.DUMMYFUNCTION("""COMPUTED_VALUE"""),19083.0)</f>
        <v>19083</v>
      </c>
      <c r="H2097" s="116">
        <f>IFERROR(__xludf.DUMMYFUNCTION("""COMPUTED_VALUE"""),45904.0)</f>
        <v>45904</v>
      </c>
      <c r="I2097" s="115" t="str">
        <f>IFERROR(__xludf.DUMMYFUNCTION("""COMPUTED_VALUE"""),"21")</f>
        <v>21</v>
      </c>
      <c r="J2097" s="115" t="str">
        <f>IFERROR(__xludf.DUMMYFUNCTION("""COMPUTED_VALUE"""),"Ashvani Bhatt2025-09-0421")</f>
        <v>Ashvani Bhatt2025-09-0421</v>
      </c>
      <c r="K2097" s="115">
        <f>IFERROR(__xludf.DUMMYFUNCTION("""COMPUTED_VALUE"""),292630.0)</f>
        <v>292630</v>
      </c>
    </row>
    <row r="2098">
      <c r="A2098" s="115" t="str">
        <f>IFERROR(__xludf.DUMMYFUNCTION("""COMPUTED_VALUE"""),"WEST")</f>
        <v>WEST</v>
      </c>
      <c r="B2098" s="115" t="str">
        <f>IFERROR(__xludf.DUMMYFUNCTION("""COMPUTED_VALUE"""),"Ashvani Bhatt")</f>
        <v>Ashvani Bhatt</v>
      </c>
      <c r="C2098" s="115" t="str">
        <f>IFERROR(__xludf.DUMMYFUNCTION("""COMPUTED_VALUE"""),"MYNTRA")</f>
        <v>MYNTRA</v>
      </c>
      <c r="D2098" s="115">
        <f>IFERROR(__xludf.DUMMYFUNCTION("""COMPUTED_VALUE"""),32951.0)</f>
        <v>32951</v>
      </c>
      <c r="E2098" s="115">
        <f>IFERROR(__xludf.DUMMYFUNCTION("""COMPUTED_VALUE"""),8712.0)</f>
        <v>8712</v>
      </c>
      <c r="F2098" s="115">
        <f>IFERROR(__xludf.DUMMYFUNCTION("""COMPUTED_VALUE"""),27940.0)</f>
        <v>27940</v>
      </c>
      <c r="G2098" s="115">
        <f>IFERROR(__xludf.DUMMYFUNCTION("""COMPUTED_VALUE"""),6308.0)</f>
        <v>6308</v>
      </c>
      <c r="H2098" s="116">
        <f>IFERROR(__xludf.DUMMYFUNCTION("""COMPUTED_VALUE"""),45904.0)</f>
        <v>45904</v>
      </c>
      <c r="I2098" s="115" t="str">
        <f>IFERROR(__xludf.DUMMYFUNCTION("""COMPUTED_VALUE"""),"21")</f>
        <v>21</v>
      </c>
      <c r="J2098" s="115" t="str">
        <f>IFERROR(__xludf.DUMMYFUNCTION("""COMPUTED_VALUE"""),"Ashvani Bhatt2025-09-0421")</f>
        <v>Ashvani Bhatt2025-09-0421</v>
      </c>
      <c r="K2098" s="115">
        <f>IFERROR(__xludf.DUMMYFUNCTION("""COMPUTED_VALUE"""),41663.0)</f>
        <v>41663</v>
      </c>
    </row>
    <row r="2099">
      <c r="A2099" s="115"/>
      <c r="B2099" s="115"/>
      <c r="C2099" s="115" t="str">
        <f>IFERROR(__xludf.DUMMYFUNCTION("""COMPUTED_VALUE"""),"EXTERNAL")</f>
        <v>EXTERNAL</v>
      </c>
      <c r="D2099" s="115">
        <f>IFERROR(__xludf.DUMMYFUNCTION("""COMPUTED_VALUE"""),1288.0)</f>
        <v>1288</v>
      </c>
      <c r="E2099" s="115">
        <f>IFERROR(__xludf.DUMMYFUNCTION("""COMPUTED_VALUE"""),232.0)</f>
        <v>232</v>
      </c>
      <c r="F2099" s="115">
        <f>IFERROR(__xludf.DUMMYFUNCTION("""COMPUTED_VALUE"""),540.0)</f>
        <v>540</v>
      </c>
      <c r="G2099" s="115">
        <f>IFERROR(__xludf.DUMMYFUNCTION("""COMPUTED_VALUE"""),111.0)</f>
        <v>111</v>
      </c>
      <c r="H2099" s="116">
        <f>IFERROR(__xludf.DUMMYFUNCTION("""COMPUTED_VALUE"""),45904.0)</f>
        <v>45904</v>
      </c>
      <c r="I2099" s="115" t="str">
        <f>IFERROR(__xludf.DUMMYFUNCTION("""COMPUTED_VALUE"""),"21")</f>
        <v>21</v>
      </c>
      <c r="J2099" s="115" t="str">
        <f>IFERROR(__xludf.DUMMYFUNCTION("""COMPUTED_VALUE"""),"2025-09-0421")</f>
        <v>2025-09-0421</v>
      </c>
      <c r="K2099" s="115">
        <f>IFERROR(__xludf.DUMMYFUNCTION("""COMPUTED_VALUE"""),1520.0)</f>
        <v>1520</v>
      </c>
    </row>
    <row r="2100">
      <c r="A2100" s="115"/>
      <c r="B2100" s="115"/>
      <c r="C2100" s="115" t="str">
        <f>IFERROR(__xludf.DUMMYFUNCTION("""COMPUTED_VALUE"""),"FLIPKART")</f>
        <v>FLIPKART</v>
      </c>
      <c r="D2100" s="115">
        <f>IFERROR(__xludf.DUMMYFUNCTION("""COMPUTED_VALUE"""),8921.0)</f>
        <v>8921</v>
      </c>
      <c r="E2100" s="115">
        <f>IFERROR(__xludf.DUMMYFUNCTION("""COMPUTED_VALUE"""),1143.0)</f>
        <v>1143</v>
      </c>
      <c r="F2100" s="115">
        <f>IFERROR(__xludf.DUMMYFUNCTION("""COMPUTED_VALUE"""),6684.0)</f>
        <v>6684</v>
      </c>
      <c r="G2100" s="115">
        <f>IFERROR(__xludf.DUMMYFUNCTION("""COMPUTED_VALUE"""),714.0)</f>
        <v>714</v>
      </c>
      <c r="H2100" s="116">
        <f>IFERROR(__xludf.DUMMYFUNCTION("""COMPUTED_VALUE"""),45904.0)</f>
        <v>45904</v>
      </c>
      <c r="I2100" s="115" t="str">
        <f>IFERROR(__xludf.DUMMYFUNCTION("""COMPUTED_VALUE"""),"21")</f>
        <v>21</v>
      </c>
      <c r="J2100" s="115" t="str">
        <f>IFERROR(__xludf.DUMMYFUNCTION("""COMPUTED_VALUE"""),"2025-09-0421")</f>
        <v>2025-09-0421</v>
      </c>
      <c r="K2100" s="115">
        <f>IFERROR(__xludf.DUMMYFUNCTION("""COMPUTED_VALUE"""),10064.0)</f>
        <v>10064</v>
      </c>
    </row>
    <row r="2101">
      <c r="A2101" s="115"/>
      <c r="B2101" s="115"/>
      <c r="C2101" s="115" t="str">
        <f>IFERROR(__xludf.DUMMYFUNCTION("""COMPUTED_VALUE"""),"MYNTRA")</f>
        <v>MYNTRA</v>
      </c>
      <c r="D2101" s="115">
        <f>IFERROR(__xludf.DUMMYFUNCTION("""COMPUTED_VALUE"""),925.0)</f>
        <v>925</v>
      </c>
      <c r="E2101" s="115">
        <f>IFERROR(__xludf.DUMMYFUNCTION("""COMPUTED_VALUE"""),337.0)</f>
        <v>337</v>
      </c>
      <c r="F2101" s="115">
        <f>IFERROR(__xludf.DUMMYFUNCTION("""COMPUTED_VALUE"""),704.0)</f>
        <v>704</v>
      </c>
      <c r="G2101" s="115">
        <f>IFERROR(__xludf.DUMMYFUNCTION("""COMPUTED_VALUE"""),225.0)</f>
        <v>225</v>
      </c>
      <c r="H2101" s="116">
        <f>IFERROR(__xludf.DUMMYFUNCTION("""COMPUTED_VALUE"""),45904.0)</f>
        <v>45904</v>
      </c>
      <c r="I2101" s="115" t="str">
        <f>IFERROR(__xludf.DUMMYFUNCTION("""COMPUTED_VALUE"""),"21")</f>
        <v>21</v>
      </c>
      <c r="J2101" s="115" t="str">
        <f>IFERROR(__xludf.DUMMYFUNCTION("""COMPUTED_VALUE"""),"2025-09-0421")</f>
        <v>2025-09-0421</v>
      </c>
      <c r="K2101" s="115">
        <f>IFERROR(__xludf.DUMMYFUNCTION("""COMPUTED_VALUE"""),1262.0)</f>
        <v>1262</v>
      </c>
    </row>
    <row r="2102">
      <c r="A2102" s="115" t="str">
        <f>IFERROR(__xludf.DUMMYFUNCTION("""COMPUTED_VALUE"""),"EAST")</f>
        <v>EAST</v>
      </c>
      <c r="B2102" s="115" t="str">
        <f>IFERROR(__xludf.DUMMYFUNCTION("""COMPUTED_VALUE"""),"Ashish Ranjan")</f>
        <v>Ashish Ranjan</v>
      </c>
      <c r="C2102" s="115" t="str">
        <f>IFERROR(__xludf.DUMMYFUNCTION("""COMPUTED_VALUE"""),"EXTERNAL")</f>
        <v>EXTERNAL</v>
      </c>
      <c r="D2102" s="115">
        <f>IFERROR(__xludf.DUMMYFUNCTION("""COMPUTED_VALUE"""),35600.0)</f>
        <v>35600</v>
      </c>
      <c r="E2102" s="115">
        <f>IFERROR(__xludf.DUMMYFUNCTION("""COMPUTED_VALUE"""),3455.0)</f>
        <v>3455</v>
      </c>
      <c r="F2102" s="115">
        <f>IFERROR(__xludf.DUMMYFUNCTION("""COMPUTED_VALUE"""),20269.0)</f>
        <v>20269</v>
      </c>
      <c r="G2102" s="115">
        <f>IFERROR(__xludf.DUMMYFUNCTION("""COMPUTED_VALUE"""),2038.0)</f>
        <v>2038</v>
      </c>
      <c r="H2102" s="116">
        <f>IFERROR(__xludf.DUMMYFUNCTION("""COMPUTED_VALUE"""),45904.0)</f>
        <v>45904</v>
      </c>
      <c r="I2102" s="115" t="str">
        <f>IFERROR(__xludf.DUMMYFUNCTION("""COMPUTED_VALUE"""),"22")</f>
        <v>22</v>
      </c>
      <c r="J2102" s="115" t="str">
        <f>IFERROR(__xludf.DUMMYFUNCTION("""COMPUTED_VALUE"""),"Ashish Ranjan2025-09-0422")</f>
        <v>Ashish Ranjan2025-09-0422</v>
      </c>
      <c r="K2102" s="115">
        <f>IFERROR(__xludf.DUMMYFUNCTION("""COMPUTED_VALUE"""),39055.0)</f>
        <v>39055</v>
      </c>
    </row>
    <row r="2103">
      <c r="A2103" s="115" t="str">
        <f>IFERROR(__xludf.DUMMYFUNCTION("""COMPUTED_VALUE"""),"EAST")</f>
        <v>EAST</v>
      </c>
      <c r="B2103" s="115" t="str">
        <f>IFERROR(__xludf.DUMMYFUNCTION("""COMPUTED_VALUE"""),"Ashish Ranjan")</f>
        <v>Ashish Ranjan</v>
      </c>
      <c r="C2103" s="115" t="str">
        <f>IFERROR(__xludf.DUMMYFUNCTION("""COMPUTED_VALUE"""),"FLIPKART")</f>
        <v>FLIPKART</v>
      </c>
      <c r="D2103" s="115">
        <f>IFERROR(__xludf.DUMMYFUNCTION("""COMPUTED_VALUE"""),567759.0)</f>
        <v>567759</v>
      </c>
      <c r="E2103" s="115">
        <f>IFERROR(__xludf.DUMMYFUNCTION("""COMPUTED_VALUE"""),61486.0)</f>
        <v>61486</v>
      </c>
      <c r="F2103" s="115">
        <f>IFERROR(__xludf.DUMMYFUNCTION("""COMPUTED_VALUE"""),504310.0)</f>
        <v>504310</v>
      </c>
      <c r="G2103" s="115">
        <f>IFERROR(__xludf.DUMMYFUNCTION("""COMPUTED_VALUE"""),51046.0)</f>
        <v>51046</v>
      </c>
      <c r="H2103" s="116">
        <f>IFERROR(__xludf.DUMMYFUNCTION("""COMPUTED_VALUE"""),45904.0)</f>
        <v>45904</v>
      </c>
      <c r="I2103" s="115" t="str">
        <f>IFERROR(__xludf.DUMMYFUNCTION("""COMPUTED_VALUE"""),"22")</f>
        <v>22</v>
      </c>
      <c r="J2103" s="115" t="str">
        <f>IFERROR(__xludf.DUMMYFUNCTION("""COMPUTED_VALUE"""),"Ashish Ranjan2025-09-0422")</f>
        <v>Ashish Ranjan2025-09-0422</v>
      </c>
      <c r="K2103" s="115">
        <f>IFERROR(__xludf.DUMMYFUNCTION("""COMPUTED_VALUE"""),629245.0)</f>
        <v>629245</v>
      </c>
    </row>
    <row r="2104">
      <c r="A2104" s="115" t="str">
        <f>IFERROR(__xludf.DUMMYFUNCTION("""COMPUTED_VALUE"""),"EAST")</f>
        <v>EAST</v>
      </c>
      <c r="B2104" s="115" t="str">
        <f>IFERROR(__xludf.DUMMYFUNCTION("""COMPUTED_VALUE"""),"Ashish Ranjan")</f>
        <v>Ashish Ranjan</v>
      </c>
      <c r="C2104" s="115" t="str">
        <f>IFERROR(__xludf.DUMMYFUNCTION("""COMPUTED_VALUE"""),"MYNTRA")</f>
        <v>MYNTRA</v>
      </c>
      <c r="D2104" s="115">
        <f>IFERROR(__xludf.DUMMYFUNCTION("""COMPUTED_VALUE"""),56956.0)</f>
        <v>56956</v>
      </c>
      <c r="E2104" s="115">
        <f>IFERROR(__xludf.DUMMYFUNCTION("""COMPUTED_VALUE"""),12557.0)</f>
        <v>12557</v>
      </c>
      <c r="F2104" s="115">
        <f>IFERROR(__xludf.DUMMYFUNCTION("""COMPUTED_VALUE"""),51479.0)</f>
        <v>51479</v>
      </c>
      <c r="G2104" s="115">
        <f>IFERROR(__xludf.DUMMYFUNCTION("""COMPUTED_VALUE"""),10457.0)</f>
        <v>10457</v>
      </c>
      <c r="H2104" s="116">
        <f>IFERROR(__xludf.DUMMYFUNCTION("""COMPUTED_VALUE"""),45904.0)</f>
        <v>45904</v>
      </c>
      <c r="I2104" s="115" t="str">
        <f>IFERROR(__xludf.DUMMYFUNCTION("""COMPUTED_VALUE"""),"22")</f>
        <v>22</v>
      </c>
      <c r="J2104" s="115" t="str">
        <f>IFERROR(__xludf.DUMMYFUNCTION("""COMPUTED_VALUE"""),"Ashish Ranjan2025-09-0422")</f>
        <v>Ashish Ranjan2025-09-0422</v>
      </c>
      <c r="K2104" s="115">
        <f>IFERROR(__xludf.DUMMYFUNCTION("""COMPUTED_VALUE"""),69513.0)</f>
        <v>69513</v>
      </c>
    </row>
    <row r="2105">
      <c r="A2105" s="115" t="str">
        <f>IFERROR(__xludf.DUMMYFUNCTION("""COMPUTED_VALUE"""),"EAST")</f>
        <v>EAST</v>
      </c>
      <c r="B2105" s="115" t="str">
        <f>IFERROR(__xludf.DUMMYFUNCTION("""COMPUTED_VALUE"""),"Girish Chand")</f>
        <v>Girish Chand</v>
      </c>
      <c r="C2105" s="115" t="str">
        <f>IFERROR(__xludf.DUMMYFUNCTION("""COMPUTED_VALUE"""),"EXTERNAL")</f>
        <v>EXTERNAL</v>
      </c>
      <c r="D2105" s="115">
        <f>IFERROR(__xludf.DUMMYFUNCTION("""COMPUTED_VALUE"""),21505.0)</f>
        <v>21505</v>
      </c>
      <c r="E2105" s="115">
        <f>IFERROR(__xludf.DUMMYFUNCTION("""COMPUTED_VALUE"""),1936.0)</f>
        <v>1936</v>
      </c>
      <c r="F2105" s="115">
        <f>IFERROR(__xludf.DUMMYFUNCTION("""COMPUTED_VALUE"""),8962.0)</f>
        <v>8962</v>
      </c>
      <c r="G2105" s="115">
        <f>IFERROR(__xludf.DUMMYFUNCTION("""COMPUTED_VALUE"""),882.0)</f>
        <v>882</v>
      </c>
      <c r="H2105" s="116">
        <f>IFERROR(__xludf.DUMMYFUNCTION("""COMPUTED_VALUE"""),45904.0)</f>
        <v>45904</v>
      </c>
      <c r="I2105" s="115" t="str">
        <f>IFERROR(__xludf.DUMMYFUNCTION("""COMPUTED_VALUE"""),"22")</f>
        <v>22</v>
      </c>
      <c r="J2105" s="115" t="str">
        <f>IFERROR(__xludf.DUMMYFUNCTION("""COMPUTED_VALUE"""),"Girish Chand2025-09-0422")</f>
        <v>Girish Chand2025-09-0422</v>
      </c>
      <c r="K2105" s="115">
        <f>IFERROR(__xludf.DUMMYFUNCTION("""COMPUTED_VALUE"""),23441.0)</f>
        <v>23441</v>
      </c>
    </row>
    <row r="2106">
      <c r="A2106" s="115" t="str">
        <f>IFERROR(__xludf.DUMMYFUNCTION("""COMPUTED_VALUE"""),"EAST")</f>
        <v>EAST</v>
      </c>
      <c r="B2106" s="115" t="str">
        <f>IFERROR(__xludf.DUMMYFUNCTION("""COMPUTED_VALUE"""),"Girish Chand")</f>
        <v>Girish Chand</v>
      </c>
      <c r="C2106" s="115" t="str">
        <f>IFERROR(__xludf.DUMMYFUNCTION("""COMPUTED_VALUE"""),"FLIPKART")</f>
        <v>FLIPKART</v>
      </c>
      <c r="D2106" s="115">
        <f>IFERROR(__xludf.DUMMYFUNCTION("""COMPUTED_VALUE"""),383120.0)</f>
        <v>383120</v>
      </c>
      <c r="E2106" s="115">
        <f>IFERROR(__xludf.DUMMYFUNCTION("""COMPUTED_VALUE"""),40187.0)</f>
        <v>40187</v>
      </c>
      <c r="F2106" s="115">
        <f>IFERROR(__xludf.DUMMYFUNCTION("""COMPUTED_VALUE"""),285471.0)</f>
        <v>285471</v>
      </c>
      <c r="G2106" s="115">
        <f>IFERROR(__xludf.DUMMYFUNCTION("""COMPUTED_VALUE"""),30279.0)</f>
        <v>30279</v>
      </c>
      <c r="H2106" s="116">
        <f>IFERROR(__xludf.DUMMYFUNCTION("""COMPUTED_VALUE"""),45904.0)</f>
        <v>45904</v>
      </c>
      <c r="I2106" s="115" t="str">
        <f>IFERROR(__xludf.DUMMYFUNCTION("""COMPUTED_VALUE"""),"22")</f>
        <v>22</v>
      </c>
      <c r="J2106" s="115" t="str">
        <f>IFERROR(__xludf.DUMMYFUNCTION("""COMPUTED_VALUE"""),"Girish Chand2025-09-0422")</f>
        <v>Girish Chand2025-09-0422</v>
      </c>
      <c r="K2106" s="115">
        <f>IFERROR(__xludf.DUMMYFUNCTION("""COMPUTED_VALUE"""),423307.0)</f>
        <v>423307</v>
      </c>
    </row>
    <row r="2107">
      <c r="A2107" s="115" t="str">
        <f>IFERROR(__xludf.DUMMYFUNCTION("""COMPUTED_VALUE"""),"EAST")</f>
        <v>EAST</v>
      </c>
      <c r="B2107" s="115" t="str">
        <f>IFERROR(__xludf.DUMMYFUNCTION("""COMPUTED_VALUE"""),"Girish Chand")</f>
        <v>Girish Chand</v>
      </c>
      <c r="C2107" s="115" t="str">
        <f>IFERROR(__xludf.DUMMYFUNCTION("""COMPUTED_VALUE"""),"MYNTRA")</f>
        <v>MYNTRA</v>
      </c>
      <c r="D2107" s="115">
        <f>IFERROR(__xludf.DUMMYFUNCTION("""COMPUTED_VALUE"""),30988.0)</f>
        <v>30988</v>
      </c>
      <c r="E2107" s="115">
        <f>IFERROR(__xludf.DUMMYFUNCTION("""COMPUTED_VALUE"""),6995.0)</f>
        <v>6995</v>
      </c>
      <c r="F2107" s="115">
        <f>IFERROR(__xludf.DUMMYFUNCTION("""COMPUTED_VALUE"""),24411.0)</f>
        <v>24411</v>
      </c>
      <c r="G2107" s="115">
        <f>IFERROR(__xludf.DUMMYFUNCTION("""COMPUTED_VALUE"""),5358.0)</f>
        <v>5358</v>
      </c>
      <c r="H2107" s="116">
        <f>IFERROR(__xludf.DUMMYFUNCTION("""COMPUTED_VALUE"""),45904.0)</f>
        <v>45904</v>
      </c>
      <c r="I2107" s="115" t="str">
        <f>IFERROR(__xludf.DUMMYFUNCTION("""COMPUTED_VALUE"""),"22")</f>
        <v>22</v>
      </c>
      <c r="J2107" s="115" t="str">
        <f>IFERROR(__xludf.DUMMYFUNCTION("""COMPUTED_VALUE"""),"Girish Chand2025-09-0422")</f>
        <v>Girish Chand2025-09-0422</v>
      </c>
      <c r="K2107" s="115">
        <f>IFERROR(__xludf.DUMMYFUNCTION("""COMPUTED_VALUE"""),37983.0)</f>
        <v>37983</v>
      </c>
    </row>
    <row r="2108">
      <c r="A2108" s="115" t="str">
        <f>IFERROR(__xludf.DUMMYFUNCTION("""COMPUTED_VALUE"""),"EAST")</f>
        <v>EAST</v>
      </c>
      <c r="B2108" s="115" t="str">
        <f>IFERROR(__xludf.DUMMYFUNCTION("""COMPUTED_VALUE"""),"Parag Kashyap")</f>
        <v>Parag Kashyap</v>
      </c>
      <c r="C2108" s="115" t="str">
        <f>IFERROR(__xludf.DUMMYFUNCTION("""COMPUTED_VALUE"""),"EXTERNAL")</f>
        <v>EXTERNAL</v>
      </c>
      <c r="D2108" s="115">
        <f>IFERROR(__xludf.DUMMYFUNCTION("""COMPUTED_VALUE"""),20401.0)</f>
        <v>20401</v>
      </c>
      <c r="E2108" s="115">
        <f>IFERROR(__xludf.DUMMYFUNCTION("""COMPUTED_VALUE"""),1125.0)</f>
        <v>1125</v>
      </c>
      <c r="F2108" s="115">
        <f>IFERROR(__xludf.DUMMYFUNCTION("""COMPUTED_VALUE"""),8723.0)</f>
        <v>8723</v>
      </c>
      <c r="G2108" s="115">
        <f>IFERROR(__xludf.DUMMYFUNCTION("""COMPUTED_VALUE"""),552.0)</f>
        <v>552</v>
      </c>
      <c r="H2108" s="116">
        <f>IFERROR(__xludf.DUMMYFUNCTION("""COMPUTED_VALUE"""),45904.0)</f>
        <v>45904</v>
      </c>
      <c r="I2108" s="115" t="str">
        <f>IFERROR(__xludf.DUMMYFUNCTION("""COMPUTED_VALUE"""),"22")</f>
        <v>22</v>
      </c>
      <c r="J2108" s="115" t="str">
        <f>IFERROR(__xludf.DUMMYFUNCTION("""COMPUTED_VALUE"""),"Parag Kashyap2025-09-0422")</f>
        <v>Parag Kashyap2025-09-0422</v>
      </c>
      <c r="K2108" s="115">
        <f>IFERROR(__xludf.DUMMYFUNCTION("""COMPUTED_VALUE"""),21526.0)</f>
        <v>21526</v>
      </c>
    </row>
    <row r="2109">
      <c r="A2109" s="115" t="str">
        <f>IFERROR(__xludf.DUMMYFUNCTION("""COMPUTED_VALUE"""),"EAST")</f>
        <v>EAST</v>
      </c>
      <c r="B2109" s="115" t="str">
        <f>IFERROR(__xludf.DUMMYFUNCTION("""COMPUTED_VALUE"""),"Parag Kashyap")</f>
        <v>Parag Kashyap</v>
      </c>
      <c r="C2109" s="115" t="str">
        <f>IFERROR(__xludf.DUMMYFUNCTION("""COMPUTED_VALUE"""),"FLIPKART")</f>
        <v>FLIPKART</v>
      </c>
      <c r="D2109" s="115">
        <f>IFERROR(__xludf.DUMMYFUNCTION("""COMPUTED_VALUE"""),296170.0)</f>
        <v>296170</v>
      </c>
      <c r="E2109" s="115">
        <f>IFERROR(__xludf.DUMMYFUNCTION("""COMPUTED_VALUE"""),20710.0)</f>
        <v>20710</v>
      </c>
      <c r="F2109" s="115">
        <f>IFERROR(__xludf.DUMMYFUNCTION("""COMPUTED_VALUE"""),232699.0)</f>
        <v>232699</v>
      </c>
      <c r="G2109" s="115">
        <f>IFERROR(__xludf.DUMMYFUNCTION("""COMPUTED_VALUE"""),15675.0)</f>
        <v>15675</v>
      </c>
      <c r="H2109" s="116">
        <f>IFERROR(__xludf.DUMMYFUNCTION("""COMPUTED_VALUE"""),45904.0)</f>
        <v>45904</v>
      </c>
      <c r="I2109" s="115" t="str">
        <f>IFERROR(__xludf.DUMMYFUNCTION("""COMPUTED_VALUE"""),"22")</f>
        <v>22</v>
      </c>
      <c r="J2109" s="115" t="str">
        <f>IFERROR(__xludf.DUMMYFUNCTION("""COMPUTED_VALUE"""),"Parag Kashyap2025-09-0422")</f>
        <v>Parag Kashyap2025-09-0422</v>
      </c>
      <c r="K2109" s="115">
        <f>IFERROR(__xludf.DUMMYFUNCTION("""COMPUTED_VALUE"""),316880.0)</f>
        <v>316880</v>
      </c>
    </row>
    <row r="2110">
      <c r="A2110" s="115" t="str">
        <f>IFERROR(__xludf.DUMMYFUNCTION("""COMPUTED_VALUE"""),"EAST")</f>
        <v>EAST</v>
      </c>
      <c r="B2110" s="115" t="str">
        <f>IFERROR(__xludf.DUMMYFUNCTION("""COMPUTED_VALUE"""),"Parag Kashyap")</f>
        <v>Parag Kashyap</v>
      </c>
      <c r="C2110" s="115" t="str">
        <f>IFERROR(__xludf.DUMMYFUNCTION("""COMPUTED_VALUE"""),"MYNTRA")</f>
        <v>MYNTRA</v>
      </c>
      <c r="D2110" s="115">
        <f>IFERROR(__xludf.DUMMYFUNCTION("""COMPUTED_VALUE"""),34312.0)</f>
        <v>34312</v>
      </c>
      <c r="E2110" s="115">
        <f>IFERROR(__xludf.DUMMYFUNCTION("""COMPUTED_VALUE"""),5158.0)</f>
        <v>5158</v>
      </c>
      <c r="F2110" s="115">
        <f>IFERROR(__xludf.DUMMYFUNCTION("""COMPUTED_VALUE"""),27544.0)</f>
        <v>27544</v>
      </c>
      <c r="G2110" s="115">
        <f>IFERROR(__xludf.DUMMYFUNCTION("""COMPUTED_VALUE"""),3904.0)</f>
        <v>3904</v>
      </c>
      <c r="H2110" s="116">
        <f>IFERROR(__xludf.DUMMYFUNCTION("""COMPUTED_VALUE"""),45904.0)</f>
        <v>45904</v>
      </c>
      <c r="I2110" s="115" t="str">
        <f>IFERROR(__xludf.DUMMYFUNCTION("""COMPUTED_VALUE"""),"22")</f>
        <v>22</v>
      </c>
      <c r="J2110" s="115" t="str">
        <f>IFERROR(__xludf.DUMMYFUNCTION("""COMPUTED_VALUE"""),"Parag Kashyap2025-09-0422")</f>
        <v>Parag Kashyap2025-09-0422</v>
      </c>
      <c r="K2110" s="115">
        <f>IFERROR(__xludf.DUMMYFUNCTION("""COMPUTED_VALUE"""),39470.0)</f>
        <v>39470</v>
      </c>
    </row>
    <row r="2111">
      <c r="A2111" s="115" t="str">
        <f>IFERROR(__xludf.DUMMYFUNCTION("""COMPUTED_VALUE"""),"NORTH")</f>
        <v>NORTH</v>
      </c>
      <c r="B2111" s="115" t="str">
        <f>IFERROR(__xludf.DUMMYFUNCTION("""COMPUTED_VALUE"""),"Amit Kumar Pathak")</f>
        <v>Amit Kumar Pathak</v>
      </c>
      <c r="C2111" s="115" t="str">
        <f>IFERROR(__xludf.DUMMYFUNCTION("""COMPUTED_VALUE"""),"EXTERNAL")</f>
        <v>EXTERNAL</v>
      </c>
      <c r="D2111" s="115">
        <f>IFERROR(__xludf.DUMMYFUNCTION("""COMPUTED_VALUE"""),28007.0)</f>
        <v>28007</v>
      </c>
      <c r="E2111" s="115">
        <f>IFERROR(__xludf.DUMMYFUNCTION("""COMPUTED_VALUE"""),3167.0)</f>
        <v>3167</v>
      </c>
      <c r="F2111" s="115">
        <f>IFERROR(__xludf.DUMMYFUNCTION("""COMPUTED_VALUE"""),11937.0)</f>
        <v>11937</v>
      </c>
      <c r="G2111" s="115">
        <f>IFERROR(__xludf.DUMMYFUNCTION("""COMPUTED_VALUE"""),1776.0)</f>
        <v>1776</v>
      </c>
      <c r="H2111" s="116">
        <f>IFERROR(__xludf.DUMMYFUNCTION("""COMPUTED_VALUE"""),45904.0)</f>
        <v>45904</v>
      </c>
      <c r="I2111" s="115" t="str">
        <f>IFERROR(__xludf.DUMMYFUNCTION("""COMPUTED_VALUE"""),"22")</f>
        <v>22</v>
      </c>
      <c r="J2111" s="115" t="str">
        <f>IFERROR(__xludf.DUMMYFUNCTION("""COMPUTED_VALUE"""),"Amit Kumar Pathak2025-09-0422")</f>
        <v>Amit Kumar Pathak2025-09-0422</v>
      </c>
      <c r="K2111" s="115">
        <f>IFERROR(__xludf.DUMMYFUNCTION("""COMPUTED_VALUE"""),31174.0)</f>
        <v>31174</v>
      </c>
    </row>
    <row r="2112">
      <c r="A2112" s="115" t="str">
        <f>IFERROR(__xludf.DUMMYFUNCTION("""COMPUTED_VALUE"""),"NORTH")</f>
        <v>NORTH</v>
      </c>
      <c r="B2112" s="115" t="str">
        <f>IFERROR(__xludf.DUMMYFUNCTION("""COMPUTED_VALUE"""),"Amit Kumar Pathak")</f>
        <v>Amit Kumar Pathak</v>
      </c>
      <c r="C2112" s="115" t="str">
        <f>IFERROR(__xludf.DUMMYFUNCTION("""COMPUTED_VALUE"""),"FLIPKART")</f>
        <v>FLIPKART</v>
      </c>
      <c r="D2112" s="115">
        <f>IFERROR(__xludf.DUMMYFUNCTION("""COMPUTED_VALUE"""),215590.0)</f>
        <v>215590</v>
      </c>
      <c r="E2112" s="115">
        <f>IFERROR(__xludf.DUMMYFUNCTION("""COMPUTED_VALUE"""),24498.0)</f>
        <v>24498</v>
      </c>
      <c r="F2112" s="115">
        <f>IFERROR(__xludf.DUMMYFUNCTION("""COMPUTED_VALUE"""),160611.0)</f>
        <v>160611</v>
      </c>
      <c r="G2112" s="115">
        <f>IFERROR(__xludf.DUMMYFUNCTION("""COMPUTED_VALUE"""),16609.0)</f>
        <v>16609</v>
      </c>
      <c r="H2112" s="116">
        <f>IFERROR(__xludf.DUMMYFUNCTION("""COMPUTED_VALUE"""),45904.0)</f>
        <v>45904</v>
      </c>
      <c r="I2112" s="115" t="str">
        <f>IFERROR(__xludf.DUMMYFUNCTION("""COMPUTED_VALUE"""),"22")</f>
        <v>22</v>
      </c>
      <c r="J2112" s="115" t="str">
        <f>IFERROR(__xludf.DUMMYFUNCTION("""COMPUTED_VALUE"""),"Amit Kumar Pathak2025-09-0422")</f>
        <v>Amit Kumar Pathak2025-09-0422</v>
      </c>
      <c r="K2112" s="115">
        <f>IFERROR(__xludf.DUMMYFUNCTION("""COMPUTED_VALUE"""),240088.0)</f>
        <v>240088</v>
      </c>
    </row>
    <row r="2113">
      <c r="A2113" s="115" t="str">
        <f>IFERROR(__xludf.DUMMYFUNCTION("""COMPUTED_VALUE"""),"NORTH")</f>
        <v>NORTH</v>
      </c>
      <c r="B2113" s="115" t="str">
        <f>IFERROR(__xludf.DUMMYFUNCTION("""COMPUTED_VALUE"""),"Amit Kumar Pathak")</f>
        <v>Amit Kumar Pathak</v>
      </c>
      <c r="C2113" s="115" t="str">
        <f>IFERROR(__xludf.DUMMYFUNCTION("""COMPUTED_VALUE"""),"MYNTRA")</f>
        <v>MYNTRA</v>
      </c>
      <c r="D2113" s="115">
        <f>IFERROR(__xludf.DUMMYFUNCTION("""COMPUTED_VALUE"""),20153.0)</f>
        <v>20153</v>
      </c>
      <c r="E2113" s="115">
        <f>IFERROR(__xludf.DUMMYFUNCTION("""COMPUTED_VALUE"""),5980.0)</f>
        <v>5980</v>
      </c>
      <c r="F2113" s="115">
        <f>IFERROR(__xludf.DUMMYFUNCTION("""COMPUTED_VALUE"""),17487.0)</f>
        <v>17487</v>
      </c>
      <c r="G2113" s="115">
        <f>IFERROR(__xludf.DUMMYFUNCTION("""COMPUTED_VALUE"""),4241.0)</f>
        <v>4241</v>
      </c>
      <c r="H2113" s="116">
        <f>IFERROR(__xludf.DUMMYFUNCTION("""COMPUTED_VALUE"""),45904.0)</f>
        <v>45904</v>
      </c>
      <c r="I2113" s="115" t="str">
        <f>IFERROR(__xludf.DUMMYFUNCTION("""COMPUTED_VALUE"""),"22")</f>
        <v>22</v>
      </c>
      <c r="J2113" s="115" t="str">
        <f>IFERROR(__xludf.DUMMYFUNCTION("""COMPUTED_VALUE"""),"Amit Kumar Pathak2025-09-0422")</f>
        <v>Amit Kumar Pathak2025-09-0422</v>
      </c>
      <c r="K2113" s="115">
        <f>IFERROR(__xludf.DUMMYFUNCTION("""COMPUTED_VALUE"""),26133.0)</f>
        <v>26133</v>
      </c>
    </row>
    <row r="2114">
      <c r="A2114" s="115" t="str">
        <f>IFERROR(__xludf.DUMMYFUNCTION("""COMPUTED_VALUE"""),"NORTH")</f>
        <v>NORTH</v>
      </c>
      <c r="B2114" s="115" t="str">
        <f>IFERROR(__xludf.DUMMYFUNCTION("""COMPUTED_VALUE"""),"Loveleen Singh")</f>
        <v>Loveleen Singh</v>
      </c>
      <c r="C2114" s="115" t="str">
        <f>IFERROR(__xludf.DUMMYFUNCTION("""COMPUTED_VALUE"""),"EXTERNAL")</f>
        <v>EXTERNAL</v>
      </c>
      <c r="D2114" s="115">
        <f>IFERROR(__xludf.DUMMYFUNCTION("""COMPUTED_VALUE"""),33973.0)</f>
        <v>33973</v>
      </c>
      <c r="E2114" s="115">
        <f>IFERROR(__xludf.DUMMYFUNCTION("""COMPUTED_VALUE"""),2273.0)</f>
        <v>2273</v>
      </c>
      <c r="F2114" s="115">
        <f>IFERROR(__xludf.DUMMYFUNCTION("""COMPUTED_VALUE"""),13164.0)</f>
        <v>13164</v>
      </c>
      <c r="G2114" s="115">
        <f>IFERROR(__xludf.DUMMYFUNCTION("""COMPUTED_VALUE"""),962.0)</f>
        <v>962</v>
      </c>
      <c r="H2114" s="116">
        <f>IFERROR(__xludf.DUMMYFUNCTION("""COMPUTED_VALUE"""),45904.0)</f>
        <v>45904</v>
      </c>
      <c r="I2114" s="115" t="str">
        <f>IFERROR(__xludf.DUMMYFUNCTION("""COMPUTED_VALUE"""),"22")</f>
        <v>22</v>
      </c>
      <c r="J2114" s="115" t="str">
        <f>IFERROR(__xludf.DUMMYFUNCTION("""COMPUTED_VALUE"""),"Loveleen Singh2025-09-0422")</f>
        <v>Loveleen Singh2025-09-0422</v>
      </c>
      <c r="K2114" s="115">
        <f>IFERROR(__xludf.DUMMYFUNCTION("""COMPUTED_VALUE"""),36246.0)</f>
        <v>36246</v>
      </c>
    </row>
    <row r="2115">
      <c r="A2115" s="115" t="str">
        <f>IFERROR(__xludf.DUMMYFUNCTION("""COMPUTED_VALUE"""),"NORTH")</f>
        <v>NORTH</v>
      </c>
      <c r="B2115" s="115" t="str">
        <f>IFERROR(__xludf.DUMMYFUNCTION("""COMPUTED_VALUE"""),"Loveleen Singh")</f>
        <v>Loveleen Singh</v>
      </c>
      <c r="C2115" s="115" t="str">
        <f>IFERROR(__xludf.DUMMYFUNCTION("""COMPUTED_VALUE"""),"FLIPKART")</f>
        <v>FLIPKART</v>
      </c>
      <c r="D2115" s="115">
        <f>IFERROR(__xludf.DUMMYFUNCTION("""COMPUTED_VALUE"""),163325.0)</f>
        <v>163325</v>
      </c>
      <c r="E2115" s="115">
        <f>IFERROR(__xludf.DUMMYFUNCTION("""COMPUTED_VALUE"""),17397.0)</f>
        <v>17397</v>
      </c>
      <c r="F2115" s="115">
        <f>IFERROR(__xludf.DUMMYFUNCTION("""COMPUTED_VALUE"""),119354.0)</f>
        <v>119354</v>
      </c>
      <c r="G2115" s="115">
        <f>IFERROR(__xludf.DUMMYFUNCTION("""COMPUTED_VALUE"""),11138.0)</f>
        <v>11138</v>
      </c>
      <c r="H2115" s="116">
        <f>IFERROR(__xludf.DUMMYFUNCTION("""COMPUTED_VALUE"""),45904.0)</f>
        <v>45904</v>
      </c>
      <c r="I2115" s="115" t="str">
        <f>IFERROR(__xludf.DUMMYFUNCTION("""COMPUTED_VALUE"""),"22")</f>
        <v>22</v>
      </c>
      <c r="J2115" s="115" t="str">
        <f>IFERROR(__xludf.DUMMYFUNCTION("""COMPUTED_VALUE"""),"Loveleen Singh2025-09-0422")</f>
        <v>Loveleen Singh2025-09-0422</v>
      </c>
      <c r="K2115" s="115">
        <f>IFERROR(__xludf.DUMMYFUNCTION("""COMPUTED_VALUE"""),180722.0)</f>
        <v>180722</v>
      </c>
    </row>
    <row r="2116">
      <c r="A2116" s="115" t="str">
        <f>IFERROR(__xludf.DUMMYFUNCTION("""COMPUTED_VALUE"""),"NORTH")</f>
        <v>NORTH</v>
      </c>
      <c r="B2116" s="115" t="str">
        <f>IFERROR(__xludf.DUMMYFUNCTION("""COMPUTED_VALUE"""),"Loveleen Singh")</f>
        <v>Loveleen Singh</v>
      </c>
      <c r="C2116" s="115" t="str">
        <f>IFERROR(__xludf.DUMMYFUNCTION("""COMPUTED_VALUE"""),"MYNTRA")</f>
        <v>MYNTRA</v>
      </c>
      <c r="D2116" s="115">
        <f>IFERROR(__xludf.DUMMYFUNCTION("""COMPUTED_VALUE"""),24832.0)</f>
        <v>24832</v>
      </c>
      <c r="E2116" s="115">
        <f>IFERROR(__xludf.DUMMYFUNCTION("""COMPUTED_VALUE"""),6428.0)</f>
        <v>6428</v>
      </c>
      <c r="F2116" s="115">
        <f>IFERROR(__xludf.DUMMYFUNCTION("""COMPUTED_VALUE"""),20292.0)</f>
        <v>20292</v>
      </c>
      <c r="G2116" s="115">
        <f>IFERROR(__xludf.DUMMYFUNCTION("""COMPUTED_VALUE"""),4392.0)</f>
        <v>4392</v>
      </c>
      <c r="H2116" s="116">
        <f>IFERROR(__xludf.DUMMYFUNCTION("""COMPUTED_VALUE"""),45904.0)</f>
        <v>45904</v>
      </c>
      <c r="I2116" s="115" t="str">
        <f>IFERROR(__xludf.DUMMYFUNCTION("""COMPUTED_VALUE"""),"22")</f>
        <v>22</v>
      </c>
      <c r="J2116" s="115" t="str">
        <f>IFERROR(__xludf.DUMMYFUNCTION("""COMPUTED_VALUE"""),"Loveleen Singh2025-09-0422")</f>
        <v>Loveleen Singh2025-09-0422</v>
      </c>
      <c r="K2116" s="115">
        <f>IFERROR(__xludf.DUMMYFUNCTION("""COMPUTED_VALUE"""),31260.0)</f>
        <v>31260</v>
      </c>
    </row>
    <row r="2117">
      <c r="A2117" s="115" t="str">
        <f>IFERROR(__xludf.DUMMYFUNCTION("""COMPUTED_VALUE"""),"NORTH")</f>
        <v>NORTH</v>
      </c>
      <c r="B2117" s="115" t="str">
        <f>IFERROR(__xludf.DUMMYFUNCTION("""COMPUTED_VALUE"""),"Manoj Harsh")</f>
        <v>Manoj Harsh</v>
      </c>
      <c r="C2117" s="115" t="str">
        <f>IFERROR(__xludf.DUMMYFUNCTION("""COMPUTED_VALUE"""),"EXTERNAL")</f>
        <v>EXTERNAL</v>
      </c>
      <c r="D2117" s="115">
        <f>IFERROR(__xludf.DUMMYFUNCTION("""COMPUTED_VALUE"""),32229.0)</f>
        <v>32229</v>
      </c>
      <c r="E2117" s="115">
        <f>IFERROR(__xludf.DUMMYFUNCTION("""COMPUTED_VALUE"""),3107.0)</f>
        <v>3107</v>
      </c>
      <c r="F2117" s="115">
        <f>IFERROR(__xludf.DUMMYFUNCTION("""COMPUTED_VALUE"""),14280.0)</f>
        <v>14280</v>
      </c>
      <c r="G2117" s="115">
        <f>IFERROR(__xludf.DUMMYFUNCTION("""COMPUTED_VALUE"""),1385.0)</f>
        <v>1385</v>
      </c>
      <c r="H2117" s="116">
        <f>IFERROR(__xludf.DUMMYFUNCTION("""COMPUTED_VALUE"""),45904.0)</f>
        <v>45904</v>
      </c>
      <c r="I2117" s="115" t="str">
        <f>IFERROR(__xludf.DUMMYFUNCTION("""COMPUTED_VALUE"""),"22")</f>
        <v>22</v>
      </c>
      <c r="J2117" s="115" t="str">
        <f>IFERROR(__xludf.DUMMYFUNCTION("""COMPUTED_VALUE"""),"Manoj Harsh2025-09-0422")</f>
        <v>Manoj Harsh2025-09-0422</v>
      </c>
      <c r="K2117" s="115">
        <f>IFERROR(__xludf.DUMMYFUNCTION("""COMPUTED_VALUE"""),35336.0)</f>
        <v>35336</v>
      </c>
    </row>
    <row r="2118">
      <c r="A2118" s="115" t="str">
        <f>IFERROR(__xludf.DUMMYFUNCTION("""COMPUTED_VALUE"""),"NORTH")</f>
        <v>NORTH</v>
      </c>
      <c r="B2118" s="115" t="str">
        <f>IFERROR(__xludf.DUMMYFUNCTION("""COMPUTED_VALUE"""),"Manoj Harsh")</f>
        <v>Manoj Harsh</v>
      </c>
      <c r="C2118" s="115" t="str">
        <f>IFERROR(__xludf.DUMMYFUNCTION("""COMPUTED_VALUE"""),"FLIPKART")</f>
        <v>FLIPKART</v>
      </c>
      <c r="D2118" s="115">
        <f>IFERROR(__xludf.DUMMYFUNCTION("""COMPUTED_VALUE"""),405857.0)</f>
        <v>405857</v>
      </c>
      <c r="E2118" s="115">
        <f>IFERROR(__xludf.DUMMYFUNCTION("""COMPUTED_VALUE"""),41443.0)</f>
        <v>41443</v>
      </c>
      <c r="F2118" s="115">
        <f>IFERROR(__xludf.DUMMYFUNCTION("""COMPUTED_VALUE"""),305092.0)</f>
        <v>305092</v>
      </c>
      <c r="G2118" s="115">
        <f>IFERROR(__xludf.DUMMYFUNCTION("""COMPUTED_VALUE"""),28817.0)</f>
        <v>28817</v>
      </c>
      <c r="H2118" s="116">
        <f>IFERROR(__xludf.DUMMYFUNCTION("""COMPUTED_VALUE"""),45904.0)</f>
        <v>45904</v>
      </c>
      <c r="I2118" s="115" t="str">
        <f>IFERROR(__xludf.DUMMYFUNCTION("""COMPUTED_VALUE"""),"22")</f>
        <v>22</v>
      </c>
      <c r="J2118" s="115" t="str">
        <f>IFERROR(__xludf.DUMMYFUNCTION("""COMPUTED_VALUE"""),"Manoj Harsh2025-09-0422")</f>
        <v>Manoj Harsh2025-09-0422</v>
      </c>
      <c r="K2118" s="115">
        <f>IFERROR(__xludf.DUMMYFUNCTION("""COMPUTED_VALUE"""),447300.0)</f>
        <v>447300</v>
      </c>
    </row>
    <row r="2119">
      <c r="A2119" s="115" t="str">
        <f>IFERROR(__xludf.DUMMYFUNCTION("""COMPUTED_VALUE"""),"NORTH")</f>
        <v>NORTH</v>
      </c>
      <c r="B2119" s="115" t="str">
        <f>IFERROR(__xludf.DUMMYFUNCTION("""COMPUTED_VALUE"""),"Manoj Harsh")</f>
        <v>Manoj Harsh</v>
      </c>
      <c r="C2119" s="115" t="str">
        <f>IFERROR(__xludf.DUMMYFUNCTION("""COMPUTED_VALUE"""),"MYNTRA")</f>
        <v>MYNTRA</v>
      </c>
      <c r="D2119" s="115">
        <f>IFERROR(__xludf.DUMMYFUNCTION("""COMPUTED_VALUE"""),36574.0)</f>
        <v>36574</v>
      </c>
      <c r="E2119" s="115">
        <f>IFERROR(__xludf.DUMMYFUNCTION("""COMPUTED_VALUE"""),8257.0)</f>
        <v>8257</v>
      </c>
      <c r="F2119" s="115">
        <f>IFERROR(__xludf.DUMMYFUNCTION("""COMPUTED_VALUE"""),29705.0)</f>
        <v>29705</v>
      </c>
      <c r="G2119" s="115">
        <f>IFERROR(__xludf.DUMMYFUNCTION("""COMPUTED_VALUE"""),6172.0)</f>
        <v>6172</v>
      </c>
      <c r="H2119" s="116">
        <f>IFERROR(__xludf.DUMMYFUNCTION("""COMPUTED_VALUE"""),45904.0)</f>
        <v>45904</v>
      </c>
      <c r="I2119" s="115" t="str">
        <f>IFERROR(__xludf.DUMMYFUNCTION("""COMPUTED_VALUE"""),"22")</f>
        <v>22</v>
      </c>
      <c r="J2119" s="115" t="str">
        <f>IFERROR(__xludf.DUMMYFUNCTION("""COMPUTED_VALUE"""),"Manoj Harsh2025-09-0422")</f>
        <v>Manoj Harsh2025-09-0422</v>
      </c>
      <c r="K2119" s="115">
        <f>IFERROR(__xludf.DUMMYFUNCTION("""COMPUTED_VALUE"""),44831.0)</f>
        <v>44831</v>
      </c>
    </row>
    <row r="2120">
      <c r="A2120" s="115" t="str">
        <f>IFERROR(__xludf.DUMMYFUNCTION("""COMPUTED_VALUE"""),"NORTH")</f>
        <v>NORTH</v>
      </c>
      <c r="B2120" s="115" t="str">
        <f>IFERROR(__xludf.DUMMYFUNCTION("""COMPUTED_VALUE"""),"Pradeep Kothari")</f>
        <v>Pradeep Kothari</v>
      </c>
      <c r="C2120" s="115" t="str">
        <f>IFERROR(__xludf.DUMMYFUNCTION("""COMPUTED_VALUE"""),"EXTERNAL")</f>
        <v>EXTERNAL</v>
      </c>
      <c r="D2120" s="115">
        <f>IFERROR(__xludf.DUMMYFUNCTION("""COMPUTED_VALUE"""),18326.0)</f>
        <v>18326</v>
      </c>
      <c r="E2120" s="115">
        <f>IFERROR(__xludf.DUMMYFUNCTION("""COMPUTED_VALUE"""),1994.0)</f>
        <v>1994</v>
      </c>
      <c r="F2120" s="115">
        <f>IFERROR(__xludf.DUMMYFUNCTION("""COMPUTED_VALUE"""),7783.0)</f>
        <v>7783</v>
      </c>
      <c r="G2120" s="115">
        <f>IFERROR(__xludf.DUMMYFUNCTION("""COMPUTED_VALUE"""),917.0)</f>
        <v>917</v>
      </c>
      <c r="H2120" s="116">
        <f>IFERROR(__xludf.DUMMYFUNCTION("""COMPUTED_VALUE"""),45904.0)</f>
        <v>45904</v>
      </c>
      <c r="I2120" s="115" t="str">
        <f>IFERROR(__xludf.DUMMYFUNCTION("""COMPUTED_VALUE"""),"22")</f>
        <v>22</v>
      </c>
      <c r="J2120" s="115" t="str">
        <f>IFERROR(__xludf.DUMMYFUNCTION("""COMPUTED_VALUE"""),"Pradeep Kothari2025-09-0422")</f>
        <v>Pradeep Kothari2025-09-0422</v>
      </c>
      <c r="K2120" s="115">
        <f>IFERROR(__xludf.DUMMYFUNCTION("""COMPUTED_VALUE"""),20320.0)</f>
        <v>20320</v>
      </c>
    </row>
    <row r="2121">
      <c r="A2121" s="115" t="str">
        <f>IFERROR(__xludf.DUMMYFUNCTION("""COMPUTED_VALUE"""),"NORTH")</f>
        <v>NORTH</v>
      </c>
      <c r="B2121" s="115" t="str">
        <f>IFERROR(__xludf.DUMMYFUNCTION("""COMPUTED_VALUE"""),"Pradeep Kothari")</f>
        <v>Pradeep Kothari</v>
      </c>
      <c r="C2121" s="115" t="str">
        <f>IFERROR(__xludf.DUMMYFUNCTION("""COMPUTED_VALUE"""),"FLIPKART")</f>
        <v>FLIPKART</v>
      </c>
      <c r="D2121" s="115">
        <f>IFERROR(__xludf.DUMMYFUNCTION("""COMPUTED_VALUE"""),146094.0)</f>
        <v>146094</v>
      </c>
      <c r="E2121" s="115">
        <f>IFERROR(__xludf.DUMMYFUNCTION("""COMPUTED_VALUE"""),17897.0)</f>
        <v>17897</v>
      </c>
      <c r="F2121" s="115">
        <f>IFERROR(__xludf.DUMMYFUNCTION("""COMPUTED_VALUE"""),110289.0)</f>
        <v>110289</v>
      </c>
      <c r="G2121" s="115">
        <f>IFERROR(__xludf.DUMMYFUNCTION("""COMPUTED_VALUE"""),12017.0)</f>
        <v>12017</v>
      </c>
      <c r="H2121" s="116">
        <f>IFERROR(__xludf.DUMMYFUNCTION("""COMPUTED_VALUE"""),45904.0)</f>
        <v>45904</v>
      </c>
      <c r="I2121" s="115" t="str">
        <f>IFERROR(__xludf.DUMMYFUNCTION("""COMPUTED_VALUE"""),"22")</f>
        <v>22</v>
      </c>
      <c r="J2121" s="115" t="str">
        <f>IFERROR(__xludf.DUMMYFUNCTION("""COMPUTED_VALUE"""),"Pradeep Kothari2025-09-0422")</f>
        <v>Pradeep Kothari2025-09-0422</v>
      </c>
      <c r="K2121" s="115">
        <f>IFERROR(__xludf.DUMMYFUNCTION("""COMPUTED_VALUE"""),163991.0)</f>
        <v>163991</v>
      </c>
    </row>
    <row r="2122">
      <c r="A2122" s="115" t="str">
        <f>IFERROR(__xludf.DUMMYFUNCTION("""COMPUTED_VALUE"""),"NORTH")</f>
        <v>NORTH</v>
      </c>
      <c r="B2122" s="115" t="str">
        <f>IFERROR(__xludf.DUMMYFUNCTION("""COMPUTED_VALUE"""),"Pradeep Kothari")</f>
        <v>Pradeep Kothari</v>
      </c>
      <c r="C2122" s="115" t="str">
        <f>IFERROR(__xludf.DUMMYFUNCTION("""COMPUTED_VALUE"""),"MYNTRA")</f>
        <v>MYNTRA</v>
      </c>
      <c r="D2122" s="115">
        <f>IFERROR(__xludf.DUMMYFUNCTION("""COMPUTED_VALUE"""),23403.0)</f>
        <v>23403</v>
      </c>
      <c r="E2122" s="115">
        <f>IFERROR(__xludf.DUMMYFUNCTION("""COMPUTED_VALUE"""),6919.0)</f>
        <v>6919</v>
      </c>
      <c r="F2122" s="115">
        <f>IFERROR(__xludf.DUMMYFUNCTION("""COMPUTED_VALUE"""),19480.0)</f>
        <v>19480</v>
      </c>
      <c r="G2122" s="115">
        <f>IFERROR(__xludf.DUMMYFUNCTION("""COMPUTED_VALUE"""),5052.0)</f>
        <v>5052</v>
      </c>
      <c r="H2122" s="116">
        <f>IFERROR(__xludf.DUMMYFUNCTION("""COMPUTED_VALUE"""),45904.0)</f>
        <v>45904</v>
      </c>
      <c r="I2122" s="115" t="str">
        <f>IFERROR(__xludf.DUMMYFUNCTION("""COMPUTED_VALUE"""),"22")</f>
        <v>22</v>
      </c>
      <c r="J2122" s="115" t="str">
        <f>IFERROR(__xludf.DUMMYFUNCTION("""COMPUTED_VALUE"""),"Pradeep Kothari2025-09-0422")</f>
        <v>Pradeep Kothari2025-09-0422</v>
      </c>
      <c r="K2122" s="115">
        <f>IFERROR(__xludf.DUMMYFUNCTION("""COMPUTED_VALUE"""),30322.0)</f>
        <v>30322</v>
      </c>
    </row>
    <row r="2123">
      <c r="A2123" s="115" t="str">
        <f>IFERROR(__xludf.DUMMYFUNCTION("""COMPUTED_VALUE"""),"SOUTH")</f>
        <v>SOUTH</v>
      </c>
      <c r="B2123" s="115" t="str">
        <f>IFERROR(__xludf.DUMMYFUNCTION("""COMPUTED_VALUE"""),"Kandula Sampath")</f>
        <v>Kandula Sampath</v>
      </c>
      <c r="C2123" s="115" t="str">
        <f>IFERROR(__xludf.DUMMYFUNCTION("""COMPUTED_VALUE"""),"EXTERNAL")</f>
        <v>EXTERNAL</v>
      </c>
      <c r="D2123" s="115">
        <f>IFERROR(__xludf.DUMMYFUNCTION("""COMPUTED_VALUE"""),33179.0)</f>
        <v>33179</v>
      </c>
      <c r="E2123" s="115">
        <f>IFERROR(__xludf.DUMMYFUNCTION("""COMPUTED_VALUE"""),3977.0)</f>
        <v>3977</v>
      </c>
      <c r="F2123" s="115">
        <f>IFERROR(__xludf.DUMMYFUNCTION("""COMPUTED_VALUE"""),14228.0)</f>
        <v>14228</v>
      </c>
      <c r="G2123" s="115">
        <f>IFERROR(__xludf.DUMMYFUNCTION("""COMPUTED_VALUE"""),1758.0)</f>
        <v>1758</v>
      </c>
      <c r="H2123" s="116">
        <f>IFERROR(__xludf.DUMMYFUNCTION("""COMPUTED_VALUE"""),45904.0)</f>
        <v>45904</v>
      </c>
      <c r="I2123" s="115" t="str">
        <f>IFERROR(__xludf.DUMMYFUNCTION("""COMPUTED_VALUE"""),"22")</f>
        <v>22</v>
      </c>
      <c r="J2123" s="115" t="str">
        <f>IFERROR(__xludf.DUMMYFUNCTION("""COMPUTED_VALUE"""),"Kandula Sampath2025-09-0422")</f>
        <v>Kandula Sampath2025-09-0422</v>
      </c>
      <c r="K2123" s="115">
        <f>IFERROR(__xludf.DUMMYFUNCTION("""COMPUTED_VALUE"""),37156.0)</f>
        <v>37156</v>
      </c>
    </row>
    <row r="2124">
      <c r="A2124" s="115" t="str">
        <f>IFERROR(__xludf.DUMMYFUNCTION("""COMPUTED_VALUE"""),"SOUTH")</f>
        <v>SOUTH</v>
      </c>
      <c r="B2124" s="115" t="str">
        <f>IFERROR(__xludf.DUMMYFUNCTION("""COMPUTED_VALUE"""),"Kandula Sampath")</f>
        <v>Kandula Sampath</v>
      </c>
      <c r="C2124" s="115" t="str">
        <f>IFERROR(__xludf.DUMMYFUNCTION("""COMPUTED_VALUE"""),"FLIPKART")</f>
        <v>FLIPKART</v>
      </c>
      <c r="D2124" s="115">
        <f>IFERROR(__xludf.DUMMYFUNCTION("""COMPUTED_VALUE"""),288243.0)</f>
        <v>288243</v>
      </c>
      <c r="E2124" s="115">
        <f>IFERROR(__xludf.DUMMYFUNCTION("""COMPUTED_VALUE"""),33044.0)</f>
        <v>33044</v>
      </c>
      <c r="F2124" s="115">
        <f>IFERROR(__xludf.DUMMYFUNCTION("""COMPUTED_VALUE"""),216037.0)</f>
        <v>216037</v>
      </c>
      <c r="G2124" s="115">
        <f>IFERROR(__xludf.DUMMYFUNCTION("""COMPUTED_VALUE"""),21561.0)</f>
        <v>21561</v>
      </c>
      <c r="H2124" s="116">
        <f>IFERROR(__xludf.DUMMYFUNCTION("""COMPUTED_VALUE"""),45904.0)</f>
        <v>45904</v>
      </c>
      <c r="I2124" s="115" t="str">
        <f>IFERROR(__xludf.DUMMYFUNCTION("""COMPUTED_VALUE"""),"22")</f>
        <v>22</v>
      </c>
      <c r="J2124" s="115" t="str">
        <f>IFERROR(__xludf.DUMMYFUNCTION("""COMPUTED_VALUE"""),"Kandula Sampath2025-09-0422")</f>
        <v>Kandula Sampath2025-09-0422</v>
      </c>
      <c r="K2124" s="115">
        <f>IFERROR(__xludf.DUMMYFUNCTION("""COMPUTED_VALUE"""),321287.0)</f>
        <v>321287</v>
      </c>
    </row>
    <row r="2125">
      <c r="A2125" s="115" t="str">
        <f>IFERROR(__xludf.DUMMYFUNCTION("""COMPUTED_VALUE"""),"SOUTH")</f>
        <v>SOUTH</v>
      </c>
      <c r="B2125" s="115" t="str">
        <f>IFERROR(__xludf.DUMMYFUNCTION("""COMPUTED_VALUE"""),"Kandula Sampath")</f>
        <v>Kandula Sampath</v>
      </c>
      <c r="C2125" s="115" t="str">
        <f>IFERROR(__xludf.DUMMYFUNCTION("""COMPUTED_VALUE"""),"MYNTRA")</f>
        <v>MYNTRA</v>
      </c>
      <c r="D2125" s="115">
        <f>IFERROR(__xludf.DUMMYFUNCTION("""COMPUTED_VALUE"""),29425.0)</f>
        <v>29425</v>
      </c>
      <c r="E2125" s="115">
        <f>IFERROR(__xludf.DUMMYFUNCTION("""COMPUTED_VALUE"""),8304.0)</f>
        <v>8304</v>
      </c>
      <c r="F2125" s="115">
        <f>IFERROR(__xludf.DUMMYFUNCTION("""COMPUTED_VALUE"""),24231.0)</f>
        <v>24231</v>
      </c>
      <c r="G2125" s="115">
        <f>IFERROR(__xludf.DUMMYFUNCTION("""COMPUTED_VALUE"""),5682.0)</f>
        <v>5682</v>
      </c>
      <c r="H2125" s="116">
        <f>IFERROR(__xludf.DUMMYFUNCTION("""COMPUTED_VALUE"""),45904.0)</f>
        <v>45904</v>
      </c>
      <c r="I2125" s="115" t="str">
        <f>IFERROR(__xludf.DUMMYFUNCTION("""COMPUTED_VALUE"""),"22")</f>
        <v>22</v>
      </c>
      <c r="J2125" s="115" t="str">
        <f>IFERROR(__xludf.DUMMYFUNCTION("""COMPUTED_VALUE"""),"Kandula Sampath2025-09-0422")</f>
        <v>Kandula Sampath2025-09-0422</v>
      </c>
      <c r="K2125" s="115">
        <f>IFERROR(__xludf.DUMMYFUNCTION("""COMPUTED_VALUE"""),37729.0)</f>
        <v>37729</v>
      </c>
    </row>
    <row r="2126">
      <c r="A2126" s="115" t="str">
        <f>IFERROR(__xludf.DUMMYFUNCTION("""COMPUTED_VALUE"""),"SOUTH")</f>
        <v>SOUTH</v>
      </c>
      <c r="B2126" s="115" t="str">
        <f>IFERROR(__xludf.DUMMYFUNCTION("""COMPUTED_VALUE"""),"Martin A")</f>
        <v>Martin A</v>
      </c>
      <c r="C2126" s="115" t="str">
        <f>IFERROR(__xludf.DUMMYFUNCTION("""COMPUTED_VALUE"""),"EXTERNAL")</f>
        <v>EXTERNAL</v>
      </c>
      <c r="D2126" s="115">
        <f>IFERROR(__xludf.DUMMYFUNCTION("""COMPUTED_VALUE"""),33202.0)</f>
        <v>33202</v>
      </c>
      <c r="E2126" s="115">
        <f>IFERROR(__xludf.DUMMYFUNCTION("""COMPUTED_VALUE"""),3460.0)</f>
        <v>3460</v>
      </c>
      <c r="F2126" s="115">
        <f>IFERROR(__xludf.DUMMYFUNCTION("""COMPUTED_VALUE"""),14178.0)</f>
        <v>14178</v>
      </c>
      <c r="G2126" s="115">
        <f>IFERROR(__xludf.DUMMYFUNCTION("""COMPUTED_VALUE"""),2072.0)</f>
        <v>2072</v>
      </c>
      <c r="H2126" s="116">
        <f>IFERROR(__xludf.DUMMYFUNCTION("""COMPUTED_VALUE"""),45904.0)</f>
        <v>45904</v>
      </c>
      <c r="I2126" s="115" t="str">
        <f>IFERROR(__xludf.DUMMYFUNCTION("""COMPUTED_VALUE"""),"22")</f>
        <v>22</v>
      </c>
      <c r="J2126" s="115" t="str">
        <f>IFERROR(__xludf.DUMMYFUNCTION("""COMPUTED_VALUE"""),"Martin A2025-09-0422")</f>
        <v>Martin A2025-09-0422</v>
      </c>
      <c r="K2126" s="115">
        <f>IFERROR(__xludf.DUMMYFUNCTION("""COMPUTED_VALUE"""),36662.0)</f>
        <v>36662</v>
      </c>
    </row>
    <row r="2127">
      <c r="A2127" s="115" t="str">
        <f>IFERROR(__xludf.DUMMYFUNCTION("""COMPUTED_VALUE"""),"SOUTH")</f>
        <v>SOUTH</v>
      </c>
      <c r="B2127" s="115" t="str">
        <f>IFERROR(__xludf.DUMMYFUNCTION("""COMPUTED_VALUE"""),"Martin A")</f>
        <v>Martin A</v>
      </c>
      <c r="C2127" s="115" t="str">
        <f>IFERROR(__xludf.DUMMYFUNCTION("""COMPUTED_VALUE"""),"FLIPKART")</f>
        <v>FLIPKART</v>
      </c>
      <c r="D2127" s="115">
        <f>IFERROR(__xludf.DUMMYFUNCTION("""COMPUTED_VALUE"""),266052.0)</f>
        <v>266052</v>
      </c>
      <c r="E2127" s="115">
        <f>IFERROR(__xludf.DUMMYFUNCTION("""COMPUTED_VALUE"""),28862.0)</f>
        <v>28862</v>
      </c>
      <c r="F2127" s="115">
        <f>IFERROR(__xludf.DUMMYFUNCTION("""COMPUTED_VALUE"""),198899.0)</f>
        <v>198899</v>
      </c>
      <c r="G2127" s="115">
        <f>IFERROR(__xludf.DUMMYFUNCTION("""COMPUTED_VALUE"""),19848.0)</f>
        <v>19848</v>
      </c>
      <c r="H2127" s="116">
        <f>IFERROR(__xludf.DUMMYFUNCTION("""COMPUTED_VALUE"""),45904.0)</f>
        <v>45904</v>
      </c>
      <c r="I2127" s="115" t="str">
        <f>IFERROR(__xludf.DUMMYFUNCTION("""COMPUTED_VALUE"""),"22")</f>
        <v>22</v>
      </c>
      <c r="J2127" s="115" t="str">
        <f>IFERROR(__xludf.DUMMYFUNCTION("""COMPUTED_VALUE"""),"Martin A2025-09-0422")</f>
        <v>Martin A2025-09-0422</v>
      </c>
      <c r="K2127" s="115">
        <f>IFERROR(__xludf.DUMMYFUNCTION("""COMPUTED_VALUE"""),294914.0)</f>
        <v>294914</v>
      </c>
    </row>
    <row r="2128">
      <c r="A2128" s="115" t="str">
        <f>IFERROR(__xludf.DUMMYFUNCTION("""COMPUTED_VALUE"""),"SOUTH")</f>
        <v>SOUTH</v>
      </c>
      <c r="B2128" s="115" t="str">
        <f>IFERROR(__xludf.DUMMYFUNCTION("""COMPUTED_VALUE"""),"Martin A")</f>
        <v>Martin A</v>
      </c>
      <c r="C2128" s="115" t="str">
        <f>IFERROR(__xludf.DUMMYFUNCTION("""COMPUTED_VALUE"""),"MYNTRA")</f>
        <v>MYNTRA</v>
      </c>
      <c r="D2128" s="115">
        <f>IFERROR(__xludf.DUMMYFUNCTION("""COMPUTED_VALUE"""),22506.0)</f>
        <v>22506</v>
      </c>
      <c r="E2128" s="115">
        <f>IFERROR(__xludf.DUMMYFUNCTION("""COMPUTED_VALUE"""),6672.0)</f>
        <v>6672</v>
      </c>
      <c r="F2128" s="115">
        <f>IFERROR(__xludf.DUMMYFUNCTION("""COMPUTED_VALUE"""),18850.0)</f>
        <v>18850</v>
      </c>
      <c r="G2128" s="115">
        <f>IFERROR(__xludf.DUMMYFUNCTION("""COMPUTED_VALUE"""),4769.0)</f>
        <v>4769</v>
      </c>
      <c r="H2128" s="116">
        <f>IFERROR(__xludf.DUMMYFUNCTION("""COMPUTED_VALUE"""),45904.0)</f>
        <v>45904</v>
      </c>
      <c r="I2128" s="115" t="str">
        <f>IFERROR(__xludf.DUMMYFUNCTION("""COMPUTED_VALUE"""),"22")</f>
        <v>22</v>
      </c>
      <c r="J2128" s="115" t="str">
        <f>IFERROR(__xludf.DUMMYFUNCTION("""COMPUTED_VALUE"""),"Martin A2025-09-0422")</f>
        <v>Martin A2025-09-0422</v>
      </c>
      <c r="K2128" s="115">
        <f>IFERROR(__xludf.DUMMYFUNCTION("""COMPUTED_VALUE"""),29178.0)</f>
        <v>29178</v>
      </c>
    </row>
    <row r="2129">
      <c r="A2129" s="115" t="str">
        <f>IFERROR(__xludf.DUMMYFUNCTION("""COMPUTED_VALUE"""),"SOUTH")</f>
        <v>SOUTH</v>
      </c>
      <c r="B2129" s="115" t="str">
        <f>IFERROR(__xludf.DUMMYFUNCTION("""COMPUTED_VALUE"""),"Premkumar M")</f>
        <v>Premkumar M</v>
      </c>
      <c r="C2129" s="115" t="str">
        <f>IFERROR(__xludf.DUMMYFUNCTION("""COMPUTED_VALUE"""),"EXTERNAL")</f>
        <v>EXTERNAL</v>
      </c>
      <c r="D2129" s="115">
        <f>IFERROR(__xludf.DUMMYFUNCTION("""COMPUTED_VALUE"""),27172.0)</f>
        <v>27172</v>
      </c>
      <c r="E2129" s="115">
        <f>IFERROR(__xludf.DUMMYFUNCTION("""COMPUTED_VALUE"""),1875.0)</f>
        <v>1875</v>
      </c>
      <c r="F2129" s="115">
        <f>IFERROR(__xludf.DUMMYFUNCTION("""COMPUTED_VALUE"""),13976.0)</f>
        <v>13976</v>
      </c>
      <c r="G2129" s="115">
        <f>IFERROR(__xludf.DUMMYFUNCTION("""COMPUTED_VALUE"""),866.0)</f>
        <v>866</v>
      </c>
      <c r="H2129" s="116">
        <f>IFERROR(__xludf.DUMMYFUNCTION("""COMPUTED_VALUE"""),45904.0)</f>
        <v>45904</v>
      </c>
      <c r="I2129" s="115" t="str">
        <f>IFERROR(__xludf.DUMMYFUNCTION("""COMPUTED_VALUE"""),"22")</f>
        <v>22</v>
      </c>
      <c r="J2129" s="115" t="str">
        <f>IFERROR(__xludf.DUMMYFUNCTION("""COMPUTED_VALUE"""),"Premkumar M2025-09-0422")</f>
        <v>Premkumar M2025-09-0422</v>
      </c>
      <c r="K2129" s="115">
        <f>IFERROR(__xludf.DUMMYFUNCTION("""COMPUTED_VALUE"""),29047.0)</f>
        <v>29047</v>
      </c>
    </row>
    <row r="2130">
      <c r="A2130" s="115" t="str">
        <f>IFERROR(__xludf.DUMMYFUNCTION("""COMPUTED_VALUE"""),"SOUTH")</f>
        <v>SOUTH</v>
      </c>
      <c r="B2130" s="115" t="str">
        <f>IFERROR(__xludf.DUMMYFUNCTION("""COMPUTED_VALUE"""),"Premkumar M")</f>
        <v>Premkumar M</v>
      </c>
      <c r="C2130" s="115" t="str">
        <f>IFERROR(__xludf.DUMMYFUNCTION("""COMPUTED_VALUE"""),"FLIPKART")</f>
        <v>FLIPKART</v>
      </c>
      <c r="D2130" s="115">
        <f>IFERROR(__xludf.DUMMYFUNCTION("""COMPUTED_VALUE"""),258864.0)</f>
        <v>258864</v>
      </c>
      <c r="E2130" s="115">
        <f>IFERROR(__xludf.DUMMYFUNCTION("""COMPUTED_VALUE"""),19102.0)</f>
        <v>19102</v>
      </c>
      <c r="F2130" s="115">
        <f>IFERROR(__xludf.DUMMYFUNCTION("""COMPUTED_VALUE"""),201177.0)</f>
        <v>201177</v>
      </c>
      <c r="G2130" s="115">
        <f>IFERROR(__xludf.DUMMYFUNCTION("""COMPUTED_VALUE"""),11307.0)</f>
        <v>11307</v>
      </c>
      <c r="H2130" s="116">
        <f>IFERROR(__xludf.DUMMYFUNCTION("""COMPUTED_VALUE"""),45904.0)</f>
        <v>45904</v>
      </c>
      <c r="I2130" s="115" t="str">
        <f>IFERROR(__xludf.DUMMYFUNCTION("""COMPUTED_VALUE"""),"22")</f>
        <v>22</v>
      </c>
      <c r="J2130" s="115" t="str">
        <f>IFERROR(__xludf.DUMMYFUNCTION("""COMPUTED_VALUE"""),"Premkumar M2025-09-0422")</f>
        <v>Premkumar M2025-09-0422</v>
      </c>
      <c r="K2130" s="115">
        <f>IFERROR(__xludf.DUMMYFUNCTION("""COMPUTED_VALUE"""),277966.0)</f>
        <v>277966</v>
      </c>
    </row>
    <row r="2131">
      <c r="A2131" s="115" t="str">
        <f>IFERROR(__xludf.DUMMYFUNCTION("""COMPUTED_VALUE"""),"SOUTH")</f>
        <v>SOUTH</v>
      </c>
      <c r="B2131" s="115" t="str">
        <f>IFERROR(__xludf.DUMMYFUNCTION("""COMPUTED_VALUE"""),"Premkumar M")</f>
        <v>Premkumar M</v>
      </c>
      <c r="C2131" s="115" t="str">
        <f>IFERROR(__xludf.DUMMYFUNCTION("""COMPUTED_VALUE"""),"MYNTRA")</f>
        <v>MYNTRA</v>
      </c>
      <c r="D2131" s="115">
        <f>IFERROR(__xludf.DUMMYFUNCTION("""COMPUTED_VALUE"""),12597.0)</f>
        <v>12597</v>
      </c>
      <c r="E2131" s="115">
        <f>IFERROR(__xludf.DUMMYFUNCTION("""COMPUTED_VALUE"""),2818.0)</f>
        <v>2818</v>
      </c>
      <c r="F2131" s="115">
        <f>IFERROR(__xludf.DUMMYFUNCTION("""COMPUTED_VALUE"""),10729.0)</f>
        <v>10729</v>
      </c>
      <c r="G2131" s="115">
        <f>IFERROR(__xludf.DUMMYFUNCTION("""COMPUTED_VALUE"""),1691.0)</f>
        <v>1691</v>
      </c>
      <c r="H2131" s="116">
        <f>IFERROR(__xludf.DUMMYFUNCTION("""COMPUTED_VALUE"""),45904.0)</f>
        <v>45904</v>
      </c>
      <c r="I2131" s="115" t="str">
        <f>IFERROR(__xludf.DUMMYFUNCTION("""COMPUTED_VALUE"""),"22")</f>
        <v>22</v>
      </c>
      <c r="J2131" s="115" t="str">
        <f>IFERROR(__xludf.DUMMYFUNCTION("""COMPUTED_VALUE"""),"Premkumar M2025-09-0422")</f>
        <v>Premkumar M2025-09-0422</v>
      </c>
      <c r="K2131" s="115">
        <f>IFERROR(__xludf.DUMMYFUNCTION("""COMPUTED_VALUE"""),15415.0)</f>
        <v>15415</v>
      </c>
    </row>
    <row r="2132">
      <c r="A2132" s="115" t="str">
        <f>IFERROR(__xludf.DUMMYFUNCTION("""COMPUTED_VALUE"""),"SOUTH")</f>
        <v>SOUTH</v>
      </c>
      <c r="B2132" s="115" t="str">
        <f>IFERROR(__xludf.DUMMYFUNCTION("""COMPUTED_VALUE"""),"Vineeth V")</f>
        <v>Vineeth V</v>
      </c>
      <c r="C2132" s="115" t="str">
        <f>IFERROR(__xludf.DUMMYFUNCTION("""COMPUTED_VALUE"""),"EXTERNAL")</f>
        <v>EXTERNAL</v>
      </c>
      <c r="D2132" s="115">
        <f>IFERROR(__xludf.DUMMYFUNCTION("""COMPUTED_VALUE"""),19060.0)</f>
        <v>19060</v>
      </c>
      <c r="E2132" s="115">
        <f>IFERROR(__xludf.DUMMYFUNCTION("""COMPUTED_VALUE"""),722.0)</f>
        <v>722</v>
      </c>
      <c r="F2132" s="115">
        <f>IFERROR(__xludf.DUMMYFUNCTION("""COMPUTED_VALUE"""),10142.0)</f>
        <v>10142</v>
      </c>
      <c r="G2132" s="115">
        <f>IFERROR(__xludf.DUMMYFUNCTION("""COMPUTED_VALUE"""),450.0)</f>
        <v>450</v>
      </c>
      <c r="H2132" s="116">
        <f>IFERROR(__xludf.DUMMYFUNCTION("""COMPUTED_VALUE"""),45904.0)</f>
        <v>45904</v>
      </c>
      <c r="I2132" s="115" t="str">
        <f>IFERROR(__xludf.DUMMYFUNCTION("""COMPUTED_VALUE"""),"22")</f>
        <v>22</v>
      </c>
      <c r="J2132" s="115" t="str">
        <f>IFERROR(__xludf.DUMMYFUNCTION("""COMPUTED_VALUE"""),"Vineeth V2025-09-0422")</f>
        <v>Vineeth V2025-09-0422</v>
      </c>
      <c r="K2132" s="115">
        <f>IFERROR(__xludf.DUMMYFUNCTION("""COMPUTED_VALUE"""),19782.0)</f>
        <v>19782</v>
      </c>
    </row>
    <row r="2133">
      <c r="A2133" s="115" t="str">
        <f>IFERROR(__xludf.DUMMYFUNCTION("""COMPUTED_VALUE"""),"SOUTH")</f>
        <v>SOUTH</v>
      </c>
      <c r="B2133" s="115" t="str">
        <f>IFERROR(__xludf.DUMMYFUNCTION("""COMPUTED_VALUE"""),"Vineeth V")</f>
        <v>Vineeth V</v>
      </c>
      <c r="C2133" s="115" t="str">
        <f>IFERROR(__xludf.DUMMYFUNCTION("""COMPUTED_VALUE"""),"FLIPKART")</f>
        <v>FLIPKART</v>
      </c>
      <c r="D2133" s="115">
        <f>IFERROR(__xludf.DUMMYFUNCTION("""COMPUTED_VALUE"""),203747.0)</f>
        <v>203747</v>
      </c>
      <c r="E2133" s="115">
        <f>IFERROR(__xludf.DUMMYFUNCTION("""COMPUTED_VALUE"""),16587.0)</f>
        <v>16587</v>
      </c>
      <c r="F2133" s="115">
        <f>IFERROR(__xludf.DUMMYFUNCTION("""COMPUTED_VALUE"""),169097.0)</f>
        <v>169097</v>
      </c>
      <c r="G2133" s="115">
        <f>IFERROR(__xludf.DUMMYFUNCTION("""COMPUTED_VALUE"""),10794.0)</f>
        <v>10794</v>
      </c>
      <c r="H2133" s="116">
        <f>IFERROR(__xludf.DUMMYFUNCTION("""COMPUTED_VALUE"""),45904.0)</f>
        <v>45904</v>
      </c>
      <c r="I2133" s="115" t="str">
        <f>IFERROR(__xludf.DUMMYFUNCTION("""COMPUTED_VALUE"""),"22")</f>
        <v>22</v>
      </c>
      <c r="J2133" s="115" t="str">
        <f>IFERROR(__xludf.DUMMYFUNCTION("""COMPUTED_VALUE"""),"Vineeth V2025-09-0422")</f>
        <v>Vineeth V2025-09-0422</v>
      </c>
      <c r="K2133" s="115">
        <f>IFERROR(__xludf.DUMMYFUNCTION("""COMPUTED_VALUE"""),220334.0)</f>
        <v>220334</v>
      </c>
    </row>
    <row r="2134">
      <c r="A2134" s="115" t="str">
        <f>IFERROR(__xludf.DUMMYFUNCTION("""COMPUTED_VALUE"""),"SOUTH")</f>
        <v>SOUTH</v>
      </c>
      <c r="B2134" s="115" t="str">
        <f>IFERROR(__xludf.DUMMYFUNCTION("""COMPUTED_VALUE"""),"Vineeth V")</f>
        <v>Vineeth V</v>
      </c>
      <c r="C2134" s="115" t="str">
        <f>IFERROR(__xludf.DUMMYFUNCTION("""COMPUTED_VALUE"""),"MYNTRA")</f>
        <v>MYNTRA</v>
      </c>
      <c r="D2134" s="115">
        <f>IFERROR(__xludf.DUMMYFUNCTION("""COMPUTED_VALUE"""),17493.0)</f>
        <v>17493</v>
      </c>
      <c r="E2134" s="115">
        <f>IFERROR(__xludf.DUMMYFUNCTION("""COMPUTED_VALUE"""),4100.0)</f>
        <v>4100</v>
      </c>
      <c r="F2134" s="115">
        <f>IFERROR(__xludf.DUMMYFUNCTION("""COMPUTED_VALUE"""),15331.0)</f>
        <v>15331</v>
      </c>
      <c r="G2134" s="115">
        <f>IFERROR(__xludf.DUMMYFUNCTION("""COMPUTED_VALUE"""),2806.0)</f>
        <v>2806</v>
      </c>
      <c r="H2134" s="116">
        <f>IFERROR(__xludf.DUMMYFUNCTION("""COMPUTED_VALUE"""),45904.0)</f>
        <v>45904</v>
      </c>
      <c r="I2134" s="115" t="str">
        <f>IFERROR(__xludf.DUMMYFUNCTION("""COMPUTED_VALUE"""),"22")</f>
        <v>22</v>
      </c>
      <c r="J2134" s="115" t="str">
        <f>IFERROR(__xludf.DUMMYFUNCTION("""COMPUTED_VALUE"""),"Vineeth V2025-09-0422")</f>
        <v>Vineeth V2025-09-0422</v>
      </c>
      <c r="K2134" s="115">
        <f>IFERROR(__xludf.DUMMYFUNCTION("""COMPUTED_VALUE"""),21593.0)</f>
        <v>21593</v>
      </c>
    </row>
    <row r="2135">
      <c r="A2135" s="115" t="str">
        <f>IFERROR(__xludf.DUMMYFUNCTION("""COMPUTED_VALUE"""),"South")</f>
        <v>South</v>
      </c>
      <c r="B2135" s="115"/>
      <c r="C2135" s="115" t="str">
        <f>IFERROR(__xludf.DUMMYFUNCTION("""COMPUTED_VALUE"""),"EXTERNAL")</f>
        <v>EXTERNAL</v>
      </c>
      <c r="D2135" s="115">
        <f>IFERROR(__xludf.DUMMYFUNCTION("""COMPUTED_VALUE"""),56.0)</f>
        <v>56</v>
      </c>
      <c r="E2135" s="115">
        <f>IFERROR(__xludf.DUMMYFUNCTION("""COMPUTED_VALUE"""),1.0)</f>
        <v>1</v>
      </c>
      <c r="F2135" s="115">
        <f>IFERROR(__xludf.DUMMYFUNCTION("""COMPUTED_VALUE"""),4.0)</f>
        <v>4</v>
      </c>
      <c r="G2135" s="115">
        <f>IFERROR(__xludf.DUMMYFUNCTION("""COMPUTED_VALUE"""),0.0)</f>
        <v>0</v>
      </c>
      <c r="H2135" s="116">
        <f>IFERROR(__xludf.DUMMYFUNCTION("""COMPUTED_VALUE"""),45904.0)</f>
        <v>45904</v>
      </c>
      <c r="I2135" s="115" t="str">
        <f>IFERROR(__xludf.DUMMYFUNCTION("""COMPUTED_VALUE"""),"22")</f>
        <v>22</v>
      </c>
      <c r="J2135" s="115" t="str">
        <f>IFERROR(__xludf.DUMMYFUNCTION("""COMPUTED_VALUE"""),"2025-09-0422")</f>
        <v>2025-09-0422</v>
      </c>
      <c r="K2135" s="115">
        <f>IFERROR(__xludf.DUMMYFUNCTION("""COMPUTED_VALUE"""),57.0)</f>
        <v>57</v>
      </c>
    </row>
    <row r="2136">
      <c r="A2136" s="115" t="str">
        <f>IFERROR(__xludf.DUMMYFUNCTION("""COMPUTED_VALUE"""),"South")</f>
        <v>South</v>
      </c>
      <c r="B2136" s="115"/>
      <c r="C2136" s="115" t="str">
        <f>IFERROR(__xludf.DUMMYFUNCTION("""COMPUTED_VALUE"""),"FLIPKART")</f>
        <v>FLIPKART</v>
      </c>
      <c r="D2136" s="115">
        <f>IFERROR(__xludf.DUMMYFUNCTION("""COMPUTED_VALUE"""),258.0)</f>
        <v>258</v>
      </c>
      <c r="E2136" s="115">
        <f>IFERROR(__xludf.DUMMYFUNCTION("""COMPUTED_VALUE"""),7.0)</f>
        <v>7</v>
      </c>
      <c r="F2136" s="115">
        <f>IFERROR(__xludf.DUMMYFUNCTION("""COMPUTED_VALUE"""),52.0)</f>
        <v>52</v>
      </c>
      <c r="G2136" s="115">
        <f>IFERROR(__xludf.DUMMYFUNCTION("""COMPUTED_VALUE"""),0.0)</f>
        <v>0</v>
      </c>
      <c r="H2136" s="116">
        <f>IFERROR(__xludf.DUMMYFUNCTION("""COMPUTED_VALUE"""),45904.0)</f>
        <v>45904</v>
      </c>
      <c r="I2136" s="115" t="str">
        <f>IFERROR(__xludf.DUMMYFUNCTION("""COMPUTED_VALUE"""),"22")</f>
        <v>22</v>
      </c>
      <c r="J2136" s="115" t="str">
        <f>IFERROR(__xludf.DUMMYFUNCTION("""COMPUTED_VALUE"""),"2025-09-0422")</f>
        <v>2025-09-0422</v>
      </c>
      <c r="K2136" s="115">
        <f>IFERROR(__xludf.DUMMYFUNCTION("""COMPUTED_VALUE"""),265.0)</f>
        <v>265</v>
      </c>
    </row>
    <row r="2137">
      <c r="A2137" s="115" t="str">
        <f>IFERROR(__xludf.DUMMYFUNCTION("""COMPUTED_VALUE"""),"South")</f>
        <v>South</v>
      </c>
      <c r="B2137" s="115"/>
      <c r="C2137" s="115" t="str">
        <f>IFERROR(__xludf.DUMMYFUNCTION("""COMPUTED_VALUE"""),"MYNTRA")</f>
        <v>MYNTRA</v>
      </c>
      <c r="D2137" s="115">
        <f>IFERROR(__xludf.DUMMYFUNCTION("""COMPUTED_VALUE"""),9.0)</f>
        <v>9</v>
      </c>
      <c r="E2137" s="115">
        <f>IFERROR(__xludf.DUMMYFUNCTION("""COMPUTED_VALUE"""),1.0)</f>
        <v>1</v>
      </c>
      <c r="F2137" s="115">
        <f>IFERROR(__xludf.DUMMYFUNCTION("""COMPUTED_VALUE"""),2.0)</f>
        <v>2</v>
      </c>
      <c r="G2137" s="115">
        <f>IFERROR(__xludf.DUMMYFUNCTION("""COMPUTED_VALUE"""),0.0)</f>
        <v>0</v>
      </c>
      <c r="H2137" s="116">
        <f>IFERROR(__xludf.DUMMYFUNCTION("""COMPUTED_VALUE"""),45904.0)</f>
        <v>45904</v>
      </c>
      <c r="I2137" s="115" t="str">
        <f>IFERROR(__xludf.DUMMYFUNCTION("""COMPUTED_VALUE"""),"22")</f>
        <v>22</v>
      </c>
      <c r="J2137" s="115" t="str">
        <f>IFERROR(__xludf.DUMMYFUNCTION("""COMPUTED_VALUE"""),"2025-09-0422")</f>
        <v>2025-09-0422</v>
      </c>
      <c r="K2137" s="115">
        <f>IFERROR(__xludf.DUMMYFUNCTION("""COMPUTED_VALUE"""),10.0)</f>
        <v>10</v>
      </c>
    </row>
    <row r="2138">
      <c r="A2138" s="115" t="str">
        <f>IFERROR(__xludf.DUMMYFUNCTION("""COMPUTED_VALUE"""),"WEST")</f>
        <v>WEST</v>
      </c>
      <c r="B2138" s="115" t="str">
        <f>IFERROR(__xludf.DUMMYFUNCTION("""COMPUTED_VALUE"""),"Ashish Jakar")</f>
        <v>Ashish Jakar</v>
      </c>
      <c r="C2138" s="115" t="str">
        <f>IFERROR(__xludf.DUMMYFUNCTION("""COMPUTED_VALUE"""),"EXTERNAL")</f>
        <v>EXTERNAL</v>
      </c>
      <c r="D2138" s="115">
        <f>IFERROR(__xludf.DUMMYFUNCTION("""COMPUTED_VALUE"""),58111.0)</f>
        <v>58111</v>
      </c>
      <c r="E2138" s="115">
        <f>IFERROR(__xludf.DUMMYFUNCTION("""COMPUTED_VALUE"""),6641.0)</f>
        <v>6641</v>
      </c>
      <c r="F2138" s="115">
        <f>IFERROR(__xludf.DUMMYFUNCTION("""COMPUTED_VALUE"""),24190.0)</f>
        <v>24190</v>
      </c>
      <c r="G2138" s="115">
        <f>IFERROR(__xludf.DUMMYFUNCTION("""COMPUTED_VALUE"""),3481.0)</f>
        <v>3481</v>
      </c>
      <c r="H2138" s="116">
        <f>IFERROR(__xludf.DUMMYFUNCTION("""COMPUTED_VALUE"""),45904.0)</f>
        <v>45904</v>
      </c>
      <c r="I2138" s="115" t="str">
        <f>IFERROR(__xludf.DUMMYFUNCTION("""COMPUTED_VALUE"""),"22")</f>
        <v>22</v>
      </c>
      <c r="J2138" s="115" t="str">
        <f>IFERROR(__xludf.DUMMYFUNCTION("""COMPUTED_VALUE"""),"Ashish Jakar2025-09-0422")</f>
        <v>Ashish Jakar2025-09-0422</v>
      </c>
      <c r="K2138" s="115">
        <f>IFERROR(__xludf.DUMMYFUNCTION("""COMPUTED_VALUE"""),64752.0)</f>
        <v>64752</v>
      </c>
    </row>
    <row r="2139">
      <c r="A2139" s="115" t="str">
        <f>IFERROR(__xludf.DUMMYFUNCTION("""COMPUTED_VALUE"""),"WEST")</f>
        <v>WEST</v>
      </c>
      <c r="B2139" s="115" t="str">
        <f>IFERROR(__xludf.DUMMYFUNCTION("""COMPUTED_VALUE"""),"Ashish Jakar")</f>
        <v>Ashish Jakar</v>
      </c>
      <c r="C2139" s="115" t="str">
        <f>IFERROR(__xludf.DUMMYFUNCTION("""COMPUTED_VALUE"""),"FLIPKART")</f>
        <v>FLIPKART</v>
      </c>
      <c r="D2139" s="115">
        <f>IFERROR(__xludf.DUMMYFUNCTION("""COMPUTED_VALUE"""),326492.0)</f>
        <v>326492</v>
      </c>
      <c r="E2139" s="115">
        <f>IFERROR(__xludf.DUMMYFUNCTION("""COMPUTED_VALUE"""),35399.0)</f>
        <v>35399</v>
      </c>
      <c r="F2139" s="115">
        <f>IFERROR(__xludf.DUMMYFUNCTION("""COMPUTED_VALUE"""),237024.0)</f>
        <v>237024</v>
      </c>
      <c r="G2139" s="115">
        <f>IFERROR(__xludf.DUMMYFUNCTION("""COMPUTED_VALUE"""),23258.0)</f>
        <v>23258</v>
      </c>
      <c r="H2139" s="116">
        <f>IFERROR(__xludf.DUMMYFUNCTION("""COMPUTED_VALUE"""),45904.0)</f>
        <v>45904</v>
      </c>
      <c r="I2139" s="115" t="str">
        <f>IFERROR(__xludf.DUMMYFUNCTION("""COMPUTED_VALUE"""),"22")</f>
        <v>22</v>
      </c>
      <c r="J2139" s="115" t="str">
        <f>IFERROR(__xludf.DUMMYFUNCTION("""COMPUTED_VALUE"""),"Ashish Jakar2025-09-0422")</f>
        <v>Ashish Jakar2025-09-0422</v>
      </c>
      <c r="K2139" s="115">
        <f>IFERROR(__xludf.DUMMYFUNCTION("""COMPUTED_VALUE"""),361891.0)</f>
        <v>361891</v>
      </c>
    </row>
    <row r="2140">
      <c r="A2140" s="115" t="str">
        <f>IFERROR(__xludf.DUMMYFUNCTION("""COMPUTED_VALUE"""),"WEST")</f>
        <v>WEST</v>
      </c>
      <c r="B2140" s="115" t="str">
        <f>IFERROR(__xludf.DUMMYFUNCTION("""COMPUTED_VALUE"""),"Ashish Jakar")</f>
        <v>Ashish Jakar</v>
      </c>
      <c r="C2140" s="115" t="str">
        <f>IFERROR(__xludf.DUMMYFUNCTION("""COMPUTED_VALUE"""),"MYNTRA")</f>
        <v>MYNTRA</v>
      </c>
      <c r="D2140" s="115">
        <f>IFERROR(__xludf.DUMMYFUNCTION("""COMPUTED_VALUE"""),38967.0)</f>
        <v>38967</v>
      </c>
      <c r="E2140" s="115">
        <f>IFERROR(__xludf.DUMMYFUNCTION("""COMPUTED_VALUE"""),11018.0)</f>
        <v>11018</v>
      </c>
      <c r="F2140" s="115">
        <f>IFERROR(__xludf.DUMMYFUNCTION("""COMPUTED_VALUE"""),32478.0)</f>
        <v>32478</v>
      </c>
      <c r="G2140" s="115">
        <f>IFERROR(__xludf.DUMMYFUNCTION("""COMPUTED_VALUE"""),7414.0)</f>
        <v>7414</v>
      </c>
      <c r="H2140" s="116">
        <f>IFERROR(__xludf.DUMMYFUNCTION("""COMPUTED_VALUE"""),45904.0)</f>
        <v>45904</v>
      </c>
      <c r="I2140" s="115" t="str">
        <f>IFERROR(__xludf.DUMMYFUNCTION("""COMPUTED_VALUE"""),"22")</f>
        <v>22</v>
      </c>
      <c r="J2140" s="115" t="str">
        <f>IFERROR(__xludf.DUMMYFUNCTION("""COMPUTED_VALUE"""),"Ashish Jakar2025-09-0422")</f>
        <v>Ashish Jakar2025-09-0422</v>
      </c>
      <c r="K2140" s="115">
        <f>IFERROR(__xludf.DUMMYFUNCTION("""COMPUTED_VALUE"""),49985.0)</f>
        <v>49985</v>
      </c>
    </row>
    <row r="2141">
      <c r="A2141" s="115" t="str">
        <f>IFERROR(__xludf.DUMMYFUNCTION("""COMPUTED_VALUE"""),"WEST")</f>
        <v>WEST</v>
      </c>
      <c r="B2141" s="115" t="str">
        <f>IFERROR(__xludf.DUMMYFUNCTION("""COMPUTED_VALUE"""),"Ashvani Bhatt")</f>
        <v>Ashvani Bhatt</v>
      </c>
      <c r="C2141" s="115" t="str">
        <f>IFERROR(__xludf.DUMMYFUNCTION("""COMPUTED_VALUE"""),"EXTERNAL")</f>
        <v>EXTERNAL</v>
      </c>
      <c r="D2141" s="115">
        <f>IFERROR(__xludf.DUMMYFUNCTION("""COMPUTED_VALUE"""),37714.0)</f>
        <v>37714</v>
      </c>
      <c r="E2141" s="115">
        <f>IFERROR(__xludf.DUMMYFUNCTION("""COMPUTED_VALUE"""),3440.0)</f>
        <v>3440</v>
      </c>
      <c r="F2141" s="115">
        <f>IFERROR(__xludf.DUMMYFUNCTION("""COMPUTED_VALUE"""),16358.0)</f>
        <v>16358</v>
      </c>
      <c r="G2141" s="115">
        <f>IFERROR(__xludf.DUMMYFUNCTION("""COMPUTED_VALUE"""),1594.0)</f>
        <v>1594</v>
      </c>
      <c r="H2141" s="116">
        <f>IFERROR(__xludf.DUMMYFUNCTION("""COMPUTED_VALUE"""),45904.0)</f>
        <v>45904</v>
      </c>
      <c r="I2141" s="115" t="str">
        <f>IFERROR(__xludf.DUMMYFUNCTION("""COMPUTED_VALUE"""),"22")</f>
        <v>22</v>
      </c>
      <c r="J2141" s="115" t="str">
        <f>IFERROR(__xludf.DUMMYFUNCTION("""COMPUTED_VALUE"""),"Ashvani Bhatt2025-09-0422")</f>
        <v>Ashvani Bhatt2025-09-0422</v>
      </c>
      <c r="K2141" s="115">
        <f>IFERROR(__xludf.DUMMYFUNCTION("""COMPUTED_VALUE"""),41154.0)</f>
        <v>41154</v>
      </c>
    </row>
    <row r="2142">
      <c r="A2142" s="115" t="str">
        <f>IFERROR(__xludf.DUMMYFUNCTION("""COMPUTED_VALUE"""),"WEST")</f>
        <v>WEST</v>
      </c>
      <c r="B2142" s="115" t="str">
        <f>IFERROR(__xludf.DUMMYFUNCTION("""COMPUTED_VALUE"""),"Ashvani Bhatt")</f>
        <v>Ashvani Bhatt</v>
      </c>
      <c r="C2142" s="115" t="str">
        <f>IFERROR(__xludf.DUMMYFUNCTION("""COMPUTED_VALUE"""),"FLIPKART")</f>
        <v>FLIPKART</v>
      </c>
      <c r="D2142" s="115">
        <f>IFERROR(__xludf.DUMMYFUNCTION("""COMPUTED_VALUE"""),263941.0)</f>
        <v>263941</v>
      </c>
      <c r="E2142" s="115">
        <f>IFERROR(__xludf.DUMMYFUNCTION("""COMPUTED_VALUE"""),28749.0)</f>
        <v>28749</v>
      </c>
      <c r="F2142" s="115">
        <f>IFERROR(__xludf.DUMMYFUNCTION("""COMPUTED_VALUE"""),200441.0)</f>
        <v>200441</v>
      </c>
      <c r="G2142" s="115">
        <f>IFERROR(__xludf.DUMMYFUNCTION("""COMPUTED_VALUE"""),19843.0)</f>
        <v>19843</v>
      </c>
      <c r="H2142" s="116">
        <f>IFERROR(__xludf.DUMMYFUNCTION("""COMPUTED_VALUE"""),45904.0)</f>
        <v>45904</v>
      </c>
      <c r="I2142" s="115" t="str">
        <f>IFERROR(__xludf.DUMMYFUNCTION("""COMPUTED_VALUE"""),"22")</f>
        <v>22</v>
      </c>
      <c r="J2142" s="115" t="str">
        <f>IFERROR(__xludf.DUMMYFUNCTION("""COMPUTED_VALUE"""),"Ashvani Bhatt2025-09-0422")</f>
        <v>Ashvani Bhatt2025-09-0422</v>
      </c>
      <c r="K2142" s="115">
        <f>IFERROR(__xludf.DUMMYFUNCTION("""COMPUTED_VALUE"""),292690.0)</f>
        <v>292690</v>
      </c>
    </row>
    <row r="2143">
      <c r="A2143" s="115" t="str">
        <f>IFERROR(__xludf.DUMMYFUNCTION("""COMPUTED_VALUE"""),"WEST")</f>
        <v>WEST</v>
      </c>
      <c r="B2143" s="115" t="str">
        <f>IFERROR(__xludf.DUMMYFUNCTION("""COMPUTED_VALUE"""),"Ashvani Bhatt")</f>
        <v>Ashvani Bhatt</v>
      </c>
      <c r="C2143" s="115" t="str">
        <f>IFERROR(__xludf.DUMMYFUNCTION("""COMPUTED_VALUE"""),"MYNTRA")</f>
        <v>MYNTRA</v>
      </c>
      <c r="D2143" s="115">
        <f>IFERROR(__xludf.DUMMYFUNCTION("""COMPUTED_VALUE"""),32956.0)</f>
        <v>32956</v>
      </c>
      <c r="E2143" s="115">
        <f>IFERROR(__xludf.DUMMYFUNCTION("""COMPUTED_VALUE"""),8714.0)</f>
        <v>8714</v>
      </c>
      <c r="F2143" s="115">
        <f>IFERROR(__xludf.DUMMYFUNCTION("""COMPUTED_VALUE"""),28022.0)</f>
        <v>28022</v>
      </c>
      <c r="G2143" s="115">
        <f>IFERROR(__xludf.DUMMYFUNCTION("""COMPUTED_VALUE"""),6464.0)</f>
        <v>6464</v>
      </c>
      <c r="H2143" s="116">
        <f>IFERROR(__xludf.DUMMYFUNCTION("""COMPUTED_VALUE"""),45904.0)</f>
        <v>45904</v>
      </c>
      <c r="I2143" s="115" t="str">
        <f>IFERROR(__xludf.DUMMYFUNCTION("""COMPUTED_VALUE"""),"22")</f>
        <v>22</v>
      </c>
      <c r="J2143" s="115" t="str">
        <f>IFERROR(__xludf.DUMMYFUNCTION("""COMPUTED_VALUE"""),"Ashvani Bhatt2025-09-0422")</f>
        <v>Ashvani Bhatt2025-09-0422</v>
      </c>
      <c r="K2143" s="115">
        <f>IFERROR(__xludf.DUMMYFUNCTION("""COMPUTED_VALUE"""),41670.0)</f>
        <v>41670</v>
      </c>
    </row>
    <row r="2144">
      <c r="A2144" s="115" t="str">
        <f>IFERROR(__xludf.DUMMYFUNCTION("""COMPUTED_VALUE"""),"West")</f>
        <v>West</v>
      </c>
      <c r="B2144" s="115"/>
      <c r="C2144" s="115" t="str">
        <f>IFERROR(__xludf.DUMMYFUNCTION("""COMPUTED_VALUE"""),"EXTERNAL")</f>
        <v>EXTERNAL</v>
      </c>
      <c r="D2144" s="115">
        <f>IFERROR(__xludf.DUMMYFUNCTION("""COMPUTED_VALUE"""),195.0)</f>
        <v>195</v>
      </c>
      <c r="E2144" s="115">
        <f>IFERROR(__xludf.DUMMYFUNCTION("""COMPUTED_VALUE"""),31.0)</f>
        <v>31</v>
      </c>
      <c r="F2144" s="115">
        <f>IFERROR(__xludf.DUMMYFUNCTION("""COMPUTED_VALUE"""),57.0)</f>
        <v>57</v>
      </c>
      <c r="G2144" s="115">
        <f>IFERROR(__xludf.DUMMYFUNCTION("""COMPUTED_VALUE"""),6.0)</f>
        <v>6</v>
      </c>
      <c r="H2144" s="116">
        <f>IFERROR(__xludf.DUMMYFUNCTION("""COMPUTED_VALUE"""),45904.0)</f>
        <v>45904</v>
      </c>
      <c r="I2144" s="115" t="str">
        <f>IFERROR(__xludf.DUMMYFUNCTION("""COMPUTED_VALUE"""),"22")</f>
        <v>22</v>
      </c>
      <c r="J2144" s="115" t="str">
        <f>IFERROR(__xludf.DUMMYFUNCTION("""COMPUTED_VALUE"""),"2025-09-0422")</f>
        <v>2025-09-0422</v>
      </c>
      <c r="K2144" s="115">
        <f>IFERROR(__xludf.DUMMYFUNCTION("""COMPUTED_VALUE"""),226.0)</f>
        <v>226</v>
      </c>
    </row>
    <row r="2145">
      <c r="A2145" s="115" t="str">
        <f>IFERROR(__xludf.DUMMYFUNCTION("""COMPUTED_VALUE"""),"West")</f>
        <v>West</v>
      </c>
      <c r="B2145" s="115"/>
      <c r="C2145" s="115" t="str">
        <f>IFERROR(__xludf.DUMMYFUNCTION("""COMPUTED_VALUE"""),"FLIPKART")</f>
        <v>FLIPKART</v>
      </c>
      <c r="D2145" s="115">
        <f>IFERROR(__xludf.DUMMYFUNCTION("""COMPUTED_VALUE"""),634.0)</f>
        <v>634</v>
      </c>
      <c r="E2145" s="115">
        <f>IFERROR(__xludf.DUMMYFUNCTION("""COMPUTED_VALUE"""),66.0)</f>
        <v>66</v>
      </c>
      <c r="F2145" s="115">
        <f>IFERROR(__xludf.DUMMYFUNCTION("""COMPUTED_VALUE"""),488.0)</f>
        <v>488</v>
      </c>
      <c r="G2145" s="115">
        <f>IFERROR(__xludf.DUMMYFUNCTION("""COMPUTED_VALUE"""),37.0)</f>
        <v>37</v>
      </c>
      <c r="H2145" s="116">
        <f>IFERROR(__xludf.DUMMYFUNCTION("""COMPUTED_VALUE"""),45904.0)</f>
        <v>45904</v>
      </c>
      <c r="I2145" s="115" t="str">
        <f>IFERROR(__xludf.DUMMYFUNCTION("""COMPUTED_VALUE"""),"22")</f>
        <v>22</v>
      </c>
      <c r="J2145" s="115" t="str">
        <f>IFERROR(__xludf.DUMMYFUNCTION("""COMPUTED_VALUE"""),"2025-09-0422")</f>
        <v>2025-09-0422</v>
      </c>
      <c r="K2145" s="115">
        <f>IFERROR(__xludf.DUMMYFUNCTION("""COMPUTED_VALUE"""),700.0)</f>
        <v>700</v>
      </c>
    </row>
    <row r="2146">
      <c r="A2146" s="115" t="str">
        <f>IFERROR(__xludf.DUMMYFUNCTION("""COMPUTED_VALUE"""),"West")</f>
        <v>West</v>
      </c>
      <c r="B2146" s="115"/>
      <c r="C2146" s="115" t="str">
        <f>IFERROR(__xludf.DUMMYFUNCTION("""COMPUTED_VALUE"""),"MYNTRA")</f>
        <v>MYNTRA</v>
      </c>
      <c r="D2146" s="115">
        <f>IFERROR(__xludf.DUMMYFUNCTION("""COMPUTED_VALUE"""),119.0)</f>
        <v>119</v>
      </c>
      <c r="E2146" s="115">
        <f>IFERROR(__xludf.DUMMYFUNCTION("""COMPUTED_VALUE"""),55.0)</f>
        <v>55</v>
      </c>
      <c r="F2146" s="115">
        <f>IFERROR(__xludf.DUMMYFUNCTION("""COMPUTED_VALUE"""),70.0)</f>
        <v>70</v>
      </c>
      <c r="G2146" s="115">
        <f>IFERROR(__xludf.DUMMYFUNCTION("""COMPUTED_VALUE"""),34.0)</f>
        <v>34</v>
      </c>
      <c r="H2146" s="116">
        <f>IFERROR(__xludf.DUMMYFUNCTION("""COMPUTED_VALUE"""),45904.0)</f>
        <v>45904</v>
      </c>
      <c r="I2146" s="115" t="str">
        <f>IFERROR(__xludf.DUMMYFUNCTION("""COMPUTED_VALUE"""),"22")</f>
        <v>22</v>
      </c>
      <c r="J2146" s="115" t="str">
        <f>IFERROR(__xludf.DUMMYFUNCTION("""COMPUTED_VALUE"""),"2025-09-0422")</f>
        <v>2025-09-0422</v>
      </c>
      <c r="K2146" s="115">
        <f>IFERROR(__xludf.DUMMYFUNCTION("""COMPUTED_VALUE"""),174.0)</f>
        <v>174</v>
      </c>
    </row>
    <row r="2147">
      <c r="A2147" s="115"/>
      <c r="B2147" s="115"/>
      <c r="C2147" s="115" t="str">
        <f>IFERROR(__xludf.DUMMYFUNCTION("""COMPUTED_VALUE"""),"EXTERNAL")</f>
        <v>EXTERNAL</v>
      </c>
      <c r="D2147" s="115">
        <f>IFERROR(__xludf.DUMMYFUNCTION("""COMPUTED_VALUE"""),1037.0)</f>
        <v>1037</v>
      </c>
      <c r="E2147" s="115">
        <f>IFERROR(__xludf.DUMMYFUNCTION("""COMPUTED_VALUE"""),200.0)</f>
        <v>200</v>
      </c>
      <c r="F2147" s="115">
        <f>IFERROR(__xludf.DUMMYFUNCTION("""COMPUTED_VALUE"""),483.0)</f>
        <v>483</v>
      </c>
      <c r="G2147" s="115">
        <f>IFERROR(__xludf.DUMMYFUNCTION("""COMPUTED_VALUE"""),115.0)</f>
        <v>115</v>
      </c>
      <c r="H2147" s="116">
        <f>IFERROR(__xludf.DUMMYFUNCTION("""COMPUTED_VALUE"""),45904.0)</f>
        <v>45904</v>
      </c>
      <c r="I2147" s="115" t="str">
        <f>IFERROR(__xludf.DUMMYFUNCTION("""COMPUTED_VALUE"""),"22")</f>
        <v>22</v>
      </c>
      <c r="J2147" s="115" t="str">
        <f>IFERROR(__xludf.DUMMYFUNCTION("""COMPUTED_VALUE"""),"2025-09-0422")</f>
        <v>2025-09-0422</v>
      </c>
      <c r="K2147" s="115">
        <f>IFERROR(__xludf.DUMMYFUNCTION("""COMPUTED_VALUE"""),1237.0)</f>
        <v>1237</v>
      </c>
    </row>
    <row r="2148">
      <c r="A2148" s="115"/>
      <c r="B2148" s="115"/>
      <c r="C2148" s="115" t="str">
        <f>IFERROR(__xludf.DUMMYFUNCTION("""COMPUTED_VALUE"""),"FLIPKART")</f>
        <v>FLIPKART</v>
      </c>
      <c r="D2148" s="115">
        <f>IFERROR(__xludf.DUMMYFUNCTION("""COMPUTED_VALUE"""),8029.0)</f>
        <v>8029</v>
      </c>
      <c r="E2148" s="115">
        <f>IFERROR(__xludf.DUMMYFUNCTION("""COMPUTED_VALUE"""),1070.0)</f>
        <v>1070</v>
      </c>
      <c r="F2148" s="115">
        <f>IFERROR(__xludf.DUMMYFUNCTION("""COMPUTED_VALUE"""),6201.0)</f>
        <v>6201</v>
      </c>
      <c r="G2148" s="115">
        <f>IFERROR(__xludf.DUMMYFUNCTION("""COMPUTED_VALUE"""),703.0)</f>
        <v>703</v>
      </c>
      <c r="H2148" s="116">
        <f>IFERROR(__xludf.DUMMYFUNCTION("""COMPUTED_VALUE"""),45904.0)</f>
        <v>45904</v>
      </c>
      <c r="I2148" s="115" t="str">
        <f>IFERROR(__xludf.DUMMYFUNCTION("""COMPUTED_VALUE"""),"22")</f>
        <v>22</v>
      </c>
      <c r="J2148" s="115" t="str">
        <f>IFERROR(__xludf.DUMMYFUNCTION("""COMPUTED_VALUE"""),"2025-09-0422")</f>
        <v>2025-09-0422</v>
      </c>
      <c r="K2148" s="115">
        <f>IFERROR(__xludf.DUMMYFUNCTION("""COMPUTED_VALUE"""),9099.0)</f>
        <v>9099</v>
      </c>
    </row>
    <row r="2149">
      <c r="A2149" s="115"/>
      <c r="B2149" s="115"/>
      <c r="C2149" s="115" t="str">
        <f>IFERROR(__xludf.DUMMYFUNCTION("""COMPUTED_VALUE"""),"MYNTRA")</f>
        <v>MYNTRA</v>
      </c>
      <c r="D2149" s="115">
        <f>IFERROR(__xludf.DUMMYFUNCTION("""COMPUTED_VALUE"""),797.0)</f>
        <v>797</v>
      </c>
      <c r="E2149" s="115">
        <f>IFERROR(__xludf.DUMMYFUNCTION("""COMPUTED_VALUE"""),281.0)</f>
        <v>281</v>
      </c>
      <c r="F2149" s="115">
        <f>IFERROR(__xludf.DUMMYFUNCTION("""COMPUTED_VALUE"""),633.0)</f>
        <v>633</v>
      </c>
      <c r="G2149" s="115">
        <f>IFERROR(__xludf.DUMMYFUNCTION("""COMPUTED_VALUE"""),195.0)</f>
        <v>195</v>
      </c>
      <c r="H2149" s="116">
        <f>IFERROR(__xludf.DUMMYFUNCTION("""COMPUTED_VALUE"""),45904.0)</f>
        <v>45904</v>
      </c>
      <c r="I2149" s="115" t="str">
        <f>IFERROR(__xludf.DUMMYFUNCTION("""COMPUTED_VALUE"""),"22")</f>
        <v>22</v>
      </c>
      <c r="J2149" s="115" t="str">
        <f>IFERROR(__xludf.DUMMYFUNCTION("""COMPUTED_VALUE"""),"2025-09-0422")</f>
        <v>2025-09-0422</v>
      </c>
      <c r="K2149" s="115">
        <f>IFERROR(__xludf.DUMMYFUNCTION("""COMPUTED_VALUE"""),1078.0)</f>
        <v>1078</v>
      </c>
    </row>
    <row r="2150">
      <c r="A2150" s="115" t="str">
        <f>IFERROR(__xludf.DUMMYFUNCTION("""COMPUTED_VALUE"""),"EAST")</f>
        <v>EAST</v>
      </c>
      <c r="B2150" s="115" t="str">
        <f>IFERROR(__xludf.DUMMYFUNCTION("""COMPUTED_VALUE"""),"Ashish Ranjan")</f>
        <v>Ashish Ranjan</v>
      </c>
      <c r="C2150" s="115" t="str">
        <f>IFERROR(__xludf.DUMMYFUNCTION("""COMPUTED_VALUE"""),"EXTERNAL")</f>
        <v>EXTERNAL</v>
      </c>
      <c r="D2150" s="115">
        <f>IFERROR(__xludf.DUMMYFUNCTION("""COMPUTED_VALUE"""),3768.0)</f>
        <v>3768</v>
      </c>
      <c r="E2150" s="115">
        <f>IFERROR(__xludf.DUMMYFUNCTION("""COMPUTED_VALUE"""),242.0)</f>
        <v>242</v>
      </c>
      <c r="F2150" s="115">
        <f>IFERROR(__xludf.DUMMYFUNCTION("""COMPUTED_VALUE"""),14.0)</f>
        <v>14</v>
      </c>
      <c r="G2150" s="115">
        <f>IFERROR(__xludf.DUMMYFUNCTION("""COMPUTED_VALUE"""),6.0)</f>
        <v>6</v>
      </c>
      <c r="H2150" s="116">
        <f>IFERROR(__xludf.DUMMYFUNCTION("""COMPUTED_VALUE"""),45905.0)</f>
        <v>45905</v>
      </c>
      <c r="I2150" s="115" t="str">
        <f>IFERROR(__xludf.DUMMYFUNCTION("""COMPUTED_VALUE"""),"08")</f>
        <v>08</v>
      </c>
      <c r="J2150" s="115" t="str">
        <f>IFERROR(__xludf.DUMMYFUNCTION("""COMPUTED_VALUE"""),"Ashish Ranjan2025-09-0508")</f>
        <v>Ashish Ranjan2025-09-0508</v>
      </c>
      <c r="K2150" s="115">
        <f>IFERROR(__xludf.DUMMYFUNCTION("""COMPUTED_VALUE"""),4010.0)</f>
        <v>4010</v>
      </c>
    </row>
    <row r="2151">
      <c r="A2151" s="115" t="str">
        <f>IFERROR(__xludf.DUMMYFUNCTION("""COMPUTED_VALUE"""),"EAST")</f>
        <v>EAST</v>
      </c>
      <c r="B2151" s="115" t="str">
        <f>IFERROR(__xludf.DUMMYFUNCTION("""COMPUTED_VALUE"""),"Ashish Ranjan")</f>
        <v>Ashish Ranjan</v>
      </c>
      <c r="C2151" s="115" t="str">
        <f>IFERROR(__xludf.DUMMYFUNCTION("""COMPUTED_VALUE"""),"FLIPKART")</f>
        <v>FLIPKART</v>
      </c>
      <c r="D2151" s="115">
        <f>IFERROR(__xludf.DUMMYFUNCTION("""COMPUTED_VALUE"""),66689.0)</f>
        <v>66689</v>
      </c>
      <c r="E2151" s="115">
        <f>IFERROR(__xludf.DUMMYFUNCTION("""COMPUTED_VALUE"""),5171.0)</f>
        <v>5171</v>
      </c>
      <c r="F2151" s="115">
        <f>IFERROR(__xludf.DUMMYFUNCTION("""COMPUTED_VALUE"""),492.0)</f>
        <v>492</v>
      </c>
      <c r="G2151" s="115">
        <f>IFERROR(__xludf.DUMMYFUNCTION("""COMPUTED_VALUE"""),51.0)</f>
        <v>51</v>
      </c>
      <c r="H2151" s="116">
        <f>IFERROR(__xludf.DUMMYFUNCTION("""COMPUTED_VALUE"""),45905.0)</f>
        <v>45905</v>
      </c>
      <c r="I2151" s="115" t="str">
        <f>IFERROR(__xludf.DUMMYFUNCTION("""COMPUTED_VALUE"""),"08")</f>
        <v>08</v>
      </c>
      <c r="J2151" s="115" t="str">
        <f>IFERROR(__xludf.DUMMYFUNCTION("""COMPUTED_VALUE"""),"Ashish Ranjan2025-09-0508")</f>
        <v>Ashish Ranjan2025-09-0508</v>
      </c>
      <c r="K2151" s="115">
        <f>IFERROR(__xludf.DUMMYFUNCTION("""COMPUTED_VALUE"""),71860.0)</f>
        <v>71860</v>
      </c>
    </row>
    <row r="2152">
      <c r="A2152" s="115" t="str">
        <f>IFERROR(__xludf.DUMMYFUNCTION("""COMPUTED_VALUE"""),"EAST")</f>
        <v>EAST</v>
      </c>
      <c r="B2152" s="115" t="str">
        <f>IFERROR(__xludf.DUMMYFUNCTION("""COMPUTED_VALUE"""),"Ashish Ranjan")</f>
        <v>Ashish Ranjan</v>
      </c>
      <c r="C2152" s="115" t="str">
        <f>IFERROR(__xludf.DUMMYFUNCTION("""COMPUTED_VALUE"""),"MYNTRA")</f>
        <v>MYNTRA</v>
      </c>
      <c r="D2152" s="115">
        <f>IFERROR(__xludf.DUMMYFUNCTION("""COMPUTED_VALUE"""),7368.0)</f>
        <v>7368</v>
      </c>
      <c r="E2152" s="115">
        <f>IFERROR(__xludf.DUMMYFUNCTION("""COMPUTED_VALUE"""),1102.0)</f>
        <v>1102</v>
      </c>
      <c r="F2152" s="115">
        <f>IFERROR(__xludf.DUMMYFUNCTION("""COMPUTED_VALUE"""),56.0)</f>
        <v>56</v>
      </c>
      <c r="G2152" s="115">
        <f>IFERROR(__xludf.DUMMYFUNCTION("""COMPUTED_VALUE"""),4.0)</f>
        <v>4</v>
      </c>
      <c r="H2152" s="116">
        <f>IFERROR(__xludf.DUMMYFUNCTION("""COMPUTED_VALUE"""),45905.0)</f>
        <v>45905</v>
      </c>
      <c r="I2152" s="115" t="str">
        <f>IFERROR(__xludf.DUMMYFUNCTION("""COMPUTED_VALUE"""),"08")</f>
        <v>08</v>
      </c>
      <c r="J2152" s="115" t="str">
        <f>IFERROR(__xludf.DUMMYFUNCTION("""COMPUTED_VALUE"""),"Ashish Ranjan2025-09-0508")</f>
        <v>Ashish Ranjan2025-09-0508</v>
      </c>
      <c r="K2152" s="115">
        <f>IFERROR(__xludf.DUMMYFUNCTION("""COMPUTED_VALUE"""),8470.0)</f>
        <v>8470</v>
      </c>
    </row>
    <row r="2153">
      <c r="A2153" s="115" t="str">
        <f>IFERROR(__xludf.DUMMYFUNCTION("""COMPUTED_VALUE"""),"EAST")</f>
        <v>EAST</v>
      </c>
      <c r="B2153" s="115" t="str">
        <f>IFERROR(__xludf.DUMMYFUNCTION("""COMPUTED_VALUE"""),"Girish Chand")</f>
        <v>Girish Chand</v>
      </c>
      <c r="C2153" s="115" t="str">
        <f>IFERROR(__xludf.DUMMYFUNCTION("""COMPUTED_VALUE"""),"EXTERNAL")</f>
        <v>EXTERNAL</v>
      </c>
      <c r="D2153" s="115">
        <f>IFERROR(__xludf.DUMMYFUNCTION("""COMPUTED_VALUE"""),2351.0)</f>
        <v>2351</v>
      </c>
      <c r="E2153" s="115">
        <f>IFERROR(__xludf.DUMMYFUNCTION("""COMPUTED_VALUE"""),142.0)</f>
        <v>142</v>
      </c>
      <c r="F2153" s="115">
        <f>IFERROR(__xludf.DUMMYFUNCTION("""COMPUTED_VALUE"""),9.0)</f>
        <v>9</v>
      </c>
      <c r="G2153" s="115">
        <f>IFERROR(__xludf.DUMMYFUNCTION("""COMPUTED_VALUE"""),1.0)</f>
        <v>1</v>
      </c>
      <c r="H2153" s="116">
        <f>IFERROR(__xludf.DUMMYFUNCTION("""COMPUTED_VALUE"""),45905.0)</f>
        <v>45905</v>
      </c>
      <c r="I2153" s="115" t="str">
        <f>IFERROR(__xludf.DUMMYFUNCTION("""COMPUTED_VALUE"""),"08")</f>
        <v>08</v>
      </c>
      <c r="J2153" s="115" t="str">
        <f>IFERROR(__xludf.DUMMYFUNCTION("""COMPUTED_VALUE"""),"Girish Chand2025-09-0508")</f>
        <v>Girish Chand2025-09-0508</v>
      </c>
      <c r="K2153" s="115">
        <f>IFERROR(__xludf.DUMMYFUNCTION("""COMPUTED_VALUE"""),2493.0)</f>
        <v>2493</v>
      </c>
    </row>
    <row r="2154">
      <c r="A2154" s="115" t="str">
        <f>IFERROR(__xludf.DUMMYFUNCTION("""COMPUTED_VALUE"""),"EAST")</f>
        <v>EAST</v>
      </c>
      <c r="B2154" s="115" t="str">
        <f>IFERROR(__xludf.DUMMYFUNCTION("""COMPUTED_VALUE"""),"Girish Chand")</f>
        <v>Girish Chand</v>
      </c>
      <c r="C2154" s="115" t="str">
        <f>IFERROR(__xludf.DUMMYFUNCTION("""COMPUTED_VALUE"""),"FLIPKART")</f>
        <v>FLIPKART</v>
      </c>
      <c r="D2154" s="115">
        <f>IFERROR(__xludf.DUMMYFUNCTION("""COMPUTED_VALUE"""),45114.0)</f>
        <v>45114</v>
      </c>
      <c r="E2154" s="115">
        <f>IFERROR(__xludf.DUMMYFUNCTION("""COMPUTED_VALUE"""),3648.0)</f>
        <v>3648</v>
      </c>
      <c r="F2154" s="115">
        <f>IFERROR(__xludf.DUMMYFUNCTION("""COMPUTED_VALUE"""),427.0)</f>
        <v>427</v>
      </c>
      <c r="G2154" s="115">
        <f>IFERROR(__xludf.DUMMYFUNCTION("""COMPUTED_VALUE"""),30.0)</f>
        <v>30</v>
      </c>
      <c r="H2154" s="116">
        <f>IFERROR(__xludf.DUMMYFUNCTION("""COMPUTED_VALUE"""),45905.0)</f>
        <v>45905</v>
      </c>
      <c r="I2154" s="115" t="str">
        <f>IFERROR(__xludf.DUMMYFUNCTION("""COMPUTED_VALUE"""),"08")</f>
        <v>08</v>
      </c>
      <c r="J2154" s="115" t="str">
        <f>IFERROR(__xludf.DUMMYFUNCTION("""COMPUTED_VALUE"""),"Girish Chand2025-09-0508")</f>
        <v>Girish Chand2025-09-0508</v>
      </c>
      <c r="K2154" s="115">
        <f>IFERROR(__xludf.DUMMYFUNCTION("""COMPUTED_VALUE"""),48762.0)</f>
        <v>48762</v>
      </c>
    </row>
    <row r="2155">
      <c r="A2155" s="115" t="str">
        <f>IFERROR(__xludf.DUMMYFUNCTION("""COMPUTED_VALUE"""),"EAST")</f>
        <v>EAST</v>
      </c>
      <c r="B2155" s="115" t="str">
        <f>IFERROR(__xludf.DUMMYFUNCTION("""COMPUTED_VALUE"""),"Girish Chand")</f>
        <v>Girish Chand</v>
      </c>
      <c r="C2155" s="115" t="str">
        <f>IFERROR(__xludf.DUMMYFUNCTION("""COMPUTED_VALUE"""),"MYNTRA")</f>
        <v>MYNTRA</v>
      </c>
      <c r="D2155" s="115">
        <f>IFERROR(__xludf.DUMMYFUNCTION("""COMPUTED_VALUE"""),4183.0)</f>
        <v>4183</v>
      </c>
      <c r="E2155" s="115">
        <f>IFERROR(__xludf.DUMMYFUNCTION("""COMPUTED_VALUE"""),724.0)</f>
        <v>724</v>
      </c>
      <c r="F2155" s="115">
        <f>IFERROR(__xludf.DUMMYFUNCTION("""COMPUTED_VALUE"""),46.0)</f>
        <v>46</v>
      </c>
      <c r="G2155" s="115">
        <f>IFERROR(__xludf.DUMMYFUNCTION("""COMPUTED_VALUE"""),8.0)</f>
        <v>8</v>
      </c>
      <c r="H2155" s="116">
        <f>IFERROR(__xludf.DUMMYFUNCTION("""COMPUTED_VALUE"""),45905.0)</f>
        <v>45905</v>
      </c>
      <c r="I2155" s="115" t="str">
        <f>IFERROR(__xludf.DUMMYFUNCTION("""COMPUTED_VALUE"""),"08")</f>
        <v>08</v>
      </c>
      <c r="J2155" s="115" t="str">
        <f>IFERROR(__xludf.DUMMYFUNCTION("""COMPUTED_VALUE"""),"Girish Chand2025-09-0508")</f>
        <v>Girish Chand2025-09-0508</v>
      </c>
      <c r="K2155" s="115">
        <f>IFERROR(__xludf.DUMMYFUNCTION("""COMPUTED_VALUE"""),4907.0)</f>
        <v>4907</v>
      </c>
    </row>
    <row r="2156">
      <c r="A2156" s="115" t="str">
        <f>IFERROR(__xludf.DUMMYFUNCTION("""COMPUTED_VALUE"""),"EAST")</f>
        <v>EAST</v>
      </c>
      <c r="B2156" s="115" t="str">
        <f>IFERROR(__xludf.DUMMYFUNCTION("""COMPUTED_VALUE"""),"Parag Kashyap")</f>
        <v>Parag Kashyap</v>
      </c>
      <c r="C2156" s="115" t="str">
        <f>IFERROR(__xludf.DUMMYFUNCTION("""COMPUTED_VALUE"""),"EXTERNAL")</f>
        <v>EXTERNAL</v>
      </c>
      <c r="D2156" s="115">
        <f>IFERROR(__xludf.DUMMYFUNCTION("""COMPUTED_VALUE"""),1872.0)</f>
        <v>1872</v>
      </c>
      <c r="E2156" s="115">
        <f>IFERROR(__xludf.DUMMYFUNCTION("""COMPUTED_VALUE"""),71.0)</f>
        <v>71</v>
      </c>
      <c r="F2156" s="115">
        <f>IFERROR(__xludf.DUMMYFUNCTION("""COMPUTED_VALUE"""),7.0)</f>
        <v>7</v>
      </c>
      <c r="G2156" s="115">
        <f>IFERROR(__xludf.DUMMYFUNCTION("""COMPUTED_VALUE"""),1.0)</f>
        <v>1</v>
      </c>
      <c r="H2156" s="116">
        <f>IFERROR(__xludf.DUMMYFUNCTION("""COMPUTED_VALUE"""),45905.0)</f>
        <v>45905</v>
      </c>
      <c r="I2156" s="115" t="str">
        <f>IFERROR(__xludf.DUMMYFUNCTION("""COMPUTED_VALUE"""),"08")</f>
        <v>08</v>
      </c>
      <c r="J2156" s="115" t="str">
        <f>IFERROR(__xludf.DUMMYFUNCTION("""COMPUTED_VALUE"""),"Parag Kashyap2025-09-0508")</f>
        <v>Parag Kashyap2025-09-0508</v>
      </c>
      <c r="K2156" s="115">
        <f>IFERROR(__xludf.DUMMYFUNCTION("""COMPUTED_VALUE"""),1943.0)</f>
        <v>1943</v>
      </c>
    </row>
    <row r="2157">
      <c r="A2157" s="115" t="str">
        <f>IFERROR(__xludf.DUMMYFUNCTION("""COMPUTED_VALUE"""),"EAST")</f>
        <v>EAST</v>
      </c>
      <c r="B2157" s="115" t="str">
        <f>IFERROR(__xludf.DUMMYFUNCTION("""COMPUTED_VALUE"""),"Parag Kashyap")</f>
        <v>Parag Kashyap</v>
      </c>
      <c r="C2157" s="115" t="str">
        <f>IFERROR(__xludf.DUMMYFUNCTION("""COMPUTED_VALUE"""),"FLIPKART")</f>
        <v>FLIPKART</v>
      </c>
      <c r="D2157" s="115">
        <f>IFERROR(__xludf.DUMMYFUNCTION("""COMPUTED_VALUE"""),32124.0)</f>
        <v>32124</v>
      </c>
      <c r="E2157" s="115">
        <f>IFERROR(__xludf.DUMMYFUNCTION("""COMPUTED_VALUE"""),1694.0)</f>
        <v>1694</v>
      </c>
      <c r="F2157" s="115">
        <f>IFERROR(__xludf.DUMMYFUNCTION("""COMPUTED_VALUE"""),233.0)</f>
        <v>233</v>
      </c>
      <c r="G2157" s="115">
        <f>IFERROR(__xludf.DUMMYFUNCTION("""COMPUTED_VALUE"""),27.0)</f>
        <v>27</v>
      </c>
      <c r="H2157" s="116">
        <f>IFERROR(__xludf.DUMMYFUNCTION("""COMPUTED_VALUE"""),45905.0)</f>
        <v>45905</v>
      </c>
      <c r="I2157" s="115" t="str">
        <f>IFERROR(__xludf.DUMMYFUNCTION("""COMPUTED_VALUE"""),"08")</f>
        <v>08</v>
      </c>
      <c r="J2157" s="115" t="str">
        <f>IFERROR(__xludf.DUMMYFUNCTION("""COMPUTED_VALUE"""),"Parag Kashyap2025-09-0508")</f>
        <v>Parag Kashyap2025-09-0508</v>
      </c>
      <c r="K2157" s="115">
        <f>IFERROR(__xludf.DUMMYFUNCTION("""COMPUTED_VALUE"""),33818.0)</f>
        <v>33818</v>
      </c>
    </row>
    <row r="2158">
      <c r="A2158" s="115" t="str">
        <f>IFERROR(__xludf.DUMMYFUNCTION("""COMPUTED_VALUE"""),"EAST")</f>
        <v>EAST</v>
      </c>
      <c r="B2158" s="115" t="str">
        <f>IFERROR(__xludf.DUMMYFUNCTION("""COMPUTED_VALUE"""),"Parag Kashyap")</f>
        <v>Parag Kashyap</v>
      </c>
      <c r="C2158" s="115" t="str">
        <f>IFERROR(__xludf.DUMMYFUNCTION("""COMPUTED_VALUE"""),"MYNTRA")</f>
        <v>MYNTRA</v>
      </c>
      <c r="D2158" s="115">
        <f>IFERROR(__xludf.DUMMYFUNCTION("""COMPUTED_VALUE"""),4209.0)</f>
        <v>4209</v>
      </c>
      <c r="E2158" s="115">
        <f>IFERROR(__xludf.DUMMYFUNCTION("""COMPUTED_VALUE"""),533.0)</f>
        <v>533</v>
      </c>
      <c r="F2158" s="115">
        <f>IFERROR(__xludf.DUMMYFUNCTION("""COMPUTED_VALUE"""),34.0)</f>
        <v>34</v>
      </c>
      <c r="G2158" s="115">
        <f>IFERROR(__xludf.DUMMYFUNCTION("""COMPUTED_VALUE"""),3.0)</f>
        <v>3</v>
      </c>
      <c r="H2158" s="116">
        <f>IFERROR(__xludf.DUMMYFUNCTION("""COMPUTED_VALUE"""),45905.0)</f>
        <v>45905</v>
      </c>
      <c r="I2158" s="115" t="str">
        <f>IFERROR(__xludf.DUMMYFUNCTION("""COMPUTED_VALUE"""),"08")</f>
        <v>08</v>
      </c>
      <c r="J2158" s="115" t="str">
        <f>IFERROR(__xludf.DUMMYFUNCTION("""COMPUTED_VALUE"""),"Parag Kashyap2025-09-0508")</f>
        <v>Parag Kashyap2025-09-0508</v>
      </c>
      <c r="K2158" s="115">
        <f>IFERROR(__xludf.DUMMYFUNCTION("""COMPUTED_VALUE"""),4742.0)</f>
        <v>4742</v>
      </c>
    </row>
    <row r="2159">
      <c r="A2159" s="115" t="str">
        <f>IFERROR(__xludf.DUMMYFUNCTION("""COMPUTED_VALUE"""),"NORTH")</f>
        <v>NORTH</v>
      </c>
      <c r="B2159" s="115" t="str">
        <f>IFERROR(__xludf.DUMMYFUNCTION("""COMPUTED_VALUE"""),"Amit Kumar Pathak")</f>
        <v>Amit Kumar Pathak</v>
      </c>
      <c r="C2159" s="115" t="str">
        <f>IFERROR(__xludf.DUMMYFUNCTION("""COMPUTED_VALUE"""),"EXTERNAL")</f>
        <v>EXTERNAL</v>
      </c>
      <c r="D2159" s="115">
        <f>IFERROR(__xludf.DUMMYFUNCTION("""COMPUTED_VALUE"""),5269.0)</f>
        <v>5269</v>
      </c>
      <c r="E2159" s="115">
        <f>IFERROR(__xludf.DUMMYFUNCTION("""COMPUTED_VALUE"""),428.0)</f>
        <v>428</v>
      </c>
      <c r="F2159" s="115">
        <f>IFERROR(__xludf.DUMMYFUNCTION("""COMPUTED_VALUE"""),9.0)</f>
        <v>9</v>
      </c>
      <c r="G2159" s="115">
        <f>IFERROR(__xludf.DUMMYFUNCTION("""COMPUTED_VALUE"""),0.0)</f>
        <v>0</v>
      </c>
      <c r="H2159" s="116">
        <f>IFERROR(__xludf.DUMMYFUNCTION("""COMPUTED_VALUE"""),45905.0)</f>
        <v>45905</v>
      </c>
      <c r="I2159" s="115" t="str">
        <f>IFERROR(__xludf.DUMMYFUNCTION("""COMPUTED_VALUE"""),"08")</f>
        <v>08</v>
      </c>
      <c r="J2159" s="115" t="str">
        <f>IFERROR(__xludf.DUMMYFUNCTION("""COMPUTED_VALUE"""),"Amit Kumar Pathak2025-09-0508")</f>
        <v>Amit Kumar Pathak2025-09-0508</v>
      </c>
      <c r="K2159" s="115">
        <f>IFERROR(__xludf.DUMMYFUNCTION("""COMPUTED_VALUE"""),5697.0)</f>
        <v>5697</v>
      </c>
    </row>
    <row r="2160">
      <c r="A2160" s="115" t="str">
        <f>IFERROR(__xludf.DUMMYFUNCTION("""COMPUTED_VALUE"""),"NORTH")</f>
        <v>NORTH</v>
      </c>
      <c r="B2160" s="115" t="str">
        <f>IFERROR(__xludf.DUMMYFUNCTION("""COMPUTED_VALUE"""),"Amit Kumar Pathak")</f>
        <v>Amit Kumar Pathak</v>
      </c>
      <c r="C2160" s="115" t="str">
        <f>IFERROR(__xludf.DUMMYFUNCTION("""COMPUTED_VALUE"""),"FLIPKART")</f>
        <v>FLIPKART</v>
      </c>
      <c r="D2160" s="115">
        <f>IFERROR(__xludf.DUMMYFUNCTION("""COMPUTED_VALUE"""),39772.0)</f>
        <v>39772</v>
      </c>
      <c r="E2160" s="115">
        <f>IFERROR(__xludf.DUMMYFUNCTION("""COMPUTED_VALUE"""),4235.0)</f>
        <v>4235</v>
      </c>
      <c r="F2160" s="115">
        <f>IFERROR(__xludf.DUMMYFUNCTION("""COMPUTED_VALUE"""),209.0)</f>
        <v>209</v>
      </c>
      <c r="G2160" s="115">
        <f>IFERROR(__xludf.DUMMYFUNCTION("""COMPUTED_VALUE"""),28.0)</f>
        <v>28</v>
      </c>
      <c r="H2160" s="116">
        <f>IFERROR(__xludf.DUMMYFUNCTION("""COMPUTED_VALUE"""),45905.0)</f>
        <v>45905</v>
      </c>
      <c r="I2160" s="115" t="str">
        <f>IFERROR(__xludf.DUMMYFUNCTION("""COMPUTED_VALUE"""),"08")</f>
        <v>08</v>
      </c>
      <c r="J2160" s="115" t="str">
        <f>IFERROR(__xludf.DUMMYFUNCTION("""COMPUTED_VALUE"""),"Amit Kumar Pathak2025-09-0508")</f>
        <v>Amit Kumar Pathak2025-09-0508</v>
      </c>
      <c r="K2160" s="115">
        <f>IFERROR(__xludf.DUMMYFUNCTION("""COMPUTED_VALUE"""),44007.0)</f>
        <v>44007</v>
      </c>
    </row>
    <row r="2161">
      <c r="A2161" s="115" t="str">
        <f>IFERROR(__xludf.DUMMYFUNCTION("""COMPUTED_VALUE"""),"NORTH")</f>
        <v>NORTH</v>
      </c>
      <c r="B2161" s="115" t="str">
        <f>IFERROR(__xludf.DUMMYFUNCTION("""COMPUTED_VALUE"""),"Amit Kumar Pathak")</f>
        <v>Amit Kumar Pathak</v>
      </c>
      <c r="C2161" s="115" t="str">
        <f>IFERROR(__xludf.DUMMYFUNCTION("""COMPUTED_VALUE"""),"MYNTRA")</f>
        <v>MYNTRA</v>
      </c>
      <c r="D2161" s="115">
        <f>IFERROR(__xludf.DUMMYFUNCTION("""COMPUTED_VALUE"""),4016.0)</f>
        <v>4016</v>
      </c>
      <c r="E2161" s="115">
        <f>IFERROR(__xludf.DUMMYFUNCTION("""COMPUTED_VALUE"""),1126.0)</f>
        <v>1126</v>
      </c>
      <c r="F2161" s="115">
        <f>IFERROR(__xludf.DUMMYFUNCTION("""COMPUTED_VALUE"""),24.0)</f>
        <v>24</v>
      </c>
      <c r="G2161" s="115">
        <f>IFERROR(__xludf.DUMMYFUNCTION("""COMPUTED_VALUE"""),4.0)</f>
        <v>4</v>
      </c>
      <c r="H2161" s="116">
        <f>IFERROR(__xludf.DUMMYFUNCTION("""COMPUTED_VALUE"""),45905.0)</f>
        <v>45905</v>
      </c>
      <c r="I2161" s="115" t="str">
        <f>IFERROR(__xludf.DUMMYFUNCTION("""COMPUTED_VALUE"""),"08")</f>
        <v>08</v>
      </c>
      <c r="J2161" s="115" t="str">
        <f>IFERROR(__xludf.DUMMYFUNCTION("""COMPUTED_VALUE"""),"Amit Kumar Pathak2025-09-0508")</f>
        <v>Amit Kumar Pathak2025-09-0508</v>
      </c>
      <c r="K2161" s="115">
        <f>IFERROR(__xludf.DUMMYFUNCTION("""COMPUTED_VALUE"""),5142.0)</f>
        <v>5142</v>
      </c>
    </row>
    <row r="2162">
      <c r="A2162" s="115" t="str">
        <f>IFERROR(__xludf.DUMMYFUNCTION("""COMPUTED_VALUE"""),"NORTH")</f>
        <v>NORTH</v>
      </c>
      <c r="B2162" s="115" t="str">
        <f>IFERROR(__xludf.DUMMYFUNCTION("""COMPUTED_VALUE"""),"Loveleen Singh")</f>
        <v>Loveleen Singh</v>
      </c>
      <c r="C2162" s="115" t="str">
        <f>IFERROR(__xludf.DUMMYFUNCTION("""COMPUTED_VALUE"""),"EXTERNAL")</f>
        <v>EXTERNAL</v>
      </c>
      <c r="D2162" s="115">
        <f>IFERROR(__xludf.DUMMYFUNCTION("""COMPUTED_VALUE"""),1482.0)</f>
        <v>1482</v>
      </c>
      <c r="E2162" s="115">
        <f>IFERROR(__xludf.DUMMYFUNCTION("""COMPUTED_VALUE"""),56.0)</f>
        <v>56</v>
      </c>
      <c r="F2162" s="115">
        <f>IFERROR(__xludf.DUMMYFUNCTION("""COMPUTED_VALUE"""),7.0)</f>
        <v>7</v>
      </c>
      <c r="G2162" s="115">
        <f>IFERROR(__xludf.DUMMYFUNCTION("""COMPUTED_VALUE"""),1.0)</f>
        <v>1</v>
      </c>
      <c r="H2162" s="116">
        <f>IFERROR(__xludf.DUMMYFUNCTION("""COMPUTED_VALUE"""),45905.0)</f>
        <v>45905</v>
      </c>
      <c r="I2162" s="115" t="str">
        <f>IFERROR(__xludf.DUMMYFUNCTION("""COMPUTED_VALUE"""),"08")</f>
        <v>08</v>
      </c>
      <c r="J2162" s="115" t="str">
        <f>IFERROR(__xludf.DUMMYFUNCTION("""COMPUTED_VALUE"""),"Loveleen Singh2025-09-0508")</f>
        <v>Loveleen Singh2025-09-0508</v>
      </c>
      <c r="K2162" s="115">
        <f>IFERROR(__xludf.DUMMYFUNCTION("""COMPUTED_VALUE"""),1538.0)</f>
        <v>1538</v>
      </c>
    </row>
    <row r="2163">
      <c r="A2163" s="115" t="str">
        <f>IFERROR(__xludf.DUMMYFUNCTION("""COMPUTED_VALUE"""),"NORTH")</f>
        <v>NORTH</v>
      </c>
      <c r="B2163" s="115" t="str">
        <f>IFERROR(__xludf.DUMMYFUNCTION("""COMPUTED_VALUE"""),"Loveleen Singh")</f>
        <v>Loveleen Singh</v>
      </c>
      <c r="C2163" s="115" t="str">
        <f>IFERROR(__xludf.DUMMYFUNCTION("""COMPUTED_VALUE"""),"FLIPKART")</f>
        <v>FLIPKART</v>
      </c>
      <c r="D2163" s="115">
        <f>IFERROR(__xludf.DUMMYFUNCTION("""COMPUTED_VALUE"""),9960.0)</f>
        <v>9960</v>
      </c>
      <c r="E2163" s="115">
        <f>IFERROR(__xludf.DUMMYFUNCTION("""COMPUTED_VALUE"""),579.0)</f>
        <v>579</v>
      </c>
      <c r="F2163" s="115">
        <f>IFERROR(__xludf.DUMMYFUNCTION("""COMPUTED_VALUE"""),166.0)</f>
        <v>166</v>
      </c>
      <c r="G2163" s="115">
        <f>IFERROR(__xludf.DUMMYFUNCTION("""COMPUTED_VALUE"""),2.0)</f>
        <v>2</v>
      </c>
      <c r="H2163" s="116">
        <f>IFERROR(__xludf.DUMMYFUNCTION("""COMPUTED_VALUE"""),45905.0)</f>
        <v>45905</v>
      </c>
      <c r="I2163" s="115" t="str">
        <f>IFERROR(__xludf.DUMMYFUNCTION("""COMPUTED_VALUE"""),"08")</f>
        <v>08</v>
      </c>
      <c r="J2163" s="115" t="str">
        <f>IFERROR(__xludf.DUMMYFUNCTION("""COMPUTED_VALUE"""),"Loveleen Singh2025-09-0508")</f>
        <v>Loveleen Singh2025-09-0508</v>
      </c>
      <c r="K2163" s="115">
        <f>IFERROR(__xludf.DUMMYFUNCTION("""COMPUTED_VALUE"""),10539.0)</f>
        <v>10539</v>
      </c>
    </row>
    <row r="2164">
      <c r="A2164" s="115" t="str">
        <f>IFERROR(__xludf.DUMMYFUNCTION("""COMPUTED_VALUE"""),"NORTH")</f>
        <v>NORTH</v>
      </c>
      <c r="B2164" s="115" t="str">
        <f>IFERROR(__xludf.DUMMYFUNCTION("""COMPUTED_VALUE"""),"Loveleen Singh")</f>
        <v>Loveleen Singh</v>
      </c>
      <c r="C2164" s="115" t="str">
        <f>IFERROR(__xludf.DUMMYFUNCTION("""COMPUTED_VALUE"""),"MYNTRA")</f>
        <v>MYNTRA</v>
      </c>
      <c r="D2164" s="115">
        <f>IFERROR(__xludf.DUMMYFUNCTION("""COMPUTED_VALUE"""),1897.0)</f>
        <v>1897</v>
      </c>
      <c r="E2164" s="115">
        <f>IFERROR(__xludf.DUMMYFUNCTION("""COMPUTED_VALUE"""),301.0)</f>
        <v>301</v>
      </c>
      <c r="F2164" s="115">
        <f>IFERROR(__xludf.DUMMYFUNCTION("""COMPUTED_VALUE"""),48.0)</f>
        <v>48</v>
      </c>
      <c r="G2164" s="115">
        <f>IFERROR(__xludf.DUMMYFUNCTION("""COMPUTED_VALUE"""),2.0)</f>
        <v>2</v>
      </c>
      <c r="H2164" s="116">
        <f>IFERROR(__xludf.DUMMYFUNCTION("""COMPUTED_VALUE"""),45905.0)</f>
        <v>45905</v>
      </c>
      <c r="I2164" s="115" t="str">
        <f>IFERROR(__xludf.DUMMYFUNCTION("""COMPUTED_VALUE"""),"08")</f>
        <v>08</v>
      </c>
      <c r="J2164" s="115" t="str">
        <f>IFERROR(__xludf.DUMMYFUNCTION("""COMPUTED_VALUE"""),"Loveleen Singh2025-09-0508")</f>
        <v>Loveleen Singh2025-09-0508</v>
      </c>
      <c r="K2164" s="115">
        <f>IFERROR(__xludf.DUMMYFUNCTION("""COMPUTED_VALUE"""),2198.0)</f>
        <v>2198</v>
      </c>
    </row>
    <row r="2165">
      <c r="A2165" s="115" t="str">
        <f>IFERROR(__xludf.DUMMYFUNCTION("""COMPUTED_VALUE"""),"NORTH")</f>
        <v>NORTH</v>
      </c>
      <c r="B2165" s="115" t="str">
        <f>IFERROR(__xludf.DUMMYFUNCTION("""COMPUTED_VALUE"""),"Manoj Harsh")</f>
        <v>Manoj Harsh</v>
      </c>
      <c r="C2165" s="115" t="str">
        <f>IFERROR(__xludf.DUMMYFUNCTION("""COMPUTED_VALUE"""),"EXTERNAL")</f>
        <v>EXTERNAL</v>
      </c>
      <c r="D2165" s="115">
        <f>IFERROR(__xludf.DUMMYFUNCTION("""COMPUTED_VALUE"""),1610.0)</f>
        <v>1610</v>
      </c>
      <c r="E2165" s="115">
        <f>IFERROR(__xludf.DUMMYFUNCTION("""COMPUTED_VALUE"""),255.0)</f>
        <v>255</v>
      </c>
      <c r="F2165" s="115">
        <f>IFERROR(__xludf.DUMMYFUNCTION("""COMPUTED_VALUE"""),12.0)</f>
        <v>12</v>
      </c>
      <c r="G2165" s="115">
        <f>IFERROR(__xludf.DUMMYFUNCTION("""COMPUTED_VALUE"""),0.0)</f>
        <v>0</v>
      </c>
      <c r="H2165" s="116">
        <f>IFERROR(__xludf.DUMMYFUNCTION("""COMPUTED_VALUE"""),45905.0)</f>
        <v>45905</v>
      </c>
      <c r="I2165" s="115" t="str">
        <f>IFERROR(__xludf.DUMMYFUNCTION("""COMPUTED_VALUE"""),"08")</f>
        <v>08</v>
      </c>
      <c r="J2165" s="115" t="str">
        <f>IFERROR(__xludf.DUMMYFUNCTION("""COMPUTED_VALUE"""),"Manoj Harsh2025-09-0508")</f>
        <v>Manoj Harsh2025-09-0508</v>
      </c>
      <c r="K2165" s="115">
        <f>IFERROR(__xludf.DUMMYFUNCTION("""COMPUTED_VALUE"""),1865.0)</f>
        <v>1865</v>
      </c>
    </row>
    <row r="2166">
      <c r="A2166" s="115" t="str">
        <f>IFERROR(__xludf.DUMMYFUNCTION("""COMPUTED_VALUE"""),"NORTH")</f>
        <v>NORTH</v>
      </c>
      <c r="B2166" s="115" t="str">
        <f>IFERROR(__xludf.DUMMYFUNCTION("""COMPUTED_VALUE"""),"Manoj Harsh")</f>
        <v>Manoj Harsh</v>
      </c>
      <c r="C2166" s="115" t="str">
        <f>IFERROR(__xludf.DUMMYFUNCTION("""COMPUTED_VALUE"""),"FLIPKART")</f>
        <v>FLIPKART</v>
      </c>
      <c r="D2166" s="115">
        <f>IFERROR(__xludf.DUMMYFUNCTION("""COMPUTED_VALUE"""),24034.0)</f>
        <v>24034</v>
      </c>
      <c r="E2166" s="115">
        <f>IFERROR(__xludf.DUMMYFUNCTION("""COMPUTED_VALUE"""),3713.0)</f>
        <v>3713</v>
      </c>
      <c r="F2166" s="115">
        <f>IFERROR(__xludf.DUMMYFUNCTION("""COMPUTED_VALUE"""),329.0)</f>
        <v>329</v>
      </c>
      <c r="G2166" s="115">
        <f>IFERROR(__xludf.DUMMYFUNCTION("""COMPUTED_VALUE"""),36.0)</f>
        <v>36</v>
      </c>
      <c r="H2166" s="116">
        <f>IFERROR(__xludf.DUMMYFUNCTION("""COMPUTED_VALUE"""),45905.0)</f>
        <v>45905</v>
      </c>
      <c r="I2166" s="115" t="str">
        <f>IFERROR(__xludf.DUMMYFUNCTION("""COMPUTED_VALUE"""),"08")</f>
        <v>08</v>
      </c>
      <c r="J2166" s="115" t="str">
        <f>IFERROR(__xludf.DUMMYFUNCTION("""COMPUTED_VALUE"""),"Manoj Harsh2025-09-0508")</f>
        <v>Manoj Harsh2025-09-0508</v>
      </c>
      <c r="K2166" s="115">
        <f>IFERROR(__xludf.DUMMYFUNCTION("""COMPUTED_VALUE"""),27747.0)</f>
        <v>27747</v>
      </c>
    </row>
    <row r="2167">
      <c r="A2167" s="115" t="str">
        <f>IFERROR(__xludf.DUMMYFUNCTION("""COMPUTED_VALUE"""),"NORTH")</f>
        <v>NORTH</v>
      </c>
      <c r="B2167" s="115" t="str">
        <f>IFERROR(__xludf.DUMMYFUNCTION("""COMPUTED_VALUE"""),"Manoj Harsh")</f>
        <v>Manoj Harsh</v>
      </c>
      <c r="C2167" s="115" t="str">
        <f>IFERROR(__xludf.DUMMYFUNCTION("""COMPUTED_VALUE"""),"MYNTRA")</f>
        <v>MYNTRA</v>
      </c>
      <c r="D2167" s="115">
        <f>IFERROR(__xludf.DUMMYFUNCTION("""COMPUTED_VALUE"""),2443.0)</f>
        <v>2443</v>
      </c>
      <c r="E2167" s="115">
        <f>IFERROR(__xludf.DUMMYFUNCTION("""COMPUTED_VALUE"""),871.0)</f>
        <v>871</v>
      </c>
      <c r="F2167" s="115">
        <f>IFERROR(__xludf.DUMMYFUNCTION("""COMPUTED_VALUE"""),26.0)</f>
        <v>26</v>
      </c>
      <c r="G2167" s="115">
        <f>IFERROR(__xludf.DUMMYFUNCTION("""COMPUTED_VALUE"""),13.0)</f>
        <v>13</v>
      </c>
      <c r="H2167" s="116">
        <f>IFERROR(__xludf.DUMMYFUNCTION("""COMPUTED_VALUE"""),45905.0)</f>
        <v>45905</v>
      </c>
      <c r="I2167" s="115" t="str">
        <f>IFERROR(__xludf.DUMMYFUNCTION("""COMPUTED_VALUE"""),"08")</f>
        <v>08</v>
      </c>
      <c r="J2167" s="115" t="str">
        <f>IFERROR(__xludf.DUMMYFUNCTION("""COMPUTED_VALUE"""),"Manoj Harsh2025-09-0508")</f>
        <v>Manoj Harsh2025-09-0508</v>
      </c>
      <c r="K2167" s="115">
        <f>IFERROR(__xludf.DUMMYFUNCTION("""COMPUTED_VALUE"""),3314.0)</f>
        <v>3314</v>
      </c>
    </row>
    <row r="2168">
      <c r="A2168" s="115" t="str">
        <f>IFERROR(__xludf.DUMMYFUNCTION("""COMPUTED_VALUE"""),"NORTH")</f>
        <v>NORTH</v>
      </c>
      <c r="B2168" s="115" t="str">
        <f>IFERROR(__xludf.DUMMYFUNCTION("""COMPUTED_VALUE"""),"Pradeep Kothari")</f>
        <v>Pradeep Kothari</v>
      </c>
      <c r="C2168" s="115" t="str">
        <f>IFERROR(__xludf.DUMMYFUNCTION("""COMPUTED_VALUE"""),"EXTERNAL")</f>
        <v>EXTERNAL</v>
      </c>
      <c r="D2168" s="115">
        <f>IFERROR(__xludf.DUMMYFUNCTION("""COMPUTED_VALUE"""),1025.0)</f>
        <v>1025</v>
      </c>
      <c r="E2168" s="115">
        <f>IFERROR(__xludf.DUMMYFUNCTION("""COMPUTED_VALUE"""),145.0)</f>
        <v>145</v>
      </c>
      <c r="F2168" s="115">
        <f>IFERROR(__xludf.DUMMYFUNCTION("""COMPUTED_VALUE"""),11.0)</f>
        <v>11</v>
      </c>
      <c r="G2168" s="115">
        <f>IFERROR(__xludf.DUMMYFUNCTION("""COMPUTED_VALUE"""),1.0)</f>
        <v>1</v>
      </c>
      <c r="H2168" s="116">
        <f>IFERROR(__xludf.DUMMYFUNCTION("""COMPUTED_VALUE"""),45905.0)</f>
        <v>45905</v>
      </c>
      <c r="I2168" s="115" t="str">
        <f>IFERROR(__xludf.DUMMYFUNCTION("""COMPUTED_VALUE"""),"08")</f>
        <v>08</v>
      </c>
      <c r="J2168" s="115" t="str">
        <f>IFERROR(__xludf.DUMMYFUNCTION("""COMPUTED_VALUE"""),"Pradeep Kothari2025-09-0508")</f>
        <v>Pradeep Kothari2025-09-0508</v>
      </c>
      <c r="K2168" s="115">
        <f>IFERROR(__xludf.DUMMYFUNCTION("""COMPUTED_VALUE"""),1170.0)</f>
        <v>1170</v>
      </c>
    </row>
    <row r="2169">
      <c r="A2169" s="115" t="str">
        <f>IFERROR(__xludf.DUMMYFUNCTION("""COMPUTED_VALUE"""),"NORTH")</f>
        <v>NORTH</v>
      </c>
      <c r="B2169" s="115" t="str">
        <f>IFERROR(__xludf.DUMMYFUNCTION("""COMPUTED_VALUE"""),"Pradeep Kothari")</f>
        <v>Pradeep Kothari</v>
      </c>
      <c r="C2169" s="115" t="str">
        <f>IFERROR(__xludf.DUMMYFUNCTION("""COMPUTED_VALUE"""),"FLIPKART")</f>
        <v>FLIPKART</v>
      </c>
      <c r="D2169" s="115">
        <f>IFERROR(__xludf.DUMMYFUNCTION("""COMPUTED_VALUE"""),9373.0)</f>
        <v>9373</v>
      </c>
      <c r="E2169" s="115">
        <f>IFERROR(__xludf.DUMMYFUNCTION("""COMPUTED_VALUE"""),1794.0)</f>
        <v>1794</v>
      </c>
      <c r="F2169" s="115">
        <f>IFERROR(__xludf.DUMMYFUNCTION("""COMPUTED_VALUE"""),153.0)</f>
        <v>153</v>
      </c>
      <c r="G2169" s="115">
        <f>IFERROR(__xludf.DUMMYFUNCTION("""COMPUTED_VALUE"""),3.0)</f>
        <v>3</v>
      </c>
      <c r="H2169" s="116">
        <f>IFERROR(__xludf.DUMMYFUNCTION("""COMPUTED_VALUE"""),45905.0)</f>
        <v>45905</v>
      </c>
      <c r="I2169" s="115" t="str">
        <f>IFERROR(__xludf.DUMMYFUNCTION("""COMPUTED_VALUE"""),"08")</f>
        <v>08</v>
      </c>
      <c r="J2169" s="115" t="str">
        <f>IFERROR(__xludf.DUMMYFUNCTION("""COMPUTED_VALUE"""),"Pradeep Kothari2025-09-0508")</f>
        <v>Pradeep Kothari2025-09-0508</v>
      </c>
      <c r="K2169" s="115">
        <f>IFERROR(__xludf.DUMMYFUNCTION("""COMPUTED_VALUE"""),11167.0)</f>
        <v>11167</v>
      </c>
    </row>
    <row r="2170">
      <c r="A2170" s="115" t="str">
        <f>IFERROR(__xludf.DUMMYFUNCTION("""COMPUTED_VALUE"""),"NORTH")</f>
        <v>NORTH</v>
      </c>
      <c r="B2170" s="115" t="str">
        <f>IFERROR(__xludf.DUMMYFUNCTION("""COMPUTED_VALUE"""),"Pradeep Kothari")</f>
        <v>Pradeep Kothari</v>
      </c>
      <c r="C2170" s="115" t="str">
        <f>IFERROR(__xludf.DUMMYFUNCTION("""COMPUTED_VALUE"""),"MYNTRA")</f>
        <v>MYNTRA</v>
      </c>
      <c r="D2170" s="115">
        <f>IFERROR(__xludf.DUMMYFUNCTION("""COMPUTED_VALUE"""),2179.0)</f>
        <v>2179</v>
      </c>
      <c r="E2170" s="115">
        <f>IFERROR(__xludf.DUMMYFUNCTION("""COMPUTED_VALUE"""),573.0)</f>
        <v>573</v>
      </c>
      <c r="F2170" s="115">
        <f>IFERROR(__xludf.DUMMYFUNCTION("""COMPUTED_VALUE"""),53.0)</f>
        <v>53</v>
      </c>
      <c r="G2170" s="115">
        <f>IFERROR(__xludf.DUMMYFUNCTION("""COMPUTED_VALUE"""),3.0)</f>
        <v>3</v>
      </c>
      <c r="H2170" s="116">
        <f>IFERROR(__xludf.DUMMYFUNCTION("""COMPUTED_VALUE"""),45905.0)</f>
        <v>45905</v>
      </c>
      <c r="I2170" s="115" t="str">
        <f>IFERROR(__xludf.DUMMYFUNCTION("""COMPUTED_VALUE"""),"08")</f>
        <v>08</v>
      </c>
      <c r="J2170" s="115" t="str">
        <f>IFERROR(__xludf.DUMMYFUNCTION("""COMPUTED_VALUE"""),"Pradeep Kothari2025-09-0508")</f>
        <v>Pradeep Kothari2025-09-0508</v>
      </c>
      <c r="K2170" s="115">
        <f>IFERROR(__xludf.DUMMYFUNCTION("""COMPUTED_VALUE"""),2752.0)</f>
        <v>2752</v>
      </c>
    </row>
    <row r="2171">
      <c r="A2171" s="115" t="str">
        <f>IFERROR(__xludf.DUMMYFUNCTION("""COMPUTED_VALUE"""),"SOUTH")</f>
        <v>SOUTH</v>
      </c>
      <c r="B2171" s="115" t="str">
        <f>IFERROR(__xludf.DUMMYFUNCTION("""COMPUTED_VALUE"""),"Kandula Sampath")</f>
        <v>Kandula Sampath</v>
      </c>
      <c r="C2171" s="115" t="str">
        <f>IFERROR(__xludf.DUMMYFUNCTION("""COMPUTED_VALUE"""),"EXTERNAL")</f>
        <v>EXTERNAL</v>
      </c>
      <c r="D2171" s="115">
        <f>IFERROR(__xludf.DUMMYFUNCTION("""COMPUTED_VALUE"""),5549.0)</f>
        <v>5549</v>
      </c>
      <c r="E2171" s="115">
        <f>IFERROR(__xludf.DUMMYFUNCTION("""COMPUTED_VALUE"""),397.0)</f>
        <v>397</v>
      </c>
      <c r="F2171" s="115">
        <f>IFERROR(__xludf.DUMMYFUNCTION("""COMPUTED_VALUE"""),124.0)</f>
        <v>124</v>
      </c>
      <c r="G2171" s="115">
        <f>IFERROR(__xludf.DUMMYFUNCTION("""COMPUTED_VALUE"""),2.0)</f>
        <v>2</v>
      </c>
      <c r="H2171" s="116">
        <f>IFERROR(__xludf.DUMMYFUNCTION("""COMPUTED_VALUE"""),45905.0)</f>
        <v>45905</v>
      </c>
      <c r="I2171" s="115" t="str">
        <f>IFERROR(__xludf.DUMMYFUNCTION("""COMPUTED_VALUE"""),"08")</f>
        <v>08</v>
      </c>
      <c r="J2171" s="115" t="str">
        <f>IFERROR(__xludf.DUMMYFUNCTION("""COMPUTED_VALUE"""),"Kandula Sampath2025-09-0508")</f>
        <v>Kandula Sampath2025-09-0508</v>
      </c>
      <c r="K2171" s="115">
        <f>IFERROR(__xludf.DUMMYFUNCTION("""COMPUTED_VALUE"""),5946.0)</f>
        <v>5946</v>
      </c>
    </row>
    <row r="2172">
      <c r="A2172" s="115" t="str">
        <f>IFERROR(__xludf.DUMMYFUNCTION("""COMPUTED_VALUE"""),"SOUTH")</f>
        <v>SOUTH</v>
      </c>
      <c r="B2172" s="115" t="str">
        <f>IFERROR(__xludf.DUMMYFUNCTION("""COMPUTED_VALUE"""),"Kandula Sampath")</f>
        <v>Kandula Sampath</v>
      </c>
      <c r="C2172" s="115" t="str">
        <f>IFERROR(__xludf.DUMMYFUNCTION("""COMPUTED_VALUE"""),"FLIPKART")</f>
        <v>FLIPKART</v>
      </c>
      <c r="D2172" s="115">
        <f>IFERROR(__xludf.DUMMYFUNCTION("""COMPUTED_VALUE"""),57277.0)</f>
        <v>57277</v>
      </c>
      <c r="E2172" s="115">
        <f>IFERROR(__xludf.DUMMYFUNCTION("""COMPUTED_VALUE"""),3707.0)</f>
        <v>3707</v>
      </c>
      <c r="F2172" s="115">
        <f>IFERROR(__xludf.DUMMYFUNCTION("""COMPUTED_VALUE"""),2034.0)</f>
        <v>2034</v>
      </c>
      <c r="G2172" s="115">
        <f>IFERROR(__xludf.DUMMYFUNCTION("""COMPUTED_VALUE"""),36.0)</f>
        <v>36</v>
      </c>
      <c r="H2172" s="116">
        <f>IFERROR(__xludf.DUMMYFUNCTION("""COMPUTED_VALUE"""),45905.0)</f>
        <v>45905</v>
      </c>
      <c r="I2172" s="115" t="str">
        <f>IFERROR(__xludf.DUMMYFUNCTION("""COMPUTED_VALUE"""),"08")</f>
        <v>08</v>
      </c>
      <c r="J2172" s="115" t="str">
        <f>IFERROR(__xludf.DUMMYFUNCTION("""COMPUTED_VALUE"""),"Kandula Sampath2025-09-0508")</f>
        <v>Kandula Sampath2025-09-0508</v>
      </c>
      <c r="K2172" s="115">
        <f>IFERROR(__xludf.DUMMYFUNCTION("""COMPUTED_VALUE"""),60984.0)</f>
        <v>60984</v>
      </c>
    </row>
    <row r="2173">
      <c r="A2173" s="115" t="str">
        <f>IFERROR(__xludf.DUMMYFUNCTION("""COMPUTED_VALUE"""),"SOUTH")</f>
        <v>SOUTH</v>
      </c>
      <c r="B2173" s="115" t="str">
        <f>IFERROR(__xludf.DUMMYFUNCTION("""COMPUTED_VALUE"""),"Kandula Sampath")</f>
        <v>Kandula Sampath</v>
      </c>
      <c r="C2173" s="115" t="str">
        <f>IFERROR(__xludf.DUMMYFUNCTION("""COMPUTED_VALUE"""),"MYNTRA")</f>
        <v>MYNTRA</v>
      </c>
      <c r="D2173" s="115">
        <f>IFERROR(__xludf.DUMMYFUNCTION("""COMPUTED_VALUE"""),7135.0)</f>
        <v>7135</v>
      </c>
      <c r="E2173" s="115">
        <f>IFERROR(__xludf.DUMMYFUNCTION("""COMPUTED_VALUE"""),1028.0)</f>
        <v>1028</v>
      </c>
      <c r="F2173" s="115">
        <f>IFERROR(__xludf.DUMMYFUNCTION("""COMPUTED_VALUE"""),333.0)</f>
        <v>333</v>
      </c>
      <c r="G2173" s="115">
        <f>IFERROR(__xludf.DUMMYFUNCTION("""COMPUTED_VALUE"""),4.0)</f>
        <v>4</v>
      </c>
      <c r="H2173" s="116">
        <f>IFERROR(__xludf.DUMMYFUNCTION("""COMPUTED_VALUE"""),45905.0)</f>
        <v>45905</v>
      </c>
      <c r="I2173" s="115" t="str">
        <f>IFERROR(__xludf.DUMMYFUNCTION("""COMPUTED_VALUE"""),"08")</f>
        <v>08</v>
      </c>
      <c r="J2173" s="115" t="str">
        <f>IFERROR(__xludf.DUMMYFUNCTION("""COMPUTED_VALUE"""),"Kandula Sampath2025-09-0508")</f>
        <v>Kandula Sampath2025-09-0508</v>
      </c>
      <c r="K2173" s="115">
        <f>IFERROR(__xludf.DUMMYFUNCTION("""COMPUTED_VALUE"""),8163.0)</f>
        <v>8163</v>
      </c>
    </row>
    <row r="2174">
      <c r="A2174" s="115" t="str">
        <f>IFERROR(__xludf.DUMMYFUNCTION("""COMPUTED_VALUE"""),"SOUTH")</f>
        <v>SOUTH</v>
      </c>
      <c r="B2174" s="115" t="str">
        <f>IFERROR(__xludf.DUMMYFUNCTION("""COMPUTED_VALUE"""),"Martin A")</f>
        <v>Martin A</v>
      </c>
      <c r="C2174" s="115" t="str">
        <f>IFERROR(__xludf.DUMMYFUNCTION("""COMPUTED_VALUE"""),"EXTERNAL")</f>
        <v>EXTERNAL</v>
      </c>
      <c r="D2174" s="115">
        <f>IFERROR(__xludf.DUMMYFUNCTION("""COMPUTED_VALUE"""),4951.0)</f>
        <v>4951</v>
      </c>
      <c r="E2174" s="115">
        <f>IFERROR(__xludf.DUMMYFUNCTION("""COMPUTED_VALUE"""),404.0)</f>
        <v>404</v>
      </c>
      <c r="F2174" s="115">
        <f>IFERROR(__xludf.DUMMYFUNCTION("""COMPUTED_VALUE"""),27.0)</f>
        <v>27</v>
      </c>
      <c r="G2174" s="115">
        <f>IFERROR(__xludf.DUMMYFUNCTION("""COMPUTED_VALUE"""),17.0)</f>
        <v>17</v>
      </c>
      <c r="H2174" s="116">
        <f>IFERROR(__xludf.DUMMYFUNCTION("""COMPUTED_VALUE"""),45905.0)</f>
        <v>45905</v>
      </c>
      <c r="I2174" s="115" t="str">
        <f>IFERROR(__xludf.DUMMYFUNCTION("""COMPUTED_VALUE"""),"08")</f>
        <v>08</v>
      </c>
      <c r="J2174" s="115" t="str">
        <f>IFERROR(__xludf.DUMMYFUNCTION("""COMPUTED_VALUE"""),"Martin A2025-09-0508")</f>
        <v>Martin A2025-09-0508</v>
      </c>
      <c r="K2174" s="115">
        <f>IFERROR(__xludf.DUMMYFUNCTION("""COMPUTED_VALUE"""),5355.0)</f>
        <v>5355</v>
      </c>
    </row>
    <row r="2175">
      <c r="A2175" s="115" t="str">
        <f>IFERROR(__xludf.DUMMYFUNCTION("""COMPUTED_VALUE"""),"SOUTH")</f>
        <v>SOUTH</v>
      </c>
      <c r="B2175" s="115" t="str">
        <f>IFERROR(__xludf.DUMMYFUNCTION("""COMPUTED_VALUE"""),"Martin A")</f>
        <v>Martin A</v>
      </c>
      <c r="C2175" s="115" t="str">
        <f>IFERROR(__xludf.DUMMYFUNCTION("""COMPUTED_VALUE"""),"FLIPKART")</f>
        <v>FLIPKART</v>
      </c>
      <c r="D2175" s="115">
        <f>IFERROR(__xludf.DUMMYFUNCTION("""COMPUTED_VALUE"""),41382.0)</f>
        <v>41382</v>
      </c>
      <c r="E2175" s="115">
        <f>IFERROR(__xludf.DUMMYFUNCTION("""COMPUTED_VALUE"""),3152.0)</f>
        <v>3152</v>
      </c>
      <c r="F2175" s="115">
        <f>IFERROR(__xludf.DUMMYFUNCTION("""COMPUTED_VALUE"""),375.0)</f>
        <v>375</v>
      </c>
      <c r="G2175" s="115">
        <f>IFERROR(__xludf.DUMMYFUNCTION("""COMPUTED_VALUE"""),24.0)</f>
        <v>24</v>
      </c>
      <c r="H2175" s="116">
        <f>IFERROR(__xludf.DUMMYFUNCTION("""COMPUTED_VALUE"""),45905.0)</f>
        <v>45905</v>
      </c>
      <c r="I2175" s="115" t="str">
        <f>IFERROR(__xludf.DUMMYFUNCTION("""COMPUTED_VALUE"""),"08")</f>
        <v>08</v>
      </c>
      <c r="J2175" s="115" t="str">
        <f>IFERROR(__xludf.DUMMYFUNCTION("""COMPUTED_VALUE"""),"Martin A2025-09-0508")</f>
        <v>Martin A2025-09-0508</v>
      </c>
      <c r="K2175" s="115">
        <f>IFERROR(__xludf.DUMMYFUNCTION("""COMPUTED_VALUE"""),44534.0)</f>
        <v>44534</v>
      </c>
    </row>
    <row r="2176">
      <c r="A2176" s="115" t="str">
        <f>IFERROR(__xludf.DUMMYFUNCTION("""COMPUTED_VALUE"""),"SOUTH")</f>
        <v>SOUTH</v>
      </c>
      <c r="B2176" s="115" t="str">
        <f>IFERROR(__xludf.DUMMYFUNCTION("""COMPUTED_VALUE"""),"Martin A")</f>
        <v>Martin A</v>
      </c>
      <c r="C2176" s="115" t="str">
        <f>IFERROR(__xludf.DUMMYFUNCTION("""COMPUTED_VALUE"""),"MYNTRA")</f>
        <v>MYNTRA</v>
      </c>
      <c r="D2176" s="115">
        <f>IFERROR(__xludf.DUMMYFUNCTION("""COMPUTED_VALUE"""),4950.0)</f>
        <v>4950</v>
      </c>
      <c r="E2176" s="115">
        <f>IFERROR(__xludf.DUMMYFUNCTION("""COMPUTED_VALUE"""),781.0)</f>
        <v>781</v>
      </c>
      <c r="F2176" s="115">
        <f>IFERROR(__xludf.DUMMYFUNCTION("""COMPUTED_VALUE"""),45.0)</f>
        <v>45</v>
      </c>
      <c r="G2176" s="115">
        <f>IFERROR(__xludf.DUMMYFUNCTION("""COMPUTED_VALUE"""),4.0)</f>
        <v>4</v>
      </c>
      <c r="H2176" s="116">
        <f>IFERROR(__xludf.DUMMYFUNCTION("""COMPUTED_VALUE"""),45905.0)</f>
        <v>45905</v>
      </c>
      <c r="I2176" s="115" t="str">
        <f>IFERROR(__xludf.DUMMYFUNCTION("""COMPUTED_VALUE"""),"08")</f>
        <v>08</v>
      </c>
      <c r="J2176" s="115" t="str">
        <f>IFERROR(__xludf.DUMMYFUNCTION("""COMPUTED_VALUE"""),"Martin A2025-09-0508")</f>
        <v>Martin A2025-09-0508</v>
      </c>
      <c r="K2176" s="115">
        <f>IFERROR(__xludf.DUMMYFUNCTION("""COMPUTED_VALUE"""),5731.0)</f>
        <v>5731</v>
      </c>
    </row>
    <row r="2177">
      <c r="A2177" s="115" t="str">
        <f>IFERROR(__xludf.DUMMYFUNCTION("""COMPUTED_VALUE"""),"SOUTH")</f>
        <v>SOUTH</v>
      </c>
      <c r="B2177" s="115" t="str">
        <f>IFERROR(__xludf.DUMMYFUNCTION("""COMPUTED_VALUE"""),"Premkumar M")</f>
        <v>Premkumar M</v>
      </c>
      <c r="C2177" s="115" t="str">
        <f>IFERROR(__xludf.DUMMYFUNCTION("""COMPUTED_VALUE"""),"EXTERNAL")</f>
        <v>EXTERNAL</v>
      </c>
      <c r="D2177" s="115">
        <f>IFERROR(__xludf.DUMMYFUNCTION("""COMPUTED_VALUE"""),1039.0)</f>
        <v>1039</v>
      </c>
      <c r="E2177" s="115">
        <f>IFERROR(__xludf.DUMMYFUNCTION("""COMPUTED_VALUE"""),40.0)</f>
        <v>40</v>
      </c>
      <c r="F2177" s="115">
        <f>IFERROR(__xludf.DUMMYFUNCTION("""COMPUTED_VALUE"""),7.0)</f>
        <v>7</v>
      </c>
      <c r="G2177" s="115">
        <f>IFERROR(__xludf.DUMMYFUNCTION("""COMPUTED_VALUE"""),0.0)</f>
        <v>0</v>
      </c>
      <c r="H2177" s="116">
        <f>IFERROR(__xludf.DUMMYFUNCTION("""COMPUTED_VALUE"""),45905.0)</f>
        <v>45905</v>
      </c>
      <c r="I2177" s="115" t="str">
        <f>IFERROR(__xludf.DUMMYFUNCTION("""COMPUTED_VALUE"""),"08")</f>
        <v>08</v>
      </c>
      <c r="J2177" s="115" t="str">
        <f>IFERROR(__xludf.DUMMYFUNCTION("""COMPUTED_VALUE"""),"Premkumar M2025-09-0508")</f>
        <v>Premkumar M2025-09-0508</v>
      </c>
      <c r="K2177" s="115">
        <f>IFERROR(__xludf.DUMMYFUNCTION("""COMPUTED_VALUE"""),1079.0)</f>
        <v>1079</v>
      </c>
    </row>
    <row r="2178">
      <c r="A2178" s="115" t="str">
        <f>IFERROR(__xludf.DUMMYFUNCTION("""COMPUTED_VALUE"""),"SOUTH")</f>
        <v>SOUTH</v>
      </c>
      <c r="B2178" s="115" t="str">
        <f>IFERROR(__xludf.DUMMYFUNCTION("""COMPUTED_VALUE"""),"Premkumar M")</f>
        <v>Premkumar M</v>
      </c>
      <c r="C2178" s="115" t="str">
        <f>IFERROR(__xludf.DUMMYFUNCTION("""COMPUTED_VALUE"""),"FLIPKART")</f>
        <v>FLIPKART</v>
      </c>
      <c r="D2178" s="115">
        <f>IFERROR(__xludf.DUMMYFUNCTION("""COMPUTED_VALUE"""),10342.0)</f>
        <v>10342</v>
      </c>
      <c r="E2178" s="115">
        <f>IFERROR(__xludf.DUMMYFUNCTION("""COMPUTED_VALUE"""),619.0)</f>
        <v>619</v>
      </c>
      <c r="F2178" s="115">
        <f>IFERROR(__xludf.DUMMYFUNCTION("""COMPUTED_VALUE"""),131.0)</f>
        <v>131</v>
      </c>
      <c r="G2178" s="115">
        <f>IFERROR(__xludf.DUMMYFUNCTION("""COMPUTED_VALUE"""),16.0)</f>
        <v>16</v>
      </c>
      <c r="H2178" s="116">
        <f>IFERROR(__xludf.DUMMYFUNCTION("""COMPUTED_VALUE"""),45905.0)</f>
        <v>45905</v>
      </c>
      <c r="I2178" s="115" t="str">
        <f>IFERROR(__xludf.DUMMYFUNCTION("""COMPUTED_VALUE"""),"08")</f>
        <v>08</v>
      </c>
      <c r="J2178" s="115" t="str">
        <f>IFERROR(__xludf.DUMMYFUNCTION("""COMPUTED_VALUE"""),"Premkumar M2025-09-0508")</f>
        <v>Premkumar M2025-09-0508</v>
      </c>
      <c r="K2178" s="115">
        <f>IFERROR(__xludf.DUMMYFUNCTION("""COMPUTED_VALUE"""),10961.0)</f>
        <v>10961</v>
      </c>
    </row>
    <row r="2179">
      <c r="A2179" s="115" t="str">
        <f>IFERROR(__xludf.DUMMYFUNCTION("""COMPUTED_VALUE"""),"SOUTH")</f>
        <v>SOUTH</v>
      </c>
      <c r="B2179" s="115" t="str">
        <f>IFERROR(__xludf.DUMMYFUNCTION("""COMPUTED_VALUE"""),"Premkumar M")</f>
        <v>Premkumar M</v>
      </c>
      <c r="C2179" s="115" t="str">
        <f>IFERROR(__xludf.DUMMYFUNCTION("""COMPUTED_VALUE"""),"MYNTRA")</f>
        <v>MYNTRA</v>
      </c>
      <c r="D2179" s="115">
        <f>IFERROR(__xludf.DUMMYFUNCTION("""COMPUTED_VALUE"""),589.0)</f>
        <v>589</v>
      </c>
      <c r="E2179" s="115">
        <f>IFERROR(__xludf.DUMMYFUNCTION("""COMPUTED_VALUE"""),110.0)</f>
        <v>110</v>
      </c>
      <c r="F2179" s="115">
        <f>IFERROR(__xludf.DUMMYFUNCTION("""COMPUTED_VALUE"""),6.0)</f>
        <v>6</v>
      </c>
      <c r="G2179" s="115">
        <f>IFERROR(__xludf.DUMMYFUNCTION("""COMPUTED_VALUE"""),0.0)</f>
        <v>0</v>
      </c>
      <c r="H2179" s="116">
        <f>IFERROR(__xludf.DUMMYFUNCTION("""COMPUTED_VALUE"""),45905.0)</f>
        <v>45905</v>
      </c>
      <c r="I2179" s="115" t="str">
        <f>IFERROR(__xludf.DUMMYFUNCTION("""COMPUTED_VALUE"""),"08")</f>
        <v>08</v>
      </c>
      <c r="J2179" s="115" t="str">
        <f>IFERROR(__xludf.DUMMYFUNCTION("""COMPUTED_VALUE"""),"Premkumar M2025-09-0508")</f>
        <v>Premkumar M2025-09-0508</v>
      </c>
      <c r="K2179" s="115">
        <f>IFERROR(__xludf.DUMMYFUNCTION("""COMPUTED_VALUE"""),699.0)</f>
        <v>699</v>
      </c>
    </row>
    <row r="2180">
      <c r="A2180" s="115" t="str">
        <f>IFERROR(__xludf.DUMMYFUNCTION("""COMPUTED_VALUE"""),"SOUTH")</f>
        <v>SOUTH</v>
      </c>
      <c r="B2180" s="115" t="str">
        <f>IFERROR(__xludf.DUMMYFUNCTION("""COMPUTED_VALUE"""),"Vineeth V")</f>
        <v>Vineeth V</v>
      </c>
      <c r="C2180" s="115" t="str">
        <f>IFERROR(__xludf.DUMMYFUNCTION("""COMPUTED_VALUE"""),"EXTERNAL")</f>
        <v>EXTERNAL</v>
      </c>
      <c r="D2180" s="115">
        <f>IFERROR(__xludf.DUMMYFUNCTION("""COMPUTED_VALUE"""),184.0)</f>
        <v>184</v>
      </c>
      <c r="E2180" s="115">
        <f>IFERROR(__xludf.DUMMYFUNCTION("""COMPUTED_VALUE"""),11.0)</f>
        <v>11</v>
      </c>
      <c r="F2180" s="115">
        <f>IFERROR(__xludf.DUMMYFUNCTION("""COMPUTED_VALUE"""),2.0)</f>
        <v>2</v>
      </c>
      <c r="G2180" s="115">
        <f>IFERROR(__xludf.DUMMYFUNCTION("""COMPUTED_VALUE"""),0.0)</f>
        <v>0</v>
      </c>
      <c r="H2180" s="116">
        <f>IFERROR(__xludf.DUMMYFUNCTION("""COMPUTED_VALUE"""),45905.0)</f>
        <v>45905</v>
      </c>
      <c r="I2180" s="115" t="str">
        <f>IFERROR(__xludf.DUMMYFUNCTION("""COMPUTED_VALUE"""),"08")</f>
        <v>08</v>
      </c>
      <c r="J2180" s="115" t="str">
        <f>IFERROR(__xludf.DUMMYFUNCTION("""COMPUTED_VALUE"""),"Vineeth V2025-09-0508")</f>
        <v>Vineeth V2025-09-0508</v>
      </c>
      <c r="K2180" s="115">
        <f>IFERROR(__xludf.DUMMYFUNCTION("""COMPUTED_VALUE"""),195.0)</f>
        <v>195</v>
      </c>
    </row>
    <row r="2181">
      <c r="A2181" s="115" t="str">
        <f>IFERROR(__xludf.DUMMYFUNCTION("""COMPUTED_VALUE"""),"SOUTH")</f>
        <v>SOUTH</v>
      </c>
      <c r="B2181" s="115" t="str">
        <f>IFERROR(__xludf.DUMMYFUNCTION("""COMPUTED_VALUE"""),"Vineeth V")</f>
        <v>Vineeth V</v>
      </c>
      <c r="C2181" s="115" t="str">
        <f>IFERROR(__xludf.DUMMYFUNCTION("""COMPUTED_VALUE"""),"FLIPKART")</f>
        <v>FLIPKART</v>
      </c>
      <c r="D2181" s="115">
        <f>IFERROR(__xludf.DUMMYFUNCTION("""COMPUTED_VALUE"""),1383.0)</f>
        <v>1383</v>
      </c>
      <c r="E2181" s="115">
        <f>IFERROR(__xludf.DUMMYFUNCTION("""COMPUTED_VALUE"""),159.0)</f>
        <v>159</v>
      </c>
      <c r="F2181" s="115">
        <f>IFERROR(__xludf.DUMMYFUNCTION("""COMPUTED_VALUE"""),72.0)</f>
        <v>72</v>
      </c>
      <c r="G2181" s="115">
        <f>IFERROR(__xludf.DUMMYFUNCTION("""COMPUTED_VALUE"""),7.0)</f>
        <v>7</v>
      </c>
      <c r="H2181" s="116">
        <f>IFERROR(__xludf.DUMMYFUNCTION("""COMPUTED_VALUE"""),45905.0)</f>
        <v>45905</v>
      </c>
      <c r="I2181" s="115" t="str">
        <f>IFERROR(__xludf.DUMMYFUNCTION("""COMPUTED_VALUE"""),"08")</f>
        <v>08</v>
      </c>
      <c r="J2181" s="115" t="str">
        <f>IFERROR(__xludf.DUMMYFUNCTION("""COMPUTED_VALUE"""),"Vineeth V2025-09-0508")</f>
        <v>Vineeth V2025-09-0508</v>
      </c>
      <c r="K2181" s="115">
        <f>IFERROR(__xludf.DUMMYFUNCTION("""COMPUTED_VALUE"""),1542.0)</f>
        <v>1542</v>
      </c>
    </row>
    <row r="2182">
      <c r="A2182" s="115" t="str">
        <f>IFERROR(__xludf.DUMMYFUNCTION("""COMPUTED_VALUE"""),"SOUTH")</f>
        <v>SOUTH</v>
      </c>
      <c r="B2182" s="115" t="str">
        <f>IFERROR(__xludf.DUMMYFUNCTION("""COMPUTED_VALUE"""),"Vineeth V")</f>
        <v>Vineeth V</v>
      </c>
      <c r="C2182" s="115" t="str">
        <f>IFERROR(__xludf.DUMMYFUNCTION("""COMPUTED_VALUE"""),"MYNTRA")</f>
        <v>MYNTRA</v>
      </c>
      <c r="D2182" s="115">
        <f>IFERROR(__xludf.DUMMYFUNCTION("""COMPUTED_VALUE"""),239.0)</f>
        <v>239</v>
      </c>
      <c r="E2182" s="115">
        <f>IFERROR(__xludf.DUMMYFUNCTION("""COMPUTED_VALUE"""),33.0)</f>
        <v>33</v>
      </c>
      <c r="F2182" s="115">
        <f>IFERROR(__xludf.DUMMYFUNCTION("""COMPUTED_VALUE"""),9.0)</f>
        <v>9</v>
      </c>
      <c r="G2182" s="115">
        <f>IFERROR(__xludf.DUMMYFUNCTION("""COMPUTED_VALUE"""),3.0)</f>
        <v>3</v>
      </c>
      <c r="H2182" s="116">
        <f>IFERROR(__xludf.DUMMYFUNCTION("""COMPUTED_VALUE"""),45905.0)</f>
        <v>45905</v>
      </c>
      <c r="I2182" s="115" t="str">
        <f>IFERROR(__xludf.DUMMYFUNCTION("""COMPUTED_VALUE"""),"08")</f>
        <v>08</v>
      </c>
      <c r="J2182" s="115" t="str">
        <f>IFERROR(__xludf.DUMMYFUNCTION("""COMPUTED_VALUE"""),"Vineeth V2025-09-0508")</f>
        <v>Vineeth V2025-09-0508</v>
      </c>
      <c r="K2182" s="115">
        <f>IFERROR(__xludf.DUMMYFUNCTION("""COMPUTED_VALUE"""),272.0)</f>
        <v>272</v>
      </c>
    </row>
    <row r="2183">
      <c r="A2183" s="115" t="str">
        <f>IFERROR(__xludf.DUMMYFUNCTION("""COMPUTED_VALUE"""),"WEST")</f>
        <v>WEST</v>
      </c>
      <c r="B2183" s="115" t="str">
        <f>IFERROR(__xludf.DUMMYFUNCTION("""COMPUTED_VALUE"""),"Ashish Jakar")</f>
        <v>Ashish Jakar</v>
      </c>
      <c r="C2183" s="115" t="str">
        <f>IFERROR(__xludf.DUMMYFUNCTION("""COMPUTED_VALUE"""),"EXTERNAL")</f>
        <v>EXTERNAL</v>
      </c>
      <c r="D2183" s="115">
        <f>IFERROR(__xludf.DUMMYFUNCTION("""COMPUTED_VALUE"""),2993.0)</f>
        <v>2993</v>
      </c>
      <c r="E2183" s="115">
        <f>IFERROR(__xludf.DUMMYFUNCTION("""COMPUTED_VALUE"""),551.0)</f>
        <v>551</v>
      </c>
      <c r="F2183" s="115">
        <f>IFERROR(__xludf.DUMMYFUNCTION("""COMPUTED_VALUE"""),201.0)</f>
        <v>201</v>
      </c>
      <c r="G2183" s="115">
        <f>IFERROR(__xludf.DUMMYFUNCTION("""COMPUTED_VALUE"""),1.0)</f>
        <v>1</v>
      </c>
      <c r="H2183" s="116">
        <f>IFERROR(__xludf.DUMMYFUNCTION("""COMPUTED_VALUE"""),45905.0)</f>
        <v>45905</v>
      </c>
      <c r="I2183" s="115" t="str">
        <f>IFERROR(__xludf.DUMMYFUNCTION("""COMPUTED_VALUE"""),"08")</f>
        <v>08</v>
      </c>
      <c r="J2183" s="115" t="str">
        <f>IFERROR(__xludf.DUMMYFUNCTION("""COMPUTED_VALUE"""),"Ashish Jakar2025-09-0508")</f>
        <v>Ashish Jakar2025-09-0508</v>
      </c>
      <c r="K2183" s="115">
        <f>IFERROR(__xludf.DUMMYFUNCTION("""COMPUTED_VALUE"""),3544.0)</f>
        <v>3544</v>
      </c>
    </row>
    <row r="2184">
      <c r="A2184" s="115" t="str">
        <f>IFERROR(__xludf.DUMMYFUNCTION("""COMPUTED_VALUE"""),"WEST")</f>
        <v>WEST</v>
      </c>
      <c r="B2184" s="115" t="str">
        <f>IFERROR(__xludf.DUMMYFUNCTION("""COMPUTED_VALUE"""),"Ashish Jakar")</f>
        <v>Ashish Jakar</v>
      </c>
      <c r="C2184" s="115" t="str">
        <f>IFERROR(__xludf.DUMMYFUNCTION("""COMPUTED_VALUE"""),"FLIPKART")</f>
        <v>FLIPKART</v>
      </c>
      <c r="D2184" s="115">
        <f>IFERROR(__xludf.DUMMYFUNCTION("""COMPUTED_VALUE"""),16962.0)</f>
        <v>16962</v>
      </c>
      <c r="E2184" s="115">
        <f>IFERROR(__xludf.DUMMYFUNCTION("""COMPUTED_VALUE"""),2702.0)</f>
        <v>2702</v>
      </c>
      <c r="F2184" s="115">
        <f>IFERROR(__xludf.DUMMYFUNCTION("""COMPUTED_VALUE"""),138.0)</f>
        <v>138</v>
      </c>
      <c r="G2184" s="115">
        <f>IFERROR(__xludf.DUMMYFUNCTION("""COMPUTED_VALUE"""),12.0)</f>
        <v>12</v>
      </c>
      <c r="H2184" s="116">
        <f>IFERROR(__xludf.DUMMYFUNCTION("""COMPUTED_VALUE"""),45905.0)</f>
        <v>45905</v>
      </c>
      <c r="I2184" s="115" t="str">
        <f>IFERROR(__xludf.DUMMYFUNCTION("""COMPUTED_VALUE"""),"08")</f>
        <v>08</v>
      </c>
      <c r="J2184" s="115" t="str">
        <f>IFERROR(__xludf.DUMMYFUNCTION("""COMPUTED_VALUE"""),"Ashish Jakar2025-09-0508")</f>
        <v>Ashish Jakar2025-09-0508</v>
      </c>
      <c r="K2184" s="115">
        <f>IFERROR(__xludf.DUMMYFUNCTION("""COMPUTED_VALUE"""),19664.0)</f>
        <v>19664</v>
      </c>
    </row>
    <row r="2185">
      <c r="A2185" s="115" t="str">
        <f>IFERROR(__xludf.DUMMYFUNCTION("""COMPUTED_VALUE"""),"WEST")</f>
        <v>WEST</v>
      </c>
      <c r="B2185" s="115" t="str">
        <f>IFERROR(__xludf.DUMMYFUNCTION("""COMPUTED_VALUE"""),"Ashish Jakar")</f>
        <v>Ashish Jakar</v>
      </c>
      <c r="C2185" s="115" t="str">
        <f>IFERROR(__xludf.DUMMYFUNCTION("""COMPUTED_VALUE"""),"MYNTRA")</f>
        <v>MYNTRA</v>
      </c>
      <c r="D2185" s="115">
        <f>IFERROR(__xludf.DUMMYFUNCTION("""COMPUTED_VALUE"""),2370.0)</f>
        <v>2370</v>
      </c>
      <c r="E2185" s="115">
        <f>IFERROR(__xludf.DUMMYFUNCTION("""COMPUTED_VALUE"""),970.0)</f>
        <v>970</v>
      </c>
      <c r="F2185" s="115">
        <f>IFERROR(__xludf.DUMMYFUNCTION("""COMPUTED_VALUE"""),26.0)</f>
        <v>26</v>
      </c>
      <c r="G2185" s="115">
        <f>IFERROR(__xludf.DUMMYFUNCTION("""COMPUTED_VALUE"""),2.0)</f>
        <v>2</v>
      </c>
      <c r="H2185" s="116">
        <f>IFERROR(__xludf.DUMMYFUNCTION("""COMPUTED_VALUE"""),45905.0)</f>
        <v>45905</v>
      </c>
      <c r="I2185" s="115" t="str">
        <f>IFERROR(__xludf.DUMMYFUNCTION("""COMPUTED_VALUE"""),"08")</f>
        <v>08</v>
      </c>
      <c r="J2185" s="115" t="str">
        <f>IFERROR(__xludf.DUMMYFUNCTION("""COMPUTED_VALUE"""),"Ashish Jakar2025-09-0508")</f>
        <v>Ashish Jakar2025-09-0508</v>
      </c>
      <c r="K2185" s="115">
        <f>IFERROR(__xludf.DUMMYFUNCTION("""COMPUTED_VALUE"""),3340.0)</f>
        <v>3340</v>
      </c>
    </row>
    <row r="2186">
      <c r="A2186" s="115" t="str">
        <f>IFERROR(__xludf.DUMMYFUNCTION("""COMPUTED_VALUE"""),"WEST")</f>
        <v>WEST</v>
      </c>
      <c r="B2186" s="115" t="str">
        <f>IFERROR(__xludf.DUMMYFUNCTION("""COMPUTED_VALUE"""),"Ashvani Bhatt")</f>
        <v>Ashvani Bhatt</v>
      </c>
      <c r="C2186" s="115" t="str">
        <f>IFERROR(__xludf.DUMMYFUNCTION("""COMPUTED_VALUE"""),"EXTERNAL")</f>
        <v>EXTERNAL</v>
      </c>
      <c r="D2186" s="115">
        <f>IFERROR(__xludf.DUMMYFUNCTION("""COMPUTED_VALUE"""),2452.0)</f>
        <v>2452</v>
      </c>
      <c r="E2186" s="115">
        <f>IFERROR(__xludf.DUMMYFUNCTION("""COMPUTED_VALUE"""),135.0)</f>
        <v>135</v>
      </c>
      <c r="F2186" s="115">
        <f>IFERROR(__xludf.DUMMYFUNCTION("""COMPUTED_VALUE"""),3.0)</f>
        <v>3</v>
      </c>
      <c r="G2186" s="115">
        <f>IFERROR(__xludf.DUMMYFUNCTION("""COMPUTED_VALUE"""),0.0)</f>
        <v>0</v>
      </c>
      <c r="H2186" s="116">
        <f>IFERROR(__xludf.DUMMYFUNCTION("""COMPUTED_VALUE"""),45905.0)</f>
        <v>45905</v>
      </c>
      <c r="I2186" s="115" t="str">
        <f>IFERROR(__xludf.DUMMYFUNCTION("""COMPUTED_VALUE"""),"08")</f>
        <v>08</v>
      </c>
      <c r="J2186" s="115" t="str">
        <f>IFERROR(__xludf.DUMMYFUNCTION("""COMPUTED_VALUE"""),"Ashvani Bhatt2025-09-0508")</f>
        <v>Ashvani Bhatt2025-09-0508</v>
      </c>
      <c r="K2186" s="115">
        <f>IFERROR(__xludf.DUMMYFUNCTION("""COMPUTED_VALUE"""),2587.0)</f>
        <v>2587</v>
      </c>
    </row>
    <row r="2187">
      <c r="A2187" s="115" t="str">
        <f>IFERROR(__xludf.DUMMYFUNCTION("""COMPUTED_VALUE"""),"WEST")</f>
        <v>WEST</v>
      </c>
      <c r="B2187" s="115" t="str">
        <f>IFERROR(__xludf.DUMMYFUNCTION("""COMPUTED_VALUE"""),"Ashvani Bhatt")</f>
        <v>Ashvani Bhatt</v>
      </c>
      <c r="C2187" s="115" t="str">
        <f>IFERROR(__xludf.DUMMYFUNCTION("""COMPUTED_VALUE"""),"FLIPKART")</f>
        <v>FLIPKART</v>
      </c>
      <c r="D2187" s="115">
        <f>IFERROR(__xludf.DUMMYFUNCTION("""COMPUTED_VALUE"""),20609.0)</f>
        <v>20609</v>
      </c>
      <c r="E2187" s="115">
        <f>IFERROR(__xludf.DUMMYFUNCTION("""COMPUTED_VALUE"""),1392.0)</f>
        <v>1392</v>
      </c>
      <c r="F2187" s="115">
        <f>IFERROR(__xludf.DUMMYFUNCTION("""COMPUTED_VALUE"""),225.0)</f>
        <v>225</v>
      </c>
      <c r="G2187" s="115">
        <f>IFERROR(__xludf.DUMMYFUNCTION("""COMPUTED_VALUE"""),2.0)</f>
        <v>2</v>
      </c>
      <c r="H2187" s="116">
        <f>IFERROR(__xludf.DUMMYFUNCTION("""COMPUTED_VALUE"""),45905.0)</f>
        <v>45905</v>
      </c>
      <c r="I2187" s="115" t="str">
        <f>IFERROR(__xludf.DUMMYFUNCTION("""COMPUTED_VALUE"""),"08")</f>
        <v>08</v>
      </c>
      <c r="J2187" s="115" t="str">
        <f>IFERROR(__xludf.DUMMYFUNCTION("""COMPUTED_VALUE"""),"Ashvani Bhatt2025-09-0508")</f>
        <v>Ashvani Bhatt2025-09-0508</v>
      </c>
      <c r="K2187" s="115">
        <f>IFERROR(__xludf.DUMMYFUNCTION("""COMPUTED_VALUE"""),22001.0)</f>
        <v>22001</v>
      </c>
    </row>
    <row r="2188">
      <c r="A2188" s="115" t="str">
        <f>IFERROR(__xludf.DUMMYFUNCTION("""COMPUTED_VALUE"""),"WEST")</f>
        <v>WEST</v>
      </c>
      <c r="B2188" s="115" t="str">
        <f>IFERROR(__xludf.DUMMYFUNCTION("""COMPUTED_VALUE"""),"Ashvani Bhatt")</f>
        <v>Ashvani Bhatt</v>
      </c>
      <c r="C2188" s="115" t="str">
        <f>IFERROR(__xludf.DUMMYFUNCTION("""COMPUTED_VALUE"""),"MYNTRA")</f>
        <v>MYNTRA</v>
      </c>
      <c r="D2188" s="115">
        <f>IFERROR(__xludf.DUMMYFUNCTION("""COMPUTED_VALUE"""),3264.0)</f>
        <v>3264</v>
      </c>
      <c r="E2188" s="115">
        <f>IFERROR(__xludf.DUMMYFUNCTION("""COMPUTED_VALUE"""),573.0)</f>
        <v>573</v>
      </c>
      <c r="F2188" s="115">
        <f>IFERROR(__xludf.DUMMYFUNCTION("""COMPUTED_VALUE"""),40.0)</f>
        <v>40</v>
      </c>
      <c r="G2188" s="115">
        <f>IFERROR(__xludf.DUMMYFUNCTION("""COMPUTED_VALUE"""),0.0)</f>
        <v>0</v>
      </c>
      <c r="H2188" s="116">
        <f>IFERROR(__xludf.DUMMYFUNCTION("""COMPUTED_VALUE"""),45905.0)</f>
        <v>45905</v>
      </c>
      <c r="I2188" s="115" t="str">
        <f>IFERROR(__xludf.DUMMYFUNCTION("""COMPUTED_VALUE"""),"08")</f>
        <v>08</v>
      </c>
      <c r="J2188" s="115" t="str">
        <f>IFERROR(__xludf.DUMMYFUNCTION("""COMPUTED_VALUE"""),"Ashvani Bhatt2025-09-0508")</f>
        <v>Ashvani Bhatt2025-09-0508</v>
      </c>
      <c r="K2188" s="115">
        <f>IFERROR(__xludf.DUMMYFUNCTION("""COMPUTED_VALUE"""),3837.0)</f>
        <v>3837</v>
      </c>
    </row>
    <row r="2189">
      <c r="A2189" s="115"/>
      <c r="B2189" s="115"/>
      <c r="C2189" s="115" t="str">
        <f>IFERROR(__xludf.DUMMYFUNCTION("""COMPUTED_VALUE"""),"EXTERNAL")</f>
        <v>EXTERNAL</v>
      </c>
      <c r="D2189" s="115">
        <f>IFERROR(__xludf.DUMMYFUNCTION("""COMPUTED_VALUE"""),21.0)</f>
        <v>21</v>
      </c>
      <c r="E2189" s="115">
        <f>IFERROR(__xludf.DUMMYFUNCTION("""COMPUTED_VALUE"""),1.0)</f>
        <v>1</v>
      </c>
      <c r="F2189" s="115">
        <f>IFERROR(__xludf.DUMMYFUNCTION("""COMPUTED_VALUE"""),0.0)</f>
        <v>0</v>
      </c>
      <c r="G2189" s="115">
        <f>IFERROR(__xludf.DUMMYFUNCTION("""COMPUTED_VALUE"""),0.0)</f>
        <v>0</v>
      </c>
      <c r="H2189" s="116">
        <f>IFERROR(__xludf.DUMMYFUNCTION("""COMPUTED_VALUE"""),45905.0)</f>
        <v>45905</v>
      </c>
      <c r="I2189" s="115" t="str">
        <f>IFERROR(__xludf.DUMMYFUNCTION("""COMPUTED_VALUE"""),"08")</f>
        <v>08</v>
      </c>
      <c r="J2189" s="115" t="str">
        <f>IFERROR(__xludf.DUMMYFUNCTION("""COMPUTED_VALUE"""),"2025-09-0508")</f>
        <v>2025-09-0508</v>
      </c>
      <c r="K2189" s="115">
        <f>IFERROR(__xludf.DUMMYFUNCTION("""COMPUTED_VALUE"""),22.0)</f>
        <v>22</v>
      </c>
    </row>
    <row r="2190">
      <c r="A2190" s="115"/>
      <c r="B2190" s="115"/>
      <c r="C2190" s="115" t="str">
        <f>IFERROR(__xludf.DUMMYFUNCTION("""COMPUTED_VALUE"""),"FLIPKART")</f>
        <v>FLIPKART</v>
      </c>
      <c r="D2190" s="115">
        <f>IFERROR(__xludf.DUMMYFUNCTION("""COMPUTED_VALUE"""),452.0)</f>
        <v>452</v>
      </c>
      <c r="E2190" s="115">
        <f>IFERROR(__xludf.DUMMYFUNCTION("""COMPUTED_VALUE"""),19.0)</f>
        <v>19</v>
      </c>
      <c r="F2190" s="115">
        <f>IFERROR(__xludf.DUMMYFUNCTION("""COMPUTED_VALUE"""),1.0)</f>
        <v>1</v>
      </c>
      <c r="G2190" s="115">
        <f>IFERROR(__xludf.DUMMYFUNCTION("""COMPUTED_VALUE"""),0.0)</f>
        <v>0</v>
      </c>
      <c r="H2190" s="116">
        <f>IFERROR(__xludf.DUMMYFUNCTION("""COMPUTED_VALUE"""),45905.0)</f>
        <v>45905</v>
      </c>
      <c r="I2190" s="115" t="str">
        <f>IFERROR(__xludf.DUMMYFUNCTION("""COMPUTED_VALUE"""),"08")</f>
        <v>08</v>
      </c>
      <c r="J2190" s="115" t="str">
        <f>IFERROR(__xludf.DUMMYFUNCTION("""COMPUTED_VALUE"""),"2025-09-0508")</f>
        <v>2025-09-0508</v>
      </c>
      <c r="K2190" s="115">
        <f>IFERROR(__xludf.DUMMYFUNCTION("""COMPUTED_VALUE"""),471.0)</f>
        <v>471</v>
      </c>
    </row>
    <row r="2191">
      <c r="A2191" s="115"/>
      <c r="B2191" s="115"/>
      <c r="C2191" s="115" t="str">
        <f>IFERROR(__xludf.DUMMYFUNCTION("""COMPUTED_VALUE"""),"MYNTRA")</f>
        <v>MYNTRA</v>
      </c>
      <c r="D2191" s="115">
        <f>IFERROR(__xludf.DUMMYFUNCTION("""COMPUTED_VALUE"""),17.0)</f>
        <v>17</v>
      </c>
      <c r="E2191" s="115">
        <f>IFERROR(__xludf.DUMMYFUNCTION("""COMPUTED_VALUE"""),5.0)</f>
        <v>5</v>
      </c>
      <c r="F2191" s="115">
        <f>IFERROR(__xludf.DUMMYFUNCTION("""COMPUTED_VALUE"""),1.0)</f>
        <v>1</v>
      </c>
      <c r="G2191" s="115">
        <f>IFERROR(__xludf.DUMMYFUNCTION("""COMPUTED_VALUE"""),0.0)</f>
        <v>0</v>
      </c>
      <c r="H2191" s="116">
        <f>IFERROR(__xludf.DUMMYFUNCTION("""COMPUTED_VALUE"""),45905.0)</f>
        <v>45905</v>
      </c>
      <c r="I2191" s="115" t="str">
        <f>IFERROR(__xludf.DUMMYFUNCTION("""COMPUTED_VALUE"""),"08")</f>
        <v>08</v>
      </c>
      <c r="J2191" s="115" t="str">
        <f>IFERROR(__xludf.DUMMYFUNCTION("""COMPUTED_VALUE"""),"2025-09-0508")</f>
        <v>2025-09-0508</v>
      </c>
      <c r="K2191" s="115">
        <f>IFERROR(__xludf.DUMMYFUNCTION("""COMPUTED_VALUE"""),22.0)</f>
        <v>22</v>
      </c>
    </row>
    <row r="2192">
      <c r="A2192" s="115" t="str">
        <f>IFERROR(__xludf.DUMMYFUNCTION("""COMPUTED_VALUE"""),"EAST")</f>
        <v>EAST</v>
      </c>
      <c r="B2192" s="115" t="str">
        <f>IFERROR(__xludf.DUMMYFUNCTION("""COMPUTED_VALUE"""),"Ashish Ranjan")</f>
        <v>Ashish Ranjan</v>
      </c>
      <c r="C2192" s="115" t="str">
        <f>IFERROR(__xludf.DUMMYFUNCTION("""COMPUTED_VALUE"""),"EXTERNAL")</f>
        <v>EXTERNAL</v>
      </c>
      <c r="D2192" s="115">
        <f>IFERROR(__xludf.DUMMYFUNCTION("""COMPUTED_VALUE"""),13364.0)</f>
        <v>13364</v>
      </c>
      <c r="E2192" s="115">
        <f>IFERROR(__xludf.DUMMYFUNCTION("""COMPUTED_VALUE"""),856.0)</f>
        <v>856</v>
      </c>
      <c r="F2192" s="115">
        <f>IFERROR(__xludf.DUMMYFUNCTION("""COMPUTED_VALUE"""),282.0)</f>
        <v>282</v>
      </c>
      <c r="G2192" s="115">
        <f>IFERROR(__xludf.DUMMYFUNCTION("""COMPUTED_VALUE"""),10.0)</f>
        <v>10</v>
      </c>
      <c r="H2192" s="116">
        <f>IFERROR(__xludf.DUMMYFUNCTION("""COMPUTED_VALUE"""),45905.0)</f>
        <v>45905</v>
      </c>
      <c r="I2192" s="115" t="str">
        <f>IFERROR(__xludf.DUMMYFUNCTION("""COMPUTED_VALUE"""),"09")</f>
        <v>09</v>
      </c>
      <c r="J2192" s="115" t="str">
        <f>IFERROR(__xludf.DUMMYFUNCTION("""COMPUTED_VALUE"""),"Ashish Ranjan2025-09-0509")</f>
        <v>Ashish Ranjan2025-09-0509</v>
      </c>
      <c r="K2192" s="115">
        <f>IFERROR(__xludf.DUMMYFUNCTION("""COMPUTED_VALUE"""),14220.0)</f>
        <v>14220</v>
      </c>
    </row>
    <row r="2193">
      <c r="A2193" s="115" t="str">
        <f>IFERROR(__xludf.DUMMYFUNCTION("""COMPUTED_VALUE"""),"EAST")</f>
        <v>EAST</v>
      </c>
      <c r="B2193" s="115" t="str">
        <f>IFERROR(__xludf.DUMMYFUNCTION("""COMPUTED_VALUE"""),"Ashish Ranjan")</f>
        <v>Ashish Ranjan</v>
      </c>
      <c r="C2193" s="115" t="str">
        <f>IFERROR(__xludf.DUMMYFUNCTION("""COMPUTED_VALUE"""),"FLIPKART")</f>
        <v>FLIPKART</v>
      </c>
      <c r="D2193" s="115">
        <f>IFERROR(__xludf.DUMMYFUNCTION("""COMPUTED_VALUE"""),224356.0)</f>
        <v>224356</v>
      </c>
      <c r="E2193" s="115">
        <f>IFERROR(__xludf.DUMMYFUNCTION("""COMPUTED_VALUE"""),18016.0)</f>
        <v>18016</v>
      </c>
      <c r="F2193" s="115">
        <f>IFERROR(__xludf.DUMMYFUNCTION("""COMPUTED_VALUE"""),7203.0)</f>
        <v>7203</v>
      </c>
      <c r="G2193" s="115">
        <f>IFERROR(__xludf.DUMMYFUNCTION("""COMPUTED_VALUE"""),307.0)</f>
        <v>307</v>
      </c>
      <c r="H2193" s="116">
        <f>IFERROR(__xludf.DUMMYFUNCTION("""COMPUTED_VALUE"""),45905.0)</f>
        <v>45905</v>
      </c>
      <c r="I2193" s="115" t="str">
        <f>IFERROR(__xludf.DUMMYFUNCTION("""COMPUTED_VALUE"""),"09")</f>
        <v>09</v>
      </c>
      <c r="J2193" s="115" t="str">
        <f>IFERROR(__xludf.DUMMYFUNCTION("""COMPUTED_VALUE"""),"Ashish Ranjan2025-09-0509")</f>
        <v>Ashish Ranjan2025-09-0509</v>
      </c>
      <c r="K2193" s="115">
        <f>IFERROR(__xludf.DUMMYFUNCTION("""COMPUTED_VALUE"""),242372.0)</f>
        <v>242372</v>
      </c>
    </row>
    <row r="2194">
      <c r="A2194" s="115" t="str">
        <f>IFERROR(__xludf.DUMMYFUNCTION("""COMPUTED_VALUE"""),"EAST")</f>
        <v>EAST</v>
      </c>
      <c r="B2194" s="115" t="str">
        <f>IFERROR(__xludf.DUMMYFUNCTION("""COMPUTED_VALUE"""),"Ashish Ranjan")</f>
        <v>Ashish Ranjan</v>
      </c>
      <c r="C2194" s="115" t="str">
        <f>IFERROR(__xludf.DUMMYFUNCTION("""COMPUTED_VALUE"""),"MYNTRA")</f>
        <v>MYNTRA</v>
      </c>
      <c r="D2194" s="115">
        <f>IFERROR(__xludf.DUMMYFUNCTION("""COMPUTED_VALUE"""),25354.0)</f>
        <v>25354</v>
      </c>
      <c r="E2194" s="115">
        <f>IFERROR(__xludf.DUMMYFUNCTION("""COMPUTED_VALUE"""),3735.0)</f>
        <v>3735</v>
      </c>
      <c r="F2194" s="115">
        <f>IFERROR(__xludf.DUMMYFUNCTION("""COMPUTED_VALUE"""),813.0)</f>
        <v>813</v>
      </c>
      <c r="G2194" s="115">
        <f>IFERROR(__xludf.DUMMYFUNCTION("""COMPUTED_VALUE"""),26.0)</f>
        <v>26</v>
      </c>
      <c r="H2194" s="116">
        <f>IFERROR(__xludf.DUMMYFUNCTION("""COMPUTED_VALUE"""),45905.0)</f>
        <v>45905</v>
      </c>
      <c r="I2194" s="115" t="str">
        <f>IFERROR(__xludf.DUMMYFUNCTION("""COMPUTED_VALUE"""),"09")</f>
        <v>09</v>
      </c>
      <c r="J2194" s="115" t="str">
        <f>IFERROR(__xludf.DUMMYFUNCTION("""COMPUTED_VALUE"""),"Ashish Ranjan2025-09-0509")</f>
        <v>Ashish Ranjan2025-09-0509</v>
      </c>
      <c r="K2194" s="115">
        <f>IFERROR(__xludf.DUMMYFUNCTION("""COMPUTED_VALUE"""),29089.0)</f>
        <v>29089</v>
      </c>
    </row>
    <row r="2195">
      <c r="A2195" s="115" t="str">
        <f>IFERROR(__xludf.DUMMYFUNCTION("""COMPUTED_VALUE"""),"EAST")</f>
        <v>EAST</v>
      </c>
      <c r="B2195" s="115" t="str">
        <f>IFERROR(__xludf.DUMMYFUNCTION("""COMPUTED_VALUE"""),"Girish Chand")</f>
        <v>Girish Chand</v>
      </c>
      <c r="C2195" s="115" t="str">
        <f>IFERROR(__xludf.DUMMYFUNCTION("""COMPUTED_VALUE"""),"EXTERNAL")</f>
        <v>EXTERNAL</v>
      </c>
      <c r="D2195" s="115">
        <f>IFERROR(__xludf.DUMMYFUNCTION("""COMPUTED_VALUE"""),7777.0)</f>
        <v>7777</v>
      </c>
      <c r="E2195" s="115">
        <f>IFERROR(__xludf.DUMMYFUNCTION("""COMPUTED_VALUE"""),398.0)</f>
        <v>398</v>
      </c>
      <c r="F2195" s="115">
        <f>IFERROR(__xludf.DUMMYFUNCTION("""COMPUTED_VALUE"""),92.0)</f>
        <v>92</v>
      </c>
      <c r="G2195" s="115">
        <f>IFERROR(__xludf.DUMMYFUNCTION("""COMPUTED_VALUE"""),2.0)</f>
        <v>2</v>
      </c>
      <c r="H2195" s="116">
        <f>IFERROR(__xludf.DUMMYFUNCTION("""COMPUTED_VALUE"""),45905.0)</f>
        <v>45905</v>
      </c>
      <c r="I2195" s="115" t="str">
        <f>IFERROR(__xludf.DUMMYFUNCTION("""COMPUTED_VALUE"""),"09")</f>
        <v>09</v>
      </c>
      <c r="J2195" s="115" t="str">
        <f>IFERROR(__xludf.DUMMYFUNCTION("""COMPUTED_VALUE"""),"Girish Chand2025-09-0509")</f>
        <v>Girish Chand2025-09-0509</v>
      </c>
      <c r="K2195" s="115">
        <f>IFERROR(__xludf.DUMMYFUNCTION("""COMPUTED_VALUE"""),8175.0)</f>
        <v>8175</v>
      </c>
    </row>
    <row r="2196">
      <c r="A2196" s="115" t="str">
        <f>IFERROR(__xludf.DUMMYFUNCTION("""COMPUTED_VALUE"""),"EAST")</f>
        <v>EAST</v>
      </c>
      <c r="B2196" s="115" t="str">
        <f>IFERROR(__xludf.DUMMYFUNCTION("""COMPUTED_VALUE"""),"Girish Chand")</f>
        <v>Girish Chand</v>
      </c>
      <c r="C2196" s="115" t="str">
        <f>IFERROR(__xludf.DUMMYFUNCTION("""COMPUTED_VALUE"""),"FLIPKART")</f>
        <v>FLIPKART</v>
      </c>
      <c r="D2196" s="115">
        <f>IFERROR(__xludf.DUMMYFUNCTION("""COMPUTED_VALUE"""),145021.0)</f>
        <v>145021</v>
      </c>
      <c r="E2196" s="115">
        <f>IFERROR(__xludf.DUMMYFUNCTION("""COMPUTED_VALUE"""),10117.0)</f>
        <v>10117</v>
      </c>
      <c r="F2196" s="115">
        <f>IFERROR(__xludf.DUMMYFUNCTION("""COMPUTED_VALUE"""),3867.0)</f>
        <v>3867</v>
      </c>
      <c r="G2196" s="115">
        <f>IFERROR(__xludf.DUMMYFUNCTION("""COMPUTED_VALUE"""),100.0)</f>
        <v>100</v>
      </c>
      <c r="H2196" s="116">
        <f>IFERROR(__xludf.DUMMYFUNCTION("""COMPUTED_VALUE"""),45905.0)</f>
        <v>45905</v>
      </c>
      <c r="I2196" s="115" t="str">
        <f>IFERROR(__xludf.DUMMYFUNCTION("""COMPUTED_VALUE"""),"09")</f>
        <v>09</v>
      </c>
      <c r="J2196" s="115" t="str">
        <f>IFERROR(__xludf.DUMMYFUNCTION("""COMPUTED_VALUE"""),"Girish Chand2025-09-0509")</f>
        <v>Girish Chand2025-09-0509</v>
      </c>
      <c r="K2196" s="115">
        <f>IFERROR(__xludf.DUMMYFUNCTION("""COMPUTED_VALUE"""),155138.0)</f>
        <v>155138</v>
      </c>
    </row>
    <row r="2197">
      <c r="A2197" s="115" t="str">
        <f>IFERROR(__xludf.DUMMYFUNCTION("""COMPUTED_VALUE"""),"EAST")</f>
        <v>EAST</v>
      </c>
      <c r="B2197" s="115" t="str">
        <f>IFERROR(__xludf.DUMMYFUNCTION("""COMPUTED_VALUE"""),"Girish Chand")</f>
        <v>Girish Chand</v>
      </c>
      <c r="C2197" s="115" t="str">
        <f>IFERROR(__xludf.DUMMYFUNCTION("""COMPUTED_VALUE"""),"MYNTRA")</f>
        <v>MYNTRA</v>
      </c>
      <c r="D2197" s="115">
        <f>IFERROR(__xludf.DUMMYFUNCTION("""COMPUTED_VALUE"""),13011.0)</f>
        <v>13011</v>
      </c>
      <c r="E2197" s="115">
        <f>IFERROR(__xludf.DUMMYFUNCTION("""COMPUTED_VALUE"""),1795.0)</f>
        <v>1795</v>
      </c>
      <c r="F2197" s="115">
        <f>IFERROR(__xludf.DUMMYFUNCTION("""COMPUTED_VALUE"""),451.0)</f>
        <v>451</v>
      </c>
      <c r="G2197" s="115">
        <f>IFERROR(__xludf.DUMMYFUNCTION("""COMPUTED_VALUE"""),15.0)</f>
        <v>15</v>
      </c>
      <c r="H2197" s="116">
        <f>IFERROR(__xludf.DUMMYFUNCTION("""COMPUTED_VALUE"""),45905.0)</f>
        <v>45905</v>
      </c>
      <c r="I2197" s="115" t="str">
        <f>IFERROR(__xludf.DUMMYFUNCTION("""COMPUTED_VALUE"""),"09")</f>
        <v>09</v>
      </c>
      <c r="J2197" s="115" t="str">
        <f>IFERROR(__xludf.DUMMYFUNCTION("""COMPUTED_VALUE"""),"Girish Chand2025-09-0509")</f>
        <v>Girish Chand2025-09-0509</v>
      </c>
      <c r="K2197" s="115">
        <f>IFERROR(__xludf.DUMMYFUNCTION("""COMPUTED_VALUE"""),14806.0)</f>
        <v>14806</v>
      </c>
    </row>
    <row r="2198">
      <c r="A2198" s="115" t="str">
        <f>IFERROR(__xludf.DUMMYFUNCTION("""COMPUTED_VALUE"""),"EAST")</f>
        <v>EAST</v>
      </c>
      <c r="B2198" s="115" t="str">
        <f>IFERROR(__xludf.DUMMYFUNCTION("""COMPUTED_VALUE"""),"Parag Kashyap")</f>
        <v>Parag Kashyap</v>
      </c>
      <c r="C2198" s="115" t="str">
        <f>IFERROR(__xludf.DUMMYFUNCTION("""COMPUTED_VALUE"""),"EXTERNAL")</f>
        <v>EXTERNAL</v>
      </c>
      <c r="D2198" s="115">
        <f>IFERROR(__xludf.DUMMYFUNCTION("""COMPUTED_VALUE"""),5210.0)</f>
        <v>5210</v>
      </c>
      <c r="E2198" s="115">
        <f>IFERROR(__xludf.DUMMYFUNCTION("""COMPUTED_VALUE"""),169.0)</f>
        <v>169</v>
      </c>
      <c r="F2198" s="115">
        <f>IFERROR(__xludf.DUMMYFUNCTION("""COMPUTED_VALUE"""),73.0)</f>
        <v>73</v>
      </c>
      <c r="G2198" s="115">
        <f>IFERROR(__xludf.DUMMYFUNCTION("""COMPUTED_VALUE"""),1.0)</f>
        <v>1</v>
      </c>
      <c r="H2198" s="116">
        <f>IFERROR(__xludf.DUMMYFUNCTION("""COMPUTED_VALUE"""),45905.0)</f>
        <v>45905</v>
      </c>
      <c r="I2198" s="115" t="str">
        <f>IFERROR(__xludf.DUMMYFUNCTION("""COMPUTED_VALUE"""),"09")</f>
        <v>09</v>
      </c>
      <c r="J2198" s="115" t="str">
        <f>IFERROR(__xludf.DUMMYFUNCTION("""COMPUTED_VALUE"""),"Parag Kashyap2025-09-0509")</f>
        <v>Parag Kashyap2025-09-0509</v>
      </c>
      <c r="K2198" s="115">
        <f>IFERROR(__xludf.DUMMYFUNCTION("""COMPUTED_VALUE"""),5379.0)</f>
        <v>5379</v>
      </c>
    </row>
    <row r="2199">
      <c r="A2199" s="115" t="str">
        <f>IFERROR(__xludf.DUMMYFUNCTION("""COMPUTED_VALUE"""),"EAST")</f>
        <v>EAST</v>
      </c>
      <c r="B2199" s="115" t="str">
        <f>IFERROR(__xludf.DUMMYFUNCTION("""COMPUTED_VALUE"""),"Parag Kashyap")</f>
        <v>Parag Kashyap</v>
      </c>
      <c r="C2199" s="115" t="str">
        <f>IFERROR(__xludf.DUMMYFUNCTION("""COMPUTED_VALUE"""),"FLIPKART")</f>
        <v>FLIPKART</v>
      </c>
      <c r="D2199" s="115">
        <f>IFERROR(__xludf.DUMMYFUNCTION("""COMPUTED_VALUE"""),88555.0)</f>
        <v>88555</v>
      </c>
      <c r="E2199" s="115">
        <f>IFERROR(__xludf.DUMMYFUNCTION("""COMPUTED_VALUE"""),4191.0)</f>
        <v>4191</v>
      </c>
      <c r="F2199" s="115">
        <f>IFERROR(__xludf.DUMMYFUNCTION("""COMPUTED_VALUE"""),1977.0)</f>
        <v>1977</v>
      </c>
      <c r="G2199" s="115">
        <f>IFERROR(__xludf.DUMMYFUNCTION("""COMPUTED_VALUE"""),52.0)</f>
        <v>52</v>
      </c>
      <c r="H2199" s="116">
        <f>IFERROR(__xludf.DUMMYFUNCTION("""COMPUTED_VALUE"""),45905.0)</f>
        <v>45905</v>
      </c>
      <c r="I2199" s="115" t="str">
        <f>IFERROR(__xludf.DUMMYFUNCTION("""COMPUTED_VALUE"""),"09")</f>
        <v>09</v>
      </c>
      <c r="J2199" s="115" t="str">
        <f>IFERROR(__xludf.DUMMYFUNCTION("""COMPUTED_VALUE"""),"Parag Kashyap2025-09-0509")</f>
        <v>Parag Kashyap2025-09-0509</v>
      </c>
      <c r="K2199" s="115">
        <f>IFERROR(__xludf.DUMMYFUNCTION("""COMPUTED_VALUE"""),92746.0)</f>
        <v>92746</v>
      </c>
    </row>
    <row r="2200">
      <c r="A2200" s="115" t="str">
        <f>IFERROR(__xludf.DUMMYFUNCTION("""COMPUTED_VALUE"""),"EAST")</f>
        <v>EAST</v>
      </c>
      <c r="B2200" s="115" t="str">
        <f>IFERROR(__xludf.DUMMYFUNCTION("""COMPUTED_VALUE"""),"Parag Kashyap")</f>
        <v>Parag Kashyap</v>
      </c>
      <c r="C2200" s="115" t="str">
        <f>IFERROR(__xludf.DUMMYFUNCTION("""COMPUTED_VALUE"""),"MYNTRA")</f>
        <v>MYNTRA</v>
      </c>
      <c r="D2200" s="115">
        <f>IFERROR(__xludf.DUMMYFUNCTION("""COMPUTED_VALUE"""),10267.0)</f>
        <v>10267</v>
      </c>
      <c r="E2200" s="115">
        <f>IFERROR(__xludf.DUMMYFUNCTION("""COMPUTED_VALUE"""),1271.0)</f>
        <v>1271</v>
      </c>
      <c r="F2200" s="115">
        <f>IFERROR(__xludf.DUMMYFUNCTION("""COMPUTED_VALUE"""),328.0)</f>
        <v>328</v>
      </c>
      <c r="G2200" s="115">
        <f>IFERROR(__xludf.DUMMYFUNCTION("""COMPUTED_VALUE"""),6.0)</f>
        <v>6</v>
      </c>
      <c r="H2200" s="116">
        <f>IFERROR(__xludf.DUMMYFUNCTION("""COMPUTED_VALUE"""),45905.0)</f>
        <v>45905</v>
      </c>
      <c r="I2200" s="115" t="str">
        <f>IFERROR(__xludf.DUMMYFUNCTION("""COMPUTED_VALUE"""),"09")</f>
        <v>09</v>
      </c>
      <c r="J2200" s="115" t="str">
        <f>IFERROR(__xludf.DUMMYFUNCTION("""COMPUTED_VALUE"""),"Parag Kashyap2025-09-0509")</f>
        <v>Parag Kashyap2025-09-0509</v>
      </c>
      <c r="K2200" s="115">
        <f>IFERROR(__xludf.DUMMYFUNCTION("""COMPUTED_VALUE"""),11538.0)</f>
        <v>11538</v>
      </c>
    </row>
    <row r="2201">
      <c r="A2201" s="115" t="str">
        <f>IFERROR(__xludf.DUMMYFUNCTION("""COMPUTED_VALUE"""),"NORTH")</f>
        <v>NORTH</v>
      </c>
      <c r="B2201" s="115" t="str">
        <f>IFERROR(__xludf.DUMMYFUNCTION("""COMPUTED_VALUE"""),"Amit Kumar Pathak")</f>
        <v>Amit Kumar Pathak</v>
      </c>
      <c r="C2201" s="115" t="str">
        <f>IFERROR(__xludf.DUMMYFUNCTION("""COMPUTED_VALUE"""),"EXTERNAL")</f>
        <v>EXTERNAL</v>
      </c>
      <c r="D2201" s="115">
        <f>IFERROR(__xludf.DUMMYFUNCTION("""COMPUTED_VALUE"""),9771.0)</f>
        <v>9771</v>
      </c>
      <c r="E2201" s="115">
        <f>IFERROR(__xludf.DUMMYFUNCTION("""COMPUTED_VALUE"""),1168.0)</f>
        <v>1168</v>
      </c>
      <c r="F2201" s="115">
        <f>IFERROR(__xludf.DUMMYFUNCTION("""COMPUTED_VALUE"""),131.0)</f>
        <v>131</v>
      </c>
      <c r="G2201" s="115">
        <f>IFERROR(__xludf.DUMMYFUNCTION("""COMPUTED_VALUE"""),19.0)</f>
        <v>19</v>
      </c>
      <c r="H2201" s="116">
        <f>IFERROR(__xludf.DUMMYFUNCTION("""COMPUTED_VALUE"""),45905.0)</f>
        <v>45905</v>
      </c>
      <c r="I2201" s="115" t="str">
        <f>IFERROR(__xludf.DUMMYFUNCTION("""COMPUTED_VALUE"""),"09")</f>
        <v>09</v>
      </c>
      <c r="J2201" s="115" t="str">
        <f>IFERROR(__xludf.DUMMYFUNCTION("""COMPUTED_VALUE"""),"Amit Kumar Pathak2025-09-0509")</f>
        <v>Amit Kumar Pathak2025-09-0509</v>
      </c>
      <c r="K2201" s="115">
        <f>IFERROR(__xludf.DUMMYFUNCTION("""COMPUTED_VALUE"""),10939.0)</f>
        <v>10939</v>
      </c>
    </row>
    <row r="2202">
      <c r="A2202" s="115" t="str">
        <f>IFERROR(__xludf.DUMMYFUNCTION("""COMPUTED_VALUE"""),"NORTH")</f>
        <v>NORTH</v>
      </c>
      <c r="B2202" s="115" t="str">
        <f>IFERROR(__xludf.DUMMYFUNCTION("""COMPUTED_VALUE"""),"Amit Kumar Pathak")</f>
        <v>Amit Kumar Pathak</v>
      </c>
      <c r="C2202" s="115" t="str">
        <f>IFERROR(__xludf.DUMMYFUNCTION("""COMPUTED_VALUE"""),"FLIPKART")</f>
        <v>FLIPKART</v>
      </c>
      <c r="D2202" s="115">
        <f>IFERROR(__xludf.DUMMYFUNCTION("""COMPUTED_VALUE"""),72497.0)</f>
        <v>72497</v>
      </c>
      <c r="E2202" s="115">
        <f>IFERROR(__xludf.DUMMYFUNCTION("""COMPUTED_VALUE"""),10375.0)</f>
        <v>10375</v>
      </c>
      <c r="F2202" s="115">
        <f>IFERROR(__xludf.DUMMYFUNCTION("""COMPUTED_VALUE"""),2064.0)</f>
        <v>2064</v>
      </c>
      <c r="G2202" s="115">
        <f>IFERROR(__xludf.DUMMYFUNCTION("""COMPUTED_VALUE"""),216.0)</f>
        <v>216</v>
      </c>
      <c r="H2202" s="116">
        <f>IFERROR(__xludf.DUMMYFUNCTION("""COMPUTED_VALUE"""),45905.0)</f>
        <v>45905</v>
      </c>
      <c r="I2202" s="115" t="str">
        <f>IFERROR(__xludf.DUMMYFUNCTION("""COMPUTED_VALUE"""),"09")</f>
        <v>09</v>
      </c>
      <c r="J2202" s="115" t="str">
        <f>IFERROR(__xludf.DUMMYFUNCTION("""COMPUTED_VALUE"""),"Amit Kumar Pathak2025-09-0509")</f>
        <v>Amit Kumar Pathak2025-09-0509</v>
      </c>
      <c r="K2202" s="115">
        <f>IFERROR(__xludf.DUMMYFUNCTION("""COMPUTED_VALUE"""),82872.0)</f>
        <v>82872</v>
      </c>
    </row>
    <row r="2203">
      <c r="A2203" s="115" t="str">
        <f>IFERROR(__xludf.DUMMYFUNCTION("""COMPUTED_VALUE"""),"NORTH")</f>
        <v>NORTH</v>
      </c>
      <c r="B2203" s="115" t="str">
        <f>IFERROR(__xludf.DUMMYFUNCTION("""COMPUTED_VALUE"""),"Amit Kumar Pathak")</f>
        <v>Amit Kumar Pathak</v>
      </c>
      <c r="C2203" s="115" t="str">
        <f>IFERROR(__xludf.DUMMYFUNCTION("""COMPUTED_VALUE"""),"MYNTRA")</f>
        <v>MYNTRA</v>
      </c>
      <c r="D2203" s="115">
        <f>IFERROR(__xludf.DUMMYFUNCTION("""COMPUTED_VALUE"""),7134.0)</f>
        <v>7134</v>
      </c>
      <c r="E2203" s="115">
        <f>IFERROR(__xludf.DUMMYFUNCTION("""COMPUTED_VALUE"""),2654.0)</f>
        <v>2654</v>
      </c>
      <c r="F2203" s="115">
        <f>IFERROR(__xludf.DUMMYFUNCTION("""COMPUTED_VALUE"""),267.0)</f>
        <v>267</v>
      </c>
      <c r="G2203" s="115">
        <f>IFERROR(__xludf.DUMMYFUNCTION("""COMPUTED_VALUE"""),53.0)</f>
        <v>53</v>
      </c>
      <c r="H2203" s="116">
        <f>IFERROR(__xludf.DUMMYFUNCTION("""COMPUTED_VALUE"""),45905.0)</f>
        <v>45905</v>
      </c>
      <c r="I2203" s="115" t="str">
        <f>IFERROR(__xludf.DUMMYFUNCTION("""COMPUTED_VALUE"""),"09")</f>
        <v>09</v>
      </c>
      <c r="J2203" s="115" t="str">
        <f>IFERROR(__xludf.DUMMYFUNCTION("""COMPUTED_VALUE"""),"Amit Kumar Pathak2025-09-0509")</f>
        <v>Amit Kumar Pathak2025-09-0509</v>
      </c>
      <c r="K2203" s="115">
        <f>IFERROR(__xludf.DUMMYFUNCTION("""COMPUTED_VALUE"""),9788.0)</f>
        <v>9788</v>
      </c>
    </row>
    <row r="2204">
      <c r="A2204" s="115" t="str">
        <f>IFERROR(__xludf.DUMMYFUNCTION("""COMPUTED_VALUE"""),"NORTH")</f>
        <v>NORTH</v>
      </c>
      <c r="B2204" s="115" t="str">
        <f>IFERROR(__xludf.DUMMYFUNCTION("""COMPUTED_VALUE"""),"Loveleen Singh")</f>
        <v>Loveleen Singh</v>
      </c>
      <c r="C2204" s="115" t="str">
        <f>IFERROR(__xludf.DUMMYFUNCTION("""COMPUTED_VALUE"""),"EXTERNAL")</f>
        <v>EXTERNAL</v>
      </c>
      <c r="D2204" s="115">
        <f>IFERROR(__xludf.DUMMYFUNCTION("""COMPUTED_VALUE"""),6475.0)</f>
        <v>6475</v>
      </c>
      <c r="E2204" s="115">
        <f>IFERROR(__xludf.DUMMYFUNCTION("""COMPUTED_VALUE"""),289.0)</f>
        <v>289</v>
      </c>
      <c r="F2204" s="115">
        <f>IFERROR(__xludf.DUMMYFUNCTION("""COMPUTED_VALUE"""),91.0)</f>
        <v>91</v>
      </c>
      <c r="G2204" s="115">
        <f>IFERROR(__xludf.DUMMYFUNCTION("""COMPUTED_VALUE"""),7.0)</f>
        <v>7</v>
      </c>
      <c r="H2204" s="116">
        <f>IFERROR(__xludf.DUMMYFUNCTION("""COMPUTED_VALUE"""),45905.0)</f>
        <v>45905</v>
      </c>
      <c r="I2204" s="115" t="str">
        <f>IFERROR(__xludf.DUMMYFUNCTION("""COMPUTED_VALUE"""),"09")</f>
        <v>09</v>
      </c>
      <c r="J2204" s="115" t="str">
        <f>IFERROR(__xludf.DUMMYFUNCTION("""COMPUTED_VALUE"""),"Loveleen Singh2025-09-0509")</f>
        <v>Loveleen Singh2025-09-0509</v>
      </c>
      <c r="K2204" s="115">
        <f>IFERROR(__xludf.DUMMYFUNCTION("""COMPUTED_VALUE"""),6764.0)</f>
        <v>6764</v>
      </c>
    </row>
    <row r="2205">
      <c r="A2205" s="115" t="str">
        <f>IFERROR(__xludf.DUMMYFUNCTION("""COMPUTED_VALUE"""),"NORTH")</f>
        <v>NORTH</v>
      </c>
      <c r="B2205" s="115" t="str">
        <f>IFERROR(__xludf.DUMMYFUNCTION("""COMPUTED_VALUE"""),"Loveleen Singh")</f>
        <v>Loveleen Singh</v>
      </c>
      <c r="C2205" s="115" t="str">
        <f>IFERROR(__xludf.DUMMYFUNCTION("""COMPUTED_VALUE"""),"FLIPKART")</f>
        <v>FLIPKART</v>
      </c>
      <c r="D2205" s="115">
        <f>IFERROR(__xludf.DUMMYFUNCTION("""COMPUTED_VALUE"""),36456.0)</f>
        <v>36456</v>
      </c>
      <c r="E2205" s="115">
        <f>IFERROR(__xludf.DUMMYFUNCTION("""COMPUTED_VALUE"""),2376.0)</f>
        <v>2376</v>
      </c>
      <c r="F2205" s="115">
        <f>IFERROR(__xludf.DUMMYFUNCTION("""COMPUTED_VALUE"""),1335.0)</f>
        <v>1335</v>
      </c>
      <c r="G2205" s="115">
        <f>IFERROR(__xludf.DUMMYFUNCTION("""COMPUTED_VALUE"""),36.0)</f>
        <v>36</v>
      </c>
      <c r="H2205" s="116">
        <f>IFERROR(__xludf.DUMMYFUNCTION("""COMPUTED_VALUE"""),45905.0)</f>
        <v>45905</v>
      </c>
      <c r="I2205" s="115" t="str">
        <f>IFERROR(__xludf.DUMMYFUNCTION("""COMPUTED_VALUE"""),"09")</f>
        <v>09</v>
      </c>
      <c r="J2205" s="115" t="str">
        <f>IFERROR(__xludf.DUMMYFUNCTION("""COMPUTED_VALUE"""),"Loveleen Singh2025-09-0509")</f>
        <v>Loveleen Singh2025-09-0509</v>
      </c>
      <c r="K2205" s="115">
        <f>IFERROR(__xludf.DUMMYFUNCTION("""COMPUTED_VALUE"""),38832.0)</f>
        <v>38832</v>
      </c>
    </row>
    <row r="2206">
      <c r="A2206" s="115" t="str">
        <f>IFERROR(__xludf.DUMMYFUNCTION("""COMPUTED_VALUE"""),"NORTH")</f>
        <v>NORTH</v>
      </c>
      <c r="B2206" s="115" t="str">
        <f>IFERROR(__xludf.DUMMYFUNCTION("""COMPUTED_VALUE"""),"Loveleen Singh")</f>
        <v>Loveleen Singh</v>
      </c>
      <c r="C2206" s="115" t="str">
        <f>IFERROR(__xludf.DUMMYFUNCTION("""COMPUTED_VALUE"""),"MYNTRA")</f>
        <v>MYNTRA</v>
      </c>
      <c r="D2206" s="115">
        <f>IFERROR(__xludf.DUMMYFUNCTION("""COMPUTED_VALUE"""),6607.0)</f>
        <v>6607</v>
      </c>
      <c r="E2206" s="115">
        <f>IFERROR(__xludf.DUMMYFUNCTION("""COMPUTED_VALUE"""),1057.0)</f>
        <v>1057</v>
      </c>
      <c r="F2206" s="115">
        <f>IFERROR(__xludf.DUMMYFUNCTION("""COMPUTED_VALUE"""),285.0)</f>
        <v>285</v>
      </c>
      <c r="G2206" s="115">
        <f>IFERROR(__xludf.DUMMYFUNCTION("""COMPUTED_VALUE"""),14.0)</f>
        <v>14</v>
      </c>
      <c r="H2206" s="116">
        <f>IFERROR(__xludf.DUMMYFUNCTION("""COMPUTED_VALUE"""),45905.0)</f>
        <v>45905</v>
      </c>
      <c r="I2206" s="115" t="str">
        <f>IFERROR(__xludf.DUMMYFUNCTION("""COMPUTED_VALUE"""),"09")</f>
        <v>09</v>
      </c>
      <c r="J2206" s="115" t="str">
        <f>IFERROR(__xludf.DUMMYFUNCTION("""COMPUTED_VALUE"""),"Loveleen Singh2025-09-0509")</f>
        <v>Loveleen Singh2025-09-0509</v>
      </c>
      <c r="K2206" s="115">
        <f>IFERROR(__xludf.DUMMYFUNCTION("""COMPUTED_VALUE"""),7664.0)</f>
        <v>7664</v>
      </c>
    </row>
    <row r="2207">
      <c r="A2207" s="115" t="str">
        <f>IFERROR(__xludf.DUMMYFUNCTION("""COMPUTED_VALUE"""),"NORTH")</f>
        <v>NORTH</v>
      </c>
      <c r="B2207" s="115" t="str">
        <f>IFERROR(__xludf.DUMMYFUNCTION("""COMPUTED_VALUE"""),"Manoj Harsh")</f>
        <v>Manoj Harsh</v>
      </c>
      <c r="C2207" s="115" t="str">
        <f>IFERROR(__xludf.DUMMYFUNCTION("""COMPUTED_VALUE"""),"EXTERNAL")</f>
        <v>EXTERNAL</v>
      </c>
      <c r="D2207" s="115">
        <f>IFERROR(__xludf.DUMMYFUNCTION("""COMPUTED_VALUE"""),7162.0)</f>
        <v>7162</v>
      </c>
      <c r="E2207" s="115">
        <f>IFERROR(__xludf.DUMMYFUNCTION("""COMPUTED_VALUE"""),551.0)</f>
        <v>551</v>
      </c>
      <c r="F2207" s="115">
        <f>IFERROR(__xludf.DUMMYFUNCTION("""COMPUTED_VALUE"""),86.0)</f>
        <v>86</v>
      </c>
      <c r="G2207" s="115">
        <f>IFERROR(__xludf.DUMMYFUNCTION("""COMPUTED_VALUE"""),6.0)</f>
        <v>6</v>
      </c>
      <c r="H2207" s="116">
        <f>IFERROR(__xludf.DUMMYFUNCTION("""COMPUTED_VALUE"""),45905.0)</f>
        <v>45905</v>
      </c>
      <c r="I2207" s="115" t="str">
        <f>IFERROR(__xludf.DUMMYFUNCTION("""COMPUTED_VALUE"""),"09")</f>
        <v>09</v>
      </c>
      <c r="J2207" s="115" t="str">
        <f>IFERROR(__xludf.DUMMYFUNCTION("""COMPUTED_VALUE"""),"Manoj Harsh2025-09-0509")</f>
        <v>Manoj Harsh2025-09-0509</v>
      </c>
      <c r="K2207" s="115">
        <f>IFERROR(__xludf.DUMMYFUNCTION("""COMPUTED_VALUE"""),7713.0)</f>
        <v>7713</v>
      </c>
    </row>
    <row r="2208">
      <c r="A2208" s="115" t="str">
        <f>IFERROR(__xludf.DUMMYFUNCTION("""COMPUTED_VALUE"""),"NORTH")</f>
        <v>NORTH</v>
      </c>
      <c r="B2208" s="115" t="str">
        <f>IFERROR(__xludf.DUMMYFUNCTION("""COMPUTED_VALUE"""),"Manoj Harsh")</f>
        <v>Manoj Harsh</v>
      </c>
      <c r="C2208" s="115" t="str">
        <f>IFERROR(__xludf.DUMMYFUNCTION("""COMPUTED_VALUE"""),"FLIPKART")</f>
        <v>FLIPKART</v>
      </c>
      <c r="D2208" s="115">
        <f>IFERROR(__xludf.DUMMYFUNCTION("""COMPUTED_VALUE"""),103531.0)</f>
        <v>103531</v>
      </c>
      <c r="E2208" s="115">
        <f>IFERROR(__xludf.DUMMYFUNCTION("""COMPUTED_VALUE"""),8988.0)</f>
        <v>8988</v>
      </c>
      <c r="F2208" s="115">
        <f>IFERROR(__xludf.DUMMYFUNCTION("""COMPUTED_VALUE"""),2341.0)</f>
        <v>2341</v>
      </c>
      <c r="G2208" s="115">
        <f>IFERROR(__xludf.DUMMYFUNCTION("""COMPUTED_VALUE"""),118.0)</f>
        <v>118</v>
      </c>
      <c r="H2208" s="116">
        <f>IFERROR(__xludf.DUMMYFUNCTION("""COMPUTED_VALUE"""),45905.0)</f>
        <v>45905</v>
      </c>
      <c r="I2208" s="115" t="str">
        <f>IFERROR(__xludf.DUMMYFUNCTION("""COMPUTED_VALUE"""),"09")</f>
        <v>09</v>
      </c>
      <c r="J2208" s="115" t="str">
        <f>IFERROR(__xludf.DUMMYFUNCTION("""COMPUTED_VALUE"""),"Manoj Harsh2025-09-0509")</f>
        <v>Manoj Harsh2025-09-0509</v>
      </c>
      <c r="K2208" s="115">
        <f>IFERROR(__xludf.DUMMYFUNCTION("""COMPUTED_VALUE"""),112519.0)</f>
        <v>112519</v>
      </c>
    </row>
    <row r="2209">
      <c r="A2209" s="115" t="str">
        <f>IFERROR(__xludf.DUMMYFUNCTION("""COMPUTED_VALUE"""),"NORTH")</f>
        <v>NORTH</v>
      </c>
      <c r="B2209" s="115" t="str">
        <f>IFERROR(__xludf.DUMMYFUNCTION("""COMPUTED_VALUE"""),"Manoj Harsh")</f>
        <v>Manoj Harsh</v>
      </c>
      <c r="C2209" s="115" t="str">
        <f>IFERROR(__xludf.DUMMYFUNCTION("""COMPUTED_VALUE"""),"MYNTRA")</f>
        <v>MYNTRA</v>
      </c>
      <c r="D2209" s="115">
        <f>IFERROR(__xludf.DUMMYFUNCTION("""COMPUTED_VALUE"""),10066.0)</f>
        <v>10066</v>
      </c>
      <c r="E2209" s="115">
        <f>IFERROR(__xludf.DUMMYFUNCTION("""COMPUTED_VALUE"""),1942.0)</f>
        <v>1942</v>
      </c>
      <c r="F2209" s="115">
        <f>IFERROR(__xludf.DUMMYFUNCTION("""COMPUTED_VALUE"""),222.0)</f>
        <v>222</v>
      </c>
      <c r="G2209" s="115">
        <f>IFERROR(__xludf.DUMMYFUNCTION("""COMPUTED_VALUE"""),29.0)</f>
        <v>29</v>
      </c>
      <c r="H2209" s="116">
        <f>IFERROR(__xludf.DUMMYFUNCTION("""COMPUTED_VALUE"""),45905.0)</f>
        <v>45905</v>
      </c>
      <c r="I2209" s="115" t="str">
        <f>IFERROR(__xludf.DUMMYFUNCTION("""COMPUTED_VALUE"""),"09")</f>
        <v>09</v>
      </c>
      <c r="J2209" s="115" t="str">
        <f>IFERROR(__xludf.DUMMYFUNCTION("""COMPUTED_VALUE"""),"Manoj Harsh2025-09-0509")</f>
        <v>Manoj Harsh2025-09-0509</v>
      </c>
      <c r="K2209" s="115">
        <f>IFERROR(__xludf.DUMMYFUNCTION("""COMPUTED_VALUE"""),12008.0)</f>
        <v>12008</v>
      </c>
    </row>
    <row r="2210">
      <c r="A2210" s="115" t="str">
        <f>IFERROR(__xludf.DUMMYFUNCTION("""COMPUTED_VALUE"""),"NORTH")</f>
        <v>NORTH</v>
      </c>
      <c r="B2210" s="115" t="str">
        <f>IFERROR(__xludf.DUMMYFUNCTION("""COMPUTED_VALUE"""),"Pradeep Kothari")</f>
        <v>Pradeep Kothari</v>
      </c>
      <c r="C2210" s="115" t="str">
        <f>IFERROR(__xludf.DUMMYFUNCTION("""COMPUTED_VALUE"""),"EXTERNAL")</f>
        <v>EXTERNAL</v>
      </c>
      <c r="D2210" s="115">
        <f>IFERROR(__xludf.DUMMYFUNCTION("""COMPUTED_VALUE"""),4888.0)</f>
        <v>4888</v>
      </c>
      <c r="E2210" s="115">
        <f>IFERROR(__xludf.DUMMYFUNCTION("""COMPUTED_VALUE"""),439.0)</f>
        <v>439</v>
      </c>
      <c r="F2210" s="115">
        <f>IFERROR(__xludf.DUMMYFUNCTION("""COMPUTED_VALUE"""),78.0)</f>
        <v>78</v>
      </c>
      <c r="G2210" s="115">
        <f>IFERROR(__xludf.DUMMYFUNCTION("""COMPUTED_VALUE"""),10.0)</f>
        <v>10</v>
      </c>
      <c r="H2210" s="116">
        <f>IFERROR(__xludf.DUMMYFUNCTION("""COMPUTED_VALUE"""),45905.0)</f>
        <v>45905</v>
      </c>
      <c r="I2210" s="115" t="str">
        <f>IFERROR(__xludf.DUMMYFUNCTION("""COMPUTED_VALUE"""),"09")</f>
        <v>09</v>
      </c>
      <c r="J2210" s="115" t="str">
        <f>IFERROR(__xludf.DUMMYFUNCTION("""COMPUTED_VALUE"""),"Pradeep Kothari2025-09-0509")</f>
        <v>Pradeep Kothari2025-09-0509</v>
      </c>
      <c r="K2210" s="115">
        <f>IFERROR(__xludf.DUMMYFUNCTION("""COMPUTED_VALUE"""),5327.0)</f>
        <v>5327</v>
      </c>
    </row>
    <row r="2211">
      <c r="A2211" s="115" t="str">
        <f>IFERROR(__xludf.DUMMYFUNCTION("""COMPUTED_VALUE"""),"NORTH")</f>
        <v>NORTH</v>
      </c>
      <c r="B2211" s="115" t="str">
        <f>IFERROR(__xludf.DUMMYFUNCTION("""COMPUTED_VALUE"""),"Pradeep Kothari")</f>
        <v>Pradeep Kothari</v>
      </c>
      <c r="C2211" s="115" t="str">
        <f>IFERROR(__xludf.DUMMYFUNCTION("""COMPUTED_VALUE"""),"FLIPKART")</f>
        <v>FLIPKART</v>
      </c>
      <c r="D2211" s="115">
        <f>IFERROR(__xludf.DUMMYFUNCTION("""COMPUTED_VALUE"""),38158.0)</f>
        <v>38158</v>
      </c>
      <c r="E2211" s="115">
        <f>IFERROR(__xludf.DUMMYFUNCTION("""COMPUTED_VALUE"""),4202.0)</f>
        <v>4202</v>
      </c>
      <c r="F2211" s="115">
        <f>IFERROR(__xludf.DUMMYFUNCTION("""COMPUTED_VALUE"""),1320.0)</f>
        <v>1320</v>
      </c>
      <c r="G2211" s="115">
        <f>IFERROR(__xludf.DUMMYFUNCTION("""COMPUTED_VALUE"""),74.0)</f>
        <v>74</v>
      </c>
      <c r="H2211" s="116">
        <f>IFERROR(__xludf.DUMMYFUNCTION("""COMPUTED_VALUE"""),45905.0)</f>
        <v>45905</v>
      </c>
      <c r="I2211" s="115" t="str">
        <f>IFERROR(__xludf.DUMMYFUNCTION("""COMPUTED_VALUE"""),"09")</f>
        <v>09</v>
      </c>
      <c r="J2211" s="115" t="str">
        <f>IFERROR(__xludf.DUMMYFUNCTION("""COMPUTED_VALUE"""),"Pradeep Kothari2025-09-0509")</f>
        <v>Pradeep Kothari2025-09-0509</v>
      </c>
      <c r="K2211" s="115">
        <f>IFERROR(__xludf.DUMMYFUNCTION("""COMPUTED_VALUE"""),42360.0)</f>
        <v>42360</v>
      </c>
    </row>
    <row r="2212">
      <c r="A2212" s="115" t="str">
        <f>IFERROR(__xludf.DUMMYFUNCTION("""COMPUTED_VALUE"""),"NORTH")</f>
        <v>NORTH</v>
      </c>
      <c r="B2212" s="115" t="str">
        <f>IFERROR(__xludf.DUMMYFUNCTION("""COMPUTED_VALUE"""),"Pradeep Kothari")</f>
        <v>Pradeep Kothari</v>
      </c>
      <c r="C2212" s="115" t="str">
        <f>IFERROR(__xludf.DUMMYFUNCTION("""COMPUTED_VALUE"""),"MYNTRA")</f>
        <v>MYNTRA</v>
      </c>
      <c r="D2212" s="115">
        <f>IFERROR(__xludf.DUMMYFUNCTION("""COMPUTED_VALUE"""),7221.0)</f>
        <v>7221</v>
      </c>
      <c r="E2212" s="115">
        <f>IFERROR(__xludf.DUMMYFUNCTION("""COMPUTED_VALUE"""),1559.0)</f>
        <v>1559</v>
      </c>
      <c r="F2212" s="115">
        <f>IFERROR(__xludf.DUMMYFUNCTION("""COMPUTED_VALUE"""),398.0)</f>
        <v>398</v>
      </c>
      <c r="G2212" s="115">
        <f>IFERROR(__xludf.DUMMYFUNCTION("""COMPUTED_VALUE"""),31.0)</f>
        <v>31</v>
      </c>
      <c r="H2212" s="116">
        <f>IFERROR(__xludf.DUMMYFUNCTION("""COMPUTED_VALUE"""),45905.0)</f>
        <v>45905</v>
      </c>
      <c r="I2212" s="115" t="str">
        <f>IFERROR(__xludf.DUMMYFUNCTION("""COMPUTED_VALUE"""),"09")</f>
        <v>09</v>
      </c>
      <c r="J2212" s="115" t="str">
        <f>IFERROR(__xludf.DUMMYFUNCTION("""COMPUTED_VALUE"""),"Pradeep Kothari2025-09-0509")</f>
        <v>Pradeep Kothari2025-09-0509</v>
      </c>
      <c r="K2212" s="115">
        <f>IFERROR(__xludf.DUMMYFUNCTION("""COMPUTED_VALUE"""),8780.0)</f>
        <v>8780</v>
      </c>
    </row>
    <row r="2213">
      <c r="A2213" s="115" t="str">
        <f>IFERROR(__xludf.DUMMYFUNCTION("""COMPUTED_VALUE"""),"SOUTH")</f>
        <v>SOUTH</v>
      </c>
      <c r="B2213" s="115" t="str">
        <f>IFERROR(__xludf.DUMMYFUNCTION("""COMPUTED_VALUE"""),"Kandula Sampath")</f>
        <v>Kandula Sampath</v>
      </c>
      <c r="C2213" s="115" t="str">
        <f>IFERROR(__xludf.DUMMYFUNCTION("""COMPUTED_VALUE"""),"EXTERNAL")</f>
        <v>EXTERNAL</v>
      </c>
      <c r="D2213" s="115">
        <f>IFERROR(__xludf.DUMMYFUNCTION("""COMPUTED_VALUE"""),14761.0)</f>
        <v>14761</v>
      </c>
      <c r="E2213" s="115">
        <f>IFERROR(__xludf.DUMMYFUNCTION("""COMPUTED_VALUE"""),1094.0)</f>
        <v>1094</v>
      </c>
      <c r="F2213" s="115">
        <f>IFERROR(__xludf.DUMMYFUNCTION("""COMPUTED_VALUE"""),540.0)</f>
        <v>540</v>
      </c>
      <c r="G2213" s="115">
        <f>IFERROR(__xludf.DUMMYFUNCTION("""COMPUTED_VALUE"""),4.0)</f>
        <v>4</v>
      </c>
      <c r="H2213" s="116">
        <f>IFERROR(__xludf.DUMMYFUNCTION("""COMPUTED_VALUE"""),45905.0)</f>
        <v>45905</v>
      </c>
      <c r="I2213" s="115" t="str">
        <f>IFERROR(__xludf.DUMMYFUNCTION("""COMPUTED_VALUE"""),"09")</f>
        <v>09</v>
      </c>
      <c r="J2213" s="115" t="str">
        <f>IFERROR(__xludf.DUMMYFUNCTION("""COMPUTED_VALUE"""),"Kandula Sampath2025-09-0509")</f>
        <v>Kandula Sampath2025-09-0509</v>
      </c>
      <c r="K2213" s="115">
        <f>IFERROR(__xludf.DUMMYFUNCTION("""COMPUTED_VALUE"""),15855.0)</f>
        <v>15855</v>
      </c>
    </row>
    <row r="2214">
      <c r="A2214" s="115" t="str">
        <f>IFERROR(__xludf.DUMMYFUNCTION("""COMPUTED_VALUE"""),"SOUTH")</f>
        <v>SOUTH</v>
      </c>
      <c r="B2214" s="115" t="str">
        <f>IFERROR(__xludf.DUMMYFUNCTION("""COMPUTED_VALUE"""),"Kandula Sampath")</f>
        <v>Kandula Sampath</v>
      </c>
      <c r="C2214" s="115" t="str">
        <f>IFERROR(__xludf.DUMMYFUNCTION("""COMPUTED_VALUE"""),"FLIPKART")</f>
        <v>FLIPKART</v>
      </c>
      <c r="D2214" s="115">
        <f>IFERROR(__xludf.DUMMYFUNCTION("""COMPUTED_VALUE"""),138777.0)</f>
        <v>138777</v>
      </c>
      <c r="E2214" s="115">
        <f>IFERROR(__xludf.DUMMYFUNCTION("""COMPUTED_VALUE"""),10105.0)</f>
        <v>10105</v>
      </c>
      <c r="F2214" s="115">
        <f>IFERROR(__xludf.DUMMYFUNCTION("""COMPUTED_VALUE"""),9526.0)</f>
        <v>9526</v>
      </c>
      <c r="G2214" s="115">
        <f>IFERROR(__xludf.DUMMYFUNCTION("""COMPUTED_VALUE"""),167.0)</f>
        <v>167</v>
      </c>
      <c r="H2214" s="116">
        <f>IFERROR(__xludf.DUMMYFUNCTION("""COMPUTED_VALUE"""),45905.0)</f>
        <v>45905</v>
      </c>
      <c r="I2214" s="115" t="str">
        <f>IFERROR(__xludf.DUMMYFUNCTION("""COMPUTED_VALUE"""),"09")</f>
        <v>09</v>
      </c>
      <c r="J2214" s="115" t="str">
        <f>IFERROR(__xludf.DUMMYFUNCTION("""COMPUTED_VALUE"""),"Kandula Sampath2025-09-0509")</f>
        <v>Kandula Sampath2025-09-0509</v>
      </c>
      <c r="K2214" s="115">
        <f>IFERROR(__xludf.DUMMYFUNCTION("""COMPUTED_VALUE"""),148882.0)</f>
        <v>148882</v>
      </c>
    </row>
    <row r="2215">
      <c r="A2215" s="115" t="str">
        <f>IFERROR(__xludf.DUMMYFUNCTION("""COMPUTED_VALUE"""),"SOUTH")</f>
        <v>SOUTH</v>
      </c>
      <c r="B2215" s="115" t="str">
        <f>IFERROR(__xludf.DUMMYFUNCTION("""COMPUTED_VALUE"""),"Kandula Sampath")</f>
        <v>Kandula Sampath</v>
      </c>
      <c r="C2215" s="115" t="str">
        <f>IFERROR(__xludf.DUMMYFUNCTION("""COMPUTED_VALUE"""),"MYNTRA")</f>
        <v>MYNTRA</v>
      </c>
      <c r="D2215" s="115">
        <f>IFERROR(__xludf.DUMMYFUNCTION("""COMPUTED_VALUE"""),17172.0)</f>
        <v>17172</v>
      </c>
      <c r="E2215" s="115">
        <f>IFERROR(__xludf.DUMMYFUNCTION("""COMPUTED_VALUE"""),2607.0)</f>
        <v>2607</v>
      </c>
      <c r="F2215" s="115">
        <f>IFERROR(__xludf.DUMMYFUNCTION("""COMPUTED_VALUE"""),1446.0)</f>
        <v>1446</v>
      </c>
      <c r="G2215" s="115">
        <f>IFERROR(__xludf.DUMMYFUNCTION("""COMPUTED_VALUE"""),26.0)</f>
        <v>26</v>
      </c>
      <c r="H2215" s="116">
        <f>IFERROR(__xludf.DUMMYFUNCTION("""COMPUTED_VALUE"""),45905.0)</f>
        <v>45905</v>
      </c>
      <c r="I2215" s="115" t="str">
        <f>IFERROR(__xludf.DUMMYFUNCTION("""COMPUTED_VALUE"""),"09")</f>
        <v>09</v>
      </c>
      <c r="J2215" s="115" t="str">
        <f>IFERROR(__xludf.DUMMYFUNCTION("""COMPUTED_VALUE"""),"Kandula Sampath2025-09-0509")</f>
        <v>Kandula Sampath2025-09-0509</v>
      </c>
      <c r="K2215" s="115">
        <f>IFERROR(__xludf.DUMMYFUNCTION("""COMPUTED_VALUE"""),19779.0)</f>
        <v>19779</v>
      </c>
    </row>
    <row r="2216">
      <c r="A2216" s="115" t="str">
        <f>IFERROR(__xludf.DUMMYFUNCTION("""COMPUTED_VALUE"""),"SOUTH")</f>
        <v>SOUTH</v>
      </c>
      <c r="B2216" s="115" t="str">
        <f>IFERROR(__xludf.DUMMYFUNCTION("""COMPUTED_VALUE"""),"Martin A")</f>
        <v>Martin A</v>
      </c>
      <c r="C2216" s="115" t="str">
        <f>IFERROR(__xludf.DUMMYFUNCTION("""COMPUTED_VALUE"""),"EXTERNAL")</f>
        <v>EXTERNAL</v>
      </c>
      <c r="D2216" s="115">
        <f>IFERROR(__xludf.DUMMYFUNCTION("""COMPUTED_VALUE"""),12870.0)</f>
        <v>12870</v>
      </c>
      <c r="E2216" s="115">
        <f>IFERROR(__xludf.DUMMYFUNCTION("""COMPUTED_VALUE"""),1222.0)</f>
        <v>1222</v>
      </c>
      <c r="F2216" s="115">
        <f>IFERROR(__xludf.DUMMYFUNCTION("""COMPUTED_VALUE"""),307.0)</f>
        <v>307</v>
      </c>
      <c r="G2216" s="115">
        <f>IFERROR(__xludf.DUMMYFUNCTION("""COMPUTED_VALUE"""),28.0)</f>
        <v>28</v>
      </c>
      <c r="H2216" s="116">
        <f>IFERROR(__xludf.DUMMYFUNCTION("""COMPUTED_VALUE"""),45905.0)</f>
        <v>45905</v>
      </c>
      <c r="I2216" s="115" t="str">
        <f>IFERROR(__xludf.DUMMYFUNCTION("""COMPUTED_VALUE"""),"09")</f>
        <v>09</v>
      </c>
      <c r="J2216" s="115" t="str">
        <f>IFERROR(__xludf.DUMMYFUNCTION("""COMPUTED_VALUE"""),"Martin A2025-09-0509")</f>
        <v>Martin A2025-09-0509</v>
      </c>
      <c r="K2216" s="115">
        <f>IFERROR(__xludf.DUMMYFUNCTION("""COMPUTED_VALUE"""),14092.0)</f>
        <v>14092</v>
      </c>
    </row>
    <row r="2217">
      <c r="A2217" s="115" t="str">
        <f>IFERROR(__xludf.DUMMYFUNCTION("""COMPUTED_VALUE"""),"SOUTH")</f>
        <v>SOUTH</v>
      </c>
      <c r="B2217" s="115" t="str">
        <f>IFERROR(__xludf.DUMMYFUNCTION("""COMPUTED_VALUE"""),"Martin A")</f>
        <v>Martin A</v>
      </c>
      <c r="C2217" s="115" t="str">
        <f>IFERROR(__xludf.DUMMYFUNCTION("""COMPUTED_VALUE"""),"FLIPKART")</f>
        <v>FLIPKART</v>
      </c>
      <c r="D2217" s="115">
        <f>IFERROR(__xludf.DUMMYFUNCTION("""COMPUTED_VALUE"""),105294.0)</f>
        <v>105294</v>
      </c>
      <c r="E2217" s="115">
        <f>IFERROR(__xludf.DUMMYFUNCTION("""COMPUTED_VALUE"""),9292.0)</f>
        <v>9292</v>
      </c>
      <c r="F2217" s="115">
        <f>IFERROR(__xludf.DUMMYFUNCTION("""COMPUTED_VALUE"""),4502.0)</f>
        <v>4502</v>
      </c>
      <c r="G2217" s="115">
        <f>IFERROR(__xludf.DUMMYFUNCTION("""COMPUTED_VALUE"""),156.0)</f>
        <v>156</v>
      </c>
      <c r="H2217" s="116">
        <f>IFERROR(__xludf.DUMMYFUNCTION("""COMPUTED_VALUE"""),45905.0)</f>
        <v>45905</v>
      </c>
      <c r="I2217" s="115" t="str">
        <f>IFERROR(__xludf.DUMMYFUNCTION("""COMPUTED_VALUE"""),"09")</f>
        <v>09</v>
      </c>
      <c r="J2217" s="115" t="str">
        <f>IFERROR(__xludf.DUMMYFUNCTION("""COMPUTED_VALUE"""),"Martin A2025-09-0509")</f>
        <v>Martin A2025-09-0509</v>
      </c>
      <c r="K2217" s="115">
        <f>IFERROR(__xludf.DUMMYFUNCTION("""COMPUTED_VALUE"""),114586.0)</f>
        <v>114586</v>
      </c>
    </row>
    <row r="2218">
      <c r="A2218" s="115" t="str">
        <f>IFERROR(__xludf.DUMMYFUNCTION("""COMPUTED_VALUE"""),"SOUTH")</f>
        <v>SOUTH</v>
      </c>
      <c r="B2218" s="115" t="str">
        <f>IFERROR(__xludf.DUMMYFUNCTION("""COMPUTED_VALUE"""),"Martin A")</f>
        <v>Martin A</v>
      </c>
      <c r="C2218" s="115" t="str">
        <f>IFERROR(__xludf.DUMMYFUNCTION("""COMPUTED_VALUE"""),"MYNTRA")</f>
        <v>MYNTRA</v>
      </c>
      <c r="D2218" s="115">
        <f>IFERROR(__xludf.DUMMYFUNCTION("""COMPUTED_VALUE"""),12222.0)</f>
        <v>12222</v>
      </c>
      <c r="E2218" s="115">
        <f>IFERROR(__xludf.DUMMYFUNCTION("""COMPUTED_VALUE"""),2131.0)</f>
        <v>2131</v>
      </c>
      <c r="F2218" s="115">
        <f>IFERROR(__xludf.DUMMYFUNCTION("""COMPUTED_VALUE"""),640.0)</f>
        <v>640</v>
      </c>
      <c r="G2218" s="115">
        <f>IFERROR(__xludf.DUMMYFUNCTION("""COMPUTED_VALUE"""),41.0)</f>
        <v>41</v>
      </c>
      <c r="H2218" s="116">
        <f>IFERROR(__xludf.DUMMYFUNCTION("""COMPUTED_VALUE"""),45905.0)</f>
        <v>45905</v>
      </c>
      <c r="I2218" s="115" t="str">
        <f>IFERROR(__xludf.DUMMYFUNCTION("""COMPUTED_VALUE"""),"09")</f>
        <v>09</v>
      </c>
      <c r="J2218" s="115" t="str">
        <f>IFERROR(__xludf.DUMMYFUNCTION("""COMPUTED_VALUE"""),"Martin A2025-09-0509")</f>
        <v>Martin A2025-09-0509</v>
      </c>
      <c r="K2218" s="115">
        <f>IFERROR(__xludf.DUMMYFUNCTION("""COMPUTED_VALUE"""),14353.0)</f>
        <v>14353</v>
      </c>
    </row>
    <row r="2219">
      <c r="A2219" s="115" t="str">
        <f>IFERROR(__xludf.DUMMYFUNCTION("""COMPUTED_VALUE"""),"SOUTH")</f>
        <v>SOUTH</v>
      </c>
      <c r="B2219" s="115" t="str">
        <f>IFERROR(__xludf.DUMMYFUNCTION("""COMPUTED_VALUE"""),"Premkumar M")</f>
        <v>Premkumar M</v>
      </c>
      <c r="C2219" s="115" t="str">
        <f>IFERROR(__xludf.DUMMYFUNCTION("""COMPUTED_VALUE"""),"EXTERNAL")</f>
        <v>EXTERNAL</v>
      </c>
      <c r="D2219" s="115">
        <f>IFERROR(__xludf.DUMMYFUNCTION("""COMPUTED_VALUE"""),4648.0)</f>
        <v>4648</v>
      </c>
      <c r="E2219" s="115">
        <f>IFERROR(__xludf.DUMMYFUNCTION("""COMPUTED_VALUE"""),156.0)</f>
        <v>156</v>
      </c>
      <c r="F2219" s="115">
        <f>IFERROR(__xludf.DUMMYFUNCTION("""COMPUTED_VALUE"""),73.0)</f>
        <v>73</v>
      </c>
      <c r="G2219" s="115">
        <f>IFERROR(__xludf.DUMMYFUNCTION("""COMPUTED_VALUE"""),0.0)</f>
        <v>0</v>
      </c>
      <c r="H2219" s="116">
        <f>IFERROR(__xludf.DUMMYFUNCTION("""COMPUTED_VALUE"""),45905.0)</f>
        <v>45905</v>
      </c>
      <c r="I2219" s="115" t="str">
        <f>IFERROR(__xludf.DUMMYFUNCTION("""COMPUTED_VALUE"""),"09")</f>
        <v>09</v>
      </c>
      <c r="J2219" s="115" t="str">
        <f>IFERROR(__xludf.DUMMYFUNCTION("""COMPUTED_VALUE"""),"Premkumar M2025-09-0509")</f>
        <v>Premkumar M2025-09-0509</v>
      </c>
      <c r="K2219" s="115">
        <f>IFERROR(__xludf.DUMMYFUNCTION("""COMPUTED_VALUE"""),4804.0)</f>
        <v>4804</v>
      </c>
    </row>
    <row r="2220">
      <c r="A2220" s="115" t="str">
        <f>IFERROR(__xludf.DUMMYFUNCTION("""COMPUTED_VALUE"""),"SOUTH")</f>
        <v>SOUTH</v>
      </c>
      <c r="B2220" s="115" t="str">
        <f>IFERROR(__xludf.DUMMYFUNCTION("""COMPUTED_VALUE"""),"Premkumar M")</f>
        <v>Premkumar M</v>
      </c>
      <c r="C2220" s="115" t="str">
        <f>IFERROR(__xludf.DUMMYFUNCTION("""COMPUTED_VALUE"""),"FLIPKART")</f>
        <v>FLIPKART</v>
      </c>
      <c r="D2220" s="115">
        <f>IFERROR(__xludf.DUMMYFUNCTION("""COMPUTED_VALUE"""),45561.0)</f>
        <v>45561</v>
      </c>
      <c r="E2220" s="115">
        <f>IFERROR(__xludf.DUMMYFUNCTION("""COMPUTED_VALUE"""),2363.0)</f>
        <v>2363</v>
      </c>
      <c r="F2220" s="115">
        <f>IFERROR(__xludf.DUMMYFUNCTION("""COMPUTED_VALUE"""),1183.0)</f>
        <v>1183</v>
      </c>
      <c r="G2220" s="115">
        <f>IFERROR(__xludf.DUMMYFUNCTION("""COMPUTED_VALUE"""),25.0)</f>
        <v>25</v>
      </c>
      <c r="H2220" s="116">
        <f>IFERROR(__xludf.DUMMYFUNCTION("""COMPUTED_VALUE"""),45905.0)</f>
        <v>45905</v>
      </c>
      <c r="I2220" s="115" t="str">
        <f>IFERROR(__xludf.DUMMYFUNCTION("""COMPUTED_VALUE"""),"09")</f>
        <v>09</v>
      </c>
      <c r="J2220" s="115" t="str">
        <f>IFERROR(__xludf.DUMMYFUNCTION("""COMPUTED_VALUE"""),"Premkumar M2025-09-0509")</f>
        <v>Premkumar M2025-09-0509</v>
      </c>
      <c r="K2220" s="115">
        <f>IFERROR(__xludf.DUMMYFUNCTION("""COMPUTED_VALUE"""),47924.0)</f>
        <v>47924</v>
      </c>
    </row>
    <row r="2221">
      <c r="A2221" s="115" t="str">
        <f>IFERROR(__xludf.DUMMYFUNCTION("""COMPUTED_VALUE"""),"SOUTH")</f>
        <v>SOUTH</v>
      </c>
      <c r="B2221" s="115" t="str">
        <f>IFERROR(__xludf.DUMMYFUNCTION("""COMPUTED_VALUE"""),"Premkumar M")</f>
        <v>Premkumar M</v>
      </c>
      <c r="C2221" s="115" t="str">
        <f>IFERROR(__xludf.DUMMYFUNCTION("""COMPUTED_VALUE"""),"MYNTRA")</f>
        <v>MYNTRA</v>
      </c>
      <c r="D2221" s="115">
        <f>IFERROR(__xludf.DUMMYFUNCTION("""COMPUTED_VALUE"""),2961.0)</f>
        <v>2961</v>
      </c>
      <c r="E2221" s="115">
        <f>IFERROR(__xludf.DUMMYFUNCTION("""COMPUTED_VALUE"""),439.0)</f>
        <v>439</v>
      </c>
      <c r="F2221" s="115">
        <f>IFERROR(__xludf.DUMMYFUNCTION("""COMPUTED_VALUE"""),84.0)</f>
        <v>84</v>
      </c>
      <c r="G2221" s="115">
        <f>IFERROR(__xludf.DUMMYFUNCTION("""COMPUTED_VALUE"""),3.0)</f>
        <v>3</v>
      </c>
      <c r="H2221" s="116">
        <f>IFERROR(__xludf.DUMMYFUNCTION("""COMPUTED_VALUE"""),45905.0)</f>
        <v>45905</v>
      </c>
      <c r="I2221" s="115" t="str">
        <f>IFERROR(__xludf.DUMMYFUNCTION("""COMPUTED_VALUE"""),"09")</f>
        <v>09</v>
      </c>
      <c r="J2221" s="115" t="str">
        <f>IFERROR(__xludf.DUMMYFUNCTION("""COMPUTED_VALUE"""),"Premkumar M2025-09-0509")</f>
        <v>Premkumar M2025-09-0509</v>
      </c>
      <c r="K2221" s="115">
        <f>IFERROR(__xludf.DUMMYFUNCTION("""COMPUTED_VALUE"""),3400.0)</f>
        <v>3400</v>
      </c>
    </row>
    <row r="2222">
      <c r="A2222" s="115" t="str">
        <f>IFERROR(__xludf.DUMMYFUNCTION("""COMPUTED_VALUE"""),"SOUTH")</f>
        <v>SOUTH</v>
      </c>
      <c r="B2222" s="115" t="str">
        <f>IFERROR(__xludf.DUMMYFUNCTION("""COMPUTED_VALUE"""),"Vineeth V")</f>
        <v>Vineeth V</v>
      </c>
      <c r="C2222" s="115" t="str">
        <f>IFERROR(__xludf.DUMMYFUNCTION("""COMPUTED_VALUE"""),"EXTERNAL")</f>
        <v>EXTERNAL</v>
      </c>
      <c r="D2222" s="115">
        <f>IFERROR(__xludf.DUMMYFUNCTION("""COMPUTED_VALUE"""),593.0)</f>
        <v>593</v>
      </c>
      <c r="E2222" s="115">
        <f>IFERROR(__xludf.DUMMYFUNCTION("""COMPUTED_VALUE"""),27.0)</f>
        <v>27</v>
      </c>
      <c r="F2222" s="115">
        <f>IFERROR(__xludf.DUMMYFUNCTION("""COMPUTED_VALUE"""),25.0)</f>
        <v>25</v>
      </c>
      <c r="G2222" s="115">
        <f>IFERROR(__xludf.DUMMYFUNCTION("""COMPUTED_VALUE"""),0.0)</f>
        <v>0</v>
      </c>
      <c r="H2222" s="116">
        <f>IFERROR(__xludf.DUMMYFUNCTION("""COMPUTED_VALUE"""),45905.0)</f>
        <v>45905</v>
      </c>
      <c r="I2222" s="115" t="str">
        <f>IFERROR(__xludf.DUMMYFUNCTION("""COMPUTED_VALUE"""),"09")</f>
        <v>09</v>
      </c>
      <c r="J2222" s="115" t="str">
        <f>IFERROR(__xludf.DUMMYFUNCTION("""COMPUTED_VALUE"""),"Vineeth V2025-09-0509")</f>
        <v>Vineeth V2025-09-0509</v>
      </c>
      <c r="K2222" s="115">
        <f>IFERROR(__xludf.DUMMYFUNCTION("""COMPUTED_VALUE"""),620.0)</f>
        <v>620</v>
      </c>
    </row>
    <row r="2223">
      <c r="A2223" s="115" t="str">
        <f>IFERROR(__xludf.DUMMYFUNCTION("""COMPUTED_VALUE"""),"SOUTH")</f>
        <v>SOUTH</v>
      </c>
      <c r="B2223" s="115" t="str">
        <f>IFERROR(__xludf.DUMMYFUNCTION("""COMPUTED_VALUE"""),"Vineeth V")</f>
        <v>Vineeth V</v>
      </c>
      <c r="C2223" s="115" t="str">
        <f>IFERROR(__xludf.DUMMYFUNCTION("""COMPUTED_VALUE"""),"FLIPKART")</f>
        <v>FLIPKART</v>
      </c>
      <c r="D2223" s="115">
        <f>IFERROR(__xludf.DUMMYFUNCTION("""COMPUTED_VALUE"""),4194.0)</f>
        <v>4194</v>
      </c>
      <c r="E2223" s="115">
        <f>IFERROR(__xludf.DUMMYFUNCTION("""COMPUTED_VALUE"""),427.0)</f>
        <v>427</v>
      </c>
      <c r="F2223" s="115">
        <f>IFERROR(__xludf.DUMMYFUNCTION("""COMPUTED_VALUE"""),347.0)</f>
        <v>347</v>
      </c>
      <c r="G2223" s="115">
        <f>IFERROR(__xludf.DUMMYFUNCTION("""COMPUTED_VALUE"""),22.0)</f>
        <v>22</v>
      </c>
      <c r="H2223" s="116">
        <f>IFERROR(__xludf.DUMMYFUNCTION("""COMPUTED_VALUE"""),45905.0)</f>
        <v>45905</v>
      </c>
      <c r="I2223" s="115" t="str">
        <f>IFERROR(__xludf.DUMMYFUNCTION("""COMPUTED_VALUE"""),"09")</f>
        <v>09</v>
      </c>
      <c r="J2223" s="115" t="str">
        <f>IFERROR(__xludf.DUMMYFUNCTION("""COMPUTED_VALUE"""),"Vineeth V2025-09-0509")</f>
        <v>Vineeth V2025-09-0509</v>
      </c>
      <c r="K2223" s="115">
        <f>IFERROR(__xludf.DUMMYFUNCTION("""COMPUTED_VALUE"""),4621.0)</f>
        <v>4621</v>
      </c>
    </row>
    <row r="2224">
      <c r="A2224" s="115" t="str">
        <f>IFERROR(__xludf.DUMMYFUNCTION("""COMPUTED_VALUE"""),"SOUTH")</f>
        <v>SOUTH</v>
      </c>
      <c r="B2224" s="115" t="str">
        <f>IFERROR(__xludf.DUMMYFUNCTION("""COMPUTED_VALUE"""),"Vineeth V")</f>
        <v>Vineeth V</v>
      </c>
      <c r="C2224" s="115" t="str">
        <f>IFERROR(__xludf.DUMMYFUNCTION("""COMPUTED_VALUE"""),"MYNTRA")</f>
        <v>MYNTRA</v>
      </c>
      <c r="D2224" s="115">
        <f>IFERROR(__xludf.DUMMYFUNCTION("""COMPUTED_VALUE"""),719.0)</f>
        <v>719</v>
      </c>
      <c r="E2224" s="115">
        <f>IFERROR(__xludf.DUMMYFUNCTION("""COMPUTED_VALUE"""),102.0)</f>
        <v>102</v>
      </c>
      <c r="F2224" s="115">
        <f>IFERROR(__xludf.DUMMYFUNCTION("""COMPUTED_VALUE"""),58.0)</f>
        <v>58</v>
      </c>
      <c r="G2224" s="115">
        <f>IFERROR(__xludf.DUMMYFUNCTION("""COMPUTED_VALUE"""),5.0)</f>
        <v>5</v>
      </c>
      <c r="H2224" s="116">
        <f>IFERROR(__xludf.DUMMYFUNCTION("""COMPUTED_VALUE"""),45905.0)</f>
        <v>45905</v>
      </c>
      <c r="I2224" s="115" t="str">
        <f>IFERROR(__xludf.DUMMYFUNCTION("""COMPUTED_VALUE"""),"09")</f>
        <v>09</v>
      </c>
      <c r="J2224" s="115" t="str">
        <f>IFERROR(__xludf.DUMMYFUNCTION("""COMPUTED_VALUE"""),"Vineeth V2025-09-0509")</f>
        <v>Vineeth V2025-09-0509</v>
      </c>
      <c r="K2224" s="115">
        <f>IFERROR(__xludf.DUMMYFUNCTION("""COMPUTED_VALUE"""),821.0)</f>
        <v>821</v>
      </c>
    </row>
    <row r="2225">
      <c r="A2225" s="115" t="str">
        <f>IFERROR(__xludf.DUMMYFUNCTION("""COMPUTED_VALUE"""),"WEST")</f>
        <v>WEST</v>
      </c>
      <c r="B2225" s="115" t="str">
        <f>IFERROR(__xludf.DUMMYFUNCTION("""COMPUTED_VALUE"""),"Ashish Jakar")</f>
        <v>Ashish Jakar</v>
      </c>
      <c r="C2225" s="115" t="str">
        <f>IFERROR(__xludf.DUMMYFUNCTION("""COMPUTED_VALUE"""),"EXTERNAL")</f>
        <v>EXTERNAL</v>
      </c>
      <c r="D2225" s="115">
        <f>IFERROR(__xludf.DUMMYFUNCTION("""COMPUTED_VALUE"""),12865.0)</f>
        <v>12865</v>
      </c>
      <c r="E2225" s="115">
        <f>IFERROR(__xludf.DUMMYFUNCTION("""COMPUTED_VALUE"""),1632.0)</f>
        <v>1632</v>
      </c>
      <c r="F2225" s="115">
        <f>IFERROR(__xludf.DUMMYFUNCTION("""COMPUTED_VALUE"""),473.0)</f>
        <v>473</v>
      </c>
      <c r="G2225" s="115">
        <f>IFERROR(__xludf.DUMMYFUNCTION("""COMPUTED_VALUE"""),14.0)</f>
        <v>14</v>
      </c>
      <c r="H2225" s="116">
        <f>IFERROR(__xludf.DUMMYFUNCTION("""COMPUTED_VALUE"""),45905.0)</f>
        <v>45905</v>
      </c>
      <c r="I2225" s="115" t="str">
        <f>IFERROR(__xludf.DUMMYFUNCTION("""COMPUTED_VALUE"""),"09")</f>
        <v>09</v>
      </c>
      <c r="J2225" s="115" t="str">
        <f>IFERROR(__xludf.DUMMYFUNCTION("""COMPUTED_VALUE"""),"Ashish Jakar2025-09-0509")</f>
        <v>Ashish Jakar2025-09-0509</v>
      </c>
      <c r="K2225" s="115">
        <f>IFERROR(__xludf.DUMMYFUNCTION("""COMPUTED_VALUE"""),14497.0)</f>
        <v>14497</v>
      </c>
    </row>
    <row r="2226">
      <c r="A2226" s="115" t="str">
        <f>IFERROR(__xludf.DUMMYFUNCTION("""COMPUTED_VALUE"""),"WEST")</f>
        <v>WEST</v>
      </c>
      <c r="B2226" s="115" t="str">
        <f>IFERROR(__xludf.DUMMYFUNCTION("""COMPUTED_VALUE"""),"Ashish Jakar")</f>
        <v>Ashish Jakar</v>
      </c>
      <c r="C2226" s="115" t="str">
        <f>IFERROR(__xludf.DUMMYFUNCTION("""COMPUTED_VALUE"""),"FLIPKART")</f>
        <v>FLIPKART</v>
      </c>
      <c r="D2226" s="115">
        <f>IFERROR(__xludf.DUMMYFUNCTION("""COMPUTED_VALUE"""),78789.0)</f>
        <v>78789</v>
      </c>
      <c r="E2226" s="115">
        <f>IFERROR(__xludf.DUMMYFUNCTION("""COMPUTED_VALUE"""),8548.0)</f>
        <v>8548</v>
      </c>
      <c r="F2226" s="115">
        <f>IFERROR(__xludf.DUMMYFUNCTION("""COMPUTED_VALUE"""),2002.0)</f>
        <v>2002</v>
      </c>
      <c r="G2226" s="115">
        <f>IFERROR(__xludf.DUMMYFUNCTION("""COMPUTED_VALUE"""),85.0)</f>
        <v>85</v>
      </c>
      <c r="H2226" s="116">
        <f>IFERROR(__xludf.DUMMYFUNCTION("""COMPUTED_VALUE"""),45905.0)</f>
        <v>45905</v>
      </c>
      <c r="I2226" s="115" t="str">
        <f>IFERROR(__xludf.DUMMYFUNCTION("""COMPUTED_VALUE"""),"09")</f>
        <v>09</v>
      </c>
      <c r="J2226" s="115" t="str">
        <f>IFERROR(__xludf.DUMMYFUNCTION("""COMPUTED_VALUE"""),"Ashish Jakar2025-09-0509")</f>
        <v>Ashish Jakar2025-09-0509</v>
      </c>
      <c r="K2226" s="115">
        <f>IFERROR(__xludf.DUMMYFUNCTION("""COMPUTED_VALUE"""),87337.0)</f>
        <v>87337</v>
      </c>
    </row>
    <row r="2227">
      <c r="A2227" s="115" t="str">
        <f>IFERROR(__xludf.DUMMYFUNCTION("""COMPUTED_VALUE"""),"WEST")</f>
        <v>WEST</v>
      </c>
      <c r="B2227" s="115" t="str">
        <f>IFERROR(__xludf.DUMMYFUNCTION("""COMPUTED_VALUE"""),"Ashish Jakar")</f>
        <v>Ashish Jakar</v>
      </c>
      <c r="C2227" s="115" t="str">
        <f>IFERROR(__xludf.DUMMYFUNCTION("""COMPUTED_VALUE"""),"MYNTRA")</f>
        <v>MYNTRA</v>
      </c>
      <c r="D2227" s="115">
        <f>IFERROR(__xludf.DUMMYFUNCTION("""COMPUTED_VALUE"""),10877.0)</f>
        <v>10877</v>
      </c>
      <c r="E2227" s="115">
        <f>IFERROR(__xludf.DUMMYFUNCTION("""COMPUTED_VALUE"""),2880.0)</f>
        <v>2880</v>
      </c>
      <c r="F2227" s="115">
        <f>IFERROR(__xludf.DUMMYFUNCTION("""COMPUTED_VALUE"""),349.0)</f>
        <v>349</v>
      </c>
      <c r="G2227" s="115">
        <f>IFERROR(__xludf.DUMMYFUNCTION("""COMPUTED_VALUE"""),20.0)</f>
        <v>20</v>
      </c>
      <c r="H2227" s="116">
        <f>IFERROR(__xludf.DUMMYFUNCTION("""COMPUTED_VALUE"""),45905.0)</f>
        <v>45905</v>
      </c>
      <c r="I2227" s="115" t="str">
        <f>IFERROR(__xludf.DUMMYFUNCTION("""COMPUTED_VALUE"""),"09")</f>
        <v>09</v>
      </c>
      <c r="J2227" s="115" t="str">
        <f>IFERROR(__xludf.DUMMYFUNCTION("""COMPUTED_VALUE"""),"Ashish Jakar2025-09-0509")</f>
        <v>Ashish Jakar2025-09-0509</v>
      </c>
      <c r="K2227" s="115">
        <f>IFERROR(__xludf.DUMMYFUNCTION("""COMPUTED_VALUE"""),13757.0)</f>
        <v>13757</v>
      </c>
    </row>
    <row r="2228">
      <c r="A2228" s="115" t="str">
        <f>IFERROR(__xludf.DUMMYFUNCTION("""COMPUTED_VALUE"""),"WEST")</f>
        <v>WEST</v>
      </c>
      <c r="B2228" s="115" t="str">
        <f>IFERROR(__xludf.DUMMYFUNCTION("""COMPUTED_VALUE"""),"Ashvani Bhatt")</f>
        <v>Ashvani Bhatt</v>
      </c>
      <c r="C2228" s="115" t="str">
        <f>IFERROR(__xludf.DUMMYFUNCTION("""COMPUTED_VALUE"""),"EXTERNAL")</f>
        <v>EXTERNAL</v>
      </c>
      <c r="D2228" s="115">
        <f>IFERROR(__xludf.DUMMYFUNCTION("""COMPUTED_VALUE"""),8763.0)</f>
        <v>8763</v>
      </c>
      <c r="E2228" s="115">
        <f>IFERROR(__xludf.DUMMYFUNCTION("""COMPUTED_VALUE"""),457.0)</f>
        <v>457</v>
      </c>
      <c r="F2228" s="115">
        <f>IFERROR(__xludf.DUMMYFUNCTION("""COMPUTED_VALUE"""),123.0)</f>
        <v>123</v>
      </c>
      <c r="G2228" s="115">
        <f>IFERROR(__xludf.DUMMYFUNCTION("""COMPUTED_VALUE"""),3.0)</f>
        <v>3</v>
      </c>
      <c r="H2228" s="116">
        <f>IFERROR(__xludf.DUMMYFUNCTION("""COMPUTED_VALUE"""),45905.0)</f>
        <v>45905</v>
      </c>
      <c r="I2228" s="115" t="str">
        <f>IFERROR(__xludf.DUMMYFUNCTION("""COMPUTED_VALUE"""),"09")</f>
        <v>09</v>
      </c>
      <c r="J2228" s="115" t="str">
        <f>IFERROR(__xludf.DUMMYFUNCTION("""COMPUTED_VALUE"""),"Ashvani Bhatt2025-09-0509")</f>
        <v>Ashvani Bhatt2025-09-0509</v>
      </c>
      <c r="K2228" s="115">
        <f>IFERROR(__xludf.DUMMYFUNCTION("""COMPUTED_VALUE"""),9220.0)</f>
        <v>9220</v>
      </c>
    </row>
    <row r="2229">
      <c r="A2229" s="115" t="str">
        <f>IFERROR(__xludf.DUMMYFUNCTION("""COMPUTED_VALUE"""),"WEST")</f>
        <v>WEST</v>
      </c>
      <c r="B2229" s="115" t="str">
        <f>IFERROR(__xludf.DUMMYFUNCTION("""COMPUTED_VALUE"""),"Ashvani Bhatt")</f>
        <v>Ashvani Bhatt</v>
      </c>
      <c r="C2229" s="115" t="str">
        <f>IFERROR(__xludf.DUMMYFUNCTION("""COMPUTED_VALUE"""),"FLIPKART")</f>
        <v>FLIPKART</v>
      </c>
      <c r="D2229" s="115">
        <f>IFERROR(__xludf.DUMMYFUNCTION("""COMPUTED_VALUE"""),71347.0)</f>
        <v>71347</v>
      </c>
      <c r="E2229" s="115">
        <f>IFERROR(__xludf.DUMMYFUNCTION("""COMPUTED_VALUE"""),4952.0)</f>
        <v>4952</v>
      </c>
      <c r="F2229" s="115">
        <f>IFERROR(__xludf.DUMMYFUNCTION("""COMPUTED_VALUE"""),2047.0)</f>
        <v>2047</v>
      </c>
      <c r="G2229" s="115">
        <f>IFERROR(__xludf.DUMMYFUNCTION("""COMPUTED_VALUE"""),46.0)</f>
        <v>46</v>
      </c>
      <c r="H2229" s="116">
        <f>IFERROR(__xludf.DUMMYFUNCTION("""COMPUTED_VALUE"""),45905.0)</f>
        <v>45905</v>
      </c>
      <c r="I2229" s="115" t="str">
        <f>IFERROR(__xludf.DUMMYFUNCTION("""COMPUTED_VALUE"""),"09")</f>
        <v>09</v>
      </c>
      <c r="J2229" s="115" t="str">
        <f>IFERROR(__xludf.DUMMYFUNCTION("""COMPUTED_VALUE"""),"Ashvani Bhatt2025-09-0509")</f>
        <v>Ashvani Bhatt2025-09-0509</v>
      </c>
      <c r="K2229" s="115">
        <f>IFERROR(__xludf.DUMMYFUNCTION("""COMPUTED_VALUE"""),76299.0)</f>
        <v>76299</v>
      </c>
    </row>
    <row r="2230">
      <c r="A2230" s="115" t="str">
        <f>IFERROR(__xludf.DUMMYFUNCTION("""COMPUTED_VALUE"""),"WEST")</f>
        <v>WEST</v>
      </c>
      <c r="B2230" s="115" t="str">
        <f>IFERROR(__xludf.DUMMYFUNCTION("""COMPUTED_VALUE"""),"Ashvani Bhatt")</f>
        <v>Ashvani Bhatt</v>
      </c>
      <c r="C2230" s="115" t="str">
        <f>IFERROR(__xludf.DUMMYFUNCTION("""COMPUTED_VALUE"""),"MYNTRA")</f>
        <v>MYNTRA</v>
      </c>
      <c r="D2230" s="115">
        <f>IFERROR(__xludf.DUMMYFUNCTION("""COMPUTED_VALUE"""),9586.0)</f>
        <v>9586</v>
      </c>
      <c r="E2230" s="115">
        <f>IFERROR(__xludf.DUMMYFUNCTION("""COMPUTED_VALUE"""),1711.0)</f>
        <v>1711</v>
      </c>
      <c r="F2230" s="115">
        <f>IFERROR(__xludf.DUMMYFUNCTION("""COMPUTED_VALUE"""),369.0)</f>
        <v>369</v>
      </c>
      <c r="G2230" s="115">
        <f>IFERROR(__xludf.DUMMYFUNCTION("""COMPUTED_VALUE"""),11.0)</f>
        <v>11</v>
      </c>
      <c r="H2230" s="116">
        <f>IFERROR(__xludf.DUMMYFUNCTION("""COMPUTED_VALUE"""),45905.0)</f>
        <v>45905</v>
      </c>
      <c r="I2230" s="115" t="str">
        <f>IFERROR(__xludf.DUMMYFUNCTION("""COMPUTED_VALUE"""),"09")</f>
        <v>09</v>
      </c>
      <c r="J2230" s="115" t="str">
        <f>IFERROR(__xludf.DUMMYFUNCTION("""COMPUTED_VALUE"""),"Ashvani Bhatt2025-09-0509")</f>
        <v>Ashvani Bhatt2025-09-0509</v>
      </c>
      <c r="K2230" s="115">
        <f>IFERROR(__xludf.DUMMYFUNCTION("""COMPUTED_VALUE"""),11297.0)</f>
        <v>11297</v>
      </c>
    </row>
    <row r="2231">
      <c r="A2231" s="115"/>
      <c r="B2231" s="115"/>
      <c r="C2231" s="115" t="str">
        <f>IFERROR(__xludf.DUMMYFUNCTION("""COMPUTED_VALUE"""),"EXTERNAL")</f>
        <v>EXTERNAL</v>
      </c>
      <c r="D2231" s="115">
        <f>IFERROR(__xludf.DUMMYFUNCTION("""COMPUTED_VALUE"""),116.0)</f>
        <v>116</v>
      </c>
      <c r="E2231" s="115">
        <f>IFERROR(__xludf.DUMMYFUNCTION("""COMPUTED_VALUE"""),4.0)</f>
        <v>4</v>
      </c>
      <c r="F2231" s="115">
        <f>IFERROR(__xludf.DUMMYFUNCTION("""COMPUTED_VALUE"""),3.0)</f>
        <v>3</v>
      </c>
      <c r="G2231" s="115">
        <f>IFERROR(__xludf.DUMMYFUNCTION("""COMPUTED_VALUE"""),0.0)</f>
        <v>0</v>
      </c>
      <c r="H2231" s="116">
        <f>IFERROR(__xludf.DUMMYFUNCTION("""COMPUTED_VALUE"""),45905.0)</f>
        <v>45905</v>
      </c>
      <c r="I2231" s="115" t="str">
        <f>IFERROR(__xludf.DUMMYFUNCTION("""COMPUTED_VALUE"""),"09")</f>
        <v>09</v>
      </c>
      <c r="J2231" s="115" t="str">
        <f>IFERROR(__xludf.DUMMYFUNCTION("""COMPUTED_VALUE"""),"2025-09-0509")</f>
        <v>2025-09-0509</v>
      </c>
      <c r="K2231" s="115">
        <f>IFERROR(__xludf.DUMMYFUNCTION("""COMPUTED_VALUE"""),120.0)</f>
        <v>120</v>
      </c>
    </row>
    <row r="2232">
      <c r="A2232" s="115"/>
      <c r="B2232" s="115"/>
      <c r="C2232" s="115" t="str">
        <f>IFERROR(__xludf.DUMMYFUNCTION("""COMPUTED_VALUE"""),"FLIPKART")</f>
        <v>FLIPKART</v>
      </c>
      <c r="D2232" s="115">
        <f>IFERROR(__xludf.DUMMYFUNCTION("""COMPUTED_VALUE"""),1186.0)</f>
        <v>1186</v>
      </c>
      <c r="E2232" s="115">
        <f>IFERROR(__xludf.DUMMYFUNCTION("""COMPUTED_VALUE"""),90.0)</f>
        <v>90</v>
      </c>
      <c r="F2232" s="115">
        <f>IFERROR(__xludf.DUMMYFUNCTION("""COMPUTED_VALUE"""),55.0)</f>
        <v>55</v>
      </c>
      <c r="G2232" s="115">
        <f>IFERROR(__xludf.DUMMYFUNCTION("""COMPUTED_VALUE"""),5.0)</f>
        <v>5</v>
      </c>
      <c r="H2232" s="116">
        <f>IFERROR(__xludf.DUMMYFUNCTION("""COMPUTED_VALUE"""),45905.0)</f>
        <v>45905</v>
      </c>
      <c r="I2232" s="115" t="str">
        <f>IFERROR(__xludf.DUMMYFUNCTION("""COMPUTED_VALUE"""),"09")</f>
        <v>09</v>
      </c>
      <c r="J2232" s="115" t="str">
        <f>IFERROR(__xludf.DUMMYFUNCTION("""COMPUTED_VALUE"""),"2025-09-0509")</f>
        <v>2025-09-0509</v>
      </c>
      <c r="K2232" s="115">
        <f>IFERROR(__xludf.DUMMYFUNCTION("""COMPUTED_VALUE"""),1276.0)</f>
        <v>1276</v>
      </c>
    </row>
    <row r="2233">
      <c r="A2233" s="115"/>
      <c r="B2233" s="115"/>
      <c r="C2233" s="115" t="str">
        <f>IFERROR(__xludf.DUMMYFUNCTION("""COMPUTED_VALUE"""),"MYNTRA")</f>
        <v>MYNTRA</v>
      </c>
      <c r="D2233" s="115">
        <f>IFERROR(__xludf.DUMMYFUNCTION("""COMPUTED_VALUE"""),68.0)</f>
        <v>68</v>
      </c>
      <c r="E2233" s="115">
        <f>IFERROR(__xludf.DUMMYFUNCTION("""COMPUTED_VALUE"""),16.0)</f>
        <v>16</v>
      </c>
      <c r="F2233" s="115">
        <f>IFERROR(__xludf.DUMMYFUNCTION("""COMPUTED_VALUE"""),8.0)</f>
        <v>8</v>
      </c>
      <c r="G2233" s="115">
        <f>IFERROR(__xludf.DUMMYFUNCTION("""COMPUTED_VALUE"""),0.0)</f>
        <v>0</v>
      </c>
      <c r="H2233" s="116">
        <f>IFERROR(__xludf.DUMMYFUNCTION("""COMPUTED_VALUE"""),45905.0)</f>
        <v>45905</v>
      </c>
      <c r="I2233" s="115" t="str">
        <f>IFERROR(__xludf.DUMMYFUNCTION("""COMPUTED_VALUE"""),"09")</f>
        <v>09</v>
      </c>
      <c r="J2233" s="115" t="str">
        <f>IFERROR(__xludf.DUMMYFUNCTION("""COMPUTED_VALUE"""),"2025-09-0509")</f>
        <v>2025-09-0509</v>
      </c>
      <c r="K2233" s="115">
        <f>IFERROR(__xludf.DUMMYFUNCTION("""COMPUTED_VALUE"""),84.0)</f>
        <v>84</v>
      </c>
    </row>
    <row r="2234">
      <c r="A2234" s="115" t="str">
        <f>IFERROR(__xludf.DUMMYFUNCTION("""COMPUTED_VALUE"""),"EAST")</f>
        <v>EAST</v>
      </c>
      <c r="B2234" s="115" t="str">
        <f>IFERROR(__xludf.DUMMYFUNCTION("""COMPUTED_VALUE"""),"Ashish Ranjan")</f>
        <v>Ashish Ranjan</v>
      </c>
      <c r="C2234" s="115" t="str">
        <f>IFERROR(__xludf.DUMMYFUNCTION("""COMPUTED_VALUE"""),"EXTERNAL")</f>
        <v>EXTERNAL</v>
      </c>
      <c r="D2234" s="115">
        <f>IFERROR(__xludf.DUMMYFUNCTION("""COMPUTED_VALUE"""),23485.0)</f>
        <v>23485</v>
      </c>
      <c r="E2234" s="115">
        <f>IFERROR(__xludf.DUMMYFUNCTION("""COMPUTED_VALUE"""),1707.0)</f>
        <v>1707</v>
      </c>
      <c r="F2234" s="115">
        <f>IFERROR(__xludf.DUMMYFUNCTION("""COMPUTED_VALUE"""),1647.0)</f>
        <v>1647</v>
      </c>
      <c r="G2234" s="115">
        <f>IFERROR(__xludf.DUMMYFUNCTION("""COMPUTED_VALUE"""),39.0)</f>
        <v>39</v>
      </c>
      <c r="H2234" s="116">
        <f>IFERROR(__xludf.DUMMYFUNCTION("""COMPUTED_VALUE"""),45905.0)</f>
        <v>45905</v>
      </c>
      <c r="I2234" s="115" t="str">
        <f>IFERROR(__xludf.DUMMYFUNCTION("""COMPUTED_VALUE"""),"10")</f>
        <v>10</v>
      </c>
      <c r="J2234" s="115" t="str">
        <f>IFERROR(__xludf.DUMMYFUNCTION("""COMPUTED_VALUE"""),"Ashish Ranjan2025-09-0510")</f>
        <v>Ashish Ranjan2025-09-0510</v>
      </c>
      <c r="K2234" s="115">
        <f>IFERROR(__xludf.DUMMYFUNCTION("""COMPUTED_VALUE"""),25192.0)</f>
        <v>25192</v>
      </c>
    </row>
    <row r="2235">
      <c r="A2235" s="115" t="str">
        <f>IFERROR(__xludf.DUMMYFUNCTION("""COMPUTED_VALUE"""),"EAST")</f>
        <v>EAST</v>
      </c>
      <c r="B2235" s="115" t="str">
        <f>IFERROR(__xludf.DUMMYFUNCTION("""COMPUTED_VALUE"""),"Ashish Ranjan")</f>
        <v>Ashish Ranjan</v>
      </c>
      <c r="C2235" s="115" t="str">
        <f>IFERROR(__xludf.DUMMYFUNCTION("""COMPUTED_VALUE"""),"FLIPKART")</f>
        <v>FLIPKART</v>
      </c>
      <c r="D2235" s="115">
        <f>IFERROR(__xludf.DUMMYFUNCTION("""COMPUTED_VALUE"""),382054.0)</f>
        <v>382054</v>
      </c>
      <c r="E2235" s="115">
        <f>IFERROR(__xludf.DUMMYFUNCTION("""COMPUTED_VALUE"""),32460.0)</f>
        <v>32460</v>
      </c>
      <c r="F2235" s="115">
        <f>IFERROR(__xludf.DUMMYFUNCTION("""COMPUTED_VALUE"""),41339.0)</f>
        <v>41339</v>
      </c>
      <c r="G2235" s="115">
        <f>IFERROR(__xludf.DUMMYFUNCTION("""COMPUTED_VALUE"""),1064.0)</f>
        <v>1064</v>
      </c>
      <c r="H2235" s="116">
        <f>IFERROR(__xludf.DUMMYFUNCTION("""COMPUTED_VALUE"""),45905.0)</f>
        <v>45905</v>
      </c>
      <c r="I2235" s="115" t="str">
        <f>IFERROR(__xludf.DUMMYFUNCTION("""COMPUTED_VALUE"""),"10")</f>
        <v>10</v>
      </c>
      <c r="J2235" s="115" t="str">
        <f>IFERROR(__xludf.DUMMYFUNCTION("""COMPUTED_VALUE"""),"Ashish Ranjan2025-09-0510")</f>
        <v>Ashish Ranjan2025-09-0510</v>
      </c>
      <c r="K2235" s="115">
        <f>IFERROR(__xludf.DUMMYFUNCTION("""COMPUTED_VALUE"""),414514.0)</f>
        <v>414514</v>
      </c>
    </row>
    <row r="2236">
      <c r="A2236" s="115" t="str">
        <f>IFERROR(__xludf.DUMMYFUNCTION("""COMPUTED_VALUE"""),"EAST")</f>
        <v>EAST</v>
      </c>
      <c r="B2236" s="115" t="str">
        <f>IFERROR(__xludf.DUMMYFUNCTION("""COMPUTED_VALUE"""),"Ashish Ranjan")</f>
        <v>Ashish Ranjan</v>
      </c>
      <c r="C2236" s="115" t="str">
        <f>IFERROR(__xludf.DUMMYFUNCTION("""COMPUTED_VALUE"""),"MYNTRA")</f>
        <v>MYNTRA</v>
      </c>
      <c r="D2236" s="115">
        <f>IFERROR(__xludf.DUMMYFUNCTION("""COMPUTED_VALUE"""),43599.0)</f>
        <v>43599</v>
      </c>
      <c r="E2236" s="115">
        <f>IFERROR(__xludf.DUMMYFUNCTION("""COMPUTED_VALUE"""),6899.0)</f>
        <v>6899</v>
      </c>
      <c r="F2236" s="115">
        <f>IFERROR(__xludf.DUMMYFUNCTION("""COMPUTED_VALUE"""),4918.0)</f>
        <v>4918</v>
      </c>
      <c r="G2236" s="115">
        <f>IFERROR(__xludf.DUMMYFUNCTION("""COMPUTED_VALUE"""),162.0)</f>
        <v>162</v>
      </c>
      <c r="H2236" s="116">
        <f>IFERROR(__xludf.DUMMYFUNCTION("""COMPUTED_VALUE"""),45905.0)</f>
        <v>45905</v>
      </c>
      <c r="I2236" s="115" t="str">
        <f>IFERROR(__xludf.DUMMYFUNCTION("""COMPUTED_VALUE"""),"10")</f>
        <v>10</v>
      </c>
      <c r="J2236" s="115" t="str">
        <f>IFERROR(__xludf.DUMMYFUNCTION("""COMPUTED_VALUE"""),"Ashish Ranjan2025-09-0510")</f>
        <v>Ashish Ranjan2025-09-0510</v>
      </c>
      <c r="K2236" s="115">
        <f>IFERROR(__xludf.DUMMYFUNCTION("""COMPUTED_VALUE"""),50498.0)</f>
        <v>50498</v>
      </c>
    </row>
    <row r="2237">
      <c r="A2237" s="115" t="str">
        <f>IFERROR(__xludf.DUMMYFUNCTION("""COMPUTED_VALUE"""),"EAST")</f>
        <v>EAST</v>
      </c>
      <c r="B2237" s="115" t="str">
        <f>IFERROR(__xludf.DUMMYFUNCTION("""COMPUTED_VALUE"""),"Girish Chand")</f>
        <v>Girish Chand</v>
      </c>
      <c r="C2237" s="115" t="str">
        <f>IFERROR(__xludf.DUMMYFUNCTION("""COMPUTED_VALUE"""),"EXTERNAL")</f>
        <v>EXTERNAL</v>
      </c>
      <c r="D2237" s="115">
        <f>IFERROR(__xludf.DUMMYFUNCTION("""COMPUTED_VALUE"""),14864.0)</f>
        <v>14864</v>
      </c>
      <c r="E2237" s="115">
        <f>IFERROR(__xludf.DUMMYFUNCTION("""COMPUTED_VALUE"""),886.0)</f>
        <v>886</v>
      </c>
      <c r="F2237" s="115">
        <f>IFERROR(__xludf.DUMMYFUNCTION("""COMPUTED_VALUE"""),522.0)</f>
        <v>522</v>
      </c>
      <c r="G2237" s="115">
        <f>IFERROR(__xludf.DUMMYFUNCTION("""COMPUTED_VALUE"""),7.0)</f>
        <v>7</v>
      </c>
      <c r="H2237" s="116">
        <f>IFERROR(__xludf.DUMMYFUNCTION("""COMPUTED_VALUE"""),45905.0)</f>
        <v>45905</v>
      </c>
      <c r="I2237" s="115" t="str">
        <f>IFERROR(__xludf.DUMMYFUNCTION("""COMPUTED_VALUE"""),"10")</f>
        <v>10</v>
      </c>
      <c r="J2237" s="115" t="str">
        <f>IFERROR(__xludf.DUMMYFUNCTION("""COMPUTED_VALUE"""),"Girish Chand2025-09-0510")</f>
        <v>Girish Chand2025-09-0510</v>
      </c>
      <c r="K2237" s="115">
        <f>IFERROR(__xludf.DUMMYFUNCTION("""COMPUTED_VALUE"""),15750.0)</f>
        <v>15750</v>
      </c>
    </row>
    <row r="2238">
      <c r="A2238" s="115" t="str">
        <f>IFERROR(__xludf.DUMMYFUNCTION("""COMPUTED_VALUE"""),"EAST")</f>
        <v>EAST</v>
      </c>
      <c r="B2238" s="115" t="str">
        <f>IFERROR(__xludf.DUMMYFUNCTION("""COMPUTED_VALUE"""),"Girish Chand")</f>
        <v>Girish Chand</v>
      </c>
      <c r="C2238" s="115" t="str">
        <f>IFERROR(__xludf.DUMMYFUNCTION("""COMPUTED_VALUE"""),"FLIPKART")</f>
        <v>FLIPKART</v>
      </c>
      <c r="D2238" s="115">
        <f>IFERROR(__xludf.DUMMYFUNCTION("""COMPUTED_VALUE"""),269748.0)</f>
        <v>269748</v>
      </c>
      <c r="E2238" s="115">
        <f>IFERROR(__xludf.DUMMYFUNCTION("""COMPUTED_VALUE"""),20025.0)</f>
        <v>20025</v>
      </c>
      <c r="F2238" s="115">
        <f>IFERROR(__xludf.DUMMYFUNCTION("""COMPUTED_VALUE"""),18604.0)</f>
        <v>18604</v>
      </c>
      <c r="G2238" s="115">
        <f>IFERROR(__xludf.DUMMYFUNCTION("""COMPUTED_VALUE"""),347.0)</f>
        <v>347</v>
      </c>
      <c r="H2238" s="116">
        <f>IFERROR(__xludf.DUMMYFUNCTION("""COMPUTED_VALUE"""),45905.0)</f>
        <v>45905</v>
      </c>
      <c r="I2238" s="115" t="str">
        <f>IFERROR(__xludf.DUMMYFUNCTION("""COMPUTED_VALUE"""),"10")</f>
        <v>10</v>
      </c>
      <c r="J2238" s="115" t="str">
        <f>IFERROR(__xludf.DUMMYFUNCTION("""COMPUTED_VALUE"""),"Girish Chand2025-09-0510")</f>
        <v>Girish Chand2025-09-0510</v>
      </c>
      <c r="K2238" s="115">
        <f>IFERROR(__xludf.DUMMYFUNCTION("""COMPUTED_VALUE"""),289773.0)</f>
        <v>289773</v>
      </c>
    </row>
    <row r="2239">
      <c r="A2239" s="115" t="str">
        <f>IFERROR(__xludf.DUMMYFUNCTION("""COMPUTED_VALUE"""),"EAST")</f>
        <v>EAST</v>
      </c>
      <c r="B2239" s="115" t="str">
        <f>IFERROR(__xludf.DUMMYFUNCTION("""COMPUTED_VALUE"""),"Girish Chand")</f>
        <v>Girish Chand</v>
      </c>
      <c r="C2239" s="115" t="str">
        <f>IFERROR(__xludf.DUMMYFUNCTION("""COMPUTED_VALUE"""),"MYNTRA")</f>
        <v>MYNTRA</v>
      </c>
      <c r="D2239" s="115">
        <f>IFERROR(__xludf.DUMMYFUNCTION("""COMPUTED_VALUE"""),23562.0)</f>
        <v>23562</v>
      </c>
      <c r="E2239" s="115">
        <f>IFERROR(__xludf.DUMMYFUNCTION("""COMPUTED_VALUE"""),3562.0)</f>
        <v>3562</v>
      </c>
      <c r="F2239" s="115">
        <f>IFERROR(__xludf.DUMMYFUNCTION("""COMPUTED_VALUE"""),2021.0)</f>
        <v>2021</v>
      </c>
      <c r="G2239" s="115">
        <f>IFERROR(__xludf.DUMMYFUNCTION("""COMPUTED_VALUE"""),77.0)</f>
        <v>77</v>
      </c>
      <c r="H2239" s="116">
        <f>IFERROR(__xludf.DUMMYFUNCTION("""COMPUTED_VALUE"""),45905.0)</f>
        <v>45905</v>
      </c>
      <c r="I2239" s="115" t="str">
        <f>IFERROR(__xludf.DUMMYFUNCTION("""COMPUTED_VALUE"""),"10")</f>
        <v>10</v>
      </c>
      <c r="J2239" s="115" t="str">
        <f>IFERROR(__xludf.DUMMYFUNCTION("""COMPUTED_VALUE"""),"Girish Chand2025-09-0510")</f>
        <v>Girish Chand2025-09-0510</v>
      </c>
      <c r="K2239" s="115">
        <f>IFERROR(__xludf.DUMMYFUNCTION("""COMPUTED_VALUE"""),27124.0)</f>
        <v>27124</v>
      </c>
    </row>
    <row r="2240">
      <c r="A2240" s="115" t="str">
        <f>IFERROR(__xludf.DUMMYFUNCTION("""COMPUTED_VALUE"""),"EAST")</f>
        <v>EAST</v>
      </c>
      <c r="B2240" s="115" t="str">
        <f>IFERROR(__xludf.DUMMYFUNCTION("""COMPUTED_VALUE"""),"Parag Kashyap")</f>
        <v>Parag Kashyap</v>
      </c>
      <c r="C2240" s="115" t="str">
        <f>IFERROR(__xludf.DUMMYFUNCTION("""COMPUTED_VALUE"""),"EXTERNAL")</f>
        <v>EXTERNAL</v>
      </c>
      <c r="D2240" s="115">
        <f>IFERROR(__xludf.DUMMYFUNCTION("""COMPUTED_VALUE"""),10243.0)</f>
        <v>10243</v>
      </c>
      <c r="E2240" s="115">
        <f>IFERROR(__xludf.DUMMYFUNCTION("""COMPUTED_VALUE"""),351.0)</f>
        <v>351</v>
      </c>
      <c r="F2240" s="115">
        <f>IFERROR(__xludf.DUMMYFUNCTION("""COMPUTED_VALUE"""),326.0)</f>
        <v>326</v>
      </c>
      <c r="G2240" s="115">
        <f>IFERROR(__xludf.DUMMYFUNCTION("""COMPUTED_VALUE"""),2.0)</f>
        <v>2</v>
      </c>
      <c r="H2240" s="116">
        <f>IFERROR(__xludf.DUMMYFUNCTION("""COMPUTED_VALUE"""),45905.0)</f>
        <v>45905</v>
      </c>
      <c r="I2240" s="115" t="str">
        <f>IFERROR(__xludf.DUMMYFUNCTION("""COMPUTED_VALUE"""),"10")</f>
        <v>10</v>
      </c>
      <c r="J2240" s="115" t="str">
        <f>IFERROR(__xludf.DUMMYFUNCTION("""COMPUTED_VALUE"""),"Parag Kashyap2025-09-0510")</f>
        <v>Parag Kashyap2025-09-0510</v>
      </c>
      <c r="K2240" s="115">
        <f>IFERROR(__xludf.DUMMYFUNCTION("""COMPUTED_VALUE"""),10594.0)</f>
        <v>10594</v>
      </c>
    </row>
    <row r="2241">
      <c r="A2241" s="115" t="str">
        <f>IFERROR(__xludf.DUMMYFUNCTION("""COMPUTED_VALUE"""),"EAST")</f>
        <v>EAST</v>
      </c>
      <c r="B2241" s="115" t="str">
        <f>IFERROR(__xludf.DUMMYFUNCTION("""COMPUTED_VALUE"""),"Parag Kashyap")</f>
        <v>Parag Kashyap</v>
      </c>
      <c r="C2241" s="115" t="str">
        <f>IFERROR(__xludf.DUMMYFUNCTION("""COMPUTED_VALUE"""),"FLIPKART")</f>
        <v>FLIPKART</v>
      </c>
      <c r="D2241" s="115">
        <f>IFERROR(__xludf.DUMMYFUNCTION("""COMPUTED_VALUE"""),168299.0)</f>
        <v>168299</v>
      </c>
      <c r="E2241" s="115">
        <f>IFERROR(__xludf.DUMMYFUNCTION("""COMPUTED_VALUE"""),8033.0)</f>
        <v>8033</v>
      </c>
      <c r="F2241" s="115">
        <f>IFERROR(__xludf.DUMMYFUNCTION("""COMPUTED_VALUE"""),9016.0)</f>
        <v>9016</v>
      </c>
      <c r="G2241" s="115">
        <f>IFERROR(__xludf.DUMMYFUNCTION("""COMPUTED_VALUE"""),175.0)</f>
        <v>175</v>
      </c>
      <c r="H2241" s="116">
        <f>IFERROR(__xludf.DUMMYFUNCTION("""COMPUTED_VALUE"""),45905.0)</f>
        <v>45905</v>
      </c>
      <c r="I2241" s="115" t="str">
        <f>IFERROR(__xludf.DUMMYFUNCTION("""COMPUTED_VALUE"""),"10")</f>
        <v>10</v>
      </c>
      <c r="J2241" s="115" t="str">
        <f>IFERROR(__xludf.DUMMYFUNCTION("""COMPUTED_VALUE"""),"Parag Kashyap2025-09-0510")</f>
        <v>Parag Kashyap2025-09-0510</v>
      </c>
      <c r="K2241" s="115">
        <f>IFERROR(__xludf.DUMMYFUNCTION("""COMPUTED_VALUE"""),176332.0)</f>
        <v>176332</v>
      </c>
    </row>
    <row r="2242">
      <c r="A2242" s="115" t="str">
        <f>IFERROR(__xludf.DUMMYFUNCTION("""COMPUTED_VALUE"""),"EAST")</f>
        <v>EAST</v>
      </c>
      <c r="B2242" s="115" t="str">
        <f>IFERROR(__xludf.DUMMYFUNCTION("""COMPUTED_VALUE"""),"Parag Kashyap")</f>
        <v>Parag Kashyap</v>
      </c>
      <c r="C2242" s="115" t="str">
        <f>IFERROR(__xludf.DUMMYFUNCTION("""COMPUTED_VALUE"""),"MYNTRA")</f>
        <v>MYNTRA</v>
      </c>
      <c r="D2242" s="115">
        <f>IFERROR(__xludf.DUMMYFUNCTION("""COMPUTED_VALUE"""),18857.0)</f>
        <v>18857</v>
      </c>
      <c r="E2242" s="115">
        <f>IFERROR(__xludf.DUMMYFUNCTION("""COMPUTED_VALUE"""),2319.0)</f>
        <v>2319</v>
      </c>
      <c r="F2242" s="115">
        <f>IFERROR(__xludf.DUMMYFUNCTION("""COMPUTED_VALUE"""),1383.0)</f>
        <v>1383</v>
      </c>
      <c r="G2242" s="115">
        <f>IFERROR(__xludf.DUMMYFUNCTION("""COMPUTED_VALUE"""),14.0)</f>
        <v>14</v>
      </c>
      <c r="H2242" s="116">
        <f>IFERROR(__xludf.DUMMYFUNCTION("""COMPUTED_VALUE"""),45905.0)</f>
        <v>45905</v>
      </c>
      <c r="I2242" s="115" t="str">
        <f>IFERROR(__xludf.DUMMYFUNCTION("""COMPUTED_VALUE"""),"10")</f>
        <v>10</v>
      </c>
      <c r="J2242" s="115" t="str">
        <f>IFERROR(__xludf.DUMMYFUNCTION("""COMPUTED_VALUE"""),"Parag Kashyap2025-09-0510")</f>
        <v>Parag Kashyap2025-09-0510</v>
      </c>
      <c r="K2242" s="115">
        <f>IFERROR(__xludf.DUMMYFUNCTION("""COMPUTED_VALUE"""),21176.0)</f>
        <v>21176</v>
      </c>
    </row>
    <row r="2243">
      <c r="A2243" s="115" t="str">
        <f>IFERROR(__xludf.DUMMYFUNCTION("""COMPUTED_VALUE"""),"NORTH")</f>
        <v>NORTH</v>
      </c>
      <c r="B2243" s="115" t="str">
        <f>IFERROR(__xludf.DUMMYFUNCTION("""COMPUTED_VALUE"""),"Amit Kumar Pathak")</f>
        <v>Amit Kumar Pathak</v>
      </c>
      <c r="C2243" s="115" t="str">
        <f>IFERROR(__xludf.DUMMYFUNCTION("""COMPUTED_VALUE"""),"EXTERNAL")</f>
        <v>EXTERNAL</v>
      </c>
      <c r="D2243" s="115">
        <f>IFERROR(__xludf.DUMMYFUNCTION("""COMPUTED_VALUE"""),14762.0)</f>
        <v>14762</v>
      </c>
      <c r="E2243" s="115">
        <f>IFERROR(__xludf.DUMMYFUNCTION("""COMPUTED_VALUE"""),2001.0)</f>
        <v>2001</v>
      </c>
      <c r="F2243" s="115">
        <f>IFERROR(__xludf.DUMMYFUNCTION("""COMPUTED_VALUE"""),639.0)</f>
        <v>639</v>
      </c>
      <c r="G2243" s="115">
        <f>IFERROR(__xludf.DUMMYFUNCTION("""COMPUTED_VALUE"""),75.0)</f>
        <v>75</v>
      </c>
      <c r="H2243" s="116">
        <f>IFERROR(__xludf.DUMMYFUNCTION("""COMPUTED_VALUE"""),45905.0)</f>
        <v>45905</v>
      </c>
      <c r="I2243" s="115" t="str">
        <f>IFERROR(__xludf.DUMMYFUNCTION("""COMPUTED_VALUE"""),"10")</f>
        <v>10</v>
      </c>
      <c r="J2243" s="115" t="str">
        <f>IFERROR(__xludf.DUMMYFUNCTION("""COMPUTED_VALUE"""),"Amit Kumar Pathak2025-09-0510")</f>
        <v>Amit Kumar Pathak2025-09-0510</v>
      </c>
      <c r="K2243" s="115">
        <f>IFERROR(__xludf.DUMMYFUNCTION("""COMPUTED_VALUE"""),16763.0)</f>
        <v>16763</v>
      </c>
    </row>
    <row r="2244">
      <c r="A2244" s="115" t="str">
        <f>IFERROR(__xludf.DUMMYFUNCTION("""COMPUTED_VALUE"""),"NORTH")</f>
        <v>NORTH</v>
      </c>
      <c r="B2244" s="115" t="str">
        <f>IFERROR(__xludf.DUMMYFUNCTION("""COMPUTED_VALUE"""),"Amit Kumar Pathak")</f>
        <v>Amit Kumar Pathak</v>
      </c>
      <c r="C2244" s="115" t="str">
        <f>IFERROR(__xludf.DUMMYFUNCTION("""COMPUTED_VALUE"""),"FLIPKART")</f>
        <v>FLIPKART</v>
      </c>
      <c r="D2244" s="115">
        <f>IFERROR(__xludf.DUMMYFUNCTION("""COMPUTED_VALUE"""),104935.0)</f>
        <v>104935</v>
      </c>
      <c r="E2244" s="115">
        <f>IFERROR(__xludf.DUMMYFUNCTION("""COMPUTED_VALUE"""),16219.0)</f>
        <v>16219</v>
      </c>
      <c r="F2244" s="115">
        <f>IFERROR(__xludf.DUMMYFUNCTION("""COMPUTED_VALUE"""),8764.0)</f>
        <v>8764</v>
      </c>
      <c r="G2244" s="115">
        <f>IFERROR(__xludf.DUMMYFUNCTION("""COMPUTED_VALUE"""),791.0)</f>
        <v>791</v>
      </c>
      <c r="H2244" s="116">
        <f>IFERROR(__xludf.DUMMYFUNCTION("""COMPUTED_VALUE"""),45905.0)</f>
        <v>45905</v>
      </c>
      <c r="I2244" s="115" t="str">
        <f>IFERROR(__xludf.DUMMYFUNCTION("""COMPUTED_VALUE"""),"10")</f>
        <v>10</v>
      </c>
      <c r="J2244" s="115" t="str">
        <f>IFERROR(__xludf.DUMMYFUNCTION("""COMPUTED_VALUE"""),"Amit Kumar Pathak2025-09-0510")</f>
        <v>Amit Kumar Pathak2025-09-0510</v>
      </c>
      <c r="K2244" s="115">
        <f>IFERROR(__xludf.DUMMYFUNCTION("""COMPUTED_VALUE"""),121154.0)</f>
        <v>121154</v>
      </c>
    </row>
    <row r="2245">
      <c r="A2245" s="115" t="str">
        <f>IFERROR(__xludf.DUMMYFUNCTION("""COMPUTED_VALUE"""),"NORTH")</f>
        <v>NORTH</v>
      </c>
      <c r="B2245" s="115" t="str">
        <f>IFERROR(__xludf.DUMMYFUNCTION("""COMPUTED_VALUE"""),"Amit Kumar Pathak")</f>
        <v>Amit Kumar Pathak</v>
      </c>
      <c r="C2245" s="115" t="str">
        <f>IFERROR(__xludf.DUMMYFUNCTION("""COMPUTED_VALUE"""),"MYNTRA")</f>
        <v>MYNTRA</v>
      </c>
      <c r="D2245" s="115">
        <f>IFERROR(__xludf.DUMMYFUNCTION("""COMPUTED_VALUE"""),10203.0)</f>
        <v>10203</v>
      </c>
      <c r="E2245" s="115">
        <f>IFERROR(__xludf.DUMMYFUNCTION("""COMPUTED_VALUE"""),4072.0)</f>
        <v>4072</v>
      </c>
      <c r="F2245" s="115">
        <f>IFERROR(__xludf.DUMMYFUNCTION("""COMPUTED_VALUE"""),1068.0)</f>
        <v>1068</v>
      </c>
      <c r="G2245" s="115">
        <f>IFERROR(__xludf.DUMMYFUNCTION("""COMPUTED_VALUE"""),197.0)</f>
        <v>197</v>
      </c>
      <c r="H2245" s="116">
        <f>IFERROR(__xludf.DUMMYFUNCTION("""COMPUTED_VALUE"""),45905.0)</f>
        <v>45905</v>
      </c>
      <c r="I2245" s="115" t="str">
        <f>IFERROR(__xludf.DUMMYFUNCTION("""COMPUTED_VALUE"""),"10")</f>
        <v>10</v>
      </c>
      <c r="J2245" s="115" t="str">
        <f>IFERROR(__xludf.DUMMYFUNCTION("""COMPUTED_VALUE"""),"Amit Kumar Pathak2025-09-0510")</f>
        <v>Amit Kumar Pathak2025-09-0510</v>
      </c>
      <c r="K2245" s="115">
        <f>IFERROR(__xludf.DUMMYFUNCTION("""COMPUTED_VALUE"""),14275.0)</f>
        <v>14275</v>
      </c>
    </row>
    <row r="2246">
      <c r="A2246" s="115" t="str">
        <f>IFERROR(__xludf.DUMMYFUNCTION("""COMPUTED_VALUE"""),"NORTH")</f>
        <v>NORTH</v>
      </c>
      <c r="B2246" s="115" t="str">
        <f>IFERROR(__xludf.DUMMYFUNCTION("""COMPUTED_VALUE"""),"Loveleen Singh")</f>
        <v>Loveleen Singh</v>
      </c>
      <c r="C2246" s="115" t="str">
        <f>IFERROR(__xludf.DUMMYFUNCTION("""COMPUTED_VALUE"""),"EXTERNAL")</f>
        <v>EXTERNAL</v>
      </c>
      <c r="D2246" s="115">
        <f>IFERROR(__xludf.DUMMYFUNCTION("""COMPUTED_VALUE"""),16714.0)</f>
        <v>16714</v>
      </c>
      <c r="E2246" s="115">
        <f>IFERROR(__xludf.DUMMYFUNCTION("""COMPUTED_VALUE"""),802.0)</f>
        <v>802</v>
      </c>
      <c r="F2246" s="115">
        <f>IFERROR(__xludf.DUMMYFUNCTION("""COMPUTED_VALUE"""),598.0)</f>
        <v>598</v>
      </c>
      <c r="G2246" s="115">
        <f>IFERROR(__xludf.DUMMYFUNCTION("""COMPUTED_VALUE"""),15.0)</f>
        <v>15</v>
      </c>
      <c r="H2246" s="116">
        <f>IFERROR(__xludf.DUMMYFUNCTION("""COMPUTED_VALUE"""),45905.0)</f>
        <v>45905</v>
      </c>
      <c r="I2246" s="115" t="str">
        <f>IFERROR(__xludf.DUMMYFUNCTION("""COMPUTED_VALUE"""),"10")</f>
        <v>10</v>
      </c>
      <c r="J2246" s="115" t="str">
        <f>IFERROR(__xludf.DUMMYFUNCTION("""COMPUTED_VALUE"""),"Loveleen Singh2025-09-0510")</f>
        <v>Loveleen Singh2025-09-0510</v>
      </c>
      <c r="K2246" s="115">
        <f>IFERROR(__xludf.DUMMYFUNCTION("""COMPUTED_VALUE"""),17516.0)</f>
        <v>17516</v>
      </c>
    </row>
    <row r="2247">
      <c r="A2247" s="115" t="str">
        <f>IFERROR(__xludf.DUMMYFUNCTION("""COMPUTED_VALUE"""),"NORTH")</f>
        <v>NORTH</v>
      </c>
      <c r="B2247" s="115" t="str">
        <f>IFERROR(__xludf.DUMMYFUNCTION("""COMPUTED_VALUE"""),"Loveleen Singh")</f>
        <v>Loveleen Singh</v>
      </c>
      <c r="C2247" s="115" t="str">
        <f>IFERROR(__xludf.DUMMYFUNCTION("""COMPUTED_VALUE"""),"FLIPKART")</f>
        <v>FLIPKART</v>
      </c>
      <c r="D2247" s="115">
        <f>IFERROR(__xludf.DUMMYFUNCTION("""COMPUTED_VALUE"""),83423.0)</f>
        <v>83423</v>
      </c>
      <c r="E2247" s="115">
        <f>IFERROR(__xludf.DUMMYFUNCTION("""COMPUTED_VALUE"""),5882.0)</f>
        <v>5882</v>
      </c>
      <c r="F2247" s="115">
        <f>IFERROR(__xludf.DUMMYFUNCTION("""COMPUTED_VALUE"""),5850.0)</f>
        <v>5850</v>
      </c>
      <c r="G2247" s="115">
        <f>IFERROR(__xludf.DUMMYFUNCTION("""COMPUTED_VALUE"""),158.0)</f>
        <v>158</v>
      </c>
      <c r="H2247" s="116">
        <f>IFERROR(__xludf.DUMMYFUNCTION("""COMPUTED_VALUE"""),45905.0)</f>
        <v>45905</v>
      </c>
      <c r="I2247" s="115" t="str">
        <f>IFERROR(__xludf.DUMMYFUNCTION("""COMPUTED_VALUE"""),"10")</f>
        <v>10</v>
      </c>
      <c r="J2247" s="115" t="str">
        <f>IFERROR(__xludf.DUMMYFUNCTION("""COMPUTED_VALUE"""),"Loveleen Singh2025-09-0510")</f>
        <v>Loveleen Singh2025-09-0510</v>
      </c>
      <c r="K2247" s="115">
        <f>IFERROR(__xludf.DUMMYFUNCTION("""COMPUTED_VALUE"""),89305.0)</f>
        <v>89305</v>
      </c>
    </row>
    <row r="2248">
      <c r="A2248" s="115" t="str">
        <f>IFERROR(__xludf.DUMMYFUNCTION("""COMPUTED_VALUE"""),"NORTH")</f>
        <v>NORTH</v>
      </c>
      <c r="B2248" s="115" t="str">
        <f>IFERROR(__xludf.DUMMYFUNCTION("""COMPUTED_VALUE"""),"Loveleen Singh")</f>
        <v>Loveleen Singh</v>
      </c>
      <c r="C2248" s="115" t="str">
        <f>IFERROR(__xludf.DUMMYFUNCTION("""COMPUTED_VALUE"""),"MYNTRA")</f>
        <v>MYNTRA</v>
      </c>
      <c r="D2248" s="115">
        <f>IFERROR(__xludf.DUMMYFUNCTION("""COMPUTED_VALUE"""),13552.0)</f>
        <v>13552</v>
      </c>
      <c r="E2248" s="115">
        <f>IFERROR(__xludf.DUMMYFUNCTION("""COMPUTED_VALUE"""),2386.0)</f>
        <v>2386</v>
      </c>
      <c r="F2248" s="115">
        <f>IFERROR(__xludf.DUMMYFUNCTION("""COMPUTED_VALUE"""),1243.0)</f>
        <v>1243</v>
      </c>
      <c r="G2248" s="115">
        <f>IFERROR(__xludf.DUMMYFUNCTION("""COMPUTED_VALUE"""),61.0)</f>
        <v>61</v>
      </c>
      <c r="H2248" s="116">
        <f>IFERROR(__xludf.DUMMYFUNCTION("""COMPUTED_VALUE"""),45905.0)</f>
        <v>45905</v>
      </c>
      <c r="I2248" s="115" t="str">
        <f>IFERROR(__xludf.DUMMYFUNCTION("""COMPUTED_VALUE"""),"10")</f>
        <v>10</v>
      </c>
      <c r="J2248" s="115" t="str">
        <f>IFERROR(__xludf.DUMMYFUNCTION("""COMPUTED_VALUE"""),"Loveleen Singh2025-09-0510")</f>
        <v>Loveleen Singh2025-09-0510</v>
      </c>
      <c r="K2248" s="115">
        <f>IFERROR(__xludf.DUMMYFUNCTION("""COMPUTED_VALUE"""),15938.0)</f>
        <v>15938</v>
      </c>
    </row>
    <row r="2249">
      <c r="A2249" s="115" t="str">
        <f>IFERROR(__xludf.DUMMYFUNCTION("""COMPUTED_VALUE"""),"NORTH")</f>
        <v>NORTH</v>
      </c>
      <c r="B2249" s="115" t="str">
        <f>IFERROR(__xludf.DUMMYFUNCTION("""COMPUTED_VALUE"""),"Manoj Harsh")</f>
        <v>Manoj Harsh</v>
      </c>
      <c r="C2249" s="115" t="str">
        <f>IFERROR(__xludf.DUMMYFUNCTION("""COMPUTED_VALUE"""),"EXTERNAL")</f>
        <v>EXTERNAL</v>
      </c>
      <c r="D2249" s="115">
        <f>IFERROR(__xludf.DUMMYFUNCTION("""COMPUTED_VALUE"""),16734.0)</f>
        <v>16734</v>
      </c>
      <c r="E2249" s="115">
        <f>IFERROR(__xludf.DUMMYFUNCTION("""COMPUTED_VALUE"""),1089.0)</f>
        <v>1089</v>
      </c>
      <c r="F2249" s="115">
        <f>IFERROR(__xludf.DUMMYFUNCTION("""COMPUTED_VALUE"""),409.0)</f>
        <v>409</v>
      </c>
      <c r="G2249" s="115">
        <f>IFERROR(__xludf.DUMMYFUNCTION("""COMPUTED_VALUE"""),16.0)</f>
        <v>16</v>
      </c>
      <c r="H2249" s="116">
        <f>IFERROR(__xludf.DUMMYFUNCTION("""COMPUTED_VALUE"""),45905.0)</f>
        <v>45905</v>
      </c>
      <c r="I2249" s="115" t="str">
        <f>IFERROR(__xludf.DUMMYFUNCTION("""COMPUTED_VALUE"""),"10")</f>
        <v>10</v>
      </c>
      <c r="J2249" s="115" t="str">
        <f>IFERROR(__xludf.DUMMYFUNCTION("""COMPUTED_VALUE"""),"Manoj Harsh2025-09-0510")</f>
        <v>Manoj Harsh2025-09-0510</v>
      </c>
      <c r="K2249" s="115">
        <f>IFERROR(__xludf.DUMMYFUNCTION("""COMPUTED_VALUE"""),17823.0)</f>
        <v>17823</v>
      </c>
    </row>
    <row r="2250">
      <c r="A2250" s="115" t="str">
        <f>IFERROR(__xludf.DUMMYFUNCTION("""COMPUTED_VALUE"""),"NORTH")</f>
        <v>NORTH</v>
      </c>
      <c r="B2250" s="115" t="str">
        <f>IFERROR(__xludf.DUMMYFUNCTION("""COMPUTED_VALUE"""),"Manoj Harsh")</f>
        <v>Manoj Harsh</v>
      </c>
      <c r="C2250" s="115" t="str">
        <f>IFERROR(__xludf.DUMMYFUNCTION("""COMPUTED_VALUE"""),"FLIPKART")</f>
        <v>FLIPKART</v>
      </c>
      <c r="D2250" s="115">
        <f>IFERROR(__xludf.DUMMYFUNCTION("""COMPUTED_VALUE"""),228440.0)</f>
        <v>228440</v>
      </c>
      <c r="E2250" s="115">
        <f>IFERROR(__xludf.DUMMYFUNCTION("""COMPUTED_VALUE"""),17610.0)</f>
        <v>17610</v>
      </c>
      <c r="F2250" s="115">
        <f>IFERROR(__xludf.DUMMYFUNCTION("""COMPUTED_VALUE"""),12159.0)</f>
        <v>12159</v>
      </c>
      <c r="G2250" s="115">
        <f>IFERROR(__xludf.DUMMYFUNCTION("""COMPUTED_VALUE"""),440.0)</f>
        <v>440</v>
      </c>
      <c r="H2250" s="116">
        <f>IFERROR(__xludf.DUMMYFUNCTION("""COMPUTED_VALUE"""),45905.0)</f>
        <v>45905</v>
      </c>
      <c r="I2250" s="115" t="str">
        <f>IFERROR(__xludf.DUMMYFUNCTION("""COMPUTED_VALUE"""),"10")</f>
        <v>10</v>
      </c>
      <c r="J2250" s="115" t="str">
        <f>IFERROR(__xludf.DUMMYFUNCTION("""COMPUTED_VALUE"""),"Manoj Harsh2025-09-0510")</f>
        <v>Manoj Harsh2025-09-0510</v>
      </c>
      <c r="K2250" s="115">
        <f>IFERROR(__xludf.DUMMYFUNCTION("""COMPUTED_VALUE"""),246050.0)</f>
        <v>246050</v>
      </c>
    </row>
    <row r="2251">
      <c r="A2251" s="115" t="str">
        <f>IFERROR(__xludf.DUMMYFUNCTION("""COMPUTED_VALUE"""),"NORTH")</f>
        <v>NORTH</v>
      </c>
      <c r="B2251" s="115" t="str">
        <f>IFERROR(__xludf.DUMMYFUNCTION("""COMPUTED_VALUE"""),"Manoj Harsh")</f>
        <v>Manoj Harsh</v>
      </c>
      <c r="C2251" s="115" t="str">
        <f>IFERROR(__xludf.DUMMYFUNCTION("""COMPUTED_VALUE"""),"MYNTRA")</f>
        <v>MYNTRA</v>
      </c>
      <c r="D2251" s="115">
        <f>IFERROR(__xludf.DUMMYFUNCTION("""COMPUTED_VALUE"""),21830.0)</f>
        <v>21830</v>
      </c>
      <c r="E2251" s="115">
        <f>IFERROR(__xludf.DUMMYFUNCTION("""COMPUTED_VALUE"""),3633.0)</f>
        <v>3633</v>
      </c>
      <c r="F2251" s="115">
        <f>IFERROR(__xludf.DUMMYFUNCTION("""COMPUTED_VALUE"""),1364.0)</f>
        <v>1364</v>
      </c>
      <c r="G2251" s="115">
        <f>IFERROR(__xludf.DUMMYFUNCTION("""COMPUTED_VALUE"""),81.0)</f>
        <v>81</v>
      </c>
      <c r="H2251" s="116">
        <f>IFERROR(__xludf.DUMMYFUNCTION("""COMPUTED_VALUE"""),45905.0)</f>
        <v>45905</v>
      </c>
      <c r="I2251" s="115" t="str">
        <f>IFERROR(__xludf.DUMMYFUNCTION("""COMPUTED_VALUE"""),"10")</f>
        <v>10</v>
      </c>
      <c r="J2251" s="115" t="str">
        <f>IFERROR(__xludf.DUMMYFUNCTION("""COMPUTED_VALUE"""),"Manoj Harsh2025-09-0510")</f>
        <v>Manoj Harsh2025-09-0510</v>
      </c>
      <c r="K2251" s="115">
        <f>IFERROR(__xludf.DUMMYFUNCTION("""COMPUTED_VALUE"""),25463.0)</f>
        <v>25463</v>
      </c>
    </row>
    <row r="2252">
      <c r="A2252" s="115" t="str">
        <f>IFERROR(__xludf.DUMMYFUNCTION("""COMPUTED_VALUE"""),"NORTH")</f>
        <v>NORTH</v>
      </c>
      <c r="B2252" s="115" t="str">
        <f>IFERROR(__xludf.DUMMYFUNCTION("""COMPUTED_VALUE"""),"Pradeep Kothari")</f>
        <v>Pradeep Kothari</v>
      </c>
      <c r="C2252" s="115" t="str">
        <f>IFERROR(__xludf.DUMMYFUNCTION("""COMPUTED_VALUE"""),"EXTERNAL")</f>
        <v>EXTERNAL</v>
      </c>
      <c r="D2252" s="115">
        <f>IFERROR(__xludf.DUMMYFUNCTION("""COMPUTED_VALUE"""),10845.0)</f>
        <v>10845</v>
      </c>
      <c r="E2252" s="115">
        <f>IFERROR(__xludf.DUMMYFUNCTION("""COMPUTED_VALUE"""),892.0)</f>
        <v>892</v>
      </c>
      <c r="F2252" s="115">
        <f>IFERROR(__xludf.DUMMYFUNCTION("""COMPUTED_VALUE"""),425.0)</f>
        <v>425</v>
      </c>
      <c r="G2252" s="115">
        <f>IFERROR(__xludf.DUMMYFUNCTION("""COMPUTED_VALUE"""),23.0)</f>
        <v>23</v>
      </c>
      <c r="H2252" s="116">
        <f>IFERROR(__xludf.DUMMYFUNCTION("""COMPUTED_VALUE"""),45905.0)</f>
        <v>45905</v>
      </c>
      <c r="I2252" s="115" t="str">
        <f>IFERROR(__xludf.DUMMYFUNCTION("""COMPUTED_VALUE"""),"10")</f>
        <v>10</v>
      </c>
      <c r="J2252" s="115" t="str">
        <f>IFERROR(__xludf.DUMMYFUNCTION("""COMPUTED_VALUE"""),"Pradeep Kothari2025-09-0510")</f>
        <v>Pradeep Kothari2025-09-0510</v>
      </c>
      <c r="K2252" s="115">
        <f>IFERROR(__xludf.DUMMYFUNCTION("""COMPUTED_VALUE"""),11737.0)</f>
        <v>11737</v>
      </c>
    </row>
    <row r="2253">
      <c r="A2253" s="115" t="str">
        <f>IFERROR(__xludf.DUMMYFUNCTION("""COMPUTED_VALUE"""),"NORTH")</f>
        <v>NORTH</v>
      </c>
      <c r="B2253" s="115" t="str">
        <f>IFERROR(__xludf.DUMMYFUNCTION("""COMPUTED_VALUE"""),"Pradeep Kothari")</f>
        <v>Pradeep Kothari</v>
      </c>
      <c r="C2253" s="115" t="str">
        <f>IFERROR(__xludf.DUMMYFUNCTION("""COMPUTED_VALUE"""),"FLIPKART")</f>
        <v>FLIPKART</v>
      </c>
      <c r="D2253" s="115">
        <f>IFERROR(__xludf.DUMMYFUNCTION("""COMPUTED_VALUE"""),85735.0)</f>
        <v>85735</v>
      </c>
      <c r="E2253" s="115">
        <f>IFERROR(__xludf.DUMMYFUNCTION("""COMPUTED_VALUE"""),8337.0)</f>
        <v>8337</v>
      </c>
      <c r="F2253" s="115">
        <f>IFERROR(__xludf.DUMMYFUNCTION("""COMPUTED_VALUE"""),6800.0)</f>
        <v>6800</v>
      </c>
      <c r="G2253" s="115">
        <f>IFERROR(__xludf.DUMMYFUNCTION("""COMPUTED_VALUE"""),254.0)</f>
        <v>254</v>
      </c>
      <c r="H2253" s="116">
        <f>IFERROR(__xludf.DUMMYFUNCTION("""COMPUTED_VALUE"""),45905.0)</f>
        <v>45905</v>
      </c>
      <c r="I2253" s="115" t="str">
        <f>IFERROR(__xludf.DUMMYFUNCTION("""COMPUTED_VALUE"""),"10")</f>
        <v>10</v>
      </c>
      <c r="J2253" s="115" t="str">
        <f>IFERROR(__xludf.DUMMYFUNCTION("""COMPUTED_VALUE"""),"Pradeep Kothari2025-09-0510")</f>
        <v>Pradeep Kothari2025-09-0510</v>
      </c>
      <c r="K2253" s="115">
        <f>IFERROR(__xludf.DUMMYFUNCTION("""COMPUTED_VALUE"""),94072.0)</f>
        <v>94072</v>
      </c>
    </row>
    <row r="2254">
      <c r="A2254" s="115" t="str">
        <f>IFERROR(__xludf.DUMMYFUNCTION("""COMPUTED_VALUE"""),"NORTH")</f>
        <v>NORTH</v>
      </c>
      <c r="B2254" s="115" t="str">
        <f>IFERROR(__xludf.DUMMYFUNCTION("""COMPUTED_VALUE"""),"Pradeep Kothari")</f>
        <v>Pradeep Kothari</v>
      </c>
      <c r="C2254" s="115" t="str">
        <f>IFERROR(__xludf.DUMMYFUNCTION("""COMPUTED_VALUE"""),"MYNTRA")</f>
        <v>MYNTRA</v>
      </c>
      <c r="D2254" s="115">
        <f>IFERROR(__xludf.DUMMYFUNCTION("""COMPUTED_VALUE"""),14978.0)</f>
        <v>14978</v>
      </c>
      <c r="E2254" s="115">
        <f>IFERROR(__xludf.DUMMYFUNCTION("""COMPUTED_VALUE"""),3008.0)</f>
        <v>3008</v>
      </c>
      <c r="F2254" s="115">
        <f>IFERROR(__xludf.DUMMYFUNCTION("""COMPUTED_VALUE"""),1740.0)</f>
        <v>1740</v>
      </c>
      <c r="G2254" s="115">
        <f>IFERROR(__xludf.DUMMYFUNCTION("""COMPUTED_VALUE"""),115.0)</f>
        <v>115</v>
      </c>
      <c r="H2254" s="116">
        <f>IFERROR(__xludf.DUMMYFUNCTION("""COMPUTED_VALUE"""),45905.0)</f>
        <v>45905</v>
      </c>
      <c r="I2254" s="115" t="str">
        <f>IFERROR(__xludf.DUMMYFUNCTION("""COMPUTED_VALUE"""),"10")</f>
        <v>10</v>
      </c>
      <c r="J2254" s="115" t="str">
        <f>IFERROR(__xludf.DUMMYFUNCTION("""COMPUTED_VALUE"""),"Pradeep Kothari2025-09-0510")</f>
        <v>Pradeep Kothari2025-09-0510</v>
      </c>
      <c r="K2254" s="115">
        <f>IFERROR(__xludf.DUMMYFUNCTION("""COMPUTED_VALUE"""),17986.0)</f>
        <v>17986</v>
      </c>
    </row>
    <row r="2255">
      <c r="A2255" s="115" t="str">
        <f>IFERROR(__xludf.DUMMYFUNCTION("""COMPUTED_VALUE"""),"North")</f>
        <v>North</v>
      </c>
      <c r="B2255" s="115"/>
      <c r="C2255" s="115" t="str">
        <f>IFERROR(__xludf.DUMMYFUNCTION("""COMPUTED_VALUE"""),"EXTERNAL")</f>
        <v>EXTERNAL</v>
      </c>
      <c r="D2255" s="115">
        <f>IFERROR(__xludf.DUMMYFUNCTION("""COMPUTED_VALUE"""),5.0)</f>
        <v>5</v>
      </c>
      <c r="E2255" s="115">
        <f>IFERROR(__xludf.DUMMYFUNCTION("""COMPUTED_VALUE"""),0.0)</f>
        <v>0</v>
      </c>
      <c r="F2255" s="115">
        <f>IFERROR(__xludf.DUMMYFUNCTION("""COMPUTED_VALUE"""),0.0)</f>
        <v>0</v>
      </c>
      <c r="G2255" s="115">
        <f>IFERROR(__xludf.DUMMYFUNCTION("""COMPUTED_VALUE"""),0.0)</f>
        <v>0</v>
      </c>
      <c r="H2255" s="116">
        <f>IFERROR(__xludf.DUMMYFUNCTION("""COMPUTED_VALUE"""),45905.0)</f>
        <v>45905</v>
      </c>
      <c r="I2255" s="115" t="str">
        <f>IFERROR(__xludf.DUMMYFUNCTION("""COMPUTED_VALUE"""),"10")</f>
        <v>10</v>
      </c>
      <c r="J2255" s="115" t="str">
        <f>IFERROR(__xludf.DUMMYFUNCTION("""COMPUTED_VALUE"""),"2025-09-0510")</f>
        <v>2025-09-0510</v>
      </c>
      <c r="K2255" s="115">
        <f>IFERROR(__xludf.DUMMYFUNCTION("""COMPUTED_VALUE"""),5.0)</f>
        <v>5</v>
      </c>
    </row>
    <row r="2256">
      <c r="A2256" s="115" t="str">
        <f>IFERROR(__xludf.DUMMYFUNCTION("""COMPUTED_VALUE"""),"North")</f>
        <v>North</v>
      </c>
      <c r="B2256" s="115"/>
      <c r="C2256" s="115" t="str">
        <f>IFERROR(__xludf.DUMMYFUNCTION("""COMPUTED_VALUE"""),"FLIPKART")</f>
        <v>FLIPKART</v>
      </c>
      <c r="D2256" s="115">
        <f>IFERROR(__xludf.DUMMYFUNCTION("""COMPUTED_VALUE"""),20.0)</f>
        <v>20</v>
      </c>
      <c r="E2256" s="115">
        <f>IFERROR(__xludf.DUMMYFUNCTION("""COMPUTED_VALUE"""),0.0)</f>
        <v>0</v>
      </c>
      <c r="F2256" s="115">
        <f>IFERROR(__xludf.DUMMYFUNCTION("""COMPUTED_VALUE"""),0.0)</f>
        <v>0</v>
      </c>
      <c r="G2256" s="115">
        <f>IFERROR(__xludf.DUMMYFUNCTION("""COMPUTED_VALUE"""),0.0)</f>
        <v>0</v>
      </c>
      <c r="H2256" s="116">
        <f>IFERROR(__xludf.DUMMYFUNCTION("""COMPUTED_VALUE"""),45905.0)</f>
        <v>45905</v>
      </c>
      <c r="I2256" s="115" t="str">
        <f>IFERROR(__xludf.DUMMYFUNCTION("""COMPUTED_VALUE"""),"10")</f>
        <v>10</v>
      </c>
      <c r="J2256" s="115" t="str">
        <f>IFERROR(__xludf.DUMMYFUNCTION("""COMPUTED_VALUE"""),"2025-09-0510")</f>
        <v>2025-09-0510</v>
      </c>
      <c r="K2256" s="115">
        <f>IFERROR(__xludf.DUMMYFUNCTION("""COMPUTED_VALUE"""),20.0)</f>
        <v>20</v>
      </c>
    </row>
    <row r="2257">
      <c r="A2257" s="115" t="str">
        <f>IFERROR(__xludf.DUMMYFUNCTION("""COMPUTED_VALUE"""),"North")</f>
        <v>North</v>
      </c>
      <c r="B2257" s="115"/>
      <c r="C2257" s="115" t="str">
        <f>IFERROR(__xludf.DUMMYFUNCTION("""COMPUTED_VALUE"""),"MYNTRA")</f>
        <v>MYNTRA</v>
      </c>
      <c r="D2257" s="115">
        <f>IFERROR(__xludf.DUMMYFUNCTION("""COMPUTED_VALUE"""),2.0)</f>
        <v>2</v>
      </c>
      <c r="E2257" s="115">
        <f>IFERROR(__xludf.DUMMYFUNCTION("""COMPUTED_VALUE"""),0.0)</f>
        <v>0</v>
      </c>
      <c r="F2257" s="115">
        <f>IFERROR(__xludf.DUMMYFUNCTION("""COMPUTED_VALUE"""),0.0)</f>
        <v>0</v>
      </c>
      <c r="G2257" s="115">
        <f>IFERROR(__xludf.DUMMYFUNCTION("""COMPUTED_VALUE"""),0.0)</f>
        <v>0</v>
      </c>
      <c r="H2257" s="116">
        <f>IFERROR(__xludf.DUMMYFUNCTION("""COMPUTED_VALUE"""),45905.0)</f>
        <v>45905</v>
      </c>
      <c r="I2257" s="115" t="str">
        <f>IFERROR(__xludf.DUMMYFUNCTION("""COMPUTED_VALUE"""),"10")</f>
        <v>10</v>
      </c>
      <c r="J2257" s="115" t="str">
        <f>IFERROR(__xludf.DUMMYFUNCTION("""COMPUTED_VALUE"""),"2025-09-0510")</f>
        <v>2025-09-0510</v>
      </c>
      <c r="K2257" s="115">
        <f>IFERROR(__xludf.DUMMYFUNCTION("""COMPUTED_VALUE"""),2.0)</f>
        <v>2</v>
      </c>
    </row>
    <row r="2258">
      <c r="A2258" s="115" t="str">
        <f>IFERROR(__xludf.DUMMYFUNCTION("""COMPUTED_VALUE"""),"SOUTH")</f>
        <v>SOUTH</v>
      </c>
      <c r="B2258" s="115" t="str">
        <f>IFERROR(__xludf.DUMMYFUNCTION("""COMPUTED_VALUE"""),"Kandula Sampath")</f>
        <v>Kandula Sampath</v>
      </c>
      <c r="C2258" s="115" t="str">
        <f>IFERROR(__xludf.DUMMYFUNCTION("""COMPUTED_VALUE"""),"EXTERNAL")</f>
        <v>EXTERNAL</v>
      </c>
      <c r="D2258" s="115">
        <f>IFERROR(__xludf.DUMMYFUNCTION("""COMPUTED_VALUE"""),24412.0)</f>
        <v>24412</v>
      </c>
      <c r="E2258" s="115">
        <f>IFERROR(__xludf.DUMMYFUNCTION("""COMPUTED_VALUE"""),2104.0)</f>
        <v>2104</v>
      </c>
      <c r="F2258" s="115">
        <f>IFERROR(__xludf.DUMMYFUNCTION("""COMPUTED_VALUE"""),1661.0)</f>
        <v>1661</v>
      </c>
      <c r="G2258" s="115">
        <f>IFERROR(__xludf.DUMMYFUNCTION("""COMPUTED_VALUE"""),32.0)</f>
        <v>32</v>
      </c>
      <c r="H2258" s="116">
        <f>IFERROR(__xludf.DUMMYFUNCTION("""COMPUTED_VALUE"""),45905.0)</f>
        <v>45905</v>
      </c>
      <c r="I2258" s="115" t="str">
        <f>IFERROR(__xludf.DUMMYFUNCTION("""COMPUTED_VALUE"""),"10")</f>
        <v>10</v>
      </c>
      <c r="J2258" s="115" t="str">
        <f>IFERROR(__xludf.DUMMYFUNCTION("""COMPUTED_VALUE"""),"Kandula Sampath2025-09-0510")</f>
        <v>Kandula Sampath2025-09-0510</v>
      </c>
      <c r="K2258" s="115">
        <f>IFERROR(__xludf.DUMMYFUNCTION("""COMPUTED_VALUE"""),26516.0)</f>
        <v>26516</v>
      </c>
    </row>
    <row r="2259">
      <c r="A2259" s="115" t="str">
        <f>IFERROR(__xludf.DUMMYFUNCTION("""COMPUTED_VALUE"""),"SOUTH")</f>
        <v>SOUTH</v>
      </c>
      <c r="B2259" s="115" t="str">
        <f>IFERROR(__xludf.DUMMYFUNCTION("""COMPUTED_VALUE"""),"Kandula Sampath")</f>
        <v>Kandula Sampath</v>
      </c>
      <c r="C2259" s="115" t="str">
        <f>IFERROR(__xludf.DUMMYFUNCTION("""COMPUTED_VALUE"""),"FLIPKART")</f>
        <v>FLIPKART</v>
      </c>
      <c r="D2259" s="115">
        <f>IFERROR(__xludf.DUMMYFUNCTION("""COMPUTED_VALUE"""),219177.0)</f>
        <v>219177</v>
      </c>
      <c r="E2259" s="115">
        <f>IFERROR(__xludf.DUMMYFUNCTION("""COMPUTED_VALUE"""),17737.0)</f>
        <v>17737</v>
      </c>
      <c r="F2259" s="115">
        <f>IFERROR(__xludf.DUMMYFUNCTION("""COMPUTED_VALUE"""),28612.0)</f>
        <v>28612</v>
      </c>
      <c r="G2259" s="115">
        <f>IFERROR(__xludf.DUMMYFUNCTION("""COMPUTED_VALUE"""),467.0)</f>
        <v>467</v>
      </c>
      <c r="H2259" s="116">
        <f>IFERROR(__xludf.DUMMYFUNCTION("""COMPUTED_VALUE"""),45905.0)</f>
        <v>45905</v>
      </c>
      <c r="I2259" s="115" t="str">
        <f>IFERROR(__xludf.DUMMYFUNCTION("""COMPUTED_VALUE"""),"10")</f>
        <v>10</v>
      </c>
      <c r="J2259" s="115" t="str">
        <f>IFERROR(__xludf.DUMMYFUNCTION("""COMPUTED_VALUE"""),"Kandula Sampath2025-09-0510")</f>
        <v>Kandula Sampath2025-09-0510</v>
      </c>
      <c r="K2259" s="115">
        <f>IFERROR(__xludf.DUMMYFUNCTION("""COMPUTED_VALUE"""),236914.0)</f>
        <v>236914</v>
      </c>
    </row>
    <row r="2260">
      <c r="A2260" s="115" t="str">
        <f>IFERROR(__xludf.DUMMYFUNCTION("""COMPUTED_VALUE"""),"SOUTH")</f>
        <v>SOUTH</v>
      </c>
      <c r="B2260" s="115" t="str">
        <f>IFERROR(__xludf.DUMMYFUNCTION("""COMPUTED_VALUE"""),"Kandula Sampath")</f>
        <v>Kandula Sampath</v>
      </c>
      <c r="C2260" s="115" t="str">
        <f>IFERROR(__xludf.DUMMYFUNCTION("""COMPUTED_VALUE"""),"MYNTRA")</f>
        <v>MYNTRA</v>
      </c>
      <c r="D2260" s="115">
        <f>IFERROR(__xludf.DUMMYFUNCTION("""COMPUTED_VALUE"""),27404.0)</f>
        <v>27404</v>
      </c>
      <c r="E2260" s="115">
        <f>IFERROR(__xludf.DUMMYFUNCTION("""COMPUTED_VALUE"""),4624.0)</f>
        <v>4624</v>
      </c>
      <c r="F2260" s="115">
        <f>IFERROR(__xludf.DUMMYFUNCTION("""COMPUTED_VALUE"""),4171.0)</f>
        <v>4171</v>
      </c>
      <c r="G2260" s="115">
        <f>IFERROR(__xludf.DUMMYFUNCTION("""COMPUTED_VALUE"""),110.0)</f>
        <v>110</v>
      </c>
      <c r="H2260" s="116">
        <f>IFERROR(__xludf.DUMMYFUNCTION("""COMPUTED_VALUE"""),45905.0)</f>
        <v>45905</v>
      </c>
      <c r="I2260" s="115" t="str">
        <f>IFERROR(__xludf.DUMMYFUNCTION("""COMPUTED_VALUE"""),"10")</f>
        <v>10</v>
      </c>
      <c r="J2260" s="115" t="str">
        <f>IFERROR(__xludf.DUMMYFUNCTION("""COMPUTED_VALUE"""),"Kandula Sampath2025-09-0510")</f>
        <v>Kandula Sampath2025-09-0510</v>
      </c>
      <c r="K2260" s="115">
        <f>IFERROR(__xludf.DUMMYFUNCTION("""COMPUTED_VALUE"""),32028.0)</f>
        <v>32028</v>
      </c>
    </row>
    <row r="2261">
      <c r="A2261" s="115" t="str">
        <f>IFERROR(__xludf.DUMMYFUNCTION("""COMPUTED_VALUE"""),"SOUTH")</f>
        <v>SOUTH</v>
      </c>
      <c r="B2261" s="115" t="str">
        <f>IFERROR(__xludf.DUMMYFUNCTION("""COMPUTED_VALUE"""),"Martin A")</f>
        <v>Martin A</v>
      </c>
      <c r="C2261" s="115" t="str">
        <f>IFERROR(__xludf.DUMMYFUNCTION("""COMPUTED_VALUE"""),"EXTERNAL")</f>
        <v>EXTERNAL</v>
      </c>
      <c r="D2261" s="115">
        <f>IFERROR(__xludf.DUMMYFUNCTION("""COMPUTED_VALUE"""),20842.0)</f>
        <v>20842</v>
      </c>
      <c r="E2261" s="115">
        <f>IFERROR(__xludf.DUMMYFUNCTION("""COMPUTED_VALUE"""),2050.0)</f>
        <v>2050</v>
      </c>
      <c r="F2261" s="115">
        <f>IFERROR(__xludf.DUMMYFUNCTION("""COMPUTED_VALUE"""),1203.0)</f>
        <v>1203</v>
      </c>
      <c r="G2261" s="115">
        <f>IFERROR(__xludf.DUMMYFUNCTION("""COMPUTED_VALUE"""),70.0)</f>
        <v>70</v>
      </c>
      <c r="H2261" s="116">
        <f>IFERROR(__xludf.DUMMYFUNCTION("""COMPUTED_VALUE"""),45905.0)</f>
        <v>45905</v>
      </c>
      <c r="I2261" s="115" t="str">
        <f>IFERROR(__xludf.DUMMYFUNCTION("""COMPUTED_VALUE"""),"10")</f>
        <v>10</v>
      </c>
      <c r="J2261" s="115" t="str">
        <f>IFERROR(__xludf.DUMMYFUNCTION("""COMPUTED_VALUE"""),"Martin A2025-09-0510")</f>
        <v>Martin A2025-09-0510</v>
      </c>
      <c r="K2261" s="115">
        <f>IFERROR(__xludf.DUMMYFUNCTION("""COMPUTED_VALUE"""),22892.0)</f>
        <v>22892</v>
      </c>
    </row>
    <row r="2262">
      <c r="A2262" s="115" t="str">
        <f>IFERROR(__xludf.DUMMYFUNCTION("""COMPUTED_VALUE"""),"SOUTH")</f>
        <v>SOUTH</v>
      </c>
      <c r="B2262" s="115" t="str">
        <f>IFERROR(__xludf.DUMMYFUNCTION("""COMPUTED_VALUE"""),"Martin A")</f>
        <v>Martin A</v>
      </c>
      <c r="C2262" s="115" t="str">
        <f>IFERROR(__xludf.DUMMYFUNCTION("""COMPUTED_VALUE"""),"FLIPKART")</f>
        <v>FLIPKART</v>
      </c>
      <c r="D2262" s="115">
        <f>IFERROR(__xludf.DUMMYFUNCTION("""COMPUTED_VALUE"""),165626.0)</f>
        <v>165626</v>
      </c>
      <c r="E2262" s="115">
        <f>IFERROR(__xludf.DUMMYFUNCTION("""COMPUTED_VALUE"""),15256.0)</f>
        <v>15256</v>
      </c>
      <c r="F2262" s="115">
        <f>IFERROR(__xludf.DUMMYFUNCTION("""COMPUTED_VALUE"""),17092.0)</f>
        <v>17092</v>
      </c>
      <c r="G2262" s="115">
        <f>IFERROR(__xludf.DUMMYFUNCTION("""COMPUTED_VALUE"""),520.0)</f>
        <v>520</v>
      </c>
      <c r="H2262" s="116">
        <f>IFERROR(__xludf.DUMMYFUNCTION("""COMPUTED_VALUE"""),45905.0)</f>
        <v>45905</v>
      </c>
      <c r="I2262" s="115" t="str">
        <f>IFERROR(__xludf.DUMMYFUNCTION("""COMPUTED_VALUE"""),"10")</f>
        <v>10</v>
      </c>
      <c r="J2262" s="115" t="str">
        <f>IFERROR(__xludf.DUMMYFUNCTION("""COMPUTED_VALUE"""),"Martin A2025-09-0510")</f>
        <v>Martin A2025-09-0510</v>
      </c>
      <c r="K2262" s="115">
        <f>IFERROR(__xludf.DUMMYFUNCTION("""COMPUTED_VALUE"""),180882.0)</f>
        <v>180882</v>
      </c>
    </row>
    <row r="2263">
      <c r="A2263" s="115" t="str">
        <f>IFERROR(__xludf.DUMMYFUNCTION("""COMPUTED_VALUE"""),"SOUTH")</f>
        <v>SOUTH</v>
      </c>
      <c r="B2263" s="115" t="str">
        <f>IFERROR(__xludf.DUMMYFUNCTION("""COMPUTED_VALUE"""),"Martin A")</f>
        <v>Martin A</v>
      </c>
      <c r="C2263" s="115" t="str">
        <f>IFERROR(__xludf.DUMMYFUNCTION("""COMPUTED_VALUE"""),"MYNTRA")</f>
        <v>MYNTRA</v>
      </c>
      <c r="D2263" s="115">
        <f>IFERROR(__xludf.DUMMYFUNCTION("""COMPUTED_VALUE"""),18061.0)</f>
        <v>18061</v>
      </c>
      <c r="E2263" s="115">
        <f>IFERROR(__xludf.DUMMYFUNCTION("""COMPUTED_VALUE"""),3492.0)</f>
        <v>3492</v>
      </c>
      <c r="F2263" s="115">
        <f>IFERROR(__xludf.DUMMYFUNCTION("""COMPUTED_VALUE"""),2332.0)</f>
        <v>2332</v>
      </c>
      <c r="G2263" s="115">
        <f>IFERROR(__xludf.DUMMYFUNCTION("""COMPUTED_VALUE"""),147.0)</f>
        <v>147</v>
      </c>
      <c r="H2263" s="116">
        <f>IFERROR(__xludf.DUMMYFUNCTION("""COMPUTED_VALUE"""),45905.0)</f>
        <v>45905</v>
      </c>
      <c r="I2263" s="115" t="str">
        <f>IFERROR(__xludf.DUMMYFUNCTION("""COMPUTED_VALUE"""),"10")</f>
        <v>10</v>
      </c>
      <c r="J2263" s="115" t="str">
        <f>IFERROR(__xludf.DUMMYFUNCTION("""COMPUTED_VALUE"""),"Martin A2025-09-0510")</f>
        <v>Martin A2025-09-0510</v>
      </c>
      <c r="K2263" s="115">
        <f>IFERROR(__xludf.DUMMYFUNCTION("""COMPUTED_VALUE"""),21553.0)</f>
        <v>21553</v>
      </c>
    </row>
    <row r="2264">
      <c r="A2264" s="115" t="str">
        <f>IFERROR(__xludf.DUMMYFUNCTION("""COMPUTED_VALUE"""),"SOUTH")</f>
        <v>SOUTH</v>
      </c>
      <c r="B2264" s="115" t="str">
        <f>IFERROR(__xludf.DUMMYFUNCTION("""COMPUTED_VALUE"""),"Premkumar M")</f>
        <v>Premkumar M</v>
      </c>
      <c r="C2264" s="115" t="str">
        <f>IFERROR(__xludf.DUMMYFUNCTION("""COMPUTED_VALUE"""),"EXTERNAL")</f>
        <v>EXTERNAL</v>
      </c>
      <c r="D2264" s="115">
        <f>IFERROR(__xludf.DUMMYFUNCTION("""COMPUTED_VALUE"""),10984.0)</f>
        <v>10984</v>
      </c>
      <c r="E2264" s="115">
        <f>IFERROR(__xludf.DUMMYFUNCTION("""COMPUTED_VALUE"""),440.0)</f>
        <v>440</v>
      </c>
      <c r="F2264" s="115">
        <f>IFERROR(__xludf.DUMMYFUNCTION("""COMPUTED_VALUE"""),382.0)</f>
        <v>382</v>
      </c>
      <c r="G2264" s="115">
        <f>IFERROR(__xludf.DUMMYFUNCTION("""COMPUTED_VALUE"""),3.0)</f>
        <v>3</v>
      </c>
      <c r="H2264" s="116">
        <f>IFERROR(__xludf.DUMMYFUNCTION("""COMPUTED_VALUE"""),45905.0)</f>
        <v>45905</v>
      </c>
      <c r="I2264" s="115" t="str">
        <f>IFERROR(__xludf.DUMMYFUNCTION("""COMPUTED_VALUE"""),"10")</f>
        <v>10</v>
      </c>
      <c r="J2264" s="115" t="str">
        <f>IFERROR(__xludf.DUMMYFUNCTION("""COMPUTED_VALUE"""),"Premkumar M2025-09-0510")</f>
        <v>Premkumar M2025-09-0510</v>
      </c>
      <c r="K2264" s="115">
        <f>IFERROR(__xludf.DUMMYFUNCTION("""COMPUTED_VALUE"""),11424.0)</f>
        <v>11424</v>
      </c>
    </row>
    <row r="2265">
      <c r="A2265" s="115" t="str">
        <f>IFERROR(__xludf.DUMMYFUNCTION("""COMPUTED_VALUE"""),"SOUTH")</f>
        <v>SOUTH</v>
      </c>
      <c r="B2265" s="115" t="str">
        <f>IFERROR(__xludf.DUMMYFUNCTION("""COMPUTED_VALUE"""),"Premkumar M")</f>
        <v>Premkumar M</v>
      </c>
      <c r="C2265" s="115" t="str">
        <f>IFERROR(__xludf.DUMMYFUNCTION("""COMPUTED_VALUE"""),"FLIPKART")</f>
        <v>FLIPKART</v>
      </c>
      <c r="D2265" s="115">
        <f>IFERROR(__xludf.DUMMYFUNCTION("""COMPUTED_VALUE"""),106167.0)</f>
        <v>106167</v>
      </c>
      <c r="E2265" s="115">
        <f>IFERROR(__xludf.DUMMYFUNCTION("""COMPUTED_VALUE"""),5936.0)</f>
        <v>5936</v>
      </c>
      <c r="F2265" s="115">
        <f>IFERROR(__xludf.DUMMYFUNCTION("""COMPUTED_VALUE"""),6083.0)</f>
        <v>6083</v>
      </c>
      <c r="G2265" s="115">
        <f>IFERROR(__xludf.DUMMYFUNCTION("""COMPUTED_VALUE"""),71.0)</f>
        <v>71</v>
      </c>
      <c r="H2265" s="116">
        <f>IFERROR(__xludf.DUMMYFUNCTION("""COMPUTED_VALUE"""),45905.0)</f>
        <v>45905</v>
      </c>
      <c r="I2265" s="115" t="str">
        <f>IFERROR(__xludf.DUMMYFUNCTION("""COMPUTED_VALUE"""),"10")</f>
        <v>10</v>
      </c>
      <c r="J2265" s="115" t="str">
        <f>IFERROR(__xludf.DUMMYFUNCTION("""COMPUTED_VALUE"""),"Premkumar M2025-09-0510")</f>
        <v>Premkumar M2025-09-0510</v>
      </c>
      <c r="K2265" s="115">
        <f>IFERROR(__xludf.DUMMYFUNCTION("""COMPUTED_VALUE"""),112103.0)</f>
        <v>112103</v>
      </c>
    </row>
    <row r="2266">
      <c r="A2266" s="115" t="str">
        <f>IFERROR(__xludf.DUMMYFUNCTION("""COMPUTED_VALUE"""),"SOUTH")</f>
        <v>SOUTH</v>
      </c>
      <c r="B2266" s="115" t="str">
        <f>IFERROR(__xludf.DUMMYFUNCTION("""COMPUTED_VALUE"""),"Premkumar M")</f>
        <v>Premkumar M</v>
      </c>
      <c r="C2266" s="115" t="str">
        <f>IFERROR(__xludf.DUMMYFUNCTION("""COMPUTED_VALUE"""),"MYNTRA")</f>
        <v>MYNTRA</v>
      </c>
      <c r="D2266" s="115">
        <f>IFERROR(__xludf.DUMMYFUNCTION("""COMPUTED_VALUE"""),6403.0)</f>
        <v>6403</v>
      </c>
      <c r="E2266" s="115">
        <f>IFERROR(__xludf.DUMMYFUNCTION("""COMPUTED_VALUE"""),974.0)</f>
        <v>974</v>
      </c>
      <c r="F2266" s="115">
        <f>IFERROR(__xludf.DUMMYFUNCTION("""COMPUTED_VALUE"""),446.0)</f>
        <v>446</v>
      </c>
      <c r="G2266" s="115">
        <f>IFERROR(__xludf.DUMMYFUNCTION("""COMPUTED_VALUE"""),8.0)</f>
        <v>8</v>
      </c>
      <c r="H2266" s="116">
        <f>IFERROR(__xludf.DUMMYFUNCTION("""COMPUTED_VALUE"""),45905.0)</f>
        <v>45905</v>
      </c>
      <c r="I2266" s="115" t="str">
        <f>IFERROR(__xludf.DUMMYFUNCTION("""COMPUTED_VALUE"""),"10")</f>
        <v>10</v>
      </c>
      <c r="J2266" s="115" t="str">
        <f>IFERROR(__xludf.DUMMYFUNCTION("""COMPUTED_VALUE"""),"Premkumar M2025-09-0510")</f>
        <v>Premkumar M2025-09-0510</v>
      </c>
      <c r="K2266" s="115">
        <f>IFERROR(__xludf.DUMMYFUNCTION("""COMPUTED_VALUE"""),7377.0)</f>
        <v>7377</v>
      </c>
    </row>
    <row r="2267">
      <c r="A2267" s="115" t="str">
        <f>IFERROR(__xludf.DUMMYFUNCTION("""COMPUTED_VALUE"""),"SOUTH")</f>
        <v>SOUTH</v>
      </c>
      <c r="B2267" s="115" t="str">
        <f>IFERROR(__xludf.DUMMYFUNCTION("""COMPUTED_VALUE"""),"Vineeth V")</f>
        <v>Vineeth V</v>
      </c>
      <c r="C2267" s="115" t="str">
        <f>IFERROR(__xludf.DUMMYFUNCTION("""COMPUTED_VALUE"""),"EXTERNAL")</f>
        <v>EXTERNAL</v>
      </c>
      <c r="D2267" s="115">
        <f>IFERROR(__xludf.DUMMYFUNCTION("""COMPUTED_VALUE"""),1268.0)</f>
        <v>1268</v>
      </c>
      <c r="E2267" s="115">
        <f>IFERROR(__xludf.DUMMYFUNCTION("""COMPUTED_VALUE"""),47.0)</f>
        <v>47</v>
      </c>
      <c r="F2267" s="115">
        <f>IFERROR(__xludf.DUMMYFUNCTION("""COMPUTED_VALUE"""),92.0)</f>
        <v>92</v>
      </c>
      <c r="G2267" s="115">
        <f>IFERROR(__xludf.DUMMYFUNCTION("""COMPUTED_VALUE"""),0.0)</f>
        <v>0</v>
      </c>
      <c r="H2267" s="116">
        <f>IFERROR(__xludf.DUMMYFUNCTION("""COMPUTED_VALUE"""),45905.0)</f>
        <v>45905</v>
      </c>
      <c r="I2267" s="115" t="str">
        <f>IFERROR(__xludf.DUMMYFUNCTION("""COMPUTED_VALUE"""),"10")</f>
        <v>10</v>
      </c>
      <c r="J2267" s="115" t="str">
        <f>IFERROR(__xludf.DUMMYFUNCTION("""COMPUTED_VALUE"""),"Vineeth V2025-09-0510")</f>
        <v>Vineeth V2025-09-0510</v>
      </c>
      <c r="K2267" s="115">
        <f>IFERROR(__xludf.DUMMYFUNCTION("""COMPUTED_VALUE"""),1315.0)</f>
        <v>1315</v>
      </c>
    </row>
    <row r="2268">
      <c r="A2268" s="115" t="str">
        <f>IFERROR(__xludf.DUMMYFUNCTION("""COMPUTED_VALUE"""),"SOUTH")</f>
        <v>SOUTH</v>
      </c>
      <c r="B2268" s="115" t="str">
        <f>IFERROR(__xludf.DUMMYFUNCTION("""COMPUTED_VALUE"""),"Vineeth V")</f>
        <v>Vineeth V</v>
      </c>
      <c r="C2268" s="115" t="str">
        <f>IFERROR(__xludf.DUMMYFUNCTION("""COMPUTED_VALUE"""),"FLIPKART")</f>
        <v>FLIPKART</v>
      </c>
      <c r="D2268" s="115">
        <f>IFERROR(__xludf.DUMMYFUNCTION("""COMPUTED_VALUE"""),8812.0)</f>
        <v>8812</v>
      </c>
      <c r="E2268" s="115">
        <f>IFERROR(__xludf.DUMMYFUNCTION("""COMPUTED_VALUE"""),760.0)</f>
        <v>760</v>
      </c>
      <c r="F2268" s="115">
        <f>IFERROR(__xludf.DUMMYFUNCTION("""COMPUTED_VALUE"""),1044.0)</f>
        <v>1044</v>
      </c>
      <c r="G2268" s="115">
        <f>IFERROR(__xludf.DUMMYFUNCTION("""COMPUTED_VALUE"""),43.0)</f>
        <v>43</v>
      </c>
      <c r="H2268" s="116">
        <f>IFERROR(__xludf.DUMMYFUNCTION("""COMPUTED_VALUE"""),45905.0)</f>
        <v>45905</v>
      </c>
      <c r="I2268" s="115" t="str">
        <f>IFERROR(__xludf.DUMMYFUNCTION("""COMPUTED_VALUE"""),"10")</f>
        <v>10</v>
      </c>
      <c r="J2268" s="115" t="str">
        <f>IFERROR(__xludf.DUMMYFUNCTION("""COMPUTED_VALUE"""),"Vineeth V2025-09-0510")</f>
        <v>Vineeth V2025-09-0510</v>
      </c>
      <c r="K2268" s="115">
        <f>IFERROR(__xludf.DUMMYFUNCTION("""COMPUTED_VALUE"""),9572.0)</f>
        <v>9572</v>
      </c>
    </row>
    <row r="2269">
      <c r="A2269" s="115" t="str">
        <f>IFERROR(__xludf.DUMMYFUNCTION("""COMPUTED_VALUE"""),"SOUTH")</f>
        <v>SOUTH</v>
      </c>
      <c r="B2269" s="115" t="str">
        <f>IFERROR(__xludf.DUMMYFUNCTION("""COMPUTED_VALUE"""),"Vineeth V")</f>
        <v>Vineeth V</v>
      </c>
      <c r="C2269" s="115" t="str">
        <f>IFERROR(__xludf.DUMMYFUNCTION("""COMPUTED_VALUE"""),"MYNTRA")</f>
        <v>MYNTRA</v>
      </c>
      <c r="D2269" s="115">
        <f>IFERROR(__xludf.DUMMYFUNCTION("""COMPUTED_VALUE"""),1530.0)</f>
        <v>1530</v>
      </c>
      <c r="E2269" s="115">
        <f>IFERROR(__xludf.DUMMYFUNCTION("""COMPUTED_VALUE"""),200.0)</f>
        <v>200</v>
      </c>
      <c r="F2269" s="115">
        <f>IFERROR(__xludf.DUMMYFUNCTION("""COMPUTED_VALUE"""),227.0)</f>
        <v>227</v>
      </c>
      <c r="G2269" s="115">
        <f>IFERROR(__xludf.DUMMYFUNCTION("""COMPUTED_VALUE"""),14.0)</f>
        <v>14</v>
      </c>
      <c r="H2269" s="116">
        <f>IFERROR(__xludf.DUMMYFUNCTION("""COMPUTED_VALUE"""),45905.0)</f>
        <v>45905</v>
      </c>
      <c r="I2269" s="115" t="str">
        <f>IFERROR(__xludf.DUMMYFUNCTION("""COMPUTED_VALUE"""),"10")</f>
        <v>10</v>
      </c>
      <c r="J2269" s="115" t="str">
        <f>IFERROR(__xludf.DUMMYFUNCTION("""COMPUTED_VALUE"""),"Vineeth V2025-09-0510")</f>
        <v>Vineeth V2025-09-0510</v>
      </c>
      <c r="K2269" s="115">
        <f>IFERROR(__xludf.DUMMYFUNCTION("""COMPUTED_VALUE"""),1730.0)</f>
        <v>1730</v>
      </c>
    </row>
    <row r="2270">
      <c r="A2270" s="115" t="str">
        <f>IFERROR(__xludf.DUMMYFUNCTION("""COMPUTED_VALUE"""),"WEST")</f>
        <v>WEST</v>
      </c>
      <c r="B2270" s="115" t="str">
        <f>IFERROR(__xludf.DUMMYFUNCTION("""COMPUTED_VALUE"""),"Ashish Jakar")</f>
        <v>Ashish Jakar</v>
      </c>
      <c r="C2270" s="115" t="str">
        <f>IFERROR(__xludf.DUMMYFUNCTION("""COMPUTED_VALUE"""),"EXTERNAL")</f>
        <v>EXTERNAL</v>
      </c>
      <c r="D2270" s="115">
        <f>IFERROR(__xludf.DUMMYFUNCTION("""COMPUTED_VALUE"""),27890.0)</f>
        <v>27890</v>
      </c>
      <c r="E2270" s="115">
        <f>IFERROR(__xludf.DUMMYFUNCTION("""COMPUTED_VALUE"""),3378.0)</f>
        <v>3378</v>
      </c>
      <c r="F2270" s="115">
        <f>IFERROR(__xludf.DUMMYFUNCTION("""COMPUTED_VALUE"""),1307.0)</f>
        <v>1307</v>
      </c>
      <c r="G2270" s="115">
        <f>IFERROR(__xludf.DUMMYFUNCTION("""COMPUTED_VALUE"""),78.0)</f>
        <v>78</v>
      </c>
      <c r="H2270" s="116">
        <f>IFERROR(__xludf.DUMMYFUNCTION("""COMPUTED_VALUE"""),45905.0)</f>
        <v>45905</v>
      </c>
      <c r="I2270" s="115" t="str">
        <f>IFERROR(__xludf.DUMMYFUNCTION("""COMPUTED_VALUE"""),"10")</f>
        <v>10</v>
      </c>
      <c r="J2270" s="115" t="str">
        <f>IFERROR(__xludf.DUMMYFUNCTION("""COMPUTED_VALUE"""),"Ashish Jakar2025-09-0510")</f>
        <v>Ashish Jakar2025-09-0510</v>
      </c>
      <c r="K2270" s="115">
        <f>IFERROR(__xludf.DUMMYFUNCTION("""COMPUTED_VALUE"""),31268.0)</f>
        <v>31268</v>
      </c>
    </row>
    <row r="2271">
      <c r="A2271" s="115" t="str">
        <f>IFERROR(__xludf.DUMMYFUNCTION("""COMPUTED_VALUE"""),"WEST")</f>
        <v>WEST</v>
      </c>
      <c r="B2271" s="115" t="str">
        <f>IFERROR(__xludf.DUMMYFUNCTION("""COMPUTED_VALUE"""),"Ashish Jakar")</f>
        <v>Ashish Jakar</v>
      </c>
      <c r="C2271" s="115" t="str">
        <f>IFERROR(__xludf.DUMMYFUNCTION("""COMPUTED_VALUE"""),"FLIPKART")</f>
        <v>FLIPKART</v>
      </c>
      <c r="D2271" s="115">
        <f>IFERROR(__xludf.DUMMYFUNCTION("""COMPUTED_VALUE"""),163303.0)</f>
        <v>163303</v>
      </c>
      <c r="E2271" s="115">
        <f>IFERROR(__xludf.DUMMYFUNCTION("""COMPUTED_VALUE"""),17307.0)</f>
        <v>17307</v>
      </c>
      <c r="F2271" s="115">
        <f>IFERROR(__xludf.DUMMYFUNCTION("""COMPUTED_VALUE"""),11782.0)</f>
        <v>11782</v>
      </c>
      <c r="G2271" s="115">
        <f>IFERROR(__xludf.DUMMYFUNCTION("""COMPUTED_VALUE"""),400.0)</f>
        <v>400</v>
      </c>
      <c r="H2271" s="116">
        <f>IFERROR(__xludf.DUMMYFUNCTION("""COMPUTED_VALUE"""),45905.0)</f>
        <v>45905</v>
      </c>
      <c r="I2271" s="115" t="str">
        <f>IFERROR(__xludf.DUMMYFUNCTION("""COMPUTED_VALUE"""),"10")</f>
        <v>10</v>
      </c>
      <c r="J2271" s="115" t="str">
        <f>IFERROR(__xludf.DUMMYFUNCTION("""COMPUTED_VALUE"""),"Ashish Jakar2025-09-0510")</f>
        <v>Ashish Jakar2025-09-0510</v>
      </c>
      <c r="K2271" s="115">
        <f>IFERROR(__xludf.DUMMYFUNCTION("""COMPUTED_VALUE"""),180610.0)</f>
        <v>180610</v>
      </c>
    </row>
    <row r="2272">
      <c r="A2272" s="115" t="str">
        <f>IFERROR(__xludf.DUMMYFUNCTION("""COMPUTED_VALUE"""),"WEST")</f>
        <v>WEST</v>
      </c>
      <c r="B2272" s="115" t="str">
        <f>IFERROR(__xludf.DUMMYFUNCTION("""COMPUTED_VALUE"""),"Ashish Jakar")</f>
        <v>Ashish Jakar</v>
      </c>
      <c r="C2272" s="115" t="str">
        <f>IFERROR(__xludf.DUMMYFUNCTION("""COMPUTED_VALUE"""),"MYNTRA")</f>
        <v>MYNTRA</v>
      </c>
      <c r="D2272" s="115">
        <f>IFERROR(__xludf.DUMMYFUNCTION("""COMPUTED_VALUE"""),22348.0)</f>
        <v>22348</v>
      </c>
      <c r="E2272" s="115">
        <f>IFERROR(__xludf.DUMMYFUNCTION("""COMPUTED_VALUE"""),5867.0)</f>
        <v>5867</v>
      </c>
      <c r="F2272" s="115">
        <f>IFERROR(__xludf.DUMMYFUNCTION("""COMPUTED_VALUE"""),2080.0)</f>
        <v>2080</v>
      </c>
      <c r="G2272" s="115">
        <f>IFERROR(__xludf.DUMMYFUNCTION("""COMPUTED_VALUE"""),111.0)</f>
        <v>111</v>
      </c>
      <c r="H2272" s="116">
        <f>IFERROR(__xludf.DUMMYFUNCTION("""COMPUTED_VALUE"""),45905.0)</f>
        <v>45905</v>
      </c>
      <c r="I2272" s="115" t="str">
        <f>IFERROR(__xludf.DUMMYFUNCTION("""COMPUTED_VALUE"""),"10")</f>
        <v>10</v>
      </c>
      <c r="J2272" s="115" t="str">
        <f>IFERROR(__xludf.DUMMYFUNCTION("""COMPUTED_VALUE"""),"Ashish Jakar2025-09-0510")</f>
        <v>Ashish Jakar2025-09-0510</v>
      </c>
      <c r="K2272" s="115">
        <f>IFERROR(__xludf.DUMMYFUNCTION("""COMPUTED_VALUE"""),28215.0)</f>
        <v>28215</v>
      </c>
    </row>
    <row r="2273">
      <c r="A2273" s="115" t="str">
        <f>IFERROR(__xludf.DUMMYFUNCTION("""COMPUTED_VALUE"""),"WEST")</f>
        <v>WEST</v>
      </c>
      <c r="B2273" s="115" t="str">
        <f>IFERROR(__xludf.DUMMYFUNCTION("""COMPUTED_VALUE"""),"Ashvani Bhatt")</f>
        <v>Ashvani Bhatt</v>
      </c>
      <c r="C2273" s="115" t="str">
        <f>IFERROR(__xludf.DUMMYFUNCTION("""COMPUTED_VALUE"""),"EXTERNAL")</f>
        <v>EXTERNAL</v>
      </c>
      <c r="D2273" s="115">
        <f>IFERROR(__xludf.DUMMYFUNCTION("""COMPUTED_VALUE"""),17704.0)</f>
        <v>17704</v>
      </c>
      <c r="E2273" s="115">
        <f>IFERROR(__xludf.DUMMYFUNCTION("""COMPUTED_VALUE"""),1061.0)</f>
        <v>1061</v>
      </c>
      <c r="F2273" s="115">
        <f>IFERROR(__xludf.DUMMYFUNCTION("""COMPUTED_VALUE"""),736.0)</f>
        <v>736</v>
      </c>
      <c r="G2273" s="115">
        <f>IFERROR(__xludf.DUMMYFUNCTION("""COMPUTED_VALUE"""),19.0)</f>
        <v>19</v>
      </c>
      <c r="H2273" s="116">
        <f>IFERROR(__xludf.DUMMYFUNCTION("""COMPUTED_VALUE"""),45905.0)</f>
        <v>45905</v>
      </c>
      <c r="I2273" s="115" t="str">
        <f>IFERROR(__xludf.DUMMYFUNCTION("""COMPUTED_VALUE"""),"10")</f>
        <v>10</v>
      </c>
      <c r="J2273" s="115" t="str">
        <f>IFERROR(__xludf.DUMMYFUNCTION("""COMPUTED_VALUE"""),"Ashvani Bhatt2025-09-0510")</f>
        <v>Ashvani Bhatt2025-09-0510</v>
      </c>
      <c r="K2273" s="115">
        <f>IFERROR(__xludf.DUMMYFUNCTION("""COMPUTED_VALUE"""),18765.0)</f>
        <v>18765</v>
      </c>
    </row>
    <row r="2274">
      <c r="A2274" s="115" t="str">
        <f>IFERROR(__xludf.DUMMYFUNCTION("""COMPUTED_VALUE"""),"WEST")</f>
        <v>WEST</v>
      </c>
      <c r="B2274" s="115" t="str">
        <f>IFERROR(__xludf.DUMMYFUNCTION("""COMPUTED_VALUE"""),"Ashvani Bhatt")</f>
        <v>Ashvani Bhatt</v>
      </c>
      <c r="C2274" s="115" t="str">
        <f>IFERROR(__xludf.DUMMYFUNCTION("""COMPUTED_VALUE"""),"FLIPKART")</f>
        <v>FLIPKART</v>
      </c>
      <c r="D2274" s="115">
        <f>IFERROR(__xludf.DUMMYFUNCTION("""COMPUTED_VALUE"""),137059.0)</f>
        <v>137059</v>
      </c>
      <c r="E2274" s="115">
        <f>IFERROR(__xludf.DUMMYFUNCTION("""COMPUTED_VALUE"""),10713.0)</f>
        <v>10713</v>
      </c>
      <c r="F2274" s="115">
        <f>IFERROR(__xludf.DUMMYFUNCTION("""COMPUTED_VALUE"""),10945.0)</f>
        <v>10945</v>
      </c>
      <c r="G2274" s="115">
        <f>IFERROR(__xludf.DUMMYFUNCTION("""COMPUTED_VALUE"""),235.0)</f>
        <v>235</v>
      </c>
      <c r="H2274" s="116">
        <f>IFERROR(__xludf.DUMMYFUNCTION("""COMPUTED_VALUE"""),45905.0)</f>
        <v>45905</v>
      </c>
      <c r="I2274" s="115" t="str">
        <f>IFERROR(__xludf.DUMMYFUNCTION("""COMPUTED_VALUE"""),"10")</f>
        <v>10</v>
      </c>
      <c r="J2274" s="115" t="str">
        <f>IFERROR(__xludf.DUMMYFUNCTION("""COMPUTED_VALUE"""),"Ashvani Bhatt2025-09-0510")</f>
        <v>Ashvani Bhatt2025-09-0510</v>
      </c>
      <c r="K2274" s="115">
        <f>IFERROR(__xludf.DUMMYFUNCTION("""COMPUTED_VALUE"""),147772.0)</f>
        <v>147772</v>
      </c>
    </row>
    <row r="2275">
      <c r="A2275" s="115" t="str">
        <f>IFERROR(__xludf.DUMMYFUNCTION("""COMPUTED_VALUE"""),"WEST")</f>
        <v>WEST</v>
      </c>
      <c r="B2275" s="115" t="str">
        <f>IFERROR(__xludf.DUMMYFUNCTION("""COMPUTED_VALUE"""),"Ashvani Bhatt")</f>
        <v>Ashvani Bhatt</v>
      </c>
      <c r="C2275" s="115" t="str">
        <f>IFERROR(__xludf.DUMMYFUNCTION("""COMPUTED_VALUE"""),"MYNTRA")</f>
        <v>MYNTRA</v>
      </c>
      <c r="D2275" s="115">
        <f>IFERROR(__xludf.DUMMYFUNCTION("""COMPUTED_VALUE"""),18302.0)</f>
        <v>18302</v>
      </c>
      <c r="E2275" s="115">
        <f>IFERROR(__xludf.DUMMYFUNCTION("""COMPUTED_VALUE"""),3473.0)</f>
        <v>3473</v>
      </c>
      <c r="F2275" s="115">
        <f>IFERROR(__xludf.DUMMYFUNCTION("""COMPUTED_VALUE"""),1927.0)</f>
        <v>1927</v>
      </c>
      <c r="G2275" s="115">
        <f>IFERROR(__xludf.DUMMYFUNCTION("""COMPUTED_VALUE"""),74.0)</f>
        <v>74</v>
      </c>
      <c r="H2275" s="116">
        <f>IFERROR(__xludf.DUMMYFUNCTION("""COMPUTED_VALUE"""),45905.0)</f>
        <v>45905</v>
      </c>
      <c r="I2275" s="115" t="str">
        <f>IFERROR(__xludf.DUMMYFUNCTION("""COMPUTED_VALUE"""),"10")</f>
        <v>10</v>
      </c>
      <c r="J2275" s="115" t="str">
        <f>IFERROR(__xludf.DUMMYFUNCTION("""COMPUTED_VALUE"""),"Ashvani Bhatt2025-09-0510")</f>
        <v>Ashvani Bhatt2025-09-0510</v>
      </c>
      <c r="K2275" s="115">
        <f>IFERROR(__xludf.DUMMYFUNCTION("""COMPUTED_VALUE"""),21775.0)</f>
        <v>21775</v>
      </c>
    </row>
    <row r="2276">
      <c r="A2276" s="115" t="str">
        <f>IFERROR(__xludf.DUMMYFUNCTION("""COMPUTED_VALUE"""),"West")</f>
        <v>West</v>
      </c>
      <c r="B2276" s="115"/>
      <c r="C2276" s="115" t="str">
        <f>IFERROR(__xludf.DUMMYFUNCTION("""COMPUTED_VALUE"""),"EXTERNAL")</f>
        <v>EXTERNAL</v>
      </c>
      <c r="D2276" s="115">
        <f>IFERROR(__xludf.DUMMYFUNCTION("""COMPUTED_VALUE"""),4.0)</f>
        <v>4</v>
      </c>
      <c r="E2276" s="115">
        <f>IFERROR(__xludf.DUMMYFUNCTION("""COMPUTED_VALUE"""),0.0)</f>
        <v>0</v>
      </c>
      <c r="F2276" s="115">
        <f>IFERROR(__xludf.DUMMYFUNCTION("""COMPUTED_VALUE"""),0.0)</f>
        <v>0</v>
      </c>
      <c r="G2276" s="115">
        <f>IFERROR(__xludf.DUMMYFUNCTION("""COMPUTED_VALUE"""),0.0)</f>
        <v>0</v>
      </c>
      <c r="H2276" s="116">
        <f>IFERROR(__xludf.DUMMYFUNCTION("""COMPUTED_VALUE"""),45905.0)</f>
        <v>45905</v>
      </c>
      <c r="I2276" s="115" t="str">
        <f>IFERROR(__xludf.DUMMYFUNCTION("""COMPUTED_VALUE"""),"10")</f>
        <v>10</v>
      </c>
      <c r="J2276" s="115" t="str">
        <f>IFERROR(__xludf.DUMMYFUNCTION("""COMPUTED_VALUE"""),"2025-09-0510")</f>
        <v>2025-09-0510</v>
      </c>
      <c r="K2276" s="115">
        <f>IFERROR(__xludf.DUMMYFUNCTION("""COMPUTED_VALUE"""),4.0)</f>
        <v>4</v>
      </c>
    </row>
    <row r="2277">
      <c r="A2277" s="115" t="str">
        <f>IFERROR(__xludf.DUMMYFUNCTION("""COMPUTED_VALUE"""),"West")</f>
        <v>West</v>
      </c>
      <c r="B2277" s="115"/>
      <c r="C2277" s="115" t="str">
        <f>IFERROR(__xludf.DUMMYFUNCTION("""COMPUTED_VALUE"""),"FLIPKART")</f>
        <v>FLIPKART</v>
      </c>
      <c r="D2277" s="115">
        <f>IFERROR(__xludf.DUMMYFUNCTION("""COMPUTED_VALUE"""),22.0)</f>
        <v>22</v>
      </c>
      <c r="E2277" s="115">
        <f>IFERROR(__xludf.DUMMYFUNCTION("""COMPUTED_VALUE"""),1.0)</f>
        <v>1</v>
      </c>
      <c r="F2277" s="115">
        <f>IFERROR(__xludf.DUMMYFUNCTION("""COMPUTED_VALUE"""),2.0)</f>
        <v>2</v>
      </c>
      <c r="G2277" s="115">
        <f>IFERROR(__xludf.DUMMYFUNCTION("""COMPUTED_VALUE"""),0.0)</f>
        <v>0</v>
      </c>
      <c r="H2277" s="116">
        <f>IFERROR(__xludf.DUMMYFUNCTION("""COMPUTED_VALUE"""),45905.0)</f>
        <v>45905</v>
      </c>
      <c r="I2277" s="115" t="str">
        <f>IFERROR(__xludf.DUMMYFUNCTION("""COMPUTED_VALUE"""),"10")</f>
        <v>10</v>
      </c>
      <c r="J2277" s="115" t="str">
        <f>IFERROR(__xludf.DUMMYFUNCTION("""COMPUTED_VALUE"""),"2025-09-0510")</f>
        <v>2025-09-0510</v>
      </c>
      <c r="K2277" s="115">
        <f>IFERROR(__xludf.DUMMYFUNCTION("""COMPUTED_VALUE"""),23.0)</f>
        <v>23</v>
      </c>
    </row>
    <row r="2278">
      <c r="A2278" s="115" t="str">
        <f>IFERROR(__xludf.DUMMYFUNCTION("""COMPUTED_VALUE"""),"West")</f>
        <v>West</v>
      </c>
      <c r="B2278" s="115"/>
      <c r="C2278" s="115" t="str">
        <f>IFERROR(__xludf.DUMMYFUNCTION("""COMPUTED_VALUE"""),"MYNTRA")</f>
        <v>MYNTRA</v>
      </c>
      <c r="D2278" s="115">
        <f>IFERROR(__xludf.DUMMYFUNCTION("""COMPUTED_VALUE"""),3.0)</f>
        <v>3</v>
      </c>
      <c r="E2278" s="115">
        <f>IFERROR(__xludf.DUMMYFUNCTION("""COMPUTED_VALUE"""),0.0)</f>
        <v>0</v>
      </c>
      <c r="F2278" s="115">
        <f>IFERROR(__xludf.DUMMYFUNCTION("""COMPUTED_VALUE"""),0.0)</f>
        <v>0</v>
      </c>
      <c r="G2278" s="115">
        <f>IFERROR(__xludf.DUMMYFUNCTION("""COMPUTED_VALUE"""),0.0)</f>
        <v>0</v>
      </c>
      <c r="H2278" s="116">
        <f>IFERROR(__xludf.DUMMYFUNCTION("""COMPUTED_VALUE"""),45905.0)</f>
        <v>45905</v>
      </c>
      <c r="I2278" s="115" t="str">
        <f>IFERROR(__xludf.DUMMYFUNCTION("""COMPUTED_VALUE"""),"10")</f>
        <v>10</v>
      </c>
      <c r="J2278" s="115" t="str">
        <f>IFERROR(__xludf.DUMMYFUNCTION("""COMPUTED_VALUE"""),"2025-09-0510")</f>
        <v>2025-09-0510</v>
      </c>
      <c r="K2278" s="115">
        <f>IFERROR(__xludf.DUMMYFUNCTION("""COMPUTED_VALUE"""),3.0)</f>
        <v>3</v>
      </c>
    </row>
    <row r="2279">
      <c r="A2279" s="115"/>
      <c r="B2279" s="115"/>
      <c r="C2279" s="115" t="str">
        <f>IFERROR(__xludf.DUMMYFUNCTION("""COMPUTED_VALUE"""),"EXTERNAL")</f>
        <v>EXTERNAL</v>
      </c>
      <c r="D2279" s="115">
        <f>IFERROR(__xludf.DUMMYFUNCTION("""COMPUTED_VALUE"""),315.0)</f>
        <v>315</v>
      </c>
      <c r="E2279" s="115">
        <f>IFERROR(__xludf.DUMMYFUNCTION("""COMPUTED_VALUE"""),62.0)</f>
        <v>62</v>
      </c>
      <c r="F2279" s="115">
        <f>IFERROR(__xludf.DUMMYFUNCTION("""COMPUTED_VALUE"""),8.0)</f>
        <v>8</v>
      </c>
      <c r="G2279" s="115">
        <f>IFERROR(__xludf.DUMMYFUNCTION("""COMPUTED_VALUE"""),1.0)</f>
        <v>1</v>
      </c>
      <c r="H2279" s="116">
        <f>IFERROR(__xludf.DUMMYFUNCTION("""COMPUTED_VALUE"""),45905.0)</f>
        <v>45905</v>
      </c>
      <c r="I2279" s="115" t="str">
        <f>IFERROR(__xludf.DUMMYFUNCTION("""COMPUTED_VALUE"""),"10")</f>
        <v>10</v>
      </c>
      <c r="J2279" s="115" t="str">
        <f>IFERROR(__xludf.DUMMYFUNCTION("""COMPUTED_VALUE"""),"2025-09-0510")</f>
        <v>2025-09-0510</v>
      </c>
      <c r="K2279" s="115">
        <f>IFERROR(__xludf.DUMMYFUNCTION("""COMPUTED_VALUE"""),377.0)</f>
        <v>377</v>
      </c>
    </row>
    <row r="2280">
      <c r="A2280" s="115"/>
      <c r="B2280" s="115"/>
      <c r="C2280" s="115" t="str">
        <f>IFERROR(__xludf.DUMMYFUNCTION("""COMPUTED_VALUE"""),"FLIPKART")</f>
        <v>FLIPKART</v>
      </c>
      <c r="D2280" s="115">
        <f>IFERROR(__xludf.DUMMYFUNCTION("""COMPUTED_VALUE"""),3013.0)</f>
        <v>3013</v>
      </c>
      <c r="E2280" s="115">
        <f>IFERROR(__xludf.DUMMYFUNCTION("""COMPUTED_VALUE"""),422.0)</f>
        <v>422</v>
      </c>
      <c r="F2280" s="115">
        <f>IFERROR(__xludf.DUMMYFUNCTION("""COMPUTED_VALUE"""),179.0)</f>
        <v>179</v>
      </c>
      <c r="G2280" s="115">
        <f>IFERROR(__xludf.DUMMYFUNCTION("""COMPUTED_VALUE"""),15.0)</f>
        <v>15</v>
      </c>
      <c r="H2280" s="116">
        <f>IFERROR(__xludf.DUMMYFUNCTION("""COMPUTED_VALUE"""),45905.0)</f>
        <v>45905</v>
      </c>
      <c r="I2280" s="115" t="str">
        <f>IFERROR(__xludf.DUMMYFUNCTION("""COMPUTED_VALUE"""),"10")</f>
        <v>10</v>
      </c>
      <c r="J2280" s="115" t="str">
        <f>IFERROR(__xludf.DUMMYFUNCTION("""COMPUTED_VALUE"""),"2025-09-0510")</f>
        <v>2025-09-0510</v>
      </c>
      <c r="K2280" s="115">
        <f>IFERROR(__xludf.DUMMYFUNCTION("""COMPUTED_VALUE"""),3435.0)</f>
        <v>3435</v>
      </c>
    </row>
    <row r="2281">
      <c r="A2281" s="115"/>
      <c r="B2281" s="115"/>
      <c r="C2281" s="115" t="str">
        <f>IFERROR(__xludf.DUMMYFUNCTION("""COMPUTED_VALUE"""),"MYNTRA")</f>
        <v>MYNTRA</v>
      </c>
      <c r="D2281" s="115">
        <f>IFERROR(__xludf.DUMMYFUNCTION("""COMPUTED_VALUE"""),455.0)</f>
        <v>455</v>
      </c>
      <c r="E2281" s="115">
        <f>IFERROR(__xludf.DUMMYFUNCTION("""COMPUTED_VALUE"""),106.0)</f>
        <v>106</v>
      </c>
      <c r="F2281" s="115">
        <f>IFERROR(__xludf.DUMMYFUNCTION("""COMPUTED_VALUE"""),14.0)</f>
        <v>14</v>
      </c>
      <c r="G2281" s="115">
        <f>IFERROR(__xludf.DUMMYFUNCTION("""COMPUTED_VALUE"""),0.0)</f>
        <v>0</v>
      </c>
      <c r="H2281" s="116">
        <f>IFERROR(__xludf.DUMMYFUNCTION("""COMPUTED_VALUE"""),45905.0)</f>
        <v>45905</v>
      </c>
      <c r="I2281" s="115" t="str">
        <f>IFERROR(__xludf.DUMMYFUNCTION("""COMPUTED_VALUE"""),"10")</f>
        <v>10</v>
      </c>
      <c r="J2281" s="115" t="str">
        <f>IFERROR(__xludf.DUMMYFUNCTION("""COMPUTED_VALUE"""),"2025-09-0510")</f>
        <v>2025-09-0510</v>
      </c>
      <c r="K2281" s="115">
        <f>IFERROR(__xludf.DUMMYFUNCTION("""COMPUTED_VALUE"""),561.0)</f>
        <v>561</v>
      </c>
    </row>
    <row r="2282">
      <c r="A2282" s="115" t="str">
        <f>IFERROR(__xludf.DUMMYFUNCTION("""COMPUTED_VALUE"""),"EAST")</f>
        <v>EAST</v>
      </c>
      <c r="B2282" s="115" t="str">
        <f>IFERROR(__xludf.DUMMYFUNCTION("""COMPUTED_VALUE"""),"Ashish Ranjan")</f>
        <v>Ashish Ranjan</v>
      </c>
      <c r="C2282" s="115" t="str">
        <f>IFERROR(__xludf.DUMMYFUNCTION("""COMPUTED_VALUE"""),"EXTERNAL")</f>
        <v>EXTERNAL</v>
      </c>
      <c r="D2282" s="115">
        <f>IFERROR(__xludf.DUMMYFUNCTION("""COMPUTED_VALUE"""),29487.0)</f>
        <v>29487</v>
      </c>
      <c r="E2282" s="115">
        <f>IFERROR(__xludf.DUMMYFUNCTION("""COMPUTED_VALUE"""),2304.0)</f>
        <v>2304</v>
      </c>
      <c r="F2282" s="115">
        <f>IFERROR(__xludf.DUMMYFUNCTION("""COMPUTED_VALUE"""),4481.0)</f>
        <v>4481</v>
      </c>
      <c r="G2282" s="115">
        <f>IFERROR(__xludf.DUMMYFUNCTION("""COMPUTED_VALUE"""),109.0)</f>
        <v>109</v>
      </c>
      <c r="H2282" s="116">
        <f>IFERROR(__xludf.DUMMYFUNCTION("""COMPUTED_VALUE"""),45905.0)</f>
        <v>45905</v>
      </c>
      <c r="I2282" s="115" t="str">
        <f>IFERROR(__xludf.DUMMYFUNCTION("""COMPUTED_VALUE"""),"11")</f>
        <v>11</v>
      </c>
      <c r="J2282" s="115" t="str">
        <f>IFERROR(__xludf.DUMMYFUNCTION("""COMPUTED_VALUE"""),"Ashish Ranjan2025-09-0511")</f>
        <v>Ashish Ranjan2025-09-0511</v>
      </c>
      <c r="K2282" s="115">
        <f>IFERROR(__xludf.DUMMYFUNCTION("""COMPUTED_VALUE"""),31791.0)</f>
        <v>31791</v>
      </c>
    </row>
    <row r="2283">
      <c r="A2283" s="115" t="str">
        <f>IFERROR(__xludf.DUMMYFUNCTION("""COMPUTED_VALUE"""),"EAST")</f>
        <v>EAST</v>
      </c>
      <c r="B2283" s="115" t="str">
        <f>IFERROR(__xludf.DUMMYFUNCTION("""COMPUTED_VALUE"""),"Ashish Ranjan")</f>
        <v>Ashish Ranjan</v>
      </c>
      <c r="C2283" s="115" t="str">
        <f>IFERROR(__xludf.DUMMYFUNCTION("""COMPUTED_VALUE"""),"FLIPKART")</f>
        <v>FLIPKART</v>
      </c>
      <c r="D2283" s="115">
        <f>IFERROR(__xludf.DUMMYFUNCTION("""COMPUTED_VALUE"""),471964.0)</f>
        <v>471964</v>
      </c>
      <c r="E2283" s="115">
        <f>IFERROR(__xludf.DUMMYFUNCTION("""COMPUTED_VALUE"""),42346.0)</f>
        <v>42346</v>
      </c>
      <c r="F2283" s="115">
        <f>IFERROR(__xludf.DUMMYFUNCTION("""COMPUTED_VALUE"""),111165.0)</f>
        <v>111165</v>
      </c>
      <c r="G2283" s="115">
        <f>IFERROR(__xludf.DUMMYFUNCTION("""COMPUTED_VALUE"""),2702.0)</f>
        <v>2702</v>
      </c>
      <c r="H2283" s="116">
        <f>IFERROR(__xludf.DUMMYFUNCTION("""COMPUTED_VALUE"""),45905.0)</f>
        <v>45905</v>
      </c>
      <c r="I2283" s="115" t="str">
        <f>IFERROR(__xludf.DUMMYFUNCTION("""COMPUTED_VALUE"""),"11")</f>
        <v>11</v>
      </c>
      <c r="J2283" s="115" t="str">
        <f>IFERROR(__xludf.DUMMYFUNCTION("""COMPUTED_VALUE"""),"Ashish Ranjan2025-09-0511")</f>
        <v>Ashish Ranjan2025-09-0511</v>
      </c>
      <c r="K2283" s="115">
        <f>IFERROR(__xludf.DUMMYFUNCTION("""COMPUTED_VALUE"""),514310.0)</f>
        <v>514310</v>
      </c>
    </row>
    <row r="2284">
      <c r="A2284" s="115" t="str">
        <f>IFERROR(__xludf.DUMMYFUNCTION("""COMPUTED_VALUE"""),"EAST")</f>
        <v>EAST</v>
      </c>
      <c r="B2284" s="115" t="str">
        <f>IFERROR(__xludf.DUMMYFUNCTION("""COMPUTED_VALUE"""),"Ashish Ranjan")</f>
        <v>Ashish Ranjan</v>
      </c>
      <c r="C2284" s="115" t="str">
        <f>IFERROR(__xludf.DUMMYFUNCTION("""COMPUTED_VALUE"""),"MYNTRA")</f>
        <v>MYNTRA</v>
      </c>
      <c r="D2284" s="115">
        <f>IFERROR(__xludf.DUMMYFUNCTION("""COMPUTED_VALUE"""),53974.0)</f>
        <v>53974</v>
      </c>
      <c r="E2284" s="115">
        <f>IFERROR(__xludf.DUMMYFUNCTION("""COMPUTED_VALUE"""),9170.0)</f>
        <v>9170</v>
      </c>
      <c r="F2284" s="115">
        <f>IFERROR(__xludf.DUMMYFUNCTION("""COMPUTED_VALUE"""),13375.0)</f>
        <v>13375</v>
      </c>
      <c r="G2284" s="115">
        <f>IFERROR(__xludf.DUMMYFUNCTION("""COMPUTED_VALUE"""),517.0)</f>
        <v>517</v>
      </c>
      <c r="H2284" s="116">
        <f>IFERROR(__xludf.DUMMYFUNCTION("""COMPUTED_VALUE"""),45905.0)</f>
        <v>45905</v>
      </c>
      <c r="I2284" s="115" t="str">
        <f>IFERROR(__xludf.DUMMYFUNCTION("""COMPUTED_VALUE"""),"11")</f>
        <v>11</v>
      </c>
      <c r="J2284" s="115" t="str">
        <f>IFERROR(__xludf.DUMMYFUNCTION("""COMPUTED_VALUE"""),"Ashish Ranjan2025-09-0511")</f>
        <v>Ashish Ranjan2025-09-0511</v>
      </c>
      <c r="K2284" s="115">
        <f>IFERROR(__xludf.DUMMYFUNCTION("""COMPUTED_VALUE"""),63144.0)</f>
        <v>63144</v>
      </c>
    </row>
    <row r="2285">
      <c r="A2285" s="115" t="str">
        <f>IFERROR(__xludf.DUMMYFUNCTION("""COMPUTED_VALUE"""),"EAST")</f>
        <v>EAST</v>
      </c>
      <c r="B2285" s="115" t="str">
        <f>IFERROR(__xludf.DUMMYFUNCTION("""COMPUTED_VALUE"""),"Girish Chand")</f>
        <v>Girish Chand</v>
      </c>
      <c r="C2285" s="115" t="str">
        <f>IFERROR(__xludf.DUMMYFUNCTION("""COMPUTED_VALUE"""),"EXTERNAL")</f>
        <v>EXTERNAL</v>
      </c>
      <c r="D2285" s="115">
        <f>IFERROR(__xludf.DUMMYFUNCTION("""COMPUTED_VALUE"""),19094.0)</f>
        <v>19094</v>
      </c>
      <c r="E2285" s="115">
        <f>IFERROR(__xludf.DUMMYFUNCTION("""COMPUTED_VALUE"""),1351.0)</f>
        <v>1351</v>
      </c>
      <c r="F2285" s="115">
        <f>IFERROR(__xludf.DUMMYFUNCTION("""COMPUTED_VALUE"""),1635.0)</f>
        <v>1635</v>
      </c>
      <c r="G2285" s="115">
        <f>IFERROR(__xludf.DUMMYFUNCTION("""COMPUTED_VALUE"""),17.0)</f>
        <v>17</v>
      </c>
      <c r="H2285" s="116">
        <f>IFERROR(__xludf.DUMMYFUNCTION("""COMPUTED_VALUE"""),45905.0)</f>
        <v>45905</v>
      </c>
      <c r="I2285" s="115" t="str">
        <f>IFERROR(__xludf.DUMMYFUNCTION("""COMPUTED_VALUE"""),"11")</f>
        <v>11</v>
      </c>
      <c r="J2285" s="115" t="str">
        <f>IFERROR(__xludf.DUMMYFUNCTION("""COMPUTED_VALUE"""),"Girish Chand2025-09-0511")</f>
        <v>Girish Chand2025-09-0511</v>
      </c>
      <c r="K2285" s="115">
        <f>IFERROR(__xludf.DUMMYFUNCTION("""COMPUTED_VALUE"""),20445.0)</f>
        <v>20445</v>
      </c>
    </row>
    <row r="2286">
      <c r="A2286" s="115" t="str">
        <f>IFERROR(__xludf.DUMMYFUNCTION("""COMPUTED_VALUE"""),"EAST")</f>
        <v>EAST</v>
      </c>
      <c r="B2286" s="115" t="str">
        <f>IFERROR(__xludf.DUMMYFUNCTION("""COMPUTED_VALUE"""),"Girish Chand")</f>
        <v>Girish Chand</v>
      </c>
      <c r="C2286" s="115" t="str">
        <f>IFERROR(__xludf.DUMMYFUNCTION("""COMPUTED_VALUE"""),"FLIPKART")</f>
        <v>FLIPKART</v>
      </c>
      <c r="D2286" s="115">
        <f>IFERROR(__xludf.DUMMYFUNCTION("""COMPUTED_VALUE"""),345018.0)</f>
        <v>345018</v>
      </c>
      <c r="E2286" s="115">
        <f>IFERROR(__xludf.DUMMYFUNCTION("""COMPUTED_VALUE"""),29167.0)</f>
        <v>29167</v>
      </c>
      <c r="F2286" s="115">
        <f>IFERROR(__xludf.DUMMYFUNCTION("""COMPUTED_VALUE"""),51756.0)</f>
        <v>51756</v>
      </c>
      <c r="G2286" s="115">
        <f>IFERROR(__xludf.DUMMYFUNCTION("""COMPUTED_VALUE"""),957.0)</f>
        <v>957</v>
      </c>
      <c r="H2286" s="116">
        <f>IFERROR(__xludf.DUMMYFUNCTION("""COMPUTED_VALUE"""),45905.0)</f>
        <v>45905</v>
      </c>
      <c r="I2286" s="115" t="str">
        <f>IFERROR(__xludf.DUMMYFUNCTION("""COMPUTED_VALUE"""),"11")</f>
        <v>11</v>
      </c>
      <c r="J2286" s="115" t="str">
        <f>IFERROR(__xludf.DUMMYFUNCTION("""COMPUTED_VALUE"""),"Girish Chand2025-09-0511")</f>
        <v>Girish Chand2025-09-0511</v>
      </c>
      <c r="K2286" s="115">
        <f>IFERROR(__xludf.DUMMYFUNCTION("""COMPUTED_VALUE"""),374185.0)</f>
        <v>374185</v>
      </c>
    </row>
    <row r="2287">
      <c r="A2287" s="115" t="str">
        <f>IFERROR(__xludf.DUMMYFUNCTION("""COMPUTED_VALUE"""),"EAST")</f>
        <v>EAST</v>
      </c>
      <c r="B2287" s="115" t="str">
        <f>IFERROR(__xludf.DUMMYFUNCTION("""COMPUTED_VALUE"""),"Girish Chand")</f>
        <v>Girish Chand</v>
      </c>
      <c r="C2287" s="115" t="str">
        <f>IFERROR(__xludf.DUMMYFUNCTION("""COMPUTED_VALUE"""),"MYNTRA")</f>
        <v>MYNTRA</v>
      </c>
      <c r="D2287" s="115">
        <f>IFERROR(__xludf.DUMMYFUNCTION("""COMPUTED_VALUE"""),30012.0)</f>
        <v>30012</v>
      </c>
      <c r="E2287" s="115">
        <f>IFERROR(__xludf.DUMMYFUNCTION("""COMPUTED_VALUE"""),5059.0)</f>
        <v>5059</v>
      </c>
      <c r="F2287" s="115">
        <f>IFERROR(__xludf.DUMMYFUNCTION("""COMPUTED_VALUE"""),5358.0)</f>
        <v>5358</v>
      </c>
      <c r="G2287" s="115">
        <f>IFERROR(__xludf.DUMMYFUNCTION("""COMPUTED_VALUE"""),194.0)</f>
        <v>194</v>
      </c>
      <c r="H2287" s="116">
        <f>IFERROR(__xludf.DUMMYFUNCTION("""COMPUTED_VALUE"""),45905.0)</f>
        <v>45905</v>
      </c>
      <c r="I2287" s="115" t="str">
        <f>IFERROR(__xludf.DUMMYFUNCTION("""COMPUTED_VALUE"""),"11")</f>
        <v>11</v>
      </c>
      <c r="J2287" s="115" t="str">
        <f>IFERROR(__xludf.DUMMYFUNCTION("""COMPUTED_VALUE"""),"Girish Chand2025-09-0511")</f>
        <v>Girish Chand2025-09-0511</v>
      </c>
      <c r="K2287" s="115">
        <f>IFERROR(__xludf.DUMMYFUNCTION("""COMPUTED_VALUE"""),35071.0)</f>
        <v>35071</v>
      </c>
    </row>
    <row r="2288">
      <c r="A2288" s="115" t="str">
        <f>IFERROR(__xludf.DUMMYFUNCTION("""COMPUTED_VALUE"""),"EAST")</f>
        <v>EAST</v>
      </c>
      <c r="B2288" s="115" t="str">
        <f>IFERROR(__xludf.DUMMYFUNCTION("""COMPUTED_VALUE"""),"Parag Kashyap")</f>
        <v>Parag Kashyap</v>
      </c>
      <c r="C2288" s="115" t="str">
        <f>IFERROR(__xludf.DUMMYFUNCTION("""COMPUTED_VALUE"""),"EXTERNAL")</f>
        <v>EXTERNAL</v>
      </c>
      <c r="D2288" s="115">
        <f>IFERROR(__xludf.DUMMYFUNCTION("""COMPUTED_VALUE"""),14417.0)</f>
        <v>14417</v>
      </c>
      <c r="E2288" s="115">
        <f>IFERROR(__xludf.DUMMYFUNCTION("""COMPUTED_VALUE"""),600.0)</f>
        <v>600</v>
      </c>
      <c r="F2288" s="115">
        <f>IFERROR(__xludf.DUMMYFUNCTION("""COMPUTED_VALUE"""),925.0)</f>
        <v>925</v>
      </c>
      <c r="G2288" s="115">
        <f>IFERROR(__xludf.DUMMYFUNCTION("""COMPUTED_VALUE"""),7.0)</f>
        <v>7</v>
      </c>
      <c r="H2288" s="116">
        <f>IFERROR(__xludf.DUMMYFUNCTION("""COMPUTED_VALUE"""),45905.0)</f>
        <v>45905</v>
      </c>
      <c r="I2288" s="115" t="str">
        <f>IFERROR(__xludf.DUMMYFUNCTION("""COMPUTED_VALUE"""),"11")</f>
        <v>11</v>
      </c>
      <c r="J2288" s="115" t="str">
        <f>IFERROR(__xludf.DUMMYFUNCTION("""COMPUTED_VALUE"""),"Parag Kashyap2025-09-0511")</f>
        <v>Parag Kashyap2025-09-0511</v>
      </c>
      <c r="K2288" s="115">
        <f>IFERROR(__xludf.DUMMYFUNCTION("""COMPUTED_VALUE"""),15017.0)</f>
        <v>15017</v>
      </c>
    </row>
    <row r="2289">
      <c r="A2289" s="115" t="str">
        <f>IFERROR(__xludf.DUMMYFUNCTION("""COMPUTED_VALUE"""),"EAST")</f>
        <v>EAST</v>
      </c>
      <c r="B2289" s="115" t="str">
        <f>IFERROR(__xludf.DUMMYFUNCTION("""COMPUTED_VALUE"""),"Parag Kashyap")</f>
        <v>Parag Kashyap</v>
      </c>
      <c r="C2289" s="115" t="str">
        <f>IFERROR(__xludf.DUMMYFUNCTION("""COMPUTED_VALUE"""),"FLIPKART")</f>
        <v>FLIPKART</v>
      </c>
      <c r="D2289" s="115">
        <f>IFERROR(__xludf.DUMMYFUNCTION("""COMPUTED_VALUE"""),230927.0)</f>
        <v>230927</v>
      </c>
      <c r="E2289" s="115">
        <f>IFERROR(__xludf.DUMMYFUNCTION("""COMPUTED_VALUE"""),12236.0)</f>
        <v>12236</v>
      </c>
      <c r="F2289" s="115">
        <f>IFERROR(__xludf.DUMMYFUNCTION("""COMPUTED_VALUE"""),26606.0)</f>
        <v>26606</v>
      </c>
      <c r="G2289" s="115">
        <f>IFERROR(__xludf.DUMMYFUNCTION("""COMPUTED_VALUE"""),408.0)</f>
        <v>408</v>
      </c>
      <c r="H2289" s="116">
        <f>IFERROR(__xludf.DUMMYFUNCTION("""COMPUTED_VALUE"""),45905.0)</f>
        <v>45905</v>
      </c>
      <c r="I2289" s="115" t="str">
        <f>IFERROR(__xludf.DUMMYFUNCTION("""COMPUTED_VALUE"""),"11")</f>
        <v>11</v>
      </c>
      <c r="J2289" s="115" t="str">
        <f>IFERROR(__xludf.DUMMYFUNCTION("""COMPUTED_VALUE"""),"Parag Kashyap2025-09-0511")</f>
        <v>Parag Kashyap2025-09-0511</v>
      </c>
      <c r="K2289" s="115">
        <f>IFERROR(__xludf.DUMMYFUNCTION("""COMPUTED_VALUE"""),243163.0)</f>
        <v>243163</v>
      </c>
    </row>
    <row r="2290">
      <c r="A2290" s="115" t="str">
        <f>IFERROR(__xludf.DUMMYFUNCTION("""COMPUTED_VALUE"""),"EAST")</f>
        <v>EAST</v>
      </c>
      <c r="B2290" s="115" t="str">
        <f>IFERROR(__xludf.DUMMYFUNCTION("""COMPUTED_VALUE"""),"Parag Kashyap")</f>
        <v>Parag Kashyap</v>
      </c>
      <c r="C2290" s="115" t="str">
        <f>IFERROR(__xludf.DUMMYFUNCTION("""COMPUTED_VALUE"""),"MYNTRA")</f>
        <v>MYNTRA</v>
      </c>
      <c r="D2290" s="115">
        <f>IFERROR(__xludf.DUMMYFUNCTION("""COMPUTED_VALUE"""),26086.0)</f>
        <v>26086</v>
      </c>
      <c r="E2290" s="115">
        <f>IFERROR(__xludf.DUMMYFUNCTION("""COMPUTED_VALUE"""),3373.0)</f>
        <v>3373</v>
      </c>
      <c r="F2290" s="115">
        <f>IFERROR(__xludf.DUMMYFUNCTION("""COMPUTED_VALUE"""),3735.0)</f>
        <v>3735</v>
      </c>
      <c r="G2290" s="115">
        <f>IFERROR(__xludf.DUMMYFUNCTION("""COMPUTED_VALUE"""),57.0)</f>
        <v>57</v>
      </c>
      <c r="H2290" s="116">
        <f>IFERROR(__xludf.DUMMYFUNCTION("""COMPUTED_VALUE"""),45905.0)</f>
        <v>45905</v>
      </c>
      <c r="I2290" s="115" t="str">
        <f>IFERROR(__xludf.DUMMYFUNCTION("""COMPUTED_VALUE"""),"11")</f>
        <v>11</v>
      </c>
      <c r="J2290" s="115" t="str">
        <f>IFERROR(__xludf.DUMMYFUNCTION("""COMPUTED_VALUE"""),"Parag Kashyap2025-09-0511")</f>
        <v>Parag Kashyap2025-09-0511</v>
      </c>
      <c r="K2290" s="115">
        <f>IFERROR(__xludf.DUMMYFUNCTION("""COMPUTED_VALUE"""),29459.0)</f>
        <v>29459</v>
      </c>
    </row>
    <row r="2291">
      <c r="A2291" s="115" t="str">
        <f>IFERROR(__xludf.DUMMYFUNCTION("""COMPUTED_VALUE"""),"NORTH")</f>
        <v>NORTH</v>
      </c>
      <c r="B2291" s="115" t="str">
        <f>IFERROR(__xludf.DUMMYFUNCTION("""COMPUTED_VALUE"""),"Amit Kumar Pathak")</f>
        <v>Amit Kumar Pathak</v>
      </c>
      <c r="C2291" s="115" t="str">
        <f>IFERROR(__xludf.DUMMYFUNCTION("""COMPUTED_VALUE"""),"EXTERNAL")</f>
        <v>EXTERNAL</v>
      </c>
      <c r="D2291" s="115">
        <f>IFERROR(__xludf.DUMMYFUNCTION("""COMPUTED_VALUE"""),18302.0)</f>
        <v>18302</v>
      </c>
      <c r="E2291" s="115">
        <f>IFERROR(__xludf.DUMMYFUNCTION("""COMPUTED_VALUE"""),2509.0)</f>
        <v>2509</v>
      </c>
      <c r="F2291" s="115">
        <f>IFERROR(__xludf.DUMMYFUNCTION("""COMPUTED_VALUE"""),1578.0)</f>
        <v>1578</v>
      </c>
      <c r="G2291" s="115">
        <f>IFERROR(__xludf.DUMMYFUNCTION("""COMPUTED_VALUE"""),214.0)</f>
        <v>214</v>
      </c>
      <c r="H2291" s="116">
        <f>IFERROR(__xludf.DUMMYFUNCTION("""COMPUTED_VALUE"""),45905.0)</f>
        <v>45905</v>
      </c>
      <c r="I2291" s="115" t="str">
        <f>IFERROR(__xludf.DUMMYFUNCTION("""COMPUTED_VALUE"""),"11")</f>
        <v>11</v>
      </c>
      <c r="J2291" s="115" t="str">
        <f>IFERROR(__xludf.DUMMYFUNCTION("""COMPUTED_VALUE"""),"Amit Kumar Pathak2025-09-0511")</f>
        <v>Amit Kumar Pathak2025-09-0511</v>
      </c>
      <c r="K2291" s="115">
        <f>IFERROR(__xludf.DUMMYFUNCTION("""COMPUTED_VALUE"""),20811.0)</f>
        <v>20811</v>
      </c>
    </row>
    <row r="2292">
      <c r="A2292" s="115" t="str">
        <f>IFERROR(__xludf.DUMMYFUNCTION("""COMPUTED_VALUE"""),"NORTH")</f>
        <v>NORTH</v>
      </c>
      <c r="B2292" s="115" t="str">
        <f>IFERROR(__xludf.DUMMYFUNCTION("""COMPUTED_VALUE"""),"Amit Kumar Pathak")</f>
        <v>Amit Kumar Pathak</v>
      </c>
      <c r="C2292" s="115" t="str">
        <f>IFERROR(__xludf.DUMMYFUNCTION("""COMPUTED_VALUE"""),"FLIPKART")</f>
        <v>FLIPKART</v>
      </c>
      <c r="D2292" s="115">
        <f>IFERROR(__xludf.DUMMYFUNCTION("""COMPUTED_VALUE"""),129014.0)</f>
        <v>129014</v>
      </c>
      <c r="E2292" s="115">
        <f>IFERROR(__xludf.DUMMYFUNCTION("""COMPUTED_VALUE"""),20291.0)</f>
        <v>20291</v>
      </c>
      <c r="F2292" s="115">
        <f>IFERROR(__xludf.DUMMYFUNCTION("""COMPUTED_VALUE"""),21388.0)</f>
        <v>21388</v>
      </c>
      <c r="G2292" s="115">
        <f>IFERROR(__xludf.DUMMYFUNCTION("""COMPUTED_VALUE"""),1942.0)</f>
        <v>1942</v>
      </c>
      <c r="H2292" s="116">
        <f>IFERROR(__xludf.DUMMYFUNCTION("""COMPUTED_VALUE"""),45905.0)</f>
        <v>45905</v>
      </c>
      <c r="I2292" s="115" t="str">
        <f>IFERROR(__xludf.DUMMYFUNCTION("""COMPUTED_VALUE"""),"11")</f>
        <v>11</v>
      </c>
      <c r="J2292" s="115" t="str">
        <f>IFERROR(__xludf.DUMMYFUNCTION("""COMPUTED_VALUE"""),"Amit Kumar Pathak2025-09-0511")</f>
        <v>Amit Kumar Pathak2025-09-0511</v>
      </c>
      <c r="K2292" s="115">
        <f>IFERROR(__xludf.DUMMYFUNCTION("""COMPUTED_VALUE"""),149305.0)</f>
        <v>149305</v>
      </c>
    </row>
    <row r="2293">
      <c r="A2293" s="115" t="str">
        <f>IFERROR(__xludf.DUMMYFUNCTION("""COMPUTED_VALUE"""),"NORTH")</f>
        <v>NORTH</v>
      </c>
      <c r="B2293" s="115" t="str">
        <f>IFERROR(__xludf.DUMMYFUNCTION("""COMPUTED_VALUE"""),"Amit Kumar Pathak")</f>
        <v>Amit Kumar Pathak</v>
      </c>
      <c r="C2293" s="115" t="str">
        <f>IFERROR(__xludf.DUMMYFUNCTION("""COMPUTED_VALUE"""),"MYNTRA")</f>
        <v>MYNTRA</v>
      </c>
      <c r="D2293" s="115">
        <f>IFERROR(__xludf.DUMMYFUNCTION("""COMPUTED_VALUE"""),12086.0)</f>
        <v>12086</v>
      </c>
      <c r="E2293" s="115">
        <f>IFERROR(__xludf.DUMMYFUNCTION("""COMPUTED_VALUE"""),5080.0)</f>
        <v>5080</v>
      </c>
      <c r="F2293" s="115">
        <f>IFERROR(__xludf.DUMMYFUNCTION("""COMPUTED_VALUE"""),2578.0)</f>
        <v>2578</v>
      </c>
      <c r="G2293" s="115">
        <f>IFERROR(__xludf.DUMMYFUNCTION("""COMPUTED_VALUE"""),500.0)</f>
        <v>500</v>
      </c>
      <c r="H2293" s="116">
        <f>IFERROR(__xludf.DUMMYFUNCTION("""COMPUTED_VALUE"""),45905.0)</f>
        <v>45905</v>
      </c>
      <c r="I2293" s="115" t="str">
        <f>IFERROR(__xludf.DUMMYFUNCTION("""COMPUTED_VALUE"""),"11")</f>
        <v>11</v>
      </c>
      <c r="J2293" s="115" t="str">
        <f>IFERROR(__xludf.DUMMYFUNCTION("""COMPUTED_VALUE"""),"Amit Kumar Pathak2025-09-0511")</f>
        <v>Amit Kumar Pathak2025-09-0511</v>
      </c>
      <c r="K2293" s="115">
        <f>IFERROR(__xludf.DUMMYFUNCTION("""COMPUTED_VALUE"""),17166.0)</f>
        <v>17166</v>
      </c>
    </row>
    <row r="2294">
      <c r="A2294" s="115" t="str">
        <f>IFERROR(__xludf.DUMMYFUNCTION("""COMPUTED_VALUE"""),"NORTH")</f>
        <v>NORTH</v>
      </c>
      <c r="B2294" s="115" t="str">
        <f>IFERROR(__xludf.DUMMYFUNCTION("""COMPUTED_VALUE"""),"Loveleen Singh")</f>
        <v>Loveleen Singh</v>
      </c>
      <c r="C2294" s="115" t="str">
        <f>IFERROR(__xludf.DUMMYFUNCTION("""COMPUTED_VALUE"""),"EXTERNAL")</f>
        <v>EXTERNAL</v>
      </c>
      <c r="D2294" s="115">
        <f>IFERROR(__xludf.DUMMYFUNCTION("""COMPUTED_VALUE"""),26323.0)</f>
        <v>26323</v>
      </c>
      <c r="E2294" s="115">
        <f>IFERROR(__xludf.DUMMYFUNCTION("""COMPUTED_VALUE"""),1401.0)</f>
        <v>1401</v>
      </c>
      <c r="F2294" s="115">
        <f>IFERROR(__xludf.DUMMYFUNCTION("""COMPUTED_VALUE"""),1862.0)</f>
        <v>1862</v>
      </c>
      <c r="G2294" s="115">
        <f>IFERROR(__xludf.DUMMYFUNCTION("""COMPUTED_VALUE"""),38.0)</f>
        <v>38</v>
      </c>
      <c r="H2294" s="116">
        <f>IFERROR(__xludf.DUMMYFUNCTION("""COMPUTED_VALUE"""),45905.0)</f>
        <v>45905</v>
      </c>
      <c r="I2294" s="115" t="str">
        <f>IFERROR(__xludf.DUMMYFUNCTION("""COMPUTED_VALUE"""),"11")</f>
        <v>11</v>
      </c>
      <c r="J2294" s="115" t="str">
        <f>IFERROR(__xludf.DUMMYFUNCTION("""COMPUTED_VALUE"""),"Loveleen Singh2025-09-0511")</f>
        <v>Loveleen Singh2025-09-0511</v>
      </c>
      <c r="K2294" s="115">
        <f>IFERROR(__xludf.DUMMYFUNCTION("""COMPUTED_VALUE"""),27724.0)</f>
        <v>27724</v>
      </c>
    </row>
    <row r="2295">
      <c r="A2295" s="115" t="str">
        <f>IFERROR(__xludf.DUMMYFUNCTION("""COMPUTED_VALUE"""),"NORTH")</f>
        <v>NORTH</v>
      </c>
      <c r="B2295" s="115" t="str">
        <f>IFERROR(__xludf.DUMMYFUNCTION("""COMPUTED_VALUE"""),"Loveleen Singh")</f>
        <v>Loveleen Singh</v>
      </c>
      <c r="C2295" s="115" t="str">
        <f>IFERROR(__xludf.DUMMYFUNCTION("""COMPUTED_VALUE"""),"FLIPKART")</f>
        <v>FLIPKART</v>
      </c>
      <c r="D2295" s="115">
        <f>IFERROR(__xludf.DUMMYFUNCTION("""COMPUTED_VALUE"""),127819.0)</f>
        <v>127819</v>
      </c>
      <c r="E2295" s="115">
        <f>IFERROR(__xludf.DUMMYFUNCTION("""COMPUTED_VALUE"""),9737.0)</f>
        <v>9737</v>
      </c>
      <c r="F2295" s="115">
        <f>IFERROR(__xludf.DUMMYFUNCTION("""COMPUTED_VALUE"""),17224.0)</f>
        <v>17224</v>
      </c>
      <c r="G2295" s="115">
        <f>IFERROR(__xludf.DUMMYFUNCTION("""COMPUTED_VALUE"""),454.0)</f>
        <v>454</v>
      </c>
      <c r="H2295" s="116">
        <f>IFERROR(__xludf.DUMMYFUNCTION("""COMPUTED_VALUE"""),45905.0)</f>
        <v>45905</v>
      </c>
      <c r="I2295" s="115" t="str">
        <f>IFERROR(__xludf.DUMMYFUNCTION("""COMPUTED_VALUE"""),"11")</f>
        <v>11</v>
      </c>
      <c r="J2295" s="115" t="str">
        <f>IFERROR(__xludf.DUMMYFUNCTION("""COMPUTED_VALUE"""),"Loveleen Singh2025-09-0511")</f>
        <v>Loveleen Singh2025-09-0511</v>
      </c>
      <c r="K2295" s="115">
        <f>IFERROR(__xludf.DUMMYFUNCTION("""COMPUTED_VALUE"""),137556.0)</f>
        <v>137556</v>
      </c>
    </row>
    <row r="2296">
      <c r="A2296" s="115" t="str">
        <f>IFERROR(__xludf.DUMMYFUNCTION("""COMPUTED_VALUE"""),"NORTH")</f>
        <v>NORTH</v>
      </c>
      <c r="B2296" s="115" t="str">
        <f>IFERROR(__xludf.DUMMYFUNCTION("""COMPUTED_VALUE"""),"Loveleen Singh")</f>
        <v>Loveleen Singh</v>
      </c>
      <c r="C2296" s="115" t="str">
        <f>IFERROR(__xludf.DUMMYFUNCTION("""COMPUTED_VALUE"""),"MYNTRA")</f>
        <v>MYNTRA</v>
      </c>
      <c r="D2296" s="115">
        <f>IFERROR(__xludf.DUMMYFUNCTION("""COMPUTED_VALUE"""),20353.0)</f>
        <v>20353</v>
      </c>
      <c r="E2296" s="115">
        <f>IFERROR(__xludf.DUMMYFUNCTION("""COMPUTED_VALUE"""),3873.0)</f>
        <v>3873</v>
      </c>
      <c r="F2296" s="115">
        <f>IFERROR(__xludf.DUMMYFUNCTION("""COMPUTED_VALUE"""),3566.0)</f>
        <v>3566</v>
      </c>
      <c r="G2296" s="115">
        <f>IFERROR(__xludf.DUMMYFUNCTION("""COMPUTED_VALUE"""),191.0)</f>
        <v>191</v>
      </c>
      <c r="H2296" s="116">
        <f>IFERROR(__xludf.DUMMYFUNCTION("""COMPUTED_VALUE"""),45905.0)</f>
        <v>45905</v>
      </c>
      <c r="I2296" s="115" t="str">
        <f>IFERROR(__xludf.DUMMYFUNCTION("""COMPUTED_VALUE"""),"11")</f>
        <v>11</v>
      </c>
      <c r="J2296" s="115" t="str">
        <f>IFERROR(__xludf.DUMMYFUNCTION("""COMPUTED_VALUE"""),"Loveleen Singh2025-09-0511")</f>
        <v>Loveleen Singh2025-09-0511</v>
      </c>
      <c r="K2296" s="115">
        <f>IFERROR(__xludf.DUMMYFUNCTION("""COMPUTED_VALUE"""),24226.0)</f>
        <v>24226</v>
      </c>
    </row>
    <row r="2297">
      <c r="A2297" s="115" t="str">
        <f>IFERROR(__xludf.DUMMYFUNCTION("""COMPUTED_VALUE"""),"NORTH")</f>
        <v>NORTH</v>
      </c>
      <c r="B2297" s="115" t="str">
        <f>IFERROR(__xludf.DUMMYFUNCTION("""COMPUTED_VALUE"""),"Manoj Harsh")</f>
        <v>Manoj Harsh</v>
      </c>
      <c r="C2297" s="115" t="str">
        <f>IFERROR(__xludf.DUMMYFUNCTION("""COMPUTED_VALUE"""),"EXTERNAL")</f>
        <v>EXTERNAL</v>
      </c>
      <c r="D2297" s="115">
        <f>IFERROR(__xludf.DUMMYFUNCTION("""COMPUTED_VALUE"""),24986.0)</f>
        <v>24986</v>
      </c>
      <c r="E2297" s="115">
        <f>IFERROR(__xludf.DUMMYFUNCTION("""COMPUTED_VALUE"""),1669.0)</f>
        <v>1669</v>
      </c>
      <c r="F2297" s="115">
        <f>IFERROR(__xludf.DUMMYFUNCTION("""COMPUTED_VALUE"""),1436.0)</f>
        <v>1436</v>
      </c>
      <c r="G2297" s="115">
        <f>IFERROR(__xludf.DUMMYFUNCTION("""COMPUTED_VALUE"""),43.0)</f>
        <v>43</v>
      </c>
      <c r="H2297" s="116">
        <f>IFERROR(__xludf.DUMMYFUNCTION("""COMPUTED_VALUE"""),45905.0)</f>
        <v>45905</v>
      </c>
      <c r="I2297" s="115" t="str">
        <f>IFERROR(__xludf.DUMMYFUNCTION("""COMPUTED_VALUE"""),"11")</f>
        <v>11</v>
      </c>
      <c r="J2297" s="115" t="str">
        <f>IFERROR(__xludf.DUMMYFUNCTION("""COMPUTED_VALUE"""),"Manoj Harsh2025-09-0511")</f>
        <v>Manoj Harsh2025-09-0511</v>
      </c>
      <c r="K2297" s="115">
        <f>IFERROR(__xludf.DUMMYFUNCTION("""COMPUTED_VALUE"""),26655.0)</f>
        <v>26655</v>
      </c>
    </row>
    <row r="2298">
      <c r="A2298" s="115" t="str">
        <f>IFERROR(__xludf.DUMMYFUNCTION("""COMPUTED_VALUE"""),"NORTH")</f>
        <v>NORTH</v>
      </c>
      <c r="B2298" s="115" t="str">
        <f>IFERROR(__xludf.DUMMYFUNCTION("""COMPUTED_VALUE"""),"Manoj Harsh")</f>
        <v>Manoj Harsh</v>
      </c>
      <c r="C2298" s="115" t="str">
        <f>IFERROR(__xludf.DUMMYFUNCTION("""COMPUTED_VALUE"""),"FLIPKART")</f>
        <v>FLIPKART</v>
      </c>
      <c r="D2298" s="115">
        <f>IFERROR(__xludf.DUMMYFUNCTION("""COMPUTED_VALUE"""),326189.0)</f>
        <v>326189</v>
      </c>
      <c r="E2298" s="115">
        <f>IFERROR(__xludf.DUMMYFUNCTION("""COMPUTED_VALUE"""),26827.0)</f>
        <v>26827</v>
      </c>
      <c r="F2298" s="115">
        <f>IFERROR(__xludf.DUMMYFUNCTION("""COMPUTED_VALUE"""),38899.0)</f>
        <v>38899</v>
      </c>
      <c r="G2298" s="115">
        <f>IFERROR(__xludf.DUMMYFUNCTION("""COMPUTED_VALUE"""),1092.0)</f>
        <v>1092</v>
      </c>
      <c r="H2298" s="116">
        <f>IFERROR(__xludf.DUMMYFUNCTION("""COMPUTED_VALUE"""),45905.0)</f>
        <v>45905</v>
      </c>
      <c r="I2298" s="115" t="str">
        <f>IFERROR(__xludf.DUMMYFUNCTION("""COMPUTED_VALUE"""),"11")</f>
        <v>11</v>
      </c>
      <c r="J2298" s="115" t="str">
        <f>IFERROR(__xludf.DUMMYFUNCTION("""COMPUTED_VALUE"""),"Manoj Harsh2025-09-0511")</f>
        <v>Manoj Harsh2025-09-0511</v>
      </c>
      <c r="K2298" s="115">
        <f>IFERROR(__xludf.DUMMYFUNCTION("""COMPUTED_VALUE"""),353016.0)</f>
        <v>353016</v>
      </c>
    </row>
    <row r="2299">
      <c r="A2299" s="115" t="str">
        <f>IFERROR(__xludf.DUMMYFUNCTION("""COMPUTED_VALUE"""),"NORTH")</f>
        <v>NORTH</v>
      </c>
      <c r="B2299" s="115" t="str">
        <f>IFERROR(__xludf.DUMMYFUNCTION("""COMPUTED_VALUE"""),"Manoj Harsh")</f>
        <v>Manoj Harsh</v>
      </c>
      <c r="C2299" s="115" t="str">
        <f>IFERROR(__xludf.DUMMYFUNCTION("""COMPUTED_VALUE"""),"MYNTRA")</f>
        <v>MYNTRA</v>
      </c>
      <c r="D2299" s="115">
        <f>IFERROR(__xludf.DUMMYFUNCTION("""COMPUTED_VALUE"""),30911.0)</f>
        <v>30911</v>
      </c>
      <c r="E2299" s="115">
        <f>IFERROR(__xludf.DUMMYFUNCTION("""COMPUTED_VALUE"""),5281.0)</f>
        <v>5281</v>
      </c>
      <c r="F2299" s="115">
        <f>IFERROR(__xludf.DUMMYFUNCTION("""COMPUTED_VALUE"""),4463.0)</f>
        <v>4463</v>
      </c>
      <c r="G2299" s="115">
        <f>IFERROR(__xludf.DUMMYFUNCTION("""COMPUTED_VALUE"""),212.0)</f>
        <v>212</v>
      </c>
      <c r="H2299" s="116">
        <f>IFERROR(__xludf.DUMMYFUNCTION("""COMPUTED_VALUE"""),45905.0)</f>
        <v>45905</v>
      </c>
      <c r="I2299" s="115" t="str">
        <f>IFERROR(__xludf.DUMMYFUNCTION("""COMPUTED_VALUE"""),"11")</f>
        <v>11</v>
      </c>
      <c r="J2299" s="115" t="str">
        <f>IFERROR(__xludf.DUMMYFUNCTION("""COMPUTED_VALUE"""),"Manoj Harsh2025-09-0511")</f>
        <v>Manoj Harsh2025-09-0511</v>
      </c>
      <c r="K2299" s="115">
        <f>IFERROR(__xludf.DUMMYFUNCTION("""COMPUTED_VALUE"""),36192.0)</f>
        <v>36192</v>
      </c>
    </row>
    <row r="2300">
      <c r="A2300" s="115" t="str">
        <f>IFERROR(__xludf.DUMMYFUNCTION("""COMPUTED_VALUE"""),"NORTH")</f>
        <v>NORTH</v>
      </c>
      <c r="B2300" s="115" t="str">
        <f>IFERROR(__xludf.DUMMYFUNCTION("""COMPUTED_VALUE"""),"Pradeep Kothari")</f>
        <v>Pradeep Kothari</v>
      </c>
      <c r="C2300" s="115" t="str">
        <f>IFERROR(__xludf.DUMMYFUNCTION("""COMPUTED_VALUE"""),"EXTERNAL")</f>
        <v>EXTERNAL</v>
      </c>
      <c r="D2300" s="115">
        <f>IFERROR(__xludf.DUMMYFUNCTION("""COMPUTED_VALUE"""),15465.0)</f>
        <v>15465</v>
      </c>
      <c r="E2300" s="115">
        <f>IFERROR(__xludf.DUMMYFUNCTION("""COMPUTED_VALUE"""),1365.0)</f>
        <v>1365</v>
      </c>
      <c r="F2300" s="115">
        <f>IFERROR(__xludf.DUMMYFUNCTION("""COMPUTED_VALUE"""),1351.0)</f>
        <v>1351</v>
      </c>
      <c r="G2300" s="115">
        <f>IFERROR(__xludf.DUMMYFUNCTION("""COMPUTED_VALUE"""),62.0)</f>
        <v>62</v>
      </c>
      <c r="H2300" s="116">
        <f>IFERROR(__xludf.DUMMYFUNCTION("""COMPUTED_VALUE"""),45905.0)</f>
        <v>45905</v>
      </c>
      <c r="I2300" s="115" t="str">
        <f>IFERROR(__xludf.DUMMYFUNCTION("""COMPUTED_VALUE"""),"11")</f>
        <v>11</v>
      </c>
      <c r="J2300" s="115" t="str">
        <f>IFERROR(__xludf.DUMMYFUNCTION("""COMPUTED_VALUE"""),"Pradeep Kothari2025-09-0511")</f>
        <v>Pradeep Kothari2025-09-0511</v>
      </c>
      <c r="K2300" s="115">
        <f>IFERROR(__xludf.DUMMYFUNCTION("""COMPUTED_VALUE"""),16830.0)</f>
        <v>16830</v>
      </c>
    </row>
    <row r="2301">
      <c r="A2301" s="115" t="str">
        <f>IFERROR(__xludf.DUMMYFUNCTION("""COMPUTED_VALUE"""),"NORTH")</f>
        <v>NORTH</v>
      </c>
      <c r="B2301" s="115" t="str">
        <f>IFERROR(__xludf.DUMMYFUNCTION("""COMPUTED_VALUE"""),"Pradeep Kothari")</f>
        <v>Pradeep Kothari</v>
      </c>
      <c r="C2301" s="115" t="str">
        <f>IFERROR(__xludf.DUMMYFUNCTION("""COMPUTED_VALUE"""),"FLIPKART")</f>
        <v>FLIPKART</v>
      </c>
      <c r="D2301" s="115">
        <f>IFERROR(__xludf.DUMMYFUNCTION("""COMPUTED_VALUE"""),119421.0)</f>
        <v>119421</v>
      </c>
      <c r="E2301" s="115">
        <f>IFERROR(__xludf.DUMMYFUNCTION("""COMPUTED_VALUE"""),12712.0)</f>
        <v>12712</v>
      </c>
      <c r="F2301" s="115">
        <f>IFERROR(__xludf.DUMMYFUNCTION("""COMPUTED_VALUE"""),19009.0)</f>
        <v>19009</v>
      </c>
      <c r="G2301" s="115">
        <f>IFERROR(__xludf.DUMMYFUNCTION("""COMPUTED_VALUE"""),734.0)</f>
        <v>734</v>
      </c>
      <c r="H2301" s="116">
        <f>IFERROR(__xludf.DUMMYFUNCTION("""COMPUTED_VALUE"""),45905.0)</f>
        <v>45905</v>
      </c>
      <c r="I2301" s="115" t="str">
        <f>IFERROR(__xludf.DUMMYFUNCTION("""COMPUTED_VALUE"""),"11")</f>
        <v>11</v>
      </c>
      <c r="J2301" s="115" t="str">
        <f>IFERROR(__xludf.DUMMYFUNCTION("""COMPUTED_VALUE"""),"Pradeep Kothari2025-09-0511")</f>
        <v>Pradeep Kothari2025-09-0511</v>
      </c>
      <c r="K2301" s="115">
        <f>IFERROR(__xludf.DUMMYFUNCTION("""COMPUTED_VALUE"""),132133.0)</f>
        <v>132133</v>
      </c>
    </row>
    <row r="2302">
      <c r="A2302" s="115" t="str">
        <f>IFERROR(__xludf.DUMMYFUNCTION("""COMPUTED_VALUE"""),"NORTH")</f>
        <v>NORTH</v>
      </c>
      <c r="B2302" s="115" t="str">
        <f>IFERROR(__xludf.DUMMYFUNCTION("""COMPUTED_VALUE"""),"Pradeep Kothari")</f>
        <v>Pradeep Kothari</v>
      </c>
      <c r="C2302" s="115" t="str">
        <f>IFERROR(__xludf.DUMMYFUNCTION("""COMPUTED_VALUE"""),"MYNTRA")</f>
        <v>MYNTRA</v>
      </c>
      <c r="D2302" s="115">
        <f>IFERROR(__xludf.DUMMYFUNCTION("""COMPUTED_VALUE"""),20989.0)</f>
        <v>20989</v>
      </c>
      <c r="E2302" s="115">
        <f>IFERROR(__xludf.DUMMYFUNCTION("""COMPUTED_VALUE"""),4598.0)</f>
        <v>4598</v>
      </c>
      <c r="F2302" s="115">
        <f>IFERROR(__xludf.DUMMYFUNCTION("""COMPUTED_VALUE"""),4655.0)</f>
        <v>4655</v>
      </c>
      <c r="G2302" s="115">
        <f>IFERROR(__xludf.DUMMYFUNCTION("""COMPUTED_VALUE"""),347.0)</f>
        <v>347</v>
      </c>
      <c r="H2302" s="116">
        <f>IFERROR(__xludf.DUMMYFUNCTION("""COMPUTED_VALUE"""),45905.0)</f>
        <v>45905</v>
      </c>
      <c r="I2302" s="115" t="str">
        <f>IFERROR(__xludf.DUMMYFUNCTION("""COMPUTED_VALUE"""),"11")</f>
        <v>11</v>
      </c>
      <c r="J2302" s="115" t="str">
        <f>IFERROR(__xludf.DUMMYFUNCTION("""COMPUTED_VALUE"""),"Pradeep Kothari2025-09-0511")</f>
        <v>Pradeep Kothari2025-09-0511</v>
      </c>
      <c r="K2302" s="115">
        <f>IFERROR(__xludf.DUMMYFUNCTION("""COMPUTED_VALUE"""),25587.0)</f>
        <v>25587</v>
      </c>
    </row>
    <row r="2303">
      <c r="A2303" s="115" t="str">
        <f>IFERROR(__xludf.DUMMYFUNCTION("""COMPUTED_VALUE"""),"North")</f>
        <v>North</v>
      </c>
      <c r="B2303" s="115"/>
      <c r="C2303" s="115" t="str">
        <f>IFERROR(__xludf.DUMMYFUNCTION("""COMPUTED_VALUE"""),"EXTERNAL")</f>
        <v>EXTERNAL</v>
      </c>
      <c r="D2303" s="115">
        <f>IFERROR(__xludf.DUMMYFUNCTION("""COMPUTED_VALUE"""),6.0)</f>
        <v>6</v>
      </c>
      <c r="E2303" s="115">
        <f>IFERROR(__xludf.DUMMYFUNCTION("""COMPUTED_VALUE"""),0.0)</f>
        <v>0</v>
      </c>
      <c r="F2303" s="115">
        <f>IFERROR(__xludf.DUMMYFUNCTION("""COMPUTED_VALUE"""),0.0)</f>
        <v>0</v>
      </c>
      <c r="G2303" s="115">
        <f>IFERROR(__xludf.DUMMYFUNCTION("""COMPUTED_VALUE"""),0.0)</f>
        <v>0</v>
      </c>
      <c r="H2303" s="116">
        <f>IFERROR(__xludf.DUMMYFUNCTION("""COMPUTED_VALUE"""),45905.0)</f>
        <v>45905</v>
      </c>
      <c r="I2303" s="115" t="str">
        <f>IFERROR(__xludf.DUMMYFUNCTION("""COMPUTED_VALUE"""),"11")</f>
        <v>11</v>
      </c>
      <c r="J2303" s="115" t="str">
        <f>IFERROR(__xludf.DUMMYFUNCTION("""COMPUTED_VALUE"""),"2025-09-0511")</f>
        <v>2025-09-0511</v>
      </c>
      <c r="K2303" s="115">
        <f>IFERROR(__xludf.DUMMYFUNCTION("""COMPUTED_VALUE"""),6.0)</f>
        <v>6</v>
      </c>
    </row>
    <row r="2304">
      <c r="A2304" s="115" t="str">
        <f>IFERROR(__xludf.DUMMYFUNCTION("""COMPUTED_VALUE"""),"North")</f>
        <v>North</v>
      </c>
      <c r="B2304" s="115"/>
      <c r="C2304" s="115" t="str">
        <f>IFERROR(__xludf.DUMMYFUNCTION("""COMPUTED_VALUE"""),"FLIPKART")</f>
        <v>FLIPKART</v>
      </c>
      <c r="D2304" s="115">
        <f>IFERROR(__xludf.DUMMYFUNCTION("""COMPUTED_VALUE"""),20.0)</f>
        <v>20</v>
      </c>
      <c r="E2304" s="115">
        <f>IFERROR(__xludf.DUMMYFUNCTION("""COMPUTED_VALUE"""),0.0)</f>
        <v>0</v>
      </c>
      <c r="F2304" s="115">
        <f>IFERROR(__xludf.DUMMYFUNCTION("""COMPUTED_VALUE"""),4.0)</f>
        <v>4</v>
      </c>
      <c r="G2304" s="115">
        <f>IFERROR(__xludf.DUMMYFUNCTION("""COMPUTED_VALUE"""),0.0)</f>
        <v>0</v>
      </c>
      <c r="H2304" s="116">
        <f>IFERROR(__xludf.DUMMYFUNCTION("""COMPUTED_VALUE"""),45905.0)</f>
        <v>45905</v>
      </c>
      <c r="I2304" s="115" t="str">
        <f>IFERROR(__xludf.DUMMYFUNCTION("""COMPUTED_VALUE"""),"11")</f>
        <v>11</v>
      </c>
      <c r="J2304" s="115" t="str">
        <f>IFERROR(__xludf.DUMMYFUNCTION("""COMPUTED_VALUE"""),"2025-09-0511")</f>
        <v>2025-09-0511</v>
      </c>
      <c r="K2304" s="115">
        <f>IFERROR(__xludf.DUMMYFUNCTION("""COMPUTED_VALUE"""),20.0)</f>
        <v>20</v>
      </c>
    </row>
    <row r="2305">
      <c r="A2305" s="115" t="str">
        <f>IFERROR(__xludf.DUMMYFUNCTION("""COMPUTED_VALUE"""),"North")</f>
        <v>North</v>
      </c>
      <c r="B2305" s="115"/>
      <c r="C2305" s="115" t="str">
        <f>IFERROR(__xludf.DUMMYFUNCTION("""COMPUTED_VALUE"""),"MYNTRA")</f>
        <v>MYNTRA</v>
      </c>
      <c r="D2305" s="115">
        <f>IFERROR(__xludf.DUMMYFUNCTION("""COMPUTED_VALUE"""),2.0)</f>
        <v>2</v>
      </c>
      <c r="E2305" s="115">
        <f>IFERROR(__xludf.DUMMYFUNCTION("""COMPUTED_VALUE"""),0.0)</f>
        <v>0</v>
      </c>
      <c r="F2305" s="115">
        <f>IFERROR(__xludf.DUMMYFUNCTION("""COMPUTED_VALUE"""),0.0)</f>
        <v>0</v>
      </c>
      <c r="G2305" s="115">
        <f>IFERROR(__xludf.DUMMYFUNCTION("""COMPUTED_VALUE"""),0.0)</f>
        <v>0</v>
      </c>
      <c r="H2305" s="116">
        <f>IFERROR(__xludf.DUMMYFUNCTION("""COMPUTED_VALUE"""),45905.0)</f>
        <v>45905</v>
      </c>
      <c r="I2305" s="115" t="str">
        <f>IFERROR(__xludf.DUMMYFUNCTION("""COMPUTED_VALUE"""),"11")</f>
        <v>11</v>
      </c>
      <c r="J2305" s="115" t="str">
        <f>IFERROR(__xludf.DUMMYFUNCTION("""COMPUTED_VALUE"""),"2025-09-0511")</f>
        <v>2025-09-0511</v>
      </c>
      <c r="K2305" s="115">
        <f>IFERROR(__xludf.DUMMYFUNCTION("""COMPUTED_VALUE"""),2.0)</f>
        <v>2</v>
      </c>
    </row>
    <row r="2306">
      <c r="A2306" s="115" t="str">
        <f>IFERROR(__xludf.DUMMYFUNCTION("""COMPUTED_VALUE"""),"SOUTH")</f>
        <v>SOUTH</v>
      </c>
      <c r="B2306" s="115" t="str">
        <f>IFERROR(__xludf.DUMMYFUNCTION("""COMPUTED_VALUE"""),"Kandula Sampath")</f>
        <v>Kandula Sampath</v>
      </c>
      <c r="C2306" s="115" t="str">
        <f>IFERROR(__xludf.DUMMYFUNCTION("""COMPUTED_VALUE"""),"EXTERNAL")</f>
        <v>EXTERNAL</v>
      </c>
      <c r="D2306" s="115">
        <f>IFERROR(__xludf.DUMMYFUNCTION("""COMPUTED_VALUE"""),29716.0)</f>
        <v>29716</v>
      </c>
      <c r="E2306" s="115">
        <f>IFERROR(__xludf.DUMMYFUNCTION("""COMPUTED_VALUE"""),2934.0)</f>
        <v>2934</v>
      </c>
      <c r="F2306" s="115">
        <f>IFERROR(__xludf.DUMMYFUNCTION("""COMPUTED_VALUE"""),3696.0)</f>
        <v>3696</v>
      </c>
      <c r="G2306" s="115">
        <f>IFERROR(__xludf.DUMMYFUNCTION("""COMPUTED_VALUE"""),82.0)</f>
        <v>82</v>
      </c>
      <c r="H2306" s="116">
        <f>IFERROR(__xludf.DUMMYFUNCTION("""COMPUTED_VALUE"""),45905.0)</f>
        <v>45905</v>
      </c>
      <c r="I2306" s="115" t="str">
        <f>IFERROR(__xludf.DUMMYFUNCTION("""COMPUTED_VALUE"""),"11")</f>
        <v>11</v>
      </c>
      <c r="J2306" s="115" t="str">
        <f>IFERROR(__xludf.DUMMYFUNCTION("""COMPUTED_VALUE"""),"Kandula Sampath2025-09-0511")</f>
        <v>Kandula Sampath2025-09-0511</v>
      </c>
      <c r="K2306" s="115">
        <f>IFERROR(__xludf.DUMMYFUNCTION("""COMPUTED_VALUE"""),32650.0)</f>
        <v>32650</v>
      </c>
    </row>
    <row r="2307">
      <c r="A2307" s="115" t="str">
        <f>IFERROR(__xludf.DUMMYFUNCTION("""COMPUTED_VALUE"""),"SOUTH")</f>
        <v>SOUTH</v>
      </c>
      <c r="B2307" s="115" t="str">
        <f>IFERROR(__xludf.DUMMYFUNCTION("""COMPUTED_VALUE"""),"Kandula Sampath")</f>
        <v>Kandula Sampath</v>
      </c>
      <c r="C2307" s="115" t="str">
        <f>IFERROR(__xludf.DUMMYFUNCTION("""COMPUTED_VALUE"""),"FLIPKART")</f>
        <v>FLIPKART</v>
      </c>
      <c r="D2307" s="115">
        <f>IFERROR(__xludf.DUMMYFUNCTION("""COMPUTED_VALUE"""),260349.0)</f>
        <v>260349</v>
      </c>
      <c r="E2307" s="115">
        <f>IFERROR(__xludf.DUMMYFUNCTION("""COMPUTED_VALUE"""),23787.0)</f>
        <v>23787</v>
      </c>
      <c r="F2307" s="115">
        <f>IFERROR(__xludf.DUMMYFUNCTION("""COMPUTED_VALUE"""),59415.0)</f>
        <v>59415</v>
      </c>
      <c r="G2307" s="115">
        <f>IFERROR(__xludf.DUMMYFUNCTION("""COMPUTED_VALUE"""),1101.0)</f>
        <v>1101</v>
      </c>
      <c r="H2307" s="116">
        <f>IFERROR(__xludf.DUMMYFUNCTION("""COMPUTED_VALUE"""),45905.0)</f>
        <v>45905</v>
      </c>
      <c r="I2307" s="115" t="str">
        <f>IFERROR(__xludf.DUMMYFUNCTION("""COMPUTED_VALUE"""),"11")</f>
        <v>11</v>
      </c>
      <c r="J2307" s="115" t="str">
        <f>IFERROR(__xludf.DUMMYFUNCTION("""COMPUTED_VALUE"""),"Kandula Sampath2025-09-0511")</f>
        <v>Kandula Sampath2025-09-0511</v>
      </c>
      <c r="K2307" s="115">
        <f>IFERROR(__xludf.DUMMYFUNCTION("""COMPUTED_VALUE"""),284136.0)</f>
        <v>284136</v>
      </c>
    </row>
    <row r="2308">
      <c r="A2308" s="115" t="str">
        <f>IFERROR(__xludf.DUMMYFUNCTION("""COMPUTED_VALUE"""),"SOUTH")</f>
        <v>SOUTH</v>
      </c>
      <c r="B2308" s="115" t="str">
        <f>IFERROR(__xludf.DUMMYFUNCTION("""COMPUTED_VALUE"""),"Kandula Sampath")</f>
        <v>Kandula Sampath</v>
      </c>
      <c r="C2308" s="115" t="str">
        <f>IFERROR(__xludf.DUMMYFUNCTION("""COMPUTED_VALUE"""),"MYNTRA")</f>
        <v>MYNTRA</v>
      </c>
      <c r="D2308" s="115">
        <f>IFERROR(__xludf.DUMMYFUNCTION("""COMPUTED_VALUE"""),32100.0)</f>
        <v>32100</v>
      </c>
      <c r="E2308" s="115">
        <f>IFERROR(__xludf.DUMMYFUNCTION("""COMPUTED_VALUE"""),6142.0)</f>
        <v>6142</v>
      </c>
      <c r="F2308" s="115">
        <f>IFERROR(__xludf.DUMMYFUNCTION("""COMPUTED_VALUE"""),8422.0)</f>
        <v>8422</v>
      </c>
      <c r="G2308" s="115">
        <f>IFERROR(__xludf.DUMMYFUNCTION("""COMPUTED_VALUE"""),348.0)</f>
        <v>348</v>
      </c>
      <c r="H2308" s="116">
        <f>IFERROR(__xludf.DUMMYFUNCTION("""COMPUTED_VALUE"""),45905.0)</f>
        <v>45905</v>
      </c>
      <c r="I2308" s="115" t="str">
        <f>IFERROR(__xludf.DUMMYFUNCTION("""COMPUTED_VALUE"""),"11")</f>
        <v>11</v>
      </c>
      <c r="J2308" s="115" t="str">
        <f>IFERROR(__xludf.DUMMYFUNCTION("""COMPUTED_VALUE"""),"Kandula Sampath2025-09-0511")</f>
        <v>Kandula Sampath2025-09-0511</v>
      </c>
      <c r="K2308" s="115">
        <f>IFERROR(__xludf.DUMMYFUNCTION("""COMPUTED_VALUE"""),38242.0)</f>
        <v>38242</v>
      </c>
    </row>
    <row r="2309">
      <c r="A2309" s="115" t="str">
        <f>IFERROR(__xludf.DUMMYFUNCTION("""COMPUTED_VALUE"""),"SOUTH")</f>
        <v>SOUTH</v>
      </c>
      <c r="B2309" s="115" t="str">
        <f>IFERROR(__xludf.DUMMYFUNCTION("""COMPUTED_VALUE"""),"Martin A")</f>
        <v>Martin A</v>
      </c>
      <c r="C2309" s="115" t="str">
        <f>IFERROR(__xludf.DUMMYFUNCTION("""COMPUTED_VALUE"""),"EXTERNAL")</f>
        <v>EXTERNAL</v>
      </c>
      <c r="D2309" s="115">
        <f>IFERROR(__xludf.DUMMYFUNCTION("""COMPUTED_VALUE"""),26397.0)</f>
        <v>26397</v>
      </c>
      <c r="E2309" s="115">
        <f>IFERROR(__xludf.DUMMYFUNCTION("""COMPUTED_VALUE"""),2615.0)</f>
        <v>2615</v>
      </c>
      <c r="F2309" s="115">
        <f>IFERROR(__xludf.DUMMYFUNCTION("""COMPUTED_VALUE"""),2875.0)</f>
        <v>2875</v>
      </c>
      <c r="G2309" s="115">
        <f>IFERROR(__xludf.DUMMYFUNCTION("""COMPUTED_VALUE"""),163.0)</f>
        <v>163</v>
      </c>
      <c r="H2309" s="116">
        <f>IFERROR(__xludf.DUMMYFUNCTION("""COMPUTED_VALUE"""),45905.0)</f>
        <v>45905</v>
      </c>
      <c r="I2309" s="115" t="str">
        <f>IFERROR(__xludf.DUMMYFUNCTION("""COMPUTED_VALUE"""),"11")</f>
        <v>11</v>
      </c>
      <c r="J2309" s="115" t="str">
        <f>IFERROR(__xludf.DUMMYFUNCTION("""COMPUTED_VALUE"""),"Martin A2025-09-0511")</f>
        <v>Martin A2025-09-0511</v>
      </c>
      <c r="K2309" s="115">
        <f>IFERROR(__xludf.DUMMYFUNCTION("""COMPUTED_VALUE"""),29012.0)</f>
        <v>29012</v>
      </c>
    </row>
    <row r="2310">
      <c r="A2310" s="115" t="str">
        <f>IFERROR(__xludf.DUMMYFUNCTION("""COMPUTED_VALUE"""),"SOUTH")</f>
        <v>SOUTH</v>
      </c>
      <c r="B2310" s="115" t="str">
        <f>IFERROR(__xludf.DUMMYFUNCTION("""COMPUTED_VALUE"""),"Martin A")</f>
        <v>Martin A</v>
      </c>
      <c r="C2310" s="115" t="str">
        <f>IFERROR(__xludf.DUMMYFUNCTION("""COMPUTED_VALUE"""),"FLIPKART")</f>
        <v>FLIPKART</v>
      </c>
      <c r="D2310" s="115">
        <f>IFERROR(__xludf.DUMMYFUNCTION("""COMPUTED_VALUE"""),203943.0)</f>
        <v>203943</v>
      </c>
      <c r="E2310" s="115">
        <f>IFERROR(__xludf.DUMMYFUNCTION("""COMPUTED_VALUE"""),19162.0)</f>
        <v>19162</v>
      </c>
      <c r="F2310" s="115">
        <f>IFERROR(__xludf.DUMMYFUNCTION("""COMPUTED_VALUE"""),39998.0)</f>
        <v>39998</v>
      </c>
      <c r="G2310" s="115">
        <f>IFERROR(__xludf.DUMMYFUNCTION("""COMPUTED_VALUE"""),1136.0)</f>
        <v>1136</v>
      </c>
      <c r="H2310" s="116">
        <f>IFERROR(__xludf.DUMMYFUNCTION("""COMPUTED_VALUE"""),45905.0)</f>
        <v>45905</v>
      </c>
      <c r="I2310" s="115" t="str">
        <f>IFERROR(__xludf.DUMMYFUNCTION("""COMPUTED_VALUE"""),"11")</f>
        <v>11</v>
      </c>
      <c r="J2310" s="115" t="str">
        <f>IFERROR(__xludf.DUMMYFUNCTION("""COMPUTED_VALUE"""),"Martin A2025-09-0511")</f>
        <v>Martin A2025-09-0511</v>
      </c>
      <c r="K2310" s="115">
        <f>IFERROR(__xludf.DUMMYFUNCTION("""COMPUTED_VALUE"""),223105.0)</f>
        <v>223105</v>
      </c>
    </row>
    <row r="2311">
      <c r="A2311" s="115" t="str">
        <f>IFERROR(__xludf.DUMMYFUNCTION("""COMPUTED_VALUE"""),"SOUTH")</f>
        <v>SOUTH</v>
      </c>
      <c r="B2311" s="115" t="str">
        <f>IFERROR(__xludf.DUMMYFUNCTION("""COMPUTED_VALUE"""),"Martin A")</f>
        <v>Martin A</v>
      </c>
      <c r="C2311" s="115" t="str">
        <f>IFERROR(__xludf.DUMMYFUNCTION("""COMPUTED_VALUE"""),"MYNTRA")</f>
        <v>MYNTRA</v>
      </c>
      <c r="D2311" s="115">
        <f>IFERROR(__xludf.DUMMYFUNCTION("""COMPUTED_VALUE"""),21750.0)</f>
        <v>21750</v>
      </c>
      <c r="E2311" s="115">
        <f>IFERROR(__xludf.DUMMYFUNCTION("""COMPUTED_VALUE"""),4352.0)</f>
        <v>4352</v>
      </c>
      <c r="F2311" s="115">
        <f>IFERROR(__xludf.DUMMYFUNCTION("""COMPUTED_VALUE"""),5271.0)</f>
        <v>5271</v>
      </c>
      <c r="G2311" s="115">
        <f>IFERROR(__xludf.DUMMYFUNCTION("""COMPUTED_VALUE"""),317.0)</f>
        <v>317</v>
      </c>
      <c r="H2311" s="116">
        <f>IFERROR(__xludf.DUMMYFUNCTION("""COMPUTED_VALUE"""),45905.0)</f>
        <v>45905</v>
      </c>
      <c r="I2311" s="115" t="str">
        <f>IFERROR(__xludf.DUMMYFUNCTION("""COMPUTED_VALUE"""),"11")</f>
        <v>11</v>
      </c>
      <c r="J2311" s="115" t="str">
        <f>IFERROR(__xludf.DUMMYFUNCTION("""COMPUTED_VALUE"""),"Martin A2025-09-0511")</f>
        <v>Martin A2025-09-0511</v>
      </c>
      <c r="K2311" s="115">
        <f>IFERROR(__xludf.DUMMYFUNCTION("""COMPUTED_VALUE"""),26102.0)</f>
        <v>26102</v>
      </c>
    </row>
    <row r="2312">
      <c r="A2312" s="115" t="str">
        <f>IFERROR(__xludf.DUMMYFUNCTION("""COMPUTED_VALUE"""),"SOUTH")</f>
        <v>SOUTH</v>
      </c>
      <c r="B2312" s="115" t="str">
        <f>IFERROR(__xludf.DUMMYFUNCTION("""COMPUTED_VALUE"""),"Premkumar M")</f>
        <v>Premkumar M</v>
      </c>
      <c r="C2312" s="115" t="str">
        <f>IFERROR(__xludf.DUMMYFUNCTION("""COMPUTED_VALUE"""),"EXTERNAL")</f>
        <v>EXTERNAL</v>
      </c>
      <c r="D2312" s="115">
        <f>IFERROR(__xludf.DUMMYFUNCTION("""COMPUTED_VALUE"""),18573.0)</f>
        <v>18573</v>
      </c>
      <c r="E2312" s="115">
        <f>IFERROR(__xludf.DUMMYFUNCTION("""COMPUTED_VALUE"""),837.0)</f>
        <v>837</v>
      </c>
      <c r="F2312" s="115">
        <f>IFERROR(__xludf.DUMMYFUNCTION("""COMPUTED_VALUE"""),1276.0)</f>
        <v>1276</v>
      </c>
      <c r="G2312" s="115">
        <f>IFERROR(__xludf.DUMMYFUNCTION("""COMPUTED_VALUE"""),5.0)</f>
        <v>5</v>
      </c>
      <c r="H2312" s="116">
        <f>IFERROR(__xludf.DUMMYFUNCTION("""COMPUTED_VALUE"""),45905.0)</f>
        <v>45905</v>
      </c>
      <c r="I2312" s="115" t="str">
        <f>IFERROR(__xludf.DUMMYFUNCTION("""COMPUTED_VALUE"""),"11")</f>
        <v>11</v>
      </c>
      <c r="J2312" s="115" t="str">
        <f>IFERROR(__xludf.DUMMYFUNCTION("""COMPUTED_VALUE"""),"Premkumar M2025-09-0511")</f>
        <v>Premkumar M2025-09-0511</v>
      </c>
      <c r="K2312" s="115">
        <f>IFERROR(__xludf.DUMMYFUNCTION("""COMPUTED_VALUE"""),19410.0)</f>
        <v>19410</v>
      </c>
    </row>
    <row r="2313">
      <c r="A2313" s="115" t="str">
        <f>IFERROR(__xludf.DUMMYFUNCTION("""COMPUTED_VALUE"""),"SOUTH")</f>
        <v>SOUTH</v>
      </c>
      <c r="B2313" s="115" t="str">
        <f>IFERROR(__xludf.DUMMYFUNCTION("""COMPUTED_VALUE"""),"Premkumar M")</f>
        <v>Premkumar M</v>
      </c>
      <c r="C2313" s="115" t="str">
        <f>IFERROR(__xludf.DUMMYFUNCTION("""COMPUTED_VALUE"""),"FLIPKART")</f>
        <v>FLIPKART</v>
      </c>
      <c r="D2313" s="115">
        <f>IFERROR(__xludf.DUMMYFUNCTION("""COMPUTED_VALUE"""),175849.0)</f>
        <v>175849</v>
      </c>
      <c r="E2313" s="115">
        <f>IFERROR(__xludf.DUMMYFUNCTION("""COMPUTED_VALUE"""),10278.0)</f>
        <v>10278</v>
      </c>
      <c r="F2313" s="115">
        <f>IFERROR(__xludf.DUMMYFUNCTION("""COMPUTED_VALUE"""),19229.0)</f>
        <v>19229</v>
      </c>
      <c r="G2313" s="115">
        <f>IFERROR(__xludf.DUMMYFUNCTION("""COMPUTED_VALUE"""),170.0)</f>
        <v>170</v>
      </c>
      <c r="H2313" s="116">
        <f>IFERROR(__xludf.DUMMYFUNCTION("""COMPUTED_VALUE"""),45905.0)</f>
        <v>45905</v>
      </c>
      <c r="I2313" s="115" t="str">
        <f>IFERROR(__xludf.DUMMYFUNCTION("""COMPUTED_VALUE"""),"11")</f>
        <v>11</v>
      </c>
      <c r="J2313" s="115" t="str">
        <f>IFERROR(__xludf.DUMMYFUNCTION("""COMPUTED_VALUE"""),"Premkumar M2025-09-0511")</f>
        <v>Premkumar M2025-09-0511</v>
      </c>
      <c r="K2313" s="115">
        <f>IFERROR(__xludf.DUMMYFUNCTION("""COMPUTED_VALUE"""),186127.0)</f>
        <v>186127</v>
      </c>
    </row>
    <row r="2314">
      <c r="A2314" s="115" t="str">
        <f>IFERROR(__xludf.DUMMYFUNCTION("""COMPUTED_VALUE"""),"SOUTH")</f>
        <v>SOUTH</v>
      </c>
      <c r="B2314" s="115" t="str">
        <f>IFERROR(__xludf.DUMMYFUNCTION("""COMPUTED_VALUE"""),"Premkumar M")</f>
        <v>Premkumar M</v>
      </c>
      <c r="C2314" s="115" t="str">
        <f>IFERROR(__xludf.DUMMYFUNCTION("""COMPUTED_VALUE"""),"MYNTRA")</f>
        <v>MYNTRA</v>
      </c>
      <c r="D2314" s="115">
        <f>IFERROR(__xludf.DUMMYFUNCTION("""COMPUTED_VALUE"""),10373.0)</f>
        <v>10373</v>
      </c>
      <c r="E2314" s="115">
        <f>IFERROR(__xludf.DUMMYFUNCTION("""COMPUTED_VALUE"""),1616.0)</f>
        <v>1616</v>
      </c>
      <c r="F2314" s="115">
        <f>IFERROR(__xludf.DUMMYFUNCTION("""COMPUTED_VALUE"""),1377.0)</f>
        <v>1377</v>
      </c>
      <c r="G2314" s="115">
        <f>IFERROR(__xludf.DUMMYFUNCTION("""COMPUTED_VALUE"""),28.0)</f>
        <v>28</v>
      </c>
      <c r="H2314" s="116">
        <f>IFERROR(__xludf.DUMMYFUNCTION("""COMPUTED_VALUE"""),45905.0)</f>
        <v>45905</v>
      </c>
      <c r="I2314" s="115" t="str">
        <f>IFERROR(__xludf.DUMMYFUNCTION("""COMPUTED_VALUE"""),"11")</f>
        <v>11</v>
      </c>
      <c r="J2314" s="115" t="str">
        <f>IFERROR(__xludf.DUMMYFUNCTION("""COMPUTED_VALUE"""),"Premkumar M2025-09-0511")</f>
        <v>Premkumar M2025-09-0511</v>
      </c>
      <c r="K2314" s="115">
        <f>IFERROR(__xludf.DUMMYFUNCTION("""COMPUTED_VALUE"""),11989.0)</f>
        <v>11989</v>
      </c>
    </row>
    <row r="2315">
      <c r="A2315" s="115" t="str">
        <f>IFERROR(__xludf.DUMMYFUNCTION("""COMPUTED_VALUE"""),"SOUTH")</f>
        <v>SOUTH</v>
      </c>
      <c r="B2315" s="115" t="str">
        <f>IFERROR(__xludf.DUMMYFUNCTION("""COMPUTED_VALUE"""),"Vineeth V")</f>
        <v>Vineeth V</v>
      </c>
      <c r="C2315" s="115" t="str">
        <f>IFERROR(__xludf.DUMMYFUNCTION("""COMPUTED_VALUE"""),"EXTERNAL")</f>
        <v>EXTERNAL</v>
      </c>
      <c r="D2315" s="115">
        <f>IFERROR(__xludf.DUMMYFUNCTION("""COMPUTED_VALUE"""),1887.0)</f>
        <v>1887</v>
      </c>
      <c r="E2315" s="115">
        <f>IFERROR(__xludf.DUMMYFUNCTION("""COMPUTED_VALUE"""),66.0)</f>
        <v>66</v>
      </c>
      <c r="F2315" s="115">
        <f>IFERROR(__xludf.DUMMYFUNCTION("""COMPUTED_VALUE"""),250.0)</f>
        <v>250</v>
      </c>
      <c r="G2315" s="115">
        <f>IFERROR(__xludf.DUMMYFUNCTION("""COMPUTED_VALUE"""),1.0)</f>
        <v>1</v>
      </c>
      <c r="H2315" s="116">
        <f>IFERROR(__xludf.DUMMYFUNCTION("""COMPUTED_VALUE"""),45905.0)</f>
        <v>45905</v>
      </c>
      <c r="I2315" s="115" t="str">
        <f>IFERROR(__xludf.DUMMYFUNCTION("""COMPUTED_VALUE"""),"11")</f>
        <v>11</v>
      </c>
      <c r="J2315" s="115" t="str">
        <f>IFERROR(__xludf.DUMMYFUNCTION("""COMPUTED_VALUE"""),"Vineeth V2025-09-0511")</f>
        <v>Vineeth V2025-09-0511</v>
      </c>
      <c r="K2315" s="115">
        <f>IFERROR(__xludf.DUMMYFUNCTION("""COMPUTED_VALUE"""),1953.0)</f>
        <v>1953</v>
      </c>
    </row>
    <row r="2316">
      <c r="A2316" s="115" t="str">
        <f>IFERROR(__xludf.DUMMYFUNCTION("""COMPUTED_VALUE"""),"SOUTH")</f>
        <v>SOUTH</v>
      </c>
      <c r="B2316" s="115" t="str">
        <f>IFERROR(__xludf.DUMMYFUNCTION("""COMPUTED_VALUE"""),"Vineeth V")</f>
        <v>Vineeth V</v>
      </c>
      <c r="C2316" s="115" t="str">
        <f>IFERROR(__xludf.DUMMYFUNCTION("""COMPUTED_VALUE"""),"FLIPKART")</f>
        <v>FLIPKART</v>
      </c>
      <c r="D2316" s="115">
        <f>IFERROR(__xludf.DUMMYFUNCTION("""COMPUTED_VALUE"""),13247.0)</f>
        <v>13247</v>
      </c>
      <c r="E2316" s="115">
        <f>IFERROR(__xludf.DUMMYFUNCTION("""COMPUTED_VALUE"""),1296.0)</f>
        <v>1296</v>
      </c>
      <c r="F2316" s="115">
        <f>IFERROR(__xludf.DUMMYFUNCTION("""COMPUTED_VALUE"""),2694.0)</f>
        <v>2694</v>
      </c>
      <c r="G2316" s="115">
        <f>IFERROR(__xludf.DUMMYFUNCTION("""COMPUTED_VALUE"""),92.0)</f>
        <v>92</v>
      </c>
      <c r="H2316" s="116">
        <f>IFERROR(__xludf.DUMMYFUNCTION("""COMPUTED_VALUE"""),45905.0)</f>
        <v>45905</v>
      </c>
      <c r="I2316" s="115" t="str">
        <f>IFERROR(__xludf.DUMMYFUNCTION("""COMPUTED_VALUE"""),"11")</f>
        <v>11</v>
      </c>
      <c r="J2316" s="115" t="str">
        <f>IFERROR(__xludf.DUMMYFUNCTION("""COMPUTED_VALUE"""),"Vineeth V2025-09-0511")</f>
        <v>Vineeth V2025-09-0511</v>
      </c>
      <c r="K2316" s="115">
        <f>IFERROR(__xludf.DUMMYFUNCTION("""COMPUTED_VALUE"""),14543.0)</f>
        <v>14543</v>
      </c>
    </row>
    <row r="2317">
      <c r="A2317" s="115" t="str">
        <f>IFERROR(__xludf.DUMMYFUNCTION("""COMPUTED_VALUE"""),"SOUTH")</f>
        <v>SOUTH</v>
      </c>
      <c r="B2317" s="115" t="str">
        <f>IFERROR(__xludf.DUMMYFUNCTION("""COMPUTED_VALUE"""),"Vineeth V")</f>
        <v>Vineeth V</v>
      </c>
      <c r="C2317" s="115" t="str">
        <f>IFERROR(__xludf.DUMMYFUNCTION("""COMPUTED_VALUE"""),"MYNTRA")</f>
        <v>MYNTRA</v>
      </c>
      <c r="D2317" s="115">
        <f>IFERROR(__xludf.DUMMYFUNCTION("""COMPUTED_VALUE"""),2389.0)</f>
        <v>2389</v>
      </c>
      <c r="E2317" s="115">
        <f>IFERROR(__xludf.DUMMYFUNCTION("""COMPUTED_VALUE"""),342.0)</f>
        <v>342</v>
      </c>
      <c r="F2317" s="115">
        <f>IFERROR(__xludf.DUMMYFUNCTION("""COMPUTED_VALUE"""),563.0)</f>
        <v>563</v>
      </c>
      <c r="G2317" s="115">
        <f>IFERROR(__xludf.DUMMYFUNCTION("""COMPUTED_VALUE"""),28.0)</f>
        <v>28</v>
      </c>
      <c r="H2317" s="116">
        <f>IFERROR(__xludf.DUMMYFUNCTION("""COMPUTED_VALUE"""),45905.0)</f>
        <v>45905</v>
      </c>
      <c r="I2317" s="115" t="str">
        <f>IFERROR(__xludf.DUMMYFUNCTION("""COMPUTED_VALUE"""),"11")</f>
        <v>11</v>
      </c>
      <c r="J2317" s="115" t="str">
        <f>IFERROR(__xludf.DUMMYFUNCTION("""COMPUTED_VALUE"""),"Vineeth V2025-09-0511")</f>
        <v>Vineeth V2025-09-0511</v>
      </c>
      <c r="K2317" s="115">
        <f>IFERROR(__xludf.DUMMYFUNCTION("""COMPUTED_VALUE"""),2731.0)</f>
        <v>2731</v>
      </c>
    </row>
    <row r="2318">
      <c r="A2318" s="115" t="str">
        <f>IFERROR(__xludf.DUMMYFUNCTION("""COMPUTED_VALUE"""),"WEST")</f>
        <v>WEST</v>
      </c>
      <c r="B2318" s="115" t="str">
        <f>IFERROR(__xludf.DUMMYFUNCTION("""COMPUTED_VALUE"""),"Ashish Jakar")</f>
        <v>Ashish Jakar</v>
      </c>
      <c r="C2318" s="115" t="str">
        <f>IFERROR(__xludf.DUMMYFUNCTION("""COMPUTED_VALUE"""),"EXTERNAL")</f>
        <v>EXTERNAL</v>
      </c>
      <c r="D2318" s="115">
        <f>IFERROR(__xludf.DUMMYFUNCTION("""COMPUTED_VALUE"""),39560.0)</f>
        <v>39560</v>
      </c>
      <c r="E2318" s="115">
        <f>IFERROR(__xludf.DUMMYFUNCTION("""COMPUTED_VALUE"""),4528.0)</f>
        <v>4528</v>
      </c>
      <c r="F2318" s="115">
        <f>IFERROR(__xludf.DUMMYFUNCTION("""COMPUTED_VALUE"""),3375.0)</f>
        <v>3375</v>
      </c>
      <c r="G2318" s="115">
        <f>IFERROR(__xludf.DUMMYFUNCTION("""COMPUTED_VALUE"""),235.0)</f>
        <v>235</v>
      </c>
      <c r="H2318" s="116">
        <f>IFERROR(__xludf.DUMMYFUNCTION("""COMPUTED_VALUE"""),45905.0)</f>
        <v>45905</v>
      </c>
      <c r="I2318" s="115" t="str">
        <f>IFERROR(__xludf.DUMMYFUNCTION("""COMPUTED_VALUE"""),"11")</f>
        <v>11</v>
      </c>
      <c r="J2318" s="115" t="str">
        <f>IFERROR(__xludf.DUMMYFUNCTION("""COMPUTED_VALUE"""),"Ashish Jakar2025-09-0511")</f>
        <v>Ashish Jakar2025-09-0511</v>
      </c>
      <c r="K2318" s="115">
        <f>IFERROR(__xludf.DUMMYFUNCTION("""COMPUTED_VALUE"""),44088.0)</f>
        <v>44088</v>
      </c>
    </row>
    <row r="2319">
      <c r="A2319" s="115" t="str">
        <f>IFERROR(__xludf.DUMMYFUNCTION("""COMPUTED_VALUE"""),"WEST")</f>
        <v>WEST</v>
      </c>
      <c r="B2319" s="115" t="str">
        <f>IFERROR(__xludf.DUMMYFUNCTION("""COMPUTED_VALUE"""),"Ashish Jakar")</f>
        <v>Ashish Jakar</v>
      </c>
      <c r="C2319" s="115" t="str">
        <f>IFERROR(__xludf.DUMMYFUNCTION("""COMPUTED_VALUE"""),"FLIPKART")</f>
        <v>FLIPKART</v>
      </c>
      <c r="D2319" s="115">
        <f>IFERROR(__xludf.DUMMYFUNCTION("""COMPUTED_VALUE"""),221790.0)</f>
        <v>221790</v>
      </c>
      <c r="E2319" s="115">
        <f>IFERROR(__xludf.DUMMYFUNCTION("""COMPUTED_VALUE"""),23470.0)</f>
        <v>23470</v>
      </c>
      <c r="F2319" s="115">
        <f>IFERROR(__xludf.DUMMYFUNCTION("""COMPUTED_VALUE"""),33787.0)</f>
        <v>33787</v>
      </c>
      <c r="G2319" s="115">
        <f>IFERROR(__xludf.DUMMYFUNCTION("""COMPUTED_VALUE"""),1132.0)</f>
        <v>1132</v>
      </c>
      <c r="H2319" s="116">
        <f>IFERROR(__xludf.DUMMYFUNCTION("""COMPUTED_VALUE"""),45905.0)</f>
        <v>45905</v>
      </c>
      <c r="I2319" s="115" t="str">
        <f>IFERROR(__xludf.DUMMYFUNCTION("""COMPUTED_VALUE"""),"11")</f>
        <v>11</v>
      </c>
      <c r="J2319" s="115" t="str">
        <f>IFERROR(__xludf.DUMMYFUNCTION("""COMPUTED_VALUE"""),"Ashish Jakar2025-09-0511")</f>
        <v>Ashish Jakar2025-09-0511</v>
      </c>
      <c r="K2319" s="115">
        <f>IFERROR(__xludf.DUMMYFUNCTION("""COMPUTED_VALUE"""),245260.0)</f>
        <v>245260</v>
      </c>
    </row>
    <row r="2320">
      <c r="A2320" s="115" t="str">
        <f>IFERROR(__xludf.DUMMYFUNCTION("""COMPUTED_VALUE"""),"WEST")</f>
        <v>WEST</v>
      </c>
      <c r="B2320" s="115" t="str">
        <f>IFERROR(__xludf.DUMMYFUNCTION("""COMPUTED_VALUE"""),"Ashish Jakar")</f>
        <v>Ashish Jakar</v>
      </c>
      <c r="C2320" s="115" t="str">
        <f>IFERROR(__xludf.DUMMYFUNCTION("""COMPUTED_VALUE"""),"MYNTRA")</f>
        <v>MYNTRA</v>
      </c>
      <c r="D2320" s="115">
        <f>IFERROR(__xludf.DUMMYFUNCTION("""COMPUTED_VALUE"""),29406.0)</f>
        <v>29406</v>
      </c>
      <c r="E2320" s="115">
        <f>IFERROR(__xludf.DUMMYFUNCTION("""COMPUTED_VALUE"""),8031.0)</f>
        <v>8031</v>
      </c>
      <c r="F2320" s="115">
        <f>IFERROR(__xludf.DUMMYFUNCTION("""COMPUTED_VALUE"""),5614.0)</f>
        <v>5614</v>
      </c>
      <c r="G2320" s="115">
        <f>IFERROR(__xludf.DUMMYFUNCTION("""COMPUTED_VALUE"""),415.0)</f>
        <v>415</v>
      </c>
      <c r="H2320" s="116">
        <f>IFERROR(__xludf.DUMMYFUNCTION("""COMPUTED_VALUE"""),45905.0)</f>
        <v>45905</v>
      </c>
      <c r="I2320" s="115" t="str">
        <f>IFERROR(__xludf.DUMMYFUNCTION("""COMPUTED_VALUE"""),"11")</f>
        <v>11</v>
      </c>
      <c r="J2320" s="115" t="str">
        <f>IFERROR(__xludf.DUMMYFUNCTION("""COMPUTED_VALUE"""),"Ashish Jakar2025-09-0511")</f>
        <v>Ashish Jakar2025-09-0511</v>
      </c>
      <c r="K2320" s="115">
        <f>IFERROR(__xludf.DUMMYFUNCTION("""COMPUTED_VALUE"""),37437.0)</f>
        <v>37437</v>
      </c>
    </row>
    <row r="2321">
      <c r="A2321" s="115" t="str">
        <f>IFERROR(__xludf.DUMMYFUNCTION("""COMPUTED_VALUE"""),"WEST")</f>
        <v>WEST</v>
      </c>
      <c r="B2321" s="115" t="str">
        <f>IFERROR(__xludf.DUMMYFUNCTION("""COMPUTED_VALUE"""),"Ashvani Bhatt")</f>
        <v>Ashvani Bhatt</v>
      </c>
      <c r="C2321" s="115" t="str">
        <f>IFERROR(__xludf.DUMMYFUNCTION("""COMPUTED_VALUE"""),"EXTERNAL")</f>
        <v>EXTERNAL</v>
      </c>
      <c r="D2321" s="115">
        <f>IFERROR(__xludf.DUMMYFUNCTION("""COMPUTED_VALUE"""),25573.0)</f>
        <v>25573</v>
      </c>
      <c r="E2321" s="115">
        <f>IFERROR(__xludf.DUMMYFUNCTION("""COMPUTED_VALUE"""),1846.0)</f>
        <v>1846</v>
      </c>
      <c r="F2321" s="115">
        <f>IFERROR(__xludf.DUMMYFUNCTION("""COMPUTED_VALUE"""),2347.0)</f>
        <v>2347</v>
      </c>
      <c r="G2321" s="115">
        <f>IFERROR(__xludf.DUMMYFUNCTION("""COMPUTED_VALUE"""),37.0)</f>
        <v>37</v>
      </c>
      <c r="H2321" s="116">
        <f>IFERROR(__xludf.DUMMYFUNCTION("""COMPUTED_VALUE"""),45905.0)</f>
        <v>45905</v>
      </c>
      <c r="I2321" s="115" t="str">
        <f>IFERROR(__xludf.DUMMYFUNCTION("""COMPUTED_VALUE"""),"11")</f>
        <v>11</v>
      </c>
      <c r="J2321" s="115" t="str">
        <f>IFERROR(__xludf.DUMMYFUNCTION("""COMPUTED_VALUE"""),"Ashvani Bhatt2025-09-0511")</f>
        <v>Ashvani Bhatt2025-09-0511</v>
      </c>
      <c r="K2321" s="115">
        <f>IFERROR(__xludf.DUMMYFUNCTION("""COMPUTED_VALUE"""),27419.0)</f>
        <v>27419</v>
      </c>
    </row>
    <row r="2322">
      <c r="A2322" s="115" t="str">
        <f>IFERROR(__xludf.DUMMYFUNCTION("""COMPUTED_VALUE"""),"WEST")</f>
        <v>WEST</v>
      </c>
      <c r="B2322" s="115" t="str">
        <f>IFERROR(__xludf.DUMMYFUNCTION("""COMPUTED_VALUE"""),"Ashvani Bhatt")</f>
        <v>Ashvani Bhatt</v>
      </c>
      <c r="C2322" s="115" t="str">
        <f>IFERROR(__xludf.DUMMYFUNCTION("""COMPUTED_VALUE"""),"FLIPKART")</f>
        <v>FLIPKART</v>
      </c>
      <c r="D2322" s="115">
        <f>IFERROR(__xludf.DUMMYFUNCTION("""COMPUTED_VALUE"""),190843.0)</f>
        <v>190843</v>
      </c>
      <c r="E2322" s="115">
        <f>IFERROR(__xludf.DUMMYFUNCTION("""COMPUTED_VALUE"""),17794.0)</f>
        <v>17794</v>
      </c>
      <c r="F2322" s="115">
        <f>IFERROR(__xludf.DUMMYFUNCTION("""COMPUTED_VALUE"""),31785.0)</f>
        <v>31785</v>
      </c>
      <c r="G2322" s="115">
        <f>IFERROR(__xludf.DUMMYFUNCTION("""COMPUTED_VALUE"""),624.0)</f>
        <v>624</v>
      </c>
      <c r="H2322" s="116">
        <f>IFERROR(__xludf.DUMMYFUNCTION("""COMPUTED_VALUE"""),45905.0)</f>
        <v>45905</v>
      </c>
      <c r="I2322" s="115" t="str">
        <f>IFERROR(__xludf.DUMMYFUNCTION("""COMPUTED_VALUE"""),"11")</f>
        <v>11</v>
      </c>
      <c r="J2322" s="115" t="str">
        <f>IFERROR(__xludf.DUMMYFUNCTION("""COMPUTED_VALUE"""),"Ashvani Bhatt2025-09-0511")</f>
        <v>Ashvani Bhatt2025-09-0511</v>
      </c>
      <c r="K2322" s="115">
        <f>IFERROR(__xludf.DUMMYFUNCTION("""COMPUTED_VALUE"""),208637.0)</f>
        <v>208637</v>
      </c>
    </row>
    <row r="2323">
      <c r="A2323" s="115" t="str">
        <f>IFERROR(__xludf.DUMMYFUNCTION("""COMPUTED_VALUE"""),"WEST")</f>
        <v>WEST</v>
      </c>
      <c r="B2323" s="115" t="str">
        <f>IFERROR(__xludf.DUMMYFUNCTION("""COMPUTED_VALUE"""),"Ashvani Bhatt")</f>
        <v>Ashvani Bhatt</v>
      </c>
      <c r="C2323" s="115" t="str">
        <f>IFERROR(__xludf.DUMMYFUNCTION("""COMPUTED_VALUE"""),"MYNTRA")</f>
        <v>MYNTRA</v>
      </c>
      <c r="D2323" s="115">
        <f>IFERROR(__xludf.DUMMYFUNCTION("""COMPUTED_VALUE"""),25530.0)</f>
        <v>25530</v>
      </c>
      <c r="E2323" s="115">
        <f>IFERROR(__xludf.DUMMYFUNCTION("""COMPUTED_VALUE"""),5632.0)</f>
        <v>5632</v>
      </c>
      <c r="F2323" s="115">
        <f>IFERROR(__xludf.DUMMYFUNCTION("""COMPUTED_VALUE"""),5358.0)</f>
        <v>5358</v>
      </c>
      <c r="G2323" s="115">
        <f>IFERROR(__xludf.DUMMYFUNCTION("""COMPUTED_VALUE"""),266.0)</f>
        <v>266</v>
      </c>
      <c r="H2323" s="116">
        <f>IFERROR(__xludf.DUMMYFUNCTION("""COMPUTED_VALUE"""),45905.0)</f>
        <v>45905</v>
      </c>
      <c r="I2323" s="115" t="str">
        <f>IFERROR(__xludf.DUMMYFUNCTION("""COMPUTED_VALUE"""),"11")</f>
        <v>11</v>
      </c>
      <c r="J2323" s="115" t="str">
        <f>IFERROR(__xludf.DUMMYFUNCTION("""COMPUTED_VALUE"""),"Ashvani Bhatt2025-09-0511")</f>
        <v>Ashvani Bhatt2025-09-0511</v>
      </c>
      <c r="K2323" s="115">
        <f>IFERROR(__xludf.DUMMYFUNCTION("""COMPUTED_VALUE"""),31162.0)</f>
        <v>31162</v>
      </c>
    </row>
    <row r="2324">
      <c r="A2324" s="115" t="str">
        <f>IFERROR(__xludf.DUMMYFUNCTION("""COMPUTED_VALUE"""),"West")</f>
        <v>West</v>
      </c>
      <c r="B2324" s="115"/>
      <c r="C2324" s="115" t="str">
        <f>IFERROR(__xludf.DUMMYFUNCTION("""COMPUTED_VALUE"""),"EXTERNAL")</f>
        <v>EXTERNAL</v>
      </c>
      <c r="D2324" s="115">
        <f>IFERROR(__xludf.DUMMYFUNCTION("""COMPUTED_VALUE"""),15.0)</f>
        <v>15</v>
      </c>
      <c r="E2324" s="115">
        <f>IFERROR(__xludf.DUMMYFUNCTION("""COMPUTED_VALUE"""),6.0)</f>
        <v>6</v>
      </c>
      <c r="F2324" s="115">
        <f>IFERROR(__xludf.DUMMYFUNCTION("""COMPUTED_VALUE"""),1.0)</f>
        <v>1</v>
      </c>
      <c r="G2324" s="115">
        <f>IFERROR(__xludf.DUMMYFUNCTION("""COMPUTED_VALUE"""),1.0)</f>
        <v>1</v>
      </c>
      <c r="H2324" s="116">
        <f>IFERROR(__xludf.DUMMYFUNCTION("""COMPUTED_VALUE"""),45905.0)</f>
        <v>45905</v>
      </c>
      <c r="I2324" s="115" t="str">
        <f>IFERROR(__xludf.DUMMYFUNCTION("""COMPUTED_VALUE"""),"11")</f>
        <v>11</v>
      </c>
      <c r="J2324" s="115" t="str">
        <f>IFERROR(__xludf.DUMMYFUNCTION("""COMPUTED_VALUE"""),"2025-09-0511")</f>
        <v>2025-09-0511</v>
      </c>
      <c r="K2324" s="115">
        <f>IFERROR(__xludf.DUMMYFUNCTION("""COMPUTED_VALUE"""),21.0)</f>
        <v>21</v>
      </c>
    </row>
    <row r="2325">
      <c r="A2325" s="115" t="str">
        <f>IFERROR(__xludf.DUMMYFUNCTION("""COMPUTED_VALUE"""),"West")</f>
        <v>West</v>
      </c>
      <c r="B2325" s="115"/>
      <c r="C2325" s="115" t="str">
        <f>IFERROR(__xludf.DUMMYFUNCTION("""COMPUTED_VALUE"""),"FLIPKART")</f>
        <v>FLIPKART</v>
      </c>
      <c r="D2325" s="115">
        <f>IFERROR(__xludf.DUMMYFUNCTION("""COMPUTED_VALUE"""),77.0)</f>
        <v>77</v>
      </c>
      <c r="E2325" s="115">
        <f>IFERROR(__xludf.DUMMYFUNCTION("""COMPUTED_VALUE"""),8.0)</f>
        <v>8</v>
      </c>
      <c r="F2325" s="115">
        <f>IFERROR(__xludf.DUMMYFUNCTION("""COMPUTED_VALUE"""),25.0)</f>
        <v>25</v>
      </c>
      <c r="G2325" s="115">
        <f>IFERROR(__xludf.DUMMYFUNCTION("""COMPUTED_VALUE"""),0.0)</f>
        <v>0</v>
      </c>
      <c r="H2325" s="116">
        <f>IFERROR(__xludf.DUMMYFUNCTION("""COMPUTED_VALUE"""),45905.0)</f>
        <v>45905</v>
      </c>
      <c r="I2325" s="115" t="str">
        <f>IFERROR(__xludf.DUMMYFUNCTION("""COMPUTED_VALUE"""),"11")</f>
        <v>11</v>
      </c>
      <c r="J2325" s="115" t="str">
        <f>IFERROR(__xludf.DUMMYFUNCTION("""COMPUTED_VALUE"""),"2025-09-0511")</f>
        <v>2025-09-0511</v>
      </c>
      <c r="K2325" s="115">
        <f>IFERROR(__xludf.DUMMYFUNCTION("""COMPUTED_VALUE"""),85.0)</f>
        <v>85</v>
      </c>
    </row>
    <row r="2326">
      <c r="A2326" s="115" t="str">
        <f>IFERROR(__xludf.DUMMYFUNCTION("""COMPUTED_VALUE"""),"West")</f>
        <v>West</v>
      </c>
      <c r="B2326" s="115"/>
      <c r="C2326" s="115" t="str">
        <f>IFERROR(__xludf.DUMMYFUNCTION("""COMPUTED_VALUE"""),"MYNTRA")</f>
        <v>MYNTRA</v>
      </c>
      <c r="D2326" s="115">
        <f>IFERROR(__xludf.DUMMYFUNCTION("""COMPUTED_VALUE"""),9.0)</f>
        <v>9</v>
      </c>
      <c r="E2326" s="115">
        <f>IFERROR(__xludf.DUMMYFUNCTION("""COMPUTED_VALUE"""),3.0)</f>
        <v>3</v>
      </c>
      <c r="F2326" s="115">
        <f>IFERROR(__xludf.DUMMYFUNCTION("""COMPUTED_VALUE"""),1.0)</f>
        <v>1</v>
      </c>
      <c r="G2326" s="115">
        <f>IFERROR(__xludf.DUMMYFUNCTION("""COMPUTED_VALUE"""),0.0)</f>
        <v>0</v>
      </c>
      <c r="H2326" s="116">
        <f>IFERROR(__xludf.DUMMYFUNCTION("""COMPUTED_VALUE"""),45905.0)</f>
        <v>45905</v>
      </c>
      <c r="I2326" s="115" t="str">
        <f>IFERROR(__xludf.DUMMYFUNCTION("""COMPUTED_VALUE"""),"11")</f>
        <v>11</v>
      </c>
      <c r="J2326" s="115" t="str">
        <f>IFERROR(__xludf.DUMMYFUNCTION("""COMPUTED_VALUE"""),"2025-09-0511")</f>
        <v>2025-09-0511</v>
      </c>
      <c r="K2326" s="115">
        <f>IFERROR(__xludf.DUMMYFUNCTION("""COMPUTED_VALUE"""),12.0)</f>
        <v>12</v>
      </c>
    </row>
    <row r="2327">
      <c r="A2327" s="115"/>
      <c r="B2327" s="115"/>
      <c r="C2327" s="115" t="str">
        <f>IFERROR(__xludf.DUMMYFUNCTION("""COMPUTED_VALUE"""),"EXTERNAL")</f>
        <v>EXTERNAL</v>
      </c>
      <c r="D2327" s="115">
        <f>IFERROR(__xludf.DUMMYFUNCTION("""COMPUTED_VALUE"""),657.0)</f>
        <v>657</v>
      </c>
      <c r="E2327" s="115">
        <f>IFERROR(__xludf.DUMMYFUNCTION("""COMPUTED_VALUE"""),80.0)</f>
        <v>80</v>
      </c>
      <c r="F2327" s="115">
        <f>IFERROR(__xludf.DUMMYFUNCTION("""COMPUTED_VALUE"""),34.0)</f>
        <v>34</v>
      </c>
      <c r="G2327" s="115">
        <f>IFERROR(__xludf.DUMMYFUNCTION("""COMPUTED_VALUE"""),2.0)</f>
        <v>2</v>
      </c>
      <c r="H2327" s="116">
        <f>IFERROR(__xludf.DUMMYFUNCTION("""COMPUTED_VALUE"""),45905.0)</f>
        <v>45905</v>
      </c>
      <c r="I2327" s="115" t="str">
        <f>IFERROR(__xludf.DUMMYFUNCTION("""COMPUTED_VALUE"""),"11")</f>
        <v>11</v>
      </c>
      <c r="J2327" s="115" t="str">
        <f>IFERROR(__xludf.DUMMYFUNCTION("""COMPUTED_VALUE"""),"2025-09-0511")</f>
        <v>2025-09-0511</v>
      </c>
      <c r="K2327" s="115">
        <f>IFERROR(__xludf.DUMMYFUNCTION("""COMPUTED_VALUE"""),737.0)</f>
        <v>737</v>
      </c>
    </row>
    <row r="2328">
      <c r="A2328" s="115"/>
      <c r="B2328" s="115"/>
      <c r="C2328" s="115" t="str">
        <f>IFERROR(__xludf.DUMMYFUNCTION("""COMPUTED_VALUE"""),"FLIPKART")</f>
        <v>FLIPKART</v>
      </c>
      <c r="D2328" s="115">
        <f>IFERROR(__xludf.DUMMYFUNCTION("""COMPUTED_VALUE"""),5391.0)</f>
        <v>5391</v>
      </c>
      <c r="E2328" s="115">
        <f>IFERROR(__xludf.DUMMYFUNCTION("""COMPUTED_VALUE"""),607.0)</f>
        <v>607</v>
      </c>
      <c r="F2328" s="115">
        <f>IFERROR(__xludf.DUMMYFUNCTION("""COMPUTED_VALUE"""),584.0)</f>
        <v>584</v>
      </c>
      <c r="G2328" s="115">
        <f>IFERROR(__xludf.DUMMYFUNCTION("""COMPUTED_VALUE"""),53.0)</f>
        <v>53</v>
      </c>
      <c r="H2328" s="116">
        <f>IFERROR(__xludf.DUMMYFUNCTION("""COMPUTED_VALUE"""),45905.0)</f>
        <v>45905</v>
      </c>
      <c r="I2328" s="115" t="str">
        <f>IFERROR(__xludf.DUMMYFUNCTION("""COMPUTED_VALUE"""),"11")</f>
        <v>11</v>
      </c>
      <c r="J2328" s="115" t="str">
        <f>IFERROR(__xludf.DUMMYFUNCTION("""COMPUTED_VALUE"""),"2025-09-0511")</f>
        <v>2025-09-0511</v>
      </c>
      <c r="K2328" s="115">
        <f>IFERROR(__xludf.DUMMYFUNCTION("""COMPUTED_VALUE"""),5998.0)</f>
        <v>5998</v>
      </c>
    </row>
    <row r="2329">
      <c r="A2329" s="115"/>
      <c r="B2329" s="115"/>
      <c r="C2329" s="115" t="str">
        <f>IFERROR(__xludf.DUMMYFUNCTION("""COMPUTED_VALUE"""),"MYNTRA")</f>
        <v>MYNTRA</v>
      </c>
      <c r="D2329" s="115">
        <f>IFERROR(__xludf.DUMMYFUNCTION("""COMPUTED_VALUE"""),887.0)</f>
        <v>887</v>
      </c>
      <c r="E2329" s="115">
        <f>IFERROR(__xludf.DUMMYFUNCTION("""COMPUTED_VALUE"""),162.0)</f>
        <v>162</v>
      </c>
      <c r="F2329" s="115">
        <f>IFERROR(__xludf.DUMMYFUNCTION("""COMPUTED_VALUE"""),71.0)</f>
        <v>71</v>
      </c>
      <c r="G2329" s="115">
        <f>IFERROR(__xludf.DUMMYFUNCTION("""COMPUTED_VALUE"""),6.0)</f>
        <v>6</v>
      </c>
      <c r="H2329" s="116">
        <f>IFERROR(__xludf.DUMMYFUNCTION("""COMPUTED_VALUE"""),45905.0)</f>
        <v>45905</v>
      </c>
      <c r="I2329" s="115" t="str">
        <f>IFERROR(__xludf.DUMMYFUNCTION("""COMPUTED_VALUE"""),"11")</f>
        <v>11</v>
      </c>
      <c r="J2329" s="115" t="str">
        <f>IFERROR(__xludf.DUMMYFUNCTION("""COMPUTED_VALUE"""),"2025-09-0511")</f>
        <v>2025-09-0511</v>
      </c>
      <c r="K2329" s="115">
        <f>IFERROR(__xludf.DUMMYFUNCTION("""COMPUTED_VALUE"""),1049.0)</f>
        <v>1049</v>
      </c>
    </row>
    <row r="2330">
      <c r="A2330" s="115" t="str">
        <f>IFERROR(__xludf.DUMMYFUNCTION("""COMPUTED_VALUE"""),"EAST")</f>
        <v>EAST</v>
      </c>
      <c r="B2330" s="115" t="str">
        <f>IFERROR(__xludf.DUMMYFUNCTION("""COMPUTED_VALUE"""),"Ashish Ranjan")</f>
        <v>Ashish Ranjan</v>
      </c>
      <c r="C2330" s="115" t="str">
        <f>IFERROR(__xludf.DUMMYFUNCTION("""COMPUTED_VALUE"""),"EXTERNAL")</f>
        <v>EXTERNAL</v>
      </c>
      <c r="D2330" s="115">
        <f>IFERROR(__xludf.DUMMYFUNCTION("""COMPUTED_VALUE"""),32434.0)</f>
        <v>32434</v>
      </c>
      <c r="E2330" s="115">
        <f>IFERROR(__xludf.DUMMYFUNCTION("""COMPUTED_VALUE"""),2659.0)</f>
        <v>2659</v>
      </c>
      <c r="F2330" s="115">
        <f>IFERROR(__xludf.DUMMYFUNCTION("""COMPUTED_VALUE"""),7828.0)</f>
        <v>7828</v>
      </c>
      <c r="G2330" s="115">
        <f>IFERROR(__xludf.DUMMYFUNCTION("""COMPUTED_VALUE"""),247.0)</f>
        <v>247</v>
      </c>
      <c r="H2330" s="116">
        <f>IFERROR(__xludf.DUMMYFUNCTION("""COMPUTED_VALUE"""),45905.0)</f>
        <v>45905</v>
      </c>
      <c r="I2330" s="115" t="str">
        <f>IFERROR(__xludf.DUMMYFUNCTION("""COMPUTED_VALUE"""),"12")</f>
        <v>12</v>
      </c>
      <c r="J2330" s="115" t="str">
        <f>IFERROR(__xludf.DUMMYFUNCTION("""COMPUTED_VALUE"""),"Ashish Ranjan2025-09-0512")</f>
        <v>Ashish Ranjan2025-09-0512</v>
      </c>
      <c r="K2330" s="115">
        <f>IFERROR(__xludf.DUMMYFUNCTION("""COMPUTED_VALUE"""),35093.0)</f>
        <v>35093</v>
      </c>
    </row>
    <row r="2331">
      <c r="A2331" s="115" t="str">
        <f>IFERROR(__xludf.DUMMYFUNCTION("""COMPUTED_VALUE"""),"EAST")</f>
        <v>EAST</v>
      </c>
      <c r="B2331" s="115" t="str">
        <f>IFERROR(__xludf.DUMMYFUNCTION("""COMPUTED_VALUE"""),"Ashish Ranjan")</f>
        <v>Ashish Ranjan</v>
      </c>
      <c r="C2331" s="115" t="str">
        <f>IFERROR(__xludf.DUMMYFUNCTION("""COMPUTED_VALUE"""),"FLIPKART")</f>
        <v>FLIPKART</v>
      </c>
      <c r="D2331" s="115">
        <f>IFERROR(__xludf.DUMMYFUNCTION("""COMPUTED_VALUE"""),510826.0)</f>
        <v>510826</v>
      </c>
      <c r="E2331" s="115">
        <f>IFERROR(__xludf.DUMMYFUNCTION("""COMPUTED_VALUE"""),47702.0)</f>
        <v>47702</v>
      </c>
      <c r="F2331" s="115">
        <f>IFERROR(__xludf.DUMMYFUNCTION("""COMPUTED_VALUE"""),195161.0)</f>
        <v>195161</v>
      </c>
      <c r="G2331" s="115">
        <f>IFERROR(__xludf.DUMMYFUNCTION("""COMPUTED_VALUE"""),5484.0)</f>
        <v>5484</v>
      </c>
      <c r="H2331" s="116">
        <f>IFERROR(__xludf.DUMMYFUNCTION("""COMPUTED_VALUE"""),45905.0)</f>
        <v>45905</v>
      </c>
      <c r="I2331" s="115" t="str">
        <f>IFERROR(__xludf.DUMMYFUNCTION("""COMPUTED_VALUE"""),"12")</f>
        <v>12</v>
      </c>
      <c r="J2331" s="115" t="str">
        <f>IFERROR(__xludf.DUMMYFUNCTION("""COMPUTED_VALUE"""),"Ashish Ranjan2025-09-0512")</f>
        <v>Ashish Ranjan2025-09-0512</v>
      </c>
      <c r="K2331" s="115">
        <f>IFERROR(__xludf.DUMMYFUNCTION("""COMPUTED_VALUE"""),558528.0)</f>
        <v>558528</v>
      </c>
    </row>
    <row r="2332">
      <c r="A2332" s="115" t="str">
        <f>IFERROR(__xludf.DUMMYFUNCTION("""COMPUTED_VALUE"""),"EAST")</f>
        <v>EAST</v>
      </c>
      <c r="B2332" s="115" t="str">
        <f>IFERROR(__xludf.DUMMYFUNCTION("""COMPUTED_VALUE"""),"Ashish Ranjan")</f>
        <v>Ashish Ranjan</v>
      </c>
      <c r="C2332" s="115" t="str">
        <f>IFERROR(__xludf.DUMMYFUNCTION("""COMPUTED_VALUE"""),"MYNTRA")</f>
        <v>MYNTRA</v>
      </c>
      <c r="D2332" s="115">
        <f>IFERROR(__xludf.DUMMYFUNCTION("""COMPUTED_VALUE"""),57997.0)</f>
        <v>57997</v>
      </c>
      <c r="E2332" s="115">
        <f>IFERROR(__xludf.DUMMYFUNCTION("""COMPUTED_VALUE"""),10321.0)</f>
        <v>10321</v>
      </c>
      <c r="F2332" s="115">
        <f>IFERROR(__xludf.DUMMYFUNCTION("""COMPUTED_VALUE"""),23560.0)</f>
        <v>23560</v>
      </c>
      <c r="G2332" s="115">
        <f>IFERROR(__xludf.DUMMYFUNCTION("""COMPUTED_VALUE"""),1127.0)</f>
        <v>1127</v>
      </c>
      <c r="H2332" s="116">
        <f>IFERROR(__xludf.DUMMYFUNCTION("""COMPUTED_VALUE"""),45905.0)</f>
        <v>45905</v>
      </c>
      <c r="I2332" s="115" t="str">
        <f>IFERROR(__xludf.DUMMYFUNCTION("""COMPUTED_VALUE"""),"12")</f>
        <v>12</v>
      </c>
      <c r="J2332" s="115" t="str">
        <f>IFERROR(__xludf.DUMMYFUNCTION("""COMPUTED_VALUE"""),"Ashish Ranjan2025-09-0512")</f>
        <v>Ashish Ranjan2025-09-0512</v>
      </c>
      <c r="K2332" s="115">
        <f>IFERROR(__xludf.DUMMYFUNCTION("""COMPUTED_VALUE"""),68318.0)</f>
        <v>68318</v>
      </c>
    </row>
    <row r="2333">
      <c r="A2333" s="115" t="str">
        <f>IFERROR(__xludf.DUMMYFUNCTION("""COMPUTED_VALUE"""),"EAST")</f>
        <v>EAST</v>
      </c>
      <c r="B2333" s="115" t="str">
        <f>IFERROR(__xludf.DUMMYFUNCTION("""COMPUTED_VALUE"""),"Girish Chand")</f>
        <v>Girish Chand</v>
      </c>
      <c r="C2333" s="115" t="str">
        <f>IFERROR(__xludf.DUMMYFUNCTION("""COMPUTED_VALUE"""),"EXTERNAL")</f>
        <v>EXTERNAL</v>
      </c>
      <c r="D2333" s="115">
        <f>IFERROR(__xludf.DUMMYFUNCTION("""COMPUTED_VALUE"""),20845.0)</f>
        <v>20845</v>
      </c>
      <c r="E2333" s="115">
        <f>IFERROR(__xludf.DUMMYFUNCTION("""COMPUTED_VALUE"""),1626.0)</f>
        <v>1626</v>
      </c>
      <c r="F2333" s="115">
        <f>IFERROR(__xludf.DUMMYFUNCTION("""COMPUTED_VALUE"""),3052.0)</f>
        <v>3052</v>
      </c>
      <c r="G2333" s="115">
        <f>IFERROR(__xludf.DUMMYFUNCTION("""COMPUTED_VALUE"""),42.0)</f>
        <v>42</v>
      </c>
      <c r="H2333" s="116">
        <f>IFERROR(__xludf.DUMMYFUNCTION("""COMPUTED_VALUE"""),45905.0)</f>
        <v>45905</v>
      </c>
      <c r="I2333" s="115" t="str">
        <f>IFERROR(__xludf.DUMMYFUNCTION("""COMPUTED_VALUE"""),"12")</f>
        <v>12</v>
      </c>
      <c r="J2333" s="115" t="str">
        <f>IFERROR(__xludf.DUMMYFUNCTION("""COMPUTED_VALUE"""),"Girish Chand2025-09-0512")</f>
        <v>Girish Chand2025-09-0512</v>
      </c>
      <c r="K2333" s="115">
        <f>IFERROR(__xludf.DUMMYFUNCTION("""COMPUTED_VALUE"""),22471.0)</f>
        <v>22471</v>
      </c>
    </row>
    <row r="2334">
      <c r="A2334" s="115" t="str">
        <f>IFERROR(__xludf.DUMMYFUNCTION("""COMPUTED_VALUE"""),"EAST")</f>
        <v>EAST</v>
      </c>
      <c r="B2334" s="115" t="str">
        <f>IFERROR(__xludf.DUMMYFUNCTION("""COMPUTED_VALUE"""),"Girish Chand")</f>
        <v>Girish Chand</v>
      </c>
      <c r="C2334" s="115" t="str">
        <f>IFERROR(__xludf.DUMMYFUNCTION("""COMPUTED_VALUE"""),"FLIPKART")</f>
        <v>FLIPKART</v>
      </c>
      <c r="D2334" s="115">
        <f>IFERROR(__xludf.DUMMYFUNCTION("""COMPUTED_VALUE"""),374010.0)</f>
        <v>374010</v>
      </c>
      <c r="E2334" s="115">
        <f>IFERROR(__xludf.DUMMYFUNCTION("""COMPUTED_VALUE"""),34101.0)</f>
        <v>34101</v>
      </c>
      <c r="F2334" s="115">
        <f>IFERROR(__xludf.DUMMYFUNCTION("""COMPUTED_VALUE"""),98779.0)</f>
        <v>98779</v>
      </c>
      <c r="G2334" s="115">
        <f>IFERROR(__xludf.DUMMYFUNCTION("""COMPUTED_VALUE"""),1937.0)</f>
        <v>1937</v>
      </c>
      <c r="H2334" s="116">
        <f>IFERROR(__xludf.DUMMYFUNCTION("""COMPUTED_VALUE"""),45905.0)</f>
        <v>45905</v>
      </c>
      <c r="I2334" s="115" t="str">
        <f>IFERROR(__xludf.DUMMYFUNCTION("""COMPUTED_VALUE"""),"12")</f>
        <v>12</v>
      </c>
      <c r="J2334" s="115" t="str">
        <f>IFERROR(__xludf.DUMMYFUNCTION("""COMPUTED_VALUE"""),"Girish Chand2025-09-0512")</f>
        <v>Girish Chand2025-09-0512</v>
      </c>
      <c r="K2334" s="115">
        <f>IFERROR(__xludf.DUMMYFUNCTION("""COMPUTED_VALUE"""),408111.0)</f>
        <v>408111</v>
      </c>
    </row>
    <row r="2335">
      <c r="A2335" s="115" t="str">
        <f>IFERROR(__xludf.DUMMYFUNCTION("""COMPUTED_VALUE"""),"EAST")</f>
        <v>EAST</v>
      </c>
      <c r="B2335" s="115" t="str">
        <f>IFERROR(__xludf.DUMMYFUNCTION("""COMPUTED_VALUE"""),"Girish Chand")</f>
        <v>Girish Chand</v>
      </c>
      <c r="C2335" s="115" t="str">
        <f>IFERROR(__xludf.DUMMYFUNCTION("""COMPUTED_VALUE"""),"MYNTRA")</f>
        <v>MYNTRA</v>
      </c>
      <c r="D2335" s="115">
        <f>IFERROR(__xludf.DUMMYFUNCTION("""COMPUTED_VALUE"""),32518.0)</f>
        <v>32518</v>
      </c>
      <c r="E2335" s="115">
        <f>IFERROR(__xludf.DUMMYFUNCTION("""COMPUTED_VALUE"""),5928.0)</f>
        <v>5928</v>
      </c>
      <c r="F2335" s="115">
        <f>IFERROR(__xludf.DUMMYFUNCTION("""COMPUTED_VALUE"""),9760.0)</f>
        <v>9760</v>
      </c>
      <c r="G2335" s="115">
        <f>IFERROR(__xludf.DUMMYFUNCTION("""COMPUTED_VALUE"""),368.0)</f>
        <v>368</v>
      </c>
      <c r="H2335" s="116">
        <f>IFERROR(__xludf.DUMMYFUNCTION("""COMPUTED_VALUE"""),45905.0)</f>
        <v>45905</v>
      </c>
      <c r="I2335" s="115" t="str">
        <f>IFERROR(__xludf.DUMMYFUNCTION("""COMPUTED_VALUE"""),"12")</f>
        <v>12</v>
      </c>
      <c r="J2335" s="115" t="str">
        <f>IFERROR(__xludf.DUMMYFUNCTION("""COMPUTED_VALUE"""),"Girish Chand2025-09-0512")</f>
        <v>Girish Chand2025-09-0512</v>
      </c>
      <c r="K2335" s="115">
        <f>IFERROR(__xludf.DUMMYFUNCTION("""COMPUTED_VALUE"""),38446.0)</f>
        <v>38446</v>
      </c>
    </row>
    <row r="2336">
      <c r="A2336" s="115" t="str">
        <f>IFERROR(__xludf.DUMMYFUNCTION("""COMPUTED_VALUE"""),"EAST")</f>
        <v>EAST</v>
      </c>
      <c r="B2336" s="115" t="str">
        <f>IFERROR(__xludf.DUMMYFUNCTION("""COMPUTED_VALUE"""),"Parag Kashyap")</f>
        <v>Parag Kashyap</v>
      </c>
      <c r="C2336" s="115" t="str">
        <f>IFERROR(__xludf.DUMMYFUNCTION("""COMPUTED_VALUE"""),"EXTERNAL")</f>
        <v>EXTERNAL</v>
      </c>
      <c r="D2336" s="115">
        <f>IFERROR(__xludf.DUMMYFUNCTION("""COMPUTED_VALUE"""),16961.0)</f>
        <v>16961</v>
      </c>
      <c r="E2336" s="115">
        <f>IFERROR(__xludf.DUMMYFUNCTION("""COMPUTED_VALUE"""),744.0)</f>
        <v>744</v>
      </c>
      <c r="F2336" s="115">
        <f>IFERROR(__xludf.DUMMYFUNCTION("""COMPUTED_VALUE"""),1887.0)</f>
        <v>1887</v>
      </c>
      <c r="G2336" s="115">
        <f>IFERROR(__xludf.DUMMYFUNCTION("""COMPUTED_VALUE"""),19.0)</f>
        <v>19</v>
      </c>
      <c r="H2336" s="116">
        <f>IFERROR(__xludf.DUMMYFUNCTION("""COMPUTED_VALUE"""),45905.0)</f>
        <v>45905</v>
      </c>
      <c r="I2336" s="115" t="str">
        <f>IFERROR(__xludf.DUMMYFUNCTION("""COMPUTED_VALUE"""),"12")</f>
        <v>12</v>
      </c>
      <c r="J2336" s="115" t="str">
        <f>IFERROR(__xludf.DUMMYFUNCTION("""COMPUTED_VALUE"""),"Parag Kashyap2025-09-0512")</f>
        <v>Parag Kashyap2025-09-0512</v>
      </c>
      <c r="K2336" s="115">
        <f>IFERROR(__xludf.DUMMYFUNCTION("""COMPUTED_VALUE"""),17705.0)</f>
        <v>17705</v>
      </c>
    </row>
    <row r="2337">
      <c r="A2337" s="115" t="str">
        <f>IFERROR(__xludf.DUMMYFUNCTION("""COMPUTED_VALUE"""),"EAST")</f>
        <v>EAST</v>
      </c>
      <c r="B2337" s="115" t="str">
        <f>IFERROR(__xludf.DUMMYFUNCTION("""COMPUTED_VALUE"""),"Parag Kashyap")</f>
        <v>Parag Kashyap</v>
      </c>
      <c r="C2337" s="115" t="str">
        <f>IFERROR(__xludf.DUMMYFUNCTION("""COMPUTED_VALUE"""),"FLIPKART")</f>
        <v>FLIPKART</v>
      </c>
      <c r="D2337" s="115">
        <f>IFERROR(__xludf.DUMMYFUNCTION("""COMPUTED_VALUE"""),266313.0)</f>
        <v>266313</v>
      </c>
      <c r="E2337" s="115">
        <f>IFERROR(__xludf.DUMMYFUNCTION("""COMPUTED_VALUE"""),15019.0)</f>
        <v>15019</v>
      </c>
      <c r="F2337" s="115">
        <f>IFERROR(__xludf.DUMMYFUNCTION("""COMPUTED_VALUE"""),54253.0)</f>
        <v>54253</v>
      </c>
      <c r="G2337" s="115">
        <f>IFERROR(__xludf.DUMMYFUNCTION("""COMPUTED_VALUE"""),689.0)</f>
        <v>689</v>
      </c>
      <c r="H2337" s="116">
        <f>IFERROR(__xludf.DUMMYFUNCTION("""COMPUTED_VALUE"""),45905.0)</f>
        <v>45905</v>
      </c>
      <c r="I2337" s="115" t="str">
        <f>IFERROR(__xludf.DUMMYFUNCTION("""COMPUTED_VALUE"""),"12")</f>
        <v>12</v>
      </c>
      <c r="J2337" s="115" t="str">
        <f>IFERROR(__xludf.DUMMYFUNCTION("""COMPUTED_VALUE"""),"Parag Kashyap2025-09-0512")</f>
        <v>Parag Kashyap2025-09-0512</v>
      </c>
      <c r="K2337" s="115">
        <f>IFERROR(__xludf.DUMMYFUNCTION("""COMPUTED_VALUE"""),281332.0)</f>
        <v>281332</v>
      </c>
    </row>
    <row r="2338">
      <c r="A2338" s="115" t="str">
        <f>IFERROR(__xludf.DUMMYFUNCTION("""COMPUTED_VALUE"""),"EAST")</f>
        <v>EAST</v>
      </c>
      <c r="B2338" s="115" t="str">
        <f>IFERROR(__xludf.DUMMYFUNCTION("""COMPUTED_VALUE"""),"Parag Kashyap")</f>
        <v>Parag Kashyap</v>
      </c>
      <c r="C2338" s="115" t="str">
        <f>IFERROR(__xludf.DUMMYFUNCTION("""COMPUTED_VALUE"""),"MYNTRA")</f>
        <v>MYNTRA</v>
      </c>
      <c r="D2338" s="115">
        <f>IFERROR(__xludf.DUMMYFUNCTION("""COMPUTED_VALUE"""),30283.0)</f>
        <v>30283</v>
      </c>
      <c r="E2338" s="115">
        <f>IFERROR(__xludf.DUMMYFUNCTION("""COMPUTED_VALUE"""),4050.0)</f>
        <v>4050</v>
      </c>
      <c r="F2338" s="115">
        <f>IFERROR(__xludf.DUMMYFUNCTION("""COMPUTED_VALUE"""),7212.0)</f>
        <v>7212</v>
      </c>
      <c r="G2338" s="115">
        <f>IFERROR(__xludf.DUMMYFUNCTION("""COMPUTED_VALUE"""),145.0)</f>
        <v>145</v>
      </c>
      <c r="H2338" s="116">
        <f>IFERROR(__xludf.DUMMYFUNCTION("""COMPUTED_VALUE"""),45905.0)</f>
        <v>45905</v>
      </c>
      <c r="I2338" s="115" t="str">
        <f>IFERROR(__xludf.DUMMYFUNCTION("""COMPUTED_VALUE"""),"12")</f>
        <v>12</v>
      </c>
      <c r="J2338" s="115" t="str">
        <f>IFERROR(__xludf.DUMMYFUNCTION("""COMPUTED_VALUE"""),"Parag Kashyap2025-09-0512")</f>
        <v>Parag Kashyap2025-09-0512</v>
      </c>
      <c r="K2338" s="115">
        <f>IFERROR(__xludf.DUMMYFUNCTION("""COMPUTED_VALUE"""),34333.0)</f>
        <v>34333</v>
      </c>
    </row>
    <row r="2339">
      <c r="A2339" s="115" t="str">
        <f>IFERROR(__xludf.DUMMYFUNCTION("""COMPUTED_VALUE"""),"NORTH")</f>
        <v>NORTH</v>
      </c>
      <c r="B2339" s="115" t="str">
        <f>IFERROR(__xludf.DUMMYFUNCTION("""COMPUTED_VALUE"""),"Amit Kumar Pathak")</f>
        <v>Amit Kumar Pathak</v>
      </c>
      <c r="C2339" s="115" t="str">
        <f>IFERROR(__xludf.DUMMYFUNCTION("""COMPUTED_VALUE"""),"EXTERNAL")</f>
        <v>EXTERNAL</v>
      </c>
      <c r="D2339" s="115">
        <f>IFERROR(__xludf.DUMMYFUNCTION("""COMPUTED_VALUE"""),20367.0)</f>
        <v>20367</v>
      </c>
      <c r="E2339" s="115">
        <f>IFERROR(__xludf.DUMMYFUNCTION("""COMPUTED_VALUE"""),2737.0)</f>
        <v>2737</v>
      </c>
      <c r="F2339" s="115">
        <f>IFERROR(__xludf.DUMMYFUNCTION("""COMPUTED_VALUE"""),2815.0)</f>
        <v>2815</v>
      </c>
      <c r="G2339" s="115">
        <f>IFERROR(__xludf.DUMMYFUNCTION("""COMPUTED_VALUE"""),399.0)</f>
        <v>399</v>
      </c>
      <c r="H2339" s="116">
        <f>IFERROR(__xludf.DUMMYFUNCTION("""COMPUTED_VALUE"""),45905.0)</f>
        <v>45905</v>
      </c>
      <c r="I2339" s="115" t="str">
        <f>IFERROR(__xludf.DUMMYFUNCTION("""COMPUTED_VALUE"""),"12")</f>
        <v>12</v>
      </c>
      <c r="J2339" s="115" t="str">
        <f>IFERROR(__xludf.DUMMYFUNCTION("""COMPUTED_VALUE"""),"Amit Kumar Pathak2025-09-0512")</f>
        <v>Amit Kumar Pathak2025-09-0512</v>
      </c>
      <c r="K2339" s="115">
        <f>IFERROR(__xludf.DUMMYFUNCTION("""COMPUTED_VALUE"""),23104.0)</f>
        <v>23104</v>
      </c>
    </row>
    <row r="2340">
      <c r="A2340" s="115" t="str">
        <f>IFERROR(__xludf.DUMMYFUNCTION("""COMPUTED_VALUE"""),"NORTH")</f>
        <v>NORTH</v>
      </c>
      <c r="B2340" s="115" t="str">
        <f>IFERROR(__xludf.DUMMYFUNCTION("""COMPUTED_VALUE"""),"Amit Kumar Pathak")</f>
        <v>Amit Kumar Pathak</v>
      </c>
      <c r="C2340" s="115" t="str">
        <f>IFERROR(__xludf.DUMMYFUNCTION("""COMPUTED_VALUE"""),"FLIPKART")</f>
        <v>FLIPKART</v>
      </c>
      <c r="D2340" s="115">
        <f>IFERROR(__xludf.DUMMYFUNCTION("""COMPUTED_VALUE"""),141294.0)</f>
        <v>141294</v>
      </c>
      <c r="E2340" s="115">
        <f>IFERROR(__xludf.DUMMYFUNCTION("""COMPUTED_VALUE"""),22656.0)</f>
        <v>22656</v>
      </c>
      <c r="F2340" s="115">
        <f>IFERROR(__xludf.DUMMYFUNCTION("""COMPUTED_VALUE"""),37621.0)</f>
        <v>37621</v>
      </c>
      <c r="G2340" s="115">
        <f>IFERROR(__xludf.DUMMYFUNCTION("""COMPUTED_VALUE"""),3588.0)</f>
        <v>3588</v>
      </c>
      <c r="H2340" s="116">
        <f>IFERROR(__xludf.DUMMYFUNCTION("""COMPUTED_VALUE"""),45905.0)</f>
        <v>45905</v>
      </c>
      <c r="I2340" s="115" t="str">
        <f>IFERROR(__xludf.DUMMYFUNCTION("""COMPUTED_VALUE"""),"12")</f>
        <v>12</v>
      </c>
      <c r="J2340" s="115" t="str">
        <f>IFERROR(__xludf.DUMMYFUNCTION("""COMPUTED_VALUE"""),"Amit Kumar Pathak2025-09-0512")</f>
        <v>Amit Kumar Pathak2025-09-0512</v>
      </c>
      <c r="K2340" s="115">
        <f>IFERROR(__xludf.DUMMYFUNCTION("""COMPUTED_VALUE"""),163950.0)</f>
        <v>163950</v>
      </c>
    </row>
    <row r="2341">
      <c r="A2341" s="115" t="str">
        <f>IFERROR(__xludf.DUMMYFUNCTION("""COMPUTED_VALUE"""),"NORTH")</f>
        <v>NORTH</v>
      </c>
      <c r="B2341" s="115" t="str">
        <f>IFERROR(__xludf.DUMMYFUNCTION("""COMPUTED_VALUE"""),"Amit Kumar Pathak")</f>
        <v>Amit Kumar Pathak</v>
      </c>
      <c r="C2341" s="115" t="str">
        <f>IFERROR(__xludf.DUMMYFUNCTION("""COMPUTED_VALUE"""),"MYNTRA")</f>
        <v>MYNTRA</v>
      </c>
      <c r="D2341" s="115">
        <f>IFERROR(__xludf.DUMMYFUNCTION("""COMPUTED_VALUE"""),13203.0)</f>
        <v>13203</v>
      </c>
      <c r="E2341" s="115">
        <f>IFERROR(__xludf.DUMMYFUNCTION("""COMPUTED_VALUE"""),5617.0)</f>
        <v>5617</v>
      </c>
      <c r="F2341" s="115">
        <f>IFERROR(__xludf.DUMMYFUNCTION("""COMPUTED_VALUE"""),4518.0)</f>
        <v>4518</v>
      </c>
      <c r="G2341" s="115">
        <f>IFERROR(__xludf.DUMMYFUNCTION("""COMPUTED_VALUE"""),949.0)</f>
        <v>949</v>
      </c>
      <c r="H2341" s="116">
        <f>IFERROR(__xludf.DUMMYFUNCTION("""COMPUTED_VALUE"""),45905.0)</f>
        <v>45905</v>
      </c>
      <c r="I2341" s="115" t="str">
        <f>IFERROR(__xludf.DUMMYFUNCTION("""COMPUTED_VALUE"""),"12")</f>
        <v>12</v>
      </c>
      <c r="J2341" s="115" t="str">
        <f>IFERROR(__xludf.DUMMYFUNCTION("""COMPUTED_VALUE"""),"Amit Kumar Pathak2025-09-0512")</f>
        <v>Amit Kumar Pathak2025-09-0512</v>
      </c>
      <c r="K2341" s="115">
        <f>IFERROR(__xludf.DUMMYFUNCTION("""COMPUTED_VALUE"""),18820.0)</f>
        <v>18820</v>
      </c>
    </row>
    <row r="2342">
      <c r="A2342" s="115" t="str">
        <f>IFERROR(__xludf.DUMMYFUNCTION("""COMPUTED_VALUE"""),"NORTH")</f>
        <v>NORTH</v>
      </c>
      <c r="B2342" s="115" t="str">
        <f>IFERROR(__xludf.DUMMYFUNCTION("""COMPUTED_VALUE"""),"Loveleen Singh")</f>
        <v>Loveleen Singh</v>
      </c>
      <c r="C2342" s="115" t="str">
        <f>IFERROR(__xludf.DUMMYFUNCTION("""COMPUTED_VALUE"""),"EXTERNAL")</f>
        <v>EXTERNAL</v>
      </c>
      <c r="D2342" s="115">
        <f>IFERROR(__xludf.DUMMYFUNCTION("""COMPUTED_VALUE"""),32092.0)</f>
        <v>32092</v>
      </c>
      <c r="E2342" s="115">
        <f>IFERROR(__xludf.DUMMYFUNCTION("""COMPUTED_VALUE"""),1756.0)</f>
        <v>1756</v>
      </c>
      <c r="F2342" s="115">
        <f>IFERROR(__xludf.DUMMYFUNCTION("""COMPUTED_VALUE"""),3937.0)</f>
        <v>3937</v>
      </c>
      <c r="G2342" s="115">
        <f>IFERROR(__xludf.DUMMYFUNCTION("""COMPUTED_VALUE"""),89.0)</f>
        <v>89</v>
      </c>
      <c r="H2342" s="116">
        <f>IFERROR(__xludf.DUMMYFUNCTION("""COMPUTED_VALUE"""),45905.0)</f>
        <v>45905</v>
      </c>
      <c r="I2342" s="115" t="str">
        <f>IFERROR(__xludf.DUMMYFUNCTION("""COMPUTED_VALUE"""),"12")</f>
        <v>12</v>
      </c>
      <c r="J2342" s="115" t="str">
        <f>IFERROR(__xludf.DUMMYFUNCTION("""COMPUTED_VALUE"""),"Loveleen Singh2025-09-0512")</f>
        <v>Loveleen Singh2025-09-0512</v>
      </c>
      <c r="K2342" s="115">
        <f>IFERROR(__xludf.DUMMYFUNCTION("""COMPUTED_VALUE"""),33848.0)</f>
        <v>33848</v>
      </c>
    </row>
    <row r="2343">
      <c r="A2343" s="115" t="str">
        <f>IFERROR(__xludf.DUMMYFUNCTION("""COMPUTED_VALUE"""),"NORTH")</f>
        <v>NORTH</v>
      </c>
      <c r="B2343" s="115" t="str">
        <f>IFERROR(__xludf.DUMMYFUNCTION("""COMPUTED_VALUE"""),"Loveleen Singh")</f>
        <v>Loveleen Singh</v>
      </c>
      <c r="C2343" s="115" t="str">
        <f>IFERROR(__xludf.DUMMYFUNCTION("""COMPUTED_VALUE"""),"FLIPKART")</f>
        <v>FLIPKART</v>
      </c>
      <c r="D2343" s="115">
        <f>IFERROR(__xludf.DUMMYFUNCTION("""COMPUTED_VALUE"""),153372.0)</f>
        <v>153372</v>
      </c>
      <c r="E2343" s="115">
        <f>IFERROR(__xludf.DUMMYFUNCTION("""COMPUTED_VALUE"""),12769.0)</f>
        <v>12769</v>
      </c>
      <c r="F2343" s="115">
        <f>IFERROR(__xludf.DUMMYFUNCTION("""COMPUTED_VALUE"""),34512.0)</f>
        <v>34512</v>
      </c>
      <c r="G2343" s="115">
        <f>IFERROR(__xludf.DUMMYFUNCTION("""COMPUTED_VALUE"""),1037.0)</f>
        <v>1037</v>
      </c>
      <c r="H2343" s="116">
        <f>IFERROR(__xludf.DUMMYFUNCTION("""COMPUTED_VALUE"""),45905.0)</f>
        <v>45905</v>
      </c>
      <c r="I2343" s="115" t="str">
        <f>IFERROR(__xludf.DUMMYFUNCTION("""COMPUTED_VALUE"""),"12")</f>
        <v>12</v>
      </c>
      <c r="J2343" s="115" t="str">
        <f>IFERROR(__xludf.DUMMYFUNCTION("""COMPUTED_VALUE"""),"Loveleen Singh2025-09-0512")</f>
        <v>Loveleen Singh2025-09-0512</v>
      </c>
      <c r="K2343" s="115">
        <f>IFERROR(__xludf.DUMMYFUNCTION("""COMPUTED_VALUE"""),166141.0)</f>
        <v>166141</v>
      </c>
    </row>
    <row r="2344">
      <c r="A2344" s="115" t="str">
        <f>IFERROR(__xludf.DUMMYFUNCTION("""COMPUTED_VALUE"""),"NORTH")</f>
        <v>NORTH</v>
      </c>
      <c r="B2344" s="115" t="str">
        <f>IFERROR(__xludf.DUMMYFUNCTION("""COMPUTED_VALUE"""),"Loveleen Singh")</f>
        <v>Loveleen Singh</v>
      </c>
      <c r="C2344" s="115" t="str">
        <f>IFERROR(__xludf.DUMMYFUNCTION("""COMPUTED_VALUE"""),"MYNTRA")</f>
        <v>MYNTRA</v>
      </c>
      <c r="D2344" s="115">
        <f>IFERROR(__xludf.DUMMYFUNCTION("""COMPUTED_VALUE"""),24600.0)</f>
        <v>24600</v>
      </c>
      <c r="E2344" s="115">
        <f>IFERROR(__xludf.DUMMYFUNCTION("""COMPUTED_VALUE"""),4816.0)</f>
        <v>4816</v>
      </c>
      <c r="F2344" s="115">
        <f>IFERROR(__xludf.DUMMYFUNCTION("""COMPUTED_VALUE"""),6824.0)</f>
        <v>6824</v>
      </c>
      <c r="G2344" s="115">
        <f>IFERROR(__xludf.DUMMYFUNCTION("""COMPUTED_VALUE"""),428.0)</f>
        <v>428</v>
      </c>
      <c r="H2344" s="116">
        <f>IFERROR(__xludf.DUMMYFUNCTION("""COMPUTED_VALUE"""),45905.0)</f>
        <v>45905</v>
      </c>
      <c r="I2344" s="115" t="str">
        <f>IFERROR(__xludf.DUMMYFUNCTION("""COMPUTED_VALUE"""),"12")</f>
        <v>12</v>
      </c>
      <c r="J2344" s="115" t="str">
        <f>IFERROR(__xludf.DUMMYFUNCTION("""COMPUTED_VALUE"""),"Loveleen Singh2025-09-0512")</f>
        <v>Loveleen Singh2025-09-0512</v>
      </c>
      <c r="K2344" s="115">
        <f>IFERROR(__xludf.DUMMYFUNCTION("""COMPUTED_VALUE"""),29416.0)</f>
        <v>29416</v>
      </c>
    </row>
    <row r="2345">
      <c r="A2345" s="115" t="str">
        <f>IFERROR(__xludf.DUMMYFUNCTION("""COMPUTED_VALUE"""),"NORTH")</f>
        <v>NORTH</v>
      </c>
      <c r="B2345" s="115" t="str">
        <f>IFERROR(__xludf.DUMMYFUNCTION("""COMPUTED_VALUE"""),"Manoj Harsh")</f>
        <v>Manoj Harsh</v>
      </c>
      <c r="C2345" s="115" t="str">
        <f>IFERROR(__xludf.DUMMYFUNCTION("""COMPUTED_VALUE"""),"EXTERNAL")</f>
        <v>EXTERNAL</v>
      </c>
      <c r="D2345" s="115">
        <f>IFERROR(__xludf.DUMMYFUNCTION("""COMPUTED_VALUE"""),29800.0)</f>
        <v>29800</v>
      </c>
      <c r="E2345" s="115">
        <f>IFERROR(__xludf.DUMMYFUNCTION("""COMPUTED_VALUE"""),2177.0)</f>
        <v>2177</v>
      </c>
      <c r="F2345" s="115">
        <f>IFERROR(__xludf.DUMMYFUNCTION("""COMPUTED_VALUE"""),3455.0)</f>
        <v>3455</v>
      </c>
      <c r="G2345" s="115">
        <f>IFERROR(__xludf.DUMMYFUNCTION("""COMPUTED_VALUE"""),90.0)</f>
        <v>90</v>
      </c>
      <c r="H2345" s="116">
        <f>IFERROR(__xludf.DUMMYFUNCTION("""COMPUTED_VALUE"""),45905.0)</f>
        <v>45905</v>
      </c>
      <c r="I2345" s="115" t="str">
        <f>IFERROR(__xludf.DUMMYFUNCTION("""COMPUTED_VALUE"""),"12")</f>
        <v>12</v>
      </c>
      <c r="J2345" s="115" t="str">
        <f>IFERROR(__xludf.DUMMYFUNCTION("""COMPUTED_VALUE"""),"Manoj Harsh2025-09-0512")</f>
        <v>Manoj Harsh2025-09-0512</v>
      </c>
      <c r="K2345" s="115">
        <f>IFERROR(__xludf.DUMMYFUNCTION("""COMPUTED_VALUE"""),31977.0)</f>
        <v>31977</v>
      </c>
    </row>
    <row r="2346">
      <c r="A2346" s="115" t="str">
        <f>IFERROR(__xludf.DUMMYFUNCTION("""COMPUTED_VALUE"""),"NORTH")</f>
        <v>NORTH</v>
      </c>
      <c r="B2346" s="115" t="str">
        <f>IFERROR(__xludf.DUMMYFUNCTION("""COMPUTED_VALUE"""),"Manoj Harsh")</f>
        <v>Manoj Harsh</v>
      </c>
      <c r="C2346" s="115" t="str">
        <f>IFERROR(__xludf.DUMMYFUNCTION("""COMPUTED_VALUE"""),"FLIPKART")</f>
        <v>FLIPKART</v>
      </c>
      <c r="D2346" s="115">
        <f>IFERROR(__xludf.DUMMYFUNCTION("""COMPUTED_VALUE"""),370004.0)</f>
        <v>370004</v>
      </c>
      <c r="E2346" s="115">
        <f>IFERROR(__xludf.DUMMYFUNCTION("""COMPUTED_VALUE"""),33399.0)</f>
        <v>33399</v>
      </c>
      <c r="F2346" s="115">
        <f>IFERROR(__xludf.DUMMYFUNCTION("""COMPUTED_VALUE"""),81430.0)</f>
        <v>81430</v>
      </c>
      <c r="G2346" s="115">
        <f>IFERROR(__xludf.DUMMYFUNCTION("""COMPUTED_VALUE"""),2077.0)</f>
        <v>2077</v>
      </c>
      <c r="H2346" s="116">
        <f>IFERROR(__xludf.DUMMYFUNCTION("""COMPUTED_VALUE"""),45905.0)</f>
        <v>45905</v>
      </c>
      <c r="I2346" s="115" t="str">
        <f>IFERROR(__xludf.DUMMYFUNCTION("""COMPUTED_VALUE"""),"12")</f>
        <v>12</v>
      </c>
      <c r="J2346" s="115" t="str">
        <f>IFERROR(__xludf.DUMMYFUNCTION("""COMPUTED_VALUE"""),"Manoj Harsh2025-09-0512")</f>
        <v>Manoj Harsh2025-09-0512</v>
      </c>
      <c r="K2346" s="115">
        <f>IFERROR(__xludf.DUMMYFUNCTION("""COMPUTED_VALUE"""),403403.0)</f>
        <v>403403</v>
      </c>
    </row>
    <row r="2347">
      <c r="A2347" s="115" t="str">
        <f>IFERROR(__xludf.DUMMYFUNCTION("""COMPUTED_VALUE"""),"NORTH")</f>
        <v>NORTH</v>
      </c>
      <c r="B2347" s="115" t="str">
        <f>IFERROR(__xludf.DUMMYFUNCTION("""COMPUTED_VALUE"""),"Manoj Harsh")</f>
        <v>Manoj Harsh</v>
      </c>
      <c r="C2347" s="115" t="str">
        <f>IFERROR(__xludf.DUMMYFUNCTION("""COMPUTED_VALUE"""),"MYNTRA")</f>
        <v>MYNTRA</v>
      </c>
      <c r="D2347" s="115">
        <f>IFERROR(__xludf.DUMMYFUNCTION("""COMPUTED_VALUE"""),34827.0)</f>
        <v>34827</v>
      </c>
      <c r="E2347" s="115">
        <f>IFERROR(__xludf.DUMMYFUNCTION("""COMPUTED_VALUE"""),6518.0)</f>
        <v>6518</v>
      </c>
      <c r="F2347" s="115">
        <f>IFERROR(__xludf.DUMMYFUNCTION("""COMPUTED_VALUE"""),9095.0)</f>
        <v>9095</v>
      </c>
      <c r="G2347" s="115">
        <f>IFERROR(__xludf.DUMMYFUNCTION("""COMPUTED_VALUE"""),386.0)</f>
        <v>386</v>
      </c>
      <c r="H2347" s="116">
        <f>IFERROR(__xludf.DUMMYFUNCTION("""COMPUTED_VALUE"""),45905.0)</f>
        <v>45905</v>
      </c>
      <c r="I2347" s="115" t="str">
        <f>IFERROR(__xludf.DUMMYFUNCTION("""COMPUTED_VALUE"""),"12")</f>
        <v>12</v>
      </c>
      <c r="J2347" s="115" t="str">
        <f>IFERROR(__xludf.DUMMYFUNCTION("""COMPUTED_VALUE"""),"Manoj Harsh2025-09-0512")</f>
        <v>Manoj Harsh2025-09-0512</v>
      </c>
      <c r="K2347" s="115">
        <f>IFERROR(__xludf.DUMMYFUNCTION("""COMPUTED_VALUE"""),41345.0)</f>
        <v>41345</v>
      </c>
    </row>
    <row r="2348">
      <c r="A2348" s="115" t="str">
        <f>IFERROR(__xludf.DUMMYFUNCTION("""COMPUTED_VALUE"""),"NORTH")</f>
        <v>NORTH</v>
      </c>
      <c r="B2348" s="115" t="str">
        <f>IFERROR(__xludf.DUMMYFUNCTION("""COMPUTED_VALUE"""),"Pradeep Kothari")</f>
        <v>Pradeep Kothari</v>
      </c>
      <c r="C2348" s="115" t="str">
        <f>IFERROR(__xludf.DUMMYFUNCTION("""COMPUTED_VALUE"""),"EXTERNAL")</f>
        <v>EXTERNAL</v>
      </c>
      <c r="D2348" s="115">
        <f>IFERROR(__xludf.DUMMYFUNCTION("""COMPUTED_VALUE"""),17351.0)</f>
        <v>17351</v>
      </c>
      <c r="E2348" s="115">
        <f>IFERROR(__xludf.DUMMYFUNCTION("""COMPUTED_VALUE"""),1684.0)</f>
        <v>1684</v>
      </c>
      <c r="F2348" s="115">
        <f>IFERROR(__xludf.DUMMYFUNCTION("""COMPUTED_VALUE"""),2540.0)</f>
        <v>2540</v>
      </c>
      <c r="G2348" s="115">
        <f>IFERROR(__xludf.DUMMYFUNCTION("""COMPUTED_VALUE"""),128.0)</f>
        <v>128</v>
      </c>
      <c r="H2348" s="116">
        <f>IFERROR(__xludf.DUMMYFUNCTION("""COMPUTED_VALUE"""),45905.0)</f>
        <v>45905</v>
      </c>
      <c r="I2348" s="115" t="str">
        <f>IFERROR(__xludf.DUMMYFUNCTION("""COMPUTED_VALUE"""),"12")</f>
        <v>12</v>
      </c>
      <c r="J2348" s="115" t="str">
        <f>IFERROR(__xludf.DUMMYFUNCTION("""COMPUTED_VALUE"""),"Pradeep Kothari2025-09-0512")</f>
        <v>Pradeep Kothari2025-09-0512</v>
      </c>
      <c r="K2348" s="115">
        <f>IFERROR(__xludf.DUMMYFUNCTION("""COMPUTED_VALUE"""),19035.0)</f>
        <v>19035</v>
      </c>
    </row>
    <row r="2349">
      <c r="A2349" s="115" t="str">
        <f>IFERROR(__xludf.DUMMYFUNCTION("""COMPUTED_VALUE"""),"NORTH")</f>
        <v>NORTH</v>
      </c>
      <c r="B2349" s="115" t="str">
        <f>IFERROR(__xludf.DUMMYFUNCTION("""COMPUTED_VALUE"""),"Pradeep Kothari")</f>
        <v>Pradeep Kothari</v>
      </c>
      <c r="C2349" s="115" t="str">
        <f>IFERROR(__xludf.DUMMYFUNCTION("""COMPUTED_VALUE"""),"FLIPKART")</f>
        <v>FLIPKART</v>
      </c>
      <c r="D2349" s="115">
        <f>IFERROR(__xludf.DUMMYFUNCTION("""COMPUTED_VALUE"""),132068.0)</f>
        <v>132068</v>
      </c>
      <c r="E2349" s="115">
        <f>IFERROR(__xludf.DUMMYFUNCTION("""COMPUTED_VALUE"""),15339.0)</f>
        <v>15339</v>
      </c>
      <c r="F2349" s="115">
        <f>IFERROR(__xludf.DUMMYFUNCTION("""COMPUTED_VALUE"""),35814.0)</f>
        <v>35814</v>
      </c>
      <c r="G2349" s="115">
        <f>IFERROR(__xludf.DUMMYFUNCTION("""COMPUTED_VALUE"""),1550.0)</f>
        <v>1550</v>
      </c>
      <c r="H2349" s="116">
        <f>IFERROR(__xludf.DUMMYFUNCTION("""COMPUTED_VALUE"""),45905.0)</f>
        <v>45905</v>
      </c>
      <c r="I2349" s="115" t="str">
        <f>IFERROR(__xludf.DUMMYFUNCTION("""COMPUTED_VALUE"""),"12")</f>
        <v>12</v>
      </c>
      <c r="J2349" s="115" t="str">
        <f>IFERROR(__xludf.DUMMYFUNCTION("""COMPUTED_VALUE"""),"Pradeep Kothari2025-09-0512")</f>
        <v>Pradeep Kothari2025-09-0512</v>
      </c>
      <c r="K2349" s="115">
        <f>IFERROR(__xludf.DUMMYFUNCTION("""COMPUTED_VALUE"""),147407.0)</f>
        <v>147407</v>
      </c>
    </row>
    <row r="2350">
      <c r="A2350" s="115" t="str">
        <f>IFERROR(__xludf.DUMMYFUNCTION("""COMPUTED_VALUE"""),"NORTH")</f>
        <v>NORTH</v>
      </c>
      <c r="B2350" s="115" t="str">
        <f>IFERROR(__xludf.DUMMYFUNCTION("""COMPUTED_VALUE"""),"Pradeep Kothari")</f>
        <v>Pradeep Kothari</v>
      </c>
      <c r="C2350" s="115" t="str">
        <f>IFERROR(__xludf.DUMMYFUNCTION("""COMPUTED_VALUE"""),"MYNTRA")</f>
        <v>MYNTRA</v>
      </c>
      <c r="D2350" s="115">
        <f>IFERROR(__xludf.DUMMYFUNCTION("""COMPUTED_VALUE"""),23052.0)</f>
        <v>23052</v>
      </c>
      <c r="E2350" s="115">
        <f>IFERROR(__xludf.DUMMYFUNCTION("""COMPUTED_VALUE"""),5612.0)</f>
        <v>5612</v>
      </c>
      <c r="F2350" s="115">
        <f>IFERROR(__xludf.DUMMYFUNCTION("""COMPUTED_VALUE"""),8143.0)</f>
        <v>8143</v>
      </c>
      <c r="G2350" s="115">
        <f>IFERROR(__xludf.DUMMYFUNCTION("""COMPUTED_VALUE"""),724.0)</f>
        <v>724</v>
      </c>
      <c r="H2350" s="116">
        <f>IFERROR(__xludf.DUMMYFUNCTION("""COMPUTED_VALUE"""),45905.0)</f>
        <v>45905</v>
      </c>
      <c r="I2350" s="115" t="str">
        <f>IFERROR(__xludf.DUMMYFUNCTION("""COMPUTED_VALUE"""),"12")</f>
        <v>12</v>
      </c>
      <c r="J2350" s="115" t="str">
        <f>IFERROR(__xludf.DUMMYFUNCTION("""COMPUTED_VALUE"""),"Pradeep Kothari2025-09-0512")</f>
        <v>Pradeep Kothari2025-09-0512</v>
      </c>
      <c r="K2350" s="115">
        <f>IFERROR(__xludf.DUMMYFUNCTION("""COMPUTED_VALUE"""),28664.0)</f>
        <v>28664</v>
      </c>
    </row>
    <row r="2351">
      <c r="A2351" s="115" t="str">
        <f>IFERROR(__xludf.DUMMYFUNCTION("""COMPUTED_VALUE"""),"North")</f>
        <v>North</v>
      </c>
      <c r="B2351" s="115"/>
      <c r="C2351" s="115" t="str">
        <f>IFERROR(__xludf.DUMMYFUNCTION("""COMPUTED_VALUE"""),"EXTERNAL")</f>
        <v>EXTERNAL</v>
      </c>
      <c r="D2351" s="115">
        <f>IFERROR(__xludf.DUMMYFUNCTION("""COMPUTED_VALUE"""),7.0)</f>
        <v>7</v>
      </c>
      <c r="E2351" s="115">
        <f>IFERROR(__xludf.DUMMYFUNCTION("""COMPUTED_VALUE"""),0.0)</f>
        <v>0</v>
      </c>
      <c r="F2351" s="115">
        <f>IFERROR(__xludf.DUMMYFUNCTION("""COMPUTED_VALUE"""),0.0)</f>
        <v>0</v>
      </c>
      <c r="G2351" s="115">
        <f>IFERROR(__xludf.DUMMYFUNCTION("""COMPUTED_VALUE"""),0.0)</f>
        <v>0</v>
      </c>
      <c r="H2351" s="116">
        <f>IFERROR(__xludf.DUMMYFUNCTION("""COMPUTED_VALUE"""),45905.0)</f>
        <v>45905</v>
      </c>
      <c r="I2351" s="115" t="str">
        <f>IFERROR(__xludf.DUMMYFUNCTION("""COMPUTED_VALUE"""),"12")</f>
        <v>12</v>
      </c>
      <c r="J2351" s="115" t="str">
        <f>IFERROR(__xludf.DUMMYFUNCTION("""COMPUTED_VALUE"""),"2025-09-0512")</f>
        <v>2025-09-0512</v>
      </c>
      <c r="K2351" s="115">
        <f>IFERROR(__xludf.DUMMYFUNCTION("""COMPUTED_VALUE"""),7.0)</f>
        <v>7</v>
      </c>
    </row>
    <row r="2352">
      <c r="A2352" s="115" t="str">
        <f>IFERROR(__xludf.DUMMYFUNCTION("""COMPUTED_VALUE"""),"North")</f>
        <v>North</v>
      </c>
      <c r="B2352" s="115"/>
      <c r="C2352" s="115" t="str">
        <f>IFERROR(__xludf.DUMMYFUNCTION("""COMPUTED_VALUE"""),"FLIPKART")</f>
        <v>FLIPKART</v>
      </c>
      <c r="D2352" s="115">
        <f>IFERROR(__xludf.DUMMYFUNCTION("""COMPUTED_VALUE"""),21.0)</f>
        <v>21</v>
      </c>
      <c r="E2352" s="115">
        <f>IFERROR(__xludf.DUMMYFUNCTION("""COMPUTED_VALUE"""),0.0)</f>
        <v>0</v>
      </c>
      <c r="F2352" s="115">
        <f>IFERROR(__xludf.DUMMYFUNCTION("""COMPUTED_VALUE"""),7.0)</f>
        <v>7</v>
      </c>
      <c r="G2352" s="115">
        <f>IFERROR(__xludf.DUMMYFUNCTION("""COMPUTED_VALUE"""),0.0)</f>
        <v>0</v>
      </c>
      <c r="H2352" s="116">
        <f>IFERROR(__xludf.DUMMYFUNCTION("""COMPUTED_VALUE"""),45905.0)</f>
        <v>45905</v>
      </c>
      <c r="I2352" s="115" t="str">
        <f>IFERROR(__xludf.DUMMYFUNCTION("""COMPUTED_VALUE"""),"12")</f>
        <v>12</v>
      </c>
      <c r="J2352" s="115" t="str">
        <f>IFERROR(__xludf.DUMMYFUNCTION("""COMPUTED_VALUE"""),"2025-09-0512")</f>
        <v>2025-09-0512</v>
      </c>
      <c r="K2352" s="115">
        <f>IFERROR(__xludf.DUMMYFUNCTION("""COMPUTED_VALUE"""),21.0)</f>
        <v>21</v>
      </c>
    </row>
    <row r="2353">
      <c r="A2353" s="115" t="str">
        <f>IFERROR(__xludf.DUMMYFUNCTION("""COMPUTED_VALUE"""),"North")</f>
        <v>North</v>
      </c>
      <c r="B2353" s="115"/>
      <c r="C2353" s="115" t="str">
        <f>IFERROR(__xludf.DUMMYFUNCTION("""COMPUTED_VALUE"""),"MYNTRA")</f>
        <v>MYNTRA</v>
      </c>
      <c r="D2353" s="115">
        <f>IFERROR(__xludf.DUMMYFUNCTION("""COMPUTED_VALUE"""),2.0)</f>
        <v>2</v>
      </c>
      <c r="E2353" s="115">
        <f>IFERROR(__xludf.DUMMYFUNCTION("""COMPUTED_VALUE"""),0.0)</f>
        <v>0</v>
      </c>
      <c r="F2353" s="115">
        <f>IFERROR(__xludf.DUMMYFUNCTION("""COMPUTED_VALUE"""),0.0)</f>
        <v>0</v>
      </c>
      <c r="G2353" s="115">
        <f>IFERROR(__xludf.DUMMYFUNCTION("""COMPUTED_VALUE"""),0.0)</f>
        <v>0</v>
      </c>
      <c r="H2353" s="116">
        <f>IFERROR(__xludf.DUMMYFUNCTION("""COMPUTED_VALUE"""),45905.0)</f>
        <v>45905</v>
      </c>
      <c r="I2353" s="115" t="str">
        <f>IFERROR(__xludf.DUMMYFUNCTION("""COMPUTED_VALUE"""),"12")</f>
        <v>12</v>
      </c>
      <c r="J2353" s="115" t="str">
        <f>IFERROR(__xludf.DUMMYFUNCTION("""COMPUTED_VALUE"""),"2025-09-0512")</f>
        <v>2025-09-0512</v>
      </c>
      <c r="K2353" s="115">
        <f>IFERROR(__xludf.DUMMYFUNCTION("""COMPUTED_VALUE"""),2.0)</f>
        <v>2</v>
      </c>
    </row>
    <row r="2354">
      <c r="A2354" s="115" t="str">
        <f>IFERROR(__xludf.DUMMYFUNCTION("""COMPUTED_VALUE"""),"SOUTH")</f>
        <v>SOUTH</v>
      </c>
      <c r="B2354" s="115" t="str">
        <f>IFERROR(__xludf.DUMMYFUNCTION("""COMPUTED_VALUE"""),"Kandula Sampath")</f>
        <v>Kandula Sampath</v>
      </c>
      <c r="C2354" s="115" t="str">
        <f>IFERROR(__xludf.DUMMYFUNCTION("""COMPUTED_VALUE"""),"EXTERNAL")</f>
        <v>EXTERNAL</v>
      </c>
      <c r="D2354" s="115">
        <f>IFERROR(__xludf.DUMMYFUNCTION("""COMPUTED_VALUE"""),32207.0)</f>
        <v>32207</v>
      </c>
      <c r="E2354" s="115">
        <f>IFERROR(__xludf.DUMMYFUNCTION("""COMPUTED_VALUE"""),3256.0)</f>
        <v>3256</v>
      </c>
      <c r="F2354" s="115">
        <f>IFERROR(__xludf.DUMMYFUNCTION("""COMPUTED_VALUE"""),6063.0)</f>
        <v>6063</v>
      </c>
      <c r="G2354" s="115">
        <f>IFERROR(__xludf.DUMMYFUNCTION("""COMPUTED_VALUE"""),168.0)</f>
        <v>168</v>
      </c>
      <c r="H2354" s="116">
        <f>IFERROR(__xludf.DUMMYFUNCTION("""COMPUTED_VALUE"""),45905.0)</f>
        <v>45905</v>
      </c>
      <c r="I2354" s="115" t="str">
        <f>IFERROR(__xludf.DUMMYFUNCTION("""COMPUTED_VALUE"""),"12")</f>
        <v>12</v>
      </c>
      <c r="J2354" s="115" t="str">
        <f>IFERROR(__xludf.DUMMYFUNCTION("""COMPUTED_VALUE"""),"Kandula Sampath2025-09-0512")</f>
        <v>Kandula Sampath2025-09-0512</v>
      </c>
      <c r="K2354" s="115">
        <f>IFERROR(__xludf.DUMMYFUNCTION("""COMPUTED_VALUE"""),35463.0)</f>
        <v>35463</v>
      </c>
    </row>
    <row r="2355">
      <c r="A2355" s="115" t="str">
        <f>IFERROR(__xludf.DUMMYFUNCTION("""COMPUTED_VALUE"""),"SOUTH")</f>
        <v>SOUTH</v>
      </c>
      <c r="B2355" s="115" t="str">
        <f>IFERROR(__xludf.DUMMYFUNCTION("""COMPUTED_VALUE"""),"Kandula Sampath")</f>
        <v>Kandula Sampath</v>
      </c>
      <c r="C2355" s="115" t="str">
        <f>IFERROR(__xludf.DUMMYFUNCTION("""COMPUTED_VALUE"""),"FLIPKART")</f>
        <v>FLIPKART</v>
      </c>
      <c r="D2355" s="115">
        <f>IFERROR(__xludf.DUMMYFUNCTION("""COMPUTED_VALUE"""),275405.0)</f>
        <v>275405</v>
      </c>
      <c r="E2355" s="115">
        <f>IFERROR(__xludf.DUMMYFUNCTION("""COMPUTED_VALUE"""),26199.0)</f>
        <v>26199</v>
      </c>
      <c r="F2355" s="115">
        <f>IFERROR(__xludf.DUMMYFUNCTION("""COMPUTED_VALUE"""),93991.0)</f>
        <v>93991</v>
      </c>
      <c r="G2355" s="115">
        <f>IFERROR(__xludf.DUMMYFUNCTION("""COMPUTED_VALUE"""),2181.0)</f>
        <v>2181</v>
      </c>
      <c r="H2355" s="116">
        <f>IFERROR(__xludf.DUMMYFUNCTION("""COMPUTED_VALUE"""),45905.0)</f>
        <v>45905</v>
      </c>
      <c r="I2355" s="115" t="str">
        <f>IFERROR(__xludf.DUMMYFUNCTION("""COMPUTED_VALUE"""),"12")</f>
        <v>12</v>
      </c>
      <c r="J2355" s="115" t="str">
        <f>IFERROR(__xludf.DUMMYFUNCTION("""COMPUTED_VALUE"""),"Kandula Sampath2025-09-0512")</f>
        <v>Kandula Sampath2025-09-0512</v>
      </c>
      <c r="K2355" s="115">
        <f>IFERROR(__xludf.DUMMYFUNCTION("""COMPUTED_VALUE"""),301604.0)</f>
        <v>301604</v>
      </c>
    </row>
    <row r="2356">
      <c r="A2356" s="115" t="str">
        <f>IFERROR(__xludf.DUMMYFUNCTION("""COMPUTED_VALUE"""),"SOUTH")</f>
        <v>SOUTH</v>
      </c>
      <c r="B2356" s="115" t="str">
        <f>IFERROR(__xludf.DUMMYFUNCTION("""COMPUTED_VALUE"""),"Kandula Sampath")</f>
        <v>Kandula Sampath</v>
      </c>
      <c r="C2356" s="115" t="str">
        <f>IFERROR(__xludf.DUMMYFUNCTION("""COMPUTED_VALUE"""),"MYNTRA")</f>
        <v>MYNTRA</v>
      </c>
      <c r="D2356" s="115">
        <f>IFERROR(__xludf.DUMMYFUNCTION("""COMPUTED_VALUE"""),33718.0)</f>
        <v>33718</v>
      </c>
      <c r="E2356" s="115">
        <f>IFERROR(__xludf.DUMMYFUNCTION("""COMPUTED_VALUE"""),6727.0)</f>
        <v>6727</v>
      </c>
      <c r="F2356" s="115">
        <f>IFERROR(__xludf.DUMMYFUNCTION("""COMPUTED_VALUE"""),13220.0)</f>
        <v>13220</v>
      </c>
      <c r="G2356" s="115">
        <f>IFERROR(__xludf.DUMMYFUNCTION("""COMPUTED_VALUE"""),625.0)</f>
        <v>625</v>
      </c>
      <c r="H2356" s="116">
        <f>IFERROR(__xludf.DUMMYFUNCTION("""COMPUTED_VALUE"""),45905.0)</f>
        <v>45905</v>
      </c>
      <c r="I2356" s="115" t="str">
        <f>IFERROR(__xludf.DUMMYFUNCTION("""COMPUTED_VALUE"""),"12")</f>
        <v>12</v>
      </c>
      <c r="J2356" s="115" t="str">
        <f>IFERROR(__xludf.DUMMYFUNCTION("""COMPUTED_VALUE"""),"Kandula Sampath2025-09-0512")</f>
        <v>Kandula Sampath2025-09-0512</v>
      </c>
      <c r="K2356" s="115">
        <f>IFERROR(__xludf.DUMMYFUNCTION("""COMPUTED_VALUE"""),40445.0)</f>
        <v>40445</v>
      </c>
    </row>
    <row r="2357">
      <c r="A2357" s="115" t="str">
        <f>IFERROR(__xludf.DUMMYFUNCTION("""COMPUTED_VALUE"""),"SOUTH")</f>
        <v>SOUTH</v>
      </c>
      <c r="B2357" s="115" t="str">
        <f>IFERROR(__xludf.DUMMYFUNCTION("""COMPUTED_VALUE"""),"Martin A")</f>
        <v>Martin A</v>
      </c>
      <c r="C2357" s="115" t="str">
        <f>IFERROR(__xludf.DUMMYFUNCTION("""COMPUTED_VALUE"""),"EXTERNAL")</f>
        <v>EXTERNAL</v>
      </c>
      <c r="D2357" s="115">
        <f>IFERROR(__xludf.DUMMYFUNCTION("""COMPUTED_VALUE"""),29430.0)</f>
        <v>29430</v>
      </c>
      <c r="E2357" s="115">
        <f>IFERROR(__xludf.DUMMYFUNCTION("""COMPUTED_VALUE"""),3001.0)</f>
        <v>3001</v>
      </c>
      <c r="F2357" s="115">
        <f>IFERROR(__xludf.DUMMYFUNCTION("""COMPUTED_VALUE"""),5057.0)</f>
        <v>5057</v>
      </c>
      <c r="G2357" s="115">
        <f>IFERROR(__xludf.DUMMYFUNCTION("""COMPUTED_VALUE"""),309.0)</f>
        <v>309</v>
      </c>
      <c r="H2357" s="116">
        <f>IFERROR(__xludf.DUMMYFUNCTION("""COMPUTED_VALUE"""),45905.0)</f>
        <v>45905</v>
      </c>
      <c r="I2357" s="115" t="str">
        <f>IFERROR(__xludf.DUMMYFUNCTION("""COMPUTED_VALUE"""),"12")</f>
        <v>12</v>
      </c>
      <c r="J2357" s="115" t="str">
        <f>IFERROR(__xludf.DUMMYFUNCTION("""COMPUTED_VALUE"""),"Martin A2025-09-0512")</f>
        <v>Martin A2025-09-0512</v>
      </c>
      <c r="K2357" s="115">
        <f>IFERROR(__xludf.DUMMYFUNCTION("""COMPUTED_VALUE"""),32431.0)</f>
        <v>32431</v>
      </c>
    </row>
    <row r="2358">
      <c r="A2358" s="115" t="str">
        <f>IFERROR(__xludf.DUMMYFUNCTION("""COMPUTED_VALUE"""),"SOUTH")</f>
        <v>SOUTH</v>
      </c>
      <c r="B2358" s="115" t="str">
        <f>IFERROR(__xludf.DUMMYFUNCTION("""COMPUTED_VALUE"""),"Martin A")</f>
        <v>Martin A</v>
      </c>
      <c r="C2358" s="115" t="str">
        <f>IFERROR(__xludf.DUMMYFUNCTION("""COMPUTED_VALUE"""),"FLIPKART")</f>
        <v>FLIPKART</v>
      </c>
      <c r="D2358" s="115">
        <f>IFERROR(__xludf.DUMMYFUNCTION("""COMPUTED_VALUE"""),222534.0)</f>
        <v>222534</v>
      </c>
      <c r="E2358" s="115">
        <f>IFERROR(__xludf.DUMMYFUNCTION("""COMPUTED_VALUE"""),21843.0)</f>
        <v>21843</v>
      </c>
      <c r="F2358" s="115">
        <f>IFERROR(__xludf.DUMMYFUNCTION("""COMPUTED_VALUE"""),68412.0)</f>
        <v>68412</v>
      </c>
      <c r="G2358" s="115">
        <f>IFERROR(__xludf.DUMMYFUNCTION("""COMPUTED_VALUE"""),2077.0)</f>
        <v>2077</v>
      </c>
      <c r="H2358" s="116">
        <f>IFERROR(__xludf.DUMMYFUNCTION("""COMPUTED_VALUE"""),45905.0)</f>
        <v>45905</v>
      </c>
      <c r="I2358" s="115" t="str">
        <f>IFERROR(__xludf.DUMMYFUNCTION("""COMPUTED_VALUE"""),"12")</f>
        <v>12</v>
      </c>
      <c r="J2358" s="115" t="str">
        <f>IFERROR(__xludf.DUMMYFUNCTION("""COMPUTED_VALUE"""),"Martin A2025-09-0512")</f>
        <v>Martin A2025-09-0512</v>
      </c>
      <c r="K2358" s="115">
        <f>IFERROR(__xludf.DUMMYFUNCTION("""COMPUTED_VALUE"""),244377.0)</f>
        <v>244377</v>
      </c>
    </row>
    <row r="2359">
      <c r="A2359" s="115" t="str">
        <f>IFERROR(__xludf.DUMMYFUNCTION("""COMPUTED_VALUE"""),"SOUTH")</f>
        <v>SOUTH</v>
      </c>
      <c r="B2359" s="115" t="str">
        <f>IFERROR(__xludf.DUMMYFUNCTION("""COMPUTED_VALUE"""),"Martin A")</f>
        <v>Martin A</v>
      </c>
      <c r="C2359" s="115" t="str">
        <f>IFERROR(__xludf.DUMMYFUNCTION("""COMPUTED_VALUE"""),"MYNTRA")</f>
        <v>MYNTRA</v>
      </c>
      <c r="D2359" s="115">
        <f>IFERROR(__xludf.DUMMYFUNCTION("""COMPUTED_VALUE"""),23499.0)</f>
        <v>23499</v>
      </c>
      <c r="E2359" s="115">
        <f>IFERROR(__xludf.DUMMYFUNCTION("""COMPUTED_VALUE"""),4956.0)</f>
        <v>4956</v>
      </c>
      <c r="F2359" s="115">
        <f>IFERROR(__xludf.DUMMYFUNCTION("""COMPUTED_VALUE"""),8678.0)</f>
        <v>8678</v>
      </c>
      <c r="G2359" s="115">
        <f>IFERROR(__xludf.DUMMYFUNCTION("""COMPUTED_VALUE"""),583.0)</f>
        <v>583</v>
      </c>
      <c r="H2359" s="116">
        <f>IFERROR(__xludf.DUMMYFUNCTION("""COMPUTED_VALUE"""),45905.0)</f>
        <v>45905</v>
      </c>
      <c r="I2359" s="115" t="str">
        <f>IFERROR(__xludf.DUMMYFUNCTION("""COMPUTED_VALUE"""),"12")</f>
        <v>12</v>
      </c>
      <c r="J2359" s="115" t="str">
        <f>IFERROR(__xludf.DUMMYFUNCTION("""COMPUTED_VALUE"""),"Martin A2025-09-0512")</f>
        <v>Martin A2025-09-0512</v>
      </c>
      <c r="K2359" s="115">
        <f>IFERROR(__xludf.DUMMYFUNCTION("""COMPUTED_VALUE"""),28455.0)</f>
        <v>28455</v>
      </c>
    </row>
    <row r="2360">
      <c r="A2360" s="115" t="str">
        <f>IFERROR(__xludf.DUMMYFUNCTION("""COMPUTED_VALUE"""),"SOUTH")</f>
        <v>SOUTH</v>
      </c>
      <c r="B2360" s="115" t="str">
        <f>IFERROR(__xludf.DUMMYFUNCTION("""COMPUTED_VALUE"""),"Premkumar M")</f>
        <v>Premkumar M</v>
      </c>
      <c r="C2360" s="115" t="str">
        <f>IFERROR(__xludf.DUMMYFUNCTION("""COMPUTED_VALUE"""),"EXTERNAL")</f>
        <v>EXTERNAL</v>
      </c>
      <c r="D2360" s="115">
        <f>IFERROR(__xludf.DUMMYFUNCTION("""COMPUTED_VALUE"""),23858.0)</f>
        <v>23858</v>
      </c>
      <c r="E2360" s="115">
        <f>IFERROR(__xludf.DUMMYFUNCTION("""COMPUTED_VALUE"""),1266.0)</f>
        <v>1266</v>
      </c>
      <c r="F2360" s="115">
        <f>IFERROR(__xludf.DUMMYFUNCTION("""COMPUTED_VALUE"""),2800.0)</f>
        <v>2800</v>
      </c>
      <c r="G2360" s="115">
        <f>IFERROR(__xludf.DUMMYFUNCTION("""COMPUTED_VALUE"""),15.0)</f>
        <v>15</v>
      </c>
      <c r="H2360" s="116">
        <f>IFERROR(__xludf.DUMMYFUNCTION("""COMPUTED_VALUE"""),45905.0)</f>
        <v>45905</v>
      </c>
      <c r="I2360" s="115" t="str">
        <f>IFERROR(__xludf.DUMMYFUNCTION("""COMPUTED_VALUE"""),"12")</f>
        <v>12</v>
      </c>
      <c r="J2360" s="115" t="str">
        <f>IFERROR(__xludf.DUMMYFUNCTION("""COMPUTED_VALUE"""),"Premkumar M2025-09-0512")</f>
        <v>Premkumar M2025-09-0512</v>
      </c>
      <c r="K2360" s="115">
        <f>IFERROR(__xludf.DUMMYFUNCTION("""COMPUTED_VALUE"""),25124.0)</f>
        <v>25124</v>
      </c>
    </row>
    <row r="2361">
      <c r="A2361" s="115" t="str">
        <f>IFERROR(__xludf.DUMMYFUNCTION("""COMPUTED_VALUE"""),"SOUTH")</f>
        <v>SOUTH</v>
      </c>
      <c r="B2361" s="115" t="str">
        <f>IFERROR(__xludf.DUMMYFUNCTION("""COMPUTED_VALUE"""),"Premkumar M")</f>
        <v>Premkumar M</v>
      </c>
      <c r="C2361" s="115" t="str">
        <f>IFERROR(__xludf.DUMMYFUNCTION("""COMPUTED_VALUE"""),"FLIPKART")</f>
        <v>FLIPKART</v>
      </c>
      <c r="D2361" s="115">
        <f>IFERROR(__xludf.DUMMYFUNCTION("""COMPUTED_VALUE"""),220203.0)</f>
        <v>220203</v>
      </c>
      <c r="E2361" s="115">
        <f>IFERROR(__xludf.DUMMYFUNCTION("""COMPUTED_VALUE"""),13897.0)</f>
        <v>13897</v>
      </c>
      <c r="F2361" s="115">
        <f>IFERROR(__xludf.DUMMYFUNCTION("""COMPUTED_VALUE"""),41537.0)</f>
        <v>41537</v>
      </c>
      <c r="G2361" s="115">
        <f>IFERROR(__xludf.DUMMYFUNCTION("""COMPUTED_VALUE"""),342.0)</f>
        <v>342</v>
      </c>
      <c r="H2361" s="116">
        <f>IFERROR(__xludf.DUMMYFUNCTION("""COMPUTED_VALUE"""),45905.0)</f>
        <v>45905</v>
      </c>
      <c r="I2361" s="115" t="str">
        <f>IFERROR(__xludf.DUMMYFUNCTION("""COMPUTED_VALUE"""),"12")</f>
        <v>12</v>
      </c>
      <c r="J2361" s="115" t="str">
        <f>IFERROR(__xludf.DUMMYFUNCTION("""COMPUTED_VALUE"""),"Premkumar M2025-09-0512")</f>
        <v>Premkumar M2025-09-0512</v>
      </c>
      <c r="K2361" s="115">
        <f>IFERROR(__xludf.DUMMYFUNCTION("""COMPUTED_VALUE"""),234100.0)</f>
        <v>234100</v>
      </c>
    </row>
    <row r="2362">
      <c r="A2362" s="115" t="str">
        <f>IFERROR(__xludf.DUMMYFUNCTION("""COMPUTED_VALUE"""),"SOUTH")</f>
        <v>SOUTH</v>
      </c>
      <c r="B2362" s="115" t="str">
        <f>IFERROR(__xludf.DUMMYFUNCTION("""COMPUTED_VALUE"""),"Premkumar M")</f>
        <v>Premkumar M</v>
      </c>
      <c r="C2362" s="115" t="str">
        <f>IFERROR(__xludf.DUMMYFUNCTION("""COMPUTED_VALUE"""),"MYNTRA")</f>
        <v>MYNTRA</v>
      </c>
      <c r="D2362" s="115">
        <f>IFERROR(__xludf.DUMMYFUNCTION("""COMPUTED_VALUE"""),12799.0)</f>
        <v>12799</v>
      </c>
      <c r="E2362" s="115">
        <f>IFERROR(__xludf.DUMMYFUNCTION("""COMPUTED_VALUE"""),2176.0)</f>
        <v>2176</v>
      </c>
      <c r="F2362" s="115">
        <f>IFERROR(__xludf.DUMMYFUNCTION("""COMPUTED_VALUE"""),2891.0)</f>
        <v>2891</v>
      </c>
      <c r="G2362" s="115">
        <f>IFERROR(__xludf.DUMMYFUNCTION("""COMPUTED_VALUE"""),50.0)</f>
        <v>50</v>
      </c>
      <c r="H2362" s="116">
        <f>IFERROR(__xludf.DUMMYFUNCTION("""COMPUTED_VALUE"""),45905.0)</f>
        <v>45905</v>
      </c>
      <c r="I2362" s="115" t="str">
        <f>IFERROR(__xludf.DUMMYFUNCTION("""COMPUTED_VALUE"""),"12")</f>
        <v>12</v>
      </c>
      <c r="J2362" s="115" t="str">
        <f>IFERROR(__xludf.DUMMYFUNCTION("""COMPUTED_VALUE"""),"Premkumar M2025-09-0512")</f>
        <v>Premkumar M2025-09-0512</v>
      </c>
      <c r="K2362" s="115">
        <f>IFERROR(__xludf.DUMMYFUNCTION("""COMPUTED_VALUE"""),14975.0)</f>
        <v>14975</v>
      </c>
    </row>
    <row r="2363">
      <c r="A2363" s="115" t="str">
        <f>IFERROR(__xludf.DUMMYFUNCTION("""COMPUTED_VALUE"""),"SOUTH")</f>
        <v>SOUTH</v>
      </c>
      <c r="B2363" s="115" t="str">
        <f>IFERROR(__xludf.DUMMYFUNCTION("""COMPUTED_VALUE"""),"Vineeth V")</f>
        <v>Vineeth V</v>
      </c>
      <c r="C2363" s="115" t="str">
        <f>IFERROR(__xludf.DUMMYFUNCTION("""COMPUTED_VALUE"""),"EXTERNAL")</f>
        <v>EXTERNAL</v>
      </c>
      <c r="D2363" s="115">
        <f>IFERROR(__xludf.DUMMYFUNCTION("""COMPUTED_VALUE"""),2097.0)</f>
        <v>2097</v>
      </c>
      <c r="E2363" s="115">
        <f>IFERROR(__xludf.DUMMYFUNCTION("""COMPUTED_VALUE"""),75.0)</f>
        <v>75</v>
      </c>
      <c r="F2363" s="115">
        <f>IFERROR(__xludf.DUMMYFUNCTION("""COMPUTED_VALUE"""),473.0)</f>
        <v>473</v>
      </c>
      <c r="G2363" s="115">
        <f>IFERROR(__xludf.DUMMYFUNCTION("""COMPUTED_VALUE"""),9.0)</f>
        <v>9</v>
      </c>
      <c r="H2363" s="116">
        <f>IFERROR(__xludf.DUMMYFUNCTION("""COMPUTED_VALUE"""),45905.0)</f>
        <v>45905</v>
      </c>
      <c r="I2363" s="115" t="str">
        <f>IFERROR(__xludf.DUMMYFUNCTION("""COMPUTED_VALUE"""),"12")</f>
        <v>12</v>
      </c>
      <c r="J2363" s="115" t="str">
        <f>IFERROR(__xludf.DUMMYFUNCTION("""COMPUTED_VALUE"""),"Vineeth V2025-09-0512")</f>
        <v>Vineeth V2025-09-0512</v>
      </c>
      <c r="K2363" s="115">
        <f>IFERROR(__xludf.DUMMYFUNCTION("""COMPUTED_VALUE"""),2172.0)</f>
        <v>2172</v>
      </c>
    </row>
    <row r="2364">
      <c r="A2364" s="115" t="str">
        <f>IFERROR(__xludf.DUMMYFUNCTION("""COMPUTED_VALUE"""),"SOUTH")</f>
        <v>SOUTH</v>
      </c>
      <c r="B2364" s="115" t="str">
        <f>IFERROR(__xludf.DUMMYFUNCTION("""COMPUTED_VALUE"""),"Vineeth V")</f>
        <v>Vineeth V</v>
      </c>
      <c r="C2364" s="115" t="str">
        <f>IFERROR(__xludf.DUMMYFUNCTION("""COMPUTED_VALUE"""),"FLIPKART")</f>
        <v>FLIPKART</v>
      </c>
      <c r="D2364" s="115">
        <f>IFERROR(__xludf.DUMMYFUNCTION("""COMPUTED_VALUE"""),14831.0)</f>
        <v>14831</v>
      </c>
      <c r="E2364" s="115">
        <f>IFERROR(__xludf.DUMMYFUNCTION("""COMPUTED_VALUE"""),1500.0)</f>
        <v>1500</v>
      </c>
      <c r="F2364" s="115">
        <f>IFERROR(__xludf.DUMMYFUNCTION("""COMPUTED_VALUE"""),5072.0)</f>
        <v>5072</v>
      </c>
      <c r="G2364" s="115">
        <f>IFERROR(__xludf.DUMMYFUNCTION("""COMPUTED_VALUE"""),169.0)</f>
        <v>169</v>
      </c>
      <c r="H2364" s="116">
        <f>IFERROR(__xludf.DUMMYFUNCTION("""COMPUTED_VALUE"""),45905.0)</f>
        <v>45905</v>
      </c>
      <c r="I2364" s="115" t="str">
        <f>IFERROR(__xludf.DUMMYFUNCTION("""COMPUTED_VALUE"""),"12")</f>
        <v>12</v>
      </c>
      <c r="J2364" s="115" t="str">
        <f>IFERROR(__xludf.DUMMYFUNCTION("""COMPUTED_VALUE"""),"Vineeth V2025-09-0512")</f>
        <v>Vineeth V2025-09-0512</v>
      </c>
      <c r="K2364" s="115">
        <f>IFERROR(__xludf.DUMMYFUNCTION("""COMPUTED_VALUE"""),16331.0)</f>
        <v>16331</v>
      </c>
    </row>
    <row r="2365">
      <c r="A2365" s="115" t="str">
        <f>IFERROR(__xludf.DUMMYFUNCTION("""COMPUTED_VALUE"""),"SOUTH")</f>
        <v>SOUTH</v>
      </c>
      <c r="B2365" s="115" t="str">
        <f>IFERROR(__xludf.DUMMYFUNCTION("""COMPUTED_VALUE"""),"Vineeth V")</f>
        <v>Vineeth V</v>
      </c>
      <c r="C2365" s="115" t="str">
        <f>IFERROR(__xludf.DUMMYFUNCTION("""COMPUTED_VALUE"""),"MYNTRA")</f>
        <v>MYNTRA</v>
      </c>
      <c r="D2365" s="115">
        <f>IFERROR(__xludf.DUMMYFUNCTION("""COMPUTED_VALUE"""),2694.0)</f>
        <v>2694</v>
      </c>
      <c r="E2365" s="115">
        <f>IFERROR(__xludf.DUMMYFUNCTION("""COMPUTED_VALUE"""),383.0)</f>
        <v>383</v>
      </c>
      <c r="F2365" s="115">
        <f>IFERROR(__xludf.DUMMYFUNCTION("""COMPUTED_VALUE"""),1085.0)</f>
        <v>1085</v>
      </c>
      <c r="G2365" s="115">
        <f>IFERROR(__xludf.DUMMYFUNCTION("""COMPUTED_VALUE"""),53.0)</f>
        <v>53</v>
      </c>
      <c r="H2365" s="116">
        <f>IFERROR(__xludf.DUMMYFUNCTION("""COMPUTED_VALUE"""),45905.0)</f>
        <v>45905</v>
      </c>
      <c r="I2365" s="115" t="str">
        <f>IFERROR(__xludf.DUMMYFUNCTION("""COMPUTED_VALUE"""),"12")</f>
        <v>12</v>
      </c>
      <c r="J2365" s="115" t="str">
        <f>IFERROR(__xludf.DUMMYFUNCTION("""COMPUTED_VALUE"""),"Vineeth V2025-09-0512")</f>
        <v>Vineeth V2025-09-0512</v>
      </c>
      <c r="K2365" s="115">
        <f>IFERROR(__xludf.DUMMYFUNCTION("""COMPUTED_VALUE"""),3077.0)</f>
        <v>3077</v>
      </c>
    </row>
    <row r="2366">
      <c r="A2366" s="115" t="str">
        <f>IFERROR(__xludf.DUMMYFUNCTION("""COMPUTED_VALUE"""),"WEST")</f>
        <v>WEST</v>
      </c>
      <c r="B2366" s="115" t="str">
        <f>IFERROR(__xludf.DUMMYFUNCTION("""COMPUTED_VALUE"""),"Ashish Jakar")</f>
        <v>Ashish Jakar</v>
      </c>
      <c r="C2366" s="115" t="str">
        <f>IFERROR(__xludf.DUMMYFUNCTION("""COMPUTED_VALUE"""),"EXTERNAL")</f>
        <v>EXTERNAL</v>
      </c>
      <c r="D2366" s="115">
        <f>IFERROR(__xludf.DUMMYFUNCTION("""COMPUTED_VALUE"""),46281.0)</f>
        <v>46281</v>
      </c>
      <c r="E2366" s="115">
        <f>IFERROR(__xludf.DUMMYFUNCTION("""COMPUTED_VALUE"""),5317.0)</f>
        <v>5317</v>
      </c>
      <c r="F2366" s="115">
        <f>IFERROR(__xludf.DUMMYFUNCTION("""COMPUTED_VALUE"""),6251.0)</f>
        <v>6251</v>
      </c>
      <c r="G2366" s="115">
        <f>IFERROR(__xludf.DUMMYFUNCTION("""COMPUTED_VALUE"""),468.0)</f>
        <v>468</v>
      </c>
      <c r="H2366" s="116">
        <f>IFERROR(__xludf.DUMMYFUNCTION("""COMPUTED_VALUE"""),45905.0)</f>
        <v>45905</v>
      </c>
      <c r="I2366" s="115" t="str">
        <f>IFERROR(__xludf.DUMMYFUNCTION("""COMPUTED_VALUE"""),"12")</f>
        <v>12</v>
      </c>
      <c r="J2366" s="115" t="str">
        <f>IFERROR(__xludf.DUMMYFUNCTION("""COMPUTED_VALUE"""),"Ashish Jakar2025-09-0512")</f>
        <v>Ashish Jakar2025-09-0512</v>
      </c>
      <c r="K2366" s="115">
        <f>IFERROR(__xludf.DUMMYFUNCTION("""COMPUTED_VALUE"""),51598.0)</f>
        <v>51598</v>
      </c>
    </row>
    <row r="2367">
      <c r="A2367" s="115" t="str">
        <f>IFERROR(__xludf.DUMMYFUNCTION("""COMPUTED_VALUE"""),"WEST")</f>
        <v>WEST</v>
      </c>
      <c r="B2367" s="115" t="str">
        <f>IFERROR(__xludf.DUMMYFUNCTION("""COMPUTED_VALUE"""),"Ashish Jakar")</f>
        <v>Ashish Jakar</v>
      </c>
      <c r="C2367" s="115" t="str">
        <f>IFERROR(__xludf.DUMMYFUNCTION("""COMPUTED_VALUE"""),"FLIPKART")</f>
        <v>FLIPKART</v>
      </c>
      <c r="D2367" s="115">
        <f>IFERROR(__xludf.DUMMYFUNCTION("""COMPUTED_VALUE"""),254149.0)</f>
        <v>254149</v>
      </c>
      <c r="E2367" s="115">
        <f>IFERROR(__xludf.DUMMYFUNCTION("""COMPUTED_VALUE"""),27287.0)</f>
        <v>27287</v>
      </c>
      <c r="F2367" s="115">
        <f>IFERROR(__xludf.DUMMYFUNCTION("""COMPUTED_VALUE"""),64760.0)</f>
        <v>64760</v>
      </c>
      <c r="G2367" s="115">
        <f>IFERROR(__xludf.DUMMYFUNCTION("""COMPUTED_VALUE"""),2473.0)</f>
        <v>2473</v>
      </c>
      <c r="H2367" s="116">
        <f>IFERROR(__xludf.DUMMYFUNCTION("""COMPUTED_VALUE"""),45905.0)</f>
        <v>45905</v>
      </c>
      <c r="I2367" s="115" t="str">
        <f>IFERROR(__xludf.DUMMYFUNCTION("""COMPUTED_VALUE"""),"12")</f>
        <v>12</v>
      </c>
      <c r="J2367" s="115" t="str">
        <f>IFERROR(__xludf.DUMMYFUNCTION("""COMPUTED_VALUE"""),"Ashish Jakar2025-09-0512")</f>
        <v>Ashish Jakar2025-09-0512</v>
      </c>
      <c r="K2367" s="115">
        <f>IFERROR(__xludf.DUMMYFUNCTION("""COMPUTED_VALUE"""),281436.0)</f>
        <v>281436</v>
      </c>
    </row>
    <row r="2368">
      <c r="A2368" s="115" t="str">
        <f>IFERROR(__xludf.DUMMYFUNCTION("""COMPUTED_VALUE"""),"WEST")</f>
        <v>WEST</v>
      </c>
      <c r="B2368" s="115" t="str">
        <f>IFERROR(__xludf.DUMMYFUNCTION("""COMPUTED_VALUE"""),"Ashish Jakar")</f>
        <v>Ashish Jakar</v>
      </c>
      <c r="C2368" s="115" t="str">
        <f>IFERROR(__xludf.DUMMYFUNCTION("""COMPUTED_VALUE"""),"MYNTRA")</f>
        <v>MYNTRA</v>
      </c>
      <c r="D2368" s="115">
        <f>IFERROR(__xludf.DUMMYFUNCTION("""COMPUTED_VALUE"""),33033.0)</f>
        <v>33033</v>
      </c>
      <c r="E2368" s="115">
        <f>IFERROR(__xludf.DUMMYFUNCTION("""COMPUTED_VALUE"""),9245.0)</f>
        <v>9245</v>
      </c>
      <c r="F2368" s="115">
        <f>IFERROR(__xludf.DUMMYFUNCTION("""COMPUTED_VALUE"""),10479.0)</f>
        <v>10479</v>
      </c>
      <c r="G2368" s="115">
        <f>IFERROR(__xludf.DUMMYFUNCTION("""COMPUTED_VALUE"""),995.0)</f>
        <v>995</v>
      </c>
      <c r="H2368" s="116">
        <f>IFERROR(__xludf.DUMMYFUNCTION("""COMPUTED_VALUE"""),45905.0)</f>
        <v>45905</v>
      </c>
      <c r="I2368" s="115" t="str">
        <f>IFERROR(__xludf.DUMMYFUNCTION("""COMPUTED_VALUE"""),"12")</f>
        <v>12</v>
      </c>
      <c r="J2368" s="115" t="str">
        <f>IFERROR(__xludf.DUMMYFUNCTION("""COMPUTED_VALUE"""),"Ashish Jakar2025-09-0512")</f>
        <v>Ashish Jakar2025-09-0512</v>
      </c>
      <c r="K2368" s="115">
        <f>IFERROR(__xludf.DUMMYFUNCTION("""COMPUTED_VALUE"""),42278.0)</f>
        <v>42278</v>
      </c>
    </row>
    <row r="2369">
      <c r="A2369" s="115" t="str">
        <f>IFERROR(__xludf.DUMMYFUNCTION("""COMPUTED_VALUE"""),"WEST")</f>
        <v>WEST</v>
      </c>
      <c r="B2369" s="115" t="str">
        <f>IFERROR(__xludf.DUMMYFUNCTION("""COMPUTED_VALUE"""),"Ashvani Bhatt")</f>
        <v>Ashvani Bhatt</v>
      </c>
      <c r="C2369" s="115" t="str">
        <f>IFERROR(__xludf.DUMMYFUNCTION("""COMPUTED_VALUE"""),"EXTERNAL")</f>
        <v>EXTERNAL</v>
      </c>
      <c r="D2369" s="115">
        <f>IFERROR(__xludf.DUMMYFUNCTION("""COMPUTED_VALUE"""),29904.0)</f>
        <v>29904</v>
      </c>
      <c r="E2369" s="115">
        <f>IFERROR(__xludf.DUMMYFUNCTION("""COMPUTED_VALUE"""),2339.0)</f>
        <v>2339</v>
      </c>
      <c r="F2369" s="115">
        <f>IFERROR(__xludf.DUMMYFUNCTION("""COMPUTED_VALUE"""),4629.0)</f>
        <v>4629</v>
      </c>
      <c r="G2369" s="115">
        <f>IFERROR(__xludf.DUMMYFUNCTION("""COMPUTED_VALUE"""),91.0)</f>
        <v>91</v>
      </c>
      <c r="H2369" s="116">
        <f>IFERROR(__xludf.DUMMYFUNCTION("""COMPUTED_VALUE"""),45905.0)</f>
        <v>45905</v>
      </c>
      <c r="I2369" s="115" t="str">
        <f>IFERROR(__xludf.DUMMYFUNCTION("""COMPUTED_VALUE"""),"12")</f>
        <v>12</v>
      </c>
      <c r="J2369" s="115" t="str">
        <f>IFERROR(__xludf.DUMMYFUNCTION("""COMPUTED_VALUE"""),"Ashvani Bhatt2025-09-0512")</f>
        <v>Ashvani Bhatt2025-09-0512</v>
      </c>
      <c r="K2369" s="115">
        <f>IFERROR(__xludf.DUMMYFUNCTION("""COMPUTED_VALUE"""),32243.0)</f>
        <v>32243</v>
      </c>
    </row>
    <row r="2370">
      <c r="A2370" s="115" t="str">
        <f>IFERROR(__xludf.DUMMYFUNCTION("""COMPUTED_VALUE"""),"WEST")</f>
        <v>WEST</v>
      </c>
      <c r="B2370" s="115" t="str">
        <f>IFERROR(__xludf.DUMMYFUNCTION("""COMPUTED_VALUE"""),"Ashvani Bhatt")</f>
        <v>Ashvani Bhatt</v>
      </c>
      <c r="C2370" s="115" t="str">
        <f>IFERROR(__xludf.DUMMYFUNCTION("""COMPUTED_VALUE"""),"FLIPKART")</f>
        <v>FLIPKART</v>
      </c>
      <c r="D2370" s="115">
        <f>IFERROR(__xludf.DUMMYFUNCTION("""COMPUTED_VALUE"""),217345.0)</f>
        <v>217345</v>
      </c>
      <c r="E2370" s="115">
        <f>IFERROR(__xludf.DUMMYFUNCTION("""COMPUTED_VALUE"""),22016.0)</f>
        <v>22016</v>
      </c>
      <c r="F2370" s="115">
        <f>IFERROR(__xludf.DUMMYFUNCTION("""COMPUTED_VALUE"""),60737.0)</f>
        <v>60737</v>
      </c>
      <c r="G2370" s="115">
        <f>IFERROR(__xludf.DUMMYFUNCTION("""COMPUTED_VALUE"""),1390.0)</f>
        <v>1390</v>
      </c>
      <c r="H2370" s="116">
        <f>IFERROR(__xludf.DUMMYFUNCTION("""COMPUTED_VALUE"""),45905.0)</f>
        <v>45905</v>
      </c>
      <c r="I2370" s="115" t="str">
        <f>IFERROR(__xludf.DUMMYFUNCTION("""COMPUTED_VALUE"""),"12")</f>
        <v>12</v>
      </c>
      <c r="J2370" s="115" t="str">
        <f>IFERROR(__xludf.DUMMYFUNCTION("""COMPUTED_VALUE"""),"Ashvani Bhatt2025-09-0512")</f>
        <v>Ashvani Bhatt2025-09-0512</v>
      </c>
      <c r="K2370" s="115">
        <f>IFERROR(__xludf.DUMMYFUNCTION("""COMPUTED_VALUE"""),239361.0)</f>
        <v>239361</v>
      </c>
    </row>
    <row r="2371">
      <c r="A2371" s="115" t="str">
        <f>IFERROR(__xludf.DUMMYFUNCTION("""COMPUTED_VALUE"""),"WEST")</f>
        <v>WEST</v>
      </c>
      <c r="B2371" s="115" t="str">
        <f>IFERROR(__xludf.DUMMYFUNCTION("""COMPUTED_VALUE"""),"Ashvani Bhatt")</f>
        <v>Ashvani Bhatt</v>
      </c>
      <c r="C2371" s="115" t="str">
        <f>IFERROR(__xludf.DUMMYFUNCTION("""COMPUTED_VALUE"""),"MYNTRA")</f>
        <v>MYNTRA</v>
      </c>
      <c r="D2371" s="115">
        <f>IFERROR(__xludf.DUMMYFUNCTION("""COMPUTED_VALUE"""),28448.0)</f>
        <v>28448</v>
      </c>
      <c r="E2371" s="115">
        <f>IFERROR(__xludf.DUMMYFUNCTION("""COMPUTED_VALUE"""),6937.0)</f>
        <v>6937</v>
      </c>
      <c r="F2371" s="115">
        <f>IFERROR(__xludf.DUMMYFUNCTION("""COMPUTED_VALUE"""),9939.0)</f>
        <v>9939</v>
      </c>
      <c r="G2371" s="115">
        <f>IFERROR(__xludf.DUMMYFUNCTION("""COMPUTED_VALUE"""),531.0)</f>
        <v>531</v>
      </c>
      <c r="H2371" s="116">
        <f>IFERROR(__xludf.DUMMYFUNCTION("""COMPUTED_VALUE"""),45905.0)</f>
        <v>45905</v>
      </c>
      <c r="I2371" s="115" t="str">
        <f>IFERROR(__xludf.DUMMYFUNCTION("""COMPUTED_VALUE"""),"12")</f>
        <v>12</v>
      </c>
      <c r="J2371" s="115" t="str">
        <f>IFERROR(__xludf.DUMMYFUNCTION("""COMPUTED_VALUE"""),"Ashvani Bhatt2025-09-0512")</f>
        <v>Ashvani Bhatt2025-09-0512</v>
      </c>
      <c r="K2371" s="115">
        <f>IFERROR(__xludf.DUMMYFUNCTION("""COMPUTED_VALUE"""),35385.0)</f>
        <v>35385</v>
      </c>
    </row>
    <row r="2372">
      <c r="A2372" s="115" t="str">
        <f>IFERROR(__xludf.DUMMYFUNCTION("""COMPUTED_VALUE"""),"West")</f>
        <v>West</v>
      </c>
      <c r="B2372" s="115"/>
      <c r="C2372" s="115" t="str">
        <f>IFERROR(__xludf.DUMMYFUNCTION("""COMPUTED_VALUE"""),"EXTERNAL")</f>
        <v>EXTERNAL</v>
      </c>
      <c r="D2372" s="115">
        <f>IFERROR(__xludf.DUMMYFUNCTION("""COMPUTED_VALUE"""),28.0)</f>
        <v>28</v>
      </c>
      <c r="E2372" s="115">
        <f>IFERROR(__xludf.DUMMYFUNCTION("""COMPUTED_VALUE"""),6.0)</f>
        <v>6</v>
      </c>
      <c r="F2372" s="115">
        <f>IFERROR(__xludf.DUMMYFUNCTION("""COMPUTED_VALUE"""),3.0)</f>
        <v>3</v>
      </c>
      <c r="G2372" s="115">
        <f>IFERROR(__xludf.DUMMYFUNCTION("""COMPUTED_VALUE"""),2.0)</f>
        <v>2</v>
      </c>
      <c r="H2372" s="116">
        <f>IFERROR(__xludf.DUMMYFUNCTION("""COMPUTED_VALUE"""),45905.0)</f>
        <v>45905</v>
      </c>
      <c r="I2372" s="115" t="str">
        <f>IFERROR(__xludf.DUMMYFUNCTION("""COMPUTED_VALUE"""),"12")</f>
        <v>12</v>
      </c>
      <c r="J2372" s="115" t="str">
        <f>IFERROR(__xludf.DUMMYFUNCTION("""COMPUTED_VALUE"""),"2025-09-0512")</f>
        <v>2025-09-0512</v>
      </c>
      <c r="K2372" s="115">
        <f>IFERROR(__xludf.DUMMYFUNCTION("""COMPUTED_VALUE"""),34.0)</f>
        <v>34</v>
      </c>
    </row>
    <row r="2373">
      <c r="A2373" s="115" t="str">
        <f>IFERROR(__xludf.DUMMYFUNCTION("""COMPUTED_VALUE"""),"West")</f>
        <v>West</v>
      </c>
      <c r="B2373" s="115"/>
      <c r="C2373" s="115" t="str">
        <f>IFERROR(__xludf.DUMMYFUNCTION("""COMPUTED_VALUE"""),"FLIPKART")</f>
        <v>FLIPKART</v>
      </c>
      <c r="D2373" s="115">
        <f>IFERROR(__xludf.DUMMYFUNCTION("""COMPUTED_VALUE"""),169.0)</f>
        <v>169</v>
      </c>
      <c r="E2373" s="115">
        <f>IFERROR(__xludf.DUMMYFUNCTION("""COMPUTED_VALUE"""),13.0)</f>
        <v>13</v>
      </c>
      <c r="F2373" s="115">
        <f>IFERROR(__xludf.DUMMYFUNCTION("""COMPUTED_VALUE"""),45.0)</f>
        <v>45</v>
      </c>
      <c r="G2373" s="115">
        <f>IFERROR(__xludf.DUMMYFUNCTION("""COMPUTED_VALUE"""),0.0)</f>
        <v>0</v>
      </c>
      <c r="H2373" s="116">
        <f>IFERROR(__xludf.DUMMYFUNCTION("""COMPUTED_VALUE"""),45905.0)</f>
        <v>45905</v>
      </c>
      <c r="I2373" s="115" t="str">
        <f>IFERROR(__xludf.DUMMYFUNCTION("""COMPUTED_VALUE"""),"12")</f>
        <v>12</v>
      </c>
      <c r="J2373" s="115" t="str">
        <f>IFERROR(__xludf.DUMMYFUNCTION("""COMPUTED_VALUE"""),"2025-09-0512")</f>
        <v>2025-09-0512</v>
      </c>
      <c r="K2373" s="115">
        <f>IFERROR(__xludf.DUMMYFUNCTION("""COMPUTED_VALUE"""),182.0)</f>
        <v>182</v>
      </c>
    </row>
    <row r="2374">
      <c r="A2374" s="115" t="str">
        <f>IFERROR(__xludf.DUMMYFUNCTION("""COMPUTED_VALUE"""),"West")</f>
        <v>West</v>
      </c>
      <c r="B2374" s="115"/>
      <c r="C2374" s="115" t="str">
        <f>IFERROR(__xludf.DUMMYFUNCTION("""COMPUTED_VALUE"""),"MYNTRA")</f>
        <v>MYNTRA</v>
      </c>
      <c r="D2374" s="115">
        <f>IFERROR(__xludf.DUMMYFUNCTION("""COMPUTED_VALUE"""),40.0)</f>
        <v>40</v>
      </c>
      <c r="E2374" s="115">
        <f>IFERROR(__xludf.DUMMYFUNCTION("""COMPUTED_VALUE"""),3.0)</f>
        <v>3</v>
      </c>
      <c r="F2374" s="115">
        <f>IFERROR(__xludf.DUMMYFUNCTION("""COMPUTED_VALUE"""),6.0)</f>
        <v>6</v>
      </c>
      <c r="G2374" s="115">
        <f>IFERROR(__xludf.DUMMYFUNCTION("""COMPUTED_VALUE"""),1.0)</f>
        <v>1</v>
      </c>
      <c r="H2374" s="116">
        <f>IFERROR(__xludf.DUMMYFUNCTION("""COMPUTED_VALUE"""),45905.0)</f>
        <v>45905</v>
      </c>
      <c r="I2374" s="115" t="str">
        <f>IFERROR(__xludf.DUMMYFUNCTION("""COMPUTED_VALUE"""),"12")</f>
        <v>12</v>
      </c>
      <c r="J2374" s="115" t="str">
        <f>IFERROR(__xludf.DUMMYFUNCTION("""COMPUTED_VALUE"""),"2025-09-0512")</f>
        <v>2025-09-0512</v>
      </c>
      <c r="K2374" s="115">
        <f>IFERROR(__xludf.DUMMYFUNCTION("""COMPUTED_VALUE"""),43.0)</f>
        <v>43</v>
      </c>
    </row>
    <row r="2375">
      <c r="A2375" s="115"/>
      <c r="B2375" s="115"/>
      <c r="C2375" s="115" t="str">
        <f>IFERROR(__xludf.DUMMYFUNCTION("""COMPUTED_VALUE"""),"EXTERNAL")</f>
        <v>EXTERNAL</v>
      </c>
      <c r="D2375" s="115">
        <f>IFERROR(__xludf.DUMMYFUNCTION("""COMPUTED_VALUE"""),1015.0)</f>
        <v>1015</v>
      </c>
      <c r="E2375" s="115">
        <f>IFERROR(__xludf.DUMMYFUNCTION("""COMPUTED_VALUE"""),96.0)</f>
        <v>96</v>
      </c>
      <c r="F2375" s="115">
        <f>IFERROR(__xludf.DUMMYFUNCTION("""COMPUTED_VALUE"""),114.0)</f>
        <v>114</v>
      </c>
      <c r="G2375" s="115">
        <f>IFERROR(__xludf.DUMMYFUNCTION("""COMPUTED_VALUE"""),4.0)</f>
        <v>4</v>
      </c>
      <c r="H2375" s="116">
        <f>IFERROR(__xludf.DUMMYFUNCTION("""COMPUTED_VALUE"""),45905.0)</f>
        <v>45905</v>
      </c>
      <c r="I2375" s="115" t="str">
        <f>IFERROR(__xludf.DUMMYFUNCTION("""COMPUTED_VALUE"""),"12")</f>
        <v>12</v>
      </c>
      <c r="J2375" s="115" t="str">
        <f>IFERROR(__xludf.DUMMYFUNCTION("""COMPUTED_VALUE"""),"2025-09-0512")</f>
        <v>2025-09-0512</v>
      </c>
      <c r="K2375" s="115">
        <f>IFERROR(__xludf.DUMMYFUNCTION("""COMPUTED_VALUE"""),1111.0)</f>
        <v>1111</v>
      </c>
    </row>
    <row r="2376">
      <c r="A2376" s="115"/>
      <c r="B2376" s="115"/>
      <c r="C2376" s="115" t="str">
        <f>IFERROR(__xludf.DUMMYFUNCTION("""COMPUTED_VALUE"""),"FLIPKART")</f>
        <v>FLIPKART</v>
      </c>
      <c r="D2376" s="115">
        <f>IFERROR(__xludf.DUMMYFUNCTION("""COMPUTED_VALUE"""),7694.0)</f>
        <v>7694</v>
      </c>
      <c r="E2376" s="115">
        <f>IFERROR(__xludf.DUMMYFUNCTION("""COMPUTED_VALUE"""),779.0)</f>
        <v>779</v>
      </c>
      <c r="F2376" s="115">
        <f>IFERROR(__xludf.DUMMYFUNCTION("""COMPUTED_VALUE"""),1364.0)</f>
        <v>1364</v>
      </c>
      <c r="G2376" s="115">
        <f>IFERROR(__xludf.DUMMYFUNCTION("""COMPUTED_VALUE"""),116.0)</f>
        <v>116</v>
      </c>
      <c r="H2376" s="116">
        <f>IFERROR(__xludf.DUMMYFUNCTION("""COMPUTED_VALUE"""),45905.0)</f>
        <v>45905</v>
      </c>
      <c r="I2376" s="115" t="str">
        <f>IFERROR(__xludf.DUMMYFUNCTION("""COMPUTED_VALUE"""),"12")</f>
        <v>12</v>
      </c>
      <c r="J2376" s="115" t="str">
        <f>IFERROR(__xludf.DUMMYFUNCTION("""COMPUTED_VALUE"""),"2025-09-0512")</f>
        <v>2025-09-0512</v>
      </c>
      <c r="K2376" s="115">
        <f>IFERROR(__xludf.DUMMYFUNCTION("""COMPUTED_VALUE"""),8473.0)</f>
        <v>8473</v>
      </c>
    </row>
    <row r="2377">
      <c r="A2377" s="115"/>
      <c r="B2377" s="115"/>
      <c r="C2377" s="115" t="str">
        <f>IFERROR(__xludf.DUMMYFUNCTION("""COMPUTED_VALUE"""),"MYNTRA")</f>
        <v>MYNTRA</v>
      </c>
      <c r="D2377" s="115">
        <f>IFERROR(__xludf.DUMMYFUNCTION("""COMPUTED_VALUE"""),1263.0)</f>
        <v>1263</v>
      </c>
      <c r="E2377" s="115">
        <f>IFERROR(__xludf.DUMMYFUNCTION("""COMPUTED_VALUE"""),226.0)</f>
        <v>226</v>
      </c>
      <c r="F2377" s="115">
        <f>IFERROR(__xludf.DUMMYFUNCTION("""COMPUTED_VALUE"""),206.0)</f>
        <v>206</v>
      </c>
      <c r="G2377" s="115">
        <f>IFERROR(__xludf.DUMMYFUNCTION("""COMPUTED_VALUE"""),26.0)</f>
        <v>26</v>
      </c>
      <c r="H2377" s="116">
        <f>IFERROR(__xludf.DUMMYFUNCTION("""COMPUTED_VALUE"""),45905.0)</f>
        <v>45905</v>
      </c>
      <c r="I2377" s="115" t="str">
        <f>IFERROR(__xludf.DUMMYFUNCTION("""COMPUTED_VALUE"""),"12")</f>
        <v>12</v>
      </c>
      <c r="J2377" s="115" t="str">
        <f>IFERROR(__xludf.DUMMYFUNCTION("""COMPUTED_VALUE"""),"2025-09-0512")</f>
        <v>2025-09-0512</v>
      </c>
      <c r="K2377" s="115">
        <f>IFERROR(__xludf.DUMMYFUNCTION("""COMPUTED_VALUE"""),1489.0)</f>
        <v>1489</v>
      </c>
    </row>
    <row r="2378">
      <c r="A2378" s="115" t="str">
        <f>IFERROR(__xludf.DUMMYFUNCTION("""COMPUTED_VALUE"""),"EAST")</f>
        <v>EAST</v>
      </c>
      <c r="B2378" s="115" t="str">
        <f>IFERROR(__xludf.DUMMYFUNCTION("""COMPUTED_VALUE"""),"Ashish Ranjan")</f>
        <v>Ashish Ranjan</v>
      </c>
      <c r="C2378" s="115" t="str">
        <f>IFERROR(__xludf.DUMMYFUNCTION("""COMPUTED_VALUE"""),"EXTERNAL")</f>
        <v>EXTERNAL</v>
      </c>
      <c r="D2378" s="115">
        <f>IFERROR(__xludf.DUMMYFUNCTION("""COMPUTED_VALUE"""),33908.0)</f>
        <v>33908</v>
      </c>
      <c r="E2378" s="115">
        <f>IFERROR(__xludf.DUMMYFUNCTION("""COMPUTED_VALUE"""),2797.0)</f>
        <v>2797</v>
      </c>
      <c r="F2378" s="115">
        <f>IFERROR(__xludf.DUMMYFUNCTION("""COMPUTED_VALUE"""),10951.0)</f>
        <v>10951</v>
      </c>
      <c r="G2378" s="115">
        <f>IFERROR(__xludf.DUMMYFUNCTION("""COMPUTED_VALUE"""),399.0)</f>
        <v>399</v>
      </c>
      <c r="H2378" s="116">
        <f>IFERROR(__xludf.DUMMYFUNCTION("""COMPUTED_VALUE"""),45905.0)</f>
        <v>45905</v>
      </c>
      <c r="I2378" s="115" t="str">
        <f>IFERROR(__xludf.DUMMYFUNCTION("""COMPUTED_VALUE"""),"13")</f>
        <v>13</v>
      </c>
      <c r="J2378" s="115" t="str">
        <f>IFERROR(__xludf.DUMMYFUNCTION("""COMPUTED_VALUE"""),"Ashish Ranjan2025-09-0513")</f>
        <v>Ashish Ranjan2025-09-0513</v>
      </c>
      <c r="K2378" s="115">
        <f>IFERROR(__xludf.DUMMYFUNCTION("""COMPUTED_VALUE"""),36705.0)</f>
        <v>36705</v>
      </c>
    </row>
    <row r="2379">
      <c r="A2379" s="115" t="str">
        <f>IFERROR(__xludf.DUMMYFUNCTION("""COMPUTED_VALUE"""),"EAST")</f>
        <v>EAST</v>
      </c>
      <c r="B2379" s="115" t="str">
        <f>IFERROR(__xludf.DUMMYFUNCTION("""COMPUTED_VALUE"""),"Ashish Ranjan")</f>
        <v>Ashish Ranjan</v>
      </c>
      <c r="C2379" s="115" t="str">
        <f>IFERROR(__xludf.DUMMYFUNCTION("""COMPUTED_VALUE"""),"FLIPKART")</f>
        <v>FLIPKART</v>
      </c>
      <c r="D2379" s="115">
        <f>IFERROR(__xludf.DUMMYFUNCTION("""COMPUTED_VALUE"""),531546.0)</f>
        <v>531546</v>
      </c>
      <c r="E2379" s="115">
        <f>IFERROR(__xludf.DUMMYFUNCTION("""COMPUTED_VALUE"""),50335.0)</f>
        <v>50335</v>
      </c>
      <c r="F2379" s="115">
        <f>IFERROR(__xludf.DUMMYFUNCTION("""COMPUTED_VALUE"""),273291.0)</f>
        <v>273291</v>
      </c>
      <c r="G2379" s="115">
        <f>IFERROR(__xludf.DUMMYFUNCTION("""COMPUTED_VALUE"""),9623.0)</f>
        <v>9623</v>
      </c>
      <c r="H2379" s="116">
        <f>IFERROR(__xludf.DUMMYFUNCTION("""COMPUTED_VALUE"""),45905.0)</f>
        <v>45905</v>
      </c>
      <c r="I2379" s="115" t="str">
        <f>IFERROR(__xludf.DUMMYFUNCTION("""COMPUTED_VALUE"""),"13")</f>
        <v>13</v>
      </c>
      <c r="J2379" s="115" t="str">
        <f>IFERROR(__xludf.DUMMYFUNCTION("""COMPUTED_VALUE"""),"Ashish Ranjan2025-09-0513")</f>
        <v>Ashish Ranjan2025-09-0513</v>
      </c>
      <c r="K2379" s="115">
        <f>IFERROR(__xludf.DUMMYFUNCTION("""COMPUTED_VALUE"""),581881.0)</f>
        <v>581881</v>
      </c>
    </row>
    <row r="2380">
      <c r="A2380" s="115" t="str">
        <f>IFERROR(__xludf.DUMMYFUNCTION("""COMPUTED_VALUE"""),"EAST")</f>
        <v>EAST</v>
      </c>
      <c r="B2380" s="115" t="str">
        <f>IFERROR(__xludf.DUMMYFUNCTION("""COMPUTED_VALUE"""),"Ashish Ranjan")</f>
        <v>Ashish Ranjan</v>
      </c>
      <c r="C2380" s="115" t="str">
        <f>IFERROR(__xludf.DUMMYFUNCTION("""COMPUTED_VALUE"""),"MYNTRA")</f>
        <v>MYNTRA</v>
      </c>
      <c r="D2380" s="115">
        <f>IFERROR(__xludf.DUMMYFUNCTION("""COMPUTED_VALUE"""),60406.0)</f>
        <v>60406</v>
      </c>
      <c r="E2380" s="115">
        <f>IFERROR(__xludf.DUMMYFUNCTION("""COMPUTED_VALUE"""),10863.0)</f>
        <v>10863</v>
      </c>
      <c r="F2380" s="115">
        <f>IFERROR(__xludf.DUMMYFUNCTION("""COMPUTED_VALUE"""),32790.0)</f>
        <v>32790</v>
      </c>
      <c r="G2380" s="115">
        <f>IFERROR(__xludf.DUMMYFUNCTION("""COMPUTED_VALUE"""),2060.0)</f>
        <v>2060</v>
      </c>
      <c r="H2380" s="116">
        <f>IFERROR(__xludf.DUMMYFUNCTION("""COMPUTED_VALUE"""),45905.0)</f>
        <v>45905</v>
      </c>
      <c r="I2380" s="115" t="str">
        <f>IFERROR(__xludf.DUMMYFUNCTION("""COMPUTED_VALUE"""),"13")</f>
        <v>13</v>
      </c>
      <c r="J2380" s="115" t="str">
        <f>IFERROR(__xludf.DUMMYFUNCTION("""COMPUTED_VALUE"""),"Ashish Ranjan2025-09-0513")</f>
        <v>Ashish Ranjan2025-09-0513</v>
      </c>
      <c r="K2380" s="115">
        <f>IFERROR(__xludf.DUMMYFUNCTION("""COMPUTED_VALUE"""),71269.0)</f>
        <v>71269</v>
      </c>
    </row>
    <row r="2381">
      <c r="A2381" s="115" t="str">
        <f>IFERROR(__xludf.DUMMYFUNCTION("""COMPUTED_VALUE"""),"EAST")</f>
        <v>EAST</v>
      </c>
      <c r="B2381" s="115" t="str">
        <f>IFERROR(__xludf.DUMMYFUNCTION("""COMPUTED_VALUE"""),"Girish Chand")</f>
        <v>Girish Chand</v>
      </c>
      <c r="C2381" s="115" t="str">
        <f>IFERROR(__xludf.DUMMYFUNCTION("""COMPUTED_VALUE"""),"EXTERNAL")</f>
        <v>EXTERNAL</v>
      </c>
      <c r="D2381" s="115">
        <f>IFERROR(__xludf.DUMMYFUNCTION("""COMPUTED_VALUE"""),21615.0)</f>
        <v>21615</v>
      </c>
      <c r="E2381" s="115">
        <f>IFERROR(__xludf.DUMMYFUNCTION("""COMPUTED_VALUE"""),1750.0)</f>
        <v>1750</v>
      </c>
      <c r="F2381" s="115">
        <f>IFERROR(__xludf.DUMMYFUNCTION("""COMPUTED_VALUE"""),4595.0)</f>
        <v>4595</v>
      </c>
      <c r="G2381" s="115">
        <f>IFERROR(__xludf.DUMMYFUNCTION("""COMPUTED_VALUE"""),99.0)</f>
        <v>99</v>
      </c>
      <c r="H2381" s="116">
        <f>IFERROR(__xludf.DUMMYFUNCTION("""COMPUTED_VALUE"""),45905.0)</f>
        <v>45905</v>
      </c>
      <c r="I2381" s="115" t="str">
        <f>IFERROR(__xludf.DUMMYFUNCTION("""COMPUTED_VALUE"""),"13")</f>
        <v>13</v>
      </c>
      <c r="J2381" s="115" t="str">
        <f>IFERROR(__xludf.DUMMYFUNCTION("""COMPUTED_VALUE"""),"Girish Chand2025-09-0513")</f>
        <v>Girish Chand2025-09-0513</v>
      </c>
      <c r="K2381" s="115">
        <f>IFERROR(__xludf.DUMMYFUNCTION("""COMPUTED_VALUE"""),23365.0)</f>
        <v>23365</v>
      </c>
    </row>
    <row r="2382">
      <c r="A2382" s="115" t="str">
        <f>IFERROR(__xludf.DUMMYFUNCTION("""COMPUTED_VALUE"""),"EAST")</f>
        <v>EAST</v>
      </c>
      <c r="B2382" s="115" t="str">
        <f>IFERROR(__xludf.DUMMYFUNCTION("""COMPUTED_VALUE"""),"Girish Chand")</f>
        <v>Girish Chand</v>
      </c>
      <c r="C2382" s="115" t="str">
        <f>IFERROR(__xludf.DUMMYFUNCTION("""COMPUTED_VALUE"""),"FLIPKART")</f>
        <v>FLIPKART</v>
      </c>
      <c r="D2382" s="115">
        <f>IFERROR(__xludf.DUMMYFUNCTION("""COMPUTED_VALUE"""),383560.0)</f>
        <v>383560</v>
      </c>
      <c r="E2382" s="115">
        <f>IFERROR(__xludf.DUMMYFUNCTION("""COMPUTED_VALUE"""),35899.0)</f>
        <v>35899</v>
      </c>
      <c r="F2382" s="115">
        <f>IFERROR(__xludf.DUMMYFUNCTION("""COMPUTED_VALUE"""),146610.0)</f>
        <v>146610</v>
      </c>
      <c r="G2382" s="115">
        <f>IFERROR(__xludf.DUMMYFUNCTION("""COMPUTED_VALUE"""),3624.0)</f>
        <v>3624</v>
      </c>
      <c r="H2382" s="116">
        <f>IFERROR(__xludf.DUMMYFUNCTION("""COMPUTED_VALUE"""),45905.0)</f>
        <v>45905</v>
      </c>
      <c r="I2382" s="115" t="str">
        <f>IFERROR(__xludf.DUMMYFUNCTION("""COMPUTED_VALUE"""),"13")</f>
        <v>13</v>
      </c>
      <c r="J2382" s="115" t="str">
        <f>IFERROR(__xludf.DUMMYFUNCTION("""COMPUTED_VALUE"""),"Girish Chand2025-09-0513")</f>
        <v>Girish Chand2025-09-0513</v>
      </c>
      <c r="K2382" s="115">
        <f>IFERROR(__xludf.DUMMYFUNCTION("""COMPUTED_VALUE"""),419459.0)</f>
        <v>419459</v>
      </c>
    </row>
    <row r="2383">
      <c r="A2383" s="115" t="str">
        <f>IFERROR(__xludf.DUMMYFUNCTION("""COMPUTED_VALUE"""),"EAST")</f>
        <v>EAST</v>
      </c>
      <c r="B2383" s="115" t="str">
        <f>IFERROR(__xludf.DUMMYFUNCTION("""COMPUTED_VALUE"""),"Girish Chand")</f>
        <v>Girish Chand</v>
      </c>
      <c r="C2383" s="115" t="str">
        <f>IFERROR(__xludf.DUMMYFUNCTION("""COMPUTED_VALUE"""),"MYNTRA")</f>
        <v>MYNTRA</v>
      </c>
      <c r="D2383" s="115">
        <f>IFERROR(__xludf.DUMMYFUNCTION("""COMPUTED_VALUE"""),33404.0)</f>
        <v>33404</v>
      </c>
      <c r="E2383" s="115">
        <f>IFERROR(__xludf.DUMMYFUNCTION("""COMPUTED_VALUE"""),6244.0)</f>
        <v>6244</v>
      </c>
      <c r="F2383" s="115">
        <f>IFERROR(__xludf.DUMMYFUNCTION("""COMPUTED_VALUE"""),14243.0)</f>
        <v>14243</v>
      </c>
      <c r="G2383" s="115">
        <f>IFERROR(__xludf.DUMMYFUNCTION("""COMPUTED_VALUE"""),739.0)</f>
        <v>739</v>
      </c>
      <c r="H2383" s="116">
        <f>IFERROR(__xludf.DUMMYFUNCTION("""COMPUTED_VALUE"""),45905.0)</f>
        <v>45905</v>
      </c>
      <c r="I2383" s="115" t="str">
        <f>IFERROR(__xludf.DUMMYFUNCTION("""COMPUTED_VALUE"""),"13")</f>
        <v>13</v>
      </c>
      <c r="J2383" s="115" t="str">
        <f>IFERROR(__xludf.DUMMYFUNCTION("""COMPUTED_VALUE"""),"Girish Chand2025-09-0513")</f>
        <v>Girish Chand2025-09-0513</v>
      </c>
      <c r="K2383" s="115">
        <f>IFERROR(__xludf.DUMMYFUNCTION("""COMPUTED_VALUE"""),39648.0)</f>
        <v>39648</v>
      </c>
    </row>
    <row r="2384">
      <c r="A2384" s="115" t="str">
        <f>IFERROR(__xludf.DUMMYFUNCTION("""COMPUTED_VALUE"""),"EAST")</f>
        <v>EAST</v>
      </c>
      <c r="B2384" s="115" t="str">
        <f>IFERROR(__xludf.DUMMYFUNCTION("""COMPUTED_VALUE"""),"Parag Kashyap")</f>
        <v>Parag Kashyap</v>
      </c>
      <c r="C2384" s="115" t="str">
        <f>IFERROR(__xludf.DUMMYFUNCTION("""COMPUTED_VALUE"""),"EXTERNAL")</f>
        <v>EXTERNAL</v>
      </c>
      <c r="D2384" s="115">
        <f>IFERROR(__xludf.DUMMYFUNCTION("""COMPUTED_VALUE"""),17984.0)</f>
        <v>17984</v>
      </c>
      <c r="E2384" s="115">
        <f>IFERROR(__xludf.DUMMYFUNCTION("""COMPUTED_VALUE"""),859.0)</f>
        <v>859</v>
      </c>
      <c r="F2384" s="115">
        <f>IFERROR(__xludf.DUMMYFUNCTION("""COMPUTED_VALUE"""),2936.0)</f>
        <v>2936</v>
      </c>
      <c r="G2384" s="115">
        <f>IFERROR(__xludf.DUMMYFUNCTION("""COMPUTED_VALUE"""),30.0)</f>
        <v>30</v>
      </c>
      <c r="H2384" s="116">
        <f>IFERROR(__xludf.DUMMYFUNCTION("""COMPUTED_VALUE"""),45905.0)</f>
        <v>45905</v>
      </c>
      <c r="I2384" s="115" t="str">
        <f>IFERROR(__xludf.DUMMYFUNCTION("""COMPUTED_VALUE"""),"13")</f>
        <v>13</v>
      </c>
      <c r="J2384" s="115" t="str">
        <f>IFERROR(__xludf.DUMMYFUNCTION("""COMPUTED_VALUE"""),"Parag Kashyap2025-09-0513")</f>
        <v>Parag Kashyap2025-09-0513</v>
      </c>
      <c r="K2384" s="115">
        <f>IFERROR(__xludf.DUMMYFUNCTION("""COMPUTED_VALUE"""),18843.0)</f>
        <v>18843</v>
      </c>
    </row>
    <row r="2385">
      <c r="A2385" s="115" t="str">
        <f>IFERROR(__xludf.DUMMYFUNCTION("""COMPUTED_VALUE"""),"EAST")</f>
        <v>EAST</v>
      </c>
      <c r="B2385" s="115" t="str">
        <f>IFERROR(__xludf.DUMMYFUNCTION("""COMPUTED_VALUE"""),"Parag Kashyap")</f>
        <v>Parag Kashyap</v>
      </c>
      <c r="C2385" s="115" t="str">
        <f>IFERROR(__xludf.DUMMYFUNCTION("""COMPUTED_VALUE"""),"FLIPKART")</f>
        <v>FLIPKART</v>
      </c>
      <c r="D2385" s="115">
        <f>IFERROR(__xludf.DUMMYFUNCTION("""COMPUTED_VALUE"""),280937.0)</f>
        <v>280937</v>
      </c>
      <c r="E2385" s="115">
        <f>IFERROR(__xludf.DUMMYFUNCTION("""COMPUTED_VALUE"""),16952.0)</f>
        <v>16952</v>
      </c>
      <c r="F2385" s="115">
        <f>IFERROR(__xludf.DUMMYFUNCTION("""COMPUTED_VALUE"""),85661.0)</f>
        <v>85661</v>
      </c>
      <c r="G2385" s="115">
        <f>IFERROR(__xludf.DUMMYFUNCTION("""COMPUTED_VALUE"""),1085.0)</f>
        <v>1085</v>
      </c>
      <c r="H2385" s="116">
        <f>IFERROR(__xludf.DUMMYFUNCTION("""COMPUTED_VALUE"""),45905.0)</f>
        <v>45905</v>
      </c>
      <c r="I2385" s="115" t="str">
        <f>IFERROR(__xludf.DUMMYFUNCTION("""COMPUTED_VALUE"""),"13")</f>
        <v>13</v>
      </c>
      <c r="J2385" s="115" t="str">
        <f>IFERROR(__xludf.DUMMYFUNCTION("""COMPUTED_VALUE"""),"Parag Kashyap2025-09-0513")</f>
        <v>Parag Kashyap2025-09-0513</v>
      </c>
      <c r="K2385" s="115">
        <f>IFERROR(__xludf.DUMMYFUNCTION("""COMPUTED_VALUE"""),297889.0)</f>
        <v>297889</v>
      </c>
    </row>
    <row r="2386">
      <c r="A2386" s="115" t="str">
        <f>IFERROR(__xludf.DUMMYFUNCTION("""COMPUTED_VALUE"""),"EAST")</f>
        <v>EAST</v>
      </c>
      <c r="B2386" s="115" t="str">
        <f>IFERROR(__xludf.DUMMYFUNCTION("""COMPUTED_VALUE"""),"Parag Kashyap")</f>
        <v>Parag Kashyap</v>
      </c>
      <c r="C2386" s="115" t="str">
        <f>IFERROR(__xludf.DUMMYFUNCTION("""COMPUTED_VALUE"""),"MYNTRA")</f>
        <v>MYNTRA</v>
      </c>
      <c r="D2386" s="115">
        <f>IFERROR(__xludf.DUMMYFUNCTION("""COMPUTED_VALUE"""),32059.0)</f>
        <v>32059</v>
      </c>
      <c r="E2386" s="115">
        <f>IFERROR(__xludf.DUMMYFUNCTION("""COMPUTED_VALUE"""),4553.0)</f>
        <v>4553</v>
      </c>
      <c r="F2386" s="115">
        <f>IFERROR(__xludf.DUMMYFUNCTION("""COMPUTED_VALUE"""),10930.0)</f>
        <v>10930</v>
      </c>
      <c r="G2386" s="115">
        <f>IFERROR(__xludf.DUMMYFUNCTION("""COMPUTED_VALUE"""),336.0)</f>
        <v>336</v>
      </c>
      <c r="H2386" s="116">
        <f>IFERROR(__xludf.DUMMYFUNCTION("""COMPUTED_VALUE"""),45905.0)</f>
        <v>45905</v>
      </c>
      <c r="I2386" s="115" t="str">
        <f>IFERROR(__xludf.DUMMYFUNCTION("""COMPUTED_VALUE"""),"13")</f>
        <v>13</v>
      </c>
      <c r="J2386" s="115" t="str">
        <f>IFERROR(__xludf.DUMMYFUNCTION("""COMPUTED_VALUE"""),"Parag Kashyap2025-09-0513")</f>
        <v>Parag Kashyap2025-09-0513</v>
      </c>
      <c r="K2386" s="115">
        <f>IFERROR(__xludf.DUMMYFUNCTION("""COMPUTED_VALUE"""),36612.0)</f>
        <v>36612</v>
      </c>
    </row>
    <row r="2387">
      <c r="A2387" s="115" t="str">
        <f>IFERROR(__xludf.DUMMYFUNCTION("""COMPUTED_VALUE"""),"NORTH")</f>
        <v>NORTH</v>
      </c>
      <c r="B2387" s="115" t="str">
        <f>IFERROR(__xludf.DUMMYFUNCTION("""COMPUTED_VALUE"""),"Amit Kumar Pathak")</f>
        <v>Amit Kumar Pathak</v>
      </c>
      <c r="C2387" s="115" t="str">
        <f>IFERROR(__xludf.DUMMYFUNCTION("""COMPUTED_VALUE"""),"EXTERNAL")</f>
        <v>EXTERNAL</v>
      </c>
      <c r="D2387" s="115">
        <f>IFERROR(__xludf.DUMMYFUNCTION("""COMPUTED_VALUE"""),21474.0)</f>
        <v>21474</v>
      </c>
      <c r="E2387" s="115">
        <f>IFERROR(__xludf.DUMMYFUNCTION("""COMPUTED_VALUE"""),2851.0)</f>
        <v>2851</v>
      </c>
      <c r="F2387" s="115">
        <f>IFERROR(__xludf.DUMMYFUNCTION("""COMPUTED_VALUE"""),4174.0)</f>
        <v>4174</v>
      </c>
      <c r="G2387" s="115">
        <f>IFERROR(__xludf.DUMMYFUNCTION("""COMPUTED_VALUE"""),578.0)</f>
        <v>578</v>
      </c>
      <c r="H2387" s="116">
        <f>IFERROR(__xludf.DUMMYFUNCTION("""COMPUTED_VALUE"""),45905.0)</f>
        <v>45905</v>
      </c>
      <c r="I2387" s="115" t="str">
        <f>IFERROR(__xludf.DUMMYFUNCTION("""COMPUTED_VALUE"""),"13")</f>
        <v>13</v>
      </c>
      <c r="J2387" s="115" t="str">
        <f>IFERROR(__xludf.DUMMYFUNCTION("""COMPUTED_VALUE"""),"Amit Kumar Pathak2025-09-0513")</f>
        <v>Amit Kumar Pathak2025-09-0513</v>
      </c>
      <c r="K2387" s="115">
        <f>IFERROR(__xludf.DUMMYFUNCTION("""COMPUTED_VALUE"""),24325.0)</f>
        <v>24325</v>
      </c>
    </row>
    <row r="2388">
      <c r="A2388" s="115" t="str">
        <f>IFERROR(__xludf.DUMMYFUNCTION("""COMPUTED_VALUE"""),"NORTH")</f>
        <v>NORTH</v>
      </c>
      <c r="B2388" s="115" t="str">
        <f>IFERROR(__xludf.DUMMYFUNCTION("""COMPUTED_VALUE"""),"Amit Kumar Pathak")</f>
        <v>Amit Kumar Pathak</v>
      </c>
      <c r="C2388" s="115" t="str">
        <f>IFERROR(__xludf.DUMMYFUNCTION("""COMPUTED_VALUE"""),"FLIPKART")</f>
        <v>FLIPKART</v>
      </c>
      <c r="D2388" s="115">
        <f>IFERROR(__xludf.DUMMYFUNCTION("""COMPUTED_VALUE"""),146914.0)</f>
        <v>146914</v>
      </c>
      <c r="E2388" s="115">
        <f>IFERROR(__xludf.DUMMYFUNCTION("""COMPUTED_VALUE"""),23663.0)</f>
        <v>23663</v>
      </c>
      <c r="F2388" s="115">
        <f>IFERROR(__xludf.DUMMYFUNCTION("""COMPUTED_VALUE"""),53809.0)</f>
        <v>53809</v>
      </c>
      <c r="G2388" s="115">
        <f>IFERROR(__xludf.DUMMYFUNCTION("""COMPUTED_VALUE"""),5448.0)</f>
        <v>5448</v>
      </c>
      <c r="H2388" s="116">
        <f>IFERROR(__xludf.DUMMYFUNCTION("""COMPUTED_VALUE"""),45905.0)</f>
        <v>45905</v>
      </c>
      <c r="I2388" s="115" t="str">
        <f>IFERROR(__xludf.DUMMYFUNCTION("""COMPUTED_VALUE"""),"13")</f>
        <v>13</v>
      </c>
      <c r="J2388" s="115" t="str">
        <f>IFERROR(__xludf.DUMMYFUNCTION("""COMPUTED_VALUE"""),"Amit Kumar Pathak2025-09-0513")</f>
        <v>Amit Kumar Pathak2025-09-0513</v>
      </c>
      <c r="K2388" s="115">
        <f>IFERROR(__xludf.DUMMYFUNCTION("""COMPUTED_VALUE"""),170577.0)</f>
        <v>170577</v>
      </c>
    </row>
    <row r="2389">
      <c r="A2389" s="115" t="str">
        <f>IFERROR(__xludf.DUMMYFUNCTION("""COMPUTED_VALUE"""),"NORTH")</f>
        <v>NORTH</v>
      </c>
      <c r="B2389" s="115" t="str">
        <f>IFERROR(__xludf.DUMMYFUNCTION("""COMPUTED_VALUE"""),"Amit Kumar Pathak")</f>
        <v>Amit Kumar Pathak</v>
      </c>
      <c r="C2389" s="115" t="str">
        <f>IFERROR(__xludf.DUMMYFUNCTION("""COMPUTED_VALUE"""),"MYNTRA")</f>
        <v>MYNTRA</v>
      </c>
      <c r="D2389" s="115">
        <f>IFERROR(__xludf.DUMMYFUNCTION("""COMPUTED_VALUE"""),13866.0)</f>
        <v>13866</v>
      </c>
      <c r="E2389" s="115">
        <f>IFERROR(__xludf.DUMMYFUNCTION("""COMPUTED_VALUE"""),5821.0)</f>
        <v>5821</v>
      </c>
      <c r="F2389" s="115">
        <f>IFERROR(__xludf.DUMMYFUNCTION("""COMPUTED_VALUE"""),6418.0)</f>
        <v>6418</v>
      </c>
      <c r="G2389" s="115">
        <f>IFERROR(__xludf.DUMMYFUNCTION("""COMPUTED_VALUE"""),1471.0)</f>
        <v>1471</v>
      </c>
      <c r="H2389" s="116">
        <f>IFERROR(__xludf.DUMMYFUNCTION("""COMPUTED_VALUE"""),45905.0)</f>
        <v>45905</v>
      </c>
      <c r="I2389" s="115" t="str">
        <f>IFERROR(__xludf.DUMMYFUNCTION("""COMPUTED_VALUE"""),"13")</f>
        <v>13</v>
      </c>
      <c r="J2389" s="115" t="str">
        <f>IFERROR(__xludf.DUMMYFUNCTION("""COMPUTED_VALUE"""),"Amit Kumar Pathak2025-09-0513")</f>
        <v>Amit Kumar Pathak2025-09-0513</v>
      </c>
      <c r="K2389" s="115">
        <f>IFERROR(__xludf.DUMMYFUNCTION("""COMPUTED_VALUE"""),19687.0)</f>
        <v>19687</v>
      </c>
    </row>
    <row r="2390">
      <c r="A2390" s="115" t="str">
        <f>IFERROR(__xludf.DUMMYFUNCTION("""COMPUTED_VALUE"""),"NORTH")</f>
        <v>NORTH</v>
      </c>
      <c r="B2390" s="115" t="str">
        <f>IFERROR(__xludf.DUMMYFUNCTION("""COMPUTED_VALUE"""),"Loveleen Singh")</f>
        <v>Loveleen Singh</v>
      </c>
      <c r="C2390" s="115" t="str">
        <f>IFERROR(__xludf.DUMMYFUNCTION("""COMPUTED_VALUE"""),"EXTERNAL")</f>
        <v>EXTERNAL</v>
      </c>
      <c r="D2390" s="115">
        <f>IFERROR(__xludf.DUMMYFUNCTION("""COMPUTED_VALUE"""),34552.0)</f>
        <v>34552</v>
      </c>
      <c r="E2390" s="115">
        <f>IFERROR(__xludf.DUMMYFUNCTION("""COMPUTED_VALUE"""),1993.0)</f>
        <v>1993</v>
      </c>
      <c r="F2390" s="115">
        <f>IFERROR(__xludf.DUMMYFUNCTION("""COMPUTED_VALUE"""),6120.0)</f>
        <v>6120</v>
      </c>
      <c r="G2390" s="115">
        <f>IFERROR(__xludf.DUMMYFUNCTION("""COMPUTED_VALUE"""),178.0)</f>
        <v>178</v>
      </c>
      <c r="H2390" s="116">
        <f>IFERROR(__xludf.DUMMYFUNCTION("""COMPUTED_VALUE"""),45905.0)</f>
        <v>45905</v>
      </c>
      <c r="I2390" s="115" t="str">
        <f>IFERROR(__xludf.DUMMYFUNCTION("""COMPUTED_VALUE"""),"13")</f>
        <v>13</v>
      </c>
      <c r="J2390" s="115" t="str">
        <f>IFERROR(__xludf.DUMMYFUNCTION("""COMPUTED_VALUE"""),"Loveleen Singh2025-09-0513")</f>
        <v>Loveleen Singh2025-09-0513</v>
      </c>
      <c r="K2390" s="115">
        <f>IFERROR(__xludf.DUMMYFUNCTION("""COMPUTED_VALUE"""),36545.0)</f>
        <v>36545</v>
      </c>
    </row>
    <row r="2391">
      <c r="A2391" s="115" t="str">
        <f>IFERROR(__xludf.DUMMYFUNCTION("""COMPUTED_VALUE"""),"NORTH")</f>
        <v>NORTH</v>
      </c>
      <c r="B2391" s="115" t="str">
        <f>IFERROR(__xludf.DUMMYFUNCTION("""COMPUTED_VALUE"""),"Loveleen Singh")</f>
        <v>Loveleen Singh</v>
      </c>
      <c r="C2391" s="115" t="str">
        <f>IFERROR(__xludf.DUMMYFUNCTION("""COMPUTED_VALUE"""),"FLIPKART")</f>
        <v>FLIPKART</v>
      </c>
      <c r="D2391" s="115">
        <f>IFERROR(__xludf.DUMMYFUNCTION("""COMPUTED_VALUE"""),162787.0)</f>
        <v>162787</v>
      </c>
      <c r="E2391" s="115">
        <f>IFERROR(__xludf.DUMMYFUNCTION("""COMPUTED_VALUE"""),14436.0)</f>
        <v>14436</v>
      </c>
      <c r="F2391" s="115">
        <f>IFERROR(__xludf.DUMMYFUNCTION("""COMPUTED_VALUE"""),54359.0)</f>
        <v>54359</v>
      </c>
      <c r="G2391" s="115">
        <f>IFERROR(__xludf.DUMMYFUNCTION("""COMPUTED_VALUE"""),1857.0)</f>
        <v>1857</v>
      </c>
      <c r="H2391" s="116">
        <f>IFERROR(__xludf.DUMMYFUNCTION("""COMPUTED_VALUE"""),45905.0)</f>
        <v>45905</v>
      </c>
      <c r="I2391" s="115" t="str">
        <f>IFERROR(__xludf.DUMMYFUNCTION("""COMPUTED_VALUE"""),"13")</f>
        <v>13</v>
      </c>
      <c r="J2391" s="115" t="str">
        <f>IFERROR(__xludf.DUMMYFUNCTION("""COMPUTED_VALUE"""),"Loveleen Singh2025-09-0513")</f>
        <v>Loveleen Singh2025-09-0513</v>
      </c>
      <c r="K2391" s="115">
        <f>IFERROR(__xludf.DUMMYFUNCTION("""COMPUTED_VALUE"""),177223.0)</f>
        <v>177223</v>
      </c>
    </row>
    <row r="2392">
      <c r="A2392" s="115" t="str">
        <f>IFERROR(__xludf.DUMMYFUNCTION("""COMPUTED_VALUE"""),"NORTH")</f>
        <v>NORTH</v>
      </c>
      <c r="B2392" s="115" t="str">
        <f>IFERROR(__xludf.DUMMYFUNCTION("""COMPUTED_VALUE"""),"Loveleen Singh")</f>
        <v>Loveleen Singh</v>
      </c>
      <c r="C2392" s="115" t="str">
        <f>IFERROR(__xludf.DUMMYFUNCTION("""COMPUTED_VALUE"""),"MYNTRA")</f>
        <v>MYNTRA</v>
      </c>
      <c r="D2392" s="115">
        <f>IFERROR(__xludf.DUMMYFUNCTION("""COMPUTED_VALUE"""),26031.0)</f>
        <v>26031</v>
      </c>
      <c r="E2392" s="115">
        <f>IFERROR(__xludf.DUMMYFUNCTION("""COMPUTED_VALUE"""),5514.0)</f>
        <v>5514</v>
      </c>
      <c r="F2392" s="115">
        <f>IFERROR(__xludf.DUMMYFUNCTION("""COMPUTED_VALUE"""),10427.0)</f>
        <v>10427</v>
      </c>
      <c r="G2392" s="115">
        <f>IFERROR(__xludf.DUMMYFUNCTION("""COMPUTED_VALUE"""),780.0)</f>
        <v>780</v>
      </c>
      <c r="H2392" s="116">
        <f>IFERROR(__xludf.DUMMYFUNCTION("""COMPUTED_VALUE"""),45905.0)</f>
        <v>45905</v>
      </c>
      <c r="I2392" s="115" t="str">
        <f>IFERROR(__xludf.DUMMYFUNCTION("""COMPUTED_VALUE"""),"13")</f>
        <v>13</v>
      </c>
      <c r="J2392" s="115" t="str">
        <f>IFERROR(__xludf.DUMMYFUNCTION("""COMPUTED_VALUE"""),"Loveleen Singh2025-09-0513")</f>
        <v>Loveleen Singh2025-09-0513</v>
      </c>
      <c r="K2392" s="115">
        <f>IFERROR(__xludf.DUMMYFUNCTION("""COMPUTED_VALUE"""),31545.0)</f>
        <v>31545</v>
      </c>
    </row>
    <row r="2393">
      <c r="A2393" s="115" t="str">
        <f>IFERROR(__xludf.DUMMYFUNCTION("""COMPUTED_VALUE"""),"NORTH")</f>
        <v>NORTH</v>
      </c>
      <c r="B2393" s="115" t="str">
        <f>IFERROR(__xludf.DUMMYFUNCTION("""COMPUTED_VALUE"""),"Manoj Harsh")</f>
        <v>Manoj Harsh</v>
      </c>
      <c r="C2393" s="115" t="str">
        <f>IFERROR(__xludf.DUMMYFUNCTION("""COMPUTED_VALUE"""),"EXTERNAL")</f>
        <v>EXTERNAL</v>
      </c>
      <c r="D2393" s="115">
        <f>IFERROR(__xludf.DUMMYFUNCTION("""COMPUTED_VALUE"""),31620.0)</f>
        <v>31620</v>
      </c>
      <c r="E2393" s="115">
        <f>IFERROR(__xludf.DUMMYFUNCTION("""COMPUTED_VALUE"""),2403.0)</f>
        <v>2403</v>
      </c>
      <c r="F2393" s="115">
        <f>IFERROR(__xludf.DUMMYFUNCTION("""COMPUTED_VALUE"""),5698.0)</f>
        <v>5698</v>
      </c>
      <c r="G2393" s="115">
        <f>IFERROR(__xludf.DUMMYFUNCTION("""COMPUTED_VALUE"""),149.0)</f>
        <v>149</v>
      </c>
      <c r="H2393" s="116">
        <f>IFERROR(__xludf.DUMMYFUNCTION("""COMPUTED_VALUE"""),45905.0)</f>
        <v>45905</v>
      </c>
      <c r="I2393" s="115" t="str">
        <f>IFERROR(__xludf.DUMMYFUNCTION("""COMPUTED_VALUE"""),"13")</f>
        <v>13</v>
      </c>
      <c r="J2393" s="115" t="str">
        <f>IFERROR(__xludf.DUMMYFUNCTION("""COMPUTED_VALUE"""),"Manoj Harsh2025-09-0513")</f>
        <v>Manoj Harsh2025-09-0513</v>
      </c>
      <c r="K2393" s="115">
        <f>IFERROR(__xludf.DUMMYFUNCTION("""COMPUTED_VALUE"""),34023.0)</f>
        <v>34023</v>
      </c>
    </row>
    <row r="2394">
      <c r="A2394" s="115" t="str">
        <f>IFERROR(__xludf.DUMMYFUNCTION("""COMPUTED_VALUE"""),"NORTH")</f>
        <v>NORTH</v>
      </c>
      <c r="B2394" s="115" t="str">
        <f>IFERROR(__xludf.DUMMYFUNCTION("""COMPUTED_VALUE"""),"Manoj Harsh")</f>
        <v>Manoj Harsh</v>
      </c>
      <c r="C2394" s="115" t="str">
        <f>IFERROR(__xludf.DUMMYFUNCTION("""COMPUTED_VALUE"""),"FLIPKART")</f>
        <v>FLIPKART</v>
      </c>
      <c r="D2394" s="115">
        <f>IFERROR(__xludf.DUMMYFUNCTION("""COMPUTED_VALUE"""),388653.0)</f>
        <v>388653</v>
      </c>
      <c r="E2394" s="115">
        <f>IFERROR(__xludf.DUMMYFUNCTION("""COMPUTED_VALUE"""),36499.0)</f>
        <v>36499</v>
      </c>
      <c r="F2394" s="115">
        <f>IFERROR(__xludf.DUMMYFUNCTION("""COMPUTED_VALUE"""),129053.0)</f>
        <v>129053</v>
      </c>
      <c r="G2394" s="115">
        <f>IFERROR(__xludf.DUMMYFUNCTION("""COMPUTED_VALUE"""),3582.0)</f>
        <v>3582</v>
      </c>
      <c r="H2394" s="116">
        <f>IFERROR(__xludf.DUMMYFUNCTION("""COMPUTED_VALUE"""),45905.0)</f>
        <v>45905</v>
      </c>
      <c r="I2394" s="115" t="str">
        <f>IFERROR(__xludf.DUMMYFUNCTION("""COMPUTED_VALUE"""),"13")</f>
        <v>13</v>
      </c>
      <c r="J2394" s="115" t="str">
        <f>IFERROR(__xludf.DUMMYFUNCTION("""COMPUTED_VALUE"""),"Manoj Harsh2025-09-0513")</f>
        <v>Manoj Harsh2025-09-0513</v>
      </c>
      <c r="K2394" s="115">
        <f>IFERROR(__xludf.DUMMYFUNCTION("""COMPUTED_VALUE"""),425152.0)</f>
        <v>425152</v>
      </c>
    </row>
    <row r="2395">
      <c r="A2395" s="115" t="str">
        <f>IFERROR(__xludf.DUMMYFUNCTION("""COMPUTED_VALUE"""),"NORTH")</f>
        <v>NORTH</v>
      </c>
      <c r="B2395" s="115" t="str">
        <f>IFERROR(__xludf.DUMMYFUNCTION("""COMPUTED_VALUE"""),"Manoj Harsh")</f>
        <v>Manoj Harsh</v>
      </c>
      <c r="C2395" s="115" t="str">
        <f>IFERROR(__xludf.DUMMYFUNCTION("""COMPUTED_VALUE"""),"MYNTRA")</f>
        <v>MYNTRA</v>
      </c>
      <c r="D2395" s="115">
        <f>IFERROR(__xludf.DUMMYFUNCTION("""COMPUTED_VALUE"""),36544.0)</f>
        <v>36544</v>
      </c>
      <c r="E2395" s="115">
        <f>IFERROR(__xludf.DUMMYFUNCTION("""COMPUTED_VALUE"""),7017.0)</f>
        <v>7017</v>
      </c>
      <c r="F2395" s="115">
        <f>IFERROR(__xludf.DUMMYFUNCTION("""COMPUTED_VALUE"""),14192.0)</f>
        <v>14192</v>
      </c>
      <c r="G2395" s="115">
        <f>IFERROR(__xludf.DUMMYFUNCTION("""COMPUTED_VALUE"""),738.0)</f>
        <v>738</v>
      </c>
      <c r="H2395" s="116">
        <f>IFERROR(__xludf.DUMMYFUNCTION("""COMPUTED_VALUE"""),45905.0)</f>
        <v>45905</v>
      </c>
      <c r="I2395" s="115" t="str">
        <f>IFERROR(__xludf.DUMMYFUNCTION("""COMPUTED_VALUE"""),"13")</f>
        <v>13</v>
      </c>
      <c r="J2395" s="115" t="str">
        <f>IFERROR(__xludf.DUMMYFUNCTION("""COMPUTED_VALUE"""),"Manoj Harsh2025-09-0513")</f>
        <v>Manoj Harsh2025-09-0513</v>
      </c>
      <c r="K2395" s="115">
        <f>IFERROR(__xludf.DUMMYFUNCTION("""COMPUTED_VALUE"""),43561.0)</f>
        <v>43561</v>
      </c>
    </row>
    <row r="2396">
      <c r="A2396" s="115" t="str">
        <f>IFERROR(__xludf.DUMMYFUNCTION("""COMPUTED_VALUE"""),"NORTH")</f>
        <v>NORTH</v>
      </c>
      <c r="B2396" s="115" t="str">
        <f>IFERROR(__xludf.DUMMYFUNCTION("""COMPUTED_VALUE"""),"Pradeep Kothari")</f>
        <v>Pradeep Kothari</v>
      </c>
      <c r="C2396" s="115" t="str">
        <f>IFERROR(__xludf.DUMMYFUNCTION("""COMPUTED_VALUE"""),"EXTERNAL")</f>
        <v>EXTERNAL</v>
      </c>
      <c r="D2396" s="115">
        <f>IFERROR(__xludf.DUMMYFUNCTION("""COMPUTED_VALUE"""),18049.0)</f>
        <v>18049</v>
      </c>
      <c r="E2396" s="115">
        <f>IFERROR(__xludf.DUMMYFUNCTION("""COMPUTED_VALUE"""),1785.0)</f>
        <v>1785</v>
      </c>
      <c r="F2396" s="115">
        <f>IFERROR(__xludf.DUMMYFUNCTION("""COMPUTED_VALUE"""),3890.0)</f>
        <v>3890</v>
      </c>
      <c r="G2396" s="115">
        <f>IFERROR(__xludf.DUMMYFUNCTION("""COMPUTED_VALUE"""),229.0)</f>
        <v>229</v>
      </c>
      <c r="H2396" s="116">
        <f>IFERROR(__xludf.DUMMYFUNCTION("""COMPUTED_VALUE"""),45905.0)</f>
        <v>45905</v>
      </c>
      <c r="I2396" s="115" t="str">
        <f>IFERROR(__xludf.DUMMYFUNCTION("""COMPUTED_VALUE"""),"13")</f>
        <v>13</v>
      </c>
      <c r="J2396" s="115" t="str">
        <f>IFERROR(__xludf.DUMMYFUNCTION("""COMPUTED_VALUE"""),"Pradeep Kothari2025-09-0513")</f>
        <v>Pradeep Kothari2025-09-0513</v>
      </c>
      <c r="K2396" s="115">
        <f>IFERROR(__xludf.DUMMYFUNCTION("""COMPUTED_VALUE"""),19834.0)</f>
        <v>19834</v>
      </c>
    </row>
    <row r="2397">
      <c r="A2397" s="115" t="str">
        <f>IFERROR(__xludf.DUMMYFUNCTION("""COMPUTED_VALUE"""),"NORTH")</f>
        <v>NORTH</v>
      </c>
      <c r="B2397" s="115" t="str">
        <f>IFERROR(__xludf.DUMMYFUNCTION("""COMPUTED_VALUE"""),"Pradeep Kothari")</f>
        <v>Pradeep Kothari</v>
      </c>
      <c r="C2397" s="115" t="str">
        <f>IFERROR(__xludf.DUMMYFUNCTION("""COMPUTED_VALUE"""),"FLIPKART")</f>
        <v>FLIPKART</v>
      </c>
      <c r="D2397" s="115">
        <f>IFERROR(__xludf.DUMMYFUNCTION("""COMPUTED_VALUE"""),136176.0)</f>
        <v>136176</v>
      </c>
      <c r="E2397" s="115">
        <f>IFERROR(__xludf.DUMMYFUNCTION("""COMPUTED_VALUE"""),16174.0)</f>
        <v>16174</v>
      </c>
      <c r="F2397" s="115">
        <f>IFERROR(__xludf.DUMMYFUNCTION("""COMPUTED_VALUE"""),53418.0)</f>
        <v>53418</v>
      </c>
      <c r="G2397" s="115">
        <f>IFERROR(__xludf.DUMMYFUNCTION("""COMPUTED_VALUE"""),2760.0)</f>
        <v>2760</v>
      </c>
      <c r="H2397" s="116">
        <f>IFERROR(__xludf.DUMMYFUNCTION("""COMPUTED_VALUE"""),45905.0)</f>
        <v>45905</v>
      </c>
      <c r="I2397" s="115" t="str">
        <f>IFERROR(__xludf.DUMMYFUNCTION("""COMPUTED_VALUE"""),"13")</f>
        <v>13</v>
      </c>
      <c r="J2397" s="115" t="str">
        <f>IFERROR(__xludf.DUMMYFUNCTION("""COMPUTED_VALUE"""),"Pradeep Kothari2025-09-0513")</f>
        <v>Pradeep Kothari2025-09-0513</v>
      </c>
      <c r="K2397" s="115">
        <f>IFERROR(__xludf.DUMMYFUNCTION("""COMPUTED_VALUE"""),152350.0)</f>
        <v>152350</v>
      </c>
    </row>
    <row r="2398">
      <c r="A2398" s="115" t="str">
        <f>IFERROR(__xludf.DUMMYFUNCTION("""COMPUTED_VALUE"""),"NORTH")</f>
        <v>NORTH</v>
      </c>
      <c r="B2398" s="115" t="str">
        <f>IFERROR(__xludf.DUMMYFUNCTION("""COMPUTED_VALUE"""),"Pradeep Kothari")</f>
        <v>Pradeep Kothari</v>
      </c>
      <c r="C2398" s="115" t="str">
        <f>IFERROR(__xludf.DUMMYFUNCTION("""COMPUTED_VALUE"""),"MYNTRA")</f>
        <v>MYNTRA</v>
      </c>
      <c r="D2398" s="115">
        <f>IFERROR(__xludf.DUMMYFUNCTION("""COMPUTED_VALUE"""),24005.0)</f>
        <v>24005</v>
      </c>
      <c r="E2398" s="115">
        <f>IFERROR(__xludf.DUMMYFUNCTION("""COMPUTED_VALUE"""),6088.0)</f>
        <v>6088</v>
      </c>
      <c r="F2398" s="115">
        <f>IFERROR(__xludf.DUMMYFUNCTION("""COMPUTED_VALUE"""),11581.0)</f>
        <v>11581</v>
      </c>
      <c r="G2398" s="115">
        <f>IFERROR(__xludf.DUMMYFUNCTION("""COMPUTED_VALUE"""),1330.0)</f>
        <v>1330</v>
      </c>
      <c r="H2398" s="116">
        <f>IFERROR(__xludf.DUMMYFUNCTION("""COMPUTED_VALUE"""),45905.0)</f>
        <v>45905</v>
      </c>
      <c r="I2398" s="115" t="str">
        <f>IFERROR(__xludf.DUMMYFUNCTION("""COMPUTED_VALUE"""),"13")</f>
        <v>13</v>
      </c>
      <c r="J2398" s="115" t="str">
        <f>IFERROR(__xludf.DUMMYFUNCTION("""COMPUTED_VALUE"""),"Pradeep Kothari2025-09-0513")</f>
        <v>Pradeep Kothari2025-09-0513</v>
      </c>
      <c r="K2398" s="115">
        <f>IFERROR(__xludf.DUMMYFUNCTION("""COMPUTED_VALUE"""),30093.0)</f>
        <v>30093</v>
      </c>
    </row>
    <row r="2399">
      <c r="A2399" s="115" t="str">
        <f>IFERROR(__xludf.DUMMYFUNCTION("""COMPUTED_VALUE"""),"North")</f>
        <v>North</v>
      </c>
      <c r="B2399" s="115"/>
      <c r="C2399" s="115" t="str">
        <f>IFERROR(__xludf.DUMMYFUNCTION("""COMPUTED_VALUE"""),"EXTERNAL")</f>
        <v>EXTERNAL</v>
      </c>
      <c r="D2399" s="115">
        <f>IFERROR(__xludf.DUMMYFUNCTION("""COMPUTED_VALUE"""),7.0)</f>
        <v>7</v>
      </c>
      <c r="E2399" s="115">
        <f>IFERROR(__xludf.DUMMYFUNCTION("""COMPUTED_VALUE"""),0.0)</f>
        <v>0</v>
      </c>
      <c r="F2399" s="115">
        <f>IFERROR(__xludf.DUMMYFUNCTION("""COMPUTED_VALUE"""),1.0)</f>
        <v>1</v>
      </c>
      <c r="G2399" s="115">
        <f>IFERROR(__xludf.DUMMYFUNCTION("""COMPUTED_VALUE"""),0.0)</f>
        <v>0</v>
      </c>
      <c r="H2399" s="116">
        <f>IFERROR(__xludf.DUMMYFUNCTION("""COMPUTED_VALUE"""),45905.0)</f>
        <v>45905</v>
      </c>
      <c r="I2399" s="115" t="str">
        <f>IFERROR(__xludf.DUMMYFUNCTION("""COMPUTED_VALUE"""),"13")</f>
        <v>13</v>
      </c>
      <c r="J2399" s="115" t="str">
        <f>IFERROR(__xludf.DUMMYFUNCTION("""COMPUTED_VALUE"""),"2025-09-0513")</f>
        <v>2025-09-0513</v>
      </c>
      <c r="K2399" s="115">
        <f>IFERROR(__xludf.DUMMYFUNCTION("""COMPUTED_VALUE"""),7.0)</f>
        <v>7</v>
      </c>
    </row>
    <row r="2400">
      <c r="A2400" s="115" t="str">
        <f>IFERROR(__xludf.DUMMYFUNCTION("""COMPUTED_VALUE"""),"North")</f>
        <v>North</v>
      </c>
      <c r="B2400" s="115"/>
      <c r="C2400" s="115" t="str">
        <f>IFERROR(__xludf.DUMMYFUNCTION("""COMPUTED_VALUE"""),"FLIPKART")</f>
        <v>FLIPKART</v>
      </c>
      <c r="D2400" s="115">
        <f>IFERROR(__xludf.DUMMYFUNCTION("""COMPUTED_VALUE"""),21.0)</f>
        <v>21</v>
      </c>
      <c r="E2400" s="115">
        <f>IFERROR(__xludf.DUMMYFUNCTION("""COMPUTED_VALUE"""),0.0)</f>
        <v>0</v>
      </c>
      <c r="F2400" s="115">
        <f>IFERROR(__xludf.DUMMYFUNCTION("""COMPUTED_VALUE"""),10.0)</f>
        <v>10</v>
      </c>
      <c r="G2400" s="115">
        <f>IFERROR(__xludf.DUMMYFUNCTION("""COMPUTED_VALUE"""),0.0)</f>
        <v>0</v>
      </c>
      <c r="H2400" s="116">
        <f>IFERROR(__xludf.DUMMYFUNCTION("""COMPUTED_VALUE"""),45905.0)</f>
        <v>45905</v>
      </c>
      <c r="I2400" s="115" t="str">
        <f>IFERROR(__xludf.DUMMYFUNCTION("""COMPUTED_VALUE"""),"13")</f>
        <v>13</v>
      </c>
      <c r="J2400" s="115" t="str">
        <f>IFERROR(__xludf.DUMMYFUNCTION("""COMPUTED_VALUE"""),"2025-09-0513")</f>
        <v>2025-09-0513</v>
      </c>
      <c r="K2400" s="115">
        <f>IFERROR(__xludf.DUMMYFUNCTION("""COMPUTED_VALUE"""),21.0)</f>
        <v>21</v>
      </c>
    </row>
    <row r="2401">
      <c r="A2401" s="115" t="str">
        <f>IFERROR(__xludf.DUMMYFUNCTION("""COMPUTED_VALUE"""),"North")</f>
        <v>North</v>
      </c>
      <c r="B2401" s="115"/>
      <c r="C2401" s="115" t="str">
        <f>IFERROR(__xludf.DUMMYFUNCTION("""COMPUTED_VALUE"""),"MYNTRA")</f>
        <v>MYNTRA</v>
      </c>
      <c r="D2401" s="115">
        <f>IFERROR(__xludf.DUMMYFUNCTION("""COMPUTED_VALUE"""),2.0)</f>
        <v>2</v>
      </c>
      <c r="E2401" s="115">
        <f>IFERROR(__xludf.DUMMYFUNCTION("""COMPUTED_VALUE"""),0.0)</f>
        <v>0</v>
      </c>
      <c r="F2401" s="115">
        <f>IFERROR(__xludf.DUMMYFUNCTION("""COMPUTED_VALUE"""),1.0)</f>
        <v>1</v>
      </c>
      <c r="G2401" s="115">
        <f>IFERROR(__xludf.DUMMYFUNCTION("""COMPUTED_VALUE"""),0.0)</f>
        <v>0</v>
      </c>
      <c r="H2401" s="116">
        <f>IFERROR(__xludf.DUMMYFUNCTION("""COMPUTED_VALUE"""),45905.0)</f>
        <v>45905</v>
      </c>
      <c r="I2401" s="115" t="str">
        <f>IFERROR(__xludf.DUMMYFUNCTION("""COMPUTED_VALUE"""),"13")</f>
        <v>13</v>
      </c>
      <c r="J2401" s="115" t="str">
        <f>IFERROR(__xludf.DUMMYFUNCTION("""COMPUTED_VALUE"""),"2025-09-0513")</f>
        <v>2025-09-0513</v>
      </c>
      <c r="K2401" s="115">
        <f>IFERROR(__xludf.DUMMYFUNCTION("""COMPUTED_VALUE"""),2.0)</f>
        <v>2</v>
      </c>
    </row>
    <row r="2402">
      <c r="A2402" s="115" t="str">
        <f>IFERROR(__xludf.DUMMYFUNCTION("""COMPUTED_VALUE"""),"SOUTH")</f>
        <v>SOUTH</v>
      </c>
      <c r="B2402" s="115" t="str">
        <f>IFERROR(__xludf.DUMMYFUNCTION("""COMPUTED_VALUE"""),"Kandula Sampath")</f>
        <v>Kandula Sampath</v>
      </c>
      <c r="C2402" s="115" t="str">
        <f>IFERROR(__xludf.DUMMYFUNCTION("""COMPUTED_VALUE"""),"EXTERNAL")</f>
        <v>EXTERNAL</v>
      </c>
      <c r="D2402" s="115">
        <f>IFERROR(__xludf.DUMMYFUNCTION("""COMPUTED_VALUE"""),33177.0)</f>
        <v>33177</v>
      </c>
      <c r="E2402" s="115">
        <f>IFERROR(__xludf.DUMMYFUNCTION("""COMPUTED_VALUE"""),3408.0)</f>
        <v>3408</v>
      </c>
      <c r="F2402" s="115">
        <f>IFERROR(__xludf.DUMMYFUNCTION("""COMPUTED_VALUE"""),8290.0)</f>
        <v>8290</v>
      </c>
      <c r="G2402" s="115">
        <f>IFERROR(__xludf.DUMMYFUNCTION("""COMPUTED_VALUE"""),315.0)</f>
        <v>315</v>
      </c>
      <c r="H2402" s="116">
        <f>IFERROR(__xludf.DUMMYFUNCTION("""COMPUTED_VALUE"""),45905.0)</f>
        <v>45905</v>
      </c>
      <c r="I2402" s="115" t="str">
        <f>IFERROR(__xludf.DUMMYFUNCTION("""COMPUTED_VALUE"""),"13")</f>
        <v>13</v>
      </c>
      <c r="J2402" s="115" t="str">
        <f>IFERROR(__xludf.DUMMYFUNCTION("""COMPUTED_VALUE"""),"Kandula Sampath2025-09-0513")</f>
        <v>Kandula Sampath2025-09-0513</v>
      </c>
      <c r="K2402" s="115">
        <f>IFERROR(__xludf.DUMMYFUNCTION("""COMPUTED_VALUE"""),36585.0)</f>
        <v>36585</v>
      </c>
    </row>
    <row r="2403">
      <c r="A2403" s="115" t="str">
        <f>IFERROR(__xludf.DUMMYFUNCTION("""COMPUTED_VALUE"""),"SOUTH")</f>
        <v>SOUTH</v>
      </c>
      <c r="B2403" s="115" t="str">
        <f>IFERROR(__xludf.DUMMYFUNCTION("""COMPUTED_VALUE"""),"Kandula Sampath")</f>
        <v>Kandula Sampath</v>
      </c>
      <c r="C2403" s="115" t="str">
        <f>IFERROR(__xludf.DUMMYFUNCTION("""COMPUTED_VALUE"""),"FLIPKART")</f>
        <v>FLIPKART</v>
      </c>
      <c r="D2403" s="115">
        <f>IFERROR(__xludf.DUMMYFUNCTION("""COMPUTED_VALUE"""),280432.0)</f>
        <v>280432</v>
      </c>
      <c r="E2403" s="115">
        <f>IFERROR(__xludf.DUMMYFUNCTION("""COMPUTED_VALUE"""),27322.0)</f>
        <v>27322</v>
      </c>
      <c r="F2403" s="115">
        <f>IFERROR(__xludf.DUMMYFUNCTION("""COMPUTED_VALUE"""),123700.0)</f>
        <v>123700</v>
      </c>
      <c r="G2403" s="115">
        <f>IFERROR(__xludf.DUMMYFUNCTION("""COMPUTED_VALUE"""),3791.0)</f>
        <v>3791</v>
      </c>
      <c r="H2403" s="116">
        <f>IFERROR(__xludf.DUMMYFUNCTION("""COMPUTED_VALUE"""),45905.0)</f>
        <v>45905</v>
      </c>
      <c r="I2403" s="115" t="str">
        <f>IFERROR(__xludf.DUMMYFUNCTION("""COMPUTED_VALUE"""),"13")</f>
        <v>13</v>
      </c>
      <c r="J2403" s="115" t="str">
        <f>IFERROR(__xludf.DUMMYFUNCTION("""COMPUTED_VALUE"""),"Kandula Sampath2025-09-0513")</f>
        <v>Kandula Sampath2025-09-0513</v>
      </c>
      <c r="K2403" s="115">
        <f>IFERROR(__xludf.DUMMYFUNCTION("""COMPUTED_VALUE"""),307754.0)</f>
        <v>307754</v>
      </c>
    </row>
    <row r="2404">
      <c r="A2404" s="115" t="str">
        <f>IFERROR(__xludf.DUMMYFUNCTION("""COMPUTED_VALUE"""),"SOUTH")</f>
        <v>SOUTH</v>
      </c>
      <c r="B2404" s="115" t="str">
        <f>IFERROR(__xludf.DUMMYFUNCTION("""COMPUTED_VALUE"""),"Kandula Sampath")</f>
        <v>Kandula Sampath</v>
      </c>
      <c r="C2404" s="115" t="str">
        <f>IFERROR(__xludf.DUMMYFUNCTION("""COMPUTED_VALUE"""),"MYNTRA")</f>
        <v>MYNTRA</v>
      </c>
      <c r="D2404" s="115">
        <f>IFERROR(__xludf.DUMMYFUNCTION("""COMPUTED_VALUE"""),34210.0)</f>
        <v>34210</v>
      </c>
      <c r="E2404" s="115">
        <f>IFERROR(__xludf.DUMMYFUNCTION("""COMPUTED_VALUE"""),6956.0)</f>
        <v>6956</v>
      </c>
      <c r="F2404" s="115">
        <f>IFERROR(__xludf.DUMMYFUNCTION("""COMPUTED_VALUE"""),17328.0)</f>
        <v>17328</v>
      </c>
      <c r="G2404" s="115">
        <f>IFERROR(__xludf.DUMMYFUNCTION("""COMPUTED_VALUE"""),1098.0)</f>
        <v>1098</v>
      </c>
      <c r="H2404" s="116">
        <f>IFERROR(__xludf.DUMMYFUNCTION("""COMPUTED_VALUE"""),45905.0)</f>
        <v>45905</v>
      </c>
      <c r="I2404" s="115" t="str">
        <f>IFERROR(__xludf.DUMMYFUNCTION("""COMPUTED_VALUE"""),"13")</f>
        <v>13</v>
      </c>
      <c r="J2404" s="115" t="str">
        <f>IFERROR(__xludf.DUMMYFUNCTION("""COMPUTED_VALUE"""),"Kandula Sampath2025-09-0513")</f>
        <v>Kandula Sampath2025-09-0513</v>
      </c>
      <c r="K2404" s="115">
        <f>IFERROR(__xludf.DUMMYFUNCTION("""COMPUTED_VALUE"""),41166.0)</f>
        <v>41166</v>
      </c>
    </row>
    <row r="2405">
      <c r="A2405" s="115" t="str">
        <f>IFERROR(__xludf.DUMMYFUNCTION("""COMPUTED_VALUE"""),"SOUTH")</f>
        <v>SOUTH</v>
      </c>
      <c r="B2405" s="115" t="str">
        <f>IFERROR(__xludf.DUMMYFUNCTION("""COMPUTED_VALUE"""),"Martin A")</f>
        <v>Martin A</v>
      </c>
      <c r="C2405" s="115" t="str">
        <f>IFERROR(__xludf.DUMMYFUNCTION("""COMPUTED_VALUE"""),"EXTERNAL")</f>
        <v>EXTERNAL</v>
      </c>
      <c r="D2405" s="115">
        <f>IFERROR(__xludf.DUMMYFUNCTION("""COMPUTED_VALUE"""),31158.0)</f>
        <v>31158</v>
      </c>
      <c r="E2405" s="115">
        <f>IFERROR(__xludf.DUMMYFUNCTION("""COMPUTED_VALUE"""),3149.0)</f>
        <v>3149</v>
      </c>
      <c r="F2405" s="115">
        <f>IFERROR(__xludf.DUMMYFUNCTION("""COMPUTED_VALUE"""),7263.0)</f>
        <v>7263</v>
      </c>
      <c r="G2405" s="115">
        <f>IFERROR(__xludf.DUMMYFUNCTION("""COMPUTED_VALUE"""),500.0)</f>
        <v>500</v>
      </c>
      <c r="H2405" s="116">
        <f>IFERROR(__xludf.DUMMYFUNCTION("""COMPUTED_VALUE"""),45905.0)</f>
        <v>45905</v>
      </c>
      <c r="I2405" s="115" t="str">
        <f>IFERROR(__xludf.DUMMYFUNCTION("""COMPUTED_VALUE"""),"13")</f>
        <v>13</v>
      </c>
      <c r="J2405" s="115" t="str">
        <f>IFERROR(__xludf.DUMMYFUNCTION("""COMPUTED_VALUE"""),"Martin A2025-09-0513")</f>
        <v>Martin A2025-09-0513</v>
      </c>
      <c r="K2405" s="115">
        <f>IFERROR(__xludf.DUMMYFUNCTION("""COMPUTED_VALUE"""),34307.0)</f>
        <v>34307</v>
      </c>
    </row>
    <row r="2406">
      <c r="A2406" s="115" t="str">
        <f>IFERROR(__xludf.DUMMYFUNCTION("""COMPUTED_VALUE"""),"SOUTH")</f>
        <v>SOUTH</v>
      </c>
      <c r="B2406" s="115" t="str">
        <f>IFERROR(__xludf.DUMMYFUNCTION("""COMPUTED_VALUE"""),"Martin A")</f>
        <v>Martin A</v>
      </c>
      <c r="C2406" s="115" t="str">
        <f>IFERROR(__xludf.DUMMYFUNCTION("""COMPUTED_VALUE"""),"FLIPKART")</f>
        <v>FLIPKART</v>
      </c>
      <c r="D2406" s="115">
        <f>IFERROR(__xludf.DUMMYFUNCTION("""COMPUTED_VALUE"""),232140.0)</f>
        <v>232140</v>
      </c>
      <c r="E2406" s="115">
        <f>IFERROR(__xludf.DUMMYFUNCTION("""COMPUTED_VALUE"""),22878.0)</f>
        <v>22878</v>
      </c>
      <c r="F2406" s="115">
        <f>IFERROR(__xludf.DUMMYFUNCTION("""COMPUTED_VALUE"""),95949.0)</f>
        <v>95949</v>
      </c>
      <c r="G2406" s="115">
        <f>IFERROR(__xludf.DUMMYFUNCTION("""COMPUTED_VALUE"""),3353.0)</f>
        <v>3353</v>
      </c>
      <c r="H2406" s="116">
        <f>IFERROR(__xludf.DUMMYFUNCTION("""COMPUTED_VALUE"""),45905.0)</f>
        <v>45905</v>
      </c>
      <c r="I2406" s="115" t="str">
        <f>IFERROR(__xludf.DUMMYFUNCTION("""COMPUTED_VALUE"""),"13")</f>
        <v>13</v>
      </c>
      <c r="J2406" s="115" t="str">
        <f>IFERROR(__xludf.DUMMYFUNCTION("""COMPUTED_VALUE"""),"Martin A2025-09-0513")</f>
        <v>Martin A2025-09-0513</v>
      </c>
      <c r="K2406" s="115">
        <f>IFERROR(__xludf.DUMMYFUNCTION("""COMPUTED_VALUE"""),255018.0)</f>
        <v>255018</v>
      </c>
    </row>
    <row r="2407">
      <c r="A2407" s="115" t="str">
        <f>IFERROR(__xludf.DUMMYFUNCTION("""COMPUTED_VALUE"""),"SOUTH")</f>
        <v>SOUTH</v>
      </c>
      <c r="B2407" s="115" t="str">
        <f>IFERROR(__xludf.DUMMYFUNCTION("""COMPUTED_VALUE"""),"Martin A")</f>
        <v>Martin A</v>
      </c>
      <c r="C2407" s="115" t="str">
        <f>IFERROR(__xludf.DUMMYFUNCTION("""COMPUTED_VALUE"""),"MYNTRA")</f>
        <v>MYNTRA</v>
      </c>
      <c r="D2407" s="115">
        <f>IFERROR(__xludf.DUMMYFUNCTION("""COMPUTED_VALUE"""),24204.0)</f>
        <v>24204</v>
      </c>
      <c r="E2407" s="115">
        <f>IFERROR(__xludf.DUMMYFUNCTION("""COMPUTED_VALUE"""),5153.0)</f>
        <v>5153</v>
      </c>
      <c r="F2407" s="115">
        <f>IFERROR(__xludf.DUMMYFUNCTION("""COMPUTED_VALUE"""),11927.0)</f>
        <v>11927</v>
      </c>
      <c r="G2407" s="115">
        <f>IFERROR(__xludf.DUMMYFUNCTION("""COMPUTED_VALUE"""),868.0)</f>
        <v>868</v>
      </c>
      <c r="H2407" s="116">
        <f>IFERROR(__xludf.DUMMYFUNCTION("""COMPUTED_VALUE"""),45905.0)</f>
        <v>45905</v>
      </c>
      <c r="I2407" s="115" t="str">
        <f>IFERROR(__xludf.DUMMYFUNCTION("""COMPUTED_VALUE"""),"13")</f>
        <v>13</v>
      </c>
      <c r="J2407" s="115" t="str">
        <f>IFERROR(__xludf.DUMMYFUNCTION("""COMPUTED_VALUE"""),"Martin A2025-09-0513")</f>
        <v>Martin A2025-09-0513</v>
      </c>
      <c r="K2407" s="115">
        <f>IFERROR(__xludf.DUMMYFUNCTION("""COMPUTED_VALUE"""),29357.0)</f>
        <v>29357</v>
      </c>
    </row>
    <row r="2408">
      <c r="A2408" s="115" t="str">
        <f>IFERROR(__xludf.DUMMYFUNCTION("""COMPUTED_VALUE"""),"SOUTH")</f>
        <v>SOUTH</v>
      </c>
      <c r="B2408" s="115" t="str">
        <f>IFERROR(__xludf.DUMMYFUNCTION("""COMPUTED_VALUE"""),"Premkumar M")</f>
        <v>Premkumar M</v>
      </c>
      <c r="C2408" s="115" t="str">
        <f>IFERROR(__xludf.DUMMYFUNCTION("""COMPUTED_VALUE"""),"EXTERNAL")</f>
        <v>EXTERNAL</v>
      </c>
      <c r="D2408" s="115">
        <f>IFERROR(__xludf.DUMMYFUNCTION("""COMPUTED_VALUE"""),26801.0)</f>
        <v>26801</v>
      </c>
      <c r="E2408" s="115">
        <f>IFERROR(__xludf.DUMMYFUNCTION("""COMPUTED_VALUE"""),1532.0)</f>
        <v>1532</v>
      </c>
      <c r="F2408" s="115">
        <f>IFERROR(__xludf.DUMMYFUNCTION("""COMPUTED_VALUE"""),4774.0)</f>
        <v>4774</v>
      </c>
      <c r="G2408" s="115">
        <f>IFERROR(__xludf.DUMMYFUNCTION("""COMPUTED_VALUE"""),42.0)</f>
        <v>42</v>
      </c>
      <c r="H2408" s="116">
        <f>IFERROR(__xludf.DUMMYFUNCTION("""COMPUTED_VALUE"""),45905.0)</f>
        <v>45905</v>
      </c>
      <c r="I2408" s="115" t="str">
        <f>IFERROR(__xludf.DUMMYFUNCTION("""COMPUTED_VALUE"""),"13")</f>
        <v>13</v>
      </c>
      <c r="J2408" s="115" t="str">
        <f>IFERROR(__xludf.DUMMYFUNCTION("""COMPUTED_VALUE"""),"Premkumar M2025-09-0513")</f>
        <v>Premkumar M2025-09-0513</v>
      </c>
      <c r="K2408" s="115">
        <f>IFERROR(__xludf.DUMMYFUNCTION("""COMPUTED_VALUE"""),28333.0)</f>
        <v>28333</v>
      </c>
    </row>
    <row r="2409">
      <c r="A2409" s="115" t="str">
        <f>IFERROR(__xludf.DUMMYFUNCTION("""COMPUTED_VALUE"""),"SOUTH")</f>
        <v>SOUTH</v>
      </c>
      <c r="B2409" s="115" t="str">
        <f>IFERROR(__xludf.DUMMYFUNCTION("""COMPUTED_VALUE"""),"Premkumar M")</f>
        <v>Premkumar M</v>
      </c>
      <c r="C2409" s="115" t="str">
        <f>IFERROR(__xludf.DUMMYFUNCTION("""COMPUTED_VALUE"""),"FLIPKART")</f>
        <v>FLIPKART</v>
      </c>
      <c r="D2409" s="115">
        <f>IFERROR(__xludf.DUMMYFUNCTION("""COMPUTED_VALUE"""),242615.0)</f>
        <v>242615</v>
      </c>
      <c r="E2409" s="115">
        <f>IFERROR(__xludf.DUMMYFUNCTION("""COMPUTED_VALUE"""),16171.0)</f>
        <v>16171</v>
      </c>
      <c r="F2409" s="115">
        <f>IFERROR(__xludf.DUMMYFUNCTION("""COMPUTED_VALUE"""),69040.0)</f>
        <v>69040</v>
      </c>
      <c r="G2409" s="115">
        <f>IFERROR(__xludf.DUMMYFUNCTION("""COMPUTED_VALUE"""),666.0)</f>
        <v>666</v>
      </c>
      <c r="H2409" s="116">
        <f>IFERROR(__xludf.DUMMYFUNCTION("""COMPUTED_VALUE"""),45905.0)</f>
        <v>45905</v>
      </c>
      <c r="I2409" s="115" t="str">
        <f>IFERROR(__xludf.DUMMYFUNCTION("""COMPUTED_VALUE"""),"13")</f>
        <v>13</v>
      </c>
      <c r="J2409" s="115" t="str">
        <f>IFERROR(__xludf.DUMMYFUNCTION("""COMPUTED_VALUE"""),"Premkumar M2025-09-0513")</f>
        <v>Premkumar M2025-09-0513</v>
      </c>
      <c r="K2409" s="115">
        <f>IFERROR(__xludf.DUMMYFUNCTION("""COMPUTED_VALUE"""),258786.0)</f>
        <v>258786</v>
      </c>
    </row>
    <row r="2410">
      <c r="A2410" s="115" t="str">
        <f>IFERROR(__xludf.DUMMYFUNCTION("""COMPUTED_VALUE"""),"SOUTH")</f>
        <v>SOUTH</v>
      </c>
      <c r="B2410" s="115" t="str">
        <f>IFERROR(__xludf.DUMMYFUNCTION("""COMPUTED_VALUE"""),"Premkumar M")</f>
        <v>Premkumar M</v>
      </c>
      <c r="C2410" s="115" t="str">
        <f>IFERROR(__xludf.DUMMYFUNCTION("""COMPUTED_VALUE"""),"MYNTRA")</f>
        <v>MYNTRA</v>
      </c>
      <c r="D2410" s="115">
        <f>IFERROR(__xludf.DUMMYFUNCTION("""COMPUTED_VALUE"""),14095.0)</f>
        <v>14095</v>
      </c>
      <c r="E2410" s="115">
        <f>IFERROR(__xludf.DUMMYFUNCTION("""COMPUTED_VALUE"""),2484.0)</f>
        <v>2484</v>
      </c>
      <c r="F2410" s="115">
        <f>IFERROR(__xludf.DUMMYFUNCTION("""COMPUTED_VALUE"""),4681.0)</f>
        <v>4681</v>
      </c>
      <c r="G2410" s="115">
        <f>IFERROR(__xludf.DUMMYFUNCTION("""COMPUTED_VALUE"""),103.0)</f>
        <v>103</v>
      </c>
      <c r="H2410" s="116">
        <f>IFERROR(__xludf.DUMMYFUNCTION("""COMPUTED_VALUE"""),45905.0)</f>
        <v>45905</v>
      </c>
      <c r="I2410" s="115" t="str">
        <f>IFERROR(__xludf.DUMMYFUNCTION("""COMPUTED_VALUE"""),"13")</f>
        <v>13</v>
      </c>
      <c r="J2410" s="115" t="str">
        <f>IFERROR(__xludf.DUMMYFUNCTION("""COMPUTED_VALUE"""),"Premkumar M2025-09-0513")</f>
        <v>Premkumar M2025-09-0513</v>
      </c>
      <c r="K2410" s="115">
        <f>IFERROR(__xludf.DUMMYFUNCTION("""COMPUTED_VALUE"""),16579.0)</f>
        <v>16579</v>
      </c>
    </row>
    <row r="2411">
      <c r="A2411" s="115" t="str">
        <f>IFERROR(__xludf.DUMMYFUNCTION("""COMPUTED_VALUE"""),"SOUTH")</f>
        <v>SOUTH</v>
      </c>
      <c r="B2411" s="115" t="str">
        <f>IFERROR(__xludf.DUMMYFUNCTION("""COMPUTED_VALUE"""),"Vineeth V")</f>
        <v>Vineeth V</v>
      </c>
      <c r="C2411" s="115" t="str">
        <f>IFERROR(__xludf.DUMMYFUNCTION("""COMPUTED_VALUE"""),"EXTERNAL")</f>
        <v>EXTERNAL</v>
      </c>
      <c r="D2411" s="115">
        <f>IFERROR(__xludf.DUMMYFUNCTION("""COMPUTED_VALUE"""),2166.0)</f>
        <v>2166</v>
      </c>
      <c r="E2411" s="115">
        <f>IFERROR(__xludf.DUMMYFUNCTION("""COMPUTED_VALUE"""),75.0)</f>
        <v>75</v>
      </c>
      <c r="F2411" s="115">
        <f>IFERROR(__xludf.DUMMYFUNCTION("""COMPUTED_VALUE"""),631.0)</f>
        <v>631</v>
      </c>
      <c r="G2411" s="115">
        <f>IFERROR(__xludf.DUMMYFUNCTION("""COMPUTED_VALUE"""),13.0)</f>
        <v>13</v>
      </c>
      <c r="H2411" s="116">
        <f>IFERROR(__xludf.DUMMYFUNCTION("""COMPUTED_VALUE"""),45905.0)</f>
        <v>45905</v>
      </c>
      <c r="I2411" s="115" t="str">
        <f>IFERROR(__xludf.DUMMYFUNCTION("""COMPUTED_VALUE"""),"13")</f>
        <v>13</v>
      </c>
      <c r="J2411" s="115" t="str">
        <f>IFERROR(__xludf.DUMMYFUNCTION("""COMPUTED_VALUE"""),"Vineeth V2025-09-0513")</f>
        <v>Vineeth V2025-09-0513</v>
      </c>
      <c r="K2411" s="115">
        <f>IFERROR(__xludf.DUMMYFUNCTION("""COMPUTED_VALUE"""),2241.0)</f>
        <v>2241</v>
      </c>
    </row>
    <row r="2412">
      <c r="A2412" s="115" t="str">
        <f>IFERROR(__xludf.DUMMYFUNCTION("""COMPUTED_VALUE"""),"SOUTH")</f>
        <v>SOUTH</v>
      </c>
      <c r="B2412" s="115" t="str">
        <f>IFERROR(__xludf.DUMMYFUNCTION("""COMPUTED_VALUE"""),"Vineeth V")</f>
        <v>Vineeth V</v>
      </c>
      <c r="C2412" s="115" t="str">
        <f>IFERROR(__xludf.DUMMYFUNCTION("""COMPUTED_VALUE"""),"FLIPKART")</f>
        <v>FLIPKART</v>
      </c>
      <c r="D2412" s="115">
        <f>IFERROR(__xludf.DUMMYFUNCTION("""COMPUTED_VALUE"""),15246.0)</f>
        <v>15246</v>
      </c>
      <c r="E2412" s="115">
        <f>IFERROR(__xludf.DUMMYFUNCTION("""COMPUTED_VALUE"""),1626.0)</f>
        <v>1626</v>
      </c>
      <c r="F2412" s="115">
        <f>IFERROR(__xludf.DUMMYFUNCTION("""COMPUTED_VALUE"""),6962.0)</f>
        <v>6962</v>
      </c>
      <c r="G2412" s="115">
        <f>IFERROR(__xludf.DUMMYFUNCTION("""COMPUTED_VALUE"""),261.0)</f>
        <v>261</v>
      </c>
      <c r="H2412" s="116">
        <f>IFERROR(__xludf.DUMMYFUNCTION("""COMPUTED_VALUE"""),45905.0)</f>
        <v>45905</v>
      </c>
      <c r="I2412" s="115" t="str">
        <f>IFERROR(__xludf.DUMMYFUNCTION("""COMPUTED_VALUE"""),"13")</f>
        <v>13</v>
      </c>
      <c r="J2412" s="115" t="str">
        <f>IFERROR(__xludf.DUMMYFUNCTION("""COMPUTED_VALUE"""),"Vineeth V2025-09-0513")</f>
        <v>Vineeth V2025-09-0513</v>
      </c>
      <c r="K2412" s="115">
        <f>IFERROR(__xludf.DUMMYFUNCTION("""COMPUTED_VALUE"""),16872.0)</f>
        <v>16872</v>
      </c>
    </row>
    <row r="2413">
      <c r="A2413" s="115" t="str">
        <f>IFERROR(__xludf.DUMMYFUNCTION("""COMPUTED_VALUE"""),"SOUTH")</f>
        <v>SOUTH</v>
      </c>
      <c r="B2413" s="115" t="str">
        <f>IFERROR(__xludf.DUMMYFUNCTION("""COMPUTED_VALUE"""),"Vineeth V")</f>
        <v>Vineeth V</v>
      </c>
      <c r="C2413" s="115" t="str">
        <f>IFERROR(__xludf.DUMMYFUNCTION("""COMPUTED_VALUE"""),"MYNTRA")</f>
        <v>MYNTRA</v>
      </c>
      <c r="D2413" s="115">
        <f>IFERROR(__xludf.DUMMYFUNCTION("""COMPUTED_VALUE"""),2766.0)</f>
        <v>2766</v>
      </c>
      <c r="E2413" s="115">
        <f>IFERROR(__xludf.DUMMYFUNCTION("""COMPUTED_VALUE"""),402.0)</f>
        <v>402</v>
      </c>
      <c r="F2413" s="115">
        <f>IFERROR(__xludf.DUMMYFUNCTION("""COMPUTED_VALUE"""),1455.0)</f>
        <v>1455</v>
      </c>
      <c r="G2413" s="115">
        <f>IFERROR(__xludf.DUMMYFUNCTION("""COMPUTED_VALUE"""),86.0)</f>
        <v>86</v>
      </c>
      <c r="H2413" s="116">
        <f>IFERROR(__xludf.DUMMYFUNCTION("""COMPUTED_VALUE"""),45905.0)</f>
        <v>45905</v>
      </c>
      <c r="I2413" s="115" t="str">
        <f>IFERROR(__xludf.DUMMYFUNCTION("""COMPUTED_VALUE"""),"13")</f>
        <v>13</v>
      </c>
      <c r="J2413" s="115" t="str">
        <f>IFERROR(__xludf.DUMMYFUNCTION("""COMPUTED_VALUE"""),"Vineeth V2025-09-0513")</f>
        <v>Vineeth V2025-09-0513</v>
      </c>
      <c r="K2413" s="115">
        <f>IFERROR(__xludf.DUMMYFUNCTION("""COMPUTED_VALUE"""),3168.0)</f>
        <v>3168</v>
      </c>
    </row>
    <row r="2414">
      <c r="A2414" s="115" t="str">
        <f>IFERROR(__xludf.DUMMYFUNCTION("""COMPUTED_VALUE"""),"South")</f>
        <v>South</v>
      </c>
      <c r="B2414" s="115"/>
      <c r="C2414" s="115" t="str">
        <f>IFERROR(__xludf.DUMMYFUNCTION("""COMPUTED_VALUE"""),"EXTERNAL")</f>
        <v>EXTERNAL</v>
      </c>
      <c r="D2414" s="115">
        <f>IFERROR(__xludf.DUMMYFUNCTION("""COMPUTED_VALUE"""),15.0)</f>
        <v>15</v>
      </c>
      <c r="E2414" s="115">
        <f>IFERROR(__xludf.DUMMYFUNCTION("""COMPUTED_VALUE"""),0.0)</f>
        <v>0</v>
      </c>
      <c r="F2414" s="115">
        <f>IFERROR(__xludf.DUMMYFUNCTION("""COMPUTED_VALUE"""),0.0)</f>
        <v>0</v>
      </c>
      <c r="G2414" s="115">
        <f>IFERROR(__xludf.DUMMYFUNCTION("""COMPUTED_VALUE"""),0.0)</f>
        <v>0</v>
      </c>
      <c r="H2414" s="116">
        <f>IFERROR(__xludf.DUMMYFUNCTION("""COMPUTED_VALUE"""),45905.0)</f>
        <v>45905</v>
      </c>
      <c r="I2414" s="115" t="str">
        <f>IFERROR(__xludf.DUMMYFUNCTION("""COMPUTED_VALUE"""),"13")</f>
        <v>13</v>
      </c>
      <c r="J2414" s="115" t="str">
        <f>IFERROR(__xludf.DUMMYFUNCTION("""COMPUTED_VALUE"""),"2025-09-0513")</f>
        <v>2025-09-0513</v>
      </c>
      <c r="K2414" s="115">
        <f>IFERROR(__xludf.DUMMYFUNCTION("""COMPUTED_VALUE"""),15.0)</f>
        <v>15</v>
      </c>
    </row>
    <row r="2415">
      <c r="A2415" s="115" t="str">
        <f>IFERROR(__xludf.DUMMYFUNCTION("""COMPUTED_VALUE"""),"South")</f>
        <v>South</v>
      </c>
      <c r="B2415" s="115"/>
      <c r="C2415" s="115" t="str">
        <f>IFERROR(__xludf.DUMMYFUNCTION("""COMPUTED_VALUE"""),"FLIPKART")</f>
        <v>FLIPKART</v>
      </c>
      <c r="D2415" s="115">
        <f>IFERROR(__xludf.DUMMYFUNCTION("""COMPUTED_VALUE"""),112.0)</f>
        <v>112</v>
      </c>
      <c r="E2415" s="115">
        <f>IFERROR(__xludf.DUMMYFUNCTION("""COMPUTED_VALUE"""),0.0)</f>
        <v>0</v>
      </c>
      <c r="F2415" s="115">
        <f>IFERROR(__xludf.DUMMYFUNCTION("""COMPUTED_VALUE"""),0.0)</f>
        <v>0</v>
      </c>
      <c r="G2415" s="115">
        <f>IFERROR(__xludf.DUMMYFUNCTION("""COMPUTED_VALUE"""),0.0)</f>
        <v>0</v>
      </c>
      <c r="H2415" s="116">
        <f>IFERROR(__xludf.DUMMYFUNCTION("""COMPUTED_VALUE"""),45905.0)</f>
        <v>45905</v>
      </c>
      <c r="I2415" s="115" t="str">
        <f>IFERROR(__xludf.DUMMYFUNCTION("""COMPUTED_VALUE"""),"13")</f>
        <v>13</v>
      </c>
      <c r="J2415" s="115" t="str">
        <f>IFERROR(__xludf.DUMMYFUNCTION("""COMPUTED_VALUE"""),"2025-09-0513")</f>
        <v>2025-09-0513</v>
      </c>
      <c r="K2415" s="115">
        <f>IFERROR(__xludf.DUMMYFUNCTION("""COMPUTED_VALUE"""),112.0)</f>
        <v>112</v>
      </c>
    </row>
    <row r="2416">
      <c r="A2416" s="115" t="str">
        <f>IFERROR(__xludf.DUMMYFUNCTION("""COMPUTED_VALUE"""),"South")</f>
        <v>South</v>
      </c>
      <c r="B2416" s="115"/>
      <c r="C2416" s="115" t="str">
        <f>IFERROR(__xludf.DUMMYFUNCTION("""COMPUTED_VALUE"""),"MYNTRA")</f>
        <v>MYNTRA</v>
      </c>
      <c r="D2416" s="115">
        <f>IFERROR(__xludf.DUMMYFUNCTION("""COMPUTED_VALUE"""),1.0)</f>
        <v>1</v>
      </c>
      <c r="E2416" s="115">
        <f>IFERROR(__xludf.DUMMYFUNCTION("""COMPUTED_VALUE"""),0.0)</f>
        <v>0</v>
      </c>
      <c r="F2416" s="115">
        <f>IFERROR(__xludf.DUMMYFUNCTION("""COMPUTED_VALUE"""),0.0)</f>
        <v>0</v>
      </c>
      <c r="G2416" s="115">
        <f>IFERROR(__xludf.DUMMYFUNCTION("""COMPUTED_VALUE"""),0.0)</f>
        <v>0</v>
      </c>
      <c r="H2416" s="116">
        <f>IFERROR(__xludf.DUMMYFUNCTION("""COMPUTED_VALUE"""),45905.0)</f>
        <v>45905</v>
      </c>
      <c r="I2416" s="115" t="str">
        <f>IFERROR(__xludf.DUMMYFUNCTION("""COMPUTED_VALUE"""),"13")</f>
        <v>13</v>
      </c>
      <c r="J2416" s="115" t="str">
        <f>IFERROR(__xludf.DUMMYFUNCTION("""COMPUTED_VALUE"""),"2025-09-0513")</f>
        <v>2025-09-0513</v>
      </c>
      <c r="K2416" s="115">
        <f>IFERROR(__xludf.DUMMYFUNCTION("""COMPUTED_VALUE"""),1.0)</f>
        <v>1</v>
      </c>
    </row>
    <row r="2417">
      <c r="A2417" s="115" t="str">
        <f>IFERROR(__xludf.DUMMYFUNCTION("""COMPUTED_VALUE"""),"WEST")</f>
        <v>WEST</v>
      </c>
      <c r="B2417" s="115" t="str">
        <f>IFERROR(__xludf.DUMMYFUNCTION("""COMPUTED_VALUE"""),"Ashish Jakar")</f>
        <v>Ashish Jakar</v>
      </c>
      <c r="C2417" s="115" t="str">
        <f>IFERROR(__xludf.DUMMYFUNCTION("""COMPUTED_VALUE"""),"EXTERNAL")</f>
        <v>EXTERNAL</v>
      </c>
      <c r="D2417" s="115">
        <f>IFERROR(__xludf.DUMMYFUNCTION("""COMPUTED_VALUE"""),49485.0)</f>
        <v>49485</v>
      </c>
      <c r="E2417" s="115">
        <f>IFERROR(__xludf.DUMMYFUNCTION("""COMPUTED_VALUE"""),5710.0)</f>
        <v>5710</v>
      </c>
      <c r="F2417" s="115">
        <f>IFERROR(__xludf.DUMMYFUNCTION("""COMPUTED_VALUE"""),9585.0)</f>
        <v>9585</v>
      </c>
      <c r="G2417" s="115">
        <f>IFERROR(__xludf.DUMMYFUNCTION("""COMPUTED_VALUE"""),786.0)</f>
        <v>786</v>
      </c>
      <c r="H2417" s="116">
        <f>IFERROR(__xludf.DUMMYFUNCTION("""COMPUTED_VALUE"""),45905.0)</f>
        <v>45905</v>
      </c>
      <c r="I2417" s="115" t="str">
        <f>IFERROR(__xludf.DUMMYFUNCTION("""COMPUTED_VALUE"""),"13")</f>
        <v>13</v>
      </c>
      <c r="J2417" s="115" t="str">
        <f>IFERROR(__xludf.DUMMYFUNCTION("""COMPUTED_VALUE"""),"Ashish Jakar2025-09-0513")</f>
        <v>Ashish Jakar2025-09-0513</v>
      </c>
      <c r="K2417" s="115">
        <f>IFERROR(__xludf.DUMMYFUNCTION("""COMPUTED_VALUE"""),55195.0)</f>
        <v>55195</v>
      </c>
    </row>
    <row r="2418">
      <c r="A2418" s="115" t="str">
        <f>IFERROR(__xludf.DUMMYFUNCTION("""COMPUTED_VALUE"""),"WEST")</f>
        <v>WEST</v>
      </c>
      <c r="B2418" s="115" t="str">
        <f>IFERROR(__xludf.DUMMYFUNCTION("""COMPUTED_VALUE"""),"Ashish Jakar")</f>
        <v>Ashish Jakar</v>
      </c>
      <c r="C2418" s="115" t="str">
        <f>IFERROR(__xludf.DUMMYFUNCTION("""COMPUTED_VALUE"""),"FLIPKART")</f>
        <v>FLIPKART</v>
      </c>
      <c r="D2418" s="115">
        <f>IFERROR(__xludf.DUMMYFUNCTION("""COMPUTED_VALUE"""),268169.0)</f>
        <v>268169</v>
      </c>
      <c r="E2418" s="115">
        <f>IFERROR(__xludf.DUMMYFUNCTION("""COMPUTED_VALUE"""),29020.0)</f>
        <v>29020</v>
      </c>
      <c r="F2418" s="115">
        <f>IFERROR(__xludf.DUMMYFUNCTION("""COMPUTED_VALUE"""),96574.0)</f>
        <v>96574</v>
      </c>
      <c r="G2418" s="115">
        <f>IFERROR(__xludf.DUMMYFUNCTION("""COMPUTED_VALUE"""),4462.0)</f>
        <v>4462</v>
      </c>
      <c r="H2418" s="116">
        <f>IFERROR(__xludf.DUMMYFUNCTION("""COMPUTED_VALUE"""),45905.0)</f>
        <v>45905</v>
      </c>
      <c r="I2418" s="115" t="str">
        <f>IFERROR(__xludf.DUMMYFUNCTION("""COMPUTED_VALUE"""),"13")</f>
        <v>13</v>
      </c>
      <c r="J2418" s="115" t="str">
        <f>IFERROR(__xludf.DUMMYFUNCTION("""COMPUTED_VALUE"""),"Ashish Jakar2025-09-0513")</f>
        <v>Ashish Jakar2025-09-0513</v>
      </c>
      <c r="K2418" s="115">
        <f>IFERROR(__xludf.DUMMYFUNCTION("""COMPUTED_VALUE"""),297189.0)</f>
        <v>297189</v>
      </c>
    </row>
    <row r="2419">
      <c r="A2419" s="115" t="str">
        <f>IFERROR(__xludf.DUMMYFUNCTION("""COMPUTED_VALUE"""),"WEST")</f>
        <v>WEST</v>
      </c>
      <c r="B2419" s="115" t="str">
        <f>IFERROR(__xludf.DUMMYFUNCTION("""COMPUTED_VALUE"""),"Ashish Jakar")</f>
        <v>Ashish Jakar</v>
      </c>
      <c r="C2419" s="115" t="str">
        <f>IFERROR(__xludf.DUMMYFUNCTION("""COMPUTED_VALUE"""),"MYNTRA")</f>
        <v>MYNTRA</v>
      </c>
      <c r="D2419" s="115">
        <f>IFERROR(__xludf.DUMMYFUNCTION("""COMPUTED_VALUE"""),34606.0)</f>
        <v>34606</v>
      </c>
      <c r="E2419" s="115">
        <f>IFERROR(__xludf.DUMMYFUNCTION("""COMPUTED_VALUE"""),9768.0)</f>
        <v>9768</v>
      </c>
      <c r="F2419" s="115">
        <f>IFERROR(__xludf.DUMMYFUNCTION("""COMPUTED_VALUE"""),15421.0)</f>
        <v>15421</v>
      </c>
      <c r="G2419" s="115">
        <f>IFERROR(__xludf.DUMMYFUNCTION("""COMPUTED_VALUE"""),1765.0)</f>
        <v>1765</v>
      </c>
      <c r="H2419" s="116">
        <f>IFERROR(__xludf.DUMMYFUNCTION("""COMPUTED_VALUE"""),45905.0)</f>
        <v>45905</v>
      </c>
      <c r="I2419" s="115" t="str">
        <f>IFERROR(__xludf.DUMMYFUNCTION("""COMPUTED_VALUE"""),"13")</f>
        <v>13</v>
      </c>
      <c r="J2419" s="115" t="str">
        <f>IFERROR(__xludf.DUMMYFUNCTION("""COMPUTED_VALUE"""),"Ashish Jakar2025-09-0513")</f>
        <v>Ashish Jakar2025-09-0513</v>
      </c>
      <c r="K2419" s="115">
        <f>IFERROR(__xludf.DUMMYFUNCTION("""COMPUTED_VALUE"""),44374.0)</f>
        <v>44374</v>
      </c>
    </row>
    <row r="2420">
      <c r="A2420" s="115" t="str">
        <f>IFERROR(__xludf.DUMMYFUNCTION("""COMPUTED_VALUE"""),"WEST")</f>
        <v>WEST</v>
      </c>
      <c r="B2420" s="115" t="str">
        <f>IFERROR(__xludf.DUMMYFUNCTION("""COMPUTED_VALUE"""),"Ashvani Bhatt")</f>
        <v>Ashvani Bhatt</v>
      </c>
      <c r="C2420" s="115" t="str">
        <f>IFERROR(__xludf.DUMMYFUNCTION("""COMPUTED_VALUE"""),"EXTERNAL")</f>
        <v>EXTERNAL</v>
      </c>
      <c r="D2420" s="115">
        <f>IFERROR(__xludf.DUMMYFUNCTION("""COMPUTED_VALUE"""),32632.0)</f>
        <v>32632</v>
      </c>
      <c r="E2420" s="115">
        <f>IFERROR(__xludf.DUMMYFUNCTION("""COMPUTED_VALUE"""),2662.0)</f>
        <v>2662</v>
      </c>
      <c r="F2420" s="115">
        <f>IFERROR(__xludf.DUMMYFUNCTION("""COMPUTED_VALUE"""),7188.0)</f>
        <v>7188</v>
      </c>
      <c r="G2420" s="115">
        <f>IFERROR(__xludf.DUMMYFUNCTION("""COMPUTED_VALUE"""),191.0)</f>
        <v>191</v>
      </c>
      <c r="H2420" s="116">
        <f>IFERROR(__xludf.DUMMYFUNCTION("""COMPUTED_VALUE"""),45905.0)</f>
        <v>45905</v>
      </c>
      <c r="I2420" s="115" t="str">
        <f>IFERROR(__xludf.DUMMYFUNCTION("""COMPUTED_VALUE"""),"13")</f>
        <v>13</v>
      </c>
      <c r="J2420" s="115" t="str">
        <f>IFERROR(__xludf.DUMMYFUNCTION("""COMPUTED_VALUE"""),"Ashvani Bhatt2025-09-0513")</f>
        <v>Ashvani Bhatt2025-09-0513</v>
      </c>
      <c r="K2420" s="115">
        <f>IFERROR(__xludf.DUMMYFUNCTION("""COMPUTED_VALUE"""),35294.0)</f>
        <v>35294</v>
      </c>
    </row>
    <row r="2421">
      <c r="A2421" s="115" t="str">
        <f>IFERROR(__xludf.DUMMYFUNCTION("""COMPUTED_VALUE"""),"WEST")</f>
        <v>WEST</v>
      </c>
      <c r="B2421" s="115" t="str">
        <f>IFERROR(__xludf.DUMMYFUNCTION("""COMPUTED_VALUE"""),"Ashvani Bhatt")</f>
        <v>Ashvani Bhatt</v>
      </c>
      <c r="C2421" s="115" t="str">
        <f>IFERROR(__xludf.DUMMYFUNCTION("""COMPUTED_VALUE"""),"FLIPKART")</f>
        <v>FLIPKART</v>
      </c>
      <c r="D2421" s="115">
        <f>IFERROR(__xludf.DUMMYFUNCTION("""COMPUTED_VALUE"""),233309.0)</f>
        <v>233309</v>
      </c>
      <c r="E2421" s="115">
        <f>IFERROR(__xludf.DUMMYFUNCTION("""COMPUTED_VALUE"""),24403.0)</f>
        <v>24403</v>
      </c>
      <c r="F2421" s="115">
        <f>IFERROR(__xludf.DUMMYFUNCTION("""COMPUTED_VALUE"""),91541.0)</f>
        <v>91541</v>
      </c>
      <c r="G2421" s="115">
        <f>IFERROR(__xludf.DUMMYFUNCTION("""COMPUTED_VALUE"""),2700.0)</f>
        <v>2700</v>
      </c>
      <c r="H2421" s="116">
        <f>IFERROR(__xludf.DUMMYFUNCTION("""COMPUTED_VALUE"""),45905.0)</f>
        <v>45905</v>
      </c>
      <c r="I2421" s="115" t="str">
        <f>IFERROR(__xludf.DUMMYFUNCTION("""COMPUTED_VALUE"""),"13")</f>
        <v>13</v>
      </c>
      <c r="J2421" s="115" t="str">
        <f>IFERROR(__xludf.DUMMYFUNCTION("""COMPUTED_VALUE"""),"Ashvani Bhatt2025-09-0513")</f>
        <v>Ashvani Bhatt2025-09-0513</v>
      </c>
      <c r="K2421" s="115">
        <f>IFERROR(__xludf.DUMMYFUNCTION("""COMPUTED_VALUE"""),257712.0)</f>
        <v>257712</v>
      </c>
    </row>
    <row r="2422">
      <c r="A2422" s="115" t="str">
        <f>IFERROR(__xludf.DUMMYFUNCTION("""COMPUTED_VALUE"""),"WEST")</f>
        <v>WEST</v>
      </c>
      <c r="B2422" s="115" t="str">
        <f>IFERROR(__xludf.DUMMYFUNCTION("""COMPUTED_VALUE"""),"Ashvani Bhatt")</f>
        <v>Ashvani Bhatt</v>
      </c>
      <c r="C2422" s="115" t="str">
        <f>IFERROR(__xludf.DUMMYFUNCTION("""COMPUTED_VALUE"""),"MYNTRA")</f>
        <v>MYNTRA</v>
      </c>
      <c r="D2422" s="115">
        <f>IFERROR(__xludf.DUMMYFUNCTION("""COMPUTED_VALUE"""),30070.0)</f>
        <v>30070</v>
      </c>
      <c r="E2422" s="115">
        <f>IFERROR(__xludf.DUMMYFUNCTION("""COMPUTED_VALUE"""),7624.0)</f>
        <v>7624</v>
      </c>
      <c r="F2422" s="115">
        <f>IFERROR(__xludf.DUMMYFUNCTION("""COMPUTED_VALUE"""),14565.0)</f>
        <v>14565</v>
      </c>
      <c r="G2422" s="115">
        <f>IFERROR(__xludf.DUMMYFUNCTION("""COMPUTED_VALUE"""),1066.0)</f>
        <v>1066</v>
      </c>
      <c r="H2422" s="116">
        <f>IFERROR(__xludf.DUMMYFUNCTION("""COMPUTED_VALUE"""),45905.0)</f>
        <v>45905</v>
      </c>
      <c r="I2422" s="115" t="str">
        <f>IFERROR(__xludf.DUMMYFUNCTION("""COMPUTED_VALUE"""),"13")</f>
        <v>13</v>
      </c>
      <c r="J2422" s="115" t="str">
        <f>IFERROR(__xludf.DUMMYFUNCTION("""COMPUTED_VALUE"""),"Ashvani Bhatt2025-09-0513")</f>
        <v>Ashvani Bhatt2025-09-0513</v>
      </c>
      <c r="K2422" s="115">
        <f>IFERROR(__xludf.DUMMYFUNCTION("""COMPUTED_VALUE"""),37694.0)</f>
        <v>37694</v>
      </c>
    </row>
    <row r="2423">
      <c r="A2423" s="115" t="str">
        <f>IFERROR(__xludf.DUMMYFUNCTION("""COMPUTED_VALUE"""),"West")</f>
        <v>West</v>
      </c>
      <c r="B2423" s="115"/>
      <c r="C2423" s="115" t="str">
        <f>IFERROR(__xludf.DUMMYFUNCTION("""COMPUTED_VALUE"""),"EXTERNAL")</f>
        <v>EXTERNAL</v>
      </c>
      <c r="D2423" s="115">
        <f>IFERROR(__xludf.DUMMYFUNCTION("""COMPUTED_VALUE"""),48.0)</f>
        <v>48</v>
      </c>
      <c r="E2423" s="115">
        <f>IFERROR(__xludf.DUMMYFUNCTION("""COMPUTED_VALUE"""),12.0)</f>
        <v>12</v>
      </c>
      <c r="F2423" s="115">
        <f>IFERROR(__xludf.DUMMYFUNCTION("""COMPUTED_VALUE"""),4.0)</f>
        <v>4</v>
      </c>
      <c r="G2423" s="115">
        <f>IFERROR(__xludf.DUMMYFUNCTION("""COMPUTED_VALUE"""),3.0)</f>
        <v>3</v>
      </c>
      <c r="H2423" s="116">
        <f>IFERROR(__xludf.DUMMYFUNCTION("""COMPUTED_VALUE"""),45905.0)</f>
        <v>45905</v>
      </c>
      <c r="I2423" s="115" t="str">
        <f>IFERROR(__xludf.DUMMYFUNCTION("""COMPUTED_VALUE"""),"13")</f>
        <v>13</v>
      </c>
      <c r="J2423" s="115" t="str">
        <f>IFERROR(__xludf.DUMMYFUNCTION("""COMPUTED_VALUE"""),"2025-09-0513")</f>
        <v>2025-09-0513</v>
      </c>
      <c r="K2423" s="115">
        <f>IFERROR(__xludf.DUMMYFUNCTION("""COMPUTED_VALUE"""),60.0)</f>
        <v>60</v>
      </c>
    </row>
    <row r="2424">
      <c r="A2424" s="115" t="str">
        <f>IFERROR(__xludf.DUMMYFUNCTION("""COMPUTED_VALUE"""),"West")</f>
        <v>West</v>
      </c>
      <c r="B2424" s="115"/>
      <c r="C2424" s="115" t="str">
        <f>IFERROR(__xludf.DUMMYFUNCTION("""COMPUTED_VALUE"""),"FLIPKART")</f>
        <v>FLIPKART</v>
      </c>
      <c r="D2424" s="115">
        <f>IFERROR(__xludf.DUMMYFUNCTION("""COMPUTED_VALUE"""),341.0)</f>
        <v>341</v>
      </c>
      <c r="E2424" s="115">
        <f>IFERROR(__xludf.DUMMYFUNCTION("""COMPUTED_VALUE"""),43.0)</f>
        <v>43</v>
      </c>
      <c r="F2424" s="115">
        <f>IFERROR(__xludf.DUMMYFUNCTION("""COMPUTED_VALUE"""),64.0)</f>
        <v>64</v>
      </c>
      <c r="G2424" s="115">
        <f>IFERROR(__xludf.DUMMYFUNCTION("""COMPUTED_VALUE"""),8.0)</f>
        <v>8</v>
      </c>
      <c r="H2424" s="116">
        <f>IFERROR(__xludf.DUMMYFUNCTION("""COMPUTED_VALUE"""),45905.0)</f>
        <v>45905</v>
      </c>
      <c r="I2424" s="115" t="str">
        <f>IFERROR(__xludf.DUMMYFUNCTION("""COMPUTED_VALUE"""),"13")</f>
        <v>13</v>
      </c>
      <c r="J2424" s="115" t="str">
        <f>IFERROR(__xludf.DUMMYFUNCTION("""COMPUTED_VALUE"""),"2025-09-0513")</f>
        <v>2025-09-0513</v>
      </c>
      <c r="K2424" s="115">
        <f>IFERROR(__xludf.DUMMYFUNCTION("""COMPUTED_VALUE"""),384.0)</f>
        <v>384</v>
      </c>
    </row>
    <row r="2425">
      <c r="A2425" s="115" t="str">
        <f>IFERROR(__xludf.DUMMYFUNCTION("""COMPUTED_VALUE"""),"West")</f>
        <v>West</v>
      </c>
      <c r="B2425" s="115"/>
      <c r="C2425" s="115" t="str">
        <f>IFERROR(__xludf.DUMMYFUNCTION("""COMPUTED_VALUE"""),"MYNTRA")</f>
        <v>MYNTRA</v>
      </c>
      <c r="D2425" s="115">
        <f>IFERROR(__xludf.DUMMYFUNCTION("""COMPUTED_VALUE"""),89.0)</f>
        <v>89</v>
      </c>
      <c r="E2425" s="115">
        <f>IFERROR(__xludf.DUMMYFUNCTION("""COMPUTED_VALUE"""),10.0)</f>
        <v>10</v>
      </c>
      <c r="F2425" s="115">
        <f>IFERROR(__xludf.DUMMYFUNCTION("""COMPUTED_VALUE"""),10.0)</f>
        <v>10</v>
      </c>
      <c r="G2425" s="115">
        <f>IFERROR(__xludf.DUMMYFUNCTION("""COMPUTED_VALUE"""),3.0)</f>
        <v>3</v>
      </c>
      <c r="H2425" s="116">
        <f>IFERROR(__xludf.DUMMYFUNCTION("""COMPUTED_VALUE"""),45905.0)</f>
        <v>45905</v>
      </c>
      <c r="I2425" s="115" t="str">
        <f>IFERROR(__xludf.DUMMYFUNCTION("""COMPUTED_VALUE"""),"13")</f>
        <v>13</v>
      </c>
      <c r="J2425" s="115" t="str">
        <f>IFERROR(__xludf.DUMMYFUNCTION("""COMPUTED_VALUE"""),"2025-09-0513")</f>
        <v>2025-09-0513</v>
      </c>
      <c r="K2425" s="115">
        <f>IFERROR(__xludf.DUMMYFUNCTION("""COMPUTED_VALUE"""),99.0)</f>
        <v>99</v>
      </c>
    </row>
    <row r="2426">
      <c r="A2426" s="115"/>
      <c r="B2426" s="115"/>
      <c r="C2426" s="115" t="str">
        <f>IFERROR(__xludf.DUMMYFUNCTION("""COMPUTED_VALUE"""),"EXTERNAL")</f>
        <v>EXTERNAL</v>
      </c>
      <c r="D2426" s="115">
        <f>IFERROR(__xludf.DUMMYFUNCTION("""COMPUTED_VALUE"""),1158.0)</f>
        <v>1158</v>
      </c>
      <c r="E2426" s="115">
        <f>IFERROR(__xludf.DUMMYFUNCTION("""COMPUTED_VALUE"""),122.0)</f>
        <v>122</v>
      </c>
      <c r="F2426" s="115">
        <f>IFERROR(__xludf.DUMMYFUNCTION("""COMPUTED_VALUE"""),208.0)</f>
        <v>208</v>
      </c>
      <c r="G2426" s="115">
        <f>IFERROR(__xludf.DUMMYFUNCTION("""COMPUTED_VALUE"""),12.0)</f>
        <v>12</v>
      </c>
      <c r="H2426" s="116">
        <f>IFERROR(__xludf.DUMMYFUNCTION("""COMPUTED_VALUE"""),45905.0)</f>
        <v>45905</v>
      </c>
      <c r="I2426" s="115" t="str">
        <f>IFERROR(__xludf.DUMMYFUNCTION("""COMPUTED_VALUE"""),"13")</f>
        <v>13</v>
      </c>
      <c r="J2426" s="115" t="str">
        <f>IFERROR(__xludf.DUMMYFUNCTION("""COMPUTED_VALUE"""),"2025-09-0513")</f>
        <v>2025-09-0513</v>
      </c>
      <c r="K2426" s="115">
        <f>IFERROR(__xludf.DUMMYFUNCTION("""COMPUTED_VALUE"""),1280.0)</f>
        <v>1280</v>
      </c>
    </row>
    <row r="2427">
      <c r="A2427" s="115"/>
      <c r="B2427" s="115"/>
      <c r="C2427" s="115" t="str">
        <f>IFERROR(__xludf.DUMMYFUNCTION("""COMPUTED_VALUE"""),"FLIPKART")</f>
        <v>FLIPKART</v>
      </c>
      <c r="D2427" s="115">
        <f>IFERROR(__xludf.DUMMYFUNCTION("""COMPUTED_VALUE"""),8860.0)</f>
        <v>8860</v>
      </c>
      <c r="E2427" s="115">
        <f>IFERROR(__xludf.DUMMYFUNCTION("""COMPUTED_VALUE"""),932.0)</f>
        <v>932</v>
      </c>
      <c r="F2427" s="115">
        <f>IFERROR(__xludf.DUMMYFUNCTION("""COMPUTED_VALUE"""),2449.0)</f>
        <v>2449</v>
      </c>
      <c r="G2427" s="115">
        <f>IFERROR(__xludf.DUMMYFUNCTION("""COMPUTED_VALUE"""),173.0)</f>
        <v>173</v>
      </c>
      <c r="H2427" s="116">
        <f>IFERROR(__xludf.DUMMYFUNCTION("""COMPUTED_VALUE"""),45905.0)</f>
        <v>45905</v>
      </c>
      <c r="I2427" s="115" t="str">
        <f>IFERROR(__xludf.DUMMYFUNCTION("""COMPUTED_VALUE"""),"13")</f>
        <v>13</v>
      </c>
      <c r="J2427" s="115" t="str">
        <f>IFERROR(__xludf.DUMMYFUNCTION("""COMPUTED_VALUE"""),"2025-09-0513")</f>
        <v>2025-09-0513</v>
      </c>
      <c r="K2427" s="115">
        <f>IFERROR(__xludf.DUMMYFUNCTION("""COMPUTED_VALUE"""),9792.0)</f>
        <v>9792</v>
      </c>
    </row>
    <row r="2428">
      <c r="A2428" s="115"/>
      <c r="B2428" s="115"/>
      <c r="C2428" s="115" t="str">
        <f>IFERROR(__xludf.DUMMYFUNCTION("""COMPUTED_VALUE"""),"MYNTRA")</f>
        <v>MYNTRA</v>
      </c>
      <c r="D2428" s="115">
        <f>IFERROR(__xludf.DUMMYFUNCTION("""COMPUTED_VALUE"""),1337.0)</f>
        <v>1337</v>
      </c>
      <c r="E2428" s="115">
        <f>IFERROR(__xludf.DUMMYFUNCTION("""COMPUTED_VALUE"""),267.0)</f>
        <v>267</v>
      </c>
      <c r="F2428" s="115">
        <f>IFERROR(__xludf.DUMMYFUNCTION("""COMPUTED_VALUE"""),433.0)</f>
        <v>433</v>
      </c>
      <c r="G2428" s="115">
        <f>IFERROR(__xludf.DUMMYFUNCTION("""COMPUTED_VALUE"""),50.0)</f>
        <v>50</v>
      </c>
      <c r="H2428" s="116">
        <f>IFERROR(__xludf.DUMMYFUNCTION("""COMPUTED_VALUE"""),45905.0)</f>
        <v>45905</v>
      </c>
      <c r="I2428" s="115" t="str">
        <f>IFERROR(__xludf.DUMMYFUNCTION("""COMPUTED_VALUE"""),"13")</f>
        <v>13</v>
      </c>
      <c r="J2428" s="115" t="str">
        <f>IFERROR(__xludf.DUMMYFUNCTION("""COMPUTED_VALUE"""),"2025-09-0513")</f>
        <v>2025-09-0513</v>
      </c>
      <c r="K2428" s="115">
        <f>IFERROR(__xludf.DUMMYFUNCTION("""COMPUTED_VALUE"""),1604.0)</f>
        <v>1604</v>
      </c>
    </row>
    <row r="2429">
      <c r="A2429" s="115" t="str">
        <f>IFERROR(__xludf.DUMMYFUNCTION("""COMPUTED_VALUE"""),"EAST")</f>
        <v>EAST</v>
      </c>
      <c r="B2429" s="115" t="str">
        <f>IFERROR(__xludf.DUMMYFUNCTION("""COMPUTED_VALUE"""),"Ashish Ranjan")</f>
        <v>Ashish Ranjan</v>
      </c>
      <c r="C2429" s="115" t="str">
        <f>IFERROR(__xludf.DUMMYFUNCTION("""COMPUTED_VALUE"""),"EXTERNAL")</f>
        <v>EXTERNAL</v>
      </c>
      <c r="D2429" s="115">
        <f>IFERROR(__xludf.DUMMYFUNCTION("""COMPUTED_VALUE"""),35019.0)</f>
        <v>35019</v>
      </c>
      <c r="E2429" s="115">
        <f>IFERROR(__xludf.DUMMYFUNCTION("""COMPUTED_VALUE"""),2891.0)</f>
        <v>2891</v>
      </c>
      <c r="F2429" s="115">
        <f>IFERROR(__xludf.DUMMYFUNCTION("""COMPUTED_VALUE"""),13620.0)</f>
        <v>13620</v>
      </c>
      <c r="G2429" s="115">
        <f>IFERROR(__xludf.DUMMYFUNCTION("""COMPUTED_VALUE"""),572.0)</f>
        <v>572</v>
      </c>
      <c r="H2429" s="116">
        <f>IFERROR(__xludf.DUMMYFUNCTION("""COMPUTED_VALUE"""),45905.0)</f>
        <v>45905</v>
      </c>
      <c r="I2429" s="115" t="str">
        <f>IFERROR(__xludf.DUMMYFUNCTION("""COMPUTED_VALUE"""),"14")</f>
        <v>14</v>
      </c>
      <c r="J2429" s="115" t="str">
        <f>IFERROR(__xludf.DUMMYFUNCTION("""COMPUTED_VALUE"""),"Ashish Ranjan2025-09-0514")</f>
        <v>Ashish Ranjan2025-09-0514</v>
      </c>
      <c r="K2429" s="115">
        <f>IFERROR(__xludf.DUMMYFUNCTION("""COMPUTED_VALUE"""),37910.0)</f>
        <v>37910</v>
      </c>
    </row>
    <row r="2430">
      <c r="A2430" s="115" t="str">
        <f>IFERROR(__xludf.DUMMYFUNCTION("""COMPUTED_VALUE"""),"EAST")</f>
        <v>EAST</v>
      </c>
      <c r="B2430" s="115" t="str">
        <f>IFERROR(__xludf.DUMMYFUNCTION("""COMPUTED_VALUE"""),"Ashish Ranjan")</f>
        <v>Ashish Ranjan</v>
      </c>
      <c r="C2430" s="115" t="str">
        <f>IFERROR(__xludf.DUMMYFUNCTION("""COMPUTED_VALUE"""),"FLIPKART")</f>
        <v>FLIPKART</v>
      </c>
      <c r="D2430" s="115">
        <f>IFERROR(__xludf.DUMMYFUNCTION("""COMPUTED_VALUE"""),548508.0)</f>
        <v>548508</v>
      </c>
      <c r="E2430" s="115">
        <f>IFERROR(__xludf.DUMMYFUNCTION("""COMPUTED_VALUE"""),52134.0)</f>
        <v>52134</v>
      </c>
      <c r="F2430" s="115">
        <f>IFERROR(__xludf.DUMMYFUNCTION("""COMPUTED_VALUE"""),337103.0)</f>
        <v>337103</v>
      </c>
      <c r="G2430" s="115">
        <f>IFERROR(__xludf.DUMMYFUNCTION("""COMPUTED_VALUE"""),14410.0)</f>
        <v>14410</v>
      </c>
      <c r="H2430" s="116">
        <f>IFERROR(__xludf.DUMMYFUNCTION("""COMPUTED_VALUE"""),45905.0)</f>
        <v>45905</v>
      </c>
      <c r="I2430" s="115" t="str">
        <f>IFERROR(__xludf.DUMMYFUNCTION("""COMPUTED_VALUE"""),"14")</f>
        <v>14</v>
      </c>
      <c r="J2430" s="115" t="str">
        <f>IFERROR(__xludf.DUMMYFUNCTION("""COMPUTED_VALUE"""),"Ashish Ranjan2025-09-0514")</f>
        <v>Ashish Ranjan2025-09-0514</v>
      </c>
      <c r="K2430" s="115">
        <f>IFERROR(__xludf.DUMMYFUNCTION("""COMPUTED_VALUE"""),600642.0)</f>
        <v>600642</v>
      </c>
    </row>
    <row r="2431">
      <c r="A2431" s="115" t="str">
        <f>IFERROR(__xludf.DUMMYFUNCTION("""COMPUTED_VALUE"""),"EAST")</f>
        <v>EAST</v>
      </c>
      <c r="B2431" s="115" t="str">
        <f>IFERROR(__xludf.DUMMYFUNCTION("""COMPUTED_VALUE"""),"Ashish Ranjan")</f>
        <v>Ashish Ranjan</v>
      </c>
      <c r="C2431" s="115" t="str">
        <f>IFERROR(__xludf.DUMMYFUNCTION("""COMPUTED_VALUE"""),"MYNTRA")</f>
        <v>MYNTRA</v>
      </c>
      <c r="D2431" s="115">
        <f>IFERROR(__xludf.DUMMYFUNCTION("""COMPUTED_VALUE"""),62162.0)</f>
        <v>62162</v>
      </c>
      <c r="E2431" s="115">
        <f>IFERROR(__xludf.DUMMYFUNCTION("""COMPUTED_VALUE"""),11254.0)</f>
        <v>11254</v>
      </c>
      <c r="F2431" s="115">
        <f>IFERROR(__xludf.DUMMYFUNCTION("""COMPUTED_VALUE"""),40405.0)</f>
        <v>40405</v>
      </c>
      <c r="G2431" s="115">
        <f>IFERROR(__xludf.DUMMYFUNCTION("""COMPUTED_VALUE"""),3120.0)</f>
        <v>3120</v>
      </c>
      <c r="H2431" s="116">
        <f>IFERROR(__xludf.DUMMYFUNCTION("""COMPUTED_VALUE"""),45905.0)</f>
        <v>45905</v>
      </c>
      <c r="I2431" s="115" t="str">
        <f>IFERROR(__xludf.DUMMYFUNCTION("""COMPUTED_VALUE"""),"14")</f>
        <v>14</v>
      </c>
      <c r="J2431" s="115" t="str">
        <f>IFERROR(__xludf.DUMMYFUNCTION("""COMPUTED_VALUE"""),"Ashish Ranjan2025-09-0514")</f>
        <v>Ashish Ranjan2025-09-0514</v>
      </c>
      <c r="K2431" s="115">
        <f>IFERROR(__xludf.DUMMYFUNCTION("""COMPUTED_VALUE"""),73416.0)</f>
        <v>73416</v>
      </c>
    </row>
    <row r="2432">
      <c r="A2432" s="115" t="str">
        <f>IFERROR(__xludf.DUMMYFUNCTION("""COMPUTED_VALUE"""),"EAST")</f>
        <v>EAST</v>
      </c>
      <c r="B2432" s="115" t="str">
        <f>IFERROR(__xludf.DUMMYFUNCTION("""COMPUTED_VALUE"""),"Girish Chand")</f>
        <v>Girish Chand</v>
      </c>
      <c r="C2432" s="115" t="str">
        <f>IFERROR(__xludf.DUMMYFUNCTION("""COMPUTED_VALUE"""),"EXTERNAL")</f>
        <v>EXTERNAL</v>
      </c>
      <c r="D2432" s="115">
        <f>IFERROR(__xludf.DUMMYFUNCTION("""COMPUTED_VALUE"""),22073.0)</f>
        <v>22073</v>
      </c>
      <c r="E2432" s="115">
        <f>IFERROR(__xludf.DUMMYFUNCTION("""COMPUTED_VALUE"""),1797.0)</f>
        <v>1797</v>
      </c>
      <c r="F2432" s="115">
        <f>IFERROR(__xludf.DUMMYFUNCTION("""COMPUTED_VALUE"""),5954.0)</f>
        <v>5954</v>
      </c>
      <c r="G2432" s="115">
        <f>IFERROR(__xludf.DUMMYFUNCTION("""COMPUTED_VALUE"""),172.0)</f>
        <v>172</v>
      </c>
      <c r="H2432" s="116">
        <f>IFERROR(__xludf.DUMMYFUNCTION("""COMPUTED_VALUE"""),45905.0)</f>
        <v>45905</v>
      </c>
      <c r="I2432" s="115" t="str">
        <f>IFERROR(__xludf.DUMMYFUNCTION("""COMPUTED_VALUE"""),"14")</f>
        <v>14</v>
      </c>
      <c r="J2432" s="115" t="str">
        <f>IFERROR(__xludf.DUMMYFUNCTION("""COMPUTED_VALUE"""),"Girish Chand2025-09-0514")</f>
        <v>Girish Chand2025-09-0514</v>
      </c>
      <c r="K2432" s="115">
        <f>IFERROR(__xludf.DUMMYFUNCTION("""COMPUTED_VALUE"""),23870.0)</f>
        <v>23870</v>
      </c>
    </row>
    <row r="2433">
      <c r="A2433" s="115" t="str">
        <f>IFERROR(__xludf.DUMMYFUNCTION("""COMPUTED_VALUE"""),"EAST")</f>
        <v>EAST</v>
      </c>
      <c r="B2433" s="115" t="str">
        <f>IFERROR(__xludf.DUMMYFUNCTION("""COMPUTED_VALUE"""),"Girish Chand")</f>
        <v>Girish Chand</v>
      </c>
      <c r="C2433" s="115" t="str">
        <f>IFERROR(__xludf.DUMMYFUNCTION("""COMPUTED_VALUE"""),"FLIPKART")</f>
        <v>FLIPKART</v>
      </c>
      <c r="D2433" s="115">
        <f>IFERROR(__xludf.DUMMYFUNCTION("""COMPUTED_VALUE"""),388490.0)</f>
        <v>388490</v>
      </c>
      <c r="E2433" s="115">
        <f>IFERROR(__xludf.DUMMYFUNCTION("""COMPUTED_VALUE"""),36931.0)</f>
        <v>36931</v>
      </c>
      <c r="F2433" s="115">
        <f>IFERROR(__xludf.DUMMYFUNCTION("""COMPUTED_VALUE"""),187032.0)</f>
        <v>187032</v>
      </c>
      <c r="G2433" s="115">
        <f>IFERROR(__xludf.DUMMYFUNCTION("""COMPUTED_VALUE"""),5730.0)</f>
        <v>5730</v>
      </c>
      <c r="H2433" s="116">
        <f>IFERROR(__xludf.DUMMYFUNCTION("""COMPUTED_VALUE"""),45905.0)</f>
        <v>45905</v>
      </c>
      <c r="I2433" s="115" t="str">
        <f>IFERROR(__xludf.DUMMYFUNCTION("""COMPUTED_VALUE"""),"14")</f>
        <v>14</v>
      </c>
      <c r="J2433" s="115" t="str">
        <f>IFERROR(__xludf.DUMMYFUNCTION("""COMPUTED_VALUE"""),"Girish Chand2025-09-0514")</f>
        <v>Girish Chand2025-09-0514</v>
      </c>
      <c r="K2433" s="115">
        <f>IFERROR(__xludf.DUMMYFUNCTION("""COMPUTED_VALUE"""),425421.0)</f>
        <v>425421</v>
      </c>
    </row>
    <row r="2434">
      <c r="A2434" s="115" t="str">
        <f>IFERROR(__xludf.DUMMYFUNCTION("""COMPUTED_VALUE"""),"EAST")</f>
        <v>EAST</v>
      </c>
      <c r="B2434" s="115" t="str">
        <f>IFERROR(__xludf.DUMMYFUNCTION("""COMPUTED_VALUE"""),"Girish Chand")</f>
        <v>Girish Chand</v>
      </c>
      <c r="C2434" s="115" t="str">
        <f>IFERROR(__xludf.DUMMYFUNCTION("""COMPUTED_VALUE"""),"MYNTRA")</f>
        <v>MYNTRA</v>
      </c>
      <c r="D2434" s="115">
        <f>IFERROR(__xludf.DUMMYFUNCTION("""COMPUTED_VALUE"""),34059.0)</f>
        <v>34059</v>
      </c>
      <c r="E2434" s="115">
        <f>IFERROR(__xludf.DUMMYFUNCTION("""COMPUTED_VALUE"""),6435.0)</f>
        <v>6435</v>
      </c>
      <c r="F2434" s="115">
        <f>IFERROR(__xludf.DUMMYFUNCTION("""COMPUTED_VALUE"""),17978.0)</f>
        <v>17978</v>
      </c>
      <c r="G2434" s="115">
        <f>IFERROR(__xludf.DUMMYFUNCTION("""COMPUTED_VALUE"""),1160.0)</f>
        <v>1160</v>
      </c>
      <c r="H2434" s="116">
        <f>IFERROR(__xludf.DUMMYFUNCTION("""COMPUTED_VALUE"""),45905.0)</f>
        <v>45905</v>
      </c>
      <c r="I2434" s="115" t="str">
        <f>IFERROR(__xludf.DUMMYFUNCTION("""COMPUTED_VALUE"""),"14")</f>
        <v>14</v>
      </c>
      <c r="J2434" s="115" t="str">
        <f>IFERROR(__xludf.DUMMYFUNCTION("""COMPUTED_VALUE"""),"Girish Chand2025-09-0514")</f>
        <v>Girish Chand2025-09-0514</v>
      </c>
      <c r="K2434" s="115">
        <f>IFERROR(__xludf.DUMMYFUNCTION("""COMPUTED_VALUE"""),40494.0)</f>
        <v>40494</v>
      </c>
    </row>
    <row r="2435">
      <c r="A2435" s="115" t="str">
        <f>IFERROR(__xludf.DUMMYFUNCTION("""COMPUTED_VALUE"""),"EAST")</f>
        <v>EAST</v>
      </c>
      <c r="B2435" s="115" t="str">
        <f>IFERROR(__xludf.DUMMYFUNCTION("""COMPUTED_VALUE"""),"Parag Kashyap")</f>
        <v>Parag Kashyap</v>
      </c>
      <c r="C2435" s="115" t="str">
        <f>IFERROR(__xludf.DUMMYFUNCTION("""COMPUTED_VALUE"""),"EXTERNAL")</f>
        <v>EXTERNAL</v>
      </c>
      <c r="D2435" s="115">
        <f>IFERROR(__xludf.DUMMYFUNCTION("""COMPUTED_VALUE"""),18429.0)</f>
        <v>18429</v>
      </c>
      <c r="E2435" s="115">
        <f>IFERROR(__xludf.DUMMYFUNCTION("""COMPUTED_VALUE"""),929.0)</f>
        <v>929</v>
      </c>
      <c r="F2435" s="115">
        <f>IFERROR(__xludf.DUMMYFUNCTION("""COMPUTED_VALUE"""),4084.0)</f>
        <v>4084</v>
      </c>
      <c r="G2435" s="115">
        <f>IFERROR(__xludf.DUMMYFUNCTION("""COMPUTED_VALUE"""),52.0)</f>
        <v>52</v>
      </c>
      <c r="H2435" s="116">
        <f>IFERROR(__xludf.DUMMYFUNCTION("""COMPUTED_VALUE"""),45905.0)</f>
        <v>45905</v>
      </c>
      <c r="I2435" s="115" t="str">
        <f>IFERROR(__xludf.DUMMYFUNCTION("""COMPUTED_VALUE"""),"14")</f>
        <v>14</v>
      </c>
      <c r="J2435" s="115" t="str">
        <f>IFERROR(__xludf.DUMMYFUNCTION("""COMPUTED_VALUE"""),"Parag Kashyap2025-09-0514")</f>
        <v>Parag Kashyap2025-09-0514</v>
      </c>
      <c r="K2435" s="115">
        <f>IFERROR(__xludf.DUMMYFUNCTION("""COMPUTED_VALUE"""),19358.0)</f>
        <v>19358</v>
      </c>
    </row>
    <row r="2436">
      <c r="A2436" s="115" t="str">
        <f>IFERROR(__xludf.DUMMYFUNCTION("""COMPUTED_VALUE"""),"EAST")</f>
        <v>EAST</v>
      </c>
      <c r="B2436" s="115" t="str">
        <f>IFERROR(__xludf.DUMMYFUNCTION("""COMPUTED_VALUE"""),"Parag Kashyap")</f>
        <v>Parag Kashyap</v>
      </c>
      <c r="C2436" s="115" t="str">
        <f>IFERROR(__xludf.DUMMYFUNCTION("""COMPUTED_VALUE"""),"FLIPKART")</f>
        <v>FLIPKART</v>
      </c>
      <c r="D2436" s="115">
        <f>IFERROR(__xludf.DUMMYFUNCTION("""COMPUTED_VALUE"""),285548.0)</f>
        <v>285548</v>
      </c>
      <c r="E2436" s="115">
        <f>IFERROR(__xludf.DUMMYFUNCTION("""COMPUTED_VALUE"""),18305.0)</f>
        <v>18305</v>
      </c>
      <c r="F2436" s="115">
        <f>IFERROR(__xludf.DUMMYFUNCTION("""COMPUTED_VALUE"""),117303.0)</f>
        <v>117303</v>
      </c>
      <c r="G2436" s="115">
        <f>IFERROR(__xludf.DUMMYFUNCTION("""COMPUTED_VALUE"""),1892.0)</f>
        <v>1892</v>
      </c>
      <c r="H2436" s="116">
        <f>IFERROR(__xludf.DUMMYFUNCTION("""COMPUTED_VALUE"""),45905.0)</f>
        <v>45905</v>
      </c>
      <c r="I2436" s="115" t="str">
        <f>IFERROR(__xludf.DUMMYFUNCTION("""COMPUTED_VALUE"""),"14")</f>
        <v>14</v>
      </c>
      <c r="J2436" s="115" t="str">
        <f>IFERROR(__xludf.DUMMYFUNCTION("""COMPUTED_VALUE"""),"Parag Kashyap2025-09-0514")</f>
        <v>Parag Kashyap2025-09-0514</v>
      </c>
      <c r="K2436" s="115">
        <f>IFERROR(__xludf.DUMMYFUNCTION("""COMPUTED_VALUE"""),303853.0)</f>
        <v>303853</v>
      </c>
    </row>
    <row r="2437">
      <c r="A2437" s="115" t="str">
        <f>IFERROR(__xludf.DUMMYFUNCTION("""COMPUTED_VALUE"""),"EAST")</f>
        <v>EAST</v>
      </c>
      <c r="B2437" s="115" t="str">
        <f>IFERROR(__xludf.DUMMYFUNCTION("""COMPUTED_VALUE"""),"Parag Kashyap")</f>
        <v>Parag Kashyap</v>
      </c>
      <c r="C2437" s="115" t="str">
        <f>IFERROR(__xludf.DUMMYFUNCTION("""COMPUTED_VALUE"""),"MYNTRA")</f>
        <v>MYNTRA</v>
      </c>
      <c r="D2437" s="115">
        <f>IFERROR(__xludf.DUMMYFUNCTION("""COMPUTED_VALUE"""),32577.0)</f>
        <v>32577</v>
      </c>
      <c r="E2437" s="115">
        <f>IFERROR(__xludf.DUMMYFUNCTION("""COMPUTED_VALUE"""),4958.0)</f>
        <v>4958</v>
      </c>
      <c r="F2437" s="115">
        <f>IFERROR(__xludf.DUMMYFUNCTION("""COMPUTED_VALUE"""),14571.0)</f>
        <v>14571</v>
      </c>
      <c r="G2437" s="115">
        <f>IFERROR(__xludf.DUMMYFUNCTION("""COMPUTED_VALUE"""),554.0)</f>
        <v>554</v>
      </c>
      <c r="H2437" s="116">
        <f>IFERROR(__xludf.DUMMYFUNCTION("""COMPUTED_VALUE"""),45905.0)</f>
        <v>45905</v>
      </c>
      <c r="I2437" s="115" t="str">
        <f>IFERROR(__xludf.DUMMYFUNCTION("""COMPUTED_VALUE"""),"14")</f>
        <v>14</v>
      </c>
      <c r="J2437" s="115" t="str">
        <f>IFERROR(__xludf.DUMMYFUNCTION("""COMPUTED_VALUE"""),"Parag Kashyap2025-09-0514")</f>
        <v>Parag Kashyap2025-09-0514</v>
      </c>
      <c r="K2437" s="115">
        <f>IFERROR(__xludf.DUMMYFUNCTION("""COMPUTED_VALUE"""),37535.0)</f>
        <v>37535</v>
      </c>
    </row>
    <row r="2438">
      <c r="A2438" s="115" t="str">
        <f>IFERROR(__xludf.DUMMYFUNCTION("""COMPUTED_VALUE"""),"NORTH")</f>
        <v>NORTH</v>
      </c>
      <c r="B2438" s="115" t="str">
        <f>IFERROR(__xludf.DUMMYFUNCTION("""COMPUTED_VALUE"""),"Amit Kumar Pathak")</f>
        <v>Amit Kumar Pathak</v>
      </c>
      <c r="C2438" s="115" t="str">
        <f>IFERROR(__xludf.DUMMYFUNCTION("""COMPUTED_VALUE"""),"EXTERNAL")</f>
        <v>EXTERNAL</v>
      </c>
      <c r="D2438" s="115">
        <f>IFERROR(__xludf.DUMMYFUNCTION("""COMPUTED_VALUE"""),22500.0)</f>
        <v>22500</v>
      </c>
      <c r="E2438" s="115">
        <f>IFERROR(__xludf.DUMMYFUNCTION("""COMPUTED_VALUE"""),2939.0)</f>
        <v>2939</v>
      </c>
      <c r="F2438" s="115">
        <f>IFERROR(__xludf.DUMMYFUNCTION("""COMPUTED_VALUE"""),5242.0)</f>
        <v>5242</v>
      </c>
      <c r="G2438" s="115">
        <f>IFERROR(__xludf.DUMMYFUNCTION("""COMPUTED_VALUE"""),771.0)</f>
        <v>771</v>
      </c>
      <c r="H2438" s="116">
        <f>IFERROR(__xludf.DUMMYFUNCTION("""COMPUTED_VALUE"""),45905.0)</f>
        <v>45905</v>
      </c>
      <c r="I2438" s="115" t="str">
        <f>IFERROR(__xludf.DUMMYFUNCTION("""COMPUTED_VALUE"""),"14")</f>
        <v>14</v>
      </c>
      <c r="J2438" s="115" t="str">
        <f>IFERROR(__xludf.DUMMYFUNCTION("""COMPUTED_VALUE"""),"Amit Kumar Pathak2025-09-0514")</f>
        <v>Amit Kumar Pathak2025-09-0514</v>
      </c>
      <c r="K2438" s="115">
        <f>IFERROR(__xludf.DUMMYFUNCTION("""COMPUTED_VALUE"""),25439.0)</f>
        <v>25439</v>
      </c>
    </row>
    <row r="2439">
      <c r="A2439" s="115" t="str">
        <f>IFERROR(__xludf.DUMMYFUNCTION("""COMPUTED_VALUE"""),"NORTH")</f>
        <v>NORTH</v>
      </c>
      <c r="B2439" s="115" t="str">
        <f>IFERROR(__xludf.DUMMYFUNCTION("""COMPUTED_VALUE"""),"Amit Kumar Pathak")</f>
        <v>Amit Kumar Pathak</v>
      </c>
      <c r="C2439" s="115" t="str">
        <f>IFERROR(__xludf.DUMMYFUNCTION("""COMPUTED_VALUE"""),"FLIPKART")</f>
        <v>FLIPKART</v>
      </c>
      <c r="D2439" s="115">
        <f>IFERROR(__xludf.DUMMYFUNCTION("""COMPUTED_VALUE"""),153318.0)</f>
        <v>153318</v>
      </c>
      <c r="E2439" s="115">
        <f>IFERROR(__xludf.DUMMYFUNCTION("""COMPUTED_VALUE"""),24220.0)</f>
        <v>24220</v>
      </c>
      <c r="F2439" s="115">
        <f>IFERROR(__xludf.DUMMYFUNCTION("""COMPUTED_VALUE"""),67172.0)</f>
        <v>67172</v>
      </c>
      <c r="G2439" s="115">
        <f>IFERROR(__xludf.DUMMYFUNCTION("""COMPUTED_VALUE"""),7170.0)</f>
        <v>7170</v>
      </c>
      <c r="H2439" s="116">
        <f>IFERROR(__xludf.DUMMYFUNCTION("""COMPUTED_VALUE"""),45905.0)</f>
        <v>45905</v>
      </c>
      <c r="I2439" s="115" t="str">
        <f>IFERROR(__xludf.DUMMYFUNCTION("""COMPUTED_VALUE"""),"14")</f>
        <v>14</v>
      </c>
      <c r="J2439" s="115" t="str">
        <f>IFERROR(__xludf.DUMMYFUNCTION("""COMPUTED_VALUE"""),"Amit Kumar Pathak2025-09-0514")</f>
        <v>Amit Kumar Pathak2025-09-0514</v>
      </c>
      <c r="K2439" s="115">
        <f>IFERROR(__xludf.DUMMYFUNCTION("""COMPUTED_VALUE"""),177538.0)</f>
        <v>177538</v>
      </c>
    </row>
    <row r="2440">
      <c r="A2440" s="115" t="str">
        <f>IFERROR(__xludf.DUMMYFUNCTION("""COMPUTED_VALUE"""),"NORTH")</f>
        <v>NORTH</v>
      </c>
      <c r="B2440" s="115" t="str">
        <f>IFERROR(__xludf.DUMMYFUNCTION("""COMPUTED_VALUE"""),"Amit Kumar Pathak")</f>
        <v>Amit Kumar Pathak</v>
      </c>
      <c r="C2440" s="115" t="str">
        <f>IFERROR(__xludf.DUMMYFUNCTION("""COMPUTED_VALUE"""),"MYNTRA")</f>
        <v>MYNTRA</v>
      </c>
      <c r="D2440" s="115">
        <f>IFERROR(__xludf.DUMMYFUNCTION("""COMPUTED_VALUE"""),14582.0)</f>
        <v>14582</v>
      </c>
      <c r="E2440" s="115">
        <f>IFERROR(__xludf.DUMMYFUNCTION("""COMPUTED_VALUE"""),5944.0)</f>
        <v>5944</v>
      </c>
      <c r="F2440" s="115">
        <f>IFERROR(__xludf.DUMMYFUNCTION("""COMPUTED_VALUE"""),7985.0)</f>
        <v>7985</v>
      </c>
      <c r="G2440" s="115">
        <f>IFERROR(__xludf.DUMMYFUNCTION("""COMPUTED_VALUE"""),1949.0)</f>
        <v>1949</v>
      </c>
      <c r="H2440" s="116">
        <f>IFERROR(__xludf.DUMMYFUNCTION("""COMPUTED_VALUE"""),45905.0)</f>
        <v>45905</v>
      </c>
      <c r="I2440" s="115" t="str">
        <f>IFERROR(__xludf.DUMMYFUNCTION("""COMPUTED_VALUE"""),"14")</f>
        <v>14</v>
      </c>
      <c r="J2440" s="115" t="str">
        <f>IFERROR(__xludf.DUMMYFUNCTION("""COMPUTED_VALUE"""),"Amit Kumar Pathak2025-09-0514")</f>
        <v>Amit Kumar Pathak2025-09-0514</v>
      </c>
      <c r="K2440" s="115">
        <f>IFERROR(__xludf.DUMMYFUNCTION("""COMPUTED_VALUE"""),20526.0)</f>
        <v>20526</v>
      </c>
    </row>
    <row r="2441">
      <c r="A2441" s="115" t="str">
        <f>IFERROR(__xludf.DUMMYFUNCTION("""COMPUTED_VALUE"""),"NORTH")</f>
        <v>NORTH</v>
      </c>
      <c r="B2441" s="115" t="str">
        <f>IFERROR(__xludf.DUMMYFUNCTION("""COMPUTED_VALUE"""),"Loveleen Singh")</f>
        <v>Loveleen Singh</v>
      </c>
      <c r="C2441" s="115" t="str">
        <f>IFERROR(__xludf.DUMMYFUNCTION("""COMPUTED_VALUE"""),"EXTERNAL")</f>
        <v>EXTERNAL</v>
      </c>
      <c r="D2441" s="115">
        <f>IFERROR(__xludf.DUMMYFUNCTION("""COMPUTED_VALUE"""),35601.0)</f>
        <v>35601</v>
      </c>
      <c r="E2441" s="115">
        <f>IFERROR(__xludf.DUMMYFUNCTION("""COMPUTED_VALUE"""),2144.0)</f>
        <v>2144</v>
      </c>
      <c r="F2441" s="115">
        <f>IFERROR(__xludf.DUMMYFUNCTION("""COMPUTED_VALUE"""),8192.0)</f>
        <v>8192</v>
      </c>
      <c r="G2441" s="115">
        <f>IFERROR(__xludf.DUMMYFUNCTION("""COMPUTED_VALUE"""),255.0)</f>
        <v>255</v>
      </c>
      <c r="H2441" s="116">
        <f>IFERROR(__xludf.DUMMYFUNCTION("""COMPUTED_VALUE"""),45905.0)</f>
        <v>45905</v>
      </c>
      <c r="I2441" s="115" t="str">
        <f>IFERROR(__xludf.DUMMYFUNCTION("""COMPUTED_VALUE"""),"14")</f>
        <v>14</v>
      </c>
      <c r="J2441" s="115" t="str">
        <f>IFERROR(__xludf.DUMMYFUNCTION("""COMPUTED_VALUE"""),"Loveleen Singh2025-09-0514")</f>
        <v>Loveleen Singh2025-09-0514</v>
      </c>
      <c r="K2441" s="115">
        <f>IFERROR(__xludf.DUMMYFUNCTION("""COMPUTED_VALUE"""),37745.0)</f>
        <v>37745</v>
      </c>
    </row>
    <row r="2442">
      <c r="A2442" s="115" t="str">
        <f>IFERROR(__xludf.DUMMYFUNCTION("""COMPUTED_VALUE"""),"NORTH")</f>
        <v>NORTH</v>
      </c>
      <c r="B2442" s="115" t="str">
        <f>IFERROR(__xludf.DUMMYFUNCTION("""COMPUTED_VALUE"""),"Loveleen Singh")</f>
        <v>Loveleen Singh</v>
      </c>
      <c r="C2442" s="115" t="str">
        <f>IFERROR(__xludf.DUMMYFUNCTION("""COMPUTED_VALUE"""),"FLIPKART")</f>
        <v>FLIPKART</v>
      </c>
      <c r="D2442" s="115">
        <f>IFERROR(__xludf.DUMMYFUNCTION("""COMPUTED_VALUE"""),166714.0)</f>
        <v>166714</v>
      </c>
      <c r="E2442" s="115">
        <f>IFERROR(__xludf.DUMMYFUNCTION("""COMPUTED_VALUE"""),15330.0)</f>
        <v>15330</v>
      </c>
      <c r="F2442" s="115">
        <f>IFERROR(__xludf.DUMMYFUNCTION("""COMPUTED_VALUE"""),72944.0)</f>
        <v>72944</v>
      </c>
      <c r="G2442" s="115">
        <f>IFERROR(__xludf.DUMMYFUNCTION("""COMPUTED_VALUE"""),2746.0)</f>
        <v>2746</v>
      </c>
      <c r="H2442" s="116">
        <f>IFERROR(__xludf.DUMMYFUNCTION("""COMPUTED_VALUE"""),45905.0)</f>
        <v>45905</v>
      </c>
      <c r="I2442" s="115" t="str">
        <f>IFERROR(__xludf.DUMMYFUNCTION("""COMPUTED_VALUE"""),"14")</f>
        <v>14</v>
      </c>
      <c r="J2442" s="115" t="str">
        <f>IFERROR(__xludf.DUMMYFUNCTION("""COMPUTED_VALUE"""),"Loveleen Singh2025-09-0514")</f>
        <v>Loveleen Singh2025-09-0514</v>
      </c>
      <c r="K2442" s="115">
        <f>IFERROR(__xludf.DUMMYFUNCTION("""COMPUTED_VALUE"""),182044.0)</f>
        <v>182044</v>
      </c>
    </row>
    <row r="2443">
      <c r="A2443" s="115" t="str">
        <f>IFERROR(__xludf.DUMMYFUNCTION("""COMPUTED_VALUE"""),"NORTH")</f>
        <v>NORTH</v>
      </c>
      <c r="B2443" s="115" t="str">
        <f>IFERROR(__xludf.DUMMYFUNCTION("""COMPUTED_VALUE"""),"Loveleen Singh")</f>
        <v>Loveleen Singh</v>
      </c>
      <c r="C2443" s="115" t="str">
        <f>IFERROR(__xludf.DUMMYFUNCTION("""COMPUTED_VALUE"""),"MYNTRA")</f>
        <v>MYNTRA</v>
      </c>
      <c r="D2443" s="115">
        <f>IFERROR(__xludf.DUMMYFUNCTION("""COMPUTED_VALUE"""),26579.0)</f>
        <v>26579</v>
      </c>
      <c r="E2443" s="115">
        <f>IFERROR(__xludf.DUMMYFUNCTION("""COMPUTED_VALUE"""),5913.0)</f>
        <v>5913</v>
      </c>
      <c r="F2443" s="115">
        <f>IFERROR(__xludf.DUMMYFUNCTION("""COMPUTED_VALUE"""),13691.0)</f>
        <v>13691</v>
      </c>
      <c r="G2443" s="115">
        <f>IFERROR(__xludf.DUMMYFUNCTION("""COMPUTED_VALUE"""),1138.0)</f>
        <v>1138</v>
      </c>
      <c r="H2443" s="116">
        <f>IFERROR(__xludf.DUMMYFUNCTION("""COMPUTED_VALUE"""),45905.0)</f>
        <v>45905</v>
      </c>
      <c r="I2443" s="115" t="str">
        <f>IFERROR(__xludf.DUMMYFUNCTION("""COMPUTED_VALUE"""),"14")</f>
        <v>14</v>
      </c>
      <c r="J2443" s="115" t="str">
        <f>IFERROR(__xludf.DUMMYFUNCTION("""COMPUTED_VALUE"""),"Loveleen Singh2025-09-0514")</f>
        <v>Loveleen Singh2025-09-0514</v>
      </c>
      <c r="K2443" s="115">
        <f>IFERROR(__xludf.DUMMYFUNCTION("""COMPUTED_VALUE"""),32492.0)</f>
        <v>32492</v>
      </c>
    </row>
    <row r="2444">
      <c r="A2444" s="115" t="str">
        <f>IFERROR(__xludf.DUMMYFUNCTION("""COMPUTED_VALUE"""),"NORTH")</f>
        <v>NORTH</v>
      </c>
      <c r="B2444" s="115" t="str">
        <f>IFERROR(__xludf.DUMMYFUNCTION("""COMPUTED_VALUE"""),"Manoj Harsh")</f>
        <v>Manoj Harsh</v>
      </c>
      <c r="C2444" s="115" t="str">
        <f>IFERROR(__xludf.DUMMYFUNCTION("""COMPUTED_VALUE"""),"EXTERNAL")</f>
        <v>EXTERNAL</v>
      </c>
      <c r="D2444" s="115">
        <f>IFERROR(__xludf.DUMMYFUNCTION("""COMPUTED_VALUE"""),32897.0)</f>
        <v>32897</v>
      </c>
      <c r="E2444" s="115">
        <f>IFERROR(__xludf.DUMMYFUNCTION("""COMPUTED_VALUE"""),2560.0)</f>
        <v>2560</v>
      </c>
      <c r="F2444" s="115">
        <f>IFERROR(__xludf.DUMMYFUNCTION("""COMPUTED_VALUE"""),7865.0)</f>
        <v>7865</v>
      </c>
      <c r="G2444" s="115">
        <f>IFERROR(__xludf.DUMMYFUNCTION("""COMPUTED_VALUE"""),213.0)</f>
        <v>213</v>
      </c>
      <c r="H2444" s="116">
        <f>IFERROR(__xludf.DUMMYFUNCTION("""COMPUTED_VALUE"""),45905.0)</f>
        <v>45905</v>
      </c>
      <c r="I2444" s="115" t="str">
        <f>IFERROR(__xludf.DUMMYFUNCTION("""COMPUTED_VALUE"""),"14")</f>
        <v>14</v>
      </c>
      <c r="J2444" s="115" t="str">
        <f>IFERROR(__xludf.DUMMYFUNCTION("""COMPUTED_VALUE"""),"Manoj Harsh2025-09-0514")</f>
        <v>Manoj Harsh2025-09-0514</v>
      </c>
      <c r="K2444" s="115">
        <f>IFERROR(__xludf.DUMMYFUNCTION("""COMPUTED_VALUE"""),35457.0)</f>
        <v>35457</v>
      </c>
    </row>
    <row r="2445">
      <c r="A2445" s="115" t="str">
        <f>IFERROR(__xludf.DUMMYFUNCTION("""COMPUTED_VALUE"""),"NORTH")</f>
        <v>NORTH</v>
      </c>
      <c r="B2445" s="115" t="str">
        <f>IFERROR(__xludf.DUMMYFUNCTION("""COMPUTED_VALUE"""),"Manoj Harsh")</f>
        <v>Manoj Harsh</v>
      </c>
      <c r="C2445" s="115" t="str">
        <f>IFERROR(__xludf.DUMMYFUNCTION("""COMPUTED_VALUE"""),"FLIPKART")</f>
        <v>FLIPKART</v>
      </c>
      <c r="D2445" s="115">
        <f>IFERROR(__xludf.DUMMYFUNCTION("""COMPUTED_VALUE"""),400537.0)</f>
        <v>400537</v>
      </c>
      <c r="E2445" s="115">
        <f>IFERROR(__xludf.DUMMYFUNCTION("""COMPUTED_VALUE"""),38630.0)</f>
        <v>38630</v>
      </c>
      <c r="F2445" s="115">
        <f>IFERROR(__xludf.DUMMYFUNCTION("""COMPUTED_VALUE"""),171827.0)</f>
        <v>171827</v>
      </c>
      <c r="G2445" s="115">
        <f>IFERROR(__xludf.DUMMYFUNCTION("""COMPUTED_VALUE"""),5767.0)</f>
        <v>5767</v>
      </c>
      <c r="H2445" s="116">
        <f>IFERROR(__xludf.DUMMYFUNCTION("""COMPUTED_VALUE"""),45905.0)</f>
        <v>45905</v>
      </c>
      <c r="I2445" s="115" t="str">
        <f>IFERROR(__xludf.DUMMYFUNCTION("""COMPUTED_VALUE"""),"14")</f>
        <v>14</v>
      </c>
      <c r="J2445" s="115" t="str">
        <f>IFERROR(__xludf.DUMMYFUNCTION("""COMPUTED_VALUE"""),"Manoj Harsh2025-09-0514")</f>
        <v>Manoj Harsh2025-09-0514</v>
      </c>
      <c r="K2445" s="115">
        <f>IFERROR(__xludf.DUMMYFUNCTION("""COMPUTED_VALUE"""),439167.0)</f>
        <v>439167</v>
      </c>
    </row>
    <row r="2446">
      <c r="A2446" s="115" t="str">
        <f>IFERROR(__xludf.DUMMYFUNCTION("""COMPUTED_VALUE"""),"NORTH")</f>
        <v>NORTH</v>
      </c>
      <c r="B2446" s="115" t="str">
        <f>IFERROR(__xludf.DUMMYFUNCTION("""COMPUTED_VALUE"""),"Manoj Harsh")</f>
        <v>Manoj Harsh</v>
      </c>
      <c r="C2446" s="115" t="str">
        <f>IFERROR(__xludf.DUMMYFUNCTION("""COMPUTED_VALUE"""),"MYNTRA")</f>
        <v>MYNTRA</v>
      </c>
      <c r="D2446" s="115">
        <f>IFERROR(__xludf.DUMMYFUNCTION("""COMPUTED_VALUE"""),37439.0)</f>
        <v>37439</v>
      </c>
      <c r="E2446" s="115">
        <f>IFERROR(__xludf.DUMMYFUNCTION("""COMPUTED_VALUE"""),7427.0)</f>
        <v>7427</v>
      </c>
      <c r="F2446" s="115">
        <f>IFERROR(__xludf.DUMMYFUNCTION("""COMPUTED_VALUE"""),18639.0)</f>
        <v>18639</v>
      </c>
      <c r="G2446" s="115">
        <f>IFERROR(__xludf.DUMMYFUNCTION("""COMPUTED_VALUE"""),1221.0)</f>
        <v>1221</v>
      </c>
      <c r="H2446" s="116">
        <f>IFERROR(__xludf.DUMMYFUNCTION("""COMPUTED_VALUE"""),45905.0)</f>
        <v>45905</v>
      </c>
      <c r="I2446" s="115" t="str">
        <f>IFERROR(__xludf.DUMMYFUNCTION("""COMPUTED_VALUE"""),"14")</f>
        <v>14</v>
      </c>
      <c r="J2446" s="115" t="str">
        <f>IFERROR(__xludf.DUMMYFUNCTION("""COMPUTED_VALUE"""),"Manoj Harsh2025-09-0514")</f>
        <v>Manoj Harsh2025-09-0514</v>
      </c>
      <c r="K2446" s="115">
        <f>IFERROR(__xludf.DUMMYFUNCTION("""COMPUTED_VALUE"""),44866.0)</f>
        <v>44866</v>
      </c>
    </row>
    <row r="2447">
      <c r="A2447" s="115" t="str">
        <f>IFERROR(__xludf.DUMMYFUNCTION("""COMPUTED_VALUE"""),"NORTH")</f>
        <v>NORTH</v>
      </c>
      <c r="B2447" s="115" t="str">
        <f>IFERROR(__xludf.DUMMYFUNCTION("""COMPUTED_VALUE"""),"Pradeep Kothari")</f>
        <v>Pradeep Kothari</v>
      </c>
      <c r="C2447" s="115" t="str">
        <f>IFERROR(__xludf.DUMMYFUNCTION("""COMPUTED_VALUE"""),"EXTERNAL")</f>
        <v>EXTERNAL</v>
      </c>
      <c r="D2447" s="115">
        <f>IFERROR(__xludf.DUMMYFUNCTION("""COMPUTED_VALUE"""),18409.0)</f>
        <v>18409</v>
      </c>
      <c r="E2447" s="115">
        <f>IFERROR(__xludf.DUMMYFUNCTION("""COMPUTED_VALUE"""),1814.0)</f>
        <v>1814</v>
      </c>
      <c r="F2447" s="115">
        <f>IFERROR(__xludf.DUMMYFUNCTION("""COMPUTED_VALUE"""),5071.0)</f>
        <v>5071</v>
      </c>
      <c r="G2447" s="115">
        <f>IFERROR(__xludf.DUMMYFUNCTION("""COMPUTED_VALUE"""),301.0)</f>
        <v>301</v>
      </c>
      <c r="H2447" s="116">
        <f>IFERROR(__xludf.DUMMYFUNCTION("""COMPUTED_VALUE"""),45905.0)</f>
        <v>45905</v>
      </c>
      <c r="I2447" s="115" t="str">
        <f>IFERROR(__xludf.DUMMYFUNCTION("""COMPUTED_VALUE"""),"14")</f>
        <v>14</v>
      </c>
      <c r="J2447" s="115" t="str">
        <f>IFERROR(__xludf.DUMMYFUNCTION("""COMPUTED_VALUE"""),"Pradeep Kothari2025-09-0514")</f>
        <v>Pradeep Kothari2025-09-0514</v>
      </c>
      <c r="K2447" s="115">
        <f>IFERROR(__xludf.DUMMYFUNCTION("""COMPUTED_VALUE"""),20223.0)</f>
        <v>20223</v>
      </c>
    </row>
    <row r="2448">
      <c r="A2448" s="115" t="str">
        <f>IFERROR(__xludf.DUMMYFUNCTION("""COMPUTED_VALUE"""),"NORTH")</f>
        <v>NORTH</v>
      </c>
      <c r="B2448" s="115" t="str">
        <f>IFERROR(__xludf.DUMMYFUNCTION("""COMPUTED_VALUE"""),"Pradeep Kothari")</f>
        <v>Pradeep Kothari</v>
      </c>
      <c r="C2448" s="115" t="str">
        <f>IFERROR(__xludf.DUMMYFUNCTION("""COMPUTED_VALUE"""),"FLIPKART")</f>
        <v>FLIPKART</v>
      </c>
      <c r="D2448" s="115">
        <f>IFERROR(__xludf.DUMMYFUNCTION("""COMPUTED_VALUE"""),138254.0)</f>
        <v>138254</v>
      </c>
      <c r="E2448" s="115">
        <f>IFERROR(__xludf.DUMMYFUNCTION("""COMPUTED_VALUE"""),16595.0)</f>
        <v>16595</v>
      </c>
      <c r="F2448" s="115">
        <f>IFERROR(__xludf.DUMMYFUNCTION("""COMPUTED_VALUE"""),68979.0)</f>
        <v>68979</v>
      </c>
      <c r="G2448" s="115">
        <f>IFERROR(__xludf.DUMMYFUNCTION("""COMPUTED_VALUE"""),4077.0)</f>
        <v>4077</v>
      </c>
      <c r="H2448" s="116">
        <f>IFERROR(__xludf.DUMMYFUNCTION("""COMPUTED_VALUE"""),45905.0)</f>
        <v>45905</v>
      </c>
      <c r="I2448" s="115" t="str">
        <f>IFERROR(__xludf.DUMMYFUNCTION("""COMPUTED_VALUE"""),"14")</f>
        <v>14</v>
      </c>
      <c r="J2448" s="115" t="str">
        <f>IFERROR(__xludf.DUMMYFUNCTION("""COMPUTED_VALUE"""),"Pradeep Kothari2025-09-0514")</f>
        <v>Pradeep Kothari2025-09-0514</v>
      </c>
      <c r="K2448" s="115">
        <f>IFERROR(__xludf.DUMMYFUNCTION("""COMPUTED_VALUE"""),154849.0)</f>
        <v>154849</v>
      </c>
    </row>
    <row r="2449">
      <c r="A2449" s="115" t="str">
        <f>IFERROR(__xludf.DUMMYFUNCTION("""COMPUTED_VALUE"""),"NORTH")</f>
        <v>NORTH</v>
      </c>
      <c r="B2449" s="115" t="str">
        <f>IFERROR(__xludf.DUMMYFUNCTION("""COMPUTED_VALUE"""),"Pradeep Kothari")</f>
        <v>Pradeep Kothari</v>
      </c>
      <c r="C2449" s="115" t="str">
        <f>IFERROR(__xludf.DUMMYFUNCTION("""COMPUTED_VALUE"""),"MYNTRA")</f>
        <v>MYNTRA</v>
      </c>
      <c r="D2449" s="115">
        <f>IFERROR(__xludf.DUMMYFUNCTION("""COMPUTED_VALUE"""),24278.0)</f>
        <v>24278</v>
      </c>
      <c r="E2449" s="115">
        <f>IFERROR(__xludf.DUMMYFUNCTION("""COMPUTED_VALUE"""),6255.0)</f>
        <v>6255</v>
      </c>
      <c r="F2449" s="115">
        <f>IFERROR(__xludf.DUMMYFUNCTION("""COMPUTED_VALUE"""),14574.0)</f>
        <v>14574</v>
      </c>
      <c r="G2449" s="115">
        <f>IFERROR(__xludf.DUMMYFUNCTION("""COMPUTED_VALUE"""),1875.0)</f>
        <v>1875</v>
      </c>
      <c r="H2449" s="116">
        <f>IFERROR(__xludf.DUMMYFUNCTION("""COMPUTED_VALUE"""),45905.0)</f>
        <v>45905</v>
      </c>
      <c r="I2449" s="115" t="str">
        <f>IFERROR(__xludf.DUMMYFUNCTION("""COMPUTED_VALUE"""),"14")</f>
        <v>14</v>
      </c>
      <c r="J2449" s="115" t="str">
        <f>IFERROR(__xludf.DUMMYFUNCTION("""COMPUTED_VALUE"""),"Pradeep Kothari2025-09-0514")</f>
        <v>Pradeep Kothari2025-09-0514</v>
      </c>
      <c r="K2449" s="115">
        <f>IFERROR(__xludf.DUMMYFUNCTION("""COMPUTED_VALUE"""),30533.0)</f>
        <v>30533</v>
      </c>
    </row>
    <row r="2450">
      <c r="A2450" s="115" t="str">
        <f>IFERROR(__xludf.DUMMYFUNCTION("""COMPUTED_VALUE"""),"North")</f>
        <v>North</v>
      </c>
      <c r="B2450" s="115"/>
      <c r="C2450" s="115" t="str">
        <f>IFERROR(__xludf.DUMMYFUNCTION("""COMPUTED_VALUE"""),"EXTERNAL")</f>
        <v>EXTERNAL</v>
      </c>
      <c r="D2450" s="115">
        <f>IFERROR(__xludf.DUMMYFUNCTION("""COMPUTED_VALUE"""),9.0)</f>
        <v>9</v>
      </c>
      <c r="E2450" s="115">
        <f>IFERROR(__xludf.DUMMYFUNCTION("""COMPUTED_VALUE"""),0.0)</f>
        <v>0</v>
      </c>
      <c r="F2450" s="115">
        <f>IFERROR(__xludf.DUMMYFUNCTION("""COMPUTED_VALUE"""),1.0)</f>
        <v>1</v>
      </c>
      <c r="G2450" s="115">
        <f>IFERROR(__xludf.DUMMYFUNCTION("""COMPUTED_VALUE"""),0.0)</f>
        <v>0</v>
      </c>
      <c r="H2450" s="116">
        <f>IFERROR(__xludf.DUMMYFUNCTION("""COMPUTED_VALUE"""),45905.0)</f>
        <v>45905</v>
      </c>
      <c r="I2450" s="115" t="str">
        <f>IFERROR(__xludf.DUMMYFUNCTION("""COMPUTED_VALUE"""),"14")</f>
        <v>14</v>
      </c>
      <c r="J2450" s="115" t="str">
        <f>IFERROR(__xludf.DUMMYFUNCTION("""COMPUTED_VALUE"""),"2025-09-0514")</f>
        <v>2025-09-0514</v>
      </c>
      <c r="K2450" s="115">
        <f>IFERROR(__xludf.DUMMYFUNCTION("""COMPUTED_VALUE"""),9.0)</f>
        <v>9</v>
      </c>
    </row>
    <row r="2451">
      <c r="A2451" s="115" t="str">
        <f>IFERROR(__xludf.DUMMYFUNCTION("""COMPUTED_VALUE"""),"North")</f>
        <v>North</v>
      </c>
      <c r="B2451" s="115"/>
      <c r="C2451" s="115" t="str">
        <f>IFERROR(__xludf.DUMMYFUNCTION("""COMPUTED_VALUE"""),"FLIPKART")</f>
        <v>FLIPKART</v>
      </c>
      <c r="D2451" s="115">
        <f>IFERROR(__xludf.DUMMYFUNCTION("""COMPUTED_VALUE"""),28.0)</f>
        <v>28</v>
      </c>
      <c r="E2451" s="115">
        <f>IFERROR(__xludf.DUMMYFUNCTION("""COMPUTED_VALUE"""),0.0)</f>
        <v>0</v>
      </c>
      <c r="F2451" s="115">
        <f>IFERROR(__xludf.DUMMYFUNCTION("""COMPUTED_VALUE"""),12.0)</f>
        <v>12</v>
      </c>
      <c r="G2451" s="115">
        <f>IFERROR(__xludf.DUMMYFUNCTION("""COMPUTED_VALUE"""),0.0)</f>
        <v>0</v>
      </c>
      <c r="H2451" s="116">
        <f>IFERROR(__xludf.DUMMYFUNCTION("""COMPUTED_VALUE"""),45905.0)</f>
        <v>45905</v>
      </c>
      <c r="I2451" s="115" t="str">
        <f>IFERROR(__xludf.DUMMYFUNCTION("""COMPUTED_VALUE"""),"14")</f>
        <v>14</v>
      </c>
      <c r="J2451" s="115" t="str">
        <f>IFERROR(__xludf.DUMMYFUNCTION("""COMPUTED_VALUE"""),"2025-09-0514")</f>
        <v>2025-09-0514</v>
      </c>
      <c r="K2451" s="115">
        <f>IFERROR(__xludf.DUMMYFUNCTION("""COMPUTED_VALUE"""),28.0)</f>
        <v>28</v>
      </c>
    </row>
    <row r="2452">
      <c r="A2452" s="115" t="str">
        <f>IFERROR(__xludf.DUMMYFUNCTION("""COMPUTED_VALUE"""),"North")</f>
        <v>North</v>
      </c>
      <c r="B2452" s="115"/>
      <c r="C2452" s="115" t="str">
        <f>IFERROR(__xludf.DUMMYFUNCTION("""COMPUTED_VALUE"""),"MYNTRA")</f>
        <v>MYNTRA</v>
      </c>
      <c r="D2452" s="115">
        <f>IFERROR(__xludf.DUMMYFUNCTION("""COMPUTED_VALUE"""),3.0)</f>
        <v>3</v>
      </c>
      <c r="E2452" s="115">
        <f>IFERROR(__xludf.DUMMYFUNCTION("""COMPUTED_VALUE"""),0.0)</f>
        <v>0</v>
      </c>
      <c r="F2452" s="115">
        <f>IFERROR(__xludf.DUMMYFUNCTION("""COMPUTED_VALUE"""),1.0)</f>
        <v>1</v>
      </c>
      <c r="G2452" s="115">
        <f>IFERROR(__xludf.DUMMYFUNCTION("""COMPUTED_VALUE"""),0.0)</f>
        <v>0</v>
      </c>
      <c r="H2452" s="116">
        <f>IFERROR(__xludf.DUMMYFUNCTION("""COMPUTED_VALUE"""),45905.0)</f>
        <v>45905</v>
      </c>
      <c r="I2452" s="115" t="str">
        <f>IFERROR(__xludf.DUMMYFUNCTION("""COMPUTED_VALUE"""),"14")</f>
        <v>14</v>
      </c>
      <c r="J2452" s="115" t="str">
        <f>IFERROR(__xludf.DUMMYFUNCTION("""COMPUTED_VALUE"""),"2025-09-0514")</f>
        <v>2025-09-0514</v>
      </c>
      <c r="K2452" s="115">
        <f>IFERROR(__xludf.DUMMYFUNCTION("""COMPUTED_VALUE"""),3.0)</f>
        <v>3</v>
      </c>
    </row>
    <row r="2453">
      <c r="A2453" s="115" t="str">
        <f>IFERROR(__xludf.DUMMYFUNCTION("""COMPUTED_VALUE"""),"SOUTH")</f>
        <v>SOUTH</v>
      </c>
      <c r="B2453" s="115" t="str">
        <f>IFERROR(__xludf.DUMMYFUNCTION("""COMPUTED_VALUE"""),"Kandula Sampath")</f>
        <v>Kandula Sampath</v>
      </c>
      <c r="C2453" s="115" t="str">
        <f>IFERROR(__xludf.DUMMYFUNCTION("""COMPUTED_VALUE"""),"EXTERNAL")</f>
        <v>EXTERNAL</v>
      </c>
      <c r="D2453" s="115">
        <f>IFERROR(__xludf.DUMMYFUNCTION("""COMPUTED_VALUE"""),33825.0)</f>
        <v>33825</v>
      </c>
      <c r="E2453" s="115">
        <f>IFERROR(__xludf.DUMMYFUNCTION("""COMPUTED_VALUE"""),3480.0)</f>
        <v>3480</v>
      </c>
      <c r="F2453" s="115">
        <f>IFERROR(__xludf.DUMMYFUNCTION("""COMPUTED_VALUE"""),9801.0)</f>
        <v>9801</v>
      </c>
      <c r="G2453" s="115">
        <f>IFERROR(__xludf.DUMMYFUNCTION("""COMPUTED_VALUE"""),436.0)</f>
        <v>436</v>
      </c>
      <c r="H2453" s="116">
        <f>IFERROR(__xludf.DUMMYFUNCTION("""COMPUTED_VALUE"""),45905.0)</f>
        <v>45905</v>
      </c>
      <c r="I2453" s="115" t="str">
        <f>IFERROR(__xludf.DUMMYFUNCTION("""COMPUTED_VALUE"""),"14")</f>
        <v>14</v>
      </c>
      <c r="J2453" s="115" t="str">
        <f>IFERROR(__xludf.DUMMYFUNCTION("""COMPUTED_VALUE"""),"Kandula Sampath2025-09-0514")</f>
        <v>Kandula Sampath2025-09-0514</v>
      </c>
      <c r="K2453" s="115">
        <f>IFERROR(__xludf.DUMMYFUNCTION("""COMPUTED_VALUE"""),37305.0)</f>
        <v>37305</v>
      </c>
    </row>
    <row r="2454">
      <c r="A2454" s="115" t="str">
        <f>IFERROR(__xludf.DUMMYFUNCTION("""COMPUTED_VALUE"""),"SOUTH")</f>
        <v>SOUTH</v>
      </c>
      <c r="B2454" s="115" t="str">
        <f>IFERROR(__xludf.DUMMYFUNCTION("""COMPUTED_VALUE"""),"Kandula Sampath")</f>
        <v>Kandula Sampath</v>
      </c>
      <c r="C2454" s="115" t="str">
        <f>IFERROR(__xludf.DUMMYFUNCTION("""COMPUTED_VALUE"""),"FLIPKART")</f>
        <v>FLIPKART</v>
      </c>
      <c r="D2454" s="115">
        <f>IFERROR(__xludf.DUMMYFUNCTION("""COMPUTED_VALUE"""),283612.0)</f>
        <v>283612</v>
      </c>
      <c r="E2454" s="115">
        <f>IFERROR(__xludf.DUMMYFUNCTION("""COMPUTED_VALUE"""),27817.0)</f>
        <v>27817</v>
      </c>
      <c r="F2454" s="115">
        <f>IFERROR(__xludf.DUMMYFUNCTION("""COMPUTED_VALUE"""),144507.0)</f>
        <v>144507</v>
      </c>
      <c r="G2454" s="115">
        <f>IFERROR(__xludf.DUMMYFUNCTION("""COMPUTED_VALUE"""),5308.0)</f>
        <v>5308</v>
      </c>
      <c r="H2454" s="116">
        <f>IFERROR(__xludf.DUMMYFUNCTION("""COMPUTED_VALUE"""),45905.0)</f>
        <v>45905</v>
      </c>
      <c r="I2454" s="115" t="str">
        <f>IFERROR(__xludf.DUMMYFUNCTION("""COMPUTED_VALUE"""),"14")</f>
        <v>14</v>
      </c>
      <c r="J2454" s="115" t="str">
        <f>IFERROR(__xludf.DUMMYFUNCTION("""COMPUTED_VALUE"""),"Kandula Sampath2025-09-0514")</f>
        <v>Kandula Sampath2025-09-0514</v>
      </c>
      <c r="K2454" s="115">
        <f>IFERROR(__xludf.DUMMYFUNCTION("""COMPUTED_VALUE"""),311429.0)</f>
        <v>311429</v>
      </c>
    </row>
    <row r="2455">
      <c r="A2455" s="115" t="str">
        <f>IFERROR(__xludf.DUMMYFUNCTION("""COMPUTED_VALUE"""),"SOUTH")</f>
        <v>SOUTH</v>
      </c>
      <c r="B2455" s="115" t="str">
        <f>IFERROR(__xludf.DUMMYFUNCTION("""COMPUTED_VALUE"""),"Kandula Sampath")</f>
        <v>Kandula Sampath</v>
      </c>
      <c r="C2455" s="115" t="str">
        <f>IFERROR(__xludf.DUMMYFUNCTION("""COMPUTED_VALUE"""),"MYNTRA")</f>
        <v>MYNTRA</v>
      </c>
      <c r="D2455" s="115">
        <f>IFERROR(__xludf.DUMMYFUNCTION("""COMPUTED_VALUE"""),34544.0)</f>
        <v>34544</v>
      </c>
      <c r="E2455" s="115">
        <f>IFERROR(__xludf.DUMMYFUNCTION("""COMPUTED_VALUE"""),7076.0)</f>
        <v>7076</v>
      </c>
      <c r="F2455" s="115">
        <f>IFERROR(__xludf.DUMMYFUNCTION("""COMPUTED_VALUE"""),19961.0)</f>
        <v>19961</v>
      </c>
      <c r="G2455" s="115">
        <f>IFERROR(__xludf.DUMMYFUNCTION("""COMPUTED_VALUE"""),1479.0)</f>
        <v>1479</v>
      </c>
      <c r="H2455" s="116">
        <f>IFERROR(__xludf.DUMMYFUNCTION("""COMPUTED_VALUE"""),45905.0)</f>
        <v>45905</v>
      </c>
      <c r="I2455" s="115" t="str">
        <f>IFERROR(__xludf.DUMMYFUNCTION("""COMPUTED_VALUE"""),"14")</f>
        <v>14</v>
      </c>
      <c r="J2455" s="115" t="str">
        <f>IFERROR(__xludf.DUMMYFUNCTION("""COMPUTED_VALUE"""),"Kandula Sampath2025-09-0514")</f>
        <v>Kandula Sampath2025-09-0514</v>
      </c>
      <c r="K2455" s="115">
        <f>IFERROR(__xludf.DUMMYFUNCTION("""COMPUTED_VALUE"""),41620.0)</f>
        <v>41620</v>
      </c>
    </row>
    <row r="2456">
      <c r="A2456" s="115" t="str">
        <f>IFERROR(__xludf.DUMMYFUNCTION("""COMPUTED_VALUE"""),"SOUTH")</f>
        <v>SOUTH</v>
      </c>
      <c r="B2456" s="115" t="str">
        <f>IFERROR(__xludf.DUMMYFUNCTION("""COMPUTED_VALUE"""),"Martin A")</f>
        <v>Martin A</v>
      </c>
      <c r="C2456" s="115" t="str">
        <f>IFERROR(__xludf.DUMMYFUNCTION("""COMPUTED_VALUE"""),"EXTERNAL")</f>
        <v>EXTERNAL</v>
      </c>
      <c r="D2456" s="115">
        <f>IFERROR(__xludf.DUMMYFUNCTION("""COMPUTED_VALUE"""),31782.0)</f>
        <v>31782</v>
      </c>
      <c r="E2456" s="115">
        <f>IFERROR(__xludf.DUMMYFUNCTION("""COMPUTED_VALUE"""),3198.0)</f>
        <v>3198</v>
      </c>
      <c r="F2456" s="115">
        <f>IFERROR(__xludf.DUMMYFUNCTION("""COMPUTED_VALUE"""),9063.0)</f>
        <v>9063</v>
      </c>
      <c r="G2456" s="115">
        <f>IFERROR(__xludf.DUMMYFUNCTION("""COMPUTED_VALUE"""),729.0)</f>
        <v>729</v>
      </c>
      <c r="H2456" s="116">
        <f>IFERROR(__xludf.DUMMYFUNCTION("""COMPUTED_VALUE"""),45905.0)</f>
        <v>45905</v>
      </c>
      <c r="I2456" s="115" t="str">
        <f>IFERROR(__xludf.DUMMYFUNCTION("""COMPUTED_VALUE"""),"14")</f>
        <v>14</v>
      </c>
      <c r="J2456" s="115" t="str">
        <f>IFERROR(__xludf.DUMMYFUNCTION("""COMPUTED_VALUE"""),"Martin A2025-09-0514")</f>
        <v>Martin A2025-09-0514</v>
      </c>
      <c r="K2456" s="115">
        <f>IFERROR(__xludf.DUMMYFUNCTION("""COMPUTED_VALUE"""),34980.0)</f>
        <v>34980</v>
      </c>
    </row>
    <row r="2457">
      <c r="A2457" s="115" t="str">
        <f>IFERROR(__xludf.DUMMYFUNCTION("""COMPUTED_VALUE"""),"SOUTH")</f>
        <v>SOUTH</v>
      </c>
      <c r="B2457" s="115" t="str">
        <f>IFERROR(__xludf.DUMMYFUNCTION("""COMPUTED_VALUE"""),"Martin A")</f>
        <v>Martin A</v>
      </c>
      <c r="C2457" s="115" t="str">
        <f>IFERROR(__xludf.DUMMYFUNCTION("""COMPUTED_VALUE"""),"FLIPKART")</f>
        <v>FLIPKART</v>
      </c>
      <c r="D2457" s="115">
        <f>IFERROR(__xludf.DUMMYFUNCTION("""COMPUTED_VALUE"""),236165.0)</f>
        <v>236165</v>
      </c>
      <c r="E2457" s="115">
        <f>IFERROR(__xludf.DUMMYFUNCTION("""COMPUTED_VALUE"""),23369.0)</f>
        <v>23369</v>
      </c>
      <c r="F2457" s="115">
        <f>IFERROR(__xludf.DUMMYFUNCTION("""COMPUTED_VALUE"""),118139.0)</f>
        <v>118139</v>
      </c>
      <c r="G2457" s="115">
        <f>IFERROR(__xludf.DUMMYFUNCTION("""COMPUTED_VALUE"""),5088.0)</f>
        <v>5088</v>
      </c>
      <c r="H2457" s="116">
        <f>IFERROR(__xludf.DUMMYFUNCTION("""COMPUTED_VALUE"""),45905.0)</f>
        <v>45905</v>
      </c>
      <c r="I2457" s="115" t="str">
        <f>IFERROR(__xludf.DUMMYFUNCTION("""COMPUTED_VALUE"""),"14")</f>
        <v>14</v>
      </c>
      <c r="J2457" s="115" t="str">
        <f>IFERROR(__xludf.DUMMYFUNCTION("""COMPUTED_VALUE"""),"Martin A2025-09-0514")</f>
        <v>Martin A2025-09-0514</v>
      </c>
      <c r="K2457" s="115">
        <f>IFERROR(__xludf.DUMMYFUNCTION("""COMPUTED_VALUE"""),259534.0)</f>
        <v>259534</v>
      </c>
    </row>
    <row r="2458">
      <c r="A2458" s="115" t="str">
        <f>IFERROR(__xludf.DUMMYFUNCTION("""COMPUTED_VALUE"""),"SOUTH")</f>
        <v>SOUTH</v>
      </c>
      <c r="B2458" s="115" t="str">
        <f>IFERROR(__xludf.DUMMYFUNCTION("""COMPUTED_VALUE"""),"Martin A")</f>
        <v>Martin A</v>
      </c>
      <c r="C2458" s="115" t="str">
        <f>IFERROR(__xludf.DUMMYFUNCTION("""COMPUTED_VALUE"""),"MYNTRA")</f>
        <v>MYNTRA</v>
      </c>
      <c r="D2458" s="115">
        <f>IFERROR(__xludf.DUMMYFUNCTION("""COMPUTED_VALUE"""),24600.0)</f>
        <v>24600</v>
      </c>
      <c r="E2458" s="115">
        <f>IFERROR(__xludf.DUMMYFUNCTION("""COMPUTED_VALUE"""),5270.0)</f>
        <v>5270</v>
      </c>
      <c r="F2458" s="115">
        <f>IFERROR(__xludf.DUMMYFUNCTION("""COMPUTED_VALUE"""),14584.0)</f>
        <v>14584</v>
      </c>
      <c r="G2458" s="115">
        <f>IFERROR(__xludf.DUMMYFUNCTION("""COMPUTED_VALUE"""),1337.0)</f>
        <v>1337</v>
      </c>
      <c r="H2458" s="116">
        <f>IFERROR(__xludf.DUMMYFUNCTION("""COMPUTED_VALUE"""),45905.0)</f>
        <v>45905</v>
      </c>
      <c r="I2458" s="115" t="str">
        <f>IFERROR(__xludf.DUMMYFUNCTION("""COMPUTED_VALUE"""),"14")</f>
        <v>14</v>
      </c>
      <c r="J2458" s="115" t="str">
        <f>IFERROR(__xludf.DUMMYFUNCTION("""COMPUTED_VALUE"""),"Martin A2025-09-0514")</f>
        <v>Martin A2025-09-0514</v>
      </c>
      <c r="K2458" s="115">
        <f>IFERROR(__xludf.DUMMYFUNCTION("""COMPUTED_VALUE"""),29870.0)</f>
        <v>29870</v>
      </c>
    </row>
    <row r="2459">
      <c r="A2459" s="115" t="str">
        <f>IFERROR(__xludf.DUMMYFUNCTION("""COMPUTED_VALUE"""),"SOUTH")</f>
        <v>SOUTH</v>
      </c>
      <c r="B2459" s="115" t="str">
        <f>IFERROR(__xludf.DUMMYFUNCTION("""COMPUTED_VALUE"""),"Premkumar M")</f>
        <v>Premkumar M</v>
      </c>
      <c r="C2459" s="115" t="str">
        <f>IFERROR(__xludf.DUMMYFUNCTION("""COMPUTED_VALUE"""),"EXTERNAL")</f>
        <v>EXTERNAL</v>
      </c>
      <c r="D2459" s="115">
        <f>IFERROR(__xludf.DUMMYFUNCTION("""COMPUTED_VALUE"""),28383.0)</f>
        <v>28383</v>
      </c>
      <c r="E2459" s="115">
        <f>IFERROR(__xludf.DUMMYFUNCTION("""COMPUTED_VALUE"""),1668.0)</f>
        <v>1668</v>
      </c>
      <c r="F2459" s="115">
        <f>IFERROR(__xludf.DUMMYFUNCTION("""COMPUTED_VALUE"""),6720.0)</f>
        <v>6720</v>
      </c>
      <c r="G2459" s="115">
        <f>IFERROR(__xludf.DUMMYFUNCTION("""COMPUTED_VALUE"""),81.0)</f>
        <v>81</v>
      </c>
      <c r="H2459" s="116">
        <f>IFERROR(__xludf.DUMMYFUNCTION("""COMPUTED_VALUE"""),45905.0)</f>
        <v>45905</v>
      </c>
      <c r="I2459" s="115" t="str">
        <f>IFERROR(__xludf.DUMMYFUNCTION("""COMPUTED_VALUE"""),"14")</f>
        <v>14</v>
      </c>
      <c r="J2459" s="115" t="str">
        <f>IFERROR(__xludf.DUMMYFUNCTION("""COMPUTED_VALUE"""),"Premkumar M2025-09-0514")</f>
        <v>Premkumar M2025-09-0514</v>
      </c>
      <c r="K2459" s="115">
        <f>IFERROR(__xludf.DUMMYFUNCTION("""COMPUTED_VALUE"""),30051.0)</f>
        <v>30051</v>
      </c>
    </row>
    <row r="2460">
      <c r="A2460" s="115" t="str">
        <f>IFERROR(__xludf.DUMMYFUNCTION("""COMPUTED_VALUE"""),"SOUTH")</f>
        <v>SOUTH</v>
      </c>
      <c r="B2460" s="115" t="str">
        <f>IFERROR(__xludf.DUMMYFUNCTION("""COMPUTED_VALUE"""),"Premkumar M")</f>
        <v>Premkumar M</v>
      </c>
      <c r="C2460" s="115" t="str">
        <f>IFERROR(__xludf.DUMMYFUNCTION("""COMPUTED_VALUE"""),"FLIPKART")</f>
        <v>FLIPKART</v>
      </c>
      <c r="D2460" s="115">
        <f>IFERROR(__xludf.DUMMYFUNCTION("""COMPUTED_VALUE"""),253615.0)</f>
        <v>253615</v>
      </c>
      <c r="E2460" s="115">
        <f>IFERROR(__xludf.DUMMYFUNCTION("""COMPUTED_VALUE"""),17222.0)</f>
        <v>17222</v>
      </c>
      <c r="F2460" s="115">
        <f>IFERROR(__xludf.DUMMYFUNCTION("""COMPUTED_VALUE"""),95065.0)</f>
        <v>95065</v>
      </c>
      <c r="G2460" s="115">
        <f>IFERROR(__xludf.DUMMYFUNCTION("""COMPUTED_VALUE"""),1217.0)</f>
        <v>1217</v>
      </c>
      <c r="H2460" s="116">
        <f>IFERROR(__xludf.DUMMYFUNCTION("""COMPUTED_VALUE"""),45905.0)</f>
        <v>45905</v>
      </c>
      <c r="I2460" s="115" t="str">
        <f>IFERROR(__xludf.DUMMYFUNCTION("""COMPUTED_VALUE"""),"14")</f>
        <v>14</v>
      </c>
      <c r="J2460" s="115" t="str">
        <f>IFERROR(__xludf.DUMMYFUNCTION("""COMPUTED_VALUE"""),"Premkumar M2025-09-0514")</f>
        <v>Premkumar M2025-09-0514</v>
      </c>
      <c r="K2460" s="115">
        <f>IFERROR(__xludf.DUMMYFUNCTION("""COMPUTED_VALUE"""),270837.0)</f>
        <v>270837</v>
      </c>
    </row>
    <row r="2461">
      <c r="A2461" s="115" t="str">
        <f>IFERROR(__xludf.DUMMYFUNCTION("""COMPUTED_VALUE"""),"SOUTH")</f>
        <v>SOUTH</v>
      </c>
      <c r="B2461" s="115" t="str">
        <f>IFERROR(__xludf.DUMMYFUNCTION("""COMPUTED_VALUE"""),"Premkumar M")</f>
        <v>Premkumar M</v>
      </c>
      <c r="C2461" s="115" t="str">
        <f>IFERROR(__xludf.DUMMYFUNCTION("""COMPUTED_VALUE"""),"MYNTRA")</f>
        <v>MYNTRA</v>
      </c>
      <c r="D2461" s="115">
        <f>IFERROR(__xludf.DUMMYFUNCTION("""COMPUTED_VALUE"""),14672.0)</f>
        <v>14672</v>
      </c>
      <c r="E2461" s="115">
        <f>IFERROR(__xludf.DUMMYFUNCTION("""COMPUTED_VALUE"""),2650.0)</f>
        <v>2650</v>
      </c>
      <c r="F2461" s="115">
        <f>IFERROR(__xludf.DUMMYFUNCTION("""COMPUTED_VALUE"""),6351.0)</f>
        <v>6351</v>
      </c>
      <c r="G2461" s="115">
        <f>IFERROR(__xludf.DUMMYFUNCTION("""COMPUTED_VALUE"""),195.0)</f>
        <v>195</v>
      </c>
      <c r="H2461" s="116">
        <f>IFERROR(__xludf.DUMMYFUNCTION("""COMPUTED_VALUE"""),45905.0)</f>
        <v>45905</v>
      </c>
      <c r="I2461" s="115" t="str">
        <f>IFERROR(__xludf.DUMMYFUNCTION("""COMPUTED_VALUE"""),"14")</f>
        <v>14</v>
      </c>
      <c r="J2461" s="115" t="str">
        <f>IFERROR(__xludf.DUMMYFUNCTION("""COMPUTED_VALUE"""),"Premkumar M2025-09-0514")</f>
        <v>Premkumar M2025-09-0514</v>
      </c>
      <c r="K2461" s="115">
        <f>IFERROR(__xludf.DUMMYFUNCTION("""COMPUTED_VALUE"""),17322.0)</f>
        <v>17322</v>
      </c>
    </row>
    <row r="2462">
      <c r="A2462" s="115" t="str">
        <f>IFERROR(__xludf.DUMMYFUNCTION("""COMPUTED_VALUE"""),"SOUTH")</f>
        <v>SOUTH</v>
      </c>
      <c r="B2462" s="115" t="str">
        <f>IFERROR(__xludf.DUMMYFUNCTION("""COMPUTED_VALUE"""),"Vineeth V")</f>
        <v>Vineeth V</v>
      </c>
      <c r="C2462" s="115" t="str">
        <f>IFERROR(__xludf.DUMMYFUNCTION("""COMPUTED_VALUE"""),"EXTERNAL")</f>
        <v>EXTERNAL</v>
      </c>
      <c r="D2462" s="115">
        <f>IFERROR(__xludf.DUMMYFUNCTION("""COMPUTED_VALUE"""),2177.0)</f>
        <v>2177</v>
      </c>
      <c r="E2462" s="115">
        <f>IFERROR(__xludf.DUMMYFUNCTION("""COMPUTED_VALUE"""),75.0)</f>
        <v>75</v>
      </c>
      <c r="F2462" s="115">
        <f>IFERROR(__xludf.DUMMYFUNCTION("""COMPUTED_VALUE"""),743.0)</f>
        <v>743</v>
      </c>
      <c r="G2462" s="115">
        <f>IFERROR(__xludf.DUMMYFUNCTION("""COMPUTED_VALUE"""),17.0)</f>
        <v>17</v>
      </c>
      <c r="H2462" s="116">
        <f>IFERROR(__xludf.DUMMYFUNCTION("""COMPUTED_VALUE"""),45905.0)</f>
        <v>45905</v>
      </c>
      <c r="I2462" s="115" t="str">
        <f>IFERROR(__xludf.DUMMYFUNCTION("""COMPUTED_VALUE"""),"14")</f>
        <v>14</v>
      </c>
      <c r="J2462" s="115" t="str">
        <f>IFERROR(__xludf.DUMMYFUNCTION("""COMPUTED_VALUE"""),"Vineeth V2025-09-0514")</f>
        <v>Vineeth V2025-09-0514</v>
      </c>
      <c r="K2462" s="115">
        <f>IFERROR(__xludf.DUMMYFUNCTION("""COMPUTED_VALUE"""),2252.0)</f>
        <v>2252</v>
      </c>
    </row>
    <row r="2463">
      <c r="A2463" s="115" t="str">
        <f>IFERROR(__xludf.DUMMYFUNCTION("""COMPUTED_VALUE"""),"SOUTH")</f>
        <v>SOUTH</v>
      </c>
      <c r="B2463" s="115" t="str">
        <f>IFERROR(__xludf.DUMMYFUNCTION("""COMPUTED_VALUE"""),"Vineeth V")</f>
        <v>Vineeth V</v>
      </c>
      <c r="C2463" s="115" t="str">
        <f>IFERROR(__xludf.DUMMYFUNCTION("""COMPUTED_VALUE"""),"FLIPKART")</f>
        <v>FLIPKART</v>
      </c>
      <c r="D2463" s="115">
        <f>IFERROR(__xludf.DUMMYFUNCTION("""COMPUTED_VALUE"""),15378.0)</f>
        <v>15378</v>
      </c>
      <c r="E2463" s="115">
        <f>IFERROR(__xludf.DUMMYFUNCTION("""COMPUTED_VALUE"""),1655.0)</f>
        <v>1655</v>
      </c>
      <c r="F2463" s="115">
        <f>IFERROR(__xludf.DUMMYFUNCTION("""COMPUTED_VALUE"""),8255.0)</f>
        <v>8255</v>
      </c>
      <c r="G2463" s="115">
        <f>IFERROR(__xludf.DUMMYFUNCTION("""COMPUTED_VALUE"""),335.0)</f>
        <v>335</v>
      </c>
      <c r="H2463" s="116">
        <f>IFERROR(__xludf.DUMMYFUNCTION("""COMPUTED_VALUE"""),45905.0)</f>
        <v>45905</v>
      </c>
      <c r="I2463" s="115" t="str">
        <f>IFERROR(__xludf.DUMMYFUNCTION("""COMPUTED_VALUE"""),"14")</f>
        <v>14</v>
      </c>
      <c r="J2463" s="115" t="str">
        <f>IFERROR(__xludf.DUMMYFUNCTION("""COMPUTED_VALUE"""),"Vineeth V2025-09-0514")</f>
        <v>Vineeth V2025-09-0514</v>
      </c>
      <c r="K2463" s="115">
        <f>IFERROR(__xludf.DUMMYFUNCTION("""COMPUTED_VALUE"""),17033.0)</f>
        <v>17033</v>
      </c>
    </row>
    <row r="2464">
      <c r="A2464" s="115" t="str">
        <f>IFERROR(__xludf.DUMMYFUNCTION("""COMPUTED_VALUE"""),"SOUTH")</f>
        <v>SOUTH</v>
      </c>
      <c r="B2464" s="115" t="str">
        <f>IFERROR(__xludf.DUMMYFUNCTION("""COMPUTED_VALUE"""),"Vineeth V")</f>
        <v>Vineeth V</v>
      </c>
      <c r="C2464" s="115" t="str">
        <f>IFERROR(__xludf.DUMMYFUNCTION("""COMPUTED_VALUE"""),"MYNTRA")</f>
        <v>MYNTRA</v>
      </c>
      <c r="D2464" s="115">
        <f>IFERROR(__xludf.DUMMYFUNCTION("""COMPUTED_VALUE"""),2794.0)</f>
        <v>2794</v>
      </c>
      <c r="E2464" s="115">
        <f>IFERROR(__xludf.DUMMYFUNCTION("""COMPUTED_VALUE"""),410.0)</f>
        <v>410</v>
      </c>
      <c r="F2464" s="115">
        <f>IFERROR(__xludf.DUMMYFUNCTION("""COMPUTED_VALUE"""),1696.0)</f>
        <v>1696</v>
      </c>
      <c r="G2464" s="115">
        <f>IFERROR(__xludf.DUMMYFUNCTION("""COMPUTED_VALUE"""),109.0)</f>
        <v>109</v>
      </c>
      <c r="H2464" s="116">
        <f>IFERROR(__xludf.DUMMYFUNCTION("""COMPUTED_VALUE"""),45905.0)</f>
        <v>45905</v>
      </c>
      <c r="I2464" s="115" t="str">
        <f>IFERROR(__xludf.DUMMYFUNCTION("""COMPUTED_VALUE"""),"14")</f>
        <v>14</v>
      </c>
      <c r="J2464" s="115" t="str">
        <f>IFERROR(__xludf.DUMMYFUNCTION("""COMPUTED_VALUE"""),"Vineeth V2025-09-0514")</f>
        <v>Vineeth V2025-09-0514</v>
      </c>
      <c r="K2464" s="115">
        <f>IFERROR(__xludf.DUMMYFUNCTION("""COMPUTED_VALUE"""),3204.0)</f>
        <v>3204</v>
      </c>
    </row>
    <row r="2465">
      <c r="A2465" s="115" t="str">
        <f>IFERROR(__xludf.DUMMYFUNCTION("""COMPUTED_VALUE"""),"South")</f>
        <v>South</v>
      </c>
      <c r="B2465" s="115"/>
      <c r="C2465" s="115" t="str">
        <f>IFERROR(__xludf.DUMMYFUNCTION("""COMPUTED_VALUE"""),"EXTERNAL")</f>
        <v>EXTERNAL</v>
      </c>
      <c r="D2465" s="115">
        <f>IFERROR(__xludf.DUMMYFUNCTION("""COMPUTED_VALUE"""),17.0)</f>
        <v>17</v>
      </c>
      <c r="E2465" s="115">
        <f>IFERROR(__xludf.DUMMYFUNCTION("""COMPUTED_VALUE"""),0.0)</f>
        <v>0</v>
      </c>
      <c r="F2465" s="115">
        <f>IFERROR(__xludf.DUMMYFUNCTION("""COMPUTED_VALUE"""),0.0)</f>
        <v>0</v>
      </c>
      <c r="G2465" s="115">
        <f>IFERROR(__xludf.DUMMYFUNCTION("""COMPUTED_VALUE"""),0.0)</f>
        <v>0</v>
      </c>
      <c r="H2465" s="116">
        <f>IFERROR(__xludf.DUMMYFUNCTION("""COMPUTED_VALUE"""),45905.0)</f>
        <v>45905</v>
      </c>
      <c r="I2465" s="115" t="str">
        <f>IFERROR(__xludf.DUMMYFUNCTION("""COMPUTED_VALUE"""),"14")</f>
        <v>14</v>
      </c>
      <c r="J2465" s="115" t="str">
        <f>IFERROR(__xludf.DUMMYFUNCTION("""COMPUTED_VALUE"""),"2025-09-0514")</f>
        <v>2025-09-0514</v>
      </c>
      <c r="K2465" s="115">
        <f>IFERROR(__xludf.DUMMYFUNCTION("""COMPUTED_VALUE"""),17.0)</f>
        <v>17</v>
      </c>
    </row>
    <row r="2466">
      <c r="A2466" s="115" t="str">
        <f>IFERROR(__xludf.DUMMYFUNCTION("""COMPUTED_VALUE"""),"South")</f>
        <v>South</v>
      </c>
      <c r="B2466" s="115"/>
      <c r="C2466" s="115" t="str">
        <f>IFERROR(__xludf.DUMMYFUNCTION("""COMPUTED_VALUE"""),"FLIPKART")</f>
        <v>FLIPKART</v>
      </c>
      <c r="D2466" s="115">
        <f>IFERROR(__xludf.DUMMYFUNCTION("""COMPUTED_VALUE"""),173.0)</f>
        <v>173</v>
      </c>
      <c r="E2466" s="115">
        <f>IFERROR(__xludf.DUMMYFUNCTION("""COMPUTED_VALUE"""),0.0)</f>
        <v>0</v>
      </c>
      <c r="F2466" s="115">
        <f>IFERROR(__xludf.DUMMYFUNCTION("""COMPUTED_VALUE"""),1.0)</f>
        <v>1</v>
      </c>
      <c r="G2466" s="115">
        <f>IFERROR(__xludf.DUMMYFUNCTION("""COMPUTED_VALUE"""),0.0)</f>
        <v>0</v>
      </c>
      <c r="H2466" s="116">
        <f>IFERROR(__xludf.DUMMYFUNCTION("""COMPUTED_VALUE"""),45905.0)</f>
        <v>45905</v>
      </c>
      <c r="I2466" s="115" t="str">
        <f>IFERROR(__xludf.DUMMYFUNCTION("""COMPUTED_VALUE"""),"14")</f>
        <v>14</v>
      </c>
      <c r="J2466" s="115" t="str">
        <f>IFERROR(__xludf.DUMMYFUNCTION("""COMPUTED_VALUE"""),"2025-09-0514")</f>
        <v>2025-09-0514</v>
      </c>
      <c r="K2466" s="115">
        <f>IFERROR(__xludf.DUMMYFUNCTION("""COMPUTED_VALUE"""),173.0)</f>
        <v>173</v>
      </c>
    </row>
    <row r="2467">
      <c r="A2467" s="115" t="str">
        <f>IFERROR(__xludf.DUMMYFUNCTION("""COMPUTED_VALUE"""),"South")</f>
        <v>South</v>
      </c>
      <c r="B2467" s="115"/>
      <c r="C2467" s="115" t="str">
        <f>IFERROR(__xludf.DUMMYFUNCTION("""COMPUTED_VALUE"""),"MYNTRA")</f>
        <v>MYNTRA</v>
      </c>
      <c r="D2467" s="115">
        <f>IFERROR(__xludf.DUMMYFUNCTION("""COMPUTED_VALUE"""),3.0)</f>
        <v>3</v>
      </c>
      <c r="E2467" s="115">
        <f>IFERROR(__xludf.DUMMYFUNCTION("""COMPUTED_VALUE"""),0.0)</f>
        <v>0</v>
      </c>
      <c r="F2467" s="115">
        <f>IFERROR(__xludf.DUMMYFUNCTION("""COMPUTED_VALUE"""),0.0)</f>
        <v>0</v>
      </c>
      <c r="G2467" s="115">
        <f>IFERROR(__xludf.DUMMYFUNCTION("""COMPUTED_VALUE"""),0.0)</f>
        <v>0</v>
      </c>
      <c r="H2467" s="116">
        <f>IFERROR(__xludf.DUMMYFUNCTION("""COMPUTED_VALUE"""),45905.0)</f>
        <v>45905</v>
      </c>
      <c r="I2467" s="115" t="str">
        <f>IFERROR(__xludf.DUMMYFUNCTION("""COMPUTED_VALUE"""),"14")</f>
        <v>14</v>
      </c>
      <c r="J2467" s="115" t="str">
        <f>IFERROR(__xludf.DUMMYFUNCTION("""COMPUTED_VALUE"""),"2025-09-0514")</f>
        <v>2025-09-0514</v>
      </c>
      <c r="K2467" s="115">
        <f>IFERROR(__xludf.DUMMYFUNCTION("""COMPUTED_VALUE"""),3.0)</f>
        <v>3</v>
      </c>
    </row>
    <row r="2468">
      <c r="A2468" s="115" t="str">
        <f>IFERROR(__xludf.DUMMYFUNCTION("""COMPUTED_VALUE"""),"WEST")</f>
        <v>WEST</v>
      </c>
      <c r="B2468" s="115" t="str">
        <f>IFERROR(__xludf.DUMMYFUNCTION("""COMPUTED_VALUE"""),"Ashish Jakar")</f>
        <v>Ashish Jakar</v>
      </c>
      <c r="C2468" s="115" t="str">
        <f>IFERROR(__xludf.DUMMYFUNCTION("""COMPUTED_VALUE"""),"EXTERNAL")</f>
        <v>EXTERNAL</v>
      </c>
      <c r="D2468" s="115">
        <f>IFERROR(__xludf.DUMMYFUNCTION("""COMPUTED_VALUE"""),51020.0)</f>
        <v>51020</v>
      </c>
      <c r="E2468" s="115">
        <f>IFERROR(__xludf.DUMMYFUNCTION("""COMPUTED_VALUE"""),5875.0)</f>
        <v>5875</v>
      </c>
      <c r="F2468" s="115">
        <f>IFERROR(__xludf.DUMMYFUNCTION("""COMPUTED_VALUE"""),12503.0)</f>
        <v>12503</v>
      </c>
      <c r="G2468" s="115">
        <f>IFERROR(__xludf.DUMMYFUNCTION("""COMPUTED_VALUE"""),1104.0)</f>
        <v>1104</v>
      </c>
      <c r="H2468" s="116">
        <f>IFERROR(__xludf.DUMMYFUNCTION("""COMPUTED_VALUE"""),45905.0)</f>
        <v>45905</v>
      </c>
      <c r="I2468" s="115" t="str">
        <f>IFERROR(__xludf.DUMMYFUNCTION("""COMPUTED_VALUE"""),"14")</f>
        <v>14</v>
      </c>
      <c r="J2468" s="115" t="str">
        <f>IFERROR(__xludf.DUMMYFUNCTION("""COMPUTED_VALUE"""),"Ashish Jakar2025-09-0514")</f>
        <v>Ashish Jakar2025-09-0514</v>
      </c>
      <c r="K2468" s="115">
        <f>IFERROR(__xludf.DUMMYFUNCTION("""COMPUTED_VALUE"""),56895.0)</f>
        <v>56895</v>
      </c>
    </row>
    <row r="2469">
      <c r="A2469" s="115" t="str">
        <f>IFERROR(__xludf.DUMMYFUNCTION("""COMPUTED_VALUE"""),"WEST")</f>
        <v>WEST</v>
      </c>
      <c r="B2469" s="115" t="str">
        <f>IFERROR(__xludf.DUMMYFUNCTION("""COMPUTED_VALUE"""),"Ashish Jakar")</f>
        <v>Ashish Jakar</v>
      </c>
      <c r="C2469" s="115" t="str">
        <f>IFERROR(__xludf.DUMMYFUNCTION("""COMPUTED_VALUE"""),"FLIPKART")</f>
        <v>FLIPKART</v>
      </c>
      <c r="D2469" s="115">
        <f>IFERROR(__xludf.DUMMYFUNCTION("""COMPUTED_VALUE"""),274782.0)</f>
        <v>274782</v>
      </c>
      <c r="E2469" s="115">
        <f>IFERROR(__xludf.DUMMYFUNCTION("""COMPUTED_VALUE"""),30030.0)</f>
        <v>30030</v>
      </c>
      <c r="F2469" s="115">
        <f>IFERROR(__xludf.DUMMYFUNCTION("""COMPUTED_VALUE"""),122934.0)</f>
        <v>122934</v>
      </c>
      <c r="G2469" s="115">
        <f>IFERROR(__xludf.DUMMYFUNCTION("""COMPUTED_VALUE"""),6543.0)</f>
        <v>6543</v>
      </c>
      <c r="H2469" s="116">
        <f>IFERROR(__xludf.DUMMYFUNCTION("""COMPUTED_VALUE"""),45905.0)</f>
        <v>45905</v>
      </c>
      <c r="I2469" s="115" t="str">
        <f>IFERROR(__xludf.DUMMYFUNCTION("""COMPUTED_VALUE"""),"14")</f>
        <v>14</v>
      </c>
      <c r="J2469" s="115" t="str">
        <f>IFERROR(__xludf.DUMMYFUNCTION("""COMPUTED_VALUE"""),"Ashish Jakar2025-09-0514")</f>
        <v>Ashish Jakar2025-09-0514</v>
      </c>
      <c r="K2469" s="115">
        <f>IFERROR(__xludf.DUMMYFUNCTION("""COMPUTED_VALUE"""),304812.0)</f>
        <v>304812</v>
      </c>
    </row>
    <row r="2470">
      <c r="A2470" s="115" t="str">
        <f>IFERROR(__xludf.DUMMYFUNCTION("""COMPUTED_VALUE"""),"WEST")</f>
        <v>WEST</v>
      </c>
      <c r="B2470" s="115" t="str">
        <f>IFERROR(__xludf.DUMMYFUNCTION("""COMPUTED_VALUE"""),"Ashish Jakar")</f>
        <v>Ashish Jakar</v>
      </c>
      <c r="C2470" s="115" t="str">
        <f>IFERROR(__xludf.DUMMYFUNCTION("""COMPUTED_VALUE"""),"MYNTRA")</f>
        <v>MYNTRA</v>
      </c>
      <c r="D2470" s="115">
        <f>IFERROR(__xludf.DUMMYFUNCTION("""COMPUTED_VALUE"""),35229.0)</f>
        <v>35229</v>
      </c>
      <c r="E2470" s="115">
        <f>IFERROR(__xludf.DUMMYFUNCTION("""COMPUTED_VALUE"""),10060.0)</f>
        <v>10060</v>
      </c>
      <c r="F2470" s="115">
        <f>IFERROR(__xludf.DUMMYFUNCTION("""COMPUTED_VALUE"""),19419.0)</f>
        <v>19419</v>
      </c>
      <c r="G2470" s="115">
        <f>IFERROR(__xludf.DUMMYFUNCTION("""COMPUTED_VALUE"""),2498.0)</f>
        <v>2498</v>
      </c>
      <c r="H2470" s="116">
        <f>IFERROR(__xludf.DUMMYFUNCTION("""COMPUTED_VALUE"""),45905.0)</f>
        <v>45905</v>
      </c>
      <c r="I2470" s="115" t="str">
        <f>IFERROR(__xludf.DUMMYFUNCTION("""COMPUTED_VALUE"""),"14")</f>
        <v>14</v>
      </c>
      <c r="J2470" s="115" t="str">
        <f>IFERROR(__xludf.DUMMYFUNCTION("""COMPUTED_VALUE"""),"Ashish Jakar2025-09-0514")</f>
        <v>Ashish Jakar2025-09-0514</v>
      </c>
      <c r="K2470" s="115">
        <f>IFERROR(__xludf.DUMMYFUNCTION("""COMPUTED_VALUE"""),45289.0)</f>
        <v>45289</v>
      </c>
    </row>
    <row r="2471">
      <c r="A2471" s="115" t="str">
        <f>IFERROR(__xludf.DUMMYFUNCTION("""COMPUTED_VALUE"""),"WEST")</f>
        <v>WEST</v>
      </c>
      <c r="B2471" s="115" t="str">
        <f>IFERROR(__xludf.DUMMYFUNCTION("""COMPUTED_VALUE"""),"Ashvani Bhatt")</f>
        <v>Ashvani Bhatt</v>
      </c>
      <c r="C2471" s="115" t="str">
        <f>IFERROR(__xludf.DUMMYFUNCTION("""COMPUTED_VALUE"""),"EXTERNAL")</f>
        <v>EXTERNAL</v>
      </c>
      <c r="D2471" s="115">
        <f>IFERROR(__xludf.DUMMYFUNCTION("""COMPUTED_VALUE"""),34129.0)</f>
        <v>34129</v>
      </c>
      <c r="E2471" s="115">
        <f>IFERROR(__xludf.DUMMYFUNCTION("""COMPUTED_VALUE"""),2810.0)</f>
        <v>2810</v>
      </c>
      <c r="F2471" s="115">
        <f>IFERROR(__xludf.DUMMYFUNCTION("""COMPUTED_VALUE"""),9319.0)</f>
        <v>9319</v>
      </c>
      <c r="G2471" s="115">
        <f>IFERROR(__xludf.DUMMYFUNCTION("""COMPUTED_VALUE"""),306.0)</f>
        <v>306</v>
      </c>
      <c r="H2471" s="116">
        <f>IFERROR(__xludf.DUMMYFUNCTION("""COMPUTED_VALUE"""),45905.0)</f>
        <v>45905</v>
      </c>
      <c r="I2471" s="115" t="str">
        <f>IFERROR(__xludf.DUMMYFUNCTION("""COMPUTED_VALUE"""),"14")</f>
        <v>14</v>
      </c>
      <c r="J2471" s="115" t="str">
        <f>IFERROR(__xludf.DUMMYFUNCTION("""COMPUTED_VALUE"""),"Ashvani Bhatt2025-09-0514")</f>
        <v>Ashvani Bhatt2025-09-0514</v>
      </c>
      <c r="K2471" s="115">
        <f>IFERROR(__xludf.DUMMYFUNCTION("""COMPUTED_VALUE"""),36939.0)</f>
        <v>36939</v>
      </c>
    </row>
    <row r="2472">
      <c r="A2472" s="115" t="str">
        <f>IFERROR(__xludf.DUMMYFUNCTION("""COMPUTED_VALUE"""),"WEST")</f>
        <v>WEST</v>
      </c>
      <c r="B2472" s="115" t="str">
        <f>IFERROR(__xludf.DUMMYFUNCTION("""COMPUTED_VALUE"""),"Ashvani Bhatt")</f>
        <v>Ashvani Bhatt</v>
      </c>
      <c r="C2472" s="115" t="str">
        <f>IFERROR(__xludf.DUMMYFUNCTION("""COMPUTED_VALUE"""),"FLIPKART")</f>
        <v>FLIPKART</v>
      </c>
      <c r="D2472" s="115">
        <f>IFERROR(__xludf.DUMMYFUNCTION("""COMPUTED_VALUE"""),241267.0)</f>
        <v>241267</v>
      </c>
      <c r="E2472" s="115">
        <f>IFERROR(__xludf.DUMMYFUNCTION("""COMPUTED_VALUE"""),25628.0)</f>
        <v>25628</v>
      </c>
      <c r="F2472" s="115">
        <f>IFERROR(__xludf.DUMMYFUNCTION("""COMPUTED_VALUE"""),117643.0)</f>
        <v>117643</v>
      </c>
      <c r="G2472" s="115">
        <f>IFERROR(__xludf.DUMMYFUNCTION("""COMPUTED_VALUE"""),4472.0)</f>
        <v>4472</v>
      </c>
      <c r="H2472" s="116">
        <f>IFERROR(__xludf.DUMMYFUNCTION("""COMPUTED_VALUE"""),45905.0)</f>
        <v>45905</v>
      </c>
      <c r="I2472" s="115" t="str">
        <f>IFERROR(__xludf.DUMMYFUNCTION("""COMPUTED_VALUE"""),"14")</f>
        <v>14</v>
      </c>
      <c r="J2472" s="115" t="str">
        <f>IFERROR(__xludf.DUMMYFUNCTION("""COMPUTED_VALUE"""),"Ashvani Bhatt2025-09-0514")</f>
        <v>Ashvani Bhatt2025-09-0514</v>
      </c>
      <c r="K2472" s="115">
        <f>IFERROR(__xludf.DUMMYFUNCTION("""COMPUTED_VALUE"""),266895.0)</f>
        <v>266895</v>
      </c>
    </row>
    <row r="2473">
      <c r="A2473" s="115" t="str">
        <f>IFERROR(__xludf.DUMMYFUNCTION("""COMPUTED_VALUE"""),"WEST")</f>
        <v>WEST</v>
      </c>
      <c r="B2473" s="115" t="str">
        <f>IFERROR(__xludf.DUMMYFUNCTION("""COMPUTED_VALUE"""),"Ashvani Bhatt")</f>
        <v>Ashvani Bhatt</v>
      </c>
      <c r="C2473" s="115" t="str">
        <f>IFERROR(__xludf.DUMMYFUNCTION("""COMPUTED_VALUE"""),"MYNTRA")</f>
        <v>MYNTRA</v>
      </c>
      <c r="D2473" s="115">
        <f>IFERROR(__xludf.DUMMYFUNCTION("""COMPUTED_VALUE"""),30822.0)</f>
        <v>30822</v>
      </c>
      <c r="E2473" s="115">
        <f>IFERROR(__xludf.DUMMYFUNCTION("""COMPUTED_VALUE"""),7930.0)</f>
        <v>7930</v>
      </c>
      <c r="F2473" s="115">
        <f>IFERROR(__xludf.DUMMYFUNCTION("""COMPUTED_VALUE"""),18347.0)</f>
        <v>18347</v>
      </c>
      <c r="G2473" s="115">
        <f>IFERROR(__xludf.DUMMYFUNCTION("""COMPUTED_VALUE"""),1737.0)</f>
        <v>1737</v>
      </c>
      <c r="H2473" s="116">
        <f>IFERROR(__xludf.DUMMYFUNCTION("""COMPUTED_VALUE"""),45905.0)</f>
        <v>45905</v>
      </c>
      <c r="I2473" s="115" t="str">
        <f>IFERROR(__xludf.DUMMYFUNCTION("""COMPUTED_VALUE"""),"14")</f>
        <v>14</v>
      </c>
      <c r="J2473" s="115" t="str">
        <f>IFERROR(__xludf.DUMMYFUNCTION("""COMPUTED_VALUE"""),"Ashvani Bhatt2025-09-0514")</f>
        <v>Ashvani Bhatt2025-09-0514</v>
      </c>
      <c r="K2473" s="115">
        <f>IFERROR(__xludf.DUMMYFUNCTION("""COMPUTED_VALUE"""),38752.0)</f>
        <v>38752</v>
      </c>
    </row>
    <row r="2474">
      <c r="A2474" s="115" t="str">
        <f>IFERROR(__xludf.DUMMYFUNCTION("""COMPUTED_VALUE"""),"West")</f>
        <v>West</v>
      </c>
      <c r="B2474" s="115"/>
      <c r="C2474" s="115" t="str">
        <f>IFERROR(__xludf.DUMMYFUNCTION("""COMPUTED_VALUE"""),"EXTERNAL")</f>
        <v>EXTERNAL</v>
      </c>
      <c r="D2474" s="115">
        <f>IFERROR(__xludf.DUMMYFUNCTION("""COMPUTED_VALUE"""),75.0)</f>
        <v>75</v>
      </c>
      <c r="E2474" s="115">
        <f>IFERROR(__xludf.DUMMYFUNCTION("""COMPUTED_VALUE"""),19.0)</f>
        <v>19</v>
      </c>
      <c r="F2474" s="115">
        <f>IFERROR(__xludf.DUMMYFUNCTION("""COMPUTED_VALUE"""),12.0)</f>
        <v>12</v>
      </c>
      <c r="G2474" s="115">
        <f>IFERROR(__xludf.DUMMYFUNCTION("""COMPUTED_VALUE"""),3.0)</f>
        <v>3</v>
      </c>
      <c r="H2474" s="116">
        <f>IFERROR(__xludf.DUMMYFUNCTION("""COMPUTED_VALUE"""),45905.0)</f>
        <v>45905</v>
      </c>
      <c r="I2474" s="115" t="str">
        <f>IFERROR(__xludf.DUMMYFUNCTION("""COMPUTED_VALUE"""),"14")</f>
        <v>14</v>
      </c>
      <c r="J2474" s="115" t="str">
        <f>IFERROR(__xludf.DUMMYFUNCTION("""COMPUTED_VALUE"""),"2025-09-0514")</f>
        <v>2025-09-0514</v>
      </c>
      <c r="K2474" s="115">
        <f>IFERROR(__xludf.DUMMYFUNCTION("""COMPUTED_VALUE"""),94.0)</f>
        <v>94</v>
      </c>
    </row>
    <row r="2475">
      <c r="A2475" s="115" t="str">
        <f>IFERROR(__xludf.DUMMYFUNCTION("""COMPUTED_VALUE"""),"West")</f>
        <v>West</v>
      </c>
      <c r="B2475" s="115"/>
      <c r="C2475" s="115" t="str">
        <f>IFERROR(__xludf.DUMMYFUNCTION("""COMPUTED_VALUE"""),"FLIPKART")</f>
        <v>FLIPKART</v>
      </c>
      <c r="D2475" s="115">
        <f>IFERROR(__xludf.DUMMYFUNCTION("""COMPUTED_VALUE"""),418.0)</f>
        <v>418</v>
      </c>
      <c r="E2475" s="115">
        <f>IFERROR(__xludf.DUMMYFUNCTION("""COMPUTED_VALUE"""),61.0)</f>
        <v>61</v>
      </c>
      <c r="F2475" s="115">
        <f>IFERROR(__xludf.DUMMYFUNCTION("""COMPUTED_VALUE"""),96.0)</f>
        <v>96</v>
      </c>
      <c r="G2475" s="115">
        <f>IFERROR(__xludf.DUMMYFUNCTION("""COMPUTED_VALUE"""),9.0)</f>
        <v>9</v>
      </c>
      <c r="H2475" s="116">
        <f>IFERROR(__xludf.DUMMYFUNCTION("""COMPUTED_VALUE"""),45905.0)</f>
        <v>45905</v>
      </c>
      <c r="I2475" s="115" t="str">
        <f>IFERROR(__xludf.DUMMYFUNCTION("""COMPUTED_VALUE"""),"14")</f>
        <v>14</v>
      </c>
      <c r="J2475" s="115" t="str">
        <f>IFERROR(__xludf.DUMMYFUNCTION("""COMPUTED_VALUE"""),"2025-09-0514")</f>
        <v>2025-09-0514</v>
      </c>
      <c r="K2475" s="115">
        <f>IFERROR(__xludf.DUMMYFUNCTION("""COMPUTED_VALUE"""),479.0)</f>
        <v>479</v>
      </c>
    </row>
    <row r="2476">
      <c r="A2476" s="115" t="str">
        <f>IFERROR(__xludf.DUMMYFUNCTION("""COMPUTED_VALUE"""),"West")</f>
        <v>West</v>
      </c>
      <c r="B2476" s="115"/>
      <c r="C2476" s="115" t="str">
        <f>IFERROR(__xludf.DUMMYFUNCTION("""COMPUTED_VALUE"""),"MYNTRA")</f>
        <v>MYNTRA</v>
      </c>
      <c r="D2476" s="115">
        <f>IFERROR(__xludf.DUMMYFUNCTION("""COMPUTED_VALUE"""),118.0)</f>
        <v>118</v>
      </c>
      <c r="E2476" s="115">
        <f>IFERROR(__xludf.DUMMYFUNCTION("""COMPUTED_VALUE"""),21.0)</f>
        <v>21</v>
      </c>
      <c r="F2476" s="115">
        <f>IFERROR(__xludf.DUMMYFUNCTION("""COMPUTED_VALUE"""),14.0)</f>
        <v>14</v>
      </c>
      <c r="G2476" s="115">
        <f>IFERROR(__xludf.DUMMYFUNCTION("""COMPUTED_VALUE"""),3.0)</f>
        <v>3</v>
      </c>
      <c r="H2476" s="116">
        <f>IFERROR(__xludf.DUMMYFUNCTION("""COMPUTED_VALUE"""),45905.0)</f>
        <v>45905</v>
      </c>
      <c r="I2476" s="115" t="str">
        <f>IFERROR(__xludf.DUMMYFUNCTION("""COMPUTED_VALUE"""),"14")</f>
        <v>14</v>
      </c>
      <c r="J2476" s="115" t="str">
        <f>IFERROR(__xludf.DUMMYFUNCTION("""COMPUTED_VALUE"""),"2025-09-0514")</f>
        <v>2025-09-0514</v>
      </c>
      <c r="K2476" s="115">
        <f>IFERROR(__xludf.DUMMYFUNCTION("""COMPUTED_VALUE"""),139.0)</f>
        <v>139</v>
      </c>
    </row>
    <row r="2477">
      <c r="A2477" s="115"/>
      <c r="B2477" s="115"/>
      <c r="C2477" s="115" t="str">
        <f>IFERROR(__xludf.DUMMYFUNCTION("""COMPUTED_VALUE"""),"EXTERNAL")</f>
        <v>EXTERNAL</v>
      </c>
      <c r="D2477" s="115">
        <f>IFERROR(__xludf.DUMMYFUNCTION("""COMPUTED_VALUE"""),1335.0)</f>
        <v>1335</v>
      </c>
      <c r="E2477" s="115">
        <f>IFERROR(__xludf.DUMMYFUNCTION("""COMPUTED_VALUE"""),130.0)</f>
        <v>130</v>
      </c>
      <c r="F2477" s="115">
        <f>IFERROR(__xludf.DUMMYFUNCTION("""COMPUTED_VALUE"""),318.0)</f>
        <v>318</v>
      </c>
      <c r="G2477" s="115">
        <f>IFERROR(__xludf.DUMMYFUNCTION("""COMPUTED_VALUE"""),20.0)</f>
        <v>20</v>
      </c>
      <c r="H2477" s="116">
        <f>IFERROR(__xludf.DUMMYFUNCTION("""COMPUTED_VALUE"""),45905.0)</f>
        <v>45905</v>
      </c>
      <c r="I2477" s="115" t="str">
        <f>IFERROR(__xludf.DUMMYFUNCTION("""COMPUTED_VALUE"""),"14")</f>
        <v>14</v>
      </c>
      <c r="J2477" s="115" t="str">
        <f>IFERROR(__xludf.DUMMYFUNCTION("""COMPUTED_VALUE"""),"2025-09-0514")</f>
        <v>2025-09-0514</v>
      </c>
      <c r="K2477" s="115">
        <f>IFERROR(__xludf.DUMMYFUNCTION("""COMPUTED_VALUE"""),1465.0)</f>
        <v>1465</v>
      </c>
    </row>
    <row r="2478">
      <c r="A2478" s="115"/>
      <c r="B2478" s="115"/>
      <c r="C2478" s="115" t="str">
        <f>IFERROR(__xludf.DUMMYFUNCTION("""COMPUTED_VALUE"""),"FLIPKART")</f>
        <v>FLIPKART</v>
      </c>
      <c r="D2478" s="115">
        <f>IFERROR(__xludf.DUMMYFUNCTION("""COMPUTED_VALUE"""),10477.0)</f>
        <v>10477</v>
      </c>
      <c r="E2478" s="115">
        <f>IFERROR(__xludf.DUMMYFUNCTION("""COMPUTED_VALUE"""),991.0)</f>
        <v>991</v>
      </c>
      <c r="F2478" s="115">
        <f>IFERROR(__xludf.DUMMYFUNCTION("""COMPUTED_VALUE"""),3670.0)</f>
        <v>3670</v>
      </c>
      <c r="G2478" s="115">
        <f>IFERROR(__xludf.DUMMYFUNCTION("""COMPUTED_VALUE"""),254.0)</f>
        <v>254</v>
      </c>
      <c r="H2478" s="116">
        <f>IFERROR(__xludf.DUMMYFUNCTION("""COMPUTED_VALUE"""),45905.0)</f>
        <v>45905</v>
      </c>
      <c r="I2478" s="115" t="str">
        <f>IFERROR(__xludf.DUMMYFUNCTION("""COMPUTED_VALUE"""),"14")</f>
        <v>14</v>
      </c>
      <c r="J2478" s="115" t="str">
        <f>IFERROR(__xludf.DUMMYFUNCTION("""COMPUTED_VALUE"""),"2025-09-0514")</f>
        <v>2025-09-0514</v>
      </c>
      <c r="K2478" s="115">
        <f>IFERROR(__xludf.DUMMYFUNCTION("""COMPUTED_VALUE"""),11468.0)</f>
        <v>11468</v>
      </c>
    </row>
    <row r="2479">
      <c r="A2479" s="115"/>
      <c r="B2479" s="115"/>
      <c r="C2479" s="115" t="str">
        <f>IFERROR(__xludf.DUMMYFUNCTION("""COMPUTED_VALUE"""),"MYNTRA")</f>
        <v>MYNTRA</v>
      </c>
      <c r="D2479" s="115">
        <f>IFERROR(__xludf.DUMMYFUNCTION("""COMPUTED_VALUE"""),1456.0)</f>
        <v>1456</v>
      </c>
      <c r="E2479" s="115">
        <f>IFERROR(__xludf.DUMMYFUNCTION("""COMPUTED_VALUE"""),280.0)</f>
        <v>280</v>
      </c>
      <c r="F2479" s="115">
        <f>IFERROR(__xludf.DUMMYFUNCTION("""COMPUTED_VALUE"""),629.0)</f>
        <v>629</v>
      </c>
      <c r="G2479" s="115">
        <f>IFERROR(__xludf.DUMMYFUNCTION("""COMPUTED_VALUE"""),68.0)</f>
        <v>68</v>
      </c>
      <c r="H2479" s="116">
        <f>IFERROR(__xludf.DUMMYFUNCTION("""COMPUTED_VALUE"""),45905.0)</f>
        <v>45905</v>
      </c>
      <c r="I2479" s="115" t="str">
        <f>IFERROR(__xludf.DUMMYFUNCTION("""COMPUTED_VALUE"""),"14")</f>
        <v>14</v>
      </c>
      <c r="J2479" s="115" t="str">
        <f>IFERROR(__xludf.DUMMYFUNCTION("""COMPUTED_VALUE"""),"2025-09-0514")</f>
        <v>2025-09-0514</v>
      </c>
      <c r="K2479" s="115">
        <f>IFERROR(__xludf.DUMMYFUNCTION("""COMPUTED_VALUE"""),1736.0)</f>
        <v>1736</v>
      </c>
    </row>
    <row r="2480">
      <c r="A2480" s="115" t="str">
        <f>IFERROR(__xludf.DUMMYFUNCTION("""COMPUTED_VALUE"""),"EAST")</f>
        <v>EAST</v>
      </c>
      <c r="B2480" s="115" t="str">
        <f>IFERROR(__xludf.DUMMYFUNCTION("""COMPUTED_VALUE"""),"Ashish Ranjan")</f>
        <v>Ashish Ranjan</v>
      </c>
      <c r="C2480" s="115" t="str">
        <f>IFERROR(__xludf.DUMMYFUNCTION("""COMPUTED_VALUE"""),"EXTERNAL")</f>
        <v>EXTERNAL</v>
      </c>
      <c r="D2480" s="115">
        <f>IFERROR(__xludf.DUMMYFUNCTION("""COMPUTED_VALUE"""),35435.0)</f>
        <v>35435</v>
      </c>
      <c r="E2480" s="115">
        <f>IFERROR(__xludf.DUMMYFUNCTION("""COMPUTED_VALUE"""),2922.0)</f>
        <v>2922</v>
      </c>
      <c r="F2480" s="115">
        <f>IFERROR(__xludf.DUMMYFUNCTION("""COMPUTED_VALUE"""),15683.0)</f>
        <v>15683</v>
      </c>
      <c r="G2480" s="115">
        <f>IFERROR(__xludf.DUMMYFUNCTION("""COMPUTED_VALUE"""),734.0)</f>
        <v>734</v>
      </c>
      <c r="H2480" s="116">
        <f>IFERROR(__xludf.DUMMYFUNCTION("""COMPUTED_VALUE"""),45905.0)</f>
        <v>45905</v>
      </c>
      <c r="I2480" s="115" t="str">
        <f>IFERROR(__xludf.DUMMYFUNCTION("""COMPUTED_VALUE"""),"15")</f>
        <v>15</v>
      </c>
      <c r="J2480" s="115" t="str">
        <f>IFERROR(__xludf.DUMMYFUNCTION("""COMPUTED_VALUE"""),"Ashish Ranjan2025-09-0515")</f>
        <v>Ashish Ranjan2025-09-0515</v>
      </c>
      <c r="K2480" s="115">
        <f>IFERROR(__xludf.DUMMYFUNCTION("""COMPUTED_VALUE"""),38357.0)</f>
        <v>38357</v>
      </c>
    </row>
    <row r="2481">
      <c r="A2481" s="115" t="str">
        <f>IFERROR(__xludf.DUMMYFUNCTION("""COMPUTED_VALUE"""),"EAST")</f>
        <v>EAST</v>
      </c>
      <c r="B2481" s="115" t="str">
        <f>IFERROR(__xludf.DUMMYFUNCTION("""COMPUTED_VALUE"""),"Ashish Ranjan")</f>
        <v>Ashish Ranjan</v>
      </c>
      <c r="C2481" s="115" t="str">
        <f>IFERROR(__xludf.DUMMYFUNCTION("""COMPUTED_VALUE"""),"FLIPKART")</f>
        <v>FLIPKART</v>
      </c>
      <c r="D2481" s="115">
        <f>IFERROR(__xludf.DUMMYFUNCTION("""COMPUTED_VALUE"""),554963.0)</f>
        <v>554963</v>
      </c>
      <c r="E2481" s="115">
        <f>IFERROR(__xludf.DUMMYFUNCTION("""COMPUTED_VALUE"""),52615.0)</f>
        <v>52615</v>
      </c>
      <c r="F2481" s="115">
        <f>IFERROR(__xludf.DUMMYFUNCTION("""COMPUTED_VALUE"""),385851.0)</f>
        <v>385851</v>
      </c>
      <c r="G2481" s="115">
        <f>IFERROR(__xludf.DUMMYFUNCTION("""COMPUTED_VALUE"""),19291.0)</f>
        <v>19291</v>
      </c>
      <c r="H2481" s="116">
        <f>IFERROR(__xludf.DUMMYFUNCTION("""COMPUTED_VALUE"""),45905.0)</f>
        <v>45905</v>
      </c>
      <c r="I2481" s="115" t="str">
        <f>IFERROR(__xludf.DUMMYFUNCTION("""COMPUTED_VALUE"""),"15")</f>
        <v>15</v>
      </c>
      <c r="J2481" s="115" t="str">
        <f>IFERROR(__xludf.DUMMYFUNCTION("""COMPUTED_VALUE"""),"Ashish Ranjan2025-09-0515")</f>
        <v>Ashish Ranjan2025-09-0515</v>
      </c>
      <c r="K2481" s="115">
        <f>IFERROR(__xludf.DUMMYFUNCTION("""COMPUTED_VALUE"""),607578.0)</f>
        <v>607578</v>
      </c>
    </row>
    <row r="2482">
      <c r="A2482" s="115" t="str">
        <f>IFERROR(__xludf.DUMMYFUNCTION("""COMPUTED_VALUE"""),"EAST")</f>
        <v>EAST</v>
      </c>
      <c r="B2482" s="115" t="str">
        <f>IFERROR(__xludf.DUMMYFUNCTION("""COMPUTED_VALUE"""),"Ashish Ranjan")</f>
        <v>Ashish Ranjan</v>
      </c>
      <c r="C2482" s="115" t="str">
        <f>IFERROR(__xludf.DUMMYFUNCTION("""COMPUTED_VALUE"""),"MYNTRA")</f>
        <v>MYNTRA</v>
      </c>
      <c r="D2482" s="115">
        <f>IFERROR(__xludf.DUMMYFUNCTION("""COMPUTED_VALUE"""),62898.0)</f>
        <v>62898</v>
      </c>
      <c r="E2482" s="115">
        <f>IFERROR(__xludf.DUMMYFUNCTION("""COMPUTED_VALUE"""),11341.0)</f>
        <v>11341</v>
      </c>
      <c r="F2482" s="115">
        <f>IFERROR(__xludf.DUMMYFUNCTION("""COMPUTED_VALUE"""),45739.0)</f>
        <v>45739</v>
      </c>
      <c r="G2482" s="115">
        <f>IFERROR(__xludf.DUMMYFUNCTION("""COMPUTED_VALUE"""),4215.0)</f>
        <v>4215</v>
      </c>
      <c r="H2482" s="116">
        <f>IFERROR(__xludf.DUMMYFUNCTION("""COMPUTED_VALUE"""),45905.0)</f>
        <v>45905</v>
      </c>
      <c r="I2482" s="115" t="str">
        <f>IFERROR(__xludf.DUMMYFUNCTION("""COMPUTED_VALUE"""),"15")</f>
        <v>15</v>
      </c>
      <c r="J2482" s="115" t="str">
        <f>IFERROR(__xludf.DUMMYFUNCTION("""COMPUTED_VALUE"""),"Ashish Ranjan2025-09-0515")</f>
        <v>Ashish Ranjan2025-09-0515</v>
      </c>
      <c r="K2482" s="115">
        <f>IFERROR(__xludf.DUMMYFUNCTION("""COMPUTED_VALUE"""),74239.0)</f>
        <v>74239</v>
      </c>
    </row>
    <row r="2483">
      <c r="A2483" s="115" t="str">
        <f>IFERROR(__xludf.DUMMYFUNCTION("""COMPUTED_VALUE"""),"EAST")</f>
        <v>EAST</v>
      </c>
      <c r="B2483" s="115" t="str">
        <f>IFERROR(__xludf.DUMMYFUNCTION("""COMPUTED_VALUE"""),"Girish Chand")</f>
        <v>Girish Chand</v>
      </c>
      <c r="C2483" s="115" t="str">
        <f>IFERROR(__xludf.DUMMYFUNCTION("""COMPUTED_VALUE"""),"EXTERNAL")</f>
        <v>EXTERNAL</v>
      </c>
      <c r="D2483" s="115">
        <f>IFERROR(__xludf.DUMMYFUNCTION("""COMPUTED_VALUE"""),22219.0)</f>
        <v>22219</v>
      </c>
      <c r="E2483" s="115">
        <f>IFERROR(__xludf.DUMMYFUNCTION("""COMPUTED_VALUE"""),1815.0)</f>
        <v>1815</v>
      </c>
      <c r="F2483" s="115">
        <f>IFERROR(__xludf.DUMMYFUNCTION("""COMPUTED_VALUE"""),7037.0)</f>
        <v>7037</v>
      </c>
      <c r="G2483" s="115">
        <f>IFERROR(__xludf.DUMMYFUNCTION("""COMPUTED_VALUE"""),233.0)</f>
        <v>233</v>
      </c>
      <c r="H2483" s="116">
        <f>IFERROR(__xludf.DUMMYFUNCTION("""COMPUTED_VALUE"""),45905.0)</f>
        <v>45905</v>
      </c>
      <c r="I2483" s="115" t="str">
        <f>IFERROR(__xludf.DUMMYFUNCTION("""COMPUTED_VALUE"""),"15")</f>
        <v>15</v>
      </c>
      <c r="J2483" s="115" t="str">
        <f>IFERROR(__xludf.DUMMYFUNCTION("""COMPUTED_VALUE"""),"Girish Chand2025-09-0515")</f>
        <v>Girish Chand2025-09-0515</v>
      </c>
      <c r="K2483" s="115">
        <f>IFERROR(__xludf.DUMMYFUNCTION("""COMPUTED_VALUE"""),24034.0)</f>
        <v>24034</v>
      </c>
    </row>
    <row r="2484">
      <c r="A2484" s="115" t="str">
        <f>IFERROR(__xludf.DUMMYFUNCTION("""COMPUTED_VALUE"""),"EAST")</f>
        <v>EAST</v>
      </c>
      <c r="B2484" s="115" t="str">
        <f>IFERROR(__xludf.DUMMYFUNCTION("""COMPUTED_VALUE"""),"Girish Chand")</f>
        <v>Girish Chand</v>
      </c>
      <c r="C2484" s="115" t="str">
        <f>IFERROR(__xludf.DUMMYFUNCTION("""COMPUTED_VALUE"""),"FLIPKART")</f>
        <v>FLIPKART</v>
      </c>
      <c r="D2484" s="115">
        <f>IFERROR(__xludf.DUMMYFUNCTION("""COMPUTED_VALUE"""),389963.0)</f>
        <v>389963</v>
      </c>
      <c r="E2484" s="115">
        <f>IFERROR(__xludf.DUMMYFUNCTION("""COMPUTED_VALUE"""),37253.0)</f>
        <v>37253</v>
      </c>
      <c r="F2484" s="115">
        <f>IFERROR(__xludf.DUMMYFUNCTION("""COMPUTED_VALUE"""),221069.0)</f>
        <v>221069</v>
      </c>
      <c r="G2484" s="115">
        <f>IFERROR(__xludf.DUMMYFUNCTION("""COMPUTED_VALUE"""),8625.0)</f>
        <v>8625</v>
      </c>
      <c r="H2484" s="116">
        <f>IFERROR(__xludf.DUMMYFUNCTION("""COMPUTED_VALUE"""),45905.0)</f>
        <v>45905</v>
      </c>
      <c r="I2484" s="115" t="str">
        <f>IFERROR(__xludf.DUMMYFUNCTION("""COMPUTED_VALUE"""),"15")</f>
        <v>15</v>
      </c>
      <c r="J2484" s="115" t="str">
        <f>IFERROR(__xludf.DUMMYFUNCTION("""COMPUTED_VALUE"""),"Girish Chand2025-09-0515")</f>
        <v>Girish Chand2025-09-0515</v>
      </c>
      <c r="K2484" s="115">
        <f>IFERROR(__xludf.DUMMYFUNCTION("""COMPUTED_VALUE"""),427216.0)</f>
        <v>427216</v>
      </c>
    </row>
    <row r="2485">
      <c r="A2485" s="115" t="str">
        <f>IFERROR(__xludf.DUMMYFUNCTION("""COMPUTED_VALUE"""),"EAST")</f>
        <v>EAST</v>
      </c>
      <c r="B2485" s="115" t="str">
        <f>IFERROR(__xludf.DUMMYFUNCTION("""COMPUTED_VALUE"""),"Girish Chand")</f>
        <v>Girish Chand</v>
      </c>
      <c r="C2485" s="115" t="str">
        <f>IFERROR(__xludf.DUMMYFUNCTION("""COMPUTED_VALUE"""),"MYNTRA")</f>
        <v>MYNTRA</v>
      </c>
      <c r="D2485" s="115">
        <f>IFERROR(__xludf.DUMMYFUNCTION("""COMPUTED_VALUE"""),34186.0)</f>
        <v>34186</v>
      </c>
      <c r="E2485" s="115">
        <f>IFERROR(__xludf.DUMMYFUNCTION("""COMPUTED_VALUE"""),6491.0)</f>
        <v>6491</v>
      </c>
      <c r="F2485" s="115">
        <f>IFERROR(__xludf.DUMMYFUNCTION("""COMPUTED_VALUE"""),21026.0)</f>
        <v>21026</v>
      </c>
      <c r="G2485" s="115">
        <f>IFERROR(__xludf.DUMMYFUNCTION("""COMPUTED_VALUE"""),1695.0)</f>
        <v>1695</v>
      </c>
      <c r="H2485" s="116">
        <f>IFERROR(__xludf.DUMMYFUNCTION("""COMPUTED_VALUE"""),45905.0)</f>
        <v>45905</v>
      </c>
      <c r="I2485" s="115" t="str">
        <f>IFERROR(__xludf.DUMMYFUNCTION("""COMPUTED_VALUE"""),"15")</f>
        <v>15</v>
      </c>
      <c r="J2485" s="115" t="str">
        <f>IFERROR(__xludf.DUMMYFUNCTION("""COMPUTED_VALUE"""),"Girish Chand2025-09-0515")</f>
        <v>Girish Chand2025-09-0515</v>
      </c>
      <c r="K2485" s="115">
        <f>IFERROR(__xludf.DUMMYFUNCTION("""COMPUTED_VALUE"""),40677.0)</f>
        <v>40677</v>
      </c>
    </row>
    <row r="2486">
      <c r="A2486" s="115" t="str">
        <f>IFERROR(__xludf.DUMMYFUNCTION("""COMPUTED_VALUE"""),"EAST")</f>
        <v>EAST</v>
      </c>
      <c r="B2486" s="115" t="str">
        <f>IFERROR(__xludf.DUMMYFUNCTION("""COMPUTED_VALUE"""),"Parag Kashyap")</f>
        <v>Parag Kashyap</v>
      </c>
      <c r="C2486" s="115" t="str">
        <f>IFERROR(__xludf.DUMMYFUNCTION("""COMPUTED_VALUE"""),"EXTERNAL")</f>
        <v>EXTERNAL</v>
      </c>
      <c r="D2486" s="115">
        <f>IFERROR(__xludf.DUMMYFUNCTION("""COMPUTED_VALUE"""),18552.0)</f>
        <v>18552</v>
      </c>
      <c r="E2486" s="115">
        <f>IFERROR(__xludf.DUMMYFUNCTION("""COMPUTED_VALUE"""),947.0)</f>
        <v>947</v>
      </c>
      <c r="F2486" s="115">
        <f>IFERROR(__xludf.DUMMYFUNCTION("""COMPUTED_VALUE"""),5152.0)</f>
        <v>5152</v>
      </c>
      <c r="G2486" s="115">
        <f>IFERROR(__xludf.DUMMYFUNCTION("""COMPUTED_VALUE"""),92.0)</f>
        <v>92</v>
      </c>
      <c r="H2486" s="116">
        <f>IFERROR(__xludf.DUMMYFUNCTION("""COMPUTED_VALUE"""),45905.0)</f>
        <v>45905</v>
      </c>
      <c r="I2486" s="115" t="str">
        <f>IFERROR(__xludf.DUMMYFUNCTION("""COMPUTED_VALUE"""),"15")</f>
        <v>15</v>
      </c>
      <c r="J2486" s="115" t="str">
        <f>IFERROR(__xludf.DUMMYFUNCTION("""COMPUTED_VALUE"""),"Parag Kashyap2025-09-0515")</f>
        <v>Parag Kashyap2025-09-0515</v>
      </c>
      <c r="K2486" s="115">
        <f>IFERROR(__xludf.DUMMYFUNCTION("""COMPUTED_VALUE"""),19499.0)</f>
        <v>19499</v>
      </c>
    </row>
    <row r="2487">
      <c r="A2487" s="115" t="str">
        <f>IFERROR(__xludf.DUMMYFUNCTION("""COMPUTED_VALUE"""),"EAST")</f>
        <v>EAST</v>
      </c>
      <c r="B2487" s="115" t="str">
        <f>IFERROR(__xludf.DUMMYFUNCTION("""COMPUTED_VALUE"""),"Parag Kashyap")</f>
        <v>Parag Kashyap</v>
      </c>
      <c r="C2487" s="115" t="str">
        <f>IFERROR(__xludf.DUMMYFUNCTION("""COMPUTED_VALUE"""),"FLIPKART")</f>
        <v>FLIPKART</v>
      </c>
      <c r="D2487" s="115">
        <f>IFERROR(__xludf.DUMMYFUNCTION("""COMPUTED_VALUE"""),286412.0)</f>
        <v>286412</v>
      </c>
      <c r="E2487" s="115">
        <f>IFERROR(__xludf.DUMMYFUNCTION("""COMPUTED_VALUE"""),18622.0)</f>
        <v>18622</v>
      </c>
      <c r="F2487" s="115">
        <f>IFERROR(__xludf.DUMMYFUNCTION("""COMPUTED_VALUE"""),145869.0)</f>
        <v>145869</v>
      </c>
      <c r="G2487" s="115">
        <f>IFERROR(__xludf.DUMMYFUNCTION("""COMPUTED_VALUE"""),3103.0)</f>
        <v>3103</v>
      </c>
      <c r="H2487" s="116">
        <f>IFERROR(__xludf.DUMMYFUNCTION("""COMPUTED_VALUE"""),45905.0)</f>
        <v>45905</v>
      </c>
      <c r="I2487" s="115" t="str">
        <f>IFERROR(__xludf.DUMMYFUNCTION("""COMPUTED_VALUE"""),"15")</f>
        <v>15</v>
      </c>
      <c r="J2487" s="115" t="str">
        <f>IFERROR(__xludf.DUMMYFUNCTION("""COMPUTED_VALUE"""),"Parag Kashyap2025-09-0515")</f>
        <v>Parag Kashyap2025-09-0515</v>
      </c>
      <c r="K2487" s="115">
        <f>IFERROR(__xludf.DUMMYFUNCTION("""COMPUTED_VALUE"""),305034.0)</f>
        <v>305034</v>
      </c>
    </row>
    <row r="2488">
      <c r="A2488" s="115" t="str">
        <f>IFERROR(__xludf.DUMMYFUNCTION("""COMPUTED_VALUE"""),"EAST")</f>
        <v>EAST</v>
      </c>
      <c r="B2488" s="115" t="str">
        <f>IFERROR(__xludf.DUMMYFUNCTION("""COMPUTED_VALUE"""),"Parag Kashyap")</f>
        <v>Parag Kashyap</v>
      </c>
      <c r="C2488" s="115" t="str">
        <f>IFERROR(__xludf.DUMMYFUNCTION("""COMPUTED_VALUE"""),"MYNTRA")</f>
        <v>MYNTRA</v>
      </c>
      <c r="D2488" s="115">
        <f>IFERROR(__xludf.DUMMYFUNCTION("""COMPUTED_VALUE"""),32709.0)</f>
        <v>32709</v>
      </c>
      <c r="E2488" s="115">
        <f>IFERROR(__xludf.DUMMYFUNCTION("""COMPUTED_VALUE"""),5046.0)</f>
        <v>5046</v>
      </c>
      <c r="F2488" s="115">
        <f>IFERROR(__xludf.DUMMYFUNCTION("""COMPUTED_VALUE"""),17719.0)</f>
        <v>17719</v>
      </c>
      <c r="G2488" s="115">
        <f>IFERROR(__xludf.DUMMYFUNCTION("""COMPUTED_VALUE"""),810.0)</f>
        <v>810</v>
      </c>
      <c r="H2488" s="116">
        <f>IFERROR(__xludf.DUMMYFUNCTION("""COMPUTED_VALUE"""),45905.0)</f>
        <v>45905</v>
      </c>
      <c r="I2488" s="115" t="str">
        <f>IFERROR(__xludf.DUMMYFUNCTION("""COMPUTED_VALUE"""),"15")</f>
        <v>15</v>
      </c>
      <c r="J2488" s="115" t="str">
        <f>IFERROR(__xludf.DUMMYFUNCTION("""COMPUTED_VALUE"""),"Parag Kashyap2025-09-0515")</f>
        <v>Parag Kashyap2025-09-0515</v>
      </c>
      <c r="K2488" s="115">
        <f>IFERROR(__xludf.DUMMYFUNCTION("""COMPUTED_VALUE"""),37755.0)</f>
        <v>37755</v>
      </c>
    </row>
    <row r="2489">
      <c r="A2489" s="115" t="str">
        <f>IFERROR(__xludf.DUMMYFUNCTION("""COMPUTED_VALUE"""),"NORTH")</f>
        <v>NORTH</v>
      </c>
      <c r="B2489" s="115" t="str">
        <f>IFERROR(__xludf.DUMMYFUNCTION("""COMPUTED_VALUE"""),"Amit Kumar Pathak")</f>
        <v>Amit Kumar Pathak</v>
      </c>
      <c r="C2489" s="115" t="str">
        <f>IFERROR(__xludf.DUMMYFUNCTION("""COMPUTED_VALUE"""),"EXTERNAL")</f>
        <v>EXTERNAL</v>
      </c>
      <c r="D2489" s="115">
        <f>IFERROR(__xludf.DUMMYFUNCTION("""COMPUTED_VALUE"""),22981.0)</f>
        <v>22981</v>
      </c>
      <c r="E2489" s="115">
        <f>IFERROR(__xludf.DUMMYFUNCTION("""COMPUTED_VALUE"""),2964.0)</f>
        <v>2964</v>
      </c>
      <c r="F2489" s="115">
        <f>IFERROR(__xludf.DUMMYFUNCTION("""COMPUTED_VALUE"""),6315.0)</f>
        <v>6315</v>
      </c>
      <c r="G2489" s="115">
        <f>IFERROR(__xludf.DUMMYFUNCTION("""COMPUTED_VALUE"""),939.0)</f>
        <v>939</v>
      </c>
      <c r="H2489" s="116">
        <f>IFERROR(__xludf.DUMMYFUNCTION("""COMPUTED_VALUE"""),45905.0)</f>
        <v>45905</v>
      </c>
      <c r="I2489" s="115" t="str">
        <f>IFERROR(__xludf.DUMMYFUNCTION("""COMPUTED_VALUE"""),"15")</f>
        <v>15</v>
      </c>
      <c r="J2489" s="115" t="str">
        <f>IFERROR(__xludf.DUMMYFUNCTION("""COMPUTED_VALUE"""),"Amit Kumar Pathak2025-09-0515")</f>
        <v>Amit Kumar Pathak2025-09-0515</v>
      </c>
      <c r="K2489" s="115">
        <f>IFERROR(__xludf.DUMMYFUNCTION("""COMPUTED_VALUE"""),25945.0)</f>
        <v>25945</v>
      </c>
    </row>
    <row r="2490">
      <c r="A2490" s="115" t="str">
        <f>IFERROR(__xludf.DUMMYFUNCTION("""COMPUTED_VALUE"""),"NORTH")</f>
        <v>NORTH</v>
      </c>
      <c r="B2490" s="115" t="str">
        <f>IFERROR(__xludf.DUMMYFUNCTION("""COMPUTED_VALUE"""),"Amit Kumar Pathak")</f>
        <v>Amit Kumar Pathak</v>
      </c>
      <c r="C2490" s="115" t="str">
        <f>IFERROR(__xludf.DUMMYFUNCTION("""COMPUTED_VALUE"""),"FLIPKART")</f>
        <v>FLIPKART</v>
      </c>
      <c r="D2490" s="115">
        <f>IFERROR(__xludf.DUMMYFUNCTION("""COMPUTED_VALUE"""),156273.0)</f>
        <v>156273</v>
      </c>
      <c r="E2490" s="115">
        <f>IFERROR(__xludf.DUMMYFUNCTION("""COMPUTED_VALUE"""),24474.0)</f>
        <v>24474</v>
      </c>
      <c r="F2490" s="115">
        <f>IFERROR(__xludf.DUMMYFUNCTION("""COMPUTED_VALUE"""),79077.0)</f>
        <v>79077</v>
      </c>
      <c r="G2490" s="115">
        <f>IFERROR(__xludf.DUMMYFUNCTION("""COMPUTED_VALUE"""),9052.0)</f>
        <v>9052</v>
      </c>
      <c r="H2490" s="116">
        <f>IFERROR(__xludf.DUMMYFUNCTION("""COMPUTED_VALUE"""),45905.0)</f>
        <v>45905</v>
      </c>
      <c r="I2490" s="115" t="str">
        <f>IFERROR(__xludf.DUMMYFUNCTION("""COMPUTED_VALUE"""),"15")</f>
        <v>15</v>
      </c>
      <c r="J2490" s="115" t="str">
        <f>IFERROR(__xludf.DUMMYFUNCTION("""COMPUTED_VALUE"""),"Amit Kumar Pathak2025-09-0515")</f>
        <v>Amit Kumar Pathak2025-09-0515</v>
      </c>
      <c r="K2490" s="115">
        <f>IFERROR(__xludf.DUMMYFUNCTION("""COMPUTED_VALUE"""),180747.0)</f>
        <v>180747</v>
      </c>
    </row>
    <row r="2491">
      <c r="A2491" s="115" t="str">
        <f>IFERROR(__xludf.DUMMYFUNCTION("""COMPUTED_VALUE"""),"NORTH")</f>
        <v>NORTH</v>
      </c>
      <c r="B2491" s="115" t="str">
        <f>IFERROR(__xludf.DUMMYFUNCTION("""COMPUTED_VALUE"""),"Amit Kumar Pathak")</f>
        <v>Amit Kumar Pathak</v>
      </c>
      <c r="C2491" s="115" t="str">
        <f>IFERROR(__xludf.DUMMYFUNCTION("""COMPUTED_VALUE"""),"MYNTRA")</f>
        <v>MYNTRA</v>
      </c>
      <c r="D2491" s="115">
        <f>IFERROR(__xludf.DUMMYFUNCTION("""COMPUTED_VALUE"""),14953.0)</f>
        <v>14953</v>
      </c>
      <c r="E2491" s="115">
        <f>IFERROR(__xludf.DUMMYFUNCTION("""COMPUTED_VALUE"""),5999.0)</f>
        <v>5999</v>
      </c>
      <c r="F2491" s="115">
        <f>IFERROR(__xludf.DUMMYFUNCTION("""COMPUTED_VALUE"""),9366.0)</f>
        <v>9366</v>
      </c>
      <c r="G2491" s="115">
        <f>IFERROR(__xludf.DUMMYFUNCTION("""COMPUTED_VALUE"""),2419.0)</f>
        <v>2419</v>
      </c>
      <c r="H2491" s="116">
        <f>IFERROR(__xludf.DUMMYFUNCTION("""COMPUTED_VALUE"""),45905.0)</f>
        <v>45905</v>
      </c>
      <c r="I2491" s="115" t="str">
        <f>IFERROR(__xludf.DUMMYFUNCTION("""COMPUTED_VALUE"""),"15")</f>
        <v>15</v>
      </c>
      <c r="J2491" s="115" t="str">
        <f>IFERROR(__xludf.DUMMYFUNCTION("""COMPUTED_VALUE"""),"Amit Kumar Pathak2025-09-0515")</f>
        <v>Amit Kumar Pathak2025-09-0515</v>
      </c>
      <c r="K2491" s="115">
        <f>IFERROR(__xludf.DUMMYFUNCTION("""COMPUTED_VALUE"""),20952.0)</f>
        <v>20952</v>
      </c>
    </row>
    <row r="2492">
      <c r="A2492" s="115" t="str">
        <f>IFERROR(__xludf.DUMMYFUNCTION("""COMPUTED_VALUE"""),"NORTH")</f>
        <v>NORTH</v>
      </c>
      <c r="B2492" s="115" t="str">
        <f>IFERROR(__xludf.DUMMYFUNCTION("""COMPUTED_VALUE"""),"Loveleen Singh")</f>
        <v>Loveleen Singh</v>
      </c>
      <c r="C2492" s="115" t="str">
        <f>IFERROR(__xludf.DUMMYFUNCTION("""COMPUTED_VALUE"""),"EXTERNAL")</f>
        <v>EXTERNAL</v>
      </c>
      <c r="D2492" s="115">
        <f>IFERROR(__xludf.DUMMYFUNCTION("""COMPUTED_VALUE"""),35825.0)</f>
        <v>35825</v>
      </c>
      <c r="E2492" s="115">
        <f>IFERROR(__xludf.DUMMYFUNCTION("""COMPUTED_VALUE"""),2168.0)</f>
        <v>2168</v>
      </c>
      <c r="F2492" s="115">
        <f>IFERROR(__xludf.DUMMYFUNCTION("""COMPUTED_VALUE"""),9898.0)</f>
        <v>9898</v>
      </c>
      <c r="G2492" s="115">
        <f>IFERROR(__xludf.DUMMYFUNCTION("""COMPUTED_VALUE"""),348.0)</f>
        <v>348</v>
      </c>
      <c r="H2492" s="116">
        <f>IFERROR(__xludf.DUMMYFUNCTION("""COMPUTED_VALUE"""),45905.0)</f>
        <v>45905</v>
      </c>
      <c r="I2492" s="115" t="str">
        <f>IFERROR(__xludf.DUMMYFUNCTION("""COMPUTED_VALUE"""),"15")</f>
        <v>15</v>
      </c>
      <c r="J2492" s="115" t="str">
        <f>IFERROR(__xludf.DUMMYFUNCTION("""COMPUTED_VALUE"""),"Loveleen Singh2025-09-0515")</f>
        <v>Loveleen Singh2025-09-0515</v>
      </c>
      <c r="K2492" s="115">
        <f>IFERROR(__xludf.DUMMYFUNCTION("""COMPUTED_VALUE"""),37993.0)</f>
        <v>37993</v>
      </c>
    </row>
    <row r="2493">
      <c r="A2493" s="115" t="str">
        <f>IFERROR(__xludf.DUMMYFUNCTION("""COMPUTED_VALUE"""),"NORTH")</f>
        <v>NORTH</v>
      </c>
      <c r="B2493" s="115" t="str">
        <f>IFERROR(__xludf.DUMMYFUNCTION("""COMPUTED_VALUE"""),"Loveleen Singh")</f>
        <v>Loveleen Singh</v>
      </c>
      <c r="C2493" s="115" t="str">
        <f>IFERROR(__xludf.DUMMYFUNCTION("""COMPUTED_VALUE"""),"FLIPKART")</f>
        <v>FLIPKART</v>
      </c>
      <c r="D2493" s="115">
        <f>IFERROR(__xludf.DUMMYFUNCTION("""COMPUTED_VALUE"""),167424.0)</f>
        <v>167424</v>
      </c>
      <c r="E2493" s="115">
        <f>IFERROR(__xludf.DUMMYFUNCTION("""COMPUTED_VALUE"""),15576.0)</f>
        <v>15576</v>
      </c>
      <c r="F2493" s="115">
        <f>IFERROR(__xludf.DUMMYFUNCTION("""COMPUTED_VALUE"""),88673.0)</f>
        <v>88673</v>
      </c>
      <c r="G2493" s="115">
        <f>IFERROR(__xludf.DUMMYFUNCTION("""COMPUTED_VALUE"""),3940.0)</f>
        <v>3940</v>
      </c>
      <c r="H2493" s="116">
        <f>IFERROR(__xludf.DUMMYFUNCTION("""COMPUTED_VALUE"""),45905.0)</f>
        <v>45905</v>
      </c>
      <c r="I2493" s="115" t="str">
        <f>IFERROR(__xludf.DUMMYFUNCTION("""COMPUTED_VALUE"""),"15")</f>
        <v>15</v>
      </c>
      <c r="J2493" s="115" t="str">
        <f>IFERROR(__xludf.DUMMYFUNCTION("""COMPUTED_VALUE"""),"Loveleen Singh2025-09-0515")</f>
        <v>Loveleen Singh2025-09-0515</v>
      </c>
      <c r="K2493" s="115">
        <f>IFERROR(__xludf.DUMMYFUNCTION("""COMPUTED_VALUE"""),183000.0)</f>
        <v>183000</v>
      </c>
    </row>
    <row r="2494">
      <c r="A2494" s="115" t="str">
        <f>IFERROR(__xludf.DUMMYFUNCTION("""COMPUTED_VALUE"""),"NORTH")</f>
        <v>NORTH</v>
      </c>
      <c r="B2494" s="115" t="str">
        <f>IFERROR(__xludf.DUMMYFUNCTION("""COMPUTED_VALUE"""),"Loveleen Singh")</f>
        <v>Loveleen Singh</v>
      </c>
      <c r="C2494" s="115" t="str">
        <f>IFERROR(__xludf.DUMMYFUNCTION("""COMPUTED_VALUE"""),"MYNTRA")</f>
        <v>MYNTRA</v>
      </c>
      <c r="D2494" s="115">
        <f>IFERROR(__xludf.DUMMYFUNCTION("""COMPUTED_VALUE"""),26669.0)</f>
        <v>26669</v>
      </c>
      <c r="E2494" s="115">
        <f>IFERROR(__xludf.DUMMYFUNCTION("""COMPUTED_VALUE"""),5977.0)</f>
        <v>5977</v>
      </c>
      <c r="F2494" s="115">
        <f>IFERROR(__xludf.DUMMYFUNCTION("""COMPUTED_VALUE"""),16130.0)</f>
        <v>16130</v>
      </c>
      <c r="G2494" s="115">
        <f>IFERROR(__xludf.DUMMYFUNCTION("""COMPUTED_VALUE"""),1711.0)</f>
        <v>1711</v>
      </c>
      <c r="H2494" s="116">
        <f>IFERROR(__xludf.DUMMYFUNCTION("""COMPUTED_VALUE"""),45905.0)</f>
        <v>45905</v>
      </c>
      <c r="I2494" s="115" t="str">
        <f>IFERROR(__xludf.DUMMYFUNCTION("""COMPUTED_VALUE"""),"15")</f>
        <v>15</v>
      </c>
      <c r="J2494" s="115" t="str">
        <f>IFERROR(__xludf.DUMMYFUNCTION("""COMPUTED_VALUE"""),"Loveleen Singh2025-09-0515")</f>
        <v>Loveleen Singh2025-09-0515</v>
      </c>
      <c r="K2494" s="115">
        <f>IFERROR(__xludf.DUMMYFUNCTION("""COMPUTED_VALUE"""),32646.0)</f>
        <v>32646</v>
      </c>
    </row>
    <row r="2495">
      <c r="A2495" s="115" t="str">
        <f>IFERROR(__xludf.DUMMYFUNCTION("""COMPUTED_VALUE"""),"NORTH")</f>
        <v>NORTH</v>
      </c>
      <c r="B2495" s="115" t="str">
        <f>IFERROR(__xludf.DUMMYFUNCTION("""COMPUTED_VALUE"""),"Manoj Harsh")</f>
        <v>Manoj Harsh</v>
      </c>
      <c r="C2495" s="115" t="str">
        <f>IFERROR(__xludf.DUMMYFUNCTION("""COMPUTED_VALUE"""),"EXTERNAL")</f>
        <v>EXTERNAL</v>
      </c>
      <c r="D2495" s="115">
        <f>IFERROR(__xludf.DUMMYFUNCTION("""COMPUTED_VALUE"""),33157.0)</f>
        <v>33157</v>
      </c>
      <c r="E2495" s="115">
        <f>IFERROR(__xludf.DUMMYFUNCTION("""COMPUTED_VALUE"""),2599.0)</f>
        <v>2599</v>
      </c>
      <c r="F2495" s="115">
        <f>IFERROR(__xludf.DUMMYFUNCTION("""COMPUTED_VALUE"""),9754.0)</f>
        <v>9754</v>
      </c>
      <c r="G2495" s="115">
        <f>IFERROR(__xludf.DUMMYFUNCTION("""COMPUTED_VALUE"""),340.0)</f>
        <v>340</v>
      </c>
      <c r="H2495" s="116">
        <f>IFERROR(__xludf.DUMMYFUNCTION("""COMPUTED_VALUE"""),45905.0)</f>
        <v>45905</v>
      </c>
      <c r="I2495" s="115" t="str">
        <f>IFERROR(__xludf.DUMMYFUNCTION("""COMPUTED_VALUE"""),"15")</f>
        <v>15</v>
      </c>
      <c r="J2495" s="115" t="str">
        <f>IFERROR(__xludf.DUMMYFUNCTION("""COMPUTED_VALUE"""),"Manoj Harsh2025-09-0515")</f>
        <v>Manoj Harsh2025-09-0515</v>
      </c>
      <c r="K2495" s="115">
        <f>IFERROR(__xludf.DUMMYFUNCTION("""COMPUTED_VALUE"""),35756.0)</f>
        <v>35756</v>
      </c>
    </row>
    <row r="2496">
      <c r="A2496" s="115" t="str">
        <f>IFERROR(__xludf.DUMMYFUNCTION("""COMPUTED_VALUE"""),"NORTH")</f>
        <v>NORTH</v>
      </c>
      <c r="B2496" s="115" t="str">
        <f>IFERROR(__xludf.DUMMYFUNCTION("""COMPUTED_VALUE"""),"Manoj Harsh")</f>
        <v>Manoj Harsh</v>
      </c>
      <c r="C2496" s="115" t="str">
        <f>IFERROR(__xludf.DUMMYFUNCTION("""COMPUTED_VALUE"""),"FLIPKART")</f>
        <v>FLIPKART</v>
      </c>
      <c r="D2496" s="115">
        <f>IFERROR(__xludf.DUMMYFUNCTION("""COMPUTED_VALUE"""),403281.0)</f>
        <v>403281</v>
      </c>
      <c r="E2496" s="115">
        <f>IFERROR(__xludf.DUMMYFUNCTION("""COMPUTED_VALUE"""),39140.0)</f>
        <v>39140</v>
      </c>
      <c r="F2496" s="115">
        <f>IFERROR(__xludf.DUMMYFUNCTION("""COMPUTED_VALUE"""),209667.0)</f>
        <v>209667</v>
      </c>
      <c r="G2496" s="115">
        <f>IFERROR(__xludf.DUMMYFUNCTION("""COMPUTED_VALUE"""),8598.0)</f>
        <v>8598</v>
      </c>
      <c r="H2496" s="116">
        <f>IFERROR(__xludf.DUMMYFUNCTION("""COMPUTED_VALUE"""),45905.0)</f>
        <v>45905</v>
      </c>
      <c r="I2496" s="115" t="str">
        <f>IFERROR(__xludf.DUMMYFUNCTION("""COMPUTED_VALUE"""),"15")</f>
        <v>15</v>
      </c>
      <c r="J2496" s="115" t="str">
        <f>IFERROR(__xludf.DUMMYFUNCTION("""COMPUTED_VALUE"""),"Manoj Harsh2025-09-0515")</f>
        <v>Manoj Harsh2025-09-0515</v>
      </c>
      <c r="K2496" s="115">
        <f>IFERROR(__xludf.DUMMYFUNCTION("""COMPUTED_VALUE"""),442421.0)</f>
        <v>442421</v>
      </c>
    </row>
    <row r="2497">
      <c r="A2497" s="115" t="str">
        <f>IFERROR(__xludf.DUMMYFUNCTION("""COMPUTED_VALUE"""),"NORTH")</f>
        <v>NORTH</v>
      </c>
      <c r="B2497" s="115" t="str">
        <f>IFERROR(__xludf.DUMMYFUNCTION("""COMPUTED_VALUE"""),"Manoj Harsh")</f>
        <v>Manoj Harsh</v>
      </c>
      <c r="C2497" s="115" t="str">
        <f>IFERROR(__xludf.DUMMYFUNCTION("""COMPUTED_VALUE"""),"MYNTRA")</f>
        <v>MYNTRA</v>
      </c>
      <c r="D2497" s="115">
        <f>IFERROR(__xludf.DUMMYFUNCTION("""COMPUTED_VALUE"""),37680.0)</f>
        <v>37680</v>
      </c>
      <c r="E2497" s="115">
        <f>IFERROR(__xludf.DUMMYFUNCTION("""COMPUTED_VALUE"""),7489.0)</f>
        <v>7489</v>
      </c>
      <c r="F2497" s="115">
        <f>IFERROR(__xludf.DUMMYFUNCTION("""COMPUTED_VALUE"""),22259.0)</f>
        <v>22259</v>
      </c>
      <c r="G2497" s="115">
        <f>IFERROR(__xludf.DUMMYFUNCTION("""COMPUTED_VALUE"""),1882.0)</f>
        <v>1882</v>
      </c>
      <c r="H2497" s="116">
        <f>IFERROR(__xludf.DUMMYFUNCTION("""COMPUTED_VALUE"""),45905.0)</f>
        <v>45905</v>
      </c>
      <c r="I2497" s="115" t="str">
        <f>IFERROR(__xludf.DUMMYFUNCTION("""COMPUTED_VALUE"""),"15")</f>
        <v>15</v>
      </c>
      <c r="J2497" s="115" t="str">
        <f>IFERROR(__xludf.DUMMYFUNCTION("""COMPUTED_VALUE"""),"Manoj Harsh2025-09-0515")</f>
        <v>Manoj Harsh2025-09-0515</v>
      </c>
      <c r="K2497" s="115">
        <f>IFERROR(__xludf.DUMMYFUNCTION("""COMPUTED_VALUE"""),45169.0)</f>
        <v>45169</v>
      </c>
    </row>
    <row r="2498">
      <c r="A2498" s="115" t="str">
        <f>IFERROR(__xludf.DUMMYFUNCTION("""COMPUTED_VALUE"""),"NORTH")</f>
        <v>NORTH</v>
      </c>
      <c r="B2498" s="115" t="str">
        <f>IFERROR(__xludf.DUMMYFUNCTION("""COMPUTED_VALUE"""),"Pradeep Kothari")</f>
        <v>Pradeep Kothari</v>
      </c>
      <c r="C2498" s="115" t="str">
        <f>IFERROR(__xludf.DUMMYFUNCTION("""COMPUTED_VALUE"""),"EXTERNAL")</f>
        <v>EXTERNAL</v>
      </c>
      <c r="D2498" s="115">
        <f>IFERROR(__xludf.DUMMYFUNCTION("""COMPUTED_VALUE"""),18493.0)</f>
        <v>18493</v>
      </c>
      <c r="E2498" s="115">
        <f>IFERROR(__xludf.DUMMYFUNCTION("""COMPUTED_VALUE"""),1822.0)</f>
        <v>1822</v>
      </c>
      <c r="F2498" s="115">
        <f>IFERROR(__xludf.DUMMYFUNCTION("""COMPUTED_VALUE"""),5953.0)</f>
        <v>5953</v>
      </c>
      <c r="G2498" s="115">
        <f>IFERROR(__xludf.DUMMYFUNCTION("""COMPUTED_VALUE"""),377.0)</f>
        <v>377</v>
      </c>
      <c r="H2498" s="116">
        <f>IFERROR(__xludf.DUMMYFUNCTION("""COMPUTED_VALUE"""),45905.0)</f>
        <v>45905</v>
      </c>
      <c r="I2498" s="115" t="str">
        <f>IFERROR(__xludf.DUMMYFUNCTION("""COMPUTED_VALUE"""),"15")</f>
        <v>15</v>
      </c>
      <c r="J2498" s="115" t="str">
        <f>IFERROR(__xludf.DUMMYFUNCTION("""COMPUTED_VALUE"""),"Pradeep Kothari2025-09-0515")</f>
        <v>Pradeep Kothari2025-09-0515</v>
      </c>
      <c r="K2498" s="115">
        <f>IFERROR(__xludf.DUMMYFUNCTION("""COMPUTED_VALUE"""),20315.0)</f>
        <v>20315</v>
      </c>
    </row>
    <row r="2499">
      <c r="A2499" s="115" t="str">
        <f>IFERROR(__xludf.DUMMYFUNCTION("""COMPUTED_VALUE"""),"NORTH")</f>
        <v>NORTH</v>
      </c>
      <c r="B2499" s="115" t="str">
        <f>IFERROR(__xludf.DUMMYFUNCTION("""COMPUTED_VALUE"""),"Pradeep Kothari")</f>
        <v>Pradeep Kothari</v>
      </c>
      <c r="C2499" s="115" t="str">
        <f>IFERROR(__xludf.DUMMYFUNCTION("""COMPUTED_VALUE"""),"FLIPKART")</f>
        <v>FLIPKART</v>
      </c>
      <c r="D2499" s="115">
        <f>IFERROR(__xludf.DUMMYFUNCTION("""COMPUTED_VALUE"""),138731.0)</f>
        <v>138731</v>
      </c>
      <c r="E2499" s="115">
        <f>IFERROR(__xludf.DUMMYFUNCTION("""COMPUTED_VALUE"""),16672.0)</f>
        <v>16672</v>
      </c>
      <c r="F2499" s="115">
        <f>IFERROR(__xludf.DUMMYFUNCTION("""COMPUTED_VALUE"""),80812.0)</f>
        <v>80812</v>
      </c>
      <c r="G2499" s="115">
        <f>IFERROR(__xludf.DUMMYFUNCTION("""COMPUTED_VALUE"""),5441.0)</f>
        <v>5441</v>
      </c>
      <c r="H2499" s="116">
        <f>IFERROR(__xludf.DUMMYFUNCTION("""COMPUTED_VALUE"""),45905.0)</f>
        <v>45905</v>
      </c>
      <c r="I2499" s="115" t="str">
        <f>IFERROR(__xludf.DUMMYFUNCTION("""COMPUTED_VALUE"""),"15")</f>
        <v>15</v>
      </c>
      <c r="J2499" s="115" t="str">
        <f>IFERROR(__xludf.DUMMYFUNCTION("""COMPUTED_VALUE"""),"Pradeep Kothari2025-09-0515")</f>
        <v>Pradeep Kothari2025-09-0515</v>
      </c>
      <c r="K2499" s="115">
        <f>IFERROR(__xludf.DUMMYFUNCTION("""COMPUTED_VALUE"""),155403.0)</f>
        <v>155403</v>
      </c>
    </row>
    <row r="2500">
      <c r="A2500" s="115" t="str">
        <f>IFERROR(__xludf.DUMMYFUNCTION("""COMPUTED_VALUE"""),"NORTH")</f>
        <v>NORTH</v>
      </c>
      <c r="B2500" s="115" t="str">
        <f>IFERROR(__xludf.DUMMYFUNCTION("""COMPUTED_VALUE"""),"Pradeep Kothari")</f>
        <v>Pradeep Kothari</v>
      </c>
      <c r="C2500" s="115" t="str">
        <f>IFERROR(__xludf.DUMMYFUNCTION("""COMPUTED_VALUE"""),"MYNTRA")</f>
        <v>MYNTRA</v>
      </c>
      <c r="D2500" s="115">
        <f>IFERROR(__xludf.DUMMYFUNCTION("""COMPUTED_VALUE"""),24334.0)</f>
        <v>24334</v>
      </c>
      <c r="E2500" s="115">
        <f>IFERROR(__xludf.DUMMYFUNCTION("""COMPUTED_VALUE"""),6282.0)</f>
        <v>6282</v>
      </c>
      <c r="F2500" s="115">
        <f>IFERROR(__xludf.DUMMYFUNCTION("""COMPUTED_VALUE"""),16686.0)</f>
        <v>16686</v>
      </c>
      <c r="G2500" s="115">
        <f>IFERROR(__xludf.DUMMYFUNCTION("""COMPUTED_VALUE"""),2452.0)</f>
        <v>2452</v>
      </c>
      <c r="H2500" s="116">
        <f>IFERROR(__xludf.DUMMYFUNCTION("""COMPUTED_VALUE"""),45905.0)</f>
        <v>45905</v>
      </c>
      <c r="I2500" s="115" t="str">
        <f>IFERROR(__xludf.DUMMYFUNCTION("""COMPUTED_VALUE"""),"15")</f>
        <v>15</v>
      </c>
      <c r="J2500" s="115" t="str">
        <f>IFERROR(__xludf.DUMMYFUNCTION("""COMPUTED_VALUE"""),"Pradeep Kothari2025-09-0515")</f>
        <v>Pradeep Kothari2025-09-0515</v>
      </c>
      <c r="K2500" s="115">
        <f>IFERROR(__xludf.DUMMYFUNCTION("""COMPUTED_VALUE"""),30616.0)</f>
        <v>30616</v>
      </c>
    </row>
    <row r="2501">
      <c r="A2501" s="115" t="str">
        <f>IFERROR(__xludf.DUMMYFUNCTION("""COMPUTED_VALUE"""),"North")</f>
        <v>North</v>
      </c>
      <c r="B2501" s="115"/>
      <c r="C2501" s="115" t="str">
        <f>IFERROR(__xludf.DUMMYFUNCTION("""COMPUTED_VALUE"""),"EXTERNAL")</f>
        <v>EXTERNAL</v>
      </c>
      <c r="D2501" s="115">
        <f>IFERROR(__xludf.DUMMYFUNCTION("""COMPUTED_VALUE"""),9.0)</f>
        <v>9</v>
      </c>
      <c r="E2501" s="115">
        <f>IFERROR(__xludf.DUMMYFUNCTION("""COMPUTED_VALUE"""),0.0)</f>
        <v>0</v>
      </c>
      <c r="F2501" s="115">
        <f>IFERROR(__xludf.DUMMYFUNCTION("""COMPUTED_VALUE"""),2.0)</f>
        <v>2</v>
      </c>
      <c r="G2501" s="115">
        <f>IFERROR(__xludf.DUMMYFUNCTION("""COMPUTED_VALUE"""),0.0)</f>
        <v>0</v>
      </c>
      <c r="H2501" s="116">
        <f>IFERROR(__xludf.DUMMYFUNCTION("""COMPUTED_VALUE"""),45905.0)</f>
        <v>45905</v>
      </c>
      <c r="I2501" s="115" t="str">
        <f>IFERROR(__xludf.DUMMYFUNCTION("""COMPUTED_VALUE"""),"15")</f>
        <v>15</v>
      </c>
      <c r="J2501" s="115" t="str">
        <f>IFERROR(__xludf.DUMMYFUNCTION("""COMPUTED_VALUE"""),"2025-09-0515")</f>
        <v>2025-09-0515</v>
      </c>
      <c r="K2501" s="115">
        <f>IFERROR(__xludf.DUMMYFUNCTION("""COMPUTED_VALUE"""),9.0)</f>
        <v>9</v>
      </c>
    </row>
    <row r="2502">
      <c r="A2502" s="115" t="str">
        <f>IFERROR(__xludf.DUMMYFUNCTION("""COMPUTED_VALUE"""),"North")</f>
        <v>North</v>
      </c>
      <c r="B2502" s="115"/>
      <c r="C2502" s="115" t="str">
        <f>IFERROR(__xludf.DUMMYFUNCTION("""COMPUTED_VALUE"""),"FLIPKART")</f>
        <v>FLIPKART</v>
      </c>
      <c r="D2502" s="115">
        <f>IFERROR(__xludf.DUMMYFUNCTION("""COMPUTED_VALUE"""),28.0)</f>
        <v>28</v>
      </c>
      <c r="E2502" s="115">
        <f>IFERROR(__xludf.DUMMYFUNCTION("""COMPUTED_VALUE"""),0.0)</f>
        <v>0</v>
      </c>
      <c r="F2502" s="115">
        <f>IFERROR(__xludf.DUMMYFUNCTION("""COMPUTED_VALUE"""),17.0)</f>
        <v>17</v>
      </c>
      <c r="G2502" s="115">
        <f>IFERROR(__xludf.DUMMYFUNCTION("""COMPUTED_VALUE"""),0.0)</f>
        <v>0</v>
      </c>
      <c r="H2502" s="116">
        <f>IFERROR(__xludf.DUMMYFUNCTION("""COMPUTED_VALUE"""),45905.0)</f>
        <v>45905</v>
      </c>
      <c r="I2502" s="115" t="str">
        <f>IFERROR(__xludf.DUMMYFUNCTION("""COMPUTED_VALUE"""),"15")</f>
        <v>15</v>
      </c>
      <c r="J2502" s="115" t="str">
        <f>IFERROR(__xludf.DUMMYFUNCTION("""COMPUTED_VALUE"""),"2025-09-0515")</f>
        <v>2025-09-0515</v>
      </c>
      <c r="K2502" s="115">
        <f>IFERROR(__xludf.DUMMYFUNCTION("""COMPUTED_VALUE"""),28.0)</f>
        <v>28</v>
      </c>
    </row>
    <row r="2503">
      <c r="A2503" s="115" t="str">
        <f>IFERROR(__xludf.DUMMYFUNCTION("""COMPUTED_VALUE"""),"North")</f>
        <v>North</v>
      </c>
      <c r="B2503" s="115"/>
      <c r="C2503" s="115" t="str">
        <f>IFERROR(__xludf.DUMMYFUNCTION("""COMPUTED_VALUE"""),"MYNTRA")</f>
        <v>MYNTRA</v>
      </c>
      <c r="D2503" s="115">
        <f>IFERROR(__xludf.DUMMYFUNCTION("""COMPUTED_VALUE"""),3.0)</f>
        <v>3</v>
      </c>
      <c r="E2503" s="115">
        <f>IFERROR(__xludf.DUMMYFUNCTION("""COMPUTED_VALUE"""),0.0)</f>
        <v>0</v>
      </c>
      <c r="F2503" s="115">
        <f>IFERROR(__xludf.DUMMYFUNCTION("""COMPUTED_VALUE"""),3.0)</f>
        <v>3</v>
      </c>
      <c r="G2503" s="115">
        <f>IFERROR(__xludf.DUMMYFUNCTION("""COMPUTED_VALUE"""),0.0)</f>
        <v>0</v>
      </c>
      <c r="H2503" s="116">
        <f>IFERROR(__xludf.DUMMYFUNCTION("""COMPUTED_VALUE"""),45905.0)</f>
        <v>45905</v>
      </c>
      <c r="I2503" s="115" t="str">
        <f>IFERROR(__xludf.DUMMYFUNCTION("""COMPUTED_VALUE"""),"15")</f>
        <v>15</v>
      </c>
      <c r="J2503" s="115" t="str">
        <f>IFERROR(__xludf.DUMMYFUNCTION("""COMPUTED_VALUE"""),"2025-09-0515")</f>
        <v>2025-09-0515</v>
      </c>
      <c r="K2503" s="115">
        <f>IFERROR(__xludf.DUMMYFUNCTION("""COMPUTED_VALUE"""),3.0)</f>
        <v>3</v>
      </c>
    </row>
    <row r="2504">
      <c r="A2504" s="115" t="str">
        <f>IFERROR(__xludf.DUMMYFUNCTION("""COMPUTED_VALUE"""),"SOUTH")</f>
        <v>SOUTH</v>
      </c>
      <c r="B2504" s="115" t="str">
        <f>IFERROR(__xludf.DUMMYFUNCTION("""COMPUTED_VALUE"""),"Kandula Sampath")</f>
        <v>Kandula Sampath</v>
      </c>
      <c r="C2504" s="115" t="str">
        <f>IFERROR(__xludf.DUMMYFUNCTION("""COMPUTED_VALUE"""),"EXTERNAL")</f>
        <v>EXTERNAL</v>
      </c>
      <c r="D2504" s="115">
        <f>IFERROR(__xludf.DUMMYFUNCTION("""COMPUTED_VALUE"""),34032.0)</f>
        <v>34032</v>
      </c>
      <c r="E2504" s="115">
        <f>IFERROR(__xludf.DUMMYFUNCTION("""COMPUTED_VALUE"""),3496.0)</f>
        <v>3496</v>
      </c>
      <c r="F2504" s="115">
        <f>IFERROR(__xludf.DUMMYFUNCTION("""COMPUTED_VALUE"""),11049.0)</f>
        <v>11049</v>
      </c>
      <c r="G2504" s="115">
        <f>IFERROR(__xludf.DUMMYFUNCTION("""COMPUTED_VALUE"""),563.0)</f>
        <v>563</v>
      </c>
      <c r="H2504" s="116">
        <f>IFERROR(__xludf.DUMMYFUNCTION("""COMPUTED_VALUE"""),45905.0)</f>
        <v>45905</v>
      </c>
      <c r="I2504" s="115" t="str">
        <f>IFERROR(__xludf.DUMMYFUNCTION("""COMPUTED_VALUE"""),"15")</f>
        <v>15</v>
      </c>
      <c r="J2504" s="115" t="str">
        <f>IFERROR(__xludf.DUMMYFUNCTION("""COMPUTED_VALUE"""),"Kandula Sampath2025-09-0515")</f>
        <v>Kandula Sampath2025-09-0515</v>
      </c>
      <c r="K2504" s="115">
        <f>IFERROR(__xludf.DUMMYFUNCTION("""COMPUTED_VALUE"""),37528.0)</f>
        <v>37528</v>
      </c>
    </row>
    <row r="2505">
      <c r="A2505" s="115" t="str">
        <f>IFERROR(__xludf.DUMMYFUNCTION("""COMPUTED_VALUE"""),"SOUTH")</f>
        <v>SOUTH</v>
      </c>
      <c r="B2505" s="115" t="str">
        <f>IFERROR(__xludf.DUMMYFUNCTION("""COMPUTED_VALUE"""),"Kandula Sampath")</f>
        <v>Kandula Sampath</v>
      </c>
      <c r="C2505" s="115" t="str">
        <f>IFERROR(__xludf.DUMMYFUNCTION("""COMPUTED_VALUE"""),"FLIPKART")</f>
        <v>FLIPKART</v>
      </c>
      <c r="D2505" s="115">
        <f>IFERROR(__xludf.DUMMYFUNCTION("""COMPUTED_VALUE"""),284484.0)</f>
        <v>284484</v>
      </c>
      <c r="E2505" s="115">
        <f>IFERROR(__xludf.DUMMYFUNCTION("""COMPUTED_VALUE"""),27918.0)</f>
        <v>27918</v>
      </c>
      <c r="F2505" s="115">
        <f>IFERROR(__xludf.DUMMYFUNCTION("""COMPUTED_VALUE"""),159808.0)</f>
        <v>159808</v>
      </c>
      <c r="G2505" s="115">
        <f>IFERROR(__xludf.DUMMYFUNCTION("""COMPUTED_VALUE"""),6974.0)</f>
        <v>6974</v>
      </c>
      <c r="H2505" s="116">
        <f>IFERROR(__xludf.DUMMYFUNCTION("""COMPUTED_VALUE"""),45905.0)</f>
        <v>45905</v>
      </c>
      <c r="I2505" s="115" t="str">
        <f>IFERROR(__xludf.DUMMYFUNCTION("""COMPUTED_VALUE"""),"15")</f>
        <v>15</v>
      </c>
      <c r="J2505" s="115" t="str">
        <f>IFERROR(__xludf.DUMMYFUNCTION("""COMPUTED_VALUE"""),"Kandula Sampath2025-09-0515")</f>
        <v>Kandula Sampath2025-09-0515</v>
      </c>
      <c r="K2505" s="115">
        <f>IFERROR(__xludf.DUMMYFUNCTION("""COMPUTED_VALUE"""),312402.0)</f>
        <v>312402</v>
      </c>
    </row>
    <row r="2506">
      <c r="A2506" s="115" t="str">
        <f>IFERROR(__xludf.DUMMYFUNCTION("""COMPUTED_VALUE"""),"SOUTH")</f>
        <v>SOUTH</v>
      </c>
      <c r="B2506" s="115" t="str">
        <f>IFERROR(__xludf.DUMMYFUNCTION("""COMPUTED_VALUE"""),"Kandula Sampath")</f>
        <v>Kandula Sampath</v>
      </c>
      <c r="C2506" s="115" t="str">
        <f>IFERROR(__xludf.DUMMYFUNCTION("""COMPUTED_VALUE"""),"MYNTRA")</f>
        <v>MYNTRA</v>
      </c>
      <c r="D2506" s="115">
        <f>IFERROR(__xludf.DUMMYFUNCTION("""COMPUTED_VALUE"""),34613.0)</f>
        <v>34613</v>
      </c>
      <c r="E2506" s="115">
        <f>IFERROR(__xludf.DUMMYFUNCTION("""COMPUTED_VALUE"""),7101.0)</f>
        <v>7101</v>
      </c>
      <c r="F2506" s="115">
        <f>IFERROR(__xludf.DUMMYFUNCTION("""COMPUTED_VALUE"""),22045.0)</f>
        <v>22045</v>
      </c>
      <c r="G2506" s="115">
        <f>IFERROR(__xludf.DUMMYFUNCTION("""COMPUTED_VALUE"""),1910.0)</f>
        <v>1910</v>
      </c>
      <c r="H2506" s="116">
        <f>IFERROR(__xludf.DUMMYFUNCTION("""COMPUTED_VALUE"""),45905.0)</f>
        <v>45905</v>
      </c>
      <c r="I2506" s="115" t="str">
        <f>IFERROR(__xludf.DUMMYFUNCTION("""COMPUTED_VALUE"""),"15")</f>
        <v>15</v>
      </c>
      <c r="J2506" s="115" t="str">
        <f>IFERROR(__xludf.DUMMYFUNCTION("""COMPUTED_VALUE"""),"Kandula Sampath2025-09-0515")</f>
        <v>Kandula Sampath2025-09-0515</v>
      </c>
      <c r="K2506" s="115">
        <f>IFERROR(__xludf.DUMMYFUNCTION("""COMPUTED_VALUE"""),41714.0)</f>
        <v>41714</v>
      </c>
    </row>
    <row r="2507">
      <c r="A2507" s="115" t="str">
        <f>IFERROR(__xludf.DUMMYFUNCTION("""COMPUTED_VALUE"""),"SOUTH")</f>
        <v>SOUTH</v>
      </c>
      <c r="B2507" s="115" t="str">
        <f>IFERROR(__xludf.DUMMYFUNCTION("""COMPUTED_VALUE"""),"Martin A")</f>
        <v>Martin A</v>
      </c>
      <c r="C2507" s="115" t="str">
        <f>IFERROR(__xludf.DUMMYFUNCTION("""COMPUTED_VALUE"""),"EXTERNAL")</f>
        <v>EXTERNAL</v>
      </c>
      <c r="D2507" s="115">
        <f>IFERROR(__xludf.DUMMYFUNCTION("""COMPUTED_VALUE"""),32014.0)</f>
        <v>32014</v>
      </c>
      <c r="E2507" s="115">
        <f>IFERROR(__xludf.DUMMYFUNCTION("""COMPUTED_VALUE"""),3223.0)</f>
        <v>3223</v>
      </c>
      <c r="F2507" s="115">
        <f>IFERROR(__xludf.DUMMYFUNCTION("""COMPUTED_VALUE"""),10510.0)</f>
        <v>10510</v>
      </c>
      <c r="G2507" s="115">
        <f>IFERROR(__xludf.DUMMYFUNCTION("""COMPUTED_VALUE"""),916.0)</f>
        <v>916</v>
      </c>
      <c r="H2507" s="116">
        <f>IFERROR(__xludf.DUMMYFUNCTION("""COMPUTED_VALUE"""),45905.0)</f>
        <v>45905</v>
      </c>
      <c r="I2507" s="115" t="str">
        <f>IFERROR(__xludf.DUMMYFUNCTION("""COMPUTED_VALUE"""),"15")</f>
        <v>15</v>
      </c>
      <c r="J2507" s="115" t="str">
        <f>IFERROR(__xludf.DUMMYFUNCTION("""COMPUTED_VALUE"""),"Martin A2025-09-0515")</f>
        <v>Martin A2025-09-0515</v>
      </c>
      <c r="K2507" s="115">
        <f>IFERROR(__xludf.DUMMYFUNCTION("""COMPUTED_VALUE"""),35237.0)</f>
        <v>35237</v>
      </c>
    </row>
    <row r="2508">
      <c r="A2508" s="115" t="str">
        <f>IFERROR(__xludf.DUMMYFUNCTION("""COMPUTED_VALUE"""),"SOUTH")</f>
        <v>SOUTH</v>
      </c>
      <c r="B2508" s="115" t="str">
        <f>IFERROR(__xludf.DUMMYFUNCTION("""COMPUTED_VALUE"""),"Martin A")</f>
        <v>Martin A</v>
      </c>
      <c r="C2508" s="115" t="str">
        <f>IFERROR(__xludf.DUMMYFUNCTION("""COMPUTED_VALUE"""),"FLIPKART")</f>
        <v>FLIPKART</v>
      </c>
      <c r="D2508" s="115">
        <f>IFERROR(__xludf.DUMMYFUNCTION("""COMPUTED_VALUE"""),236949.0)</f>
        <v>236949</v>
      </c>
      <c r="E2508" s="115">
        <f>IFERROR(__xludf.DUMMYFUNCTION("""COMPUTED_VALUE"""),23503.0)</f>
        <v>23503</v>
      </c>
      <c r="F2508" s="115">
        <f>IFERROR(__xludf.DUMMYFUNCTION("""COMPUTED_VALUE"""),135232.0)</f>
        <v>135232</v>
      </c>
      <c r="G2508" s="115">
        <f>IFERROR(__xludf.DUMMYFUNCTION("""COMPUTED_VALUE"""),6857.0)</f>
        <v>6857</v>
      </c>
      <c r="H2508" s="116">
        <f>IFERROR(__xludf.DUMMYFUNCTION("""COMPUTED_VALUE"""),45905.0)</f>
        <v>45905</v>
      </c>
      <c r="I2508" s="115" t="str">
        <f>IFERROR(__xludf.DUMMYFUNCTION("""COMPUTED_VALUE"""),"15")</f>
        <v>15</v>
      </c>
      <c r="J2508" s="115" t="str">
        <f>IFERROR(__xludf.DUMMYFUNCTION("""COMPUTED_VALUE"""),"Martin A2025-09-0515")</f>
        <v>Martin A2025-09-0515</v>
      </c>
      <c r="K2508" s="115">
        <f>IFERROR(__xludf.DUMMYFUNCTION("""COMPUTED_VALUE"""),260452.0)</f>
        <v>260452</v>
      </c>
    </row>
    <row r="2509">
      <c r="A2509" s="115" t="str">
        <f>IFERROR(__xludf.DUMMYFUNCTION("""COMPUTED_VALUE"""),"SOUTH")</f>
        <v>SOUTH</v>
      </c>
      <c r="B2509" s="115" t="str">
        <f>IFERROR(__xludf.DUMMYFUNCTION("""COMPUTED_VALUE"""),"Martin A")</f>
        <v>Martin A</v>
      </c>
      <c r="C2509" s="115" t="str">
        <f>IFERROR(__xludf.DUMMYFUNCTION("""COMPUTED_VALUE"""),"MYNTRA")</f>
        <v>MYNTRA</v>
      </c>
      <c r="D2509" s="115">
        <f>IFERROR(__xludf.DUMMYFUNCTION("""COMPUTED_VALUE"""),24674.0)</f>
        <v>24674</v>
      </c>
      <c r="E2509" s="115">
        <f>IFERROR(__xludf.DUMMYFUNCTION("""COMPUTED_VALUE"""),5303.0)</f>
        <v>5303</v>
      </c>
      <c r="F2509" s="115">
        <f>IFERROR(__xludf.DUMMYFUNCTION("""COMPUTED_VALUE"""),16545.0)</f>
        <v>16545</v>
      </c>
      <c r="G2509" s="115">
        <f>IFERROR(__xludf.DUMMYFUNCTION("""COMPUTED_VALUE"""),1767.0)</f>
        <v>1767</v>
      </c>
      <c r="H2509" s="116">
        <f>IFERROR(__xludf.DUMMYFUNCTION("""COMPUTED_VALUE"""),45905.0)</f>
        <v>45905</v>
      </c>
      <c r="I2509" s="115" t="str">
        <f>IFERROR(__xludf.DUMMYFUNCTION("""COMPUTED_VALUE"""),"15")</f>
        <v>15</v>
      </c>
      <c r="J2509" s="115" t="str">
        <f>IFERROR(__xludf.DUMMYFUNCTION("""COMPUTED_VALUE"""),"Martin A2025-09-0515")</f>
        <v>Martin A2025-09-0515</v>
      </c>
      <c r="K2509" s="115">
        <f>IFERROR(__xludf.DUMMYFUNCTION("""COMPUTED_VALUE"""),29977.0)</f>
        <v>29977</v>
      </c>
    </row>
    <row r="2510">
      <c r="A2510" s="115" t="str">
        <f>IFERROR(__xludf.DUMMYFUNCTION("""COMPUTED_VALUE"""),"SOUTH")</f>
        <v>SOUTH</v>
      </c>
      <c r="B2510" s="115" t="str">
        <f>IFERROR(__xludf.DUMMYFUNCTION("""COMPUTED_VALUE"""),"Premkumar M")</f>
        <v>Premkumar M</v>
      </c>
      <c r="C2510" s="115" t="str">
        <f>IFERROR(__xludf.DUMMYFUNCTION("""COMPUTED_VALUE"""),"EXTERNAL")</f>
        <v>EXTERNAL</v>
      </c>
      <c r="D2510" s="115">
        <f>IFERROR(__xludf.DUMMYFUNCTION("""COMPUTED_VALUE"""),28729.0)</f>
        <v>28729</v>
      </c>
      <c r="E2510" s="115">
        <f>IFERROR(__xludf.DUMMYFUNCTION("""COMPUTED_VALUE"""),1716.0)</f>
        <v>1716</v>
      </c>
      <c r="F2510" s="115">
        <f>IFERROR(__xludf.DUMMYFUNCTION("""COMPUTED_VALUE"""),8555.0)</f>
        <v>8555</v>
      </c>
      <c r="G2510" s="115">
        <f>IFERROR(__xludf.DUMMYFUNCTION("""COMPUTED_VALUE"""),136.0)</f>
        <v>136</v>
      </c>
      <c r="H2510" s="116">
        <f>IFERROR(__xludf.DUMMYFUNCTION("""COMPUTED_VALUE"""),45905.0)</f>
        <v>45905</v>
      </c>
      <c r="I2510" s="115" t="str">
        <f>IFERROR(__xludf.DUMMYFUNCTION("""COMPUTED_VALUE"""),"15")</f>
        <v>15</v>
      </c>
      <c r="J2510" s="115" t="str">
        <f>IFERROR(__xludf.DUMMYFUNCTION("""COMPUTED_VALUE"""),"Premkumar M2025-09-0515")</f>
        <v>Premkumar M2025-09-0515</v>
      </c>
      <c r="K2510" s="115">
        <f>IFERROR(__xludf.DUMMYFUNCTION("""COMPUTED_VALUE"""),30445.0)</f>
        <v>30445</v>
      </c>
    </row>
    <row r="2511">
      <c r="A2511" s="115" t="str">
        <f>IFERROR(__xludf.DUMMYFUNCTION("""COMPUTED_VALUE"""),"SOUTH")</f>
        <v>SOUTH</v>
      </c>
      <c r="B2511" s="115" t="str">
        <f>IFERROR(__xludf.DUMMYFUNCTION("""COMPUTED_VALUE"""),"Premkumar M")</f>
        <v>Premkumar M</v>
      </c>
      <c r="C2511" s="115" t="str">
        <f>IFERROR(__xludf.DUMMYFUNCTION("""COMPUTED_VALUE"""),"FLIPKART")</f>
        <v>FLIPKART</v>
      </c>
      <c r="D2511" s="115">
        <f>IFERROR(__xludf.DUMMYFUNCTION("""COMPUTED_VALUE"""),256008.0)</f>
        <v>256008</v>
      </c>
      <c r="E2511" s="115">
        <f>IFERROR(__xludf.DUMMYFUNCTION("""COMPUTED_VALUE"""),17547.0)</f>
        <v>17547</v>
      </c>
      <c r="F2511" s="115">
        <f>IFERROR(__xludf.DUMMYFUNCTION("""COMPUTED_VALUE"""),118343.0)</f>
        <v>118343</v>
      </c>
      <c r="G2511" s="115">
        <f>IFERROR(__xludf.DUMMYFUNCTION("""COMPUTED_VALUE"""),1949.0)</f>
        <v>1949</v>
      </c>
      <c r="H2511" s="116">
        <f>IFERROR(__xludf.DUMMYFUNCTION("""COMPUTED_VALUE"""),45905.0)</f>
        <v>45905</v>
      </c>
      <c r="I2511" s="115" t="str">
        <f>IFERROR(__xludf.DUMMYFUNCTION("""COMPUTED_VALUE"""),"15")</f>
        <v>15</v>
      </c>
      <c r="J2511" s="115" t="str">
        <f>IFERROR(__xludf.DUMMYFUNCTION("""COMPUTED_VALUE"""),"Premkumar M2025-09-0515")</f>
        <v>Premkumar M2025-09-0515</v>
      </c>
      <c r="K2511" s="115">
        <f>IFERROR(__xludf.DUMMYFUNCTION("""COMPUTED_VALUE"""),273555.0)</f>
        <v>273555</v>
      </c>
    </row>
    <row r="2512">
      <c r="A2512" s="115" t="str">
        <f>IFERROR(__xludf.DUMMYFUNCTION("""COMPUTED_VALUE"""),"SOUTH")</f>
        <v>SOUTH</v>
      </c>
      <c r="B2512" s="115" t="str">
        <f>IFERROR(__xludf.DUMMYFUNCTION("""COMPUTED_VALUE"""),"Premkumar M")</f>
        <v>Premkumar M</v>
      </c>
      <c r="C2512" s="115" t="str">
        <f>IFERROR(__xludf.DUMMYFUNCTION("""COMPUTED_VALUE"""),"MYNTRA")</f>
        <v>MYNTRA</v>
      </c>
      <c r="D2512" s="115">
        <f>IFERROR(__xludf.DUMMYFUNCTION("""COMPUTED_VALUE"""),14759.0)</f>
        <v>14759</v>
      </c>
      <c r="E2512" s="115">
        <f>IFERROR(__xludf.DUMMYFUNCTION("""COMPUTED_VALUE"""),2700.0)</f>
        <v>2700</v>
      </c>
      <c r="F2512" s="115">
        <f>IFERROR(__xludf.DUMMYFUNCTION("""COMPUTED_VALUE"""),7846.0)</f>
        <v>7846</v>
      </c>
      <c r="G2512" s="115">
        <f>IFERROR(__xludf.DUMMYFUNCTION("""COMPUTED_VALUE"""),332.0)</f>
        <v>332</v>
      </c>
      <c r="H2512" s="116">
        <f>IFERROR(__xludf.DUMMYFUNCTION("""COMPUTED_VALUE"""),45905.0)</f>
        <v>45905</v>
      </c>
      <c r="I2512" s="115" t="str">
        <f>IFERROR(__xludf.DUMMYFUNCTION("""COMPUTED_VALUE"""),"15")</f>
        <v>15</v>
      </c>
      <c r="J2512" s="115" t="str">
        <f>IFERROR(__xludf.DUMMYFUNCTION("""COMPUTED_VALUE"""),"Premkumar M2025-09-0515")</f>
        <v>Premkumar M2025-09-0515</v>
      </c>
      <c r="K2512" s="115">
        <f>IFERROR(__xludf.DUMMYFUNCTION("""COMPUTED_VALUE"""),17459.0)</f>
        <v>17459</v>
      </c>
    </row>
    <row r="2513">
      <c r="A2513" s="115" t="str">
        <f>IFERROR(__xludf.DUMMYFUNCTION("""COMPUTED_VALUE"""),"SOUTH")</f>
        <v>SOUTH</v>
      </c>
      <c r="B2513" s="115" t="str">
        <f>IFERROR(__xludf.DUMMYFUNCTION("""COMPUTED_VALUE"""),"Vineeth V")</f>
        <v>Vineeth V</v>
      </c>
      <c r="C2513" s="115" t="str">
        <f>IFERROR(__xludf.DUMMYFUNCTION("""COMPUTED_VALUE"""),"EXTERNAL")</f>
        <v>EXTERNAL</v>
      </c>
      <c r="D2513" s="115">
        <f>IFERROR(__xludf.DUMMYFUNCTION("""COMPUTED_VALUE"""),2180.0)</f>
        <v>2180</v>
      </c>
      <c r="E2513" s="115">
        <f>IFERROR(__xludf.DUMMYFUNCTION("""COMPUTED_VALUE"""),75.0)</f>
        <v>75</v>
      </c>
      <c r="F2513" s="115">
        <f>IFERROR(__xludf.DUMMYFUNCTION("""COMPUTED_VALUE"""),863.0)</f>
        <v>863</v>
      </c>
      <c r="G2513" s="115">
        <f>IFERROR(__xludf.DUMMYFUNCTION("""COMPUTED_VALUE"""),18.0)</f>
        <v>18</v>
      </c>
      <c r="H2513" s="116">
        <f>IFERROR(__xludf.DUMMYFUNCTION("""COMPUTED_VALUE"""),45905.0)</f>
        <v>45905</v>
      </c>
      <c r="I2513" s="115" t="str">
        <f>IFERROR(__xludf.DUMMYFUNCTION("""COMPUTED_VALUE"""),"15")</f>
        <v>15</v>
      </c>
      <c r="J2513" s="115" t="str">
        <f>IFERROR(__xludf.DUMMYFUNCTION("""COMPUTED_VALUE"""),"Vineeth V2025-09-0515")</f>
        <v>Vineeth V2025-09-0515</v>
      </c>
      <c r="K2513" s="115">
        <f>IFERROR(__xludf.DUMMYFUNCTION("""COMPUTED_VALUE"""),2255.0)</f>
        <v>2255</v>
      </c>
    </row>
    <row r="2514">
      <c r="A2514" s="115" t="str">
        <f>IFERROR(__xludf.DUMMYFUNCTION("""COMPUTED_VALUE"""),"SOUTH")</f>
        <v>SOUTH</v>
      </c>
      <c r="B2514" s="115" t="str">
        <f>IFERROR(__xludf.DUMMYFUNCTION("""COMPUTED_VALUE"""),"Vineeth V")</f>
        <v>Vineeth V</v>
      </c>
      <c r="C2514" s="115" t="str">
        <f>IFERROR(__xludf.DUMMYFUNCTION("""COMPUTED_VALUE"""),"FLIPKART")</f>
        <v>FLIPKART</v>
      </c>
      <c r="D2514" s="115">
        <f>IFERROR(__xludf.DUMMYFUNCTION("""COMPUTED_VALUE"""),15400.0)</f>
        <v>15400</v>
      </c>
      <c r="E2514" s="115">
        <f>IFERROR(__xludf.DUMMYFUNCTION("""COMPUTED_VALUE"""),1658.0)</f>
        <v>1658</v>
      </c>
      <c r="F2514" s="115">
        <f>IFERROR(__xludf.DUMMYFUNCTION("""COMPUTED_VALUE"""),9522.0)</f>
        <v>9522</v>
      </c>
      <c r="G2514" s="115">
        <f>IFERROR(__xludf.DUMMYFUNCTION("""COMPUTED_VALUE"""),450.0)</f>
        <v>450</v>
      </c>
      <c r="H2514" s="116">
        <f>IFERROR(__xludf.DUMMYFUNCTION("""COMPUTED_VALUE"""),45905.0)</f>
        <v>45905</v>
      </c>
      <c r="I2514" s="115" t="str">
        <f>IFERROR(__xludf.DUMMYFUNCTION("""COMPUTED_VALUE"""),"15")</f>
        <v>15</v>
      </c>
      <c r="J2514" s="115" t="str">
        <f>IFERROR(__xludf.DUMMYFUNCTION("""COMPUTED_VALUE"""),"Vineeth V2025-09-0515")</f>
        <v>Vineeth V2025-09-0515</v>
      </c>
      <c r="K2514" s="115">
        <f>IFERROR(__xludf.DUMMYFUNCTION("""COMPUTED_VALUE"""),17058.0)</f>
        <v>17058</v>
      </c>
    </row>
    <row r="2515">
      <c r="A2515" s="115" t="str">
        <f>IFERROR(__xludf.DUMMYFUNCTION("""COMPUTED_VALUE"""),"SOUTH")</f>
        <v>SOUTH</v>
      </c>
      <c r="B2515" s="115" t="str">
        <f>IFERROR(__xludf.DUMMYFUNCTION("""COMPUTED_VALUE"""),"Vineeth V")</f>
        <v>Vineeth V</v>
      </c>
      <c r="C2515" s="115" t="str">
        <f>IFERROR(__xludf.DUMMYFUNCTION("""COMPUTED_VALUE"""),"MYNTRA")</f>
        <v>MYNTRA</v>
      </c>
      <c r="D2515" s="115">
        <f>IFERROR(__xludf.DUMMYFUNCTION("""COMPUTED_VALUE"""),2806.0)</f>
        <v>2806</v>
      </c>
      <c r="E2515" s="115">
        <f>IFERROR(__xludf.DUMMYFUNCTION("""COMPUTED_VALUE"""),410.0)</f>
        <v>410</v>
      </c>
      <c r="F2515" s="115">
        <f>IFERROR(__xludf.DUMMYFUNCTION("""COMPUTED_VALUE"""),1911.0)</f>
        <v>1911</v>
      </c>
      <c r="G2515" s="115">
        <f>IFERROR(__xludf.DUMMYFUNCTION("""COMPUTED_VALUE"""),150.0)</f>
        <v>150</v>
      </c>
      <c r="H2515" s="116">
        <f>IFERROR(__xludf.DUMMYFUNCTION("""COMPUTED_VALUE"""),45905.0)</f>
        <v>45905</v>
      </c>
      <c r="I2515" s="115" t="str">
        <f>IFERROR(__xludf.DUMMYFUNCTION("""COMPUTED_VALUE"""),"15")</f>
        <v>15</v>
      </c>
      <c r="J2515" s="115" t="str">
        <f>IFERROR(__xludf.DUMMYFUNCTION("""COMPUTED_VALUE"""),"Vineeth V2025-09-0515")</f>
        <v>Vineeth V2025-09-0515</v>
      </c>
      <c r="K2515" s="115">
        <f>IFERROR(__xludf.DUMMYFUNCTION("""COMPUTED_VALUE"""),3216.0)</f>
        <v>3216</v>
      </c>
    </row>
    <row r="2516">
      <c r="A2516" s="115" t="str">
        <f>IFERROR(__xludf.DUMMYFUNCTION("""COMPUTED_VALUE"""),"South")</f>
        <v>South</v>
      </c>
      <c r="B2516" s="115"/>
      <c r="C2516" s="115" t="str">
        <f>IFERROR(__xludf.DUMMYFUNCTION("""COMPUTED_VALUE"""),"EXTERNAL")</f>
        <v>EXTERNAL</v>
      </c>
      <c r="D2516" s="115">
        <f>IFERROR(__xludf.DUMMYFUNCTION("""COMPUTED_VALUE"""),17.0)</f>
        <v>17</v>
      </c>
      <c r="E2516" s="115">
        <f>IFERROR(__xludf.DUMMYFUNCTION("""COMPUTED_VALUE"""),1.0)</f>
        <v>1</v>
      </c>
      <c r="F2516" s="115">
        <f>IFERROR(__xludf.DUMMYFUNCTION("""COMPUTED_VALUE"""),1.0)</f>
        <v>1</v>
      </c>
      <c r="G2516" s="115">
        <f>IFERROR(__xludf.DUMMYFUNCTION("""COMPUTED_VALUE"""),0.0)</f>
        <v>0</v>
      </c>
      <c r="H2516" s="116">
        <f>IFERROR(__xludf.DUMMYFUNCTION("""COMPUTED_VALUE"""),45905.0)</f>
        <v>45905</v>
      </c>
      <c r="I2516" s="115" t="str">
        <f>IFERROR(__xludf.DUMMYFUNCTION("""COMPUTED_VALUE"""),"15")</f>
        <v>15</v>
      </c>
      <c r="J2516" s="115" t="str">
        <f>IFERROR(__xludf.DUMMYFUNCTION("""COMPUTED_VALUE"""),"2025-09-0515")</f>
        <v>2025-09-0515</v>
      </c>
      <c r="K2516" s="115">
        <f>IFERROR(__xludf.DUMMYFUNCTION("""COMPUTED_VALUE"""),18.0)</f>
        <v>18</v>
      </c>
    </row>
    <row r="2517">
      <c r="A2517" s="115" t="str">
        <f>IFERROR(__xludf.DUMMYFUNCTION("""COMPUTED_VALUE"""),"South")</f>
        <v>South</v>
      </c>
      <c r="B2517" s="115"/>
      <c r="C2517" s="115" t="str">
        <f>IFERROR(__xludf.DUMMYFUNCTION("""COMPUTED_VALUE"""),"FLIPKART")</f>
        <v>FLIPKART</v>
      </c>
      <c r="D2517" s="115">
        <f>IFERROR(__xludf.DUMMYFUNCTION("""COMPUTED_VALUE"""),173.0)</f>
        <v>173</v>
      </c>
      <c r="E2517" s="115">
        <f>IFERROR(__xludf.DUMMYFUNCTION("""COMPUTED_VALUE"""),6.0)</f>
        <v>6</v>
      </c>
      <c r="F2517" s="115">
        <f>IFERROR(__xludf.DUMMYFUNCTION("""COMPUTED_VALUE"""),8.0)</f>
        <v>8</v>
      </c>
      <c r="G2517" s="115">
        <f>IFERROR(__xludf.DUMMYFUNCTION("""COMPUTED_VALUE"""),0.0)</f>
        <v>0</v>
      </c>
      <c r="H2517" s="116">
        <f>IFERROR(__xludf.DUMMYFUNCTION("""COMPUTED_VALUE"""),45905.0)</f>
        <v>45905</v>
      </c>
      <c r="I2517" s="115" t="str">
        <f>IFERROR(__xludf.DUMMYFUNCTION("""COMPUTED_VALUE"""),"15")</f>
        <v>15</v>
      </c>
      <c r="J2517" s="115" t="str">
        <f>IFERROR(__xludf.DUMMYFUNCTION("""COMPUTED_VALUE"""),"2025-09-0515")</f>
        <v>2025-09-0515</v>
      </c>
      <c r="K2517" s="115">
        <f>IFERROR(__xludf.DUMMYFUNCTION("""COMPUTED_VALUE"""),179.0)</f>
        <v>179</v>
      </c>
    </row>
    <row r="2518">
      <c r="A2518" s="115" t="str">
        <f>IFERROR(__xludf.DUMMYFUNCTION("""COMPUTED_VALUE"""),"South")</f>
        <v>South</v>
      </c>
      <c r="B2518" s="115"/>
      <c r="C2518" s="115" t="str">
        <f>IFERROR(__xludf.DUMMYFUNCTION("""COMPUTED_VALUE"""),"MYNTRA")</f>
        <v>MYNTRA</v>
      </c>
      <c r="D2518" s="115">
        <f>IFERROR(__xludf.DUMMYFUNCTION("""COMPUTED_VALUE"""),3.0)</f>
        <v>3</v>
      </c>
      <c r="E2518" s="115">
        <f>IFERROR(__xludf.DUMMYFUNCTION("""COMPUTED_VALUE"""),1.0)</f>
        <v>1</v>
      </c>
      <c r="F2518" s="115">
        <f>IFERROR(__xludf.DUMMYFUNCTION("""COMPUTED_VALUE"""),0.0)</f>
        <v>0</v>
      </c>
      <c r="G2518" s="115">
        <f>IFERROR(__xludf.DUMMYFUNCTION("""COMPUTED_VALUE"""),0.0)</f>
        <v>0</v>
      </c>
      <c r="H2518" s="116">
        <f>IFERROR(__xludf.DUMMYFUNCTION("""COMPUTED_VALUE"""),45905.0)</f>
        <v>45905</v>
      </c>
      <c r="I2518" s="115" t="str">
        <f>IFERROR(__xludf.DUMMYFUNCTION("""COMPUTED_VALUE"""),"15")</f>
        <v>15</v>
      </c>
      <c r="J2518" s="115" t="str">
        <f>IFERROR(__xludf.DUMMYFUNCTION("""COMPUTED_VALUE"""),"2025-09-0515")</f>
        <v>2025-09-0515</v>
      </c>
      <c r="K2518" s="115">
        <f>IFERROR(__xludf.DUMMYFUNCTION("""COMPUTED_VALUE"""),4.0)</f>
        <v>4</v>
      </c>
    </row>
    <row r="2519">
      <c r="A2519" s="115" t="str">
        <f>IFERROR(__xludf.DUMMYFUNCTION("""COMPUTED_VALUE"""),"WEST")</f>
        <v>WEST</v>
      </c>
      <c r="B2519" s="115" t="str">
        <f>IFERROR(__xludf.DUMMYFUNCTION("""COMPUTED_VALUE"""),"Ashish Jakar")</f>
        <v>Ashish Jakar</v>
      </c>
      <c r="C2519" s="115" t="str">
        <f>IFERROR(__xludf.DUMMYFUNCTION("""COMPUTED_VALUE"""),"EXTERNAL")</f>
        <v>EXTERNAL</v>
      </c>
      <c r="D2519" s="115">
        <f>IFERROR(__xludf.DUMMYFUNCTION("""COMPUTED_VALUE"""),51537.0)</f>
        <v>51537</v>
      </c>
      <c r="E2519" s="115">
        <f>IFERROR(__xludf.DUMMYFUNCTION("""COMPUTED_VALUE"""),5912.0)</f>
        <v>5912</v>
      </c>
      <c r="F2519" s="115">
        <f>IFERROR(__xludf.DUMMYFUNCTION("""COMPUTED_VALUE"""),14995.0)</f>
        <v>14995</v>
      </c>
      <c r="G2519" s="115">
        <f>IFERROR(__xludf.DUMMYFUNCTION("""COMPUTED_VALUE"""),1426.0)</f>
        <v>1426</v>
      </c>
      <c r="H2519" s="116">
        <f>IFERROR(__xludf.DUMMYFUNCTION("""COMPUTED_VALUE"""),45905.0)</f>
        <v>45905</v>
      </c>
      <c r="I2519" s="115" t="str">
        <f>IFERROR(__xludf.DUMMYFUNCTION("""COMPUTED_VALUE"""),"15")</f>
        <v>15</v>
      </c>
      <c r="J2519" s="115" t="str">
        <f>IFERROR(__xludf.DUMMYFUNCTION("""COMPUTED_VALUE"""),"Ashish Jakar2025-09-0515")</f>
        <v>Ashish Jakar2025-09-0515</v>
      </c>
      <c r="K2519" s="115">
        <f>IFERROR(__xludf.DUMMYFUNCTION("""COMPUTED_VALUE"""),57449.0)</f>
        <v>57449</v>
      </c>
    </row>
    <row r="2520">
      <c r="A2520" s="115" t="str">
        <f>IFERROR(__xludf.DUMMYFUNCTION("""COMPUTED_VALUE"""),"WEST")</f>
        <v>WEST</v>
      </c>
      <c r="B2520" s="115" t="str">
        <f>IFERROR(__xludf.DUMMYFUNCTION("""COMPUTED_VALUE"""),"Ashish Jakar")</f>
        <v>Ashish Jakar</v>
      </c>
      <c r="C2520" s="115" t="str">
        <f>IFERROR(__xludf.DUMMYFUNCTION("""COMPUTED_VALUE"""),"FLIPKART")</f>
        <v>FLIPKART</v>
      </c>
      <c r="D2520" s="115">
        <f>IFERROR(__xludf.DUMMYFUNCTION("""COMPUTED_VALUE"""),276816.0)</f>
        <v>276816</v>
      </c>
      <c r="E2520" s="115">
        <f>IFERROR(__xludf.DUMMYFUNCTION("""COMPUTED_VALUE"""),30259.0)</f>
        <v>30259</v>
      </c>
      <c r="F2520" s="115">
        <f>IFERROR(__xludf.DUMMYFUNCTION("""COMPUTED_VALUE"""),144580.0)</f>
        <v>144580</v>
      </c>
      <c r="G2520" s="115">
        <f>IFERROR(__xludf.DUMMYFUNCTION("""COMPUTED_VALUE"""),8699.0)</f>
        <v>8699</v>
      </c>
      <c r="H2520" s="116">
        <f>IFERROR(__xludf.DUMMYFUNCTION("""COMPUTED_VALUE"""),45905.0)</f>
        <v>45905</v>
      </c>
      <c r="I2520" s="115" t="str">
        <f>IFERROR(__xludf.DUMMYFUNCTION("""COMPUTED_VALUE"""),"15")</f>
        <v>15</v>
      </c>
      <c r="J2520" s="115" t="str">
        <f>IFERROR(__xludf.DUMMYFUNCTION("""COMPUTED_VALUE"""),"Ashish Jakar2025-09-0515")</f>
        <v>Ashish Jakar2025-09-0515</v>
      </c>
      <c r="K2520" s="115">
        <f>IFERROR(__xludf.DUMMYFUNCTION("""COMPUTED_VALUE"""),307075.0)</f>
        <v>307075</v>
      </c>
    </row>
    <row r="2521">
      <c r="A2521" s="115" t="str">
        <f>IFERROR(__xludf.DUMMYFUNCTION("""COMPUTED_VALUE"""),"WEST")</f>
        <v>WEST</v>
      </c>
      <c r="B2521" s="115" t="str">
        <f>IFERROR(__xludf.DUMMYFUNCTION("""COMPUTED_VALUE"""),"Ashish Jakar")</f>
        <v>Ashish Jakar</v>
      </c>
      <c r="C2521" s="115" t="str">
        <f>IFERROR(__xludf.DUMMYFUNCTION("""COMPUTED_VALUE"""),"MYNTRA")</f>
        <v>MYNTRA</v>
      </c>
      <c r="D2521" s="115">
        <f>IFERROR(__xludf.DUMMYFUNCTION("""COMPUTED_VALUE"""),35460.0)</f>
        <v>35460</v>
      </c>
      <c r="E2521" s="115">
        <f>IFERROR(__xludf.DUMMYFUNCTION("""COMPUTED_VALUE"""),10117.0)</f>
        <v>10117</v>
      </c>
      <c r="F2521" s="115">
        <f>IFERROR(__xludf.DUMMYFUNCTION("""COMPUTED_VALUE"""),22501.0)</f>
        <v>22501</v>
      </c>
      <c r="G2521" s="115">
        <f>IFERROR(__xludf.DUMMYFUNCTION("""COMPUTED_VALUE"""),3259.0)</f>
        <v>3259</v>
      </c>
      <c r="H2521" s="116">
        <f>IFERROR(__xludf.DUMMYFUNCTION("""COMPUTED_VALUE"""),45905.0)</f>
        <v>45905</v>
      </c>
      <c r="I2521" s="115" t="str">
        <f>IFERROR(__xludf.DUMMYFUNCTION("""COMPUTED_VALUE"""),"15")</f>
        <v>15</v>
      </c>
      <c r="J2521" s="115" t="str">
        <f>IFERROR(__xludf.DUMMYFUNCTION("""COMPUTED_VALUE"""),"Ashish Jakar2025-09-0515")</f>
        <v>Ashish Jakar2025-09-0515</v>
      </c>
      <c r="K2521" s="115">
        <f>IFERROR(__xludf.DUMMYFUNCTION("""COMPUTED_VALUE"""),45577.0)</f>
        <v>45577</v>
      </c>
    </row>
    <row r="2522">
      <c r="A2522" s="115" t="str">
        <f>IFERROR(__xludf.DUMMYFUNCTION("""COMPUTED_VALUE"""),"WEST")</f>
        <v>WEST</v>
      </c>
      <c r="B2522" s="115" t="str">
        <f>IFERROR(__xludf.DUMMYFUNCTION("""COMPUTED_VALUE"""),"Ashvani Bhatt")</f>
        <v>Ashvani Bhatt</v>
      </c>
      <c r="C2522" s="115" t="str">
        <f>IFERROR(__xludf.DUMMYFUNCTION("""COMPUTED_VALUE"""),"EXTERNAL")</f>
        <v>EXTERNAL</v>
      </c>
      <c r="D2522" s="115">
        <f>IFERROR(__xludf.DUMMYFUNCTION("""COMPUTED_VALUE"""),34589.0)</f>
        <v>34589</v>
      </c>
      <c r="E2522" s="115">
        <f>IFERROR(__xludf.DUMMYFUNCTION("""COMPUTED_VALUE"""),2852.0)</f>
        <v>2852</v>
      </c>
      <c r="F2522" s="115">
        <f>IFERROR(__xludf.DUMMYFUNCTION("""COMPUTED_VALUE"""),11108.0)</f>
        <v>11108</v>
      </c>
      <c r="G2522" s="115">
        <f>IFERROR(__xludf.DUMMYFUNCTION("""COMPUTED_VALUE"""),452.0)</f>
        <v>452</v>
      </c>
      <c r="H2522" s="116">
        <f>IFERROR(__xludf.DUMMYFUNCTION("""COMPUTED_VALUE"""),45905.0)</f>
        <v>45905</v>
      </c>
      <c r="I2522" s="115" t="str">
        <f>IFERROR(__xludf.DUMMYFUNCTION("""COMPUTED_VALUE"""),"15")</f>
        <v>15</v>
      </c>
      <c r="J2522" s="115" t="str">
        <f>IFERROR(__xludf.DUMMYFUNCTION("""COMPUTED_VALUE"""),"Ashvani Bhatt2025-09-0515")</f>
        <v>Ashvani Bhatt2025-09-0515</v>
      </c>
      <c r="K2522" s="115">
        <f>IFERROR(__xludf.DUMMYFUNCTION("""COMPUTED_VALUE"""),37441.0)</f>
        <v>37441</v>
      </c>
    </row>
    <row r="2523">
      <c r="A2523" s="115" t="str">
        <f>IFERROR(__xludf.DUMMYFUNCTION("""COMPUTED_VALUE"""),"WEST")</f>
        <v>WEST</v>
      </c>
      <c r="B2523" s="115" t="str">
        <f>IFERROR(__xludf.DUMMYFUNCTION("""COMPUTED_VALUE"""),"Ashvani Bhatt")</f>
        <v>Ashvani Bhatt</v>
      </c>
      <c r="C2523" s="115" t="str">
        <f>IFERROR(__xludf.DUMMYFUNCTION("""COMPUTED_VALUE"""),"FLIPKART")</f>
        <v>FLIPKART</v>
      </c>
      <c r="D2523" s="115">
        <f>IFERROR(__xludf.DUMMYFUNCTION("""COMPUTED_VALUE"""),243789.0)</f>
        <v>243789</v>
      </c>
      <c r="E2523" s="115">
        <f>IFERROR(__xludf.DUMMYFUNCTION("""COMPUTED_VALUE"""),25916.0)</f>
        <v>25916</v>
      </c>
      <c r="F2523" s="115">
        <f>IFERROR(__xludf.DUMMYFUNCTION("""COMPUTED_VALUE"""),138419.0)</f>
        <v>138419</v>
      </c>
      <c r="G2523" s="115">
        <f>IFERROR(__xludf.DUMMYFUNCTION("""COMPUTED_VALUE"""),6579.0)</f>
        <v>6579</v>
      </c>
      <c r="H2523" s="116">
        <f>IFERROR(__xludf.DUMMYFUNCTION("""COMPUTED_VALUE"""),45905.0)</f>
        <v>45905</v>
      </c>
      <c r="I2523" s="115" t="str">
        <f>IFERROR(__xludf.DUMMYFUNCTION("""COMPUTED_VALUE"""),"15")</f>
        <v>15</v>
      </c>
      <c r="J2523" s="115" t="str">
        <f>IFERROR(__xludf.DUMMYFUNCTION("""COMPUTED_VALUE"""),"Ashvani Bhatt2025-09-0515")</f>
        <v>Ashvani Bhatt2025-09-0515</v>
      </c>
      <c r="K2523" s="115">
        <f>IFERROR(__xludf.DUMMYFUNCTION("""COMPUTED_VALUE"""),269705.0)</f>
        <v>269705</v>
      </c>
    </row>
    <row r="2524">
      <c r="A2524" s="115" t="str">
        <f>IFERROR(__xludf.DUMMYFUNCTION("""COMPUTED_VALUE"""),"WEST")</f>
        <v>WEST</v>
      </c>
      <c r="B2524" s="115" t="str">
        <f>IFERROR(__xludf.DUMMYFUNCTION("""COMPUTED_VALUE"""),"Ashvani Bhatt")</f>
        <v>Ashvani Bhatt</v>
      </c>
      <c r="C2524" s="115" t="str">
        <f>IFERROR(__xludf.DUMMYFUNCTION("""COMPUTED_VALUE"""),"MYNTRA")</f>
        <v>MYNTRA</v>
      </c>
      <c r="D2524" s="115">
        <f>IFERROR(__xludf.DUMMYFUNCTION("""COMPUTED_VALUE"""),31148.0)</f>
        <v>31148</v>
      </c>
      <c r="E2524" s="115">
        <f>IFERROR(__xludf.DUMMYFUNCTION("""COMPUTED_VALUE"""),8024.0)</f>
        <v>8024</v>
      </c>
      <c r="F2524" s="115">
        <f>IFERROR(__xludf.DUMMYFUNCTION("""COMPUTED_VALUE"""),21143.0)</f>
        <v>21143</v>
      </c>
      <c r="G2524" s="115">
        <f>IFERROR(__xludf.DUMMYFUNCTION("""COMPUTED_VALUE"""),2488.0)</f>
        <v>2488</v>
      </c>
      <c r="H2524" s="116">
        <f>IFERROR(__xludf.DUMMYFUNCTION("""COMPUTED_VALUE"""),45905.0)</f>
        <v>45905</v>
      </c>
      <c r="I2524" s="115" t="str">
        <f>IFERROR(__xludf.DUMMYFUNCTION("""COMPUTED_VALUE"""),"15")</f>
        <v>15</v>
      </c>
      <c r="J2524" s="115" t="str">
        <f>IFERROR(__xludf.DUMMYFUNCTION("""COMPUTED_VALUE"""),"Ashvani Bhatt2025-09-0515")</f>
        <v>Ashvani Bhatt2025-09-0515</v>
      </c>
      <c r="K2524" s="115">
        <f>IFERROR(__xludf.DUMMYFUNCTION("""COMPUTED_VALUE"""),39172.0)</f>
        <v>39172</v>
      </c>
    </row>
    <row r="2525">
      <c r="A2525" s="115" t="str">
        <f>IFERROR(__xludf.DUMMYFUNCTION("""COMPUTED_VALUE"""),"West")</f>
        <v>West</v>
      </c>
      <c r="B2525" s="115"/>
      <c r="C2525" s="115" t="str">
        <f>IFERROR(__xludf.DUMMYFUNCTION("""COMPUTED_VALUE"""),"EXTERNAL")</f>
        <v>EXTERNAL</v>
      </c>
      <c r="D2525" s="115">
        <f>IFERROR(__xludf.DUMMYFUNCTION("""COMPUTED_VALUE"""),75.0)</f>
        <v>75</v>
      </c>
      <c r="E2525" s="115">
        <f>IFERROR(__xludf.DUMMYFUNCTION("""COMPUTED_VALUE"""),22.0)</f>
        <v>22</v>
      </c>
      <c r="F2525" s="115">
        <f>IFERROR(__xludf.DUMMYFUNCTION("""COMPUTED_VALUE"""),14.0)</f>
        <v>14</v>
      </c>
      <c r="G2525" s="115">
        <f>IFERROR(__xludf.DUMMYFUNCTION("""COMPUTED_VALUE"""),3.0)</f>
        <v>3</v>
      </c>
      <c r="H2525" s="116">
        <f>IFERROR(__xludf.DUMMYFUNCTION("""COMPUTED_VALUE"""),45905.0)</f>
        <v>45905</v>
      </c>
      <c r="I2525" s="115" t="str">
        <f>IFERROR(__xludf.DUMMYFUNCTION("""COMPUTED_VALUE"""),"15")</f>
        <v>15</v>
      </c>
      <c r="J2525" s="115" t="str">
        <f>IFERROR(__xludf.DUMMYFUNCTION("""COMPUTED_VALUE"""),"2025-09-0515")</f>
        <v>2025-09-0515</v>
      </c>
      <c r="K2525" s="115">
        <f>IFERROR(__xludf.DUMMYFUNCTION("""COMPUTED_VALUE"""),97.0)</f>
        <v>97</v>
      </c>
    </row>
    <row r="2526">
      <c r="A2526" s="115" t="str">
        <f>IFERROR(__xludf.DUMMYFUNCTION("""COMPUTED_VALUE"""),"West")</f>
        <v>West</v>
      </c>
      <c r="B2526" s="115"/>
      <c r="C2526" s="115" t="str">
        <f>IFERROR(__xludf.DUMMYFUNCTION("""COMPUTED_VALUE"""),"FLIPKART")</f>
        <v>FLIPKART</v>
      </c>
      <c r="D2526" s="115">
        <f>IFERROR(__xludf.DUMMYFUNCTION("""COMPUTED_VALUE"""),418.0)</f>
        <v>418</v>
      </c>
      <c r="E2526" s="115">
        <f>IFERROR(__xludf.DUMMYFUNCTION("""COMPUTED_VALUE"""),71.0)</f>
        <v>71</v>
      </c>
      <c r="F2526" s="115">
        <f>IFERROR(__xludf.DUMMYFUNCTION("""COMPUTED_VALUE"""),154.0)</f>
        <v>154</v>
      </c>
      <c r="G2526" s="115">
        <f>IFERROR(__xludf.DUMMYFUNCTION("""COMPUTED_VALUE"""),12.0)</f>
        <v>12</v>
      </c>
      <c r="H2526" s="116">
        <f>IFERROR(__xludf.DUMMYFUNCTION("""COMPUTED_VALUE"""),45905.0)</f>
        <v>45905</v>
      </c>
      <c r="I2526" s="115" t="str">
        <f>IFERROR(__xludf.DUMMYFUNCTION("""COMPUTED_VALUE"""),"15")</f>
        <v>15</v>
      </c>
      <c r="J2526" s="115" t="str">
        <f>IFERROR(__xludf.DUMMYFUNCTION("""COMPUTED_VALUE"""),"2025-09-0515")</f>
        <v>2025-09-0515</v>
      </c>
      <c r="K2526" s="115">
        <f>IFERROR(__xludf.DUMMYFUNCTION("""COMPUTED_VALUE"""),489.0)</f>
        <v>489</v>
      </c>
    </row>
    <row r="2527">
      <c r="A2527" s="115" t="str">
        <f>IFERROR(__xludf.DUMMYFUNCTION("""COMPUTED_VALUE"""),"West")</f>
        <v>West</v>
      </c>
      <c r="B2527" s="115"/>
      <c r="C2527" s="115" t="str">
        <f>IFERROR(__xludf.DUMMYFUNCTION("""COMPUTED_VALUE"""),"MYNTRA")</f>
        <v>MYNTRA</v>
      </c>
      <c r="D2527" s="115">
        <f>IFERROR(__xludf.DUMMYFUNCTION("""COMPUTED_VALUE"""),118.0)</f>
        <v>118</v>
      </c>
      <c r="E2527" s="115">
        <f>IFERROR(__xludf.DUMMYFUNCTION("""COMPUTED_VALUE"""),30.0)</f>
        <v>30</v>
      </c>
      <c r="F2527" s="115">
        <f>IFERROR(__xludf.DUMMYFUNCTION("""COMPUTED_VALUE"""),25.0)</f>
        <v>25</v>
      </c>
      <c r="G2527" s="115">
        <f>IFERROR(__xludf.DUMMYFUNCTION("""COMPUTED_VALUE"""),4.0)</f>
        <v>4</v>
      </c>
      <c r="H2527" s="116">
        <f>IFERROR(__xludf.DUMMYFUNCTION("""COMPUTED_VALUE"""),45905.0)</f>
        <v>45905</v>
      </c>
      <c r="I2527" s="115" t="str">
        <f>IFERROR(__xludf.DUMMYFUNCTION("""COMPUTED_VALUE"""),"15")</f>
        <v>15</v>
      </c>
      <c r="J2527" s="115" t="str">
        <f>IFERROR(__xludf.DUMMYFUNCTION("""COMPUTED_VALUE"""),"2025-09-0515")</f>
        <v>2025-09-0515</v>
      </c>
      <c r="K2527" s="115">
        <f>IFERROR(__xludf.DUMMYFUNCTION("""COMPUTED_VALUE"""),148.0)</f>
        <v>148</v>
      </c>
    </row>
    <row r="2528">
      <c r="A2528" s="115"/>
      <c r="B2528" s="115"/>
      <c r="C2528" s="115" t="str">
        <f>IFERROR(__xludf.DUMMYFUNCTION("""COMPUTED_VALUE"""),"EXTERNAL")</f>
        <v>EXTERNAL</v>
      </c>
      <c r="D2528" s="115">
        <f>IFERROR(__xludf.DUMMYFUNCTION("""COMPUTED_VALUE"""),1356.0)</f>
        <v>1356</v>
      </c>
      <c r="E2528" s="115">
        <f>IFERROR(__xludf.DUMMYFUNCTION("""COMPUTED_VALUE"""),130.0)</f>
        <v>130</v>
      </c>
      <c r="F2528" s="115">
        <f>IFERROR(__xludf.DUMMYFUNCTION("""COMPUTED_VALUE"""),417.0)</f>
        <v>417</v>
      </c>
      <c r="G2528" s="115">
        <f>IFERROR(__xludf.DUMMYFUNCTION("""COMPUTED_VALUE"""),29.0)</f>
        <v>29</v>
      </c>
      <c r="H2528" s="116">
        <f>IFERROR(__xludf.DUMMYFUNCTION("""COMPUTED_VALUE"""),45905.0)</f>
        <v>45905</v>
      </c>
      <c r="I2528" s="115" t="str">
        <f>IFERROR(__xludf.DUMMYFUNCTION("""COMPUTED_VALUE"""),"15")</f>
        <v>15</v>
      </c>
      <c r="J2528" s="115" t="str">
        <f>IFERROR(__xludf.DUMMYFUNCTION("""COMPUTED_VALUE"""),"2025-09-0515")</f>
        <v>2025-09-0515</v>
      </c>
      <c r="K2528" s="115">
        <f>IFERROR(__xludf.DUMMYFUNCTION("""COMPUTED_VALUE"""),1486.0)</f>
        <v>1486</v>
      </c>
    </row>
    <row r="2529">
      <c r="A2529" s="115"/>
      <c r="B2529" s="115"/>
      <c r="C2529" s="115" t="str">
        <f>IFERROR(__xludf.DUMMYFUNCTION("""COMPUTED_VALUE"""),"FLIPKART")</f>
        <v>FLIPKART</v>
      </c>
      <c r="D2529" s="115">
        <f>IFERROR(__xludf.DUMMYFUNCTION("""COMPUTED_VALUE"""),10672.0)</f>
        <v>10672</v>
      </c>
      <c r="E2529" s="115">
        <f>IFERROR(__xludf.DUMMYFUNCTION("""COMPUTED_VALUE"""),1005.0)</f>
        <v>1005</v>
      </c>
      <c r="F2529" s="115">
        <f>IFERROR(__xludf.DUMMYFUNCTION("""COMPUTED_VALUE"""),4822.0)</f>
        <v>4822</v>
      </c>
      <c r="G2529" s="115">
        <f>IFERROR(__xludf.DUMMYFUNCTION("""COMPUTED_VALUE"""),329.0)</f>
        <v>329</v>
      </c>
      <c r="H2529" s="116">
        <f>IFERROR(__xludf.DUMMYFUNCTION("""COMPUTED_VALUE"""),45905.0)</f>
        <v>45905</v>
      </c>
      <c r="I2529" s="115" t="str">
        <f>IFERROR(__xludf.DUMMYFUNCTION("""COMPUTED_VALUE"""),"15")</f>
        <v>15</v>
      </c>
      <c r="J2529" s="115" t="str">
        <f>IFERROR(__xludf.DUMMYFUNCTION("""COMPUTED_VALUE"""),"2025-09-0515")</f>
        <v>2025-09-0515</v>
      </c>
      <c r="K2529" s="115">
        <f>IFERROR(__xludf.DUMMYFUNCTION("""COMPUTED_VALUE"""),11677.0)</f>
        <v>11677</v>
      </c>
    </row>
    <row r="2530">
      <c r="A2530" s="115"/>
      <c r="B2530" s="115"/>
      <c r="C2530" s="115" t="str">
        <f>IFERROR(__xludf.DUMMYFUNCTION("""COMPUTED_VALUE"""),"MYNTRA")</f>
        <v>MYNTRA</v>
      </c>
      <c r="D2530" s="115">
        <f>IFERROR(__xludf.DUMMYFUNCTION("""COMPUTED_VALUE"""),1462.0)</f>
        <v>1462</v>
      </c>
      <c r="E2530" s="115">
        <f>IFERROR(__xludf.DUMMYFUNCTION("""COMPUTED_VALUE"""),284.0)</f>
        <v>284</v>
      </c>
      <c r="F2530" s="115">
        <f>IFERROR(__xludf.DUMMYFUNCTION("""COMPUTED_VALUE"""),810.0)</f>
        <v>810</v>
      </c>
      <c r="G2530" s="115">
        <f>IFERROR(__xludf.DUMMYFUNCTION("""COMPUTED_VALUE"""),88.0)</f>
        <v>88</v>
      </c>
      <c r="H2530" s="116">
        <f>IFERROR(__xludf.DUMMYFUNCTION("""COMPUTED_VALUE"""),45905.0)</f>
        <v>45905</v>
      </c>
      <c r="I2530" s="115" t="str">
        <f>IFERROR(__xludf.DUMMYFUNCTION("""COMPUTED_VALUE"""),"15")</f>
        <v>15</v>
      </c>
      <c r="J2530" s="115" t="str">
        <f>IFERROR(__xludf.DUMMYFUNCTION("""COMPUTED_VALUE"""),"2025-09-0515")</f>
        <v>2025-09-0515</v>
      </c>
      <c r="K2530" s="115">
        <f>IFERROR(__xludf.DUMMYFUNCTION("""COMPUTED_VALUE"""),1746.0)</f>
        <v>1746</v>
      </c>
    </row>
    <row r="2531">
      <c r="A2531" s="115" t="str">
        <f>IFERROR(__xludf.DUMMYFUNCTION("""COMPUTED_VALUE"""),"EAST")</f>
        <v>EAST</v>
      </c>
      <c r="B2531" s="115" t="str">
        <f>IFERROR(__xludf.DUMMYFUNCTION("""COMPUTED_VALUE"""),"Ashish Ranjan")</f>
        <v>Ashish Ranjan</v>
      </c>
      <c r="C2531" s="115" t="str">
        <f>IFERROR(__xludf.DUMMYFUNCTION("""COMPUTED_VALUE"""),"EXTERNAL")</f>
        <v>EXTERNAL</v>
      </c>
      <c r="D2531" s="115">
        <f>IFERROR(__xludf.DUMMYFUNCTION("""COMPUTED_VALUE"""),37358.0)</f>
        <v>37358</v>
      </c>
      <c r="E2531" s="115">
        <f>IFERROR(__xludf.DUMMYFUNCTION("""COMPUTED_VALUE"""),2976.0)</f>
        <v>2976</v>
      </c>
      <c r="F2531" s="115">
        <f>IFERROR(__xludf.DUMMYFUNCTION("""COMPUTED_VALUE"""),17461.0)</f>
        <v>17461</v>
      </c>
      <c r="G2531" s="115">
        <f>IFERROR(__xludf.DUMMYFUNCTION("""COMPUTED_VALUE"""),937.0)</f>
        <v>937</v>
      </c>
      <c r="H2531" s="116">
        <f>IFERROR(__xludf.DUMMYFUNCTION("""COMPUTED_VALUE"""),45905.0)</f>
        <v>45905</v>
      </c>
      <c r="I2531" s="115" t="str">
        <f>IFERROR(__xludf.DUMMYFUNCTION("""COMPUTED_VALUE"""),"16")</f>
        <v>16</v>
      </c>
      <c r="J2531" s="115" t="str">
        <f>IFERROR(__xludf.DUMMYFUNCTION("""COMPUTED_VALUE"""),"Ashish Ranjan2025-09-0516")</f>
        <v>Ashish Ranjan2025-09-0516</v>
      </c>
      <c r="K2531" s="115">
        <f>IFERROR(__xludf.DUMMYFUNCTION("""COMPUTED_VALUE"""),40334.0)</f>
        <v>40334</v>
      </c>
    </row>
    <row r="2532">
      <c r="A2532" s="115" t="str">
        <f>IFERROR(__xludf.DUMMYFUNCTION("""COMPUTED_VALUE"""),"EAST")</f>
        <v>EAST</v>
      </c>
      <c r="B2532" s="115" t="str">
        <f>IFERROR(__xludf.DUMMYFUNCTION("""COMPUTED_VALUE"""),"Ashish Ranjan")</f>
        <v>Ashish Ranjan</v>
      </c>
      <c r="C2532" s="115" t="str">
        <f>IFERROR(__xludf.DUMMYFUNCTION("""COMPUTED_VALUE"""),"FLIPKART")</f>
        <v>FLIPKART</v>
      </c>
      <c r="D2532" s="115">
        <f>IFERROR(__xludf.DUMMYFUNCTION("""COMPUTED_VALUE"""),581868.0)</f>
        <v>581868</v>
      </c>
      <c r="E2532" s="115">
        <f>IFERROR(__xludf.DUMMYFUNCTION("""COMPUTED_VALUE"""),54357.0)</f>
        <v>54357</v>
      </c>
      <c r="F2532" s="115">
        <f>IFERROR(__xludf.DUMMYFUNCTION("""COMPUTED_VALUE"""),426229.0)</f>
        <v>426229</v>
      </c>
      <c r="G2532" s="115">
        <f>IFERROR(__xludf.DUMMYFUNCTION("""COMPUTED_VALUE"""),24227.0)</f>
        <v>24227</v>
      </c>
      <c r="H2532" s="116">
        <f>IFERROR(__xludf.DUMMYFUNCTION("""COMPUTED_VALUE"""),45905.0)</f>
        <v>45905</v>
      </c>
      <c r="I2532" s="115" t="str">
        <f>IFERROR(__xludf.DUMMYFUNCTION("""COMPUTED_VALUE"""),"16")</f>
        <v>16</v>
      </c>
      <c r="J2532" s="115" t="str">
        <f>IFERROR(__xludf.DUMMYFUNCTION("""COMPUTED_VALUE"""),"Ashish Ranjan2025-09-0516")</f>
        <v>Ashish Ranjan2025-09-0516</v>
      </c>
      <c r="K2532" s="115">
        <f>IFERROR(__xludf.DUMMYFUNCTION("""COMPUTED_VALUE"""),636225.0)</f>
        <v>636225</v>
      </c>
    </row>
    <row r="2533">
      <c r="A2533" s="115" t="str">
        <f>IFERROR(__xludf.DUMMYFUNCTION("""COMPUTED_VALUE"""),"EAST")</f>
        <v>EAST</v>
      </c>
      <c r="B2533" s="115" t="str">
        <f>IFERROR(__xludf.DUMMYFUNCTION("""COMPUTED_VALUE"""),"Ashish Ranjan")</f>
        <v>Ashish Ranjan</v>
      </c>
      <c r="C2533" s="115" t="str">
        <f>IFERROR(__xludf.DUMMYFUNCTION("""COMPUTED_VALUE"""),"MYNTRA")</f>
        <v>MYNTRA</v>
      </c>
      <c r="D2533" s="115">
        <f>IFERROR(__xludf.DUMMYFUNCTION("""COMPUTED_VALUE"""),66208.0)</f>
        <v>66208</v>
      </c>
      <c r="E2533" s="115">
        <f>IFERROR(__xludf.DUMMYFUNCTION("""COMPUTED_VALUE"""),11686.0)</f>
        <v>11686</v>
      </c>
      <c r="F2533" s="115">
        <f>IFERROR(__xludf.DUMMYFUNCTION("""COMPUTED_VALUE"""),50096.0)</f>
        <v>50096</v>
      </c>
      <c r="G2533" s="115">
        <f>IFERROR(__xludf.DUMMYFUNCTION("""COMPUTED_VALUE"""),5187.0)</f>
        <v>5187</v>
      </c>
      <c r="H2533" s="116">
        <f>IFERROR(__xludf.DUMMYFUNCTION("""COMPUTED_VALUE"""),45905.0)</f>
        <v>45905</v>
      </c>
      <c r="I2533" s="115" t="str">
        <f>IFERROR(__xludf.DUMMYFUNCTION("""COMPUTED_VALUE"""),"16")</f>
        <v>16</v>
      </c>
      <c r="J2533" s="115" t="str">
        <f>IFERROR(__xludf.DUMMYFUNCTION("""COMPUTED_VALUE"""),"Ashish Ranjan2025-09-0516")</f>
        <v>Ashish Ranjan2025-09-0516</v>
      </c>
      <c r="K2533" s="115">
        <f>IFERROR(__xludf.DUMMYFUNCTION("""COMPUTED_VALUE"""),77894.0)</f>
        <v>77894</v>
      </c>
    </row>
    <row r="2534">
      <c r="A2534" s="115" t="str">
        <f>IFERROR(__xludf.DUMMYFUNCTION("""COMPUTED_VALUE"""),"EAST")</f>
        <v>EAST</v>
      </c>
      <c r="B2534" s="115" t="str">
        <f>IFERROR(__xludf.DUMMYFUNCTION("""COMPUTED_VALUE"""),"Girish Chand")</f>
        <v>Girish Chand</v>
      </c>
      <c r="C2534" s="115" t="str">
        <f>IFERROR(__xludf.DUMMYFUNCTION("""COMPUTED_VALUE"""),"EXTERNAL")</f>
        <v>EXTERNAL</v>
      </c>
      <c r="D2534" s="115">
        <f>IFERROR(__xludf.DUMMYFUNCTION("""COMPUTED_VALUE"""),22534.0)</f>
        <v>22534</v>
      </c>
      <c r="E2534" s="115">
        <f>IFERROR(__xludf.DUMMYFUNCTION("""COMPUTED_VALUE"""),1846.0)</f>
        <v>1846</v>
      </c>
      <c r="F2534" s="115">
        <f>IFERROR(__xludf.DUMMYFUNCTION("""COMPUTED_VALUE"""),7981.0)</f>
        <v>7981</v>
      </c>
      <c r="G2534" s="115">
        <f>IFERROR(__xludf.DUMMYFUNCTION("""COMPUTED_VALUE"""),333.0)</f>
        <v>333</v>
      </c>
      <c r="H2534" s="116">
        <f>IFERROR(__xludf.DUMMYFUNCTION("""COMPUTED_VALUE"""),45905.0)</f>
        <v>45905</v>
      </c>
      <c r="I2534" s="115" t="str">
        <f>IFERROR(__xludf.DUMMYFUNCTION("""COMPUTED_VALUE"""),"16")</f>
        <v>16</v>
      </c>
      <c r="J2534" s="115" t="str">
        <f>IFERROR(__xludf.DUMMYFUNCTION("""COMPUTED_VALUE"""),"Girish Chand2025-09-0516")</f>
        <v>Girish Chand2025-09-0516</v>
      </c>
      <c r="K2534" s="115">
        <f>IFERROR(__xludf.DUMMYFUNCTION("""COMPUTED_VALUE"""),24380.0)</f>
        <v>24380</v>
      </c>
    </row>
    <row r="2535">
      <c r="A2535" s="115" t="str">
        <f>IFERROR(__xludf.DUMMYFUNCTION("""COMPUTED_VALUE"""),"EAST")</f>
        <v>EAST</v>
      </c>
      <c r="B2535" s="115" t="str">
        <f>IFERROR(__xludf.DUMMYFUNCTION("""COMPUTED_VALUE"""),"Girish Chand")</f>
        <v>Girish Chand</v>
      </c>
      <c r="C2535" s="115" t="str">
        <f>IFERROR(__xludf.DUMMYFUNCTION("""COMPUTED_VALUE"""),"FLIPKART")</f>
        <v>FLIPKART</v>
      </c>
      <c r="D2535" s="115">
        <f>IFERROR(__xludf.DUMMYFUNCTION("""COMPUTED_VALUE"""),393584.0)</f>
        <v>393584</v>
      </c>
      <c r="E2535" s="115">
        <f>IFERROR(__xludf.DUMMYFUNCTION("""COMPUTED_VALUE"""),37882.0)</f>
        <v>37882</v>
      </c>
      <c r="F2535" s="115">
        <f>IFERROR(__xludf.DUMMYFUNCTION("""COMPUTED_VALUE"""),247631.0)</f>
        <v>247631</v>
      </c>
      <c r="G2535" s="115">
        <f>IFERROR(__xludf.DUMMYFUNCTION("""COMPUTED_VALUE"""),12223.0)</f>
        <v>12223</v>
      </c>
      <c r="H2535" s="116">
        <f>IFERROR(__xludf.DUMMYFUNCTION("""COMPUTED_VALUE"""),45905.0)</f>
        <v>45905</v>
      </c>
      <c r="I2535" s="115" t="str">
        <f>IFERROR(__xludf.DUMMYFUNCTION("""COMPUTED_VALUE"""),"16")</f>
        <v>16</v>
      </c>
      <c r="J2535" s="115" t="str">
        <f>IFERROR(__xludf.DUMMYFUNCTION("""COMPUTED_VALUE"""),"Girish Chand2025-09-0516")</f>
        <v>Girish Chand2025-09-0516</v>
      </c>
      <c r="K2535" s="115">
        <f>IFERROR(__xludf.DUMMYFUNCTION("""COMPUTED_VALUE"""),431466.0)</f>
        <v>431466</v>
      </c>
    </row>
    <row r="2536">
      <c r="A2536" s="115" t="str">
        <f>IFERROR(__xludf.DUMMYFUNCTION("""COMPUTED_VALUE"""),"EAST")</f>
        <v>EAST</v>
      </c>
      <c r="B2536" s="115" t="str">
        <f>IFERROR(__xludf.DUMMYFUNCTION("""COMPUTED_VALUE"""),"Girish Chand")</f>
        <v>Girish Chand</v>
      </c>
      <c r="C2536" s="115" t="str">
        <f>IFERROR(__xludf.DUMMYFUNCTION("""COMPUTED_VALUE"""),"MYNTRA")</f>
        <v>MYNTRA</v>
      </c>
      <c r="D2536" s="115">
        <f>IFERROR(__xludf.DUMMYFUNCTION("""COMPUTED_VALUE"""),34532.0)</f>
        <v>34532</v>
      </c>
      <c r="E2536" s="115">
        <f>IFERROR(__xludf.DUMMYFUNCTION("""COMPUTED_VALUE"""),6636.0)</f>
        <v>6636</v>
      </c>
      <c r="F2536" s="115">
        <f>IFERROR(__xludf.DUMMYFUNCTION("""COMPUTED_VALUE"""),23312.0)</f>
        <v>23312</v>
      </c>
      <c r="G2536" s="115">
        <f>IFERROR(__xludf.DUMMYFUNCTION("""COMPUTED_VALUE"""),2379.0)</f>
        <v>2379</v>
      </c>
      <c r="H2536" s="116">
        <f>IFERROR(__xludf.DUMMYFUNCTION("""COMPUTED_VALUE"""),45905.0)</f>
        <v>45905</v>
      </c>
      <c r="I2536" s="115" t="str">
        <f>IFERROR(__xludf.DUMMYFUNCTION("""COMPUTED_VALUE"""),"16")</f>
        <v>16</v>
      </c>
      <c r="J2536" s="115" t="str">
        <f>IFERROR(__xludf.DUMMYFUNCTION("""COMPUTED_VALUE"""),"Girish Chand2025-09-0516")</f>
        <v>Girish Chand2025-09-0516</v>
      </c>
      <c r="K2536" s="115">
        <f>IFERROR(__xludf.DUMMYFUNCTION("""COMPUTED_VALUE"""),41168.0)</f>
        <v>41168</v>
      </c>
    </row>
    <row r="2537">
      <c r="A2537" s="115" t="str">
        <f>IFERROR(__xludf.DUMMYFUNCTION("""COMPUTED_VALUE"""),"EAST")</f>
        <v>EAST</v>
      </c>
      <c r="B2537" s="115" t="str">
        <f>IFERROR(__xludf.DUMMYFUNCTION("""COMPUTED_VALUE"""),"Parag Kashyap")</f>
        <v>Parag Kashyap</v>
      </c>
      <c r="C2537" s="115" t="str">
        <f>IFERROR(__xludf.DUMMYFUNCTION("""COMPUTED_VALUE"""),"EXTERNAL")</f>
        <v>EXTERNAL</v>
      </c>
      <c r="D2537" s="115">
        <f>IFERROR(__xludf.DUMMYFUNCTION("""COMPUTED_VALUE"""),18909.0)</f>
        <v>18909</v>
      </c>
      <c r="E2537" s="115">
        <f>IFERROR(__xludf.DUMMYFUNCTION("""COMPUTED_VALUE"""),980.0)</f>
        <v>980</v>
      </c>
      <c r="F2537" s="115">
        <f>IFERROR(__xludf.DUMMYFUNCTION("""COMPUTED_VALUE"""),6067.0)</f>
        <v>6067</v>
      </c>
      <c r="G2537" s="115">
        <f>IFERROR(__xludf.DUMMYFUNCTION("""COMPUTED_VALUE"""),137.0)</f>
        <v>137</v>
      </c>
      <c r="H2537" s="116">
        <f>IFERROR(__xludf.DUMMYFUNCTION("""COMPUTED_VALUE"""),45905.0)</f>
        <v>45905</v>
      </c>
      <c r="I2537" s="115" t="str">
        <f>IFERROR(__xludf.DUMMYFUNCTION("""COMPUTED_VALUE"""),"16")</f>
        <v>16</v>
      </c>
      <c r="J2537" s="115" t="str">
        <f>IFERROR(__xludf.DUMMYFUNCTION("""COMPUTED_VALUE"""),"Parag Kashyap2025-09-0516")</f>
        <v>Parag Kashyap2025-09-0516</v>
      </c>
      <c r="K2537" s="115">
        <f>IFERROR(__xludf.DUMMYFUNCTION("""COMPUTED_VALUE"""),19889.0)</f>
        <v>19889</v>
      </c>
    </row>
    <row r="2538">
      <c r="A2538" s="115" t="str">
        <f>IFERROR(__xludf.DUMMYFUNCTION("""COMPUTED_VALUE"""),"EAST")</f>
        <v>EAST</v>
      </c>
      <c r="B2538" s="115" t="str">
        <f>IFERROR(__xludf.DUMMYFUNCTION("""COMPUTED_VALUE"""),"Parag Kashyap")</f>
        <v>Parag Kashyap</v>
      </c>
      <c r="C2538" s="115" t="str">
        <f>IFERROR(__xludf.DUMMYFUNCTION("""COMPUTED_VALUE"""),"FLIPKART")</f>
        <v>FLIPKART</v>
      </c>
      <c r="D2538" s="115">
        <f>IFERROR(__xludf.DUMMYFUNCTION("""COMPUTED_VALUE"""),289192.0)</f>
        <v>289192</v>
      </c>
      <c r="E2538" s="115">
        <f>IFERROR(__xludf.DUMMYFUNCTION("""COMPUTED_VALUE"""),19151.0)</f>
        <v>19151</v>
      </c>
      <c r="F2538" s="115">
        <f>IFERROR(__xludf.DUMMYFUNCTION("""COMPUTED_VALUE"""),170387.0)</f>
        <v>170387</v>
      </c>
      <c r="G2538" s="115">
        <f>IFERROR(__xludf.DUMMYFUNCTION("""COMPUTED_VALUE"""),4484.0)</f>
        <v>4484</v>
      </c>
      <c r="H2538" s="116">
        <f>IFERROR(__xludf.DUMMYFUNCTION("""COMPUTED_VALUE"""),45905.0)</f>
        <v>45905</v>
      </c>
      <c r="I2538" s="115" t="str">
        <f>IFERROR(__xludf.DUMMYFUNCTION("""COMPUTED_VALUE"""),"16")</f>
        <v>16</v>
      </c>
      <c r="J2538" s="115" t="str">
        <f>IFERROR(__xludf.DUMMYFUNCTION("""COMPUTED_VALUE"""),"Parag Kashyap2025-09-0516")</f>
        <v>Parag Kashyap2025-09-0516</v>
      </c>
      <c r="K2538" s="115">
        <f>IFERROR(__xludf.DUMMYFUNCTION("""COMPUTED_VALUE"""),308343.0)</f>
        <v>308343</v>
      </c>
    </row>
    <row r="2539">
      <c r="A2539" s="115" t="str">
        <f>IFERROR(__xludf.DUMMYFUNCTION("""COMPUTED_VALUE"""),"EAST")</f>
        <v>EAST</v>
      </c>
      <c r="B2539" s="115" t="str">
        <f>IFERROR(__xludf.DUMMYFUNCTION("""COMPUTED_VALUE"""),"Parag Kashyap")</f>
        <v>Parag Kashyap</v>
      </c>
      <c r="C2539" s="115" t="str">
        <f>IFERROR(__xludf.DUMMYFUNCTION("""COMPUTED_VALUE"""),"MYNTRA")</f>
        <v>MYNTRA</v>
      </c>
      <c r="D2539" s="115">
        <f>IFERROR(__xludf.DUMMYFUNCTION("""COMPUTED_VALUE"""),32996.0)</f>
        <v>32996</v>
      </c>
      <c r="E2539" s="115">
        <f>IFERROR(__xludf.DUMMYFUNCTION("""COMPUTED_VALUE"""),5151.0)</f>
        <v>5151</v>
      </c>
      <c r="F2539" s="115">
        <f>IFERROR(__xludf.DUMMYFUNCTION("""COMPUTED_VALUE"""),20296.0)</f>
        <v>20296</v>
      </c>
      <c r="G2539" s="115">
        <f>IFERROR(__xludf.DUMMYFUNCTION("""COMPUTED_VALUE"""),1155.0)</f>
        <v>1155</v>
      </c>
      <c r="H2539" s="116">
        <f>IFERROR(__xludf.DUMMYFUNCTION("""COMPUTED_VALUE"""),45905.0)</f>
        <v>45905</v>
      </c>
      <c r="I2539" s="115" t="str">
        <f>IFERROR(__xludf.DUMMYFUNCTION("""COMPUTED_VALUE"""),"16")</f>
        <v>16</v>
      </c>
      <c r="J2539" s="115" t="str">
        <f>IFERROR(__xludf.DUMMYFUNCTION("""COMPUTED_VALUE"""),"Parag Kashyap2025-09-0516")</f>
        <v>Parag Kashyap2025-09-0516</v>
      </c>
      <c r="K2539" s="115">
        <f>IFERROR(__xludf.DUMMYFUNCTION("""COMPUTED_VALUE"""),38147.0)</f>
        <v>38147</v>
      </c>
    </row>
    <row r="2540">
      <c r="A2540" s="115" t="str">
        <f>IFERROR(__xludf.DUMMYFUNCTION("""COMPUTED_VALUE"""),"NORTH")</f>
        <v>NORTH</v>
      </c>
      <c r="B2540" s="115" t="str">
        <f>IFERROR(__xludf.DUMMYFUNCTION("""COMPUTED_VALUE"""),"Amit Kumar Pathak")</f>
        <v>Amit Kumar Pathak</v>
      </c>
      <c r="C2540" s="115" t="str">
        <f>IFERROR(__xludf.DUMMYFUNCTION("""COMPUTED_VALUE"""),"EXTERNAL")</f>
        <v>EXTERNAL</v>
      </c>
      <c r="D2540" s="115">
        <f>IFERROR(__xludf.DUMMYFUNCTION("""COMPUTED_VALUE"""),25737.0)</f>
        <v>25737</v>
      </c>
      <c r="E2540" s="115">
        <f>IFERROR(__xludf.DUMMYFUNCTION("""COMPUTED_VALUE"""),3063.0)</f>
        <v>3063</v>
      </c>
      <c r="F2540" s="115">
        <f>IFERROR(__xludf.DUMMYFUNCTION("""COMPUTED_VALUE"""),7421.0)</f>
        <v>7421</v>
      </c>
      <c r="G2540" s="115">
        <f>IFERROR(__xludf.DUMMYFUNCTION("""COMPUTED_VALUE"""),1103.0)</f>
        <v>1103</v>
      </c>
      <c r="H2540" s="116">
        <f>IFERROR(__xludf.DUMMYFUNCTION("""COMPUTED_VALUE"""),45905.0)</f>
        <v>45905</v>
      </c>
      <c r="I2540" s="115" t="str">
        <f>IFERROR(__xludf.DUMMYFUNCTION("""COMPUTED_VALUE"""),"16")</f>
        <v>16</v>
      </c>
      <c r="J2540" s="115" t="str">
        <f>IFERROR(__xludf.DUMMYFUNCTION("""COMPUTED_VALUE"""),"Amit Kumar Pathak2025-09-0516")</f>
        <v>Amit Kumar Pathak2025-09-0516</v>
      </c>
      <c r="K2540" s="115">
        <f>IFERROR(__xludf.DUMMYFUNCTION("""COMPUTED_VALUE"""),28800.0)</f>
        <v>28800</v>
      </c>
    </row>
    <row r="2541">
      <c r="A2541" s="115" t="str">
        <f>IFERROR(__xludf.DUMMYFUNCTION("""COMPUTED_VALUE"""),"NORTH")</f>
        <v>NORTH</v>
      </c>
      <c r="B2541" s="115" t="str">
        <f>IFERROR(__xludf.DUMMYFUNCTION("""COMPUTED_VALUE"""),"Amit Kumar Pathak")</f>
        <v>Amit Kumar Pathak</v>
      </c>
      <c r="C2541" s="115" t="str">
        <f>IFERROR(__xludf.DUMMYFUNCTION("""COMPUTED_VALUE"""),"FLIPKART")</f>
        <v>FLIPKART</v>
      </c>
      <c r="D2541" s="115">
        <f>IFERROR(__xludf.DUMMYFUNCTION("""COMPUTED_VALUE"""),174280.0)</f>
        <v>174280</v>
      </c>
      <c r="E2541" s="115">
        <f>IFERROR(__xludf.DUMMYFUNCTION("""COMPUTED_VALUE"""),25464.0)</f>
        <v>25464</v>
      </c>
      <c r="F2541" s="115">
        <f>IFERROR(__xludf.DUMMYFUNCTION("""COMPUTED_VALUE"""),91214.0)</f>
        <v>91214</v>
      </c>
      <c r="G2541" s="115">
        <f>IFERROR(__xludf.DUMMYFUNCTION("""COMPUTED_VALUE"""),10750.0)</f>
        <v>10750</v>
      </c>
      <c r="H2541" s="116">
        <f>IFERROR(__xludf.DUMMYFUNCTION("""COMPUTED_VALUE"""),45905.0)</f>
        <v>45905</v>
      </c>
      <c r="I2541" s="115" t="str">
        <f>IFERROR(__xludf.DUMMYFUNCTION("""COMPUTED_VALUE"""),"16")</f>
        <v>16</v>
      </c>
      <c r="J2541" s="115" t="str">
        <f>IFERROR(__xludf.DUMMYFUNCTION("""COMPUTED_VALUE"""),"Amit Kumar Pathak2025-09-0516")</f>
        <v>Amit Kumar Pathak2025-09-0516</v>
      </c>
      <c r="K2541" s="115">
        <f>IFERROR(__xludf.DUMMYFUNCTION("""COMPUTED_VALUE"""),199744.0)</f>
        <v>199744</v>
      </c>
    </row>
    <row r="2542">
      <c r="A2542" s="115" t="str">
        <f>IFERROR(__xludf.DUMMYFUNCTION("""COMPUTED_VALUE"""),"NORTH")</f>
        <v>NORTH</v>
      </c>
      <c r="B2542" s="115" t="str">
        <f>IFERROR(__xludf.DUMMYFUNCTION("""COMPUTED_VALUE"""),"Amit Kumar Pathak")</f>
        <v>Amit Kumar Pathak</v>
      </c>
      <c r="C2542" s="115" t="str">
        <f>IFERROR(__xludf.DUMMYFUNCTION("""COMPUTED_VALUE"""),"MYNTRA")</f>
        <v>MYNTRA</v>
      </c>
      <c r="D2542" s="115">
        <f>IFERROR(__xludf.DUMMYFUNCTION("""COMPUTED_VALUE"""),17074.0)</f>
        <v>17074</v>
      </c>
      <c r="E2542" s="115">
        <f>IFERROR(__xludf.DUMMYFUNCTION("""COMPUTED_VALUE"""),6212.0)</f>
        <v>6212</v>
      </c>
      <c r="F2542" s="115">
        <f>IFERROR(__xludf.DUMMYFUNCTION("""COMPUTED_VALUE"""),10695.0)</f>
        <v>10695</v>
      </c>
      <c r="G2542" s="115">
        <f>IFERROR(__xludf.DUMMYFUNCTION("""COMPUTED_VALUE"""),2829.0)</f>
        <v>2829</v>
      </c>
      <c r="H2542" s="116">
        <f>IFERROR(__xludf.DUMMYFUNCTION("""COMPUTED_VALUE"""),45905.0)</f>
        <v>45905</v>
      </c>
      <c r="I2542" s="115" t="str">
        <f>IFERROR(__xludf.DUMMYFUNCTION("""COMPUTED_VALUE"""),"16")</f>
        <v>16</v>
      </c>
      <c r="J2542" s="115" t="str">
        <f>IFERROR(__xludf.DUMMYFUNCTION("""COMPUTED_VALUE"""),"Amit Kumar Pathak2025-09-0516")</f>
        <v>Amit Kumar Pathak2025-09-0516</v>
      </c>
      <c r="K2542" s="115">
        <f>IFERROR(__xludf.DUMMYFUNCTION("""COMPUTED_VALUE"""),23286.0)</f>
        <v>23286</v>
      </c>
    </row>
    <row r="2543">
      <c r="A2543" s="115" t="str">
        <f>IFERROR(__xludf.DUMMYFUNCTION("""COMPUTED_VALUE"""),"NORTH")</f>
        <v>NORTH</v>
      </c>
      <c r="B2543" s="115" t="str">
        <f>IFERROR(__xludf.DUMMYFUNCTION("""COMPUTED_VALUE"""),"Loveleen Singh")</f>
        <v>Loveleen Singh</v>
      </c>
      <c r="C2543" s="115" t="str">
        <f>IFERROR(__xludf.DUMMYFUNCTION("""COMPUTED_VALUE"""),"EXTERNAL")</f>
        <v>EXTERNAL</v>
      </c>
      <c r="D2543" s="115">
        <f>IFERROR(__xludf.DUMMYFUNCTION("""COMPUTED_VALUE"""),36443.0)</f>
        <v>36443</v>
      </c>
      <c r="E2543" s="115">
        <f>IFERROR(__xludf.DUMMYFUNCTION("""COMPUTED_VALUE"""),2252.0)</f>
        <v>2252</v>
      </c>
      <c r="F2543" s="115">
        <f>IFERROR(__xludf.DUMMYFUNCTION("""COMPUTED_VALUE"""),11369.0)</f>
        <v>11369</v>
      </c>
      <c r="G2543" s="115">
        <f>IFERROR(__xludf.DUMMYFUNCTION("""COMPUTED_VALUE"""),437.0)</f>
        <v>437</v>
      </c>
      <c r="H2543" s="116">
        <f>IFERROR(__xludf.DUMMYFUNCTION("""COMPUTED_VALUE"""),45905.0)</f>
        <v>45905</v>
      </c>
      <c r="I2543" s="115" t="str">
        <f>IFERROR(__xludf.DUMMYFUNCTION("""COMPUTED_VALUE"""),"16")</f>
        <v>16</v>
      </c>
      <c r="J2543" s="115" t="str">
        <f>IFERROR(__xludf.DUMMYFUNCTION("""COMPUTED_VALUE"""),"Loveleen Singh2025-09-0516")</f>
        <v>Loveleen Singh2025-09-0516</v>
      </c>
      <c r="K2543" s="115">
        <f>IFERROR(__xludf.DUMMYFUNCTION("""COMPUTED_VALUE"""),38695.0)</f>
        <v>38695</v>
      </c>
    </row>
    <row r="2544">
      <c r="A2544" s="115" t="str">
        <f>IFERROR(__xludf.DUMMYFUNCTION("""COMPUTED_VALUE"""),"NORTH")</f>
        <v>NORTH</v>
      </c>
      <c r="B2544" s="115" t="str">
        <f>IFERROR(__xludf.DUMMYFUNCTION("""COMPUTED_VALUE"""),"Loveleen Singh")</f>
        <v>Loveleen Singh</v>
      </c>
      <c r="C2544" s="115" t="str">
        <f>IFERROR(__xludf.DUMMYFUNCTION("""COMPUTED_VALUE"""),"FLIPKART")</f>
        <v>FLIPKART</v>
      </c>
      <c r="D2544" s="115">
        <f>IFERROR(__xludf.DUMMYFUNCTION("""COMPUTED_VALUE"""),169993.0)</f>
        <v>169993</v>
      </c>
      <c r="E2544" s="115">
        <f>IFERROR(__xludf.DUMMYFUNCTION("""COMPUTED_VALUE"""),16136.0)</f>
        <v>16136</v>
      </c>
      <c r="F2544" s="115">
        <f>IFERROR(__xludf.DUMMYFUNCTION("""COMPUTED_VALUE"""),101264.0)</f>
        <v>101264</v>
      </c>
      <c r="G2544" s="115">
        <f>IFERROR(__xludf.DUMMYFUNCTION("""COMPUTED_VALUE"""),5092.0)</f>
        <v>5092</v>
      </c>
      <c r="H2544" s="116">
        <f>IFERROR(__xludf.DUMMYFUNCTION("""COMPUTED_VALUE"""),45905.0)</f>
        <v>45905</v>
      </c>
      <c r="I2544" s="115" t="str">
        <f>IFERROR(__xludf.DUMMYFUNCTION("""COMPUTED_VALUE"""),"16")</f>
        <v>16</v>
      </c>
      <c r="J2544" s="115" t="str">
        <f>IFERROR(__xludf.DUMMYFUNCTION("""COMPUTED_VALUE"""),"Loveleen Singh2025-09-0516")</f>
        <v>Loveleen Singh2025-09-0516</v>
      </c>
      <c r="K2544" s="115">
        <f>IFERROR(__xludf.DUMMYFUNCTION("""COMPUTED_VALUE"""),186129.0)</f>
        <v>186129</v>
      </c>
    </row>
    <row r="2545">
      <c r="A2545" s="115" t="str">
        <f>IFERROR(__xludf.DUMMYFUNCTION("""COMPUTED_VALUE"""),"NORTH")</f>
        <v>NORTH</v>
      </c>
      <c r="B2545" s="115" t="str">
        <f>IFERROR(__xludf.DUMMYFUNCTION("""COMPUTED_VALUE"""),"Loveleen Singh")</f>
        <v>Loveleen Singh</v>
      </c>
      <c r="C2545" s="115" t="str">
        <f>IFERROR(__xludf.DUMMYFUNCTION("""COMPUTED_VALUE"""),"MYNTRA")</f>
        <v>MYNTRA</v>
      </c>
      <c r="D2545" s="115">
        <f>IFERROR(__xludf.DUMMYFUNCTION("""COMPUTED_VALUE"""),27132.0)</f>
        <v>27132</v>
      </c>
      <c r="E2545" s="115">
        <f>IFERROR(__xludf.DUMMYFUNCTION("""COMPUTED_VALUE"""),6150.0)</f>
        <v>6150</v>
      </c>
      <c r="F2545" s="115">
        <f>IFERROR(__xludf.DUMMYFUNCTION("""COMPUTED_VALUE"""),18148.0)</f>
        <v>18148</v>
      </c>
      <c r="G2545" s="115">
        <f>IFERROR(__xludf.DUMMYFUNCTION("""COMPUTED_VALUE"""),2221.0)</f>
        <v>2221</v>
      </c>
      <c r="H2545" s="116">
        <f>IFERROR(__xludf.DUMMYFUNCTION("""COMPUTED_VALUE"""),45905.0)</f>
        <v>45905</v>
      </c>
      <c r="I2545" s="115" t="str">
        <f>IFERROR(__xludf.DUMMYFUNCTION("""COMPUTED_VALUE"""),"16")</f>
        <v>16</v>
      </c>
      <c r="J2545" s="115" t="str">
        <f>IFERROR(__xludf.DUMMYFUNCTION("""COMPUTED_VALUE"""),"Loveleen Singh2025-09-0516")</f>
        <v>Loveleen Singh2025-09-0516</v>
      </c>
      <c r="K2545" s="115">
        <f>IFERROR(__xludf.DUMMYFUNCTION("""COMPUTED_VALUE"""),33282.0)</f>
        <v>33282</v>
      </c>
    </row>
    <row r="2546">
      <c r="A2546" s="115" t="str">
        <f>IFERROR(__xludf.DUMMYFUNCTION("""COMPUTED_VALUE"""),"NORTH")</f>
        <v>NORTH</v>
      </c>
      <c r="B2546" s="115" t="str">
        <f>IFERROR(__xludf.DUMMYFUNCTION("""COMPUTED_VALUE"""),"Manoj Harsh")</f>
        <v>Manoj Harsh</v>
      </c>
      <c r="C2546" s="115" t="str">
        <f>IFERROR(__xludf.DUMMYFUNCTION("""COMPUTED_VALUE"""),"EXTERNAL")</f>
        <v>EXTERNAL</v>
      </c>
      <c r="D2546" s="115">
        <f>IFERROR(__xludf.DUMMYFUNCTION("""COMPUTED_VALUE"""),33890.0)</f>
        <v>33890</v>
      </c>
      <c r="E2546" s="115">
        <f>IFERROR(__xludf.DUMMYFUNCTION("""COMPUTED_VALUE"""),2666.0)</f>
        <v>2666</v>
      </c>
      <c r="F2546" s="115">
        <f>IFERROR(__xludf.DUMMYFUNCTION("""COMPUTED_VALUE"""),11327.0)</f>
        <v>11327</v>
      </c>
      <c r="G2546" s="115">
        <f>IFERROR(__xludf.DUMMYFUNCTION("""COMPUTED_VALUE"""),472.0)</f>
        <v>472</v>
      </c>
      <c r="H2546" s="116">
        <f>IFERROR(__xludf.DUMMYFUNCTION("""COMPUTED_VALUE"""),45905.0)</f>
        <v>45905</v>
      </c>
      <c r="I2546" s="115" t="str">
        <f>IFERROR(__xludf.DUMMYFUNCTION("""COMPUTED_VALUE"""),"16")</f>
        <v>16</v>
      </c>
      <c r="J2546" s="115" t="str">
        <f>IFERROR(__xludf.DUMMYFUNCTION("""COMPUTED_VALUE"""),"Manoj Harsh2025-09-0516")</f>
        <v>Manoj Harsh2025-09-0516</v>
      </c>
      <c r="K2546" s="115">
        <f>IFERROR(__xludf.DUMMYFUNCTION("""COMPUTED_VALUE"""),36556.0)</f>
        <v>36556</v>
      </c>
    </row>
    <row r="2547">
      <c r="A2547" s="115" t="str">
        <f>IFERROR(__xludf.DUMMYFUNCTION("""COMPUTED_VALUE"""),"NORTH")</f>
        <v>NORTH</v>
      </c>
      <c r="B2547" s="115" t="str">
        <f>IFERROR(__xludf.DUMMYFUNCTION("""COMPUTED_VALUE"""),"Manoj Harsh")</f>
        <v>Manoj Harsh</v>
      </c>
      <c r="C2547" s="115" t="str">
        <f>IFERROR(__xludf.DUMMYFUNCTION("""COMPUTED_VALUE"""),"FLIPKART")</f>
        <v>FLIPKART</v>
      </c>
      <c r="D2547" s="115">
        <f>IFERROR(__xludf.DUMMYFUNCTION("""COMPUTED_VALUE"""),409554.0)</f>
        <v>409554</v>
      </c>
      <c r="E2547" s="115">
        <f>IFERROR(__xludf.DUMMYFUNCTION("""COMPUTED_VALUE"""),40136.0)</f>
        <v>40136</v>
      </c>
      <c r="F2547" s="115">
        <f>IFERROR(__xludf.DUMMYFUNCTION("""COMPUTED_VALUE"""),242007.0)</f>
        <v>242007</v>
      </c>
      <c r="G2547" s="115">
        <f>IFERROR(__xludf.DUMMYFUNCTION("""COMPUTED_VALUE"""),12226.0)</f>
        <v>12226</v>
      </c>
      <c r="H2547" s="116">
        <f>IFERROR(__xludf.DUMMYFUNCTION("""COMPUTED_VALUE"""),45905.0)</f>
        <v>45905</v>
      </c>
      <c r="I2547" s="115" t="str">
        <f>IFERROR(__xludf.DUMMYFUNCTION("""COMPUTED_VALUE"""),"16")</f>
        <v>16</v>
      </c>
      <c r="J2547" s="115" t="str">
        <f>IFERROR(__xludf.DUMMYFUNCTION("""COMPUTED_VALUE"""),"Manoj Harsh2025-09-0516")</f>
        <v>Manoj Harsh2025-09-0516</v>
      </c>
      <c r="K2547" s="115">
        <f>IFERROR(__xludf.DUMMYFUNCTION("""COMPUTED_VALUE"""),449690.0)</f>
        <v>449690</v>
      </c>
    </row>
    <row r="2548">
      <c r="A2548" s="115" t="str">
        <f>IFERROR(__xludf.DUMMYFUNCTION("""COMPUTED_VALUE"""),"NORTH")</f>
        <v>NORTH</v>
      </c>
      <c r="B2548" s="115" t="str">
        <f>IFERROR(__xludf.DUMMYFUNCTION("""COMPUTED_VALUE"""),"Manoj Harsh")</f>
        <v>Manoj Harsh</v>
      </c>
      <c r="C2548" s="115" t="str">
        <f>IFERROR(__xludf.DUMMYFUNCTION("""COMPUTED_VALUE"""),"MYNTRA")</f>
        <v>MYNTRA</v>
      </c>
      <c r="D2548" s="115">
        <f>IFERROR(__xludf.DUMMYFUNCTION("""COMPUTED_VALUE"""),38187.0)</f>
        <v>38187</v>
      </c>
      <c r="E2548" s="115">
        <f>IFERROR(__xludf.DUMMYFUNCTION("""COMPUTED_VALUE"""),7734.0)</f>
        <v>7734</v>
      </c>
      <c r="F2548" s="115">
        <f>IFERROR(__xludf.DUMMYFUNCTION("""COMPUTED_VALUE"""),25261.0)</f>
        <v>25261</v>
      </c>
      <c r="G2548" s="115">
        <f>IFERROR(__xludf.DUMMYFUNCTION("""COMPUTED_VALUE"""),2692.0)</f>
        <v>2692</v>
      </c>
      <c r="H2548" s="116">
        <f>IFERROR(__xludf.DUMMYFUNCTION("""COMPUTED_VALUE"""),45905.0)</f>
        <v>45905</v>
      </c>
      <c r="I2548" s="115" t="str">
        <f>IFERROR(__xludf.DUMMYFUNCTION("""COMPUTED_VALUE"""),"16")</f>
        <v>16</v>
      </c>
      <c r="J2548" s="115" t="str">
        <f>IFERROR(__xludf.DUMMYFUNCTION("""COMPUTED_VALUE"""),"Manoj Harsh2025-09-0516")</f>
        <v>Manoj Harsh2025-09-0516</v>
      </c>
      <c r="K2548" s="115">
        <f>IFERROR(__xludf.DUMMYFUNCTION("""COMPUTED_VALUE"""),45921.0)</f>
        <v>45921</v>
      </c>
    </row>
    <row r="2549">
      <c r="A2549" s="115" t="str">
        <f>IFERROR(__xludf.DUMMYFUNCTION("""COMPUTED_VALUE"""),"NORTH")</f>
        <v>NORTH</v>
      </c>
      <c r="B2549" s="115" t="str">
        <f>IFERROR(__xludf.DUMMYFUNCTION("""COMPUTED_VALUE"""),"Pradeep Kothari")</f>
        <v>Pradeep Kothari</v>
      </c>
      <c r="C2549" s="115" t="str">
        <f>IFERROR(__xludf.DUMMYFUNCTION("""COMPUTED_VALUE"""),"EXTERNAL")</f>
        <v>EXTERNAL</v>
      </c>
      <c r="D2549" s="115">
        <f>IFERROR(__xludf.DUMMYFUNCTION("""COMPUTED_VALUE"""),18726.0)</f>
        <v>18726</v>
      </c>
      <c r="E2549" s="115">
        <f>IFERROR(__xludf.DUMMYFUNCTION("""COMPUTED_VALUE"""),1848.0)</f>
        <v>1848</v>
      </c>
      <c r="F2549" s="115">
        <f>IFERROR(__xludf.DUMMYFUNCTION("""COMPUTED_VALUE"""),6698.0)</f>
        <v>6698</v>
      </c>
      <c r="G2549" s="115">
        <f>IFERROR(__xludf.DUMMYFUNCTION("""COMPUTED_VALUE"""),501.0)</f>
        <v>501</v>
      </c>
      <c r="H2549" s="116">
        <f>IFERROR(__xludf.DUMMYFUNCTION("""COMPUTED_VALUE"""),45905.0)</f>
        <v>45905</v>
      </c>
      <c r="I2549" s="115" t="str">
        <f>IFERROR(__xludf.DUMMYFUNCTION("""COMPUTED_VALUE"""),"16")</f>
        <v>16</v>
      </c>
      <c r="J2549" s="115" t="str">
        <f>IFERROR(__xludf.DUMMYFUNCTION("""COMPUTED_VALUE"""),"Pradeep Kothari2025-09-0516")</f>
        <v>Pradeep Kothari2025-09-0516</v>
      </c>
      <c r="K2549" s="115">
        <f>IFERROR(__xludf.DUMMYFUNCTION("""COMPUTED_VALUE"""),20574.0)</f>
        <v>20574</v>
      </c>
    </row>
    <row r="2550">
      <c r="A2550" s="115" t="str">
        <f>IFERROR(__xludf.DUMMYFUNCTION("""COMPUTED_VALUE"""),"NORTH")</f>
        <v>NORTH</v>
      </c>
      <c r="B2550" s="115" t="str">
        <f>IFERROR(__xludf.DUMMYFUNCTION("""COMPUTED_VALUE"""),"Pradeep Kothari")</f>
        <v>Pradeep Kothari</v>
      </c>
      <c r="C2550" s="115" t="str">
        <f>IFERROR(__xludf.DUMMYFUNCTION("""COMPUTED_VALUE"""),"FLIPKART")</f>
        <v>FLIPKART</v>
      </c>
      <c r="D2550" s="115">
        <f>IFERROR(__xludf.DUMMYFUNCTION("""COMPUTED_VALUE"""),139936.0)</f>
        <v>139936</v>
      </c>
      <c r="E2550" s="115">
        <f>IFERROR(__xludf.DUMMYFUNCTION("""COMPUTED_VALUE"""),16891.0)</f>
        <v>16891</v>
      </c>
      <c r="F2550" s="115">
        <f>IFERROR(__xludf.DUMMYFUNCTION("""COMPUTED_VALUE"""),90343.0)</f>
        <v>90343</v>
      </c>
      <c r="G2550" s="115">
        <f>IFERROR(__xludf.DUMMYFUNCTION("""COMPUTED_VALUE"""),7008.0)</f>
        <v>7008</v>
      </c>
      <c r="H2550" s="116">
        <f>IFERROR(__xludf.DUMMYFUNCTION("""COMPUTED_VALUE"""),45905.0)</f>
        <v>45905</v>
      </c>
      <c r="I2550" s="115" t="str">
        <f>IFERROR(__xludf.DUMMYFUNCTION("""COMPUTED_VALUE"""),"16")</f>
        <v>16</v>
      </c>
      <c r="J2550" s="115" t="str">
        <f>IFERROR(__xludf.DUMMYFUNCTION("""COMPUTED_VALUE"""),"Pradeep Kothari2025-09-0516")</f>
        <v>Pradeep Kothari2025-09-0516</v>
      </c>
      <c r="K2550" s="115">
        <f>IFERROR(__xludf.DUMMYFUNCTION("""COMPUTED_VALUE"""),156827.0)</f>
        <v>156827</v>
      </c>
    </row>
    <row r="2551">
      <c r="A2551" s="115" t="str">
        <f>IFERROR(__xludf.DUMMYFUNCTION("""COMPUTED_VALUE"""),"NORTH")</f>
        <v>NORTH</v>
      </c>
      <c r="B2551" s="115" t="str">
        <f>IFERROR(__xludf.DUMMYFUNCTION("""COMPUTED_VALUE"""),"Pradeep Kothari")</f>
        <v>Pradeep Kothari</v>
      </c>
      <c r="C2551" s="115" t="str">
        <f>IFERROR(__xludf.DUMMYFUNCTION("""COMPUTED_VALUE"""),"MYNTRA")</f>
        <v>MYNTRA</v>
      </c>
      <c r="D2551" s="115">
        <f>IFERROR(__xludf.DUMMYFUNCTION("""COMPUTED_VALUE"""),24481.0)</f>
        <v>24481</v>
      </c>
      <c r="E2551" s="115">
        <f>IFERROR(__xludf.DUMMYFUNCTION("""COMPUTED_VALUE"""),6357.0)</f>
        <v>6357</v>
      </c>
      <c r="F2551" s="115">
        <f>IFERROR(__xludf.DUMMYFUNCTION("""COMPUTED_VALUE"""),18258.0)</f>
        <v>18258</v>
      </c>
      <c r="G2551" s="115">
        <f>IFERROR(__xludf.DUMMYFUNCTION("""COMPUTED_VALUE"""),3013.0)</f>
        <v>3013</v>
      </c>
      <c r="H2551" s="116">
        <f>IFERROR(__xludf.DUMMYFUNCTION("""COMPUTED_VALUE"""),45905.0)</f>
        <v>45905</v>
      </c>
      <c r="I2551" s="115" t="str">
        <f>IFERROR(__xludf.DUMMYFUNCTION("""COMPUTED_VALUE"""),"16")</f>
        <v>16</v>
      </c>
      <c r="J2551" s="115" t="str">
        <f>IFERROR(__xludf.DUMMYFUNCTION("""COMPUTED_VALUE"""),"Pradeep Kothari2025-09-0516")</f>
        <v>Pradeep Kothari2025-09-0516</v>
      </c>
      <c r="K2551" s="115">
        <f>IFERROR(__xludf.DUMMYFUNCTION("""COMPUTED_VALUE"""),30838.0)</f>
        <v>30838</v>
      </c>
    </row>
    <row r="2552">
      <c r="A2552" s="115" t="str">
        <f>IFERROR(__xludf.DUMMYFUNCTION("""COMPUTED_VALUE"""),"North")</f>
        <v>North</v>
      </c>
      <c r="B2552" s="115"/>
      <c r="C2552" s="115" t="str">
        <f>IFERROR(__xludf.DUMMYFUNCTION("""COMPUTED_VALUE"""),"EXTERNAL")</f>
        <v>EXTERNAL</v>
      </c>
      <c r="D2552" s="115">
        <f>IFERROR(__xludf.DUMMYFUNCTION("""COMPUTED_VALUE"""),9.0)</f>
        <v>9</v>
      </c>
      <c r="E2552" s="115">
        <f>IFERROR(__xludf.DUMMYFUNCTION("""COMPUTED_VALUE"""),0.0)</f>
        <v>0</v>
      </c>
      <c r="F2552" s="115">
        <f>IFERROR(__xludf.DUMMYFUNCTION("""COMPUTED_VALUE"""),2.0)</f>
        <v>2</v>
      </c>
      <c r="G2552" s="115">
        <f>IFERROR(__xludf.DUMMYFUNCTION("""COMPUTED_VALUE"""),0.0)</f>
        <v>0</v>
      </c>
      <c r="H2552" s="116">
        <f>IFERROR(__xludf.DUMMYFUNCTION("""COMPUTED_VALUE"""),45905.0)</f>
        <v>45905</v>
      </c>
      <c r="I2552" s="115" t="str">
        <f>IFERROR(__xludf.DUMMYFUNCTION("""COMPUTED_VALUE"""),"16")</f>
        <v>16</v>
      </c>
      <c r="J2552" s="115" t="str">
        <f>IFERROR(__xludf.DUMMYFUNCTION("""COMPUTED_VALUE"""),"2025-09-0516")</f>
        <v>2025-09-0516</v>
      </c>
      <c r="K2552" s="115">
        <f>IFERROR(__xludf.DUMMYFUNCTION("""COMPUTED_VALUE"""),9.0)</f>
        <v>9</v>
      </c>
    </row>
    <row r="2553">
      <c r="A2553" s="115" t="str">
        <f>IFERROR(__xludf.DUMMYFUNCTION("""COMPUTED_VALUE"""),"North")</f>
        <v>North</v>
      </c>
      <c r="B2553" s="115"/>
      <c r="C2553" s="115" t="str">
        <f>IFERROR(__xludf.DUMMYFUNCTION("""COMPUTED_VALUE"""),"FLIPKART")</f>
        <v>FLIPKART</v>
      </c>
      <c r="D2553" s="115">
        <f>IFERROR(__xludf.DUMMYFUNCTION("""COMPUTED_VALUE"""),28.0)</f>
        <v>28</v>
      </c>
      <c r="E2553" s="115">
        <f>IFERROR(__xludf.DUMMYFUNCTION("""COMPUTED_VALUE"""),0.0)</f>
        <v>0</v>
      </c>
      <c r="F2553" s="115">
        <f>IFERROR(__xludf.DUMMYFUNCTION("""COMPUTED_VALUE"""),18.0)</f>
        <v>18</v>
      </c>
      <c r="G2553" s="115">
        <f>IFERROR(__xludf.DUMMYFUNCTION("""COMPUTED_VALUE"""),0.0)</f>
        <v>0</v>
      </c>
      <c r="H2553" s="116">
        <f>IFERROR(__xludf.DUMMYFUNCTION("""COMPUTED_VALUE"""),45905.0)</f>
        <v>45905</v>
      </c>
      <c r="I2553" s="115" t="str">
        <f>IFERROR(__xludf.DUMMYFUNCTION("""COMPUTED_VALUE"""),"16")</f>
        <v>16</v>
      </c>
      <c r="J2553" s="115" t="str">
        <f>IFERROR(__xludf.DUMMYFUNCTION("""COMPUTED_VALUE"""),"2025-09-0516")</f>
        <v>2025-09-0516</v>
      </c>
      <c r="K2553" s="115">
        <f>IFERROR(__xludf.DUMMYFUNCTION("""COMPUTED_VALUE"""),28.0)</f>
        <v>28</v>
      </c>
    </row>
    <row r="2554">
      <c r="A2554" s="115" t="str">
        <f>IFERROR(__xludf.DUMMYFUNCTION("""COMPUTED_VALUE"""),"North")</f>
        <v>North</v>
      </c>
      <c r="B2554" s="115"/>
      <c r="C2554" s="115" t="str">
        <f>IFERROR(__xludf.DUMMYFUNCTION("""COMPUTED_VALUE"""),"MYNTRA")</f>
        <v>MYNTRA</v>
      </c>
      <c r="D2554" s="115">
        <f>IFERROR(__xludf.DUMMYFUNCTION("""COMPUTED_VALUE"""),3.0)</f>
        <v>3</v>
      </c>
      <c r="E2554" s="115">
        <f>IFERROR(__xludf.DUMMYFUNCTION("""COMPUTED_VALUE"""),0.0)</f>
        <v>0</v>
      </c>
      <c r="F2554" s="115">
        <f>IFERROR(__xludf.DUMMYFUNCTION("""COMPUTED_VALUE"""),3.0)</f>
        <v>3</v>
      </c>
      <c r="G2554" s="115">
        <f>IFERROR(__xludf.DUMMYFUNCTION("""COMPUTED_VALUE"""),0.0)</f>
        <v>0</v>
      </c>
      <c r="H2554" s="116">
        <f>IFERROR(__xludf.DUMMYFUNCTION("""COMPUTED_VALUE"""),45905.0)</f>
        <v>45905</v>
      </c>
      <c r="I2554" s="115" t="str">
        <f>IFERROR(__xludf.DUMMYFUNCTION("""COMPUTED_VALUE"""),"16")</f>
        <v>16</v>
      </c>
      <c r="J2554" s="115" t="str">
        <f>IFERROR(__xludf.DUMMYFUNCTION("""COMPUTED_VALUE"""),"2025-09-0516")</f>
        <v>2025-09-0516</v>
      </c>
      <c r="K2554" s="115">
        <f>IFERROR(__xludf.DUMMYFUNCTION("""COMPUTED_VALUE"""),3.0)</f>
        <v>3</v>
      </c>
    </row>
    <row r="2555">
      <c r="A2555" s="115" t="str">
        <f>IFERROR(__xludf.DUMMYFUNCTION("""COMPUTED_VALUE"""),"SOUTH")</f>
        <v>SOUTH</v>
      </c>
      <c r="B2555" s="115" t="str">
        <f>IFERROR(__xludf.DUMMYFUNCTION("""COMPUTED_VALUE"""),"Kandula Sampath")</f>
        <v>Kandula Sampath</v>
      </c>
      <c r="C2555" s="115" t="str">
        <f>IFERROR(__xludf.DUMMYFUNCTION("""COMPUTED_VALUE"""),"EXTERNAL")</f>
        <v>EXTERNAL</v>
      </c>
      <c r="D2555" s="115">
        <f>IFERROR(__xludf.DUMMYFUNCTION("""COMPUTED_VALUE"""),34967.0)</f>
        <v>34967</v>
      </c>
      <c r="E2555" s="115">
        <f>IFERROR(__xludf.DUMMYFUNCTION("""COMPUTED_VALUE"""),3533.0)</f>
        <v>3533</v>
      </c>
      <c r="F2555" s="115">
        <f>IFERROR(__xludf.DUMMYFUNCTION("""COMPUTED_VALUE"""),12271.0)</f>
        <v>12271</v>
      </c>
      <c r="G2555" s="115">
        <f>IFERROR(__xludf.DUMMYFUNCTION("""COMPUTED_VALUE"""),719.0)</f>
        <v>719</v>
      </c>
      <c r="H2555" s="116">
        <f>IFERROR(__xludf.DUMMYFUNCTION("""COMPUTED_VALUE"""),45905.0)</f>
        <v>45905</v>
      </c>
      <c r="I2555" s="115" t="str">
        <f>IFERROR(__xludf.DUMMYFUNCTION("""COMPUTED_VALUE"""),"16")</f>
        <v>16</v>
      </c>
      <c r="J2555" s="115" t="str">
        <f>IFERROR(__xludf.DUMMYFUNCTION("""COMPUTED_VALUE"""),"Kandula Sampath2025-09-0516")</f>
        <v>Kandula Sampath2025-09-0516</v>
      </c>
      <c r="K2555" s="115">
        <f>IFERROR(__xludf.DUMMYFUNCTION("""COMPUTED_VALUE"""),38500.0)</f>
        <v>38500</v>
      </c>
    </row>
    <row r="2556">
      <c r="A2556" s="115" t="str">
        <f>IFERROR(__xludf.DUMMYFUNCTION("""COMPUTED_VALUE"""),"SOUTH")</f>
        <v>SOUTH</v>
      </c>
      <c r="B2556" s="115" t="str">
        <f>IFERROR(__xludf.DUMMYFUNCTION("""COMPUTED_VALUE"""),"Kandula Sampath")</f>
        <v>Kandula Sampath</v>
      </c>
      <c r="C2556" s="115" t="str">
        <f>IFERROR(__xludf.DUMMYFUNCTION("""COMPUTED_VALUE"""),"FLIPKART")</f>
        <v>FLIPKART</v>
      </c>
      <c r="D2556" s="115">
        <f>IFERROR(__xludf.DUMMYFUNCTION("""COMPUTED_VALUE"""),287832.0)</f>
        <v>287832</v>
      </c>
      <c r="E2556" s="115">
        <f>IFERROR(__xludf.DUMMYFUNCTION("""COMPUTED_VALUE"""),28475.0)</f>
        <v>28475</v>
      </c>
      <c r="F2556" s="115">
        <f>IFERROR(__xludf.DUMMYFUNCTION("""COMPUTED_VALUE"""),174984.0)</f>
        <v>174984</v>
      </c>
      <c r="G2556" s="115">
        <f>IFERROR(__xludf.DUMMYFUNCTION("""COMPUTED_VALUE"""),8887.0)</f>
        <v>8887</v>
      </c>
      <c r="H2556" s="116">
        <f>IFERROR(__xludf.DUMMYFUNCTION("""COMPUTED_VALUE"""),45905.0)</f>
        <v>45905</v>
      </c>
      <c r="I2556" s="115" t="str">
        <f>IFERROR(__xludf.DUMMYFUNCTION("""COMPUTED_VALUE"""),"16")</f>
        <v>16</v>
      </c>
      <c r="J2556" s="115" t="str">
        <f>IFERROR(__xludf.DUMMYFUNCTION("""COMPUTED_VALUE"""),"Kandula Sampath2025-09-0516")</f>
        <v>Kandula Sampath2025-09-0516</v>
      </c>
      <c r="K2556" s="115">
        <f>IFERROR(__xludf.DUMMYFUNCTION("""COMPUTED_VALUE"""),316307.0)</f>
        <v>316307</v>
      </c>
    </row>
    <row r="2557">
      <c r="A2557" s="115" t="str">
        <f>IFERROR(__xludf.DUMMYFUNCTION("""COMPUTED_VALUE"""),"SOUTH")</f>
        <v>SOUTH</v>
      </c>
      <c r="B2557" s="115" t="str">
        <f>IFERROR(__xludf.DUMMYFUNCTION("""COMPUTED_VALUE"""),"Kandula Sampath")</f>
        <v>Kandula Sampath</v>
      </c>
      <c r="C2557" s="115" t="str">
        <f>IFERROR(__xludf.DUMMYFUNCTION("""COMPUTED_VALUE"""),"MYNTRA")</f>
        <v>MYNTRA</v>
      </c>
      <c r="D2557" s="115">
        <f>IFERROR(__xludf.DUMMYFUNCTION("""COMPUTED_VALUE"""),35050.0)</f>
        <v>35050</v>
      </c>
      <c r="E2557" s="115">
        <f>IFERROR(__xludf.DUMMYFUNCTION("""COMPUTED_VALUE"""),7203.0)</f>
        <v>7203</v>
      </c>
      <c r="F2557" s="115">
        <f>IFERROR(__xludf.DUMMYFUNCTION("""COMPUTED_VALUE"""),24063.0)</f>
        <v>24063</v>
      </c>
      <c r="G2557" s="115">
        <f>IFERROR(__xludf.DUMMYFUNCTION("""COMPUTED_VALUE"""),2353.0)</f>
        <v>2353</v>
      </c>
      <c r="H2557" s="116">
        <f>IFERROR(__xludf.DUMMYFUNCTION("""COMPUTED_VALUE"""),45905.0)</f>
        <v>45905</v>
      </c>
      <c r="I2557" s="115" t="str">
        <f>IFERROR(__xludf.DUMMYFUNCTION("""COMPUTED_VALUE"""),"16")</f>
        <v>16</v>
      </c>
      <c r="J2557" s="115" t="str">
        <f>IFERROR(__xludf.DUMMYFUNCTION("""COMPUTED_VALUE"""),"Kandula Sampath2025-09-0516")</f>
        <v>Kandula Sampath2025-09-0516</v>
      </c>
      <c r="K2557" s="115">
        <f>IFERROR(__xludf.DUMMYFUNCTION("""COMPUTED_VALUE"""),42253.0)</f>
        <v>42253</v>
      </c>
    </row>
    <row r="2558">
      <c r="A2558" s="115" t="str">
        <f>IFERROR(__xludf.DUMMYFUNCTION("""COMPUTED_VALUE"""),"SOUTH")</f>
        <v>SOUTH</v>
      </c>
      <c r="B2558" s="115" t="str">
        <f>IFERROR(__xludf.DUMMYFUNCTION("""COMPUTED_VALUE"""),"Martin A")</f>
        <v>Martin A</v>
      </c>
      <c r="C2558" s="115" t="str">
        <f>IFERROR(__xludf.DUMMYFUNCTION("""COMPUTED_VALUE"""),"EXTERNAL")</f>
        <v>EXTERNAL</v>
      </c>
      <c r="D2558" s="115">
        <f>IFERROR(__xludf.DUMMYFUNCTION("""COMPUTED_VALUE"""),33127.0)</f>
        <v>33127</v>
      </c>
      <c r="E2558" s="115">
        <f>IFERROR(__xludf.DUMMYFUNCTION("""COMPUTED_VALUE"""),3286.0)</f>
        <v>3286</v>
      </c>
      <c r="F2558" s="115">
        <f>IFERROR(__xludf.DUMMYFUNCTION("""COMPUTED_VALUE"""),11760.0)</f>
        <v>11760</v>
      </c>
      <c r="G2558" s="115">
        <f>IFERROR(__xludf.DUMMYFUNCTION("""COMPUTED_VALUE"""),1132.0)</f>
        <v>1132</v>
      </c>
      <c r="H2558" s="116">
        <f>IFERROR(__xludf.DUMMYFUNCTION("""COMPUTED_VALUE"""),45905.0)</f>
        <v>45905</v>
      </c>
      <c r="I2558" s="115" t="str">
        <f>IFERROR(__xludf.DUMMYFUNCTION("""COMPUTED_VALUE"""),"16")</f>
        <v>16</v>
      </c>
      <c r="J2558" s="115" t="str">
        <f>IFERROR(__xludf.DUMMYFUNCTION("""COMPUTED_VALUE"""),"Martin A2025-09-0516")</f>
        <v>Martin A2025-09-0516</v>
      </c>
      <c r="K2558" s="115">
        <f>IFERROR(__xludf.DUMMYFUNCTION("""COMPUTED_VALUE"""),36413.0)</f>
        <v>36413</v>
      </c>
    </row>
    <row r="2559">
      <c r="A2559" s="115" t="str">
        <f>IFERROR(__xludf.DUMMYFUNCTION("""COMPUTED_VALUE"""),"SOUTH")</f>
        <v>SOUTH</v>
      </c>
      <c r="B2559" s="115" t="str">
        <f>IFERROR(__xludf.DUMMYFUNCTION("""COMPUTED_VALUE"""),"Martin A")</f>
        <v>Martin A</v>
      </c>
      <c r="C2559" s="115" t="str">
        <f>IFERROR(__xludf.DUMMYFUNCTION("""COMPUTED_VALUE"""),"FLIPKART")</f>
        <v>FLIPKART</v>
      </c>
      <c r="D2559" s="115">
        <f>IFERROR(__xludf.DUMMYFUNCTION("""COMPUTED_VALUE"""),246224.0)</f>
        <v>246224</v>
      </c>
      <c r="E2559" s="115">
        <f>IFERROR(__xludf.DUMMYFUNCTION("""COMPUTED_VALUE"""),24170.0)</f>
        <v>24170</v>
      </c>
      <c r="F2559" s="115">
        <f>IFERROR(__xludf.DUMMYFUNCTION("""COMPUTED_VALUE"""),149953.0)</f>
        <v>149953</v>
      </c>
      <c r="G2559" s="115">
        <f>IFERROR(__xludf.DUMMYFUNCTION("""COMPUTED_VALUE"""),8812.0)</f>
        <v>8812</v>
      </c>
      <c r="H2559" s="116">
        <f>IFERROR(__xludf.DUMMYFUNCTION("""COMPUTED_VALUE"""),45905.0)</f>
        <v>45905</v>
      </c>
      <c r="I2559" s="115" t="str">
        <f>IFERROR(__xludf.DUMMYFUNCTION("""COMPUTED_VALUE"""),"16")</f>
        <v>16</v>
      </c>
      <c r="J2559" s="115" t="str">
        <f>IFERROR(__xludf.DUMMYFUNCTION("""COMPUTED_VALUE"""),"Martin A2025-09-0516")</f>
        <v>Martin A2025-09-0516</v>
      </c>
      <c r="K2559" s="115">
        <f>IFERROR(__xludf.DUMMYFUNCTION("""COMPUTED_VALUE"""),270394.0)</f>
        <v>270394</v>
      </c>
    </row>
    <row r="2560">
      <c r="A2560" s="115" t="str">
        <f>IFERROR(__xludf.DUMMYFUNCTION("""COMPUTED_VALUE"""),"SOUTH")</f>
        <v>SOUTH</v>
      </c>
      <c r="B2560" s="115" t="str">
        <f>IFERROR(__xludf.DUMMYFUNCTION("""COMPUTED_VALUE"""),"Martin A")</f>
        <v>Martin A</v>
      </c>
      <c r="C2560" s="115" t="str">
        <f>IFERROR(__xludf.DUMMYFUNCTION("""COMPUTED_VALUE"""),"MYNTRA")</f>
        <v>MYNTRA</v>
      </c>
      <c r="D2560" s="115">
        <f>IFERROR(__xludf.DUMMYFUNCTION("""COMPUTED_VALUE"""),25918.0)</f>
        <v>25918</v>
      </c>
      <c r="E2560" s="115">
        <f>IFERROR(__xludf.DUMMYFUNCTION("""COMPUTED_VALUE"""),5443.0)</f>
        <v>5443</v>
      </c>
      <c r="F2560" s="115">
        <f>IFERROR(__xludf.DUMMYFUNCTION("""COMPUTED_VALUE"""),18179.0)</f>
        <v>18179</v>
      </c>
      <c r="G2560" s="115">
        <f>IFERROR(__xludf.DUMMYFUNCTION("""COMPUTED_VALUE"""),2224.0)</f>
        <v>2224</v>
      </c>
      <c r="H2560" s="116">
        <f>IFERROR(__xludf.DUMMYFUNCTION("""COMPUTED_VALUE"""),45905.0)</f>
        <v>45905</v>
      </c>
      <c r="I2560" s="115" t="str">
        <f>IFERROR(__xludf.DUMMYFUNCTION("""COMPUTED_VALUE"""),"16")</f>
        <v>16</v>
      </c>
      <c r="J2560" s="115" t="str">
        <f>IFERROR(__xludf.DUMMYFUNCTION("""COMPUTED_VALUE"""),"Martin A2025-09-0516")</f>
        <v>Martin A2025-09-0516</v>
      </c>
      <c r="K2560" s="115">
        <f>IFERROR(__xludf.DUMMYFUNCTION("""COMPUTED_VALUE"""),31361.0)</f>
        <v>31361</v>
      </c>
    </row>
    <row r="2561">
      <c r="A2561" s="115" t="str">
        <f>IFERROR(__xludf.DUMMYFUNCTION("""COMPUTED_VALUE"""),"SOUTH")</f>
        <v>SOUTH</v>
      </c>
      <c r="B2561" s="115" t="str">
        <f>IFERROR(__xludf.DUMMYFUNCTION("""COMPUTED_VALUE"""),"Premkumar M")</f>
        <v>Premkumar M</v>
      </c>
      <c r="C2561" s="115" t="str">
        <f>IFERROR(__xludf.DUMMYFUNCTION("""COMPUTED_VALUE"""),"EXTERNAL")</f>
        <v>EXTERNAL</v>
      </c>
      <c r="D2561" s="115">
        <f>IFERROR(__xludf.DUMMYFUNCTION("""COMPUTED_VALUE"""),29767.0)</f>
        <v>29767</v>
      </c>
      <c r="E2561" s="115">
        <f>IFERROR(__xludf.DUMMYFUNCTION("""COMPUTED_VALUE"""),1821.0)</f>
        <v>1821</v>
      </c>
      <c r="F2561" s="115">
        <f>IFERROR(__xludf.DUMMYFUNCTION("""COMPUTED_VALUE"""),10274.0)</f>
        <v>10274</v>
      </c>
      <c r="G2561" s="115">
        <f>IFERROR(__xludf.DUMMYFUNCTION("""COMPUTED_VALUE"""),200.0)</f>
        <v>200</v>
      </c>
      <c r="H2561" s="116">
        <f>IFERROR(__xludf.DUMMYFUNCTION("""COMPUTED_VALUE"""),45905.0)</f>
        <v>45905</v>
      </c>
      <c r="I2561" s="115" t="str">
        <f>IFERROR(__xludf.DUMMYFUNCTION("""COMPUTED_VALUE"""),"16")</f>
        <v>16</v>
      </c>
      <c r="J2561" s="115" t="str">
        <f>IFERROR(__xludf.DUMMYFUNCTION("""COMPUTED_VALUE"""),"Premkumar M2025-09-0516")</f>
        <v>Premkumar M2025-09-0516</v>
      </c>
      <c r="K2561" s="115">
        <f>IFERROR(__xludf.DUMMYFUNCTION("""COMPUTED_VALUE"""),31588.0)</f>
        <v>31588</v>
      </c>
    </row>
    <row r="2562">
      <c r="A2562" s="115" t="str">
        <f>IFERROR(__xludf.DUMMYFUNCTION("""COMPUTED_VALUE"""),"SOUTH")</f>
        <v>SOUTH</v>
      </c>
      <c r="B2562" s="115" t="str">
        <f>IFERROR(__xludf.DUMMYFUNCTION("""COMPUTED_VALUE"""),"Premkumar M")</f>
        <v>Premkumar M</v>
      </c>
      <c r="C2562" s="115" t="str">
        <f>IFERROR(__xludf.DUMMYFUNCTION("""COMPUTED_VALUE"""),"FLIPKART")</f>
        <v>FLIPKART</v>
      </c>
      <c r="D2562" s="115">
        <f>IFERROR(__xludf.DUMMYFUNCTION("""COMPUTED_VALUE"""),264042.0)</f>
        <v>264042</v>
      </c>
      <c r="E2562" s="115">
        <f>IFERROR(__xludf.DUMMYFUNCTION("""COMPUTED_VALUE"""),18461.0)</f>
        <v>18461</v>
      </c>
      <c r="F2562" s="115">
        <f>IFERROR(__xludf.DUMMYFUNCTION("""COMPUTED_VALUE"""),140053.0)</f>
        <v>140053</v>
      </c>
      <c r="G2562" s="115">
        <f>IFERROR(__xludf.DUMMYFUNCTION("""COMPUTED_VALUE"""),2960.0)</f>
        <v>2960</v>
      </c>
      <c r="H2562" s="116">
        <f>IFERROR(__xludf.DUMMYFUNCTION("""COMPUTED_VALUE"""),45905.0)</f>
        <v>45905</v>
      </c>
      <c r="I2562" s="115" t="str">
        <f>IFERROR(__xludf.DUMMYFUNCTION("""COMPUTED_VALUE"""),"16")</f>
        <v>16</v>
      </c>
      <c r="J2562" s="115" t="str">
        <f>IFERROR(__xludf.DUMMYFUNCTION("""COMPUTED_VALUE"""),"Premkumar M2025-09-0516")</f>
        <v>Premkumar M2025-09-0516</v>
      </c>
      <c r="K2562" s="115">
        <f>IFERROR(__xludf.DUMMYFUNCTION("""COMPUTED_VALUE"""),282503.0)</f>
        <v>282503</v>
      </c>
    </row>
    <row r="2563">
      <c r="A2563" s="115" t="str">
        <f>IFERROR(__xludf.DUMMYFUNCTION("""COMPUTED_VALUE"""),"SOUTH")</f>
        <v>SOUTH</v>
      </c>
      <c r="B2563" s="115" t="str">
        <f>IFERROR(__xludf.DUMMYFUNCTION("""COMPUTED_VALUE"""),"Premkumar M")</f>
        <v>Premkumar M</v>
      </c>
      <c r="C2563" s="115" t="str">
        <f>IFERROR(__xludf.DUMMYFUNCTION("""COMPUTED_VALUE"""),"MYNTRA")</f>
        <v>MYNTRA</v>
      </c>
      <c r="D2563" s="115">
        <f>IFERROR(__xludf.DUMMYFUNCTION("""COMPUTED_VALUE"""),15136.0)</f>
        <v>15136</v>
      </c>
      <c r="E2563" s="115">
        <f>IFERROR(__xludf.DUMMYFUNCTION("""COMPUTED_VALUE"""),2790.0)</f>
        <v>2790</v>
      </c>
      <c r="F2563" s="115">
        <f>IFERROR(__xludf.DUMMYFUNCTION("""COMPUTED_VALUE"""),9201.0)</f>
        <v>9201</v>
      </c>
      <c r="G2563" s="115">
        <f>IFERROR(__xludf.DUMMYFUNCTION("""COMPUTED_VALUE"""),494.0)</f>
        <v>494</v>
      </c>
      <c r="H2563" s="116">
        <f>IFERROR(__xludf.DUMMYFUNCTION("""COMPUTED_VALUE"""),45905.0)</f>
        <v>45905</v>
      </c>
      <c r="I2563" s="115" t="str">
        <f>IFERROR(__xludf.DUMMYFUNCTION("""COMPUTED_VALUE"""),"16")</f>
        <v>16</v>
      </c>
      <c r="J2563" s="115" t="str">
        <f>IFERROR(__xludf.DUMMYFUNCTION("""COMPUTED_VALUE"""),"Premkumar M2025-09-0516")</f>
        <v>Premkumar M2025-09-0516</v>
      </c>
      <c r="K2563" s="115">
        <f>IFERROR(__xludf.DUMMYFUNCTION("""COMPUTED_VALUE"""),17926.0)</f>
        <v>17926</v>
      </c>
    </row>
    <row r="2564">
      <c r="A2564" s="115" t="str">
        <f>IFERROR(__xludf.DUMMYFUNCTION("""COMPUTED_VALUE"""),"SOUTH")</f>
        <v>SOUTH</v>
      </c>
      <c r="B2564" s="115" t="str">
        <f>IFERROR(__xludf.DUMMYFUNCTION("""COMPUTED_VALUE"""),"Vineeth V")</f>
        <v>Vineeth V</v>
      </c>
      <c r="C2564" s="115" t="str">
        <f>IFERROR(__xludf.DUMMYFUNCTION("""COMPUTED_VALUE"""),"EXTERNAL")</f>
        <v>EXTERNAL</v>
      </c>
      <c r="D2564" s="115">
        <f>IFERROR(__xludf.DUMMYFUNCTION("""COMPUTED_VALUE"""),2220.0)</f>
        <v>2220</v>
      </c>
      <c r="E2564" s="115">
        <f>IFERROR(__xludf.DUMMYFUNCTION("""COMPUTED_VALUE"""),76.0)</f>
        <v>76</v>
      </c>
      <c r="F2564" s="115">
        <f>IFERROR(__xludf.DUMMYFUNCTION("""COMPUTED_VALUE"""),978.0)</f>
        <v>978</v>
      </c>
      <c r="G2564" s="115">
        <f>IFERROR(__xludf.DUMMYFUNCTION("""COMPUTED_VALUE"""),23.0)</f>
        <v>23</v>
      </c>
      <c r="H2564" s="116">
        <f>IFERROR(__xludf.DUMMYFUNCTION("""COMPUTED_VALUE"""),45905.0)</f>
        <v>45905</v>
      </c>
      <c r="I2564" s="115" t="str">
        <f>IFERROR(__xludf.DUMMYFUNCTION("""COMPUTED_VALUE"""),"16")</f>
        <v>16</v>
      </c>
      <c r="J2564" s="115" t="str">
        <f>IFERROR(__xludf.DUMMYFUNCTION("""COMPUTED_VALUE"""),"Vineeth V2025-09-0516")</f>
        <v>Vineeth V2025-09-0516</v>
      </c>
      <c r="K2564" s="115">
        <f>IFERROR(__xludf.DUMMYFUNCTION("""COMPUTED_VALUE"""),2296.0)</f>
        <v>2296</v>
      </c>
    </row>
    <row r="2565">
      <c r="A2565" s="115" t="str">
        <f>IFERROR(__xludf.DUMMYFUNCTION("""COMPUTED_VALUE"""),"SOUTH")</f>
        <v>SOUTH</v>
      </c>
      <c r="B2565" s="115" t="str">
        <f>IFERROR(__xludf.DUMMYFUNCTION("""COMPUTED_VALUE"""),"Vineeth V")</f>
        <v>Vineeth V</v>
      </c>
      <c r="C2565" s="115" t="str">
        <f>IFERROR(__xludf.DUMMYFUNCTION("""COMPUTED_VALUE"""),"FLIPKART")</f>
        <v>FLIPKART</v>
      </c>
      <c r="D2565" s="115">
        <f>IFERROR(__xludf.DUMMYFUNCTION("""COMPUTED_VALUE"""),15570.0)</f>
        <v>15570</v>
      </c>
      <c r="E2565" s="115">
        <f>IFERROR(__xludf.DUMMYFUNCTION("""COMPUTED_VALUE"""),1665.0)</f>
        <v>1665</v>
      </c>
      <c r="F2565" s="115">
        <f>IFERROR(__xludf.DUMMYFUNCTION("""COMPUTED_VALUE"""),10693.0)</f>
        <v>10693</v>
      </c>
      <c r="G2565" s="115">
        <f>IFERROR(__xludf.DUMMYFUNCTION("""COMPUTED_VALUE"""),600.0)</f>
        <v>600</v>
      </c>
      <c r="H2565" s="116">
        <f>IFERROR(__xludf.DUMMYFUNCTION("""COMPUTED_VALUE"""),45905.0)</f>
        <v>45905</v>
      </c>
      <c r="I2565" s="115" t="str">
        <f>IFERROR(__xludf.DUMMYFUNCTION("""COMPUTED_VALUE"""),"16")</f>
        <v>16</v>
      </c>
      <c r="J2565" s="115" t="str">
        <f>IFERROR(__xludf.DUMMYFUNCTION("""COMPUTED_VALUE"""),"Vineeth V2025-09-0516")</f>
        <v>Vineeth V2025-09-0516</v>
      </c>
      <c r="K2565" s="115">
        <f>IFERROR(__xludf.DUMMYFUNCTION("""COMPUTED_VALUE"""),17235.0)</f>
        <v>17235</v>
      </c>
    </row>
    <row r="2566">
      <c r="A2566" s="115" t="str">
        <f>IFERROR(__xludf.DUMMYFUNCTION("""COMPUTED_VALUE"""),"SOUTH")</f>
        <v>SOUTH</v>
      </c>
      <c r="B2566" s="115" t="str">
        <f>IFERROR(__xludf.DUMMYFUNCTION("""COMPUTED_VALUE"""),"Vineeth V")</f>
        <v>Vineeth V</v>
      </c>
      <c r="C2566" s="115" t="str">
        <f>IFERROR(__xludf.DUMMYFUNCTION("""COMPUTED_VALUE"""),"MYNTRA")</f>
        <v>MYNTRA</v>
      </c>
      <c r="D2566" s="115">
        <f>IFERROR(__xludf.DUMMYFUNCTION("""COMPUTED_VALUE"""),2844.0)</f>
        <v>2844</v>
      </c>
      <c r="E2566" s="115">
        <f>IFERROR(__xludf.DUMMYFUNCTION("""COMPUTED_VALUE"""),410.0)</f>
        <v>410</v>
      </c>
      <c r="F2566" s="115">
        <f>IFERROR(__xludf.DUMMYFUNCTION("""COMPUTED_VALUE"""),2102.0)</f>
        <v>2102</v>
      </c>
      <c r="G2566" s="115">
        <f>IFERROR(__xludf.DUMMYFUNCTION("""COMPUTED_VALUE"""),174.0)</f>
        <v>174</v>
      </c>
      <c r="H2566" s="116">
        <f>IFERROR(__xludf.DUMMYFUNCTION("""COMPUTED_VALUE"""),45905.0)</f>
        <v>45905</v>
      </c>
      <c r="I2566" s="115" t="str">
        <f>IFERROR(__xludf.DUMMYFUNCTION("""COMPUTED_VALUE"""),"16")</f>
        <v>16</v>
      </c>
      <c r="J2566" s="115" t="str">
        <f>IFERROR(__xludf.DUMMYFUNCTION("""COMPUTED_VALUE"""),"Vineeth V2025-09-0516")</f>
        <v>Vineeth V2025-09-0516</v>
      </c>
      <c r="K2566" s="115">
        <f>IFERROR(__xludf.DUMMYFUNCTION("""COMPUTED_VALUE"""),3254.0)</f>
        <v>3254</v>
      </c>
    </row>
    <row r="2567">
      <c r="A2567" s="115" t="str">
        <f>IFERROR(__xludf.DUMMYFUNCTION("""COMPUTED_VALUE"""),"South")</f>
        <v>South</v>
      </c>
      <c r="B2567" s="115"/>
      <c r="C2567" s="115" t="str">
        <f>IFERROR(__xludf.DUMMYFUNCTION("""COMPUTED_VALUE"""),"EXTERNAL")</f>
        <v>EXTERNAL</v>
      </c>
      <c r="D2567" s="115">
        <f>IFERROR(__xludf.DUMMYFUNCTION("""COMPUTED_VALUE"""),31.0)</f>
        <v>31</v>
      </c>
      <c r="E2567" s="115">
        <f>IFERROR(__xludf.DUMMYFUNCTION("""COMPUTED_VALUE"""),3.0)</f>
        <v>3</v>
      </c>
      <c r="F2567" s="115">
        <f>IFERROR(__xludf.DUMMYFUNCTION("""COMPUTED_VALUE"""),1.0)</f>
        <v>1</v>
      </c>
      <c r="G2567" s="115">
        <f>IFERROR(__xludf.DUMMYFUNCTION("""COMPUTED_VALUE"""),0.0)</f>
        <v>0</v>
      </c>
      <c r="H2567" s="116">
        <f>IFERROR(__xludf.DUMMYFUNCTION("""COMPUTED_VALUE"""),45905.0)</f>
        <v>45905</v>
      </c>
      <c r="I2567" s="115" t="str">
        <f>IFERROR(__xludf.DUMMYFUNCTION("""COMPUTED_VALUE"""),"16")</f>
        <v>16</v>
      </c>
      <c r="J2567" s="115" t="str">
        <f>IFERROR(__xludf.DUMMYFUNCTION("""COMPUTED_VALUE"""),"2025-09-0516")</f>
        <v>2025-09-0516</v>
      </c>
      <c r="K2567" s="115">
        <f>IFERROR(__xludf.DUMMYFUNCTION("""COMPUTED_VALUE"""),34.0)</f>
        <v>34</v>
      </c>
    </row>
    <row r="2568">
      <c r="A2568" s="115" t="str">
        <f>IFERROR(__xludf.DUMMYFUNCTION("""COMPUTED_VALUE"""),"South")</f>
        <v>South</v>
      </c>
      <c r="B2568" s="115"/>
      <c r="C2568" s="115" t="str">
        <f>IFERROR(__xludf.DUMMYFUNCTION("""COMPUTED_VALUE"""),"FLIPKART")</f>
        <v>FLIPKART</v>
      </c>
      <c r="D2568" s="115">
        <f>IFERROR(__xludf.DUMMYFUNCTION("""COMPUTED_VALUE"""),233.0)</f>
        <v>233</v>
      </c>
      <c r="E2568" s="115">
        <f>IFERROR(__xludf.DUMMYFUNCTION("""COMPUTED_VALUE"""),44.0)</f>
        <v>44</v>
      </c>
      <c r="F2568" s="115">
        <f>IFERROR(__xludf.DUMMYFUNCTION("""COMPUTED_VALUE"""),22.0)</f>
        <v>22</v>
      </c>
      <c r="G2568" s="115">
        <f>IFERROR(__xludf.DUMMYFUNCTION("""COMPUTED_VALUE"""),0.0)</f>
        <v>0</v>
      </c>
      <c r="H2568" s="116">
        <f>IFERROR(__xludf.DUMMYFUNCTION("""COMPUTED_VALUE"""),45905.0)</f>
        <v>45905</v>
      </c>
      <c r="I2568" s="115" t="str">
        <f>IFERROR(__xludf.DUMMYFUNCTION("""COMPUTED_VALUE"""),"16")</f>
        <v>16</v>
      </c>
      <c r="J2568" s="115" t="str">
        <f>IFERROR(__xludf.DUMMYFUNCTION("""COMPUTED_VALUE"""),"2025-09-0516")</f>
        <v>2025-09-0516</v>
      </c>
      <c r="K2568" s="115">
        <f>IFERROR(__xludf.DUMMYFUNCTION("""COMPUTED_VALUE"""),277.0)</f>
        <v>277</v>
      </c>
    </row>
    <row r="2569">
      <c r="A2569" s="115" t="str">
        <f>IFERROR(__xludf.DUMMYFUNCTION("""COMPUTED_VALUE"""),"South")</f>
        <v>South</v>
      </c>
      <c r="B2569" s="115"/>
      <c r="C2569" s="115" t="str">
        <f>IFERROR(__xludf.DUMMYFUNCTION("""COMPUTED_VALUE"""),"MYNTRA")</f>
        <v>MYNTRA</v>
      </c>
      <c r="D2569" s="115">
        <f>IFERROR(__xludf.DUMMYFUNCTION("""COMPUTED_VALUE"""),4.0)</f>
        <v>4</v>
      </c>
      <c r="E2569" s="115">
        <f>IFERROR(__xludf.DUMMYFUNCTION("""COMPUTED_VALUE"""),4.0)</f>
        <v>4</v>
      </c>
      <c r="F2569" s="115">
        <f>IFERROR(__xludf.DUMMYFUNCTION("""COMPUTED_VALUE"""),1.0)</f>
        <v>1</v>
      </c>
      <c r="G2569" s="115">
        <f>IFERROR(__xludf.DUMMYFUNCTION("""COMPUTED_VALUE"""),0.0)</f>
        <v>0</v>
      </c>
      <c r="H2569" s="116">
        <f>IFERROR(__xludf.DUMMYFUNCTION("""COMPUTED_VALUE"""),45905.0)</f>
        <v>45905</v>
      </c>
      <c r="I2569" s="115" t="str">
        <f>IFERROR(__xludf.DUMMYFUNCTION("""COMPUTED_VALUE"""),"16")</f>
        <v>16</v>
      </c>
      <c r="J2569" s="115" t="str">
        <f>IFERROR(__xludf.DUMMYFUNCTION("""COMPUTED_VALUE"""),"2025-09-0516")</f>
        <v>2025-09-0516</v>
      </c>
      <c r="K2569" s="115">
        <f>IFERROR(__xludf.DUMMYFUNCTION("""COMPUTED_VALUE"""),8.0)</f>
        <v>8</v>
      </c>
    </row>
    <row r="2570">
      <c r="A2570" s="115" t="str">
        <f>IFERROR(__xludf.DUMMYFUNCTION("""COMPUTED_VALUE"""),"WEST")</f>
        <v>WEST</v>
      </c>
      <c r="B2570" s="115" t="str">
        <f>IFERROR(__xludf.DUMMYFUNCTION("""COMPUTED_VALUE"""),"Ashish Jakar")</f>
        <v>Ashish Jakar</v>
      </c>
      <c r="C2570" s="115" t="str">
        <f>IFERROR(__xludf.DUMMYFUNCTION("""COMPUTED_VALUE"""),"EXTERNAL")</f>
        <v>EXTERNAL</v>
      </c>
      <c r="D2570" s="115">
        <f>IFERROR(__xludf.DUMMYFUNCTION("""COMPUTED_VALUE"""),53821.0)</f>
        <v>53821</v>
      </c>
      <c r="E2570" s="115">
        <f>IFERROR(__xludf.DUMMYFUNCTION("""COMPUTED_VALUE"""),5994.0)</f>
        <v>5994</v>
      </c>
      <c r="F2570" s="115">
        <f>IFERROR(__xludf.DUMMYFUNCTION("""COMPUTED_VALUE"""),17248.0)</f>
        <v>17248</v>
      </c>
      <c r="G2570" s="115">
        <f>IFERROR(__xludf.DUMMYFUNCTION("""COMPUTED_VALUE"""),1723.0)</f>
        <v>1723</v>
      </c>
      <c r="H2570" s="116">
        <f>IFERROR(__xludf.DUMMYFUNCTION("""COMPUTED_VALUE"""),45905.0)</f>
        <v>45905</v>
      </c>
      <c r="I2570" s="115" t="str">
        <f>IFERROR(__xludf.DUMMYFUNCTION("""COMPUTED_VALUE"""),"16")</f>
        <v>16</v>
      </c>
      <c r="J2570" s="115" t="str">
        <f>IFERROR(__xludf.DUMMYFUNCTION("""COMPUTED_VALUE"""),"Ashish Jakar2025-09-0516")</f>
        <v>Ashish Jakar2025-09-0516</v>
      </c>
      <c r="K2570" s="115">
        <f>IFERROR(__xludf.DUMMYFUNCTION("""COMPUTED_VALUE"""),59815.0)</f>
        <v>59815</v>
      </c>
    </row>
    <row r="2571">
      <c r="A2571" s="115" t="str">
        <f>IFERROR(__xludf.DUMMYFUNCTION("""COMPUTED_VALUE"""),"WEST")</f>
        <v>WEST</v>
      </c>
      <c r="B2571" s="115" t="str">
        <f>IFERROR(__xludf.DUMMYFUNCTION("""COMPUTED_VALUE"""),"Ashish Jakar")</f>
        <v>Ashish Jakar</v>
      </c>
      <c r="C2571" s="115" t="str">
        <f>IFERROR(__xludf.DUMMYFUNCTION("""COMPUTED_VALUE"""),"FLIPKART")</f>
        <v>FLIPKART</v>
      </c>
      <c r="D2571" s="115">
        <f>IFERROR(__xludf.DUMMYFUNCTION("""COMPUTED_VALUE"""),286022.0)</f>
        <v>286022</v>
      </c>
      <c r="E2571" s="115">
        <f>IFERROR(__xludf.DUMMYFUNCTION("""COMPUTED_VALUE"""),30956.0)</f>
        <v>30956</v>
      </c>
      <c r="F2571" s="115">
        <f>IFERROR(__xludf.DUMMYFUNCTION("""COMPUTED_VALUE"""),163204.0)</f>
        <v>163204</v>
      </c>
      <c r="G2571" s="115">
        <f>IFERROR(__xludf.DUMMYFUNCTION("""COMPUTED_VALUE"""),11102.0)</f>
        <v>11102</v>
      </c>
      <c r="H2571" s="116">
        <f>IFERROR(__xludf.DUMMYFUNCTION("""COMPUTED_VALUE"""),45905.0)</f>
        <v>45905</v>
      </c>
      <c r="I2571" s="115" t="str">
        <f>IFERROR(__xludf.DUMMYFUNCTION("""COMPUTED_VALUE"""),"16")</f>
        <v>16</v>
      </c>
      <c r="J2571" s="115" t="str">
        <f>IFERROR(__xludf.DUMMYFUNCTION("""COMPUTED_VALUE"""),"Ashish Jakar2025-09-0516")</f>
        <v>Ashish Jakar2025-09-0516</v>
      </c>
      <c r="K2571" s="115">
        <f>IFERROR(__xludf.DUMMYFUNCTION("""COMPUTED_VALUE"""),316978.0)</f>
        <v>316978</v>
      </c>
    </row>
    <row r="2572">
      <c r="A2572" s="115" t="str">
        <f>IFERROR(__xludf.DUMMYFUNCTION("""COMPUTED_VALUE"""),"WEST")</f>
        <v>WEST</v>
      </c>
      <c r="B2572" s="115" t="str">
        <f>IFERROR(__xludf.DUMMYFUNCTION("""COMPUTED_VALUE"""),"Ashish Jakar")</f>
        <v>Ashish Jakar</v>
      </c>
      <c r="C2572" s="115" t="str">
        <f>IFERROR(__xludf.DUMMYFUNCTION("""COMPUTED_VALUE"""),"MYNTRA")</f>
        <v>MYNTRA</v>
      </c>
      <c r="D2572" s="115">
        <f>IFERROR(__xludf.DUMMYFUNCTION("""COMPUTED_VALUE"""),36875.0)</f>
        <v>36875</v>
      </c>
      <c r="E2572" s="115">
        <f>IFERROR(__xludf.DUMMYFUNCTION("""COMPUTED_VALUE"""),10285.0)</f>
        <v>10285</v>
      </c>
      <c r="F2572" s="115">
        <f>IFERROR(__xludf.DUMMYFUNCTION("""COMPUTED_VALUE"""),25053.0)</f>
        <v>25053</v>
      </c>
      <c r="G2572" s="115">
        <f>IFERROR(__xludf.DUMMYFUNCTION("""COMPUTED_VALUE"""),4079.0)</f>
        <v>4079</v>
      </c>
      <c r="H2572" s="116">
        <f>IFERROR(__xludf.DUMMYFUNCTION("""COMPUTED_VALUE"""),45905.0)</f>
        <v>45905</v>
      </c>
      <c r="I2572" s="115" t="str">
        <f>IFERROR(__xludf.DUMMYFUNCTION("""COMPUTED_VALUE"""),"16")</f>
        <v>16</v>
      </c>
      <c r="J2572" s="115" t="str">
        <f>IFERROR(__xludf.DUMMYFUNCTION("""COMPUTED_VALUE"""),"Ashish Jakar2025-09-0516")</f>
        <v>Ashish Jakar2025-09-0516</v>
      </c>
      <c r="K2572" s="115">
        <f>IFERROR(__xludf.DUMMYFUNCTION("""COMPUTED_VALUE"""),47160.0)</f>
        <v>47160</v>
      </c>
    </row>
    <row r="2573">
      <c r="A2573" s="115" t="str">
        <f>IFERROR(__xludf.DUMMYFUNCTION("""COMPUTED_VALUE"""),"WEST")</f>
        <v>WEST</v>
      </c>
      <c r="B2573" s="115" t="str">
        <f>IFERROR(__xludf.DUMMYFUNCTION("""COMPUTED_VALUE"""),"Ashvani Bhatt")</f>
        <v>Ashvani Bhatt</v>
      </c>
      <c r="C2573" s="115" t="str">
        <f>IFERROR(__xludf.DUMMYFUNCTION("""COMPUTED_VALUE"""),"EXTERNAL")</f>
        <v>EXTERNAL</v>
      </c>
      <c r="D2573" s="115">
        <f>IFERROR(__xludf.DUMMYFUNCTION("""COMPUTED_VALUE"""),35881.0)</f>
        <v>35881</v>
      </c>
      <c r="E2573" s="115">
        <f>IFERROR(__xludf.DUMMYFUNCTION("""COMPUTED_VALUE"""),2927.0)</f>
        <v>2927</v>
      </c>
      <c r="F2573" s="115">
        <f>IFERROR(__xludf.DUMMYFUNCTION("""COMPUTED_VALUE"""),12632.0)</f>
        <v>12632</v>
      </c>
      <c r="G2573" s="115">
        <f>IFERROR(__xludf.DUMMYFUNCTION("""COMPUTED_VALUE"""),604.0)</f>
        <v>604</v>
      </c>
      <c r="H2573" s="116">
        <f>IFERROR(__xludf.DUMMYFUNCTION("""COMPUTED_VALUE"""),45905.0)</f>
        <v>45905</v>
      </c>
      <c r="I2573" s="115" t="str">
        <f>IFERROR(__xludf.DUMMYFUNCTION("""COMPUTED_VALUE"""),"16")</f>
        <v>16</v>
      </c>
      <c r="J2573" s="115" t="str">
        <f>IFERROR(__xludf.DUMMYFUNCTION("""COMPUTED_VALUE"""),"Ashvani Bhatt2025-09-0516")</f>
        <v>Ashvani Bhatt2025-09-0516</v>
      </c>
      <c r="K2573" s="115">
        <f>IFERROR(__xludf.DUMMYFUNCTION("""COMPUTED_VALUE"""),38808.0)</f>
        <v>38808</v>
      </c>
    </row>
    <row r="2574">
      <c r="A2574" s="115" t="str">
        <f>IFERROR(__xludf.DUMMYFUNCTION("""COMPUTED_VALUE"""),"WEST")</f>
        <v>WEST</v>
      </c>
      <c r="B2574" s="115" t="str">
        <f>IFERROR(__xludf.DUMMYFUNCTION("""COMPUTED_VALUE"""),"Ashvani Bhatt")</f>
        <v>Ashvani Bhatt</v>
      </c>
      <c r="C2574" s="115" t="str">
        <f>IFERROR(__xludf.DUMMYFUNCTION("""COMPUTED_VALUE"""),"FLIPKART")</f>
        <v>FLIPKART</v>
      </c>
      <c r="D2574" s="115">
        <f>IFERROR(__xludf.DUMMYFUNCTION("""COMPUTED_VALUE"""),250077.0)</f>
        <v>250077</v>
      </c>
      <c r="E2574" s="115">
        <f>IFERROR(__xludf.DUMMYFUNCTION("""COMPUTED_VALUE"""),26676.0)</f>
        <v>26676</v>
      </c>
      <c r="F2574" s="115">
        <f>IFERROR(__xludf.DUMMYFUNCTION("""COMPUTED_VALUE"""),155729.0)</f>
        <v>155729</v>
      </c>
      <c r="G2574" s="115">
        <f>IFERROR(__xludf.DUMMYFUNCTION("""COMPUTED_VALUE"""),8907.0)</f>
        <v>8907</v>
      </c>
      <c r="H2574" s="116">
        <f>IFERROR(__xludf.DUMMYFUNCTION("""COMPUTED_VALUE"""),45905.0)</f>
        <v>45905</v>
      </c>
      <c r="I2574" s="115" t="str">
        <f>IFERROR(__xludf.DUMMYFUNCTION("""COMPUTED_VALUE"""),"16")</f>
        <v>16</v>
      </c>
      <c r="J2574" s="115" t="str">
        <f>IFERROR(__xludf.DUMMYFUNCTION("""COMPUTED_VALUE"""),"Ashvani Bhatt2025-09-0516")</f>
        <v>Ashvani Bhatt2025-09-0516</v>
      </c>
      <c r="K2574" s="115">
        <f>IFERROR(__xludf.DUMMYFUNCTION("""COMPUTED_VALUE"""),276753.0)</f>
        <v>276753</v>
      </c>
    </row>
    <row r="2575">
      <c r="A2575" s="115" t="str">
        <f>IFERROR(__xludf.DUMMYFUNCTION("""COMPUTED_VALUE"""),"WEST")</f>
        <v>WEST</v>
      </c>
      <c r="B2575" s="115" t="str">
        <f>IFERROR(__xludf.DUMMYFUNCTION("""COMPUTED_VALUE"""),"Ashvani Bhatt")</f>
        <v>Ashvani Bhatt</v>
      </c>
      <c r="C2575" s="115" t="str">
        <f>IFERROR(__xludf.DUMMYFUNCTION("""COMPUTED_VALUE"""),"MYNTRA")</f>
        <v>MYNTRA</v>
      </c>
      <c r="D2575" s="115">
        <f>IFERROR(__xludf.DUMMYFUNCTION("""COMPUTED_VALUE"""),31601.0)</f>
        <v>31601</v>
      </c>
      <c r="E2575" s="115">
        <f>IFERROR(__xludf.DUMMYFUNCTION("""COMPUTED_VALUE"""),8206.0)</f>
        <v>8206</v>
      </c>
      <c r="F2575" s="115">
        <f>IFERROR(__xludf.DUMMYFUNCTION("""COMPUTED_VALUE"""),23218.0)</f>
        <v>23218</v>
      </c>
      <c r="G2575" s="115">
        <f>IFERROR(__xludf.DUMMYFUNCTION("""COMPUTED_VALUE"""),3199.0)</f>
        <v>3199</v>
      </c>
      <c r="H2575" s="116">
        <f>IFERROR(__xludf.DUMMYFUNCTION("""COMPUTED_VALUE"""),45905.0)</f>
        <v>45905</v>
      </c>
      <c r="I2575" s="115" t="str">
        <f>IFERROR(__xludf.DUMMYFUNCTION("""COMPUTED_VALUE"""),"16")</f>
        <v>16</v>
      </c>
      <c r="J2575" s="115" t="str">
        <f>IFERROR(__xludf.DUMMYFUNCTION("""COMPUTED_VALUE"""),"Ashvani Bhatt2025-09-0516")</f>
        <v>Ashvani Bhatt2025-09-0516</v>
      </c>
      <c r="K2575" s="115">
        <f>IFERROR(__xludf.DUMMYFUNCTION("""COMPUTED_VALUE"""),39807.0)</f>
        <v>39807</v>
      </c>
    </row>
    <row r="2576">
      <c r="A2576" s="115" t="str">
        <f>IFERROR(__xludf.DUMMYFUNCTION("""COMPUTED_VALUE"""),"West")</f>
        <v>West</v>
      </c>
      <c r="B2576" s="115"/>
      <c r="C2576" s="115" t="str">
        <f>IFERROR(__xludf.DUMMYFUNCTION("""COMPUTED_VALUE"""),"EXTERNAL")</f>
        <v>EXTERNAL</v>
      </c>
      <c r="D2576" s="115">
        <f>IFERROR(__xludf.DUMMYFUNCTION("""COMPUTED_VALUE"""),88.0)</f>
        <v>88</v>
      </c>
      <c r="E2576" s="115">
        <f>IFERROR(__xludf.DUMMYFUNCTION("""COMPUTED_VALUE"""),31.0)</f>
        <v>31</v>
      </c>
      <c r="F2576" s="115">
        <f>IFERROR(__xludf.DUMMYFUNCTION("""COMPUTED_VALUE"""),17.0)</f>
        <v>17</v>
      </c>
      <c r="G2576" s="115">
        <f>IFERROR(__xludf.DUMMYFUNCTION("""COMPUTED_VALUE"""),3.0)</f>
        <v>3</v>
      </c>
      <c r="H2576" s="116">
        <f>IFERROR(__xludf.DUMMYFUNCTION("""COMPUTED_VALUE"""),45905.0)</f>
        <v>45905</v>
      </c>
      <c r="I2576" s="115" t="str">
        <f>IFERROR(__xludf.DUMMYFUNCTION("""COMPUTED_VALUE"""),"16")</f>
        <v>16</v>
      </c>
      <c r="J2576" s="115" t="str">
        <f>IFERROR(__xludf.DUMMYFUNCTION("""COMPUTED_VALUE"""),"2025-09-0516")</f>
        <v>2025-09-0516</v>
      </c>
      <c r="K2576" s="115">
        <f>IFERROR(__xludf.DUMMYFUNCTION("""COMPUTED_VALUE"""),119.0)</f>
        <v>119</v>
      </c>
    </row>
    <row r="2577">
      <c r="A2577" s="115" t="str">
        <f>IFERROR(__xludf.DUMMYFUNCTION("""COMPUTED_VALUE"""),"West")</f>
        <v>West</v>
      </c>
      <c r="B2577" s="115"/>
      <c r="C2577" s="115" t="str">
        <f>IFERROR(__xludf.DUMMYFUNCTION("""COMPUTED_VALUE"""),"FLIPKART")</f>
        <v>FLIPKART</v>
      </c>
      <c r="D2577" s="115">
        <f>IFERROR(__xludf.DUMMYFUNCTION("""COMPUTED_VALUE"""),419.0)</f>
        <v>419</v>
      </c>
      <c r="E2577" s="115">
        <f>IFERROR(__xludf.DUMMYFUNCTION("""COMPUTED_VALUE"""),83.0)</f>
        <v>83</v>
      </c>
      <c r="F2577" s="115">
        <f>IFERROR(__xludf.DUMMYFUNCTION("""COMPUTED_VALUE"""),218.0)</f>
        <v>218</v>
      </c>
      <c r="G2577" s="115">
        <f>IFERROR(__xludf.DUMMYFUNCTION("""COMPUTED_VALUE"""),23.0)</f>
        <v>23</v>
      </c>
      <c r="H2577" s="116">
        <f>IFERROR(__xludf.DUMMYFUNCTION("""COMPUTED_VALUE"""),45905.0)</f>
        <v>45905</v>
      </c>
      <c r="I2577" s="115" t="str">
        <f>IFERROR(__xludf.DUMMYFUNCTION("""COMPUTED_VALUE"""),"16")</f>
        <v>16</v>
      </c>
      <c r="J2577" s="115" t="str">
        <f>IFERROR(__xludf.DUMMYFUNCTION("""COMPUTED_VALUE"""),"2025-09-0516")</f>
        <v>2025-09-0516</v>
      </c>
      <c r="K2577" s="115">
        <f>IFERROR(__xludf.DUMMYFUNCTION("""COMPUTED_VALUE"""),502.0)</f>
        <v>502</v>
      </c>
    </row>
    <row r="2578">
      <c r="A2578" s="115" t="str">
        <f>IFERROR(__xludf.DUMMYFUNCTION("""COMPUTED_VALUE"""),"West")</f>
        <v>West</v>
      </c>
      <c r="B2578" s="115"/>
      <c r="C2578" s="115" t="str">
        <f>IFERROR(__xludf.DUMMYFUNCTION("""COMPUTED_VALUE"""),"MYNTRA")</f>
        <v>MYNTRA</v>
      </c>
      <c r="D2578" s="115">
        <f>IFERROR(__xludf.DUMMYFUNCTION("""COMPUTED_VALUE"""),118.0)</f>
        <v>118</v>
      </c>
      <c r="E2578" s="115">
        <f>IFERROR(__xludf.DUMMYFUNCTION("""COMPUTED_VALUE"""),48.0)</f>
        <v>48</v>
      </c>
      <c r="F2578" s="115">
        <f>IFERROR(__xludf.DUMMYFUNCTION("""COMPUTED_VALUE"""),41.0)</f>
        <v>41</v>
      </c>
      <c r="G2578" s="115">
        <f>IFERROR(__xludf.DUMMYFUNCTION("""COMPUTED_VALUE"""),8.0)</f>
        <v>8</v>
      </c>
      <c r="H2578" s="116">
        <f>IFERROR(__xludf.DUMMYFUNCTION("""COMPUTED_VALUE"""),45905.0)</f>
        <v>45905</v>
      </c>
      <c r="I2578" s="115" t="str">
        <f>IFERROR(__xludf.DUMMYFUNCTION("""COMPUTED_VALUE"""),"16")</f>
        <v>16</v>
      </c>
      <c r="J2578" s="115" t="str">
        <f>IFERROR(__xludf.DUMMYFUNCTION("""COMPUTED_VALUE"""),"2025-09-0516")</f>
        <v>2025-09-0516</v>
      </c>
      <c r="K2578" s="115">
        <f>IFERROR(__xludf.DUMMYFUNCTION("""COMPUTED_VALUE"""),166.0)</f>
        <v>166</v>
      </c>
    </row>
    <row r="2579">
      <c r="A2579" s="115"/>
      <c r="B2579" s="115"/>
      <c r="C2579" s="115" t="str">
        <f>IFERROR(__xludf.DUMMYFUNCTION("""COMPUTED_VALUE"""),"EXTERNAL")</f>
        <v>EXTERNAL</v>
      </c>
      <c r="D2579" s="115">
        <f>IFERROR(__xludf.DUMMYFUNCTION("""COMPUTED_VALUE"""),1436.0)</f>
        <v>1436</v>
      </c>
      <c r="E2579" s="115">
        <f>IFERROR(__xludf.DUMMYFUNCTION("""COMPUTED_VALUE"""),148.0)</f>
        <v>148</v>
      </c>
      <c r="F2579" s="115">
        <f>IFERROR(__xludf.DUMMYFUNCTION("""COMPUTED_VALUE"""),514.0)</f>
        <v>514</v>
      </c>
      <c r="G2579" s="115">
        <f>IFERROR(__xludf.DUMMYFUNCTION("""COMPUTED_VALUE"""),33.0)</f>
        <v>33</v>
      </c>
      <c r="H2579" s="116">
        <f>IFERROR(__xludf.DUMMYFUNCTION("""COMPUTED_VALUE"""),45905.0)</f>
        <v>45905</v>
      </c>
      <c r="I2579" s="115" t="str">
        <f>IFERROR(__xludf.DUMMYFUNCTION("""COMPUTED_VALUE"""),"16")</f>
        <v>16</v>
      </c>
      <c r="J2579" s="115" t="str">
        <f>IFERROR(__xludf.DUMMYFUNCTION("""COMPUTED_VALUE"""),"2025-09-0516")</f>
        <v>2025-09-0516</v>
      </c>
      <c r="K2579" s="115">
        <f>IFERROR(__xludf.DUMMYFUNCTION("""COMPUTED_VALUE"""),1584.0)</f>
        <v>1584</v>
      </c>
    </row>
    <row r="2580">
      <c r="A2580" s="115"/>
      <c r="B2580" s="115"/>
      <c r="C2580" s="115" t="str">
        <f>IFERROR(__xludf.DUMMYFUNCTION("""COMPUTED_VALUE"""),"FLIPKART")</f>
        <v>FLIPKART</v>
      </c>
      <c r="D2580" s="115">
        <f>IFERROR(__xludf.DUMMYFUNCTION("""COMPUTED_VALUE"""),11272.0)</f>
        <v>11272</v>
      </c>
      <c r="E2580" s="115">
        <f>IFERROR(__xludf.DUMMYFUNCTION("""COMPUTED_VALUE"""),1144.0)</f>
        <v>1144</v>
      </c>
      <c r="F2580" s="115">
        <f>IFERROR(__xludf.DUMMYFUNCTION("""COMPUTED_VALUE"""),5883.0)</f>
        <v>5883</v>
      </c>
      <c r="G2580" s="115">
        <f>IFERROR(__xludf.DUMMYFUNCTION("""COMPUTED_VALUE"""),420.0)</f>
        <v>420</v>
      </c>
      <c r="H2580" s="116">
        <f>IFERROR(__xludf.DUMMYFUNCTION("""COMPUTED_VALUE"""),45905.0)</f>
        <v>45905</v>
      </c>
      <c r="I2580" s="115" t="str">
        <f>IFERROR(__xludf.DUMMYFUNCTION("""COMPUTED_VALUE"""),"16")</f>
        <v>16</v>
      </c>
      <c r="J2580" s="115" t="str">
        <f>IFERROR(__xludf.DUMMYFUNCTION("""COMPUTED_VALUE"""),"2025-09-0516")</f>
        <v>2025-09-0516</v>
      </c>
      <c r="K2580" s="115">
        <f>IFERROR(__xludf.DUMMYFUNCTION("""COMPUTED_VALUE"""),12416.0)</f>
        <v>12416</v>
      </c>
    </row>
    <row r="2581">
      <c r="A2581" s="115"/>
      <c r="B2581" s="115"/>
      <c r="C2581" s="115" t="str">
        <f>IFERROR(__xludf.DUMMYFUNCTION("""COMPUTED_VALUE"""),"MYNTRA")</f>
        <v>MYNTRA</v>
      </c>
      <c r="D2581" s="115">
        <f>IFERROR(__xludf.DUMMYFUNCTION("""COMPUTED_VALUE"""),1546.0)</f>
        <v>1546</v>
      </c>
      <c r="E2581" s="115">
        <f>IFERROR(__xludf.DUMMYFUNCTION("""COMPUTED_VALUE"""),305.0)</f>
        <v>305</v>
      </c>
      <c r="F2581" s="115">
        <f>IFERROR(__xludf.DUMMYFUNCTION("""COMPUTED_VALUE"""),998.0)</f>
        <v>998</v>
      </c>
      <c r="G2581" s="115">
        <f>IFERROR(__xludf.DUMMYFUNCTION("""COMPUTED_VALUE"""),130.0)</f>
        <v>130</v>
      </c>
      <c r="H2581" s="116">
        <f>IFERROR(__xludf.DUMMYFUNCTION("""COMPUTED_VALUE"""),45905.0)</f>
        <v>45905</v>
      </c>
      <c r="I2581" s="115" t="str">
        <f>IFERROR(__xludf.DUMMYFUNCTION("""COMPUTED_VALUE"""),"16")</f>
        <v>16</v>
      </c>
      <c r="J2581" s="115" t="str">
        <f>IFERROR(__xludf.DUMMYFUNCTION("""COMPUTED_VALUE"""),"2025-09-0516")</f>
        <v>2025-09-0516</v>
      </c>
      <c r="K2581" s="115">
        <f>IFERROR(__xludf.DUMMYFUNCTION("""COMPUTED_VALUE"""),1851.0)</f>
        <v>1851</v>
      </c>
    </row>
    <row r="2582">
      <c r="A2582" s="115" t="str">
        <f>IFERROR(__xludf.DUMMYFUNCTION("""COMPUTED_VALUE"""),"EAST")</f>
        <v>EAST</v>
      </c>
      <c r="B2582" s="115" t="str">
        <f>IFERROR(__xludf.DUMMYFUNCTION("""COMPUTED_VALUE"""),"Ashish Ranjan")</f>
        <v>Ashish Ranjan</v>
      </c>
      <c r="C2582" s="115" t="str">
        <f>IFERROR(__xludf.DUMMYFUNCTION("""COMPUTED_VALUE"""),"EXTERNAL")</f>
        <v>EXTERNAL</v>
      </c>
      <c r="D2582" s="115">
        <f>IFERROR(__xludf.DUMMYFUNCTION("""COMPUTED_VALUE"""),39093.0)</f>
        <v>39093</v>
      </c>
      <c r="E2582" s="115">
        <f>IFERROR(__xludf.DUMMYFUNCTION("""COMPUTED_VALUE"""),3042.0)</f>
        <v>3042</v>
      </c>
      <c r="F2582" s="115">
        <f>IFERROR(__xludf.DUMMYFUNCTION("""COMPUTED_VALUE"""),22382.0)</f>
        <v>22382</v>
      </c>
      <c r="G2582" s="115">
        <f>IFERROR(__xludf.DUMMYFUNCTION("""COMPUTED_VALUE"""),1570.0)</f>
        <v>1570</v>
      </c>
      <c r="H2582" s="116">
        <f>IFERROR(__xludf.DUMMYFUNCTION("""COMPUTED_VALUE"""),45905.0)</f>
        <v>45905</v>
      </c>
      <c r="I2582" s="115" t="str">
        <f>IFERROR(__xludf.DUMMYFUNCTION("""COMPUTED_VALUE"""),"20")</f>
        <v>20</v>
      </c>
      <c r="J2582" s="115" t="str">
        <f>IFERROR(__xludf.DUMMYFUNCTION("""COMPUTED_VALUE"""),"Ashish Ranjan2025-09-0520")</f>
        <v>Ashish Ranjan2025-09-0520</v>
      </c>
      <c r="K2582" s="115">
        <f>IFERROR(__xludf.DUMMYFUNCTION("""COMPUTED_VALUE"""),42135.0)</f>
        <v>42135</v>
      </c>
    </row>
    <row r="2583">
      <c r="A2583" s="115" t="str">
        <f>IFERROR(__xludf.DUMMYFUNCTION("""COMPUTED_VALUE"""),"EAST")</f>
        <v>EAST</v>
      </c>
      <c r="B2583" s="115" t="str">
        <f>IFERROR(__xludf.DUMMYFUNCTION("""COMPUTED_VALUE"""),"Ashish Ranjan")</f>
        <v>Ashish Ranjan</v>
      </c>
      <c r="C2583" s="115" t="str">
        <f>IFERROR(__xludf.DUMMYFUNCTION("""COMPUTED_VALUE"""),"FLIPKART")</f>
        <v>FLIPKART</v>
      </c>
      <c r="D2583" s="115">
        <f>IFERROR(__xludf.DUMMYFUNCTION("""COMPUTED_VALUE"""),607169.0)</f>
        <v>607169</v>
      </c>
      <c r="E2583" s="115">
        <f>IFERROR(__xludf.DUMMYFUNCTION("""COMPUTED_VALUE"""),56940.0)</f>
        <v>56940</v>
      </c>
      <c r="F2583" s="115">
        <f>IFERROR(__xludf.DUMMYFUNCTION("""COMPUTED_VALUE"""),530493.0)</f>
        <v>530493</v>
      </c>
      <c r="G2583" s="115">
        <f>IFERROR(__xludf.DUMMYFUNCTION("""COMPUTED_VALUE"""),42833.0)</f>
        <v>42833</v>
      </c>
      <c r="H2583" s="116">
        <f>IFERROR(__xludf.DUMMYFUNCTION("""COMPUTED_VALUE"""),45905.0)</f>
        <v>45905</v>
      </c>
      <c r="I2583" s="115" t="str">
        <f>IFERROR(__xludf.DUMMYFUNCTION("""COMPUTED_VALUE"""),"20")</f>
        <v>20</v>
      </c>
      <c r="J2583" s="115" t="str">
        <f>IFERROR(__xludf.DUMMYFUNCTION("""COMPUTED_VALUE"""),"Ashish Ranjan2025-09-0520")</f>
        <v>Ashish Ranjan2025-09-0520</v>
      </c>
      <c r="K2583" s="115">
        <f>IFERROR(__xludf.DUMMYFUNCTION("""COMPUTED_VALUE"""),664109.0)</f>
        <v>664109</v>
      </c>
    </row>
    <row r="2584">
      <c r="A2584" s="115" t="str">
        <f>IFERROR(__xludf.DUMMYFUNCTION("""COMPUTED_VALUE"""),"EAST")</f>
        <v>EAST</v>
      </c>
      <c r="B2584" s="115" t="str">
        <f>IFERROR(__xludf.DUMMYFUNCTION("""COMPUTED_VALUE"""),"Ashish Ranjan")</f>
        <v>Ashish Ranjan</v>
      </c>
      <c r="C2584" s="115" t="str">
        <f>IFERROR(__xludf.DUMMYFUNCTION("""COMPUTED_VALUE"""),"MYNTRA")</f>
        <v>MYNTRA</v>
      </c>
      <c r="D2584" s="115">
        <f>IFERROR(__xludf.DUMMYFUNCTION("""COMPUTED_VALUE"""),69858.0)</f>
        <v>69858</v>
      </c>
      <c r="E2584" s="115">
        <f>IFERROR(__xludf.DUMMYFUNCTION("""COMPUTED_VALUE"""),12013.0)</f>
        <v>12013</v>
      </c>
      <c r="F2584" s="115">
        <f>IFERROR(__xludf.DUMMYFUNCTION("""COMPUTED_VALUE"""),62086.0)</f>
        <v>62086</v>
      </c>
      <c r="G2584" s="115">
        <f>IFERROR(__xludf.DUMMYFUNCTION("""COMPUTED_VALUE"""),8994.0)</f>
        <v>8994</v>
      </c>
      <c r="H2584" s="116">
        <f>IFERROR(__xludf.DUMMYFUNCTION("""COMPUTED_VALUE"""),45905.0)</f>
        <v>45905</v>
      </c>
      <c r="I2584" s="115" t="str">
        <f>IFERROR(__xludf.DUMMYFUNCTION("""COMPUTED_VALUE"""),"20")</f>
        <v>20</v>
      </c>
      <c r="J2584" s="115" t="str">
        <f>IFERROR(__xludf.DUMMYFUNCTION("""COMPUTED_VALUE"""),"Ashish Ranjan2025-09-0520")</f>
        <v>Ashish Ranjan2025-09-0520</v>
      </c>
      <c r="K2584" s="115">
        <f>IFERROR(__xludf.DUMMYFUNCTION("""COMPUTED_VALUE"""),81871.0)</f>
        <v>81871</v>
      </c>
    </row>
    <row r="2585">
      <c r="A2585" s="115" t="str">
        <f>IFERROR(__xludf.DUMMYFUNCTION("""COMPUTED_VALUE"""),"EAST")</f>
        <v>EAST</v>
      </c>
      <c r="B2585" s="115" t="str">
        <f>IFERROR(__xludf.DUMMYFUNCTION("""COMPUTED_VALUE"""),"Girish Chand")</f>
        <v>Girish Chand</v>
      </c>
      <c r="C2585" s="115" t="str">
        <f>IFERROR(__xludf.DUMMYFUNCTION("""COMPUTED_VALUE"""),"EXTERNAL")</f>
        <v>EXTERNAL</v>
      </c>
      <c r="D2585" s="115">
        <f>IFERROR(__xludf.DUMMYFUNCTION("""COMPUTED_VALUE"""),22768.0)</f>
        <v>22768</v>
      </c>
      <c r="E2585" s="115">
        <f>IFERROR(__xludf.DUMMYFUNCTION("""COMPUTED_VALUE"""),1867.0)</f>
        <v>1867</v>
      </c>
      <c r="F2585" s="115">
        <f>IFERROR(__xludf.DUMMYFUNCTION("""COMPUTED_VALUE"""),9789.0)</f>
        <v>9789</v>
      </c>
      <c r="G2585" s="115">
        <f>IFERROR(__xludf.DUMMYFUNCTION("""COMPUTED_VALUE"""),635.0)</f>
        <v>635</v>
      </c>
      <c r="H2585" s="116">
        <f>IFERROR(__xludf.DUMMYFUNCTION("""COMPUTED_VALUE"""),45905.0)</f>
        <v>45905</v>
      </c>
      <c r="I2585" s="115" t="str">
        <f>IFERROR(__xludf.DUMMYFUNCTION("""COMPUTED_VALUE"""),"20")</f>
        <v>20</v>
      </c>
      <c r="J2585" s="115" t="str">
        <f>IFERROR(__xludf.DUMMYFUNCTION("""COMPUTED_VALUE"""),"Girish Chand2025-09-0520")</f>
        <v>Girish Chand2025-09-0520</v>
      </c>
      <c r="K2585" s="115">
        <f>IFERROR(__xludf.DUMMYFUNCTION("""COMPUTED_VALUE"""),24635.0)</f>
        <v>24635</v>
      </c>
    </row>
    <row r="2586">
      <c r="A2586" s="115" t="str">
        <f>IFERROR(__xludf.DUMMYFUNCTION("""COMPUTED_VALUE"""),"EAST")</f>
        <v>EAST</v>
      </c>
      <c r="B2586" s="115" t="str">
        <f>IFERROR(__xludf.DUMMYFUNCTION("""COMPUTED_VALUE"""),"Girish Chand")</f>
        <v>Girish Chand</v>
      </c>
      <c r="C2586" s="115" t="str">
        <f>IFERROR(__xludf.DUMMYFUNCTION("""COMPUTED_VALUE"""),"FLIPKART")</f>
        <v>FLIPKART</v>
      </c>
      <c r="D2586" s="115">
        <f>IFERROR(__xludf.DUMMYFUNCTION("""COMPUTED_VALUE"""),396098.0)</f>
        <v>396098</v>
      </c>
      <c r="E2586" s="115">
        <f>IFERROR(__xludf.DUMMYFUNCTION("""COMPUTED_VALUE"""),38891.0)</f>
        <v>38891</v>
      </c>
      <c r="F2586" s="115">
        <f>IFERROR(__xludf.DUMMYFUNCTION("""COMPUTED_VALUE"""),294225.0)</f>
        <v>294225</v>
      </c>
      <c r="G2586" s="115">
        <f>IFERROR(__xludf.DUMMYFUNCTION("""COMPUTED_VALUE"""),26228.0)</f>
        <v>26228</v>
      </c>
      <c r="H2586" s="116">
        <f>IFERROR(__xludf.DUMMYFUNCTION("""COMPUTED_VALUE"""),45905.0)</f>
        <v>45905</v>
      </c>
      <c r="I2586" s="115" t="str">
        <f>IFERROR(__xludf.DUMMYFUNCTION("""COMPUTED_VALUE"""),"20")</f>
        <v>20</v>
      </c>
      <c r="J2586" s="115" t="str">
        <f>IFERROR(__xludf.DUMMYFUNCTION("""COMPUTED_VALUE"""),"Girish Chand2025-09-0520")</f>
        <v>Girish Chand2025-09-0520</v>
      </c>
      <c r="K2586" s="115">
        <f>IFERROR(__xludf.DUMMYFUNCTION("""COMPUTED_VALUE"""),434989.0)</f>
        <v>434989</v>
      </c>
    </row>
    <row r="2587">
      <c r="A2587" s="115" t="str">
        <f>IFERROR(__xludf.DUMMYFUNCTION("""COMPUTED_VALUE"""),"EAST")</f>
        <v>EAST</v>
      </c>
      <c r="B2587" s="115" t="str">
        <f>IFERROR(__xludf.DUMMYFUNCTION("""COMPUTED_VALUE"""),"Girish Chand")</f>
        <v>Girish Chand</v>
      </c>
      <c r="C2587" s="115" t="str">
        <f>IFERROR(__xludf.DUMMYFUNCTION("""COMPUTED_VALUE"""),"MYNTRA")</f>
        <v>MYNTRA</v>
      </c>
      <c r="D2587" s="115">
        <f>IFERROR(__xludf.DUMMYFUNCTION("""COMPUTED_VALUE"""),34797.0)</f>
        <v>34797</v>
      </c>
      <c r="E2587" s="115">
        <f>IFERROR(__xludf.DUMMYFUNCTION("""COMPUTED_VALUE"""),6775.0)</f>
        <v>6775</v>
      </c>
      <c r="F2587" s="115">
        <f>IFERROR(__xludf.DUMMYFUNCTION("""COMPUTED_VALUE"""),27321.0)</f>
        <v>27321</v>
      </c>
      <c r="G2587" s="115">
        <f>IFERROR(__xludf.DUMMYFUNCTION("""COMPUTED_VALUE"""),4856.0)</f>
        <v>4856</v>
      </c>
      <c r="H2587" s="116">
        <f>IFERROR(__xludf.DUMMYFUNCTION("""COMPUTED_VALUE"""),45905.0)</f>
        <v>45905</v>
      </c>
      <c r="I2587" s="115" t="str">
        <f>IFERROR(__xludf.DUMMYFUNCTION("""COMPUTED_VALUE"""),"20")</f>
        <v>20</v>
      </c>
      <c r="J2587" s="115" t="str">
        <f>IFERROR(__xludf.DUMMYFUNCTION("""COMPUTED_VALUE"""),"Girish Chand2025-09-0520")</f>
        <v>Girish Chand2025-09-0520</v>
      </c>
      <c r="K2587" s="115">
        <f>IFERROR(__xludf.DUMMYFUNCTION("""COMPUTED_VALUE"""),41572.0)</f>
        <v>41572</v>
      </c>
    </row>
    <row r="2588">
      <c r="A2588" s="115" t="str">
        <f>IFERROR(__xludf.DUMMYFUNCTION("""COMPUTED_VALUE"""),"EAST")</f>
        <v>EAST</v>
      </c>
      <c r="B2588" s="115" t="str">
        <f>IFERROR(__xludf.DUMMYFUNCTION("""COMPUTED_VALUE"""),"Parag Kashyap")</f>
        <v>Parag Kashyap</v>
      </c>
      <c r="C2588" s="115" t="str">
        <f>IFERROR(__xludf.DUMMYFUNCTION("""COMPUTED_VALUE"""),"EXTERNAL")</f>
        <v>EXTERNAL</v>
      </c>
      <c r="D2588" s="115">
        <f>IFERROR(__xludf.DUMMYFUNCTION("""COMPUTED_VALUE"""),19100.0)</f>
        <v>19100</v>
      </c>
      <c r="E2588" s="115">
        <f>IFERROR(__xludf.DUMMYFUNCTION("""COMPUTED_VALUE"""),993.0)</f>
        <v>993</v>
      </c>
      <c r="F2588" s="115">
        <f>IFERROR(__xludf.DUMMYFUNCTION("""COMPUTED_VALUE"""),8139.0)</f>
        <v>8139</v>
      </c>
      <c r="G2588" s="115">
        <f>IFERROR(__xludf.DUMMYFUNCTION("""COMPUTED_VALUE"""),380.0)</f>
        <v>380</v>
      </c>
      <c r="H2588" s="116">
        <f>IFERROR(__xludf.DUMMYFUNCTION("""COMPUTED_VALUE"""),45905.0)</f>
        <v>45905</v>
      </c>
      <c r="I2588" s="115" t="str">
        <f>IFERROR(__xludf.DUMMYFUNCTION("""COMPUTED_VALUE"""),"20")</f>
        <v>20</v>
      </c>
      <c r="J2588" s="115" t="str">
        <f>IFERROR(__xludf.DUMMYFUNCTION("""COMPUTED_VALUE"""),"Parag Kashyap2025-09-0520")</f>
        <v>Parag Kashyap2025-09-0520</v>
      </c>
      <c r="K2588" s="115">
        <f>IFERROR(__xludf.DUMMYFUNCTION("""COMPUTED_VALUE"""),20093.0)</f>
        <v>20093</v>
      </c>
    </row>
    <row r="2589">
      <c r="A2589" s="115" t="str">
        <f>IFERROR(__xludf.DUMMYFUNCTION("""COMPUTED_VALUE"""),"EAST")</f>
        <v>EAST</v>
      </c>
      <c r="B2589" s="115" t="str">
        <f>IFERROR(__xludf.DUMMYFUNCTION("""COMPUTED_VALUE"""),"Parag Kashyap")</f>
        <v>Parag Kashyap</v>
      </c>
      <c r="C2589" s="115" t="str">
        <f>IFERROR(__xludf.DUMMYFUNCTION("""COMPUTED_VALUE"""),"FLIPKART")</f>
        <v>FLIPKART</v>
      </c>
      <c r="D2589" s="115">
        <f>IFERROR(__xludf.DUMMYFUNCTION("""COMPUTED_VALUE"""),290876.0)</f>
        <v>290876</v>
      </c>
      <c r="E2589" s="115">
        <f>IFERROR(__xludf.DUMMYFUNCTION("""COMPUTED_VALUE"""),20200.0)</f>
        <v>20200</v>
      </c>
      <c r="F2589" s="115">
        <f>IFERROR(__xludf.DUMMYFUNCTION("""COMPUTED_VALUE"""),224859.0)</f>
        <v>224859</v>
      </c>
      <c r="G2589" s="115">
        <f>IFERROR(__xludf.DUMMYFUNCTION("""COMPUTED_VALUE"""),12849.0)</f>
        <v>12849</v>
      </c>
      <c r="H2589" s="116">
        <f>IFERROR(__xludf.DUMMYFUNCTION("""COMPUTED_VALUE"""),45905.0)</f>
        <v>45905</v>
      </c>
      <c r="I2589" s="115" t="str">
        <f>IFERROR(__xludf.DUMMYFUNCTION("""COMPUTED_VALUE"""),"20")</f>
        <v>20</v>
      </c>
      <c r="J2589" s="115" t="str">
        <f>IFERROR(__xludf.DUMMYFUNCTION("""COMPUTED_VALUE"""),"Parag Kashyap2025-09-0520")</f>
        <v>Parag Kashyap2025-09-0520</v>
      </c>
      <c r="K2589" s="115">
        <f>IFERROR(__xludf.DUMMYFUNCTION("""COMPUTED_VALUE"""),311076.0)</f>
        <v>311076</v>
      </c>
    </row>
    <row r="2590">
      <c r="A2590" s="115" t="str">
        <f>IFERROR(__xludf.DUMMYFUNCTION("""COMPUTED_VALUE"""),"EAST")</f>
        <v>EAST</v>
      </c>
      <c r="B2590" s="115" t="str">
        <f>IFERROR(__xludf.DUMMYFUNCTION("""COMPUTED_VALUE"""),"Parag Kashyap")</f>
        <v>Parag Kashyap</v>
      </c>
      <c r="C2590" s="115" t="str">
        <f>IFERROR(__xludf.DUMMYFUNCTION("""COMPUTED_VALUE"""),"MYNTRA")</f>
        <v>MYNTRA</v>
      </c>
      <c r="D2590" s="115">
        <f>IFERROR(__xludf.DUMMYFUNCTION("""COMPUTED_VALUE"""),33180.0)</f>
        <v>33180</v>
      </c>
      <c r="E2590" s="115">
        <f>IFERROR(__xludf.DUMMYFUNCTION("""COMPUTED_VALUE"""),5219.0)</f>
        <v>5219</v>
      </c>
      <c r="F2590" s="115">
        <f>IFERROR(__xludf.DUMMYFUNCTION("""COMPUTED_VALUE"""),26007.0)</f>
        <v>26007</v>
      </c>
      <c r="G2590" s="115">
        <f>IFERROR(__xludf.DUMMYFUNCTION("""COMPUTED_VALUE"""),3219.0)</f>
        <v>3219</v>
      </c>
      <c r="H2590" s="116">
        <f>IFERROR(__xludf.DUMMYFUNCTION("""COMPUTED_VALUE"""),45905.0)</f>
        <v>45905</v>
      </c>
      <c r="I2590" s="115" t="str">
        <f>IFERROR(__xludf.DUMMYFUNCTION("""COMPUTED_VALUE"""),"20")</f>
        <v>20</v>
      </c>
      <c r="J2590" s="115" t="str">
        <f>IFERROR(__xludf.DUMMYFUNCTION("""COMPUTED_VALUE"""),"Parag Kashyap2025-09-0520")</f>
        <v>Parag Kashyap2025-09-0520</v>
      </c>
      <c r="K2590" s="115">
        <f>IFERROR(__xludf.DUMMYFUNCTION("""COMPUTED_VALUE"""),38399.0)</f>
        <v>38399</v>
      </c>
    </row>
    <row r="2591">
      <c r="A2591" s="115" t="str">
        <f>IFERROR(__xludf.DUMMYFUNCTION("""COMPUTED_VALUE"""),"NORTH")</f>
        <v>NORTH</v>
      </c>
      <c r="B2591" s="115" t="str">
        <f>IFERROR(__xludf.DUMMYFUNCTION("""COMPUTED_VALUE"""),"Amit Kumar Pathak")</f>
        <v>Amit Kumar Pathak</v>
      </c>
      <c r="C2591" s="115" t="str">
        <f>IFERROR(__xludf.DUMMYFUNCTION("""COMPUTED_VALUE"""),"EXTERNAL")</f>
        <v>EXTERNAL</v>
      </c>
      <c r="D2591" s="115">
        <f>IFERROR(__xludf.DUMMYFUNCTION("""COMPUTED_VALUE"""),26962.0)</f>
        <v>26962</v>
      </c>
      <c r="E2591" s="115">
        <f>IFERROR(__xludf.DUMMYFUNCTION("""COMPUTED_VALUE"""),3122.0)</f>
        <v>3122</v>
      </c>
      <c r="F2591" s="115">
        <f>IFERROR(__xludf.DUMMYFUNCTION("""COMPUTED_VALUE"""),10858.0)</f>
        <v>10858</v>
      </c>
      <c r="G2591" s="115">
        <f>IFERROR(__xludf.DUMMYFUNCTION("""COMPUTED_VALUE"""),1690.0)</f>
        <v>1690</v>
      </c>
      <c r="H2591" s="116">
        <f>IFERROR(__xludf.DUMMYFUNCTION("""COMPUTED_VALUE"""),45905.0)</f>
        <v>45905</v>
      </c>
      <c r="I2591" s="115" t="str">
        <f>IFERROR(__xludf.DUMMYFUNCTION("""COMPUTED_VALUE"""),"20")</f>
        <v>20</v>
      </c>
      <c r="J2591" s="115" t="str">
        <f>IFERROR(__xludf.DUMMYFUNCTION("""COMPUTED_VALUE"""),"Amit Kumar Pathak2025-09-0520")</f>
        <v>Amit Kumar Pathak2025-09-0520</v>
      </c>
      <c r="K2591" s="115">
        <f>IFERROR(__xludf.DUMMYFUNCTION("""COMPUTED_VALUE"""),30084.0)</f>
        <v>30084</v>
      </c>
    </row>
    <row r="2592">
      <c r="A2592" s="115" t="str">
        <f>IFERROR(__xludf.DUMMYFUNCTION("""COMPUTED_VALUE"""),"NORTH")</f>
        <v>NORTH</v>
      </c>
      <c r="B2592" s="115" t="str">
        <f>IFERROR(__xludf.DUMMYFUNCTION("""COMPUTED_VALUE"""),"Amit Kumar Pathak")</f>
        <v>Amit Kumar Pathak</v>
      </c>
      <c r="C2592" s="115" t="str">
        <f>IFERROR(__xludf.DUMMYFUNCTION("""COMPUTED_VALUE"""),"FLIPKART")</f>
        <v>FLIPKART</v>
      </c>
      <c r="D2592" s="115">
        <f>IFERROR(__xludf.DUMMYFUNCTION("""COMPUTED_VALUE"""),181646.0)</f>
        <v>181646</v>
      </c>
      <c r="E2592" s="115">
        <f>IFERROR(__xludf.DUMMYFUNCTION("""COMPUTED_VALUE"""),26166.0)</f>
        <v>26166</v>
      </c>
      <c r="F2592" s="115">
        <f>IFERROR(__xludf.DUMMYFUNCTION("""COMPUTED_VALUE"""),129437.0)</f>
        <v>129437</v>
      </c>
      <c r="G2592" s="115">
        <f>IFERROR(__xludf.DUMMYFUNCTION("""COMPUTED_VALUE"""),17191.0)</f>
        <v>17191</v>
      </c>
      <c r="H2592" s="116">
        <f>IFERROR(__xludf.DUMMYFUNCTION("""COMPUTED_VALUE"""),45905.0)</f>
        <v>45905</v>
      </c>
      <c r="I2592" s="115" t="str">
        <f>IFERROR(__xludf.DUMMYFUNCTION("""COMPUTED_VALUE"""),"20")</f>
        <v>20</v>
      </c>
      <c r="J2592" s="115" t="str">
        <f>IFERROR(__xludf.DUMMYFUNCTION("""COMPUTED_VALUE"""),"Amit Kumar Pathak2025-09-0520")</f>
        <v>Amit Kumar Pathak2025-09-0520</v>
      </c>
      <c r="K2592" s="115">
        <f>IFERROR(__xludf.DUMMYFUNCTION("""COMPUTED_VALUE"""),207812.0)</f>
        <v>207812</v>
      </c>
    </row>
    <row r="2593">
      <c r="A2593" s="115" t="str">
        <f>IFERROR(__xludf.DUMMYFUNCTION("""COMPUTED_VALUE"""),"NORTH")</f>
        <v>NORTH</v>
      </c>
      <c r="B2593" s="115" t="str">
        <f>IFERROR(__xludf.DUMMYFUNCTION("""COMPUTED_VALUE"""),"Amit Kumar Pathak")</f>
        <v>Amit Kumar Pathak</v>
      </c>
      <c r="C2593" s="115" t="str">
        <f>IFERROR(__xludf.DUMMYFUNCTION("""COMPUTED_VALUE"""),"MYNTRA")</f>
        <v>MYNTRA</v>
      </c>
      <c r="D2593" s="115">
        <f>IFERROR(__xludf.DUMMYFUNCTION("""COMPUTED_VALUE"""),17834.0)</f>
        <v>17834</v>
      </c>
      <c r="E2593" s="115">
        <f>IFERROR(__xludf.DUMMYFUNCTION("""COMPUTED_VALUE"""),6354.0)</f>
        <v>6354</v>
      </c>
      <c r="F2593" s="115">
        <f>IFERROR(__xludf.DUMMYFUNCTION("""COMPUTED_VALUE"""),14849.0)</f>
        <v>14849</v>
      </c>
      <c r="G2593" s="115">
        <f>IFERROR(__xludf.DUMMYFUNCTION("""COMPUTED_VALUE"""),4338.0)</f>
        <v>4338</v>
      </c>
      <c r="H2593" s="116">
        <f>IFERROR(__xludf.DUMMYFUNCTION("""COMPUTED_VALUE"""),45905.0)</f>
        <v>45905</v>
      </c>
      <c r="I2593" s="115" t="str">
        <f>IFERROR(__xludf.DUMMYFUNCTION("""COMPUTED_VALUE"""),"20")</f>
        <v>20</v>
      </c>
      <c r="J2593" s="115" t="str">
        <f>IFERROR(__xludf.DUMMYFUNCTION("""COMPUTED_VALUE"""),"Amit Kumar Pathak2025-09-0520")</f>
        <v>Amit Kumar Pathak2025-09-0520</v>
      </c>
      <c r="K2593" s="115">
        <f>IFERROR(__xludf.DUMMYFUNCTION("""COMPUTED_VALUE"""),24188.0)</f>
        <v>24188</v>
      </c>
    </row>
    <row r="2594">
      <c r="A2594" s="115" t="str">
        <f>IFERROR(__xludf.DUMMYFUNCTION("""COMPUTED_VALUE"""),"NORTH")</f>
        <v>NORTH</v>
      </c>
      <c r="B2594" s="115" t="str">
        <f>IFERROR(__xludf.DUMMYFUNCTION("""COMPUTED_VALUE"""),"Loveleen Singh")</f>
        <v>Loveleen Singh</v>
      </c>
      <c r="C2594" s="115" t="str">
        <f>IFERROR(__xludf.DUMMYFUNCTION("""COMPUTED_VALUE"""),"EXTERNAL")</f>
        <v>EXTERNAL</v>
      </c>
      <c r="D2594" s="115">
        <f>IFERROR(__xludf.DUMMYFUNCTION("""COMPUTED_VALUE"""),36629.0)</f>
        <v>36629</v>
      </c>
      <c r="E2594" s="115">
        <f>IFERROR(__xludf.DUMMYFUNCTION("""COMPUTED_VALUE"""),2293.0)</f>
        <v>2293</v>
      </c>
      <c r="F2594" s="115">
        <f>IFERROR(__xludf.DUMMYFUNCTION("""COMPUTED_VALUE"""),14483.0)</f>
        <v>14483</v>
      </c>
      <c r="G2594" s="115">
        <f>IFERROR(__xludf.DUMMYFUNCTION("""COMPUTED_VALUE"""),858.0)</f>
        <v>858</v>
      </c>
      <c r="H2594" s="116">
        <f>IFERROR(__xludf.DUMMYFUNCTION("""COMPUTED_VALUE"""),45905.0)</f>
        <v>45905</v>
      </c>
      <c r="I2594" s="115" t="str">
        <f>IFERROR(__xludf.DUMMYFUNCTION("""COMPUTED_VALUE"""),"20")</f>
        <v>20</v>
      </c>
      <c r="J2594" s="115" t="str">
        <f>IFERROR(__xludf.DUMMYFUNCTION("""COMPUTED_VALUE"""),"Loveleen Singh2025-09-0520")</f>
        <v>Loveleen Singh2025-09-0520</v>
      </c>
      <c r="K2594" s="115">
        <f>IFERROR(__xludf.DUMMYFUNCTION("""COMPUTED_VALUE"""),38922.0)</f>
        <v>38922</v>
      </c>
    </row>
    <row r="2595">
      <c r="A2595" s="115" t="str">
        <f>IFERROR(__xludf.DUMMYFUNCTION("""COMPUTED_VALUE"""),"NORTH")</f>
        <v>NORTH</v>
      </c>
      <c r="B2595" s="115" t="str">
        <f>IFERROR(__xludf.DUMMYFUNCTION("""COMPUTED_VALUE"""),"Loveleen Singh")</f>
        <v>Loveleen Singh</v>
      </c>
      <c r="C2595" s="115" t="str">
        <f>IFERROR(__xludf.DUMMYFUNCTION("""COMPUTED_VALUE"""),"FLIPKART")</f>
        <v>FLIPKART</v>
      </c>
      <c r="D2595" s="115">
        <f>IFERROR(__xludf.DUMMYFUNCTION("""COMPUTED_VALUE"""),171155.0)</f>
        <v>171155</v>
      </c>
      <c r="E2595" s="115">
        <f>IFERROR(__xludf.DUMMYFUNCTION("""COMPUTED_VALUE"""),16466.0)</f>
        <v>16466</v>
      </c>
      <c r="F2595" s="115">
        <f>IFERROR(__xludf.DUMMYFUNCTION("""COMPUTED_VALUE"""),126674.0)</f>
        <v>126674</v>
      </c>
      <c r="G2595" s="115">
        <f>IFERROR(__xludf.DUMMYFUNCTION("""COMPUTED_VALUE"""),9797.0)</f>
        <v>9797</v>
      </c>
      <c r="H2595" s="116">
        <f>IFERROR(__xludf.DUMMYFUNCTION("""COMPUTED_VALUE"""),45905.0)</f>
        <v>45905</v>
      </c>
      <c r="I2595" s="115" t="str">
        <f>IFERROR(__xludf.DUMMYFUNCTION("""COMPUTED_VALUE"""),"20")</f>
        <v>20</v>
      </c>
      <c r="J2595" s="115" t="str">
        <f>IFERROR(__xludf.DUMMYFUNCTION("""COMPUTED_VALUE"""),"Loveleen Singh2025-09-0520")</f>
        <v>Loveleen Singh2025-09-0520</v>
      </c>
      <c r="K2595" s="115">
        <f>IFERROR(__xludf.DUMMYFUNCTION("""COMPUTED_VALUE"""),187621.0)</f>
        <v>187621</v>
      </c>
    </row>
    <row r="2596">
      <c r="A2596" s="115" t="str">
        <f>IFERROR(__xludf.DUMMYFUNCTION("""COMPUTED_VALUE"""),"NORTH")</f>
        <v>NORTH</v>
      </c>
      <c r="B2596" s="115" t="str">
        <f>IFERROR(__xludf.DUMMYFUNCTION("""COMPUTED_VALUE"""),"Loveleen Singh")</f>
        <v>Loveleen Singh</v>
      </c>
      <c r="C2596" s="115" t="str">
        <f>IFERROR(__xludf.DUMMYFUNCTION("""COMPUTED_VALUE"""),"MYNTRA")</f>
        <v>MYNTRA</v>
      </c>
      <c r="D2596" s="115">
        <f>IFERROR(__xludf.DUMMYFUNCTION("""COMPUTED_VALUE"""),27446.0)</f>
        <v>27446</v>
      </c>
      <c r="E2596" s="115">
        <f>IFERROR(__xludf.DUMMYFUNCTION("""COMPUTED_VALUE"""),6247.0)</f>
        <v>6247</v>
      </c>
      <c r="F2596" s="115">
        <f>IFERROR(__xludf.DUMMYFUNCTION("""COMPUTED_VALUE"""),22441.0)</f>
        <v>22441</v>
      </c>
      <c r="G2596" s="115">
        <f>IFERROR(__xludf.DUMMYFUNCTION("""COMPUTED_VALUE"""),3966.0)</f>
        <v>3966</v>
      </c>
      <c r="H2596" s="116">
        <f>IFERROR(__xludf.DUMMYFUNCTION("""COMPUTED_VALUE"""),45905.0)</f>
        <v>45905</v>
      </c>
      <c r="I2596" s="115" t="str">
        <f>IFERROR(__xludf.DUMMYFUNCTION("""COMPUTED_VALUE"""),"20")</f>
        <v>20</v>
      </c>
      <c r="J2596" s="115" t="str">
        <f>IFERROR(__xludf.DUMMYFUNCTION("""COMPUTED_VALUE"""),"Loveleen Singh2025-09-0520")</f>
        <v>Loveleen Singh2025-09-0520</v>
      </c>
      <c r="K2596" s="115">
        <f>IFERROR(__xludf.DUMMYFUNCTION("""COMPUTED_VALUE"""),33693.0)</f>
        <v>33693</v>
      </c>
    </row>
    <row r="2597">
      <c r="A2597" s="115" t="str">
        <f>IFERROR(__xludf.DUMMYFUNCTION("""COMPUTED_VALUE"""),"NORTH")</f>
        <v>NORTH</v>
      </c>
      <c r="B2597" s="115" t="str">
        <f>IFERROR(__xludf.DUMMYFUNCTION("""COMPUTED_VALUE"""),"Manoj Harsh")</f>
        <v>Manoj Harsh</v>
      </c>
      <c r="C2597" s="115" t="str">
        <f>IFERROR(__xludf.DUMMYFUNCTION("""COMPUTED_VALUE"""),"EXTERNAL")</f>
        <v>EXTERNAL</v>
      </c>
      <c r="D2597" s="115">
        <f>IFERROR(__xludf.DUMMYFUNCTION("""COMPUTED_VALUE"""),34147.0)</f>
        <v>34147</v>
      </c>
      <c r="E2597" s="115">
        <f>IFERROR(__xludf.DUMMYFUNCTION("""COMPUTED_VALUE"""),2704.0)</f>
        <v>2704</v>
      </c>
      <c r="F2597" s="115">
        <f>IFERROR(__xludf.DUMMYFUNCTION("""COMPUTED_VALUE"""),14749.0)</f>
        <v>14749</v>
      </c>
      <c r="G2597" s="115">
        <f>IFERROR(__xludf.DUMMYFUNCTION("""COMPUTED_VALUE"""),1028.0)</f>
        <v>1028</v>
      </c>
      <c r="H2597" s="116">
        <f>IFERROR(__xludf.DUMMYFUNCTION("""COMPUTED_VALUE"""),45905.0)</f>
        <v>45905</v>
      </c>
      <c r="I2597" s="115" t="str">
        <f>IFERROR(__xludf.DUMMYFUNCTION("""COMPUTED_VALUE"""),"20")</f>
        <v>20</v>
      </c>
      <c r="J2597" s="115" t="str">
        <f>IFERROR(__xludf.DUMMYFUNCTION("""COMPUTED_VALUE"""),"Manoj Harsh2025-09-0520")</f>
        <v>Manoj Harsh2025-09-0520</v>
      </c>
      <c r="K2597" s="115">
        <f>IFERROR(__xludf.DUMMYFUNCTION("""COMPUTED_VALUE"""),36851.0)</f>
        <v>36851</v>
      </c>
    </row>
    <row r="2598">
      <c r="A2598" s="115" t="str">
        <f>IFERROR(__xludf.DUMMYFUNCTION("""COMPUTED_VALUE"""),"NORTH")</f>
        <v>NORTH</v>
      </c>
      <c r="B2598" s="115" t="str">
        <f>IFERROR(__xludf.DUMMYFUNCTION("""COMPUTED_VALUE"""),"Manoj Harsh")</f>
        <v>Manoj Harsh</v>
      </c>
      <c r="C2598" s="115" t="str">
        <f>IFERROR(__xludf.DUMMYFUNCTION("""COMPUTED_VALUE"""),"FLIPKART")</f>
        <v>FLIPKART</v>
      </c>
      <c r="D2598" s="115">
        <f>IFERROR(__xludf.DUMMYFUNCTION("""COMPUTED_VALUE"""),412622.0)</f>
        <v>412622</v>
      </c>
      <c r="E2598" s="115">
        <f>IFERROR(__xludf.DUMMYFUNCTION("""COMPUTED_VALUE"""),41197.0)</f>
        <v>41197</v>
      </c>
      <c r="F2598" s="115">
        <f>IFERROR(__xludf.DUMMYFUNCTION("""COMPUTED_VALUE"""),304228.0)</f>
        <v>304228</v>
      </c>
      <c r="G2598" s="115">
        <f>IFERROR(__xludf.DUMMYFUNCTION("""COMPUTED_VALUE"""),25721.0)</f>
        <v>25721</v>
      </c>
      <c r="H2598" s="116">
        <f>IFERROR(__xludf.DUMMYFUNCTION("""COMPUTED_VALUE"""),45905.0)</f>
        <v>45905</v>
      </c>
      <c r="I2598" s="115" t="str">
        <f>IFERROR(__xludf.DUMMYFUNCTION("""COMPUTED_VALUE"""),"20")</f>
        <v>20</v>
      </c>
      <c r="J2598" s="115" t="str">
        <f>IFERROR(__xludf.DUMMYFUNCTION("""COMPUTED_VALUE"""),"Manoj Harsh2025-09-0520")</f>
        <v>Manoj Harsh2025-09-0520</v>
      </c>
      <c r="K2598" s="115">
        <f>IFERROR(__xludf.DUMMYFUNCTION("""COMPUTED_VALUE"""),453819.0)</f>
        <v>453819</v>
      </c>
    </row>
    <row r="2599">
      <c r="A2599" s="115" t="str">
        <f>IFERROR(__xludf.DUMMYFUNCTION("""COMPUTED_VALUE"""),"NORTH")</f>
        <v>NORTH</v>
      </c>
      <c r="B2599" s="115" t="str">
        <f>IFERROR(__xludf.DUMMYFUNCTION("""COMPUTED_VALUE"""),"Manoj Harsh")</f>
        <v>Manoj Harsh</v>
      </c>
      <c r="C2599" s="115" t="str">
        <f>IFERROR(__xludf.DUMMYFUNCTION("""COMPUTED_VALUE"""),"MYNTRA")</f>
        <v>MYNTRA</v>
      </c>
      <c r="D2599" s="115">
        <f>IFERROR(__xludf.DUMMYFUNCTION("""COMPUTED_VALUE"""),38440.0)</f>
        <v>38440</v>
      </c>
      <c r="E2599" s="115">
        <f>IFERROR(__xludf.DUMMYFUNCTION("""COMPUTED_VALUE"""),7964.0)</f>
        <v>7964</v>
      </c>
      <c r="F2599" s="115">
        <f>IFERROR(__xludf.DUMMYFUNCTION("""COMPUTED_VALUE"""),30910.0)</f>
        <v>30910</v>
      </c>
      <c r="G2599" s="115">
        <f>IFERROR(__xludf.DUMMYFUNCTION("""COMPUTED_VALUE"""),5190.0)</f>
        <v>5190</v>
      </c>
      <c r="H2599" s="116">
        <f>IFERROR(__xludf.DUMMYFUNCTION("""COMPUTED_VALUE"""),45905.0)</f>
        <v>45905</v>
      </c>
      <c r="I2599" s="115" t="str">
        <f>IFERROR(__xludf.DUMMYFUNCTION("""COMPUTED_VALUE"""),"20")</f>
        <v>20</v>
      </c>
      <c r="J2599" s="115" t="str">
        <f>IFERROR(__xludf.DUMMYFUNCTION("""COMPUTED_VALUE"""),"Manoj Harsh2025-09-0520")</f>
        <v>Manoj Harsh2025-09-0520</v>
      </c>
      <c r="K2599" s="115">
        <f>IFERROR(__xludf.DUMMYFUNCTION("""COMPUTED_VALUE"""),46404.0)</f>
        <v>46404</v>
      </c>
    </row>
    <row r="2600">
      <c r="A2600" s="115" t="str">
        <f>IFERROR(__xludf.DUMMYFUNCTION("""COMPUTED_VALUE"""),"NORTH")</f>
        <v>NORTH</v>
      </c>
      <c r="B2600" s="115" t="str">
        <f>IFERROR(__xludf.DUMMYFUNCTION("""COMPUTED_VALUE"""),"Pradeep Kothari")</f>
        <v>Pradeep Kothari</v>
      </c>
      <c r="C2600" s="115" t="str">
        <f>IFERROR(__xludf.DUMMYFUNCTION("""COMPUTED_VALUE"""),"EXTERNAL")</f>
        <v>EXTERNAL</v>
      </c>
      <c r="D2600" s="115">
        <f>IFERROR(__xludf.DUMMYFUNCTION("""COMPUTED_VALUE"""),18850.0)</f>
        <v>18850</v>
      </c>
      <c r="E2600" s="115">
        <f>IFERROR(__xludf.DUMMYFUNCTION("""COMPUTED_VALUE"""),1870.0)</f>
        <v>1870</v>
      </c>
      <c r="F2600" s="115">
        <f>IFERROR(__xludf.DUMMYFUNCTION("""COMPUTED_VALUE"""),7911.0)</f>
        <v>7911</v>
      </c>
      <c r="G2600" s="115">
        <f>IFERROR(__xludf.DUMMYFUNCTION("""COMPUTED_VALUE"""),856.0)</f>
        <v>856</v>
      </c>
      <c r="H2600" s="116">
        <f>IFERROR(__xludf.DUMMYFUNCTION("""COMPUTED_VALUE"""),45905.0)</f>
        <v>45905</v>
      </c>
      <c r="I2600" s="115" t="str">
        <f>IFERROR(__xludf.DUMMYFUNCTION("""COMPUTED_VALUE"""),"20")</f>
        <v>20</v>
      </c>
      <c r="J2600" s="115" t="str">
        <f>IFERROR(__xludf.DUMMYFUNCTION("""COMPUTED_VALUE"""),"Pradeep Kothari2025-09-0520")</f>
        <v>Pradeep Kothari2025-09-0520</v>
      </c>
      <c r="K2600" s="115">
        <f>IFERROR(__xludf.DUMMYFUNCTION("""COMPUTED_VALUE"""),20720.0)</f>
        <v>20720</v>
      </c>
    </row>
    <row r="2601">
      <c r="A2601" s="115" t="str">
        <f>IFERROR(__xludf.DUMMYFUNCTION("""COMPUTED_VALUE"""),"NORTH")</f>
        <v>NORTH</v>
      </c>
      <c r="B2601" s="115" t="str">
        <f>IFERROR(__xludf.DUMMYFUNCTION("""COMPUTED_VALUE"""),"Pradeep Kothari")</f>
        <v>Pradeep Kothari</v>
      </c>
      <c r="C2601" s="115" t="str">
        <f>IFERROR(__xludf.DUMMYFUNCTION("""COMPUTED_VALUE"""),"FLIPKART")</f>
        <v>FLIPKART</v>
      </c>
      <c r="D2601" s="115">
        <f>IFERROR(__xludf.DUMMYFUNCTION("""COMPUTED_VALUE"""),140996.0)</f>
        <v>140996</v>
      </c>
      <c r="E2601" s="115">
        <f>IFERROR(__xludf.DUMMYFUNCTION("""COMPUTED_VALUE"""),17121.0)</f>
        <v>17121</v>
      </c>
      <c r="F2601" s="115">
        <f>IFERROR(__xludf.DUMMYFUNCTION("""COMPUTED_VALUE"""),105365.0)</f>
        <v>105365</v>
      </c>
      <c r="G2601" s="115">
        <f>IFERROR(__xludf.DUMMYFUNCTION("""COMPUTED_VALUE"""),11301.0)</f>
        <v>11301</v>
      </c>
      <c r="H2601" s="116">
        <f>IFERROR(__xludf.DUMMYFUNCTION("""COMPUTED_VALUE"""),45905.0)</f>
        <v>45905</v>
      </c>
      <c r="I2601" s="115" t="str">
        <f>IFERROR(__xludf.DUMMYFUNCTION("""COMPUTED_VALUE"""),"20")</f>
        <v>20</v>
      </c>
      <c r="J2601" s="115" t="str">
        <f>IFERROR(__xludf.DUMMYFUNCTION("""COMPUTED_VALUE"""),"Pradeep Kothari2025-09-0520")</f>
        <v>Pradeep Kothari2025-09-0520</v>
      </c>
      <c r="K2601" s="115">
        <f>IFERROR(__xludf.DUMMYFUNCTION("""COMPUTED_VALUE"""),158117.0)</f>
        <v>158117</v>
      </c>
    </row>
    <row r="2602">
      <c r="A2602" s="115" t="str">
        <f>IFERROR(__xludf.DUMMYFUNCTION("""COMPUTED_VALUE"""),"NORTH")</f>
        <v>NORTH</v>
      </c>
      <c r="B2602" s="115" t="str">
        <f>IFERROR(__xludf.DUMMYFUNCTION("""COMPUTED_VALUE"""),"Pradeep Kothari")</f>
        <v>Pradeep Kothari</v>
      </c>
      <c r="C2602" s="115" t="str">
        <f>IFERROR(__xludf.DUMMYFUNCTION("""COMPUTED_VALUE"""),"MYNTRA")</f>
        <v>MYNTRA</v>
      </c>
      <c r="D2602" s="115">
        <f>IFERROR(__xludf.DUMMYFUNCTION("""COMPUTED_VALUE"""),24613.0)</f>
        <v>24613</v>
      </c>
      <c r="E2602" s="115">
        <f>IFERROR(__xludf.DUMMYFUNCTION("""COMPUTED_VALUE"""),6453.0)</f>
        <v>6453</v>
      </c>
      <c r="F2602" s="115">
        <f>IFERROR(__xludf.DUMMYFUNCTION("""COMPUTED_VALUE"""),20536.0)</f>
        <v>20536</v>
      </c>
      <c r="G2602" s="115">
        <f>IFERROR(__xludf.DUMMYFUNCTION("""COMPUTED_VALUE"""),4557.0)</f>
        <v>4557</v>
      </c>
      <c r="H2602" s="116">
        <f>IFERROR(__xludf.DUMMYFUNCTION("""COMPUTED_VALUE"""),45905.0)</f>
        <v>45905</v>
      </c>
      <c r="I2602" s="115" t="str">
        <f>IFERROR(__xludf.DUMMYFUNCTION("""COMPUTED_VALUE"""),"20")</f>
        <v>20</v>
      </c>
      <c r="J2602" s="115" t="str">
        <f>IFERROR(__xludf.DUMMYFUNCTION("""COMPUTED_VALUE"""),"Pradeep Kothari2025-09-0520")</f>
        <v>Pradeep Kothari2025-09-0520</v>
      </c>
      <c r="K2602" s="115">
        <f>IFERROR(__xludf.DUMMYFUNCTION("""COMPUTED_VALUE"""),31066.0)</f>
        <v>31066</v>
      </c>
    </row>
    <row r="2603">
      <c r="A2603" s="115" t="str">
        <f>IFERROR(__xludf.DUMMYFUNCTION("""COMPUTED_VALUE"""),"SOUTH")</f>
        <v>SOUTH</v>
      </c>
      <c r="B2603" s="115" t="str">
        <f>IFERROR(__xludf.DUMMYFUNCTION("""COMPUTED_VALUE"""),"Kandula Sampath")</f>
        <v>Kandula Sampath</v>
      </c>
      <c r="C2603" s="115" t="str">
        <f>IFERROR(__xludf.DUMMYFUNCTION("""COMPUTED_VALUE"""),"EXTERNAL")</f>
        <v>EXTERNAL</v>
      </c>
      <c r="D2603" s="115">
        <f>IFERROR(__xludf.DUMMYFUNCTION("""COMPUTED_VALUE"""),35532.0)</f>
        <v>35532</v>
      </c>
      <c r="E2603" s="115">
        <f>IFERROR(__xludf.DUMMYFUNCTION("""COMPUTED_VALUE"""),3587.0)</f>
        <v>3587</v>
      </c>
      <c r="F2603" s="115">
        <f>IFERROR(__xludf.DUMMYFUNCTION("""COMPUTED_VALUE"""),15755.0)</f>
        <v>15755</v>
      </c>
      <c r="G2603" s="115">
        <f>IFERROR(__xludf.DUMMYFUNCTION("""COMPUTED_VALUE"""),1336.0)</f>
        <v>1336</v>
      </c>
      <c r="H2603" s="116">
        <f>IFERROR(__xludf.DUMMYFUNCTION("""COMPUTED_VALUE"""),45905.0)</f>
        <v>45905</v>
      </c>
      <c r="I2603" s="115" t="str">
        <f>IFERROR(__xludf.DUMMYFUNCTION("""COMPUTED_VALUE"""),"20")</f>
        <v>20</v>
      </c>
      <c r="J2603" s="115" t="str">
        <f>IFERROR(__xludf.DUMMYFUNCTION("""COMPUTED_VALUE"""),"Kandula Sampath2025-09-0520")</f>
        <v>Kandula Sampath2025-09-0520</v>
      </c>
      <c r="K2603" s="115">
        <f>IFERROR(__xludf.DUMMYFUNCTION("""COMPUTED_VALUE"""),39119.0)</f>
        <v>39119</v>
      </c>
    </row>
    <row r="2604">
      <c r="A2604" s="115" t="str">
        <f>IFERROR(__xludf.DUMMYFUNCTION("""COMPUTED_VALUE"""),"SOUTH")</f>
        <v>SOUTH</v>
      </c>
      <c r="B2604" s="115" t="str">
        <f>IFERROR(__xludf.DUMMYFUNCTION("""COMPUTED_VALUE"""),"Kandula Sampath")</f>
        <v>Kandula Sampath</v>
      </c>
      <c r="C2604" s="115" t="str">
        <f>IFERROR(__xludf.DUMMYFUNCTION("""COMPUTED_VALUE"""),"FLIPKART")</f>
        <v>FLIPKART</v>
      </c>
      <c r="D2604" s="115">
        <f>IFERROR(__xludf.DUMMYFUNCTION("""COMPUTED_VALUE"""),290736.0)</f>
        <v>290736</v>
      </c>
      <c r="E2604" s="115">
        <f>IFERROR(__xludf.DUMMYFUNCTION("""COMPUTED_VALUE"""),29322.0)</f>
        <v>29322</v>
      </c>
      <c r="F2604" s="115">
        <f>IFERROR(__xludf.DUMMYFUNCTION("""COMPUTED_VALUE"""),218425.0)</f>
        <v>218425</v>
      </c>
      <c r="G2604" s="115">
        <f>IFERROR(__xludf.DUMMYFUNCTION("""COMPUTED_VALUE"""),17650.0)</f>
        <v>17650</v>
      </c>
      <c r="H2604" s="116">
        <f>IFERROR(__xludf.DUMMYFUNCTION("""COMPUTED_VALUE"""),45905.0)</f>
        <v>45905</v>
      </c>
      <c r="I2604" s="115" t="str">
        <f>IFERROR(__xludf.DUMMYFUNCTION("""COMPUTED_VALUE"""),"20")</f>
        <v>20</v>
      </c>
      <c r="J2604" s="115" t="str">
        <f>IFERROR(__xludf.DUMMYFUNCTION("""COMPUTED_VALUE"""),"Kandula Sampath2025-09-0520")</f>
        <v>Kandula Sampath2025-09-0520</v>
      </c>
      <c r="K2604" s="115">
        <f>IFERROR(__xludf.DUMMYFUNCTION("""COMPUTED_VALUE"""),320058.0)</f>
        <v>320058</v>
      </c>
    </row>
    <row r="2605">
      <c r="A2605" s="115" t="str">
        <f>IFERROR(__xludf.DUMMYFUNCTION("""COMPUTED_VALUE"""),"SOUTH")</f>
        <v>SOUTH</v>
      </c>
      <c r="B2605" s="115" t="str">
        <f>IFERROR(__xludf.DUMMYFUNCTION("""COMPUTED_VALUE"""),"Kandula Sampath")</f>
        <v>Kandula Sampath</v>
      </c>
      <c r="C2605" s="115" t="str">
        <f>IFERROR(__xludf.DUMMYFUNCTION("""COMPUTED_VALUE"""),"MYNTRA")</f>
        <v>MYNTRA</v>
      </c>
      <c r="D2605" s="115">
        <f>IFERROR(__xludf.DUMMYFUNCTION("""COMPUTED_VALUE"""),35240.0)</f>
        <v>35240</v>
      </c>
      <c r="E2605" s="115">
        <f>IFERROR(__xludf.DUMMYFUNCTION("""COMPUTED_VALUE"""),7354.0)</f>
        <v>7354</v>
      </c>
      <c r="F2605" s="115">
        <f>IFERROR(__xludf.DUMMYFUNCTION("""COMPUTED_VALUE"""),29061.0)</f>
        <v>29061</v>
      </c>
      <c r="G2605" s="115">
        <f>IFERROR(__xludf.DUMMYFUNCTION("""COMPUTED_VALUE"""),4590.0)</f>
        <v>4590</v>
      </c>
      <c r="H2605" s="116">
        <f>IFERROR(__xludf.DUMMYFUNCTION("""COMPUTED_VALUE"""),45905.0)</f>
        <v>45905</v>
      </c>
      <c r="I2605" s="115" t="str">
        <f>IFERROR(__xludf.DUMMYFUNCTION("""COMPUTED_VALUE"""),"20")</f>
        <v>20</v>
      </c>
      <c r="J2605" s="115" t="str">
        <f>IFERROR(__xludf.DUMMYFUNCTION("""COMPUTED_VALUE"""),"Kandula Sampath2025-09-0520")</f>
        <v>Kandula Sampath2025-09-0520</v>
      </c>
      <c r="K2605" s="115">
        <f>IFERROR(__xludf.DUMMYFUNCTION("""COMPUTED_VALUE"""),42594.0)</f>
        <v>42594</v>
      </c>
    </row>
    <row r="2606">
      <c r="A2606" s="115" t="str">
        <f>IFERROR(__xludf.DUMMYFUNCTION("""COMPUTED_VALUE"""),"SOUTH")</f>
        <v>SOUTH</v>
      </c>
      <c r="B2606" s="115" t="str">
        <f>IFERROR(__xludf.DUMMYFUNCTION("""COMPUTED_VALUE"""),"Martin A")</f>
        <v>Martin A</v>
      </c>
      <c r="C2606" s="115" t="str">
        <f>IFERROR(__xludf.DUMMYFUNCTION("""COMPUTED_VALUE"""),"EXTERNAL")</f>
        <v>EXTERNAL</v>
      </c>
      <c r="D2606" s="115">
        <f>IFERROR(__xludf.DUMMYFUNCTION("""COMPUTED_VALUE"""),35440.0)</f>
        <v>35440</v>
      </c>
      <c r="E2606" s="115">
        <f>IFERROR(__xludf.DUMMYFUNCTION("""COMPUTED_VALUE"""),3386.0)</f>
        <v>3386</v>
      </c>
      <c r="F2606" s="115">
        <f>IFERROR(__xludf.DUMMYFUNCTION("""COMPUTED_VALUE"""),15416.0)</f>
        <v>15416</v>
      </c>
      <c r="G2606" s="115">
        <f>IFERROR(__xludf.DUMMYFUNCTION("""COMPUTED_VALUE"""),1846.0)</f>
        <v>1846</v>
      </c>
      <c r="H2606" s="116">
        <f>IFERROR(__xludf.DUMMYFUNCTION("""COMPUTED_VALUE"""),45905.0)</f>
        <v>45905</v>
      </c>
      <c r="I2606" s="115" t="str">
        <f>IFERROR(__xludf.DUMMYFUNCTION("""COMPUTED_VALUE"""),"20")</f>
        <v>20</v>
      </c>
      <c r="J2606" s="115" t="str">
        <f>IFERROR(__xludf.DUMMYFUNCTION("""COMPUTED_VALUE"""),"Martin A2025-09-0520")</f>
        <v>Martin A2025-09-0520</v>
      </c>
      <c r="K2606" s="115">
        <f>IFERROR(__xludf.DUMMYFUNCTION("""COMPUTED_VALUE"""),38826.0)</f>
        <v>38826</v>
      </c>
    </row>
    <row r="2607">
      <c r="A2607" s="115" t="str">
        <f>IFERROR(__xludf.DUMMYFUNCTION("""COMPUTED_VALUE"""),"SOUTH")</f>
        <v>SOUTH</v>
      </c>
      <c r="B2607" s="115" t="str">
        <f>IFERROR(__xludf.DUMMYFUNCTION("""COMPUTED_VALUE"""),"Martin A")</f>
        <v>Martin A</v>
      </c>
      <c r="C2607" s="115" t="str">
        <f>IFERROR(__xludf.DUMMYFUNCTION("""COMPUTED_VALUE"""),"FLIPKART")</f>
        <v>FLIPKART</v>
      </c>
      <c r="D2607" s="115">
        <f>IFERROR(__xludf.DUMMYFUNCTION("""COMPUTED_VALUE"""),265092.0)</f>
        <v>265092</v>
      </c>
      <c r="E2607" s="115">
        <f>IFERROR(__xludf.DUMMYFUNCTION("""COMPUTED_VALUE"""),25357.0)</f>
        <v>25357</v>
      </c>
      <c r="F2607" s="115">
        <f>IFERROR(__xludf.DUMMYFUNCTION("""COMPUTED_VALUE"""),194354.0)</f>
        <v>194354</v>
      </c>
      <c r="G2607" s="115">
        <f>IFERROR(__xludf.DUMMYFUNCTION("""COMPUTED_VALUE"""),15655.0)</f>
        <v>15655</v>
      </c>
      <c r="H2607" s="116">
        <f>IFERROR(__xludf.DUMMYFUNCTION("""COMPUTED_VALUE"""),45905.0)</f>
        <v>45905</v>
      </c>
      <c r="I2607" s="115" t="str">
        <f>IFERROR(__xludf.DUMMYFUNCTION("""COMPUTED_VALUE"""),"20")</f>
        <v>20</v>
      </c>
      <c r="J2607" s="115" t="str">
        <f>IFERROR(__xludf.DUMMYFUNCTION("""COMPUTED_VALUE"""),"Martin A2025-09-0520")</f>
        <v>Martin A2025-09-0520</v>
      </c>
      <c r="K2607" s="115">
        <f>IFERROR(__xludf.DUMMYFUNCTION("""COMPUTED_VALUE"""),290449.0)</f>
        <v>290449</v>
      </c>
    </row>
    <row r="2608">
      <c r="A2608" s="115" t="str">
        <f>IFERROR(__xludf.DUMMYFUNCTION("""COMPUTED_VALUE"""),"SOUTH")</f>
        <v>SOUTH</v>
      </c>
      <c r="B2608" s="115" t="str">
        <f>IFERROR(__xludf.DUMMYFUNCTION("""COMPUTED_VALUE"""),"Martin A")</f>
        <v>Martin A</v>
      </c>
      <c r="C2608" s="115" t="str">
        <f>IFERROR(__xludf.DUMMYFUNCTION("""COMPUTED_VALUE"""),"MYNTRA")</f>
        <v>MYNTRA</v>
      </c>
      <c r="D2608" s="115">
        <f>IFERROR(__xludf.DUMMYFUNCTION("""COMPUTED_VALUE"""),28082.0)</f>
        <v>28082</v>
      </c>
      <c r="E2608" s="115">
        <f>IFERROR(__xludf.DUMMYFUNCTION("""COMPUTED_VALUE"""),5630.0)</f>
        <v>5630</v>
      </c>
      <c r="F2608" s="115">
        <f>IFERROR(__xludf.DUMMYFUNCTION("""COMPUTED_VALUE"""),23320.0)</f>
        <v>23320</v>
      </c>
      <c r="G2608" s="115">
        <f>IFERROR(__xludf.DUMMYFUNCTION("""COMPUTED_VALUE"""),3645.0)</f>
        <v>3645</v>
      </c>
      <c r="H2608" s="116">
        <f>IFERROR(__xludf.DUMMYFUNCTION("""COMPUTED_VALUE"""),45905.0)</f>
        <v>45905</v>
      </c>
      <c r="I2608" s="115" t="str">
        <f>IFERROR(__xludf.DUMMYFUNCTION("""COMPUTED_VALUE"""),"20")</f>
        <v>20</v>
      </c>
      <c r="J2608" s="115" t="str">
        <f>IFERROR(__xludf.DUMMYFUNCTION("""COMPUTED_VALUE"""),"Martin A2025-09-0520")</f>
        <v>Martin A2025-09-0520</v>
      </c>
      <c r="K2608" s="115">
        <f>IFERROR(__xludf.DUMMYFUNCTION("""COMPUTED_VALUE"""),33712.0)</f>
        <v>33712</v>
      </c>
    </row>
    <row r="2609">
      <c r="A2609" s="115" t="str">
        <f>IFERROR(__xludf.DUMMYFUNCTION("""COMPUTED_VALUE"""),"SOUTH")</f>
        <v>SOUTH</v>
      </c>
      <c r="B2609" s="115" t="str">
        <f>IFERROR(__xludf.DUMMYFUNCTION("""COMPUTED_VALUE"""),"Premkumar M")</f>
        <v>Premkumar M</v>
      </c>
      <c r="C2609" s="115" t="str">
        <f>IFERROR(__xludf.DUMMYFUNCTION("""COMPUTED_VALUE"""),"EXTERNAL")</f>
        <v>EXTERNAL</v>
      </c>
      <c r="D2609" s="115">
        <f>IFERROR(__xludf.DUMMYFUNCTION("""COMPUTED_VALUE"""),30633.0)</f>
        <v>30633</v>
      </c>
      <c r="E2609" s="115">
        <f>IFERROR(__xludf.DUMMYFUNCTION("""COMPUTED_VALUE"""),1877.0)</f>
        <v>1877</v>
      </c>
      <c r="F2609" s="115">
        <f>IFERROR(__xludf.DUMMYFUNCTION("""COMPUTED_VALUE"""),15428.0)</f>
        <v>15428</v>
      </c>
      <c r="G2609" s="115">
        <f>IFERROR(__xludf.DUMMYFUNCTION("""COMPUTED_VALUE"""),597.0)</f>
        <v>597</v>
      </c>
      <c r="H2609" s="116">
        <f>IFERROR(__xludf.DUMMYFUNCTION("""COMPUTED_VALUE"""),45905.0)</f>
        <v>45905</v>
      </c>
      <c r="I2609" s="115" t="str">
        <f>IFERROR(__xludf.DUMMYFUNCTION("""COMPUTED_VALUE"""),"20")</f>
        <v>20</v>
      </c>
      <c r="J2609" s="115" t="str">
        <f>IFERROR(__xludf.DUMMYFUNCTION("""COMPUTED_VALUE"""),"Premkumar M2025-09-0520")</f>
        <v>Premkumar M2025-09-0520</v>
      </c>
      <c r="K2609" s="115">
        <f>IFERROR(__xludf.DUMMYFUNCTION("""COMPUTED_VALUE"""),32510.0)</f>
        <v>32510</v>
      </c>
    </row>
    <row r="2610">
      <c r="A2610" s="115" t="str">
        <f>IFERROR(__xludf.DUMMYFUNCTION("""COMPUTED_VALUE"""),"SOUTH")</f>
        <v>SOUTH</v>
      </c>
      <c r="B2610" s="115" t="str">
        <f>IFERROR(__xludf.DUMMYFUNCTION("""COMPUTED_VALUE"""),"Premkumar M")</f>
        <v>Premkumar M</v>
      </c>
      <c r="C2610" s="115" t="str">
        <f>IFERROR(__xludf.DUMMYFUNCTION("""COMPUTED_VALUE"""),"FLIPKART")</f>
        <v>FLIPKART</v>
      </c>
      <c r="D2610" s="115">
        <f>IFERROR(__xludf.DUMMYFUNCTION("""COMPUTED_VALUE"""),271441.0)</f>
        <v>271441</v>
      </c>
      <c r="E2610" s="115">
        <f>IFERROR(__xludf.DUMMYFUNCTION("""COMPUTED_VALUE"""),19336.0)</f>
        <v>19336</v>
      </c>
      <c r="F2610" s="115">
        <f>IFERROR(__xludf.DUMMYFUNCTION("""COMPUTED_VALUE"""),205021.0)</f>
        <v>205021</v>
      </c>
      <c r="G2610" s="115">
        <f>IFERROR(__xludf.DUMMYFUNCTION("""COMPUTED_VALUE"""),8754.0)</f>
        <v>8754</v>
      </c>
      <c r="H2610" s="116">
        <f>IFERROR(__xludf.DUMMYFUNCTION("""COMPUTED_VALUE"""),45905.0)</f>
        <v>45905</v>
      </c>
      <c r="I2610" s="115" t="str">
        <f>IFERROR(__xludf.DUMMYFUNCTION("""COMPUTED_VALUE"""),"20")</f>
        <v>20</v>
      </c>
      <c r="J2610" s="115" t="str">
        <f>IFERROR(__xludf.DUMMYFUNCTION("""COMPUTED_VALUE"""),"Premkumar M2025-09-0520")</f>
        <v>Premkumar M2025-09-0520</v>
      </c>
      <c r="K2610" s="115">
        <f>IFERROR(__xludf.DUMMYFUNCTION("""COMPUTED_VALUE"""),290777.0)</f>
        <v>290777</v>
      </c>
    </row>
    <row r="2611">
      <c r="A2611" s="115" t="str">
        <f>IFERROR(__xludf.DUMMYFUNCTION("""COMPUTED_VALUE"""),"SOUTH")</f>
        <v>SOUTH</v>
      </c>
      <c r="B2611" s="115" t="str">
        <f>IFERROR(__xludf.DUMMYFUNCTION("""COMPUTED_VALUE"""),"Premkumar M")</f>
        <v>Premkumar M</v>
      </c>
      <c r="C2611" s="115" t="str">
        <f>IFERROR(__xludf.DUMMYFUNCTION("""COMPUTED_VALUE"""),"MYNTRA")</f>
        <v>MYNTRA</v>
      </c>
      <c r="D2611" s="115">
        <f>IFERROR(__xludf.DUMMYFUNCTION("""COMPUTED_VALUE"""),15641.0)</f>
        <v>15641</v>
      </c>
      <c r="E2611" s="115">
        <f>IFERROR(__xludf.DUMMYFUNCTION("""COMPUTED_VALUE"""),2916.0)</f>
        <v>2916</v>
      </c>
      <c r="F2611" s="115">
        <f>IFERROR(__xludf.DUMMYFUNCTION("""COMPUTED_VALUE"""),13020.0)</f>
        <v>13020</v>
      </c>
      <c r="G2611" s="115">
        <f>IFERROR(__xludf.DUMMYFUNCTION("""COMPUTED_VALUE"""),1414.0)</f>
        <v>1414</v>
      </c>
      <c r="H2611" s="116">
        <f>IFERROR(__xludf.DUMMYFUNCTION("""COMPUTED_VALUE"""),45905.0)</f>
        <v>45905</v>
      </c>
      <c r="I2611" s="115" t="str">
        <f>IFERROR(__xludf.DUMMYFUNCTION("""COMPUTED_VALUE"""),"20")</f>
        <v>20</v>
      </c>
      <c r="J2611" s="115" t="str">
        <f>IFERROR(__xludf.DUMMYFUNCTION("""COMPUTED_VALUE"""),"Premkumar M2025-09-0520")</f>
        <v>Premkumar M2025-09-0520</v>
      </c>
      <c r="K2611" s="115">
        <f>IFERROR(__xludf.DUMMYFUNCTION("""COMPUTED_VALUE"""),18557.0)</f>
        <v>18557</v>
      </c>
    </row>
    <row r="2612">
      <c r="A2612" s="115" t="str">
        <f>IFERROR(__xludf.DUMMYFUNCTION("""COMPUTED_VALUE"""),"SOUTH")</f>
        <v>SOUTH</v>
      </c>
      <c r="B2612" s="115" t="str">
        <f>IFERROR(__xludf.DUMMYFUNCTION("""COMPUTED_VALUE"""),"Vineeth V")</f>
        <v>Vineeth V</v>
      </c>
      <c r="C2612" s="115" t="str">
        <f>IFERROR(__xludf.DUMMYFUNCTION("""COMPUTED_VALUE"""),"EXTERNAL")</f>
        <v>EXTERNAL</v>
      </c>
      <c r="D2612" s="115">
        <f>IFERROR(__xludf.DUMMYFUNCTION("""COMPUTED_VALUE"""),2289.0)</f>
        <v>2289</v>
      </c>
      <c r="E2612" s="115">
        <f>IFERROR(__xludf.DUMMYFUNCTION("""COMPUTED_VALUE"""),79.0)</f>
        <v>79</v>
      </c>
      <c r="F2612" s="115">
        <f>IFERROR(__xludf.DUMMYFUNCTION("""COMPUTED_VALUE"""),1163.0)</f>
        <v>1163</v>
      </c>
      <c r="G2612" s="115">
        <f>IFERROR(__xludf.DUMMYFUNCTION("""COMPUTED_VALUE"""),37.0)</f>
        <v>37</v>
      </c>
      <c r="H2612" s="116">
        <f>IFERROR(__xludf.DUMMYFUNCTION("""COMPUTED_VALUE"""),45905.0)</f>
        <v>45905</v>
      </c>
      <c r="I2612" s="115" t="str">
        <f>IFERROR(__xludf.DUMMYFUNCTION("""COMPUTED_VALUE"""),"20")</f>
        <v>20</v>
      </c>
      <c r="J2612" s="115" t="str">
        <f>IFERROR(__xludf.DUMMYFUNCTION("""COMPUTED_VALUE"""),"Vineeth V2025-09-0520")</f>
        <v>Vineeth V2025-09-0520</v>
      </c>
      <c r="K2612" s="115">
        <f>IFERROR(__xludf.DUMMYFUNCTION("""COMPUTED_VALUE"""),2368.0)</f>
        <v>2368</v>
      </c>
    </row>
    <row r="2613">
      <c r="A2613" s="115" t="str">
        <f>IFERROR(__xludf.DUMMYFUNCTION("""COMPUTED_VALUE"""),"SOUTH")</f>
        <v>SOUTH</v>
      </c>
      <c r="B2613" s="115" t="str">
        <f>IFERROR(__xludf.DUMMYFUNCTION("""COMPUTED_VALUE"""),"Vineeth V")</f>
        <v>Vineeth V</v>
      </c>
      <c r="C2613" s="115" t="str">
        <f>IFERROR(__xludf.DUMMYFUNCTION("""COMPUTED_VALUE"""),"FLIPKART")</f>
        <v>FLIPKART</v>
      </c>
      <c r="D2613" s="115">
        <f>IFERROR(__xludf.DUMMYFUNCTION("""COMPUTED_VALUE"""),15893.0)</f>
        <v>15893</v>
      </c>
      <c r="E2613" s="115">
        <f>IFERROR(__xludf.DUMMYFUNCTION("""COMPUTED_VALUE"""),1726.0)</f>
        <v>1726</v>
      </c>
      <c r="F2613" s="115">
        <f>IFERROR(__xludf.DUMMYFUNCTION("""COMPUTED_VALUE"""),12493.0)</f>
        <v>12493</v>
      </c>
      <c r="G2613" s="115">
        <f>IFERROR(__xludf.DUMMYFUNCTION("""COMPUTED_VALUE"""),1064.0)</f>
        <v>1064</v>
      </c>
      <c r="H2613" s="116">
        <f>IFERROR(__xludf.DUMMYFUNCTION("""COMPUTED_VALUE"""),45905.0)</f>
        <v>45905</v>
      </c>
      <c r="I2613" s="115" t="str">
        <f>IFERROR(__xludf.DUMMYFUNCTION("""COMPUTED_VALUE"""),"20")</f>
        <v>20</v>
      </c>
      <c r="J2613" s="115" t="str">
        <f>IFERROR(__xludf.DUMMYFUNCTION("""COMPUTED_VALUE"""),"Vineeth V2025-09-0520")</f>
        <v>Vineeth V2025-09-0520</v>
      </c>
      <c r="K2613" s="115">
        <f>IFERROR(__xludf.DUMMYFUNCTION("""COMPUTED_VALUE"""),17619.0)</f>
        <v>17619</v>
      </c>
    </row>
    <row r="2614">
      <c r="A2614" s="115" t="str">
        <f>IFERROR(__xludf.DUMMYFUNCTION("""COMPUTED_VALUE"""),"SOUTH")</f>
        <v>SOUTH</v>
      </c>
      <c r="B2614" s="115" t="str">
        <f>IFERROR(__xludf.DUMMYFUNCTION("""COMPUTED_VALUE"""),"Vineeth V")</f>
        <v>Vineeth V</v>
      </c>
      <c r="C2614" s="115" t="str">
        <f>IFERROR(__xludf.DUMMYFUNCTION("""COMPUTED_VALUE"""),"MYNTRA")</f>
        <v>MYNTRA</v>
      </c>
      <c r="D2614" s="115">
        <f>IFERROR(__xludf.DUMMYFUNCTION("""COMPUTED_VALUE"""),2878.0)</f>
        <v>2878</v>
      </c>
      <c r="E2614" s="115">
        <f>IFERROR(__xludf.DUMMYFUNCTION("""COMPUTED_VALUE"""),413.0)</f>
        <v>413</v>
      </c>
      <c r="F2614" s="115">
        <f>IFERROR(__xludf.DUMMYFUNCTION("""COMPUTED_VALUE"""),2365.0)</f>
        <v>2365</v>
      </c>
      <c r="G2614" s="115">
        <f>IFERROR(__xludf.DUMMYFUNCTION("""COMPUTED_VALUE"""),256.0)</f>
        <v>256</v>
      </c>
      <c r="H2614" s="116">
        <f>IFERROR(__xludf.DUMMYFUNCTION("""COMPUTED_VALUE"""),45905.0)</f>
        <v>45905</v>
      </c>
      <c r="I2614" s="115" t="str">
        <f>IFERROR(__xludf.DUMMYFUNCTION("""COMPUTED_VALUE"""),"20")</f>
        <v>20</v>
      </c>
      <c r="J2614" s="115" t="str">
        <f>IFERROR(__xludf.DUMMYFUNCTION("""COMPUTED_VALUE"""),"Vineeth V2025-09-0520")</f>
        <v>Vineeth V2025-09-0520</v>
      </c>
      <c r="K2614" s="115">
        <f>IFERROR(__xludf.DUMMYFUNCTION("""COMPUTED_VALUE"""),3291.0)</f>
        <v>3291</v>
      </c>
    </row>
    <row r="2615">
      <c r="A2615" s="115" t="str">
        <f>IFERROR(__xludf.DUMMYFUNCTION("""COMPUTED_VALUE"""),"WEST")</f>
        <v>WEST</v>
      </c>
      <c r="B2615" s="115" t="str">
        <f>IFERROR(__xludf.DUMMYFUNCTION("""COMPUTED_VALUE"""),"Ashish Jakar")</f>
        <v>Ashish Jakar</v>
      </c>
      <c r="C2615" s="115" t="str">
        <f>IFERROR(__xludf.DUMMYFUNCTION("""COMPUTED_VALUE"""),"EXTERNAL")</f>
        <v>EXTERNAL</v>
      </c>
      <c r="D2615" s="115">
        <f>IFERROR(__xludf.DUMMYFUNCTION("""COMPUTED_VALUE"""),56086.0)</f>
        <v>56086</v>
      </c>
      <c r="E2615" s="115">
        <f>IFERROR(__xludf.DUMMYFUNCTION("""COMPUTED_VALUE"""),6107.0)</f>
        <v>6107</v>
      </c>
      <c r="F2615" s="115">
        <f>IFERROR(__xludf.DUMMYFUNCTION("""COMPUTED_VALUE"""),22891.0)</f>
        <v>22891</v>
      </c>
      <c r="G2615" s="115">
        <f>IFERROR(__xludf.DUMMYFUNCTION("""COMPUTED_VALUE"""),2761.0)</f>
        <v>2761</v>
      </c>
      <c r="H2615" s="116">
        <f>IFERROR(__xludf.DUMMYFUNCTION("""COMPUTED_VALUE"""),45905.0)</f>
        <v>45905</v>
      </c>
      <c r="I2615" s="115" t="str">
        <f>IFERROR(__xludf.DUMMYFUNCTION("""COMPUTED_VALUE"""),"20")</f>
        <v>20</v>
      </c>
      <c r="J2615" s="115" t="str">
        <f>IFERROR(__xludf.DUMMYFUNCTION("""COMPUTED_VALUE"""),"Ashish Jakar2025-09-0520")</f>
        <v>Ashish Jakar2025-09-0520</v>
      </c>
      <c r="K2615" s="115">
        <f>IFERROR(__xludf.DUMMYFUNCTION("""COMPUTED_VALUE"""),62193.0)</f>
        <v>62193</v>
      </c>
    </row>
    <row r="2616">
      <c r="A2616" s="115" t="str">
        <f>IFERROR(__xludf.DUMMYFUNCTION("""COMPUTED_VALUE"""),"WEST")</f>
        <v>WEST</v>
      </c>
      <c r="B2616" s="115" t="str">
        <f>IFERROR(__xludf.DUMMYFUNCTION("""COMPUTED_VALUE"""),"Ashish Jakar")</f>
        <v>Ashish Jakar</v>
      </c>
      <c r="C2616" s="115" t="str">
        <f>IFERROR(__xludf.DUMMYFUNCTION("""COMPUTED_VALUE"""),"FLIPKART")</f>
        <v>FLIPKART</v>
      </c>
      <c r="D2616" s="115">
        <f>IFERROR(__xludf.DUMMYFUNCTION("""COMPUTED_VALUE"""),295657.0)</f>
        <v>295657</v>
      </c>
      <c r="E2616" s="115">
        <f>IFERROR(__xludf.DUMMYFUNCTION("""COMPUTED_VALUE"""),31715.0)</f>
        <v>31715</v>
      </c>
      <c r="F2616" s="115">
        <f>IFERROR(__xludf.DUMMYFUNCTION("""COMPUTED_VALUE"""),209384.0)</f>
        <v>209384</v>
      </c>
      <c r="G2616" s="115">
        <f>IFERROR(__xludf.DUMMYFUNCTION("""COMPUTED_VALUE"""),18998.0)</f>
        <v>18998</v>
      </c>
      <c r="H2616" s="116">
        <f>IFERROR(__xludf.DUMMYFUNCTION("""COMPUTED_VALUE"""),45905.0)</f>
        <v>45905</v>
      </c>
      <c r="I2616" s="115" t="str">
        <f>IFERROR(__xludf.DUMMYFUNCTION("""COMPUTED_VALUE"""),"20")</f>
        <v>20</v>
      </c>
      <c r="J2616" s="115" t="str">
        <f>IFERROR(__xludf.DUMMYFUNCTION("""COMPUTED_VALUE"""),"Ashish Jakar2025-09-0520")</f>
        <v>Ashish Jakar2025-09-0520</v>
      </c>
      <c r="K2616" s="115">
        <f>IFERROR(__xludf.DUMMYFUNCTION("""COMPUTED_VALUE"""),327372.0)</f>
        <v>327372</v>
      </c>
    </row>
    <row r="2617">
      <c r="A2617" s="115" t="str">
        <f>IFERROR(__xludf.DUMMYFUNCTION("""COMPUTED_VALUE"""),"WEST")</f>
        <v>WEST</v>
      </c>
      <c r="B2617" s="115" t="str">
        <f>IFERROR(__xludf.DUMMYFUNCTION("""COMPUTED_VALUE"""),"Ashish Jakar")</f>
        <v>Ashish Jakar</v>
      </c>
      <c r="C2617" s="115" t="str">
        <f>IFERROR(__xludf.DUMMYFUNCTION("""COMPUTED_VALUE"""),"MYNTRA")</f>
        <v>MYNTRA</v>
      </c>
      <c r="D2617" s="115">
        <f>IFERROR(__xludf.DUMMYFUNCTION("""COMPUTED_VALUE"""),38017.0)</f>
        <v>38017</v>
      </c>
      <c r="E2617" s="115">
        <f>IFERROR(__xludf.DUMMYFUNCTION("""COMPUTED_VALUE"""),10434.0)</f>
        <v>10434</v>
      </c>
      <c r="F2617" s="115">
        <f>IFERROR(__xludf.DUMMYFUNCTION("""COMPUTED_VALUE"""),31441.0)</f>
        <v>31441</v>
      </c>
      <c r="G2617" s="115">
        <f>IFERROR(__xludf.DUMMYFUNCTION("""COMPUTED_VALUE"""),6651.0)</f>
        <v>6651</v>
      </c>
      <c r="H2617" s="116">
        <f>IFERROR(__xludf.DUMMYFUNCTION("""COMPUTED_VALUE"""),45905.0)</f>
        <v>45905</v>
      </c>
      <c r="I2617" s="115" t="str">
        <f>IFERROR(__xludf.DUMMYFUNCTION("""COMPUTED_VALUE"""),"20")</f>
        <v>20</v>
      </c>
      <c r="J2617" s="115" t="str">
        <f>IFERROR(__xludf.DUMMYFUNCTION("""COMPUTED_VALUE"""),"Ashish Jakar2025-09-0520")</f>
        <v>Ashish Jakar2025-09-0520</v>
      </c>
      <c r="K2617" s="115">
        <f>IFERROR(__xludf.DUMMYFUNCTION("""COMPUTED_VALUE"""),48451.0)</f>
        <v>48451</v>
      </c>
    </row>
    <row r="2618">
      <c r="A2618" s="115" t="str">
        <f>IFERROR(__xludf.DUMMYFUNCTION("""COMPUTED_VALUE"""),"WEST")</f>
        <v>WEST</v>
      </c>
      <c r="B2618" s="115" t="str">
        <f>IFERROR(__xludf.DUMMYFUNCTION("""COMPUTED_VALUE"""),"Ashvani Bhatt")</f>
        <v>Ashvani Bhatt</v>
      </c>
      <c r="C2618" s="115" t="str">
        <f>IFERROR(__xludf.DUMMYFUNCTION("""COMPUTED_VALUE"""),"EXTERNAL")</f>
        <v>EXTERNAL</v>
      </c>
      <c r="D2618" s="115">
        <f>IFERROR(__xludf.DUMMYFUNCTION("""COMPUTED_VALUE"""),36592.0)</f>
        <v>36592</v>
      </c>
      <c r="E2618" s="115">
        <f>IFERROR(__xludf.DUMMYFUNCTION("""COMPUTED_VALUE"""),2976.0)</f>
        <v>2976</v>
      </c>
      <c r="F2618" s="115">
        <f>IFERROR(__xludf.DUMMYFUNCTION("""COMPUTED_VALUE"""),15709.0)</f>
        <v>15709</v>
      </c>
      <c r="G2618" s="115">
        <f>IFERROR(__xludf.DUMMYFUNCTION("""COMPUTED_VALUE"""),1190.0)</f>
        <v>1190</v>
      </c>
      <c r="H2618" s="116">
        <f>IFERROR(__xludf.DUMMYFUNCTION("""COMPUTED_VALUE"""),45905.0)</f>
        <v>45905</v>
      </c>
      <c r="I2618" s="115" t="str">
        <f>IFERROR(__xludf.DUMMYFUNCTION("""COMPUTED_VALUE"""),"20")</f>
        <v>20</v>
      </c>
      <c r="J2618" s="115" t="str">
        <f>IFERROR(__xludf.DUMMYFUNCTION("""COMPUTED_VALUE"""),"Ashvani Bhatt2025-09-0520")</f>
        <v>Ashvani Bhatt2025-09-0520</v>
      </c>
      <c r="K2618" s="115">
        <f>IFERROR(__xludf.DUMMYFUNCTION("""COMPUTED_VALUE"""),39568.0)</f>
        <v>39568</v>
      </c>
    </row>
    <row r="2619">
      <c r="A2619" s="115" t="str">
        <f>IFERROR(__xludf.DUMMYFUNCTION("""COMPUTED_VALUE"""),"WEST")</f>
        <v>WEST</v>
      </c>
      <c r="B2619" s="115" t="str">
        <f>IFERROR(__xludf.DUMMYFUNCTION("""COMPUTED_VALUE"""),"Ashvani Bhatt")</f>
        <v>Ashvani Bhatt</v>
      </c>
      <c r="C2619" s="115" t="str">
        <f>IFERROR(__xludf.DUMMYFUNCTION("""COMPUTED_VALUE"""),"FLIPKART")</f>
        <v>FLIPKART</v>
      </c>
      <c r="D2619" s="115">
        <f>IFERROR(__xludf.DUMMYFUNCTION("""COMPUTED_VALUE"""),254059.0)</f>
        <v>254059</v>
      </c>
      <c r="E2619" s="115">
        <f>IFERROR(__xludf.DUMMYFUNCTION("""COMPUTED_VALUE"""),27429.0)</f>
        <v>27429</v>
      </c>
      <c r="F2619" s="115">
        <f>IFERROR(__xludf.DUMMYFUNCTION("""COMPUTED_VALUE"""),188942.0)</f>
        <v>188942</v>
      </c>
      <c r="G2619" s="115">
        <f>IFERROR(__xludf.DUMMYFUNCTION("""COMPUTED_VALUE"""),17011.0)</f>
        <v>17011</v>
      </c>
      <c r="H2619" s="116">
        <f>IFERROR(__xludf.DUMMYFUNCTION("""COMPUTED_VALUE"""),45905.0)</f>
        <v>45905</v>
      </c>
      <c r="I2619" s="115" t="str">
        <f>IFERROR(__xludf.DUMMYFUNCTION("""COMPUTED_VALUE"""),"20")</f>
        <v>20</v>
      </c>
      <c r="J2619" s="115" t="str">
        <f>IFERROR(__xludf.DUMMYFUNCTION("""COMPUTED_VALUE"""),"Ashvani Bhatt2025-09-0520")</f>
        <v>Ashvani Bhatt2025-09-0520</v>
      </c>
      <c r="K2619" s="115">
        <f>IFERROR(__xludf.DUMMYFUNCTION("""COMPUTED_VALUE"""),281488.0)</f>
        <v>281488</v>
      </c>
    </row>
    <row r="2620">
      <c r="A2620" s="115" t="str">
        <f>IFERROR(__xludf.DUMMYFUNCTION("""COMPUTED_VALUE"""),"WEST")</f>
        <v>WEST</v>
      </c>
      <c r="B2620" s="115" t="str">
        <f>IFERROR(__xludf.DUMMYFUNCTION("""COMPUTED_VALUE"""),"Ashvani Bhatt")</f>
        <v>Ashvani Bhatt</v>
      </c>
      <c r="C2620" s="115" t="str">
        <f>IFERROR(__xludf.DUMMYFUNCTION("""COMPUTED_VALUE"""),"MYNTRA")</f>
        <v>MYNTRA</v>
      </c>
      <c r="D2620" s="115">
        <f>IFERROR(__xludf.DUMMYFUNCTION("""COMPUTED_VALUE"""),31910.0)</f>
        <v>31910</v>
      </c>
      <c r="E2620" s="115">
        <f>IFERROR(__xludf.DUMMYFUNCTION("""COMPUTED_VALUE"""),8355.0)</f>
        <v>8355</v>
      </c>
      <c r="F2620" s="115">
        <f>IFERROR(__xludf.DUMMYFUNCTION("""COMPUTED_VALUE"""),26842.0)</f>
        <v>26842</v>
      </c>
      <c r="G2620" s="115">
        <f>IFERROR(__xludf.DUMMYFUNCTION("""COMPUTED_VALUE"""),5561.0)</f>
        <v>5561</v>
      </c>
      <c r="H2620" s="116">
        <f>IFERROR(__xludf.DUMMYFUNCTION("""COMPUTED_VALUE"""),45905.0)</f>
        <v>45905</v>
      </c>
      <c r="I2620" s="115" t="str">
        <f>IFERROR(__xludf.DUMMYFUNCTION("""COMPUTED_VALUE"""),"20")</f>
        <v>20</v>
      </c>
      <c r="J2620" s="115" t="str">
        <f>IFERROR(__xludf.DUMMYFUNCTION("""COMPUTED_VALUE"""),"Ashvani Bhatt2025-09-0520")</f>
        <v>Ashvani Bhatt2025-09-0520</v>
      </c>
      <c r="K2620" s="115">
        <f>IFERROR(__xludf.DUMMYFUNCTION("""COMPUTED_VALUE"""),40265.0)</f>
        <v>40265</v>
      </c>
    </row>
    <row r="2621">
      <c r="A2621" s="115" t="str">
        <f>IFERROR(__xludf.DUMMYFUNCTION("""COMPUTED_VALUE"""),"West")</f>
        <v>West</v>
      </c>
      <c r="B2621" s="115" t="str">
        <f>IFERROR(__xludf.DUMMYFUNCTION("""COMPUTED_VALUE"""),"Ashish Jakar")</f>
        <v>Ashish Jakar</v>
      </c>
      <c r="C2621" s="115" t="str">
        <f>IFERROR(__xludf.DUMMYFUNCTION("""COMPUTED_VALUE"""),"EXTERNAL")</f>
        <v>EXTERNAL</v>
      </c>
      <c r="D2621" s="115">
        <f>IFERROR(__xludf.DUMMYFUNCTION("""COMPUTED_VALUE"""),96.0)</f>
        <v>96</v>
      </c>
      <c r="E2621" s="115">
        <f>IFERROR(__xludf.DUMMYFUNCTION("""COMPUTED_VALUE"""),36.0)</f>
        <v>36</v>
      </c>
      <c r="F2621" s="115">
        <f>IFERROR(__xludf.DUMMYFUNCTION("""COMPUTED_VALUE"""),33.0)</f>
        <v>33</v>
      </c>
      <c r="G2621" s="115">
        <f>IFERROR(__xludf.DUMMYFUNCTION("""COMPUTED_VALUE"""),4.0)</f>
        <v>4</v>
      </c>
      <c r="H2621" s="116">
        <f>IFERROR(__xludf.DUMMYFUNCTION("""COMPUTED_VALUE"""),45905.0)</f>
        <v>45905</v>
      </c>
      <c r="I2621" s="115" t="str">
        <f>IFERROR(__xludf.DUMMYFUNCTION("""COMPUTED_VALUE"""),"20")</f>
        <v>20</v>
      </c>
      <c r="J2621" s="115" t="str">
        <f>IFERROR(__xludf.DUMMYFUNCTION("""COMPUTED_VALUE"""),"Ashish Jakar2025-09-0520")</f>
        <v>Ashish Jakar2025-09-0520</v>
      </c>
      <c r="K2621" s="115">
        <f>IFERROR(__xludf.DUMMYFUNCTION("""COMPUTED_VALUE"""),132.0)</f>
        <v>132</v>
      </c>
    </row>
    <row r="2622">
      <c r="A2622" s="115" t="str">
        <f>IFERROR(__xludf.DUMMYFUNCTION("""COMPUTED_VALUE"""),"West")</f>
        <v>West</v>
      </c>
      <c r="B2622" s="115" t="str">
        <f>IFERROR(__xludf.DUMMYFUNCTION("""COMPUTED_VALUE"""),"Ashish Jakar")</f>
        <v>Ashish Jakar</v>
      </c>
      <c r="C2622" s="115" t="str">
        <f>IFERROR(__xludf.DUMMYFUNCTION("""COMPUTED_VALUE"""),"FLIPKART")</f>
        <v>FLIPKART</v>
      </c>
      <c r="D2622" s="115">
        <f>IFERROR(__xludf.DUMMYFUNCTION("""COMPUTED_VALUE"""),482.0)</f>
        <v>482</v>
      </c>
      <c r="E2622" s="115">
        <f>IFERROR(__xludf.DUMMYFUNCTION("""COMPUTED_VALUE"""),94.0)</f>
        <v>94</v>
      </c>
      <c r="F2622" s="115">
        <f>IFERROR(__xludf.DUMMYFUNCTION("""COMPUTED_VALUE"""),351.0)</f>
        <v>351</v>
      </c>
      <c r="G2622" s="115">
        <f>IFERROR(__xludf.DUMMYFUNCTION("""COMPUTED_VALUE"""),40.0)</f>
        <v>40</v>
      </c>
      <c r="H2622" s="116">
        <f>IFERROR(__xludf.DUMMYFUNCTION("""COMPUTED_VALUE"""),45905.0)</f>
        <v>45905</v>
      </c>
      <c r="I2622" s="115" t="str">
        <f>IFERROR(__xludf.DUMMYFUNCTION("""COMPUTED_VALUE"""),"20")</f>
        <v>20</v>
      </c>
      <c r="J2622" s="115" t="str">
        <f>IFERROR(__xludf.DUMMYFUNCTION("""COMPUTED_VALUE"""),"Ashish Jakar2025-09-0520")</f>
        <v>Ashish Jakar2025-09-0520</v>
      </c>
      <c r="K2622" s="115">
        <f>IFERROR(__xludf.DUMMYFUNCTION("""COMPUTED_VALUE"""),576.0)</f>
        <v>576</v>
      </c>
    </row>
    <row r="2623">
      <c r="A2623" s="115" t="str">
        <f>IFERROR(__xludf.DUMMYFUNCTION("""COMPUTED_VALUE"""),"West")</f>
        <v>West</v>
      </c>
      <c r="B2623" s="115" t="str">
        <f>IFERROR(__xludf.DUMMYFUNCTION("""COMPUTED_VALUE"""),"Ashish Jakar")</f>
        <v>Ashish Jakar</v>
      </c>
      <c r="C2623" s="115" t="str">
        <f>IFERROR(__xludf.DUMMYFUNCTION("""COMPUTED_VALUE"""),"MYNTRA")</f>
        <v>MYNTRA</v>
      </c>
      <c r="D2623" s="115">
        <f>IFERROR(__xludf.DUMMYFUNCTION("""COMPUTED_VALUE"""),123.0)</f>
        <v>123</v>
      </c>
      <c r="E2623" s="115">
        <f>IFERROR(__xludf.DUMMYFUNCTION("""COMPUTED_VALUE"""),56.0)</f>
        <v>56</v>
      </c>
      <c r="F2623" s="115">
        <f>IFERROR(__xludf.DUMMYFUNCTION("""COMPUTED_VALUE"""),97.0)</f>
        <v>97</v>
      </c>
      <c r="G2623" s="115">
        <f>IFERROR(__xludf.DUMMYFUNCTION("""COMPUTED_VALUE"""),11.0)</f>
        <v>11</v>
      </c>
      <c r="H2623" s="116">
        <f>IFERROR(__xludf.DUMMYFUNCTION("""COMPUTED_VALUE"""),45905.0)</f>
        <v>45905</v>
      </c>
      <c r="I2623" s="115" t="str">
        <f>IFERROR(__xludf.DUMMYFUNCTION("""COMPUTED_VALUE"""),"20")</f>
        <v>20</v>
      </c>
      <c r="J2623" s="115" t="str">
        <f>IFERROR(__xludf.DUMMYFUNCTION("""COMPUTED_VALUE"""),"Ashish Jakar2025-09-0520")</f>
        <v>Ashish Jakar2025-09-0520</v>
      </c>
      <c r="K2623" s="115">
        <f>IFERROR(__xludf.DUMMYFUNCTION("""COMPUTED_VALUE"""),179.0)</f>
        <v>179</v>
      </c>
    </row>
    <row r="2624">
      <c r="A2624" s="115"/>
      <c r="B2624" s="115"/>
      <c r="C2624" s="115" t="str">
        <f>IFERROR(__xludf.DUMMYFUNCTION("""COMPUTED_VALUE"""),"EXTERNAL")</f>
        <v>EXTERNAL</v>
      </c>
      <c r="D2624" s="115">
        <f>IFERROR(__xludf.DUMMYFUNCTION("""COMPUTED_VALUE"""),980.0)</f>
        <v>980</v>
      </c>
      <c r="E2624" s="115">
        <f>IFERROR(__xludf.DUMMYFUNCTION("""COMPUTED_VALUE"""),88.0)</f>
        <v>88</v>
      </c>
      <c r="F2624" s="115">
        <f>IFERROR(__xludf.DUMMYFUNCTION("""COMPUTED_VALUE"""),442.0)</f>
        <v>442</v>
      </c>
      <c r="G2624" s="115">
        <f>IFERROR(__xludf.DUMMYFUNCTION("""COMPUTED_VALUE"""),39.0)</f>
        <v>39</v>
      </c>
      <c r="H2624" s="116">
        <f>IFERROR(__xludf.DUMMYFUNCTION("""COMPUTED_VALUE"""),45905.0)</f>
        <v>45905</v>
      </c>
      <c r="I2624" s="115" t="str">
        <f>IFERROR(__xludf.DUMMYFUNCTION("""COMPUTED_VALUE"""),"20")</f>
        <v>20</v>
      </c>
      <c r="J2624" s="115" t="str">
        <f>IFERROR(__xludf.DUMMYFUNCTION("""COMPUTED_VALUE"""),"2025-09-0520")</f>
        <v>2025-09-0520</v>
      </c>
      <c r="K2624" s="115">
        <f>IFERROR(__xludf.DUMMYFUNCTION("""COMPUTED_VALUE"""),1068.0)</f>
        <v>1068</v>
      </c>
    </row>
    <row r="2625">
      <c r="A2625" s="115"/>
      <c r="B2625" s="115"/>
      <c r="C2625" s="115" t="str">
        <f>IFERROR(__xludf.DUMMYFUNCTION("""COMPUTED_VALUE"""),"FLIPKART")</f>
        <v>FLIPKART</v>
      </c>
      <c r="D2625" s="115">
        <f>IFERROR(__xludf.DUMMYFUNCTION("""COMPUTED_VALUE"""),7211.0)</f>
        <v>7211</v>
      </c>
      <c r="E2625" s="115">
        <f>IFERROR(__xludf.DUMMYFUNCTION("""COMPUTED_VALUE"""),792.0)</f>
        <v>792</v>
      </c>
      <c r="F2625" s="115">
        <f>IFERROR(__xludf.DUMMYFUNCTION("""COMPUTED_VALUE"""),4900.0)</f>
        <v>4900</v>
      </c>
      <c r="G2625" s="115">
        <f>IFERROR(__xludf.DUMMYFUNCTION("""COMPUTED_VALUE"""),413.0)</f>
        <v>413</v>
      </c>
      <c r="H2625" s="116">
        <f>IFERROR(__xludf.DUMMYFUNCTION("""COMPUTED_VALUE"""),45905.0)</f>
        <v>45905</v>
      </c>
      <c r="I2625" s="115" t="str">
        <f>IFERROR(__xludf.DUMMYFUNCTION("""COMPUTED_VALUE"""),"20")</f>
        <v>20</v>
      </c>
      <c r="J2625" s="115" t="str">
        <f>IFERROR(__xludf.DUMMYFUNCTION("""COMPUTED_VALUE"""),"2025-09-0520")</f>
        <v>2025-09-0520</v>
      </c>
      <c r="K2625" s="115">
        <f>IFERROR(__xludf.DUMMYFUNCTION("""COMPUTED_VALUE"""),8003.0)</f>
        <v>8003</v>
      </c>
    </row>
    <row r="2626">
      <c r="A2626" s="115"/>
      <c r="B2626" s="115"/>
      <c r="C2626" s="115" t="str">
        <f>IFERROR(__xludf.DUMMYFUNCTION("""COMPUTED_VALUE"""),"MYNTRA")</f>
        <v>MYNTRA</v>
      </c>
      <c r="D2626" s="115">
        <f>IFERROR(__xludf.DUMMYFUNCTION("""COMPUTED_VALUE"""),1140.0)</f>
        <v>1140</v>
      </c>
      <c r="E2626" s="115">
        <f>IFERROR(__xludf.DUMMYFUNCTION("""COMPUTED_VALUE"""),224.0)</f>
        <v>224</v>
      </c>
      <c r="F2626" s="115">
        <f>IFERROR(__xludf.DUMMYFUNCTION("""COMPUTED_VALUE"""),925.0)</f>
        <v>925</v>
      </c>
      <c r="G2626" s="115">
        <f>IFERROR(__xludf.DUMMYFUNCTION("""COMPUTED_VALUE"""),116.0)</f>
        <v>116</v>
      </c>
      <c r="H2626" s="116">
        <f>IFERROR(__xludf.DUMMYFUNCTION("""COMPUTED_VALUE"""),45905.0)</f>
        <v>45905</v>
      </c>
      <c r="I2626" s="115" t="str">
        <f>IFERROR(__xludf.DUMMYFUNCTION("""COMPUTED_VALUE"""),"20")</f>
        <v>20</v>
      </c>
      <c r="J2626" s="115" t="str">
        <f>IFERROR(__xludf.DUMMYFUNCTION("""COMPUTED_VALUE"""),"2025-09-0520")</f>
        <v>2025-09-0520</v>
      </c>
      <c r="K2626" s="115">
        <f>IFERROR(__xludf.DUMMYFUNCTION("""COMPUTED_VALUE"""),1364.0)</f>
        <v>1364</v>
      </c>
    </row>
    <row r="2627">
      <c r="A2627" s="115" t="str">
        <f>IFERROR(__xludf.DUMMYFUNCTION("""COMPUTED_VALUE"""),"EAST")</f>
        <v>EAST</v>
      </c>
      <c r="B2627" s="115" t="str">
        <f>IFERROR(__xludf.DUMMYFUNCTION("""COMPUTED_VALUE"""),"Ashish Ranjan")</f>
        <v>Ashish Ranjan</v>
      </c>
      <c r="C2627" s="115" t="str">
        <f>IFERROR(__xludf.DUMMYFUNCTION("""COMPUTED_VALUE"""),"EXTERNAL")</f>
        <v>EXTERNAL</v>
      </c>
      <c r="D2627" s="115">
        <f>IFERROR(__xludf.DUMMYFUNCTION("""COMPUTED_VALUE"""),39147.0)</f>
        <v>39147</v>
      </c>
      <c r="E2627" s="115">
        <f>IFERROR(__xludf.DUMMYFUNCTION("""COMPUTED_VALUE"""),3048.0)</f>
        <v>3048</v>
      </c>
      <c r="F2627" s="115">
        <f>IFERROR(__xludf.DUMMYFUNCTION("""COMPUTED_VALUE"""),22865.0)</f>
        <v>22865</v>
      </c>
      <c r="G2627" s="115">
        <f>IFERROR(__xludf.DUMMYFUNCTION("""COMPUTED_VALUE"""),1686.0)</f>
        <v>1686</v>
      </c>
      <c r="H2627" s="116">
        <f>IFERROR(__xludf.DUMMYFUNCTION("""COMPUTED_VALUE"""),45905.0)</f>
        <v>45905</v>
      </c>
      <c r="I2627" s="115" t="str">
        <f>IFERROR(__xludf.DUMMYFUNCTION("""COMPUTED_VALUE"""),"21")</f>
        <v>21</v>
      </c>
      <c r="J2627" s="115" t="str">
        <f>IFERROR(__xludf.DUMMYFUNCTION("""COMPUTED_VALUE"""),"Ashish Ranjan2025-09-0521")</f>
        <v>Ashish Ranjan2025-09-0521</v>
      </c>
      <c r="K2627" s="115">
        <f>IFERROR(__xludf.DUMMYFUNCTION("""COMPUTED_VALUE"""),42195.0)</f>
        <v>42195</v>
      </c>
    </row>
    <row r="2628">
      <c r="A2628" s="115" t="str">
        <f>IFERROR(__xludf.DUMMYFUNCTION("""COMPUTED_VALUE"""),"EAST")</f>
        <v>EAST</v>
      </c>
      <c r="B2628" s="115" t="str">
        <f>IFERROR(__xludf.DUMMYFUNCTION("""COMPUTED_VALUE"""),"Ashish Ranjan")</f>
        <v>Ashish Ranjan</v>
      </c>
      <c r="C2628" s="115" t="str">
        <f>IFERROR(__xludf.DUMMYFUNCTION("""COMPUTED_VALUE"""),"FLIPKART")</f>
        <v>FLIPKART</v>
      </c>
      <c r="D2628" s="115">
        <f>IFERROR(__xludf.DUMMYFUNCTION("""COMPUTED_VALUE"""),608104.0)</f>
        <v>608104</v>
      </c>
      <c r="E2628" s="115">
        <f>IFERROR(__xludf.DUMMYFUNCTION("""COMPUTED_VALUE"""),57237.0)</f>
        <v>57237</v>
      </c>
      <c r="F2628" s="115">
        <f>IFERROR(__xludf.DUMMYFUNCTION("""COMPUTED_VALUE"""),538429.0)</f>
        <v>538429</v>
      </c>
      <c r="G2628" s="115">
        <f>IFERROR(__xludf.DUMMYFUNCTION("""COMPUTED_VALUE"""),45343.0)</f>
        <v>45343</v>
      </c>
      <c r="H2628" s="116">
        <f>IFERROR(__xludf.DUMMYFUNCTION("""COMPUTED_VALUE"""),45905.0)</f>
        <v>45905</v>
      </c>
      <c r="I2628" s="115" t="str">
        <f>IFERROR(__xludf.DUMMYFUNCTION("""COMPUTED_VALUE"""),"21")</f>
        <v>21</v>
      </c>
      <c r="J2628" s="115" t="str">
        <f>IFERROR(__xludf.DUMMYFUNCTION("""COMPUTED_VALUE"""),"Ashish Ranjan2025-09-0521")</f>
        <v>Ashish Ranjan2025-09-0521</v>
      </c>
      <c r="K2628" s="115">
        <f>IFERROR(__xludf.DUMMYFUNCTION("""COMPUTED_VALUE"""),665341.0)</f>
        <v>665341</v>
      </c>
    </row>
    <row r="2629">
      <c r="A2629" s="115" t="str">
        <f>IFERROR(__xludf.DUMMYFUNCTION("""COMPUTED_VALUE"""),"EAST")</f>
        <v>EAST</v>
      </c>
      <c r="B2629" s="115" t="str">
        <f>IFERROR(__xludf.DUMMYFUNCTION("""COMPUTED_VALUE"""),"Ashish Ranjan")</f>
        <v>Ashish Ranjan</v>
      </c>
      <c r="C2629" s="115" t="str">
        <f>IFERROR(__xludf.DUMMYFUNCTION("""COMPUTED_VALUE"""),"MYNTRA")</f>
        <v>MYNTRA</v>
      </c>
      <c r="D2629" s="115">
        <f>IFERROR(__xludf.DUMMYFUNCTION("""COMPUTED_VALUE"""),69923.0)</f>
        <v>69923</v>
      </c>
      <c r="E2629" s="115">
        <f>IFERROR(__xludf.DUMMYFUNCTION("""COMPUTED_VALUE"""),12020.0)</f>
        <v>12020</v>
      </c>
      <c r="F2629" s="115">
        <f>IFERROR(__xludf.DUMMYFUNCTION("""COMPUTED_VALUE"""),63080.0)</f>
        <v>63080</v>
      </c>
      <c r="G2629" s="115">
        <f>IFERROR(__xludf.DUMMYFUNCTION("""COMPUTED_VALUE"""),9480.0)</f>
        <v>9480</v>
      </c>
      <c r="H2629" s="116">
        <f>IFERROR(__xludf.DUMMYFUNCTION("""COMPUTED_VALUE"""),45905.0)</f>
        <v>45905</v>
      </c>
      <c r="I2629" s="115" t="str">
        <f>IFERROR(__xludf.DUMMYFUNCTION("""COMPUTED_VALUE"""),"21")</f>
        <v>21</v>
      </c>
      <c r="J2629" s="115" t="str">
        <f>IFERROR(__xludf.DUMMYFUNCTION("""COMPUTED_VALUE"""),"Ashish Ranjan2025-09-0521")</f>
        <v>Ashish Ranjan2025-09-0521</v>
      </c>
      <c r="K2629" s="115">
        <f>IFERROR(__xludf.DUMMYFUNCTION("""COMPUTED_VALUE"""),81943.0)</f>
        <v>81943</v>
      </c>
    </row>
    <row r="2630">
      <c r="A2630" s="115" t="str">
        <f>IFERROR(__xludf.DUMMYFUNCTION("""COMPUTED_VALUE"""),"EAST")</f>
        <v>EAST</v>
      </c>
      <c r="B2630" s="115" t="str">
        <f>IFERROR(__xludf.DUMMYFUNCTION("""COMPUTED_VALUE"""),"Girish Chand")</f>
        <v>Girish Chand</v>
      </c>
      <c r="C2630" s="115" t="str">
        <f>IFERROR(__xludf.DUMMYFUNCTION("""COMPUTED_VALUE"""),"EXTERNAL")</f>
        <v>EXTERNAL</v>
      </c>
      <c r="D2630" s="115">
        <f>IFERROR(__xludf.DUMMYFUNCTION("""COMPUTED_VALUE"""),22775.0)</f>
        <v>22775</v>
      </c>
      <c r="E2630" s="115">
        <f>IFERROR(__xludf.DUMMYFUNCTION("""COMPUTED_VALUE"""),1867.0)</f>
        <v>1867</v>
      </c>
      <c r="F2630" s="115">
        <f>IFERROR(__xludf.DUMMYFUNCTION("""COMPUTED_VALUE"""),9864.0)</f>
        <v>9864</v>
      </c>
      <c r="G2630" s="115">
        <f>IFERROR(__xludf.DUMMYFUNCTION("""COMPUTED_VALUE"""),695.0)</f>
        <v>695</v>
      </c>
      <c r="H2630" s="116">
        <f>IFERROR(__xludf.DUMMYFUNCTION("""COMPUTED_VALUE"""),45905.0)</f>
        <v>45905</v>
      </c>
      <c r="I2630" s="115" t="str">
        <f>IFERROR(__xludf.DUMMYFUNCTION("""COMPUTED_VALUE"""),"21")</f>
        <v>21</v>
      </c>
      <c r="J2630" s="115" t="str">
        <f>IFERROR(__xludf.DUMMYFUNCTION("""COMPUTED_VALUE"""),"Girish Chand2025-09-0521")</f>
        <v>Girish Chand2025-09-0521</v>
      </c>
      <c r="K2630" s="115">
        <f>IFERROR(__xludf.DUMMYFUNCTION("""COMPUTED_VALUE"""),24642.0)</f>
        <v>24642</v>
      </c>
    </row>
    <row r="2631">
      <c r="A2631" s="115" t="str">
        <f>IFERROR(__xludf.DUMMYFUNCTION("""COMPUTED_VALUE"""),"EAST")</f>
        <v>EAST</v>
      </c>
      <c r="B2631" s="115" t="str">
        <f>IFERROR(__xludf.DUMMYFUNCTION("""COMPUTED_VALUE"""),"Girish Chand")</f>
        <v>Girish Chand</v>
      </c>
      <c r="C2631" s="115" t="str">
        <f>IFERROR(__xludf.DUMMYFUNCTION("""COMPUTED_VALUE"""),"FLIPKART")</f>
        <v>FLIPKART</v>
      </c>
      <c r="D2631" s="115">
        <f>IFERROR(__xludf.DUMMYFUNCTION("""COMPUTED_VALUE"""),396223.0)</f>
        <v>396223</v>
      </c>
      <c r="E2631" s="115">
        <f>IFERROR(__xludf.DUMMYFUNCTION("""COMPUTED_VALUE"""),38981.0)</f>
        <v>38981</v>
      </c>
      <c r="F2631" s="115">
        <f>IFERROR(__xludf.DUMMYFUNCTION("""COMPUTED_VALUE"""),295899.0)</f>
        <v>295899</v>
      </c>
      <c r="G2631" s="115">
        <f>IFERROR(__xludf.DUMMYFUNCTION("""COMPUTED_VALUE"""),27913.0)</f>
        <v>27913</v>
      </c>
      <c r="H2631" s="116">
        <f>IFERROR(__xludf.DUMMYFUNCTION("""COMPUTED_VALUE"""),45905.0)</f>
        <v>45905</v>
      </c>
      <c r="I2631" s="115" t="str">
        <f>IFERROR(__xludf.DUMMYFUNCTION("""COMPUTED_VALUE"""),"21")</f>
        <v>21</v>
      </c>
      <c r="J2631" s="115" t="str">
        <f>IFERROR(__xludf.DUMMYFUNCTION("""COMPUTED_VALUE"""),"Girish Chand2025-09-0521")</f>
        <v>Girish Chand2025-09-0521</v>
      </c>
      <c r="K2631" s="115">
        <f>IFERROR(__xludf.DUMMYFUNCTION("""COMPUTED_VALUE"""),435204.0)</f>
        <v>435204</v>
      </c>
    </row>
    <row r="2632">
      <c r="A2632" s="115" t="str">
        <f>IFERROR(__xludf.DUMMYFUNCTION("""COMPUTED_VALUE"""),"EAST")</f>
        <v>EAST</v>
      </c>
      <c r="B2632" s="115" t="str">
        <f>IFERROR(__xludf.DUMMYFUNCTION("""COMPUTED_VALUE"""),"Girish Chand")</f>
        <v>Girish Chand</v>
      </c>
      <c r="C2632" s="115" t="str">
        <f>IFERROR(__xludf.DUMMYFUNCTION("""COMPUTED_VALUE"""),"MYNTRA")</f>
        <v>MYNTRA</v>
      </c>
      <c r="D2632" s="115">
        <f>IFERROR(__xludf.DUMMYFUNCTION("""COMPUTED_VALUE"""),34808.0)</f>
        <v>34808</v>
      </c>
      <c r="E2632" s="115">
        <f>IFERROR(__xludf.DUMMYFUNCTION("""COMPUTED_VALUE"""),6778.0)</f>
        <v>6778</v>
      </c>
      <c r="F2632" s="115">
        <f>IFERROR(__xludf.DUMMYFUNCTION("""COMPUTED_VALUE"""),27577.0)</f>
        <v>27577</v>
      </c>
      <c r="G2632" s="115">
        <f>IFERROR(__xludf.DUMMYFUNCTION("""COMPUTED_VALUE"""),5088.0)</f>
        <v>5088</v>
      </c>
      <c r="H2632" s="116">
        <f>IFERROR(__xludf.DUMMYFUNCTION("""COMPUTED_VALUE"""),45905.0)</f>
        <v>45905</v>
      </c>
      <c r="I2632" s="115" t="str">
        <f>IFERROR(__xludf.DUMMYFUNCTION("""COMPUTED_VALUE"""),"21")</f>
        <v>21</v>
      </c>
      <c r="J2632" s="115" t="str">
        <f>IFERROR(__xludf.DUMMYFUNCTION("""COMPUTED_VALUE"""),"Girish Chand2025-09-0521")</f>
        <v>Girish Chand2025-09-0521</v>
      </c>
      <c r="K2632" s="115">
        <f>IFERROR(__xludf.DUMMYFUNCTION("""COMPUTED_VALUE"""),41586.0)</f>
        <v>41586</v>
      </c>
    </row>
    <row r="2633">
      <c r="A2633" s="115" t="str">
        <f>IFERROR(__xludf.DUMMYFUNCTION("""COMPUTED_VALUE"""),"EAST")</f>
        <v>EAST</v>
      </c>
      <c r="B2633" s="115" t="str">
        <f>IFERROR(__xludf.DUMMYFUNCTION("""COMPUTED_VALUE"""),"Parag Kashyap")</f>
        <v>Parag Kashyap</v>
      </c>
      <c r="C2633" s="115" t="str">
        <f>IFERROR(__xludf.DUMMYFUNCTION("""COMPUTED_VALUE"""),"EXTERNAL")</f>
        <v>EXTERNAL</v>
      </c>
      <c r="D2633" s="115">
        <f>IFERROR(__xludf.DUMMYFUNCTION("""COMPUTED_VALUE"""),19102.0)</f>
        <v>19102</v>
      </c>
      <c r="E2633" s="115">
        <f>IFERROR(__xludf.DUMMYFUNCTION("""COMPUTED_VALUE"""),993.0)</f>
        <v>993</v>
      </c>
      <c r="F2633" s="115">
        <f>IFERROR(__xludf.DUMMYFUNCTION("""COMPUTED_VALUE"""),8263.0)</f>
        <v>8263</v>
      </c>
      <c r="G2633" s="115">
        <f>IFERROR(__xludf.DUMMYFUNCTION("""COMPUTED_VALUE"""),433.0)</f>
        <v>433</v>
      </c>
      <c r="H2633" s="116">
        <f>IFERROR(__xludf.DUMMYFUNCTION("""COMPUTED_VALUE"""),45905.0)</f>
        <v>45905</v>
      </c>
      <c r="I2633" s="115" t="str">
        <f>IFERROR(__xludf.DUMMYFUNCTION("""COMPUTED_VALUE"""),"21")</f>
        <v>21</v>
      </c>
      <c r="J2633" s="115" t="str">
        <f>IFERROR(__xludf.DUMMYFUNCTION("""COMPUTED_VALUE"""),"Parag Kashyap2025-09-0521")</f>
        <v>Parag Kashyap2025-09-0521</v>
      </c>
      <c r="K2633" s="115">
        <f>IFERROR(__xludf.DUMMYFUNCTION("""COMPUTED_VALUE"""),20095.0)</f>
        <v>20095</v>
      </c>
    </row>
    <row r="2634">
      <c r="A2634" s="115" t="str">
        <f>IFERROR(__xludf.DUMMYFUNCTION("""COMPUTED_VALUE"""),"EAST")</f>
        <v>EAST</v>
      </c>
      <c r="B2634" s="115" t="str">
        <f>IFERROR(__xludf.DUMMYFUNCTION("""COMPUTED_VALUE"""),"Parag Kashyap")</f>
        <v>Parag Kashyap</v>
      </c>
      <c r="C2634" s="115" t="str">
        <f>IFERROR(__xludf.DUMMYFUNCTION("""COMPUTED_VALUE"""),"FLIPKART")</f>
        <v>FLIPKART</v>
      </c>
      <c r="D2634" s="115">
        <f>IFERROR(__xludf.DUMMYFUNCTION("""COMPUTED_VALUE"""),290945.0)</f>
        <v>290945</v>
      </c>
      <c r="E2634" s="115">
        <f>IFERROR(__xludf.DUMMYFUNCTION("""COMPUTED_VALUE"""),20321.0)</f>
        <v>20321</v>
      </c>
      <c r="F2634" s="115">
        <f>IFERROR(__xludf.DUMMYFUNCTION("""COMPUTED_VALUE"""),227988.0)</f>
        <v>227988</v>
      </c>
      <c r="G2634" s="115">
        <f>IFERROR(__xludf.DUMMYFUNCTION("""COMPUTED_VALUE"""),14280.0)</f>
        <v>14280</v>
      </c>
      <c r="H2634" s="116">
        <f>IFERROR(__xludf.DUMMYFUNCTION("""COMPUTED_VALUE"""),45905.0)</f>
        <v>45905</v>
      </c>
      <c r="I2634" s="115" t="str">
        <f>IFERROR(__xludf.DUMMYFUNCTION("""COMPUTED_VALUE"""),"21")</f>
        <v>21</v>
      </c>
      <c r="J2634" s="115" t="str">
        <f>IFERROR(__xludf.DUMMYFUNCTION("""COMPUTED_VALUE"""),"Parag Kashyap2025-09-0521")</f>
        <v>Parag Kashyap2025-09-0521</v>
      </c>
      <c r="K2634" s="115">
        <f>IFERROR(__xludf.DUMMYFUNCTION("""COMPUTED_VALUE"""),311266.0)</f>
        <v>311266</v>
      </c>
    </row>
    <row r="2635">
      <c r="A2635" s="115" t="str">
        <f>IFERROR(__xludf.DUMMYFUNCTION("""COMPUTED_VALUE"""),"EAST")</f>
        <v>EAST</v>
      </c>
      <c r="B2635" s="115" t="str">
        <f>IFERROR(__xludf.DUMMYFUNCTION("""COMPUTED_VALUE"""),"Parag Kashyap")</f>
        <v>Parag Kashyap</v>
      </c>
      <c r="C2635" s="115" t="str">
        <f>IFERROR(__xludf.DUMMYFUNCTION("""COMPUTED_VALUE"""),"MYNTRA")</f>
        <v>MYNTRA</v>
      </c>
      <c r="D2635" s="115">
        <f>IFERROR(__xludf.DUMMYFUNCTION("""COMPUTED_VALUE"""),33188.0)</f>
        <v>33188</v>
      </c>
      <c r="E2635" s="115">
        <f>IFERROR(__xludf.DUMMYFUNCTION("""COMPUTED_VALUE"""),5221.0)</f>
        <v>5221</v>
      </c>
      <c r="F2635" s="115">
        <f>IFERROR(__xludf.DUMMYFUNCTION("""COMPUTED_VALUE"""),26333.0)</f>
        <v>26333</v>
      </c>
      <c r="G2635" s="115">
        <f>IFERROR(__xludf.DUMMYFUNCTION("""COMPUTED_VALUE"""),3636.0)</f>
        <v>3636</v>
      </c>
      <c r="H2635" s="116">
        <f>IFERROR(__xludf.DUMMYFUNCTION("""COMPUTED_VALUE"""),45905.0)</f>
        <v>45905</v>
      </c>
      <c r="I2635" s="115" t="str">
        <f>IFERROR(__xludf.DUMMYFUNCTION("""COMPUTED_VALUE"""),"21")</f>
        <v>21</v>
      </c>
      <c r="J2635" s="115" t="str">
        <f>IFERROR(__xludf.DUMMYFUNCTION("""COMPUTED_VALUE"""),"Parag Kashyap2025-09-0521")</f>
        <v>Parag Kashyap2025-09-0521</v>
      </c>
      <c r="K2635" s="115">
        <f>IFERROR(__xludf.DUMMYFUNCTION("""COMPUTED_VALUE"""),38409.0)</f>
        <v>38409</v>
      </c>
    </row>
    <row r="2636">
      <c r="A2636" s="115" t="str">
        <f>IFERROR(__xludf.DUMMYFUNCTION("""COMPUTED_VALUE"""),"NORTH")</f>
        <v>NORTH</v>
      </c>
      <c r="B2636" s="115" t="str">
        <f>IFERROR(__xludf.DUMMYFUNCTION("""COMPUTED_VALUE"""),"Amit Kumar Pathak")</f>
        <v>Amit Kumar Pathak</v>
      </c>
      <c r="C2636" s="115" t="str">
        <f>IFERROR(__xludf.DUMMYFUNCTION("""COMPUTED_VALUE"""),"EXTERNAL")</f>
        <v>EXTERNAL</v>
      </c>
      <c r="D2636" s="115">
        <f>IFERROR(__xludf.DUMMYFUNCTION("""COMPUTED_VALUE"""),27054.0)</f>
        <v>27054</v>
      </c>
      <c r="E2636" s="115">
        <f>IFERROR(__xludf.DUMMYFUNCTION("""COMPUTED_VALUE"""),3124.0)</f>
        <v>3124</v>
      </c>
      <c r="F2636" s="115">
        <f>IFERROR(__xludf.DUMMYFUNCTION("""COMPUTED_VALUE"""),11130.0)</f>
        <v>11130</v>
      </c>
      <c r="G2636" s="115">
        <f>IFERROR(__xludf.DUMMYFUNCTION("""COMPUTED_VALUE"""),1805.0)</f>
        <v>1805</v>
      </c>
      <c r="H2636" s="116">
        <f>IFERROR(__xludf.DUMMYFUNCTION("""COMPUTED_VALUE"""),45905.0)</f>
        <v>45905</v>
      </c>
      <c r="I2636" s="115" t="str">
        <f>IFERROR(__xludf.DUMMYFUNCTION("""COMPUTED_VALUE"""),"21")</f>
        <v>21</v>
      </c>
      <c r="J2636" s="115" t="str">
        <f>IFERROR(__xludf.DUMMYFUNCTION("""COMPUTED_VALUE"""),"Amit Kumar Pathak2025-09-0521")</f>
        <v>Amit Kumar Pathak2025-09-0521</v>
      </c>
      <c r="K2636" s="115">
        <f>IFERROR(__xludf.DUMMYFUNCTION("""COMPUTED_VALUE"""),30178.0)</f>
        <v>30178</v>
      </c>
    </row>
    <row r="2637">
      <c r="A2637" s="115" t="str">
        <f>IFERROR(__xludf.DUMMYFUNCTION("""COMPUTED_VALUE"""),"NORTH")</f>
        <v>NORTH</v>
      </c>
      <c r="B2637" s="115" t="str">
        <f>IFERROR(__xludf.DUMMYFUNCTION("""COMPUTED_VALUE"""),"Amit Kumar Pathak")</f>
        <v>Amit Kumar Pathak</v>
      </c>
      <c r="C2637" s="115" t="str">
        <f>IFERROR(__xludf.DUMMYFUNCTION("""COMPUTED_VALUE"""),"FLIPKART")</f>
        <v>FLIPKART</v>
      </c>
      <c r="D2637" s="115">
        <f>IFERROR(__xludf.DUMMYFUNCTION("""COMPUTED_VALUE"""),182092.0)</f>
        <v>182092</v>
      </c>
      <c r="E2637" s="115">
        <f>IFERROR(__xludf.DUMMYFUNCTION("""COMPUTED_VALUE"""),26195.0)</f>
        <v>26195</v>
      </c>
      <c r="F2637" s="115">
        <f>IFERROR(__xludf.DUMMYFUNCTION("""COMPUTED_VALUE"""),132994.0)</f>
        <v>132994</v>
      </c>
      <c r="G2637" s="115">
        <f>IFERROR(__xludf.DUMMYFUNCTION("""COMPUTED_VALUE"""),18223.0)</f>
        <v>18223</v>
      </c>
      <c r="H2637" s="116">
        <f>IFERROR(__xludf.DUMMYFUNCTION("""COMPUTED_VALUE"""),45905.0)</f>
        <v>45905</v>
      </c>
      <c r="I2637" s="115" t="str">
        <f>IFERROR(__xludf.DUMMYFUNCTION("""COMPUTED_VALUE"""),"21")</f>
        <v>21</v>
      </c>
      <c r="J2637" s="115" t="str">
        <f>IFERROR(__xludf.DUMMYFUNCTION("""COMPUTED_VALUE"""),"Amit Kumar Pathak2025-09-0521")</f>
        <v>Amit Kumar Pathak2025-09-0521</v>
      </c>
      <c r="K2637" s="115">
        <f>IFERROR(__xludf.DUMMYFUNCTION("""COMPUTED_VALUE"""),208287.0)</f>
        <v>208287</v>
      </c>
    </row>
    <row r="2638">
      <c r="A2638" s="115" t="str">
        <f>IFERROR(__xludf.DUMMYFUNCTION("""COMPUTED_VALUE"""),"NORTH")</f>
        <v>NORTH</v>
      </c>
      <c r="B2638" s="115" t="str">
        <f>IFERROR(__xludf.DUMMYFUNCTION("""COMPUTED_VALUE"""),"Amit Kumar Pathak")</f>
        <v>Amit Kumar Pathak</v>
      </c>
      <c r="C2638" s="115" t="str">
        <f>IFERROR(__xludf.DUMMYFUNCTION("""COMPUTED_VALUE"""),"MYNTRA")</f>
        <v>MYNTRA</v>
      </c>
      <c r="D2638" s="115">
        <f>IFERROR(__xludf.DUMMYFUNCTION("""COMPUTED_VALUE"""),17878.0)</f>
        <v>17878</v>
      </c>
      <c r="E2638" s="115">
        <f>IFERROR(__xludf.DUMMYFUNCTION("""COMPUTED_VALUE"""),6362.0)</f>
        <v>6362</v>
      </c>
      <c r="F2638" s="115">
        <f>IFERROR(__xludf.DUMMYFUNCTION("""COMPUTED_VALUE"""),15181.0)</f>
        <v>15181</v>
      </c>
      <c r="G2638" s="115">
        <f>IFERROR(__xludf.DUMMYFUNCTION("""COMPUTED_VALUE"""),4578.0)</f>
        <v>4578</v>
      </c>
      <c r="H2638" s="116">
        <f>IFERROR(__xludf.DUMMYFUNCTION("""COMPUTED_VALUE"""),45905.0)</f>
        <v>45905</v>
      </c>
      <c r="I2638" s="115" t="str">
        <f>IFERROR(__xludf.DUMMYFUNCTION("""COMPUTED_VALUE"""),"21")</f>
        <v>21</v>
      </c>
      <c r="J2638" s="115" t="str">
        <f>IFERROR(__xludf.DUMMYFUNCTION("""COMPUTED_VALUE"""),"Amit Kumar Pathak2025-09-0521")</f>
        <v>Amit Kumar Pathak2025-09-0521</v>
      </c>
      <c r="K2638" s="115">
        <f>IFERROR(__xludf.DUMMYFUNCTION("""COMPUTED_VALUE"""),24240.0)</f>
        <v>24240</v>
      </c>
    </row>
    <row r="2639">
      <c r="A2639" s="115" t="str">
        <f>IFERROR(__xludf.DUMMYFUNCTION("""COMPUTED_VALUE"""),"NORTH")</f>
        <v>NORTH</v>
      </c>
      <c r="B2639" s="115" t="str">
        <f>IFERROR(__xludf.DUMMYFUNCTION("""COMPUTED_VALUE"""),"Loveleen Singh")</f>
        <v>Loveleen Singh</v>
      </c>
      <c r="C2639" s="115" t="str">
        <f>IFERROR(__xludf.DUMMYFUNCTION("""COMPUTED_VALUE"""),"EXTERNAL")</f>
        <v>EXTERNAL</v>
      </c>
      <c r="D2639" s="115">
        <f>IFERROR(__xludf.DUMMYFUNCTION("""COMPUTED_VALUE"""),36635.0)</f>
        <v>36635</v>
      </c>
      <c r="E2639" s="115">
        <f>IFERROR(__xludf.DUMMYFUNCTION("""COMPUTED_VALUE"""),2293.0)</f>
        <v>2293</v>
      </c>
      <c r="F2639" s="115">
        <f>IFERROR(__xludf.DUMMYFUNCTION("""COMPUTED_VALUE"""),14641.0)</f>
        <v>14641</v>
      </c>
      <c r="G2639" s="115">
        <f>IFERROR(__xludf.DUMMYFUNCTION("""COMPUTED_VALUE"""),907.0)</f>
        <v>907</v>
      </c>
      <c r="H2639" s="116">
        <f>IFERROR(__xludf.DUMMYFUNCTION("""COMPUTED_VALUE"""),45905.0)</f>
        <v>45905</v>
      </c>
      <c r="I2639" s="115" t="str">
        <f>IFERROR(__xludf.DUMMYFUNCTION("""COMPUTED_VALUE"""),"21")</f>
        <v>21</v>
      </c>
      <c r="J2639" s="115" t="str">
        <f>IFERROR(__xludf.DUMMYFUNCTION("""COMPUTED_VALUE"""),"Loveleen Singh2025-09-0521")</f>
        <v>Loveleen Singh2025-09-0521</v>
      </c>
      <c r="K2639" s="115">
        <f>IFERROR(__xludf.DUMMYFUNCTION("""COMPUTED_VALUE"""),38928.0)</f>
        <v>38928</v>
      </c>
    </row>
    <row r="2640">
      <c r="A2640" s="115" t="str">
        <f>IFERROR(__xludf.DUMMYFUNCTION("""COMPUTED_VALUE"""),"NORTH")</f>
        <v>NORTH</v>
      </c>
      <c r="B2640" s="115" t="str">
        <f>IFERROR(__xludf.DUMMYFUNCTION("""COMPUTED_VALUE"""),"Loveleen Singh")</f>
        <v>Loveleen Singh</v>
      </c>
      <c r="C2640" s="115" t="str">
        <f>IFERROR(__xludf.DUMMYFUNCTION("""COMPUTED_VALUE"""),"FLIPKART")</f>
        <v>FLIPKART</v>
      </c>
      <c r="D2640" s="115">
        <f>IFERROR(__xludf.DUMMYFUNCTION("""COMPUTED_VALUE"""),171179.0)</f>
        <v>171179</v>
      </c>
      <c r="E2640" s="115">
        <f>IFERROR(__xludf.DUMMYFUNCTION("""COMPUTED_VALUE"""),16472.0)</f>
        <v>16472</v>
      </c>
      <c r="F2640" s="115">
        <f>IFERROR(__xludf.DUMMYFUNCTION("""COMPUTED_VALUE"""),127852.0)</f>
        <v>127852</v>
      </c>
      <c r="G2640" s="115">
        <f>IFERROR(__xludf.DUMMYFUNCTION("""COMPUTED_VALUE"""),10396.0)</f>
        <v>10396</v>
      </c>
      <c r="H2640" s="116">
        <f>IFERROR(__xludf.DUMMYFUNCTION("""COMPUTED_VALUE"""),45905.0)</f>
        <v>45905</v>
      </c>
      <c r="I2640" s="115" t="str">
        <f>IFERROR(__xludf.DUMMYFUNCTION("""COMPUTED_VALUE"""),"21")</f>
        <v>21</v>
      </c>
      <c r="J2640" s="115" t="str">
        <f>IFERROR(__xludf.DUMMYFUNCTION("""COMPUTED_VALUE"""),"Loveleen Singh2025-09-0521")</f>
        <v>Loveleen Singh2025-09-0521</v>
      </c>
      <c r="K2640" s="115">
        <f>IFERROR(__xludf.DUMMYFUNCTION("""COMPUTED_VALUE"""),187651.0)</f>
        <v>187651</v>
      </c>
    </row>
    <row r="2641">
      <c r="A2641" s="115" t="str">
        <f>IFERROR(__xludf.DUMMYFUNCTION("""COMPUTED_VALUE"""),"NORTH")</f>
        <v>NORTH</v>
      </c>
      <c r="B2641" s="115" t="str">
        <f>IFERROR(__xludf.DUMMYFUNCTION("""COMPUTED_VALUE"""),"Loveleen Singh")</f>
        <v>Loveleen Singh</v>
      </c>
      <c r="C2641" s="115" t="str">
        <f>IFERROR(__xludf.DUMMYFUNCTION("""COMPUTED_VALUE"""),"MYNTRA")</f>
        <v>MYNTRA</v>
      </c>
      <c r="D2641" s="115">
        <f>IFERROR(__xludf.DUMMYFUNCTION("""COMPUTED_VALUE"""),27472.0)</f>
        <v>27472</v>
      </c>
      <c r="E2641" s="115">
        <f>IFERROR(__xludf.DUMMYFUNCTION("""COMPUTED_VALUE"""),6250.0)</f>
        <v>6250</v>
      </c>
      <c r="F2641" s="115">
        <f>IFERROR(__xludf.DUMMYFUNCTION("""COMPUTED_VALUE"""),22696.0)</f>
        <v>22696</v>
      </c>
      <c r="G2641" s="115">
        <f>IFERROR(__xludf.DUMMYFUNCTION("""COMPUTED_VALUE"""),4171.0)</f>
        <v>4171</v>
      </c>
      <c r="H2641" s="116">
        <f>IFERROR(__xludf.DUMMYFUNCTION("""COMPUTED_VALUE"""),45905.0)</f>
        <v>45905</v>
      </c>
      <c r="I2641" s="115" t="str">
        <f>IFERROR(__xludf.DUMMYFUNCTION("""COMPUTED_VALUE"""),"21")</f>
        <v>21</v>
      </c>
      <c r="J2641" s="115" t="str">
        <f>IFERROR(__xludf.DUMMYFUNCTION("""COMPUTED_VALUE"""),"Loveleen Singh2025-09-0521")</f>
        <v>Loveleen Singh2025-09-0521</v>
      </c>
      <c r="K2641" s="115">
        <f>IFERROR(__xludf.DUMMYFUNCTION("""COMPUTED_VALUE"""),33722.0)</f>
        <v>33722</v>
      </c>
    </row>
    <row r="2642">
      <c r="A2642" s="115" t="str">
        <f>IFERROR(__xludf.DUMMYFUNCTION("""COMPUTED_VALUE"""),"NORTH")</f>
        <v>NORTH</v>
      </c>
      <c r="B2642" s="115" t="str">
        <f>IFERROR(__xludf.DUMMYFUNCTION("""COMPUTED_VALUE"""),"Manoj Harsh")</f>
        <v>Manoj Harsh</v>
      </c>
      <c r="C2642" s="115" t="str">
        <f>IFERROR(__xludf.DUMMYFUNCTION("""COMPUTED_VALUE"""),"EXTERNAL")</f>
        <v>EXTERNAL</v>
      </c>
      <c r="D2642" s="115">
        <f>IFERROR(__xludf.DUMMYFUNCTION("""COMPUTED_VALUE"""),34166.0)</f>
        <v>34166</v>
      </c>
      <c r="E2642" s="115">
        <f>IFERROR(__xludf.DUMMYFUNCTION("""COMPUTED_VALUE"""),2704.0)</f>
        <v>2704</v>
      </c>
      <c r="F2642" s="115">
        <f>IFERROR(__xludf.DUMMYFUNCTION("""COMPUTED_VALUE"""),14923.0)</f>
        <v>14923</v>
      </c>
      <c r="G2642" s="115">
        <f>IFERROR(__xludf.DUMMYFUNCTION("""COMPUTED_VALUE"""),1093.0)</f>
        <v>1093</v>
      </c>
      <c r="H2642" s="116">
        <f>IFERROR(__xludf.DUMMYFUNCTION("""COMPUTED_VALUE"""),45905.0)</f>
        <v>45905</v>
      </c>
      <c r="I2642" s="115" t="str">
        <f>IFERROR(__xludf.DUMMYFUNCTION("""COMPUTED_VALUE"""),"21")</f>
        <v>21</v>
      </c>
      <c r="J2642" s="115" t="str">
        <f>IFERROR(__xludf.DUMMYFUNCTION("""COMPUTED_VALUE"""),"Manoj Harsh2025-09-0521")</f>
        <v>Manoj Harsh2025-09-0521</v>
      </c>
      <c r="K2642" s="115">
        <f>IFERROR(__xludf.DUMMYFUNCTION("""COMPUTED_VALUE"""),36870.0)</f>
        <v>36870</v>
      </c>
    </row>
    <row r="2643">
      <c r="A2643" s="115" t="str">
        <f>IFERROR(__xludf.DUMMYFUNCTION("""COMPUTED_VALUE"""),"NORTH")</f>
        <v>NORTH</v>
      </c>
      <c r="B2643" s="115" t="str">
        <f>IFERROR(__xludf.DUMMYFUNCTION("""COMPUTED_VALUE"""),"Manoj Harsh")</f>
        <v>Manoj Harsh</v>
      </c>
      <c r="C2643" s="115" t="str">
        <f>IFERROR(__xludf.DUMMYFUNCTION("""COMPUTED_VALUE"""),"FLIPKART")</f>
        <v>FLIPKART</v>
      </c>
      <c r="D2643" s="115">
        <f>IFERROR(__xludf.DUMMYFUNCTION("""COMPUTED_VALUE"""),412765.0)</f>
        <v>412765</v>
      </c>
      <c r="E2643" s="115">
        <f>IFERROR(__xludf.DUMMYFUNCTION("""COMPUTED_VALUE"""),41256.0)</f>
        <v>41256</v>
      </c>
      <c r="F2643" s="115">
        <f>IFERROR(__xludf.DUMMYFUNCTION("""COMPUTED_VALUE"""),307030.0)</f>
        <v>307030</v>
      </c>
      <c r="G2643" s="115">
        <f>IFERROR(__xludf.DUMMYFUNCTION("""COMPUTED_VALUE"""),27081.0)</f>
        <v>27081</v>
      </c>
      <c r="H2643" s="116">
        <f>IFERROR(__xludf.DUMMYFUNCTION("""COMPUTED_VALUE"""),45905.0)</f>
        <v>45905</v>
      </c>
      <c r="I2643" s="115" t="str">
        <f>IFERROR(__xludf.DUMMYFUNCTION("""COMPUTED_VALUE"""),"21")</f>
        <v>21</v>
      </c>
      <c r="J2643" s="115" t="str">
        <f>IFERROR(__xludf.DUMMYFUNCTION("""COMPUTED_VALUE"""),"Manoj Harsh2025-09-0521")</f>
        <v>Manoj Harsh2025-09-0521</v>
      </c>
      <c r="K2643" s="115">
        <f>IFERROR(__xludf.DUMMYFUNCTION("""COMPUTED_VALUE"""),454021.0)</f>
        <v>454021</v>
      </c>
    </row>
    <row r="2644">
      <c r="A2644" s="115" t="str">
        <f>IFERROR(__xludf.DUMMYFUNCTION("""COMPUTED_VALUE"""),"NORTH")</f>
        <v>NORTH</v>
      </c>
      <c r="B2644" s="115" t="str">
        <f>IFERROR(__xludf.DUMMYFUNCTION("""COMPUTED_VALUE"""),"Manoj Harsh")</f>
        <v>Manoj Harsh</v>
      </c>
      <c r="C2644" s="115" t="str">
        <f>IFERROR(__xludf.DUMMYFUNCTION("""COMPUTED_VALUE"""),"MYNTRA")</f>
        <v>MYNTRA</v>
      </c>
      <c r="D2644" s="115">
        <f>IFERROR(__xludf.DUMMYFUNCTION("""COMPUTED_VALUE"""),38459.0)</f>
        <v>38459</v>
      </c>
      <c r="E2644" s="115">
        <f>IFERROR(__xludf.DUMMYFUNCTION("""COMPUTED_VALUE"""),7969.0)</f>
        <v>7969</v>
      </c>
      <c r="F2644" s="115">
        <f>IFERROR(__xludf.DUMMYFUNCTION("""COMPUTED_VALUE"""),31147.0)</f>
        <v>31147</v>
      </c>
      <c r="G2644" s="115">
        <f>IFERROR(__xludf.DUMMYFUNCTION("""COMPUTED_VALUE"""),5476.0)</f>
        <v>5476</v>
      </c>
      <c r="H2644" s="116">
        <f>IFERROR(__xludf.DUMMYFUNCTION("""COMPUTED_VALUE"""),45905.0)</f>
        <v>45905</v>
      </c>
      <c r="I2644" s="115" t="str">
        <f>IFERROR(__xludf.DUMMYFUNCTION("""COMPUTED_VALUE"""),"21")</f>
        <v>21</v>
      </c>
      <c r="J2644" s="115" t="str">
        <f>IFERROR(__xludf.DUMMYFUNCTION("""COMPUTED_VALUE"""),"Manoj Harsh2025-09-0521")</f>
        <v>Manoj Harsh2025-09-0521</v>
      </c>
      <c r="K2644" s="115">
        <f>IFERROR(__xludf.DUMMYFUNCTION("""COMPUTED_VALUE"""),46428.0)</f>
        <v>46428</v>
      </c>
    </row>
    <row r="2645">
      <c r="A2645" s="115" t="str">
        <f>IFERROR(__xludf.DUMMYFUNCTION("""COMPUTED_VALUE"""),"NORTH")</f>
        <v>NORTH</v>
      </c>
      <c r="B2645" s="115" t="str">
        <f>IFERROR(__xludf.DUMMYFUNCTION("""COMPUTED_VALUE"""),"Pradeep Kothari")</f>
        <v>Pradeep Kothari</v>
      </c>
      <c r="C2645" s="115" t="str">
        <f>IFERROR(__xludf.DUMMYFUNCTION("""COMPUTED_VALUE"""),"EXTERNAL")</f>
        <v>EXTERNAL</v>
      </c>
      <c r="D2645" s="115">
        <f>IFERROR(__xludf.DUMMYFUNCTION("""COMPUTED_VALUE"""),18855.0)</f>
        <v>18855</v>
      </c>
      <c r="E2645" s="115">
        <f>IFERROR(__xludf.DUMMYFUNCTION("""COMPUTED_VALUE"""),1870.0)</f>
        <v>1870</v>
      </c>
      <c r="F2645" s="115">
        <f>IFERROR(__xludf.DUMMYFUNCTION("""COMPUTED_VALUE"""),7944.0)</f>
        <v>7944</v>
      </c>
      <c r="G2645" s="115">
        <f>IFERROR(__xludf.DUMMYFUNCTION("""COMPUTED_VALUE"""),876.0)</f>
        <v>876</v>
      </c>
      <c r="H2645" s="116">
        <f>IFERROR(__xludf.DUMMYFUNCTION("""COMPUTED_VALUE"""),45905.0)</f>
        <v>45905</v>
      </c>
      <c r="I2645" s="115" t="str">
        <f>IFERROR(__xludf.DUMMYFUNCTION("""COMPUTED_VALUE"""),"21")</f>
        <v>21</v>
      </c>
      <c r="J2645" s="115" t="str">
        <f>IFERROR(__xludf.DUMMYFUNCTION("""COMPUTED_VALUE"""),"Pradeep Kothari2025-09-0521")</f>
        <v>Pradeep Kothari2025-09-0521</v>
      </c>
      <c r="K2645" s="115">
        <f>IFERROR(__xludf.DUMMYFUNCTION("""COMPUTED_VALUE"""),20725.0)</f>
        <v>20725</v>
      </c>
    </row>
    <row r="2646">
      <c r="A2646" s="115" t="str">
        <f>IFERROR(__xludf.DUMMYFUNCTION("""COMPUTED_VALUE"""),"NORTH")</f>
        <v>NORTH</v>
      </c>
      <c r="B2646" s="115" t="str">
        <f>IFERROR(__xludf.DUMMYFUNCTION("""COMPUTED_VALUE"""),"Pradeep Kothari")</f>
        <v>Pradeep Kothari</v>
      </c>
      <c r="C2646" s="115" t="str">
        <f>IFERROR(__xludf.DUMMYFUNCTION("""COMPUTED_VALUE"""),"FLIPKART")</f>
        <v>FLIPKART</v>
      </c>
      <c r="D2646" s="115">
        <f>IFERROR(__xludf.DUMMYFUNCTION("""COMPUTED_VALUE"""),141223.0)</f>
        <v>141223</v>
      </c>
      <c r="E2646" s="115">
        <f>IFERROR(__xludf.DUMMYFUNCTION("""COMPUTED_VALUE"""),17140.0)</f>
        <v>17140</v>
      </c>
      <c r="F2646" s="115">
        <f>IFERROR(__xludf.DUMMYFUNCTION("""COMPUTED_VALUE"""),105803.0)</f>
        <v>105803</v>
      </c>
      <c r="G2646" s="115">
        <f>IFERROR(__xludf.DUMMYFUNCTION("""COMPUTED_VALUE"""),11642.0)</f>
        <v>11642</v>
      </c>
      <c r="H2646" s="116">
        <f>IFERROR(__xludf.DUMMYFUNCTION("""COMPUTED_VALUE"""),45905.0)</f>
        <v>45905</v>
      </c>
      <c r="I2646" s="115" t="str">
        <f>IFERROR(__xludf.DUMMYFUNCTION("""COMPUTED_VALUE"""),"21")</f>
        <v>21</v>
      </c>
      <c r="J2646" s="115" t="str">
        <f>IFERROR(__xludf.DUMMYFUNCTION("""COMPUTED_VALUE"""),"Pradeep Kothari2025-09-0521")</f>
        <v>Pradeep Kothari2025-09-0521</v>
      </c>
      <c r="K2646" s="115">
        <f>IFERROR(__xludf.DUMMYFUNCTION("""COMPUTED_VALUE"""),158363.0)</f>
        <v>158363</v>
      </c>
    </row>
    <row r="2647">
      <c r="A2647" s="115" t="str">
        <f>IFERROR(__xludf.DUMMYFUNCTION("""COMPUTED_VALUE"""),"NORTH")</f>
        <v>NORTH</v>
      </c>
      <c r="B2647" s="115" t="str">
        <f>IFERROR(__xludf.DUMMYFUNCTION("""COMPUTED_VALUE"""),"Pradeep Kothari")</f>
        <v>Pradeep Kothari</v>
      </c>
      <c r="C2647" s="115" t="str">
        <f>IFERROR(__xludf.DUMMYFUNCTION("""COMPUTED_VALUE"""),"MYNTRA")</f>
        <v>MYNTRA</v>
      </c>
      <c r="D2647" s="115">
        <f>IFERROR(__xludf.DUMMYFUNCTION("""COMPUTED_VALUE"""),24616.0)</f>
        <v>24616</v>
      </c>
      <c r="E2647" s="115">
        <f>IFERROR(__xludf.DUMMYFUNCTION("""COMPUTED_VALUE"""),6455.0)</f>
        <v>6455</v>
      </c>
      <c r="F2647" s="115">
        <f>IFERROR(__xludf.DUMMYFUNCTION("""COMPUTED_VALUE"""),20657.0)</f>
        <v>20657</v>
      </c>
      <c r="G2647" s="115">
        <f>IFERROR(__xludf.DUMMYFUNCTION("""COMPUTED_VALUE"""),4704.0)</f>
        <v>4704</v>
      </c>
      <c r="H2647" s="116">
        <f>IFERROR(__xludf.DUMMYFUNCTION("""COMPUTED_VALUE"""),45905.0)</f>
        <v>45905</v>
      </c>
      <c r="I2647" s="115" t="str">
        <f>IFERROR(__xludf.DUMMYFUNCTION("""COMPUTED_VALUE"""),"21")</f>
        <v>21</v>
      </c>
      <c r="J2647" s="115" t="str">
        <f>IFERROR(__xludf.DUMMYFUNCTION("""COMPUTED_VALUE"""),"Pradeep Kothari2025-09-0521")</f>
        <v>Pradeep Kothari2025-09-0521</v>
      </c>
      <c r="K2647" s="115">
        <f>IFERROR(__xludf.DUMMYFUNCTION("""COMPUTED_VALUE"""),31071.0)</f>
        <v>31071</v>
      </c>
    </row>
    <row r="2648">
      <c r="A2648" s="115" t="str">
        <f>IFERROR(__xludf.DUMMYFUNCTION("""COMPUTED_VALUE"""),"SOUTH")</f>
        <v>SOUTH</v>
      </c>
      <c r="B2648" s="115" t="str">
        <f>IFERROR(__xludf.DUMMYFUNCTION("""COMPUTED_VALUE"""),"Kandula Sampath")</f>
        <v>Kandula Sampath</v>
      </c>
      <c r="C2648" s="115" t="str">
        <f>IFERROR(__xludf.DUMMYFUNCTION("""COMPUTED_VALUE"""),"EXTERNAL")</f>
        <v>EXTERNAL</v>
      </c>
      <c r="D2648" s="115">
        <f>IFERROR(__xludf.DUMMYFUNCTION("""COMPUTED_VALUE"""),35542.0)</f>
        <v>35542</v>
      </c>
      <c r="E2648" s="115">
        <f>IFERROR(__xludf.DUMMYFUNCTION("""COMPUTED_VALUE"""),3593.0)</f>
        <v>3593</v>
      </c>
      <c r="F2648" s="115">
        <f>IFERROR(__xludf.DUMMYFUNCTION("""COMPUTED_VALUE"""),15985.0)</f>
        <v>15985</v>
      </c>
      <c r="G2648" s="115">
        <f>IFERROR(__xludf.DUMMYFUNCTION("""COMPUTED_VALUE"""),1474.0)</f>
        <v>1474</v>
      </c>
      <c r="H2648" s="116">
        <f>IFERROR(__xludf.DUMMYFUNCTION("""COMPUTED_VALUE"""),45905.0)</f>
        <v>45905</v>
      </c>
      <c r="I2648" s="115" t="str">
        <f>IFERROR(__xludf.DUMMYFUNCTION("""COMPUTED_VALUE"""),"21")</f>
        <v>21</v>
      </c>
      <c r="J2648" s="115" t="str">
        <f>IFERROR(__xludf.DUMMYFUNCTION("""COMPUTED_VALUE"""),"Kandula Sampath2025-09-0521")</f>
        <v>Kandula Sampath2025-09-0521</v>
      </c>
      <c r="K2648" s="115">
        <f>IFERROR(__xludf.DUMMYFUNCTION("""COMPUTED_VALUE"""),39135.0)</f>
        <v>39135</v>
      </c>
    </row>
    <row r="2649">
      <c r="A2649" s="115" t="str">
        <f>IFERROR(__xludf.DUMMYFUNCTION("""COMPUTED_VALUE"""),"SOUTH")</f>
        <v>SOUTH</v>
      </c>
      <c r="B2649" s="115" t="str">
        <f>IFERROR(__xludf.DUMMYFUNCTION("""COMPUTED_VALUE"""),"Kandula Sampath")</f>
        <v>Kandula Sampath</v>
      </c>
      <c r="C2649" s="115" t="str">
        <f>IFERROR(__xludf.DUMMYFUNCTION("""COMPUTED_VALUE"""),"FLIPKART")</f>
        <v>FLIPKART</v>
      </c>
      <c r="D2649" s="115">
        <f>IFERROR(__xludf.DUMMYFUNCTION("""COMPUTED_VALUE"""),290819.0)</f>
        <v>290819</v>
      </c>
      <c r="E2649" s="115">
        <f>IFERROR(__xludf.DUMMYFUNCTION("""COMPUTED_VALUE"""),29425.0)</f>
        <v>29425</v>
      </c>
      <c r="F2649" s="115">
        <f>IFERROR(__xludf.DUMMYFUNCTION("""COMPUTED_VALUE"""),220808.0)</f>
        <v>220808</v>
      </c>
      <c r="G2649" s="115">
        <f>IFERROR(__xludf.DUMMYFUNCTION("""COMPUTED_VALUE"""),18965.0)</f>
        <v>18965</v>
      </c>
      <c r="H2649" s="116">
        <f>IFERROR(__xludf.DUMMYFUNCTION("""COMPUTED_VALUE"""),45905.0)</f>
        <v>45905</v>
      </c>
      <c r="I2649" s="115" t="str">
        <f>IFERROR(__xludf.DUMMYFUNCTION("""COMPUTED_VALUE"""),"21")</f>
        <v>21</v>
      </c>
      <c r="J2649" s="115" t="str">
        <f>IFERROR(__xludf.DUMMYFUNCTION("""COMPUTED_VALUE"""),"Kandula Sampath2025-09-0521")</f>
        <v>Kandula Sampath2025-09-0521</v>
      </c>
      <c r="K2649" s="115">
        <f>IFERROR(__xludf.DUMMYFUNCTION("""COMPUTED_VALUE"""),320244.0)</f>
        <v>320244</v>
      </c>
    </row>
    <row r="2650">
      <c r="A2650" s="115" t="str">
        <f>IFERROR(__xludf.DUMMYFUNCTION("""COMPUTED_VALUE"""),"SOUTH")</f>
        <v>SOUTH</v>
      </c>
      <c r="B2650" s="115" t="str">
        <f>IFERROR(__xludf.DUMMYFUNCTION("""COMPUTED_VALUE"""),"Kandula Sampath")</f>
        <v>Kandula Sampath</v>
      </c>
      <c r="C2650" s="115" t="str">
        <f>IFERROR(__xludf.DUMMYFUNCTION("""COMPUTED_VALUE"""),"MYNTRA")</f>
        <v>MYNTRA</v>
      </c>
      <c r="D2650" s="115">
        <f>IFERROR(__xludf.DUMMYFUNCTION("""COMPUTED_VALUE"""),35245.0)</f>
        <v>35245</v>
      </c>
      <c r="E2650" s="115">
        <f>IFERROR(__xludf.DUMMYFUNCTION("""COMPUTED_VALUE"""),7371.0)</f>
        <v>7371</v>
      </c>
      <c r="F2650" s="115">
        <f>IFERROR(__xludf.DUMMYFUNCTION("""COMPUTED_VALUE"""),29351.0)</f>
        <v>29351</v>
      </c>
      <c r="G2650" s="115">
        <f>IFERROR(__xludf.DUMMYFUNCTION("""COMPUTED_VALUE"""),4920.0)</f>
        <v>4920</v>
      </c>
      <c r="H2650" s="116">
        <f>IFERROR(__xludf.DUMMYFUNCTION("""COMPUTED_VALUE"""),45905.0)</f>
        <v>45905</v>
      </c>
      <c r="I2650" s="115" t="str">
        <f>IFERROR(__xludf.DUMMYFUNCTION("""COMPUTED_VALUE"""),"21")</f>
        <v>21</v>
      </c>
      <c r="J2650" s="115" t="str">
        <f>IFERROR(__xludf.DUMMYFUNCTION("""COMPUTED_VALUE"""),"Kandula Sampath2025-09-0521")</f>
        <v>Kandula Sampath2025-09-0521</v>
      </c>
      <c r="K2650" s="115">
        <f>IFERROR(__xludf.DUMMYFUNCTION("""COMPUTED_VALUE"""),42616.0)</f>
        <v>42616</v>
      </c>
    </row>
    <row r="2651">
      <c r="A2651" s="115" t="str">
        <f>IFERROR(__xludf.DUMMYFUNCTION("""COMPUTED_VALUE"""),"SOUTH")</f>
        <v>SOUTH</v>
      </c>
      <c r="B2651" s="115" t="str">
        <f>IFERROR(__xludf.DUMMYFUNCTION("""COMPUTED_VALUE"""),"Martin A")</f>
        <v>Martin A</v>
      </c>
      <c r="C2651" s="115" t="str">
        <f>IFERROR(__xludf.DUMMYFUNCTION("""COMPUTED_VALUE"""),"EXTERNAL")</f>
        <v>EXTERNAL</v>
      </c>
      <c r="D2651" s="115">
        <f>IFERROR(__xludf.DUMMYFUNCTION("""COMPUTED_VALUE"""),35475.0)</f>
        <v>35475</v>
      </c>
      <c r="E2651" s="115">
        <f>IFERROR(__xludf.DUMMYFUNCTION("""COMPUTED_VALUE"""),3386.0)</f>
        <v>3386</v>
      </c>
      <c r="F2651" s="115">
        <f>IFERROR(__xludf.DUMMYFUNCTION("""COMPUTED_VALUE"""),15718.0)</f>
        <v>15718</v>
      </c>
      <c r="G2651" s="115">
        <f>IFERROR(__xludf.DUMMYFUNCTION("""COMPUTED_VALUE"""),1973.0)</f>
        <v>1973</v>
      </c>
      <c r="H2651" s="116">
        <f>IFERROR(__xludf.DUMMYFUNCTION("""COMPUTED_VALUE"""),45905.0)</f>
        <v>45905</v>
      </c>
      <c r="I2651" s="115" t="str">
        <f>IFERROR(__xludf.DUMMYFUNCTION("""COMPUTED_VALUE"""),"21")</f>
        <v>21</v>
      </c>
      <c r="J2651" s="115" t="str">
        <f>IFERROR(__xludf.DUMMYFUNCTION("""COMPUTED_VALUE"""),"Martin A2025-09-0521")</f>
        <v>Martin A2025-09-0521</v>
      </c>
      <c r="K2651" s="115">
        <f>IFERROR(__xludf.DUMMYFUNCTION("""COMPUTED_VALUE"""),38861.0)</f>
        <v>38861</v>
      </c>
    </row>
    <row r="2652">
      <c r="A2652" s="115" t="str">
        <f>IFERROR(__xludf.DUMMYFUNCTION("""COMPUTED_VALUE"""),"SOUTH")</f>
        <v>SOUTH</v>
      </c>
      <c r="B2652" s="115" t="str">
        <f>IFERROR(__xludf.DUMMYFUNCTION("""COMPUTED_VALUE"""),"Martin A")</f>
        <v>Martin A</v>
      </c>
      <c r="C2652" s="115" t="str">
        <f>IFERROR(__xludf.DUMMYFUNCTION("""COMPUTED_VALUE"""),"FLIPKART")</f>
        <v>FLIPKART</v>
      </c>
      <c r="D2652" s="115">
        <f>IFERROR(__xludf.DUMMYFUNCTION("""COMPUTED_VALUE"""),265404.0)</f>
        <v>265404</v>
      </c>
      <c r="E2652" s="115">
        <f>IFERROR(__xludf.DUMMYFUNCTION("""COMPUTED_VALUE"""),25391.0)</f>
        <v>25391</v>
      </c>
      <c r="F2652" s="115">
        <f>IFERROR(__xludf.DUMMYFUNCTION("""COMPUTED_VALUE"""),198459.0)</f>
        <v>198459</v>
      </c>
      <c r="G2652" s="115">
        <f>IFERROR(__xludf.DUMMYFUNCTION("""COMPUTED_VALUE"""),16529.0)</f>
        <v>16529</v>
      </c>
      <c r="H2652" s="116">
        <f>IFERROR(__xludf.DUMMYFUNCTION("""COMPUTED_VALUE"""),45905.0)</f>
        <v>45905</v>
      </c>
      <c r="I2652" s="115" t="str">
        <f>IFERROR(__xludf.DUMMYFUNCTION("""COMPUTED_VALUE"""),"21")</f>
        <v>21</v>
      </c>
      <c r="J2652" s="115" t="str">
        <f>IFERROR(__xludf.DUMMYFUNCTION("""COMPUTED_VALUE"""),"Martin A2025-09-0521")</f>
        <v>Martin A2025-09-0521</v>
      </c>
      <c r="K2652" s="115">
        <f>IFERROR(__xludf.DUMMYFUNCTION("""COMPUTED_VALUE"""),290795.0)</f>
        <v>290795</v>
      </c>
    </row>
    <row r="2653">
      <c r="A2653" s="115" t="str">
        <f>IFERROR(__xludf.DUMMYFUNCTION("""COMPUTED_VALUE"""),"SOUTH")</f>
        <v>SOUTH</v>
      </c>
      <c r="B2653" s="115" t="str">
        <f>IFERROR(__xludf.DUMMYFUNCTION("""COMPUTED_VALUE"""),"Martin A")</f>
        <v>Martin A</v>
      </c>
      <c r="C2653" s="115" t="str">
        <f>IFERROR(__xludf.DUMMYFUNCTION("""COMPUTED_VALUE"""),"MYNTRA")</f>
        <v>MYNTRA</v>
      </c>
      <c r="D2653" s="115">
        <f>IFERROR(__xludf.DUMMYFUNCTION("""COMPUTED_VALUE"""),28133.0)</f>
        <v>28133</v>
      </c>
      <c r="E2653" s="115">
        <f>IFERROR(__xludf.DUMMYFUNCTION("""COMPUTED_VALUE"""),5633.0)</f>
        <v>5633</v>
      </c>
      <c r="F2653" s="115">
        <f>IFERROR(__xludf.DUMMYFUNCTION("""COMPUTED_VALUE"""),23789.0)</f>
        <v>23789</v>
      </c>
      <c r="G2653" s="115">
        <f>IFERROR(__xludf.DUMMYFUNCTION("""COMPUTED_VALUE"""),3809.0)</f>
        <v>3809</v>
      </c>
      <c r="H2653" s="116">
        <f>IFERROR(__xludf.DUMMYFUNCTION("""COMPUTED_VALUE"""),45905.0)</f>
        <v>45905</v>
      </c>
      <c r="I2653" s="115" t="str">
        <f>IFERROR(__xludf.DUMMYFUNCTION("""COMPUTED_VALUE"""),"21")</f>
        <v>21</v>
      </c>
      <c r="J2653" s="115" t="str">
        <f>IFERROR(__xludf.DUMMYFUNCTION("""COMPUTED_VALUE"""),"Martin A2025-09-0521")</f>
        <v>Martin A2025-09-0521</v>
      </c>
      <c r="K2653" s="115">
        <f>IFERROR(__xludf.DUMMYFUNCTION("""COMPUTED_VALUE"""),33766.0)</f>
        <v>33766</v>
      </c>
    </row>
    <row r="2654">
      <c r="A2654" s="115" t="str">
        <f>IFERROR(__xludf.DUMMYFUNCTION("""COMPUTED_VALUE"""),"SOUTH")</f>
        <v>SOUTH</v>
      </c>
      <c r="B2654" s="115" t="str">
        <f>IFERROR(__xludf.DUMMYFUNCTION("""COMPUTED_VALUE"""),"Premkumar M")</f>
        <v>Premkumar M</v>
      </c>
      <c r="C2654" s="115" t="str">
        <f>IFERROR(__xludf.DUMMYFUNCTION("""COMPUTED_VALUE"""),"EXTERNAL")</f>
        <v>EXTERNAL</v>
      </c>
      <c r="D2654" s="115">
        <f>IFERROR(__xludf.DUMMYFUNCTION("""COMPUTED_VALUE"""),30659.0)</f>
        <v>30659</v>
      </c>
      <c r="E2654" s="115">
        <f>IFERROR(__xludf.DUMMYFUNCTION("""COMPUTED_VALUE"""),1878.0)</f>
        <v>1878</v>
      </c>
      <c r="F2654" s="115">
        <f>IFERROR(__xludf.DUMMYFUNCTION("""COMPUTED_VALUE"""),15991.0)</f>
        <v>15991</v>
      </c>
      <c r="G2654" s="115">
        <f>IFERROR(__xludf.DUMMYFUNCTION("""COMPUTED_VALUE"""),715.0)</f>
        <v>715</v>
      </c>
      <c r="H2654" s="116">
        <f>IFERROR(__xludf.DUMMYFUNCTION("""COMPUTED_VALUE"""),45905.0)</f>
        <v>45905</v>
      </c>
      <c r="I2654" s="115" t="str">
        <f>IFERROR(__xludf.DUMMYFUNCTION("""COMPUTED_VALUE"""),"21")</f>
        <v>21</v>
      </c>
      <c r="J2654" s="115" t="str">
        <f>IFERROR(__xludf.DUMMYFUNCTION("""COMPUTED_VALUE"""),"Premkumar M2025-09-0521")</f>
        <v>Premkumar M2025-09-0521</v>
      </c>
      <c r="K2654" s="115">
        <f>IFERROR(__xludf.DUMMYFUNCTION("""COMPUTED_VALUE"""),32537.0)</f>
        <v>32537</v>
      </c>
    </row>
    <row r="2655">
      <c r="A2655" s="115" t="str">
        <f>IFERROR(__xludf.DUMMYFUNCTION("""COMPUTED_VALUE"""),"SOUTH")</f>
        <v>SOUTH</v>
      </c>
      <c r="B2655" s="115" t="str">
        <f>IFERROR(__xludf.DUMMYFUNCTION("""COMPUTED_VALUE"""),"Premkumar M")</f>
        <v>Premkumar M</v>
      </c>
      <c r="C2655" s="115" t="str">
        <f>IFERROR(__xludf.DUMMYFUNCTION("""COMPUTED_VALUE"""),"FLIPKART")</f>
        <v>FLIPKART</v>
      </c>
      <c r="D2655" s="115">
        <f>IFERROR(__xludf.DUMMYFUNCTION("""COMPUTED_VALUE"""),271648.0)</f>
        <v>271648</v>
      </c>
      <c r="E2655" s="115">
        <f>IFERROR(__xludf.DUMMYFUNCTION("""COMPUTED_VALUE"""),19418.0)</f>
        <v>19418</v>
      </c>
      <c r="F2655" s="115">
        <f>IFERROR(__xludf.DUMMYFUNCTION("""COMPUTED_VALUE"""),211180.0)</f>
        <v>211180</v>
      </c>
      <c r="G2655" s="115">
        <f>IFERROR(__xludf.DUMMYFUNCTION("""COMPUTED_VALUE"""),10501.0)</f>
        <v>10501</v>
      </c>
      <c r="H2655" s="116">
        <f>IFERROR(__xludf.DUMMYFUNCTION("""COMPUTED_VALUE"""),45905.0)</f>
        <v>45905</v>
      </c>
      <c r="I2655" s="115" t="str">
        <f>IFERROR(__xludf.DUMMYFUNCTION("""COMPUTED_VALUE"""),"21")</f>
        <v>21</v>
      </c>
      <c r="J2655" s="115" t="str">
        <f>IFERROR(__xludf.DUMMYFUNCTION("""COMPUTED_VALUE"""),"Premkumar M2025-09-0521")</f>
        <v>Premkumar M2025-09-0521</v>
      </c>
      <c r="K2655" s="115">
        <f>IFERROR(__xludf.DUMMYFUNCTION("""COMPUTED_VALUE"""),291066.0)</f>
        <v>291066</v>
      </c>
    </row>
    <row r="2656">
      <c r="A2656" s="115" t="str">
        <f>IFERROR(__xludf.DUMMYFUNCTION("""COMPUTED_VALUE"""),"SOUTH")</f>
        <v>SOUTH</v>
      </c>
      <c r="B2656" s="115" t="str">
        <f>IFERROR(__xludf.DUMMYFUNCTION("""COMPUTED_VALUE"""),"Premkumar M")</f>
        <v>Premkumar M</v>
      </c>
      <c r="C2656" s="115" t="str">
        <f>IFERROR(__xludf.DUMMYFUNCTION("""COMPUTED_VALUE"""),"MYNTRA")</f>
        <v>MYNTRA</v>
      </c>
      <c r="D2656" s="115">
        <f>IFERROR(__xludf.DUMMYFUNCTION("""COMPUTED_VALUE"""),15663.0)</f>
        <v>15663</v>
      </c>
      <c r="E2656" s="115">
        <f>IFERROR(__xludf.DUMMYFUNCTION("""COMPUTED_VALUE"""),2935.0)</f>
        <v>2935</v>
      </c>
      <c r="F2656" s="115">
        <f>IFERROR(__xludf.DUMMYFUNCTION("""COMPUTED_VALUE"""),13320.0)</f>
        <v>13320</v>
      </c>
      <c r="G2656" s="115">
        <f>IFERROR(__xludf.DUMMYFUNCTION("""COMPUTED_VALUE"""),1672.0)</f>
        <v>1672</v>
      </c>
      <c r="H2656" s="116">
        <f>IFERROR(__xludf.DUMMYFUNCTION("""COMPUTED_VALUE"""),45905.0)</f>
        <v>45905</v>
      </c>
      <c r="I2656" s="115" t="str">
        <f>IFERROR(__xludf.DUMMYFUNCTION("""COMPUTED_VALUE"""),"21")</f>
        <v>21</v>
      </c>
      <c r="J2656" s="115" t="str">
        <f>IFERROR(__xludf.DUMMYFUNCTION("""COMPUTED_VALUE"""),"Premkumar M2025-09-0521")</f>
        <v>Premkumar M2025-09-0521</v>
      </c>
      <c r="K2656" s="115">
        <f>IFERROR(__xludf.DUMMYFUNCTION("""COMPUTED_VALUE"""),18598.0)</f>
        <v>18598</v>
      </c>
    </row>
    <row r="2657">
      <c r="A2657" s="115" t="str">
        <f>IFERROR(__xludf.DUMMYFUNCTION("""COMPUTED_VALUE"""),"SOUTH")</f>
        <v>SOUTH</v>
      </c>
      <c r="B2657" s="115" t="str">
        <f>IFERROR(__xludf.DUMMYFUNCTION("""COMPUTED_VALUE"""),"Vineeth V")</f>
        <v>Vineeth V</v>
      </c>
      <c r="C2657" s="115" t="str">
        <f>IFERROR(__xludf.DUMMYFUNCTION("""COMPUTED_VALUE"""),"EXTERNAL")</f>
        <v>EXTERNAL</v>
      </c>
      <c r="D2657" s="115">
        <f>IFERROR(__xludf.DUMMYFUNCTION("""COMPUTED_VALUE"""),2290.0)</f>
        <v>2290</v>
      </c>
      <c r="E2657" s="115">
        <f>IFERROR(__xludf.DUMMYFUNCTION("""COMPUTED_VALUE"""),79.0)</f>
        <v>79</v>
      </c>
      <c r="F2657" s="115">
        <f>IFERROR(__xludf.DUMMYFUNCTION("""COMPUTED_VALUE"""),1168.0)</f>
        <v>1168</v>
      </c>
      <c r="G2657" s="115">
        <f>IFERROR(__xludf.DUMMYFUNCTION("""COMPUTED_VALUE"""),39.0)</f>
        <v>39</v>
      </c>
      <c r="H2657" s="116">
        <f>IFERROR(__xludf.DUMMYFUNCTION("""COMPUTED_VALUE"""),45905.0)</f>
        <v>45905</v>
      </c>
      <c r="I2657" s="115" t="str">
        <f>IFERROR(__xludf.DUMMYFUNCTION("""COMPUTED_VALUE"""),"21")</f>
        <v>21</v>
      </c>
      <c r="J2657" s="115" t="str">
        <f>IFERROR(__xludf.DUMMYFUNCTION("""COMPUTED_VALUE"""),"Vineeth V2025-09-0521")</f>
        <v>Vineeth V2025-09-0521</v>
      </c>
      <c r="K2657" s="115">
        <f>IFERROR(__xludf.DUMMYFUNCTION("""COMPUTED_VALUE"""),2369.0)</f>
        <v>2369</v>
      </c>
    </row>
    <row r="2658">
      <c r="A2658" s="115" t="str">
        <f>IFERROR(__xludf.DUMMYFUNCTION("""COMPUTED_VALUE"""),"SOUTH")</f>
        <v>SOUTH</v>
      </c>
      <c r="B2658" s="115" t="str">
        <f>IFERROR(__xludf.DUMMYFUNCTION("""COMPUTED_VALUE"""),"Vineeth V")</f>
        <v>Vineeth V</v>
      </c>
      <c r="C2658" s="115" t="str">
        <f>IFERROR(__xludf.DUMMYFUNCTION("""COMPUTED_VALUE"""),"FLIPKART")</f>
        <v>FLIPKART</v>
      </c>
      <c r="D2658" s="115">
        <f>IFERROR(__xludf.DUMMYFUNCTION("""COMPUTED_VALUE"""),16036.0)</f>
        <v>16036</v>
      </c>
      <c r="E2658" s="115">
        <f>IFERROR(__xludf.DUMMYFUNCTION("""COMPUTED_VALUE"""),1733.0)</f>
        <v>1733</v>
      </c>
      <c r="F2658" s="115">
        <f>IFERROR(__xludf.DUMMYFUNCTION("""COMPUTED_VALUE"""),12548.0)</f>
        <v>12548</v>
      </c>
      <c r="G2658" s="115">
        <f>IFERROR(__xludf.DUMMYFUNCTION("""COMPUTED_VALUE"""),1107.0)</f>
        <v>1107</v>
      </c>
      <c r="H2658" s="116">
        <f>IFERROR(__xludf.DUMMYFUNCTION("""COMPUTED_VALUE"""),45905.0)</f>
        <v>45905</v>
      </c>
      <c r="I2658" s="115" t="str">
        <f>IFERROR(__xludf.DUMMYFUNCTION("""COMPUTED_VALUE"""),"21")</f>
        <v>21</v>
      </c>
      <c r="J2658" s="115" t="str">
        <f>IFERROR(__xludf.DUMMYFUNCTION("""COMPUTED_VALUE"""),"Vineeth V2025-09-0521")</f>
        <v>Vineeth V2025-09-0521</v>
      </c>
      <c r="K2658" s="115">
        <f>IFERROR(__xludf.DUMMYFUNCTION("""COMPUTED_VALUE"""),17769.0)</f>
        <v>17769</v>
      </c>
    </row>
    <row r="2659">
      <c r="A2659" s="115" t="str">
        <f>IFERROR(__xludf.DUMMYFUNCTION("""COMPUTED_VALUE"""),"SOUTH")</f>
        <v>SOUTH</v>
      </c>
      <c r="B2659" s="115" t="str">
        <f>IFERROR(__xludf.DUMMYFUNCTION("""COMPUTED_VALUE"""),"Vineeth V")</f>
        <v>Vineeth V</v>
      </c>
      <c r="C2659" s="115" t="str">
        <f>IFERROR(__xludf.DUMMYFUNCTION("""COMPUTED_VALUE"""),"MYNTRA")</f>
        <v>MYNTRA</v>
      </c>
      <c r="D2659" s="115">
        <f>IFERROR(__xludf.DUMMYFUNCTION("""COMPUTED_VALUE"""),2890.0)</f>
        <v>2890</v>
      </c>
      <c r="E2659" s="115">
        <f>IFERROR(__xludf.DUMMYFUNCTION("""COMPUTED_VALUE"""),414.0)</f>
        <v>414</v>
      </c>
      <c r="F2659" s="115">
        <f>IFERROR(__xludf.DUMMYFUNCTION("""COMPUTED_VALUE"""),2394.0)</f>
        <v>2394</v>
      </c>
      <c r="G2659" s="115">
        <f>IFERROR(__xludf.DUMMYFUNCTION("""COMPUTED_VALUE"""),268.0)</f>
        <v>268</v>
      </c>
      <c r="H2659" s="116">
        <f>IFERROR(__xludf.DUMMYFUNCTION("""COMPUTED_VALUE"""),45905.0)</f>
        <v>45905</v>
      </c>
      <c r="I2659" s="115" t="str">
        <f>IFERROR(__xludf.DUMMYFUNCTION("""COMPUTED_VALUE"""),"21")</f>
        <v>21</v>
      </c>
      <c r="J2659" s="115" t="str">
        <f>IFERROR(__xludf.DUMMYFUNCTION("""COMPUTED_VALUE"""),"Vineeth V2025-09-0521")</f>
        <v>Vineeth V2025-09-0521</v>
      </c>
      <c r="K2659" s="115">
        <f>IFERROR(__xludf.DUMMYFUNCTION("""COMPUTED_VALUE"""),3304.0)</f>
        <v>3304</v>
      </c>
    </row>
    <row r="2660">
      <c r="A2660" s="115" t="str">
        <f>IFERROR(__xludf.DUMMYFUNCTION("""COMPUTED_VALUE"""),"WEST")</f>
        <v>WEST</v>
      </c>
      <c r="B2660" s="115" t="str">
        <f>IFERROR(__xludf.DUMMYFUNCTION("""COMPUTED_VALUE"""),"Ashish Jakar")</f>
        <v>Ashish Jakar</v>
      </c>
      <c r="C2660" s="115" t="str">
        <f>IFERROR(__xludf.DUMMYFUNCTION("""COMPUTED_VALUE"""),"EXTERNAL")</f>
        <v>EXTERNAL</v>
      </c>
      <c r="D2660" s="115">
        <f>IFERROR(__xludf.DUMMYFUNCTION("""COMPUTED_VALUE"""),56160.0)</f>
        <v>56160</v>
      </c>
      <c r="E2660" s="115">
        <f>IFERROR(__xludf.DUMMYFUNCTION("""COMPUTED_VALUE"""),6107.0)</f>
        <v>6107</v>
      </c>
      <c r="F2660" s="115">
        <f>IFERROR(__xludf.DUMMYFUNCTION("""COMPUTED_VALUE"""),23317.0)</f>
        <v>23317</v>
      </c>
      <c r="G2660" s="115">
        <f>IFERROR(__xludf.DUMMYFUNCTION("""COMPUTED_VALUE"""),2945.0)</f>
        <v>2945</v>
      </c>
      <c r="H2660" s="116">
        <f>IFERROR(__xludf.DUMMYFUNCTION("""COMPUTED_VALUE"""),45905.0)</f>
        <v>45905</v>
      </c>
      <c r="I2660" s="115" t="str">
        <f>IFERROR(__xludf.DUMMYFUNCTION("""COMPUTED_VALUE"""),"21")</f>
        <v>21</v>
      </c>
      <c r="J2660" s="115" t="str">
        <f>IFERROR(__xludf.DUMMYFUNCTION("""COMPUTED_VALUE"""),"Ashish Jakar2025-09-0521")</f>
        <v>Ashish Jakar2025-09-0521</v>
      </c>
      <c r="K2660" s="115">
        <f>IFERROR(__xludf.DUMMYFUNCTION("""COMPUTED_VALUE"""),62267.0)</f>
        <v>62267</v>
      </c>
    </row>
    <row r="2661">
      <c r="A2661" s="115" t="str">
        <f>IFERROR(__xludf.DUMMYFUNCTION("""COMPUTED_VALUE"""),"WEST")</f>
        <v>WEST</v>
      </c>
      <c r="B2661" s="115" t="str">
        <f>IFERROR(__xludf.DUMMYFUNCTION("""COMPUTED_VALUE"""),"Ashish Jakar")</f>
        <v>Ashish Jakar</v>
      </c>
      <c r="C2661" s="115" t="str">
        <f>IFERROR(__xludf.DUMMYFUNCTION("""COMPUTED_VALUE"""),"FLIPKART")</f>
        <v>FLIPKART</v>
      </c>
      <c r="D2661" s="115">
        <f>IFERROR(__xludf.DUMMYFUNCTION("""COMPUTED_VALUE"""),295865.0)</f>
        <v>295865</v>
      </c>
      <c r="E2661" s="115">
        <f>IFERROR(__xludf.DUMMYFUNCTION("""COMPUTED_VALUE"""),31740.0)</f>
        <v>31740</v>
      </c>
      <c r="F2661" s="115">
        <f>IFERROR(__xludf.DUMMYFUNCTION("""COMPUTED_VALUE"""),212598.0)</f>
        <v>212598</v>
      </c>
      <c r="G2661" s="115">
        <f>IFERROR(__xludf.DUMMYFUNCTION("""COMPUTED_VALUE"""),20014.0)</f>
        <v>20014</v>
      </c>
      <c r="H2661" s="116">
        <f>IFERROR(__xludf.DUMMYFUNCTION("""COMPUTED_VALUE"""),45905.0)</f>
        <v>45905</v>
      </c>
      <c r="I2661" s="115" t="str">
        <f>IFERROR(__xludf.DUMMYFUNCTION("""COMPUTED_VALUE"""),"21")</f>
        <v>21</v>
      </c>
      <c r="J2661" s="115" t="str">
        <f>IFERROR(__xludf.DUMMYFUNCTION("""COMPUTED_VALUE"""),"Ashish Jakar2025-09-0521")</f>
        <v>Ashish Jakar2025-09-0521</v>
      </c>
      <c r="K2661" s="115">
        <f>IFERROR(__xludf.DUMMYFUNCTION("""COMPUTED_VALUE"""),327605.0)</f>
        <v>327605</v>
      </c>
    </row>
    <row r="2662">
      <c r="A2662" s="115" t="str">
        <f>IFERROR(__xludf.DUMMYFUNCTION("""COMPUTED_VALUE"""),"WEST")</f>
        <v>WEST</v>
      </c>
      <c r="B2662" s="115" t="str">
        <f>IFERROR(__xludf.DUMMYFUNCTION("""COMPUTED_VALUE"""),"Ashish Jakar")</f>
        <v>Ashish Jakar</v>
      </c>
      <c r="C2662" s="115" t="str">
        <f>IFERROR(__xludf.DUMMYFUNCTION("""COMPUTED_VALUE"""),"MYNTRA")</f>
        <v>MYNTRA</v>
      </c>
      <c r="D2662" s="115">
        <f>IFERROR(__xludf.DUMMYFUNCTION("""COMPUTED_VALUE"""),38034.0)</f>
        <v>38034</v>
      </c>
      <c r="E2662" s="115">
        <f>IFERROR(__xludf.DUMMYFUNCTION("""COMPUTED_VALUE"""),10449.0)</f>
        <v>10449</v>
      </c>
      <c r="F2662" s="115">
        <f>IFERROR(__xludf.DUMMYFUNCTION("""COMPUTED_VALUE"""),31826.0)</f>
        <v>31826</v>
      </c>
      <c r="G2662" s="115">
        <f>IFERROR(__xludf.DUMMYFUNCTION("""COMPUTED_VALUE"""),6952.0)</f>
        <v>6952</v>
      </c>
      <c r="H2662" s="116">
        <f>IFERROR(__xludf.DUMMYFUNCTION("""COMPUTED_VALUE"""),45905.0)</f>
        <v>45905</v>
      </c>
      <c r="I2662" s="115" t="str">
        <f>IFERROR(__xludf.DUMMYFUNCTION("""COMPUTED_VALUE"""),"21")</f>
        <v>21</v>
      </c>
      <c r="J2662" s="115" t="str">
        <f>IFERROR(__xludf.DUMMYFUNCTION("""COMPUTED_VALUE"""),"Ashish Jakar2025-09-0521")</f>
        <v>Ashish Jakar2025-09-0521</v>
      </c>
      <c r="K2662" s="115">
        <f>IFERROR(__xludf.DUMMYFUNCTION("""COMPUTED_VALUE"""),48483.0)</f>
        <v>48483</v>
      </c>
    </row>
    <row r="2663">
      <c r="A2663" s="115" t="str">
        <f>IFERROR(__xludf.DUMMYFUNCTION("""COMPUTED_VALUE"""),"WEST")</f>
        <v>WEST</v>
      </c>
      <c r="B2663" s="115" t="str">
        <f>IFERROR(__xludf.DUMMYFUNCTION("""COMPUTED_VALUE"""),"Ashvani Bhatt")</f>
        <v>Ashvani Bhatt</v>
      </c>
      <c r="C2663" s="115" t="str">
        <f>IFERROR(__xludf.DUMMYFUNCTION("""COMPUTED_VALUE"""),"EXTERNAL")</f>
        <v>EXTERNAL</v>
      </c>
      <c r="D2663" s="115">
        <f>IFERROR(__xludf.DUMMYFUNCTION("""COMPUTED_VALUE"""),36626.0)</f>
        <v>36626</v>
      </c>
      <c r="E2663" s="115">
        <f>IFERROR(__xludf.DUMMYFUNCTION("""COMPUTED_VALUE"""),2977.0)</f>
        <v>2977</v>
      </c>
      <c r="F2663" s="115">
        <f>IFERROR(__xludf.DUMMYFUNCTION("""COMPUTED_VALUE"""),15896.0)</f>
        <v>15896</v>
      </c>
      <c r="G2663" s="115">
        <f>IFERROR(__xludf.DUMMYFUNCTION("""COMPUTED_VALUE"""),1326.0)</f>
        <v>1326</v>
      </c>
      <c r="H2663" s="116">
        <f>IFERROR(__xludf.DUMMYFUNCTION("""COMPUTED_VALUE"""),45905.0)</f>
        <v>45905</v>
      </c>
      <c r="I2663" s="115" t="str">
        <f>IFERROR(__xludf.DUMMYFUNCTION("""COMPUTED_VALUE"""),"21")</f>
        <v>21</v>
      </c>
      <c r="J2663" s="115" t="str">
        <f>IFERROR(__xludf.DUMMYFUNCTION("""COMPUTED_VALUE"""),"Ashvani Bhatt2025-09-0521")</f>
        <v>Ashvani Bhatt2025-09-0521</v>
      </c>
      <c r="K2663" s="115">
        <f>IFERROR(__xludf.DUMMYFUNCTION("""COMPUTED_VALUE"""),39603.0)</f>
        <v>39603</v>
      </c>
    </row>
    <row r="2664">
      <c r="A2664" s="115" t="str">
        <f>IFERROR(__xludf.DUMMYFUNCTION("""COMPUTED_VALUE"""),"WEST")</f>
        <v>WEST</v>
      </c>
      <c r="B2664" s="115" t="str">
        <f>IFERROR(__xludf.DUMMYFUNCTION("""COMPUTED_VALUE"""),"Ashvani Bhatt")</f>
        <v>Ashvani Bhatt</v>
      </c>
      <c r="C2664" s="115" t="str">
        <f>IFERROR(__xludf.DUMMYFUNCTION("""COMPUTED_VALUE"""),"FLIPKART")</f>
        <v>FLIPKART</v>
      </c>
      <c r="D2664" s="115">
        <f>IFERROR(__xludf.DUMMYFUNCTION("""COMPUTED_VALUE"""),254207.0)</f>
        <v>254207</v>
      </c>
      <c r="E2664" s="115">
        <f>IFERROR(__xludf.DUMMYFUNCTION("""COMPUTED_VALUE"""),27451.0)</f>
        <v>27451</v>
      </c>
      <c r="F2664" s="115">
        <f>IFERROR(__xludf.DUMMYFUNCTION("""COMPUTED_VALUE"""),190918.0)</f>
        <v>190918</v>
      </c>
      <c r="G2664" s="115">
        <f>IFERROR(__xludf.DUMMYFUNCTION("""COMPUTED_VALUE"""),18037.0)</f>
        <v>18037</v>
      </c>
      <c r="H2664" s="116">
        <f>IFERROR(__xludf.DUMMYFUNCTION("""COMPUTED_VALUE"""),45905.0)</f>
        <v>45905</v>
      </c>
      <c r="I2664" s="115" t="str">
        <f>IFERROR(__xludf.DUMMYFUNCTION("""COMPUTED_VALUE"""),"21")</f>
        <v>21</v>
      </c>
      <c r="J2664" s="115" t="str">
        <f>IFERROR(__xludf.DUMMYFUNCTION("""COMPUTED_VALUE"""),"Ashvani Bhatt2025-09-0521")</f>
        <v>Ashvani Bhatt2025-09-0521</v>
      </c>
      <c r="K2664" s="115">
        <f>IFERROR(__xludf.DUMMYFUNCTION("""COMPUTED_VALUE"""),281658.0)</f>
        <v>281658</v>
      </c>
    </row>
    <row r="2665">
      <c r="A2665" s="115" t="str">
        <f>IFERROR(__xludf.DUMMYFUNCTION("""COMPUTED_VALUE"""),"WEST")</f>
        <v>WEST</v>
      </c>
      <c r="B2665" s="115" t="str">
        <f>IFERROR(__xludf.DUMMYFUNCTION("""COMPUTED_VALUE"""),"Ashvani Bhatt")</f>
        <v>Ashvani Bhatt</v>
      </c>
      <c r="C2665" s="115" t="str">
        <f>IFERROR(__xludf.DUMMYFUNCTION("""COMPUTED_VALUE"""),"MYNTRA")</f>
        <v>MYNTRA</v>
      </c>
      <c r="D2665" s="115">
        <f>IFERROR(__xludf.DUMMYFUNCTION("""COMPUTED_VALUE"""),31937.0)</f>
        <v>31937</v>
      </c>
      <c r="E2665" s="115">
        <f>IFERROR(__xludf.DUMMYFUNCTION("""COMPUTED_VALUE"""),8359.0)</f>
        <v>8359</v>
      </c>
      <c r="F2665" s="115">
        <f>IFERROR(__xludf.DUMMYFUNCTION("""COMPUTED_VALUE"""),27036.0)</f>
        <v>27036</v>
      </c>
      <c r="G2665" s="115">
        <f>IFERROR(__xludf.DUMMYFUNCTION("""COMPUTED_VALUE"""),5904.0)</f>
        <v>5904</v>
      </c>
      <c r="H2665" s="116">
        <f>IFERROR(__xludf.DUMMYFUNCTION("""COMPUTED_VALUE"""),45905.0)</f>
        <v>45905</v>
      </c>
      <c r="I2665" s="115" t="str">
        <f>IFERROR(__xludf.DUMMYFUNCTION("""COMPUTED_VALUE"""),"21")</f>
        <v>21</v>
      </c>
      <c r="J2665" s="115" t="str">
        <f>IFERROR(__xludf.DUMMYFUNCTION("""COMPUTED_VALUE"""),"Ashvani Bhatt2025-09-0521")</f>
        <v>Ashvani Bhatt2025-09-0521</v>
      </c>
      <c r="K2665" s="115">
        <f>IFERROR(__xludf.DUMMYFUNCTION("""COMPUTED_VALUE"""),40296.0)</f>
        <v>40296</v>
      </c>
    </row>
    <row r="2666">
      <c r="A2666" s="115" t="str">
        <f>IFERROR(__xludf.DUMMYFUNCTION("""COMPUTED_VALUE"""),"West")</f>
        <v>West</v>
      </c>
      <c r="B2666" s="115" t="str">
        <f>IFERROR(__xludf.DUMMYFUNCTION("""COMPUTED_VALUE"""),"Ashish Jakar")</f>
        <v>Ashish Jakar</v>
      </c>
      <c r="C2666" s="115" t="str">
        <f>IFERROR(__xludf.DUMMYFUNCTION("""COMPUTED_VALUE"""),"EXTERNAL")</f>
        <v>EXTERNAL</v>
      </c>
      <c r="D2666" s="115">
        <f>IFERROR(__xludf.DUMMYFUNCTION("""COMPUTED_VALUE"""),96.0)</f>
        <v>96</v>
      </c>
      <c r="E2666" s="115">
        <f>IFERROR(__xludf.DUMMYFUNCTION("""COMPUTED_VALUE"""),36.0)</f>
        <v>36</v>
      </c>
      <c r="F2666" s="115">
        <f>IFERROR(__xludf.DUMMYFUNCTION("""COMPUTED_VALUE"""),33.0)</f>
        <v>33</v>
      </c>
      <c r="G2666" s="115">
        <f>IFERROR(__xludf.DUMMYFUNCTION("""COMPUTED_VALUE"""),9.0)</f>
        <v>9</v>
      </c>
      <c r="H2666" s="116">
        <f>IFERROR(__xludf.DUMMYFUNCTION("""COMPUTED_VALUE"""),45905.0)</f>
        <v>45905</v>
      </c>
      <c r="I2666" s="115" t="str">
        <f>IFERROR(__xludf.DUMMYFUNCTION("""COMPUTED_VALUE"""),"21")</f>
        <v>21</v>
      </c>
      <c r="J2666" s="115" t="str">
        <f>IFERROR(__xludf.DUMMYFUNCTION("""COMPUTED_VALUE"""),"Ashish Jakar2025-09-0521")</f>
        <v>Ashish Jakar2025-09-0521</v>
      </c>
      <c r="K2666" s="115">
        <f>IFERROR(__xludf.DUMMYFUNCTION("""COMPUTED_VALUE"""),132.0)</f>
        <v>132</v>
      </c>
    </row>
    <row r="2667">
      <c r="A2667" s="115" t="str">
        <f>IFERROR(__xludf.DUMMYFUNCTION("""COMPUTED_VALUE"""),"West")</f>
        <v>West</v>
      </c>
      <c r="B2667" s="115" t="str">
        <f>IFERROR(__xludf.DUMMYFUNCTION("""COMPUTED_VALUE"""),"Ashish Jakar")</f>
        <v>Ashish Jakar</v>
      </c>
      <c r="C2667" s="115" t="str">
        <f>IFERROR(__xludf.DUMMYFUNCTION("""COMPUTED_VALUE"""),"FLIPKART")</f>
        <v>FLIPKART</v>
      </c>
      <c r="D2667" s="115">
        <f>IFERROR(__xludf.DUMMYFUNCTION("""COMPUTED_VALUE"""),482.0)</f>
        <v>482</v>
      </c>
      <c r="E2667" s="115">
        <f>IFERROR(__xludf.DUMMYFUNCTION("""COMPUTED_VALUE"""),94.0)</f>
        <v>94</v>
      </c>
      <c r="F2667" s="115">
        <f>IFERROR(__xludf.DUMMYFUNCTION("""COMPUTED_VALUE"""),360.0)</f>
        <v>360</v>
      </c>
      <c r="G2667" s="115">
        <f>IFERROR(__xludf.DUMMYFUNCTION("""COMPUTED_VALUE"""),43.0)</f>
        <v>43</v>
      </c>
      <c r="H2667" s="116">
        <f>IFERROR(__xludf.DUMMYFUNCTION("""COMPUTED_VALUE"""),45905.0)</f>
        <v>45905</v>
      </c>
      <c r="I2667" s="115" t="str">
        <f>IFERROR(__xludf.DUMMYFUNCTION("""COMPUTED_VALUE"""),"21")</f>
        <v>21</v>
      </c>
      <c r="J2667" s="115" t="str">
        <f>IFERROR(__xludf.DUMMYFUNCTION("""COMPUTED_VALUE"""),"Ashish Jakar2025-09-0521")</f>
        <v>Ashish Jakar2025-09-0521</v>
      </c>
      <c r="K2667" s="115">
        <f>IFERROR(__xludf.DUMMYFUNCTION("""COMPUTED_VALUE"""),576.0)</f>
        <v>576</v>
      </c>
    </row>
    <row r="2668">
      <c r="A2668" s="115" t="str">
        <f>IFERROR(__xludf.DUMMYFUNCTION("""COMPUTED_VALUE"""),"West")</f>
        <v>West</v>
      </c>
      <c r="B2668" s="115" t="str">
        <f>IFERROR(__xludf.DUMMYFUNCTION("""COMPUTED_VALUE"""),"Ashish Jakar")</f>
        <v>Ashish Jakar</v>
      </c>
      <c r="C2668" s="115" t="str">
        <f>IFERROR(__xludf.DUMMYFUNCTION("""COMPUTED_VALUE"""),"MYNTRA")</f>
        <v>MYNTRA</v>
      </c>
      <c r="D2668" s="115">
        <f>IFERROR(__xludf.DUMMYFUNCTION("""COMPUTED_VALUE"""),123.0)</f>
        <v>123</v>
      </c>
      <c r="E2668" s="115">
        <f>IFERROR(__xludf.DUMMYFUNCTION("""COMPUTED_VALUE"""),56.0)</f>
        <v>56</v>
      </c>
      <c r="F2668" s="115">
        <f>IFERROR(__xludf.DUMMYFUNCTION("""COMPUTED_VALUE"""),98.0)</f>
        <v>98</v>
      </c>
      <c r="G2668" s="115">
        <f>IFERROR(__xludf.DUMMYFUNCTION("""COMPUTED_VALUE"""),18.0)</f>
        <v>18</v>
      </c>
      <c r="H2668" s="116">
        <f>IFERROR(__xludf.DUMMYFUNCTION("""COMPUTED_VALUE"""),45905.0)</f>
        <v>45905</v>
      </c>
      <c r="I2668" s="115" t="str">
        <f>IFERROR(__xludf.DUMMYFUNCTION("""COMPUTED_VALUE"""),"21")</f>
        <v>21</v>
      </c>
      <c r="J2668" s="115" t="str">
        <f>IFERROR(__xludf.DUMMYFUNCTION("""COMPUTED_VALUE"""),"Ashish Jakar2025-09-0521")</f>
        <v>Ashish Jakar2025-09-0521</v>
      </c>
      <c r="K2668" s="115">
        <f>IFERROR(__xludf.DUMMYFUNCTION("""COMPUTED_VALUE"""),179.0)</f>
        <v>179</v>
      </c>
    </row>
    <row r="2669">
      <c r="A2669" s="115"/>
      <c r="B2669" s="115"/>
      <c r="C2669" s="115" t="str">
        <f>IFERROR(__xludf.DUMMYFUNCTION("""COMPUTED_VALUE"""),"EXTERNAL")</f>
        <v>EXTERNAL</v>
      </c>
      <c r="D2669" s="115">
        <f>IFERROR(__xludf.DUMMYFUNCTION("""COMPUTED_VALUE"""),983.0)</f>
        <v>983</v>
      </c>
      <c r="E2669" s="115">
        <f>IFERROR(__xludf.DUMMYFUNCTION("""COMPUTED_VALUE"""),88.0)</f>
        <v>88</v>
      </c>
      <c r="F2669" s="115">
        <f>IFERROR(__xludf.DUMMYFUNCTION("""COMPUTED_VALUE"""),461.0)</f>
        <v>461</v>
      </c>
      <c r="G2669" s="115">
        <f>IFERROR(__xludf.DUMMYFUNCTION("""COMPUTED_VALUE"""),39.0)</f>
        <v>39</v>
      </c>
      <c r="H2669" s="116">
        <f>IFERROR(__xludf.DUMMYFUNCTION("""COMPUTED_VALUE"""),45905.0)</f>
        <v>45905</v>
      </c>
      <c r="I2669" s="115" t="str">
        <f>IFERROR(__xludf.DUMMYFUNCTION("""COMPUTED_VALUE"""),"21")</f>
        <v>21</v>
      </c>
      <c r="J2669" s="115" t="str">
        <f>IFERROR(__xludf.DUMMYFUNCTION("""COMPUTED_VALUE"""),"2025-09-0521")</f>
        <v>2025-09-0521</v>
      </c>
      <c r="K2669" s="115">
        <f>IFERROR(__xludf.DUMMYFUNCTION("""COMPUTED_VALUE"""),1071.0)</f>
        <v>1071</v>
      </c>
    </row>
    <row r="2670">
      <c r="A2670" s="115"/>
      <c r="B2670" s="115"/>
      <c r="C2670" s="115" t="str">
        <f>IFERROR(__xludf.DUMMYFUNCTION("""COMPUTED_VALUE"""),"FLIPKART")</f>
        <v>FLIPKART</v>
      </c>
      <c r="D2670" s="115">
        <f>IFERROR(__xludf.DUMMYFUNCTION("""COMPUTED_VALUE"""),7287.0)</f>
        <v>7287</v>
      </c>
      <c r="E2670" s="115">
        <f>IFERROR(__xludf.DUMMYFUNCTION("""COMPUTED_VALUE"""),792.0)</f>
        <v>792</v>
      </c>
      <c r="F2670" s="115">
        <f>IFERROR(__xludf.DUMMYFUNCTION("""COMPUTED_VALUE"""),5096.0)</f>
        <v>5096</v>
      </c>
      <c r="G2670" s="115">
        <f>IFERROR(__xludf.DUMMYFUNCTION("""COMPUTED_VALUE"""),445.0)</f>
        <v>445</v>
      </c>
      <c r="H2670" s="116">
        <f>IFERROR(__xludf.DUMMYFUNCTION("""COMPUTED_VALUE"""),45905.0)</f>
        <v>45905</v>
      </c>
      <c r="I2670" s="115" t="str">
        <f>IFERROR(__xludf.DUMMYFUNCTION("""COMPUTED_VALUE"""),"21")</f>
        <v>21</v>
      </c>
      <c r="J2670" s="115" t="str">
        <f>IFERROR(__xludf.DUMMYFUNCTION("""COMPUTED_VALUE"""),"2025-09-0521")</f>
        <v>2025-09-0521</v>
      </c>
      <c r="K2670" s="115">
        <f>IFERROR(__xludf.DUMMYFUNCTION("""COMPUTED_VALUE"""),8079.0)</f>
        <v>8079</v>
      </c>
    </row>
    <row r="2671">
      <c r="A2671" s="115"/>
      <c r="B2671" s="115"/>
      <c r="C2671" s="115" t="str">
        <f>IFERROR(__xludf.DUMMYFUNCTION("""COMPUTED_VALUE"""),"MYNTRA")</f>
        <v>MYNTRA</v>
      </c>
      <c r="D2671" s="115">
        <f>IFERROR(__xludf.DUMMYFUNCTION("""COMPUTED_VALUE"""),1153.0)</f>
        <v>1153</v>
      </c>
      <c r="E2671" s="115">
        <f>IFERROR(__xludf.DUMMYFUNCTION("""COMPUTED_VALUE"""),224.0)</f>
        <v>224</v>
      </c>
      <c r="F2671" s="115">
        <f>IFERROR(__xludf.DUMMYFUNCTION("""COMPUTED_VALUE"""),953.0)</f>
        <v>953</v>
      </c>
      <c r="G2671" s="115">
        <f>IFERROR(__xludf.DUMMYFUNCTION("""COMPUTED_VALUE"""),132.0)</f>
        <v>132</v>
      </c>
      <c r="H2671" s="116">
        <f>IFERROR(__xludf.DUMMYFUNCTION("""COMPUTED_VALUE"""),45905.0)</f>
        <v>45905</v>
      </c>
      <c r="I2671" s="115" t="str">
        <f>IFERROR(__xludf.DUMMYFUNCTION("""COMPUTED_VALUE"""),"21")</f>
        <v>21</v>
      </c>
      <c r="J2671" s="115" t="str">
        <f>IFERROR(__xludf.DUMMYFUNCTION("""COMPUTED_VALUE"""),"2025-09-0521")</f>
        <v>2025-09-0521</v>
      </c>
      <c r="K2671" s="115">
        <f>IFERROR(__xludf.DUMMYFUNCTION("""COMPUTED_VALUE"""),1377.0)</f>
        <v>1377</v>
      </c>
    </row>
    <row r="2672">
      <c r="A2672" s="115" t="str">
        <f>IFERROR(__xludf.DUMMYFUNCTION("""COMPUTED_VALUE"""),"EAST")</f>
        <v>EAST</v>
      </c>
      <c r="B2672" s="115" t="str">
        <f>IFERROR(__xludf.DUMMYFUNCTION("""COMPUTED_VALUE"""),"Ashish Ranjan")</f>
        <v>Ashish Ranjan</v>
      </c>
      <c r="C2672" s="115" t="str">
        <f>IFERROR(__xludf.DUMMYFUNCTION("""COMPUTED_VALUE"""),"EXTERNAL")</f>
        <v>EXTERNAL</v>
      </c>
      <c r="D2672" s="115">
        <f>IFERROR(__xludf.DUMMYFUNCTION("""COMPUTED_VALUE"""),39181.0)</f>
        <v>39181</v>
      </c>
      <c r="E2672" s="115">
        <f>IFERROR(__xludf.DUMMYFUNCTION("""COMPUTED_VALUE"""),3049.0)</f>
        <v>3049</v>
      </c>
      <c r="F2672" s="115">
        <f>IFERROR(__xludf.DUMMYFUNCTION("""COMPUTED_VALUE"""),23038.0)</f>
        <v>23038</v>
      </c>
      <c r="G2672" s="115">
        <f>IFERROR(__xludf.DUMMYFUNCTION("""COMPUTED_VALUE"""),1790.0)</f>
        <v>1790</v>
      </c>
      <c r="H2672" s="116">
        <f>IFERROR(__xludf.DUMMYFUNCTION("""COMPUTED_VALUE"""),45905.0)</f>
        <v>45905</v>
      </c>
      <c r="I2672" s="115" t="str">
        <f>IFERROR(__xludf.DUMMYFUNCTION("""COMPUTED_VALUE"""),"22")</f>
        <v>22</v>
      </c>
      <c r="J2672" s="115" t="str">
        <f>IFERROR(__xludf.DUMMYFUNCTION("""COMPUTED_VALUE"""),"Ashish Ranjan2025-09-0522")</f>
        <v>Ashish Ranjan2025-09-0522</v>
      </c>
      <c r="K2672" s="115">
        <f>IFERROR(__xludf.DUMMYFUNCTION("""COMPUTED_VALUE"""),42230.0)</f>
        <v>42230</v>
      </c>
    </row>
    <row r="2673">
      <c r="A2673" s="115" t="str">
        <f>IFERROR(__xludf.DUMMYFUNCTION("""COMPUTED_VALUE"""),"EAST")</f>
        <v>EAST</v>
      </c>
      <c r="B2673" s="115" t="str">
        <f>IFERROR(__xludf.DUMMYFUNCTION("""COMPUTED_VALUE"""),"Ashish Ranjan")</f>
        <v>Ashish Ranjan</v>
      </c>
      <c r="C2673" s="115" t="str">
        <f>IFERROR(__xludf.DUMMYFUNCTION("""COMPUTED_VALUE"""),"FLIPKART")</f>
        <v>FLIPKART</v>
      </c>
      <c r="D2673" s="115">
        <f>IFERROR(__xludf.DUMMYFUNCTION("""COMPUTED_VALUE"""),608504.0)</f>
        <v>608504</v>
      </c>
      <c r="E2673" s="115">
        <f>IFERROR(__xludf.DUMMYFUNCTION("""COMPUTED_VALUE"""),57395.0)</f>
        <v>57395</v>
      </c>
      <c r="F2673" s="115">
        <f>IFERROR(__xludf.DUMMYFUNCTION("""COMPUTED_VALUE"""),542130.0)</f>
        <v>542130</v>
      </c>
      <c r="G2673" s="115">
        <f>IFERROR(__xludf.DUMMYFUNCTION("""COMPUTED_VALUE"""),46966.0)</f>
        <v>46966</v>
      </c>
      <c r="H2673" s="116">
        <f>IFERROR(__xludf.DUMMYFUNCTION("""COMPUTED_VALUE"""),45905.0)</f>
        <v>45905</v>
      </c>
      <c r="I2673" s="115" t="str">
        <f>IFERROR(__xludf.DUMMYFUNCTION("""COMPUTED_VALUE"""),"22")</f>
        <v>22</v>
      </c>
      <c r="J2673" s="115" t="str">
        <f>IFERROR(__xludf.DUMMYFUNCTION("""COMPUTED_VALUE"""),"Ashish Ranjan2025-09-0522")</f>
        <v>Ashish Ranjan2025-09-0522</v>
      </c>
      <c r="K2673" s="115">
        <f>IFERROR(__xludf.DUMMYFUNCTION("""COMPUTED_VALUE"""),665899.0)</f>
        <v>665899</v>
      </c>
    </row>
    <row r="2674">
      <c r="A2674" s="115" t="str">
        <f>IFERROR(__xludf.DUMMYFUNCTION("""COMPUTED_VALUE"""),"EAST")</f>
        <v>EAST</v>
      </c>
      <c r="B2674" s="115" t="str">
        <f>IFERROR(__xludf.DUMMYFUNCTION("""COMPUTED_VALUE"""),"Ashish Ranjan")</f>
        <v>Ashish Ranjan</v>
      </c>
      <c r="C2674" s="115" t="str">
        <f>IFERROR(__xludf.DUMMYFUNCTION("""COMPUTED_VALUE"""),"MYNTRA")</f>
        <v>MYNTRA</v>
      </c>
      <c r="D2674" s="115">
        <f>IFERROR(__xludf.DUMMYFUNCTION("""COMPUTED_VALUE"""),69979.0)</f>
        <v>69979</v>
      </c>
      <c r="E2674" s="115">
        <f>IFERROR(__xludf.DUMMYFUNCTION("""COMPUTED_VALUE"""),12035.0)</f>
        <v>12035</v>
      </c>
      <c r="F2674" s="115">
        <f>IFERROR(__xludf.DUMMYFUNCTION("""COMPUTED_VALUE"""),63604.0)</f>
        <v>63604</v>
      </c>
      <c r="G2674" s="115">
        <f>IFERROR(__xludf.DUMMYFUNCTION("""COMPUTED_VALUE"""),9835.0)</f>
        <v>9835</v>
      </c>
      <c r="H2674" s="116">
        <f>IFERROR(__xludf.DUMMYFUNCTION("""COMPUTED_VALUE"""),45905.0)</f>
        <v>45905</v>
      </c>
      <c r="I2674" s="115" t="str">
        <f>IFERROR(__xludf.DUMMYFUNCTION("""COMPUTED_VALUE"""),"22")</f>
        <v>22</v>
      </c>
      <c r="J2674" s="115" t="str">
        <f>IFERROR(__xludf.DUMMYFUNCTION("""COMPUTED_VALUE"""),"Ashish Ranjan2025-09-0522")</f>
        <v>Ashish Ranjan2025-09-0522</v>
      </c>
      <c r="K2674" s="115">
        <f>IFERROR(__xludf.DUMMYFUNCTION("""COMPUTED_VALUE"""),82014.0)</f>
        <v>82014</v>
      </c>
    </row>
    <row r="2675">
      <c r="A2675" s="115" t="str">
        <f>IFERROR(__xludf.DUMMYFUNCTION("""COMPUTED_VALUE"""),"EAST")</f>
        <v>EAST</v>
      </c>
      <c r="B2675" s="115" t="str">
        <f>IFERROR(__xludf.DUMMYFUNCTION("""COMPUTED_VALUE"""),"Girish Chand")</f>
        <v>Girish Chand</v>
      </c>
      <c r="C2675" s="115" t="str">
        <f>IFERROR(__xludf.DUMMYFUNCTION("""COMPUTED_VALUE"""),"EXTERNAL")</f>
        <v>EXTERNAL</v>
      </c>
      <c r="D2675" s="115">
        <f>IFERROR(__xludf.DUMMYFUNCTION("""COMPUTED_VALUE"""),22783.0)</f>
        <v>22783</v>
      </c>
      <c r="E2675" s="115">
        <f>IFERROR(__xludf.DUMMYFUNCTION("""COMPUTED_VALUE"""),1867.0)</f>
        <v>1867</v>
      </c>
      <c r="F2675" s="115">
        <f>IFERROR(__xludf.DUMMYFUNCTION("""COMPUTED_VALUE"""),9897.0)</f>
        <v>9897</v>
      </c>
      <c r="G2675" s="115">
        <f>IFERROR(__xludf.DUMMYFUNCTION("""COMPUTED_VALUE"""),719.0)</f>
        <v>719</v>
      </c>
      <c r="H2675" s="116">
        <f>IFERROR(__xludf.DUMMYFUNCTION("""COMPUTED_VALUE"""),45905.0)</f>
        <v>45905</v>
      </c>
      <c r="I2675" s="115" t="str">
        <f>IFERROR(__xludf.DUMMYFUNCTION("""COMPUTED_VALUE"""),"22")</f>
        <v>22</v>
      </c>
      <c r="J2675" s="115" t="str">
        <f>IFERROR(__xludf.DUMMYFUNCTION("""COMPUTED_VALUE"""),"Girish Chand2025-09-0522")</f>
        <v>Girish Chand2025-09-0522</v>
      </c>
      <c r="K2675" s="115">
        <f>IFERROR(__xludf.DUMMYFUNCTION("""COMPUTED_VALUE"""),24650.0)</f>
        <v>24650</v>
      </c>
    </row>
    <row r="2676">
      <c r="A2676" s="115" t="str">
        <f>IFERROR(__xludf.DUMMYFUNCTION("""COMPUTED_VALUE"""),"EAST")</f>
        <v>EAST</v>
      </c>
      <c r="B2676" s="115" t="str">
        <f>IFERROR(__xludf.DUMMYFUNCTION("""COMPUTED_VALUE"""),"Girish Chand")</f>
        <v>Girish Chand</v>
      </c>
      <c r="C2676" s="115" t="str">
        <f>IFERROR(__xludf.DUMMYFUNCTION("""COMPUTED_VALUE"""),"FLIPKART")</f>
        <v>FLIPKART</v>
      </c>
      <c r="D2676" s="115">
        <f>IFERROR(__xludf.DUMMYFUNCTION("""COMPUTED_VALUE"""),396277.0)</f>
        <v>396277</v>
      </c>
      <c r="E2676" s="115">
        <f>IFERROR(__xludf.DUMMYFUNCTION("""COMPUTED_VALUE"""),39016.0)</f>
        <v>39016</v>
      </c>
      <c r="F2676" s="115">
        <f>IFERROR(__xludf.DUMMYFUNCTION("""COMPUTED_VALUE"""),296426.0)</f>
        <v>296426</v>
      </c>
      <c r="G2676" s="115">
        <f>IFERROR(__xludf.DUMMYFUNCTION("""COMPUTED_VALUE"""),28896.0)</f>
        <v>28896</v>
      </c>
      <c r="H2676" s="116">
        <f>IFERROR(__xludf.DUMMYFUNCTION("""COMPUTED_VALUE"""),45905.0)</f>
        <v>45905</v>
      </c>
      <c r="I2676" s="115" t="str">
        <f>IFERROR(__xludf.DUMMYFUNCTION("""COMPUTED_VALUE"""),"22")</f>
        <v>22</v>
      </c>
      <c r="J2676" s="115" t="str">
        <f>IFERROR(__xludf.DUMMYFUNCTION("""COMPUTED_VALUE"""),"Girish Chand2025-09-0522")</f>
        <v>Girish Chand2025-09-0522</v>
      </c>
      <c r="K2676" s="115">
        <f>IFERROR(__xludf.DUMMYFUNCTION("""COMPUTED_VALUE"""),435293.0)</f>
        <v>435293</v>
      </c>
    </row>
    <row r="2677">
      <c r="A2677" s="115" t="str">
        <f>IFERROR(__xludf.DUMMYFUNCTION("""COMPUTED_VALUE"""),"EAST")</f>
        <v>EAST</v>
      </c>
      <c r="B2677" s="115" t="str">
        <f>IFERROR(__xludf.DUMMYFUNCTION("""COMPUTED_VALUE"""),"Girish Chand")</f>
        <v>Girish Chand</v>
      </c>
      <c r="C2677" s="115" t="str">
        <f>IFERROR(__xludf.DUMMYFUNCTION("""COMPUTED_VALUE"""),"MYNTRA")</f>
        <v>MYNTRA</v>
      </c>
      <c r="D2677" s="115">
        <f>IFERROR(__xludf.DUMMYFUNCTION("""COMPUTED_VALUE"""),34810.0)</f>
        <v>34810</v>
      </c>
      <c r="E2677" s="115">
        <f>IFERROR(__xludf.DUMMYFUNCTION("""COMPUTED_VALUE"""),6781.0)</f>
        <v>6781</v>
      </c>
      <c r="F2677" s="115">
        <f>IFERROR(__xludf.DUMMYFUNCTION("""COMPUTED_VALUE"""),27653.0)</f>
        <v>27653</v>
      </c>
      <c r="G2677" s="115">
        <f>IFERROR(__xludf.DUMMYFUNCTION("""COMPUTED_VALUE"""),5194.0)</f>
        <v>5194</v>
      </c>
      <c r="H2677" s="116">
        <f>IFERROR(__xludf.DUMMYFUNCTION("""COMPUTED_VALUE"""),45905.0)</f>
        <v>45905</v>
      </c>
      <c r="I2677" s="115" t="str">
        <f>IFERROR(__xludf.DUMMYFUNCTION("""COMPUTED_VALUE"""),"22")</f>
        <v>22</v>
      </c>
      <c r="J2677" s="115" t="str">
        <f>IFERROR(__xludf.DUMMYFUNCTION("""COMPUTED_VALUE"""),"Girish Chand2025-09-0522")</f>
        <v>Girish Chand2025-09-0522</v>
      </c>
      <c r="K2677" s="115">
        <f>IFERROR(__xludf.DUMMYFUNCTION("""COMPUTED_VALUE"""),41591.0)</f>
        <v>41591</v>
      </c>
    </row>
    <row r="2678">
      <c r="A2678" s="115" t="str">
        <f>IFERROR(__xludf.DUMMYFUNCTION("""COMPUTED_VALUE"""),"EAST")</f>
        <v>EAST</v>
      </c>
      <c r="B2678" s="115" t="str">
        <f>IFERROR(__xludf.DUMMYFUNCTION("""COMPUTED_VALUE"""),"Parag Kashyap")</f>
        <v>Parag Kashyap</v>
      </c>
      <c r="C2678" s="115" t="str">
        <f>IFERROR(__xludf.DUMMYFUNCTION("""COMPUTED_VALUE"""),"EXTERNAL")</f>
        <v>EXTERNAL</v>
      </c>
      <c r="D2678" s="115">
        <f>IFERROR(__xludf.DUMMYFUNCTION("""COMPUTED_VALUE"""),19114.0)</f>
        <v>19114</v>
      </c>
      <c r="E2678" s="115">
        <f>IFERROR(__xludf.DUMMYFUNCTION("""COMPUTED_VALUE"""),995.0)</f>
        <v>995</v>
      </c>
      <c r="F2678" s="115">
        <f>IFERROR(__xludf.DUMMYFUNCTION("""COMPUTED_VALUE"""),8327.0)</f>
        <v>8327</v>
      </c>
      <c r="G2678" s="115">
        <f>IFERROR(__xludf.DUMMYFUNCTION("""COMPUTED_VALUE"""),477.0)</f>
        <v>477</v>
      </c>
      <c r="H2678" s="116">
        <f>IFERROR(__xludf.DUMMYFUNCTION("""COMPUTED_VALUE"""),45905.0)</f>
        <v>45905</v>
      </c>
      <c r="I2678" s="115" t="str">
        <f>IFERROR(__xludf.DUMMYFUNCTION("""COMPUTED_VALUE"""),"22")</f>
        <v>22</v>
      </c>
      <c r="J2678" s="115" t="str">
        <f>IFERROR(__xludf.DUMMYFUNCTION("""COMPUTED_VALUE"""),"Parag Kashyap2025-09-0522")</f>
        <v>Parag Kashyap2025-09-0522</v>
      </c>
      <c r="K2678" s="115">
        <f>IFERROR(__xludf.DUMMYFUNCTION("""COMPUTED_VALUE"""),20109.0)</f>
        <v>20109</v>
      </c>
    </row>
    <row r="2679">
      <c r="A2679" s="115" t="str">
        <f>IFERROR(__xludf.DUMMYFUNCTION("""COMPUTED_VALUE"""),"EAST")</f>
        <v>EAST</v>
      </c>
      <c r="B2679" s="115" t="str">
        <f>IFERROR(__xludf.DUMMYFUNCTION("""COMPUTED_VALUE"""),"Parag Kashyap")</f>
        <v>Parag Kashyap</v>
      </c>
      <c r="C2679" s="115" t="str">
        <f>IFERROR(__xludf.DUMMYFUNCTION("""COMPUTED_VALUE"""),"FLIPKART")</f>
        <v>FLIPKART</v>
      </c>
      <c r="D2679" s="115">
        <f>IFERROR(__xludf.DUMMYFUNCTION("""COMPUTED_VALUE"""),290998.0)</f>
        <v>290998</v>
      </c>
      <c r="E2679" s="115">
        <f>IFERROR(__xludf.DUMMYFUNCTION("""COMPUTED_VALUE"""),20416.0)</f>
        <v>20416</v>
      </c>
      <c r="F2679" s="115">
        <f>IFERROR(__xludf.DUMMYFUNCTION("""COMPUTED_VALUE"""),229450.0)</f>
        <v>229450</v>
      </c>
      <c r="G2679" s="115">
        <f>IFERROR(__xludf.DUMMYFUNCTION("""COMPUTED_VALUE"""),15306.0)</f>
        <v>15306</v>
      </c>
      <c r="H2679" s="116">
        <f>IFERROR(__xludf.DUMMYFUNCTION("""COMPUTED_VALUE"""),45905.0)</f>
        <v>45905</v>
      </c>
      <c r="I2679" s="115" t="str">
        <f>IFERROR(__xludf.DUMMYFUNCTION("""COMPUTED_VALUE"""),"22")</f>
        <v>22</v>
      </c>
      <c r="J2679" s="115" t="str">
        <f>IFERROR(__xludf.DUMMYFUNCTION("""COMPUTED_VALUE"""),"Parag Kashyap2025-09-0522")</f>
        <v>Parag Kashyap2025-09-0522</v>
      </c>
      <c r="K2679" s="115">
        <f>IFERROR(__xludf.DUMMYFUNCTION("""COMPUTED_VALUE"""),311414.0)</f>
        <v>311414</v>
      </c>
    </row>
    <row r="2680">
      <c r="A2680" s="115" t="str">
        <f>IFERROR(__xludf.DUMMYFUNCTION("""COMPUTED_VALUE"""),"EAST")</f>
        <v>EAST</v>
      </c>
      <c r="B2680" s="115" t="str">
        <f>IFERROR(__xludf.DUMMYFUNCTION("""COMPUTED_VALUE"""),"Parag Kashyap")</f>
        <v>Parag Kashyap</v>
      </c>
      <c r="C2680" s="115" t="str">
        <f>IFERROR(__xludf.DUMMYFUNCTION("""COMPUTED_VALUE"""),"MYNTRA")</f>
        <v>MYNTRA</v>
      </c>
      <c r="D2680" s="115">
        <f>IFERROR(__xludf.DUMMYFUNCTION("""COMPUTED_VALUE"""),33190.0)</f>
        <v>33190</v>
      </c>
      <c r="E2680" s="115">
        <f>IFERROR(__xludf.DUMMYFUNCTION("""COMPUTED_VALUE"""),5225.0)</f>
        <v>5225</v>
      </c>
      <c r="F2680" s="115">
        <f>IFERROR(__xludf.DUMMYFUNCTION("""COMPUTED_VALUE"""),26490.0)</f>
        <v>26490</v>
      </c>
      <c r="G2680" s="115">
        <f>IFERROR(__xludf.DUMMYFUNCTION("""COMPUTED_VALUE"""),3844.0)</f>
        <v>3844</v>
      </c>
      <c r="H2680" s="116">
        <f>IFERROR(__xludf.DUMMYFUNCTION("""COMPUTED_VALUE"""),45905.0)</f>
        <v>45905</v>
      </c>
      <c r="I2680" s="115" t="str">
        <f>IFERROR(__xludf.DUMMYFUNCTION("""COMPUTED_VALUE"""),"22")</f>
        <v>22</v>
      </c>
      <c r="J2680" s="115" t="str">
        <f>IFERROR(__xludf.DUMMYFUNCTION("""COMPUTED_VALUE"""),"Parag Kashyap2025-09-0522")</f>
        <v>Parag Kashyap2025-09-0522</v>
      </c>
      <c r="K2680" s="115">
        <f>IFERROR(__xludf.DUMMYFUNCTION("""COMPUTED_VALUE"""),38415.0)</f>
        <v>38415</v>
      </c>
    </row>
    <row r="2681">
      <c r="A2681" s="115" t="str">
        <f>IFERROR(__xludf.DUMMYFUNCTION("""COMPUTED_VALUE"""),"NORTH")</f>
        <v>NORTH</v>
      </c>
      <c r="B2681" s="115" t="str">
        <f>IFERROR(__xludf.DUMMYFUNCTION("""COMPUTED_VALUE"""),"Amit Kumar Pathak")</f>
        <v>Amit Kumar Pathak</v>
      </c>
      <c r="C2681" s="115" t="str">
        <f>IFERROR(__xludf.DUMMYFUNCTION("""COMPUTED_VALUE"""),"EXTERNAL")</f>
        <v>EXTERNAL</v>
      </c>
      <c r="D2681" s="115">
        <f>IFERROR(__xludf.DUMMYFUNCTION("""COMPUTED_VALUE"""),27105.0)</f>
        <v>27105</v>
      </c>
      <c r="E2681" s="115">
        <f>IFERROR(__xludf.DUMMYFUNCTION("""COMPUTED_VALUE"""),3124.0)</f>
        <v>3124</v>
      </c>
      <c r="F2681" s="115">
        <f>IFERROR(__xludf.DUMMYFUNCTION("""COMPUTED_VALUE"""),11239.0)</f>
        <v>11239</v>
      </c>
      <c r="G2681" s="115">
        <f>IFERROR(__xludf.DUMMYFUNCTION("""COMPUTED_VALUE"""),1838.0)</f>
        <v>1838</v>
      </c>
      <c r="H2681" s="116">
        <f>IFERROR(__xludf.DUMMYFUNCTION("""COMPUTED_VALUE"""),45905.0)</f>
        <v>45905</v>
      </c>
      <c r="I2681" s="115" t="str">
        <f>IFERROR(__xludf.DUMMYFUNCTION("""COMPUTED_VALUE"""),"22")</f>
        <v>22</v>
      </c>
      <c r="J2681" s="115" t="str">
        <f>IFERROR(__xludf.DUMMYFUNCTION("""COMPUTED_VALUE"""),"Amit Kumar Pathak2025-09-0522")</f>
        <v>Amit Kumar Pathak2025-09-0522</v>
      </c>
      <c r="K2681" s="115">
        <f>IFERROR(__xludf.DUMMYFUNCTION("""COMPUTED_VALUE"""),30229.0)</f>
        <v>30229</v>
      </c>
    </row>
    <row r="2682">
      <c r="A2682" s="115" t="str">
        <f>IFERROR(__xludf.DUMMYFUNCTION("""COMPUTED_VALUE"""),"NORTH")</f>
        <v>NORTH</v>
      </c>
      <c r="B2682" s="115" t="str">
        <f>IFERROR(__xludf.DUMMYFUNCTION("""COMPUTED_VALUE"""),"Amit Kumar Pathak")</f>
        <v>Amit Kumar Pathak</v>
      </c>
      <c r="C2682" s="115" t="str">
        <f>IFERROR(__xludf.DUMMYFUNCTION("""COMPUTED_VALUE"""),"FLIPKART")</f>
        <v>FLIPKART</v>
      </c>
      <c r="D2682" s="115">
        <f>IFERROR(__xludf.DUMMYFUNCTION("""COMPUTED_VALUE"""),182189.0)</f>
        <v>182189</v>
      </c>
      <c r="E2682" s="115">
        <f>IFERROR(__xludf.DUMMYFUNCTION("""COMPUTED_VALUE"""),26218.0)</f>
        <v>26218</v>
      </c>
      <c r="F2682" s="115">
        <f>IFERROR(__xludf.DUMMYFUNCTION("""COMPUTED_VALUE"""),134286.0)</f>
        <v>134286</v>
      </c>
      <c r="G2682" s="115">
        <f>IFERROR(__xludf.DUMMYFUNCTION("""COMPUTED_VALUE"""),18731.0)</f>
        <v>18731</v>
      </c>
      <c r="H2682" s="116">
        <f>IFERROR(__xludf.DUMMYFUNCTION("""COMPUTED_VALUE"""),45905.0)</f>
        <v>45905</v>
      </c>
      <c r="I2682" s="115" t="str">
        <f>IFERROR(__xludf.DUMMYFUNCTION("""COMPUTED_VALUE"""),"22")</f>
        <v>22</v>
      </c>
      <c r="J2682" s="115" t="str">
        <f>IFERROR(__xludf.DUMMYFUNCTION("""COMPUTED_VALUE"""),"Amit Kumar Pathak2025-09-0522")</f>
        <v>Amit Kumar Pathak2025-09-0522</v>
      </c>
      <c r="K2682" s="115">
        <f>IFERROR(__xludf.DUMMYFUNCTION("""COMPUTED_VALUE"""),208407.0)</f>
        <v>208407</v>
      </c>
    </row>
    <row r="2683">
      <c r="A2683" s="115" t="str">
        <f>IFERROR(__xludf.DUMMYFUNCTION("""COMPUTED_VALUE"""),"NORTH")</f>
        <v>NORTH</v>
      </c>
      <c r="B2683" s="115" t="str">
        <f>IFERROR(__xludf.DUMMYFUNCTION("""COMPUTED_VALUE"""),"Amit Kumar Pathak")</f>
        <v>Amit Kumar Pathak</v>
      </c>
      <c r="C2683" s="115" t="str">
        <f>IFERROR(__xludf.DUMMYFUNCTION("""COMPUTED_VALUE"""),"MYNTRA")</f>
        <v>MYNTRA</v>
      </c>
      <c r="D2683" s="115">
        <f>IFERROR(__xludf.DUMMYFUNCTION("""COMPUTED_VALUE"""),17884.0)</f>
        <v>17884</v>
      </c>
      <c r="E2683" s="115">
        <f>IFERROR(__xludf.DUMMYFUNCTION("""COMPUTED_VALUE"""),6364.0)</f>
        <v>6364</v>
      </c>
      <c r="F2683" s="115">
        <f>IFERROR(__xludf.DUMMYFUNCTION("""COMPUTED_VALUE"""),15306.0)</f>
        <v>15306</v>
      </c>
      <c r="G2683" s="115">
        <f>IFERROR(__xludf.DUMMYFUNCTION("""COMPUTED_VALUE"""),4662.0)</f>
        <v>4662</v>
      </c>
      <c r="H2683" s="116">
        <f>IFERROR(__xludf.DUMMYFUNCTION("""COMPUTED_VALUE"""),45905.0)</f>
        <v>45905</v>
      </c>
      <c r="I2683" s="115" t="str">
        <f>IFERROR(__xludf.DUMMYFUNCTION("""COMPUTED_VALUE"""),"22")</f>
        <v>22</v>
      </c>
      <c r="J2683" s="115" t="str">
        <f>IFERROR(__xludf.DUMMYFUNCTION("""COMPUTED_VALUE"""),"Amit Kumar Pathak2025-09-0522")</f>
        <v>Amit Kumar Pathak2025-09-0522</v>
      </c>
      <c r="K2683" s="115">
        <f>IFERROR(__xludf.DUMMYFUNCTION("""COMPUTED_VALUE"""),24248.0)</f>
        <v>24248</v>
      </c>
    </row>
    <row r="2684">
      <c r="A2684" s="115" t="str">
        <f>IFERROR(__xludf.DUMMYFUNCTION("""COMPUTED_VALUE"""),"NORTH")</f>
        <v>NORTH</v>
      </c>
      <c r="B2684" s="115" t="str">
        <f>IFERROR(__xludf.DUMMYFUNCTION("""COMPUTED_VALUE"""),"Loveleen Singh")</f>
        <v>Loveleen Singh</v>
      </c>
      <c r="C2684" s="115" t="str">
        <f>IFERROR(__xludf.DUMMYFUNCTION("""COMPUTED_VALUE"""),"EXTERNAL")</f>
        <v>EXTERNAL</v>
      </c>
      <c r="D2684" s="115">
        <f>IFERROR(__xludf.DUMMYFUNCTION("""COMPUTED_VALUE"""),36636.0)</f>
        <v>36636</v>
      </c>
      <c r="E2684" s="115">
        <f>IFERROR(__xludf.DUMMYFUNCTION("""COMPUTED_VALUE"""),2294.0)</f>
        <v>2294</v>
      </c>
      <c r="F2684" s="115">
        <f>IFERROR(__xludf.DUMMYFUNCTION("""COMPUTED_VALUE"""),14692.0)</f>
        <v>14692</v>
      </c>
      <c r="G2684" s="115">
        <f>IFERROR(__xludf.DUMMYFUNCTION("""COMPUTED_VALUE"""),959.0)</f>
        <v>959</v>
      </c>
      <c r="H2684" s="116">
        <f>IFERROR(__xludf.DUMMYFUNCTION("""COMPUTED_VALUE"""),45905.0)</f>
        <v>45905</v>
      </c>
      <c r="I2684" s="115" t="str">
        <f>IFERROR(__xludf.DUMMYFUNCTION("""COMPUTED_VALUE"""),"22")</f>
        <v>22</v>
      </c>
      <c r="J2684" s="115" t="str">
        <f>IFERROR(__xludf.DUMMYFUNCTION("""COMPUTED_VALUE"""),"Loveleen Singh2025-09-0522")</f>
        <v>Loveleen Singh2025-09-0522</v>
      </c>
      <c r="K2684" s="115">
        <f>IFERROR(__xludf.DUMMYFUNCTION("""COMPUTED_VALUE"""),38930.0)</f>
        <v>38930</v>
      </c>
    </row>
    <row r="2685">
      <c r="A2685" s="115" t="str">
        <f>IFERROR(__xludf.DUMMYFUNCTION("""COMPUTED_VALUE"""),"NORTH")</f>
        <v>NORTH</v>
      </c>
      <c r="B2685" s="115" t="str">
        <f>IFERROR(__xludf.DUMMYFUNCTION("""COMPUTED_VALUE"""),"Loveleen Singh")</f>
        <v>Loveleen Singh</v>
      </c>
      <c r="C2685" s="115" t="str">
        <f>IFERROR(__xludf.DUMMYFUNCTION("""COMPUTED_VALUE"""),"FLIPKART")</f>
        <v>FLIPKART</v>
      </c>
      <c r="D2685" s="115">
        <f>IFERROR(__xludf.DUMMYFUNCTION("""COMPUTED_VALUE"""),171202.0)</f>
        <v>171202</v>
      </c>
      <c r="E2685" s="115">
        <f>IFERROR(__xludf.DUMMYFUNCTION("""COMPUTED_VALUE"""),16479.0)</f>
        <v>16479</v>
      </c>
      <c r="F2685" s="115">
        <f>IFERROR(__xludf.DUMMYFUNCTION("""COMPUTED_VALUE"""),128291.0)</f>
        <v>128291</v>
      </c>
      <c r="G2685" s="115">
        <f>IFERROR(__xludf.DUMMYFUNCTION("""COMPUTED_VALUE"""),10751.0)</f>
        <v>10751</v>
      </c>
      <c r="H2685" s="116">
        <f>IFERROR(__xludf.DUMMYFUNCTION("""COMPUTED_VALUE"""),45905.0)</f>
        <v>45905</v>
      </c>
      <c r="I2685" s="115" t="str">
        <f>IFERROR(__xludf.DUMMYFUNCTION("""COMPUTED_VALUE"""),"22")</f>
        <v>22</v>
      </c>
      <c r="J2685" s="115" t="str">
        <f>IFERROR(__xludf.DUMMYFUNCTION("""COMPUTED_VALUE"""),"Loveleen Singh2025-09-0522")</f>
        <v>Loveleen Singh2025-09-0522</v>
      </c>
      <c r="K2685" s="115">
        <f>IFERROR(__xludf.DUMMYFUNCTION("""COMPUTED_VALUE"""),187681.0)</f>
        <v>187681</v>
      </c>
    </row>
    <row r="2686">
      <c r="A2686" s="115" t="str">
        <f>IFERROR(__xludf.DUMMYFUNCTION("""COMPUTED_VALUE"""),"NORTH")</f>
        <v>NORTH</v>
      </c>
      <c r="B2686" s="115" t="str">
        <f>IFERROR(__xludf.DUMMYFUNCTION("""COMPUTED_VALUE"""),"Loveleen Singh")</f>
        <v>Loveleen Singh</v>
      </c>
      <c r="C2686" s="115" t="str">
        <f>IFERROR(__xludf.DUMMYFUNCTION("""COMPUTED_VALUE"""),"MYNTRA")</f>
        <v>MYNTRA</v>
      </c>
      <c r="D2686" s="115">
        <f>IFERROR(__xludf.DUMMYFUNCTION("""COMPUTED_VALUE"""),27474.0)</f>
        <v>27474</v>
      </c>
      <c r="E2686" s="115">
        <f>IFERROR(__xludf.DUMMYFUNCTION("""COMPUTED_VALUE"""),6251.0)</f>
        <v>6251</v>
      </c>
      <c r="F2686" s="115">
        <f>IFERROR(__xludf.DUMMYFUNCTION("""COMPUTED_VALUE"""),22886.0)</f>
        <v>22886</v>
      </c>
      <c r="G2686" s="115">
        <f>IFERROR(__xludf.DUMMYFUNCTION("""COMPUTED_VALUE"""),4302.0)</f>
        <v>4302</v>
      </c>
      <c r="H2686" s="116">
        <f>IFERROR(__xludf.DUMMYFUNCTION("""COMPUTED_VALUE"""),45905.0)</f>
        <v>45905</v>
      </c>
      <c r="I2686" s="115" t="str">
        <f>IFERROR(__xludf.DUMMYFUNCTION("""COMPUTED_VALUE"""),"22")</f>
        <v>22</v>
      </c>
      <c r="J2686" s="115" t="str">
        <f>IFERROR(__xludf.DUMMYFUNCTION("""COMPUTED_VALUE"""),"Loveleen Singh2025-09-0522")</f>
        <v>Loveleen Singh2025-09-0522</v>
      </c>
      <c r="K2686" s="115">
        <f>IFERROR(__xludf.DUMMYFUNCTION("""COMPUTED_VALUE"""),33725.0)</f>
        <v>33725</v>
      </c>
    </row>
    <row r="2687">
      <c r="A2687" s="115" t="str">
        <f>IFERROR(__xludf.DUMMYFUNCTION("""COMPUTED_VALUE"""),"NORTH")</f>
        <v>NORTH</v>
      </c>
      <c r="B2687" s="115" t="str">
        <f>IFERROR(__xludf.DUMMYFUNCTION("""COMPUTED_VALUE"""),"Manoj Harsh")</f>
        <v>Manoj Harsh</v>
      </c>
      <c r="C2687" s="115" t="str">
        <f>IFERROR(__xludf.DUMMYFUNCTION("""COMPUTED_VALUE"""),"EXTERNAL")</f>
        <v>EXTERNAL</v>
      </c>
      <c r="D2687" s="115">
        <f>IFERROR(__xludf.DUMMYFUNCTION("""COMPUTED_VALUE"""),34182.0)</f>
        <v>34182</v>
      </c>
      <c r="E2687" s="115">
        <f>IFERROR(__xludf.DUMMYFUNCTION("""COMPUTED_VALUE"""),2704.0)</f>
        <v>2704</v>
      </c>
      <c r="F2687" s="115">
        <f>IFERROR(__xludf.DUMMYFUNCTION("""COMPUTED_VALUE"""),14998.0)</f>
        <v>14998</v>
      </c>
      <c r="G2687" s="115">
        <f>IFERROR(__xludf.DUMMYFUNCTION("""COMPUTED_VALUE"""),1132.0)</f>
        <v>1132</v>
      </c>
      <c r="H2687" s="116">
        <f>IFERROR(__xludf.DUMMYFUNCTION("""COMPUTED_VALUE"""),45905.0)</f>
        <v>45905</v>
      </c>
      <c r="I2687" s="115" t="str">
        <f>IFERROR(__xludf.DUMMYFUNCTION("""COMPUTED_VALUE"""),"22")</f>
        <v>22</v>
      </c>
      <c r="J2687" s="115" t="str">
        <f>IFERROR(__xludf.DUMMYFUNCTION("""COMPUTED_VALUE"""),"Manoj Harsh2025-09-0522")</f>
        <v>Manoj Harsh2025-09-0522</v>
      </c>
      <c r="K2687" s="115">
        <f>IFERROR(__xludf.DUMMYFUNCTION("""COMPUTED_VALUE"""),36886.0)</f>
        <v>36886</v>
      </c>
    </row>
    <row r="2688">
      <c r="A2688" s="115" t="str">
        <f>IFERROR(__xludf.DUMMYFUNCTION("""COMPUTED_VALUE"""),"NORTH")</f>
        <v>NORTH</v>
      </c>
      <c r="B2688" s="115" t="str">
        <f>IFERROR(__xludf.DUMMYFUNCTION("""COMPUTED_VALUE"""),"Manoj Harsh")</f>
        <v>Manoj Harsh</v>
      </c>
      <c r="C2688" s="115" t="str">
        <f>IFERROR(__xludf.DUMMYFUNCTION("""COMPUTED_VALUE"""),"FLIPKART")</f>
        <v>FLIPKART</v>
      </c>
      <c r="D2688" s="115">
        <f>IFERROR(__xludf.DUMMYFUNCTION("""COMPUTED_VALUE"""),412845.0)</f>
        <v>412845</v>
      </c>
      <c r="E2688" s="115">
        <f>IFERROR(__xludf.DUMMYFUNCTION("""COMPUTED_VALUE"""),41272.0)</f>
        <v>41272</v>
      </c>
      <c r="F2688" s="115">
        <f>IFERROR(__xludf.DUMMYFUNCTION("""COMPUTED_VALUE"""),308108.0)</f>
        <v>308108</v>
      </c>
      <c r="G2688" s="115">
        <f>IFERROR(__xludf.DUMMYFUNCTION("""COMPUTED_VALUE"""),27798.0)</f>
        <v>27798</v>
      </c>
      <c r="H2688" s="116">
        <f>IFERROR(__xludf.DUMMYFUNCTION("""COMPUTED_VALUE"""),45905.0)</f>
        <v>45905</v>
      </c>
      <c r="I2688" s="115" t="str">
        <f>IFERROR(__xludf.DUMMYFUNCTION("""COMPUTED_VALUE"""),"22")</f>
        <v>22</v>
      </c>
      <c r="J2688" s="115" t="str">
        <f>IFERROR(__xludf.DUMMYFUNCTION("""COMPUTED_VALUE"""),"Manoj Harsh2025-09-0522")</f>
        <v>Manoj Harsh2025-09-0522</v>
      </c>
      <c r="K2688" s="115">
        <f>IFERROR(__xludf.DUMMYFUNCTION("""COMPUTED_VALUE"""),454117.0)</f>
        <v>454117</v>
      </c>
    </row>
    <row r="2689">
      <c r="A2689" s="115" t="str">
        <f>IFERROR(__xludf.DUMMYFUNCTION("""COMPUTED_VALUE"""),"NORTH")</f>
        <v>NORTH</v>
      </c>
      <c r="B2689" s="115" t="str">
        <f>IFERROR(__xludf.DUMMYFUNCTION("""COMPUTED_VALUE"""),"Manoj Harsh")</f>
        <v>Manoj Harsh</v>
      </c>
      <c r="C2689" s="115" t="str">
        <f>IFERROR(__xludf.DUMMYFUNCTION("""COMPUTED_VALUE"""),"MYNTRA")</f>
        <v>MYNTRA</v>
      </c>
      <c r="D2689" s="115">
        <f>IFERROR(__xludf.DUMMYFUNCTION("""COMPUTED_VALUE"""),38463.0)</f>
        <v>38463</v>
      </c>
      <c r="E2689" s="115">
        <f>IFERROR(__xludf.DUMMYFUNCTION("""COMPUTED_VALUE"""),7980.0)</f>
        <v>7980</v>
      </c>
      <c r="F2689" s="115">
        <f>IFERROR(__xludf.DUMMYFUNCTION("""COMPUTED_VALUE"""),31240.0)</f>
        <v>31240</v>
      </c>
      <c r="G2689" s="115">
        <f>IFERROR(__xludf.DUMMYFUNCTION("""COMPUTED_VALUE"""),5620.0)</f>
        <v>5620</v>
      </c>
      <c r="H2689" s="116">
        <f>IFERROR(__xludf.DUMMYFUNCTION("""COMPUTED_VALUE"""),45905.0)</f>
        <v>45905</v>
      </c>
      <c r="I2689" s="115" t="str">
        <f>IFERROR(__xludf.DUMMYFUNCTION("""COMPUTED_VALUE"""),"22")</f>
        <v>22</v>
      </c>
      <c r="J2689" s="115" t="str">
        <f>IFERROR(__xludf.DUMMYFUNCTION("""COMPUTED_VALUE"""),"Manoj Harsh2025-09-0522")</f>
        <v>Manoj Harsh2025-09-0522</v>
      </c>
      <c r="K2689" s="115">
        <f>IFERROR(__xludf.DUMMYFUNCTION("""COMPUTED_VALUE"""),46443.0)</f>
        <v>46443</v>
      </c>
    </row>
    <row r="2690">
      <c r="A2690" s="115" t="str">
        <f>IFERROR(__xludf.DUMMYFUNCTION("""COMPUTED_VALUE"""),"NORTH")</f>
        <v>NORTH</v>
      </c>
      <c r="B2690" s="115" t="str">
        <f>IFERROR(__xludf.DUMMYFUNCTION("""COMPUTED_VALUE"""),"Pradeep Kothari")</f>
        <v>Pradeep Kothari</v>
      </c>
      <c r="C2690" s="115" t="str">
        <f>IFERROR(__xludf.DUMMYFUNCTION("""COMPUTED_VALUE"""),"EXTERNAL")</f>
        <v>EXTERNAL</v>
      </c>
      <c r="D2690" s="115">
        <f>IFERROR(__xludf.DUMMYFUNCTION("""COMPUTED_VALUE"""),18869.0)</f>
        <v>18869</v>
      </c>
      <c r="E2690" s="115">
        <f>IFERROR(__xludf.DUMMYFUNCTION("""COMPUTED_VALUE"""),1871.0)</f>
        <v>1871</v>
      </c>
      <c r="F2690" s="115">
        <f>IFERROR(__xludf.DUMMYFUNCTION("""COMPUTED_VALUE"""),7966.0)</f>
        <v>7966</v>
      </c>
      <c r="G2690" s="115">
        <f>IFERROR(__xludf.DUMMYFUNCTION("""COMPUTED_VALUE"""),898.0)</f>
        <v>898</v>
      </c>
      <c r="H2690" s="116">
        <f>IFERROR(__xludf.DUMMYFUNCTION("""COMPUTED_VALUE"""),45905.0)</f>
        <v>45905</v>
      </c>
      <c r="I2690" s="115" t="str">
        <f>IFERROR(__xludf.DUMMYFUNCTION("""COMPUTED_VALUE"""),"22")</f>
        <v>22</v>
      </c>
      <c r="J2690" s="115" t="str">
        <f>IFERROR(__xludf.DUMMYFUNCTION("""COMPUTED_VALUE"""),"Pradeep Kothari2025-09-0522")</f>
        <v>Pradeep Kothari2025-09-0522</v>
      </c>
      <c r="K2690" s="115">
        <f>IFERROR(__xludf.DUMMYFUNCTION("""COMPUTED_VALUE"""),20740.0)</f>
        <v>20740</v>
      </c>
    </row>
    <row r="2691">
      <c r="A2691" s="115" t="str">
        <f>IFERROR(__xludf.DUMMYFUNCTION("""COMPUTED_VALUE"""),"NORTH")</f>
        <v>NORTH</v>
      </c>
      <c r="B2691" s="115" t="str">
        <f>IFERROR(__xludf.DUMMYFUNCTION("""COMPUTED_VALUE"""),"Pradeep Kothari")</f>
        <v>Pradeep Kothari</v>
      </c>
      <c r="C2691" s="115" t="str">
        <f>IFERROR(__xludf.DUMMYFUNCTION("""COMPUTED_VALUE"""),"FLIPKART")</f>
        <v>FLIPKART</v>
      </c>
      <c r="D2691" s="115">
        <f>IFERROR(__xludf.DUMMYFUNCTION("""COMPUTED_VALUE"""),141482.0)</f>
        <v>141482</v>
      </c>
      <c r="E2691" s="115">
        <f>IFERROR(__xludf.DUMMYFUNCTION("""COMPUTED_VALUE"""),17148.0)</f>
        <v>17148</v>
      </c>
      <c r="F2691" s="115">
        <f>IFERROR(__xludf.DUMMYFUNCTION("""COMPUTED_VALUE"""),106186.0)</f>
        <v>106186</v>
      </c>
      <c r="G2691" s="115">
        <f>IFERROR(__xludf.DUMMYFUNCTION("""COMPUTED_VALUE"""),11816.0)</f>
        <v>11816</v>
      </c>
      <c r="H2691" s="116">
        <f>IFERROR(__xludf.DUMMYFUNCTION("""COMPUTED_VALUE"""),45905.0)</f>
        <v>45905</v>
      </c>
      <c r="I2691" s="115" t="str">
        <f>IFERROR(__xludf.DUMMYFUNCTION("""COMPUTED_VALUE"""),"22")</f>
        <v>22</v>
      </c>
      <c r="J2691" s="115" t="str">
        <f>IFERROR(__xludf.DUMMYFUNCTION("""COMPUTED_VALUE"""),"Pradeep Kothari2025-09-0522")</f>
        <v>Pradeep Kothari2025-09-0522</v>
      </c>
      <c r="K2691" s="115">
        <f>IFERROR(__xludf.DUMMYFUNCTION("""COMPUTED_VALUE"""),158630.0)</f>
        <v>158630</v>
      </c>
    </row>
    <row r="2692">
      <c r="A2692" s="115" t="str">
        <f>IFERROR(__xludf.DUMMYFUNCTION("""COMPUTED_VALUE"""),"NORTH")</f>
        <v>NORTH</v>
      </c>
      <c r="B2692" s="115" t="str">
        <f>IFERROR(__xludf.DUMMYFUNCTION("""COMPUTED_VALUE"""),"Pradeep Kothari")</f>
        <v>Pradeep Kothari</v>
      </c>
      <c r="C2692" s="115" t="str">
        <f>IFERROR(__xludf.DUMMYFUNCTION("""COMPUTED_VALUE"""),"MYNTRA")</f>
        <v>MYNTRA</v>
      </c>
      <c r="D2692" s="115">
        <f>IFERROR(__xludf.DUMMYFUNCTION("""COMPUTED_VALUE"""),24618.0)</f>
        <v>24618</v>
      </c>
      <c r="E2692" s="115">
        <f>IFERROR(__xludf.DUMMYFUNCTION("""COMPUTED_VALUE"""),6456.0)</f>
        <v>6456</v>
      </c>
      <c r="F2692" s="115">
        <f>IFERROR(__xludf.DUMMYFUNCTION("""COMPUTED_VALUE"""),20701.0)</f>
        <v>20701</v>
      </c>
      <c r="G2692" s="115">
        <f>IFERROR(__xludf.DUMMYFUNCTION("""COMPUTED_VALUE"""),4781.0)</f>
        <v>4781</v>
      </c>
      <c r="H2692" s="116">
        <f>IFERROR(__xludf.DUMMYFUNCTION("""COMPUTED_VALUE"""),45905.0)</f>
        <v>45905</v>
      </c>
      <c r="I2692" s="115" t="str">
        <f>IFERROR(__xludf.DUMMYFUNCTION("""COMPUTED_VALUE"""),"22")</f>
        <v>22</v>
      </c>
      <c r="J2692" s="115" t="str">
        <f>IFERROR(__xludf.DUMMYFUNCTION("""COMPUTED_VALUE"""),"Pradeep Kothari2025-09-0522")</f>
        <v>Pradeep Kothari2025-09-0522</v>
      </c>
      <c r="K2692" s="115">
        <f>IFERROR(__xludf.DUMMYFUNCTION("""COMPUTED_VALUE"""),31074.0)</f>
        <v>31074</v>
      </c>
    </row>
    <row r="2693">
      <c r="A2693" s="115" t="str">
        <f>IFERROR(__xludf.DUMMYFUNCTION("""COMPUTED_VALUE"""),"SOUTH")</f>
        <v>SOUTH</v>
      </c>
      <c r="B2693" s="115" t="str">
        <f>IFERROR(__xludf.DUMMYFUNCTION("""COMPUTED_VALUE"""),"Kandula Sampath")</f>
        <v>Kandula Sampath</v>
      </c>
      <c r="C2693" s="115" t="str">
        <f>IFERROR(__xludf.DUMMYFUNCTION("""COMPUTED_VALUE"""),"EXTERNAL")</f>
        <v>EXTERNAL</v>
      </c>
      <c r="D2693" s="115">
        <f>IFERROR(__xludf.DUMMYFUNCTION("""COMPUTED_VALUE"""),35542.0)</f>
        <v>35542</v>
      </c>
      <c r="E2693" s="115">
        <f>IFERROR(__xludf.DUMMYFUNCTION("""COMPUTED_VALUE"""),3594.0)</f>
        <v>3594</v>
      </c>
      <c r="F2693" s="115">
        <f>IFERROR(__xludf.DUMMYFUNCTION("""COMPUTED_VALUE"""),16051.0)</f>
        <v>16051</v>
      </c>
      <c r="G2693" s="115">
        <f>IFERROR(__xludf.DUMMYFUNCTION("""COMPUTED_VALUE"""),1537.0)</f>
        <v>1537</v>
      </c>
      <c r="H2693" s="116">
        <f>IFERROR(__xludf.DUMMYFUNCTION("""COMPUTED_VALUE"""),45905.0)</f>
        <v>45905</v>
      </c>
      <c r="I2693" s="115" t="str">
        <f>IFERROR(__xludf.DUMMYFUNCTION("""COMPUTED_VALUE"""),"22")</f>
        <v>22</v>
      </c>
      <c r="J2693" s="115" t="str">
        <f>IFERROR(__xludf.DUMMYFUNCTION("""COMPUTED_VALUE"""),"Kandula Sampath2025-09-0522")</f>
        <v>Kandula Sampath2025-09-0522</v>
      </c>
      <c r="K2693" s="115">
        <f>IFERROR(__xludf.DUMMYFUNCTION("""COMPUTED_VALUE"""),39136.0)</f>
        <v>39136</v>
      </c>
    </row>
    <row r="2694">
      <c r="A2694" s="115" t="str">
        <f>IFERROR(__xludf.DUMMYFUNCTION("""COMPUTED_VALUE"""),"SOUTH")</f>
        <v>SOUTH</v>
      </c>
      <c r="B2694" s="115" t="str">
        <f>IFERROR(__xludf.DUMMYFUNCTION("""COMPUTED_VALUE"""),"Kandula Sampath")</f>
        <v>Kandula Sampath</v>
      </c>
      <c r="C2694" s="115" t="str">
        <f>IFERROR(__xludf.DUMMYFUNCTION("""COMPUTED_VALUE"""),"FLIPKART")</f>
        <v>FLIPKART</v>
      </c>
      <c r="D2694" s="115">
        <f>IFERROR(__xludf.DUMMYFUNCTION("""COMPUTED_VALUE"""),290852.0)</f>
        <v>290852</v>
      </c>
      <c r="E2694" s="115">
        <f>IFERROR(__xludf.DUMMYFUNCTION("""COMPUTED_VALUE"""),29455.0)</f>
        <v>29455</v>
      </c>
      <c r="F2694" s="115">
        <f>IFERROR(__xludf.DUMMYFUNCTION("""COMPUTED_VALUE"""),221648.0)</f>
        <v>221648</v>
      </c>
      <c r="G2694" s="115">
        <f>IFERROR(__xludf.DUMMYFUNCTION("""COMPUTED_VALUE"""),19800.0)</f>
        <v>19800</v>
      </c>
      <c r="H2694" s="116">
        <f>IFERROR(__xludf.DUMMYFUNCTION("""COMPUTED_VALUE"""),45905.0)</f>
        <v>45905</v>
      </c>
      <c r="I2694" s="115" t="str">
        <f>IFERROR(__xludf.DUMMYFUNCTION("""COMPUTED_VALUE"""),"22")</f>
        <v>22</v>
      </c>
      <c r="J2694" s="115" t="str">
        <f>IFERROR(__xludf.DUMMYFUNCTION("""COMPUTED_VALUE"""),"Kandula Sampath2025-09-0522")</f>
        <v>Kandula Sampath2025-09-0522</v>
      </c>
      <c r="K2694" s="115">
        <f>IFERROR(__xludf.DUMMYFUNCTION("""COMPUTED_VALUE"""),320307.0)</f>
        <v>320307</v>
      </c>
    </row>
    <row r="2695">
      <c r="A2695" s="115" t="str">
        <f>IFERROR(__xludf.DUMMYFUNCTION("""COMPUTED_VALUE"""),"SOUTH")</f>
        <v>SOUTH</v>
      </c>
      <c r="B2695" s="115" t="str">
        <f>IFERROR(__xludf.DUMMYFUNCTION("""COMPUTED_VALUE"""),"Kandula Sampath")</f>
        <v>Kandula Sampath</v>
      </c>
      <c r="C2695" s="115" t="str">
        <f>IFERROR(__xludf.DUMMYFUNCTION("""COMPUTED_VALUE"""),"MYNTRA")</f>
        <v>MYNTRA</v>
      </c>
      <c r="D2695" s="115">
        <f>IFERROR(__xludf.DUMMYFUNCTION("""COMPUTED_VALUE"""),35246.0)</f>
        <v>35246</v>
      </c>
      <c r="E2695" s="115">
        <f>IFERROR(__xludf.DUMMYFUNCTION("""COMPUTED_VALUE"""),7374.0)</f>
        <v>7374</v>
      </c>
      <c r="F2695" s="115">
        <f>IFERROR(__xludf.DUMMYFUNCTION("""COMPUTED_VALUE"""),29422.0)</f>
        <v>29422</v>
      </c>
      <c r="G2695" s="115">
        <f>IFERROR(__xludf.DUMMYFUNCTION("""COMPUTED_VALUE"""),5119.0)</f>
        <v>5119</v>
      </c>
      <c r="H2695" s="116">
        <f>IFERROR(__xludf.DUMMYFUNCTION("""COMPUTED_VALUE"""),45905.0)</f>
        <v>45905</v>
      </c>
      <c r="I2695" s="115" t="str">
        <f>IFERROR(__xludf.DUMMYFUNCTION("""COMPUTED_VALUE"""),"22")</f>
        <v>22</v>
      </c>
      <c r="J2695" s="115" t="str">
        <f>IFERROR(__xludf.DUMMYFUNCTION("""COMPUTED_VALUE"""),"Kandula Sampath2025-09-0522")</f>
        <v>Kandula Sampath2025-09-0522</v>
      </c>
      <c r="K2695" s="115">
        <f>IFERROR(__xludf.DUMMYFUNCTION("""COMPUTED_VALUE"""),42620.0)</f>
        <v>42620</v>
      </c>
    </row>
    <row r="2696">
      <c r="A2696" s="115" t="str">
        <f>IFERROR(__xludf.DUMMYFUNCTION("""COMPUTED_VALUE"""),"SOUTH")</f>
        <v>SOUTH</v>
      </c>
      <c r="B2696" s="115" t="str">
        <f>IFERROR(__xludf.DUMMYFUNCTION("""COMPUTED_VALUE"""),"Martin A")</f>
        <v>Martin A</v>
      </c>
      <c r="C2696" s="115" t="str">
        <f>IFERROR(__xludf.DUMMYFUNCTION("""COMPUTED_VALUE"""),"EXTERNAL")</f>
        <v>EXTERNAL</v>
      </c>
      <c r="D2696" s="115">
        <f>IFERROR(__xludf.DUMMYFUNCTION("""COMPUTED_VALUE"""),35496.0)</f>
        <v>35496</v>
      </c>
      <c r="E2696" s="115">
        <f>IFERROR(__xludf.DUMMYFUNCTION("""COMPUTED_VALUE"""),3388.0)</f>
        <v>3388</v>
      </c>
      <c r="F2696" s="115">
        <f>IFERROR(__xludf.DUMMYFUNCTION("""COMPUTED_VALUE"""),15844.0)</f>
        <v>15844</v>
      </c>
      <c r="G2696" s="115">
        <f>IFERROR(__xludf.DUMMYFUNCTION("""COMPUTED_VALUE"""),2053.0)</f>
        <v>2053</v>
      </c>
      <c r="H2696" s="116">
        <f>IFERROR(__xludf.DUMMYFUNCTION("""COMPUTED_VALUE"""),45905.0)</f>
        <v>45905</v>
      </c>
      <c r="I2696" s="115" t="str">
        <f>IFERROR(__xludf.DUMMYFUNCTION("""COMPUTED_VALUE"""),"22")</f>
        <v>22</v>
      </c>
      <c r="J2696" s="115" t="str">
        <f>IFERROR(__xludf.DUMMYFUNCTION("""COMPUTED_VALUE"""),"Martin A2025-09-0522")</f>
        <v>Martin A2025-09-0522</v>
      </c>
      <c r="K2696" s="115">
        <f>IFERROR(__xludf.DUMMYFUNCTION("""COMPUTED_VALUE"""),38884.0)</f>
        <v>38884</v>
      </c>
    </row>
    <row r="2697">
      <c r="A2697" s="115" t="str">
        <f>IFERROR(__xludf.DUMMYFUNCTION("""COMPUTED_VALUE"""),"SOUTH")</f>
        <v>SOUTH</v>
      </c>
      <c r="B2697" s="115" t="str">
        <f>IFERROR(__xludf.DUMMYFUNCTION("""COMPUTED_VALUE"""),"Martin A")</f>
        <v>Martin A</v>
      </c>
      <c r="C2697" s="115" t="str">
        <f>IFERROR(__xludf.DUMMYFUNCTION("""COMPUTED_VALUE"""),"FLIPKART")</f>
        <v>FLIPKART</v>
      </c>
      <c r="D2697" s="115">
        <f>IFERROR(__xludf.DUMMYFUNCTION("""COMPUTED_VALUE"""),265525.0)</f>
        <v>265525</v>
      </c>
      <c r="E2697" s="115">
        <f>IFERROR(__xludf.DUMMYFUNCTION("""COMPUTED_VALUE"""),25431.0)</f>
        <v>25431</v>
      </c>
      <c r="F2697" s="115">
        <f>IFERROR(__xludf.DUMMYFUNCTION("""COMPUTED_VALUE"""),200170.0)</f>
        <v>200170</v>
      </c>
      <c r="G2697" s="115">
        <f>IFERROR(__xludf.DUMMYFUNCTION("""COMPUTED_VALUE"""),17098.0)</f>
        <v>17098</v>
      </c>
      <c r="H2697" s="116">
        <f>IFERROR(__xludf.DUMMYFUNCTION("""COMPUTED_VALUE"""),45905.0)</f>
        <v>45905</v>
      </c>
      <c r="I2697" s="115" t="str">
        <f>IFERROR(__xludf.DUMMYFUNCTION("""COMPUTED_VALUE"""),"22")</f>
        <v>22</v>
      </c>
      <c r="J2697" s="115" t="str">
        <f>IFERROR(__xludf.DUMMYFUNCTION("""COMPUTED_VALUE"""),"Martin A2025-09-0522")</f>
        <v>Martin A2025-09-0522</v>
      </c>
      <c r="K2697" s="115">
        <f>IFERROR(__xludf.DUMMYFUNCTION("""COMPUTED_VALUE"""),290956.0)</f>
        <v>290956</v>
      </c>
    </row>
    <row r="2698">
      <c r="A2698" s="115" t="str">
        <f>IFERROR(__xludf.DUMMYFUNCTION("""COMPUTED_VALUE"""),"SOUTH")</f>
        <v>SOUTH</v>
      </c>
      <c r="B2698" s="115" t="str">
        <f>IFERROR(__xludf.DUMMYFUNCTION("""COMPUTED_VALUE"""),"Martin A")</f>
        <v>Martin A</v>
      </c>
      <c r="C2698" s="115" t="str">
        <f>IFERROR(__xludf.DUMMYFUNCTION("""COMPUTED_VALUE"""),"MYNTRA")</f>
        <v>MYNTRA</v>
      </c>
      <c r="D2698" s="115">
        <f>IFERROR(__xludf.DUMMYFUNCTION("""COMPUTED_VALUE"""),28144.0)</f>
        <v>28144</v>
      </c>
      <c r="E2698" s="115">
        <f>IFERROR(__xludf.DUMMYFUNCTION("""COMPUTED_VALUE"""),5643.0)</f>
        <v>5643</v>
      </c>
      <c r="F2698" s="115">
        <f>IFERROR(__xludf.DUMMYFUNCTION("""COMPUTED_VALUE"""),23992.0)</f>
        <v>23992</v>
      </c>
      <c r="G2698" s="115">
        <f>IFERROR(__xludf.DUMMYFUNCTION("""COMPUTED_VALUE"""),3939.0)</f>
        <v>3939</v>
      </c>
      <c r="H2698" s="116">
        <f>IFERROR(__xludf.DUMMYFUNCTION("""COMPUTED_VALUE"""),45905.0)</f>
        <v>45905</v>
      </c>
      <c r="I2698" s="115" t="str">
        <f>IFERROR(__xludf.DUMMYFUNCTION("""COMPUTED_VALUE"""),"22")</f>
        <v>22</v>
      </c>
      <c r="J2698" s="115" t="str">
        <f>IFERROR(__xludf.DUMMYFUNCTION("""COMPUTED_VALUE"""),"Martin A2025-09-0522")</f>
        <v>Martin A2025-09-0522</v>
      </c>
      <c r="K2698" s="115">
        <f>IFERROR(__xludf.DUMMYFUNCTION("""COMPUTED_VALUE"""),33787.0)</f>
        <v>33787</v>
      </c>
    </row>
    <row r="2699">
      <c r="A2699" s="115" t="str">
        <f>IFERROR(__xludf.DUMMYFUNCTION("""COMPUTED_VALUE"""),"SOUTH")</f>
        <v>SOUTH</v>
      </c>
      <c r="B2699" s="115" t="str">
        <f>IFERROR(__xludf.DUMMYFUNCTION("""COMPUTED_VALUE"""),"Premkumar M")</f>
        <v>Premkumar M</v>
      </c>
      <c r="C2699" s="115" t="str">
        <f>IFERROR(__xludf.DUMMYFUNCTION("""COMPUTED_VALUE"""),"EXTERNAL")</f>
        <v>EXTERNAL</v>
      </c>
      <c r="D2699" s="115">
        <f>IFERROR(__xludf.DUMMYFUNCTION("""COMPUTED_VALUE"""),30665.0)</f>
        <v>30665</v>
      </c>
      <c r="E2699" s="115">
        <f>IFERROR(__xludf.DUMMYFUNCTION("""COMPUTED_VALUE"""),1880.0)</f>
        <v>1880</v>
      </c>
      <c r="F2699" s="115">
        <f>IFERROR(__xludf.DUMMYFUNCTION("""COMPUTED_VALUE"""),16276.0)</f>
        <v>16276</v>
      </c>
      <c r="G2699" s="115">
        <f>IFERROR(__xludf.DUMMYFUNCTION("""COMPUTED_VALUE"""),829.0)</f>
        <v>829</v>
      </c>
      <c r="H2699" s="116">
        <f>IFERROR(__xludf.DUMMYFUNCTION("""COMPUTED_VALUE"""),45905.0)</f>
        <v>45905</v>
      </c>
      <c r="I2699" s="115" t="str">
        <f>IFERROR(__xludf.DUMMYFUNCTION("""COMPUTED_VALUE"""),"22")</f>
        <v>22</v>
      </c>
      <c r="J2699" s="115" t="str">
        <f>IFERROR(__xludf.DUMMYFUNCTION("""COMPUTED_VALUE"""),"Premkumar M2025-09-0522")</f>
        <v>Premkumar M2025-09-0522</v>
      </c>
      <c r="K2699" s="115">
        <f>IFERROR(__xludf.DUMMYFUNCTION("""COMPUTED_VALUE"""),32545.0)</f>
        <v>32545</v>
      </c>
    </row>
    <row r="2700">
      <c r="A2700" s="115" t="str">
        <f>IFERROR(__xludf.DUMMYFUNCTION("""COMPUTED_VALUE"""),"SOUTH")</f>
        <v>SOUTH</v>
      </c>
      <c r="B2700" s="115" t="str">
        <f>IFERROR(__xludf.DUMMYFUNCTION("""COMPUTED_VALUE"""),"Premkumar M")</f>
        <v>Premkumar M</v>
      </c>
      <c r="C2700" s="115" t="str">
        <f>IFERROR(__xludf.DUMMYFUNCTION("""COMPUTED_VALUE"""),"FLIPKART")</f>
        <v>FLIPKART</v>
      </c>
      <c r="D2700" s="115">
        <f>IFERROR(__xludf.DUMMYFUNCTION("""COMPUTED_VALUE"""),271798.0)</f>
        <v>271798</v>
      </c>
      <c r="E2700" s="115">
        <f>IFERROR(__xludf.DUMMYFUNCTION("""COMPUTED_VALUE"""),19473.0)</f>
        <v>19473</v>
      </c>
      <c r="F2700" s="115">
        <f>IFERROR(__xludf.DUMMYFUNCTION("""COMPUTED_VALUE"""),214026.0)</f>
        <v>214026</v>
      </c>
      <c r="G2700" s="115">
        <f>IFERROR(__xludf.DUMMYFUNCTION("""COMPUTED_VALUE"""),11725.0)</f>
        <v>11725</v>
      </c>
      <c r="H2700" s="116">
        <f>IFERROR(__xludf.DUMMYFUNCTION("""COMPUTED_VALUE"""),45905.0)</f>
        <v>45905</v>
      </c>
      <c r="I2700" s="115" t="str">
        <f>IFERROR(__xludf.DUMMYFUNCTION("""COMPUTED_VALUE"""),"22")</f>
        <v>22</v>
      </c>
      <c r="J2700" s="115" t="str">
        <f>IFERROR(__xludf.DUMMYFUNCTION("""COMPUTED_VALUE"""),"Premkumar M2025-09-0522")</f>
        <v>Premkumar M2025-09-0522</v>
      </c>
      <c r="K2700" s="115">
        <f>IFERROR(__xludf.DUMMYFUNCTION("""COMPUTED_VALUE"""),291271.0)</f>
        <v>291271</v>
      </c>
    </row>
    <row r="2701">
      <c r="A2701" s="115" t="str">
        <f>IFERROR(__xludf.DUMMYFUNCTION("""COMPUTED_VALUE"""),"SOUTH")</f>
        <v>SOUTH</v>
      </c>
      <c r="B2701" s="115" t="str">
        <f>IFERROR(__xludf.DUMMYFUNCTION("""COMPUTED_VALUE"""),"Premkumar M")</f>
        <v>Premkumar M</v>
      </c>
      <c r="C2701" s="115" t="str">
        <f>IFERROR(__xludf.DUMMYFUNCTION("""COMPUTED_VALUE"""),"MYNTRA")</f>
        <v>MYNTRA</v>
      </c>
      <c r="D2701" s="115">
        <f>IFERROR(__xludf.DUMMYFUNCTION("""COMPUTED_VALUE"""),15669.0)</f>
        <v>15669</v>
      </c>
      <c r="E2701" s="115">
        <f>IFERROR(__xludf.DUMMYFUNCTION("""COMPUTED_VALUE"""),2935.0)</f>
        <v>2935</v>
      </c>
      <c r="F2701" s="115">
        <f>IFERROR(__xludf.DUMMYFUNCTION("""COMPUTED_VALUE"""),13496.0)</f>
        <v>13496</v>
      </c>
      <c r="G2701" s="115">
        <f>IFERROR(__xludf.DUMMYFUNCTION("""COMPUTED_VALUE"""),1887.0)</f>
        <v>1887</v>
      </c>
      <c r="H2701" s="116">
        <f>IFERROR(__xludf.DUMMYFUNCTION("""COMPUTED_VALUE"""),45905.0)</f>
        <v>45905</v>
      </c>
      <c r="I2701" s="115" t="str">
        <f>IFERROR(__xludf.DUMMYFUNCTION("""COMPUTED_VALUE"""),"22")</f>
        <v>22</v>
      </c>
      <c r="J2701" s="115" t="str">
        <f>IFERROR(__xludf.DUMMYFUNCTION("""COMPUTED_VALUE"""),"Premkumar M2025-09-0522")</f>
        <v>Premkumar M2025-09-0522</v>
      </c>
      <c r="K2701" s="115">
        <f>IFERROR(__xludf.DUMMYFUNCTION("""COMPUTED_VALUE"""),18604.0)</f>
        <v>18604</v>
      </c>
    </row>
    <row r="2702">
      <c r="A2702" s="115" t="str">
        <f>IFERROR(__xludf.DUMMYFUNCTION("""COMPUTED_VALUE"""),"SOUTH")</f>
        <v>SOUTH</v>
      </c>
      <c r="B2702" s="115" t="str">
        <f>IFERROR(__xludf.DUMMYFUNCTION("""COMPUTED_VALUE"""),"Vineeth V")</f>
        <v>Vineeth V</v>
      </c>
      <c r="C2702" s="115" t="str">
        <f>IFERROR(__xludf.DUMMYFUNCTION("""COMPUTED_VALUE"""),"EXTERNAL")</f>
        <v>EXTERNAL</v>
      </c>
      <c r="D2702" s="115">
        <f>IFERROR(__xludf.DUMMYFUNCTION("""COMPUTED_VALUE"""),2291.0)</f>
        <v>2291</v>
      </c>
      <c r="E2702" s="115">
        <f>IFERROR(__xludf.DUMMYFUNCTION("""COMPUTED_VALUE"""),79.0)</f>
        <v>79</v>
      </c>
      <c r="F2702" s="115">
        <f>IFERROR(__xludf.DUMMYFUNCTION("""COMPUTED_VALUE"""),1174.0)</f>
        <v>1174</v>
      </c>
      <c r="G2702" s="115">
        <f>IFERROR(__xludf.DUMMYFUNCTION("""COMPUTED_VALUE"""),41.0)</f>
        <v>41</v>
      </c>
      <c r="H2702" s="116">
        <f>IFERROR(__xludf.DUMMYFUNCTION("""COMPUTED_VALUE"""),45905.0)</f>
        <v>45905</v>
      </c>
      <c r="I2702" s="115" t="str">
        <f>IFERROR(__xludf.DUMMYFUNCTION("""COMPUTED_VALUE"""),"22")</f>
        <v>22</v>
      </c>
      <c r="J2702" s="115" t="str">
        <f>IFERROR(__xludf.DUMMYFUNCTION("""COMPUTED_VALUE"""),"Vineeth V2025-09-0522")</f>
        <v>Vineeth V2025-09-0522</v>
      </c>
      <c r="K2702" s="115">
        <f>IFERROR(__xludf.DUMMYFUNCTION("""COMPUTED_VALUE"""),2370.0)</f>
        <v>2370</v>
      </c>
    </row>
    <row r="2703">
      <c r="A2703" s="115" t="str">
        <f>IFERROR(__xludf.DUMMYFUNCTION("""COMPUTED_VALUE"""),"SOUTH")</f>
        <v>SOUTH</v>
      </c>
      <c r="B2703" s="115" t="str">
        <f>IFERROR(__xludf.DUMMYFUNCTION("""COMPUTED_VALUE"""),"Vineeth V")</f>
        <v>Vineeth V</v>
      </c>
      <c r="C2703" s="115" t="str">
        <f>IFERROR(__xludf.DUMMYFUNCTION("""COMPUTED_VALUE"""),"FLIPKART")</f>
        <v>FLIPKART</v>
      </c>
      <c r="D2703" s="115">
        <f>IFERROR(__xludf.DUMMYFUNCTION("""COMPUTED_VALUE"""),16038.0)</f>
        <v>16038</v>
      </c>
      <c r="E2703" s="115">
        <f>IFERROR(__xludf.DUMMYFUNCTION("""COMPUTED_VALUE"""),1734.0)</f>
        <v>1734</v>
      </c>
      <c r="F2703" s="115">
        <f>IFERROR(__xludf.DUMMYFUNCTION("""COMPUTED_VALUE"""),12573.0)</f>
        <v>12573</v>
      </c>
      <c r="G2703" s="115">
        <f>IFERROR(__xludf.DUMMYFUNCTION("""COMPUTED_VALUE"""),1130.0)</f>
        <v>1130</v>
      </c>
      <c r="H2703" s="116">
        <f>IFERROR(__xludf.DUMMYFUNCTION("""COMPUTED_VALUE"""),45905.0)</f>
        <v>45905</v>
      </c>
      <c r="I2703" s="115" t="str">
        <f>IFERROR(__xludf.DUMMYFUNCTION("""COMPUTED_VALUE"""),"22")</f>
        <v>22</v>
      </c>
      <c r="J2703" s="115" t="str">
        <f>IFERROR(__xludf.DUMMYFUNCTION("""COMPUTED_VALUE"""),"Vineeth V2025-09-0522")</f>
        <v>Vineeth V2025-09-0522</v>
      </c>
      <c r="K2703" s="115">
        <f>IFERROR(__xludf.DUMMYFUNCTION("""COMPUTED_VALUE"""),17772.0)</f>
        <v>17772</v>
      </c>
    </row>
    <row r="2704">
      <c r="A2704" s="115" t="str">
        <f>IFERROR(__xludf.DUMMYFUNCTION("""COMPUTED_VALUE"""),"SOUTH")</f>
        <v>SOUTH</v>
      </c>
      <c r="B2704" s="115" t="str">
        <f>IFERROR(__xludf.DUMMYFUNCTION("""COMPUTED_VALUE"""),"Vineeth V")</f>
        <v>Vineeth V</v>
      </c>
      <c r="C2704" s="115" t="str">
        <f>IFERROR(__xludf.DUMMYFUNCTION("""COMPUTED_VALUE"""),"MYNTRA")</f>
        <v>MYNTRA</v>
      </c>
      <c r="D2704" s="115">
        <f>IFERROR(__xludf.DUMMYFUNCTION("""COMPUTED_VALUE"""),2891.0)</f>
        <v>2891</v>
      </c>
      <c r="E2704" s="115">
        <f>IFERROR(__xludf.DUMMYFUNCTION("""COMPUTED_VALUE"""),414.0)</f>
        <v>414</v>
      </c>
      <c r="F2704" s="115">
        <f>IFERROR(__xludf.DUMMYFUNCTION("""COMPUTED_VALUE"""),2429.0)</f>
        <v>2429</v>
      </c>
      <c r="G2704" s="115">
        <f>IFERROR(__xludf.DUMMYFUNCTION("""COMPUTED_VALUE"""),278.0)</f>
        <v>278</v>
      </c>
      <c r="H2704" s="116">
        <f>IFERROR(__xludf.DUMMYFUNCTION("""COMPUTED_VALUE"""),45905.0)</f>
        <v>45905</v>
      </c>
      <c r="I2704" s="115" t="str">
        <f>IFERROR(__xludf.DUMMYFUNCTION("""COMPUTED_VALUE"""),"22")</f>
        <v>22</v>
      </c>
      <c r="J2704" s="115" t="str">
        <f>IFERROR(__xludf.DUMMYFUNCTION("""COMPUTED_VALUE"""),"Vineeth V2025-09-0522")</f>
        <v>Vineeth V2025-09-0522</v>
      </c>
      <c r="K2704" s="115">
        <f>IFERROR(__xludf.DUMMYFUNCTION("""COMPUTED_VALUE"""),3305.0)</f>
        <v>3305</v>
      </c>
    </row>
    <row r="2705">
      <c r="A2705" s="115" t="str">
        <f>IFERROR(__xludf.DUMMYFUNCTION("""COMPUTED_VALUE"""),"WEST")</f>
        <v>WEST</v>
      </c>
      <c r="B2705" s="115" t="str">
        <f>IFERROR(__xludf.DUMMYFUNCTION("""COMPUTED_VALUE"""),"Ashish Jakar")</f>
        <v>Ashish Jakar</v>
      </c>
      <c r="C2705" s="115" t="str">
        <f>IFERROR(__xludf.DUMMYFUNCTION("""COMPUTED_VALUE"""),"EXTERNAL")</f>
        <v>EXTERNAL</v>
      </c>
      <c r="D2705" s="115">
        <f>IFERROR(__xludf.DUMMYFUNCTION("""COMPUTED_VALUE"""),56211.0)</f>
        <v>56211</v>
      </c>
      <c r="E2705" s="115">
        <f>IFERROR(__xludf.DUMMYFUNCTION("""COMPUTED_VALUE"""),6110.0)</f>
        <v>6110</v>
      </c>
      <c r="F2705" s="115">
        <f>IFERROR(__xludf.DUMMYFUNCTION("""COMPUTED_VALUE"""),23530.0)</f>
        <v>23530</v>
      </c>
      <c r="G2705" s="115">
        <f>IFERROR(__xludf.DUMMYFUNCTION("""COMPUTED_VALUE"""),3062.0)</f>
        <v>3062</v>
      </c>
      <c r="H2705" s="116">
        <f>IFERROR(__xludf.DUMMYFUNCTION("""COMPUTED_VALUE"""),45905.0)</f>
        <v>45905</v>
      </c>
      <c r="I2705" s="115" t="str">
        <f>IFERROR(__xludf.DUMMYFUNCTION("""COMPUTED_VALUE"""),"22")</f>
        <v>22</v>
      </c>
      <c r="J2705" s="115" t="str">
        <f>IFERROR(__xludf.DUMMYFUNCTION("""COMPUTED_VALUE"""),"Ashish Jakar2025-09-0522")</f>
        <v>Ashish Jakar2025-09-0522</v>
      </c>
      <c r="K2705" s="115">
        <f>IFERROR(__xludf.DUMMYFUNCTION("""COMPUTED_VALUE"""),62321.0)</f>
        <v>62321</v>
      </c>
    </row>
    <row r="2706">
      <c r="A2706" s="115" t="str">
        <f>IFERROR(__xludf.DUMMYFUNCTION("""COMPUTED_VALUE"""),"WEST")</f>
        <v>WEST</v>
      </c>
      <c r="B2706" s="115" t="str">
        <f>IFERROR(__xludf.DUMMYFUNCTION("""COMPUTED_VALUE"""),"Ashish Jakar")</f>
        <v>Ashish Jakar</v>
      </c>
      <c r="C2706" s="115" t="str">
        <f>IFERROR(__xludf.DUMMYFUNCTION("""COMPUTED_VALUE"""),"FLIPKART")</f>
        <v>FLIPKART</v>
      </c>
      <c r="D2706" s="115">
        <f>IFERROR(__xludf.DUMMYFUNCTION("""COMPUTED_VALUE"""),296059.0)</f>
        <v>296059</v>
      </c>
      <c r="E2706" s="115">
        <f>IFERROR(__xludf.DUMMYFUNCTION("""COMPUTED_VALUE"""),31763.0)</f>
        <v>31763</v>
      </c>
      <c r="F2706" s="115">
        <f>IFERROR(__xludf.DUMMYFUNCTION("""COMPUTED_VALUE"""),214222.0)</f>
        <v>214222</v>
      </c>
      <c r="G2706" s="115">
        <f>IFERROR(__xludf.DUMMYFUNCTION("""COMPUTED_VALUE"""),20611.0)</f>
        <v>20611</v>
      </c>
      <c r="H2706" s="116">
        <f>IFERROR(__xludf.DUMMYFUNCTION("""COMPUTED_VALUE"""),45905.0)</f>
        <v>45905</v>
      </c>
      <c r="I2706" s="115" t="str">
        <f>IFERROR(__xludf.DUMMYFUNCTION("""COMPUTED_VALUE"""),"22")</f>
        <v>22</v>
      </c>
      <c r="J2706" s="115" t="str">
        <f>IFERROR(__xludf.DUMMYFUNCTION("""COMPUTED_VALUE"""),"Ashish Jakar2025-09-0522")</f>
        <v>Ashish Jakar2025-09-0522</v>
      </c>
      <c r="K2706" s="115">
        <f>IFERROR(__xludf.DUMMYFUNCTION("""COMPUTED_VALUE"""),327822.0)</f>
        <v>327822</v>
      </c>
    </row>
    <row r="2707">
      <c r="A2707" s="115" t="str">
        <f>IFERROR(__xludf.DUMMYFUNCTION("""COMPUTED_VALUE"""),"WEST")</f>
        <v>WEST</v>
      </c>
      <c r="B2707" s="115" t="str">
        <f>IFERROR(__xludf.DUMMYFUNCTION("""COMPUTED_VALUE"""),"Ashish Jakar")</f>
        <v>Ashish Jakar</v>
      </c>
      <c r="C2707" s="115" t="str">
        <f>IFERROR(__xludf.DUMMYFUNCTION("""COMPUTED_VALUE"""),"MYNTRA")</f>
        <v>MYNTRA</v>
      </c>
      <c r="D2707" s="115">
        <f>IFERROR(__xludf.DUMMYFUNCTION("""COMPUTED_VALUE"""),38056.0)</f>
        <v>38056</v>
      </c>
      <c r="E2707" s="115">
        <f>IFERROR(__xludf.DUMMYFUNCTION("""COMPUTED_VALUE"""),10465.0)</f>
        <v>10465</v>
      </c>
      <c r="F2707" s="115">
        <f>IFERROR(__xludf.DUMMYFUNCTION("""COMPUTED_VALUE"""),32032.0)</f>
        <v>32032</v>
      </c>
      <c r="G2707" s="115">
        <f>IFERROR(__xludf.DUMMYFUNCTION("""COMPUTED_VALUE"""),7142.0)</f>
        <v>7142</v>
      </c>
      <c r="H2707" s="116">
        <f>IFERROR(__xludf.DUMMYFUNCTION("""COMPUTED_VALUE"""),45905.0)</f>
        <v>45905</v>
      </c>
      <c r="I2707" s="115" t="str">
        <f>IFERROR(__xludf.DUMMYFUNCTION("""COMPUTED_VALUE"""),"22")</f>
        <v>22</v>
      </c>
      <c r="J2707" s="115" t="str">
        <f>IFERROR(__xludf.DUMMYFUNCTION("""COMPUTED_VALUE"""),"Ashish Jakar2025-09-0522")</f>
        <v>Ashish Jakar2025-09-0522</v>
      </c>
      <c r="K2707" s="115">
        <f>IFERROR(__xludf.DUMMYFUNCTION("""COMPUTED_VALUE"""),48521.0)</f>
        <v>48521</v>
      </c>
    </row>
    <row r="2708">
      <c r="A2708" s="115" t="str">
        <f>IFERROR(__xludf.DUMMYFUNCTION("""COMPUTED_VALUE"""),"WEST")</f>
        <v>WEST</v>
      </c>
      <c r="B2708" s="115" t="str">
        <f>IFERROR(__xludf.DUMMYFUNCTION("""COMPUTED_VALUE"""),"Ashvani Bhatt")</f>
        <v>Ashvani Bhatt</v>
      </c>
      <c r="C2708" s="115" t="str">
        <f>IFERROR(__xludf.DUMMYFUNCTION("""COMPUTED_VALUE"""),"EXTERNAL")</f>
        <v>EXTERNAL</v>
      </c>
      <c r="D2708" s="115">
        <f>IFERROR(__xludf.DUMMYFUNCTION("""COMPUTED_VALUE"""),36662.0)</f>
        <v>36662</v>
      </c>
      <c r="E2708" s="115">
        <f>IFERROR(__xludf.DUMMYFUNCTION("""COMPUTED_VALUE"""),2977.0)</f>
        <v>2977</v>
      </c>
      <c r="F2708" s="115">
        <f>IFERROR(__xludf.DUMMYFUNCTION("""COMPUTED_VALUE"""),16009.0)</f>
        <v>16009</v>
      </c>
      <c r="G2708" s="115">
        <f>IFERROR(__xludf.DUMMYFUNCTION("""COMPUTED_VALUE"""),1406.0)</f>
        <v>1406</v>
      </c>
      <c r="H2708" s="116">
        <f>IFERROR(__xludf.DUMMYFUNCTION("""COMPUTED_VALUE"""),45905.0)</f>
        <v>45905</v>
      </c>
      <c r="I2708" s="115" t="str">
        <f>IFERROR(__xludf.DUMMYFUNCTION("""COMPUTED_VALUE"""),"22")</f>
        <v>22</v>
      </c>
      <c r="J2708" s="115" t="str">
        <f>IFERROR(__xludf.DUMMYFUNCTION("""COMPUTED_VALUE"""),"Ashvani Bhatt2025-09-0522")</f>
        <v>Ashvani Bhatt2025-09-0522</v>
      </c>
      <c r="K2708" s="115">
        <f>IFERROR(__xludf.DUMMYFUNCTION("""COMPUTED_VALUE"""),39639.0)</f>
        <v>39639</v>
      </c>
    </row>
    <row r="2709">
      <c r="A2709" s="115" t="str">
        <f>IFERROR(__xludf.DUMMYFUNCTION("""COMPUTED_VALUE"""),"WEST")</f>
        <v>WEST</v>
      </c>
      <c r="B2709" s="115" t="str">
        <f>IFERROR(__xludf.DUMMYFUNCTION("""COMPUTED_VALUE"""),"Ashvani Bhatt")</f>
        <v>Ashvani Bhatt</v>
      </c>
      <c r="C2709" s="115" t="str">
        <f>IFERROR(__xludf.DUMMYFUNCTION("""COMPUTED_VALUE"""),"FLIPKART")</f>
        <v>FLIPKART</v>
      </c>
      <c r="D2709" s="115">
        <f>IFERROR(__xludf.DUMMYFUNCTION("""COMPUTED_VALUE"""),254341.0)</f>
        <v>254341</v>
      </c>
      <c r="E2709" s="115">
        <f>IFERROR(__xludf.DUMMYFUNCTION("""COMPUTED_VALUE"""),27454.0)</f>
        <v>27454</v>
      </c>
      <c r="F2709" s="115">
        <f>IFERROR(__xludf.DUMMYFUNCTION("""COMPUTED_VALUE"""),191771.0)</f>
        <v>191771</v>
      </c>
      <c r="G2709" s="115">
        <f>IFERROR(__xludf.DUMMYFUNCTION("""COMPUTED_VALUE"""),18718.0)</f>
        <v>18718</v>
      </c>
      <c r="H2709" s="116">
        <f>IFERROR(__xludf.DUMMYFUNCTION("""COMPUTED_VALUE"""),45905.0)</f>
        <v>45905</v>
      </c>
      <c r="I2709" s="115" t="str">
        <f>IFERROR(__xludf.DUMMYFUNCTION("""COMPUTED_VALUE"""),"22")</f>
        <v>22</v>
      </c>
      <c r="J2709" s="115" t="str">
        <f>IFERROR(__xludf.DUMMYFUNCTION("""COMPUTED_VALUE"""),"Ashvani Bhatt2025-09-0522")</f>
        <v>Ashvani Bhatt2025-09-0522</v>
      </c>
      <c r="K2709" s="115">
        <f>IFERROR(__xludf.DUMMYFUNCTION("""COMPUTED_VALUE"""),281795.0)</f>
        <v>281795</v>
      </c>
    </row>
    <row r="2710">
      <c r="A2710" s="115" t="str">
        <f>IFERROR(__xludf.DUMMYFUNCTION("""COMPUTED_VALUE"""),"WEST")</f>
        <v>WEST</v>
      </c>
      <c r="B2710" s="115" t="str">
        <f>IFERROR(__xludf.DUMMYFUNCTION("""COMPUTED_VALUE"""),"Ashvani Bhatt")</f>
        <v>Ashvani Bhatt</v>
      </c>
      <c r="C2710" s="115" t="str">
        <f>IFERROR(__xludf.DUMMYFUNCTION("""COMPUTED_VALUE"""),"MYNTRA")</f>
        <v>MYNTRA</v>
      </c>
      <c r="D2710" s="115">
        <f>IFERROR(__xludf.DUMMYFUNCTION("""COMPUTED_VALUE"""),31945.0)</f>
        <v>31945</v>
      </c>
      <c r="E2710" s="115">
        <f>IFERROR(__xludf.DUMMYFUNCTION("""COMPUTED_VALUE"""),8359.0)</f>
        <v>8359</v>
      </c>
      <c r="F2710" s="115">
        <f>IFERROR(__xludf.DUMMYFUNCTION("""COMPUTED_VALUE"""),27111.0)</f>
        <v>27111</v>
      </c>
      <c r="G2710" s="115">
        <f>IFERROR(__xludf.DUMMYFUNCTION("""COMPUTED_VALUE"""),6094.0)</f>
        <v>6094</v>
      </c>
      <c r="H2710" s="116">
        <f>IFERROR(__xludf.DUMMYFUNCTION("""COMPUTED_VALUE"""),45905.0)</f>
        <v>45905</v>
      </c>
      <c r="I2710" s="115" t="str">
        <f>IFERROR(__xludf.DUMMYFUNCTION("""COMPUTED_VALUE"""),"22")</f>
        <v>22</v>
      </c>
      <c r="J2710" s="115" t="str">
        <f>IFERROR(__xludf.DUMMYFUNCTION("""COMPUTED_VALUE"""),"Ashvani Bhatt2025-09-0522")</f>
        <v>Ashvani Bhatt2025-09-0522</v>
      </c>
      <c r="K2710" s="115">
        <f>IFERROR(__xludf.DUMMYFUNCTION("""COMPUTED_VALUE"""),40304.0)</f>
        <v>40304</v>
      </c>
    </row>
    <row r="2711">
      <c r="A2711" s="115" t="str">
        <f>IFERROR(__xludf.DUMMYFUNCTION("""COMPUTED_VALUE"""),"West")</f>
        <v>West</v>
      </c>
      <c r="B2711" s="115" t="str">
        <f>IFERROR(__xludf.DUMMYFUNCTION("""COMPUTED_VALUE"""),"Ashish Jakar")</f>
        <v>Ashish Jakar</v>
      </c>
      <c r="C2711" s="115" t="str">
        <f>IFERROR(__xludf.DUMMYFUNCTION("""COMPUTED_VALUE"""),"EXTERNAL")</f>
        <v>EXTERNAL</v>
      </c>
      <c r="D2711" s="115">
        <f>IFERROR(__xludf.DUMMYFUNCTION("""COMPUTED_VALUE"""),96.0)</f>
        <v>96</v>
      </c>
      <c r="E2711" s="115">
        <f>IFERROR(__xludf.DUMMYFUNCTION("""COMPUTED_VALUE"""),36.0)</f>
        <v>36</v>
      </c>
      <c r="F2711" s="115">
        <f>IFERROR(__xludf.DUMMYFUNCTION("""COMPUTED_VALUE"""),33.0)</f>
        <v>33</v>
      </c>
      <c r="G2711" s="115">
        <f>IFERROR(__xludf.DUMMYFUNCTION("""COMPUTED_VALUE"""),9.0)</f>
        <v>9</v>
      </c>
      <c r="H2711" s="116">
        <f>IFERROR(__xludf.DUMMYFUNCTION("""COMPUTED_VALUE"""),45905.0)</f>
        <v>45905</v>
      </c>
      <c r="I2711" s="115" t="str">
        <f>IFERROR(__xludf.DUMMYFUNCTION("""COMPUTED_VALUE"""),"22")</f>
        <v>22</v>
      </c>
      <c r="J2711" s="115" t="str">
        <f>IFERROR(__xludf.DUMMYFUNCTION("""COMPUTED_VALUE"""),"Ashish Jakar2025-09-0522")</f>
        <v>Ashish Jakar2025-09-0522</v>
      </c>
      <c r="K2711" s="115">
        <f>IFERROR(__xludf.DUMMYFUNCTION("""COMPUTED_VALUE"""),132.0)</f>
        <v>132</v>
      </c>
    </row>
    <row r="2712">
      <c r="A2712" s="115" t="str">
        <f>IFERROR(__xludf.DUMMYFUNCTION("""COMPUTED_VALUE"""),"West")</f>
        <v>West</v>
      </c>
      <c r="B2712" s="115" t="str">
        <f>IFERROR(__xludf.DUMMYFUNCTION("""COMPUTED_VALUE"""),"Ashish Jakar")</f>
        <v>Ashish Jakar</v>
      </c>
      <c r="C2712" s="115" t="str">
        <f>IFERROR(__xludf.DUMMYFUNCTION("""COMPUTED_VALUE"""),"FLIPKART")</f>
        <v>FLIPKART</v>
      </c>
      <c r="D2712" s="115">
        <f>IFERROR(__xludf.DUMMYFUNCTION("""COMPUTED_VALUE"""),482.0)</f>
        <v>482</v>
      </c>
      <c r="E2712" s="115">
        <f>IFERROR(__xludf.DUMMYFUNCTION("""COMPUTED_VALUE"""),94.0)</f>
        <v>94</v>
      </c>
      <c r="F2712" s="115">
        <f>IFERROR(__xludf.DUMMYFUNCTION("""COMPUTED_VALUE"""),362.0)</f>
        <v>362</v>
      </c>
      <c r="G2712" s="115">
        <f>IFERROR(__xludf.DUMMYFUNCTION("""COMPUTED_VALUE"""),46.0)</f>
        <v>46</v>
      </c>
      <c r="H2712" s="116">
        <f>IFERROR(__xludf.DUMMYFUNCTION("""COMPUTED_VALUE"""),45905.0)</f>
        <v>45905</v>
      </c>
      <c r="I2712" s="115" t="str">
        <f>IFERROR(__xludf.DUMMYFUNCTION("""COMPUTED_VALUE"""),"22")</f>
        <v>22</v>
      </c>
      <c r="J2712" s="115" t="str">
        <f>IFERROR(__xludf.DUMMYFUNCTION("""COMPUTED_VALUE"""),"Ashish Jakar2025-09-0522")</f>
        <v>Ashish Jakar2025-09-0522</v>
      </c>
      <c r="K2712" s="115">
        <f>IFERROR(__xludf.DUMMYFUNCTION("""COMPUTED_VALUE"""),576.0)</f>
        <v>576</v>
      </c>
    </row>
    <row r="2713">
      <c r="A2713" s="115" t="str">
        <f>IFERROR(__xludf.DUMMYFUNCTION("""COMPUTED_VALUE"""),"West")</f>
        <v>West</v>
      </c>
      <c r="B2713" s="115" t="str">
        <f>IFERROR(__xludf.DUMMYFUNCTION("""COMPUTED_VALUE"""),"Ashish Jakar")</f>
        <v>Ashish Jakar</v>
      </c>
      <c r="C2713" s="115" t="str">
        <f>IFERROR(__xludf.DUMMYFUNCTION("""COMPUTED_VALUE"""),"MYNTRA")</f>
        <v>MYNTRA</v>
      </c>
      <c r="D2713" s="115">
        <f>IFERROR(__xludf.DUMMYFUNCTION("""COMPUTED_VALUE"""),123.0)</f>
        <v>123</v>
      </c>
      <c r="E2713" s="115">
        <f>IFERROR(__xludf.DUMMYFUNCTION("""COMPUTED_VALUE"""),56.0)</f>
        <v>56</v>
      </c>
      <c r="F2713" s="115">
        <f>IFERROR(__xludf.DUMMYFUNCTION("""COMPUTED_VALUE"""),98.0)</f>
        <v>98</v>
      </c>
      <c r="G2713" s="115">
        <f>IFERROR(__xludf.DUMMYFUNCTION("""COMPUTED_VALUE"""),19.0)</f>
        <v>19</v>
      </c>
      <c r="H2713" s="116">
        <f>IFERROR(__xludf.DUMMYFUNCTION("""COMPUTED_VALUE"""),45905.0)</f>
        <v>45905</v>
      </c>
      <c r="I2713" s="115" t="str">
        <f>IFERROR(__xludf.DUMMYFUNCTION("""COMPUTED_VALUE"""),"22")</f>
        <v>22</v>
      </c>
      <c r="J2713" s="115" t="str">
        <f>IFERROR(__xludf.DUMMYFUNCTION("""COMPUTED_VALUE"""),"Ashish Jakar2025-09-0522")</f>
        <v>Ashish Jakar2025-09-0522</v>
      </c>
      <c r="K2713" s="115">
        <f>IFERROR(__xludf.DUMMYFUNCTION("""COMPUTED_VALUE"""),179.0)</f>
        <v>179</v>
      </c>
    </row>
    <row r="2714">
      <c r="A2714" s="115"/>
      <c r="B2714" s="115"/>
      <c r="C2714" s="115" t="str">
        <f>IFERROR(__xludf.DUMMYFUNCTION("""COMPUTED_VALUE"""),"EXTERNAL")</f>
        <v>EXTERNAL</v>
      </c>
      <c r="D2714" s="115">
        <f>IFERROR(__xludf.DUMMYFUNCTION("""COMPUTED_VALUE"""),985.0)</f>
        <v>985</v>
      </c>
      <c r="E2714" s="115">
        <f>IFERROR(__xludf.DUMMYFUNCTION("""COMPUTED_VALUE"""),88.0)</f>
        <v>88</v>
      </c>
      <c r="F2714" s="115">
        <f>IFERROR(__xludf.DUMMYFUNCTION("""COMPUTED_VALUE"""),464.0)</f>
        <v>464</v>
      </c>
      <c r="G2714" s="115">
        <f>IFERROR(__xludf.DUMMYFUNCTION("""COMPUTED_VALUE"""),39.0)</f>
        <v>39</v>
      </c>
      <c r="H2714" s="116">
        <f>IFERROR(__xludf.DUMMYFUNCTION("""COMPUTED_VALUE"""),45905.0)</f>
        <v>45905</v>
      </c>
      <c r="I2714" s="115" t="str">
        <f>IFERROR(__xludf.DUMMYFUNCTION("""COMPUTED_VALUE"""),"22")</f>
        <v>22</v>
      </c>
      <c r="J2714" s="115" t="str">
        <f>IFERROR(__xludf.DUMMYFUNCTION("""COMPUTED_VALUE"""),"2025-09-0522")</f>
        <v>2025-09-0522</v>
      </c>
      <c r="K2714" s="115">
        <f>IFERROR(__xludf.DUMMYFUNCTION("""COMPUTED_VALUE"""),1073.0)</f>
        <v>1073</v>
      </c>
    </row>
    <row r="2715">
      <c r="A2715" s="115"/>
      <c r="B2715" s="115"/>
      <c r="C2715" s="115" t="str">
        <f>IFERROR(__xludf.DUMMYFUNCTION("""COMPUTED_VALUE"""),"FLIPKART")</f>
        <v>FLIPKART</v>
      </c>
      <c r="D2715" s="115">
        <f>IFERROR(__xludf.DUMMYFUNCTION("""COMPUTED_VALUE"""),7289.0)</f>
        <v>7289</v>
      </c>
      <c r="E2715" s="115">
        <f>IFERROR(__xludf.DUMMYFUNCTION("""COMPUTED_VALUE"""),792.0)</f>
        <v>792</v>
      </c>
      <c r="F2715" s="115">
        <f>IFERROR(__xludf.DUMMYFUNCTION("""COMPUTED_VALUE"""),5164.0)</f>
        <v>5164</v>
      </c>
      <c r="G2715" s="115">
        <f>IFERROR(__xludf.DUMMYFUNCTION("""COMPUTED_VALUE"""),454.0)</f>
        <v>454</v>
      </c>
      <c r="H2715" s="116">
        <f>IFERROR(__xludf.DUMMYFUNCTION("""COMPUTED_VALUE"""),45905.0)</f>
        <v>45905</v>
      </c>
      <c r="I2715" s="115" t="str">
        <f>IFERROR(__xludf.DUMMYFUNCTION("""COMPUTED_VALUE"""),"22")</f>
        <v>22</v>
      </c>
      <c r="J2715" s="115" t="str">
        <f>IFERROR(__xludf.DUMMYFUNCTION("""COMPUTED_VALUE"""),"2025-09-0522")</f>
        <v>2025-09-0522</v>
      </c>
      <c r="K2715" s="115">
        <f>IFERROR(__xludf.DUMMYFUNCTION("""COMPUTED_VALUE"""),8081.0)</f>
        <v>8081</v>
      </c>
    </row>
    <row r="2716">
      <c r="A2716" s="115"/>
      <c r="B2716" s="115"/>
      <c r="C2716" s="115" t="str">
        <f>IFERROR(__xludf.DUMMYFUNCTION("""COMPUTED_VALUE"""),"MYNTRA")</f>
        <v>MYNTRA</v>
      </c>
      <c r="D2716" s="115">
        <f>IFERROR(__xludf.DUMMYFUNCTION("""COMPUTED_VALUE"""),1153.0)</f>
        <v>1153</v>
      </c>
      <c r="E2716" s="115">
        <f>IFERROR(__xludf.DUMMYFUNCTION("""COMPUTED_VALUE"""),224.0)</f>
        <v>224</v>
      </c>
      <c r="F2716" s="115">
        <f>IFERROR(__xludf.DUMMYFUNCTION("""COMPUTED_VALUE"""),958.0)</f>
        <v>958</v>
      </c>
      <c r="G2716" s="115">
        <f>IFERROR(__xludf.DUMMYFUNCTION("""COMPUTED_VALUE"""),134.0)</f>
        <v>134</v>
      </c>
      <c r="H2716" s="116">
        <f>IFERROR(__xludf.DUMMYFUNCTION("""COMPUTED_VALUE"""),45905.0)</f>
        <v>45905</v>
      </c>
      <c r="I2716" s="115" t="str">
        <f>IFERROR(__xludf.DUMMYFUNCTION("""COMPUTED_VALUE"""),"22")</f>
        <v>22</v>
      </c>
      <c r="J2716" s="115" t="str">
        <f>IFERROR(__xludf.DUMMYFUNCTION("""COMPUTED_VALUE"""),"2025-09-0522")</f>
        <v>2025-09-0522</v>
      </c>
      <c r="K2716" s="115">
        <f>IFERROR(__xludf.DUMMYFUNCTION("""COMPUTED_VALUE"""),1377.0)</f>
        <v>1377</v>
      </c>
    </row>
    <row r="2717">
      <c r="A2717" s="115" t="str">
        <f>IFERROR(__xludf.DUMMYFUNCTION("""COMPUTED_VALUE"""),"EAST")</f>
        <v>EAST</v>
      </c>
      <c r="B2717" s="115" t="str">
        <f>IFERROR(__xludf.DUMMYFUNCTION("""COMPUTED_VALUE"""),"Ashish Ranjan")</f>
        <v>Ashish Ranjan</v>
      </c>
      <c r="C2717" s="115" t="str">
        <f>IFERROR(__xludf.DUMMYFUNCTION("""COMPUTED_VALUE"""),"EXTERNAL")</f>
        <v>EXTERNAL</v>
      </c>
      <c r="D2717" s="115">
        <f>IFERROR(__xludf.DUMMYFUNCTION("""COMPUTED_VALUE"""),3648.0)</f>
        <v>3648</v>
      </c>
      <c r="E2717" s="115">
        <f>IFERROR(__xludf.DUMMYFUNCTION("""COMPUTED_VALUE"""),165.0)</f>
        <v>165</v>
      </c>
      <c r="F2717" s="115">
        <f>IFERROR(__xludf.DUMMYFUNCTION("""COMPUTED_VALUE"""),21.0)</f>
        <v>21</v>
      </c>
      <c r="G2717" s="115">
        <f>IFERROR(__xludf.DUMMYFUNCTION("""COMPUTED_VALUE"""),1.0)</f>
        <v>1</v>
      </c>
      <c r="H2717" s="116">
        <f>IFERROR(__xludf.DUMMYFUNCTION("""COMPUTED_VALUE"""),45906.0)</f>
        <v>45906</v>
      </c>
      <c r="I2717" s="115" t="str">
        <f>IFERROR(__xludf.DUMMYFUNCTION("""COMPUTED_VALUE"""),"08")</f>
        <v>08</v>
      </c>
      <c r="J2717" s="115" t="str">
        <f>IFERROR(__xludf.DUMMYFUNCTION("""COMPUTED_VALUE"""),"Ashish Ranjan2025-09-0608")</f>
        <v>Ashish Ranjan2025-09-0608</v>
      </c>
      <c r="K2717" s="115">
        <f>IFERROR(__xludf.DUMMYFUNCTION("""COMPUTED_VALUE"""),3813.0)</f>
        <v>3813</v>
      </c>
    </row>
    <row r="2718">
      <c r="A2718" s="115" t="str">
        <f>IFERROR(__xludf.DUMMYFUNCTION("""COMPUTED_VALUE"""),"EAST")</f>
        <v>EAST</v>
      </c>
      <c r="B2718" s="115" t="str">
        <f>IFERROR(__xludf.DUMMYFUNCTION("""COMPUTED_VALUE"""),"Ashish Ranjan")</f>
        <v>Ashish Ranjan</v>
      </c>
      <c r="C2718" s="115" t="str">
        <f>IFERROR(__xludf.DUMMYFUNCTION("""COMPUTED_VALUE"""),"FLIPKART")</f>
        <v>FLIPKART</v>
      </c>
      <c r="D2718" s="115">
        <f>IFERROR(__xludf.DUMMYFUNCTION("""COMPUTED_VALUE"""),65832.0)</f>
        <v>65832</v>
      </c>
      <c r="E2718" s="115">
        <f>IFERROR(__xludf.DUMMYFUNCTION("""COMPUTED_VALUE"""),4525.0)</f>
        <v>4525</v>
      </c>
      <c r="F2718" s="115">
        <f>IFERROR(__xludf.DUMMYFUNCTION("""COMPUTED_VALUE"""),613.0)</f>
        <v>613</v>
      </c>
      <c r="G2718" s="115">
        <f>IFERROR(__xludf.DUMMYFUNCTION("""COMPUTED_VALUE"""),64.0)</f>
        <v>64</v>
      </c>
      <c r="H2718" s="116">
        <f>IFERROR(__xludf.DUMMYFUNCTION("""COMPUTED_VALUE"""),45906.0)</f>
        <v>45906</v>
      </c>
      <c r="I2718" s="115" t="str">
        <f>IFERROR(__xludf.DUMMYFUNCTION("""COMPUTED_VALUE"""),"08")</f>
        <v>08</v>
      </c>
      <c r="J2718" s="115" t="str">
        <f>IFERROR(__xludf.DUMMYFUNCTION("""COMPUTED_VALUE"""),"Ashish Ranjan2025-09-0608")</f>
        <v>Ashish Ranjan2025-09-0608</v>
      </c>
      <c r="K2718" s="115">
        <f>IFERROR(__xludf.DUMMYFUNCTION("""COMPUTED_VALUE"""),70357.0)</f>
        <v>70357</v>
      </c>
    </row>
    <row r="2719">
      <c r="A2719" s="115" t="str">
        <f>IFERROR(__xludf.DUMMYFUNCTION("""COMPUTED_VALUE"""),"EAST")</f>
        <v>EAST</v>
      </c>
      <c r="B2719" s="115" t="str">
        <f>IFERROR(__xludf.DUMMYFUNCTION("""COMPUTED_VALUE"""),"Ashish Ranjan")</f>
        <v>Ashish Ranjan</v>
      </c>
      <c r="C2719" s="115" t="str">
        <f>IFERROR(__xludf.DUMMYFUNCTION("""COMPUTED_VALUE"""),"MYNTRA")</f>
        <v>MYNTRA</v>
      </c>
      <c r="D2719" s="115">
        <f>IFERROR(__xludf.DUMMYFUNCTION("""COMPUTED_VALUE"""),6047.0)</f>
        <v>6047</v>
      </c>
      <c r="E2719" s="115">
        <f>IFERROR(__xludf.DUMMYFUNCTION("""COMPUTED_VALUE"""),1171.0)</f>
        <v>1171</v>
      </c>
      <c r="F2719" s="115">
        <f>IFERROR(__xludf.DUMMYFUNCTION("""COMPUTED_VALUE"""),47.0)</f>
        <v>47</v>
      </c>
      <c r="G2719" s="115">
        <f>IFERROR(__xludf.DUMMYFUNCTION("""COMPUTED_VALUE"""),7.0)</f>
        <v>7</v>
      </c>
      <c r="H2719" s="116">
        <f>IFERROR(__xludf.DUMMYFUNCTION("""COMPUTED_VALUE"""),45906.0)</f>
        <v>45906</v>
      </c>
      <c r="I2719" s="115" t="str">
        <f>IFERROR(__xludf.DUMMYFUNCTION("""COMPUTED_VALUE"""),"08")</f>
        <v>08</v>
      </c>
      <c r="J2719" s="115" t="str">
        <f>IFERROR(__xludf.DUMMYFUNCTION("""COMPUTED_VALUE"""),"Ashish Ranjan2025-09-0608")</f>
        <v>Ashish Ranjan2025-09-0608</v>
      </c>
      <c r="K2719" s="115">
        <f>IFERROR(__xludf.DUMMYFUNCTION("""COMPUTED_VALUE"""),7218.0)</f>
        <v>7218</v>
      </c>
    </row>
    <row r="2720">
      <c r="A2720" s="115" t="str">
        <f>IFERROR(__xludf.DUMMYFUNCTION("""COMPUTED_VALUE"""),"EAST")</f>
        <v>EAST</v>
      </c>
      <c r="B2720" s="115" t="str">
        <f>IFERROR(__xludf.DUMMYFUNCTION("""COMPUTED_VALUE"""),"Girish Chand")</f>
        <v>Girish Chand</v>
      </c>
      <c r="C2720" s="115" t="str">
        <f>IFERROR(__xludf.DUMMYFUNCTION("""COMPUTED_VALUE"""),"EXTERNAL")</f>
        <v>EXTERNAL</v>
      </c>
      <c r="D2720" s="115">
        <f>IFERROR(__xludf.DUMMYFUNCTION("""COMPUTED_VALUE"""),1974.0)</f>
        <v>1974</v>
      </c>
      <c r="E2720" s="115">
        <f>IFERROR(__xludf.DUMMYFUNCTION("""COMPUTED_VALUE"""),120.0)</f>
        <v>120</v>
      </c>
      <c r="F2720" s="115">
        <f>IFERROR(__xludf.DUMMYFUNCTION("""COMPUTED_VALUE"""),4.0)</f>
        <v>4</v>
      </c>
      <c r="G2720" s="115">
        <f>IFERROR(__xludf.DUMMYFUNCTION("""COMPUTED_VALUE"""),0.0)</f>
        <v>0</v>
      </c>
      <c r="H2720" s="116">
        <f>IFERROR(__xludf.DUMMYFUNCTION("""COMPUTED_VALUE"""),45906.0)</f>
        <v>45906</v>
      </c>
      <c r="I2720" s="115" t="str">
        <f>IFERROR(__xludf.DUMMYFUNCTION("""COMPUTED_VALUE"""),"08")</f>
        <v>08</v>
      </c>
      <c r="J2720" s="115" t="str">
        <f>IFERROR(__xludf.DUMMYFUNCTION("""COMPUTED_VALUE"""),"Girish Chand2025-09-0608")</f>
        <v>Girish Chand2025-09-0608</v>
      </c>
      <c r="K2720" s="115">
        <f>IFERROR(__xludf.DUMMYFUNCTION("""COMPUTED_VALUE"""),2094.0)</f>
        <v>2094</v>
      </c>
    </row>
    <row r="2721">
      <c r="A2721" s="115" t="str">
        <f>IFERROR(__xludf.DUMMYFUNCTION("""COMPUTED_VALUE"""),"EAST")</f>
        <v>EAST</v>
      </c>
      <c r="B2721" s="115" t="str">
        <f>IFERROR(__xludf.DUMMYFUNCTION("""COMPUTED_VALUE"""),"Girish Chand")</f>
        <v>Girish Chand</v>
      </c>
      <c r="C2721" s="115" t="str">
        <f>IFERROR(__xludf.DUMMYFUNCTION("""COMPUTED_VALUE"""),"FLIPKART")</f>
        <v>FLIPKART</v>
      </c>
      <c r="D2721" s="115">
        <f>IFERROR(__xludf.DUMMYFUNCTION("""COMPUTED_VALUE"""),38239.0)</f>
        <v>38239</v>
      </c>
      <c r="E2721" s="115">
        <f>IFERROR(__xludf.DUMMYFUNCTION("""COMPUTED_VALUE"""),2972.0)</f>
        <v>2972</v>
      </c>
      <c r="F2721" s="115">
        <f>IFERROR(__xludf.DUMMYFUNCTION("""COMPUTED_VALUE"""),315.0)</f>
        <v>315</v>
      </c>
      <c r="G2721" s="115">
        <f>IFERROR(__xludf.DUMMYFUNCTION("""COMPUTED_VALUE"""),27.0)</f>
        <v>27</v>
      </c>
      <c r="H2721" s="116">
        <f>IFERROR(__xludf.DUMMYFUNCTION("""COMPUTED_VALUE"""),45906.0)</f>
        <v>45906</v>
      </c>
      <c r="I2721" s="115" t="str">
        <f>IFERROR(__xludf.DUMMYFUNCTION("""COMPUTED_VALUE"""),"08")</f>
        <v>08</v>
      </c>
      <c r="J2721" s="115" t="str">
        <f>IFERROR(__xludf.DUMMYFUNCTION("""COMPUTED_VALUE"""),"Girish Chand2025-09-0608")</f>
        <v>Girish Chand2025-09-0608</v>
      </c>
      <c r="K2721" s="115">
        <f>IFERROR(__xludf.DUMMYFUNCTION("""COMPUTED_VALUE"""),41211.0)</f>
        <v>41211</v>
      </c>
    </row>
    <row r="2722">
      <c r="A2722" s="115" t="str">
        <f>IFERROR(__xludf.DUMMYFUNCTION("""COMPUTED_VALUE"""),"EAST")</f>
        <v>EAST</v>
      </c>
      <c r="B2722" s="115" t="str">
        <f>IFERROR(__xludf.DUMMYFUNCTION("""COMPUTED_VALUE"""),"Girish Chand")</f>
        <v>Girish Chand</v>
      </c>
      <c r="C2722" s="115" t="str">
        <f>IFERROR(__xludf.DUMMYFUNCTION("""COMPUTED_VALUE"""),"MYNTRA")</f>
        <v>MYNTRA</v>
      </c>
      <c r="D2722" s="115">
        <f>IFERROR(__xludf.DUMMYFUNCTION("""COMPUTED_VALUE"""),3448.0)</f>
        <v>3448</v>
      </c>
      <c r="E2722" s="115">
        <f>IFERROR(__xludf.DUMMYFUNCTION("""COMPUTED_VALUE"""),709.0)</f>
        <v>709</v>
      </c>
      <c r="F2722" s="115">
        <f>IFERROR(__xludf.DUMMYFUNCTION("""COMPUTED_VALUE"""),23.0)</f>
        <v>23</v>
      </c>
      <c r="G2722" s="115">
        <f>IFERROR(__xludf.DUMMYFUNCTION("""COMPUTED_VALUE"""),16.0)</f>
        <v>16</v>
      </c>
      <c r="H2722" s="116">
        <f>IFERROR(__xludf.DUMMYFUNCTION("""COMPUTED_VALUE"""),45906.0)</f>
        <v>45906</v>
      </c>
      <c r="I2722" s="115" t="str">
        <f>IFERROR(__xludf.DUMMYFUNCTION("""COMPUTED_VALUE"""),"08")</f>
        <v>08</v>
      </c>
      <c r="J2722" s="115" t="str">
        <f>IFERROR(__xludf.DUMMYFUNCTION("""COMPUTED_VALUE"""),"Girish Chand2025-09-0608")</f>
        <v>Girish Chand2025-09-0608</v>
      </c>
      <c r="K2722" s="115">
        <f>IFERROR(__xludf.DUMMYFUNCTION("""COMPUTED_VALUE"""),4157.0)</f>
        <v>4157</v>
      </c>
    </row>
    <row r="2723">
      <c r="A2723" s="115" t="str">
        <f>IFERROR(__xludf.DUMMYFUNCTION("""COMPUTED_VALUE"""),"EAST")</f>
        <v>EAST</v>
      </c>
      <c r="B2723" s="115" t="str">
        <f>IFERROR(__xludf.DUMMYFUNCTION("""COMPUTED_VALUE"""),"Parag Kashyap")</f>
        <v>Parag Kashyap</v>
      </c>
      <c r="C2723" s="115" t="str">
        <f>IFERROR(__xludf.DUMMYFUNCTION("""COMPUTED_VALUE"""),"EXTERNAL")</f>
        <v>EXTERNAL</v>
      </c>
      <c r="D2723" s="115">
        <f>IFERROR(__xludf.DUMMYFUNCTION("""COMPUTED_VALUE"""),1711.0)</f>
        <v>1711</v>
      </c>
      <c r="E2723" s="115">
        <f>IFERROR(__xludf.DUMMYFUNCTION("""COMPUTED_VALUE"""),83.0)</f>
        <v>83</v>
      </c>
      <c r="F2723" s="115">
        <f>IFERROR(__xludf.DUMMYFUNCTION("""COMPUTED_VALUE"""),5.0)</f>
        <v>5</v>
      </c>
      <c r="G2723" s="115">
        <f>IFERROR(__xludf.DUMMYFUNCTION("""COMPUTED_VALUE"""),0.0)</f>
        <v>0</v>
      </c>
      <c r="H2723" s="116">
        <f>IFERROR(__xludf.DUMMYFUNCTION("""COMPUTED_VALUE"""),45906.0)</f>
        <v>45906</v>
      </c>
      <c r="I2723" s="115" t="str">
        <f>IFERROR(__xludf.DUMMYFUNCTION("""COMPUTED_VALUE"""),"08")</f>
        <v>08</v>
      </c>
      <c r="J2723" s="115" t="str">
        <f>IFERROR(__xludf.DUMMYFUNCTION("""COMPUTED_VALUE"""),"Parag Kashyap2025-09-0608")</f>
        <v>Parag Kashyap2025-09-0608</v>
      </c>
      <c r="K2723" s="115">
        <f>IFERROR(__xludf.DUMMYFUNCTION("""COMPUTED_VALUE"""),1794.0)</f>
        <v>1794</v>
      </c>
    </row>
    <row r="2724">
      <c r="A2724" s="115" t="str">
        <f>IFERROR(__xludf.DUMMYFUNCTION("""COMPUTED_VALUE"""),"EAST")</f>
        <v>EAST</v>
      </c>
      <c r="B2724" s="115" t="str">
        <f>IFERROR(__xludf.DUMMYFUNCTION("""COMPUTED_VALUE"""),"Parag Kashyap")</f>
        <v>Parag Kashyap</v>
      </c>
      <c r="C2724" s="115" t="str">
        <f>IFERROR(__xludf.DUMMYFUNCTION("""COMPUTED_VALUE"""),"FLIPKART")</f>
        <v>FLIPKART</v>
      </c>
      <c r="D2724" s="115">
        <f>IFERROR(__xludf.DUMMYFUNCTION("""COMPUTED_VALUE"""),32604.0)</f>
        <v>32604</v>
      </c>
      <c r="E2724" s="115">
        <f>IFERROR(__xludf.DUMMYFUNCTION("""COMPUTED_VALUE"""),1806.0)</f>
        <v>1806</v>
      </c>
      <c r="F2724" s="115">
        <f>IFERROR(__xludf.DUMMYFUNCTION("""COMPUTED_VALUE"""),203.0)</f>
        <v>203</v>
      </c>
      <c r="G2724" s="115">
        <f>IFERROR(__xludf.DUMMYFUNCTION("""COMPUTED_VALUE"""),19.0)</f>
        <v>19</v>
      </c>
      <c r="H2724" s="116">
        <f>IFERROR(__xludf.DUMMYFUNCTION("""COMPUTED_VALUE"""),45906.0)</f>
        <v>45906</v>
      </c>
      <c r="I2724" s="115" t="str">
        <f>IFERROR(__xludf.DUMMYFUNCTION("""COMPUTED_VALUE"""),"08")</f>
        <v>08</v>
      </c>
      <c r="J2724" s="115" t="str">
        <f>IFERROR(__xludf.DUMMYFUNCTION("""COMPUTED_VALUE"""),"Parag Kashyap2025-09-0608")</f>
        <v>Parag Kashyap2025-09-0608</v>
      </c>
      <c r="K2724" s="115">
        <f>IFERROR(__xludf.DUMMYFUNCTION("""COMPUTED_VALUE"""),34410.0)</f>
        <v>34410</v>
      </c>
    </row>
    <row r="2725">
      <c r="A2725" s="115" t="str">
        <f>IFERROR(__xludf.DUMMYFUNCTION("""COMPUTED_VALUE"""),"EAST")</f>
        <v>EAST</v>
      </c>
      <c r="B2725" s="115" t="str">
        <f>IFERROR(__xludf.DUMMYFUNCTION("""COMPUTED_VALUE"""),"Parag Kashyap")</f>
        <v>Parag Kashyap</v>
      </c>
      <c r="C2725" s="115" t="str">
        <f>IFERROR(__xludf.DUMMYFUNCTION("""COMPUTED_VALUE"""),"MYNTRA")</f>
        <v>MYNTRA</v>
      </c>
      <c r="D2725" s="115">
        <f>IFERROR(__xludf.DUMMYFUNCTION("""COMPUTED_VALUE"""),4610.0)</f>
        <v>4610</v>
      </c>
      <c r="E2725" s="115">
        <f>IFERROR(__xludf.DUMMYFUNCTION("""COMPUTED_VALUE"""),505.0)</f>
        <v>505</v>
      </c>
      <c r="F2725" s="115">
        <f>IFERROR(__xludf.DUMMYFUNCTION("""COMPUTED_VALUE"""),47.0)</f>
        <v>47</v>
      </c>
      <c r="G2725" s="115">
        <f>IFERROR(__xludf.DUMMYFUNCTION("""COMPUTED_VALUE"""),1.0)</f>
        <v>1</v>
      </c>
      <c r="H2725" s="116">
        <f>IFERROR(__xludf.DUMMYFUNCTION("""COMPUTED_VALUE"""),45906.0)</f>
        <v>45906</v>
      </c>
      <c r="I2725" s="115" t="str">
        <f>IFERROR(__xludf.DUMMYFUNCTION("""COMPUTED_VALUE"""),"08")</f>
        <v>08</v>
      </c>
      <c r="J2725" s="115" t="str">
        <f>IFERROR(__xludf.DUMMYFUNCTION("""COMPUTED_VALUE"""),"Parag Kashyap2025-09-0608")</f>
        <v>Parag Kashyap2025-09-0608</v>
      </c>
      <c r="K2725" s="115">
        <f>IFERROR(__xludf.DUMMYFUNCTION("""COMPUTED_VALUE"""),5115.0)</f>
        <v>5115</v>
      </c>
    </row>
    <row r="2726">
      <c r="A2726" s="115" t="str">
        <f>IFERROR(__xludf.DUMMYFUNCTION("""COMPUTED_VALUE"""),"NORTH")</f>
        <v>NORTH</v>
      </c>
      <c r="B2726" s="115" t="str">
        <f>IFERROR(__xludf.DUMMYFUNCTION("""COMPUTED_VALUE"""),"Amit Kumar Pathak")</f>
        <v>Amit Kumar Pathak</v>
      </c>
      <c r="C2726" s="115" t="str">
        <f>IFERROR(__xludf.DUMMYFUNCTION("""COMPUTED_VALUE"""),"EXTERNAL")</f>
        <v>EXTERNAL</v>
      </c>
      <c r="D2726" s="115">
        <f>IFERROR(__xludf.DUMMYFUNCTION("""COMPUTED_VALUE"""),5462.0)</f>
        <v>5462</v>
      </c>
      <c r="E2726" s="115">
        <f>IFERROR(__xludf.DUMMYFUNCTION("""COMPUTED_VALUE"""),445.0)</f>
        <v>445</v>
      </c>
      <c r="F2726" s="115">
        <f>IFERROR(__xludf.DUMMYFUNCTION("""COMPUTED_VALUE"""),7.0)</f>
        <v>7</v>
      </c>
      <c r="G2726" s="115">
        <f>IFERROR(__xludf.DUMMYFUNCTION("""COMPUTED_VALUE"""),10.0)</f>
        <v>10</v>
      </c>
      <c r="H2726" s="116">
        <f>IFERROR(__xludf.DUMMYFUNCTION("""COMPUTED_VALUE"""),45906.0)</f>
        <v>45906</v>
      </c>
      <c r="I2726" s="115" t="str">
        <f>IFERROR(__xludf.DUMMYFUNCTION("""COMPUTED_VALUE"""),"08")</f>
        <v>08</v>
      </c>
      <c r="J2726" s="115" t="str">
        <f>IFERROR(__xludf.DUMMYFUNCTION("""COMPUTED_VALUE"""),"Amit Kumar Pathak2025-09-0608")</f>
        <v>Amit Kumar Pathak2025-09-0608</v>
      </c>
      <c r="K2726" s="115">
        <f>IFERROR(__xludf.DUMMYFUNCTION("""COMPUTED_VALUE"""),5907.0)</f>
        <v>5907</v>
      </c>
    </row>
    <row r="2727">
      <c r="A2727" s="115" t="str">
        <f>IFERROR(__xludf.DUMMYFUNCTION("""COMPUTED_VALUE"""),"NORTH")</f>
        <v>NORTH</v>
      </c>
      <c r="B2727" s="115" t="str">
        <f>IFERROR(__xludf.DUMMYFUNCTION("""COMPUTED_VALUE"""),"Amit Kumar Pathak")</f>
        <v>Amit Kumar Pathak</v>
      </c>
      <c r="C2727" s="115" t="str">
        <f>IFERROR(__xludf.DUMMYFUNCTION("""COMPUTED_VALUE"""),"FLIPKART")</f>
        <v>FLIPKART</v>
      </c>
      <c r="D2727" s="115">
        <f>IFERROR(__xludf.DUMMYFUNCTION("""COMPUTED_VALUE"""),35724.0)</f>
        <v>35724</v>
      </c>
      <c r="E2727" s="115">
        <f>IFERROR(__xludf.DUMMYFUNCTION("""COMPUTED_VALUE"""),3923.0)</f>
        <v>3923</v>
      </c>
      <c r="F2727" s="115">
        <f>IFERROR(__xludf.DUMMYFUNCTION("""COMPUTED_VALUE"""),120.0)</f>
        <v>120</v>
      </c>
      <c r="G2727" s="115">
        <f>IFERROR(__xludf.DUMMYFUNCTION("""COMPUTED_VALUE"""),20.0)</f>
        <v>20</v>
      </c>
      <c r="H2727" s="116">
        <f>IFERROR(__xludf.DUMMYFUNCTION("""COMPUTED_VALUE"""),45906.0)</f>
        <v>45906</v>
      </c>
      <c r="I2727" s="115" t="str">
        <f>IFERROR(__xludf.DUMMYFUNCTION("""COMPUTED_VALUE"""),"08")</f>
        <v>08</v>
      </c>
      <c r="J2727" s="115" t="str">
        <f>IFERROR(__xludf.DUMMYFUNCTION("""COMPUTED_VALUE"""),"Amit Kumar Pathak2025-09-0608")</f>
        <v>Amit Kumar Pathak2025-09-0608</v>
      </c>
      <c r="K2727" s="115">
        <f>IFERROR(__xludf.DUMMYFUNCTION("""COMPUTED_VALUE"""),39647.0)</f>
        <v>39647</v>
      </c>
    </row>
    <row r="2728">
      <c r="A2728" s="115" t="str">
        <f>IFERROR(__xludf.DUMMYFUNCTION("""COMPUTED_VALUE"""),"NORTH")</f>
        <v>NORTH</v>
      </c>
      <c r="B2728" s="115" t="str">
        <f>IFERROR(__xludf.DUMMYFUNCTION("""COMPUTED_VALUE"""),"Amit Kumar Pathak")</f>
        <v>Amit Kumar Pathak</v>
      </c>
      <c r="C2728" s="115" t="str">
        <f>IFERROR(__xludf.DUMMYFUNCTION("""COMPUTED_VALUE"""),"MYNTRA")</f>
        <v>MYNTRA</v>
      </c>
      <c r="D2728" s="115">
        <f>IFERROR(__xludf.DUMMYFUNCTION("""COMPUTED_VALUE"""),3567.0)</f>
        <v>3567</v>
      </c>
      <c r="E2728" s="115">
        <f>IFERROR(__xludf.DUMMYFUNCTION("""COMPUTED_VALUE"""),1000.0)</f>
        <v>1000</v>
      </c>
      <c r="F2728" s="115">
        <f>IFERROR(__xludf.DUMMYFUNCTION("""COMPUTED_VALUE"""),22.0)</f>
        <v>22</v>
      </c>
      <c r="G2728" s="115">
        <f>IFERROR(__xludf.DUMMYFUNCTION("""COMPUTED_VALUE"""),6.0)</f>
        <v>6</v>
      </c>
      <c r="H2728" s="116">
        <f>IFERROR(__xludf.DUMMYFUNCTION("""COMPUTED_VALUE"""),45906.0)</f>
        <v>45906</v>
      </c>
      <c r="I2728" s="115" t="str">
        <f>IFERROR(__xludf.DUMMYFUNCTION("""COMPUTED_VALUE"""),"08")</f>
        <v>08</v>
      </c>
      <c r="J2728" s="115" t="str">
        <f>IFERROR(__xludf.DUMMYFUNCTION("""COMPUTED_VALUE"""),"Amit Kumar Pathak2025-09-0608")</f>
        <v>Amit Kumar Pathak2025-09-0608</v>
      </c>
      <c r="K2728" s="115">
        <f>IFERROR(__xludf.DUMMYFUNCTION("""COMPUTED_VALUE"""),4567.0)</f>
        <v>4567</v>
      </c>
    </row>
    <row r="2729">
      <c r="A2729" s="115" t="str">
        <f>IFERROR(__xludf.DUMMYFUNCTION("""COMPUTED_VALUE"""),"NORTH")</f>
        <v>NORTH</v>
      </c>
      <c r="B2729" s="115" t="str">
        <f>IFERROR(__xludf.DUMMYFUNCTION("""COMPUTED_VALUE"""),"Loveleen Singh")</f>
        <v>Loveleen Singh</v>
      </c>
      <c r="C2729" s="115" t="str">
        <f>IFERROR(__xludf.DUMMYFUNCTION("""COMPUTED_VALUE"""),"EXTERNAL")</f>
        <v>EXTERNAL</v>
      </c>
      <c r="D2729" s="115">
        <f>IFERROR(__xludf.DUMMYFUNCTION("""COMPUTED_VALUE"""),1377.0)</f>
        <v>1377</v>
      </c>
      <c r="E2729" s="115">
        <f>IFERROR(__xludf.DUMMYFUNCTION("""COMPUTED_VALUE"""),70.0)</f>
        <v>70</v>
      </c>
      <c r="F2729" s="115">
        <f>IFERROR(__xludf.DUMMYFUNCTION("""COMPUTED_VALUE"""),7.0)</f>
        <v>7</v>
      </c>
      <c r="G2729" s="115">
        <f>IFERROR(__xludf.DUMMYFUNCTION("""COMPUTED_VALUE"""),1.0)</f>
        <v>1</v>
      </c>
      <c r="H2729" s="116">
        <f>IFERROR(__xludf.DUMMYFUNCTION("""COMPUTED_VALUE"""),45906.0)</f>
        <v>45906</v>
      </c>
      <c r="I2729" s="115" t="str">
        <f>IFERROR(__xludf.DUMMYFUNCTION("""COMPUTED_VALUE"""),"08")</f>
        <v>08</v>
      </c>
      <c r="J2729" s="115" t="str">
        <f>IFERROR(__xludf.DUMMYFUNCTION("""COMPUTED_VALUE"""),"Loveleen Singh2025-09-0608")</f>
        <v>Loveleen Singh2025-09-0608</v>
      </c>
      <c r="K2729" s="115">
        <f>IFERROR(__xludf.DUMMYFUNCTION("""COMPUTED_VALUE"""),1447.0)</f>
        <v>1447</v>
      </c>
    </row>
    <row r="2730">
      <c r="A2730" s="115" t="str">
        <f>IFERROR(__xludf.DUMMYFUNCTION("""COMPUTED_VALUE"""),"NORTH")</f>
        <v>NORTH</v>
      </c>
      <c r="B2730" s="115" t="str">
        <f>IFERROR(__xludf.DUMMYFUNCTION("""COMPUTED_VALUE"""),"Loveleen Singh")</f>
        <v>Loveleen Singh</v>
      </c>
      <c r="C2730" s="115" t="str">
        <f>IFERROR(__xludf.DUMMYFUNCTION("""COMPUTED_VALUE"""),"FLIPKART")</f>
        <v>FLIPKART</v>
      </c>
      <c r="D2730" s="115">
        <f>IFERROR(__xludf.DUMMYFUNCTION("""COMPUTED_VALUE"""),9844.0)</f>
        <v>9844</v>
      </c>
      <c r="E2730" s="115">
        <f>IFERROR(__xludf.DUMMYFUNCTION("""COMPUTED_VALUE"""),798.0)</f>
        <v>798</v>
      </c>
      <c r="F2730" s="115">
        <f>IFERROR(__xludf.DUMMYFUNCTION("""COMPUTED_VALUE"""),127.0)</f>
        <v>127</v>
      </c>
      <c r="G2730" s="115">
        <f>IFERROR(__xludf.DUMMYFUNCTION("""COMPUTED_VALUE"""),5.0)</f>
        <v>5</v>
      </c>
      <c r="H2730" s="116">
        <f>IFERROR(__xludf.DUMMYFUNCTION("""COMPUTED_VALUE"""),45906.0)</f>
        <v>45906</v>
      </c>
      <c r="I2730" s="115" t="str">
        <f>IFERROR(__xludf.DUMMYFUNCTION("""COMPUTED_VALUE"""),"08")</f>
        <v>08</v>
      </c>
      <c r="J2730" s="115" t="str">
        <f>IFERROR(__xludf.DUMMYFUNCTION("""COMPUTED_VALUE"""),"Loveleen Singh2025-09-0608")</f>
        <v>Loveleen Singh2025-09-0608</v>
      </c>
      <c r="K2730" s="115">
        <f>IFERROR(__xludf.DUMMYFUNCTION("""COMPUTED_VALUE"""),10642.0)</f>
        <v>10642</v>
      </c>
    </row>
    <row r="2731">
      <c r="A2731" s="115" t="str">
        <f>IFERROR(__xludf.DUMMYFUNCTION("""COMPUTED_VALUE"""),"NORTH")</f>
        <v>NORTH</v>
      </c>
      <c r="B2731" s="115" t="str">
        <f>IFERROR(__xludf.DUMMYFUNCTION("""COMPUTED_VALUE"""),"Loveleen Singh")</f>
        <v>Loveleen Singh</v>
      </c>
      <c r="C2731" s="115" t="str">
        <f>IFERROR(__xludf.DUMMYFUNCTION("""COMPUTED_VALUE"""),"MYNTRA")</f>
        <v>MYNTRA</v>
      </c>
      <c r="D2731" s="115">
        <f>IFERROR(__xludf.DUMMYFUNCTION("""COMPUTED_VALUE"""),1812.0)</f>
        <v>1812</v>
      </c>
      <c r="E2731" s="115">
        <f>IFERROR(__xludf.DUMMYFUNCTION("""COMPUTED_VALUE"""),342.0)</f>
        <v>342</v>
      </c>
      <c r="F2731" s="115">
        <f>IFERROR(__xludf.DUMMYFUNCTION("""COMPUTED_VALUE"""),37.0)</f>
        <v>37</v>
      </c>
      <c r="G2731" s="115">
        <f>IFERROR(__xludf.DUMMYFUNCTION("""COMPUTED_VALUE"""),2.0)</f>
        <v>2</v>
      </c>
      <c r="H2731" s="116">
        <f>IFERROR(__xludf.DUMMYFUNCTION("""COMPUTED_VALUE"""),45906.0)</f>
        <v>45906</v>
      </c>
      <c r="I2731" s="115" t="str">
        <f>IFERROR(__xludf.DUMMYFUNCTION("""COMPUTED_VALUE"""),"08")</f>
        <v>08</v>
      </c>
      <c r="J2731" s="115" t="str">
        <f>IFERROR(__xludf.DUMMYFUNCTION("""COMPUTED_VALUE"""),"Loveleen Singh2025-09-0608")</f>
        <v>Loveleen Singh2025-09-0608</v>
      </c>
      <c r="K2731" s="115">
        <f>IFERROR(__xludf.DUMMYFUNCTION("""COMPUTED_VALUE"""),2154.0)</f>
        <v>2154</v>
      </c>
    </row>
    <row r="2732">
      <c r="A2732" s="115" t="str">
        <f>IFERROR(__xludf.DUMMYFUNCTION("""COMPUTED_VALUE"""),"NORTH")</f>
        <v>NORTH</v>
      </c>
      <c r="B2732" s="115" t="str">
        <f>IFERROR(__xludf.DUMMYFUNCTION("""COMPUTED_VALUE"""),"Manoj Harsh")</f>
        <v>Manoj Harsh</v>
      </c>
      <c r="C2732" s="115" t="str">
        <f>IFERROR(__xludf.DUMMYFUNCTION("""COMPUTED_VALUE"""),"EXTERNAL")</f>
        <v>EXTERNAL</v>
      </c>
      <c r="D2732" s="115">
        <f>IFERROR(__xludf.DUMMYFUNCTION("""COMPUTED_VALUE"""),1846.0)</f>
        <v>1846</v>
      </c>
      <c r="E2732" s="115">
        <f>IFERROR(__xludf.DUMMYFUNCTION("""COMPUTED_VALUE"""),245.0)</f>
        <v>245</v>
      </c>
      <c r="F2732" s="115">
        <f>IFERROR(__xludf.DUMMYFUNCTION("""COMPUTED_VALUE"""),19.0)</f>
        <v>19</v>
      </c>
      <c r="G2732" s="115">
        <f>IFERROR(__xludf.DUMMYFUNCTION("""COMPUTED_VALUE"""),5.0)</f>
        <v>5</v>
      </c>
      <c r="H2732" s="116">
        <f>IFERROR(__xludf.DUMMYFUNCTION("""COMPUTED_VALUE"""),45906.0)</f>
        <v>45906</v>
      </c>
      <c r="I2732" s="115" t="str">
        <f>IFERROR(__xludf.DUMMYFUNCTION("""COMPUTED_VALUE"""),"08")</f>
        <v>08</v>
      </c>
      <c r="J2732" s="115" t="str">
        <f>IFERROR(__xludf.DUMMYFUNCTION("""COMPUTED_VALUE"""),"Manoj Harsh2025-09-0608")</f>
        <v>Manoj Harsh2025-09-0608</v>
      </c>
      <c r="K2732" s="115">
        <f>IFERROR(__xludf.DUMMYFUNCTION("""COMPUTED_VALUE"""),2091.0)</f>
        <v>2091</v>
      </c>
    </row>
    <row r="2733">
      <c r="A2733" s="115" t="str">
        <f>IFERROR(__xludf.DUMMYFUNCTION("""COMPUTED_VALUE"""),"NORTH")</f>
        <v>NORTH</v>
      </c>
      <c r="B2733" s="115" t="str">
        <f>IFERROR(__xludf.DUMMYFUNCTION("""COMPUTED_VALUE"""),"Manoj Harsh")</f>
        <v>Manoj Harsh</v>
      </c>
      <c r="C2733" s="115" t="str">
        <f>IFERROR(__xludf.DUMMYFUNCTION("""COMPUTED_VALUE"""),"FLIPKART")</f>
        <v>FLIPKART</v>
      </c>
      <c r="D2733" s="115">
        <f>IFERROR(__xludf.DUMMYFUNCTION("""COMPUTED_VALUE"""),24681.0)</f>
        <v>24681</v>
      </c>
      <c r="E2733" s="115">
        <f>IFERROR(__xludf.DUMMYFUNCTION("""COMPUTED_VALUE"""),3741.0)</f>
        <v>3741</v>
      </c>
      <c r="F2733" s="115">
        <f>IFERROR(__xludf.DUMMYFUNCTION("""COMPUTED_VALUE"""),380.0)</f>
        <v>380</v>
      </c>
      <c r="G2733" s="115">
        <f>IFERROR(__xludf.DUMMYFUNCTION("""COMPUTED_VALUE"""),54.0)</f>
        <v>54</v>
      </c>
      <c r="H2733" s="116">
        <f>IFERROR(__xludf.DUMMYFUNCTION("""COMPUTED_VALUE"""),45906.0)</f>
        <v>45906</v>
      </c>
      <c r="I2733" s="115" t="str">
        <f>IFERROR(__xludf.DUMMYFUNCTION("""COMPUTED_VALUE"""),"08")</f>
        <v>08</v>
      </c>
      <c r="J2733" s="115" t="str">
        <f>IFERROR(__xludf.DUMMYFUNCTION("""COMPUTED_VALUE"""),"Manoj Harsh2025-09-0608")</f>
        <v>Manoj Harsh2025-09-0608</v>
      </c>
      <c r="K2733" s="115">
        <f>IFERROR(__xludf.DUMMYFUNCTION("""COMPUTED_VALUE"""),28422.0)</f>
        <v>28422</v>
      </c>
    </row>
    <row r="2734">
      <c r="A2734" s="115" t="str">
        <f>IFERROR(__xludf.DUMMYFUNCTION("""COMPUTED_VALUE"""),"NORTH")</f>
        <v>NORTH</v>
      </c>
      <c r="B2734" s="115" t="str">
        <f>IFERROR(__xludf.DUMMYFUNCTION("""COMPUTED_VALUE"""),"Manoj Harsh")</f>
        <v>Manoj Harsh</v>
      </c>
      <c r="C2734" s="115" t="str">
        <f>IFERROR(__xludf.DUMMYFUNCTION("""COMPUTED_VALUE"""),"MYNTRA")</f>
        <v>MYNTRA</v>
      </c>
      <c r="D2734" s="115">
        <f>IFERROR(__xludf.DUMMYFUNCTION("""COMPUTED_VALUE"""),2597.0)</f>
        <v>2597</v>
      </c>
      <c r="E2734" s="115">
        <f>IFERROR(__xludf.DUMMYFUNCTION("""COMPUTED_VALUE"""),880.0)</f>
        <v>880</v>
      </c>
      <c r="F2734" s="115">
        <f>IFERROR(__xludf.DUMMYFUNCTION("""COMPUTED_VALUE"""),64.0)</f>
        <v>64</v>
      </c>
      <c r="G2734" s="115">
        <f>IFERROR(__xludf.DUMMYFUNCTION("""COMPUTED_VALUE"""),5.0)</f>
        <v>5</v>
      </c>
      <c r="H2734" s="116">
        <f>IFERROR(__xludf.DUMMYFUNCTION("""COMPUTED_VALUE"""),45906.0)</f>
        <v>45906</v>
      </c>
      <c r="I2734" s="115" t="str">
        <f>IFERROR(__xludf.DUMMYFUNCTION("""COMPUTED_VALUE"""),"08")</f>
        <v>08</v>
      </c>
      <c r="J2734" s="115" t="str">
        <f>IFERROR(__xludf.DUMMYFUNCTION("""COMPUTED_VALUE"""),"Manoj Harsh2025-09-0608")</f>
        <v>Manoj Harsh2025-09-0608</v>
      </c>
      <c r="K2734" s="115">
        <f>IFERROR(__xludf.DUMMYFUNCTION("""COMPUTED_VALUE"""),3477.0)</f>
        <v>3477</v>
      </c>
    </row>
    <row r="2735">
      <c r="A2735" s="115" t="str">
        <f>IFERROR(__xludf.DUMMYFUNCTION("""COMPUTED_VALUE"""),"NORTH")</f>
        <v>NORTH</v>
      </c>
      <c r="B2735" s="115" t="str">
        <f>IFERROR(__xludf.DUMMYFUNCTION("""COMPUTED_VALUE"""),"Pradeep Kothari")</f>
        <v>Pradeep Kothari</v>
      </c>
      <c r="C2735" s="115" t="str">
        <f>IFERROR(__xludf.DUMMYFUNCTION("""COMPUTED_VALUE"""),"EXTERNAL")</f>
        <v>EXTERNAL</v>
      </c>
      <c r="D2735" s="115">
        <f>IFERROR(__xludf.DUMMYFUNCTION("""COMPUTED_VALUE"""),943.0)</f>
        <v>943</v>
      </c>
      <c r="E2735" s="115">
        <f>IFERROR(__xludf.DUMMYFUNCTION("""COMPUTED_VALUE"""),145.0)</f>
        <v>145</v>
      </c>
      <c r="F2735" s="115">
        <f>IFERROR(__xludf.DUMMYFUNCTION("""COMPUTED_VALUE"""),4.0)</f>
        <v>4</v>
      </c>
      <c r="G2735" s="115">
        <f>IFERROR(__xludf.DUMMYFUNCTION("""COMPUTED_VALUE"""),0.0)</f>
        <v>0</v>
      </c>
      <c r="H2735" s="116">
        <f>IFERROR(__xludf.DUMMYFUNCTION("""COMPUTED_VALUE"""),45906.0)</f>
        <v>45906</v>
      </c>
      <c r="I2735" s="115" t="str">
        <f>IFERROR(__xludf.DUMMYFUNCTION("""COMPUTED_VALUE"""),"08")</f>
        <v>08</v>
      </c>
      <c r="J2735" s="115" t="str">
        <f>IFERROR(__xludf.DUMMYFUNCTION("""COMPUTED_VALUE"""),"Pradeep Kothari2025-09-0608")</f>
        <v>Pradeep Kothari2025-09-0608</v>
      </c>
      <c r="K2735" s="115">
        <f>IFERROR(__xludf.DUMMYFUNCTION("""COMPUTED_VALUE"""),1088.0)</f>
        <v>1088</v>
      </c>
    </row>
    <row r="2736">
      <c r="A2736" s="115" t="str">
        <f>IFERROR(__xludf.DUMMYFUNCTION("""COMPUTED_VALUE"""),"NORTH")</f>
        <v>NORTH</v>
      </c>
      <c r="B2736" s="115" t="str">
        <f>IFERROR(__xludf.DUMMYFUNCTION("""COMPUTED_VALUE"""),"Pradeep Kothari")</f>
        <v>Pradeep Kothari</v>
      </c>
      <c r="C2736" s="115" t="str">
        <f>IFERROR(__xludf.DUMMYFUNCTION("""COMPUTED_VALUE"""),"FLIPKART")</f>
        <v>FLIPKART</v>
      </c>
      <c r="D2736" s="115">
        <f>IFERROR(__xludf.DUMMYFUNCTION("""COMPUTED_VALUE"""),7705.0)</f>
        <v>7705</v>
      </c>
      <c r="E2736" s="115">
        <f>IFERROR(__xludf.DUMMYFUNCTION("""COMPUTED_VALUE"""),1159.0)</f>
        <v>1159</v>
      </c>
      <c r="F2736" s="115">
        <f>IFERROR(__xludf.DUMMYFUNCTION("""COMPUTED_VALUE"""),89.0)</f>
        <v>89</v>
      </c>
      <c r="G2736" s="115">
        <f>IFERROR(__xludf.DUMMYFUNCTION("""COMPUTED_VALUE"""),1.0)</f>
        <v>1</v>
      </c>
      <c r="H2736" s="116">
        <f>IFERROR(__xludf.DUMMYFUNCTION("""COMPUTED_VALUE"""),45906.0)</f>
        <v>45906</v>
      </c>
      <c r="I2736" s="115" t="str">
        <f>IFERROR(__xludf.DUMMYFUNCTION("""COMPUTED_VALUE"""),"08")</f>
        <v>08</v>
      </c>
      <c r="J2736" s="115" t="str">
        <f>IFERROR(__xludf.DUMMYFUNCTION("""COMPUTED_VALUE"""),"Pradeep Kothari2025-09-0608")</f>
        <v>Pradeep Kothari2025-09-0608</v>
      </c>
      <c r="K2736" s="115">
        <f>IFERROR(__xludf.DUMMYFUNCTION("""COMPUTED_VALUE"""),8864.0)</f>
        <v>8864</v>
      </c>
    </row>
    <row r="2737">
      <c r="A2737" s="115" t="str">
        <f>IFERROR(__xludf.DUMMYFUNCTION("""COMPUTED_VALUE"""),"NORTH")</f>
        <v>NORTH</v>
      </c>
      <c r="B2737" s="115" t="str">
        <f>IFERROR(__xludf.DUMMYFUNCTION("""COMPUTED_VALUE"""),"Pradeep Kothari")</f>
        <v>Pradeep Kothari</v>
      </c>
      <c r="C2737" s="115" t="str">
        <f>IFERROR(__xludf.DUMMYFUNCTION("""COMPUTED_VALUE"""),"MYNTRA")</f>
        <v>MYNTRA</v>
      </c>
      <c r="D2737" s="115">
        <f>IFERROR(__xludf.DUMMYFUNCTION("""COMPUTED_VALUE"""),1723.0)</f>
        <v>1723</v>
      </c>
      <c r="E2737" s="115">
        <f>IFERROR(__xludf.DUMMYFUNCTION("""COMPUTED_VALUE"""),347.0)</f>
        <v>347</v>
      </c>
      <c r="F2737" s="115">
        <f>IFERROR(__xludf.DUMMYFUNCTION("""COMPUTED_VALUE"""),23.0)</f>
        <v>23</v>
      </c>
      <c r="G2737" s="115">
        <f>IFERROR(__xludf.DUMMYFUNCTION("""COMPUTED_VALUE"""),1.0)</f>
        <v>1</v>
      </c>
      <c r="H2737" s="116">
        <f>IFERROR(__xludf.DUMMYFUNCTION("""COMPUTED_VALUE"""),45906.0)</f>
        <v>45906</v>
      </c>
      <c r="I2737" s="115" t="str">
        <f>IFERROR(__xludf.DUMMYFUNCTION("""COMPUTED_VALUE"""),"08")</f>
        <v>08</v>
      </c>
      <c r="J2737" s="115" t="str">
        <f>IFERROR(__xludf.DUMMYFUNCTION("""COMPUTED_VALUE"""),"Pradeep Kothari2025-09-0608")</f>
        <v>Pradeep Kothari2025-09-0608</v>
      </c>
      <c r="K2737" s="115">
        <f>IFERROR(__xludf.DUMMYFUNCTION("""COMPUTED_VALUE"""),2070.0)</f>
        <v>2070</v>
      </c>
    </row>
    <row r="2738">
      <c r="A2738" s="115" t="str">
        <f>IFERROR(__xludf.DUMMYFUNCTION("""COMPUTED_VALUE"""),"SOUTH")</f>
        <v>SOUTH</v>
      </c>
      <c r="B2738" s="115" t="str">
        <f>IFERROR(__xludf.DUMMYFUNCTION("""COMPUTED_VALUE"""),"Kandula Sampath")</f>
        <v>Kandula Sampath</v>
      </c>
      <c r="C2738" s="115" t="str">
        <f>IFERROR(__xludf.DUMMYFUNCTION("""COMPUTED_VALUE"""),"EXTERNAL")</f>
        <v>EXTERNAL</v>
      </c>
      <c r="D2738" s="115">
        <f>IFERROR(__xludf.DUMMYFUNCTION("""COMPUTED_VALUE"""),4931.0)</f>
        <v>4931</v>
      </c>
      <c r="E2738" s="115">
        <f>IFERROR(__xludf.DUMMYFUNCTION("""COMPUTED_VALUE"""),221.0)</f>
        <v>221</v>
      </c>
      <c r="F2738" s="115">
        <f>IFERROR(__xludf.DUMMYFUNCTION("""COMPUTED_VALUE"""),94.0)</f>
        <v>94</v>
      </c>
      <c r="G2738" s="115">
        <f>IFERROR(__xludf.DUMMYFUNCTION("""COMPUTED_VALUE"""),0.0)</f>
        <v>0</v>
      </c>
      <c r="H2738" s="116">
        <f>IFERROR(__xludf.DUMMYFUNCTION("""COMPUTED_VALUE"""),45906.0)</f>
        <v>45906</v>
      </c>
      <c r="I2738" s="115" t="str">
        <f>IFERROR(__xludf.DUMMYFUNCTION("""COMPUTED_VALUE"""),"08")</f>
        <v>08</v>
      </c>
      <c r="J2738" s="115" t="str">
        <f>IFERROR(__xludf.DUMMYFUNCTION("""COMPUTED_VALUE"""),"Kandula Sampath2025-09-0608")</f>
        <v>Kandula Sampath2025-09-0608</v>
      </c>
      <c r="K2738" s="115">
        <f>IFERROR(__xludf.DUMMYFUNCTION("""COMPUTED_VALUE"""),5152.0)</f>
        <v>5152</v>
      </c>
    </row>
    <row r="2739">
      <c r="A2739" s="115" t="str">
        <f>IFERROR(__xludf.DUMMYFUNCTION("""COMPUTED_VALUE"""),"SOUTH")</f>
        <v>SOUTH</v>
      </c>
      <c r="B2739" s="115" t="str">
        <f>IFERROR(__xludf.DUMMYFUNCTION("""COMPUTED_VALUE"""),"Kandula Sampath")</f>
        <v>Kandula Sampath</v>
      </c>
      <c r="C2739" s="115" t="str">
        <f>IFERROR(__xludf.DUMMYFUNCTION("""COMPUTED_VALUE"""),"FLIPKART")</f>
        <v>FLIPKART</v>
      </c>
      <c r="D2739" s="115">
        <f>IFERROR(__xludf.DUMMYFUNCTION("""COMPUTED_VALUE"""),57684.0)</f>
        <v>57684</v>
      </c>
      <c r="E2739" s="115">
        <f>IFERROR(__xludf.DUMMYFUNCTION("""COMPUTED_VALUE"""),3579.0)</f>
        <v>3579</v>
      </c>
      <c r="F2739" s="115">
        <f>IFERROR(__xludf.DUMMYFUNCTION("""COMPUTED_VALUE"""),2280.0)</f>
        <v>2280</v>
      </c>
      <c r="G2739" s="115">
        <f>IFERROR(__xludf.DUMMYFUNCTION("""COMPUTED_VALUE"""),39.0)</f>
        <v>39</v>
      </c>
      <c r="H2739" s="116">
        <f>IFERROR(__xludf.DUMMYFUNCTION("""COMPUTED_VALUE"""),45906.0)</f>
        <v>45906</v>
      </c>
      <c r="I2739" s="115" t="str">
        <f>IFERROR(__xludf.DUMMYFUNCTION("""COMPUTED_VALUE"""),"08")</f>
        <v>08</v>
      </c>
      <c r="J2739" s="115" t="str">
        <f>IFERROR(__xludf.DUMMYFUNCTION("""COMPUTED_VALUE"""),"Kandula Sampath2025-09-0608")</f>
        <v>Kandula Sampath2025-09-0608</v>
      </c>
      <c r="K2739" s="115">
        <f>IFERROR(__xludf.DUMMYFUNCTION("""COMPUTED_VALUE"""),61263.0)</f>
        <v>61263</v>
      </c>
    </row>
    <row r="2740">
      <c r="A2740" s="115" t="str">
        <f>IFERROR(__xludf.DUMMYFUNCTION("""COMPUTED_VALUE"""),"SOUTH")</f>
        <v>SOUTH</v>
      </c>
      <c r="B2740" s="115" t="str">
        <f>IFERROR(__xludf.DUMMYFUNCTION("""COMPUTED_VALUE"""),"Kandula Sampath")</f>
        <v>Kandula Sampath</v>
      </c>
      <c r="C2740" s="115" t="str">
        <f>IFERROR(__xludf.DUMMYFUNCTION("""COMPUTED_VALUE"""),"MYNTRA")</f>
        <v>MYNTRA</v>
      </c>
      <c r="D2740" s="115">
        <f>IFERROR(__xludf.DUMMYFUNCTION("""COMPUTED_VALUE"""),6838.0)</f>
        <v>6838</v>
      </c>
      <c r="E2740" s="115">
        <f>IFERROR(__xludf.DUMMYFUNCTION("""COMPUTED_VALUE"""),967.0)</f>
        <v>967</v>
      </c>
      <c r="F2740" s="115">
        <f>IFERROR(__xludf.DUMMYFUNCTION("""COMPUTED_VALUE"""),388.0)</f>
        <v>388</v>
      </c>
      <c r="G2740" s="115">
        <f>IFERROR(__xludf.DUMMYFUNCTION("""COMPUTED_VALUE"""),2.0)</f>
        <v>2</v>
      </c>
      <c r="H2740" s="116">
        <f>IFERROR(__xludf.DUMMYFUNCTION("""COMPUTED_VALUE"""),45906.0)</f>
        <v>45906</v>
      </c>
      <c r="I2740" s="115" t="str">
        <f>IFERROR(__xludf.DUMMYFUNCTION("""COMPUTED_VALUE"""),"08")</f>
        <v>08</v>
      </c>
      <c r="J2740" s="115" t="str">
        <f>IFERROR(__xludf.DUMMYFUNCTION("""COMPUTED_VALUE"""),"Kandula Sampath2025-09-0608")</f>
        <v>Kandula Sampath2025-09-0608</v>
      </c>
      <c r="K2740" s="115">
        <f>IFERROR(__xludf.DUMMYFUNCTION("""COMPUTED_VALUE"""),7805.0)</f>
        <v>7805</v>
      </c>
    </row>
    <row r="2741">
      <c r="A2741" s="115" t="str">
        <f>IFERROR(__xludf.DUMMYFUNCTION("""COMPUTED_VALUE"""),"SOUTH")</f>
        <v>SOUTH</v>
      </c>
      <c r="B2741" s="115" t="str">
        <f>IFERROR(__xludf.DUMMYFUNCTION("""COMPUTED_VALUE"""),"Martin A")</f>
        <v>Martin A</v>
      </c>
      <c r="C2741" s="115" t="str">
        <f>IFERROR(__xludf.DUMMYFUNCTION("""COMPUTED_VALUE"""),"EXTERNAL")</f>
        <v>EXTERNAL</v>
      </c>
      <c r="D2741" s="115">
        <f>IFERROR(__xludf.DUMMYFUNCTION("""COMPUTED_VALUE"""),4592.0)</f>
        <v>4592</v>
      </c>
      <c r="E2741" s="115">
        <f>IFERROR(__xludf.DUMMYFUNCTION("""COMPUTED_VALUE"""),489.0)</f>
        <v>489</v>
      </c>
      <c r="F2741" s="115">
        <f>IFERROR(__xludf.DUMMYFUNCTION("""COMPUTED_VALUE"""),29.0)</f>
        <v>29</v>
      </c>
      <c r="G2741" s="115">
        <f>IFERROR(__xludf.DUMMYFUNCTION("""COMPUTED_VALUE"""),0.0)</f>
        <v>0</v>
      </c>
      <c r="H2741" s="116">
        <f>IFERROR(__xludf.DUMMYFUNCTION("""COMPUTED_VALUE"""),45906.0)</f>
        <v>45906</v>
      </c>
      <c r="I2741" s="115" t="str">
        <f>IFERROR(__xludf.DUMMYFUNCTION("""COMPUTED_VALUE"""),"08")</f>
        <v>08</v>
      </c>
      <c r="J2741" s="115" t="str">
        <f>IFERROR(__xludf.DUMMYFUNCTION("""COMPUTED_VALUE"""),"Martin A2025-09-0608")</f>
        <v>Martin A2025-09-0608</v>
      </c>
      <c r="K2741" s="115">
        <f>IFERROR(__xludf.DUMMYFUNCTION("""COMPUTED_VALUE"""),5081.0)</f>
        <v>5081</v>
      </c>
    </row>
    <row r="2742">
      <c r="A2742" s="115" t="str">
        <f>IFERROR(__xludf.DUMMYFUNCTION("""COMPUTED_VALUE"""),"SOUTH")</f>
        <v>SOUTH</v>
      </c>
      <c r="B2742" s="115" t="str">
        <f>IFERROR(__xludf.DUMMYFUNCTION("""COMPUTED_VALUE"""),"Martin A")</f>
        <v>Martin A</v>
      </c>
      <c r="C2742" s="115" t="str">
        <f>IFERROR(__xludf.DUMMYFUNCTION("""COMPUTED_VALUE"""),"FLIPKART")</f>
        <v>FLIPKART</v>
      </c>
      <c r="D2742" s="115">
        <f>IFERROR(__xludf.DUMMYFUNCTION("""COMPUTED_VALUE"""),43233.0)</f>
        <v>43233</v>
      </c>
      <c r="E2742" s="115">
        <f>IFERROR(__xludf.DUMMYFUNCTION("""COMPUTED_VALUE"""),3733.0)</f>
        <v>3733</v>
      </c>
      <c r="F2742" s="115">
        <f>IFERROR(__xludf.DUMMYFUNCTION("""COMPUTED_VALUE"""),448.0)</f>
        <v>448</v>
      </c>
      <c r="G2742" s="115">
        <f>IFERROR(__xludf.DUMMYFUNCTION("""COMPUTED_VALUE"""),31.0)</f>
        <v>31</v>
      </c>
      <c r="H2742" s="116">
        <f>IFERROR(__xludf.DUMMYFUNCTION("""COMPUTED_VALUE"""),45906.0)</f>
        <v>45906</v>
      </c>
      <c r="I2742" s="115" t="str">
        <f>IFERROR(__xludf.DUMMYFUNCTION("""COMPUTED_VALUE"""),"08")</f>
        <v>08</v>
      </c>
      <c r="J2742" s="115" t="str">
        <f>IFERROR(__xludf.DUMMYFUNCTION("""COMPUTED_VALUE"""),"Martin A2025-09-0608")</f>
        <v>Martin A2025-09-0608</v>
      </c>
      <c r="K2742" s="115">
        <f>IFERROR(__xludf.DUMMYFUNCTION("""COMPUTED_VALUE"""),46966.0)</f>
        <v>46966</v>
      </c>
    </row>
    <row r="2743">
      <c r="A2743" s="115" t="str">
        <f>IFERROR(__xludf.DUMMYFUNCTION("""COMPUTED_VALUE"""),"SOUTH")</f>
        <v>SOUTH</v>
      </c>
      <c r="B2743" s="115" t="str">
        <f>IFERROR(__xludf.DUMMYFUNCTION("""COMPUTED_VALUE"""),"Martin A")</f>
        <v>Martin A</v>
      </c>
      <c r="C2743" s="115" t="str">
        <f>IFERROR(__xludf.DUMMYFUNCTION("""COMPUTED_VALUE"""),"MYNTRA")</f>
        <v>MYNTRA</v>
      </c>
      <c r="D2743" s="115">
        <f>IFERROR(__xludf.DUMMYFUNCTION("""COMPUTED_VALUE"""),4858.0)</f>
        <v>4858</v>
      </c>
      <c r="E2743" s="115">
        <f>IFERROR(__xludf.DUMMYFUNCTION("""COMPUTED_VALUE"""),1124.0)</f>
        <v>1124</v>
      </c>
      <c r="F2743" s="115">
        <f>IFERROR(__xludf.DUMMYFUNCTION("""COMPUTED_VALUE"""),72.0)</f>
        <v>72</v>
      </c>
      <c r="G2743" s="115">
        <f>IFERROR(__xludf.DUMMYFUNCTION("""COMPUTED_VALUE"""),5.0)</f>
        <v>5</v>
      </c>
      <c r="H2743" s="116">
        <f>IFERROR(__xludf.DUMMYFUNCTION("""COMPUTED_VALUE"""),45906.0)</f>
        <v>45906</v>
      </c>
      <c r="I2743" s="115" t="str">
        <f>IFERROR(__xludf.DUMMYFUNCTION("""COMPUTED_VALUE"""),"08")</f>
        <v>08</v>
      </c>
      <c r="J2743" s="115" t="str">
        <f>IFERROR(__xludf.DUMMYFUNCTION("""COMPUTED_VALUE"""),"Martin A2025-09-0608")</f>
        <v>Martin A2025-09-0608</v>
      </c>
      <c r="K2743" s="115">
        <f>IFERROR(__xludf.DUMMYFUNCTION("""COMPUTED_VALUE"""),5982.0)</f>
        <v>5982</v>
      </c>
    </row>
    <row r="2744">
      <c r="A2744" s="115" t="str">
        <f>IFERROR(__xludf.DUMMYFUNCTION("""COMPUTED_VALUE"""),"SOUTH")</f>
        <v>SOUTH</v>
      </c>
      <c r="B2744" s="115" t="str">
        <f>IFERROR(__xludf.DUMMYFUNCTION("""COMPUTED_VALUE"""),"Premkumar M")</f>
        <v>Premkumar M</v>
      </c>
      <c r="C2744" s="115" t="str">
        <f>IFERROR(__xludf.DUMMYFUNCTION("""COMPUTED_VALUE"""),"EXTERNAL")</f>
        <v>EXTERNAL</v>
      </c>
      <c r="D2744" s="115">
        <f>IFERROR(__xludf.DUMMYFUNCTION("""COMPUTED_VALUE"""),1007.0)</f>
        <v>1007</v>
      </c>
      <c r="E2744" s="115">
        <f>IFERROR(__xludf.DUMMYFUNCTION("""COMPUTED_VALUE"""),47.0)</f>
        <v>47</v>
      </c>
      <c r="F2744" s="115">
        <f>IFERROR(__xludf.DUMMYFUNCTION("""COMPUTED_VALUE"""),7.0)</f>
        <v>7</v>
      </c>
      <c r="G2744" s="115">
        <f>IFERROR(__xludf.DUMMYFUNCTION("""COMPUTED_VALUE"""),0.0)</f>
        <v>0</v>
      </c>
      <c r="H2744" s="116">
        <f>IFERROR(__xludf.DUMMYFUNCTION("""COMPUTED_VALUE"""),45906.0)</f>
        <v>45906</v>
      </c>
      <c r="I2744" s="115" t="str">
        <f>IFERROR(__xludf.DUMMYFUNCTION("""COMPUTED_VALUE"""),"08")</f>
        <v>08</v>
      </c>
      <c r="J2744" s="115" t="str">
        <f>IFERROR(__xludf.DUMMYFUNCTION("""COMPUTED_VALUE"""),"Premkumar M2025-09-0608")</f>
        <v>Premkumar M2025-09-0608</v>
      </c>
      <c r="K2744" s="115">
        <f>IFERROR(__xludf.DUMMYFUNCTION("""COMPUTED_VALUE"""),1054.0)</f>
        <v>1054</v>
      </c>
    </row>
    <row r="2745">
      <c r="A2745" s="115" t="str">
        <f>IFERROR(__xludf.DUMMYFUNCTION("""COMPUTED_VALUE"""),"SOUTH")</f>
        <v>SOUTH</v>
      </c>
      <c r="B2745" s="115" t="str">
        <f>IFERROR(__xludf.DUMMYFUNCTION("""COMPUTED_VALUE"""),"Premkumar M")</f>
        <v>Premkumar M</v>
      </c>
      <c r="C2745" s="115" t="str">
        <f>IFERROR(__xludf.DUMMYFUNCTION("""COMPUTED_VALUE"""),"FLIPKART")</f>
        <v>FLIPKART</v>
      </c>
      <c r="D2745" s="115">
        <f>IFERROR(__xludf.DUMMYFUNCTION("""COMPUTED_VALUE"""),10635.0)</f>
        <v>10635</v>
      </c>
      <c r="E2745" s="115">
        <f>IFERROR(__xludf.DUMMYFUNCTION("""COMPUTED_VALUE"""),704.0)</f>
        <v>704</v>
      </c>
      <c r="F2745" s="115">
        <f>IFERROR(__xludf.DUMMYFUNCTION("""COMPUTED_VALUE"""),130.0)</f>
        <v>130</v>
      </c>
      <c r="G2745" s="115">
        <f>IFERROR(__xludf.DUMMYFUNCTION("""COMPUTED_VALUE"""),14.0)</f>
        <v>14</v>
      </c>
      <c r="H2745" s="116">
        <f>IFERROR(__xludf.DUMMYFUNCTION("""COMPUTED_VALUE"""),45906.0)</f>
        <v>45906</v>
      </c>
      <c r="I2745" s="115" t="str">
        <f>IFERROR(__xludf.DUMMYFUNCTION("""COMPUTED_VALUE"""),"08")</f>
        <v>08</v>
      </c>
      <c r="J2745" s="115" t="str">
        <f>IFERROR(__xludf.DUMMYFUNCTION("""COMPUTED_VALUE"""),"Premkumar M2025-09-0608")</f>
        <v>Premkumar M2025-09-0608</v>
      </c>
      <c r="K2745" s="115">
        <f>IFERROR(__xludf.DUMMYFUNCTION("""COMPUTED_VALUE"""),11339.0)</f>
        <v>11339</v>
      </c>
    </row>
    <row r="2746">
      <c r="A2746" s="115" t="str">
        <f>IFERROR(__xludf.DUMMYFUNCTION("""COMPUTED_VALUE"""),"SOUTH")</f>
        <v>SOUTH</v>
      </c>
      <c r="B2746" s="115" t="str">
        <f>IFERROR(__xludf.DUMMYFUNCTION("""COMPUTED_VALUE"""),"Premkumar M")</f>
        <v>Premkumar M</v>
      </c>
      <c r="C2746" s="115" t="str">
        <f>IFERROR(__xludf.DUMMYFUNCTION("""COMPUTED_VALUE"""),"MYNTRA")</f>
        <v>MYNTRA</v>
      </c>
      <c r="D2746" s="115">
        <f>IFERROR(__xludf.DUMMYFUNCTION("""COMPUTED_VALUE"""),619.0)</f>
        <v>619</v>
      </c>
      <c r="E2746" s="115">
        <f>IFERROR(__xludf.DUMMYFUNCTION("""COMPUTED_VALUE"""),127.0)</f>
        <v>127</v>
      </c>
      <c r="F2746" s="115">
        <f>IFERROR(__xludf.DUMMYFUNCTION("""COMPUTED_VALUE"""),11.0)</f>
        <v>11</v>
      </c>
      <c r="G2746" s="115">
        <f>IFERROR(__xludf.DUMMYFUNCTION("""COMPUTED_VALUE"""),1.0)</f>
        <v>1</v>
      </c>
      <c r="H2746" s="116">
        <f>IFERROR(__xludf.DUMMYFUNCTION("""COMPUTED_VALUE"""),45906.0)</f>
        <v>45906</v>
      </c>
      <c r="I2746" s="115" t="str">
        <f>IFERROR(__xludf.DUMMYFUNCTION("""COMPUTED_VALUE"""),"08")</f>
        <v>08</v>
      </c>
      <c r="J2746" s="115" t="str">
        <f>IFERROR(__xludf.DUMMYFUNCTION("""COMPUTED_VALUE"""),"Premkumar M2025-09-0608")</f>
        <v>Premkumar M2025-09-0608</v>
      </c>
      <c r="K2746" s="115">
        <f>IFERROR(__xludf.DUMMYFUNCTION("""COMPUTED_VALUE"""),746.0)</f>
        <v>746</v>
      </c>
    </row>
    <row r="2747">
      <c r="A2747" s="115" t="str">
        <f>IFERROR(__xludf.DUMMYFUNCTION("""COMPUTED_VALUE"""),"SOUTH")</f>
        <v>SOUTH</v>
      </c>
      <c r="B2747" s="115" t="str">
        <f>IFERROR(__xludf.DUMMYFUNCTION("""COMPUTED_VALUE"""),"Vineeth V")</f>
        <v>Vineeth V</v>
      </c>
      <c r="C2747" s="115" t="str">
        <f>IFERROR(__xludf.DUMMYFUNCTION("""COMPUTED_VALUE"""),"EXTERNAL")</f>
        <v>EXTERNAL</v>
      </c>
      <c r="D2747" s="115">
        <f>IFERROR(__xludf.DUMMYFUNCTION("""COMPUTED_VALUE"""),364.0)</f>
        <v>364</v>
      </c>
      <c r="E2747" s="115">
        <f>IFERROR(__xludf.DUMMYFUNCTION("""COMPUTED_VALUE"""),13.0)</f>
        <v>13</v>
      </c>
      <c r="F2747" s="115">
        <f>IFERROR(__xludf.DUMMYFUNCTION("""COMPUTED_VALUE"""),0.0)</f>
        <v>0</v>
      </c>
      <c r="G2747" s="115">
        <f>IFERROR(__xludf.DUMMYFUNCTION("""COMPUTED_VALUE"""),0.0)</f>
        <v>0</v>
      </c>
      <c r="H2747" s="116">
        <f>IFERROR(__xludf.DUMMYFUNCTION("""COMPUTED_VALUE"""),45906.0)</f>
        <v>45906</v>
      </c>
      <c r="I2747" s="115" t="str">
        <f>IFERROR(__xludf.DUMMYFUNCTION("""COMPUTED_VALUE"""),"08")</f>
        <v>08</v>
      </c>
      <c r="J2747" s="115" t="str">
        <f>IFERROR(__xludf.DUMMYFUNCTION("""COMPUTED_VALUE"""),"Vineeth V2025-09-0608")</f>
        <v>Vineeth V2025-09-0608</v>
      </c>
      <c r="K2747" s="115">
        <f>IFERROR(__xludf.DUMMYFUNCTION("""COMPUTED_VALUE"""),377.0)</f>
        <v>377</v>
      </c>
    </row>
    <row r="2748">
      <c r="A2748" s="115" t="str">
        <f>IFERROR(__xludf.DUMMYFUNCTION("""COMPUTED_VALUE"""),"SOUTH")</f>
        <v>SOUTH</v>
      </c>
      <c r="B2748" s="115" t="str">
        <f>IFERROR(__xludf.DUMMYFUNCTION("""COMPUTED_VALUE"""),"Vineeth V")</f>
        <v>Vineeth V</v>
      </c>
      <c r="C2748" s="115" t="str">
        <f>IFERROR(__xludf.DUMMYFUNCTION("""COMPUTED_VALUE"""),"FLIPKART")</f>
        <v>FLIPKART</v>
      </c>
      <c r="D2748" s="115">
        <f>IFERROR(__xludf.DUMMYFUNCTION("""COMPUTED_VALUE"""),3519.0)</f>
        <v>3519</v>
      </c>
      <c r="E2748" s="115">
        <f>IFERROR(__xludf.DUMMYFUNCTION("""COMPUTED_VALUE"""),240.0)</f>
        <v>240</v>
      </c>
      <c r="F2748" s="115">
        <f>IFERROR(__xludf.DUMMYFUNCTION("""COMPUTED_VALUE"""),17.0)</f>
        <v>17</v>
      </c>
      <c r="G2748" s="115">
        <f>IFERROR(__xludf.DUMMYFUNCTION("""COMPUTED_VALUE"""),8.0)</f>
        <v>8</v>
      </c>
      <c r="H2748" s="116">
        <f>IFERROR(__xludf.DUMMYFUNCTION("""COMPUTED_VALUE"""),45906.0)</f>
        <v>45906</v>
      </c>
      <c r="I2748" s="115" t="str">
        <f>IFERROR(__xludf.DUMMYFUNCTION("""COMPUTED_VALUE"""),"08")</f>
        <v>08</v>
      </c>
      <c r="J2748" s="115" t="str">
        <f>IFERROR(__xludf.DUMMYFUNCTION("""COMPUTED_VALUE"""),"Vineeth V2025-09-0608")</f>
        <v>Vineeth V2025-09-0608</v>
      </c>
      <c r="K2748" s="115">
        <f>IFERROR(__xludf.DUMMYFUNCTION("""COMPUTED_VALUE"""),3759.0)</f>
        <v>3759</v>
      </c>
    </row>
    <row r="2749">
      <c r="A2749" s="115" t="str">
        <f>IFERROR(__xludf.DUMMYFUNCTION("""COMPUTED_VALUE"""),"SOUTH")</f>
        <v>SOUTH</v>
      </c>
      <c r="B2749" s="115" t="str">
        <f>IFERROR(__xludf.DUMMYFUNCTION("""COMPUTED_VALUE"""),"Vineeth V")</f>
        <v>Vineeth V</v>
      </c>
      <c r="C2749" s="115" t="str">
        <f>IFERROR(__xludf.DUMMYFUNCTION("""COMPUTED_VALUE"""),"MYNTRA")</f>
        <v>MYNTRA</v>
      </c>
      <c r="D2749" s="115">
        <f>IFERROR(__xludf.DUMMYFUNCTION("""COMPUTED_VALUE"""),400.0)</f>
        <v>400</v>
      </c>
      <c r="E2749" s="115">
        <f>IFERROR(__xludf.DUMMYFUNCTION("""COMPUTED_VALUE"""),86.0)</f>
        <v>86</v>
      </c>
      <c r="F2749" s="115">
        <f>IFERROR(__xludf.DUMMYFUNCTION("""COMPUTED_VALUE"""),5.0)</f>
        <v>5</v>
      </c>
      <c r="G2749" s="115">
        <f>IFERROR(__xludf.DUMMYFUNCTION("""COMPUTED_VALUE"""),1.0)</f>
        <v>1</v>
      </c>
      <c r="H2749" s="116">
        <f>IFERROR(__xludf.DUMMYFUNCTION("""COMPUTED_VALUE"""),45906.0)</f>
        <v>45906</v>
      </c>
      <c r="I2749" s="115" t="str">
        <f>IFERROR(__xludf.DUMMYFUNCTION("""COMPUTED_VALUE"""),"08")</f>
        <v>08</v>
      </c>
      <c r="J2749" s="115" t="str">
        <f>IFERROR(__xludf.DUMMYFUNCTION("""COMPUTED_VALUE"""),"Vineeth V2025-09-0608")</f>
        <v>Vineeth V2025-09-0608</v>
      </c>
      <c r="K2749" s="115">
        <f>IFERROR(__xludf.DUMMYFUNCTION("""COMPUTED_VALUE"""),486.0)</f>
        <v>486</v>
      </c>
    </row>
    <row r="2750">
      <c r="A2750" s="115" t="str">
        <f>IFERROR(__xludf.DUMMYFUNCTION("""COMPUTED_VALUE"""),"WEST")</f>
        <v>WEST</v>
      </c>
      <c r="B2750" s="115" t="str">
        <f>IFERROR(__xludf.DUMMYFUNCTION("""COMPUTED_VALUE"""),"Ashish Jakar")</f>
        <v>Ashish Jakar</v>
      </c>
      <c r="C2750" s="115" t="str">
        <f>IFERROR(__xludf.DUMMYFUNCTION("""COMPUTED_VALUE"""),"EXTERNAL")</f>
        <v>EXTERNAL</v>
      </c>
      <c r="D2750" s="115">
        <f>IFERROR(__xludf.DUMMYFUNCTION("""COMPUTED_VALUE"""),2442.0)</f>
        <v>2442</v>
      </c>
      <c r="E2750" s="115">
        <f>IFERROR(__xludf.DUMMYFUNCTION("""COMPUTED_VALUE"""),540.0)</f>
        <v>540</v>
      </c>
      <c r="F2750" s="115">
        <f>IFERROR(__xludf.DUMMYFUNCTION("""COMPUTED_VALUE"""),9.0)</f>
        <v>9</v>
      </c>
      <c r="G2750" s="115">
        <f>IFERROR(__xludf.DUMMYFUNCTION("""COMPUTED_VALUE"""),3.0)</f>
        <v>3</v>
      </c>
      <c r="H2750" s="116">
        <f>IFERROR(__xludf.DUMMYFUNCTION("""COMPUTED_VALUE"""),45906.0)</f>
        <v>45906</v>
      </c>
      <c r="I2750" s="115" t="str">
        <f>IFERROR(__xludf.DUMMYFUNCTION("""COMPUTED_VALUE"""),"08")</f>
        <v>08</v>
      </c>
      <c r="J2750" s="115" t="str">
        <f>IFERROR(__xludf.DUMMYFUNCTION("""COMPUTED_VALUE"""),"Ashish Jakar2025-09-0608")</f>
        <v>Ashish Jakar2025-09-0608</v>
      </c>
      <c r="K2750" s="115">
        <f>IFERROR(__xludf.DUMMYFUNCTION("""COMPUTED_VALUE"""),2982.0)</f>
        <v>2982</v>
      </c>
    </row>
    <row r="2751">
      <c r="A2751" s="115" t="str">
        <f>IFERROR(__xludf.DUMMYFUNCTION("""COMPUTED_VALUE"""),"WEST")</f>
        <v>WEST</v>
      </c>
      <c r="B2751" s="115" t="str">
        <f>IFERROR(__xludf.DUMMYFUNCTION("""COMPUTED_VALUE"""),"Ashish Jakar")</f>
        <v>Ashish Jakar</v>
      </c>
      <c r="C2751" s="115" t="str">
        <f>IFERROR(__xludf.DUMMYFUNCTION("""COMPUTED_VALUE"""),"FLIPKART")</f>
        <v>FLIPKART</v>
      </c>
      <c r="D2751" s="115">
        <f>IFERROR(__xludf.DUMMYFUNCTION("""COMPUTED_VALUE"""),15501.0)</f>
        <v>15501</v>
      </c>
      <c r="E2751" s="115">
        <f>IFERROR(__xludf.DUMMYFUNCTION("""COMPUTED_VALUE"""),2254.0)</f>
        <v>2254</v>
      </c>
      <c r="F2751" s="115">
        <f>IFERROR(__xludf.DUMMYFUNCTION("""COMPUTED_VALUE"""),97.0)</f>
        <v>97</v>
      </c>
      <c r="G2751" s="115">
        <f>IFERROR(__xludf.DUMMYFUNCTION("""COMPUTED_VALUE"""),11.0)</f>
        <v>11</v>
      </c>
      <c r="H2751" s="116">
        <f>IFERROR(__xludf.DUMMYFUNCTION("""COMPUTED_VALUE"""),45906.0)</f>
        <v>45906</v>
      </c>
      <c r="I2751" s="115" t="str">
        <f>IFERROR(__xludf.DUMMYFUNCTION("""COMPUTED_VALUE"""),"08")</f>
        <v>08</v>
      </c>
      <c r="J2751" s="115" t="str">
        <f>IFERROR(__xludf.DUMMYFUNCTION("""COMPUTED_VALUE"""),"Ashish Jakar2025-09-0608")</f>
        <v>Ashish Jakar2025-09-0608</v>
      </c>
      <c r="K2751" s="115">
        <f>IFERROR(__xludf.DUMMYFUNCTION("""COMPUTED_VALUE"""),17755.0)</f>
        <v>17755</v>
      </c>
    </row>
    <row r="2752">
      <c r="A2752" s="115" t="str">
        <f>IFERROR(__xludf.DUMMYFUNCTION("""COMPUTED_VALUE"""),"WEST")</f>
        <v>WEST</v>
      </c>
      <c r="B2752" s="115" t="str">
        <f>IFERROR(__xludf.DUMMYFUNCTION("""COMPUTED_VALUE"""),"Ashish Jakar")</f>
        <v>Ashish Jakar</v>
      </c>
      <c r="C2752" s="115" t="str">
        <f>IFERROR(__xludf.DUMMYFUNCTION("""COMPUTED_VALUE"""),"MYNTRA")</f>
        <v>MYNTRA</v>
      </c>
      <c r="D2752" s="115">
        <f>IFERROR(__xludf.DUMMYFUNCTION("""COMPUTED_VALUE"""),2455.0)</f>
        <v>2455</v>
      </c>
      <c r="E2752" s="115">
        <f>IFERROR(__xludf.DUMMYFUNCTION("""COMPUTED_VALUE"""),869.0)</f>
        <v>869</v>
      </c>
      <c r="F2752" s="115">
        <f>IFERROR(__xludf.DUMMYFUNCTION("""COMPUTED_VALUE"""),13.0)</f>
        <v>13</v>
      </c>
      <c r="G2752" s="115">
        <f>IFERROR(__xludf.DUMMYFUNCTION("""COMPUTED_VALUE"""),0.0)</f>
        <v>0</v>
      </c>
      <c r="H2752" s="116">
        <f>IFERROR(__xludf.DUMMYFUNCTION("""COMPUTED_VALUE"""),45906.0)</f>
        <v>45906</v>
      </c>
      <c r="I2752" s="115" t="str">
        <f>IFERROR(__xludf.DUMMYFUNCTION("""COMPUTED_VALUE"""),"08")</f>
        <v>08</v>
      </c>
      <c r="J2752" s="115" t="str">
        <f>IFERROR(__xludf.DUMMYFUNCTION("""COMPUTED_VALUE"""),"Ashish Jakar2025-09-0608")</f>
        <v>Ashish Jakar2025-09-0608</v>
      </c>
      <c r="K2752" s="115">
        <f>IFERROR(__xludf.DUMMYFUNCTION("""COMPUTED_VALUE"""),3324.0)</f>
        <v>3324</v>
      </c>
    </row>
    <row r="2753">
      <c r="A2753" s="115" t="str">
        <f>IFERROR(__xludf.DUMMYFUNCTION("""COMPUTED_VALUE"""),"WEST")</f>
        <v>WEST</v>
      </c>
      <c r="B2753" s="115" t="str">
        <f>IFERROR(__xludf.DUMMYFUNCTION("""COMPUTED_VALUE"""),"Ashvani Bhatt")</f>
        <v>Ashvani Bhatt</v>
      </c>
      <c r="C2753" s="115" t="str">
        <f>IFERROR(__xludf.DUMMYFUNCTION("""COMPUTED_VALUE"""),"EXTERNAL")</f>
        <v>EXTERNAL</v>
      </c>
      <c r="D2753" s="115">
        <f>IFERROR(__xludf.DUMMYFUNCTION("""COMPUTED_VALUE"""),2604.0)</f>
        <v>2604</v>
      </c>
      <c r="E2753" s="115">
        <f>IFERROR(__xludf.DUMMYFUNCTION("""COMPUTED_VALUE"""),144.0)</f>
        <v>144</v>
      </c>
      <c r="F2753" s="115">
        <f>IFERROR(__xludf.DUMMYFUNCTION("""COMPUTED_VALUE"""),19.0)</f>
        <v>19</v>
      </c>
      <c r="G2753" s="115">
        <f>IFERROR(__xludf.DUMMYFUNCTION("""COMPUTED_VALUE"""),0.0)</f>
        <v>0</v>
      </c>
      <c r="H2753" s="116">
        <f>IFERROR(__xludf.DUMMYFUNCTION("""COMPUTED_VALUE"""),45906.0)</f>
        <v>45906</v>
      </c>
      <c r="I2753" s="115" t="str">
        <f>IFERROR(__xludf.DUMMYFUNCTION("""COMPUTED_VALUE"""),"08")</f>
        <v>08</v>
      </c>
      <c r="J2753" s="115" t="str">
        <f>IFERROR(__xludf.DUMMYFUNCTION("""COMPUTED_VALUE"""),"Ashvani Bhatt2025-09-0608")</f>
        <v>Ashvani Bhatt2025-09-0608</v>
      </c>
      <c r="K2753" s="115">
        <f>IFERROR(__xludf.DUMMYFUNCTION("""COMPUTED_VALUE"""),2748.0)</f>
        <v>2748</v>
      </c>
    </row>
    <row r="2754">
      <c r="A2754" s="115" t="str">
        <f>IFERROR(__xludf.DUMMYFUNCTION("""COMPUTED_VALUE"""),"WEST")</f>
        <v>WEST</v>
      </c>
      <c r="B2754" s="115" t="str">
        <f>IFERROR(__xludf.DUMMYFUNCTION("""COMPUTED_VALUE"""),"Ashvani Bhatt")</f>
        <v>Ashvani Bhatt</v>
      </c>
      <c r="C2754" s="115" t="str">
        <f>IFERROR(__xludf.DUMMYFUNCTION("""COMPUTED_VALUE"""),"FLIPKART")</f>
        <v>FLIPKART</v>
      </c>
      <c r="D2754" s="115">
        <f>IFERROR(__xludf.DUMMYFUNCTION("""COMPUTED_VALUE"""),20887.0)</f>
        <v>20887</v>
      </c>
      <c r="E2754" s="115">
        <f>IFERROR(__xludf.DUMMYFUNCTION("""COMPUTED_VALUE"""),1581.0)</f>
        <v>1581</v>
      </c>
      <c r="F2754" s="115">
        <f>IFERROR(__xludf.DUMMYFUNCTION("""COMPUTED_VALUE"""),286.0)</f>
        <v>286</v>
      </c>
      <c r="G2754" s="115">
        <f>IFERROR(__xludf.DUMMYFUNCTION("""COMPUTED_VALUE"""),24.0)</f>
        <v>24</v>
      </c>
      <c r="H2754" s="116">
        <f>IFERROR(__xludf.DUMMYFUNCTION("""COMPUTED_VALUE"""),45906.0)</f>
        <v>45906</v>
      </c>
      <c r="I2754" s="115" t="str">
        <f>IFERROR(__xludf.DUMMYFUNCTION("""COMPUTED_VALUE"""),"08")</f>
        <v>08</v>
      </c>
      <c r="J2754" s="115" t="str">
        <f>IFERROR(__xludf.DUMMYFUNCTION("""COMPUTED_VALUE"""),"Ashvani Bhatt2025-09-0608")</f>
        <v>Ashvani Bhatt2025-09-0608</v>
      </c>
      <c r="K2754" s="115">
        <f>IFERROR(__xludf.DUMMYFUNCTION("""COMPUTED_VALUE"""),22468.0)</f>
        <v>22468</v>
      </c>
    </row>
    <row r="2755">
      <c r="A2755" s="115" t="str">
        <f>IFERROR(__xludf.DUMMYFUNCTION("""COMPUTED_VALUE"""),"WEST")</f>
        <v>WEST</v>
      </c>
      <c r="B2755" s="115" t="str">
        <f>IFERROR(__xludf.DUMMYFUNCTION("""COMPUTED_VALUE"""),"Ashvani Bhatt")</f>
        <v>Ashvani Bhatt</v>
      </c>
      <c r="C2755" s="115" t="str">
        <f>IFERROR(__xludf.DUMMYFUNCTION("""COMPUTED_VALUE"""),"MYNTRA")</f>
        <v>MYNTRA</v>
      </c>
      <c r="D2755" s="115">
        <f>IFERROR(__xludf.DUMMYFUNCTION("""COMPUTED_VALUE"""),3209.0)</f>
        <v>3209</v>
      </c>
      <c r="E2755" s="115">
        <f>IFERROR(__xludf.DUMMYFUNCTION("""COMPUTED_VALUE"""),581.0)</f>
        <v>581</v>
      </c>
      <c r="F2755" s="115">
        <f>IFERROR(__xludf.DUMMYFUNCTION("""COMPUTED_VALUE"""),56.0)</f>
        <v>56</v>
      </c>
      <c r="G2755" s="115">
        <f>IFERROR(__xludf.DUMMYFUNCTION("""COMPUTED_VALUE"""),0.0)</f>
        <v>0</v>
      </c>
      <c r="H2755" s="116">
        <f>IFERROR(__xludf.DUMMYFUNCTION("""COMPUTED_VALUE"""),45906.0)</f>
        <v>45906</v>
      </c>
      <c r="I2755" s="115" t="str">
        <f>IFERROR(__xludf.DUMMYFUNCTION("""COMPUTED_VALUE"""),"08")</f>
        <v>08</v>
      </c>
      <c r="J2755" s="115" t="str">
        <f>IFERROR(__xludf.DUMMYFUNCTION("""COMPUTED_VALUE"""),"Ashvani Bhatt2025-09-0608")</f>
        <v>Ashvani Bhatt2025-09-0608</v>
      </c>
      <c r="K2755" s="115">
        <f>IFERROR(__xludf.DUMMYFUNCTION("""COMPUTED_VALUE"""),3790.0)</f>
        <v>3790</v>
      </c>
    </row>
    <row r="2756">
      <c r="A2756" s="115"/>
      <c r="B2756" s="115"/>
      <c r="C2756" s="115" t="str">
        <f>IFERROR(__xludf.DUMMYFUNCTION("""COMPUTED_VALUE"""),"EXTERNAL")</f>
        <v>EXTERNAL</v>
      </c>
      <c r="D2756" s="115">
        <f>IFERROR(__xludf.DUMMYFUNCTION("""COMPUTED_VALUE"""),27.0)</f>
        <v>27</v>
      </c>
      <c r="E2756" s="115">
        <f>IFERROR(__xludf.DUMMYFUNCTION("""COMPUTED_VALUE"""),0.0)</f>
        <v>0</v>
      </c>
      <c r="F2756" s="115">
        <f>IFERROR(__xludf.DUMMYFUNCTION("""COMPUTED_VALUE"""),0.0)</f>
        <v>0</v>
      </c>
      <c r="G2756" s="115">
        <f>IFERROR(__xludf.DUMMYFUNCTION("""COMPUTED_VALUE"""),0.0)</f>
        <v>0</v>
      </c>
      <c r="H2756" s="116">
        <f>IFERROR(__xludf.DUMMYFUNCTION("""COMPUTED_VALUE"""),45906.0)</f>
        <v>45906</v>
      </c>
      <c r="I2756" s="115" t="str">
        <f>IFERROR(__xludf.DUMMYFUNCTION("""COMPUTED_VALUE"""),"08")</f>
        <v>08</v>
      </c>
      <c r="J2756" s="115" t="str">
        <f>IFERROR(__xludf.DUMMYFUNCTION("""COMPUTED_VALUE"""),"2025-09-0608")</f>
        <v>2025-09-0608</v>
      </c>
      <c r="K2756" s="115">
        <f>IFERROR(__xludf.DUMMYFUNCTION("""COMPUTED_VALUE"""),27.0)</f>
        <v>27</v>
      </c>
    </row>
    <row r="2757">
      <c r="A2757" s="115"/>
      <c r="B2757" s="115"/>
      <c r="C2757" s="115" t="str">
        <f>IFERROR(__xludf.DUMMYFUNCTION("""COMPUTED_VALUE"""),"FLIPKART")</f>
        <v>FLIPKART</v>
      </c>
      <c r="D2757" s="115">
        <f>IFERROR(__xludf.DUMMYFUNCTION("""COMPUTED_VALUE"""),332.0)</f>
        <v>332</v>
      </c>
      <c r="E2757" s="115">
        <f>IFERROR(__xludf.DUMMYFUNCTION("""COMPUTED_VALUE"""),42.0)</f>
        <v>42</v>
      </c>
      <c r="F2757" s="115">
        <f>IFERROR(__xludf.DUMMYFUNCTION("""COMPUTED_VALUE"""),16.0)</f>
        <v>16</v>
      </c>
      <c r="G2757" s="115">
        <f>IFERROR(__xludf.DUMMYFUNCTION("""COMPUTED_VALUE"""),0.0)</f>
        <v>0</v>
      </c>
      <c r="H2757" s="116">
        <f>IFERROR(__xludf.DUMMYFUNCTION("""COMPUTED_VALUE"""),45906.0)</f>
        <v>45906</v>
      </c>
      <c r="I2757" s="115" t="str">
        <f>IFERROR(__xludf.DUMMYFUNCTION("""COMPUTED_VALUE"""),"08")</f>
        <v>08</v>
      </c>
      <c r="J2757" s="115" t="str">
        <f>IFERROR(__xludf.DUMMYFUNCTION("""COMPUTED_VALUE"""),"2025-09-0608")</f>
        <v>2025-09-0608</v>
      </c>
      <c r="K2757" s="115">
        <f>IFERROR(__xludf.DUMMYFUNCTION("""COMPUTED_VALUE"""),374.0)</f>
        <v>374</v>
      </c>
    </row>
    <row r="2758">
      <c r="A2758" s="115"/>
      <c r="B2758" s="115"/>
      <c r="C2758" s="115" t="str">
        <f>IFERROR(__xludf.DUMMYFUNCTION("""COMPUTED_VALUE"""),"MYNTRA")</f>
        <v>MYNTRA</v>
      </c>
      <c r="D2758" s="115">
        <f>IFERROR(__xludf.DUMMYFUNCTION("""COMPUTED_VALUE"""),13.0)</f>
        <v>13</v>
      </c>
      <c r="E2758" s="115">
        <f>IFERROR(__xludf.DUMMYFUNCTION("""COMPUTED_VALUE"""),10.0)</f>
        <v>10</v>
      </c>
      <c r="F2758" s="115">
        <f>IFERROR(__xludf.DUMMYFUNCTION("""COMPUTED_VALUE"""),0.0)</f>
        <v>0</v>
      </c>
      <c r="G2758" s="115">
        <f>IFERROR(__xludf.DUMMYFUNCTION("""COMPUTED_VALUE"""),0.0)</f>
        <v>0</v>
      </c>
      <c r="H2758" s="116">
        <f>IFERROR(__xludf.DUMMYFUNCTION("""COMPUTED_VALUE"""),45906.0)</f>
        <v>45906</v>
      </c>
      <c r="I2758" s="115" t="str">
        <f>IFERROR(__xludf.DUMMYFUNCTION("""COMPUTED_VALUE"""),"08")</f>
        <v>08</v>
      </c>
      <c r="J2758" s="115" t="str">
        <f>IFERROR(__xludf.DUMMYFUNCTION("""COMPUTED_VALUE"""),"2025-09-0608")</f>
        <v>2025-09-0608</v>
      </c>
      <c r="K2758" s="115">
        <f>IFERROR(__xludf.DUMMYFUNCTION("""COMPUTED_VALUE"""),23.0)</f>
        <v>23</v>
      </c>
    </row>
    <row r="2759">
      <c r="A2759" s="115" t="str">
        <f>IFERROR(__xludf.DUMMYFUNCTION("""COMPUTED_VALUE"""),"EAST")</f>
        <v>EAST</v>
      </c>
      <c r="B2759" s="115" t="str">
        <f>IFERROR(__xludf.DUMMYFUNCTION("""COMPUTED_VALUE"""),"Ashish Ranjan")</f>
        <v>Ashish Ranjan</v>
      </c>
      <c r="C2759" s="115" t="str">
        <f>IFERROR(__xludf.DUMMYFUNCTION("""COMPUTED_VALUE"""),"EXTERNAL")</f>
        <v>EXTERNAL</v>
      </c>
      <c r="D2759" s="115">
        <f>IFERROR(__xludf.DUMMYFUNCTION("""COMPUTED_VALUE"""),13614.0)</f>
        <v>13614</v>
      </c>
      <c r="E2759" s="115">
        <f>IFERROR(__xludf.DUMMYFUNCTION("""COMPUTED_VALUE"""),658.0)</f>
        <v>658</v>
      </c>
      <c r="F2759" s="115">
        <f>IFERROR(__xludf.DUMMYFUNCTION("""COMPUTED_VALUE"""),272.0)</f>
        <v>272</v>
      </c>
      <c r="G2759" s="115">
        <f>IFERROR(__xludf.DUMMYFUNCTION("""COMPUTED_VALUE"""),9.0)</f>
        <v>9</v>
      </c>
      <c r="H2759" s="116">
        <f>IFERROR(__xludf.DUMMYFUNCTION("""COMPUTED_VALUE"""),45906.0)</f>
        <v>45906</v>
      </c>
      <c r="I2759" s="115" t="str">
        <f>IFERROR(__xludf.DUMMYFUNCTION("""COMPUTED_VALUE"""),"09")</f>
        <v>09</v>
      </c>
      <c r="J2759" s="115" t="str">
        <f>IFERROR(__xludf.DUMMYFUNCTION("""COMPUTED_VALUE"""),"Ashish Ranjan2025-09-0609")</f>
        <v>Ashish Ranjan2025-09-0609</v>
      </c>
      <c r="K2759" s="115">
        <f>IFERROR(__xludf.DUMMYFUNCTION("""COMPUTED_VALUE"""),14272.0)</f>
        <v>14272</v>
      </c>
    </row>
    <row r="2760">
      <c r="A2760" s="115" t="str">
        <f>IFERROR(__xludf.DUMMYFUNCTION("""COMPUTED_VALUE"""),"EAST")</f>
        <v>EAST</v>
      </c>
      <c r="B2760" s="115" t="str">
        <f>IFERROR(__xludf.DUMMYFUNCTION("""COMPUTED_VALUE"""),"Ashish Ranjan")</f>
        <v>Ashish Ranjan</v>
      </c>
      <c r="C2760" s="115" t="str">
        <f>IFERROR(__xludf.DUMMYFUNCTION("""COMPUTED_VALUE"""),"FLIPKART")</f>
        <v>FLIPKART</v>
      </c>
      <c r="D2760" s="115">
        <f>IFERROR(__xludf.DUMMYFUNCTION("""COMPUTED_VALUE"""),234060.0)</f>
        <v>234060</v>
      </c>
      <c r="E2760" s="115">
        <f>IFERROR(__xludf.DUMMYFUNCTION("""COMPUTED_VALUE"""),16493.0)</f>
        <v>16493</v>
      </c>
      <c r="F2760" s="115">
        <f>IFERROR(__xludf.DUMMYFUNCTION("""COMPUTED_VALUE"""),7358.0)</f>
        <v>7358</v>
      </c>
      <c r="G2760" s="115">
        <f>IFERROR(__xludf.DUMMYFUNCTION("""COMPUTED_VALUE"""),253.0)</f>
        <v>253</v>
      </c>
      <c r="H2760" s="116">
        <f>IFERROR(__xludf.DUMMYFUNCTION("""COMPUTED_VALUE"""),45906.0)</f>
        <v>45906</v>
      </c>
      <c r="I2760" s="115" t="str">
        <f>IFERROR(__xludf.DUMMYFUNCTION("""COMPUTED_VALUE"""),"09")</f>
        <v>09</v>
      </c>
      <c r="J2760" s="115" t="str">
        <f>IFERROR(__xludf.DUMMYFUNCTION("""COMPUTED_VALUE"""),"Ashish Ranjan2025-09-0609")</f>
        <v>Ashish Ranjan2025-09-0609</v>
      </c>
      <c r="K2760" s="115">
        <f>IFERROR(__xludf.DUMMYFUNCTION("""COMPUTED_VALUE"""),250553.0)</f>
        <v>250553</v>
      </c>
    </row>
    <row r="2761">
      <c r="A2761" s="115" t="str">
        <f>IFERROR(__xludf.DUMMYFUNCTION("""COMPUTED_VALUE"""),"EAST")</f>
        <v>EAST</v>
      </c>
      <c r="B2761" s="115" t="str">
        <f>IFERROR(__xludf.DUMMYFUNCTION("""COMPUTED_VALUE"""),"Ashish Ranjan")</f>
        <v>Ashish Ranjan</v>
      </c>
      <c r="C2761" s="115" t="str">
        <f>IFERROR(__xludf.DUMMYFUNCTION("""COMPUTED_VALUE"""),"MYNTRA")</f>
        <v>MYNTRA</v>
      </c>
      <c r="D2761" s="115">
        <f>IFERROR(__xludf.DUMMYFUNCTION("""COMPUTED_VALUE"""),22522.0)</f>
        <v>22522</v>
      </c>
      <c r="E2761" s="115">
        <f>IFERROR(__xludf.DUMMYFUNCTION("""COMPUTED_VALUE"""),3885.0)</f>
        <v>3885</v>
      </c>
      <c r="F2761" s="115">
        <f>IFERROR(__xludf.DUMMYFUNCTION("""COMPUTED_VALUE"""),737.0)</f>
        <v>737</v>
      </c>
      <c r="G2761" s="115">
        <f>IFERROR(__xludf.DUMMYFUNCTION("""COMPUTED_VALUE"""),29.0)</f>
        <v>29</v>
      </c>
      <c r="H2761" s="116">
        <f>IFERROR(__xludf.DUMMYFUNCTION("""COMPUTED_VALUE"""),45906.0)</f>
        <v>45906</v>
      </c>
      <c r="I2761" s="115" t="str">
        <f>IFERROR(__xludf.DUMMYFUNCTION("""COMPUTED_VALUE"""),"09")</f>
        <v>09</v>
      </c>
      <c r="J2761" s="115" t="str">
        <f>IFERROR(__xludf.DUMMYFUNCTION("""COMPUTED_VALUE"""),"Ashish Ranjan2025-09-0609")</f>
        <v>Ashish Ranjan2025-09-0609</v>
      </c>
      <c r="K2761" s="115">
        <f>IFERROR(__xludf.DUMMYFUNCTION("""COMPUTED_VALUE"""),26407.0)</f>
        <v>26407</v>
      </c>
    </row>
    <row r="2762">
      <c r="A2762" s="115" t="str">
        <f>IFERROR(__xludf.DUMMYFUNCTION("""COMPUTED_VALUE"""),"EAST")</f>
        <v>EAST</v>
      </c>
      <c r="B2762" s="115" t="str">
        <f>IFERROR(__xludf.DUMMYFUNCTION("""COMPUTED_VALUE"""),"Girish Chand")</f>
        <v>Girish Chand</v>
      </c>
      <c r="C2762" s="115" t="str">
        <f>IFERROR(__xludf.DUMMYFUNCTION("""COMPUTED_VALUE"""),"EXTERNAL")</f>
        <v>EXTERNAL</v>
      </c>
      <c r="D2762" s="115">
        <f>IFERROR(__xludf.DUMMYFUNCTION("""COMPUTED_VALUE"""),7573.0)</f>
        <v>7573</v>
      </c>
      <c r="E2762" s="115">
        <f>IFERROR(__xludf.DUMMYFUNCTION("""COMPUTED_VALUE"""),415.0)</f>
        <v>415</v>
      </c>
      <c r="F2762" s="115">
        <f>IFERROR(__xludf.DUMMYFUNCTION("""COMPUTED_VALUE"""),78.0)</f>
        <v>78</v>
      </c>
      <c r="G2762" s="115">
        <f>IFERROR(__xludf.DUMMYFUNCTION("""COMPUTED_VALUE"""),6.0)</f>
        <v>6</v>
      </c>
      <c r="H2762" s="116">
        <f>IFERROR(__xludf.DUMMYFUNCTION("""COMPUTED_VALUE"""),45906.0)</f>
        <v>45906</v>
      </c>
      <c r="I2762" s="115" t="str">
        <f>IFERROR(__xludf.DUMMYFUNCTION("""COMPUTED_VALUE"""),"09")</f>
        <v>09</v>
      </c>
      <c r="J2762" s="115" t="str">
        <f>IFERROR(__xludf.DUMMYFUNCTION("""COMPUTED_VALUE"""),"Girish Chand2025-09-0609")</f>
        <v>Girish Chand2025-09-0609</v>
      </c>
      <c r="K2762" s="115">
        <f>IFERROR(__xludf.DUMMYFUNCTION("""COMPUTED_VALUE"""),7988.0)</f>
        <v>7988</v>
      </c>
    </row>
    <row r="2763">
      <c r="A2763" s="115" t="str">
        <f>IFERROR(__xludf.DUMMYFUNCTION("""COMPUTED_VALUE"""),"EAST")</f>
        <v>EAST</v>
      </c>
      <c r="B2763" s="115" t="str">
        <f>IFERROR(__xludf.DUMMYFUNCTION("""COMPUTED_VALUE"""),"Girish Chand")</f>
        <v>Girish Chand</v>
      </c>
      <c r="C2763" s="115" t="str">
        <f>IFERROR(__xludf.DUMMYFUNCTION("""COMPUTED_VALUE"""),"FLIPKART")</f>
        <v>FLIPKART</v>
      </c>
      <c r="D2763" s="115">
        <f>IFERROR(__xludf.DUMMYFUNCTION("""COMPUTED_VALUE"""),141398.0)</f>
        <v>141398</v>
      </c>
      <c r="E2763" s="115">
        <f>IFERROR(__xludf.DUMMYFUNCTION("""COMPUTED_VALUE"""),8323.0)</f>
        <v>8323</v>
      </c>
      <c r="F2763" s="115">
        <f>IFERROR(__xludf.DUMMYFUNCTION("""COMPUTED_VALUE"""),2925.0)</f>
        <v>2925</v>
      </c>
      <c r="G2763" s="115">
        <f>IFERROR(__xludf.DUMMYFUNCTION("""COMPUTED_VALUE"""),190.0)</f>
        <v>190</v>
      </c>
      <c r="H2763" s="116">
        <f>IFERROR(__xludf.DUMMYFUNCTION("""COMPUTED_VALUE"""),45906.0)</f>
        <v>45906</v>
      </c>
      <c r="I2763" s="115" t="str">
        <f>IFERROR(__xludf.DUMMYFUNCTION("""COMPUTED_VALUE"""),"09")</f>
        <v>09</v>
      </c>
      <c r="J2763" s="115" t="str">
        <f>IFERROR(__xludf.DUMMYFUNCTION("""COMPUTED_VALUE"""),"Girish Chand2025-09-0609")</f>
        <v>Girish Chand2025-09-0609</v>
      </c>
      <c r="K2763" s="115">
        <f>IFERROR(__xludf.DUMMYFUNCTION("""COMPUTED_VALUE"""),149721.0)</f>
        <v>149721</v>
      </c>
    </row>
    <row r="2764">
      <c r="A2764" s="115" t="str">
        <f>IFERROR(__xludf.DUMMYFUNCTION("""COMPUTED_VALUE"""),"EAST")</f>
        <v>EAST</v>
      </c>
      <c r="B2764" s="115" t="str">
        <f>IFERROR(__xludf.DUMMYFUNCTION("""COMPUTED_VALUE"""),"Girish Chand")</f>
        <v>Girish Chand</v>
      </c>
      <c r="C2764" s="115" t="str">
        <f>IFERROR(__xludf.DUMMYFUNCTION("""COMPUTED_VALUE"""),"MYNTRA")</f>
        <v>MYNTRA</v>
      </c>
      <c r="D2764" s="115">
        <f>IFERROR(__xludf.DUMMYFUNCTION("""COMPUTED_VALUE"""),12256.0)</f>
        <v>12256</v>
      </c>
      <c r="E2764" s="115">
        <f>IFERROR(__xludf.DUMMYFUNCTION("""COMPUTED_VALUE"""),1690.0)</f>
        <v>1690</v>
      </c>
      <c r="F2764" s="115">
        <f>IFERROR(__xludf.DUMMYFUNCTION("""COMPUTED_VALUE"""),300.0)</f>
        <v>300</v>
      </c>
      <c r="G2764" s="115">
        <f>IFERROR(__xludf.DUMMYFUNCTION("""COMPUTED_VALUE"""),90.0)</f>
        <v>90</v>
      </c>
      <c r="H2764" s="116">
        <f>IFERROR(__xludf.DUMMYFUNCTION("""COMPUTED_VALUE"""),45906.0)</f>
        <v>45906</v>
      </c>
      <c r="I2764" s="115" t="str">
        <f>IFERROR(__xludf.DUMMYFUNCTION("""COMPUTED_VALUE"""),"09")</f>
        <v>09</v>
      </c>
      <c r="J2764" s="115" t="str">
        <f>IFERROR(__xludf.DUMMYFUNCTION("""COMPUTED_VALUE"""),"Girish Chand2025-09-0609")</f>
        <v>Girish Chand2025-09-0609</v>
      </c>
      <c r="K2764" s="115">
        <f>IFERROR(__xludf.DUMMYFUNCTION("""COMPUTED_VALUE"""),13946.0)</f>
        <v>13946</v>
      </c>
    </row>
    <row r="2765">
      <c r="A2765" s="115" t="str">
        <f>IFERROR(__xludf.DUMMYFUNCTION("""COMPUTED_VALUE"""),"EAST")</f>
        <v>EAST</v>
      </c>
      <c r="B2765" s="115" t="str">
        <f>IFERROR(__xludf.DUMMYFUNCTION("""COMPUTED_VALUE"""),"Parag Kashyap")</f>
        <v>Parag Kashyap</v>
      </c>
      <c r="C2765" s="115" t="str">
        <f>IFERROR(__xludf.DUMMYFUNCTION("""COMPUTED_VALUE"""),"EXTERNAL")</f>
        <v>EXTERNAL</v>
      </c>
      <c r="D2765" s="115">
        <f>IFERROR(__xludf.DUMMYFUNCTION("""COMPUTED_VALUE"""),5202.0)</f>
        <v>5202</v>
      </c>
      <c r="E2765" s="115">
        <f>IFERROR(__xludf.DUMMYFUNCTION("""COMPUTED_VALUE"""),225.0)</f>
        <v>225</v>
      </c>
      <c r="F2765" s="115">
        <f>IFERROR(__xludf.DUMMYFUNCTION("""COMPUTED_VALUE"""),37.0)</f>
        <v>37</v>
      </c>
      <c r="G2765" s="115">
        <f>IFERROR(__xludf.DUMMYFUNCTION("""COMPUTED_VALUE"""),0.0)</f>
        <v>0</v>
      </c>
      <c r="H2765" s="116">
        <f>IFERROR(__xludf.DUMMYFUNCTION("""COMPUTED_VALUE"""),45906.0)</f>
        <v>45906</v>
      </c>
      <c r="I2765" s="115" t="str">
        <f>IFERROR(__xludf.DUMMYFUNCTION("""COMPUTED_VALUE"""),"09")</f>
        <v>09</v>
      </c>
      <c r="J2765" s="115" t="str">
        <f>IFERROR(__xludf.DUMMYFUNCTION("""COMPUTED_VALUE"""),"Parag Kashyap2025-09-0609")</f>
        <v>Parag Kashyap2025-09-0609</v>
      </c>
      <c r="K2765" s="115">
        <f>IFERROR(__xludf.DUMMYFUNCTION("""COMPUTED_VALUE"""),5427.0)</f>
        <v>5427</v>
      </c>
    </row>
    <row r="2766">
      <c r="A2766" s="115" t="str">
        <f>IFERROR(__xludf.DUMMYFUNCTION("""COMPUTED_VALUE"""),"EAST")</f>
        <v>EAST</v>
      </c>
      <c r="B2766" s="115" t="str">
        <f>IFERROR(__xludf.DUMMYFUNCTION("""COMPUTED_VALUE"""),"Parag Kashyap")</f>
        <v>Parag Kashyap</v>
      </c>
      <c r="C2766" s="115" t="str">
        <f>IFERROR(__xludf.DUMMYFUNCTION("""COMPUTED_VALUE"""),"FLIPKART")</f>
        <v>FLIPKART</v>
      </c>
      <c r="D2766" s="115">
        <f>IFERROR(__xludf.DUMMYFUNCTION("""COMPUTED_VALUE"""),94764.0)</f>
        <v>94764</v>
      </c>
      <c r="E2766" s="115">
        <f>IFERROR(__xludf.DUMMYFUNCTION("""COMPUTED_VALUE"""),4473.0)</f>
        <v>4473</v>
      </c>
      <c r="F2766" s="115">
        <f>IFERROR(__xludf.DUMMYFUNCTION("""COMPUTED_VALUE"""),1812.0)</f>
        <v>1812</v>
      </c>
      <c r="G2766" s="115">
        <f>IFERROR(__xludf.DUMMYFUNCTION("""COMPUTED_VALUE"""),61.0)</f>
        <v>61</v>
      </c>
      <c r="H2766" s="116">
        <f>IFERROR(__xludf.DUMMYFUNCTION("""COMPUTED_VALUE"""),45906.0)</f>
        <v>45906</v>
      </c>
      <c r="I2766" s="115" t="str">
        <f>IFERROR(__xludf.DUMMYFUNCTION("""COMPUTED_VALUE"""),"09")</f>
        <v>09</v>
      </c>
      <c r="J2766" s="115" t="str">
        <f>IFERROR(__xludf.DUMMYFUNCTION("""COMPUTED_VALUE"""),"Parag Kashyap2025-09-0609")</f>
        <v>Parag Kashyap2025-09-0609</v>
      </c>
      <c r="K2766" s="115">
        <f>IFERROR(__xludf.DUMMYFUNCTION("""COMPUTED_VALUE"""),99237.0)</f>
        <v>99237</v>
      </c>
    </row>
    <row r="2767">
      <c r="A2767" s="115" t="str">
        <f>IFERROR(__xludf.DUMMYFUNCTION("""COMPUTED_VALUE"""),"EAST")</f>
        <v>EAST</v>
      </c>
      <c r="B2767" s="115" t="str">
        <f>IFERROR(__xludf.DUMMYFUNCTION("""COMPUTED_VALUE"""),"Parag Kashyap")</f>
        <v>Parag Kashyap</v>
      </c>
      <c r="C2767" s="115" t="str">
        <f>IFERROR(__xludf.DUMMYFUNCTION("""COMPUTED_VALUE"""),"MYNTRA")</f>
        <v>MYNTRA</v>
      </c>
      <c r="D2767" s="115">
        <f>IFERROR(__xludf.DUMMYFUNCTION("""COMPUTED_VALUE"""),12086.0)</f>
        <v>12086</v>
      </c>
      <c r="E2767" s="115">
        <f>IFERROR(__xludf.DUMMYFUNCTION("""COMPUTED_VALUE"""),1207.0)</f>
        <v>1207</v>
      </c>
      <c r="F2767" s="115">
        <f>IFERROR(__xludf.DUMMYFUNCTION("""COMPUTED_VALUE"""),366.0)</f>
        <v>366</v>
      </c>
      <c r="G2767" s="115">
        <f>IFERROR(__xludf.DUMMYFUNCTION("""COMPUTED_VALUE"""),8.0)</f>
        <v>8</v>
      </c>
      <c r="H2767" s="116">
        <f>IFERROR(__xludf.DUMMYFUNCTION("""COMPUTED_VALUE"""),45906.0)</f>
        <v>45906</v>
      </c>
      <c r="I2767" s="115" t="str">
        <f>IFERROR(__xludf.DUMMYFUNCTION("""COMPUTED_VALUE"""),"09")</f>
        <v>09</v>
      </c>
      <c r="J2767" s="115" t="str">
        <f>IFERROR(__xludf.DUMMYFUNCTION("""COMPUTED_VALUE"""),"Parag Kashyap2025-09-0609")</f>
        <v>Parag Kashyap2025-09-0609</v>
      </c>
      <c r="K2767" s="115">
        <f>IFERROR(__xludf.DUMMYFUNCTION("""COMPUTED_VALUE"""),13293.0)</f>
        <v>13293</v>
      </c>
    </row>
    <row r="2768">
      <c r="A2768" s="115" t="str">
        <f>IFERROR(__xludf.DUMMYFUNCTION("""COMPUTED_VALUE"""),"NORTH")</f>
        <v>NORTH</v>
      </c>
      <c r="B2768" s="115" t="str">
        <f>IFERROR(__xludf.DUMMYFUNCTION("""COMPUTED_VALUE"""),"Amit Kumar Pathak")</f>
        <v>Amit Kumar Pathak</v>
      </c>
      <c r="C2768" s="115" t="str">
        <f>IFERROR(__xludf.DUMMYFUNCTION("""COMPUTED_VALUE"""),"EXTERNAL")</f>
        <v>EXTERNAL</v>
      </c>
      <c r="D2768" s="115">
        <f>IFERROR(__xludf.DUMMYFUNCTION("""COMPUTED_VALUE"""),10700.0)</f>
        <v>10700</v>
      </c>
      <c r="E2768" s="115">
        <f>IFERROR(__xludf.DUMMYFUNCTION("""COMPUTED_VALUE"""),1313.0)</f>
        <v>1313</v>
      </c>
      <c r="F2768" s="115">
        <f>IFERROR(__xludf.DUMMYFUNCTION("""COMPUTED_VALUE"""),122.0)</f>
        <v>122</v>
      </c>
      <c r="G2768" s="115">
        <f>IFERROR(__xludf.DUMMYFUNCTION("""COMPUTED_VALUE"""),15.0)</f>
        <v>15</v>
      </c>
      <c r="H2768" s="116">
        <f>IFERROR(__xludf.DUMMYFUNCTION("""COMPUTED_VALUE"""),45906.0)</f>
        <v>45906</v>
      </c>
      <c r="I2768" s="115" t="str">
        <f>IFERROR(__xludf.DUMMYFUNCTION("""COMPUTED_VALUE"""),"09")</f>
        <v>09</v>
      </c>
      <c r="J2768" s="115" t="str">
        <f>IFERROR(__xludf.DUMMYFUNCTION("""COMPUTED_VALUE"""),"Amit Kumar Pathak2025-09-0609")</f>
        <v>Amit Kumar Pathak2025-09-0609</v>
      </c>
      <c r="K2768" s="115">
        <f>IFERROR(__xludf.DUMMYFUNCTION("""COMPUTED_VALUE"""),12013.0)</f>
        <v>12013</v>
      </c>
    </row>
    <row r="2769">
      <c r="A2769" s="115" t="str">
        <f>IFERROR(__xludf.DUMMYFUNCTION("""COMPUTED_VALUE"""),"NORTH")</f>
        <v>NORTH</v>
      </c>
      <c r="B2769" s="115" t="str">
        <f>IFERROR(__xludf.DUMMYFUNCTION("""COMPUTED_VALUE"""),"Amit Kumar Pathak")</f>
        <v>Amit Kumar Pathak</v>
      </c>
      <c r="C2769" s="115" t="str">
        <f>IFERROR(__xludf.DUMMYFUNCTION("""COMPUTED_VALUE"""),"FLIPKART")</f>
        <v>FLIPKART</v>
      </c>
      <c r="D2769" s="115">
        <f>IFERROR(__xludf.DUMMYFUNCTION("""COMPUTED_VALUE"""),71008.0)</f>
        <v>71008</v>
      </c>
      <c r="E2769" s="115">
        <f>IFERROR(__xludf.DUMMYFUNCTION("""COMPUTED_VALUE"""),9649.0)</f>
        <v>9649</v>
      </c>
      <c r="F2769" s="115">
        <f>IFERROR(__xludf.DUMMYFUNCTION("""COMPUTED_VALUE"""),1683.0)</f>
        <v>1683</v>
      </c>
      <c r="G2769" s="115">
        <f>IFERROR(__xludf.DUMMYFUNCTION("""COMPUTED_VALUE"""),140.0)</f>
        <v>140</v>
      </c>
      <c r="H2769" s="116">
        <f>IFERROR(__xludf.DUMMYFUNCTION("""COMPUTED_VALUE"""),45906.0)</f>
        <v>45906</v>
      </c>
      <c r="I2769" s="115" t="str">
        <f>IFERROR(__xludf.DUMMYFUNCTION("""COMPUTED_VALUE"""),"09")</f>
        <v>09</v>
      </c>
      <c r="J2769" s="115" t="str">
        <f>IFERROR(__xludf.DUMMYFUNCTION("""COMPUTED_VALUE"""),"Amit Kumar Pathak2025-09-0609")</f>
        <v>Amit Kumar Pathak2025-09-0609</v>
      </c>
      <c r="K2769" s="115">
        <f>IFERROR(__xludf.DUMMYFUNCTION("""COMPUTED_VALUE"""),80657.0)</f>
        <v>80657</v>
      </c>
    </row>
    <row r="2770">
      <c r="A2770" s="115" t="str">
        <f>IFERROR(__xludf.DUMMYFUNCTION("""COMPUTED_VALUE"""),"NORTH")</f>
        <v>NORTH</v>
      </c>
      <c r="B2770" s="115" t="str">
        <f>IFERROR(__xludf.DUMMYFUNCTION("""COMPUTED_VALUE"""),"Amit Kumar Pathak")</f>
        <v>Amit Kumar Pathak</v>
      </c>
      <c r="C2770" s="115" t="str">
        <f>IFERROR(__xludf.DUMMYFUNCTION("""COMPUTED_VALUE"""),"MYNTRA")</f>
        <v>MYNTRA</v>
      </c>
      <c r="D2770" s="115">
        <f>IFERROR(__xludf.DUMMYFUNCTION("""COMPUTED_VALUE"""),7088.0)</f>
        <v>7088</v>
      </c>
      <c r="E2770" s="115">
        <f>IFERROR(__xludf.DUMMYFUNCTION("""COMPUTED_VALUE"""),2571.0)</f>
        <v>2571</v>
      </c>
      <c r="F2770" s="115">
        <f>IFERROR(__xludf.DUMMYFUNCTION("""COMPUTED_VALUE"""),226.0)</f>
        <v>226</v>
      </c>
      <c r="G2770" s="115">
        <f>IFERROR(__xludf.DUMMYFUNCTION("""COMPUTED_VALUE"""),30.0)</f>
        <v>30</v>
      </c>
      <c r="H2770" s="116">
        <f>IFERROR(__xludf.DUMMYFUNCTION("""COMPUTED_VALUE"""),45906.0)</f>
        <v>45906</v>
      </c>
      <c r="I2770" s="115" t="str">
        <f>IFERROR(__xludf.DUMMYFUNCTION("""COMPUTED_VALUE"""),"09")</f>
        <v>09</v>
      </c>
      <c r="J2770" s="115" t="str">
        <f>IFERROR(__xludf.DUMMYFUNCTION("""COMPUTED_VALUE"""),"Amit Kumar Pathak2025-09-0609")</f>
        <v>Amit Kumar Pathak2025-09-0609</v>
      </c>
      <c r="K2770" s="115">
        <f>IFERROR(__xludf.DUMMYFUNCTION("""COMPUTED_VALUE"""),9659.0)</f>
        <v>9659</v>
      </c>
    </row>
    <row r="2771">
      <c r="A2771" s="115" t="str">
        <f>IFERROR(__xludf.DUMMYFUNCTION("""COMPUTED_VALUE"""),"NORTH")</f>
        <v>NORTH</v>
      </c>
      <c r="B2771" s="115" t="str">
        <f>IFERROR(__xludf.DUMMYFUNCTION("""COMPUTED_VALUE"""),"Loveleen Singh")</f>
        <v>Loveleen Singh</v>
      </c>
      <c r="C2771" s="115" t="str">
        <f>IFERROR(__xludf.DUMMYFUNCTION("""COMPUTED_VALUE"""),"EXTERNAL")</f>
        <v>EXTERNAL</v>
      </c>
      <c r="D2771" s="115">
        <f>IFERROR(__xludf.DUMMYFUNCTION("""COMPUTED_VALUE"""),5835.0)</f>
        <v>5835</v>
      </c>
      <c r="E2771" s="115">
        <f>IFERROR(__xludf.DUMMYFUNCTION("""COMPUTED_VALUE"""),362.0)</f>
        <v>362</v>
      </c>
      <c r="F2771" s="115">
        <f>IFERROR(__xludf.DUMMYFUNCTION("""COMPUTED_VALUE"""),89.0)</f>
        <v>89</v>
      </c>
      <c r="G2771" s="115">
        <f>IFERROR(__xludf.DUMMYFUNCTION("""COMPUTED_VALUE"""),8.0)</f>
        <v>8</v>
      </c>
      <c r="H2771" s="116">
        <f>IFERROR(__xludf.DUMMYFUNCTION("""COMPUTED_VALUE"""),45906.0)</f>
        <v>45906</v>
      </c>
      <c r="I2771" s="115" t="str">
        <f>IFERROR(__xludf.DUMMYFUNCTION("""COMPUTED_VALUE"""),"09")</f>
        <v>09</v>
      </c>
      <c r="J2771" s="115" t="str">
        <f>IFERROR(__xludf.DUMMYFUNCTION("""COMPUTED_VALUE"""),"Loveleen Singh2025-09-0609")</f>
        <v>Loveleen Singh2025-09-0609</v>
      </c>
      <c r="K2771" s="115">
        <f>IFERROR(__xludf.DUMMYFUNCTION("""COMPUTED_VALUE"""),6197.0)</f>
        <v>6197</v>
      </c>
    </row>
    <row r="2772">
      <c r="A2772" s="115" t="str">
        <f>IFERROR(__xludf.DUMMYFUNCTION("""COMPUTED_VALUE"""),"NORTH")</f>
        <v>NORTH</v>
      </c>
      <c r="B2772" s="115" t="str">
        <f>IFERROR(__xludf.DUMMYFUNCTION("""COMPUTED_VALUE"""),"Loveleen Singh")</f>
        <v>Loveleen Singh</v>
      </c>
      <c r="C2772" s="115" t="str">
        <f>IFERROR(__xludf.DUMMYFUNCTION("""COMPUTED_VALUE"""),"FLIPKART")</f>
        <v>FLIPKART</v>
      </c>
      <c r="D2772" s="115">
        <f>IFERROR(__xludf.DUMMYFUNCTION("""COMPUTED_VALUE"""),34868.0)</f>
        <v>34868</v>
      </c>
      <c r="E2772" s="115">
        <f>IFERROR(__xludf.DUMMYFUNCTION("""COMPUTED_VALUE"""),2665.0)</f>
        <v>2665</v>
      </c>
      <c r="F2772" s="115">
        <f>IFERROR(__xludf.DUMMYFUNCTION("""COMPUTED_VALUE"""),1273.0)</f>
        <v>1273</v>
      </c>
      <c r="G2772" s="115">
        <f>IFERROR(__xludf.DUMMYFUNCTION("""COMPUTED_VALUE"""),37.0)</f>
        <v>37</v>
      </c>
      <c r="H2772" s="116">
        <f>IFERROR(__xludf.DUMMYFUNCTION("""COMPUTED_VALUE"""),45906.0)</f>
        <v>45906</v>
      </c>
      <c r="I2772" s="115" t="str">
        <f>IFERROR(__xludf.DUMMYFUNCTION("""COMPUTED_VALUE"""),"09")</f>
        <v>09</v>
      </c>
      <c r="J2772" s="115" t="str">
        <f>IFERROR(__xludf.DUMMYFUNCTION("""COMPUTED_VALUE"""),"Loveleen Singh2025-09-0609")</f>
        <v>Loveleen Singh2025-09-0609</v>
      </c>
      <c r="K2772" s="115">
        <f>IFERROR(__xludf.DUMMYFUNCTION("""COMPUTED_VALUE"""),37533.0)</f>
        <v>37533</v>
      </c>
    </row>
    <row r="2773">
      <c r="A2773" s="115" t="str">
        <f>IFERROR(__xludf.DUMMYFUNCTION("""COMPUTED_VALUE"""),"NORTH")</f>
        <v>NORTH</v>
      </c>
      <c r="B2773" s="115" t="str">
        <f>IFERROR(__xludf.DUMMYFUNCTION("""COMPUTED_VALUE"""),"Loveleen Singh")</f>
        <v>Loveleen Singh</v>
      </c>
      <c r="C2773" s="115" t="str">
        <f>IFERROR(__xludf.DUMMYFUNCTION("""COMPUTED_VALUE"""),"MYNTRA")</f>
        <v>MYNTRA</v>
      </c>
      <c r="D2773" s="115">
        <f>IFERROR(__xludf.DUMMYFUNCTION("""COMPUTED_VALUE"""),6698.0)</f>
        <v>6698</v>
      </c>
      <c r="E2773" s="115">
        <f>IFERROR(__xludf.DUMMYFUNCTION("""COMPUTED_VALUE"""),1184.0)</f>
        <v>1184</v>
      </c>
      <c r="F2773" s="115">
        <f>IFERROR(__xludf.DUMMYFUNCTION("""COMPUTED_VALUE"""),258.0)</f>
        <v>258</v>
      </c>
      <c r="G2773" s="115">
        <f>IFERROR(__xludf.DUMMYFUNCTION("""COMPUTED_VALUE"""),23.0)</f>
        <v>23</v>
      </c>
      <c r="H2773" s="116">
        <f>IFERROR(__xludf.DUMMYFUNCTION("""COMPUTED_VALUE"""),45906.0)</f>
        <v>45906</v>
      </c>
      <c r="I2773" s="115" t="str">
        <f>IFERROR(__xludf.DUMMYFUNCTION("""COMPUTED_VALUE"""),"09")</f>
        <v>09</v>
      </c>
      <c r="J2773" s="115" t="str">
        <f>IFERROR(__xludf.DUMMYFUNCTION("""COMPUTED_VALUE"""),"Loveleen Singh2025-09-0609")</f>
        <v>Loveleen Singh2025-09-0609</v>
      </c>
      <c r="K2773" s="115">
        <f>IFERROR(__xludf.DUMMYFUNCTION("""COMPUTED_VALUE"""),7882.0)</f>
        <v>7882</v>
      </c>
    </row>
    <row r="2774">
      <c r="A2774" s="115" t="str">
        <f>IFERROR(__xludf.DUMMYFUNCTION("""COMPUTED_VALUE"""),"NORTH")</f>
        <v>NORTH</v>
      </c>
      <c r="B2774" s="115" t="str">
        <f>IFERROR(__xludf.DUMMYFUNCTION("""COMPUTED_VALUE"""),"Manoj Harsh")</f>
        <v>Manoj Harsh</v>
      </c>
      <c r="C2774" s="115" t="str">
        <f>IFERROR(__xludf.DUMMYFUNCTION("""COMPUTED_VALUE"""),"EXTERNAL")</f>
        <v>EXTERNAL</v>
      </c>
      <c r="D2774" s="115">
        <f>IFERROR(__xludf.DUMMYFUNCTION("""COMPUTED_VALUE"""),8270.0)</f>
        <v>8270</v>
      </c>
      <c r="E2774" s="115">
        <f>IFERROR(__xludf.DUMMYFUNCTION("""COMPUTED_VALUE"""),573.0)</f>
        <v>573</v>
      </c>
      <c r="F2774" s="115">
        <f>IFERROR(__xludf.DUMMYFUNCTION("""COMPUTED_VALUE"""),89.0)</f>
        <v>89</v>
      </c>
      <c r="G2774" s="115">
        <f>IFERROR(__xludf.DUMMYFUNCTION("""COMPUTED_VALUE"""),4.0)</f>
        <v>4</v>
      </c>
      <c r="H2774" s="116">
        <f>IFERROR(__xludf.DUMMYFUNCTION("""COMPUTED_VALUE"""),45906.0)</f>
        <v>45906</v>
      </c>
      <c r="I2774" s="115" t="str">
        <f>IFERROR(__xludf.DUMMYFUNCTION("""COMPUTED_VALUE"""),"09")</f>
        <v>09</v>
      </c>
      <c r="J2774" s="115" t="str">
        <f>IFERROR(__xludf.DUMMYFUNCTION("""COMPUTED_VALUE"""),"Manoj Harsh2025-09-0609")</f>
        <v>Manoj Harsh2025-09-0609</v>
      </c>
      <c r="K2774" s="115">
        <f>IFERROR(__xludf.DUMMYFUNCTION("""COMPUTED_VALUE"""),8843.0)</f>
        <v>8843</v>
      </c>
    </row>
    <row r="2775">
      <c r="A2775" s="115" t="str">
        <f>IFERROR(__xludf.DUMMYFUNCTION("""COMPUTED_VALUE"""),"NORTH")</f>
        <v>NORTH</v>
      </c>
      <c r="B2775" s="115" t="str">
        <f>IFERROR(__xludf.DUMMYFUNCTION("""COMPUTED_VALUE"""),"Manoj Harsh")</f>
        <v>Manoj Harsh</v>
      </c>
      <c r="C2775" s="115" t="str">
        <f>IFERROR(__xludf.DUMMYFUNCTION("""COMPUTED_VALUE"""),"FLIPKART")</f>
        <v>FLIPKART</v>
      </c>
      <c r="D2775" s="115">
        <f>IFERROR(__xludf.DUMMYFUNCTION("""COMPUTED_VALUE"""),102513.0)</f>
        <v>102513</v>
      </c>
      <c r="E2775" s="115">
        <f>IFERROR(__xludf.DUMMYFUNCTION("""COMPUTED_VALUE"""),9894.0)</f>
        <v>9894</v>
      </c>
      <c r="F2775" s="115">
        <f>IFERROR(__xludf.DUMMYFUNCTION("""COMPUTED_VALUE"""),2477.0)</f>
        <v>2477</v>
      </c>
      <c r="G2775" s="115">
        <f>IFERROR(__xludf.DUMMYFUNCTION("""COMPUTED_VALUE"""),126.0)</f>
        <v>126</v>
      </c>
      <c r="H2775" s="116">
        <f>IFERROR(__xludf.DUMMYFUNCTION("""COMPUTED_VALUE"""),45906.0)</f>
        <v>45906</v>
      </c>
      <c r="I2775" s="115" t="str">
        <f>IFERROR(__xludf.DUMMYFUNCTION("""COMPUTED_VALUE"""),"09")</f>
        <v>09</v>
      </c>
      <c r="J2775" s="115" t="str">
        <f>IFERROR(__xludf.DUMMYFUNCTION("""COMPUTED_VALUE"""),"Manoj Harsh2025-09-0609")</f>
        <v>Manoj Harsh2025-09-0609</v>
      </c>
      <c r="K2775" s="115">
        <f>IFERROR(__xludf.DUMMYFUNCTION("""COMPUTED_VALUE"""),112407.0)</f>
        <v>112407</v>
      </c>
    </row>
    <row r="2776">
      <c r="A2776" s="115" t="str">
        <f>IFERROR(__xludf.DUMMYFUNCTION("""COMPUTED_VALUE"""),"NORTH")</f>
        <v>NORTH</v>
      </c>
      <c r="B2776" s="115" t="str">
        <f>IFERROR(__xludf.DUMMYFUNCTION("""COMPUTED_VALUE"""),"Manoj Harsh")</f>
        <v>Manoj Harsh</v>
      </c>
      <c r="C2776" s="115" t="str">
        <f>IFERROR(__xludf.DUMMYFUNCTION("""COMPUTED_VALUE"""),"MYNTRA")</f>
        <v>MYNTRA</v>
      </c>
      <c r="D2776" s="115">
        <f>IFERROR(__xludf.DUMMYFUNCTION("""COMPUTED_VALUE"""),10429.0)</f>
        <v>10429</v>
      </c>
      <c r="E2776" s="115">
        <f>IFERROR(__xludf.DUMMYFUNCTION("""COMPUTED_VALUE"""),1929.0)</f>
        <v>1929</v>
      </c>
      <c r="F2776" s="115">
        <f>IFERROR(__xludf.DUMMYFUNCTION("""COMPUTED_VALUE"""),313.0)</f>
        <v>313</v>
      </c>
      <c r="G2776" s="115">
        <f>IFERROR(__xludf.DUMMYFUNCTION("""COMPUTED_VALUE"""),48.0)</f>
        <v>48</v>
      </c>
      <c r="H2776" s="116">
        <f>IFERROR(__xludf.DUMMYFUNCTION("""COMPUTED_VALUE"""),45906.0)</f>
        <v>45906</v>
      </c>
      <c r="I2776" s="115" t="str">
        <f>IFERROR(__xludf.DUMMYFUNCTION("""COMPUTED_VALUE"""),"09")</f>
        <v>09</v>
      </c>
      <c r="J2776" s="115" t="str">
        <f>IFERROR(__xludf.DUMMYFUNCTION("""COMPUTED_VALUE"""),"Manoj Harsh2025-09-0609")</f>
        <v>Manoj Harsh2025-09-0609</v>
      </c>
      <c r="K2776" s="115">
        <f>IFERROR(__xludf.DUMMYFUNCTION("""COMPUTED_VALUE"""),12358.0)</f>
        <v>12358</v>
      </c>
    </row>
    <row r="2777">
      <c r="A2777" s="115" t="str">
        <f>IFERROR(__xludf.DUMMYFUNCTION("""COMPUTED_VALUE"""),"NORTH")</f>
        <v>NORTH</v>
      </c>
      <c r="B2777" s="115" t="str">
        <f>IFERROR(__xludf.DUMMYFUNCTION("""COMPUTED_VALUE"""),"Pradeep Kothari")</f>
        <v>Pradeep Kothari</v>
      </c>
      <c r="C2777" s="115" t="str">
        <f>IFERROR(__xludf.DUMMYFUNCTION("""COMPUTED_VALUE"""),"EXTERNAL")</f>
        <v>EXTERNAL</v>
      </c>
      <c r="D2777" s="115">
        <f>IFERROR(__xludf.DUMMYFUNCTION("""COMPUTED_VALUE"""),4821.0)</f>
        <v>4821</v>
      </c>
      <c r="E2777" s="115">
        <f>IFERROR(__xludf.DUMMYFUNCTION("""COMPUTED_VALUE"""),472.0)</f>
        <v>472</v>
      </c>
      <c r="F2777" s="115">
        <f>IFERROR(__xludf.DUMMYFUNCTION("""COMPUTED_VALUE"""),64.0)</f>
        <v>64</v>
      </c>
      <c r="G2777" s="115">
        <f>IFERROR(__xludf.DUMMYFUNCTION("""COMPUTED_VALUE"""),3.0)</f>
        <v>3</v>
      </c>
      <c r="H2777" s="116">
        <f>IFERROR(__xludf.DUMMYFUNCTION("""COMPUTED_VALUE"""),45906.0)</f>
        <v>45906</v>
      </c>
      <c r="I2777" s="115" t="str">
        <f>IFERROR(__xludf.DUMMYFUNCTION("""COMPUTED_VALUE"""),"09")</f>
        <v>09</v>
      </c>
      <c r="J2777" s="115" t="str">
        <f>IFERROR(__xludf.DUMMYFUNCTION("""COMPUTED_VALUE"""),"Pradeep Kothari2025-09-0609")</f>
        <v>Pradeep Kothari2025-09-0609</v>
      </c>
      <c r="K2777" s="115">
        <f>IFERROR(__xludf.DUMMYFUNCTION("""COMPUTED_VALUE"""),5293.0)</f>
        <v>5293</v>
      </c>
    </row>
    <row r="2778">
      <c r="A2778" s="115" t="str">
        <f>IFERROR(__xludf.DUMMYFUNCTION("""COMPUTED_VALUE"""),"NORTH")</f>
        <v>NORTH</v>
      </c>
      <c r="B2778" s="115" t="str">
        <f>IFERROR(__xludf.DUMMYFUNCTION("""COMPUTED_VALUE"""),"Pradeep Kothari")</f>
        <v>Pradeep Kothari</v>
      </c>
      <c r="C2778" s="115" t="str">
        <f>IFERROR(__xludf.DUMMYFUNCTION("""COMPUTED_VALUE"""),"FLIPKART")</f>
        <v>FLIPKART</v>
      </c>
      <c r="D2778" s="115">
        <f>IFERROR(__xludf.DUMMYFUNCTION("""COMPUTED_VALUE"""),37836.0)</f>
        <v>37836</v>
      </c>
      <c r="E2778" s="115">
        <f>IFERROR(__xludf.DUMMYFUNCTION("""COMPUTED_VALUE"""),3972.0)</f>
        <v>3972</v>
      </c>
      <c r="F2778" s="115">
        <f>IFERROR(__xludf.DUMMYFUNCTION("""COMPUTED_VALUE"""),1052.0)</f>
        <v>1052</v>
      </c>
      <c r="G2778" s="115">
        <f>IFERROR(__xludf.DUMMYFUNCTION("""COMPUTED_VALUE"""),50.0)</f>
        <v>50</v>
      </c>
      <c r="H2778" s="116">
        <f>IFERROR(__xludf.DUMMYFUNCTION("""COMPUTED_VALUE"""),45906.0)</f>
        <v>45906</v>
      </c>
      <c r="I2778" s="115" t="str">
        <f>IFERROR(__xludf.DUMMYFUNCTION("""COMPUTED_VALUE"""),"09")</f>
        <v>09</v>
      </c>
      <c r="J2778" s="115" t="str">
        <f>IFERROR(__xludf.DUMMYFUNCTION("""COMPUTED_VALUE"""),"Pradeep Kothari2025-09-0609")</f>
        <v>Pradeep Kothari2025-09-0609</v>
      </c>
      <c r="K2778" s="115">
        <f>IFERROR(__xludf.DUMMYFUNCTION("""COMPUTED_VALUE"""),41808.0)</f>
        <v>41808</v>
      </c>
    </row>
    <row r="2779">
      <c r="A2779" s="115" t="str">
        <f>IFERROR(__xludf.DUMMYFUNCTION("""COMPUTED_VALUE"""),"NORTH")</f>
        <v>NORTH</v>
      </c>
      <c r="B2779" s="115" t="str">
        <f>IFERROR(__xludf.DUMMYFUNCTION("""COMPUTED_VALUE"""),"Pradeep Kothari")</f>
        <v>Pradeep Kothari</v>
      </c>
      <c r="C2779" s="115" t="str">
        <f>IFERROR(__xludf.DUMMYFUNCTION("""COMPUTED_VALUE"""),"MYNTRA")</f>
        <v>MYNTRA</v>
      </c>
      <c r="D2779" s="115">
        <f>IFERROR(__xludf.DUMMYFUNCTION("""COMPUTED_VALUE"""),7244.0)</f>
        <v>7244</v>
      </c>
      <c r="E2779" s="115">
        <f>IFERROR(__xludf.DUMMYFUNCTION("""COMPUTED_VALUE"""),1352.0)</f>
        <v>1352</v>
      </c>
      <c r="F2779" s="115">
        <f>IFERROR(__xludf.DUMMYFUNCTION("""COMPUTED_VALUE"""),266.0)</f>
        <v>266</v>
      </c>
      <c r="G2779" s="115">
        <f>IFERROR(__xludf.DUMMYFUNCTION("""COMPUTED_VALUE"""),12.0)</f>
        <v>12</v>
      </c>
      <c r="H2779" s="116">
        <f>IFERROR(__xludf.DUMMYFUNCTION("""COMPUTED_VALUE"""),45906.0)</f>
        <v>45906</v>
      </c>
      <c r="I2779" s="115" t="str">
        <f>IFERROR(__xludf.DUMMYFUNCTION("""COMPUTED_VALUE"""),"09")</f>
        <v>09</v>
      </c>
      <c r="J2779" s="115" t="str">
        <f>IFERROR(__xludf.DUMMYFUNCTION("""COMPUTED_VALUE"""),"Pradeep Kothari2025-09-0609")</f>
        <v>Pradeep Kothari2025-09-0609</v>
      </c>
      <c r="K2779" s="115">
        <f>IFERROR(__xludf.DUMMYFUNCTION("""COMPUTED_VALUE"""),8596.0)</f>
        <v>8596</v>
      </c>
    </row>
    <row r="2780">
      <c r="A2780" s="115" t="str">
        <f>IFERROR(__xludf.DUMMYFUNCTION("""COMPUTED_VALUE"""),"SOUTH")</f>
        <v>SOUTH</v>
      </c>
      <c r="B2780" s="115" t="str">
        <f>IFERROR(__xludf.DUMMYFUNCTION("""COMPUTED_VALUE"""),"Kandula Sampath")</f>
        <v>Kandula Sampath</v>
      </c>
      <c r="C2780" s="115" t="str">
        <f>IFERROR(__xludf.DUMMYFUNCTION("""COMPUTED_VALUE"""),"EXTERNAL")</f>
        <v>EXTERNAL</v>
      </c>
      <c r="D2780" s="115">
        <f>IFERROR(__xludf.DUMMYFUNCTION("""COMPUTED_VALUE"""),13184.0)</f>
        <v>13184</v>
      </c>
      <c r="E2780" s="115">
        <f>IFERROR(__xludf.DUMMYFUNCTION("""COMPUTED_VALUE"""),738.0)</f>
        <v>738</v>
      </c>
      <c r="F2780" s="115">
        <f>IFERROR(__xludf.DUMMYFUNCTION("""COMPUTED_VALUE"""),529.0)</f>
        <v>529</v>
      </c>
      <c r="G2780" s="115">
        <f>IFERROR(__xludf.DUMMYFUNCTION("""COMPUTED_VALUE"""),5.0)</f>
        <v>5</v>
      </c>
      <c r="H2780" s="116">
        <f>IFERROR(__xludf.DUMMYFUNCTION("""COMPUTED_VALUE"""),45906.0)</f>
        <v>45906</v>
      </c>
      <c r="I2780" s="115" t="str">
        <f>IFERROR(__xludf.DUMMYFUNCTION("""COMPUTED_VALUE"""),"09")</f>
        <v>09</v>
      </c>
      <c r="J2780" s="115" t="str">
        <f>IFERROR(__xludf.DUMMYFUNCTION("""COMPUTED_VALUE"""),"Kandula Sampath2025-09-0609")</f>
        <v>Kandula Sampath2025-09-0609</v>
      </c>
      <c r="K2780" s="115">
        <f>IFERROR(__xludf.DUMMYFUNCTION("""COMPUTED_VALUE"""),13922.0)</f>
        <v>13922</v>
      </c>
    </row>
    <row r="2781">
      <c r="A2781" s="115" t="str">
        <f>IFERROR(__xludf.DUMMYFUNCTION("""COMPUTED_VALUE"""),"SOUTH")</f>
        <v>SOUTH</v>
      </c>
      <c r="B2781" s="115" t="str">
        <f>IFERROR(__xludf.DUMMYFUNCTION("""COMPUTED_VALUE"""),"Kandula Sampath")</f>
        <v>Kandula Sampath</v>
      </c>
      <c r="C2781" s="115" t="str">
        <f>IFERROR(__xludf.DUMMYFUNCTION("""COMPUTED_VALUE"""),"FLIPKART")</f>
        <v>FLIPKART</v>
      </c>
      <c r="D2781" s="115">
        <f>IFERROR(__xludf.DUMMYFUNCTION("""COMPUTED_VALUE"""),141638.0)</f>
        <v>141638</v>
      </c>
      <c r="E2781" s="115">
        <f>IFERROR(__xludf.DUMMYFUNCTION("""COMPUTED_VALUE"""),9003.0)</f>
        <v>9003</v>
      </c>
      <c r="F2781" s="115">
        <f>IFERROR(__xludf.DUMMYFUNCTION("""COMPUTED_VALUE"""),10094.0)</f>
        <v>10094</v>
      </c>
      <c r="G2781" s="115">
        <f>IFERROR(__xludf.DUMMYFUNCTION("""COMPUTED_VALUE"""),154.0)</f>
        <v>154</v>
      </c>
      <c r="H2781" s="116">
        <f>IFERROR(__xludf.DUMMYFUNCTION("""COMPUTED_VALUE"""),45906.0)</f>
        <v>45906</v>
      </c>
      <c r="I2781" s="115" t="str">
        <f>IFERROR(__xludf.DUMMYFUNCTION("""COMPUTED_VALUE"""),"09")</f>
        <v>09</v>
      </c>
      <c r="J2781" s="115" t="str">
        <f>IFERROR(__xludf.DUMMYFUNCTION("""COMPUTED_VALUE"""),"Kandula Sampath2025-09-0609")</f>
        <v>Kandula Sampath2025-09-0609</v>
      </c>
      <c r="K2781" s="115">
        <f>IFERROR(__xludf.DUMMYFUNCTION("""COMPUTED_VALUE"""),150641.0)</f>
        <v>150641</v>
      </c>
    </row>
    <row r="2782">
      <c r="A2782" s="115" t="str">
        <f>IFERROR(__xludf.DUMMYFUNCTION("""COMPUTED_VALUE"""),"SOUTH")</f>
        <v>SOUTH</v>
      </c>
      <c r="B2782" s="115" t="str">
        <f>IFERROR(__xludf.DUMMYFUNCTION("""COMPUTED_VALUE"""),"Kandula Sampath")</f>
        <v>Kandula Sampath</v>
      </c>
      <c r="C2782" s="115" t="str">
        <f>IFERROR(__xludf.DUMMYFUNCTION("""COMPUTED_VALUE"""),"MYNTRA")</f>
        <v>MYNTRA</v>
      </c>
      <c r="D2782" s="115">
        <f>IFERROR(__xludf.DUMMYFUNCTION("""COMPUTED_VALUE"""),16908.0)</f>
        <v>16908</v>
      </c>
      <c r="E2782" s="115">
        <f>IFERROR(__xludf.DUMMYFUNCTION("""COMPUTED_VALUE"""),2340.0)</f>
        <v>2340</v>
      </c>
      <c r="F2782" s="115">
        <f>IFERROR(__xludf.DUMMYFUNCTION("""COMPUTED_VALUE"""),1625.0)</f>
        <v>1625</v>
      </c>
      <c r="G2782" s="115">
        <f>IFERROR(__xludf.DUMMYFUNCTION("""COMPUTED_VALUE"""),24.0)</f>
        <v>24</v>
      </c>
      <c r="H2782" s="116">
        <f>IFERROR(__xludf.DUMMYFUNCTION("""COMPUTED_VALUE"""),45906.0)</f>
        <v>45906</v>
      </c>
      <c r="I2782" s="115" t="str">
        <f>IFERROR(__xludf.DUMMYFUNCTION("""COMPUTED_VALUE"""),"09")</f>
        <v>09</v>
      </c>
      <c r="J2782" s="115" t="str">
        <f>IFERROR(__xludf.DUMMYFUNCTION("""COMPUTED_VALUE"""),"Kandula Sampath2025-09-0609")</f>
        <v>Kandula Sampath2025-09-0609</v>
      </c>
      <c r="K2782" s="115">
        <f>IFERROR(__xludf.DUMMYFUNCTION("""COMPUTED_VALUE"""),19248.0)</f>
        <v>19248</v>
      </c>
    </row>
    <row r="2783">
      <c r="A2783" s="115" t="str">
        <f>IFERROR(__xludf.DUMMYFUNCTION("""COMPUTED_VALUE"""),"SOUTH")</f>
        <v>SOUTH</v>
      </c>
      <c r="B2783" s="115" t="str">
        <f>IFERROR(__xludf.DUMMYFUNCTION("""COMPUTED_VALUE"""),"Martin A")</f>
        <v>Martin A</v>
      </c>
      <c r="C2783" s="115" t="str">
        <f>IFERROR(__xludf.DUMMYFUNCTION("""COMPUTED_VALUE"""),"EXTERNAL")</f>
        <v>EXTERNAL</v>
      </c>
      <c r="D2783" s="115">
        <f>IFERROR(__xludf.DUMMYFUNCTION("""COMPUTED_VALUE"""),12772.0)</f>
        <v>12772</v>
      </c>
      <c r="E2783" s="115">
        <f>IFERROR(__xludf.DUMMYFUNCTION("""COMPUTED_VALUE"""),1165.0)</f>
        <v>1165</v>
      </c>
      <c r="F2783" s="115">
        <f>IFERROR(__xludf.DUMMYFUNCTION("""COMPUTED_VALUE"""),261.0)</f>
        <v>261</v>
      </c>
      <c r="G2783" s="115">
        <f>IFERROR(__xludf.DUMMYFUNCTION("""COMPUTED_VALUE"""),11.0)</f>
        <v>11</v>
      </c>
      <c r="H2783" s="116">
        <f>IFERROR(__xludf.DUMMYFUNCTION("""COMPUTED_VALUE"""),45906.0)</f>
        <v>45906</v>
      </c>
      <c r="I2783" s="115" t="str">
        <f>IFERROR(__xludf.DUMMYFUNCTION("""COMPUTED_VALUE"""),"09")</f>
        <v>09</v>
      </c>
      <c r="J2783" s="115" t="str">
        <f>IFERROR(__xludf.DUMMYFUNCTION("""COMPUTED_VALUE"""),"Martin A2025-09-0609")</f>
        <v>Martin A2025-09-0609</v>
      </c>
      <c r="K2783" s="115">
        <f>IFERROR(__xludf.DUMMYFUNCTION("""COMPUTED_VALUE"""),13937.0)</f>
        <v>13937</v>
      </c>
    </row>
    <row r="2784">
      <c r="A2784" s="115" t="str">
        <f>IFERROR(__xludf.DUMMYFUNCTION("""COMPUTED_VALUE"""),"SOUTH")</f>
        <v>SOUTH</v>
      </c>
      <c r="B2784" s="115" t="str">
        <f>IFERROR(__xludf.DUMMYFUNCTION("""COMPUTED_VALUE"""),"Martin A")</f>
        <v>Martin A</v>
      </c>
      <c r="C2784" s="115" t="str">
        <f>IFERROR(__xludf.DUMMYFUNCTION("""COMPUTED_VALUE"""),"FLIPKART")</f>
        <v>FLIPKART</v>
      </c>
      <c r="D2784" s="115">
        <f>IFERROR(__xludf.DUMMYFUNCTION("""COMPUTED_VALUE"""),117485.0)</f>
        <v>117485</v>
      </c>
      <c r="E2784" s="115">
        <f>IFERROR(__xludf.DUMMYFUNCTION("""COMPUTED_VALUE"""),9416.0)</f>
        <v>9416</v>
      </c>
      <c r="F2784" s="115">
        <f>IFERROR(__xludf.DUMMYFUNCTION("""COMPUTED_VALUE"""),4725.0)</f>
        <v>4725</v>
      </c>
      <c r="G2784" s="115">
        <f>IFERROR(__xludf.DUMMYFUNCTION("""COMPUTED_VALUE"""),131.0)</f>
        <v>131</v>
      </c>
      <c r="H2784" s="116">
        <f>IFERROR(__xludf.DUMMYFUNCTION("""COMPUTED_VALUE"""),45906.0)</f>
        <v>45906</v>
      </c>
      <c r="I2784" s="115" t="str">
        <f>IFERROR(__xludf.DUMMYFUNCTION("""COMPUTED_VALUE"""),"09")</f>
        <v>09</v>
      </c>
      <c r="J2784" s="115" t="str">
        <f>IFERROR(__xludf.DUMMYFUNCTION("""COMPUTED_VALUE"""),"Martin A2025-09-0609")</f>
        <v>Martin A2025-09-0609</v>
      </c>
      <c r="K2784" s="115">
        <f>IFERROR(__xludf.DUMMYFUNCTION("""COMPUTED_VALUE"""),126901.0)</f>
        <v>126901</v>
      </c>
    </row>
    <row r="2785">
      <c r="A2785" s="115" t="str">
        <f>IFERROR(__xludf.DUMMYFUNCTION("""COMPUTED_VALUE"""),"SOUTH")</f>
        <v>SOUTH</v>
      </c>
      <c r="B2785" s="115" t="str">
        <f>IFERROR(__xludf.DUMMYFUNCTION("""COMPUTED_VALUE"""),"Martin A")</f>
        <v>Martin A</v>
      </c>
      <c r="C2785" s="115" t="str">
        <f>IFERROR(__xludf.DUMMYFUNCTION("""COMPUTED_VALUE"""),"MYNTRA")</f>
        <v>MYNTRA</v>
      </c>
      <c r="D2785" s="115">
        <f>IFERROR(__xludf.DUMMYFUNCTION("""COMPUTED_VALUE"""),12267.0)</f>
        <v>12267</v>
      </c>
      <c r="E2785" s="115">
        <f>IFERROR(__xludf.DUMMYFUNCTION("""COMPUTED_VALUE"""),2577.0)</f>
        <v>2577</v>
      </c>
      <c r="F2785" s="115">
        <f>IFERROR(__xludf.DUMMYFUNCTION("""COMPUTED_VALUE"""),627.0)</f>
        <v>627</v>
      </c>
      <c r="G2785" s="115">
        <f>IFERROR(__xludf.DUMMYFUNCTION("""COMPUTED_VALUE"""),43.0)</f>
        <v>43</v>
      </c>
      <c r="H2785" s="116">
        <f>IFERROR(__xludf.DUMMYFUNCTION("""COMPUTED_VALUE"""),45906.0)</f>
        <v>45906</v>
      </c>
      <c r="I2785" s="115" t="str">
        <f>IFERROR(__xludf.DUMMYFUNCTION("""COMPUTED_VALUE"""),"09")</f>
        <v>09</v>
      </c>
      <c r="J2785" s="115" t="str">
        <f>IFERROR(__xludf.DUMMYFUNCTION("""COMPUTED_VALUE"""),"Martin A2025-09-0609")</f>
        <v>Martin A2025-09-0609</v>
      </c>
      <c r="K2785" s="115">
        <f>IFERROR(__xludf.DUMMYFUNCTION("""COMPUTED_VALUE"""),14844.0)</f>
        <v>14844</v>
      </c>
    </row>
    <row r="2786">
      <c r="A2786" s="115" t="str">
        <f>IFERROR(__xludf.DUMMYFUNCTION("""COMPUTED_VALUE"""),"SOUTH")</f>
        <v>SOUTH</v>
      </c>
      <c r="B2786" s="115" t="str">
        <f>IFERROR(__xludf.DUMMYFUNCTION("""COMPUTED_VALUE"""),"Premkumar M")</f>
        <v>Premkumar M</v>
      </c>
      <c r="C2786" s="115" t="str">
        <f>IFERROR(__xludf.DUMMYFUNCTION("""COMPUTED_VALUE"""),"EXTERNAL")</f>
        <v>EXTERNAL</v>
      </c>
      <c r="D2786" s="115">
        <f>IFERROR(__xludf.DUMMYFUNCTION("""COMPUTED_VALUE"""),4925.0)</f>
        <v>4925</v>
      </c>
      <c r="E2786" s="115">
        <f>IFERROR(__xludf.DUMMYFUNCTION("""COMPUTED_VALUE"""),169.0)</f>
        <v>169</v>
      </c>
      <c r="F2786" s="115">
        <f>IFERROR(__xludf.DUMMYFUNCTION("""COMPUTED_VALUE"""),80.0)</f>
        <v>80</v>
      </c>
      <c r="G2786" s="115">
        <f>IFERROR(__xludf.DUMMYFUNCTION("""COMPUTED_VALUE"""),1.0)</f>
        <v>1</v>
      </c>
      <c r="H2786" s="116">
        <f>IFERROR(__xludf.DUMMYFUNCTION("""COMPUTED_VALUE"""),45906.0)</f>
        <v>45906</v>
      </c>
      <c r="I2786" s="115" t="str">
        <f>IFERROR(__xludf.DUMMYFUNCTION("""COMPUTED_VALUE"""),"09")</f>
        <v>09</v>
      </c>
      <c r="J2786" s="115" t="str">
        <f>IFERROR(__xludf.DUMMYFUNCTION("""COMPUTED_VALUE"""),"Premkumar M2025-09-0609")</f>
        <v>Premkumar M2025-09-0609</v>
      </c>
      <c r="K2786" s="115">
        <f>IFERROR(__xludf.DUMMYFUNCTION("""COMPUTED_VALUE"""),5094.0)</f>
        <v>5094</v>
      </c>
    </row>
    <row r="2787">
      <c r="A2787" s="115" t="str">
        <f>IFERROR(__xludf.DUMMYFUNCTION("""COMPUTED_VALUE"""),"SOUTH")</f>
        <v>SOUTH</v>
      </c>
      <c r="B2787" s="115" t="str">
        <f>IFERROR(__xludf.DUMMYFUNCTION("""COMPUTED_VALUE"""),"Premkumar M")</f>
        <v>Premkumar M</v>
      </c>
      <c r="C2787" s="115" t="str">
        <f>IFERROR(__xludf.DUMMYFUNCTION("""COMPUTED_VALUE"""),"FLIPKART")</f>
        <v>FLIPKART</v>
      </c>
      <c r="D2787" s="115">
        <f>IFERROR(__xludf.DUMMYFUNCTION("""COMPUTED_VALUE"""),49482.0)</f>
        <v>49482</v>
      </c>
      <c r="E2787" s="115">
        <f>IFERROR(__xludf.DUMMYFUNCTION("""COMPUTED_VALUE"""),2619.0)</f>
        <v>2619</v>
      </c>
      <c r="F2787" s="115">
        <f>IFERROR(__xludf.DUMMYFUNCTION("""COMPUTED_VALUE"""),1514.0)</f>
        <v>1514</v>
      </c>
      <c r="G2787" s="115">
        <f>IFERROR(__xludf.DUMMYFUNCTION("""COMPUTED_VALUE"""),95.0)</f>
        <v>95</v>
      </c>
      <c r="H2787" s="116">
        <f>IFERROR(__xludf.DUMMYFUNCTION("""COMPUTED_VALUE"""),45906.0)</f>
        <v>45906</v>
      </c>
      <c r="I2787" s="115" t="str">
        <f>IFERROR(__xludf.DUMMYFUNCTION("""COMPUTED_VALUE"""),"09")</f>
        <v>09</v>
      </c>
      <c r="J2787" s="115" t="str">
        <f>IFERROR(__xludf.DUMMYFUNCTION("""COMPUTED_VALUE"""),"Premkumar M2025-09-0609")</f>
        <v>Premkumar M2025-09-0609</v>
      </c>
      <c r="K2787" s="115">
        <f>IFERROR(__xludf.DUMMYFUNCTION("""COMPUTED_VALUE"""),52101.0)</f>
        <v>52101</v>
      </c>
    </row>
    <row r="2788">
      <c r="A2788" s="115" t="str">
        <f>IFERROR(__xludf.DUMMYFUNCTION("""COMPUTED_VALUE"""),"SOUTH")</f>
        <v>SOUTH</v>
      </c>
      <c r="B2788" s="115" t="str">
        <f>IFERROR(__xludf.DUMMYFUNCTION("""COMPUTED_VALUE"""),"Premkumar M")</f>
        <v>Premkumar M</v>
      </c>
      <c r="C2788" s="115" t="str">
        <f>IFERROR(__xludf.DUMMYFUNCTION("""COMPUTED_VALUE"""),"MYNTRA")</f>
        <v>MYNTRA</v>
      </c>
      <c r="D2788" s="115">
        <f>IFERROR(__xludf.DUMMYFUNCTION("""COMPUTED_VALUE"""),3122.0)</f>
        <v>3122</v>
      </c>
      <c r="E2788" s="115">
        <f>IFERROR(__xludf.DUMMYFUNCTION("""COMPUTED_VALUE"""),508.0)</f>
        <v>508</v>
      </c>
      <c r="F2788" s="115">
        <f>IFERROR(__xludf.DUMMYFUNCTION("""COMPUTED_VALUE"""),93.0)</f>
        <v>93</v>
      </c>
      <c r="G2788" s="115">
        <f>IFERROR(__xludf.DUMMYFUNCTION("""COMPUTED_VALUE"""),1.0)</f>
        <v>1</v>
      </c>
      <c r="H2788" s="116">
        <f>IFERROR(__xludf.DUMMYFUNCTION("""COMPUTED_VALUE"""),45906.0)</f>
        <v>45906</v>
      </c>
      <c r="I2788" s="115" t="str">
        <f>IFERROR(__xludf.DUMMYFUNCTION("""COMPUTED_VALUE"""),"09")</f>
        <v>09</v>
      </c>
      <c r="J2788" s="115" t="str">
        <f>IFERROR(__xludf.DUMMYFUNCTION("""COMPUTED_VALUE"""),"Premkumar M2025-09-0609")</f>
        <v>Premkumar M2025-09-0609</v>
      </c>
      <c r="K2788" s="115">
        <f>IFERROR(__xludf.DUMMYFUNCTION("""COMPUTED_VALUE"""),3630.0)</f>
        <v>3630</v>
      </c>
    </row>
    <row r="2789">
      <c r="A2789" s="115" t="str">
        <f>IFERROR(__xludf.DUMMYFUNCTION("""COMPUTED_VALUE"""),"SOUTH")</f>
        <v>SOUTH</v>
      </c>
      <c r="B2789" s="115" t="str">
        <f>IFERROR(__xludf.DUMMYFUNCTION("""COMPUTED_VALUE"""),"Vineeth V")</f>
        <v>Vineeth V</v>
      </c>
      <c r="C2789" s="115" t="str">
        <f>IFERROR(__xludf.DUMMYFUNCTION("""COMPUTED_VALUE"""),"EXTERNAL")</f>
        <v>EXTERNAL</v>
      </c>
      <c r="D2789" s="115">
        <f>IFERROR(__xludf.DUMMYFUNCTION("""COMPUTED_VALUE"""),1689.0)</f>
        <v>1689</v>
      </c>
      <c r="E2789" s="115">
        <f>IFERROR(__xludf.DUMMYFUNCTION("""COMPUTED_VALUE"""),47.0)</f>
        <v>47</v>
      </c>
      <c r="F2789" s="115">
        <f>IFERROR(__xludf.DUMMYFUNCTION("""COMPUTED_VALUE"""),16.0)</f>
        <v>16</v>
      </c>
      <c r="G2789" s="115">
        <f>IFERROR(__xludf.DUMMYFUNCTION("""COMPUTED_VALUE"""),0.0)</f>
        <v>0</v>
      </c>
      <c r="H2789" s="116">
        <f>IFERROR(__xludf.DUMMYFUNCTION("""COMPUTED_VALUE"""),45906.0)</f>
        <v>45906</v>
      </c>
      <c r="I2789" s="115" t="str">
        <f>IFERROR(__xludf.DUMMYFUNCTION("""COMPUTED_VALUE"""),"09")</f>
        <v>09</v>
      </c>
      <c r="J2789" s="115" t="str">
        <f>IFERROR(__xludf.DUMMYFUNCTION("""COMPUTED_VALUE"""),"Vineeth V2025-09-0609")</f>
        <v>Vineeth V2025-09-0609</v>
      </c>
      <c r="K2789" s="115">
        <f>IFERROR(__xludf.DUMMYFUNCTION("""COMPUTED_VALUE"""),1736.0)</f>
        <v>1736</v>
      </c>
    </row>
    <row r="2790">
      <c r="A2790" s="115" t="str">
        <f>IFERROR(__xludf.DUMMYFUNCTION("""COMPUTED_VALUE"""),"SOUTH")</f>
        <v>SOUTH</v>
      </c>
      <c r="B2790" s="115" t="str">
        <f>IFERROR(__xludf.DUMMYFUNCTION("""COMPUTED_VALUE"""),"Vineeth V")</f>
        <v>Vineeth V</v>
      </c>
      <c r="C2790" s="115" t="str">
        <f>IFERROR(__xludf.DUMMYFUNCTION("""COMPUTED_VALUE"""),"FLIPKART")</f>
        <v>FLIPKART</v>
      </c>
      <c r="D2790" s="115">
        <f>IFERROR(__xludf.DUMMYFUNCTION("""COMPUTED_VALUE"""),16917.0)</f>
        <v>16917</v>
      </c>
      <c r="E2790" s="115">
        <f>IFERROR(__xludf.DUMMYFUNCTION("""COMPUTED_VALUE"""),907.0)</f>
        <v>907</v>
      </c>
      <c r="F2790" s="115">
        <f>IFERROR(__xludf.DUMMYFUNCTION("""COMPUTED_VALUE"""),279.0)</f>
        <v>279</v>
      </c>
      <c r="G2790" s="115">
        <f>IFERROR(__xludf.DUMMYFUNCTION("""COMPUTED_VALUE"""),11.0)</f>
        <v>11</v>
      </c>
      <c r="H2790" s="116">
        <f>IFERROR(__xludf.DUMMYFUNCTION("""COMPUTED_VALUE"""),45906.0)</f>
        <v>45906</v>
      </c>
      <c r="I2790" s="115" t="str">
        <f>IFERROR(__xludf.DUMMYFUNCTION("""COMPUTED_VALUE"""),"09")</f>
        <v>09</v>
      </c>
      <c r="J2790" s="115" t="str">
        <f>IFERROR(__xludf.DUMMYFUNCTION("""COMPUTED_VALUE"""),"Vineeth V2025-09-0609")</f>
        <v>Vineeth V2025-09-0609</v>
      </c>
      <c r="K2790" s="115">
        <f>IFERROR(__xludf.DUMMYFUNCTION("""COMPUTED_VALUE"""),17824.0)</f>
        <v>17824</v>
      </c>
    </row>
    <row r="2791">
      <c r="A2791" s="115" t="str">
        <f>IFERROR(__xludf.DUMMYFUNCTION("""COMPUTED_VALUE"""),"SOUTH")</f>
        <v>SOUTH</v>
      </c>
      <c r="B2791" s="115" t="str">
        <f>IFERROR(__xludf.DUMMYFUNCTION("""COMPUTED_VALUE"""),"Vineeth V")</f>
        <v>Vineeth V</v>
      </c>
      <c r="C2791" s="115" t="str">
        <f>IFERROR(__xludf.DUMMYFUNCTION("""COMPUTED_VALUE"""),"MYNTRA")</f>
        <v>MYNTRA</v>
      </c>
      <c r="D2791" s="115">
        <f>IFERROR(__xludf.DUMMYFUNCTION("""COMPUTED_VALUE"""),2052.0)</f>
        <v>2052</v>
      </c>
      <c r="E2791" s="115">
        <f>IFERROR(__xludf.DUMMYFUNCTION("""COMPUTED_VALUE"""),259.0)</f>
        <v>259</v>
      </c>
      <c r="F2791" s="115">
        <f>IFERROR(__xludf.DUMMYFUNCTION("""COMPUTED_VALUE"""),41.0)</f>
        <v>41</v>
      </c>
      <c r="G2791" s="115">
        <f>IFERROR(__xludf.DUMMYFUNCTION("""COMPUTED_VALUE"""),5.0)</f>
        <v>5</v>
      </c>
      <c r="H2791" s="116">
        <f>IFERROR(__xludf.DUMMYFUNCTION("""COMPUTED_VALUE"""),45906.0)</f>
        <v>45906</v>
      </c>
      <c r="I2791" s="115" t="str">
        <f>IFERROR(__xludf.DUMMYFUNCTION("""COMPUTED_VALUE"""),"09")</f>
        <v>09</v>
      </c>
      <c r="J2791" s="115" t="str">
        <f>IFERROR(__xludf.DUMMYFUNCTION("""COMPUTED_VALUE"""),"Vineeth V2025-09-0609")</f>
        <v>Vineeth V2025-09-0609</v>
      </c>
      <c r="K2791" s="115">
        <f>IFERROR(__xludf.DUMMYFUNCTION("""COMPUTED_VALUE"""),2311.0)</f>
        <v>2311</v>
      </c>
    </row>
    <row r="2792">
      <c r="A2792" s="115" t="str">
        <f>IFERROR(__xludf.DUMMYFUNCTION("""COMPUTED_VALUE"""),"WEST")</f>
        <v>WEST</v>
      </c>
      <c r="B2792" s="115" t="str">
        <f>IFERROR(__xludf.DUMMYFUNCTION("""COMPUTED_VALUE"""),"Ashish Jakar")</f>
        <v>Ashish Jakar</v>
      </c>
      <c r="C2792" s="115" t="str">
        <f>IFERROR(__xludf.DUMMYFUNCTION("""COMPUTED_VALUE"""),"EXTERNAL")</f>
        <v>EXTERNAL</v>
      </c>
      <c r="D2792" s="115">
        <f>IFERROR(__xludf.DUMMYFUNCTION("""COMPUTED_VALUE"""),11641.0)</f>
        <v>11641</v>
      </c>
      <c r="E2792" s="115">
        <f>IFERROR(__xludf.DUMMYFUNCTION("""COMPUTED_VALUE"""),1770.0)</f>
        <v>1770</v>
      </c>
      <c r="F2792" s="115">
        <f>IFERROR(__xludf.DUMMYFUNCTION("""COMPUTED_VALUE"""),186.0)</f>
        <v>186</v>
      </c>
      <c r="G2792" s="115">
        <f>IFERROR(__xludf.DUMMYFUNCTION("""COMPUTED_VALUE"""),14.0)</f>
        <v>14</v>
      </c>
      <c r="H2792" s="116">
        <f>IFERROR(__xludf.DUMMYFUNCTION("""COMPUTED_VALUE"""),45906.0)</f>
        <v>45906</v>
      </c>
      <c r="I2792" s="115" t="str">
        <f>IFERROR(__xludf.DUMMYFUNCTION("""COMPUTED_VALUE"""),"09")</f>
        <v>09</v>
      </c>
      <c r="J2792" s="115" t="str">
        <f>IFERROR(__xludf.DUMMYFUNCTION("""COMPUTED_VALUE"""),"Ashish Jakar2025-09-0609")</f>
        <v>Ashish Jakar2025-09-0609</v>
      </c>
      <c r="K2792" s="115">
        <f>IFERROR(__xludf.DUMMYFUNCTION("""COMPUTED_VALUE"""),13411.0)</f>
        <v>13411</v>
      </c>
    </row>
    <row r="2793">
      <c r="A2793" s="115" t="str">
        <f>IFERROR(__xludf.DUMMYFUNCTION("""COMPUTED_VALUE"""),"WEST")</f>
        <v>WEST</v>
      </c>
      <c r="B2793" s="115" t="str">
        <f>IFERROR(__xludf.DUMMYFUNCTION("""COMPUTED_VALUE"""),"Ashish Jakar")</f>
        <v>Ashish Jakar</v>
      </c>
      <c r="C2793" s="115" t="str">
        <f>IFERROR(__xludf.DUMMYFUNCTION("""COMPUTED_VALUE"""),"FLIPKART")</f>
        <v>FLIPKART</v>
      </c>
      <c r="D2793" s="115">
        <f>IFERROR(__xludf.DUMMYFUNCTION("""COMPUTED_VALUE"""),68400.0)</f>
        <v>68400</v>
      </c>
      <c r="E2793" s="115">
        <f>IFERROR(__xludf.DUMMYFUNCTION("""COMPUTED_VALUE"""),7668.0)</f>
        <v>7668</v>
      </c>
      <c r="F2793" s="115">
        <f>IFERROR(__xludf.DUMMYFUNCTION("""COMPUTED_VALUE"""),2251.0)</f>
        <v>2251</v>
      </c>
      <c r="G2793" s="115">
        <f>IFERROR(__xludf.DUMMYFUNCTION("""COMPUTED_VALUE"""),111.0)</f>
        <v>111</v>
      </c>
      <c r="H2793" s="116">
        <f>IFERROR(__xludf.DUMMYFUNCTION("""COMPUTED_VALUE"""),45906.0)</f>
        <v>45906</v>
      </c>
      <c r="I2793" s="115" t="str">
        <f>IFERROR(__xludf.DUMMYFUNCTION("""COMPUTED_VALUE"""),"09")</f>
        <v>09</v>
      </c>
      <c r="J2793" s="115" t="str">
        <f>IFERROR(__xludf.DUMMYFUNCTION("""COMPUTED_VALUE"""),"Ashish Jakar2025-09-0609")</f>
        <v>Ashish Jakar2025-09-0609</v>
      </c>
      <c r="K2793" s="115">
        <f>IFERROR(__xludf.DUMMYFUNCTION("""COMPUTED_VALUE"""),76068.0)</f>
        <v>76068</v>
      </c>
    </row>
    <row r="2794">
      <c r="A2794" s="115" t="str">
        <f>IFERROR(__xludf.DUMMYFUNCTION("""COMPUTED_VALUE"""),"WEST")</f>
        <v>WEST</v>
      </c>
      <c r="B2794" s="115" t="str">
        <f>IFERROR(__xludf.DUMMYFUNCTION("""COMPUTED_VALUE"""),"Ashish Jakar")</f>
        <v>Ashish Jakar</v>
      </c>
      <c r="C2794" s="115" t="str">
        <f>IFERROR(__xludf.DUMMYFUNCTION("""COMPUTED_VALUE"""),"MYNTRA")</f>
        <v>MYNTRA</v>
      </c>
      <c r="D2794" s="115">
        <f>IFERROR(__xludf.DUMMYFUNCTION("""COMPUTED_VALUE"""),10225.0)</f>
        <v>10225</v>
      </c>
      <c r="E2794" s="115">
        <f>IFERROR(__xludf.DUMMYFUNCTION("""COMPUTED_VALUE"""),2714.0)</f>
        <v>2714</v>
      </c>
      <c r="F2794" s="115">
        <f>IFERROR(__xludf.DUMMYFUNCTION("""COMPUTED_VALUE"""),420.0)</f>
        <v>420</v>
      </c>
      <c r="G2794" s="115">
        <f>IFERROR(__xludf.DUMMYFUNCTION("""COMPUTED_VALUE"""),17.0)</f>
        <v>17</v>
      </c>
      <c r="H2794" s="116">
        <f>IFERROR(__xludf.DUMMYFUNCTION("""COMPUTED_VALUE"""),45906.0)</f>
        <v>45906</v>
      </c>
      <c r="I2794" s="115" t="str">
        <f>IFERROR(__xludf.DUMMYFUNCTION("""COMPUTED_VALUE"""),"09")</f>
        <v>09</v>
      </c>
      <c r="J2794" s="115" t="str">
        <f>IFERROR(__xludf.DUMMYFUNCTION("""COMPUTED_VALUE"""),"Ashish Jakar2025-09-0609")</f>
        <v>Ashish Jakar2025-09-0609</v>
      </c>
      <c r="K2794" s="115">
        <f>IFERROR(__xludf.DUMMYFUNCTION("""COMPUTED_VALUE"""),12939.0)</f>
        <v>12939</v>
      </c>
    </row>
    <row r="2795">
      <c r="A2795" s="115" t="str">
        <f>IFERROR(__xludf.DUMMYFUNCTION("""COMPUTED_VALUE"""),"WEST")</f>
        <v>WEST</v>
      </c>
      <c r="B2795" s="115" t="str">
        <f>IFERROR(__xludf.DUMMYFUNCTION("""COMPUTED_VALUE"""),"Ashvani Bhatt")</f>
        <v>Ashvani Bhatt</v>
      </c>
      <c r="C2795" s="115" t="str">
        <f>IFERROR(__xludf.DUMMYFUNCTION("""COMPUTED_VALUE"""),"EXTERNAL")</f>
        <v>EXTERNAL</v>
      </c>
      <c r="D2795" s="115">
        <f>IFERROR(__xludf.DUMMYFUNCTION("""COMPUTED_VALUE"""),9462.0)</f>
        <v>9462</v>
      </c>
      <c r="E2795" s="115">
        <f>IFERROR(__xludf.DUMMYFUNCTION("""COMPUTED_VALUE"""),545.0)</f>
        <v>545</v>
      </c>
      <c r="F2795" s="115">
        <f>IFERROR(__xludf.DUMMYFUNCTION("""COMPUTED_VALUE"""),196.0)</f>
        <v>196</v>
      </c>
      <c r="G2795" s="115">
        <f>IFERROR(__xludf.DUMMYFUNCTION("""COMPUTED_VALUE"""),2.0)</f>
        <v>2</v>
      </c>
      <c r="H2795" s="116">
        <f>IFERROR(__xludf.DUMMYFUNCTION("""COMPUTED_VALUE"""),45906.0)</f>
        <v>45906</v>
      </c>
      <c r="I2795" s="115" t="str">
        <f>IFERROR(__xludf.DUMMYFUNCTION("""COMPUTED_VALUE"""),"09")</f>
        <v>09</v>
      </c>
      <c r="J2795" s="115" t="str">
        <f>IFERROR(__xludf.DUMMYFUNCTION("""COMPUTED_VALUE"""),"Ashvani Bhatt2025-09-0609")</f>
        <v>Ashvani Bhatt2025-09-0609</v>
      </c>
      <c r="K2795" s="115">
        <f>IFERROR(__xludf.DUMMYFUNCTION("""COMPUTED_VALUE"""),10007.0)</f>
        <v>10007</v>
      </c>
    </row>
    <row r="2796">
      <c r="A2796" s="115" t="str">
        <f>IFERROR(__xludf.DUMMYFUNCTION("""COMPUTED_VALUE"""),"WEST")</f>
        <v>WEST</v>
      </c>
      <c r="B2796" s="115" t="str">
        <f>IFERROR(__xludf.DUMMYFUNCTION("""COMPUTED_VALUE"""),"Ashvani Bhatt")</f>
        <v>Ashvani Bhatt</v>
      </c>
      <c r="C2796" s="115" t="str">
        <f>IFERROR(__xludf.DUMMYFUNCTION("""COMPUTED_VALUE"""),"FLIPKART")</f>
        <v>FLIPKART</v>
      </c>
      <c r="D2796" s="115">
        <f>IFERROR(__xludf.DUMMYFUNCTION("""COMPUTED_VALUE"""),73469.0)</f>
        <v>73469</v>
      </c>
      <c r="E2796" s="115">
        <f>IFERROR(__xludf.DUMMYFUNCTION("""COMPUTED_VALUE"""),5420.0)</f>
        <v>5420</v>
      </c>
      <c r="F2796" s="115">
        <f>IFERROR(__xludf.DUMMYFUNCTION("""COMPUTED_VALUE"""),2536.0)</f>
        <v>2536</v>
      </c>
      <c r="G2796" s="115">
        <f>IFERROR(__xludf.DUMMYFUNCTION("""COMPUTED_VALUE"""),77.0)</f>
        <v>77</v>
      </c>
      <c r="H2796" s="116">
        <f>IFERROR(__xludf.DUMMYFUNCTION("""COMPUTED_VALUE"""),45906.0)</f>
        <v>45906</v>
      </c>
      <c r="I2796" s="115" t="str">
        <f>IFERROR(__xludf.DUMMYFUNCTION("""COMPUTED_VALUE"""),"09")</f>
        <v>09</v>
      </c>
      <c r="J2796" s="115" t="str">
        <f>IFERROR(__xludf.DUMMYFUNCTION("""COMPUTED_VALUE"""),"Ashvani Bhatt2025-09-0609")</f>
        <v>Ashvani Bhatt2025-09-0609</v>
      </c>
      <c r="K2796" s="115">
        <f>IFERROR(__xludf.DUMMYFUNCTION("""COMPUTED_VALUE"""),78889.0)</f>
        <v>78889</v>
      </c>
    </row>
    <row r="2797">
      <c r="A2797" s="115" t="str">
        <f>IFERROR(__xludf.DUMMYFUNCTION("""COMPUTED_VALUE"""),"WEST")</f>
        <v>WEST</v>
      </c>
      <c r="B2797" s="115" t="str">
        <f>IFERROR(__xludf.DUMMYFUNCTION("""COMPUTED_VALUE"""),"Ashvani Bhatt")</f>
        <v>Ashvani Bhatt</v>
      </c>
      <c r="C2797" s="115" t="str">
        <f>IFERROR(__xludf.DUMMYFUNCTION("""COMPUTED_VALUE"""),"MYNTRA")</f>
        <v>MYNTRA</v>
      </c>
      <c r="D2797" s="115">
        <f>IFERROR(__xludf.DUMMYFUNCTION("""COMPUTED_VALUE"""),10576.0)</f>
        <v>10576</v>
      </c>
      <c r="E2797" s="115">
        <f>IFERROR(__xludf.DUMMYFUNCTION("""COMPUTED_VALUE"""),1810.0)</f>
        <v>1810</v>
      </c>
      <c r="F2797" s="115">
        <f>IFERROR(__xludf.DUMMYFUNCTION("""COMPUTED_VALUE"""),469.0)</f>
        <v>469</v>
      </c>
      <c r="G2797" s="115">
        <f>IFERROR(__xludf.DUMMYFUNCTION("""COMPUTED_VALUE"""),12.0)</f>
        <v>12</v>
      </c>
      <c r="H2797" s="116">
        <f>IFERROR(__xludf.DUMMYFUNCTION("""COMPUTED_VALUE"""),45906.0)</f>
        <v>45906</v>
      </c>
      <c r="I2797" s="115" t="str">
        <f>IFERROR(__xludf.DUMMYFUNCTION("""COMPUTED_VALUE"""),"09")</f>
        <v>09</v>
      </c>
      <c r="J2797" s="115" t="str">
        <f>IFERROR(__xludf.DUMMYFUNCTION("""COMPUTED_VALUE"""),"Ashvani Bhatt2025-09-0609")</f>
        <v>Ashvani Bhatt2025-09-0609</v>
      </c>
      <c r="K2797" s="115">
        <f>IFERROR(__xludf.DUMMYFUNCTION("""COMPUTED_VALUE"""),12386.0)</f>
        <v>12386</v>
      </c>
    </row>
    <row r="2798">
      <c r="A2798" s="115"/>
      <c r="B2798" s="115"/>
      <c r="C2798" s="115" t="str">
        <f>IFERROR(__xludf.DUMMYFUNCTION("""COMPUTED_VALUE"""),"EXTERNAL")</f>
        <v>EXTERNAL</v>
      </c>
      <c r="D2798" s="115">
        <f>IFERROR(__xludf.DUMMYFUNCTION("""COMPUTED_VALUE"""),61.0)</f>
        <v>61</v>
      </c>
      <c r="E2798" s="115">
        <f>IFERROR(__xludf.DUMMYFUNCTION("""COMPUTED_VALUE"""),70.0)</f>
        <v>70</v>
      </c>
      <c r="F2798" s="115">
        <f>IFERROR(__xludf.DUMMYFUNCTION("""COMPUTED_VALUE"""),0.0)</f>
        <v>0</v>
      </c>
      <c r="G2798" s="115">
        <f>IFERROR(__xludf.DUMMYFUNCTION("""COMPUTED_VALUE"""),0.0)</f>
        <v>0</v>
      </c>
      <c r="H2798" s="116">
        <f>IFERROR(__xludf.DUMMYFUNCTION("""COMPUTED_VALUE"""),45906.0)</f>
        <v>45906</v>
      </c>
      <c r="I2798" s="115" t="str">
        <f>IFERROR(__xludf.DUMMYFUNCTION("""COMPUTED_VALUE"""),"09")</f>
        <v>09</v>
      </c>
      <c r="J2798" s="115" t="str">
        <f>IFERROR(__xludf.DUMMYFUNCTION("""COMPUTED_VALUE"""),"2025-09-0609")</f>
        <v>2025-09-0609</v>
      </c>
      <c r="K2798" s="115">
        <f>IFERROR(__xludf.DUMMYFUNCTION("""COMPUTED_VALUE"""),131.0)</f>
        <v>131</v>
      </c>
    </row>
    <row r="2799">
      <c r="A2799" s="115"/>
      <c r="B2799" s="115"/>
      <c r="C2799" s="115" t="str">
        <f>IFERROR(__xludf.DUMMYFUNCTION("""COMPUTED_VALUE"""),"FLIPKART")</f>
        <v>FLIPKART</v>
      </c>
      <c r="D2799" s="115">
        <f>IFERROR(__xludf.DUMMYFUNCTION("""COMPUTED_VALUE"""),581.0)</f>
        <v>581</v>
      </c>
      <c r="E2799" s="115">
        <f>IFERROR(__xludf.DUMMYFUNCTION("""COMPUTED_VALUE"""),287.0)</f>
        <v>287</v>
      </c>
      <c r="F2799" s="115">
        <f>IFERROR(__xludf.DUMMYFUNCTION("""COMPUTED_VALUE"""),66.0)</f>
        <v>66</v>
      </c>
      <c r="G2799" s="115">
        <f>IFERROR(__xludf.DUMMYFUNCTION("""COMPUTED_VALUE"""),6.0)</f>
        <v>6</v>
      </c>
      <c r="H2799" s="116">
        <f>IFERROR(__xludf.DUMMYFUNCTION("""COMPUTED_VALUE"""),45906.0)</f>
        <v>45906</v>
      </c>
      <c r="I2799" s="115" t="str">
        <f>IFERROR(__xludf.DUMMYFUNCTION("""COMPUTED_VALUE"""),"09")</f>
        <v>09</v>
      </c>
      <c r="J2799" s="115" t="str">
        <f>IFERROR(__xludf.DUMMYFUNCTION("""COMPUTED_VALUE"""),"2025-09-0609")</f>
        <v>2025-09-0609</v>
      </c>
      <c r="K2799" s="115">
        <f>IFERROR(__xludf.DUMMYFUNCTION("""COMPUTED_VALUE"""),868.0)</f>
        <v>868</v>
      </c>
    </row>
    <row r="2800">
      <c r="A2800" s="115"/>
      <c r="B2800" s="115"/>
      <c r="C2800" s="115" t="str">
        <f>IFERROR(__xludf.DUMMYFUNCTION("""COMPUTED_VALUE"""),"MYNTRA")</f>
        <v>MYNTRA</v>
      </c>
      <c r="D2800" s="115">
        <f>IFERROR(__xludf.DUMMYFUNCTION("""COMPUTED_VALUE"""),39.0)</f>
        <v>39</v>
      </c>
      <c r="E2800" s="115">
        <f>IFERROR(__xludf.DUMMYFUNCTION("""COMPUTED_VALUE"""),65.0)</f>
        <v>65</v>
      </c>
      <c r="F2800" s="115">
        <f>IFERROR(__xludf.DUMMYFUNCTION("""COMPUTED_VALUE"""),4.0)</f>
        <v>4</v>
      </c>
      <c r="G2800" s="115">
        <f>IFERROR(__xludf.DUMMYFUNCTION("""COMPUTED_VALUE"""),6.0)</f>
        <v>6</v>
      </c>
      <c r="H2800" s="116">
        <f>IFERROR(__xludf.DUMMYFUNCTION("""COMPUTED_VALUE"""),45906.0)</f>
        <v>45906</v>
      </c>
      <c r="I2800" s="115" t="str">
        <f>IFERROR(__xludf.DUMMYFUNCTION("""COMPUTED_VALUE"""),"09")</f>
        <v>09</v>
      </c>
      <c r="J2800" s="115" t="str">
        <f>IFERROR(__xludf.DUMMYFUNCTION("""COMPUTED_VALUE"""),"2025-09-0609")</f>
        <v>2025-09-0609</v>
      </c>
      <c r="K2800" s="115">
        <f>IFERROR(__xludf.DUMMYFUNCTION("""COMPUTED_VALUE"""),104.0)</f>
        <v>104</v>
      </c>
    </row>
    <row r="2801">
      <c r="A2801" s="115" t="str">
        <f>IFERROR(__xludf.DUMMYFUNCTION("""COMPUTED_VALUE"""),"EAST")</f>
        <v>EAST</v>
      </c>
      <c r="B2801" s="115" t="str">
        <f>IFERROR(__xludf.DUMMYFUNCTION("""COMPUTED_VALUE"""),"Ashish Ranjan")</f>
        <v>Ashish Ranjan</v>
      </c>
      <c r="C2801" s="115" t="str">
        <f>IFERROR(__xludf.DUMMYFUNCTION("""COMPUTED_VALUE"""),"EXTERNAL")</f>
        <v>EXTERNAL</v>
      </c>
      <c r="D2801" s="115">
        <f>IFERROR(__xludf.DUMMYFUNCTION("""COMPUTED_VALUE"""),25534.0)</f>
        <v>25534</v>
      </c>
      <c r="E2801" s="115">
        <f>IFERROR(__xludf.DUMMYFUNCTION("""COMPUTED_VALUE"""),1424.0)</f>
        <v>1424</v>
      </c>
      <c r="F2801" s="115">
        <f>IFERROR(__xludf.DUMMYFUNCTION("""COMPUTED_VALUE"""),1552.0)</f>
        <v>1552</v>
      </c>
      <c r="G2801" s="115">
        <f>IFERROR(__xludf.DUMMYFUNCTION("""COMPUTED_VALUE"""),31.0)</f>
        <v>31</v>
      </c>
      <c r="H2801" s="116">
        <f>IFERROR(__xludf.DUMMYFUNCTION("""COMPUTED_VALUE"""),45906.0)</f>
        <v>45906</v>
      </c>
      <c r="I2801" s="115" t="str">
        <f>IFERROR(__xludf.DUMMYFUNCTION("""COMPUTED_VALUE"""),"10")</f>
        <v>10</v>
      </c>
      <c r="J2801" s="115" t="str">
        <f>IFERROR(__xludf.DUMMYFUNCTION("""COMPUTED_VALUE"""),"Ashish Ranjan2025-09-0610")</f>
        <v>Ashish Ranjan2025-09-0610</v>
      </c>
      <c r="K2801" s="115">
        <f>IFERROR(__xludf.DUMMYFUNCTION("""COMPUTED_VALUE"""),26958.0)</f>
        <v>26958</v>
      </c>
    </row>
    <row r="2802">
      <c r="A2802" s="115" t="str">
        <f>IFERROR(__xludf.DUMMYFUNCTION("""COMPUTED_VALUE"""),"EAST")</f>
        <v>EAST</v>
      </c>
      <c r="B2802" s="115" t="str">
        <f>IFERROR(__xludf.DUMMYFUNCTION("""COMPUTED_VALUE"""),"Ashish Ranjan")</f>
        <v>Ashish Ranjan</v>
      </c>
      <c r="C2802" s="115" t="str">
        <f>IFERROR(__xludf.DUMMYFUNCTION("""COMPUTED_VALUE"""),"FLIPKART")</f>
        <v>FLIPKART</v>
      </c>
      <c r="D2802" s="115">
        <f>IFERROR(__xludf.DUMMYFUNCTION("""COMPUTED_VALUE"""),419967.0)</f>
        <v>419967</v>
      </c>
      <c r="E2802" s="115">
        <f>IFERROR(__xludf.DUMMYFUNCTION("""COMPUTED_VALUE"""),30966.0)</f>
        <v>30966</v>
      </c>
      <c r="F2802" s="115">
        <f>IFERROR(__xludf.DUMMYFUNCTION("""COMPUTED_VALUE"""),41200.0)</f>
        <v>41200</v>
      </c>
      <c r="G2802" s="115">
        <f>IFERROR(__xludf.DUMMYFUNCTION("""COMPUTED_VALUE"""),919.0)</f>
        <v>919</v>
      </c>
      <c r="H2802" s="116">
        <f>IFERROR(__xludf.DUMMYFUNCTION("""COMPUTED_VALUE"""),45906.0)</f>
        <v>45906</v>
      </c>
      <c r="I2802" s="115" t="str">
        <f>IFERROR(__xludf.DUMMYFUNCTION("""COMPUTED_VALUE"""),"10")</f>
        <v>10</v>
      </c>
      <c r="J2802" s="115" t="str">
        <f>IFERROR(__xludf.DUMMYFUNCTION("""COMPUTED_VALUE"""),"Ashish Ranjan2025-09-0610")</f>
        <v>Ashish Ranjan2025-09-0610</v>
      </c>
      <c r="K2802" s="115">
        <f>IFERROR(__xludf.DUMMYFUNCTION("""COMPUTED_VALUE"""),450933.0)</f>
        <v>450933</v>
      </c>
    </row>
    <row r="2803">
      <c r="A2803" s="115" t="str">
        <f>IFERROR(__xludf.DUMMYFUNCTION("""COMPUTED_VALUE"""),"EAST")</f>
        <v>EAST</v>
      </c>
      <c r="B2803" s="115" t="str">
        <f>IFERROR(__xludf.DUMMYFUNCTION("""COMPUTED_VALUE"""),"Ashish Ranjan")</f>
        <v>Ashish Ranjan</v>
      </c>
      <c r="C2803" s="115" t="str">
        <f>IFERROR(__xludf.DUMMYFUNCTION("""COMPUTED_VALUE"""),"MYNTRA")</f>
        <v>MYNTRA</v>
      </c>
      <c r="D2803" s="115">
        <f>IFERROR(__xludf.DUMMYFUNCTION("""COMPUTED_VALUE"""),41576.0)</f>
        <v>41576</v>
      </c>
      <c r="E2803" s="115">
        <f>IFERROR(__xludf.DUMMYFUNCTION("""COMPUTED_VALUE"""),7374.0)</f>
        <v>7374</v>
      </c>
      <c r="F2803" s="115">
        <f>IFERROR(__xludf.DUMMYFUNCTION("""COMPUTED_VALUE"""),4203.0)</f>
        <v>4203</v>
      </c>
      <c r="G2803" s="115">
        <f>IFERROR(__xludf.DUMMYFUNCTION("""COMPUTED_VALUE"""),212.0)</f>
        <v>212</v>
      </c>
      <c r="H2803" s="116">
        <f>IFERROR(__xludf.DUMMYFUNCTION("""COMPUTED_VALUE"""),45906.0)</f>
        <v>45906</v>
      </c>
      <c r="I2803" s="115" t="str">
        <f>IFERROR(__xludf.DUMMYFUNCTION("""COMPUTED_VALUE"""),"10")</f>
        <v>10</v>
      </c>
      <c r="J2803" s="115" t="str">
        <f>IFERROR(__xludf.DUMMYFUNCTION("""COMPUTED_VALUE"""),"Ashish Ranjan2025-09-0610")</f>
        <v>Ashish Ranjan2025-09-0610</v>
      </c>
      <c r="K2803" s="115">
        <f>IFERROR(__xludf.DUMMYFUNCTION("""COMPUTED_VALUE"""),48950.0)</f>
        <v>48950</v>
      </c>
    </row>
    <row r="2804">
      <c r="A2804" s="115" t="str">
        <f>IFERROR(__xludf.DUMMYFUNCTION("""COMPUTED_VALUE"""),"EAST")</f>
        <v>EAST</v>
      </c>
      <c r="B2804" s="115" t="str">
        <f>IFERROR(__xludf.DUMMYFUNCTION("""COMPUTED_VALUE"""),"Girish Chand")</f>
        <v>Girish Chand</v>
      </c>
      <c r="C2804" s="115" t="str">
        <f>IFERROR(__xludf.DUMMYFUNCTION("""COMPUTED_VALUE"""),"EXTERNAL")</f>
        <v>EXTERNAL</v>
      </c>
      <c r="D2804" s="115">
        <f>IFERROR(__xludf.DUMMYFUNCTION("""COMPUTED_VALUE"""),15373.0)</f>
        <v>15373</v>
      </c>
      <c r="E2804" s="115">
        <f>IFERROR(__xludf.DUMMYFUNCTION("""COMPUTED_VALUE"""),967.0)</f>
        <v>967</v>
      </c>
      <c r="F2804" s="115">
        <f>IFERROR(__xludf.DUMMYFUNCTION("""COMPUTED_VALUE"""),454.0)</f>
        <v>454</v>
      </c>
      <c r="G2804" s="115">
        <f>IFERROR(__xludf.DUMMYFUNCTION("""COMPUTED_VALUE"""),10.0)</f>
        <v>10</v>
      </c>
      <c r="H2804" s="116">
        <f>IFERROR(__xludf.DUMMYFUNCTION("""COMPUTED_VALUE"""),45906.0)</f>
        <v>45906</v>
      </c>
      <c r="I2804" s="115" t="str">
        <f>IFERROR(__xludf.DUMMYFUNCTION("""COMPUTED_VALUE"""),"10")</f>
        <v>10</v>
      </c>
      <c r="J2804" s="115" t="str">
        <f>IFERROR(__xludf.DUMMYFUNCTION("""COMPUTED_VALUE"""),"Girish Chand2025-09-0610")</f>
        <v>Girish Chand2025-09-0610</v>
      </c>
      <c r="K2804" s="115">
        <f>IFERROR(__xludf.DUMMYFUNCTION("""COMPUTED_VALUE"""),16340.0)</f>
        <v>16340</v>
      </c>
    </row>
    <row r="2805">
      <c r="A2805" s="115" t="str">
        <f>IFERROR(__xludf.DUMMYFUNCTION("""COMPUTED_VALUE"""),"EAST")</f>
        <v>EAST</v>
      </c>
      <c r="B2805" s="115" t="str">
        <f>IFERROR(__xludf.DUMMYFUNCTION("""COMPUTED_VALUE"""),"Girish Chand")</f>
        <v>Girish Chand</v>
      </c>
      <c r="C2805" s="115" t="str">
        <f>IFERROR(__xludf.DUMMYFUNCTION("""COMPUTED_VALUE"""),"FLIPKART")</f>
        <v>FLIPKART</v>
      </c>
      <c r="D2805" s="115">
        <f>IFERROR(__xludf.DUMMYFUNCTION("""COMPUTED_VALUE"""),279676.0)</f>
        <v>279676</v>
      </c>
      <c r="E2805" s="115">
        <f>IFERROR(__xludf.DUMMYFUNCTION("""COMPUTED_VALUE"""),18293.0)</f>
        <v>18293</v>
      </c>
      <c r="F2805" s="115">
        <f>IFERROR(__xludf.DUMMYFUNCTION("""COMPUTED_VALUE"""),15801.0)</f>
        <v>15801</v>
      </c>
      <c r="G2805" s="115">
        <f>IFERROR(__xludf.DUMMYFUNCTION("""COMPUTED_VALUE"""),358.0)</f>
        <v>358</v>
      </c>
      <c r="H2805" s="116">
        <f>IFERROR(__xludf.DUMMYFUNCTION("""COMPUTED_VALUE"""),45906.0)</f>
        <v>45906</v>
      </c>
      <c r="I2805" s="115" t="str">
        <f>IFERROR(__xludf.DUMMYFUNCTION("""COMPUTED_VALUE"""),"10")</f>
        <v>10</v>
      </c>
      <c r="J2805" s="115" t="str">
        <f>IFERROR(__xludf.DUMMYFUNCTION("""COMPUTED_VALUE"""),"Girish Chand2025-09-0610")</f>
        <v>Girish Chand2025-09-0610</v>
      </c>
      <c r="K2805" s="115">
        <f>IFERROR(__xludf.DUMMYFUNCTION("""COMPUTED_VALUE"""),297969.0)</f>
        <v>297969</v>
      </c>
    </row>
    <row r="2806">
      <c r="A2806" s="115" t="str">
        <f>IFERROR(__xludf.DUMMYFUNCTION("""COMPUTED_VALUE"""),"EAST")</f>
        <v>EAST</v>
      </c>
      <c r="B2806" s="115" t="str">
        <f>IFERROR(__xludf.DUMMYFUNCTION("""COMPUTED_VALUE"""),"Girish Chand")</f>
        <v>Girish Chand</v>
      </c>
      <c r="C2806" s="115" t="str">
        <f>IFERROR(__xludf.DUMMYFUNCTION("""COMPUTED_VALUE"""),"MYNTRA")</f>
        <v>MYNTRA</v>
      </c>
      <c r="D2806" s="115">
        <f>IFERROR(__xludf.DUMMYFUNCTION("""COMPUTED_VALUE"""),23519.0)</f>
        <v>23519</v>
      </c>
      <c r="E2806" s="115">
        <f>IFERROR(__xludf.DUMMYFUNCTION("""COMPUTED_VALUE"""),3438.0)</f>
        <v>3438</v>
      </c>
      <c r="F2806" s="115">
        <f>IFERROR(__xludf.DUMMYFUNCTION("""COMPUTED_VALUE"""),1721.0)</f>
        <v>1721</v>
      </c>
      <c r="G2806" s="115">
        <f>IFERROR(__xludf.DUMMYFUNCTION("""COMPUTED_VALUE"""),138.0)</f>
        <v>138</v>
      </c>
      <c r="H2806" s="116">
        <f>IFERROR(__xludf.DUMMYFUNCTION("""COMPUTED_VALUE"""),45906.0)</f>
        <v>45906</v>
      </c>
      <c r="I2806" s="115" t="str">
        <f>IFERROR(__xludf.DUMMYFUNCTION("""COMPUTED_VALUE"""),"10")</f>
        <v>10</v>
      </c>
      <c r="J2806" s="115" t="str">
        <f>IFERROR(__xludf.DUMMYFUNCTION("""COMPUTED_VALUE"""),"Girish Chand2025-09-0610")</f>
        <v>Girish Chand2025-09-0610</v>
      </c>
      <c r="K2806" s="115">
        <f>IFERROR(__xludf.DUMMYFUNCTION("""COMPUTED_VALUE"""),26957.0)</f>
        <v>26957</v>
      </c>
    </row>
    <row r="2807">
      <c r="A2807" s="115" t="str">
        <f>IFERROR(__xludf.DUMMYFUNCTION("""COMPUTED_VALUE"""),"EAST")</f>
        <v>EAST</v>
      </c>
      <c r="B2807" s="115" t="str">
        <f>IFERROR(__xludf.DUMMYFUNCTION("""COMPUTED_VALUE"""),"Parag Kashyap")</f>
        <v>Parag Kashyap</v>
      </c>
      <c r="C2807" s="115" t="str">
        <f>IFERROR(__xludf.DUMMYFUNCTION("""COMPUTED_VALUE"""),"EXTERNAL")</f>
        <v>EXTERNAL</v>
      </c>
      <c r="D2807" s="115">
        <f>IFERROR(__xludf.DUMMYFUNCTION("""COMPUTED_VALUE"""),9981.0)</f>
        <v>9981</v>
      </c>
      <c r="E2807" s="115">
        <f>IFERROR(__xludf.DUMMYFUNCTION("""COMPUTED_VALUE"""),452.0)</f>
        <v>452</v>
      </c>
      <c r="F2807" s="115">
        <f>IFERROR(__xludf.DUMMYFUNCTION("""COMPUTED_VALUE"""),269.0)</f>
        <v>269</v>
      </c>
      <c r="G2807" s="115">
        <f>IFERROR(__xludf.DUMMYFUNCTION("""COMPUTED_VALUE"""),3.0)</f>
        <v>3</v>
      </c>
      <c r="H2807" s="116">
        <f>IFERROR(__xludf.DUMMYFUNCTION("""COMPUTED_VALUE"""),45906.0)</f>
        <v>45906</v>
      </c>
      <c r="I2807" s="115" t="str">
        <f>IFERROR(__xludf.DUMMYFUNCTION("""COMPUTED_VALUE"""),"10")</f>
        <v>10</v>
      </c>
      <c r="J2807" s="115" t="str">
        <f>IFERROR(__xludf.DUMMYFUNCTION("""COMPUTED_VALUE"""),"Parag Kashyap2025-09-0610")</f>
        <v>Parag Kashyap2025-09-0610</v>
      </c>
      <c r="K2807" s="115">
        <f>IFERROR(__xludf.DUMMYFUNCTION("""COMPUTED_VALUE"""),10433.0)</f>
        <v>10433</v>
      </c>
    </row>
    <row r="2808">
      <c r="A2808" s="115" t="str">
        <f>IFERROR(__xludf.DUMMYFUNCTION("""COMPUTED_VALUE"""),"EAST")</f>
        <v>EAST</v>
      </c>
      <c r="B2808" s="115" t="str">
        <f>IFERROR(__xludf.DUMMYFUNCTION("""COMPUTED_VALUE"""),"Parag Kashyap")</f>
        <v>Parag Kashyap</v>
      </c>
      <c r="C2808" s="115" t="str">
        <f>IFERROR(__xludf.DUMMYFUNCTION("""COMPUTED_VALUE"""),"FLIPKART")</f>
        <v>FLIPKART</v>
      </c>
      <c r="D2808" s="115">
        <f>IFERROR(__xludf.DUMMYFUNCTION("""COMPUTED_VALUE"""),174012.0)</f>
        <v>174012</v>
      </c>
      <c r="E2808" s="115">
        <f>IFERROR(__xludf.DUMMYFUNCTION("""COMPUTED_VALUE"""),8853.0)</f>
        <v>8853</v>
      </c>
      <c r="F2808" s="115">
        <f>IFERROR(__xludf.DUMMYFUNCTION("""COMPUTED_VALUE"""),9632.0)</f>
        <v>9632</v>
      </c>
      <c r="G2808" s="115">
        <f>IFERROR(__xludf.DUMMYFUNCTION("""COMPUTED_VALUE"""),186.0)</f>
        <v>186</v>
      </c>
      <c r="H2808" s="116">
        <f>IFERROR(__xludf.DUMMYFUNCTION("""COMPUTED_VALUE"""),45906.0)</f>
        <v>45906</v>
      </c>
      <c r="I2808" s="115" t="str">
        <f>IFERROR(__xludf.DUMMYFUNCTION("""COMPUTED_VALUE"""),"10")</f>
        <v>10</v>
      </c>
      <c r="J2808" s="115" t="str">
        <f>IFERROR(__xludf.DUMMYFUNCTION("""COMPUTED_VALUE"""),"Parag Kashyap2025-09-0610")</f>
        <v>Parag Kashyap2025-09-0610</v>
      </c>
      <c r="K2808" s="115">
        <f>IFERROR(__xludf.DUMMYFUNCTION("""COMPUTED_VALUE"""),182865.0)</f>
        <v>182865</v>
      </c>
    </row>
    <row r="2809">
      <c r="A2809" s="115" t="str">
        <f>IFERROR(__xludf.DUMMYFUNCTION("""COMPUTED_VALUE"""),"EAST")</f>
        <v>EAST</v>
      </c>
      <c r="B2809" s="115" t="str">
        <f>IFERROR(__xludf.DUMMYFUNCTION("""COMPUTED_VALUE"""),"Parag Kashyap")</f>
        <v>Parag Kashyap</v>
      </c>
      <c r="C2809" s="115" t="str">
        <f>IFERROR(__xludf.DUMMYFUNCTION("""COMPUTED_VALUE"""),"MYNTRA")</f>
        <v>MYNTRA</v>
      </c>
      <c r="D2809" s="115">
        <f>IFERROR(__xludf.DUMMYFUNCTION("""COMPUTED_VALUE"""),21422.0)</f>
        <v>21422</v>
      </c>
      <c r="E2809" s="115">
        <f>IFERROR(__xludf.DUMMYFUNCTION("""COMPUTED_VALUE"""),2304.0)</f>
        <v>2304</v>
      </c>
      <c r="F2809" s="115">
        <f>IFERROR(__xludf.DUMMYFUNCTION("""COMPUTED_VALUE"""),1569.0)</f>
        <v>1569</v>
      </c>
      <c r="G2809" s="115">
        <f>IFERROR(__xludf.DUMMYFUNCTION("""COMPUTED_VALUE"""),54.0)</f>
        <v>54</v>
      </c>
      <c r="H2809" s="116">
        <f>IFERROR(__xludf.DUMMYFUNCTION("""COMPUTED_VALUE"""),45906.0)</f>
        <v>45906</v>
      </c>
      <c r="I2809" s="115" t="str">
        <f>IFERROR(__xludf.DUMMYFUNCTION("""COMPUTED_VALUE"""),"10")</f>
        <v>10</v>
      </c>
      <c r="J2809" s="115" t="str">
        <f>IFERROR(__xludf.DUMMYFUNCTION("""COMPUTED_VALUE"""),"Parag Kashyap2025-09-0610")</f>
        <v>Parag Kashyap2025-09-0610</v>
      </c>
      <c r="K2809" s="115">
        <f>IFERROR(__xludf.DUMMYFUNCTION("""COMPUTED_VALUE"""),23726.0)</f>
        <v>23726</v>
      </c>
    </row>
    <row r="2810">
      <c r="A2810" s="115" t="str">
        <f>IFERROR(__xludf.DUMMYFUNCTION("""COMPUTED_VALUE"""),"NORTH")</f>
        <v>NORTH</v>
      </c>
      <c r="B2810" s="115" t="str">
        <f>IFERROR(__xludf.DUMMYFUNCTION("""COMPUTED_VALUE"""),"Amit Kumar Pathak")</f>
        <v>Amit Kumar Pathak</v>
      </c>
      <c r="C2810" s="115" t="str">
        <f>IFERROR(__xludf.DUMMYFUNCTION("""COMPUTED_VALUE"""),"EXTERNAL")</f>
        <v>EXTERNAL</v>
      </c>
      <c r="D2810" s="115">
        <f>IFERROR(__xludf.DUMMYFUNCTION("""COMPUTED_VALUE"""),16343.0)</f>
        <v>16343</v>
      </c>
      <c r="E2810" s="115">
        <f>IFERROR(__xludf.DUMMYFUNCTION("""COMPUTED_VALUE"""),2026.0)</f>
        <v>2026</v>
      </c>
      <c r="F2810" s="115">
        <f>IFERROR(__xludf.DUMMYFUNCTION("""COMPUTED_VALUE"""),608.0)</f>
        <v>608</v>
      </c>
      <c r="G2810" s="115">
        <f>IFERROR(__xludf.DUMMYFUNCTION("""COMPUTED_VALUE"""),56.0)</f>
        <v>56</v>
      </c>
      <c r="H2810" s="116">
        <f>IFERROR(__xludf.DUMMYFUNCTION("""COMPUTED_VALUE"""),45906.0)</f>
        <v>45906</v>
      </c>
      <c r="I2810" s="115" t="str">
        <f>IFERROR(__xludf.DUMMYFUNCTION("""COMPUTED_VALUE"""),"10")</f>
        <v>10</v>
      </c>
      <c r="J2810" s="115" t="str">
        <f>IFERROR(__xludf.DUMMYFUNCTION("""COMPUTED_VALUE"""),"Amit Kumar Pathak2025-09-0610")</f>
        <v>Amit Kumar Pathak2025-09-0610</v>
      </c>
      <c r="K2810" s="115">
        <f>IFERROR(__xludf.DUMMYFUNCTION("""COMPUTED_VALUE"""),18369.0)</f>
        <v>18369</v>
      </c>
    </row>
    <row r="2811">
      <c r="A2811" s="115" t="str">
        <f>IFERROR(__xludf.DUMMYFUNCTION("""COMPUTED_VALUE"""),"NORTH")</f>
        <v>NORTH</v>
      </c>
      <c r="B2811" s="115" t="str">
        <f>IFERROR(__xludf.DUMMYFUNCTION("""COMPUTED_VALUE"""),"Amit Kumar Pathak")</f>
        <v>Amit Kumar Pathak</v>
      </c>
      <c r="C2811" s="115" t="str">
        <f>IFERROR(__xludf.DUMMYFUNCTION("""COMPUTED_VALUE"""),"FLIPKART")</f>
        <v>FLIPKART</v>
      </c>
      <c r="D2811" s="115">
        <f>IFERROR(__xludf.DUMMYFUNCTION("""COMPUTED_VALUE"""),105980.0)</f>
        <v>105980</v>
      </c>
      <c r="E2811" s="115">
        <f>IFERROR(__xludf.DUMMYFUNCTION("""COMPUTED_VALUE"""),14538.0)</f>
        <v>14538</v>
      </c>
      <c r="F2811" s="115">
        <f>IFERROR(__xludf.DUMMYFUNCTION("""COMPUTED_VALUE"""),8031.0)</f>
        <v>8031</v>
      </c>
      <c r="G2811" s="115">
        <f>IFERROR(__xludf.DUMMYFUNCTION("""COMPUTED_VALUE"""),637.0)</f>
        <v>637</v>
      </c>
      <c r="H2811" s="116">
        <f>IFERROR(__xludf.DUMMYFUNCTION("""COMPUTED_VALUE"""),45906.0)</f>
        <v>45906</v>
      </c>
      <c r="I2811" s="115" t="str">
        <f>IFERROR(__xludf.DUMMYFUNCTION("""COMPUTED_VALUE"""),"10")</f>
        <v>10</v>
      </c>
      <c r="J2811" s="115" t="str">
        <f>IFERROR(__xludf.DUMMYFUNCTION("""COMPUTED_VALUE"""),"Amit Kumar Pathak2025-09-0610")</f>
        <v>Amit Kumar Pathak2025-09-0610</v>
      </c>
      <c r="K2811" s="115">
        <f>IFERROR(__xludf.DUMMYFUNCTION("""COMPUTED_VALUE"""),120518.0)</f>
        <v>120518</v>
      </c>
    </row>
    <row r="2812">
      <c r="A2812" s="115" t="str">
        <f>IFERROR(__xludf.DUMMYFUNCTION("""COMPUTED_VALUE"""),"NORTH")</f>
        <v>NORTH</v>
      </c>
      <c r="B2812" s="115" t="str">
        <f>IFERROR(__xludf.DUMMYFUNCTION("""COMPUTED_VALUE"""),"Amit Kumar Pathak")</f>
        <v>Amit Kumar Pathak</v>
      </c>
      <c r="C2812" s="115" t="str">
        <f>IFERROR(__xludf.DUMMYFUNCTION("""COMPUTED_VALUE"""),"MYNTRA")</f>
        <v>MYNTRA</v>
      </c>
      <c r="D2812" s="115">
        <f>IFERROR(__xludf.DUMMYFUNCTION("""COMPUTED_VALUE"""),10420.0)</f>
        <v>10420</v>
      </c>
      <c r="E2812" s="115">
        <f>IFERROR(__xludf.DUMMYFUNCTION("""COMPUTED_VALUE"""),3708.0)</f>
        <v>3708</v>
      </c>
      <c r="F2812" s="115">
        <f>IFERROR(__xludf.DUMMYFUNCTION("""COMPUTED_VALUE"""),1098.0)</f>
        <v>1098</v>
      </c>
      <c r="G2812" s="115">
        <f>IFERROR(__xludf.DUMMYFUNCTION("""COMPUTED_VALUE"""),177.0)</f>
        <v>177</v>
      </c>
      <c r="H2812" s="116">
        <f>IFERROR(__xludf.DUMMYFUNCTION("""COMPUTED_VALUE"""),45906.0)</f>
        <v>45906</v>
      </c>
      <c r="I2812" s="115" t="str">
        <f>IFERROR(__xludf.DUMMYFUNCTION("""COMPUTED_VALUE"""),"10")</f>
        <v>10</v>
      </c>
      <c r="J2812" s="115" t="str">
        <f>IFERROR(__xludf.DUMMYFUNCTION("""COMPUTED_VALUE"""),"Amit Kumar Pathak2025-09-0610")</f>
        <v>Amit Kumar Pathak2025-09-0610</v>
      </c>
      <c r="K2812" s="115">
        <f>IFERROR(__xludf.DUMMYFUNCTION("""COMPUTED_VALUE"""),14128.0)</f>
        <v>14128</v>
      </c>
    </row>
    <row r="2813">
      <c r="A2813" s="115" t="str">
        <f>IFERROR(__xludf.DUMMYFUNCTION("""COMPUTED_VALUE"""),"NORTH")</f>
        <v>NORTH</v>
      </c>
      <c r="B2813" s="115" t="str">
        <f>IFERROR(__xludf.DUMMYFUNCTION("""COMPUTED_VALUE"""),"Loveleen Singh")</f>
        <v>Loveleen Singh</v>
      </c>
      <c r="C2813" s="115" t="str">
        <f>IFERROR(__xludf.DUMMYFUNCTION("""COMPUTED_VALUE"""),"EXTERNAL")</f>
        <v>EXTERNAL</v>
      </c>
      <c r="D2813" s="115">
        <f>IFERROR(__xludf.DUMMYFUNCTION("""COMPUTED_VALUE"""),14162.0)</f>
        <v>14162</v>
      </c>
      <c r="E2813" s="115">
        <f>IFERROR(__xludf.DUMMYFUNCTION("""COMPUTED_VALUE"""),801.0)</f>
        <v>801</v>
      </c>
      <c r="F2813" s="115">
        <f>IFERROR(__xludf.DUMMYFUNCTION("""COMPUTED_VALUE"""),492.0)</f>
        <v>492</v>
      </c>
      <c r="G2813" s="115">
        <f>IFERROR(__xludf.DUMMYFUNCTION("""COMPUTED_VALUE"""),14.0)</f>
        <v>14</v>
      </c>
      <c r="H2813" s="116">
        <f>IFERROR(__xludf.DUMMYFUNCTION("""COMPUTED_VALUE"""),45906.0)</f>
        <v>45906</v>
      </c>
      <c r="I2813" s="115" t="str">
        <f>IFERROR(__xludf.DUMMYFUNCTION("""COMPUTED_VALUE"""),"10")</f>
        <v>10</v>
      </c>
      <c r="J2813" s="115" t="str">
        <f>IFERROR(__xludf.DUMMYFUNCTION("""COMPUTED_VALUE"""),"Loveleen Singh2025-09-0610")</f>
        <v>Loveleen Singh2025-09-0610</v>
      </c>
      <c r="K2813" s="115">
        <f>IFERROR(__xludf.DUMMYFUNCTION("""COMPUTED_VALUE"""),14963.0)</f>
        <v>14963</v>
      </c>
    </row>
    <row r="2814">
      <c r="A2814" s="115" t="str">
        <f>IFERROR(__xludf.DUMMYFUNCTION("""COMPUTED_VALUE"""),"NORTH")</f>
        <v>NORTH</v>
      </c>
      <c r="B2814" s="115" t="str">
        <f>IFERROR(__xludf.DUMMYFUNCTION("""COMPUTED_VALUE"""),"Loveleen Singh")</f>
        <v>Loveleen Singh</v>
      </c>
      <c r="C2814" s="115" t="str">
        <f>IFERROR(__xludf.DUMMYFUNCTION("""COMPUTED_VALUE"""),"FLIPKART")</f>
        <v>FLIPKART</v>
      </c>
      <c r="D2814" s="115">
        <f>IFERROR(__xludf.DUMMYFUNCTION("""COMPUTED_VALUE"""),76535.0)</f>
        <v>76535</v>
      </c>
      <c r="E2814" s="115">
        <f>IFERROR(__xludf.DUMMYFUNCTION("""COMPUTED_VALUE"""),5996.0)</f>
        <v>5996</v>
      </c>
      <c r="F2814" s="115">
        <f>IFERROR(__xludf.DUMMYFUNCTION("""COMPUTED_VALUE"""),5552.0)</f>
        <v>5552</v>
      </c>
      <c r="G2814" s="115">
        <f>IFERROR(__xludf.DUMMYFUNCTION("""COMPUTED_VALUE"""),137.0)</f>
        <v>137</v>
      </c>
      <c r="H2814" s="116">
        <f>IFERROR(__xludf.DUMMYFUNCTION("""COMPUTED_VALUE"""),45906.0)</f>
        <v>45906</v>
      </c>
      <c r="I2814" s="115" t="str">
        <f>IFERROR(__xludf.DUMMYFUNCTION("""COMPUTED_VALUE"""),"10")</f>
        <v>10</v>
      </c>
      <c r="J2814" s="115" t="str">
        <f>IFERROR(__xludf.DUMMYFUNCTION("""COMPUTED_VALUE"""),"Loveleen Singh2025-09-0610")</f>
        <v>Loveleen Singh2025-09-0610</v>
      </c>
      <c r="K2814" s="115">
        <f>IFERROR(__xludf.DUMMYFUNCTION("""COMPUTED_VALUE"""),82531.0)</f>
        <v>82531</v>
      </c>
    </row>
    <row r="2815">
      <c r="A2815" s="115" t="str">
        <f>IFERROR(__xludf.DUMMYFUNCTION("""COMPUTED_VALUE"""),"NORTH")</f>
        <v>NORTH</v>
      </c>
      <c r="B2815" s="115" t="str">
        <f>IFERROR(__xludf.DUMMYFUNCTION("""COMPUTED_VALUE"""),"Loveleen Singh")</f>
        <v>Loveleen Singh</v>
      </c>
      <c r="C2815" s="115" t="str">
        <f>IFERROR(__xludf.DUMMYFUNCTION("""COMPUTED_VALUE"""),"MYNTRA")</f>
        <v>MYNTRA</v>
      </c>
      <c r="D2815" s="115">
        <f>IFERROR(__xludf.DUMMYFUNCTION("""COMPUTED_VALUE"""),13193.0)</f>
        <v>13193</v>
      </c>
      <c r="E2815" s="115">
        <f>IFERROR(__xludf.DUMMYFUNCTION("""COMPUTED_VALUE"""),2506.0)</f>
        <v>2506</v>
      </c>
      <c r="F2815" s="115">
        <f>IFERROR(__xludf.DUMMYFUNCTION("""COMPUTED_VALUE"""),1239.0)</f>
        <v>1239</v>
      </c>
      <c r="G2815" s="115">
        <f>IFERROR(__xludf.DUMMYFUNCTION("""COMPUTED_VALUE"""),89.0)</f>
        <v>89</v>
      </c>
      <c r="H2815" s="116">
        <f>IFERROR(__xludf.DUMMYFUNCTION("""COMPUTED_VALUE"""),45906.0)</f>
        <v>45906</v>
      </c>
      <c r="I2815" s="115" t="str">
        <f>IFERROR(__xludf.DUMMYFUNCTION("""COMPUTED_VALUE"""),"10")</f>
        <v>10</v>
      </c>
      <c r="J2815" s="115" t="str">
        <f>IFERROR(__xludf.DUMMYFUNCTION("""COMPUTED_VALUE"""),"Loveleen Singh2025-09-0610")</f>
        <v>Loveleen Singh2025-09-0610</v>
      </c>
      <c r="K2815" s="115">
        <f>IFERROR(__xludf.DUMMYFUNCTION("""COMPUTED_VALUE"""),15699.0)</f>
        <v>15699</v>
      </c>
    </row>
    <row r="2816">
      <c r="A2816" s="115" t="str">
        <f>IFERROR(__xludf.DUMMYFUNCTION("""COMPUTED_VALUE"""),"NORTH")</f>
        <v>NORTH</v>
      </c>
      <c r="B2816" s="115" t="str">
        <f>IFERROR(__xludf.DUMMYFUNCTION("""COMPUTED_VALUE"""),"Manoj Harsh")</f>
        <v>Manoj Harsh</v>
      </c>
      <c r="C2816" s="115" t="str">
        <f>IFERROR(__xludf.DUMMYFUNCTION("""COMPUTED_VALUE"""),"EXTERNAL")</f>
        <v>EXTERNAL</v>
      </c>
      <c r="D2816" s="115">
        <f>IFERROR(__xludf.DUMMYFUNCTION("""COMPUTED_VALUE"""),19533.0)</f>
        <v>19533</v>
      </c>
      <c r="E2816" s="115">
        <f>IFERROR(__xludf.DUMMYFUNCTION("""COMPUTED_VALUE"""),1134.0)</f>
        <v>1134</v>
      </c>
      <c r="F2816" s="115">
        <f>IFERROR(__xludf.DUMMYFUNCTION("""COMPUTED_VALUE"""),499.0)</f>
        <v>499</v>
      </c>
      <c r="G2816" s="115">
        <f>IFERROR(__xludf.DUMMYFUNCTION("""COMPUTED_VALUE"""),20.0)</f>
        <v>20</v>
      </c>
      <c r="H2816" s="116">
        <f>IFERROR(__xludf.DUMMYFUNCTION("""COMPUTED_VALUE"""),45906.0)</f>
        <v>45906</v>
      </c>
      <c r="I2816" s="115" t="str">
        <f>IFERROR(__xludf.DUMMYFUNCTION("""COMPUTED_VALUE"""),"10")</f>
        <v>10</v>
      </c>
      <c r="J2816" s="115" t="str">
        <f>IFERROR(__xludf.DUMMYFUNCTION("""COMPUTED_VALUE"""),"Manoj Harsh2025-09-0610")</f>
        <v>Manoj Harsh2025-09-0610</v>
      </c>
      <c r="K2816" s="115">
        <f>IFERROR(__xludf.DUMMYFUNCTION("""COMPUTED_VALUE"""),20667.0)</f>
        <v>20667</v>
      </c>
    </row>
    <row r="2817">
      <c r="A2817" s="115" t="str">
        <f>IFERROR(__xludf.DUMMYFUNCTION("""COMPUTED_VALUE"""),"NORTH")</f>
        <v>NORTH</v>
      </c>
      <c r="B2817" s="115" t="str">
        <f>IFERROR(__xludf.DUMMYFUNCTION("""COMPUTED_VALUE"""),"Manoj Harsh")</f>
        <v>Manoj Harsh</v>
      </c>
      <c r="C2817" s="115" t="str">
        <f>IFERROR(__xludf.DUMMYFUNCTION("""COMPUTED_VALUE"""),"FLIPKART")</f>
        <v>FLIPKART</v>
      </c>
      <c r="D2817" s="115">
        <f>IFERROR(__xludf.DUMMYFUNCTION("""COMPUTED_VALUE"""),234485.0)</f>
        <v>234485</v>
      </c>
      <c r="E2817" s="115">
        <f>IFERROR(__xludf.DUMMYFUNCTION("""COMPUTED_VALUE"""),18710.0)</f>
        <v>18710</v>
      </c>
      <c r="F2817" s="115">
        <f>IFERROR(__xludf.DUMMYFUNCTION("""COMPUTED_VALUE"""),11791.0)</f>
        <v>11791</v>
      </c>
      <c r="G2817" s="115">
        <f>IFERROR(__xludf.DUMMYFUNCTION("""COMPUTED_VALUE"""),483.0)</f>
        <v>483</v>
      </c>
      <c r="H2817" s="116">
        <f>IFERROR(__xludf.DUMMYFUNCTION("""COMPUTED_VALUE"""),45906.0)</f>
        <v>45906</v>
      </c>
      <c r="I2817" s="115" t="str">
        <f>IFERROR(__xludf.DUMMYFUNCTION("""COMPUTED_VALUE"""),"10")</f>
        <v>10</v>
      </c>
      <c r="J2817" s="115" t="str">
        <f>IFERROR(__xludf.DUMMYFUNCTION("""COMPUTED_VALUE"""),"Manoj Harsh2025-09-0610")</f>
        <v>Manoj Harsh2025-09-0610</v>
      </c>
      <c r="K2817" s="115">
        <f>IFERROR(__xludf.DUMMYFUNCTION("""COMPUTED_VALUE"""),253195.0)</f>
        <v>253195</v>
      </c>
    </row>
    <row r="2818">
      <c r="A2818" s="115" t="str">
        <f>IFERROR(__xludf.DUMMYFUNCTION("""COMPUTED_VALUE"""),"NORTH")</f>
        <v>NORTH</v>
      </c>
      <c r="B2818" s="115" t="str">
        <f>IFERROR(__xludf.DUMMYFUNCTION("""COMPUTED_VALUE"""),"Manoj Harsh")</f>
        <v>Manoj Harsh</v>
      </c>
      <c r="C2818" s="115" t="str">
        <f>IFERROR(__xludf.DUMMYFUNCTION("""COMPUTED_VALUE"""),"MYNTRA")</f>
        <v>MYNTRA</v>
      </c>
      <c r="D2818" s="115">
        <f>IFERROR(__xludf.DUMMYFUNCTION("""COMPUTED_VALUE"""),23448.0)</f>
        <v>23448</v>
      </c>
      <c r="E2818" s="115">
        <f>IFERROR(__xludf.DUMMYFUNCTION("""COMPUTED_VALUE"""),3741.0)</f>
        <v>3741</v>
      </c>
      <c r="F2818" s="115">
        <f>IFERROR(__xludf.DUMMYFUNCTION("""COMPUTED_VALUE"""),1405.0)</f>
        <v>1405</v>
      </c>
      <c r="G2818" s="115">
        <f>IFERROR(__xludf.DUMMYFUNCTION("""COMPUTED_VALUE"""),115.0)</f>
        <v>115</v>
      </c>
      <c r="H2818" s="116">
        <f>IFERROR(__xludf.DUMMYFUNCTION("""COMPUTED_VALUE"""),45906.0)</f>
        <v>45906</v>
      </c>
      <c r="I2818" s="115" t="str">
        <f>IFERROR(__xludf.DUMMYFUNCTION("""COMPUTED_VALUE"""),"10")</f>
        <v>10</v>
      </c>
      <c r="J2818" s="115" t="str">
        <f>IFERROR(__xludf.DUMMYFUNCTION("""COMPUTED_VALUE"""),"Manoj Harsh2025-09-0610")</f>
        <v>Manoj Harsh2025-09-0610</v>
      </c>
      <c r="K2818" s="115">
        <f>IFERROR(__xludf.DUMMYFUNCTION("""COMPUTED_VALUE"""),27189.0)</f>
        <v>27189</v>
      </c>
    </row>
    <row r="2819">
      <c r="A2819" s="115" t="str">
        <f>IFERROR(__xludf.DUMMYFUNCTION("""COMPUTED_VALUE"""),"NORTH")</f>
        <v>NORTH</v>
      </c>
      <c r="B2819" s="115" t="str">
        <f>IFERROR(__xludf.DUMMYFUNCTION("""COMPUTED_VALUE"""),"Pradeep Kothari")</f>
        <v>Pradeep Kothari</v>
      </c>
      <c r="C2819" s="115" t="str">
        <f>IFERROR(__xludf.DUMMYFUNCTION("""COMPUTED_VALUE"""),"EXTERNAL")</f>
        <v>EXTERNAL</v>
      </c>
      <c r="D2819" s="115">
        <f>IFERROR(__xludf.DUMMYFUNCTION("""COMPUTED_VALUE"""),11047.0)</f>
        <v>11047</v>
      </c>
      <c r="E2819" s="115">
        <f>IFERROR(__xludf.DUMMYFUNCTION("""COMPUTED_VALUE"""),974.0)</f>
        <v>974</v>
      </c>
      <c r="F2819" s="115">
        <f>IFERROR(__xludf.DUMMYFUNCTION("""COMPUTED_VALUE"""),419.0)</f>
        <v>419</v>
      </c>
      <c r="G2819" s="115">
        <f>IFERROR(__xludf.DUMMYFUNCTION("""COMPUTED_VALUE"""),12.0)</f>
        <v>12</v>
      </c>
      <c r="H2819" s="116">
        <f>IFERROR(__xludf.DUMMYFUNCTION("""COMPUTED_VALUE"""),45906.0)</f>
        <v>45906</v>
      </c>
      <c r="I2819" s="115" t="str">
        <f>IFERROR(__xludf.DUMMYFUNCTION("""COMPUTED_VALUE"""),"10")</f>
        <v>10</v>
      </c>
      <c r="J2819" s="115" t="str">
        <f>IFERROR(__xludf.DUMMYFUNCTION("""COMPUTED_VALUE"""),"Pradeep Kothari2025-09-0610")</f>
        <v>Pradeep Kothari2025-09-0610</v>
      </c>
      <c r="K2819" s="115">
        <f>IFERROR(__xludf.DUMMYFUNCTION("""COMPUTED_VALUE"""),12021.0)</f>
        <v>12021</v>
      </c>
    </row>
    <row r="2820">
      <c r="A2820" s="115" t="str">
        <f>IFERROR(__xludf.DUMMYFUNCTION("""COMPUTED_VALUE"""),"NORTH")</f>
        <v>NORTH</v>
      </c>
      <c r="B2820" s="115" t="str">
        <f>IFERROR(__xludf.DUMMYFUNCTION("""COMPUTED_VALUE"""),"Pradeep Kothari")</f>
        <v>Pradeep Kothari</v>
      </c>
      <c r="C2820" s="115" t="str">
        <f>IFERROR(__xludf.DUMMYFUNCTION("""COMPUTED_VALUE"""),"FLIPKART")</f>
        <v>FLIPKART</v>
      </c>
      <c r="D2820" s="115">
        <f>IFERROR(__xludf.DUMMYFUNCTION("""COMPUTED_VALUE"""),82255.0)</f>
        <v>82255</v>
      </c>
      <c r="E2820" s="115">
        <f>IFERROR(__xludf.DUMMYFUNCTION("""COMPUTED_VALUE"""),8278.0)</f>
        <v>8278</v>
      </c>
      <c r="F2820" s="115">
        <f>IFERROR(__xludf.DUMMYFUNCTION("""COMPUTED_VALUE"""),6156.0)</f>
        <v>6156</v>
      </c>
      <c r="G2820" s="115">
        <f>IFERROR(__xludf.DUMMYFUNCTION("""COMPUTED_VALUE"""),238.0)</f>
        <v>238</v>
      </c>
      <c r="H2820" s="116">
        <f>IFERROR(__xludf.DUMMYFUNCTION("""COMPUTED_VALUE"""),45906.0)</f>
        <v>45906</v>
      </c>
      <c r="I2820" s="115" t="str">
        <f>IFERROR(__xludf.DUMMYFUNCTION("""COMPUTED_VALUE"""),"10")</f>
        <v>10</v>
      </c>
      <c r="J2820" s="115" t="str">
        <f>IFERROR(__xludf.DUMMYFUNCTION("""COMPUTED_VALUE"""),"Pradeep Kothari2025-09-0610")</f>
        <v>Pradeep Kothari2025-09-0610</v>
      </c>
      <c r="K2820" s="115">
        <f>IFERROR(__xludf.DUMMYFUNCTION("""COMPUTED_VALUE"""),90533.0)</f>
        <v>90533</v>
      </c>
    </row>
    <row r="2821">
      <c r="A2821" s="115" t="str">
        <f>IFERROR(__xludf.DUMMYFUNCTION("""COMPUTED_VALUE"""),"NORTH")</f>
        <v>NORTH</v>
      </c>
      <c r="B2821" s="115" t="str">
        <f>IFERROR(__xludf.DUMMYFUNCTION("""COMPUTED_VALUE"""),"Pradeep Kothari")</f>
        <v>Pradeep Kothari</v>
      </c>
      <c r="C2821" s="115" t="str">
        <f>IFERROR(__xludf.DUMMYFUNCTION("""COMPUTED_VALUE"""),"MYNTRA")</f>
        <v>MYNTRA</v>
      </c>
      <c r="D2821" s="115">
        <f>IFERROR(__xludf.DUMMYFUNCTION("""COMPUTED_VALUE"""),14870.0)</f>
        <v>14870</v>
      </c>
      <c r="E2821" s="115">
        <f>IFERROR(__xludf.DUMMYFUNCTION("""COMPUTED_VALUE"""),2923.0)</f>
        <v>2923</v>
      </c>
      <c r="F2821" s="115">
        <f>IFERROR(__xludf.DUMMYFUNCTION("""COMPUTED_VALUE"""),1680.0)</f>
        <v>1680</v>
      </c>
      <c r="G2821" s="115">
        <f>IFERROR(__xludf.DUMMYFUNCTION("""COMPUTED_VALUE"""),117.0)</f>
        <v>117</v>
      </c>
      <c r="H2821" s="116">
        <f>IFERROR(__xludf.DUMMYFUNCTION("""COMPUTED_VALUE"""),45906.0)</f>
        <v>45906</v>
      </c>
      <c r="I2821" s="115" t="str">
        <f>IFERROR(__xludf.DUMMYFUNCTION("""COMPUTED_VALUE"""),"10")</f>
        <v>10</v>
      </c>
      <c r="J2821" s="115" t="str">
        <f>IFERROR(__xludf.DUMMYFUNCTION("""COMPUTED_VALUE"""),"Pradeep Kothari2025-09-0610")</f>
        <v>Pradeep Kothari2025-09-0610</v>
      </c>
      <c r="K2821" s="115">
        <f>IFERROR(__xludf.DUMMYFUNCTION("""COMPUTED_VALUE"""),17793.0)</f>
        <v>17793</v>
      </c>
    </row>
    <row r="2822">
      <c r="A2822" s="115" t="str">
        <f>IFERROR(__xludf.DUMMYFUNCTION("""COMPUTED_VALUE"""),"SOUTH")</f>
        <v>SOUTH</v>
      </c>
      <c r="B2822" s="115" t="str">
        <f>IFERROR(__xludf.DUMMYFUNCTION("""COMPUTED_VALUE"""),"Kandula Sampath")</f>
        <v>Kandula Sampath</v>
      </c>
      <c r="C2822" s="115" t="str">
        <f>IFERROR(__xludf.DUMMYFUNCTION("""COMPUTED_VALUE"""),"EXTERNAL")</f>
        <v>EXTERNAL</v>
      </c>
      <c r="D2822" s="115">
        <f>IFERROR(__xludf.DUMMYFUNCTION("""COMPUTED_VALUE"""),22994.0)</f>
        <v>22994</v>
      </c>
      <c r="E2822" s="115">
        <f>IFERROR(__xludf.DUMMYFUNCTION("""COMPUTED_VALUE"""),1557.0)</f>
        <v>1557</v>
      </c>
      <c r="F2822" s="115">
        <f>IFERROR(__xludf.DUMMYFUNCTION("""COMPUTED_VALUE"""),1553.0)</f>
        <v>1553</v>
      </c>
      <c r="G2822" s="115">
        <f>IFERROR(__xludf.DUMMYFUNCTION("""COMPUTED_VALUE"""),31.0)</f>
        <v>31</v>
      </c>
      <c r="H2822" s="116">
        <f>IFERROR(__xludf.DUMMYFUNCTION("""COMPUTED_VALUE"""),45906.0)</f>
        <v>45906</v>
      </c>
      <c r="I2822" s="115" t="str">
        <f>IFERROR(__xludf.DUMMYFUNCTION("""COMPUTED_VALUE"""),"10")</f>
        <v>10</v>
      </c>
      <c r="J2822" s="115" t="str">
        <f>IFERROR(__xludf.DUMMYFUNCTION("""COMPUTED_VALUE"""),"Kandula Sampath2025-09-0610")</f>
        <v>Kandula Sampath2025-09-0610</v>
      </c>
      <c r="K2822" s="115">
        <f>IFERROR(__xludf.DUMMYFUNCTION("""COMPUTED_VALUE"""),24551.0)</f>
        <v>24551</v>
      </c>
    </row>
    <row r="2823">
      <c r="A2823" s="115" t="str">
        <f>IFERROR(__xludf.DUMMYFUNCTION("""COMPUTED_VALUE"""),"SOUTH")</f>
        <v>SOUTH</v>
      </c>
      <c r="B2823" s="115" t="str">
        <f>IFERROR(__xludf.DUMMYFUNCTION("""COMPUTED_VALUE"""),"Kandula Sampath")</f>
        <v>Kandula Sampath</v>
      </c>
      <c r="C2823" s="115" t="str">
        <f>IFERROR(__xludf.DUMMYFUNCTION("""COMPUTED_VALUE"""),"FLIPKART")</f>
        <v>FLIPKART</v>
      </c>
      <c r="D2823" s="115">
        <f>IFERROR(__xludf.DUMMYFUNCTION("""COMPUTED_VALUE"""),227304.0)</f>
        <v>227304</v>
      </c>
      <c r="E2823" s="115">
        <f>IFERROR(__xludf.DUMMYFUNCTION("""COMPUTED_VALUE"""),16353.0)</f>
        <v>16353</v>
      </c>
      <c r="F2823" s="115">
        <f>IFERROR(__xludf.DUMMYFUNCTION("""COMPUTED_VALUE"""),28922.0)</f>
        <v>28922</v>
      </c>
      <c r="G2823" s="115">
        <f>IFERROR(__xludf.DUMMYFUNCTION("""COMPUTED_VALUE"""),386.0)</f>
        <v>386</v>
      </c>
      <c r="H2823" s="116">
        <f>IFERROR(__xludf.DUMMYFUNCTION("""COMPUTED_VALUE"""),45906.0)</f>
        <v>45906</v>
      </c>
      <c r="I2823" s="115" t="str">
        <f>IFERROR(__xludf.DUMMYFUNCTION("""COMPUTED_VALUE"""),"10")</f>
        <v>10</v>
      </c>
      <c r="J2823" s="115" t="str">
        <f>IFERROR(__xludf.DUMMYFUNCTION("""COMPUTED_VALUE"""),"Kandula Sampath2025-09-0610")</f>
        <v>Kandula Sampath2025-09-0610</v>
      </c>
      <c r="K2823" s="115">
        <f>IFERROR(__xludf.DUMMYFUNCTION("""COMPUTED_VALUE"""),243657.0)</f>
        <v>243657</v>
      </c>
    </row>
    <row r="2824">
      <c r="A2824" s="115" t="str">
        <f>IFERROR(__xludf.DUMMYFUNCTION("""COMPUTED_VALUE"""),"SOUTH")</f>
        <v>SOUTH</v>
      </c>
      <c r="B2824" s="115" t="str">
        <f>IFERROR(__xludf.DUMMYFUNCTION("""COMPUTED_VALUE"""),"Kandula Sampath")</f>
        <v>Kandula Sampath</v>
      </c>
      <c r="C2824" s="115" t="str">
        <f>IFERROR(__xludf.DUMMYFUNCTION("""COMPUTED_VALUE"""),"MYNTRA")</f>
        <v>MYNTRA</v>
      </c>
      <c r="D2824" s="115">
        <f>IFERROR(__xludf.DUMMYFUNCTION("""COMPUTED_VALUE"""),27745.0)</f>
        <v>27745</v>
      </c>
      <c r="E2824" s="115">
        <f>IFERROR(__xludf.DUMMYFUNCTION("""COMPUTED_VALUE"""),4412.0)</f>
        <v>4412</v>
      </c>
      <c r="F2824" s="115">
        <f>IFERROR(__xludf.DUMMYFUNCTION("""COMPUTED_VALUE"""),4312.0)</f>
        <v>4312</v>
      </c>
      <c r="G2824" s="115">
        <f>IFERROR(__xludf.DUMMYFUNCTION("""COMPUTED_VALUE"""),84.0)</f>
        <v>84</v>
      </c>
      <c r="H2824" s="116">
        <f>IFERROR(__xludf.DUMMYFUNCTION("""COMPUTED_VALUE"""),45906.0)</f>
        <v>45906</v>
      </c>
      <c r="I2824" s="115" t="str">
        <f>IFERROR(__xludf.DUMMYFUNCTION("""COMPUTED_VALUE"""),"10")</f>
        <v>10</v>
      </c>
      <c r="J2824" s="115" t="str">
        <f>IFERROR(__xludf.DUMMYFUNCTION("""COMPUTED_VALUE"""),"Kandula Sampath2025-09-0610")</f>
        <v>Kandula Sampath2025-09-0610</v>
      </c>
      <c r="K2824" s="115">
        <f>IFERROR(__xludf.DUMMYFUNCTION("""COMPUTED_VALUE"""),32157.0)</f>
        <v>32157</v>
      </c>
    </row>
    <row r="2825">
      <c r="A2825" s="115" t="str">
        <f>IFERROR(__xludf.DUMMYFUNCTION("""COMPUTED_VALUE"""),"SOUTH")</f>
        <v>SOUTH</v>
      </c>
      <c r="B2825" s="115" t="str">
        <f>IFERROR(__xludf.DUMMYFUNCTION("""COMPUTED_VALUE"""),"Martin A")</f>
        <v>Martin A</v>
      </c>
      <c r="C2825" s="115" t="str">
        <f>IFERROR(__xludf.DUMMYFUNCTION("""COMPUTED_VALUE"""),"EXTERNAL")</f>
        <v>EXTERNAL</v>
      </c>
      <c r="D2825" s="115">
        <f>IFERROR(__xludf.DUMMYFUNCTION("""COMPUTED_VALUE"""),20385.0)</f>
        <v>20385</v>
      </c>
      <c r="E2825" s="115">
        <f>IFERROR(__xludf.DUMMYFUNCTION("""COMPUTED_VALUE"""),1901.0)</f>
        <v>1901</v>
      </c>
      <c r="F2825" s="115">
        <f>IFERROR(__xludf.DUMMYFUNCTION("""COMPUTED_VALUE"""),1123.0)</f>
        <v>1123</v>
      </c>
      <c r="G2825" s="115">
        <f>IFERROR(__xludf.DUMMYFUNCTION("""COMPUTED_VALUE"""),68.0)</f>
        <v>68</v>
      </c>
      <c r="H2825" s="116">
        <f>IFERROR(__xludf.DUMMYFUNCTION("""COMPUTED_VALUE"""),45906.0)</f>
        <v>45906</v>
      </c>
      <c r="I2825" s="115" t="str">
        <f>IFERROR(__xludf.DUMMYFUNCTION("""COMPUTED_VALUE"""),"10")</f>
        <v>10</v>
      </c>
      <c r="J2825" s="115" t="str">
        <f>IFERROR(__xludf.DUMMYFUNCTION("""COMPUTED_VALUE"""),"Martin A2025-09-0610")</f>
        <v>Martin A2025-09-0610</v>
      </c>
      <c r="K2825" s="115">
        <f>IFERROR(__xludf.DUMMYFUNCTION("""COMPUTED_VALUE"""),22286.0)</f>
        <v>22286</v>
      </c>
    </row>
    <row r="2826">
      <c r="A2826" s="115" t="str">
        <f>IFERROR(__xludf.DUMMYFUNCTION("""COMPUTED_VALUE"""),"SOUTH")</f>
        <v>SOUTH</v>
      </c>
      <c r="B2826" s="115" t="str">
        <f>IFERROR(__xludf.DUMMYFUNCTION("""COMPUTED_VALUE"""),"Martin A")</f>
        <v>Martin A</v>
      </c>
      <c r="C2826" s="115" t="str">
        <f>IFERROR(__xludf.DUMMYFUNCTION("""COMPUTED_VALUE"""),"FLIPKART")</f>
        <v>FLIPKART</v>
      </c>
      <c r="D2826" s="115">
        <f>IFERROR(__xludf.DUMMYFUNCTION("""COMPUTED_VALUE"""),184273.0)</f>
        <v>184273</v>
      </c>
      <c r="E2826" s="115">
        <f>IFERROR(__xludf.DUMMYFUNCTION("""COMPUTED_VALUE"""),15216.0)</f>
        <v>15216</v>
      </c>
      <c r="F2826" s="115">
        <f>IFERROR(__xludf.DUMMYFUNCTION("""COMPUTED_VALUE"""),17678.0)</f>
        <v>17678</v>
      </c>
      <c r="G2826" s="115">
        <f>IFERROR(__xludf.DUMMYFUNCTION("""COMPUTED_VALUE"""),574.0)</f>
        <v>574</v>
      </c>
      <c r="H2826" s="116">
        <f>IFERROR(__xludf.DUMMYFUNCTION("""COMPUTED_VALUE"""),45906.0)</f>
        <v>45906</v>
      </c>
      <c r="I2826" s="115" t="str">
        <f>IFERROR(__xludf.DUMMYFUNCTION("""COMPUTED_VALUE"""),"10")</f>
        <v>10</v>
      </c>
      <c r="J2826" s="115" t="str">
        <f>IFERROR(__xludf.DUMMYFUNCTION("""COMPUTED_VALUE"""),"Martin A2025-09-0610")</f>
        <v>Martin A2025-09-0610</v>
      </c>
      <c r="K2826" s="115">
        <f>IFERROR(__xludf.DUMMYFUNCTION("""COMPUTED_VALUE"""),199489.0)</f>
        <v>199489</v>
      </c>
    </row>
    <row r="2827">
      <c r="A2827" s="115" t="str">
        <f>IFERROR(__xludf.DUMMYFUNCTION("""COMPUTED_VALUE"""),"SOUTH")</f>
        <v>SOUTH</v>
      </c>
      <c r="B2827" s="115" t="str">
        <f>IFERROR(__xludf.DUMMYFUNCTION("""COMPUTED_VALUE"""),"Martin A")</f>
        <v>Martin A</v>
      </c>
      <c r="C2827" s="115" t="str">
        <f>IFERROR(__xludf.DUMMYFUNCTION("""COMPUTED_VALUE"""),"MYNTRA")</f>
        <v>MYNTRA</v>
      </c>
      <c r="D2827" s="115">
        <f>IFERROR(__xludf.DUMMYFUNCTION("""COMPUTED_VALUE"""),18975.0)</f>
        <v>18975</v>
      </c>
      <c r="E2827" s="115">
        <f>IFERROR(__xludf.DUMMYFUNCTION("""COMPUTED_VALUE"""),3966.0)</f>
        <v>3966</v>
      </c>
      <c r="F2827" s="115">
        <f>IFERROR(__xludf.DUMMYFUNCTION("""COMPUTED_VALUE"""),2332.0)</f>
        <v>2332</v>
      </c>
      <c r="G2827" s="115">
        <f>IFERROR(__xludf.DUMMYFUNCTION("""COMPUTED_VALUE"""),158.0)</f>
        <v>158</v>
      </c>
      <c r="H2827" s="116">
        <f>IFERROR(__xludf.DUMMYFUNCTION("""COMPUTED_VALUE"""),45906.0)</f>
        <v>45906</v>
      </c>
      <c r="I2827" s="115" t="str">
        <f>IFERROR(__xludf.DUMMYFUNCTION("""COMPUTED_VALUE"""),"10")</f>
        <v>10</v>
      </c>
      <c r="J2827" s="115" t="str">
        <f>IFERROR(__xludf.DUMMYFUNCTION("""COMPUTED_VALUE"""),"Martin A2025-09-0610")</f>
        <v>Martin A2025-09-0610</v>
      </c>
      <c r="K2827" s="115">
        <f>IFERROR(__xludf.DUMMYFUNCTION("""COMPUTED_VALUE"""),22941.0)</f>
        <v>22941</v>
      </c>
    </row>
    <row r="2828">
      <c r="A2828" s="115" t="str">
        <f>IFERROR(__xludf.DUMMYFUNCTION("""COMPUTED_VALUE"""),"SOUTH")</f>
        <v>SOUTH</v>
      </c>
      <c r="B2828" s="115" t="str">
        <f>IFERROR(__xludf.DUMMYFUNCTION("""COMPUTED_VALUE"""),"Premkumar M")</f>
        <v>Premkumar M</v>
      </c>
      <c r="C2828" s="115" t="str">
        <f>IFERROR(__xludf.DUMMYFUNCTION("""COMPUTED_VALUE"""),"EXTERNAL")</f>
        <v>EXTERNAL</v>
      </c>
      <c r="D2828" s="115">
        <f>IFERROR(__xludf.DUMMYFUNCTION("""COMPUTED_VALUE"""),11311.0)</f>
        <v>11311</v>
      </c>
      <c r="E2828" s="115">
        <f>IFERROR(__xludf.DUMMYFUNCTION("""COMPUTED_VALUE"""),471.0)</f>
        <v>471</v>
      </c>
      <c r="F2828" s="115">
        <f>IFERROR(__xludf.DUMMYFUNCTION("""COMPUTED_VALUE"""),425.0)</f>
        <v>425</v>
      </c>
      <c r="G2828" s="115">
        <f>IFERROR(__xludf.DUMMYFUNCTION("""COMPUTED_VALUE"""),5.0)</f>
        <v>5</v>
      </c>
      <c r="H2828" s="116">
        <f>IFERROR(__xludf.DUMMYFUNCTION("""COMPUTED_VALUE"""),45906.0)</f>
        <v>45906</v>
      </c>
      <c r="I2828" s="115" t="str">
        <f>IFERROR(__xludf.DUMMYFUNCTION("""COMPUTED_VALUE"""),"10")</f>
        <v>10</v>
      </c>
      <c r="J2828" s="115" t="str">
        <f>IFERROR(__xludf.DUMMYFUNCTION("""COMPUTED_VALUE"""),"Premkumar M2025-09-0610")</f>
        <v>Premkumar M2025-09-0610</v>
      </c>
      <c r="K2828" s="115">
        <f>IFERROR(__xludf.DUMMYFUNCTION("""COMPUTED_VALUE"""),11782.0)</f>
        <v>11782</v>
      </c>
    </row>
    <row r="2829">
      <c r="A2829" s="115" t="str">
        <f>IFERROR(__xludf.DUMMYFUNCTION("""COMPUTED_VALUE"""),"SOUTH")</f>
        <v>SOUTH</v>
      </c>
      <c r="B2829" s="115" t="str">
        <f>IFERROR(__xludf.DUMMYFUNCTION("""COMPUTED_VALUE"""),"Premkumar M")</f>
        <v>Premkumar M</v>
      </c>
      <c r="C2829" s="115" t="str">
        <f>IFERROR(__xludf.DUMMYFUNCTION("""COMPUTED_VALUE"""),"FLIPKART")</f>
        <v>FLIPKART</v>
      </c>
      <c r="D2829" s="115">
        <f>IFERROR(__xludf.DUMMYFUNCTION("""COMPUTED_VALUE"""),112374.0)</f>
        <v>112374</v>
      </c>
      <c r="E2829" s="115">
        <f>IFERROR(__xludf.DUMMYFUNCTION("""COMPUTED_VALUE"""),6268.0)</f>
        <v>6268</v>
      </c>
      <c r="F2829" s="115">
        <f>IFERROR(__xludf.DUMMYFUNCTION("""COMPUTED_VALUE"""),7242.0)</f>
        <v>7242</v>
      </c>
      <c r="G2829" s="115">
        <f>IFERROR(__xludf.DUMMYFUNCTION("""COMPUTED_VALUE"""),196.0)</f>
        <v>196</v>
      </c>
      <c r="H2829" s="116">
        <f>IFERROR(__xludf.DUMMYFUNCTION("""COMPUTED_VALUE"""),45906.0)</f>
        <v>45906</v>
      </c>
      <c r="I2829" s="115" t="str">
        <f>IFERROR(__xludf.DUMMYFUNCTION("""COMPUTED_VALUE"""),"10")</f>
        <v>10</v>
      </c>
      <c r="J2829" s="115" t="str">
        <f>IFERROR(__xludf.DUMMYFUNCTION("""COMPUTED_VALUE"""),"Premkumar M2025-09-0610")</f>
        <v>Premkumar M2025-09-0610</v>
      </c>
      <c r="K2829" s="115">
        <f>IFERROR(__xludf.DUMMYFUNCTION("""COMPUTED_VALUE"""),118642.0)</f>
        <v>118642</v>
      </c>
    </row>
    <row r="2830">
      <c r="A2830" s="115" t="str">
        <f>IFERROR(__xludf.DUMMYFUNCTION("""COMPUTED_VALUE"""),"SOUTH")</f>
        <v>SOUTH</v>
      </c>
      <c r="B2830" s="115" t="str">
        <f>IFERROR(__xludf.DUMMYFUNCTION("""COMPUTED_VALUE"""),"Premkumar M")</f>
        <v>Premkumar M</v>
      </c>
      <c r="C2830" s="115" t="str">
        <f>IFERROR(__xludf.DUMMYFUNCTION("""COMPUTED_VALUE"""),"MYNTRA")</f>
        <v>MYNTRA</v>
      </c>
      <c r="D2830" s="115">
        <f>IFERROR(__xludf.DUMMYFUNCTION("""COMPUTED_VALUE"""),6729.0)</f>
        <v>6729</v>
      </c>
      <c r="E2830" s="115">
        <f>IFERROR(__xludf.DUMMYFUNCTION("""COMPUTED_VALUE"""),1065.0)</f>
        <v>1065</v>
      </c>
      <c r="F2830" s="115">
        <f>IFERROR(__xludf.DUMMYFUNCTION("""COMPUTED_VALUE"""),546.0)</f>
        <v>546</v>
      </c>
      <c r="G2830" s="115">
        <f>IFERROR(__xludf.DUMMYFUNCTION("""COMPUTED_VALUE"""),9.0)</f>
        <v>9</v>
      </c>
      <c r="H2830" s="116">
        <f>IFERROR(__xludf.DUMMYFUNCTION("""COMPUTED_VALUE"""),45906.0)</f>
        <v>45906</v>
      </c>
      <c r="I2830" s="115" t="str">
        <f>IFERROR(__xludf.DUMMYFUNCTION("""COMPUTED_VALUE"""),"10")</f>
        <v>10</v>
      </c>
      <c r="J2830" s="115" t="str">
        <f>IFERROR(__xludf.DUMMYFUNCTION("""COMPUTED_VALUE"""),"Premkumar M2025-09-0610")</f>
        <v>Premkumar M2025-09-0610</v>
      </c>
      <c r="K2830" s="115">
        <f>IFERROR(__xludf.DUMMYFUNCTION("""COMPUTED_VALUE"""),7794.0)</f>
        <v>7794</v>
      </c>
    </row>
    <row r="2831">
      <c r="A2831" s="115" t="str">
        <f>IFERROR(__xludf.DUMMYFUNCTION("""COMPUTED_VALUE"""),"SOUTH")</f>
        <v>SOUTH</v>
      </c>
      <c r="B2831" s="115" t="str">
        <f>IFERROR(__xludf.DUMMYFUNCTION("""COMPUTED_VALUE"""),"Vineeth V")</f>
        <v>Vineeth V</v>
      </c>
      <c r="C2831" s="115" t="str">
        <f>IFERROR(__xludf.DUMMYFUNCTION("""COMPUTED_VALUE"""),"EXTERNAL")</f>
        <v>EXTERNAL</v>
      </c>
      <c r="D2831" s="115">
        <f>IFERROR(__xludf.DUMMYFUNCTION("""COMPUTED_VALUE"""),5863.0)</f>
        <v>5863</v>
      </c>
      <c r="E2831" s="115">
        <f>IFERROR(__xludf.DUMMYFUNCTION("""COMPUTED_VALUE"""),140.0)</f>
        <v>140</v>
      </c>
      <c r="F2831" s="115">
        <f>IFERROR(__xludf.DUMMYFUNCTION("""COMPUTED_VALUE"""),98.0)</f>
        <v>98</v>
      </c>
      <c r="G2831" s="115">
        <f>IFERROR(__xludf.DUMMYFUNCTION("""COMPUTED_VALUE"""),0.0)</f>
        <v>0</v>
      </c>
      <c r="H2831" s="116">
        <f>IFERROR(__xludf.DUMMYFUNCTION("""COMPUTED_VALUE"""),45906.0)</f>
        <v>45906</v>
      </c>
      <c r="I2831" s="115" t="str">
        <f>IFERROR(__xludf.DUMMYFUNCTION("""COMPUTED_VALUE"""),"10")</f>
        <v>10</v>
      </c>
      <c r="J2831" s="115" t="str">
        <f>IFERROR(__xludf.DUMMYFUNCTION("""COMPUTED_VALUE"""),"Vineeth V2025-09-0610")</f>
        <v>Vineeth V2025-09-0610</v>
      </c>
      <c r="K2831" s="115">
        <f>IFERROR(__xludf.DUMMYFUNCTION("""COMPUTED_VALUE"""),6003.0)</f>
        <v>6003</v>
      </c>
    </row>
    <row r="2832">
      <c r="A2832" s="115" t="str">
        <f>IFERROR(__xludf.DUMMYFUNCTION("""COMPUTED_VALUE"""),"SOUTH")</f>
        <v>SOUTH</v>
      </c>
      <c r="B2832" s="115" t="str">
        <f>IFERROR(__xludf.DUMMYFUNCTION("""COMPUTED_VALUE"""),"Vineeth V")</f>
        <v>Vineeth V</v>
      </c>
      <c r="C2832" s="115" t="str">
        <f>IFERROR(__xludf.DUMMYFUNCTION("""COMPUTED_VALUE"""),"FLIPKART")</f>
        <v>FLIPKART</v>
      </c>
      <c r="D2832" s="115">
        <f>IFERROR(__xludf.DUMMYFUNCTION("""COMPUTED_VALUE"""),54866.0)</f>
        <v>54866</v>
      </c>
      <c r="E2832" s="115">
        <f>IFERROR(__xludf.DUMMYFUNCTION("""COMPUTED_VALUE"""),2802.0)</f>
        <v>2802</v>
      </c>
      <c r="F2832" s="115">
        <f>IFERROR(__xludf.DUMMYFUNCTION("""COMPUTED_VALUE"""),1613.0)</f>
        <v>1613</v>
      </c>
      <c r="G2832" s="115">
        <f>IFERROR(__xludf.DUMMYFUNCTION("""COMPUTED_VALUE"""),14.0)</f>
        <v>14</v>
      </c>
      <c r="H2832" s="116">
        <f>IFERROR(__xludf.DUMMYFUNCTION("""COMPUTED_VALUE"""),45906.0)</f>
        <v>45906</v>
      </c>
      <c r="I2832" s="115" t="str">
        <f>IFERROR(__xludf.DUMMYFUNCTION("""COMPUTED_VALUE"""),"10")</f>
        <v>10</v>
      </c>
      <c r="J2832" s="115" t="str">
        <f>IFERROR(__xludf.DUMMYFUNCTION("""COMPUTED_VALUE"""),"Vineeth V2025-09-0610")</f>
        <v>Vineeth V2025-09-0610</v>
      </c>
      <c r="K2832" s="115">
        <f>IFERROR(__xludf.DUMMYFUNCTION("""COMPUTED_VALUE"""),57668.0)</f>
        <v>57668</v>
      </c>
    </row>
    <row r="2833">
      <c r="A2833" s="115" t="str">
        <f>IFERROR(__xludf.DUMMYFUNCTION("""COMPUTED_VALUE"""),"SOUTH")</f>
        <v>SOUTH</v>
      </c>
      <c r="B2833" s="115" t="str">
        <f>IFERROR(__xludf.DUMMYFUNCTION("""COMPUTED_VALUE"""),"Vineeth V")</f>
        <v>Vineeth V</v>
      </c>
      <c r="C2833" s="115" t="str">
        <f>IFERROR(__xludf.DUMMYFUNCTION("""COMPUTED_VALUE"""),"MYNTRA")</f>
        <v>MYNTRA</v>
      </c>
      <c r="D2833" s="115">
        <f>IFERROR(__xludf.DUMMYFUNCTION("""COMPUTED_VALUE"""),7121.0)</f>
        <v>7121</v>
      </c>
      <c r="E2833" s="115">
        <f>IFERROR(__xludf.DUMMYFUNCTION("""COMPUTED_VALUE"""),742.0)</f>
        <v>742</v>
      </c>
      <c r="F2833" s="115">
        <f>IFERROR(__xludf.DUMMYFUNCTION("""COMPUTED_VALUE"""),249.0)</f>
        <v>249</v>
      </c>
      <c r="G2833" s="115">
        <f>IFERROR(__xludf.DUMMYFUNCTION("""COMPUTED_VALUE"""),6.0)</f>
        <v>6</v>
      </c>
      <c r="H2833" s="116">
        <f>IFERROR(__xludf.DUMMYFUNCTION("""COMPUTED_VALUE"""),45906.0)</f>
        <v>45906</v>
      </c>
      <c r="I2833" s="115" t="str">
        <f>IFERROR(__xludf.DUMMYFUNCTION("""COMPUTED_VALUE"""),"10")</f>
        <v>10</v>
      </c>
      <c r="J2833" s="115" t="str">
        <f>IFERROR(__xludf.DUMMYFUNCTION("""COMPUTED_VALUE"""),"Vineeth V2025-09-0610")</f>
        <v>Vineeth V2025-09-0610</v>
      </c>
      <c r="K2833" s="115">
        <f>IFERROR(__xludf.DUMMYFUNCTION("""COMPUTED_VALUE"""),7863.0)</f>
        <v>7863</v>
      </c>
    </row>
    <row r="2834">
      <c r="A2834" s="115" t="str">
        <f>IFERROR(__xludf.DUMMYFUNCTION("""COMPUTED_VALUE"""),"WEST")</f>
        <v>WEST</v>
      </c>
      <c r="B2834" s="115" t="str">
        <f>IFERROR(__xludf.DUMMYFUNCTION("""COMPUTED_VALUE"""),"Ashish Jakar")</f>
        <v>Ashish Jakar</v>
      </c>
      <c r="C2834" s="115" t="str">
        <f>IFERROR(__xludf.DUMMYFUNCTION("""COMPUTED_VALUE"""),"EXTERNAL")</f>
        <v>EXTERNAL</v>
      </c>
      <c r="D2834" s="115">
        <f>IFERROR(__xludf.DUMMYFUNCTION("""COMPUTED_VALUE"""),25174.0)</f>
        <v>25174</v>
      </c>
      <c r="E2834" s="115">
        <f>IFERROR(__xludf.DUMMYFUNCTION("""COMPUTED_VALUE"""),3336.0)</f>
        <v>3336</v>
      </c>
      <c r="F2834" s="115">
        <f>IFERROR(__xludf.DUMMYFUNCTION("""COMPUTED_VALUE"""),1444.0)</f>
        <v>1444</v>
      </c>
      <c r="G2834" s="115">
        <f>IFERROR(__xludf.DUMMYFUNCTION("""COMPUTED_VALUE"""),103.0)</f>
        <v>103</v>
      </c>
      <c r="H2834" s="116">
        <f>IFERROR(__xludf.DUMMYFUNCTION("""COMPUTED_VALUE"""),45906.0)</f>
        <v>45906</v>
      </c>
      <c r="I2834" s="115" t="str">
        <f>IFERROR(__xludf.DUMMYFUNCTION("""COMPUTED_VALUE"""),"10")</f>
        <v>10</v>
      </c>
      <c r="J2834" s="115" t="str">
        <f>IFERROR(__xludf.DUMMYFUNCTION("""COMPUTED_VALUE"""),"Ashish Jakar2025-09-0610")</f>
        <v>Ashish Jakar2025-09-0610</v>
      </c>
      <c r="K2834" s="115">
        <f>IFERROR(__xludf.DUMMYFUNCTION("""COMPUTED_VALUE"""),28510.0)</f>
        <v>28510</v>
      </c>
    </row>
    <row r="2835">
      <c r="A2835" s="115" t="str">
        <f>IFERROR(__xludf.DUMMYFUNCTION("""COMPUTED_VALUE"""),"WEST")</f>
        <v>WEST</v>
      </c>
      <c r="B2835" s="115" t="str">
        <f>IFERROR(__xludf.DUMMYFUNCTION("""COMPUTED_VALUE"""),"Ashish Jakar")</f>
        <v>Ashish Jakar</v>
      </c>
      <c r="C2835" s="115" t="str">
        <f>IFERROR(__xludf.DUMMYFUNCTION("""COMPUTED_VALUE"""),"FLIPKART")</f>
        <v>FLIPKART</v>
      </c>
      <c r="D2835" s="115">
        <f>IFERROR(__xludf.DUMMYFUNCTION("""COMPUTED_VALUE"""),134413.0)</f>
        <v>134413</v>
      </c>
      <c r="E2835" s="115">
        <f>IFERROR(__xludf.DUMMYFUNCTION("""COMPUTED_VALUE"""),15050.0)</f>
        <v>15050</v>
      </c>
      <c r="F2835" s="115">
        <f>IFERROR(__xludf.DUMMYFUNCTION("""COMPUTED_VALUE"""),13129.0)</f>
        <v>13129</v>
      </c>
      <c r="G2835" s="115">
        <f>IFERROR(__xludf.DUMMYFUNCTION("""COMPUTED_VALUE"""),456.0)</f>
        <v>456</v>
      </c>
      <c r="H2835" s="116">
        <f>IFERROR(__xludf.DUMMYFUNCTION("""COMPUTED_VALUE"""),45906.0)</f>
        <v>45906</v>
      </c>
      <c r="I2835" s="115" t="str">
        <f>IFERROR(__xludf.DUMMYFUNCTION("""COMPUTED_VALUE"""),"10")</f>
        <v>10</v>
      </c>
      <c r="J2835" s="115" t="str">
        <f>IFERROR(__xludf.DUMMYFUNCTION("""COMPUTED_VALUE"""),"Ashish Jakar2025-09-0610")</f>
        <v>Ashish Jakar2025-09-0610</v>
      </c>
      <c r="K2835" s="115">
        <f>IFERROR(__xludf.DUMMYFUNCTION("""COMPUTED_VALUE"""),149463.0)</f>
        <v>149463</v>
      </c>
    </row>
    <row r="2836">
      <c r="A2836" s="115" t="str">
        <f>IFERROR(__xludf.DUMMYFUNCTION("""COMPUTED_VALUE"""),"WEST")</f>
        <v>WEST</v>
      </c>
      <c r="B2836" s="115" t="str">
        <f>IFERROR(__xludf.DUMMYFUNCTION("""COMPUTED_VALUE"""),"Ashish Jakar")</f>
        <v>Ashish Jakar</v>
      </c>
      <c r="C2836" s="115" t="str">
        <f>IFERROR(__xludf.DUMMYFUNCTION("""COMPUTED_VALUE"""),"MYNTRA")</f>
        <v>MYNTRA</v>
      </c>
      <c r="D2836" s="115">
        <f>IFERROR(__xludf.DUMMYFUNCTION("""COMPUTED_VALUE"""),19699.0)</f>
        <v>19699</v>
      </c>
      <c r="E2836" s="115">
        <f>IFERROR(__xludf.DUMMYFUNCTION("""COMPUTED_VALUE"""),5236.0)</f>
        <v>5236</v>
      </c>
      <c r="F2836" s="115">
        <f>IFERROR(__xludf.DUMMYFUNCTION("""COMPUTED_VALUE"""),2497.0)</f>
        <v>2497</v>
      </c>
      <c r="G2836" s="115">
        <f>IFERROR(__xludf.DUMMYFUNCTION("""COMPUTED_VALUE"""),140.0)</f>
        <v>140</v>
      </c>
      <c r="H2836" s="116">
        <f>IFERROR(__xludf.DUMMYFUNCTION("""COMPUTED_VALUE"""),45906.0)</f>
        <v>45906</v>
      </c>
      <c r="I2836" s="115" t="str">
        <f>IFERROR(__xludf.DUMMYFUNCTION("""COMPUTED_VALUE"""),"10")</f>
        <v>10</v>
      </c>
      <c r="J2836" s="115" t="str">
        <f>IFERROR(__xludf.DUMMYFUNCTION("""COMPUTED_VALUE"""),"Ashish Jakar2025-09-0610")</f>
        <v>Ashish Jakar2025-09-0610</v>
      </c>
      <c r="K2836" s="115">
        <f>IFERROR(__xludf.DUMMYFUNCTION("""COMPUTED_VALUE"""),24935.0)</f>
        <v>24935</v>
      </c>
    </row>
    <row r="2837">
      <c r="A2837" s="115" t="str">
        <f>IFERROR(__xludf.DUMMYFUNCTION("""COMPUTED_VALUE"""),"WEST")</f>
        <v>WEST</v>
      </c>
      <c r="B2837" s="115" t="str">
        <f>IFERROR(__xludf.DUMMYFUNCTION("""COMPUTED_VALUE"""),"Ashvani Bhatt")</f>
        <v>Ashvani Bhatt</v>
      </c>
      <c r="C2837" s="115" t="str">
        <f>IFERROR(__xludf.DUMMYFUNCTION("""COMPUTED_VALUE"""),"EXTERNAL")</f>
        <v>EXTERNAL</v>
      </c>
      <c r="D2837" s="115">
        <f>IFERROR(__xludf.DUMMYFUNCTION("""COMPUTED_VALUE"""),17637.0)</f>
        <v>17637</v>
      </c>
      <c r="E2837" s="115">
        <f>IFERROR(__xludf.DUMMYFUNCTION("""COMPUTED_VALUE"""),1192.0)</f>
        <v>1192</v>
      </c>
      <c r="F2837" s="115">
        <f>IFERROR(__xludf.DUMMYFUNCTION("""COMPUTED_VALUE"""),1012.0)</f>
        <v>1012</v>
      </c>
      <c r="G2837" s="115">
        <f>IFERROR(__xludf.DUMMYFUNCTION("""COMPUTED_VALUE"""),25.0)</f>
        <v>25</v>
      </c>
      <c r="H2837" s="116">
        <f>IFERROR(__xludf.DUMMYFUNCTION("""COMPUTED_VALUE"""),45906.0)</f>
        <v>45906</v>
      </c>
      <c r="I2837" s="115" t="str">
        <f>IFERROR(__xludf.DUMMYFUNCTION("""COMPUTED_VALUE"""),"10")</f>
        <v>10</v>
      </c>
      <c r="J2837" s="115" t="str">
        <f>IFERROR(__xludf.DUMMYFUNCTION("""COMPUTED_VALUE"""),"Ashvani Bhatt2025-09-0610")</f>
        <v>Ashvani Bhatt2025-09-0610</v>
      </c>
      <c r="K2837" s="115">
        <f>IFERROR(__xludf.DUMMYFUNCTION("""COMPUTED_VALUE"""),18829.0)</f>
        <v>18829</v>
      </c>
    </row>
    <row r="2838">
      <c r="A2838" s="115" t="str">
        <f>IFERROR(__xludf.DUMMYFUNCTION("""COMPUTED_VALUE"""),"WEST")</f>
        <v>WEST</v>
      </c>
      <c r="B2838" s="115" t="str">
        <f>IFERROR(__xludf.DUMMYFUNCTION("""COMPUTED_VALUE"""),"Ashvani Bhatt")</f>
        <v>Ashvani Bhatt</v>
      </c>
      <c r="C2838" s="115" t="str">
        <f>IFERROR(__xludf.DUMMYFUNCTION("""COMPUTED_VALUE"""),"FLIPKART")</f>
        <v>FLIPKART</v>
      </c>
      <c r="D2838" s="115">
        <f>IFERROR(__xludf.DUMMYFUNCTION("""COMPUTED_VALUE"""),134883.0)</f>
        <v>134883</v>
      </c>
      <c r="E2838" s="115">
        <f>IFERROR(__xludf.DUMMYFUNCTION("""COMPUTED_VALUE"""),11609.0)</f>
        <v>11609</v>
      </c>
      <c r="F2838" s="115">
        <f>IFERROR(__xludf.DUMMYFUNCTION("""COMPUTED_VALUE"""),12426.0)</f>
        <v>12426</v>
      </c>
      <c r="G2838" s="115">
        <f>IFERROR(__xludf.DUMMYFUNCTION("""COMPUTED_VALUE"""),335.0)</f>
        <v>335</v>
      </c>
      <c r="H2838" s="116">
        <f>IFERROR(__xludf.DUMMYFUNCTION("""COMPUTED_VALUE"""),45906.0)</f>
        <v>45906</v>
      </c>
      <c r="I2838" s="115" t="str">
        <f>IFERROR(__xludf.DUMMYFUNCTION("""COMPUTED_VALUE"""),"10")</f>
        <v>10</v>
      </c>
      <c r="J2838" s="115" t="str">
        <f>IFERROR(__xludf.DUMMYFUNCTION("""COMPUTED_VALUE"""),"Ashvani Bhatt2025-09-0610")</f>
        <v>Ashvani Bhatt2025-09-0610</v>
      </c>
      <c r="K2838" s="115">
        <f>IFERROR(__xludf.DUMMYFUNCTION("""COMPUTED_VALUE"""),146492.0)</f>
        <v>146492</v>
      </c>
    </row>
    <row r="2839">
      <c r="A2839" s="115" t="str">
        <f>IFERROR(__xludf.DUMMYFUNCTION("""COMPUTED_VALUE"""),"WEST")</f>
        <v>WEST</v>
      </c>
      <c r="B2839" s="115" t="str">
        <f>IFERROR(__xludf.DUMMYFUNCTION("""COMPUTED_VALUE"""),"Ashvani Bhatt")</f>
        <v>Ashvani Bhatt</v>
      </c>
      <c r="C2839" s="115" t="str">
        <f>IFERROR(__xludf.DUMMYFUNCTION("""COMPUTED_VALUE"""),"MYNTRA")</f>
        <v>MYNTRA</v>
      </c>
      <c r="D2839" s="115">
        <f>IFERROR(__xludf.DUMMYFUNCTION("""COMPUTED_VALUE"""),18138.0)</f>
        <v>18138</v>
      </c>
      <c r="E2839" s="115">
        <f>IFERROR(__xludf.DUMMYFUNCTION("""COMPUTED_VALUE"""),3746.0)</f>
        <v>3746</v>
      </c>
      <c r="F2839" s="115">
        <f>IFERROR(__xludf.DUMMYFUNCTION("""COMPUTED_VALUE"""),2265.0)</f>
        <v>2265</v>
      </c>
      <c r="G2839" s="115">
        <f>IFERROR(__xludf.DUMMYFUNCTION("""COMPUTED_VALUE"""),109.0)</f>
        <v>109</v>
      </c>
      <c r="H2839" s="116">
        <f>IFERROR(__xludf.DUMMYFUNCTION("""COMPUTED_VALUE"""),45906.0)</f>
        <v>45906</v>
      </c>
      <c r="I2839" s="115" t="str">
        <f>IFERROR(__xludf.DUMMYFUNCTION("""COMPUTED_VALUE"""),"10")</f>
        <v>10</v>
      </c>
      <c r="J2839" s="115" t="str">
        <f>IFERROR(__xludf.DUMMYFUNCTION("""COMPUTED_VALUE"""),"Ashvani Bhatt2025-09-0610")</f>
        <v>Ashvani Bhatt2025-09-0610</v>
      </c>
      <c r="K2839" s="115">
        <f>IFERROR(__xludf.DUMMYFUNCTION("""COMPUTED_VALUE"""),21884.0)</f>
        <v>21884</v>
      </c>
    </row>
    <row r="2840">
      <c r="A2840" s="115"/>
      <c r="B2840" s="115"/>
      <c r="C2840" s="115" t="str">
        <f>IFERROR(__xludf.DUMMYFUNCTION("""COMPUTED_VALUE"""),"EXTERNAL")</f>
        <v>EXTERNAL</v>
      </c>
      <c r="D2840" s="115">
        <f>IFERROR(__xludf.DUMMYFUNCTION("""COMPUTED_VALUE"""),195.0)</f>
        <v>195</v>
      </c>
      <c r="E2840" s="115">
        <f>IFERROR(__xludf.DUMMYFUNCTION("""COMPUTED_VALUE"""),75.0)</f>
        <v>75</v>
      </c>
      <c r="F2840" s="115">
        <f>IFERROR(__xludf.DUMMYFUNCTION("""COMPUTED_VALUE"""),5.0)</f>
        <v>5</v>
      </c>
      <c r="G2840" s="115">
        <f>IFERROR(__xludf.DUMMYFUNCTION("""COMPUTED_VALUE"""),7.0)</f>
        <v>7</v>
      </c>
      <c r="H2840" s="116">
        <f>IFERROR(__xludf.DUMMYFUNCTION("""COMPUTED_VALUE"""),45906.0)</f>
        <v>45906</v>
      </c>
      <c r="I2840" s="115" t="str">
        <f>IFERROR(__xludf.DUMMYFUNCTION("""COMPUTED_VALUE"""),"10")</f>
        <v>10</v>
      </c>
      <c r="J2840" s="115" t="str">
        <f>IFERROR(__xludf.DUMMYFUNCTION("""COMPUTED_VALUE"""),"2025-09-0610")</f>
        <v>2025-09-0610</v>
      </c>
      <c r="K2840" s="115">
        <f>IFERROR(__xludf.DUMMYFUNCTION("""COMPUTED_VALUE"""),270.0)</f>
        <v>270</v>
      </c>
    </row>
    <row r="2841">
      <c r="A2841" s="115"/>
      <c r="B2841" s="115"/>
      <c r="C2841" s="115" t="str">
        <f>IFERROR(__xludf.DUMMYFUNCTION("""COMPUTED_VALUE"""),"FLIPKART")</f>
        <v>FLIPKART</v>
      </c>
      <c r="D2841" s="115">
        <f>IFERROR(__xludf.DUMMYFUNCTION("""COMPUTED_VALUE"""),1745.0)</f>
        <v>1745</v>
      </c>
      <c r="E2841" s="115">
        <f>IFERROR(__xludf.DUMMYFUNCTION("""COMPUTED_VALUE"""),383.0)</f>
        <v>383</v>
      </c>
      <c r="F2841" s="115">
        <f>IFERROR(__xludf.DUMMYFUNCTION("""COMPUTED_VALUE"""),122.0)</f>
        <v>122</v>
      </c>
      <c r="G2841" s="115">
        <f>IFERROR(__xludf.DUMMYFUNCTION("""COMPUTED_VALUE"""),13.0)</f>
        <v>13</v>
      </c>
      <c r="H2841" s="116">
        <f>IFERROR(__xludf.DUMMYFUNCTION("""COMPUTED_VALUE"""),45906.0)</f>
        <v>45906</v>
      </c>
      <c r="I2841" s="115" t="str">
        <f>IFERROR(__xludf.DUMMYFUNCTION("""COMPUTED_VALUE"""),"10")</f>
        <v>10</v>
      </c>
      <c r="J2841" s="115" t="str">
        <f>IFERROR(__xludf.DUMMYFUNCTION("""COMPUTED_VALUE"""),"2025-09-0610")</f>
        <v>2025-09-0610</v>
      </c>
      <c r="K2841" s="115">
        <f>IFERROR(__xludf.DUMMYFUNCTION("""COMPUTED_VALUE"""),2128.0)</f>
        <v>2128</v>
      </c>
    </row>
    <row r="2842">
      <c r="A2842" s="115"/>
      <c r="B2842" s="115"/>
      <c r="C2842" s="115" t="str">
        <f>IFERROR(__xludf.DUMMYFUNCTION("""COMPUTED_VALUE"""),"MYNTRA")</f>
        <v>MYNTRA</v>
      </c>
      <c r="D2842" s="115">
        <f>IFERROR(__xludf.DUMMYFUNCTION("""COMPUTED_VALUE"""),279.0)</f>
        <v>279</v>
      </c>
      <c r="E2842" s="115">
        <f>IFERROR(__xludf.DUMMYFUNCTION("""COMPUTED_VALUE"""),127.0)</f>
        <v>127</v>
      </c>
      <c r="F2842" s="115">
        <f>IFERROR(__xludf.DUMMYFUNCTION("""COMPUTED_VALUE"""),5.0)</f>
        <v>5</v>
      </c>
      <c r="G2842" s="115">
        <f>IFERROR(__xludf.DUMMYFUNCTION("""COMPUTED_VALUE"""),10.0)</f>
        <v>10</v>
      </c>
      <c r="H2842" s="116">
        <f>IFERROR(__xludf.DUMMYFUNCTION("""COMPUTED_VALUE"""),45906.0)</f>
        <v>45906</v>
      </c>
      <c r="I2842" s="115" t="str">
        <f>IFERROR(__xludf.DUMMYFUNCTION("""COMPUTED_VALUE"""),"10")</f>
        <v>10</v>
      </c>
      <c r="J2842" s="115" t="str">
        <f>IFERROR(__xludf.DUMMYFUNCTION("""COMPUTED_VALUE"""),"2025-09-0610")</f>
        <v>2025-09-0610</v>
      </c>
      <c r="K2842" s="115">
        <f>IFERROR(__xludf.DUMMYFUNCTION("""COMPUTED_VALUE"""),406.0)</f>
        <v>406</v>
      </c>
    </row>
    <row r="2843">
      <c r="A2843" s="115" t="str">
        <f>IFERROR(__xludf.DUMMYFUNCTION("""COMPUTED_VALUE"""),"EAST")</f>
        <v>EAST</v>
      </c>
      <c r="B2843" s="115" t="str">
        <f>IFERROR(__xludf.DUMMYFUNCTION("""COMPUTED_VALUE"""),"Ashish Ranjan")</f>
        <v>Ashish Ranjan</v>
      </c>
      <c r="C2843" s="115" t="str">
        <f>IFERROR(__xludf.DUMMYFUNCTION("""COMPUTED_VALUE"""),"EXTERNAL")</f>
        <v>EXTERNAL</v>
      </c>
      <c r="D2843" s="115">
        <f>IFERROR(__xludf.DUMMYFUNCTION("""COMPUTED_VALUE"""),33584.0)</f>
        <v>33584</v>
      </c>
      <c r="E2843" s="115">
        <f>IFERROR(__xludf.DUMMYFUNCTION("""COMPUTED_VALUE"""),2085.0)</f>
        <v>2085</v>
      </c>
      <c r="F2843" s="115">
        <f>IFERROR(__xludf.DUMMYFUNCTION("""COMPUTED_VALUE"""),4456.0)</f>
        <v>4456</v>
      </c>
      <c r="G2843" s="115">
        <f>IFERROR(__xludf.DUMMYFUNCTION("""COMPUTED_VALUE"""),73.0)</f>
        <v>73</v>
      </c>
      <c r="H2843" s="116">
        <f>IFERROR(__xludf.DUMMYFUNCTION("""COMPUTED_VALUE"""),45906.0)</f>
        <v>45906</v>
      </c>
      <c r="I2843" s="115" t="str">
        <f>IFERROR(__xludf.DUMMYFUNCTION("""COMPUTED_VALUE"""),"11")</f>
        <v>11</v>
      </c>
      <c r="J2843" s="115" t="str">
        <f>IFERROR(__xludf.DUMMYFUNCTION("""COMPUTED_VALUE"""),"Ashish Ranjan2025-09-0611")</f>
        <v>Ashish Ranjan2025-09-0611</v>
      </c>
      <c r="K2843" s="115">
        <f>IFERROR(__xludf.DUMMYFUNCTION("""COMPUTED_VALUE"""),35669.0)</f>
        <v>35669</v>
      </c>
    </row>
    <row r="2844">
      <c r="A2844" s="115" t="str">
        <f>IFERROR(__xludf.DUMMYFUNCTION("""COMPUTED_VALUE"""),"EAST")</f>
        <v>EAST</v>
      </c>
      <c r="B2844" s="115" t="str">
        <f>IFERROR(__xludf.DUMMYFUNCTION("""COMPUTED_VALUE"""),"Ashish Ranjan")</f>
        <v>Ashish Ranjan</v>
      </c>
      <c r="C2844" s="115" t="str">
        <f>IFERROR(__xludf.DUMMYFUNCTION("""COMPUTED_VALUE"""),"FLIPKART")</f>
        <v>FLIPKART</v>
      </c>
      <c r="D2844" s="115">
        <f>IFERROR(__xludf.DUMMYFUNCTION("""COMPUTED_VALUE"""),536680.0)</f>
        <v>536680</v>
      </c>
      <c r="E2844" s="115">
        <f>IFERROR(__xludf.DUMMYFUNCTION("""COMPUTED_VALUE"""),42370.0)</f>
        <v>42370</v>
      </c>
      <c r="F2844" s="115">
        <f>IFERROR(__xludf.DUMMYFUNCTION("""COMPUTED_VALUE"""),114218.0)</f>
        <v>114218</v>
      </c>
      <c r="G2844" s="115">
        <f>IFERROR(__xludf.DUMMYFUNCTION("""COMPUTED_VALUE"""),2521.0)</f>
        <v>2521</v>
      </c>
      <c r="H2844" s="116">
        <f>IFERROR(__xludf.DUMMYFUNCTION("""COMPUTED_VALUE"""),45906.0)</f>
        <v>45906</v>
      </c>
      <c r="I2844" s="115" t="str">
        <f>IFERROR(__xludf.DUMMYFUNCTION("""COMPUTED_VALUE"""),"11")</f>
        <v>11</v>
      </c>
      <c r="J2844" s="115" t="str">
        <f>IFERROR(__xludf.DUMMYFUNCTION("""COMPUTED_VALUE"""),"Ashish Ranjan2025-09-0611")</f>
        <v>Ashish Ranjan2025-09-0611</v>
      </c>
      <c r="K2844" s="115">
        <f>IFERROR(__xludf.DUMMYFUNCTION("""COMPUTED_VALUE"""),579050.0)</f>
        <v>579050</v>
      </c>
    </row>
    <row r="2845">
      <c r="A2845" s="115" t="str">
        <f>IFERROR(__xludf.DUMMYFUNCTION("""COMPUTED_VALUE"""),"EAST")</f>
        <v>EAST</v>
      </c>
      <c r="B2845" s="115" t="str">
        <f>IFERROR(__xludf.DUMMYFUNCTION("""COMPUTED_VALUE"""),"Ashish Ranjan")</f>
        <v>Ashish Ranjan</v>
      </c>
      <c r="C2845" s="115" t="str">
        <f>IFERROR(__xludf.DUMMYFUNCTION("""COMPUTED_VALUE"""),"MYNTRA")</f>
        <v>MYNTRA</v>
      </c>
      <c r="D2845" s="115">
        <f>IFERROR(__xludf.DUMMYFUNCTION("""COMPUTED_VALUE"""),53520.0)</f>
        <v>53520</v>
      </c>
      <c r="E2845" s="115">
        <f>IFERROR(__xludf.DUMMYFUNCTION("""COMPUTED_VALUE"""),10155.0)</f>
        <v>10155</v>
      </c>
      <c r="F2845" s="115">
        <f>IFERROR(__xludf.DUMMYFUNCTION("""COMPUTED_VALUE"""),11524.0)</f>
        <v>11524</v>
      </c>
      <c r="G2845" s="115">
        <f>IFERROR(__xludf.DUMMYFUNCTION("""COMPUTED_VALUE"""),593.0)</f>
        <v>593</v>
      </c>
      <c r="H2845" s="116">
        <f>IFERROR(__xludf.DUMMYFUNCTION("""COMPUTED_VALUE"""),45906.0)</f>
        <v>45906</v>
      </c>
      <c r="I2845" s="115" t="str">
        <f>IFERROR(__xludf.DUMMYFUNCTION("""COMPUTED_VALUE"""),"11")</f>
        <v>11</v>
      </c>
      <c r="J2845" s="115" t="str">
        <f>IFERROR(__xludf.DUMMYFUNCTION("""COMPUTED_VALUE"""),"Ashish Ranjan2025-09-0611")</f>
        <v>Ashish Ranjan2025-09-0611</v>
      </c>
      <c r="K2845" s="115">
        <f>IFERROR(__xludf.DUMMYFUNCTION("""COMPUTED_VALUE"""),63675.0)</f>
        <v>63675</v>
      </c>
    </row>
    <row r="2846">
      <c r="A2846" s="115" t="str">
        <f>IFERROR(__xludf.DUMMYFUNCTION("""COMPUTED_VALUE"""),"EAST")</f>
        <v>EAST</v>
      </c>
      <c r="B2846" s="115" t="str">
        <f>IFERROR(__xludf.DUMMYFUNCTION("""COMPUTED_VALUE"""),"Girish Chand")</f>
        <v>Girish Chand</v>
      </c>
      <c r="C2846" s="115" t="str">
        <f>IFERROR(__xludf.DUMMYFUNCTION("""COMPUTED_VALUE"""),"EXTERNAL")</f>
        <v>EXTERNAL</v>
      </c>
      <c r="D2846" s="115">
        <f>IFERROR(__xludf.DUMMYFUNCTION("""COMPUTED_VALUE"""),20771.0)</f>
        <v>20771</v>
      </c>
      <c r="E2846" s="115">
        <f>IFERROR(__xludf.DUMMYFUNCTION("""COMPUTED_VALUE"""),1536.0)</f>
        <v>1536</v>
      </c>
      <c r="F2846" s="115">
        <f>IFERROR(__xludf.DUMMYFUNCTION("""COMPUTED_VALUE"""),1546.0)</f>
        <v>1546</v>
      </c>
      <c r="G2846" s="115">
        <f>IFERROR(__xludf.DUMMYFUNCTION("""COMPUTED_VALUE"""),21.0)</f>
        <v>21</v>
      </c>
      <c r="H2846" s="116">
        <f>IFERROR(__xludf.DUMMYFUNCTION("""COMPUTED_VALUE"""),45906.0)</f>
        <v>45906</v>
      </c>
      <c r="I2846" s="115" t="str">
        <f>IFERROR(__xludf.DUMMYFUNCTION("""COMPUTED_VALUE"""),"11")</f>
        <v>11</v>
      </c>
      <c r="J2846" s="115" t="str">
        <f>IFERROR(__xludf.DUMMYFUNCTION("""COMPUTED_VALUE"""),"Girish Chand2025-09-0611")</f>
        <v>Girish Chand2025-09-0611</v>
      </c>
      <c r="K2846" s="115">
        <f>IFERROR(__xludf.DUMMYFUNCTION("""COMPUTED_VALUE"""),22307.0)</f>
        <v>22307</v>
      </c>
    </row>
    <row r="2847">
      <c r="A2847" s="115" t="str">
        <f>IFERROR(__xludf.DUMMYFUNCTION("""COMPUTED_VALUE"""),"EAST")</f>
        <v>EAST</v>
      </c>
      <c r="B2847" s="115" t="str">
        <f>IFERROR(__xludf.DUMMYFUNCTION("""COMPUTED_VALUE"""),"Girish Chand")</f>
        <v>Girish Chand</v>
      </c>
      <c r="C2847" s="115" t="str">
        <f>IFERROR(__xludf.DUMMYFUNCTION("""COMPUTED_VALUE"""),"FLIPKART")</f>
        <v>FLIPKART</v>
      </c>
      <c r="D2847" s="115">
        <f>IFERROR(__xludf.DUMMYFUNCTION("""COMPUTED_VALUE"""),377497.0)</f>
        <v>377497</v>
      </c>
      <c r="E2847" s="115">
        <f>IFERROR(__xludf.DUMMYFUNCTION("""COMPUTED_VALUE"""),27765.0)</f>
        <v>27765</v>
      </c>
      <c r="F2847" s="115">
        <f>IFERROR(__xludf.DUMMYFUNCTION("""COMPUTED_VALUE"""),48248.0)</f>
        <v>48248</v>
      </c>
      <c r="G2847" s="115">
        <f>IFERROR(__xludf.DUMMYFUNCTION("""COMPUTED_VALUE"""),869.0)</f>
        <v>869</v>
      </c>
      <c r="H2847" s="116">
        <f>IFERROR(__xludf.DUMMYFUNCTION("""COMPUTED_VALUE"""),45906.0)</f>
        <v>45906</v>
      </c>
      <c r="I2847" s="115" t="str">
        <f>IFERROR(__xludf.DUMMYFUNCTION("""COMPUTED_VALUE"""),"11")</f>
        <v>11</v>
      </c>
      <c r="J2847" s="115" t="str">
        <f>IFERROR(__xludf.DUMMYFUNCTION("""COMPUTED_VALUE"""),"Girish Chand2025-09-0611")</f>
        <v>Girish Chand2025-09-0611</v>
      </c>
      <c r="K2847" s="115">
        <f>IFERROR(__xludf.DUMMYFUNCTION("""COMPUTED_VALUE"""),405262.0)</f>
        <v>405262</v>
      </c>
    </row>
    <row r="2848">
      <c r="A2848" s="115" t="str">
        <f>IFERROR(__xludf.DUMMYFUNCTION("""COMPUTED_VALUE"""),"EAST")</f>
        <v>EAST</v>
      </c>
      <c r="B2848" s="115" t="str">
        <f>IFERROR(__xludf.DUMMYFUNCTION("""COMPUTED_VALUE"""),"Girish Chand")</f>
        <v>Girish Chand</v>
      </c>
      <c r="C2848" s="115" t="str">
        <f>IFERROR(__xludf.DUMMYFUNCTION("""COMPUTED_VALUE"""),"MYNTRA")</f>
        <v>MYNTRA</v>
      </c>
      <c r="D2848" s="115">
        <f>IFERROR(__xludf.DUMMYFUNCTION("""COMPUTED_VALUE"""),32045.0)</f>
        <v>32045</v>
      </c>
      <c r="E2848" s="115">
        <f>IFERROR(__xludf.DUMMYFUNCTION("""COMPUTED_VALUE"""),5275.0)</f>
        <v>5275</v>
      </c>
      <c r="F2848" s="115">
        <f>IFERROR(__xludf.DUMMYFUNCTION("""COMPUTED_VALUE"""),4805.0)</f>
        <v>4805</v>
      </c>
      <c r="G2848" s="115">
        <f>IFERROR(__xludf.DUMMYFUNCTION("""COMPUTED_VALUE"""),277.0)</f>
        <v>277</v>
      </c>
      <c r="H2848" s="116">
        <f>IFERROR(__xludf.DUMMYFUNCTION("""COMPUTED_VALUE"""),45906.0)</f>
        <v>45906</v>
      </c>
      <c r="I2848" s="115" t="str">
        <f>IFERROR(__xludf.DUMMYFUNCTION("""COMPUTED_VALUE"""),"11")</f>
        <v>11</v>
      </c>
      <c r="J2848" s="115" t="str">
        <f>IFERROR(__xludf.DUMMYFUNCTION("""COMPUTED_VALUE"""),"Girish Chand2025-09-0611")</f>
        <v>Girish Chand2025-09-0611</v>
      </c>
      <c r="K2848" s="115">
        <f>IFERROR(__xludf.DUMMYFUNCTION("""COMPUTED_VALUE"""),37320.0)</f>
        <v>37320</v>
      </c>
    </row>
    <row r="2849">
      <c r="A2849" s="115" t="str">
        <f>IFERROR(__xludf.DUMMYFUNCTION("""COMPUTED_VALUE"""),"EAST")</f>
        <v>EAST</v>
      </c>
      <c r="B2849" s="115" t="str">
        <f>IFERROR(__xludf.DUMMYFUNCTION("""COMPUTED_VALUE"""),"Parag Kashyap")</f>
        <v>Parag Kashyap</v>
      </c>
      <c r="C2849" s="115" t="str">
        <f>IFERROR(__xludf.DUMMYFUNCTION("""COMPUTED_VALUE"""),"EXTERNAL")</f>
        <v>EXTERNAL</v>
      </c>
      <c r="D2849" s="115">
        <f>IFERROR(__xludf.DUMMYFUNCTION("""COMPUTED_VALUE"""),13692.0)</f>
        <v>13692</v>
      </c>
      <c r="E2849" s="115">
        <f>IFERROR(__xludf.DUMMYFUNCTION("""COMPUTED_VALUE"""),682.0)</f>
        <v>682</v>
      </c>
      <c r="F2849" s="115">
        <f>IFERROR(__xludf.DUMMYFUNCTION("""COMPUTED_VALUE"""),904.0)</f>
        <v>904</v>
      </c>
      <c r="G2849" s="115">
        <f>IFERROR(__xludf.DUMMYFUNCTION("""COMPUTED_VALUE"""),8.0)</f>
        <v>8</v>
      </c>
      <c r="H2849" s="116">
        <f>IFERROR(__xludf.DUMMYFUNCTION("""COMPUTED_VALUE"""),45906.0)</f>
        <v>45906</v>
      </c>
      <c r="I2849" s="115" t="str">
        <f>IFERROR(__xludf.DUMMYFUNCTION("""COMPUTED_VALUE"""),"11")</f>
        <v>11</v>
      </c>
      <c r="J2849" s="115" t="str">
        <f>IFERROR(__xludf.DUMMYFUNCTION("""COMPUTED_VALUE"""),"Parag Kashyap2025-09-0611")</f>
        <v>Parag Kashyap2025-09-0611</v>
      </c>
      <c r="K2849" s="115">
        <f>IFERROR(__xludf.DUMMYFUNCTION("""COMPUTED_VALUE"""),14374.0)</f>
        <v>14374</v>
      </c>
    </row>
    <row r="2850">
      <c r="A2850" s="115" t="str">
        <f>IFERROR(__xludf.DUMMYFUNCTION("""COMPUTED_VALUE"""),"EAST")</f>
        <v>EAST</v>
      </c>
      <c r="B2850" s="115" t="str">
        <f>IFERROR(__xludf.DUMMYFUNCTION("""COMPUTED_VALUE"""),"Parag Kashyap")</f>
        <v>Parag Kashyap</v>
      </c>
      <c r="C2850" s="115" t="str">
        <f>IFERROR(__xludf.DUMMYFUNCTION("""COMPUTED_VALUE"""),"FLIPKART")</f>
        <v>FLIPKART</v>
      </c>
      <c r="D2850" s="115">
        <f>IFERROR(__xludf.DUMMYFUNCTION("""COMPUTED_VALUE"""),228650.0)</f>
        <v>228650</v>
      </c>
      <c r="E2850" s="115">
        <f>IFERROR(__xludf.DUMMYFUNCTION("""COMPUTED_VALUE"""),12832.0)</f>
        <v>12832</v>
      </c>
      <c r="F2850" s="115">
        <f>IFERROR(__xludf.DUMMYFUNCTION("""COMPUTED_VALUE"""),29302.0)</f>
        <v>29302</v>
      </c>
      <c r="G2850" s="115">
        <f>IFERROR(__xludf.DUMMYFUNCTION("""COMPUTED_VALUE"""),359.0)</f>
        <v>359</v>
      </c>
      <c r="H2850" s="116">
        <f>IFERROR(__xludf.DUMMYFUNCTION("""COMPUTED_VALUE"""),45906.0)</f>
        <v>45906</v>
      </c>
      <c r="I2850" s="115" t="str">
        <f>IFERROR(__xludf.DUMMYFUNCTION("""COMPUTED_VALUE"""),"11")</f>
        <v>11</v>
      </c>
      <c r="J2850" s="115" t="str">
        <f>IFERROR(__xludf.DUMMYFUNCTION("""COMPUTED_VALUE"""),"Parag Kashyap2025-09-0611")</f>
        <v>Parag Kashyap2025-09-0611</v>
      </c>
      <c r="K2850" s="115">
        <f>IFERROR(__xludf.DUMMYFUNCTION("""COMPUTED_VALUE"""),241482.0)</f>
        <v>241482</v>
      </c>
    </row>
    <row r="2851">
      <c r="A2851" s="115" t="str">
        <f>IFERROR(__xludf.DUMMYFUNCTION("""COMPUTED_VALUE"""),"EAST")</f>
        <v>EAST</v>
      </c>
      <c r="B2851" s="115" t="str">
        <f>IFERROR(__xludf.DUMMYFUNCTION("""COMPUTED_VALUE"""),"Parag Kashyap")</f>
        <v>Parag Kashyap</v>
      </c>
      <c r="C2851" s="115" t="str">
        <f>IFERROR(__xludf.DUMMYFUNCTION("""COMPUTED_VALUE"""),"MYNTRA")</f>
        <v>MYNTRA</v>
      </c>
      <c r="D2851" s="115">
        <f>IFERROR(__xludf.DUMMYFUNCTION("""COMPUTED_VALUE"""),28063.0)</f>
        <v>28063</v>
      </c>
      <c r="E2851" s="115">
        <f>IFERROR(__xludf.DUMMYFUNCTION("""COMPUTED_VALUE"""),3450.0)</f>
        <v>3450</v>
      </c>
      <c r="F2851" s="115">
        <f>IFERROR(__xludf.DUMMYFUNCTION("""COMPUTED_VALUE"""),4272.0)</f>
        <v>4272</v>
      </c>
      <c r="G2851" s="115">
        <f>IFERROR(__xludf.DUMMYFUNCTION("""COMPUTED_VALUE"""),102.0)</f>
        <v>102</v>
      </c>
      <c r="H2851" s="116">
        <f>IFERROR(__xludf.DUMMYFUNCTION("""COMPUTED_VALUE"""),45906.0)</f>
        <v>45906</v>
      </c>
      <c r="I2851" s="115" t="str">
        <f>IFERROR(__xludf.DUMMYFUNCTION("""COMPUTED_VALUE"""),"11")</f>
        <v>11</v>
      </c>
      <c r="J2851" s="115" t="str">
        <f>IFERROR(__xludf.DUMMYFUNCTION("""COMPUTED_VALUE"""),"Parag Kashyap2025-09-0611")</f>
        <v>Parag Kashyap2025-09-0611</v>
      </c>
      <c r="K2851" s="115">
        <f>IFERROR(__xludf.DUMMYFUNCTION("""COMPUTED_VALUE"""),31513.0)</f>
        <v>31513</v>
      </c>
    </row>
    <row r="2852">
      <c r="A2852" s="115" t="str">
        <f>IFERROR(__xludf.DUMMYFUNCTION("""COMPUTED_VALUE"""),"NORTH")</f>
        <v>NORTH</v>
      </c>
      <c r="B2852" s="115" t="str">
        <f>IFERROR(__xludf.DUMMYFUNCTION("""COMPUTED_VALUE"""),"Amit Kumar Pathak")</f>
        <v>Amit Kumar Pathak</v>
      </c>
      <c r="C2852" s="115" t="str">
        <f>IFERROR(__xludf.DUMMYFUNCTION("""COMPUTED_VALUE"""),"EXTERNAL")</f>
        <v>EXTERNAL</v>
      </c>
      <c r="D2852" s="115">
        <f>IFERROR(__xludf.DUMMYFUNCTION("""COMPUTED_VALUE"""),20309.0)</f>
        <v>20309</v>
      </c>
      <c r="E2852" s="115">
        <f>IFERROR(__xludf.DUMMYFUNCTION("""COMPUTED_VALUE"""),2684.0)</f>
        <v>2684</v>
      </c>
      <c r="F2852" s="115">
        <f>IFERROR(__xludf.DUMMYFUNCTION("""COMPUTED_VALUE"""),1642.0)</f>
        <v>1642</v>
      </c>
      <c r="G2852" s="115">
        <f>IFERROR(__xludf.DUMMYFUNCTION("""COMPUTED_VALUE"""),159.0)</f>
        <v>159</v>
      </c>
      <c r="H2852" s="116">
        <f>IFERROR(__xludf.DUMMYFUNCTION("""COMPUTED_VALUE"""),45906.0)</f>
        <v>45906</v>
      </c>
      <c r="I2852" s="115" t="str">
        <f>IFERROR(__xludf.DUMMYFUNCTION("""COMPUTED_VALUE"""),"11")</f>
        <v>11</v>
      </c>
      <c r="J2852" s="115" t="str">
        <f>IFERROR(__xludf.DUMMYFUNCTION("""COMPUTED_VALUE"""),"Amit Kumar Pathak2025-09-0611")</f>
        <v>Amit Kumar Pathak2025-09-0611</v>
      </c>
      <c r="K2852" s="115">
        <f>IFERROR(__xludf.DUMMYFUNCTION("""COMPUTED_VALUE"""),22993.0)</f>
        <v>22993</v>
      </c>
    </row>
    <row r="2853">
      <c r="A2853" s="115" t="str">
        <f>IFERROR(__xludf.DUMMYFUNCTION("""COMPUTED_VALUE"""),"NORTH")</f>
        <v>NORTH</v>
      </c>
      <c r="B2853" s="115" t="str">
        <f>IFERROR(__xludf.DUMMYFUNCTION("""COMPUTED_VALUE"""),"Amit Kumar Pathak")</f>
        <v>Amit Kumar Pathak</v>
      </c>
      <c r="C2853" s="115" t="str">
        <f>IFERROR(__xludf.DUMMYFUNCTION("""COMPUTED_VALUE"""),"FLIPKART")</f>
        <v>FLIPKART</v>
      </c>
      <c r="D2853" s="115">
        <f>IFERROR(__xludf.DUMMYFUNCTION("""COMPUTED_VALUE"""),129126.0)</f>
        <v>129126</v>
      </c>
      <c r="E2853" s="115">
        <f>IFERROR(__xludf.DUMMYFUNCTION("""COMPUTED_VALUE"""),18425.0)</f>
        <v>18425</v>
      </c>
      <c r="F2853" s="115">
        <f>IFERROR(__xludf.DUMMYFUNCTION("""COMPUTED_VALUE"""),20678.0)</f>
        <v>20678</v>
      </c>
      <c r="G2853" s="115">
        <f>IFERROR(__xludf.DUMMYFUNCTION("""COMPUTED_VALUE"""),1572.0)</f>
        <v>1572</v>
      </c>
      <c r="H2853" s="116">
        <f>IFERROR(__xludf.DUMMYFUNCTION("""COMPUTED_VALUE"""),45906.0)</f>
        <v>45906</v>
      </c>
      <c r="I2853" s="115" t="str">
        <f>IFERROR(__xludf.DUMMYFUNCTION("""COMPUTED_VALUE"""),"11")</f>
        <v>11</v>
      </c>
      <c r="J2853" s="115" t="str">
        <f>IFERROR(__xludf.DUMMYFUNCTION("""COMPUTED_VALUE"""),"Amit Kumar Pathak2025-09-0611")</f>
        <v>Amit Kumar Pathak2025-09-0611</v>
      </c>
      <c r="K2853" s="115">
        <f>IFERROR(__xludf.DUMMYFUNCTION("""COMPUTED_VALUE"""),147551.0)</f>
        <v>147551</v>
      </c>
    </row>
    <row r="2854">
      <c r="A2854" s="115" t="str">
        <f>IFERROR(__xludf.DUMMYFUNCTION("""COMPUTED_VALUE"""),"NORTH")</f>
        <v>NORTH</v>
      </c>
      <c r="B2854" s="115" t="str">
        <f>IFERROR(__xludf.DUMMYFUNCTION("""COMPUTED_VALUE"""),"Amit Kumar Pathak")</f>
        <v>Amit Kumar Pathak</v>
      </c>
      <c r="C2854" s="115" t="str">
        <f>IFERROR(__xludf.DUMMYFUNCTION("""COMPUTED_VALUE"""),"MYNTRA")</f>
        <v>MYNTRA</v>
      </c>
      <c r="D2854" s="115">
        <f>IFERROR(__xludf.DUMMYFUNCTION("""COMPUTED_VALUE"""),12297.0)</f>
        <v>12297</v>
      </c>
      <c r="E2854" s="115">
        <f>IFERROR(__xludf.DUMMYFUNCTION("""COMPUTED_VALUE"""),4680.0)</f>
        <v>4680</v>
      </c>
      <c r="F2854" s="115">
        <f>IFERROR(__xludf.DUMMYFUNCTION("""COMPUTED_VALUE"""),2674.0)</f>
        <v>2674</v>
      </c>
      <c r="G2854" s="115">
        <f>IFERROR(__xludf.DUMMYFUNCTION("""COMPUTED_VALUE"""),451.0)</f>
        <v>451</v>
      </c>
      <c r="H2854" s="116">
        <f>IFERROR(__xludf.DUMMYFUNCTION("""COMPUTED_VALUE"""),45906.0)</f>
        <v>45906</v>
      </c>
      <c r="I2854" s="115" t="str">
        <f>IFERROR(__xludf.DUMMYFUNCTION("""COMPUTED_VALUE"""),"11")</f>
        <v>11</v>
      </c>
      <c r="J2854" s="115" t="str">
        <f>IFERROR(__xludf.DUMMYFUNCTION("""COMPUTED_VALUE"""),"Amit Kumar Pathak2025-09-0611")</f>
        <v>Amit Kumar Pathak2025-09-0611</v>
      </c>
      <c r="K2854" s="115">
        <f>IFERROR(__xludf.DUMMYFUNCTION("""COMPUTED_VALUE"""),16977.0)</f>
        <v>16977</v>
      </c>
    </row>
    <row r="2855">
      <c r="A2855" s="115" t="str">
        <f>IFERROR(__xludf.DUMMYFUNCTION("""COMPUTED_VALUE"""),"NORTH")</f>
        <v>NORTH</v>
      </c>
      <c r="B2855" s="115" t="str">
        <f>IFERROR(__xludf.DUMMYFUNCTION("""COMPUTED_VALUE"""),"Loveleen Singh")</f>
        <v>Loveleen Singh</v>
      </c>
      <c r="C2855" s="115" t="str">
        <f>IFERROR(__xludf.DUMMYFUNCTION("""COMPUTED_VALUE"""),"EXTERNAL")</f>
        <v>EXTERNAL</v>
      </c>
      <c r="D2855" s="115">
        <f>IFERROR(__xludf.DUMMYFUNCTION("""COMPUTED_VALUE"""),22976.0)</f>
        <v>22976</v>
      </c>
      <c r="E2855" s="115">
        <f>IFERROR(__xludf.DUMMYFUNCTION("""COMPUTED_VALUE"""),1250.0)</f>
        <v>1250</v>
      </c>
      <c r="F2855" s="115">
        <f>IFERROR(__xludf.DUMMYFUNCTION("""COMPUTED_VALUE"""),1441.0)</f>
        <v>1441</v>
      </c>
      <c r="G2855" s="115">
        <f>IFERROR(__xludf.DUMMYFUNCTION("""COMPUTED_VALUE"""),42.0)</f>
        <v>42</v>
      </c>
      <c r="H2855" s="116">
        <f>IFERROR(__xludf.DUMMYFUNCTION("""COMPUTED_VALUE"""),45906.0)</f>
        <v>45906</v>
      </c>
      <c r="I2855" s="115" t="str">
        <f>IFERROR(__xludf.DUMMYFUNCTION("""COMPUTED_VALUE"""),"11")</f>
        <v>11</v>
      </c>
      <c r="J2855" s="115" t="str">
        <f>IFERROR(__xludf.DUMMYFUNCTION("""COMPUTED_VALUE"""),"Loveleen Singh2025-09-0611")</f>
        <v>Loveleen Singh2025-09-0611</v>
      </c>
      <c r="K2855" s="115">
        <f>IFERROR(__xludf.DUMMYFUNCTION("""COMPUTED_VALUE"""),24226.0)</f>
        <v>24226</v>
      </c>
    </row>
    <row r="2856">
      <c r="A2856" s="115" t="str">
        <f>IFERROR(__xludf.DUMMYFUNCTION("""COMPUTED_VALUE"""),"NORTH")</f>
        <v>NORTH</v>
      </c>
      <c r="B2856" s="115" t="str">
        <f>IFERROR(__xludf.DUMMYFUNCTION("""COMPUTED_VALUE"""),"Loveleen Singh")</f>
        <v>Loveleen Singh</v>
      </c>
      <c r="C2856" s="115" t="str">
        <f>IFERROR(__xludf.DUMMYFUNCTION("""COMPUTED_VALUE"""),"FLIPKART")</f>
        <v>FLIPKART</v>
      </c>
      <c r="D2856" s="115">
        <f>IFERROR(__xludf.DUMMYFUNCTION("""COMPUTED_VALUE"""),119227.0)</f>
        <v>119227</v>
      </c>
      <c r="E2856" s="115">
        <f>IFERROR(__xludf.DUMMYFUNCTION("""COMPUTED_VALUE"""),9790.0)</f>
        <v>9790</v>
      </c>
      <c r="F2856" s="115">
        <f>IFERROR(__xludf.DUMMYFUNCTION("""COMPUTED_VALUE"""),15796.0)</f>
        <v>15796</v>
      </c>
      <c r="G2856" s="115">
        <f>IFERROR(__xludf.DUMMYFUNCTION("""COMPUTED_VALUE"""),383.0)</f>
        <v>383</v>
      </c>
      <c r="H2856" s="116">
        <f>IFERROR(__xludf.DUMMYFUNCTION("""COMPUTED_VALUE"""),45906.0)</f>
        <v>45906</v>
      </c>
      <c r="I2856" s="115" t="str">
        <f>IFERROR(__xludf.DUMMYFUNCTION("""COMPUTED_VALUE"""),"11")</f>
        <v>11</v>
      </c>
      <c r="J2856" s="115" t="str">
        <f>IFERROR(__xludf.DUMMYFUNCTION("""COMPUTED_VALUE"""),"Loveleen Singh2025-09-0611")</f>
        <v>Loveleen Singh2025-09-0611</v>
      </c>
      <c r="K2856" s="115">
        <f>IFERROR(__xludf.DUMMYFUNCTION("""COMPUTED_VALUE"""),129017.0)</f>
        <v>129017</v>
      </c>
    </row>
    <row r="2857">
      <c r="A2857" s="115" t="str">
        <f>IFERROR(__xludf.DUMMYFUNCTION("""COMPUTED_VALUE"""),"NORTH")</f>
        <v>NORTH</v>
      </c>
      <c r="B2857" s="115" t="str">
        <f>IFERROR(__xludf.DUMMYFUNCTION("""COMPUTED_VALUE"""),"Loveleen Singh")</f>
        <v>Loveleen Singh</v>
      </c>
      <c r="C2857" s="115" t="str">
        <f>IFERROR(__xludf.DUMMYFUNCTION("""COMPUTED_VALUE"""),"MYNTRA")</f>
        <v>MYNTRA</v>
      </c>
      <c r="D2857" s="115">
        <f>IFERROR(__xludf.DUMMYFUNCTION("""COMPUTED_VALUE"""),19993.0)</f>
        <v>19993</v>
      </c>
      <c r="E2857" s="115">
        <f>IFERROR(__xludf.DUMMYFUNCTION("""COMPUTED_VALUE"""),4178.0)</f>
        <v>4178</v>
      </c>
      <c r="F2857" s="115">
        <f>IFERROR(__xludf.DUMMYFUNCTION("""COMPUTED_VALUE"""),3496.0)</f>
        <v>3496</v>
      </c>
      <c r="G2857" s="115">
        <f>IFERROR(__xludf.DUMMYFUNCTION("""COMPUTED_VALUE"""),203.0)</f>
        <v>203</v>
      </c>
      <c r="H2857" s="116">
        <f>IFERROR(__xludf.DUMMYFUNCTION("""COMPUTED_VALUE"""),45906.0)</f>
        <v>45906</v>
      </c>
      <c r="I2857" s="115" t="str">
        <f>IFERROR(__xludf.DUMMYFUNCTION("""COMPUTED_VALUE"""),"11")</f>
        <v>11</v>
      </c>
      <c r="J2857" s="115" t="str">
        <f>IFERROR(__xludf.DUMMYFUNCTION("""COMPUTED_VALUE"""),"Loveleen Singh2025-09-0611")</f>
        <v>Loveleen Singh2025-09-0611</v>
      </c>
      <c r="K2857" s="115">
        <f>IFERROR(__xludf.DUMMYFUNCTION("""COMPUTED_VALUE"""),24171.0)</f>
        <v>24171</v>
      </c>
    </row>
    <row r="2858">
      <c r="A2858" s="115" t="str">
        <f>IFERROR(__xludf.DUMMYFUNCTION("""COMPUTED_VALUE"""),"NORTH")</f>
        <v>NORTH</v>
      </c>
      <c r="B2858" s="115" t="str">
        <f>IFERROR(__xludf.DUMMYFUNCTION("""COMPUTED_VALUE"""),"Manoj Harsh")</f>
        <v>Manoj Harsh</v>
      </c>
      <c r="C2858" s="115" t="str">
        <f>IFERROR(__xludf.DUMMYFUNCTION("""COMPUTED_VALUE"""),"EXTERNAL")</f>
        <v>EXTERNAL</v>
      </c>
      <c r="D2858" s="115">
        <f>IFERROR(__xludf.DUMMYFUNCTION("""COMPUTED_VALUE"""),28470.0)</f>
        <v>28470</v>
      </c>
      <c r="E2858" s="115">
        <f>IFERROR(__xludf.DUMMYFUNCTION("""COMPUTED_VALUE"""),1731.0)</f>
        <v>1731</v>
      </c>
      <c r="F2858" s="115">
        <f>IFERROR(__xludf.DUMMYFUNCTION("""COMPUTED_VALUE"""),1822.0)</f>
        <v>1822</v>
      </c>
      <c r="G2858" s="115">
        <f>IFERROR(__xludf.DUMMYFUNCTION("""COMPUTED_VALUE"""),44.0)</f>
        <v>44</v>
      </c>
      <c r="H2858" s="116">
        <f>IFERROR(__xludf.DUMMYFUNCTION("""COMPUTED_VALUE"""),45906.0)</f>
        <v>45906</v>
      </c>
      <c r="I2858" s="115" t="str">
        <f>IFERROR(__xludf.DUMMYFUNCTION("""COMPUTED_VALUE"""),"11")</f>
        <v>11</v>
      </c>
      <c r="J2858" s="115" t="str">
        <f>IFERROR(__xludf.DUMMYFUNCTION("""COMPUTED_VALUE"""),"Manoj Harsh2025-09-0611")</f>
        <v>Manoj Harsh2025-09-0611</v>
      </c>
      <c r="K2858" s="115">
        <f>IFERROR(__xludf.DUMMYFUNCTION("""COMPUTED_VALUE"""),30201.0)</f>
        <v>30201</v>
      </c>
    </row>
    <row r="2859">
      <c r="A2859" s="115" t="str">
        <f>IFERROR(__xludf.DUMMYFUNCTION("""COMPUTED_VALUE"""),"NORTH")</f>
        <v>NORTH</v>
      </c>
      <c r="B2859" s="115" t="str">
        <f>IFERROR(__xludf.DUMMYFUNCTION("""COMPUTED_VALUE"""),"Manoj Harsh")</f>
        <v>Manoj Harsh</v>
      </c>
      <c r="C2859" s="115" t="str">
        <f>IFERROR(__xludf.DUMMYFUNCTION("""COMPUTED_VALUE"""),"FLIPKART")</f>
        <v>FLIPKART</v>
      </c>
      <c r="D2859" s="115">
        <f>IFERROR(__xludf.DUMMYFUNCTION("""COMPUTED_VALUE"""),334743.0)</f>
        <v>334743</v>
      </c>
      <c r="E2859" s="115">
        <f>IFERROR(__xludf.DUMMYFUNCTION("""COMPUTED_VALUE"""),27740.0)</f>
        <v>27740</v>
      </c>
      <c r="F2859" s="115">
        <f>IFERROR(__xludf.DUMMYFUNCTION("""COMPUTED_VALUE"""),37830.0)</f>
        <v>37830</v>
      </c>
      <c r="G2859" s="115">
        <f>IFERROR(__xludf.DUMMYFUNCTION("""COMPUTED_VALUE"""),1098.0)</f>
        <v>1098</v>
      </c>
      <c r="H2859" s="116">
        <f>IFERROR(__xludf.DUMMYFUNCTION("""COMPUTED_VALUE"""),45906.0)</f>
        <v>45906</v>
      </c>
      <c r="I2859" s="115" t="str">
        <f>IFERROR(__xludf.DUMMYFUNCTION("""COMPUTED_VALUE"""),"11")</f>
        <v>11</v>
      </c>
      <c r="J2859" s="115" t="str">
        <f>IFERROR(__xludf.DUMMYFUNCTION("""COMPUTED_VALUE"""),"Manoj Harsh2025-09-0611")</f>
        <v>Manoj Harsh2025-09-0611</v>
      </c>
      <c r="K2859" s="115">
        <f>IFERROR(__xludf.DUMMYFUNCTION("""COMPUTED_VALUE"""),362483.0)</f>
        <v>362483</v>
      </c>
    </row>
    <row r="2860">
      <c r="A2860" s="115" t="str">
        <f>IFERROR(__xludf.DUMMYFUNCTION("""COMPUTED_VALUE"""),"NORTH")</f>
        <v>NORTH</v>
      </c>
      <c r="B2860" s="115" t="str">
        <f>IFERROR(__xludf.DUMMYFUNCTION("""COMPUTED_VALUE"""),"Manoj Harsh")</f>
        <v>Manoj Harsh</v>
      </c>
      <c r="C2860" s="115" t="str">
        <f>IFERROR(__xludf.DUMMYFUNCTION("""COMPUTED_VALUE"""),"MYNTRA")</f>
        <v>MYNTRA</v>
      </c>
      <c r="D2860" s="115">
        <f>IFERROR(__xludf.DUMMYFUNCTION("""COMPUTED_VALUE"""),32411.0)</f>
        <v>32411</v>
      </c>
      <c r="E2860" s="115">
        <f>IFERROR(__xludf.DUMMYFUNCTION("""COMPUTED_VALUE"""),5439.0)</f>
        <v>5439</v>
      </c>
      <c r="F2860" s="115">
        <f>IFERROR(__xludf.DUMMYFUNCTION("""COMPUTED_VALUE"""),4520.0)</f>
        <v>4520</v>
      </c>
      <c r="G2860" s="115">
        <f>IFERROR(__xludf.DUMMYFUNCTION("""COMPUTED_VALUE"""),339.0)</f>
        <v>339</v>
      </c>
      <c r="H2860" s="116">
        <f>IFERROR(__xludf.DUMMYFUNCTION("""COMPUTED_VALUE"""),45906.0)</f>
        <v>45906</v>
      </c>
      <c r="I2860" s="115" t="str">
        <f>IFERROR(__xludf.DUMMYFUNCTION("""COMPUTED_VALUE"""),"11")</f>
        <v>11</v>
      </c>
      <c r="J2860" s="115" t="str">
        <f>IFERROR(__xludf.DUMMYFUNCTION("""COMPUTED_VALUE"""),"Manoj Harsh2025-09-0611")</f>
        <v>Manoj Harsh2025-09-0611</v>
      </c>
      <c r="K2860" s="115">
        <f>IFERROR(__xludf.DUMMYFUNCTION("""COMPUTED_VALUE"""),37850.0)</f>
        <v>37850</v>
      </c>
    </row>
    <row r="2861">
      <c r="A2861" s="115" t="str">
        <f>IFERROR(__xludf.DUMMYFUNCTION("""COMPUTED_VALUE"""),"NORTH")</f>
        <v>NORTH</v>
      </c>
      <c r="B2861" s="115" t="str">
        <f>IFERROR(__xludf.DUMMYFUNCTION("""COMPUTED_VALUE"""),"Pradeep Kothari")</f>
        <v>Pradeep Kothari</v>
      </c>
      <c r="C2861" s="115" t="str">
        <f>IFERROR(__xludf.DUMMYFUNCTION("""COMPUTED_VALUE"""),"EXTERNAL")</f>
        <v>EXTERNAL</v>
      </c>
      <c r="D2861" s="115">
        <f>IFERROR(__xludf.DUMMYFUNCTION("""COMPUTED_VALUE"""),14837.0)</f>
        <v>14837</v>
      </c>
      <c r="E2861" s="115">
        <f>IFERROR(__xludf.DUMMYFUNCTION("""COMPUTED_VALUE"""),1405.0)</f>
        <v>1405</v>
      </c>
      <c r="F2861" s="115">
        <f>IFERROR(__xludf.DUMMYFUNCTION("""COMPUTED_VALUE"""),1332.0)</f>
        <v>1332</v>
      </c>
      <c r="G2861" s="115">
        <f>IFERROR(__xludf.DUMMYFUNCTION("""COMPUTED_VALUE"""),62.0)</f>
        <v>62</v>
      </c>
      <c r="H2861" s="116">
        <f>IFERROR(__xludf.DUMMYFUNCTION("""COMPUTED_VALUE"""),45906.0)</f>
        <v>45906</v>
      </c>
      <c r="I2861" s="115" t="str">
        <f>IFERROR(__xludf.DUMMYFUNCTION("""COMPUTED_VALUE"""),"11")</f>
        <v>11</v>
      </c>
      <c r="J2861" s="115" t="str">
        <f>IFERROR(__xludf.DUMMYFUNCTION("""COMPUTED_VALUE"""),"Pradeep Kothari2025-09-0611")</f>
        <v>Pradeep Kothari2025-09-0611</v>
      </c>
      <c r="K2861" s="115">
        <f>IFERROR(__xludf.DUMMYFUNCTION("""COMPUTED_VALUE"""),16242.0)</f>
        <v>16242</v>
      </c>
    </row>
    <row r="2862">
      <c r="A2862" s="115" t="str">
        <f>IFERROR(__xludf.DUMMYFUNCTION("""COMPUTED_VALUE"""),"NORTH")</f>
        <v>NORTH</v>
      </c>
      <c r="B2862" s="115" t="str">
        <f>IFERROR(__xludf.DUMMYFUNCTION("""COMPUTED_VALUE"""),"Pradeep Kothari")</f>
        <v>Pradeep Kothari</v>
      </c>
      <c r="C2862" s="115" t="str">
        <f>IFERROR(__xludf.DUMMYFUNCTION("""COMPUTED_VALUE"""),"FLIPKART")</f>
        <v>FLIPKART</v>
      </c>
      <c r="D2862" s="115">
        <f>IFERROR(__xludf.DUMMYFUNCTION("""COMPUTED_VALUE"""),110468.0)</f>
        <v>110468</v>
      </c>
      <c r="E2862" s="115">
        <f>IFERROR(__xludf.DUMMYFUNCTION("""COMPUTED_VALUE"""),12279.0)</f>
        <v>12279</v>
      </c>
      <c r="F2862" s="115">
        <f>IFERROR(__xludf.DUMMYFUNCTION("""COMPUTED_VALUE"""),18995.0)</f>
        <v>18995</v>
      </c>
      <c r="G2862" s="115">
        <f>IFERROR(__xludf.DUMMYFUNCTION("""COMPUTED_VALUE"""),730.0)</f>
        <v>730</v>
      </c>
      <c r="H2862" s="116">
        <f>IFERROR(__xludf.DUMMYFUNCTION("""COMPUTED_VALUE"""),45906.0)</f>
        <v>45906</v>
      </c>
      <c r="I2862" s="115" t="str">
        <f>IFERROR(__xludf.DUMMYFUNCTION("""COMPUTED_VALUE"""),"11")</f>
        <v>11</v>
      </c>
      <c r="J2862" s="115" t="str">
        <f>IFERROR(__xludf.DUMMYFUNCTION("""COMPUTED_VALUE"""),"Pradeep Kothari2025-09-0611")</f>
        <v>Pradeep Kothari2025-09-0611</v>
      </c>
      <c r="K2862" s="115">
        <f>IFERROR(__xludf.DUMMYFUNCTION("""COMPUTED_VALUE"""),122747.0)</f>
        <v>122747</v>
      </c>
    </row>
    <row r="2863">
      <c r="A2863" s="115" t="str">
        <f>IFERROR(__xludf.DUMMYFUNCTION("""COMPUTED_VALUE"""),"NORTH")</f>
        <v>NORTH</v>
      </c>
      <c r="B2863" s="115" t="str">
        <f>IFERROR(__xludf.DUMMYFUNCTION("""COMPUTED_VALUE"""),"Pradeep Kothari")</f>
        <v>Pradeep Kothari</v>
      </c>
      <c r="C2863" s="115" t="str">
        <f>IFERROR(__xludf.DUMMYFUNCTION("""COMPUTED_VALUE"""),"MYNTRA")</f>
        <v>MYNTRA</v>
      </c>
      <c r="D2863" s="115">
        <f>IFERROR(__xludf.DUMMYFUNCTION("""COMPUTED_VALUE"""),19817.0)</f>
        <v>19817</v>
      </c>
      <c r="E2863" s="115">
        <f>IFERROR(__xludf.DUMMYFUNCTION("""COMPUTED_VALUE"""),4372.0)</f>
        <v>4372</v>
      </c>
      <c r="F2863" s="115">
        <f>IFERROR(__xludf.DUMMYFUNCTION("""COMPUTED_VALUE"""),4593.0)</f>
        <v>4593</v>
      </c>
      <c r="G2863" s="115">
        <f>IFERROR(__xludf.DUMMYFUNCTION("""COMPUTED_VALUE"""),393.0)</f>
        <v>393</v>
      </c>
      <c r="H2863" s="116">
        <f>IFERROR(__xludf.DUMMYFUNCTION("""COMPUTED_VALUE"""),45906.0)</f>
        <v>45906</v>
      </c>
      <c r="I2863" s="115" t="str">
        <f>IFERROR(__xludf.DUMMYFUNCTION("""COMPUTED_VALUE"""),"11")</f>
        <v>11</v>
      </c>
      <c r="J2863" s="115" t="str">
        <f>IFERROR(__xludf.DUMMYFUNCTION("""COMPUTED_VALUE"""),"Pradeep Kothari2025-09-0611")</f>
        <v>Pradeep Kothari2025-09-0611</v>
      </c>
      <c r="K2863" s="115">
        <f>IFERROR(__xludf.DUMMYFUNCTION("""COMPUTED_VALUE"""),24189.0)</f>
        <v>24189</v>
      </c>
    </row>
    <row r="2864">
      <c r="A2864" s="115" t="str">
        <f>IFERROR(__xludf.DUMMYFUNCTION("""COMPUTED_VALUE"""),"SOUTH")</f>
        <v>SOUTH</v>
      </c>
      <c r="B2864" s="115" t="str">
        <f>IFERROR(__xludf.DUMMYFUNCTION("""COMPUTED_VALUE"""),"Kandula Sampath")</f>
        <v>Kandula Sampath</v>
      </c>
      <c r="C2864" s="115" t="str">
        <f>IFERROR(__xludf.DUMMYFUNCTION("""COMPUTED_VALUE"""),"EXTERNAL")</f>
        <v>EXTERNAL</v>
      </c>
      <c r="D2864" s="115">
        <f>IFERROR(__xludf.DUMMYFUNCTION("""COMPUTED_VALUE"""),29029.0)</f>
        <v>29029</v>
      </c>
      <c r="E2864" s="115">
        <f>IFERROR(__xludf.DUMMYFUNCTION("""COMPUTED_VALUE"""),2291.0)</f>
        <v>2291</v>
      </c>
      <c r="F2864" s="115">
        <f>IFERROR(__xludf.DUMMYFUNCTION("""COMPUTED_VALUE"""),3381.0)</f>
        <v>3381</v>
      </c>
      <c r="G2864" s="115">
        <f>IFERROR(__xludf.DUMMYFUNCTION("""COMPUTED_VALUE"""),79.0)</f>
        <v>79</v>
      </c>
      <c r="H2864" s="116">
        <f>IFERROR(__xludf.DUMMYFUNCTION("""COMPUTED_VALUE"""),45906.0)</f>
        <v>45906</v>
      </c>
      <c r="I2864" s="115" t="str">
        <f>IFERROR(__xludf.DUMMYFUNCTION("""COMPUTED_VALUE"""),"11")</f>
        <v>11</v>
      </c>
      <c r="J2864" s="115" t="str">
        <f>IFERROR(__xludf.DUMMYFUNCTION("""COMPUTED_VALUE"""),"Kandula Sampath2025-09-0611")</f>
        <v>Kandula Sampath2025-09-0611</v>
      </c>
      <c r="K2864" s="115">
        <f>IFERROR(__xludf.DUMMYFUNCTION("""COMPUTED_VALUE"""),31320.0)</f>
        <v>31320</v>
      </c>
    </row>
    <row r="2865">
      <c r="A2865" s="115" t="str">
        <f>IFERROR(__xludf.DUMMYFUNCTION("""COMPUTED_VALUE"""),"SOUTH")</f>
        <v>SOUTH</v>
      </c>
      <c r="B2865" s="115" t="str">
        <f>IFERROR(__xludf.DUMMYFUNCTION("""COMPUTED_VALUE"""),"Kandula Sampath")</f>
        <v>Kandula Sampath</v>
      </c>
      <c r="C2865" s="115" t="str">
        <f>IFERROR(__xludf.DUMMYFUNCTION("""COMPUTED_VALUE"""),"FLIPKART")</f>
        <v>FLIPKART</v>
      </c>
      <c r="D2865" s="115">
        <f>IFERROR(__xludf.DUMMYFUNCTION("""COMPUTED_VALUE"""),272859.0)</f>
        <v>272859</v>
      </c>
      <c r="E2865" s="115">
        <f>IFERROR(__xludf.DUMMYFUNCTION("""COMPUTED_VALUE"""),21966.0)</f>
        <v>21966</v>
      </c>
      <c r="F2865" s="115">
        <f>IFERROR(__xludf.DUMMYFUNCTION("""COMPUTED_VALUE"""),59624.0)</f>
        <v>59624</v>
      </c>
      <c r="G2865" s="115">
        <f>IFERROR(__xludf.DUMMYFUNCTION("""COMPUTED_VALUE"""),929.0)</f>
        <v>929</v>
      </c>
      <c r="H2865" s="116">
        <f>IFERROR(__xludf.DUMMYFUNCTION("""COMPUTED_VALUE"""),45906.0)</f>
        <v>45906</v>
      </c>
      <c r="I2865" s="115" t="str">
        <f>IFERROR(__xludf.DUMMYFUNCTION("""COMPUTED_VALUE"""),"11")</f>
        <v>11</v>
      </c>
      <c r="J2865" s="115" t="str">
        <f>IFERROR(__xludf.DUMMYFUNCTION("""COMPUTED_VALUE"""),"Kandula Sampath2025-09-0611")</f>
        <v>Kandula Sampath2025-09-0611</v>
      </c>
      <c r="K2865" s="115">
        <f>IFERROR(__xludf.DUMMYFUNCTION("""COMPUTED_VALUE"""),294825.0)</f>
        <v>294825</v>
      </c>
    </row>
    <row r="2866">
      <c r="A2866" s="115" t="str">
        <f>IFERROR(__xludf.DUMMYFUNCTION("""COMPUTED_VALUE"""),"SOUTH")</f>
        <v>SOUTH</v>
      </c>
      <c r="B2866" s="115" t="str">
        <f>IFERROR(__xludf.DUMMYFUNCTION("""COMPUTED_VALUE"""),"Kandula Sampath")</f>
        <v>Kandula Sampath</v>
      </c>
      <c r="C2866" s="115" t="str">
        <f>IFERROR(__xludf.DUMMYFUNCTION("""COMPUTED_VALUE"""),"MYNTRA")</f>
        <v>MYNTRA</v>
      </c>
      <c r="D2866" s="115">
        <f>IFERROR(__xludf.DUMMYFUNCTION("""COMPUTED_VALUE"""),32961.0)</f>
        <v>32961</v>
      </c>
      <c r="E2866" s="115">
        <f>IFERROR(__xludf.DUMMYFUNCTION("""COMPUTED_VALUE"""),5980.0)</f>
        <v>5980</v>
      </c>
      <c r="F2866" s="115">
        <f>IFERROR(__xludf.DUMMYFUNCTION("""COMPUTED_VALUE"""),8466.0)</f>
        <v>8466</v>
      </c>
      <c r="G2866" s="115">
        <f>IFERROR(__xludf.DUMMYFUNCTION("""COMPUTED_VALUE"""),216.0)</f>
        <v>216</v>
      </c>
      <c r="H2866" s="116">
        <f>IFERROR(__xludf.DUMMYFUNCTION("""COMPUTED_VALUE"""),45906.0)</f>
        <v>45906</v>
      </c>
      <c r="I2866" s="115" t="str">
        <f>IFERROR(__xludf.DUMMYFUNCTION("""COMPUTED_VALUE"""),"11")</f>
        <v>11</v>
      </c>
      <c r="J2866" s="115" t="str">
        <f>IFERROR(__xludf.DUMMYFUNCTION("""COMPUTED_VALUE"""),"Kandula Sampath2025-09-0611")</f>
        <v>Kandula Sampath2025-09-0611</v>
      </c>
      <c r="K2866" s="115">
        <f>IFERROR(__xludf.DUMMYFUNCTION("""COMPUTED_VALUE"""),38941.0)</f>
        <v>38941</v>
      </c>
    </row>
    <row r="2867">
      <c r="A2867" s="115" t="str">
        <f>IFERROR(__xludf.DUMMYFUNCTION("""COMPUTED_VALUE"""),"SOUTH")</f>
        <v>SOUTH</v>
      </c>
      <c r="B2867" s="115" t="str">
        <f>IFERROR(__xludf.DUMMYFUNCTION("""COMPUTED_VALUE"""),"Martin A")</f>
        <v>Martin A</v>
      </c>
      <c r="C2867" s="115" t="str">
        <f>IFERROR(__xludf.DUMMYFUNCTION("""COMPUTED_VALUE"""),"EXTERNAL")</f>
        <v>EXTERNAL</v>
      </c>
      <c r="D2867" s="115">
        <f>IFERROR(__xludf.DUMMYFUNCTION("""COMPUTED_VALUE"""),25390.0)</f>
        <v>25390</v>
      </c>
      <c r="E2867" s="115">
        <f>IFERROR(__xludf.DUMMYFUNCTION("""COMPUTED_VALUE"""),2436.0)</f>
        <v>2436</v>
      </c>
      <c r="F2867" s="115">
        <f>IFERROR(__xludf.DUMMYFUNCTION("""COMPUTED_VALUE"""),2717.0)</f>
        <v>2717</v>
      </c>
      <c r="G2867" s="115">
        <f>IFERROR(__xludf.DUMMYFUNCTION("""COMPUTED_VALUE"""),154.0)</f>
        <v>154</v>
      </c>
      <c r="H2867" s="116">
        <f>IFERROR(__xludf.DUMMYFUNCTION("""COMPUTED_VALUE"""),45906.0)</f>
        <v>45906</v>
      </c>
      <c r="I2867" s="115" t="str">
        <f>IFERROR(__xludf.DUMMYFUNCTION("""COMPUTED_VALUE"""),"11")</f>
        <v>11</v>
      </c>
      <c r="J2867" s="115" t="str">
        <f>IFERROR(__xludf.DUMMYFUNCTION("""COMPUTED_VALUE"""),"Martin A2025-09-0611")</f>
        <v>Martin A2025-09-0611</v>
      </c>
      <c r="K2867" s="115">
        <f>IFERROR(__xludf.DUMMYFUNCTION("""COMPUTED_VALUE"""),27826.0)</f>
        <v>27826</v>
      </c>
    </row>
    <row r="2868">
      <c r="A2868" s="115" t="str">
        <f>IFERROR(__xludf.DUMMYFUNCTION("""COMPUTED_VALUE"""),"SOUTH")</f>
        <v>SOUTH</v>
      </c>
      <c r="B2868" s="115" t="str">
        <f>IFERROR(__xludf.DUMMYFUNCTION("""COMPUTED_VALUE"""),"Martin A")</f>
        <v>Martin A</v>
      </c>
      <c r="C2868" s="115" t="str">
        <f>IFERROR(__xludf.DUMMYFUNCTION("""COMPUTED_VALUE"""),"FLIPKART")</f>
        <v>FLIPKART</v>
      </c>
      <c r="D2868" s="115">
        <f>IFERROR(__xludf.DUMMYFUNCTION("""COMPUTED_VALUE"""),226769.0)</f>
        <v>226769</v>
      </c>
      <c r="E2868" s="115">
        <f>IFERROR(__xludf.DUMMYFUNCTION("""COMPUTED_VALUE"""),19249.0)</f>
        <v>19249</v>
      </c>
      <c r="F2868" s="115">
        <f>IFERROR(__xludf.DUMMYFUNCTION("""COMPUTED_VALUE"""),41947.0)</f>
        <v>41947</v>
      </c>
      <c r="G2868" s="115">
        <f>IFERROR(__xludf.DUMMYFUNCTION("""COMPUTED_VALUE"""),1113.0)</f>
        <v>1113</v>
      </c>
      <c r="H2868" s="116">
        <f>IFERROR(__xludf.DUMMYFUNCTION("""COMPUTED_VALUE"""),45906.0)</f>
        <v>45906</v>
      </c>
      <c r="I2868" s="115" t="str">
        <f>IFERROR(__xludf.DUMMYFUNCTION("""COMPUTED_VALUE"""),"11")</f>
        <v>11</v>
      </c>
      <c r="J2868" s="115" t="str">
        <f>IFERROR(__xludf.DUMMYFUNCTION("""COMPUTED_VALUE"""),"Martin A2025-09-0611")</f>
        <v>Martin A2025-09-0611</v>
      </c>
      <c r="K2868" s="115">
        <f>IFERROR(__xludf.DUMMYFUNCTION("""COMPUTED_VALUE"""),246018.0)</f>
        <v>246018</v>
      </c>
    </row>
    <row r="2869">
      <c r="A2869" s="115" t="str">
        <f>IFERROR(__xludf.DUMMYFUNCTION("""COMPUTED_VALUE"""),"SOUTH")</f>
        <v>SOUTH</v>
      </c>
      <c r="B2869" s="115" t="str">
        <f>IFERROR(__xludf.DUMMYFUNCTION("""COMPUTED_VALUE"""),"Martin A")</f>
        <v>Martin A</v>
      </c>
      <c r="C2869" s="115" t="str">
        <f>IFERROR(__xludf.DUMMYFUNCTION("""COMPUTED_VALUE"""),"MYNTRA")</f>
        <v>MYNTRA</v>
      </c>
      <c r="D2869" s="115">
        <f>IFERROR(__xludf.DUMMYFUNCTION("""COMPUTED_VALUE"""),22808.0)</f>
        <v>22808</v>
      </c>
      <c r="E2869" s="115">
        <f>IFERROR(__xludf.DUMMYFUNCTION("""COMPUTED_VALUE"""),4871.0)</f>
        <v>4871</v>
      </c>
      <c r="F2869" s="115">
        <f>IFERROR(__xludf.DUMMYFUNCTION("""COMPUTED_VALUE"""),5256.0)</f>
        <v>5256</v>
      </c>
      <c r="G2869" s="115">
        <f>IFERROR(__xludf.DUMMYFUNCTION("""COMPUTED_VALUE"""),347.0)</f>
        <v>347</v>
      </c>
      <c r="H2869" s="116">
        <f>IFERROR(__xludf.DUMMYFUNCTION("""COMPUTED_VALUE"""),45906.0)</f>
        <v>45906</v>
      </c>
      <c r="I2869" s="115" t="str">
        <f>IFERROR(__xludf.DUMMYFUNCTION("""COMPUTED_VALUE"""),"11")</f>
        <v>11</v>
      </c>
      <c r="J2869" s="115" t="str">
        <f>IFERROR(__xludf.DUMMYFUNCTION("""COMPUTED_VALUE"""),"Martin A2025-09-0611")</f>
        <v>Martin A2025-09-0611</v>
      </c>
      <c r="K2869" s="115">
        <f>IFERROR(__xludf.DUMMYFUNCTION("""COMPUTED_VALUE"""),27679.0)</f>
        <v>27679</v>
      </c>
    </row>
    <row r="2870">
      <c r="A2870" s="115" t="str">
        <f>IFERROR(__xludf.DUMMYFUNCTION("""COMPUTED_VALUE"""),"SOUTH")</f>
        <v>SOUTH</v>
      </c>
      <c r="B2870" s="115" t="str">
        <f>IFERROR(__xludf.DUMMYFUNCTION("""COMPUTED_VALUE"""),"Premkumar M")</f>
        <v>Premkumar M</v>
      </c>
      <c r="C2870" s="115" t="str">
        <f>IFERROR(__xludf.DUMMYFUNCTION("""COMPUTED_VALUE"""),"EXTERNAL")</f>
        <v>EXTERNAL</v>
      </c>
      <c r="D2870" s="115">
        <f>IFERROR(__xludf.DUMMYFUNCTION("""COMPUTED_VALUE"""),18644.0)</f>
        <v>18644</v>
      </c>
      <c r="E2870" s="115">
        <f>IFERROR(__xludf.DUMMYFUNCTION("""COMPUTED_VALUE"""),865.0)</f>
        <v>865</v>
      </c>
      <c r="F2870" s="115">
        <f>IFERROR(__xludf.DUMMYFUNCTION("""COMPUTED_VALUE"""),1402.0)</f>
        <v>1402</v>
      </c>
      <c r="G2870" s="115">
        <f>IFERROR(__xludf.DUMMYFUNCTION("""COMPUTED_VALUE"""),12.0)</f>
        <v>12</v>
      </c>
      <c r="H2870" s="116">
        <f>IFERROR(__xludf.DUMMYFUNCTION("""COMPUTED_VALUE"""),45906.0)</f>
        <v>45906</v>
      </c>
      <c r="I2870" s="115" t="str">
        <f>IFERROR(__xludf.DUMMYFUNCTION("""COMPUTED_VALUE"""),"11")</f>
        <v>11</v>
      </c>
      <c r="J2870" s="115" t="str">
        <f>IFERROR(__xludf.DUMMYFUNCTION("""COMPUTED_VALUE"""),"Premkumar M2025-09-0611")</f>
        <v>Premkumar M2025-09-0611</v>
      </c>
      <c r="K2870" s="115">
        <f>IFERROR(__xludf.DUMMYFUNCTION("""COMPUTED_VALUE"""),19509.0)</f>
        <v>19509</v>
      </c>
    </row>
    <row r="2871">
      <c r="A2871" s="115" t="str">
        <f>IFERROR(__xludf.DUMMYFUNCTION("""COMPUTED_VALUE"""),"SOUTH")</f>
        <v>SOUTH</v>
      </c>
      <c r="B2871" s="115" t="str">
        <f>IFERROR(__xludf.DUMMYFUNCTION("""COMPUTED_VALUE"""),"Premkumar M")</f>
        <v>Premkumar M</v>
      </c>
      <c r="C2871" s="115" t="str">
        <f>IFERROR(__xludf.DUMMYFUNCTION("""COMPUTED_VALUE"""),"FLIPKART")</f>
        <v>FLIPKART</v>
      </c>
      <c r="D2871" s="115">
        <f>IFERROR(__xludf.DUMMYFUNCTION("""COMPUTED_VALUE"""),183143.0)</f>
        <v>183143</v>
      </c>
      <c r="E2871" s="115">
        <f>IFERROR(__xludf.DUMMYFUNCTION("""COMPUTED_VALUE"""),10777.0)</f>
        <v>10777</v>
      </c>
      <c r="F2871" s="115">
        <f>IFERROR(__xludf.DUMMYFUNCTION("""COMPUTED_VALUE"""),21155.0)</f>
        <v>21155</v>
      </c>
      <c r="G2871" s="115">
        <f>IFERROR(__xludf.DUMMYFUNCTION("""COMPUTED_VALUE"""),278.0)</f>
        <v>278</v>
      </c>
      <c r="H2871" s="116">
        <f>IFERROR(__xludf.DUMMYFUNCTION("""COMPUTED_VALUE"""),45906.0)</f>
        <v>45906</v>
      </c>
      <c r="I2871" s="115" t="str">
        <f>IFERROR(__xludf.DUMMYFUNCTION("""COMPUTED_VALUE"""),"11")</f>
        <v>11</v>
      </c>
      <c r="J2871" s="115" t="str">
        <f>IFERROR(__xludf.DUMMYFUNCTION("""COMPUTED_VALUE"""),"Premkumar M2025-09-0611")</f>
        <v>Premkumar M2025-09-0611</v>
      </c>
      <c r="K2871" s="115">
        <f>IFERROR(__xludf.DUMMYFUNCTION("""COMPUTED_VALUE"""),193920.0)</f>
        <v>193920</v>
      </c>
    </row>
    <row r="2872">
      <c r="A2872" s="115" t="str">
        <f>IFERROR(__xludf.DUMMYFUNCTION("""COMPUTED_VALUE"""),"SOUTH")</f>
        <v>SOUTH</v>
      </c>
      <c r="B2872" s="115" t="str">
        <f>IFERROR(__xludf.DUMMYFUNCTION("""COMPUTED_VALUE"""),"Premkumar M")</f>
        <v>Premkumar M</v>
      </c>
      <c r="C2872" s="115" t="str">
        <f>IFERROR(__xludf.DUMMYFUNCTION("""COMPUTED_VALUE"""),"MYNTRA")</f>
        <v>MYNTRA</v>
      </c>
      <c r="D2872" s="115">
        <f>IFERROR(__xludf.DUMMYFUNCTION("""COMPUTED_VALUE"""),10593.0)</f>
        <v>10593</v>
      </c>
      <c r="E2872" s="115">
        <f>IFERROR(__xludf.DUMMYFUNCTION("""COMPUTED_VALUE"""),1768.0)</f>
        <v>1768</v>
      </c>
      <c r="F2872" s="115">
        <f>IFERROR(__xludf.DUMMYFUNCTION("""COMPUTED_VALUE"""),1471.0)</f>
        <v>1471</v>
      </c>
      <c r="G2872" s="115">
        <f>IFERROR(__xludf.DUMMYFUNCTION("""COMPUTED_VALUE"""),34.0)</f>
        <v>34</v>
      </c>
      <c r="H2872" s="116">
        <f>IFERROR(__xludf.DUMMYFUNCTION("""COMPUTED_VALUE"""),45906.0)</f>
        <v>45906</v>
      </c>
      <c r="I2872" s="115" t="str">
        <f>IFERROR(__xludf.DUMMYFUNCTION("""COMPUTED_VALUE"""),"11")</f>
        <v>11</v>
      </c>
      <c r="J2872" s="115" t="str">
        <f>IFERROR(__xludf.DUMMYFUNCTION("""COMPUTED_VALUE"""),"Premkumar M2025-09-0611")</f>
        <v>Premkumar M2025-09-0611</v>
      </c>
      <c r="K2872" s="115">
        <f>IFERROR(__xludf.DUMMYFUNCTION("""COMPUTED_VALUE"""),12361.0)</f>
        <v>12361</v>
      </c>
    </row>
    <row r="2873">
      <c r="A2873" s="115" t="str">
        <f>IFERROR(__xludf.DUMMYFUNCTION("""COMPUTED_VALUE"""),"SOUTH")</f>
        <v>SOUTH</v>
      </c>
      <c r="B2873" s="115" t="str">
        <f>IFERROR(__xludf.DUMMYFUNCTION("""COMPUTED_VALUE"""),"Vineeth V")</f>
        <v>Vineeth V</v>
      </c>
      <c r="C2873" s="115" t="str">
        <f>IFERROR(__xludf.DUMMYFUNCTION("""COMPUTED_VALUE"""),"EXTERNAL")</f>
        <v>EXTERNAL</v>
      </c>
      <c r="D2873" s="115">
        <f>IFERROR(__xludf.DUMMYFUNCTION("""COMPUTED_VALUE"""),13339.0)</f>
        <v>13339</v>
      </c>
      <c r="E2873" s="115">
        <f>IFERROR(__xludf.DUMMYFUNCTION("""COMPUTED_VALUE"""),269.0)</f>
        <v>269</v>
      </c>
      <c r="F2873" s="115">
        <f>IFERROR(__xludf.DUMMYFUNCTION("""COMPUTED_VALUE"""),461.0)</f>
        <v>461</v>
      </c>
      <c r="G2873" s="115">
        <f>IFERROR(__xludf.DUMMYFUNCTION("""COMPUTED_VALUE"""),0.0)</f>
        <v>0</v>
      </c>
      <c r="H2873" s="116">
        <f>IFERROR(__xludf.DUMMYFUNCTION("""COMPUTED_VALUE"""),45906.0)</f>
        <v>45906</v>
      </c>
      <c r="I2873" s="115" t="str">
        <f>IFERROR(__xludf.DUMMYFUNCTION("""COMPUTED_VALUE"""),"11")</f>
        <v>11</v>
      </c>
      <c r="J2873" s="115" t="str">
        <f>IFERROR(__xludf.DUMMYFUNCTION("""COMPUTED_VALUE"""),"Vineeth V2025-09-0611")</f>
        <v>Vineeth V2025-09-0611</v>
      </c>
      <c r="K2873" s="115">
        <f>IFERROR(__xludf.DUMMYFUNCTION("""COMPUTED_VALUE"""),13608.0)</f>
        <v>13608</v>
      </c>
    </row>
    <row r="2874">
      <c r="A2874" s="115" t="str">
        <f>IFERROR(__xludf.DUMMYFUNCTION("""COMPUTED_VALUE"""),"SOUTH")</f>
        <v>SOUTH</v>
      </c>
      <c r="B2874" s="115" t="str">
        <f>IFERROR(__xludf.DUMMYFUNCTION("""COMPUTED_VALUE"""),"Vineeth V")</f>
        <v>Vineeth V</v>
      </c>
      <c r="C2874" s="115" t="str">
        <f>IFERROR(__xludf.DUMMYFUNCTION("""COMPUTED_VALUE"""),"FLIPKART")</f>
        <v>FLIPKART</v>
      </c>
      <c r="D2874" s="115">
        <f>IFERROR(__xludf.DUMMYFUNCTION("""COMPUTED_VALUE"""),117264.0)</f>
        <v>117264</v>
      </c>
      <c r="E2874" s="115">
        <f>IFERROR(__xludf.DUMMYFUNCTION("""COMPUTED_VALUE"""),6062.0)</f>
        <v>6062</v>
      </c>
      <c r="F2874" s="115">
        <f>IFERROR(__xludf.DUMMYFUNCTION("""COMPUTED_VALUE"""),6812.0)</f>
        <v>6812</v>
      </c>
      <c r="G2874" s="115">
        <f>IFERROR(__xludf.DUMMYFUNCTION("""COMPUTED_VALUE"""),41.0)</f>
        <v>41</v>
      </c>
      <c r="H2874" s="116">
        <f>IFERROR(__xludf.DUMMYFUNCTION("""COMPUTED_VALUE"""),45906.0)</f>
        <v>45906</v>
      </c>
      <c r="I2874" s="115" t="str">
        <f>IFERROR(__xludf.DUMMYFUNCTION("""COMPUTED_VALUE"""),"11")</f>
        <v>11</v>
      </c>
      <c r="J2874" s="115" t="str">
        <f>IFERROR(__xludf.DUMMYFUNCTION("""COMPUTED_VALUE"""),"Vineeth V2025-09-0611")</f>
        <v>Vineeth V2025-09-0611</v>
      </c>
      <c r="K2874" s="115">
        <f>IFERROR(__xludf.DUMMYFUNCTION("""COMPUTED_VALUE"""),123326.0)</f>
        <v>123326</v>
      </c>
    </row>
    <row r="2875">
      <c r="A2875" s="115" t="str">
        <f>IFERROR(__xludf.DUMMYFUNCTION("""COMPUTED_VALUE"""),"SOUTH")</f>
        <v>SOUTH</v>
      </c>
      <c r="B2875" s="115" t="str">
        <f>IFERROR(__xludf.DUMMYFUNCTION("""COMPUTED_VALUE"""),"Vineeth V")</f>
        <v>Vineeth V</v>
      </c>
      <c r="C2875" s="115" t="str">
        <f>IFERROR(__xludf.DUMMYFUNCTION("""COMPUTED_VALUE"""),"MYNTRA")</f>
        <v>MYNTRA</v>
      </c>
      <c r="D2875" s="115">
        <f>IFERROR(__xludf.DUMMYFUNCTION("""COMPUTED_VALUE"""),15489.0)</f>
        <v>15489</v>
      </c>
      <c r="E2875" s="115">
        <f>IFERROR(__xludf.DUMMYFUNCTION("""COMPUTED_VALUE"""),1690.0)</f>
        <v>1690</v>
      </c>
      <c r="F2875" s="115">
        <f>IFERROR(__xludf.DUMMYFUNCTION("""COMPUTED_VALUE"""),1070.0)</f>
        <v>1070</v>
      </c>
      <c r="G2875" s="115">
        <f>IFERROR(__xludf.DUMMYFUNCTION("""COMPUTED_VALUE"""),6.0)</f>
        <v>6</v>
      </c>
      <c r="H2875" s="116">
        <f>IFERROR(__xludf.DUMMYFUNCTION("""COMPUTED_VALUE"""),45906.0)</f>
        <v>45906</v>
      </c>
      <c r="I2875" s="115" t="str">
        <f>IFERROR(__xludf.DUMMYFUNCTION("""COMPUTED_VALUE"""),"11")</f>
        <v>11</v>
      </c>
      <c r="J2875" s="115" t="str">
        <f>IFERROR(__xludf.DUMMYFUNCTION("""COMPUTED_VALUE"""),"Vineeth V2025-09-0611")</f>
        <v>Vineeth V2025-09-0611</v>
      </c>
      <c r="K2875" s="115">
        <f>IFERROR(__xludf.DUMMYFUNCTION("""COMPUTED_VALUE"""),17179.0)</f>
        <v>17179</v>
      </c>
    </row>
    <row r="2876">
      <c r="A2876" s="115" t="str">
        <f>IFERROR(__xludf.DUMMYFUNCTION("""COMPUTED_VALUE"""),"WEST")</f>
        <v>WEST</v>
      </c>
      <c r="B2876" s="115" t="str">
        <f>IFERROR(__xludf.DUMMYFUNCTION("""COMPUTED_VALUE"""),"Ashish Jakar")</f>
        <v>Ashish Jakar</v>
      </c>
      <c r="C2876" s="115" t="str">
        <f>IFERROR(__xludf.DUMMYFUNCTION("""COMPUTED_VALUE"""),"EXTERNAL")</f>
        <v>EXTERNAL</v>
      </c>
      <c r="D2876" s="115">
        <f>IFERROR(__xludf.DUMMYFUNCTION("""COMPUTED_VALUE"""),35061.0)</f>
        <v>35061</v>
      </c>
      <c r="E2876" s="115">
        <f>IFERROR(__xludf.DUMMYFUNCTION("""COMPUTED_VALUE"""),4321.0)</f>
        <v>4321</v>
      </c>
      <c r="F2876" s="115">
        <f>IFERROR(__xludf.DUMMYFUNCTION("""COMPUTED_VALUE"""),4009.0)</f>
        <v>4009</v>
      </c>
      <c r="G2876" s="115">
        <f>IFERROR(__xludf.DUMMYFUNCTION("""COMPUTED_VALUE"""),277.0)</f>
        <v>277</v>
      </c>
      <c r="H2876" s="116">
        <f>IFERROR(__xludf.DUMMYFUNCTION("""COMPUTED_VALUE"""),45906.0)</f>
        <v>45906</v>
      </c>
      <c r="I2876" s="115" t="str">
        <f>IFERROR(__xludf.DUMMYFUNCTION("""COMPUTED_VALUE"""),"11")</f>
        <v>11</v>
      </c>
      <c r="J2876" s="115" t="str">
        <f>IFERROR(__xludf.DUMMYFUNCTION("""COMPUTED_VALUE"""),"Ashish Jakar2025-09-0611")</f>
        <v>Ashish Jakar2025-09-0611</v>
      </c>
      <c r="K2876" s="115">
        <f>IFERROR(__xludf.DUMMYFUNCTION("""COMPUTED_VALUE"""),39382.0)</f>
        <v>39382</v>
      </c>
    </row>
    <row r="2877">
      <c r="A2877" s="115" t="str">
        <f>IFERROR(__xludf.DUMMYFUNCTION("""COMPUTED_VALUE"""),"WEST")</f>
        <v>WEST</v>
      </c>
      <c r="B2877" s="115" t="str">
        <f>IFERROR(__xludf.DUMMYFUNCTION("""COMPUTED_VALUE"""),"Ashish Jakar")</f>
        <v>Ashish Jakar</v>
      </c>
      <c r="C2877" s="115" t="str">
        <f>IFERROR(__xludf.DUMMYFUNCTION("""COMPUTED_VALUE"""),"FLIPKART")</f>
        <v>FLIPKART</v>
      </c>
      <c r="D2877" s="115">
        <f>IFERROR(__xludf.DUMMYFUNCTION("""COMPUTED_VALUE"""),181096.0)</f>
        <v>181096</v>
      </c>
      <c r="E2877" s="115">
        <f>IFERROR(__xludf.DUMMYFUNCTION("""COMPUTED_VALUE"""),20319.0)</f>
        <v>20319</v>
      </c>
      <c r="F2877" s="115">
        <f>IFERROR(__xludf.DUMMYFUNCTION("""COMPUTED_VALUE"""),35074.0)</f>
        <v>35074</v>
      </c>
      <c r="G2877" s="115">
        <f>IFERROR(__xludf.DUMMYFUNCTION("""COMPUTED_VALUE"""),1333.0)</f>
        <v>1333</v>
      </c>
      <c r="H2877" s="116">
        <f>IFERROR(__xludf.DUMMYFUNCTION("""COMPUTED_VALUE"""),45906.0)</f>
        <v>45906</v>
      </c>
      <c r="I2877" s="115" t="str">
        <f>IFERROR(__xludf.DUMMYFUNCTION("""COMPUTED_VALUE"""),"11")</f>
        <v>11</v>
      </c>
      <c r="J2877" s="115" t="str">
        <f>IFERROR(__xludf.DUMMYFUNCTION("""COMPUTED_VALUE"""),"Ashish Jakar2025-09-0611")</f>
        <v>Ashish Jakar2025-09-0611</v>
      </c>
      <c r="K2877" s="115">
        <f>IFERROR(__xludf.DUMMYFUNCTION("""COMPUTED_VALUE"""),201415.0)</f>
        <v>201415</v>
      </c>
    </row>
    <row r="2878">
      <c r="A2878" s="115" t="str">
        <f>IFERROR(__xludf.DUMMYFUNCTION("""COMPUTED_VALUE"""),"WEST")</f>
        <v>WEST</v>
      </c>
      <c r="B2878" s="115" t="str">
        <f>IFERROR(__xludf.DUMMYFUNCTION("""COMPUTED_VALUE"""),"Ashish Jakar")</f>
        <v>Ashish Jakar</v>
      </c>
      <c r="C2878" s="115" t="str">
        <f>IFERROR(__xludf.DUMMYFUNCTION("""COMPUTED_VALUE"""),"MYNTRA")</f>
        <v>MYNTRA</v>
      </c>
      <c r="D2878" s="115">
        <f>IFERROR(__xludf.DUMMYFUNCTION("""COMPUTED_VALUE"""),26217.0)</f>
        <v>26217</v>
      </c>
      <c r="E2878" s="115">
        <f>IFERROR(__xludf.DUMMYFUNCTION("""COMPUTED_VALUE"""),6959.0)</f>
        <v>6959</v>
      </c>
      <c r="F2878" s="115">
        <f>IFERROR(__xludf.DUMMYFUNCTION("""COMPUTED_VALUE"""),6475.0)</f>
        <v>6475</v>
      </c>
      <c r="G2878" s="115">
        <f>IFERROR(__xludf.DUMMYFUNCTION("""COMPUTED_VALUE"""),514.0)</f>
        <v>514</v>
      </c>
      <c r="H2878" s="116">
        <f>IFERROR(__xludf.DUMMYFUNCTION("""COMPUTED_VALUE"""),45906.0)</f>
        <v>45906</v>
      </c>
      <c r="I2878" s="115" t="str">
        <f>IFERROR(__xludf.DUMMYFUNCTION("""COMPUTED_VALUE"""),"11")</f>
        <v>11</v>
      </c>
      <c r="J2878" s="115" t="str">
        <f>IFERROR(__xludf.DUMMYFUNCTION("""COMPUTED_VALUE"""),"Ashish Jakar2025-09-0611")</f>
        <v>Ashish Jakar2025-09-0611</v>
      </c>
      <c r="K2878" s="115">
        <f>IFERROR(__xludf.DUMMYFUNCTION("""COMPUTED_VALUE"""),33176.0)</f>
        <v>33176</v>
      </c>
    </row>
    <row r="2879">
      <c r="A2879" s="115" t="str">
        <f>IFERROR(__xludf.DUMMYFUNCTION("""COMPUTED_VALUE"""),"WEST")</f>
        <v>WEST</v>
      </c>
      <c r="B2879" s="115" t="str">
        <f>IFERROR(__xludf.DUMMYFUNCTION("""COMPUTED_VALUE"""),"Ashvani Bhatt")</f>
        <v>Ashvani Bhatt</v>
      </c>
      <c r="C2879" s="115" t="str">
        <f>IFERROR(__xludf.DUMMYFUNCTION("""COMPUTED_VALUE"""),"EXTERNAL")</f>
        <v>EXTERNAL</v>
      </c>
      <c r="D2879" s="115">
        <f>IFERROR(__xludf.DUMMYFUNCTION("""COMPUTED_VALUE"""),24225.0)</f>
        <v>24225</v>
      </c>
      <c r="E2879" s="115">
        <f>IFERROR(__xludf.DUMMYFUNCTION("""COMPUTED_VALUE"""),1927.0)</f>
        <v>1927</v>
      </c>
      <c r="F2879" s="115">
        <f>IFERROR(__xludf.DUMMYFUNCTION("""COMPUTED_VALUE"""),2686.0)</f>
        <v>2686</v>
      </c>
      <c r="G2879" s="115">
        <f>IFERROR(__xludf.DUMMYFUNCTION("""COMPUTED_VALUE"""),54.0)</f>
        <v>54</v>
      </c>
      <c r="H2879" s="116">
        <f>IFERROR(__xludf.DUMMYFUNCTION("""COMPUTED_VALUE"""),45906.0)</f>
        <v>45906</v>
      </c>
      <c r="I2879" s="115" t="str">
        <f>IFERROR(__xludf.DUMMYFUNCTION("""COMPUTED_VALUE"""),"11")</f>
        <v>11</v>
      </c>
      <c r="J2879" s="115" t="str">
        <f>IFERROR(__xludf.DUMMYFUNCTION("""COMPUTED_VALUE"""),"Ashvani Bhatt2025-09-0611")</f>
        <v>Ashvani Bhatt2025-09-0611</v>
      </c>
      <c r="K2879" s="115">
        <f>IFERROR(__xludf.DUMMYFUNCTION("""COMPUTED_VALUE"""),26152.0)</f>
        <v>26152</v>
      </c>
    </row>
    <row r="2880">
      <c r="A2880" s="115" t="str">
        <f>IFERROR(__xludf.DUMMYFUNCTION("""COMPUTED_VALUE"""),"WEST")</f>
        <v>WEST</v>
      </c>
      <c r="B2880" s="115" t="str">
        <f>IFERROR(__xludf.DUMMYFUNCTION("""COMPUTED_VALUE"""),"Ashvani Bhatt")</f>
        <v>Ashvani Bhatt</v>
      </c>
      <c r="C2880" s="115" t="str">
        <f>IFERROR(__xludf.DUMMYFUNCTION("""COMPUTED_VALUE"""),"FLIPKART")</f>
        <v>FLIPKART</v>
      </c>
      <c r="D2880" s="115">
        <f>IFERROR(__xludf.DUMMYFUNCTION("""COMPUTED_VALUE"""),182121.0)</f>
        <v>182121</v>
      </c>
      <c r="E2880" s="115">
        <f>IFERROR(__xludf.DUMMYFUNCTION("""COMPUTED_VALUE"""),17667.0)</f>
        <v>17667</v>
      </c>
      <c r="F2880" s="115">
        <f>IFERROR(__xludf.DUMMYFUNCTION("""COMPUTED_VALUE"""),33659.0)</f>
        <v>33659</v>
      </c>
      <c r="G2880" s="115">
        <f>IFERROR(__xludf.DUMMYFUNCTION("""COMPUTED_VALUE"""),768.0)</f>
        <v>768</v>
      </c>
      <c r="H2880" s="116">
        <f>IFERROR(__xludf.DUMMYFUNCTION("""COMPUTED_VALUE"""),45906.0)</f>
        <v>45906</v>
      </c>
      <c r="I2880" s="115" t="str">
        <f>IFERROR(__xludf.DUMMYFUNCTION("""COMPUTED_VALUE"""),"11")</f>
        <v>11</v>
      </c>
      <c r="J2880" s="115" t="str">
        <f>IFERROR(__xludf.DUMMYFUNCTION("""COMPUTED_VALUE"""),"Ashvani Bhatt2025-09-0611")</f>
        <v>Ashvani Bhatt2025-09-0611</v>
      </c>
      <c r="K2880" s="115">
        <f>IFERROR(__xludf.DUMMYFUNCTION("""COMPUTED_VALUE"""),199788.0)</f>
        <v>199788</v>
      </c>
    </row>
    <row r="2881">
      <c r="A2881" s="115" t="str">
        <f>IFERROR(__xludf.DUMMYFUNCTION("""COMPUTED_VALUE"""),"WEST")</f>
        <v>WEST</v>
      </c>
      <c r="B2881" s="115" t="str">
        <f>IFERROR(__xludf.DUMMYFUNCTION("""COMPUTED_VALUE"""),"Ashvani Bhatt")</f>
        <v>Ashvani Bhatt</v>
      </c>
      <c r="C2881" s="115" t="str">
        <f>IFERROR(__xludf.DUMMYFUNCTION("""COMPUTED_VALUE"""),"MYNTRA")</f>
        <v>MYNTRA</v>
      </c>
      <c r="D2881" s="115">
        <f>IFERROR(__xludf.DUMMYFUNCTION("""COMPUTED_VALUE"""),23992.0)</f>
        <v>23992</v>
      </c>
      <c r="E2881" s="115">
        <f>IFERROR(__xludf.DUMMYFUNCTION("""COMPUTED_VALUE"""),5483.0)</f>
        <v>5483</v>
      </c>
      <c r="F2881" s="115">
        <f>IFERROR(__xludf.DUMMYFUNCTION("""COMPUTED_VALUE"""),5862.0)</f>
        <v>5862</v>
      </c>
      <c r="G2881" s="115">
        <f>IFERROR(__xludf.DUMMYFUNCTION("""COMPUTED_VALUE"""),306.0)</f>
        <v>306</v>
      </c>
      <c r="H2881" s="116">
        <f>IFERROR(__xludf.DUMMYFUNCTION("""COMPUTED_VALUE"""),45906.0)</f>
        <v>45906</v>
      </c>
      <c r="I2881" s="115" t="str">
        <f>IFERROR(__xludf.DUMMYFUNCTION("""COMPUTED_VALUE"""),"11")</f>
        <v>11</v>
      </c>
      <c r="J2881" s="115" t="str">
        <f>IFERROR(__xludf.DUMMYFUNCTION("""COMPUTED_VALUE"""),"Ashvani Bhatt2025-09-0611")</f>
        <v>Ashvani Bhatt2025-09-0611</v>
      </c>
      <c r="K2881" s="115">
        <f>IFERROR(__xludf.DUMMYFUNCTION("""COMPUTED_VALUE"""),29475.0)</f>
        <v>29475</v>
      </c>
    </row>
    <row r="2882">
      <c r="A2882" s="115" t="str">
        <f>IFERROR(__xludf.DUMMYFUNCTION("""COMPUTED_VALUE"""),"West")</f>
        <v>West</v>
      </c>
      <c r="B2882" s="115" t="str">
        <f>IFERROR(__xludf.DUMMYFUNCTION("""COMPUTED_VALUE"""),"Ashish Jakar")</f>
        <v>Ashish Jakar</v>
      </c>
      <c r="C2882" s="115" t="str">
        <f>IFERROR(__xludf.DUMMYFUNCTION("""COMPUTED_VALUE"""),"EXTERNAL")</f>
        <v>EXTERNAL</v>
      </c>
      <c r="D2882" s="115">
        <f>IFERROR(__xludf.DUMMYFUNCTION("""COMPUTED_VALUE"""),3.0)</f>
        <v>3</v>
      </c>
      <c r="E2882" s="115">
        <f>IFERROR(__xludf.DUMMYFUNCTION("""COMPUTED_VALUE"""),0.0)</f>
        <v>0</v>
      </c>
      <c r="F2882" s="115">
        <f>IFERROR(__xludf.DUMMYFUNCTION("""COMPUTED_VALUE"""),0.0)</f>
        <v>0</v>
      </c>
      <c r="G2882" s="115">
        <f>IFERROR(__xludf.DUMMYFUNCTION("""COMPUTED_VALUE"""),0.0)</f>
        <v>0</v>
      </c>
      <c r="H2882" s="116">
        <f>IFERROR(__xludf.DUMMYFUNCTION("""COMPUTED_VALUE"""),45906.0)</f>
        <v>45906</v>
      </c>
      <c r="I2882" s="115" t="str">
        <f>IFERROR(__xludf.DUMMYFUNCTION("""COMPUTED_VALUE"""),"11")</f>
        <v>11</v>
      </c>
      <c r="J2882" s="115" t="str">
        <f>IFERROR(__xludf.DUMMYFUNCTION("""COMPUTED_VALUE"""),"Ashish Jakar2025-09-0611")</f>
        <v>Ashish Jakar2025-09-0611</v>
      </c>
      <c r="K2882" s="115">
        <f>IFERROR(__xludf.DUMMYFUNCTION("""COMPUTED_VALUE"""),3.0)</f>
        <v>3</v>
      </c>
    </row>
    <row r="2883">
      <c r="A2883" s="115" t="str">
        <f>IFERROR(__xludf.DUMMYFUNCTION("""COMPUTED_VALUE"""),"West")</f>
        <v>West</v>
      </c>
      <c r="B2883" s="115" t="str">
        <f>IFERROR(__xludf.DUMMYFUNCTION("""COMPUTED_VALUE"""),"Ashish Jakar")</f>
        <v>Ashish Jakar</v>
      </c>
      <c r="C2883" s="115" t="str">
        <f>IFERROR(__xludf.DUMMYFUNCTION("""COMPUTED_VALUE"""),"FLIPKART")</f>
        <v>FLIPKART</v>
      </c>
      <c r="D2883" s="115">
        <f>IFERROR(__xludf.DUMMYFUNCTION("""COMPUTED_VALUE"""),43.0)</f>
        <v>43</v>
      </c>
      <c r="E2883" s="115">
        <f>IFERROR(__xludf.DUMMYFUNCTION("""COMPUTED_VALUE"""),0.0)</f>
        <v>0</v>
      </c>
      <c r="F2883" s="115">
        <f>IFERROR(__xludf.DUMMYFUNCTION("""COMPUTED_VALUE"""),0.0)</f>
        <v>0</v>
      </c>
      <c r="G2883" s="115">
        <f>IFERROR(__xludf.DUMMYFUNCTION("""COMPUTED_VALUE"""),0.0)</f>
        <v>0</v>
      </c>
      <c r="H2883" s="116">
        <f>IFERROR(__xludf.DUMMYFUNCTION("""COMPUTED_VALUE"""),45906.0)</f>
        <v>45906</v>
      </c>
      <c r="I2883" s="115" t="str">
        <f>IFERROR(__xludf.DUMMYFUNCTION("""COMPUTED_VALUE"""),"11")</f>
        <v>11</v>
      </c>
      <c r="J2883" s="115" t="str">
        <f>IFERROR(__xludf.DUMMYFUNCTION("""COMPUTED_VALUE"""),"Ashish Jakar2025-09-0611")</f>
        <v>Ashish Jakar2025-09-0611</v>
      </c>
      <c r="K2883" s="115">
        <f>IFERROR(__xludf.DUMMYFUNCTION("""COMPUTED_VALUE"""),43.0)</f>
        <v>43</v>
      </c>
    </row>
    <row r="2884">
      <c r="A2884" s="115" t="str">
        <f>IFERROR(__xludf.DUMMYFUNCTION("""COMPUTED_VALUE"""),"West")</f>
        <v>West</v>
      </c>
      <c r="B2884" s="115" t="str">
        <f>IFERROR(__xludf.DUMMYFUNCTION("""COMPUTED_VALUE"""),"Ashish Jakar")</f>
        <v>Ashish Jakar</v>
      </c>
      <c r="C2884" s="115" t="str">
        <f>IFERROR(__xludf.DUMMYFUNCTION("""COMPUTED_VALUE"""),"MYNTRA")</f>
        <v>MYNTRA</v>
      </c>
      <c r="D2884" s="115">
        <f>IFERROR(__xludf.DUMMYFUNCTION("""COMPUTED_VALUE"""),12.0)</f>
        <v>12</v>
      </c>
      <c r="E2884" s="115">
        <f>IFERROR(__xludf.DUMMYFUNCTION("""COMPUTED_VALUE"""),0.0)</f>
        <v>0</v>
      </c>
      <c r="F2884" s="115">
        <f>IFERROR(__xludf.DUMMYFUNCTION("""COMPUTED_VALUE"""),0.0)</f>
        <v>0</v>
      </c>
      <c r="G2884" s="115">
        <f>IFERROR(__xludf.DUMMYFUNCTION("""COMPUTED_VALUE"""),0.0)</f>
        <v>0</v>
      </c>
      <c r="H2884" s="116">
        <f>IFERROR(__xludf.DUMMYFUNCTION("""COMPUTED_VALUE"""),45906.0)</f>
        <v>45906</v>
      </c>
      <c r="I2884" s="115" t="str">
        <f>IFERROR(__xludf.DUMMYFUNCTION("""COMPUTED_VALUE"""),"11")</f>
        <v>11</v>
      </c>
      <c r="J2884" s="115" t="str">
        <f>IFERROR(__xludf.DUMMYFUNCTION("""COMPUTED_VALUE"""),"Ashish Jakar2025-09-0611")</f>
        <v>Ashish Jakar2025-09-0611</v>
      </c>
      <c r="K2884" s="115">
        <f>IFERROR(__xludf.DUMMYFUNCTION("""COMPUTED_VALUE"""),12.0)</f>
        <v>12</v>
      </c>
    </row>
    <row r="2885">
      <c r="A2885" s="115"/>
      <c r="B2885" s="115"/>
      <c r="C2885" s="115" t="str">
        <f>IFERROR(__xludf.DUMMYFUNCTION("""COMPUTED_VALUE"""),"EXTERNAL")</f>
        <v>EXTERNAL</v>
      </c>
      <c r="D2885" s="115">
        <f>IFERROR(__xludf.DUMMYFUNCTION("""COMPUTED_VALUE"""),612.0)</f>
        <v>612</v>
      </c>
      <c r="E2885" s="115">
        <f>IFERROR(__xludf.DUMMYFUNCTION("""COMPUTED_VALUE"""),96.0)</f>
        <v>96</v>
      </c>
      <c r="F2885" s="115">
        <f>IFERROR(__xludf.DUMMYFUNCTION("""COMPUTED_VALUE"""),21.0)</f>
        <v>21</v>
      </c>
      <c r="G2885" s="115">
        <f>IFERROR(__xludf.DUMMYFUNCTION("""COMPUTED_VALUE"""),15.0)</f>
        <v>15</v>
      </c>
      <c r="H2885" s="116">
        <f>IFERROR(__xludf.DUMMYFUNCTION("""COMPUTED_VALUE"""),45906.0)</f>
        <v>45906</v>
      </c>
      <c r="I2885" s="115" t="str">
        <f>IFERROR(__xludf.DUMMYFUNCTION("""COMPUTED_VALUE"""),"11")</f>
        <v>11</v>
      </c>
      <c r="J2885" s="115" t="str">
        <f>IFERROR(__xludf.DUMMYFUNCTION("""COMPUTED_VALUE"""),"2025-09-0611")</f>
        <v>2025-09-0611</v>
      </c>
      <c r="K2885" s="115">
        <f>IFERROR(__xludf.DUMMYFUNCTION("""COMPUTED_VALUE"""),708.0)</f>
        <v>708</v>
      </c>
    </row>
    <row r="2886">
      <c r="A2886" s="115"/>
      <c r="B2886" s="115"/>
      <c r="C2886" s="115" t="str">
        <f>IFERROR(__xludf.DUMMYFUNCTION("""COMPUTED_VALUE"""),"FLIPKART")</f>
        <v>FLIPKART</v>
      </c>
      <c r="D2886" s="115">
        <f>IFERROR(__xludf.DUMMYFUNCTION("""COMPUTED_VALUE"""),4723.0)</f>
        <v>4723</v>
      </c>
      <c r="E2886" s="115">
        <f>IFERROR(__xludf.DUMMYFUNCTION("""COMPUTED_VALUE"""),564.0)</f>
        <v>564</v>
      </c>
      <c r="F2886" s="115">
        <f>IFERROR(__xludf.DUMMYFUNCTION("""COMPUTED_VALUE"""),255.0)</f>
        <v>255</v>
      </c>
      <c r="G2886" s="115">
        <f>IFERROR(__xludf.DUMMYFUNCTION("""COMPUTED_VALUE"""),30.0)</f>
        <v>30</v>
      </c>
      <c r="H2886" s="116">
        <f>IFERROR(__xludf.DUMMYFUNCTION("""COMPUTED_VALUE"""),45906.0)</f>
        <v>45906</v>
      </c>
      <c r="I2886" s="115" t="str">
        <f>IFERROR(__xludf.DUMMYFUNCTION("""COMPUTED_VALUE"""),"11")</f>
        <v>11</v>
      </c>
      <c r="J2886" s="115" t="str">
        <f>IFERROR(__xludf.DUMMYFUNCTION("""COMPUTED_VALUE"""),"2025-09-0611")</f>
        <v>2025-09-0611</v>
      </c>
      <c r="K2886" s="115">
        <f>IFERROR(__xludf.DUMMYFUNCTION("""COMPUTED_VALUE"""),5287.0)</f>
        <v>5287</v>
      </c>
    </row>
    <row r="2887">
      <c r="A2887" s="115"/>
      <c r="B2887" s="115"/>
      <c r="C2887" s="115" t="str">
        <f>IFERROR(__xludf.DUMMYFUNCTION("""COMPUTED_VALUE"""),"MYNTRA")</f>
        <v>MYNTRA</v>
      </c>
      <c r="D2887" s="115">
        <f>IFERROR(__xludf.DUMMYFUNCTION("""COMPUTED_VALUE"""),875.0)</f>
        <v>875</v>
      </c>
      <c r="E2887" s="115">
        <f>IFERROR(__xludf.DUMMYFUNCTION("""COMPUTED_VALUE"""),195.0)</f>
        <v>195</v>
      </c>
      <c r="F2887" s="115">
        <f>IFERROR(__xludf.DUMMYFUNCTION("""COMPUTED_VALUE"""),41.0)</f>
        <v>41</v>
      </c>
      <c r="G2887" s="115">
        <f>IFERROR(__xludf.DUMMYFUNCTION("""COMPUTED_VALUE"""),12.0)</f>
        <v>12</v>
      </c>
      <c r="H2887" s="116">
        <f>IFERROR(__xludf.DUMMYFUNCTION("""COMPUTED_VALUE"""),45906.0)</f>
        <v>45906</v>
      </c>
      <c r="I2887" s="115" t="str">
        <f>IFERROR(__xludf.DUMMYFUNCTION("""COMPUTED_VALUE"""),"11")</f>
        <v>11</v>
      </c>
      <c r="J2887" s="115" t="str">
        <f>IFERROR(__xludf.DUMMYFUNCTION("""COMPUTED_VALUE"""),"2025-09-0611")</f>
        <v>2025-09-0611</v>
      </c>
      <c r="K2887" s="115">
        <f>IFERROR(__xludf.DUMMYFUNCTION("""COMPUTED_VALUE"""),1070.0)</f>
        <v>1070</v>
      </c>
    </row>
    <row r="2888">
      <c r="A2888" s="115" t="str">
        <f>IFERROR(__xludf.DUMMYFUNCTION("""COMPUTED_VALUE"""),"EAST")</f>
        <v>EAST</v>
      </c>
      <c r="B2888" s="115" t="str">
        <f>IFERROR(__xludf.DUMMYFUNCTION("""COMPUTED_VALUE"""),"Ashish Ranjan")</f>
        <v>Ashish Ranjan</v>
      </c>
      <c r="C2888" s="115" t="str">
        <f>IFERROR(__xludf.DUMMYFUNCTION("""COMPUTED_VALUE"""),"EXTERNAL")</f>
        <v>EXTERNAL</v>
      </c>
      <c r="D2888" s="115">
        <f>IFERROR(__xludf.DUMMYFUNCTION("""COMPUTED_VALUE"""),36937.0)</f>
        <v>36937</v>
      </c>
      <c r="E2888" s="115">
        <f>IFERROR(__xludf.DUMMYFUNCTION("""COMPUTED_VALUE"""),2483.0)</f>
        <v>2483</v>
      </c>
      <c r="F2888" s="115">
        <f>IFERROR(__xludf.DUMMYFUNCTION("""COMPUTED_VALUE"""),8131.0)</f>
        <v>8131</v>
      </c>
      <c r="G2888" s="115">
        <f>IFERROR(__xludf.DUMMYFUNCTION("""COMPUTED_VALUE"""),159.0)</f>
        <v>159</v>
      </c>
      <c r="H2888" s="116">
        <f>IFERROR(__xludf.DUMMYFUNCTION("""COMPUTED_VALUE"""),45906.0)</f>
        <v>45906</v>
      </c>
      <c r="I2888" s="115" t="str">
        <f>IFERROR(__xludf.DUMMYFUNCTION("""COMPUTED_VALUE"""),"12")</f>
        <v>12</v>
      </c>
      <c r="J2888" s="115" t="str">
        <f>IFERROR(__xludf.DUMMYFUNCTION("""COMPUTED_VALUE"""),"Ashish Ranjan2025-09-0612")</f>
        <v>Ashish Ranjan2025-09-0612</v>
      </c>
      <c r="K2888" s="115">
        <f>IFERROR(__xludf.DUMMYFUNCTION("""COMPUTED_VALUE"""),39420.0)</f>
        <v>39420</v>
      </c>
    </row>
    <row r="2889">
      <c r="A2889" s="115" t="str">
        <f>IFERROR(__xludf.DUMMYFUNCTION("""COMPUTED_VALUE"""),"EAST")</f>
        <v>EAST</v>
      </c>
      <c r="B2889" s="115" t="str">
        <f>IFERROR(__xludf.DUMMYFUNCTION("""COMPUTED_VALUE"""),"Ashish Ranjan")</f>
        <v>Ashish Ranjan</v>
      </c>
      <c r="C2889" s="115" t="str">
        <f>IFERROR(__xludf.DUMMYFUNCTION("""COMPUTED_VALUE"""),"FLIPKART")</f>
        <v>FLIPKART</v>
      </c>
      <c r="D2889" s="115">
        <f>IFERROR(__xludf.DUMMYFUNCTION("""COMPUTED_VALUE"""),584611.0)</f>
        <v>584611</v>
      </c>
      <c r="E2889" s="115">
        <f>IFERROR(__xludf.DUMMYFUNCTION("""COMPUTED_VALUE"""),48945.0)</f>
        <v>48945</v>
      </c>
      <c r="F2889" s="115">
        <f>IFERROR(__xludf.DUMMYFUNCTION("""COMPUTED_VALUE"""),207550.0)</f>
        <v>207550</v>
      </c>
      <c r="G2889" s="115">
        <f>IFERROR(__xludf.DUMMYFUNCTION("""COMPUTED_VALUE"""),5219.0)</f>
        <v>5219</v>
      </c>
      <c r="H2889" s="116">
        <f>IFERROR(__xludf.DUMMYFUNCTION("""COMPUTED_VALUE"""),45906.0)</f>
        <v>45906</v>
      </c>
      <c r="I2889" s="115" t="str">
        <f>IFERROR(__xludf.DUMMYFUNCTION("""COMPUTED_VALUE"""),"12")</f>
        <v>12</v>
      </c>
      <c r="J2889" s="115" t="str">
        <f>IFERROR(__xludf.DUMMYFUNCTION("""COMPUTED_VALUE"""),"Ashish Ranjan2025-09-0612")</f>
        <v>Ashish Ranjan2025-09-0612</v>
      </c>
      <c r="K2889" s="115">
        <f>IFERROR(__xludf.DUMMYFUNCTION("""COMPUTED_VALUE"""),633556.0)</f>
        <v>633556</v>
      </c>
    </row>
    <row r="2890">
      <c r="A2890" s="115" t="str">
        <f>IFERROR(__xludf.DUMMYFUNCTION("""COMPUTED_VALUE"""),"EAST")</f>
        <v>EAST</v>
      </c>
      <c r="B2890" s="115" t="str">
        <f>IFERROR(__xludf.DUMMYFUNCTION("""COMPUTED_VALUE"""),"Ashish Ranjan")</f>
        <v>Ashish Ranjan</v>
      </c>
      <c r="C2890" s="115" t="str">
        <f>IFERROR(__xludf.DUMMYFUNCTION("""COMPUTED_VALUE"""),"MYNTRA")</f>
        <v>MYNTRA</v>
      </c>
      <c r="D2890" s="115">
        <f>IFERROR(__xludf.DUMMYFUNCTION("""COMPUTED_VALUE"""),58854.0)</f>
        <v>58854</v>
      </c>
      <c r="E2890" s="115">
        <f>IFERROR(__xludf.DUMMYFUNCTION("""COMPUTED_VALUE"""),11715.0)</f>
        <v>11715</v>
      </c>
      <c r="F2890" s="115">
        <f>IFERROR(__xludf.DUMMYFUNCTION("""COMPUTED_VALUE"""),21178.0)</f>
        <v>21178</v>
      </c>
      <c r="G2890" s="115">
        <f>IFERROR(__xludf.DUMMYFUNCTION("""COMPUTED_VALUE"""),1302.0)</f>
        <v>1302</v>
      </c>
      <c r="H2890" s="116">
        <f>IFERROR(__xludf.DUMMYFUNCTION("""COMPUTED_VALUE"""),45906.0)</f>
        <v>45906</v>
      </c>
      <c r="I2890" s="115" t="str">
        <f>IFERROR(__xludf.DUMMYFUNCTION("""COMPUTED_VALUE"""),"12")</f>
        <v>12</v>
      </c>
      <c r="J2890" s="115" t="str">
        <f>IFERROR(__xludf.DUMMYFUNCTION("""COMPUTED_VALUE"""),"Ashish Ranjan2025-09-0612")</f>
        <v>Ashish Ranjan2025-09-0612</v>
      </c>
      <c r="K2890" s="115">
        <f>IFERROR(__xludf.DUMMYFUNCTION("""COMPUTED_VALUE"""),70569.0)</f>
        <v>70569</v>
      </c>
    </row>
    <row r="2891">
      <c r="A2891" s="115" t="str">
        <f>IFERROR(__xludf.DUMMYFUNCTION("""COMPUTED_VALUE"""),"EAST")</f>
        <v>EAST</v>
      </c>
      <c r="B2891" s="115" t="str">
        <f>IFERROR(__xludf.DUMMYFUNCTION("""COMPUTED_VALUE"""),"Girish Chand")</f>
        <v>Girish Chand</v>
      </c>
      <c r="C2891" s="115" t="str">
        <f>IFERROR(__xludf.DUMMYFUNCTION("""COMPUTED_VALUE"""),"EXTERNAL")</f>
        <v>EXTERNAL</v>
      </c>
      <c r="D2891" s="115">
        <f>IFERROR(__xludf.DUMMYFUNCTION("""COMPUTED_VALUE"""),23069.0)</f>
        <v>23069</v>
      </c>
      <c r="E2891" s="115">
        <f>IFERROR(__xludf.DUMMYFUNCTION("""COMPUTED_VALUE"""),1843.0)</f>
        <v>1843</v>
      </c>
      <c r="F2891" s="115">
        <f>IFERROR(__xludf.DUMMYFUNCTION("""COMPUTED_VALUE"""),3106.0)</f>
        <v>3106</v>
      </c>
      <c r="G2891" s="115">
        <f>IFERROR(__xludf.DUMMYFUNCTION("""COMPUTED_VALUE"""),39.0)</f>
        <v>39</v>
      </c>
      <c r="H2891" s="116">
        <f>IFERROR(__xludf.DUMMYFUNCTION("""COMPUTED_VALUE"""),45906.0)</f>
        <v>45906</v>
      </c>
      <c r="I2891" s="115" t="str">
        <f>IFERROR(__xludf.DUMMYFUNCTION("""COMPUTED_VALUE"""),"12")</f>
        <v>12</v>
      </c>
      <c r="J2891" s="115" t="str">
        <f>IFERROR(__xludf.DUMMYFUNCTION("""COMPUTED_VALUE"""),"Girish Chand2025-09-0612")</f>
        <v>Girish Chand2025-09-0612</v>
      </c>
      <c r="K2891" s="115">
        <f>IFERROR(__xludf.DUMMYFUNCTION("""COMPUTED_VALUE"""),24912.0)</f>
        <v>24912</v>
      </c>
    </row>
    <row r="2892">
      <c r="A2892" s="115" t="str">
        <f>IFERROR(__xludf.DUMMYFUNCTION("""COMPUTED_VALUE"""),"EAST")</f>
        <v>EAST</v>
      </c>
      <c r="B2892" s="115" t="str">
        <f>IFERROR(__xludf.DUMMYFUNCTION("""COMPUTED_VALUE"""),"Girish Chand")</f>
        <v>Girish Chand</v>
      </c>
      <c r="C2892" s="115" t="str">
        <f>IFERROR(__xludf.DUMMYFUNCTION("""COMPUTED_VALUE"""),"FLIPKART")</f>
        <v>FLIPKART</v>
      </c>
      <c r="D2892" s="115">
        <f>IFERROR(__xludf.DUMMYFUNCTION("""COMPUTED_VALUE"""),416865.0)</f>
        <v>416865</v>
      </c>
      <c r="E2892" s="115">
        <f>IFERROR(__xludf.DUMMYFUNCTION("""COMPUTED_VALUE"""),33096.0)</f>
        <v>33096</v>
      </c>
      <c r="F2892" s="115">
        <f>IFERROR(__xludf.DUMMYFUNCTION("""COMPUTED_VALUE"""),97177.0)</f>
        <v>97177</v>
      </c>
      <c r="G2892" s="115">
        <f>IFERROR(__xludf.DUMMYFUNCTION("""COMPUTED_VALUE"""),1629.0)</f>
        <v>1629</v>
      </c>
      <c r="H2892" s="116">
        <f>IFERROR(__xludf.DUMMYFUNCTION("""COMPUTED_VALUE"""),45906.0)</f>
        <v>45906</v>
      </c>
      <c r="I2892" s="115" t="str">
        <f>IFERROR(__xludf.DUMMYFUNCTION("""COMPUTED_VALUE"""),"12")</f>
        <v>12</v>
      </c>
      <c r="J2892" s="115" t="str">
        <f>IFERROR(__xludf.DUMMYFUNCTION("""COMPUTED_VALUE"""),"Girish Chand2025-09-0612")</f>
        <v>Girish Chand2025-09-0612</v>
      </c>
      <c r="K2892" s="115">
        <f>IFERROR(__xludf.DUMMYFUNCTION("""COMPUTED_VALUE"""),449961.0)</f>
        <v>449961</v>
      </c>
    </row>
    <row r="2893">
      <c r="A2893" s="115" t="str">
        <f>IFERROR(__xludf.DUMMYFUNCTION("""COMPUTED_VALUE"""),"EAST")</f>
        <v>EAST</v>
      </c>
      <c r="B2893" s="115" t="str">
        <f>IFERROR(__xludf.DUMMYFUNCTION("""COMPUTED_VALUE"""),"Girish Chand")</f>
        <v>Girish Chand</v>
      </c>
      <c r="C2893" s="115" t="str">
        <f>IFERROR(__xludf.DUMMYFUNCTION("""COMPUTED_VALUE"""),"MYNTRA")</f>
        <v>MYNTRA</v>
      </c>
      <c r="D2893" s="115">
        <f>IFERROR(__xludf.DUMMYFUNCTION("""COMPUTED_VALUE"""),35612.0)</f>
        <v>35612</v>
      </c>
      <c r="E2893" s="115">
        <f>IFERROR(__xludf.DUMMYFUNCTION("""COMPUTED_VALUE"""),6164.0)</f>
        <v>6164</v>
      </c>
      <c r="F2893" s="115">
        <f>IFERROR(__xludf.DUMMYFUNCTION("""COMPUTED_VALUE"""),9399.0)</f>
        <v>9399</v>
      </c>
      <c r="G2893" s="115">
        <f>IFERROR(__xludf.DUMMYFUNCTION("""COMPUTED_VALUE"""),508.0)</f>
        <v>508</v>
      </c>
      <c r="H2893" s="116">
        <f>IFERROR(__xludf.DUMMYFUNCTION("""COMPUTED_VALUE"""),45906.0)</f>
        <v>45906</v>
      </c>
      <c r="I2893" s="115" t="str">
        <f>IFERROR(__xludf.DUMMYFUNCTION("""COMPUTED_VALUE"""),"12")</f>
        <v>12</v>
      </c>
      <c r="J2893" s="115" t="str">
        <f>IFERROR(__xludf.DUMMYFUNCTION("""COMPUTED_VALUE"""),"Girish Chand2025-09-0612")</f>
        <v>Girish Chand2025-09-0612</v>
      </c>
      <c r="K2893" s="115">
        <f>IFERROR(__xludf.DUMMYFUNCTION("""COMPUTED_VALUE"""),41776.0)</f>
        <v>41776</v>
      </c>
    </row>
    <row r="2894">
      <c r="A2894" s="115" t="str">
        <f>IFERROR(__xludf.DUMMYFUNCTION("""COMPUTED_VALUE"""),"EAST")</f>
        <v>EAST</v>
      </c>
      <c r="B2894" s="115" t="str">
        <f>IFERROR(__xludf.DUMMYFUNCTION("""COMPUTED_VALUE"""),"Parag Kashyap")</f>
        <v>Parag Kashyap</v>
      </c>
      <c r="C2894" s="115" t="str">
        <f>IFERROR(__xludf.DUMMYFUNCTION("""COMPUTED_VALUE"""),"EXTERNAL")</f>
        <v>EXTERNAL</v>
      </c>
      <c r="D2894" s="115">
        <f>IFERROR(__xludf.DUMMYFUNCTION("""COMPUTED_VALUE"""),15844.0)</f>
        <v>15844</v>
      </c>
      <c r="E2894" s="115">
        <f>IFERROR(__xludf.DUMMYFUNCTION("""COMPUTED_VALUE"""),835.0)</f>
        <v>835</v>
      </c>
      <c r="F2894" s="115">
        <f>IFERROR(__xludf.DUMMYFUNCTION("""COMPUTED_VALUE"""),1929.0)</f>
        <v>1929</v>
      </c>
      <c r="G2894" s="115">
        <f>IFERROR(__xludf.DUMMYFUNCTION("""COMPUTED_VALUE"""),22.0)</f>
        <v>22</v>
      </c>
      <c r="H2894" s="116">
        <f>IFERROR(__xludf.DUMMYFUNCTION("""COMPUTED_VALUE"""),45906.0)</f>
        <v>45906</v>
      </c>
      <c r="I2894" s="115" t="str">
        <f>IFERROR(__xludf.DUMMYFUNCTION("""COMPUTED_VALUE"""),"12")</f>
        <v>12</v>
      </c>
      <c r="J2894" s="115" t="str">
        <f>IFERROR(__xludf.DUMMYFUNCTION("""COMPUTED_VALUE"""),"Parag Kashyap2025-09-0612")</f>
        <v>Parag Kashyap2025-09-0612</v>
      </c>
      <c r="K2894" s="115">
        <f>IFERROR(__xludf.DUMMYFUNCTION("""COMPUTED_VALUE"""),16679.0)</f>
        <v>16679</v>
      </c>
    </row>
    <row r="2895">
      <c r="A2895" s="115" t="str">
        <f>IFERROR(__xludf.DUMMYFUNCTION("""COMPUTED_VALUE"""),"EAST")</f>
        <v>EAST</v>
      </c>
      <c r="B2895" s="115" t="str">
        <f>IFERROR(__xludf.DUMMYFUNCTION("""COMPUTED_VALUE"""),"Parag Kashyap")</f>
        <v>Parag Kashyap</v>
      </c>
      <c r="C2895" s="115" t="str">
        <f>IFERROR(__xludf.DUMMYFUNCTION("""COMPUTED_VALUE"""),"FLIPKART")</f>
        <v>FLIPKART</v>
      </c>
      <c r="D2895" s="115">
        <f>IFERROR(__xludf.DUMMYFUNCTION("""COMPUTED_VALUE"""),257264.0)</f>
        <v>257264</v>
      </c>
      <c r="E2895" s="115">
        <f>IFERROR(__xludf.DUMMYFUNCTION("""COMPUTED_VALUE"""),15359.0)</f>
        <v>15359</v>
      </c>
      <c r="F2895" s="115">
        <f>IFERROR(__xludf.DUMMYFUNCTION("""COMPUTED_VALUE"""),58934.0)</f>
        <v>58934</v>
      </c>
      <c r="G2895" s="115">
        <f>IFERROR(__xludf.DUMMYFUNCTION("""COMPUTED_VALUE"""),620.0)</f>
        <v>620</v>
      </c>
      <c r="H2895" s="116">
        <f>IFERROR(__xludf.DUMMYFUNCTION("""COMPUTED_VALUE"""),45906.0)</f>
        <v>45906</v>
      </c>
      <c r="I2895" s="115" t="str">
        <f>IFERROR(__xludf.DUMMYFUNCTION("""COMPUTED_VALUE"""),"12")</f>
        <v>12</v>
      </c>
      <c r="J2895" s="115" t="str">
        <f>IFERROR(__xludf.DUMMYFUNCTION("""COMPUTED_VALUE"""),"Parag Kashyap2025-09-0612")</f>
        <v>Parag Kashyap2025-09-0612</v>
      </c>
      <c r="K2895" s="115">
        <f>IFERROR(__xludf.DUMMYFUNCTION("""COMPUTED_VALUE"""),272623.0)</f>
        <v>272623</v>
      </c>
    </row>
    <row r="2896">
      <c r="A2896" s="115" t="str">
        <f>IFERROR(__xludf.DUMMYFUNCTION("""COMPUTED_VALUE"""),"EAST")</f>
        <v>EAST</v>
      </c>
      <c r="B2896" s="115" t="str">
        <f>IFERROR(__xludf.DUMMYFUNCTION("""COMPUTED_VALUE"""),"Parag Kashyap")</f>
        <v>Parag Kashyap</v>
      </c>
      <c r="C2896" s="115" t="str">
        <f>IFERROR(__xludf.DUMMYFUNCTION("""COMPUTED_VALUE"""),"MYNTRA")</f>
        <v>MYNTRA</v>
      </c>
      <c r="D2896" s="115">
        <f>IFERROR(__xludf.DUMMYFUNCTION("""COMPUTED_VALUE"""),31811.0)</f>
        <v>31811</v>
      </c>
      <c r="E2896" s="115">
        <f>IFERROR(__xludf.DUMMYFUNCTION("""COMPUTED_VALUE"""),4106.0)</f>
        <v>4106</v>
      </c>
      <c r="F2896" s="115">
        <f>IFERROR(__xludf.DUMMYFUNCTION("""COMPUTED_VALUE"""),8167.0)</f>
        <v>8167</v>
      </c>
      <c r="G2896" s="115">
        <f>IFERROR(__xludf.DUMMYFUNCTION("""COMPUTED_VALUE"""),167.0)</f>
        <v>167</v>
      </c>
      <c r="H2896" s="116">
        <f>IFERROR(__xludf.DUMMYFUNCTION("""COMPUTED_VALUE"""),45906.0)</f>
        <v>45906</v>
      </c>
      <c r="I2896" s="115" t="str">
        <f>IFERROR(__xludf.DUMMYFUNCTION("""COMPUTED_VALUE"""),"12")</f>
        <v>12</v>
      </c>
      <c r="J2896" s="115" t="str">
        <f>IFERROR(__xludf.DUMMYFUNCTION("""COMPUTED_VALUE"""),"Parag Kashyap2025-09-0612")</f>
        <v>Parag Kashyap2025-09-0612</v>
      </c>
      <c r="K2896" s="115">
        <f>IFERROR(__xludf.DUMMYFUNCTION("""COMPUTED_VALUE"""),35917.0)</f>
        <v>35917</v>
      </c>
    </row>
    <row r="2897">
      <c r="A2897" s="115" t="str">
        <f>IFERROR(__xludf.DUMMYFUNCTION("""COMPUTED_VALUE"""),"NORTH")</f>
        <v>NORTH</v>
      </c>
      <c r="B2897" s="115" t="str">
        <f>IFERROR(__xludf.DUMMYFUNCTION("""COMPUTED_VALUE"""),"Amit Kumar Pathak")</f>
        <v>Amit Kumar Pathak</v>
      </c>
      <c r="C2897" s="115" t="str">
        <f>IFERROR(__xludf.DUMMYFUNCTION("""COMPUTED_VALUE"""),"EXTERNAL")</f>
        <v>EXTERNAL</v>
      </c>
      <c r="D2897" s="115">
        <f>IFERROR(__xludf.DUMMYFUNCTION("""COMPUTED_VALUE"""),22554.0)</f>
        <v>22554</v>
      </c>
      <c r="E2897" s="115">
        <f>IFERROR(__xludf.DUMMYFUNCTION("""COMPUTED_VALUE"""),2965.0)</f>
        <v>2965</v>
      </c>
      <c r="F2897" s="115">
        <f>IFERROR(__xludf.DUMMYFUNCTION("""COMPUTED_VALUE"""),2971.0)</f>
        <v>2971</v>
      </c>
      <c r="G2897" s="115">
        <f>IFERROR(__xludf.DUMMYFUNCTION("""COMPUTED_VALUE"""),298.0)</f>
        <v>298</v>
      </c>
      <c r="H2897" s="116">
        <f>IFERROR(__xludf.DUMMYFUNCTION("""COMPUTED_VALUE"""),45906.0)</f>
        <v>45906</v>
      </c>
      <c r="I2897" s="115" t="str">
        <f>IFERROR(__xludf.DUMMYFUNCTION("""COMPUTED_VALUE"""),"12")</f>
        <v>12</v>
      </c>
      <c r="J2897" s="115" t="str">
        <f>IFERROR(__xludf.DUMMYFUNCTION("""COMPUTED_VALUE"""),"Amit Kumar Pathak2025-09-0612")</f>
        <v>Amit Kumar Pathak2025-09-0612</v>
      </c>
      <c r="K2897" s="115">
        <f>IFERROR(__xludf.DUMMYFUNCTION("""COMPUTED_VALUE"""),25519.0)</f>
        <v>25519</v>
      </c>
    </row>
    <row r="2898">
      <c r="A2898" s="115" t="str">
        <f>IFERROR(__xludf.DUMMYFUNCTION("""COMPUTED_VALUE"""),"NORTH")</f>
        <v>NORTH</v>
      </c>
      <c r="B2898" s="115" t="str">
        <f>IFERROR(__xludf.DUMMYFUNCTION("""COMPUTED_VALUE"""),"Amit Kumar Pathak")</f>
        <v>Amit Kumar Pathak</v>
      </c>
      <c r="C2898" s="115" t="str">
        <f>IFERROR(__xludf.DUMMYFUNCTION("""COMPUTED_VALUE"""),"FLIPKART")</f>
        <v>FLIPKART</v>
      </c>
      <c r="D2898" s="115">
        <f>IFERROR(__xludf.DUMMYFUNCTION("""COMPUTED_VALUE"""),141126.0)</f>
        <v>141126</v>
      </c>
      <c r="E2898" s="115">
        <f>IFERROR(__xludf.DUMMYFUNCTION("""COMPUTED_VALUE"""),20372.0)</f>
        <v>20372</v>
      </c>
      <c r="F2898" s="115">
        <f>IFERROR(__xludf.DUMMYFUNCTION("""COMPUTED_VALUE"""),36901.0)</f>
        <v>36901</v>
      </c>
      <c r="G2898" s="115">
        <f>IFERROR(__xludf.DUMMYFUNCTION("""COMPUTED_VALUE"""),3021.0)</f>
        <v>3021</v>
      </c>
      <c r="H2898" s="116">
        <f>IFERROR(__xludf.DUMMYFUNCTION("""COMPUTED_VALUE"""),45906.0)</f>
        <v>45906</v>
      </c>
      <c r="I2898" s="115" t="str">
        <f>IFERROR(__xludf.DUMMYFUNCTION("""COMPUTED_VALUE"""),"12")</f>
        <v>12</v>
      </c>
      <c r="J2898" s="115" t="str">
        <f>IFERROR(__xludf.DUMMYFUNCTION("""COMPUTED_VALUE"""),"Amit Kumar Pathak2025-09-0612")</f>
        <v>Amit Kumar Pathak2025-09-0612</v>
      </c>
      <c r="K2898" s="115">
        <f>IFERROR(__xludf.DUMMYFUNCTION("""COMPUTED_VALUE"""),161498.0)</f>
        <v>161498</v>
      </c>
    </row>
    <row r="2899">
      <c r="A2899" s="115" t="str">
        <f>IFERROR(__xludf.DUMMYFUNCTION("""COMPUTED_VALUE"""),"NORTH")</f>
        <v>NORTH</v>
      </c>
      <c r="B2899" s="115" t="str">
        <f>IFERROR(__xludf.DUMMYFUNCTION("""COMPUTED_VALUE"""),"Amit Kumar Pathak")</f>
        <v>Amit Kumar Pathak</v>
      </c>
      <c r="C2899" s="115" t="str">
        <f>IFERROR(__xludf.DUMMYFUNCTION("""COMPUTED_VALUE"""),"MYNTRA")</f>
        <v>MYNTRA</v>
      </c>
      <c r="D2899" s="115">
        <f>IFERROR(__xludf.DUMMYFUNCTION("""COMPUTED_VALUE"""),13500.0)</f>
        <v>13500</v>
      </c>
      <c r="E2899" s="115">
        <f>IFERROR(__xludf.DUMMYFUNCTION("""COMPUTED_VALUE"""),5186.0)</f>
        <v>5186</v>
      </c>
      <c r="F2899" s="115">
        <f>IFERROR(__xludf.DUMMYFUNCTION("""COMPUTED_VALUE"""),4593.0)</f>
        <v>4593</v>
      </c>
      <c r="G2899" s="115">
        <f>IFERROR(__xludf.DUMMYFUNCTION("""COMPUTED_VALUE"""),847.0)</f>
        <v>847</v>
      </c>
      <c r="H2899" s="116">
        <f>IFERROR(__xludf.DUMMYFUNCTION("""COMPUTED_VALUE"""),45906.0)</f>
        <v>45906</v>
      </c>
      <c r="I2899" s="115" t="str">
        <f>IFERROR(__xludf.DUMMYFUNCTION("""COMPUTED_VALUE"""),"12")</f>
        <v>12</v>
      </c>
      <c r="J2899" s="115" t="str">
        <f>IFERROR(__xludf.DUMMYFUNCTION("""COMPUTED_VALUE"""),"Amit Kumar Pathak2025-09-0612")</f>
        <v>Amit Kumar Pathak2025-09-0612</v>
      </c>
      <c r="K2899" s="115">
        <f>IFERROR(__xludf.DUMMYFUNCTION("""COMPUTED_VALUE"""),18686.0)</f>
        <v>18686</v>
      </c>
    </row>
    <row r="2900">
      <c r="A2900" s="115" t="str">
        <f>IFERROR(__xludf.DUMMYFUNCTION("""COMPUTED_VALUE"""),"NORTH")</f>
        <v>NORTH</v>
      </c>
      <c r="B2900" s="115" t="str">
        <f>IFERROR(__xludf.DUMMYFUNCTION("""COMPUTED_VALUE"""),"Loveleen Singh")</f>
        <v>Loveleen Singh</v>
      </c>
      <c r="C2900" s="115" t="str">
        <f>IFERROR(__xludf.DUMMYFUNCTION("""COMPUTED_VALUE"""),"EXTERNAL")</f>
        <v>EXTERNAL</v>
      </c>
      <c r="D2900" s="115">
        <f>IFERROR(__xludf.DUMMYFUNCTION("""COMPUTED_VALUE"""),28140.0)</f>
        <v>28140</v>
      </c>
      <c r="E2900" s="115">
        <f>IFERROR(__xludf.DUMMYFUNCTION("""COMPUTED_VALUE"""),1611.0)</f>
        <v>1611</v>
      </c>
      <c r="F2900" s="115">
        <f>IFERROR(__xludf.DUMMYFUNCTION("""COMPUTED_VALUE"""),2965.0)</f>
        <v>2965</v>
      </c>
      <c r="G2900" s="115">
        <f>IFERROR(__xludf.DUMMYFUNCTION("""COMPUTED_VALUE"""),86.0)</f>
        <v>86</v>
      </c>
      <c r="H2900" s="116">
        <f>IFERROR(__xludf.DUMMYFUNCTION("""COMPUTED_VALUE"""),45906.0)</f>
        <v>45906</v>
      </c>
      <c r="I2900" s="115" t="str">
        <f>IFERROR(__xludf.DUMMYFUNCTION("""COMPUTED_VALUE"""),"12")</f>
        <v>12</v>
      </c>
      <c r="J2900" s="115" t="str">
        <f>IFERROR(__xludf.DUMMYFUNCTION("""COMPUTED_VALUE"""),"Loveleen Singh2025-09-0612")</f>
        <v>Loveleen Singh2025-09-0612</v>
      </c>
      <c r="K2900" s="115">
        <f>IFERROR(__xludf.DUMMYFUNCTION("""COMPUTED_VALUE"""),29751.0)</f>
        <v>29751</v>
      </c>
    </row>
    <row r="2901">
      <c r="A2901" s="115" t="str">
        <f>IFERROR(__xludf.DUMMYFUNCTION("""COMPUTED_VALUE"""),"NORTH")</f>
        <v>NORTH</v>
      </c>
      <c r="B2901" s="115" t="str">
        <f>IFERROR(__xludf.DUMMYFUNCTION("""COMPUTED_VALUE"""),"Loveleen Singh")</f>
        <v>Loveleen Singh</v>
      </c>
      <c r="C2901" s="115" t="str">
        <f>IFERROR(__xludf.DUMMYFUNCTION("""COMPUTED_VALUE"""),"FLIPKART")</f>
        <v>FLIPKART</v>
      </c>
      <c r="D2901" s="115">
        <f>IFERROR(__xludf.DUMMYFUNCTION("""COMPUTED_VALUE"""),141687.0)</f>
        <v>141687</v>
      </c>
      <c r="E2901" s="115">
        <f>IFERROR(__xludf.DUMMYFUNCTION("""COMPUTED_VALUE"""),12657.0)</f>
        <v>12657</v>
      </c>
      <c r="F2901" s="115">
        <f>IFERROR(__xludf.DUMMYFUNCTION("""COMPUTED_VALUE"""),31462.0)</f>
        <v>31462</v>
      </c>
      <c r="G2901" s="115">
        <f>IFERROR(__xludf.DUMMYFUNCTION("""COMPUTED_VALUE"""),886.0)</f>
        <v>886</v>
      </c>
      <c r="H2901" s="116">
        <f>IFERROR(__xludf.DUMMYFUNCTION("""COMPUTED_VALUE"""),45906.0)</f>
        <v>45906</v>
      </c>
      <c r="I2901" s="115" t="str">
        <f>IFERROR(__xludf.DUMMYFUNCTION("""COMPUTED_VALUE"""),"12")</f>
        <v>12</v>
      </c>
      <c r="J2901" s="115" t="str">
        <f>IFERROR(__xludf.DUMMYFUNCTION("""COMPUTED_VALUE"""),"Loveleen Singh2025-09-0612")</f>
        <v>Loveleen Singh2025-09-0612</v>
      </c>
      <c r="K2901" s="115">
        <f>IFERROR(__xludf.DUMMYFUNCTION("""COMPUTED_VALUE"""),154344.0)</f>
        <v>154344</v>
      </c>
    </row>
    <row r="2902">
      <c r="A2902" s="115" t="str">
        <f>IFERROR(__xludf.DUMMYFUNCTION("""COMPUTED_VALUE"""),"NORTH")</f>
        <v>NORTH</v>
      </c>
      <c r="B2902" s="115" t="str">
        <f>IFERROR(__xludf.DUMMYFUNCTION("""COMPUTED_VALUE"""),"Loveleen Singh")</f>
        <v>Loveleen Singh</v>
      </c>
      <c r="C2902" s="115" t="str">
        <f>IFERROR(__xludf.DUMMYFUNCTION("""COMPUTED_VALUE"""),"MYNTRA")</f>
        <v>MYNTRA</v>
      </c>
      <c r="D2902" s="115">
        <f>IFERROR(__xludf.DUMMYFUNCTION("""COMPUTED_VALUE"""),23607.0)</f>
        <v>23607</v>
      </c>
      <c r="E2902" s="115">
        <f>IFERROR(__xludf.DUMMYFUNCTION("""COMPUTED_VALUE"""),5206.0)</f>
        <v>5206</v>
      </c>
      <c r="F2902" s="115">
        <f>IFERROR(__xludf.DUMMYFUNCTION("""COMPUTED_VALUE"""),6556.0)</f>
        <v>6556</v>
      </c>
      <c r="G2902" s="115">
        <f>IFERROR(__xludf.DUMMYFUNCTION("""COMPUTED_VALUE"""),408.0)</f>
        <v>408</v>
      </c>
      <c r="H2902" s="116">
        <f>IFERROR(__xludf.DUMMYFUNCTION("""COMPUTED_VALUE"""),45906.0)</f>
        <v>45906</v>
      </c>
      <c r="I2902" s="115" t="str">
        <f>IFERROR(__xludf.DUMMYFUNCTION("""COMPUTED_VALUE"""),"12")</f>
        <v>12</v>
      </c>
      <c r="J2902" s="115" t="str">
        <f>IFERROR(__xludf.DUMMYFUNCTION("""COMPUTED_VALUE"""),"Loveleen Singh2025-09-0612")</f>
        <v>Loveleen Singh2025-09-0612</v>
      </c>
      <c r="K2902" s="115">
        <f>IFERROR(__xludf.DUMMYFUNCTION("""COMPUTED_VALUE"""),28813.0)</f>
        <v>28813</v>
      </c>
    </row>
    <row r="2903">
      <c r="A2903" s="115" t="str">
        <f>IFERROR(__xludf.DUMMYFUNCTION("""COMPUTED_VALUE"""),"NORTH")</f>
        <v>NORTH</v>
      </c>
      <c r="B2903" s="115" t="str">
        <f>IFERROR(__xludf.DUMMYFUNCTION("""COMPUTED_VALUE"""),"Manoj Harsh")</f>
        <v>Manoj Harsh</v>
      </c>
      <c r="C2903" s="115" t="str">
        <f>IFERROR(__xludf.DUMMYFUNCTION("""COMPUTED_VALUE"""),"EXTERNAL")</f>
        <v>EXTERNAL</v>
      </c>
      <c r="D2903" s="115">
        <f>IFERROR(__xludf.DUMMYFUNCTION("""COMPUTED_VALUE"""),33931.0)</f>
        <v>33931</v>
      </c>
      <c r="E2903" s="115">
        <f>IFERROR(__xludf.DUMMYFUNCTION("""COMPUTED_VALUE"""),2222.0)</f>
        <v>2222</v>
      </c>
      <c r="F2903" s="115">
        <f>IFERROR(__xludf.DUMMYFUNCTION("""COMPUTED_VALUE"""),3962.0)</f>
        <v>3962</v>
      </c>
      <c r="G2903" s="115">
        <f>IFERROR(__xludf.DUMMYFUNCTION("""COMPUTED_VALUE"""),70.0)</f>
        <v>70</v>
      </c>
      <c r="H2903" s="116">
        <f>IFERROR(__xludf.DUMMYFUNCTION("""COMPUTED_VALUE"""),45906.0)</f>
        <v>45906</v>
      </c>
      <c r="I2903" s="115" t="str">
        <f>IFERROR(__xludf.DUMMYFUNCTION("""COMPUTED_VALUE"""),"12")</f>
        <v>12</v>
      </c>
      <c r="J2903" s="115" t="str">
        <f>IFERROR(__xludf.DUMMYFUNCTION("""COMPUTED_VALUE"""),"Manoj Harsh2025-09-0612")</f>
        <v>Manoj Harsh2025-09-0612</v>
      </c>
      <c r="K2903" s="115">
        <f>IFERROR(__xludf.DUMMYFUNCTION("""COMPUTED_VALUE"""),36153.0)</f>
        <v>36153</v>
      </c>
    </row>
    <row r="2904">
      <c r="A2904" s="115" t="str">
        <f>IFERROR(__xludf.DUMMYFUNCTION("""COMPUTED_VALUE"""),"NORTH")</f>
        <v>NORTH</v>
      </c>
      <c r="B2904" s="115" t="str">
        <f>IFERROR(__xludf.DUMMYFUNCTION("""COMPUTED_VALUE"""),"Manoj Harsh")</f>
        <v>Manoj Harsh</v>
      </c>
      <c r="C2904" s="115" t="str">
        <f>IFERROR(__xludf.DUMMYFUNCTION("""COMPUTED_VALUE"""),"FLIPKART")</f>
        <v>FLIPKART</v>
      </c>
      <c r="D2904" s="115">
        <f>IFERROR(__xludf.DUMMYFUNCTION("""COMPUTED_VALUE"""),382028.0)</f>
        <v>382028</v>
      </c>
      <c r="E2904" s="115">
        <f>IFERROR(__xludf.DUMMYFUNCTION("""COMPUTED_VALUE"""),34173.0)</f>
        <v>34173</v>
      </c>
      <c r="F2904" s="115">
        <f>IFERROR(__xludf.DUMMYFUNCTION("""COMPUTED_VALUE"""),80009.0)</f>
        <v>80009</v>
      </c>
      <c r="G2904" s="115">
        <f>IFERROR(__xludf.DUMMYFUNCTION("""COMPUTED_VALUE"""),2096.0)</f>
        <v>2096</v>
      </c>
      <c r="H2904" s="116">
        <f>IFERROR(__xludf.DUMMYFUNCTION("""COMPUTED_VALUE"""),45906.0)</f>
        <v>45906</v>
      </c>
      <c r="I2904" s="115" t="str">
        <f>IFERROR(__xludf.DUMMYFUNCTION("""COMPUTED_VALUE"""),"12")</f>
        <v>12</v>
      </c>
      <c r="J2904" s="115" t="str">
        <f>IFERROR(__xludf.DUMMYFUNCTION("""COMPUTED_VALUE"""),"Manoj Harsh2025-09-0612")</f>
        <v>Manoj Harsh2025-09-0612</v>
      </c>
      <c r="K2904" s="115">
        <f>IFERROR(__xludf.DUMMYFUNCTION("""COMPUTED_VALUE"""),416201.0)</f>
        <v>416201</v>
      </c>
    </row>
    <row r="2905">
      <c r="A2905" s="115" t="str">
        <f>IFERROR(__xludf.DUMMYFUNCTION("""COMPUTED_VALUE"""),"NORTH")</f>
        <v>NORTH</v>
      </c>
      <c r="B2905" s="115" t="str">
        <f>IFERROR(__xludf.DUMMYFUNCTION("""COMPUTED_VALUE"""),"Manoj Harsh")</f>
        <v>Manoj Harsh</v>
      </c>
      <c r="C2905" s="115" t="str">
        <f>IFERROR(__xludf.DUMMYFUNCTION("""COMPUTED_VALUE"""),"MYNTRA")</f>
        <v>MYNTRA</v>
      </c>
      <c r="D2905" s="115">
        <f>IFERROR(__xludf.DUMMYFUNCTION("""COMPUTED_VALUE"""),36243.0)</f>
        <v>36243</v>
      </c>
      <c r="E2905" s="115">
        <f>IFERROR(__xludf.DUMMYFUNCTION("""COMPUTED_VALUE"""),6572.0)</f>
        <v>6572</v>
      </c>
      <c r="F2905" s="115">
        <f>IFERROR(__xludf.DUMMYFUNCTION("""COMPUTED_VALUE"""),9550.0)</f>
        <v>9550</v>
      </c>
      <c r="G2905" s="115">
        <f>IFERROR(__xludf.DUMMYFUNCTION("""COMPUTED_VALUE"""),552.0)</f>
        <v>552</v>
      </c>
      <c r="H2905" s="116">
        <f>IFERROR(__xludf.DUMMYFUNCTION("""COMPUTED_VALUE"""),45906.0)</f>
        <v>45906</v>
      </c>
      <c r="I2905" s="115" t="str">
        <f>IFERROR(__xludf.DUMMYFUNCTION("""COMPUTED_VALUE"""),"12")</f>
        <v>12</v>
      </c>
      <c r="J2905" s="115" t="str">
        <f>IFERROR(__xludf.DUMMYFUNCTION("""COMPUTED_VALUE"""),"Manoj Harsh2025-09-0612")</f>
        <v>Manoj Harsh2025-09-0612</v>
      </c>
      <c r="K2905" s="115">
        <f>IFERROR(__xludf.DUMMYFUNCTION("""COMPUTED_VALUE"""),42815.0)</f>
        <v>42815</v>
      </c>
    </row>
    <row r="2906">
      <c r="A2906" s="115" t="str">
        <f>IFERROR(__xludf.DUMMYFUNCTION("""COMPUTED_VALUE"""),"NORTH")</f>
        <v>NORTH</v>
      </c>
      <c r="B2906" s="115" t="str">
        <f>IFERROR(__xludf.DUMMYFUNCTION("""COMPUTED_VALUE"""),"Pradeep Kothari")</f>
        <v>Pradeep Kothari</v>
      </c>
      <c r="C2906" s="115" t="str">
        <f>IFERROR(__xludf.DUMMYFUNCTION("""COMPUTED_VALUE"""),"EXTERNAL")</f>
        <v>EXTERNAL</v>
      </c>
      <c r="D2906" s="115">
        <f>IFERROR(__xludf.DUMMYFUNCTION("""COMPUTED_VALUE"""),16684.0)</f>
        <v>16684</v>
      </c>
      <c r="E2906" s="115">
        <f>IFERROR(__xludf.DUMMYFUNCTION("""COMPUTED_VALUE"""),1658.0)</f>
        <v>1658</v>
      </c>
      <c r="F2906" s="115">
        <f>IFERROR(__xludf.DUMMYFUNCTION("""COMPUTED_VALUE"""),2729.0)</f>
        <v>2729</v>
      </c>
      <c r="G2906" s="115">
        <f>IFERROR(__xludf.DUMMYFUNCTION("""COMPUTED_VALUE"""),145.0)</f>
        <v>145</v>
      </c>
      <c r="H2906" s="116">
        <f>IFERROR(__xludf.DUMMYFUNCTION("""COMPUTED_VALUE"""),45906.0)</f>
        <v>45906</v>
      </c>
      <c r="I2906" s="115" t="str">
        <f>IFERROR(__xludf.DUMMYFUNCTION("""COMPUTED_VALUE"""),"12")</f>
        <v>12</v>
      </c>
      <c r="J2906" s="115" t="str">
        <f>IFERROR(__xludf.DUMMYFUNCTION("""COMPUTED_VALUE"""),"Pradeep Kothari2025-09-0612")</f>
        <v>Pradeep Kothari2025-09-0612</v>
      </c>
      <c r="K2906" s="115">
        <f>IFERROR(__xludf.DUMMYFUNCTION("""COMPUTED_VALUE"""),18342.0)</f>
        <v>18342</v>
      </c>
    </row>
    <row r="2907">
      <c r="A2907" s="115" t="str">
        <f>IFERROR(__xludf.DUMMYFUNCTION("""COMPUTED_VALUE"""),"NORTH")</f>
        <v>NORTH</v>
      </c>
      <c r="B2907" s="115" t="str">
        <f>IFERROR(__xludf.DUMMYFUNCTION("""COMPUTED_VALUE"""),"Pradeep Kothari")</f>
        <v>Pradeep Kothari</v>
      </c>
      <c r="C2907" s="115" t="str">
        <f>IFERROR(__xludf.DUMMYFUNCTION("""COMPUTED_VALUE"""),"FLIPKART")</f>
        <v>FLIPKART</v>
      </c>
      <c r="D2907" s="115">
        <f>IFERROR(__xludf.DUMMYFUNCTION("""COMPUTED_VALUE"""),122423.0)</f>
        <v>122423</v>
      </c>
      <c r="E2907" s="115">
        <f>IFERROR(__xludf.DUMMYFUNCTION("""COMPUTED_VALUE"""),14419.0)</f>
        <v>14419</v>
      </c>
      <c r="F2907" s="115">
        <f>IFERROR(__xludf.DUMMYFUNCTION("""COMPUTED_VALUE"""),36787.0)</f>
        <v>36787</v>
      </c>
      <c r="G2907" s="115">
        <f>IFERROR(__xludf.DUMMYFUNCTION("""COMPUTED_VALUE"""),1673.0)</f>
        <v>1673</v>
      </c>
      <c r="H2907" s="116">
        <f>IFERROR(__xludf.DUMMYFUNCTION("""COMPUTED_VALUE"""),45906.0)</f>
        <v>45906</v>
      </c>
      <c r="I2907" s="115" t="str">
        <f>IFERROR(__xludf.DUMMYFUNCTION("""COMPUTED_VALUE"""),"12")</f>
        <v>12</v>
      </c>
      <c r="J2907" s="115" t="str">
        <f>IFERROR(__xludf.DUMMYFUNCTION("""COMPUTED_VALUE"""),"Pradeep Kothari2025-09-0612")</f>
        <v>Pradeep Kothari2025-09-0612</v>
      </c>
      <c r="K2907" s="115">
        <f>IFERROR(__xludf.DUMMYFUNCTION("""COMPUTED_VALUE"""),136842.0)</f>
        <v>136842</v>
      </c>
    </row>
    <row r="2908">
      <c r="A2908" s="115" t="str">
        <f>IFERROR(__xludf.DUMMYFUNCTION("""COMPUTED_VALUE"""),"NORTH")</f>
        <v>NORTH</v>
      </c>
      <c r="B2908" s="115" t="str">
        <f>IFERROR(__xludf.DUMMYFUNCTION("""COMPUTED_VALUE"""),"Pradeep Kothari")</f>
        <v>Pradeep Kothari</v>
      </c>
      <c r="C2908" s="115" t="str">
        <f>IFERROR(__xludf.DUMMYFUNCTION("""COMPUTED_VALUE"""),"MYNTRA")</f>
        <v>MYNTRA</v>
      </c>
      <c r="D2908" s="115">
        <f>IFERROR(__xludf.DUMMYFUNCTION("""COMPUTED_VALUE"""),21538.0)</f>
        <v>21538</v>
      </c>
      <c r="E2908" s="115">
        <f>IFERROR(__xludf.DUMMYFUNCTION("""COMPUTED_VALUE"""),5222.0)</f>
        <v>5222</v>
      </c>
      <c r="F2908" s="115">
        <f>IFERROR(__xludf.DUMMYFUNCTION("""COMPUTED_VALUE"""),8321.0)</f>
        <v>8321</v>
      </c>
      <c r="G2908" s="115">
        <f>IFERROR(__xludf.DUMMYFUNCTION("""COMPUTED_VALUE"""),826.0)</f>
        <v>826</v>
      </c>
      <c r="H2908" s="116">
        <f>IFERROR(__xludf.DUMMYFUNCTION("""COMPUTED_VALUE"""),45906.0)</f>
        <v>45906</v>
      </c>
      <c r="I2908" s="115" t="str">
        <f>IFERROR(__xludf.DUMMYFUNCTION("""COMPUTED_VALUE"""),"12")</f>
        <v>12</v>
      </c>
      <c r="J2908" s="115" t="str">
        <f>IFERROR(__xludf.DUMMYFUNCTION("""COMPUTED_VALUE"""),"Pradeep Kothari2025-09-0612")</f>
        <v>Pradeep Kothari2025-09-0612</v>
      </c>
      <c r="K2908" s="115">
        <f>IFERROR(__xludf.DUMMYFUNCTION("""COMPUTED_VALUE"""),26760.0)</f>
        <v>26760</v>
      </c>
    </row>
    <row r="2909">
      <c r="A2909" s="115" t="str">
        <f>IFERROR(__xludf.DUMMYFUNCTION("""COMPUTED_VALUE"""),"SOUTH")</f>
        <v>SOUTH</v>
      </c>
      <c r="B2909" s="115" t="str">
        <f>IFERROR(__xludf.DUMMYFUNCTION("""COMPUTED_VALUE"""),"Kandula Sampath")</f>
        <v>Kandula Sampath</v>
      </c>
      <c r="C2909" s="115" t="str">
        <f>IFERROR(__xludf.DUMMYFUNCTION("""COMPUTED_VALUE"""),"EXTERNAL")</f>
        <v>EXTERNAL</v>
      </c>
      <c r="D2909" s="115">
        <f>IFERROR(__xludf.DUMMYFUNCTION("""COMPUTED_VALUE"""),31536.0)</f>
        <v>31536</v>
      </c>
      <c r="E2909" s="115">
        <f>IFERROR(__xludf.DUMMYFUNCTION("""COMPUTED_VALUE"""),2660.0)</f>
        <v>2660</v>
      </c>
      <c r="F2909" s="115">
        <f>IFERROR(__xludf.DUMMYFUNCTION("""COMPUTED_VALUE"""),5706.0)</f>
        <v>5706</v>
      </c>
      <c r="G2909" s="115">
        <f>IFERROR(__xludf.DUMMYFUNCTION("""COMPUTED_VALUE"""),133.0)</f>
        <v>133</v>
      </c>
      <c r="H2909" s="116">
        <f>IFERROR(__xludf.DUMMYFUNCTION("""COMPUTED_VALUE"""),45906.0)</f>
        <v>45906</v>
      </c>
      <c r="I2909" s="115" t="str">
        <f>IFERROR(__xludf.DUMMYFUNCTION("""COMPUTED_VALUE"""),"12")</f>
        <v>12</v>
      </c>
      <c r="J2909" s="115" t="str">
        <f>IFERROR(__xludf.DUMMYFUNCTION("""COMPUTED_VALUE"""),"Kandula Sampath2025-09-0612")</f>
        <v>Kandula Sampath2025-09-0612</v>
      </c>
      <c r="K2909" s="115">
        <f>IFERROR(__xludf.DUMMYFUNCTION("""COMPUTED_VALUE"""),34196.0)</f>
        <v>34196</v>
      </c>
    </row>
    <row r="2910">
      <c r="A2910" s="115" t="str">
        <f>IFERROR(__xludf.DUMMYFUNCTION("""COMPUTED_VALUE"""),"SOUTH")</f>
        <v>SOUTH</v>
      </c>
      <c r="B2910" s="115" t="str">
        <f>IFERROR(__xludf.DUMMYFUNCTION("""COMPUTED_VALUE"""),"Kandula Sampath")</f>
        <v>Kandula Sampath</v>
      </c>
      <c r="C2910" s="115" t="str">
        <f>IFERROR(__xludf.DUMMYFUNCTION("""COMPUTED_VALUE"""),"FLIPKART")</f>
        <v>FLIPKART</v>
      </c>
      <c r="D2910" s="115">
        <f>IFERROR(__xludf.DUMMYFUNCTION("""COMPUTED_VALUE"""),291626.0)</f>
        <v>291626</v>
      </c>
      <c r="E2910" s="115">
        <f>IFERROR(__xludf.DUMMYFUNCTION("""COMPUTED_VALUE"""),24888.0)</f>
        <v>24888</v>
      </c>
      <c r="F2910" s="115">
        <f>IFERROR(__xludf.DUMMYFUNCTION("""COMPUTED_VALUE"""),94102.0)</f>
        <v>94102</v>
      </c>
      <c r="G2910" s="115">
        <f>IFERROR(__xludf.DUMMYFUNCTION("""COMPUTED_VALUE"""),1922.0)</f>
        <v>1922</v>
      </c>
      <c r="H2910" s="116">
        <f>IFERROR(__xludf.DUMMYFUNCTION("""COMPUTED_VALUE"""),45906.0)</f>
        <v>45906</v>
      </c>
      <c r="I2910" s="115" t="str">
        <f>IFERROR(__xludf.DUMMYFUNCTION("""COMPUTED_VALUE"""),"12")</f>
        <v>12</v>
      </c>
      <c r="J2910" s="115" t="str">
        <f>IFERROR(__xludf.DUMMYFUNCTION("""COMPUTED_VALUE"""),"Kandula Sampath2025-09-0612")</f>
        <v>Kandula Sampath2025-09-0612</v>
      </c>
      <c r="K2910" s="115">
        <f>IFERROR(__xludf.DUMMYFUNCTION("""COMPUTED_VALUE"""),316514.0)</f>
        <v>316514</v>
      </c>
    </row>
    <row r="2911">
      <c r="A2911" s="115" t="str">
        <f>IFERROR(__xludf.DUMMYFUNCTION("""COMPUTED_VALUE"""),"SOUTH")</f>
        <v>SOUTH</v>
      </c>
      <c r="B2911" s="115" t="str">
        <f>IFERROR(__xludf.DUMMYFUNCTION("""COMPUTED_VALUE"""),"Kandula Sampath")</f>
        <v>Kandula Sampath</v>
      </c>
      <c r="C2911" s="115" t="str">
        <f>IFERROR(__xludf.DUMMYFUNCTION("""COMPUTED_VALUE"""),"MYNTRA")</f>
        <v>MYNTRA</v>
      </c>
      <c r="D2911" s="115">
        <f>IFERROR(__xludf.DUMMYFUNCTION("""COMPUTED_VALUE"""),34840.0)</f>
        <v>34840</v>
      </c>
      <c r="E2911" s="115">
        <f>IFERROR(__xludf.DUMMYFUNCTION("""COMPUTED_VALUE"""),6665.0)</f>
        <v>6665</v>
      </c>
      <c r="F2911" s="115">
        <f>IFERROR(__xludf.DUMMYFUNCTION("""COMPUTED_VALUE"""),13199.0)</f>
        <v>13199</v>
      </c>
      <c r="G2911" s="115">
        <f>IFERROR(__xludf.DUMMYFUNCTION("""COMPUTED_VALUE"""),515.0)</f>
        <v>515</v>
      </c>
      <c r="H2911" s="116">
        <f>IFERROR(__xludf.DUMMYFUNCTION("""COMPUTED_VALUE"""),45906.0)</f>
        <v>45906</v>
      </c>
      <c r="I2911" s="115" t="str">
        <f>IFERROR(__xludf.DUMMYFUNCTION("""COMPUTED_VALUE"""),"12")</f>
        <v>12</v>
      </c>
      <c r="J2911" s="115" t="str">
        <f>IFERROR(__xludf.DUMMYFUNCTION("""COMPUTED_VALUE"""),"Kandula Sampath2025-09-0612")</f>
        <v>Kandula Sampath2025-09-0612</v>
      </c>
      <c r="K2911" s="115">
        <f>IFERROR(__xludf.DUMMYFUNCTION("""COMPUTED_VALUE"""),41505.0)</f>
        <v>41505</v>
      </c>
    </row>
    <row r="2912">
      <c r="A2912" s="115" t="str">
        <f>IFERROR(__xludf.DUMMYFUNCTION("""COMPUTED_VALUE"""),"SOUTH")</f>
        <v>SOUTH</v>
      </c>
      <c r="B2912" s="115" t="str">
        <f>IFERROR(__xludf.DUMMYFUNCTION("""COMPUTED_VALUE"""),"Martin A")</f>
        <v>Martin A</v>
      </c>
      <c r="C2912" s="115" t="str">
        <f>IFERROR(__xludf.DUMMYFUNCTION("""COMPUTED_VALUE"""),"EXTERNAL")</f>
        <v>EXTERNAL</v>
      </c>
      <c r="D2912" s="115">
        <f>IFERROR(__xludf.DUMMYFUNCTION("""COMPUTED_VALUE"""),28880.0)</f>
        <v>28880</v>
      </c>
      <c r="E2912" s="115">
        <f>IFERROR(__xludf.DUMMYFUNCTION("""COMPUTED_VALUE"""),2795.0)</f>
        <v>2795</v>
      </c>
      <c r="F2912" s="115">
        <f>IFERROR(__xludf.DUMMYFUNCTION("""COMPUTED_VALUE"""),4836.0)</f>
        <v>4836</v>
      </c>
      <c r="G2912" s="115">
        <f>IFERROR(__xludf.DUMMYFUNCTION("""COMPUTED_VALUE"""),257.0)</f>
        <v>257</v>
      </c>
      <c r="H2912" s="116">
        <f>IFERROR(__xludf.DUMMYFUNCTION("""COMPUTED_VALUE"""),45906.0)</f>
        <v>45906</v>
      </c>
      <c r="I2912" s="115" t="str">
        <f>IFERROR(__xludf.DUMMYFUNCTION("""COMPUTED_VALUE"""),"12")</f>
        <v>12</v>
      </c>
      <c r="J2912" s="115" t="str">
        <f>IFERROR(__xludf.DUMMYFUNCTION("""COMPUTED_VALUE"""),"Martin A2025-09-0612")</f>
        <v>Martin A2025-09-0612</v>
      </c>
      <c r="K2912" s="115">
        <f>IFERROR(__xludf.DUMMYFUNCTION("""COMPUTED_VALUE"""),31675.0)</f>
        <v>31675</v>
      </c>
    </row>
    <row r="2913">
      <c r="A2913" s="115" t="str">
        <f>IFERROR(__xludf.DUMMYFUNCTION("""COMPUTED_VALUE"""),"SOUTH")</f>
        <v>SOUTH</v>
      </c>
      <c r="B2913" s="115" t="str">
        <f>IFERROR(__xludf.DUMMYFUNCTION("""COMPUTED_VALUE"""),"Martin A")</f>
        <v>Martin A</v>
      </c>
      <c r="C2913" s="115" t="str">
        <f>IFERROR(__xludf.DUMMYFUNCTION("""COMPUTED_VALUE"""),"FLIPKART")</f>
        <v>FLIPKART</v>
      </c>
      <c r="D2913" s="115">
        <f>IFERROR(__xludf.DUMMYFUNCTION("""COMPUTED_VALUE"""),252402.0)</f>
        <v>252402</v>
      </c>
      <c r="E2913" s="115">
        <f>IFERROR(__xludf.DUMMYFUNCTION("""COMPUTED_VALUE"""),21610.0)</f>
        <v>21610</v>
      </c>
      <c r="F2913" s="115">
        <f>IFERROR(__xludf.DUMMYFUNCTION("""COMPUTED_VALUE"""),73154.0)</f>
        <v>73154</v>
      </c>
      <c r="G2913" s="115">
        <f>IFERROR(__xludf.DUMMYFUNCTION("""COMPUTED_VALUE"""),1944.0)</f>
        <v>1944</v>
      </c>
      <c r="H2913" s="116">
        <f>IFERROR(__xludf.DUMMYFUNCTION("""COMPUTED_VALUE"""),45906.0)</f>
        <v>45906</v>
      </c>
      <c r="I2913" s="115" t="str">
        <f>IFERROR(__xludf.DUMMYFUNCTION("""COMPUTED_VALUE"""),"12")</f>
        <v>12</v>
      </c>
      <c r="J2913" s="115" t="str">
        <f>IFERROR(__xludf.DUMMYFUNCTION("""COMPUTED_VALUE"""),"Martin A2025-09-0612")</f>
        <v>Martin A2025-09-0612</v>
      </c>
      <c r="K2913" s="115">
        <f>IFERROR(__xludf.DUMMYFUNCTION("""COMPUTED_VALUE"""),274012.0)</f>
        <v>274012</v>
      </c>
    </row>
    <row r="2914">
      <c r="A2914" s="115" t="str">
        <f>IFERROR(__xludf.DUMMYFUNCTION("""COMPUTED_VALUE"""),"SOUTH")</f>
        <v>SOUTH</v>
      </c>
      <c r="B2914" s="115" t="str">
        <f>IFERROR(__xludf.DUMMYFUNCTION("""COMPUTED_VALUE"""),"Martin A")</f>
        <v>Martin A</v>
      </c>
      <c r="C2914" s="115" t="str">
        <f>IFERROR(__xludf.DUMMYFUNCTION("""COMPUTED_VALUE"""),"MYNTRA")</f>
        <v>MYNTRA</v>
      </c>
      <c r="D2914" s="115">
        <f>IFERROR(__xludf.DUMMYFUNCTION("""COMPUTED_VALUE"""),24804.0)</f>
        <v>24804</v>
      </c>
      <c r="E2914" s="115">
        <f>IFERROR(__xludf.DUMMYFUNCTION("""COMPUTED_VALUE"""),5421.0)</f>
        <v>5421</v>
      </c>
      <c r="F2914" s="115">
        <f>IFERROR(__xludf.DUMMYFUNCTION("""COMPUTED_VALUE"""),8741.0)</f>
        <v>8741</v>
      </c>
      <c r="G2914" s="115">
        <f>IFERROR(__xludf.DUMMYFUNCTION("""COMPUTED_VALUE"""),614.0)</f>
        <v>614</v>
      </c>
      <c r="H2914" s="116">
        <f>IFERROR(__xludf.DUMMYFUNCTION("""COMPUTED_VALUE"""),45906.0)</f>
        <v>45906</v>
      </c>
      <c r="I2914" s="115" t="str">
        <f>IFERROR(__xludf.DUMMYFUNCTION("""COMPUTED_VALUE"""),"12")</f>
        <v>12</v>
      </c>
      <c r="J2914" s="115" t="str">
        <f>IFERROR(__xludf.DUMMYFUNCTION("""COMPUTED_VALUE"""),"Martin A2025-09-0612")</f>
        <v>Martin A2025-09-0612</v>
      </c>
      <c r="K2914" s="115">
        <f>IFERROR(__xludf.DUMMYFUNCTION("""COMPUTED_VALUE"""),30225.0)</f>
        <v>30225</v>
      </c>
    </row>
    <row r="2915">
      <c r="A2915" s="115" t="str">
        <f>IFERROR(__xludf.DUMMYFUNCTION("""COMPUTED_VALUE"""),"SOUTH")</f>
        <v>SOUTH</v>
      </c>
      <c r="B2915" s="115" t="str">
        <f>IFERROR(__xludf.DUMMYFUNCTION("""COMPUTED_VALUE"""),"Premkumar M")</f>
        <v>Premkumar M</v>
      </c>
      <c r="C2915" s="115" t="str">
        <f>IFERROR(__xludf.DUMMYFUNCTION("""COMPUTED_VALUE"""),"EXTERNAL")</f>
        <v>EXTERNAL</v>
      </c>
      <c r="D2915" s="115">
        <f>IFERROR(__xludf.DUMMYFUNCTION("""COMPUTED_VALUE"""),23566.0)</f>
        <v>23566</v>
      </c>
      <c r="E2915" s="115">
        <f>IFERROR(__xludf.DUMMYFUNCTION("""COMPUTED_VALUE"""),1254.0)</f>
        <v>1254</v>
      </c>
      <c r="F2915" s="115">
        <f>IFERROR(__xludf.DUMMYFUNCTION("""COMPUTED_VALUE"""),3038.0)</f>
        <v>3038</v>
      </c>
      <c r="G2915" s="115">
        <f>IFERROR(__xludf.DUMMYFUNCTION("""COMPUTED_VALUE"""),32.0)</f>
        <v>32</v>
      </c>
      <c r="H2915" s="116">
        <f>IFERROR(__xludf.DUMMYFUNCTION("""COMPUTED_VALUE"""),45906.0)</f>
        <v>45906</v>
      </c>
      <c r="I2915" s="115" t="str">
        <f>IFERROR(__xludf.DUMMYFUNCTION("""COMPUTED_VALUE"""),"12")</f>
        <v>12</v>
      </c>
      <c r="J2915" s="115" t="str">
        <f>IFERROR(__xludf.DUMMYFUNCTION("""COMPUTED_VALUE"""),"Premkumar M2025-09-0612")</f>
        <v>Premkumar M2025-09-0612</v>
      </c>
      <c r="K2915" s="115">
        <f>IFERROR(__xludf.DUMMYFUNCTION("""COMPUTED_VALUE"""),24820.0)</f>
        <v>24820</v>
      </c>
    </row>
    <row r="2916">
      <c r="A2916" s="115" t="str">
        <f>IFERROR(__xludf.DUMMYFUNCTION("""COMPUTED_VALUE"""),"SOUTH")</f>
        <v>SOUTH</v>
      </c>
      <c r="B2916" s="115" t="str">
        <f>IFERROR(__xludf.DUMMYFUNCTION("""COMPUTED_VALUE"""),"Premkumar M")</f>
        <v>Premkumar M</v>
      </c>
      <c r="C2916" s="115" t="str">
        <f>IFERROR(__xludf.DUMMYFUNCTION("""COMPUTED_VALUE"""),"FLIPKART")</f>
        <v>FLIPKART</v>
      </c>
      <c r="D2916" s="115">
        <f>IFERROR(__xludf.DUMMYFUNCTION("""COMPUTED_VALUE"""),227176.0)</f>
        <v>227176</v>
      </c>
      <c r="E2916" s="115">
        <f>IFERROR(__xludf.DUMMYFUNCTION("""COMPUTED_VALUE"""),14562.0)</f>
        <v>14562</v>
      </c>
      <c r="F2916" s="115">
        <f>IFERROR(__xludf.DUMMYFUNCTION("""COMPUTED_VALUE"""),45153.0)</f>
        <v>45153</v>
      </c>
      <c r="G2916" s="115">
        <f>IFERROR(__xludf.DUMMYFUNCTION("""COMPUTED_VALUE"""),456.0)</f>
        <v>456</v>
      </c>
      <c r="H2916" s="116">
        <f>IFERROR(__xludf.DUMMYFUNCTION("""COMPUTED_VALUE"""),45906.0)</f>
        <v>45906</v>
      </c>
      <c r="I2916" s="115" t="str">
        <f>IFERROR(__xludf.DUMMYFUNCTION("""COMPUTED_VALUE"""),"12")</f>
        <v>12</v>
      </c>
      <c r="J2916" s="115" t="str">
        <f>IFERROR(__xludf.DUMMYFUNCTION("""COMPUTED_VALUE"""),"Premkumar M2025-09-0612")</f>
        <v>Premkumar M2025-09-0612</v>
      </c>
      <c r="K2916" s="115">
        <f>IFERROR(__xludf.DUMMYFUNCTION("""COMPUTED_VALUE"""),241738.0)</f>
        <v>241738</v>
      </c>
    </row>
    <row r="2917">
      <c r="A2917" s="115" t="str">
        <f>IFERROR(__xludf.DUMMYFUNCTION("""COMPUTED_VALUE"""),"SOUTH")</f>
        <v>SOUTH</v>
      </c>
      <c r="B2917" s="115" t="str">
        <f>IFERROR(__xludf.DUMMYFUNCTION("""COMPUTED_VALUE"""),"Premkumar M")</f>
        <v>Premkumar M</v>
      </c>
      <c r="C2917" s="115" t="str">
        <f>IFERROR(__xludf.DUMMYFUNCTION("""COMPUTED_VALUE"""),"MYNTRA")</f>
        <v>MYNTRA</v>
      </c>
      <c r="D2917" s="115">
        <f>IFERROR(__xludf.DUMMYFUNCTION("""COMPUTED_VALUE"""),12914.0)</f>
        <v>12914</v>
      </c>
      <c r="E2917" s="115">
        <f>IFERROR(__xludf.DUMMYFUNCTION("""COMPUTED_VALUE"""),2326.0)</f>
        <v>2326</v>
      </c>
      <c r="F2917" s="115">
        <f>IFERROR(__xludf.DUMMYFUNCTION("""COMPUTED_VALUE"""),3050.0)</f>
        <v>3050</v>
      </c>
      <c r="G2917" s="115">
        <f>IFERROR(__xludf.DUMMYFUNCTION("""COMPUTED_VALUE"""),81.0)</f>
        <v>81</v>
      </c>
      <c r="H2917" s="116">
        <f>IFERROR(__xludf.DUMMYFUNCTION("""COMPUTED_VALUE"""),45906.0)</f>
        <v>45906</v>
      </c>
      <c r="I2917" s="115" t="str">
        <f>IFERROR(__xludf.DUMMYFUNCTION("""COMPUTED_VALUE"""),"12")</f>
        <v>12</v>
      </c>
      <c r="J2917" s="115" t="str">
        <f>IFERROR(__xludf.DUMMYFUNCTION("""COMPUTED_VALUE"""),"Premkumar M2025-09-0612")</f>
        <v>Premkumar M2025-09-0612</v>
      </c>
      <c r="K2917" s="115">
        <f>IFERROR(__xludf.DUMMYFUNCTION("""COMPUTED_VALUE"""),15240.0)</f>
        <v>15240</v>
      </c>
    </row>
    <row r="2918">
      <c r="A2918" s="115" t="str">
        <f>IFERROR(__xludf.DUMMYFUNCTION("""COMPUTED_VALUE"""),"SOUTH")</f>
        <v>SOUTH</v>
      </c>
      <c r="B2918" s="115" t="str">
        <f>IFERROR(__xludf.DUMMYFUNCTION("""COMPUTED_VALUE"""),"Vineeth V")</f>
        <v>Vineeth V</v>
      </c>
      <c r="C2918" s="115" t="str">
        <f>IFERROR(__xludf.DUMMYFUNCTION("""COMPUTED_VALUE"""),"EXTERNAL")</f>
        <v>EXTERNAL</v>
      </c>
      <c r="D2918" s="115">
        <f>IFERROR(__xludf.DUMMYFUNCTION("""COMPUTED_VALUE"""),19762.0)</f>
        <v>19762</v>
      </c>
      <c r="E2918" s="115">
        <f>IFERROR(__xludf.DUMMYFUNCTION("""COMPUTED_VALUE"""),446.0)</f>
        <v>446</v>
      </c>
      <c r="F2918" s="115">
        <f>IFERROR(__xludf.DUMMYFUNCTION("""COMPUTED_VALUE"""),1475.0)</f>
        <v>1475</v>
      </c>
      <c r="G2918" s="115">
        <f>IFERROR(__xludf.DUMMYFUNCTION("""COMPUTED_VALUE"""),8.0)</f>
        <v>8</v>
      </c>
      <c r="H2918" s="116">
        <f>IFERROR(__xludf.DUMMYFUNCTION("""COMPUTED_VALUE"""),45906.0)</f>
        <v>45906</v>
      </c>
      <c r="I2918" s="115" t="str">
        <f>IFERROR(__xludf.DUMMYFUNCTION("""COMPUTED_VALUE"""),"12")</f>
        <v>12</v>
      </c>
      <c r="J2918" s="115" t="str">
        <f>IFERROR(__xludf.DUMMYFUNCTION("""COMPUTED_VALUE"""),"Vineeth V2025-09-0612")</f>
        <v>Vineeth V2025-09-0612</v>
      </c>
      <c r="K2918" s="115">
        <f>IFERROR(__xludf.DUMMYFUNCTION("""COMPUTED_VALUE"""),20208.0)</f>
        <v>20208</v>
      </c>
    </row>
    <row r="2919">
      <c r="A2919" s="115" t="str">
        <f>IFERROR(__xludf.DUMMYFUNCTION("""COMPUTED_VALUE"""),"SOUTH")</f>
        <v>SOUTH</v>
      </c>
      <c r="B2919" s="115" t="str">
        <f>IFERROR(__xludf.DUMMYFUNCTION("""COMPUTED_VALUE"""),"Vineeth V")</f>
        <v>Vineeth V</v>
      </c>
      <c r="C2919" s="115" t="str">
        <f>IFERROR(__xludf.DUMMYFUNCTION("""COMPUTED_VALUE"""),"FLIPKART")</f>
        <v>FLIPKART</v>
      </c>
      <c r="D2919" s="115">
        <f>IFERROR(__xludf.DUMMYFUNCTION("""COMPUTED_VALUE"""),170285.0)</f>
        <v>170285</v>
      </c>
      <c r="E2919" s="115">
        <f>IFERROR(__xludf.DUMMYFUNCTION("""COMPUTED_VALUE"""),10307.0)</f>
        <v>10307</v>
      </c>
      <c r="F2919" s="115">
        <f>IFERROR(__xludf.DUMMYFUNCTION("""COMPUTED_VALUE"""),19342.0)</f>
        <v>19342</v>
      </c>
      <c r="G2919" s="115">
        <f>IFERROR(__xludf.DUMMYFUNCTION("""COMPUTED_VALUE"""),98.0)</f>
        <v>98</v>
      </c>
      <c r="H2919" s="116">
        <f>IFERROR(__xludf.DUMMYFUNCTION("""COMPUTED_VALUE"""),45906.0)</f>
        <v>45906</v>
      </c>
      <c r="I2919" s="115" t="str">
        <f>IFERROR(__xludf.DUMMYFUNCTION("""COMPUTED_VALUE"""),"12")</f>
        <v>12</v>
      </c>
      <c r="J2919" s="115" t="str">
        <f>IFERROR(__xludf.DUMMYFUNCTION("""COMPUTED_VALUE"""),"Vineeth V2025-09-0612")</f>
        <v>Vineeth V2025-09-0612</v>
      </c>
      <c r="K2919" s="115">
        <f>IFERROR(__xludf.DUMMYFUNCTION("""COMPUTED_VALUE"""),180592.0)</f>
        <v>180592</v>
      </c>
    </row>
    <row r="2920">
      <c r="A2920" s="115" t="str">
        <f>IFERROR(__xludf.DUMMYFUNCTION("""COMPUTED_VALUE"""),"SOUTH")</f>
        <v>SOUTH</v>
      </c>
      <c r="B2920" s="115" t="str">
        <f>IFERROR(__xludf.DUMMYFUNCTION("""COMPUTED_VALUE"""),"Vineeth V")</f>
        <v>Vineeth V</v>
      </c>
      <c r="C2920" s="115" t="str">
        <f>IFERROR(__xludf.DUMMYFUNCTION("""COMPUTED_VALUE"""),"MYNTRA")</f>
        <v>MYNTRA</v>
      </c>
      <c r="D2920" s="115">
        <f>IFERROR(__xludf.DUMMYFUNCTION("""COMPUTED_VALUE"""),22203.0)</f>
        <v>22203</v>
      </c>
      <c r="E2920" s="115">
        <f>IFERROR(__xludf.DUMMYFUNCTION("""COMPUTED_VALUE"""),2768.0)</f>
        <v>2768</v>
      </c>
      <c r="F2920" s="115">
        <f>IFERROR(__xludf.DUMMYFUNCTION("""COMPUTED_VALUE"""),3033.0)</f>
        <v>3033</v>
      </c>
      <c r="G2920" s="115">
        <f>IFERROR(__xludf.DUMMYFUNCTION("""COMPUTED_VALUE"""),29.0)</f>
        <v>29</v>
      </c>
      <c r="H2920" s="116">
        <f>IFERROR(__xludf.DUMMYFUNCTION("""COMPUTED_VALUE"""),45906.0)</f>
        <v>45906</v>
      </c>
      <c r="I2920" s="115" t="str">
        <f>IFERROR(__xludf.DUMMYFUNCTION("""COMPUTED_VALUE"""),"12")</f>
        <v>12</v>
      </c>
      <c r="J2920" s="115" t="str">
        <f>IFERROR(__xludf.DUMMYFUNCTION("""COMPUTED_VALUE"""),"Vineeth V2025-09-0612")</f>
        <v>Vineeth V2025-09-0612</v>
      </c>
      <c r="K2920" s="115">
        <f>IFERROR(__xludf.DUMMYFUNCTION("""COMPUTED_VALUE"""),24971.0)</f>
        <v>24971</v>
      </c>
    </row>
    <row r="2921">
      <c r="A2921" s="115" t="str">
        <f>IFERROR(__xludf.DUMMYFUNCTION("""COMPUTED_VALUE"""),"WEST")</f>
        <v>WEST</v>
      </c>
      <c r="B2921" s="115" t="str">
        <f>IFERROR(__xludf.DUMMYFUNCTION("""COMPUTED_VALUE"""),"Ashish Jakar")</f>
        <v>Ashish Jakar</v>
      </c>
      <c r="C2921" s="115" t="str">
        <f>IFERROR(__xludf.DUMMYFUNCTION("""COMPUTED_VALUE"""),"EXTERNAL")</f>
        <v>EXTERNAL</v>
      </c>
      <c r="D2921" s="115">
        <f>IFERROR(__xludf.DUMMYFUNCTION("""COMPUTED_VALUE"""),40387.0)</f>
        <v>40387</v>
      </c>
      <c r="E2921" s="115">
        <f>IFERROR(__xludf.DUMMYFUNCTION("""COMPUTED_VALUE"""),4860.0)</f>
        <v>4860</v>
      </c>
      <c r="F2921" s="115">
        <f>IFERROR(__xludf.DUMMYFUNCTION("""COMPUTED_VALUE"""),7097.0)</f>
        <v>7097</v>
      </c>
      <c r="G2921" s="115">
        <f>IFERROR(__xludf.DUMMYFUNCTION("""COMPUTED_VALUE"""),558.0)</f>
        <v>558</v>
      </c>
      <c r="H2921" s="116">
        <f>IFERROR(__xludf.DUMMYFUNCTION("""COMPUTED_VALUE"""),45906.0)</f>
        <v>45906</v>
      </c>
      <c r="I2921" s="115" t="str">
        <f>IFERROR(__xludf.DUMMYFUNCTION("""COMPUTED_VALUE"""),"12")</f>
        <v>12</v>
      </c>
      <c r="J2921" s="115" t="str">
        <f>IFERROR(__xludf.DUMMYFUNCTION("""COMPUTED_VALUE"""),"Ashish Jakar2025-09-0612")</f>
        <v>Ashish Jakar2025-09-0612</v>
      </c>
      <c r="K2921" s="115">
        <f>IFERROR(__xludf.DUMMYFUNCTION("""COMPUTED_VALUE"""),45247.0)</f>
        <v>45247</v>
      </c>
    </row>
    <row r="2922">
      <c r="A2922" s="115" t="str">
        <f>IFERROR(__xludf.DUMMYFUNCTION("""COMPUTED_VALUE"""),"WEST")</f>
        <v>WEST</v>
      </c>
      <c r="B2922" s="115" t="str">
        <f>IFERROR(__xludf.DUMMYFUNCTION("""COMPUTED_VALUE"""),"Ashish Jakar")</f>
        <v>Ashish Jakar</v>
      </c>
      <c r="C2922" s="115" t="str">
        <f>IFERROR(__xludf.DUMMYFUNCTION("""COMPUTED_VALUE"""),"FLIPKART")</f>
        <v>FLIPKART</v>
      </c>
      <c r="D2922" s="115">
        <f>IFERROR(__xludf.DUMMYFUNCTION("""COMPUTED_VALUE"""),205253.0)</f>
        <v>205253</v>
      </c>
      <c r="E2922" s="115">
        <f>IFERROR(__xludf.DUMMYFUNCTION("""COMPUTED_VALUE"""),23273.0)</f>
        <v>23273</v>
      </c>
      <c r="F2922" s="115">
        <f>IFERROR(__xludf.DUMMYFUNCTION("""COMPUTED_VALUE"""),63261.0)</f>
        <v>63261</v>
      </c>
      <c r="G2922" s="115">
        <f>IFERROR(__xludf.DUMMYFUNCTION("""COMPUTED_VALUE"""),2794.0)</f>
        <v>2794</v>
      </c>
      <c r="H2922" s="116">
        <f>IFERROR(__xludf.DUMMYFUNCTION("""COMPUTED_VALUE"""),45906.0)</f>
        <v>45906</v>
      </c>
      <c r="I2922" s="115" t="str">
        <f>IFERROR(__xludf.DUMMYFUNCTION("""COMPUTED_VALUE"""),"12")</f>
        <v>12</v>
      </c>
      <c r="J2922" s="115" t="str">
        <f>IFERROR(__xludf.DUMMYFUNCTION("""COMPUTED_VALUE"""),"Ashish Jakar2025-09-0612")</f>
        <v>Ashish Jakar2025-09-0612</v>
      </c>
      <c r="K2922" s="115">
        <f>IFERROR(__xludf.DUMMYFUNCTION("""COMPUTED_VALUE"""),228526.0)</f>
        <v>228526</v>
      </c>
    </row>
    <row r="2923">
      <c r="A2923" s="115" t="str">
        <f>IFERROR(__xludf.DUMMYFUNCTION("""COMPUTED_VALUE"""),"WEST")</f>
        <v>WEST</v>
      </c>
      <c r="B2923" s="115" t="str">
        <f>IFERROR(__xludf.DUMMYFUNCTION("""COMPUTED_VALUE"""),"Ashish Jakar")</f>
        <v>Ashish Jakar</v>
      </c>
      <c r="C2923" s="115" t="str">
        <f>IFERROR(__xludf.DUMMYFUNCTION("""COMPUTED_VALUE"""),"MYNTRA")</f>
        <v>MYNTRA</v>
      </c>
      <c r="D2923" s="115">
        <f>IFERROR(__xludf.DUMMYFUNCTION("""COMPUTED_VALUE"""),29264.0)</f>
        <v>29264</v>
      </c>
      <c r="E2923" s="115">
        <f>IFERROR(__xludf.DUMMYFUNCTION("""COMPUTED_VALUE"""),7836.0)</f>
        <v>7836</v>
      </c>
      <c r="F2923" s="115">
        <f>IFERROR(__xludf.DUMMYFUNCTION("""COMPUTED_VALUE"""),11278.0)</f>
        <v>11278</v>
      </c>
      <c r="G2923" s="115">
        <f>IFERROR(__xludf.DUMMYFUNCTION("""COMPUTED_VALUE"""),1175.0)</f>
        <v>1175</v>
      </c>
      <c r="H2923" s="116">
        <f>IFERROR(__xludf.DUMMYFUNCTION("""COMPUTED_VALUE"""),45906.0)</f>
        <v>45906</v>
      </c>
      <c r="I2923" s="115" t="str">
        <f>IFERROR(__xludf.DUMMYFUNCTION("""COMPUTED_VALUE"""),"12")</f>
        <v>12</v>
      </c>
      <c r="J2923" s="115" t="str">
        <f>IFERROR(__xludf.DUMMYFUNCTION("""COMPUTED_VALUE"""),"Ashish Jakar2025-09-0612")</f>
        <v>Ashish Jakar2025-09-0612</v>
      </c>
      <c r="K2923" s="115">
        <f>IFERROR(__xludf.DUMMYFUNCTION("""COMPUTED_VALUE"""),37100.0)</f>
        <v>37100</v>
      </c>
    </row>
    <row r="2924">
      <c r="A2924" s="115" t="str">
        <f>IFERROR(__xludf.DUMMYFUNCTION("""COMPUTED_VALUE"""),"WEST")</f>
        <v>WEST</v>
      </c>
      <c r="B2924" s="115" t="str">
        <f>IFERROR(__xludf.DUMMYFUNCTION("""COMPUTED_VALUE"""),"Ashvani Bhatt")</f>
        <v>Ashvani Bhatt</v>
      </c>
      <c r="C2924" s="115" t="str">
        <f>IFERROR(__xludf.DUMMYFUNCTION("""COMPUTED_VALUE"""),"EXTERNAL")</f>
        <v>EXTERNAL</v>
      </c>
      <c r="D2924" s="115">
        <f>IFERROR(__xludf.DUMMYFUNCTION("""COMPUTED_VALUE"""),28494.0)</f>
        <v>28494</v>
      </c>
      <c r="E2924" s="115">
        <f>IFERROR(__xludf.DUMMYFUNCTION("""COMPUTED_VALUE"""),2352.0)</f>
        <v>2352</v>
      </c>
      <c r="F2924" s="115">
        <f>IFERROR(__xludf.DUMMYFUNCTION("""COMPUTED_VALUE"""),5061.0)</f>
        <v>5061</v>
      </c>
      <c r="G2924" s="115">
        <f>IFERROR(__xludf.DUMMYFUNCTION("""COMPUTED_VALUE"""),114.0)</f>
        <v>114</v>
      </c>
      <c r="H2924" s="116">
        <f>IFERROR(__xludf.DUMMYFUNCTION("""COMPUTED_VALUE"""),45906.0)</f>
        <v>45906</v>
      </c>
      <c r="I2924" s="115" t="str">
        <f>IFERROR(__xludf.DUMMYFUNCTION("""COMPUTED_VALUE"""),"12")</f>
        <v>12</v>
      </c>
      <c r="J2924" s="115" t="str">
        <f>IFERROR(__xludf.DUMMYFUNCTION("""COMPUTED_VALUE"""),"Ashvani Bhatt2025-09-0612")</f>
        <v>Ashvani Bhatt2025-09-0612</v>
      </c>
      <c r="K2924" s="115">
        <f>IFERROR(__xludf.DUMMYFUNCTION("""COMPUTED_VALUE"""),30846.0)</f>
        <v>30846</v>
      </c>
    </row>
    <row r="2925">
      <c r="A2925" s="115" t="str">
        <f>IFERROR(__xludf.DUMMYFUNCTION("""COMPUTED_VALUE"""),"WEST")</f>
        <v>WEST</v>
      </c>
      <c r="B2925" s="115" t="str">
        <f>IFERROR(__xludf.DUMMYFUNCTION("""COMPUTED_VALUE"""),"Ashvani Bhatt")</f>
        <v>Ashvani Bhatt</v>
      </c>
      <c r="C2925" s="115" t="str">
        <f>IFERROR(__xludf.DUMMYFUNCTION("""COMPUTED_VALUE"""),"FLIPKART")</f>
        <v>FLIPKART</v>
      </c>
      <c r="D2925" s="115">
        <f>IFERROR(__xludf.DUMMYFUNCTION("""COMPUTED_VALUE"""),211216.0)</f>
        <v>211216</v>
      </c>
      <c r="E2925" s="115">
        <f>IFERROR(__xludf.DUMMYFUNCTION("""COMPUTED_VALUE"""),21804.0)</f>
        <v>21804</v>
      </c>
      <c r="F2925" s="115">
        <f>IFERROR(__xludf.DUMMYFUNCTION("""COMPUTED_VALUE"""),62103.0)</f>
        <v>62103</v>
      </c>
      <c r="G2925" s="115">
        <f>IFERROR(__xludf.DUMMYFUNCTION("""COMPUTED_VALUE"""),1661.0)</f>
        <v>1661</v>
      </c>
      <c r="H2925" s="116">
        <f>IFERROR(__xludf.DUMMYFUNCTION("""COMPUTED_VALUE"""),45906.0)</f>
        <v>45906</v>
      </c>
      <c r="I2925" s="115" t="str">
        <f>IFERROR(__xludf.DUMMYFUNCTION("""COMPUTED_VALUE"""),"12")</f>
        <v>12</v>
      </c>
      <c r="J2925" s="115" t="str">
        <f>IFERROR(__xludf.DUMMYFUNCTION("""COMPUTED_VALUE"""),"Ashvani Bhatt2025-09-0612")</f>
        <v>Ashvani Bhatt2025-09-0612</v>
      </c>
      <c r="K2925" s="115">
        <f>IFERROR(__xludf.DUMMYFUNCTION("""COMPUTED_VALUE"""),233020.0)</f>
        <v>233020</v>
      </c>
    </row>
    <row r="2926">
      <c r="A2926" s="115" t="str">
        <f>IFERROR(__xludf.DUMMYFUNCTION("""COMPUTED_VALUE"""),"WEST")</f>
        <v>WEST</v>
      </c>
      <c r="B2926" s="115" t="str">
        <f>IFERROR(__xludf.DUMMYFUNCTION("""COMPUTED_VALUE"""),"Ashvani Bhatt")</f>
        <v>Ashvani Bhatt</v>
      </c>
      <c r="C2926" s="115" t="str">
        <f>IFERROR(__xludf.DUMMYFUNCTION("""COMPUTED_VALUE"""),"MYNTRA")</f>
        <v>MYNTRA</v>
      </c>
      <c r="D2926" s="115">
        <f>IFERROR(__xludf.DUMMYFUNCTION("""COMPUTED_VALUE"""),27534.0)</f>
        <v>27534</v>
      </c>
      <c r="E2926" s="115">
        <f>IFERROR(__xludf.DUMMYFUNCTION("""COMPUTED_VALUE"""),6592.0)</f>
        <v>6592</v>
      </c>
      <c r="F2926" s="115">
        <f>IFERROR(__xludf.DUMMYFUNCTION("""COMPUTED_VALUE"""),10236.0)</f>
        <v>10236</v>
      </c>
      <c r="G2926" s="115">
        <f>IFERROR(__xludf.DUMMYFUNCTION("""COMPUTED_VALUE"""),651.0)</f>
        <v>651</v>
      </c>
      <c r="H2926" s="116">
        <f>IFERROR(__xludf.DUMMYFUNCTION("""COMPUTED_VALUE"""),45906.0)</f>
        <v>45906</v>
      </c>
      <c r="I2926" s="115" t="str">
        <f>IFERROR(__xludf.DUMMYFUNCTION("""COMPUTED_VALUE"""),"12")</f>
        <v>12</v>
      </c>
      <c r="J2926" s="115" t="str">
        <f>IFERROR(__xludf.DUMMYFUNCTION("""COMPUTED_VALUE"""),"Ashvani Bhatt2025-09-0612")</f>
        <v>Ashvani Bhatt2025-09-0612</v>
      </c>
      <c r="K2926" s="115">
        <f>IFERROR(__xludf.DUMMYFUNCTION("""COMPUTED_VALUE"""),34126.0)</f>
        <v>34126</v>
      </c>
    </row>
    <row r="2927">
      <c r="A2927" s="115" t="str">
        <f>IFERROR(__xludf.DUMMYFUNCTION("""COMPUTED_VALUE"""),"West")</f>
        <v>West</v>
      </c>
      <c r="B2927" s="115" t="str">
        <f>IFERROR(__xludf.DUMMYFUNCTION("""COMPUTED_VALUE"""),"Ashish Jakar")</f>
        <v>Ashish Jakar</v>
      </c>
      <c r="C2927" s="115" t="str">
        <f>IFERROR(__xludf.DUMMYFUNCTION("""COMPUTED_VALUE"""),"EXTERNAL")</f>
        <v>EXTERNAL</v>
      </c>
      <c r="D2927" s="115">
        <f>IFERROR(__xludf.DUMMYFUNCTION("""COMPUTED_VALUE"""),9.0)</f>
        <v>9</v>
      </c>
      <c r="E2927" s="115">
        <f>IFERROR(__xludf.DUMMYFUNCTION("""COMPUTED_VALUE"""),0.0)</f>
        <v>0</v>
      </c>
      <c r="F2927" s="115">
        <f>IFERROR(__xludf.DUMMYFUNCTION("""COMPUTED_VALUE"""),0.0)</f>
        <v>0</v>
      </c>
      <c r="G2927" s="115">
        <f>IFERROR(__xludf.DUMMYFUNCTION("""COMPUTED_VALUE"""),0.0)</f>
        <v>0</v>
      </c>
      <c r="H2927" s="116">
        <f>IFERROR(__xludf.DUMMYFUNCTION("""COMPUTED_VALUE"""),45906.0)</f>
        <v>45906</v>
      </c>
      <c r="I2927" s="115" t="str">
        <f>IFERROR(__xludf.DUMMYFUNCTION("""COMPUTED_VALUE"""),"12")</f>
        <v>12</v>
      </c>
      <c r="J2927" s="115" t="str">
        <f>IFERROR(__xludf.DUMMYFUNCTION("""COMPUTED_VALUE"""),"Ashish Jakar2025-09-0612")</f>
        <v>Ashish Jakar2025-09-0612</v>
      </c>
      <c r="K2927" s="115">
        <f>IFERROR(__xludf.DUMMYFUNCTION("""COMPUTED_VALUE"""),9.0)</f>
        <v>9</v>
      </c>
    </row>
    <row r="2928">
      <c r="A2928" s="115" t="str">
        <f>IFERROR(__xludf.DUMMYFUNCTION("""COMPUTED_VALUE"""),"West")</f>
        <v>West</v>
      </c>
      <c r="B2928" s="115" t="str">
        <f>IFERROR(__xludf.DUMMYFUNCTION("""COMPUTED_VALUE"""),"Ashish Jakar")</f>
        <v>Ashish Jakar</v>
      </c>
      <c r="C2928" s="115" t="str">
        <f>IFERROR(__xludf.DUMMYFUNCTION("""COMPUTED_VALUE"""),"FLIPKART")</f>
        <v>FLIPKART</v>
      </c>
      <c r="D2928" s="115">
        <f>IFERROR(__xludf.DUMMYFUNCTION("""COMPUTED_VALUE"""),101.0)</f>
        <v>101</v>
      </c>
      <c r="E2928" s="115">
        <f>IFERROR(__xludf.DUMMYFUNCTION("""COMPUTED_VALUE"""),0.0)</f>
        <v>0</v>
      </c>
      <c r="F2928" s="115">
        <f>IFERROR(__xludf.DUMMYFUNCTION("""COMPUTED_VALUE"""),0.0)</f>
        <v>0</v>
      </c>
      <c r="G2928" s="115">
        <f>IFERROR(__xludf.DUMMYFUNCTION("""COMPUTED_VALUE"""),0.0)</f>
        <v>0</v>
      </c>
      <c r="H2928" s="116">
        <f>IFERROR(__xludf.DUMMYFUNCTION("""COMPUTED_VALUE"""),45906.0)</f>
        <v>45906</v>
      </c>
      <c r="I2928" s="115" t="str">
        <f>IFERROR(__xludf.DUMMYFUNCTION("""COMPUTED_VALUE"""),"12")</f>
        <v>12</v>
      </c>
      <c r="J2928" s="115" t="str">
        <f>IFERROR(__xludf.DUMMYFUNCTION("""COMPUTED_VALUE"""),"Ashish Jakar2025-09-0612")</f>
        <v>Ashish Jakar2025-09-0612</v>
      </c>
      <c r="K2928" s="115">
        <f>IFERROR(__xludf.DUMMYFUNCTION("""COMPUTED_VALUE"""),101.0)</f>
        <v>101</v>
      </c>
    </row>
    <row r="2929">
      <c r="A2929" s="115" t="str">
        <f>IFERROR(__xludf.DUMMYFUNCTION("""COMPUTED_VALUE"""),"West")</f>
        <v>West</v>
      </c>
      <c r="B2929" s="115" t="str">
        <f>IFERROR(__xludf.DUMMYFUNCTION("""COMPUTED_VALUE"""),"Ashish Jakar")</f>
        <v>Ashish Jakar</v>
      </c>
      <c r="C2929" s="115" t="str">
        <f>IFERROR(__xludf.DUMMYFUNCTION("""COMPUTED_VALUE"""),"MYNTRA")</f>
        <v>MYNTRA</v>
      </c>
      <c r="D2929" s="115">
        <f>IFERROR(__xludf.DUMMYFUNCTION("""COMPUTED_VALUE"""),60.0)</f>
        <v>60</v>
      </c>
      <c r="E2929" s="115">
        <f>IFERROR(__xludf.DUMMYFUNCTION("""COMPUTED_VALUE"""),0.0)</f>
        <v>0</v>
      </c>
      <c r="F2929" s="115">
        <f>IFERROR(__xludf.DUMMYFUNCTION("""COMPUTED_VALUE"""),0.0)</f>
        <v>0</v>
      </c>
      <c r="G2929" s="115">
        <f>IFERROR(__xludf.DUMMYFUNCTION("""COMPUTED_VALUE"""),0.0)</f>
        <v>0</v>
      </c>
      <c r="H2929" s="116">
        <f>IFERROR(__xludf.DUMMYFUNCTION("""COMPUTED_VALUE"""),45906.0)</f>
        <v>45906</v>
      </c>
      <c r="I2929" s="115" t="str">
        <f>IFERROR(__xludf.DUMMYFUNCTION("""COMPUTED_VALUE"""),"12")</f>
        <v>12</v>
      </c>
      <c r="J2929" s="115" t="str">
        <f>IFERROR(__xludf.DUMMYFUNCTION("""COMPUTED_VALUE"""),"Ashish Jakar2025-09-0612")</f>
        <v>Ashish Jakar2025-09-0612</v>
      </c>
      <c r="K2929" s="115">
        <f>IFERROR(__xludf.DUMMYFUNCTION("""COMPUTED_VALUE"""),60.0)</f>
        <v>60</v>
      </c>
    </row>
    <row r="2930">
      <c r="A2930" s="115"/>
      <c r="B2930" s="115"/>
      <c r="C2930" s="115" t="str">
        <f>IFERROR(__xludf.DUMMYFUNCTION("""COMPUTED_VALUE"""),"EXTERNAL")</f>
        <v>EXTERNAL</v>
      </c>
      <c r="D2930" s="115">
        <f>IFERROR(__xludf.DUMMYFUNCTION("""COMPUTED_VALUE"""),975.0)</f>
        <v>975</v>
      </c>
      <c r="E2930" s="115">
        <f>IFERROR(__xludf.DUMMYFUNCTION("""COMPUTED_VALUE"""),128.0)</f>
        <v>128</v>
      </c>
      <c r="F2930" s="115">
        <f>IFERROR(__xludf.DUMMYFUNCTION("""COMPUTED_VALUE"""),58.0)</f>
        <v>58</v>
      </c>
      <c r="G2930" s="115">
        <f>IFERROR(__xludf.DUMMYFUNCTION("""COMPUTED_VALUE"""),19.0)</f>
        <v>19</v>
      </c>
      <c r="H2930" s="116">
        <f>IFERROR(__xludf.DUMMYFUNCTION("""COMPUTED_VALUE"""),45906.0)</f>
        <v>45906</v>
      </c>
      <c r="I2930" s="115" t="str">
        <f>IFERROR(__xludf.DUMMYFUNCTION("""COMPUTED_VALUE"""),"12")</f>
        <v>12</v>
      </c>
      <c r="J2930" s="115" t="str">
        <f>IFERROR(__xludf.DUMMYFUNCTION("""COMPUTED_VALUE"""),"2025-09-0612")</f>
        <v>2025-09-0612</v>
      </c>
      <c r="K2930" s="115">
        <f>IFERROR(__xludf.DUMMYFUNCTION("""COMPUTED_VALUE"""),1103.0)</f>
        <v>1103</v>
      </c>
    </row>
    <row r="2931">
      <c r="A2931" s="115"/>
      <c r="B2931" s="115"/>
      <c r="C2931" s="115" t="str">
        <f>IFERROR(__xludf.DUMMYFUNCTION("""COMPUTED_VALUE"""),"FLIPKART")</f>
        <v>FLIPKART</v>
      </c>
      <c r="D2931" s="115">
        <f>IFERROR(__xludf.DUMMYFUNCTION("""COMPUTED_VALUE"""),7949.0)</f>
        <v>7949</v>
      </c>
      <c r="E2931" s="115">
        <f>IFERROR(__xludf.DUMMYFUNCTION("""COMPUTED_VALUE"""),823.0)</f>
        <v>823</v>
      </c>
      <c r="F2931" s="115">
        <f>IFERROR(__xludf.DUMMYFUNCTION("""COMPUTED_VALUE"""),671.0)</f>
        <v>671</v>
      </c>
      <c r="G2931" s="115">
        <f>IFERROR(__xludf.DUMMYFUNCTION("""COMPUTED_VALUE"""),64.0)</f>
        <v>64</v>
      </c>
      <c r="H2931" s="116">
        <f>IFERROR(__xludf.DUMMYFUNCTION("""COMPUTED_VALUE"""),45906.0)</f>
        <v>45906</v>
      </c>
      <c r="I2931" s="115" t="str">
        <f>IFERROR(__xludf.DUMMYFUNCTION("""COMPUTED_VALUE"""),"12")</f>
        <v>12</v>
      </c>
      <c r="J2931" s="115" t="str">
        <f>IFERROR(__xludf.DUMMYFUNCTION("""COMPUTED_VALUE"""),"2025-09-0612")</f>
        <v>2025-09-0612</v>
      </c>
      <c r="K2931" s="115">
        <f>IFERROR(__xludf.DUMMYFUNCTION("""COMPUTED_VALUE"""),8772.0)</f>
        <v>8772</v>
      </c>
    </row>
    <row r="2932">
      <c r="A2932" s="115"/>
      <c r="B2932" s="115"/>
      <c r="C2932" s="115" t="str">
        <f>IFERROR(__xludf.DUMMYFUNCTION("""COMPUTED_VALUE"""),"MYNTRA")</f>
        <v>MYNTRA</v>
      </c>
      <c r="D2932" s="115">
        <f>IFERROR(__xludf.DUMMYFUNCTION("""COMPUTED_VALUE"""),1348.0)</f>
        <v>1348</v>
      </c>
      <c r="E2932" s="115">
        <f>IFERROR(__xludf.DUMMYFUNCTION("""COMPUTED_VALUE"""),334.0)</f>
        <v>334</v>
      </c>
      <c r="F2932" s="115">
        <f>IFERROR(__xludf.DUMMYFUNCTION("""COMPUTED_VALUE"""),141.0)</f>
        <v>141</v>
      </c>
      <c r="G2932" s="115">
        <f>IFERROR(__xludf.DUMMYFUNCTION("""COMPUTED_VALUE"""),23.0)</f>
        <v>23</v>
      </c>
      <c r="H2932" s="116">
        <f>IFERROR(__xludf.DUMMYFUNCTION("""COMPUTED_VALUE"""),45906.0)</f>
        <v>45906</v>
      </c>
      <c r="I2932" s="115" t="str">
        <f>IFERROR(__xludf.DUMMYFUNCTION("""COMPUTED_VALUE"""),"12")</f>
        <v>12</v>
      </c>
      <c r="J2932" s="115" t="str">
        <f>IFERROR(__xludf.DUMMYFUNCTION("""COMPUTED_VALUE"""),"2025-09-0612")</f>
        <v>2025-09-0612</v>
      </c>
      <c r="K2932" s="115">
        <f>IFERROR(__xludf.DUMMYFUNCTION("""COMPUTED_VALUE"""),1682.0)</f>
        <v>1682</v>
      </c>
    </row>
    <row r="2933">
      <c r="A2933" s="115" t="str">
        <f>IFERROR(__xludf.DUMMYFUNCTION("""COMPUTED_VALUE"""),"EAST")</f>
        <v>EAST</v>
      </c>
      <c r="B2933" s="115" t="str">
        <f>IFERROR(__xludf.DUMMYFUNCTION("""COMPUTED_VALUE"""),"Ashish Ranjan")</f>
        <v>Ashish Ranjan</v>
      </c>
      <c r="C2933" s="115" t="str">
        <f>IFERROR(__xludf.DUMMYFUNCTION("""COMPUTED_VALUE"""),"EXTERNAL")</f>
        <v>EXTERNAL</v>
      </c>
      <c r="D2933" s="115">
        <f>IFERROR(__xludf.DUMMYFUNCTION("""COMPUTED_VALUE"""),38859.0)</f>
        <v>38859</v>
      </c>
      <c r="E2933" s="115">
        <f>IFERROR(__xludf.DUMMYFUNCTION("""COMPUTED_VALUE"""),2673.0)</f>
        <v>2673</v>
      </c>
      <c r="F2933" s="115">
        <f>IFERROR(__xludf.DUMMYFUNCTION("""COMPUTED_VALUE"""),11857.0)</f>
        <v>11857</v>
      </c>
      <c r="G2933" s="115">
        <f>IFERROR(__xludf.DUMMYFUNCTION("""COMPUTED_VALUE"""),304.0)</f>
        <v>304</v>
      </c>
      <c r="H2933" s="116">
        <f>IFERROR(__xludf.DUMMYFUNCTION("""COMPUTED_VALUE"""),45906.0)</f>
        <v>45906</v>
      </c>
      <c r="I2933" s="115" t="str">
        <f>IFERROR(__xludf.DUMMYFUNCTION("""COMPUTED_VALUE"""),"13")</f>
        <v>13</v>
      </c>
      <c r="J2933" s="115" t="str">
        <f>IFERROR(__xludf.DUMMYFUNCTION("""COMPUTED_VALUE"""),"Ashish Ranjan2025-09-0613")</f>
        <v>Ashish Ranjan2025-09-0613</v>
      </c>
      <c r="K2933" s="115">
        <f>IFERROR(__xludf.DUMMYFUNCTION("""COMPUTED_VALUE"""),41532.0)</f>
        <v>41532</v>
      </c>
    </row>
    <row r="2934">
      <c r="A2934" s="115" t="str">
        <f>IFERROR(__xludf.DUMMYFUNCTION("""COMPUTED_VALUE"""),"EAST")</f>
        <v>EAST</v>
      </c>
      <c r="B2934" s="115" t="str">
        <f>IFERROR(__xludf.DUMMYFUNCTION("""COMPUTED_VALUE"""),"Ashish Ranjan")</f>
        <v>Ashish Ranjan</v>
      </c>
      <c r="C2934" s="115" t="str">
        <f>IFERROR(__xludf.DUMMYFUNCTION("""COMPUTED_VALUE"""),"FLIPKART")</f>
        <v>FLIPKART</v>
      </c>
      <c r="D2934" s="115">
        <f>IFERROR(__xludf.DUMMYFUNCTION("""COMPUTED_VALUE"""),608353.0)</f>
        <v>608353</v>
      </c>
      <c r="E2934" s="115">
        <f>IFERROR(__xludf.DUMMYFUNCTION("""COMPUTED_VALUE"""),52417.0)</f>
        <v>52417</v>
      </c>
      <c r="F2934" s="115">
        <f>IFERROR(__xludf.DUMMYFUNCTION("""COMPUTED_VALUE"""),299576.0)</f>
        <v>299576</v>
      </c>
      <c r="G2934" s="115">
        <f>IFERROR(__xludf.DUMMYFUNCTION("""COMPUTED_VALUE"""),9097.0)</f>
        <v>9097</v>
      </c>
      <c r="H2934" s="116">
        <f>IFERROR(__xludf.DUMMYFUNCTION("""COMPUTED_VALUE"""),45906.0)</f>
        <v>45906</v>
      </c>
      <c r="I2934" s="115" t="str">
        <f>IFERROR(__xludf.DUMMYFUNCTION("""COMPUTED_VALUE"""),"13")</f>
        <v>13</v>
      </c>
      <c r="J2934" s="115" t="str">
        <f>IFERROR(__xludf.DUMMYFUNCTION("""COMPUTED_VALUE"""),"Ashish Ranjan2025-09-0613")</f>
        <v>Ashish Ranjan2025-09-0613</v>
      </c>
      <c r="K2934" s="115">
        <f>IFERROR(__xludf.DUMMYFUNCTION("""COMPUTED_VALUE"""),660770.0)</f>
        <v>660770</v>
      </c>
    </row>
    <row r="2935">
      <c r="A2935" s="115" t="str">
        <f>IFERROR(__xludf.DUMMYFUNCTION("""COMPUTED_VALUE"""),"EAST")</f>
        <v>EAST</v>
      </c>
      <c r="B2935" s="115" t="str">
        <f>IFERROR(__xludf.DUMMYFUNCTION("""COMPUTED_VALUE"""),"Ashish Ranjan")</f>
        <v>Ashish Ranjan</v>
      </c>
      <c r="C2935" s="115" t="str">
        <f>IFERROR(__xludf.DUMMYFUNCTION("""COMPUTED_VALUE"""),"MYNTRA")</f>
        <v>MYNTRA</v>
      </c>
      <c r="D2935" s="115">
        <f>IFERROR(__xludf.DUMMYFUNCTION("""COMPUTED_VALUE"""),61815.0)</f>
        <v>61815</v>
      </c>
      <c r="E2935" s="115">
        <f>IFERROR(__xludf.DUMMYFUNCTION("""COMPUTED_VALUE"""),12562.0)</f>
        <v>12562</v>
      </c>
      <c r="F2935" s="115">
        <f>IFERROR(__xludf.DUMMYFUNCTION("""COMPUTED_VALUE"""),30764.0)</f>
        <v>30764</v>
      </c>
      <c r="G2935" s="115">
        <f>IFERROR(__xludf.DUMMYFUNCTION("""COMPUTED_VALUE"""),2294.0)</f>
        <v>2294</v>
      </c>
      <c r="H2935" s="116">
        <f>IFERROR(__xludf.DUMMYFUNCTION("""COMPUTED_VALUE"""),45906.0)</f>
        <v>45906</v>
      </c>
      <c r="I2935" s="115" t="str">
        <f>IFERROR(__xludf.DUMMYFUNCTION("""COMPUTED_VALUE"""),"13")</f>
        <v>13</v>
      </c>
      <c r="J2935" s="115" t="str">
        <f>IFERROR(__xludf.DUMMYFUNCTION("""COMPUTED_VALUE"""),"Ashish Ranjan2025-09-0613")</f>
        <v>Ashish Ranjan2025-09-0613</v>
      </c>
      <c r="K2935" s="115">
        <f>IFERROR(__xludf.DUMMYFUNCTION("""COMPUTED_VALUE"""),74377.0)</f>
        <v>74377</v>
      </c>
    </row>
    <row r="2936">
      <c r="A2936" s="115" t="str">
        <f>IFERROR(__xludf.DUMMYFUNCTION("""COMPUTED_VALUE"""),"EAST")</f>
        <v>EAST</v>
      </c>
      <c r="B2936" s="115" t="str">
        <f>IFERROR(__xludf.DUMMYFUNCTION("""COMPUTED_VALUE"""),"Girish Chand")</f>
        <v>Girish Chand</v>
      </c>
      <c r="C2936" s="115" t="str">
        <f>IFERROR(__xludf.DUMMYFUNCTION("""COMPUTED_VALUE"""),"EXTERNAL")</f>
        <v>EXTERNAL</v>
      </c>
      <c r="D2936" s="115">
        <f>IFERROR(__xludf.DUMMYFUNCTION("""COMPUTED_VALUE"""),23969.0)</f>
        <v>23969</v>
      </c>
      <c r="E2936" s="115">
        <f>IFERROR(__xludf.DUMMYFUNCTION("""COMPUTED_VALUE"""),2068.0)</f>
        <v>2068</v>
      </c>
      <c r="F2936" s="115">
        <f>IFERROR(__xludf.DUMMYFUNCTION("""COMPUTED_VALUE"""),4833.0)</f>
        <v>4833</v>
      </c>
      <c r="G2936" s="115">
        <f>IFERROR(__xludf.DUMMYFUNCTION("""COMPUTED_VALUE"""),64.0)</f>
        <v>64</v>
      </c>
      <c r="H2936" s="116">
        <f>IFERROR(__xludf.DUMMYFUNCTION("""COMPUTED_VALUE"""),45906.0)</f>
        <v>45906</v>
      </c>
      <c r="I2936" s="115" t="str">
        <f>IFERROR(__xludf.DUMMYFUNCTION("""COMPUTED_VALUE"""),"13")</f>
        <v>13</v>
      </c>
      <c r="J2936" s="115" t="str">
        <f>IFERROR(__xludf.DUMMYFUNCTION("""COMPUTED_VALUE"""),"Girish Chand2025-09-0613")</f>
        <v>Girish Chand2025-09-0613</v>
      </c>
      <c r="K2936" s="115">
        <f>IFERROR(__xludf.DUMMYFUNCTION("""COMPUTED_VALUE"""),26037.0)</f>
        <v>26037</v>
      </c>
    </row>
    <row r="2937">
      <c r="A2937" s="115" t="str">
        <f>IFERROR(__xludf.DUMMYFUNCTION("""COMPUTED_VALUE"""),"EAST")</f>
        <v>EAST</v>
      </c>
      <c r="B2937" s="115" t="str">
        <f>IFERROR(__xludf.DUMMYFUNCTION("""COMPUTED_VALUE"""),"Girish Chand")</f>
        <v>Girish Chand</v>
      </c>
      <c r="C2937" s="115" t="str">
        <f>IFERROR(__xludf.DUMMYFUNCTION("""COMPUTED_VALUE"""),"FLIPKART")</f>
        <v>FLIPKART</v>
      </c>
      <c r="D2937" s="115">
        <f>IFERROR(__xludf.DUMMYFUNCTION("""COMPUTED_VALUE"""),430987.0)</f>
        <v>430987</v>
      </c>
      <c r="E2937" s="115">
        <f>IFERROR(__xludf.DUMMYFUNCTION("""COMPUTED_VALUE"""),36457.0)</f>
        <v>36457</v>
      </c>
      <c r="F2937" s="115">
        <f>IFERROR(__xludf.DUMMYFUNCTION("""COMPUTED_VALUE"""),151440.0)</f>
        <v>151440</v>
      </c>
      <c r="G2937" s="115">
        <f>IFERROR(__xludf.DUMMYFUNCTION("""COMPUTED_VALUE"""),3065.0)</f>
        <v>3065</v>
      </c>
      <c r="H2937" s="116">
        <f>IFERROR(__xludf.DUMMYFUNCTION("""COMPUTED_VALUE"""),45906.0)</f>
        <v>45906</v>
      </c>
      <c r="I2937" s="115" t="str">
        <f>IFERROR(__xludf.DUMMYFUNCTION("""COMPUTED_VALUE"""),"13")</f>
        <v>13</v>
      </c>
      <c r="J2937" s="115" t="str">
        <f>IFERROR(__xludf.DUMMYFUNCTION("""COMPUTED_VALUE"""),"Girish Chand2025-09-0613")</f>
        <v>Girish Chand2025-09-0613</v>
      </c>
      <c r="K2937" s="115">
        <f>IFERROR(__xludf.DUMMYFUNCTION("""COMPUTED_VALUE"""),467444.0)</f>
        <v>467444</v>
      </c>
    </row>
    <row r="2938">
      <c r="A2938" s="115" t="str">
        <f>IFERROR(__xludf.DUMMYFUNCTION("""COMPUTED_VALUE"""),"EAST")</f>
        <v>EAST</v>
      </c>
      <c r="B2938" s="115" t="str">
        <f>IFERROR(__xludf.DUMMYFUNCTION("""COMPUTED_VALUE"""),"Girish Chand")</f>
        <v>Girish Chand</v>
      </c>
      <c r="C2938" s="115" t="str">
        <f>IFERROR(__xludf.DUMMYFUNCTION("""COMPUTED_VALUE"""),"MYNTRA")</f>
        <v>MYNTRA</v>
      </c>
      <c r="D2938" s="115">
        <f>IFERROR(__xludf.DUMMYFUNCTION("""COMPUTED_VALUE"""),37039.0)</f>
        <v>37039</v>
      </c>
      <c r="E2938" s="115">
        <f>IFERROR(__xludf.DUMMYFUNCTION("""COMPUTED_VALUE"""),6763.0)</f>
        <v>6763</v>
      </c>
      <c r="F2938" s="115">
        <f>IFERROR(__xludf.DUMMYFUNCTION("""COMPUTED_VALUE"""),14358.0)</f>
        <v>14358</v>
      </c>
      <c r="G2938" s="115">
        <f>IFERROR(__xludf.DUMMYFUNCTION("""COMPUTED_VALUE"""),808.0)</f>
        <v>808</v>
      </c>
      <c r="H2938" s="116">
        <f>IFERROR(__xludf.DUMMYFUNCTION("""COMPUTED_VALUE"""),45906.0)</f>
        <v>45906</v>
      </c>
      <c r="I2938" s="115" t="str">
        <f>IFERROR(__xludf.DUMMYFUNCTION("""COMPUTED_VALUE"""),"13")</f>
        <v>13</v>
      </c>
      <c r="J2938" s="115" t="str">
        <f>IFERROR(__xludf.DUMMYFUNCTION("""COMPUTED_VALUE"""),"Girish Chand2025-09-0613")</f>
        <v>Girish Chand2025-09-0613</v>
      </c>
      <c r="K2938" s="115">
        <f>IFERROR(__xludf.DUMMYFUNCTION("""COMPUTED_VALUE"""),43802.0)</f>
        <v>43802</v>
      </c>
    </row>
    <row r="2939">
      <c r="A2939" s="115" t="str">
        <f>IFERROR(__xludf.DUMMYFUNCTION("""COMPUTED_VALUE"""),"EAST")</f>
        <v>EAST</v>
      </c>
      <c r="B2939" s="115" t="str">
        <f>IFERROR(__xludf.DUMMYFUNCTION("""COMPUTED_VALUE"""),"Parag Kashyap")</f>
        <v>Parag Kashyap</v>
      </c>
      <c r="C2939" s="115" t="str">
        <f>IFERROR(__xludf.DUMMYFUNCTION("""COMPUTED_VALUE"""),"EXTERNAL")</f>
        <v>EXTERNAL</v>
      </c>
      <c r="D2939" s="115">
        <f>IFERROR(__xludf.DUMMYFUNCTION("""COMPUTED_VALUE"""),16857.0)</f>
        <v>16857</v>
      </c>
      <c r="E2939" s="115">
        <f>IFERROR(__xludf.DUMMYFUNCTION("""COMPUTED_VALUE"""),924.0)</f>
        <v>924</v>
      </c>
      <c r="F2939" s="115">
        <f>IFERROR(__xludf.DUMMYFUNCTION("""COMPUTED_VALUE"""),3109.0)</f>
        <v>3109</v>
      </c>
      <c r="G2939" s="115">
        <f>IFERROR(__xludf.DUMMYFUNCTION("""COMPUTED_VALUE"""),36.0)</f>
        <v>36</v>
      </c>
      <c r="H2939" s="116">
        <f>IFERROR(__xludf.DUMMYFUNCTION("""COMPUTED_VALUE"""),45906.0)</f>
        <v>45906</v>
      </c>
      <c r="I2939" s="115" t="str">
        <f>IFERROR(__xludf.DUMMYFUNCTION("""COMPUTED_VALUE"""),"13")</f>
        <v>13</v>
      </c>
      <c r="J2939" s="115" t="str">
        <f>IFERROR(__xludf.DUMMYFUNCTION("""COMPUTED_VALUE"""),"Parag Kashyap2025-09-0613")</f>
        <v>Parag Kashyap2025-09-0613</v>
      </c>
      <c r="K2939" s="115">
        <f>IFERROR(__xludf.DUMMYFUNCTION("""COMPUTED_VALUE"""),17781.0)</f>
        <v>17781</v>
      </c>
    </row>
    <row r="2940">
      <c r="A2940" s="115" t="str">
        <f>IFERROR(__xludf.DUMMYFUNCTION("""COMPUTED_VALUE"""),"EAST")</f>
        <v>EAST</v>
      </c>
      <c r="B2940" s="115" t="str">
        <f>IFERROR(__xludf.DUMMYFUNCTION("""COMPUTED_VALUE"""),"Parag Kashyap")</f>
        <v>Parag Kashyap</v>
      </c>
      <c r="C2940" s="115" t="str">
        <f>IFERROR(__xludf.DUMMYFUNCTION("""COMPUTED_VALUE"""),"FLIPKART")</f>
        <v>FLIPKART</v>
      </c>
      <c r="D2940" s="115">
        <f>IFERROR(__xludf.DUMMYFUNCTION("""COMPUTED_VALUE"""),272215.0)</f>
        <v>272215</v>
      </c>
      <c r="E2940" s="115">
        <f>IFERROR(__xludf.DUMMYFUNCTION("""COMPUTED_VALUE"""),16957.0)</f>
        <v>16957</v>
      </c>
      <c r="F2940" s="115">
        <f>IFERROR(__xludf.DUMMYFUNCTION("""COMPUTED_VALUE"""),90879.0)</f>
        <v>90879</v>
      </c>
      <c r="G2940" s="115">
        <f>IFERROR(__xludf.DUMMYFUNCTION("""COMPUTED_VALUE"""),1170.0)</f>
        <v>1170</v>
      </c>
      <c r="H2940" s="116">
        <f>IFERROR(__xludf.DUMMYFUNCTION("""COMPUTED_VALUE"""),45906.0)</f>
        <v>45906</v>
      </c>
      <c r="I2940" s="115" t="str">
        <f>IFERROR(__xludf.DUMMYFUNCTION("""COMPUTED_VALUE"""),"13")</f>
        <v>13</v>
      </c>
      <c r="J2940" s="115" t="str">
        <f>IFERROR(__xludf.DUMMYFUNCTION("""COMPUTED_VALUE"""),"Parag Kashyap2025-09-0613")</f>
        <v>Parag Kashyap2025-09-0613</v>
      </c>
      <c r="K2940" s="115">
        <f>IFERROR(__xludf.DUMMYFUNCTION("""COMPUTED_VALUE"""),289172.0)</f>
        <v>289172</v>
      </c>
    </row>
    <row r="2941">
      <c r="A2941" s="115" t="str">
        <f>IFERROR(__xludf.DUMMYFUNCTION("""COMPUTED_VALUE"""),"EAST")</f>
        <v>EAST</v>
      </c>
      <c r="B2941" s="115" t="str">
        <f>IFERROR(__xludf.DUMMYFUNCTION("""COMPUTED_VALUE"""),"Parag Kashyap")</f>
        <v>Parag Kashyap</v>
      </c>
      <c r="C2941" s="115" t="str">
        <f>IFERROR(__xludf.DUMMYFUNCTION("""COMPUTED_VALUE"""),"MYNTRA")</f>
        <v>MYNTRA</v>
      </c>
      <c r="D2941" s="115">
        <f>IFERROR(__xludf.DUMMYFUNCTION("""COMPUTED_VALUE"""),33974.0)</f>
        <v>33974</v>
      </c>
      <c r="E2941" s="115">
        <f>IFERROR(__xludf.DUMMYFUNCTION("""COMPUTED_VALUE"""),4555.0)</f>
        <v>4555</v>
      </c>
      <c r="F2941" s="115">
        <f>IFERROR(__xludf.DUMMYFUNCTION("""COMPUTED_VALUE"""),12494.0)</f>
        <v>12494</v>
      </c>
      <c r="G2941" s="115">
        <f>IFERROR(__xludf.DUMMYFUNCTION("""COMPUTED_VALUE"""),364.0)</f>
        <v>364</v>
      </c>
      <c r="H2941" s="116">
        <f>IFERROR(__xludf.DUMMYFUNCTION("""COMPUTED_VALUE"""),45906.0)</f>
        <v>45906</v>
      </c>
      <c r="I2941" s="115" t="str">
        <f>IFERROR(__xludf.DUMMYFUNCTION("""COMPUTED_VALUE"""),"13")</f>
        <v>13</v>
      </c>
      <c r="J2941" s="115" t="str">
        <f>IFERROR(__xludf.DUMMYFUNCTION("""COMPUTED_VALUE"""),"Parag Kashyap2025-09-0613")</f>
        <v>Parag Kashyap2025-09-0613</v>
      </c>
      <c r="K2941" s="115">
        <f>IFERROR(__xludf.DUMMYFUNCTION("""COMPUTED_VALUE"""),38529.0)</f>
        <v>38529</v>
      </c>
    </row>
    <row r="2942">
      <c r="A2942" s="115" t="str">
        <f>IFERROR(__xludf.DUMMYFUNCTION("""COMPUTED_VALUE"""),"NORTH")</f>
        <v>NORTH</v>
      </c>
      <c r="B2942" s="115" t="str">
        <f>IFERROR(__xludf.DUMMYFUNCTION("""COMPUTED_VALUE"""),"Amit Kumar Pathak")</f>
        <v>Amit Kumar Pathak</v>
      </c>
      <c r="C2942" s="115" t="str">
        <f>IFERROR(__xludf.DUMMYFUNCTION("""COMPUTED_VALUE"""),"EXTERNAL")</f>
        <v>EXTERNAL</v>
      </c>
      <c r="D2942" s="115">
        <f>IFERROR(__xludf.DUMMYFUNCTION("""COMPUTED_VALUE"""),23679.0)</f>
        <v>23679</v>
      </c>
      <c r="E2942" s="115">
        <f>IFERROR(__xludf.DUMMYFUNCTION("""COMPUTED_VALUE"""),3163.0)</f>
        <v>3163</v>
      </c>
      <c r="F2942" s="115">
        <f>IFERROR(__xludf.DUMMYFUNCTION("""COMPUTED_VALUE"""),4335.0)</f>
        <v>4335</v>
      </c>
      <c r="G2942" s="115">
        <f>IFERROR(__xludf.DUMMYFUNCTION("""COMPUTED_VALUE"""),477.0)</f>
        <v>477</v>
      </c>
      <c r="H2942" s="116">
        <f>IFERROR(__xludf.DUMMYFUNCTION("""COMPUTED_VALUE"""),45906.0)</f>
        <v>45906</v>
      </c>
      <c r="I2942" s="115" t="str">
        <f>IFERROR(__xludf.DUMMYFUNCTION("""COMPUTED_VALUE"""),"13")</f>
        <v>13</v>
      </c>
      <c r="J2942" s="115" t="str">
        <f>IFERROR(__xludf.DUMMYFUNCTION("""COMPUTED_VALUE"""),"Amit Kumar Pathak2025-09-0613")</f>
        <v>Amit Kumar Pathak2025-09-0613</v>
      </c>
      <c r="K2942" s="115">
        <f>IFERROR(__xludf.DUMMYFUNCTION("""COMPUTED_VALUE"""),26842.0)</f>
        <v>26842</v>
      </c>
    </row>
    <row r="2943">
      <c r="A2943" s="115" t="str">
        <f>IFERROR(__xludf.DUMMYFUNCTION("""COMPUTED_VALUE"""),"NORTH")</f>
        <v>NORTH</v>
      </c>
      <c r="B2943" s="115" t="str">
        <f>IFERROR(__xludf.DUMMYFUNCTION("""COMPUTED_VALUE"""),"Amit Kumar Pathak")</f>
        <v>Amit Kumar Pathak</v>
      </c>
      <c r="C2943" s="115" t="str">
        <f>IFERROR(__xludf.DUMMYFUNCTION("""COMPUTED_VALUE"""),"FLIPKART")</f>
        <v>FLIPKART</v>
      </c>
      <c r="D2943" s="115">
        <f>IFERROR(__xludf.DUMMYFUNCTION("""COMPUTED_VALUE"""),146838.0)</f>
        <v>146838</v>
      </c>
      <c r="E2943" s="115">
        <f>IFERROR(__xludf.DUMMYFUNCTION("""COMPUTED_VALUE"""),21486.0)</f>
        <v>21486</v>
      </c>
      <c r="F2943" s="115">
        <f>IFERROR(__xludf.DUMMYFUNCTION("""COMPUTED_VALUE"""),52815.0)</f>
        <v>52815</v>
      </c>
      <c r="G2943" s="115">
        <f>IFERROR(__xludf.DUMMYFUNCTION("""COMPUTED_VALUE"""),4574.0)</f>
        <v>4574</v>
      </c>
      <c r="H2943" s="116">
        <f>IFERROR(__xludf.DUMMYFUNCTION("""COMPUTED_VALUE"""),45906.0)</f>
        <v>45906</v>
      </c>
      <c r="I2943" s="115" t="str">
        <f>IFERROR(__xludf.DUMMYFUNCTION("""COMPUTED_VALUE"""),"13")</f>
        <v>13</v>
      </c>
      <c r="J2943" s="115" t="str">
        <f>IFERROR(__xludf.DUMMYFUNCTION("""COMPUTED_VALUE"""),"Amit Kumar Pathak2025-09-0613")</f>
        <v>Amit Kumar Pathak2025-09-0613</v>
      </c>
      <c r="K2943" s="115">
        <f>IFERROR(__xludf.DUMMYFUNCTION("""COMPUTED_VALUE"""),168324.0)</f>
        <v>168324</v>
      </c>
    </row>
    <row r="2944">
      <c r="A2944" s="115" t="str">
        <f>IFERROR(__xludf.DUMMYFUNCTION("""COMPUTED_VALUE"""),"NORTH")</f>
        <v>NORTH</v>
      </c>
      <c r="B2944" s="115" t="str">
        <f>IFERROR(__xludf.DUMMYFUNCTION("""COMPUTED_VALUE"""),"Amit Kumar Pathak")</f>
        <v>Amit Kumar Pathak</v>
      </c>
      <c r="C2944" s="115" t="str">
        <f>IFERROR(__xludf.DUMMYFUNCTION("""COMPUTED_VALUE"""),"MYNTRA")</f>
        <v>MYNTRA</v>
      </c>
      <c r="D2944" s="115">
        <f>IFERROR(__xludf.DUMMYFUNCTION("""COMPUTED_VALUE"""),14112.0)</f>
        <v>14112</v>
      </c>
      <c r="E2944" s="115">
        <f>IFERROR(__xludf.DUMMYFUNCTION("""COMPUTED_VALUE"""),5473.0)</f>
        <v>5473</v>
      </c>
      <c r="F2944" s="115">
        <f>IFERROR(__xludf.DUMMYFUNCTION("""COMPUTED_VALUE"""),6489.0)</f>
        <v>6489</v>
      </c>
      <c r="G2944" s="115">
        <f>IFERROR(__xludf.DUMMYFUNCTION("""COMPUTED_VALUE"""),1263.0)</f>
        <v>1263</v>
      </c>
      <c r="H2944" s="116">
        <f>IFERROR(__xludf.DUMMYFUNCTION("""COMPUTED_VALUE"""),45906.0)</f>
        <v>45906</v>
      </c>
      <c r="I2944" s="115" t="str">
        <f>IFERROR(__xludf.DUMMYFUNCTION("""COMPUTED_VALUE"""),"13")</f>
        <v>13</v>
      </c>
      <c r="J2944" s="115" t="str">
        <f>IFERROR(__xludf.DUMMYFUNCTION("""COMPUTED_VALUE"""),"Amit Kumar Pathak2025-09-0613")</f>
        <v>Amit Kumar Pathak2025-09-0613</v>
      </c>
      <c r="K2944" s="115">
        <f>IFERROR(__xludf.DUMMYFUNCTION("""COMPUTED_VALUE"""),19585.0)</f>
        <v>19585</v>
      </c>
    </row>
    <row r="2945">
      <c r="A2945" s="115" t="str">
        <f>IFERROR(__xludf.DUMMYFUNCTION("""COMPUTED_VALUE"""),"NORTH")</f>
        <v>NORTH</v>
      </c>
      <c r="B2945" s="115" t="str">
        <f>IFERROR(__xludf.DUMMYFUNCTION("""COMPUTED_VALUE"""),"Loveleen Singh")</f>
        <v>Loveleen Singh</v>
      </c>
      <c r="C2945" s="115" t="str">
        <f>IFERROR(__xludf.DUMMYFUNCTION("""COMPUTED_VALUE"""),"EXTERNAL")</f>
        <v>EXTERNAL</v>
      </c>
      <c r="D2945" s="115">
        <f>IFERROR(__xludf.DUMMYFUNCTION("""COMPUTED_VALUE"""),29987.0)</f>
        <v>29987</v>
      </c>
      <c r="E2945" s="115">
        <f>IFERROR(__xludf.DUMMYFUNCTION("""COMPUTED_VALUE"""),1850.0)</f>
        <v>1850</v>
      </c>
      <c r="F2945" s="115">
        <f>IFERROR(__xludf.DUMMYFUNCTION("""COMPUTED_VALUE"""),4738.0)</f>
        <v>4738</v>
      </c>
      <c r="G2945" s="115">
        <f>IFERROR(__xludf.DUMMYFUNCTION("""COMPUTED_VALUE"""),135.0)</f>
        <v>135</v>
      </c>
      <c r="H2945" s="116">
        <f>IFERROR(__xludf.DUMMYFUNCTION("""COMPUTED_VALUE"""),45906.0)</f>
        <v>45906</v>
      </c>
      <c r="I2945" s="115" t="str">
        <f>IFERROR(__xludf.DUMMYFUNCTION("""COMPUTED_VALUE"""),"13")</f>
        <v>13</v>
      </c>
      <c r="J2945" s="115" t="str">
        <f>IFERROR(__xludf.DUMMYFUNCTION("""COMPUTED_VALUE"""),"Loveleen Singh2025-09-0613")</f>
        <v>Loveleen Singh2025-09-0613</v>
      </c>
      <c r="K2945" s="115">
        <f>IFERROR(__xludf.DUMMYFUNCTION("""COMPUTED_VALUE"""),31837.0)</f>
        <v>31837</v>
      </c>
    </row>
    <row r="2946">
      <c r="A2946" s="115" t="str">
        <f>IFERROR(__xludf.DUMMYFUNCTION("""COMPUTED_VALUE"""),"NORTH")</f>
        <v>NORTH</v>
      </c>
      <c r="B2946" s="115" t="str">
        <f>IFERROR(__xludf.DUMMYFUNCTION("""COMPUTED_VALUE"""),"Loveleen Singh")</f>
        <v>Loveleen Singh</v>
      </c>
      <c r="C2946" s="115" t="str">
        <f>IFERROR(__xludf.DUMMYFUNCTION("""COMPUTED_VALUE"""),"FLIPKART")</f>
        <v>FLIPKART</v>
      </c>
      <c r="D2946" s="115">
        <f>IFERROR(__xludf.DUMMYFUNCTION("""COMPUTED_VALUE"""),150163.0)</f>
        <v>150163</v>
      </c>
      <c r="E2946" s="115">
        <f>IFERROR(__xludf.DUMMYFUNCTION("""COMPUTED_VALUE"""),14399.0)</f>
        <v>14399</v>
      </c>
      <c r="F2946" s="115">
        <f>IFERROR(__xludf.DUMMYFUNCTION("""COMPUTED_VALUE"""),49051.0)</f>
        <v>49051</v>
      </c>
      <c r="G2946" s="115">
        <f>IFERROR(__xludf.DUMMYFUNCTION("""COMPUTED_VALUE"""),1568.0)</f>
        <v>1568</v>
      </c>
      <c r="H2946" s="116">
        <f>IFERROR(__xludf.DUMMYFUNCTION("""COMPUTED_VALUE"""),45906.0)</f>
        <v>45906</v>
      </c>
      <c r="I2946" s="115" t="str">
        <f>IFERROR(__xludf.DUMMYFUNCTION("""COMPUTED_VALUE"""),"13")</f>
        <v>13</v>
      </c>
      <c r="J2946" s="115" t="str">
        <f>IFERROR(__xludf.DUMMYFUNCTION("""COMPUTED_VALUE"""),"Loveleen Singh2025-09-0613")</f>
        <v>Loveleen Singh2025-09-0613</v>
      </c>
      <c r="K2946" s="115">
        <f>IFERROR(__xludf.DUMMYFUNCTION("""COMPUTED_VALUE"""),164562.0)</f>
        <v>164562</v>
      </c>
    </row>
    <row r="2947">
      <c r="A2947" s="115" t="str">
        <f>IFERROR(__xludf.DUMMYFUNCTION("""COMPUTED_VALUE"""),"NORTH")</f>
        <v>NORTH</v>
      </c>
      <c r="B2947" s="115" t="str">
        <f>IFERROR(__xludf.DUMMYFUNCTION("""COMPUTED_VALUE"""),"Loveleen Singh")</f>
        <v>Loveleen Singh</v>
      </c>
      <c r="C2947" s="115" t="str">
        <f>IFERROR(__xludf.DUMMYFUNCTION("""COMPUTED_VALUE"""),"MYNTRA")</f>
        <v>MYNTRA</v>
      </c>
      <c r="D2947" s="115">
        <f>IFERROR(__xludf.DUMMYFUNCTION("""COMPUTED_VALUE"""),24745.0)</f>
        <v>24745</v>
      </c>
      <c r="E2947" s="115">
        <f>IFERROR(__xludf.DUMMYFUNCTION("""COMPUTED_VALUE"""),5874.0)</f>
        <v>5874</v>
      </c>
      <c r="F2947" s="115">
        <f>IFERROR(__xludf.DUMMYFUNCTION("""COMPUTED_VALUE"""),9900.0)</f>
        <v>9900</v>
      </c>
      <c r="G2947" s="115">
        <f>IFERROR(__xludf.DUMMYFUNCTION("""COMPUTED_VALUE"""),785.0)</f>
        <v>785</v>
      </c>
      <c r="H2947" s="116">
        <f>IFERROR(__xludf.DUMMYFUNCTION("""COMPUTED_VALUE"""),45906.0)</f>
        <v>45906</v>
      </c>
      <c r="I2947" s="115" t="str">
        <f>IFERROR(__xludf.DUMMYFUNCTION("""COMPUTED_VALUE"""),"13")</f>
        <v>13</v>
      </c>
      <c r="J2947" s="115" t="str">
        <f>IFERROR(__xludf.DUMMYFUNCTION("""COMPUTED_VALUE"""),"Loveleen Singh2025-09-0613")</f>
        <v>Loveleen Singh2025-09-0613</v>
      </c>
      <c r="K2947" s="115">
        <f>IFERROR(__xludf.DUMMYFUNCTION("""COMPUTED_VALUE"""),30619.0)</f>
        <v>30619</v>
      </c>
    </row>
    <row r="2948">
      <c r="A2948" s="115" t="str">
        <f>IFERROR(__xludf.DUMMYFUNCTION("""COMPUTED_VALUE"""),"NORTH")</f>
        <v>NORTH</v>
      </c>
      <c r="B2948" s="115" t="str">
        <f>IFERROR(__xludf.DUMMYFUNCTION("""COMPUTED_VALUE"""),"Manoj Harsh")</f>
        <v>Manoj Harsh</v>
      </c>
      <c r="C2948" s="115" t="str">
        <f>IFERROR(__xludf.DUMMYFUNCTION("""COMPUTED_VALUE"""),"EXTERNAL")</f>
        <v>EXTERNAL</v>
      </c>
      <c r="D2948" s="115">
        <f>IFERROR(__xludf.DUMMYFUNCTION("""COMPUTED_VALUE"""),36274.0)</f>
        <v>36274</v>
      </c>
      <c r="E2948" s="115">
        <f>IFERROR(__xludf.DUMMYFUNCTION("""COMPUTED_VALUE"""),2590.0)</f>
        <v>2590</v>
      </c>
      <c r="F2948" s="115">
        <f>IFERROR(__xludf.DUMMYFUNCTION("""COMPUTED_VALUE"""),6781.0)</f>
        <v>6781</v>
      </c>
      <c r="G2948" s="115">
        <f>IFERROR(__xludf.DUMMYFUNCTION("""COMPUTED_VALUE"""),126.0)</f>
        <v>126</v>
      </c>
      <c r="H2948" s="116">
        <f>IFERROR(__xludf.DUMMYFUNCTION("""COMPUTED_VALUE"""),45906.0)</f>
        <v>45906</v>
      </c>
      <c r="I2948" s="115" t="str">
        <f>IFERROR(__xludf.DUMMYFUNCTION("""COMPUTED_VALUE"""),"13")</f>
        <v>13</v>
      </c>
      <c r="J2948" s="115" t="str">
        <f>IFERROR(__xludf.DUMMYFUNCTION("""COMPUTED_VALUE"""),"Manoj Harsh2025-09-0613")</f>
        <v>Manoj Harsh2025-09-0613</v>
      </c>
      <c r="K2948" s="115">
        <f>IFERROR(__xludf.DUMMYFUNCTION("""COMPUTED_VALUE"""),38864.0)</f>
        <v>38864</v>
      </c>
    </row>
    <row r="2949">
      <c r="A2949" s="115" t="str">
        <f>IFERROR(__xludf.DUMMYFUNCTION("""COMPUTED_VALUE"""),"NORTH")</f>
        <v>NORTH</v>
      </c>
      <c r="B2949" s="115" t="str">
        <f>IFERROR(__xludf.DUMMYFUNCTION("""COMPUTED_VALUE"""),"Manoj Harsh")</f>
        <v>Manoj Harsh</v>
      </c>
      <c r="C2949" s="115" t="str">
        <f>IFERROR(__xludf.DUMMYFUNCTION("""COMPUTED_VALUE"""),"FLIPKART")</f>
        <v>FLIPKART</v>
      </c>
      <c r="D2949" s="115">
        <f>IFERROR(__xludf.DUMMYFUNCTION("""COMPUTED_VALUE"""),405449.0)</f>
        <v>405449</v>
      </c>
      <c r="E2949" s="115">
        <f>IFERROR(__xludf.DUMMYFUNCTION("""COMPUTED_VALUE"""),37591.0)</f>
        <v>37591</v>
      </c>
      <c r="F2949" s="115">
        <f>IFERROR(__xludf.DUMMYFUNCTION("""COMPUTED_VALUE"""),127092.0)</f>
        <v>127092</v>
      </c>
      <c r="G2949" s="115">
        <f>IFERROR(__xludf.DUMMYFUNCTION("""COMPUTED_VALUE"""),3715.0)</f>
        <v>3715</v>
      </c>
      <c r="H2949" s="116">
        <f>IFERROR(__xludf.DUMMYFUNCTION("""COMPUTED_VALUE"""),45906.0)</f>
        <v>45906</v>
      </c>
      <c r="I2949" s="115" t="str">
        <f>IFERROR(__xludf.DUMMYFUNCTION("""COMPUTED_VALUE"""),"13")</f>
        <v>13</v>
      </c>
      <c r="J2949" s="115" t="str">
        <f>IFERROR(__xludf.DUMMYFUNCTION("""COMPUTED_VALUE"""),"Manoj Harsh2025-09-0613")</f>
        <v>Manoj Harsh2025-09-0613</v>
      </c>
      <c r="K2949" s="115">
        <f>IFERROR(__xludf.DUMMYFUNCTION("""COMPUTED_VALUE"""),443040.0)</f>
        <v>443040</v>
      </c>
    </row>
    <row r="2950">
      <c r="A2950" s="115" t="str">
        <f>IFERROR(__xludf.DUMMYFUNCTION("""COMPUTED_VALUE"""),"NORTH")</f>
        <v>NORTH</v>
      </c>
      <c r="B2950" s="115" t="str">
        <f>IFERROR(__xludf.DUMMYFUNCTION("""COMPUTED_VALUE"""),"Manoj Harsh")</f>
        <v>Manoj Harsh</v>
      </c>
      <c r="C2950" s="115" t="str">
        <f>IFERROR(__xludf.DUMMYFUNCTION("""COMPUTED_VALUE"""),"MYNTRA")</f>
        <v>MYNTRA</v>
      </c>
      <c r="D2950" s="115">
        <f>IFERROR(__xludf.DUMMYFUNCTION("""COMPUTED_VALUE"""),38161.0)</f>
        <v>38161</v>
      </c>
      <c r="E2950" s="115">
        <f>IFERROR(__xludf.DUMMYFUNCTION("""COMPUTED_VALUE"""),7135.0)</f>
        <v>7135</v>
      </c>
      <c r="F2950" s="115">
        <f>IFERROR(__xludf.DUMMYFUNCTION("""COMPUTED_VALUE"""),14676.0)</f>
        <v>14676</v>
      </c>
      <c r="G2950" s="115">
        <f>IFERROR(__xludf.DUMMYFUNCTION("""COMPUTED_VALUE"""),893.0)</f>
        <v>893</v>
      </c>
      <c r="H2950" s="116">
        <f>IFERROR(__xludf.DUMMYFUNCTION("""COMPUTED_VALUE"""),45906.0)</f>
        <v>45906</v>
      </c>
      <c r="I2950" s="115" t="str">
        <f>IFERROR(__xludf.DUMMYFUNCTION("""COMPUTED_VALUE"""),"13")</f>
        <v>13</v>
      </c>
      <c r="J2950" s="115" t="str">
        <f>IFERROR(__xludf.DUMMYFUNCTION("""COMPUTED_VALUE"""),"Manoj Harsh2025-09-0613")</f>
        <v>Manoj Harsh2025-09-0613</v>
      </c>
      <c r="K2950" s="115">
        <f>IFERROR(__xludf.DUMMYFUNCTION("""COMPUTED_VALUE"""),45296.0)</f>
        <v>45296</v>
      </c>
    </row>
    <row r="2951">
      <c r="A2951" s="115" t="str">
        <f>IFERROR(__xludf.DUMMYFUNCTION("""COMPUTED_VALUE"""),"NORTH")</f>
        <v>NORTH</v>
      </c>
      <c r="B2951" s="115" t="str">
        <f>IFERROR(__xludf.DUMMYFUNCTION("""COMPUTED_VALUE"""),"Pradeep Kothari")</f>
        <v>Pradeep Kothari</v>
      </c>
      <c r="C2951" s="115" t="str">
        <f>IFERROR(__xludf.DUMMYFUNCTION("""COMPUTED_VALUE"""),"EXTERNAL")</f>
        <v>EXTERNAL</v>
      </c>
      <c r="D2951" s="115">
        <f>IFERROR(__xludf.DUMMYFUNCTION("""COMPUTED_VALUE"""),17646.0)</f>
        <v>17646</v>
      </c>
      <c r="E2951" s="115">
        <f>IFERROR(__xludf.DUMMYFUNCTION("""COMPUTED_VALUE"""),1772.0)</f>
        <v>1772</v>
      </c>
      <c r="F2951" s="115">
        <f>IFERROR(__xludf.DUMMYFUNCTION("""COMPUTED_VALUE"""),4037.0)</f>
        <v>4037</v>
      </c>
      <c r="G2951" s="115">
        <f>IFERROR(__xludf.DUMMYFUNCTION("""COMPUTED_VALUE"""),260.0)</f>
        <v>260</v>
      </c>
      <c r="H2951" s="116">
        <f>IFERROR(__xludf.DUMMYFUNCTION("""COMPUTED_VALUE"""),45906.0)</f>
        <v>45906</v>
      </c>
      <c r="I2951" s="115" t="str">
        <f>IFERROR(__xludf.DUMMYFUNCTION("""COMPUTED_VALUE"""),"13")</f>
        <v>13</v>
      </c>
      <c r="J2951" s="115" t="str">
        <f>IFERROR(__xludf.DUMMYFUNCTION("""COMPUTED_VALUE"""),"Pradeep Kothari2025-09-0613")</f>
        <v>Pradeep Kothari2025-09-0613</v>
      </c>
      <c r="K2951" s="115">
        <f>IFERROR(__xludf.DUMMYFUNCTION("""COMPUTED_VALUE"""),19418.0)</f>
        <v>19418</v>
      </c>
    </row>
    <row r="2952">
      <c r="A2952" s="115" t="str">
        <f>IFERROR(__xludf.DUMMYFUNCTION("""COMPUTED_VALUE"""),"NORTH")</f>
        <v>NORTH</v>
      </c>
      <c r="B2952" s="115" t="str">
        <f>IFERROR(__xludf.DUMMYFUNCTION("""COMPUTED_VALUE"""),"Pradeep Kothari")</f>
        <v>Pradeep Kothari</v>
      </c>
      <c r="C2952" s="115" t="str">
        <f>IFERROR(__xludf.DUMMYFUNCTION("""COMPUTED_VALUE"""),"FLIPKART")</f>
        <v>FLIPKART</v>
      </c>
      <c r="D2952" s="115">
        <f>IFERROR(__xludf.DUMMYFUNCTION("""COMPUTED_VALUE"""),128154.0)</f>
        <v>128154</v>
      </c>
      <c r="E2952" s="115">
        <f>IFERROR(__xludf.DUMMYFUNCTION("""COMPUTED_VALUE"""),15370.0)</f>
        <v>15370</v>
      </c>
      <c r="F2952" s="115">
        <f>IFERROR(__xludf.DUMMYFUNCTION("""COMPUTED_VALUE"""),53994.0)</f>
        <v>53994</v>
      </c>
      <c r="G2952" s="115">
        <f>IFERROR(__xludf.DUMMYFUNCTION("""COMPUTED_VALUE"""),2905.0)</f>
        <v>2905</v>
      </c>
      <c r="H2952" s="116">
        <f>IFERROR(__xludf.DUMMYFUNCTION("""COMPUTED_VALUE"""),45906.0)</f>
        <v>45906</v>
      </c>
      <c r="I2952" s="115" t="str">
        <f>IFERROR(__xludf.DUMMYFUNCTION("""COMPUTED_VALUE"""),"13")</f>
        <v>13</v>
      </c>
      <c r="J2952" s="115" t="str">
        <f>IFERROR(__xludf.DUMMYFUNCTION("""COMPUTED_VALUE"""),"Pradeep Kothari2025-09-0613")</f>
        <v>Pradeep Kothari2025-09-0613</v>
      </c>
      <c r="K2952" s="115">
        <f>IFERROR(__xludf.DUMMYFUNCTION("""COMPUTED_VALUE"""),143524.0)</f>
        <v>143524</v>
      </c>
    </row>
    <row r="2953">
      <c r="A2953" s="115" t="str">
        <f>IFERROR(__xludf.DUMMYFUNCTION("""COMPUTED_VALUE"""),"NORTH")</f>
        <v>NORTH</v>
      </c>
      <c r="B2953" s="115" t="str">
        <f>IFERROR(__xludf.DUMMYFUNCTION("""COMPUTED_VALUE"""),"Pradeep Kothari")</f>
        <v>Pradeep Kothari</v>
      </c>
      <c r="C2953" s="115" t="str">
        <f>IFERROR(__xludf.DUMMYFUNCTION("""COMPUTED_VALUE"""),"MYNTRA")</f>
        <v>MYNTRA</v>
      </c>
      <c r="D2953" s="115">
        <f>IFERROR(__xludf.DUMMYFUNCTION("""COMPUTED_VALUE"""),22390.0)</f>
        <v>22390</v>
      </c>
      <c r="E2953" s="115">
        <f>IFERROR(__xludf.DUMMYFUNCTION("""COMPUTED_VALUE"""),5591.0)</f>
        <v>5591</v>
      </c>
      <c r="F2953" s="115">
        <f>IFERROR(__xludf.DUMMYFUNCTION("""COMPUTED_VALUE"""),11618.0)</f>
        <v>11618</v>
      </c>
      <c r="G2953" s="115">
        <f>IFERROR(__xludf.DUMMYFUNCTION("""COMPUTED_VALUE"""),1301.0)</f>
        <v>1301</v>
      </c>
      <c r="H2953" s="116">
        <f>IFERROR(__xludf.DUMMYFUNCTION("""COMPUTED_VALUE"""),45906.0)</f>
        <v>45906</v>
      </c>
      <c r="I2953" s="115" t="str">
        <f>IFERROR(__xludf.DUMMYFUNCTION("""COMPUTED_VALUE"""),"13")</f>
        <v>13</v>
      </c>
      <c r="J2953" s="115" t="str">
        <f>IFERROR(__xludf.DUMMYFUNCTION("""COMPUTED_VALUE"""),"Pradeep Kothari2025-09-0613")</f>
        <v>Pradeep Kothari2025-09-0613</v>
      </c>
      <c r="K2953" s="115">
        <f>IFERROR(__xludf.DUMMYFUNCTION("""COMPUTED_VALUE"""),27981.0)</f>
        <v>27981</v>
      </c>
    </row>
    <row r="2954">
      <c r="A2954" s="115" t="str">
        <f>IFERROR(__xludf.DUMMYFUNCTION("""COMPUTED_VALUE"""),"SOUTH")</f>
        <v>SOUTH</v>
      </c>
      <c r="B2954" s="115" t="str">
        <f>IFERROR(__xludf.DUMMYFUNCTION("""COMPUTED_VALUE"""),"Kandula Sampath")</f>
        <v>Kandula Sampath</v>
      </c>
      <c r="C2954" s="115" t="str">
        <f>IFERROR(__xludf.DUMMYFUNCTION("""COMPUTED_VALUE"""),"EXTERNAL")</f>
        <v>EXTERNAL</v>
      </c>
      <c r="D2954" s="115">
        <f>IFERROR(__xludf.DUMMYFUNCTION("""COMPUTED_VALUE"""),32574.0)</f>
        <v>32574</v>
      </c>
      <c r="E2954" s="115">
        <f>IFERROR(__xludf.DUMMYFUNCTION("""COMPUTED_VALUE"""),2793.0)</f>
        <v>2793</v>
      </c>
      <c r="F2954" s="115">
        <f>IFERROR(__xludf.DUMMYFUNCTION("""COMPUTED_VALUE"""),8006.0)</f>
        <v>8006</v>
      </c>
      <c r="G2954" s="115">
        <f>IFERROR(__xludf.DUMMYFUNCTION("""COMPUTED_VALUE"""),235.0)</f>
        <v>235</v>
      </c>
      <c r="H2954" s="116">
        <f>IFERROR(__xludf.DUMMYFUNCTION("""COMPUTED_VALUE"""),45906.0)</f>
        <v>45906</v>
      </c>
      <c r="I2954" s="115" t="str">
        <f>IFERROR(__xludf.DUMMYFUNCTION("""COMPUTED_VALUE"""),"13")</f>
        <v>13</v>
      </c>
      <c r="J2954" s="115" t="str">
        <f>IFERROR(__xludf.DUMMYFUNCTION("""COMPUTED_VALUE"""),"Kandula Sampath2025-09-0613")</f>
        <v>Kandula Sampath2025-09-0613</v>
      </c>
      <c r="K2954" s="115">
        <f>IFERROR(__xludf.DUMMYFUNCTION("""COMPUTED_VALUE"""),35367.0)</f>
        <v>35367</v>
      </c>
    </row>
    <row r="2955">
      <c r="A2955" s="115" t="str">
        <f>IFERROR(__xludf.DUMMYFUNCTION("""COMPUTED_VALUE"""),"SOUTH")</f>
        <v>SOUTH</v>
      </c>
      <c r="B2955" s="115" t="str">
        <f>IFERROR(__xludf.DUMMYFUNCTION("""COMPUTED_VALUE"""),"Kandula Sampath")</f>
        <v>Kandula Sampath</v>
      </c>
      <c r="C2955" s="115" t="str">
        <f>IFERROR(__xludf.DUMMYFUNCTION("""COMPUTED_VALUE"""),"FLIPKART")</f>
        <v>FLIPKART</v>
      </c>
      <c r="D2955" s="115">
        <f>IFERROR(__xludf.DUMMYFUNCTION("""COMPUTED_VALUE"""),298053.0)</f>
        <v>298053</v>
      </c>
      <c r="E2955" s="115">
        <f>IFERROR(__xludf.DUMMYFUNCTION("""COMPUTED_VALUE"""),26172.0)</f>
        <v>26172</v>
      </c>
      <c r="F2955" s="115">
        <f>IFERROR(__xludf.DUMMYFUNCTION("""COMPUTED_VALUE"""),125113.0)</f>
        <v>125113</v>
      </c>
      <c r="G2955" s="115">
        <f>IFERROR(__xludf.DUMMYFUNCTION("""COMPUTED_VALUE"""),3342.0)</f>
        <v>3342</v>
      </c>
      <c r="H2955" s="116">
        <f>IFERROR(__xludf.DUMMYFUNCTION("""COMPUTED_VALUE"""),45906.0)</f>
        <v>45906</v>
      </c>
      <c r="I2955" s="115" t="str">
        <f>IFERROR(__xludf.DUMMYFUNCTION("""COMPUTED_VALUE"""),"13")</f>
        <v>13</v>
      </c>
      <c r="J2955" s="115" t="str">
        <f>IFERROR(__xludf.DUMMYFUNCTION("""COMPUTED_VALUE"""),"Kandula Sampath2025-09-0613")</f>
        <v>Kandula Sampath2025-09-0613</v>
      </c>
      <c r="K2955" s="115">
        <f>IFERROR(__xludf.DUMMYFUNCTION("""COMPUTED_VALUE"""),324225.0)</f>
        <v>324225</v>
      </c>
    </row>
    <row r="2956">
      <c r="A2956" s="115" t="str">
        <f>IFERROR(__xludf.DUMMYFUNCTION("""COMPUTED_VALUE"""),"SOUTH")</f>
        <v>SOUTH</v>
      </c>
      <c r="B2956" s="115" t="str">
        <f>IFERROR(__xludf.DUMMYFUNCTION("""COMPUTED_VALUE"""),"Kandula Sampath")</f>
        <v>Kandula Sampath</v>
      </c>
      <c r="C2956" s="115" t="str">
        <f>IFERROR(__xludf.DUMMYFUNCTION("""COMPUTED_VALUE"""),"MYNTRA")</f>
        <v>MYNTRA</v>
      </c>
      <c r="D2956" s="115">
        <f>IFERROR(__xludf.DUMMYFUNCTION("""COMPUTED_VALUE"""),35460.0)</f>
        <v>35460</v>
      </c>
      <c r="E2956" s="115">
        <f>IFERROR(__xludf.DUMMYFUNCTION("""COMPUTED_VALUE"""),7011.0)</f>
        <v>7011</v>
      </c>
      <c r="F2956" s="115">
        <f>IFERROR(__xludf.DUMMYFUNCTION("""COMPUTED_VALUE"""),17318.0)</f>
        <v>17318</v>
      </c>
      <c r="G2956" s="115">
        <f>IFERROR(__xludf.DUMMYFUNCTION("""COMPUTED_VALUE"""),923.0)</f>
        <v>923</v>
      </c>
      <c r="H2956" s="116">
        <f>IFERROR(__xludf.DUMMYFUNCTION("""COMPUTED_VALUE"""),45906.0)</f>
        <v>45906</v>
      </c>
      <c r="I2956" s="115" t="str">
        <f>IFERROR(__xludf.DUMMYFUNCTION("""COMPUTED_VALUE"""),"13")</f>
        <v>13</v>
      </c>
      <c r="J2956" s="115" t="str">
        <f>IFERROR(__xludf.DUMMYFUNCTION("""COMPUTED_VALUE"""),"Kandula Sampath2025-09-0613")</f>
        <v>Kandula Sampath2025-09-0613</v>
      </c>
      <c r="K2956" s="115">
        <f>IFERROR(__xludf.DUMMYFUNCTION("""COMPUTED_VALUE"""),42471.0)</f>
        <v>42471</v>
      </c>
    </row>
    <row r="2957">
      <c r="A2957" s="115" t="str">
        <f>IFERROR(__xludf.DUMMYFUNCTION("""COMPUTED_VALUE"""),"SOUTH")</f>
        <v>SOUTH</v>
      </c>
      <c r="B2957" s="115" t="str">
        <f>IFERROR(__xludf.DUMMYFUNCTION("""COMPUTED_VALUE"""),"Martin A")</f>
        <v>Martin A</v>
      </c>
      <c r="C2957" s="115" t="str">
        <f>IFERROR(__xludf.DUMMYFUNCTION("""COMPUTED_VALUE"""),"EXTERNAL")</f>
        <v>EXTERNAL</v>
      </c>
      <c r="D2957" s="115">
        <f>IFERROR(__xludf.DUMMYFUNCTION("""COMPUTED_VALUE"""),30703.0)</f>
        <v>30703</v>
      </c>
      <c r="E2957" s="115">
        <f>IFERROR(__xludf.DUMMYFUNCTION("""COMPUTED_VALUE"""),3054.0)</f>
        <v>3054</v>
      </c>
      <c r="F2957" s="115">
        <f>IFERROR(__xludf.DUMMYFUNCTION("""COMPUTED_VALUE"""),6965.0)</f>
        <v>6965</v>
      </c>
      <c r="G2957" s="115">
        <f>IFERROR(__xludf.DUMMYFUNCTION("""COMPUTED_VALUE"""),403.0)</f>
        <v>403</v>
      </c>
      <c r="H2957" s="116">
        <f>IFERROR(__xludf.DUMMYFUNCTION("""COMPUTED_VALUE"""),45906.0)</f>
        <v>45906</v>
      </c>
      <c r="I2957" s="115" t="str">
        <f>IFERROR(__xludf.DUMMYFUNCTION("""COMPUTED_VALUE"""),"13")</f>
        <v>13</v>
      </c>
      <c r="J2957" s="115" t="str">
        <f>IFERROR(__xludf.DUMMYFUNCTION("""COMPUTED_VALUE"""),"Martin A2025-09-0613")</f>
        <v>Martin A2025-09-0613</v>
      </c>
      <c r="K2957" s="115">
        <f>IFERROR(__xludf.DUMMYFUNCTION("""COMPUTED_VALUE"""),33757.0)</f>
        <v>33757</v>
      </c>
    </row>
    <row r="2958">
      <c r="A2958" s="115" t="str">
        <f>IFERROR(__xludf.DUMMYFUNCTION("""COMPUTED_VALUE"""),"SOUTH")</f>
        <v>SOUTH</v>
      </c>
      <c r="B2958" s="115" t="str">
        <f>IFERROR(__xludf.DUMMYFUNCTION("""COMPUTED_VALUE"""),"Martin A")</f>
        <v>Martin A</v>
      </c>
      <c r="C2958" s="115" t="str">
        <f>IFERROR(__xludf.DUMMYFUNCTION("""COMPUTED_VALUE"""),"FLIPKART")</f>
        <v>FLIPKART</v>
      </c>
      <c r="D2958" s="115">
        <f>IFERROR(__xludf.DUMMYFUNCTION("""COMPUTED_VALUE"""),265214.0)</f>
        <v>265214</v>
      </c>
      <c r="E2958" s="115">
        <f>IFERROR(__xludf.DUMMYFUNCTION("""COMPUTED_VALUE"""),23145.0)</f>
        <v>23145</v>
      </c>
      <c r="F2958" s="115">
        <f>IFERROR(__xludf.DUMMYFUNCTION("""COMPUTED_VALUE"""),104882.0)</f>
        <v>104882</v>
      </c>
      <c r="G2958" s="115">
        <f>IFERROR(__xludf.DUMMYFUNCTION("""COMPUTED_VALUE"""),3264.0)</f>
        <v>3264</v>
      </c>
      <c r="H2958" s="116">
        <f>IFERROR(__xludf.DUMMYFUNCTION("""COMPUTED_VALUE"""),45906.0)</f>
        <v>45906</v>
      </c>
      <c r="I2958" s="115" t="str">
        <f>IFERROR(__xludf.DUMMYFUNCTION("""COMPUTED_VALUE"""),"13")</f>
        <v>13</v>
      </c>
      <c r="J2958" s="115" t="str">
        <f>IFERROR(__xludf.DUMMYFUNCTION("""COMPUTED_VALUE"""),"Martin A2025-09-0613")</f>
        <v>Martin A2025-09-0613</v>
      </c>
      <c r="K2958" s="115">
        <f>IFERROR(__xludf.DUMMYFUNCTION("""COMPUTED_VALUE"""),288359.0)</f>
        <v>288359</v>
      </c>
    </row>
    <row r="2959">
      <c r="A2959" s="115" t="str">
        <f>IFERROR(__xludf.DUMMYFUNCTION("""COMPUTED_VALUE"""),"SOUTH")</f>
        <v>SOUTH</v>
      </c>
      <c r="B2959" s="115" t="str">
        <f>IFERROR(__xludf.DUMMYFUNCTION("""COMPUTED_VALUE"""),"Martin A")</f>
        <v>Martin A</v>
      </c>
      <c r="C2959" s="115" t="str">
        <f>IFERROR(__xludf.DUMMYFUNCTION("""COMPUTED_VALUE"""),"MYNTRA")</f>
        <v>MYNTRA</v>
      </c>
      <c r="D2959" s="115">
        <f>IFERROR(__xludf.DUMMYFUNCTION("""COMPUTED_VALUE"""),25721.0)</f>
        <v>25721</v>
      </c>
      <c r="E2959" s="115">
        <f>IFERROR(__xludf.DUMMYFUNCTION("""COMPUTED_VALUE"""),5791.0)</f>
        <v>5791</v>
      </c>
      <c r="F2959" s="115">
        <f>IFERROR(__xludf.DUMMYFUNCTION("""COMPUTED_VALUE"""),12267.0)</f>
        <v>12267</v>
      </c>
      <c r="G2959" s="115">
        <f>IFERROR(__xludf.DUMMYFUNCTION("""COMPUTED_VALUE"""),977.0)</f>
        <v>977</v>
      </c>
      <c r="H2959" s="116">
        <f>IFERROR(__xludf.DUMMYFUNCTION("""COMPUTED_VALUE"""),45906.0)</f>
        <v>45906</v>
      </c>
      <c r="I2959" s="115" t="str">
        <f>IFERROR(__xludf.DUMMYFUNCTION("""COMPUTED_VALUE"""),"13")</f>
        <v>13</v>
      </c>
      <c r="J2959" s="115" t="str">
        <f>IFERROR(__xludf.DUMMYFUNCTION("""COMPUTED_VALUE"""),"Martin A2025-09-0613")</f>
        <v>Martin A2025-09-0613</v>
      </c>
      <c r="K2959" s="115">
        <f>IFERROR(__xludf.DUMMYFUNCTION("""COMPUTED_VALUE"""),31512.0)</f>
        <v>31512</v>
      </c>
    </row>
    <row r="2960">
      <c r="A2960" s="115" t="str">
        <f>IFERROR(__xludf.DUMMYFUNCTION("""COMPUTED_VALUE"""),"SOUTH")</f>
        <v>SOUTH</v>
      </c>
      <c r="B2960" s="115" t="str">
        <f>IFERROR(__xludf.DUMMYFUNCTION("""COMPUTED_VALUE"""),"Premkumar M")</f>
        <v>Premkumar M</v>
      </c>
      <c r="C2960" s="115" t="str">
        <f>IFERROR(__xludf.DUMMYFUNCTION("""COMPUTED_VALUE"""),"EXTERNAL")</f>
        <v>EXTERNAL</v>
      </c>
      <c r="D2960" s="115">
        <f>IFERROR(__xludf.DUMMYFUNCTION("""COMPUTED_VALUE"""),26746.0)</f>
        <v>26746</v>
      </c>
      <c r="E2960" s="115">
        <f>IFERROR(__xludf.DUMMYFUNCTION("""COMPUTED_VALUE"""),1510.0)</f>
        <v>1510</v>
      </c>
      <c r="F2960" s="115">
        <f>IFERROR(__xludf.DUMMYFUNCTION("""COMPUTED_VALUE"""),5070.0)</f>
        <v>5070</v>
      </c>
      <c r="G2960" s="115">
        <f>IFERROR(__xludf.DUMMYFUNCTION("""COMPUTED_VALUE"""),56.0)</f>
        <v>56</v>
      </c>
      <c r="H2960" s="116">
        <f>IFERROR(__xludf.DUMMYFUNCTION("""COMPUTED_VALUE"""),45906.0)</f>
        <v>45906</v>
      </c>
      <c r="I2960" s="115" t="str">
        <f>IFERROR(__xludf.DUMMYFUNCTION("""COMPUTED_VALUE"""),"13")</f>
        <v>13</v>
      </c>
      <c r="J2960" s="115" t="str">
        <f>IFERROR(__xludf.DUMMYFUNCTION("""COMPUTED_VALUE"""),"Premkumar M2025-09-0613")</f>
        <v>Premkumar M2025-09-0613</v>
      </c>
      <c r="K2960" s="115">
        <f>IFERROR(__xludf.DUMMYFUNCTION("""COMPUTED_VALUE"""),28256.0)</f>
        <v>28256</v>
      </c>
    </row>
    <row r="2961">
      <c r="A2961" s="115" t="str">
        <f>IFERROR(__xludf.DUMMYFUNCTION("""COMPUTED_VALUE"""),"SOUTH")</f>
        <v>SOUTH</v>
      </c>
      <c r="B2961" s="115" t="str">
        <f>IFERROR(__xludf.DUMMYFUNCTION("""COMPUTED_VALUE"""),"Premkumar M")</f>
        <v>Premkumar M</v>
      </c>
      <c r="C2961" s="115" t="str">
        <f>IFERROR(__xludf.DUMMYFUNCTION("""COMPUTED_VALUE"""),"FLIPKART")</f>
        <v>FLIPKART</v>
      </c>
      <c r="D2961" s="115">
        <f>IFERROR(__xludf.DUMMYFUNCTION("""COMPUTED_VALUE"""),252019.0)</f>
        <v>252019</v>
      </c>
      <c r="E2961" s="115">
        <f>IFERROR(__xludf.DUMMYFUNCTION("""COMPUTED_VALUE"""),16791.0)</f>
        <v>16791</v>
      </c>
      <c r="F2961" s="115">
        <f>IFERROR(__xludf.DUMMYFUNCTION("""COMPUTED_VALUE"""),73813.0)</f>
        <v>73813</v>
      </c>
      <c r="G2961" s="115">
        <f>IFERROR(__xludf.DUMMYFUNCTION("""COMPUTED_VALUE"""),877.0)</f>
        <v>877</v>
      </c>
      <c r="H2961" s="116">
        <f>IFERROR(__xludf.DUMMYFUNCTION("""COMPUTED_VALUE"""),45906.0)</f>
        <v>45906</v>
      </c>
      <c r="I2961" s="115" t="str">
        <f>IFERROR(__xludf.DUMMYFUNCTION("""COMPUTED_VALUE"""),"13")</f>
        <v>13</v>
      </c>
      <c r="J2961" s="115" t="str">
        <f>IFERROR(__xludf.DUMMYFUNCTION("""COMPUTED_VALUE"""),"Premkumar M2025-09-0613")</f>
        <v>Premkumar M2025-09-0613</v>
      </c>
      <c r="K2961" s="115">
        <f>IFERROR(__xludf.DUMMYFUNCTION("""COMPUTED_VALUE"""),268810.0)</f>
        <v>268810</v>
      </c>
    </row>
    <row r="2962">
      <c r="A2962" s="115" t="str">
        <f>IFERROR(__xludf.DUMMYFUNCTION("""COMPUTED_VALUE"""),"SOUTH")</f>
        <v>SOUTH</v>
      </c>
      <c r="B2962" s="115" t="str">
        <f>IFERROR(__xludf.DUMMYFUNCTION("""COMPUTED_VALUE"""),"Premkumar M")</f>
        <v>Premkumar M</v>
      </c>
      <c r="C2962" s="115" t="str">
        <f>IFERROR(__xludf.DUMMYFUNCTION("""COMPUTED_VALUE"""),"MYNTRA")</f>
        <v>MYNTRA</v>
      </c>
      <c r="D2962" s="115">
        <f>IFERROR(__xludf.DUMMYFUNCTION("""COMPUTED_VALUE"""),14435.0)</f>
        <v>14435</v>
      </c>
      <c r="E2962" s="115">
        <f>IFERROR(__xludf.DUMMYFUNCTION("""COMPUTED_VALUE"""),2679.0)</f>
        <v>2679</v>
      </c>
      <c r="F2962" s="115">
        <f>IFERROR(__xludf.DUMMYFUNCTION("""COMPUTED_VALUE"""),4979.0)</f>
        <v>4979</v>
      </c>
      <c r="G2962" s="115">
        <f>IFERROR(__xludf.DUMMYFUNCTION("""COMPUTED_VALUE"""),170.0)</f>
        <v>170</v>
      </c>
      <c r="H2962" s="116">
        <f>IFERROR(__xludf.DUMMYFUNCTION("""COMPUTED_VALUE"""),45906.0)</f>
        <v>45906</v>
      </c>
      <c r="I2962" s="115" t="str">
        <f>IFERROR(__xludf.DUMMYFUNCTION("""COMPUTED_VALUE"""),"13")</f>
        <v>13</v>
      </c>
      <c r="J2962" s="115" t="str">
        <f>IFERROR(__xludf.DUMMYFUNCTION("""COMPUTED_VALUE"""),"Premkumar M2025-09-0613")</f>
        <v>Premkumar M2025-09-0613</v>
      </c>
      <c r="K2962" s="115">
        <f>IFERROR(__xludf.DUMMYFUNCTION("""COMPUTED_VALUE"""),17114.0)</f>
        <v>17114</v>
      </c>
    </row>
    <row r="2963">
      <c r="A2963" s="115" t="str">
        <f>IFERROR(__xludf.DUMMYFUNCTION("""COMPUTED_VALUE"""),"SOUTH")</f>
        <v>SOUTH</v>
      </c>
      <c r="B2963" s="115" t="str">
        <f>IFERROR(__xludf.DUMMYFUNCTION("""COMPUTED_VALUE"""),"Vineeth V")</f>
        <v>Vineeth V</v>
      </c>
      <c r="C2963" s="115" t="str">
        <f>IFERROR(__xludf.DUMMYFUNCTION("""COMPUTED_VALUE"""),"EXTERNAL")</f>
        <v>EXTERNAL</v>
      </c>
      <c r="D2963" s="115">
        <f>IFERROR(__xludf.DUMMYFUNCTION("""COMPUTED_VALUE"""),23230.0)</f>
        <v>23230</v>
      </c>
      <c r="E2963" s="115">
        <f>IFERROR(__xludf.DUMMYFUNCTION("""COMPUTED_VALUE"""),569.0)</f>
        <v>569</v>
      </c>
      <c r="F2963" s="115">
        <f>IFERROR(__xludf.DUMMYFUNCTION("""COMPUTED_VALUE"""),3203.0)</f>
        <v>3203</v>
      </c>
      <c r="G2963" s="115">
        <f>IFERROR(__xludf.DUMMYFUNCTION("""COMPUTED_VALUE"""),13.0)</f>
        <v>13</v>
      </c>
      <c r="H2963" s="116">
        <f>IFERROR(__xludf.DUMMYFUNCTION("""COMPUTED_VALUE"""),45906.0)</f>
        <v>45906</v>
      </c>
      <c r="I2963" s="115" t="str">
        <f>IFERROR(__xludf.DUMMYFUNCTION("""COMPUTED_VALUE"""),"13")</f>
        <v>13</v>
      </c>
      <c r="J2963" s="115" t="str">
        <f>IFERROR(__xludf.DUMMYFUNCTION("""COMPUTED_VALUE"""),"Vineeth V2025-09-0613")</f>
        <v>Vineeth V2025-09-0613</v>
      </c>
      <c r="K2963" s="115">
        <f>IFERROR(__xludf.DUMMYFUNCTION("""COMPUTED_VALUE"""),23799.0)</f>
        <v>23799</v>
      </c>
    </row>
    <row r="2964">
      <c r="A2964" s="115" t="str">
        <f>IFERROR(__xludf.DUMMYFUNCTION("""COMPUTED_VALUE"""),"SOUTH")</f>
        <v>SOUTH</v>
      </c>
      <c r="B2964" s="115" t="str">
        <f>IFERROR(__xludf.DUMMYFUNCTION("""COMPUTED_VALUE"""),"Vineeth V")</f>
        <v>Vineeth V</v>
      </c>
      <c r="C2964" s="115" t="str">
        <f>IFERROR(__xludf.DUMMYFUNCTION("""COMPUTED_VALUE"""),"FLIPKART")</f>
        <v>FLIPKART</v>
      </c>
      <c r="D2964" s="115">
        <f>IFERROR(__xludf.DUMMYFUNCTION("""COMPUTED_VALUE"""),197066.0)</f>
        <v>197066</v>
      </c>
      <c r="E2964" s="115">
        <f>IFERROR(__xludf.DUMMYFUNCTION("""COMPUTED_VALUE"""),13311.0)</f>
        <v>13311</v>
      </c>
      <c r="F2964" s="115">
        <f>IFERROR(__xludf.DUMMYFUNCTION("""COMPUTED_VALUE"""),40124.0)</f>
        <v>40124</v>
      </c>
      <c r="G2964" s="115">
        <f>IFERROR(__xludf.DUMMYFUNCTION("""COMPUTED_VALUE"""),234.0)</f>
        <v>234</v>
      </c>
      <c r="H2964" s="116">
        <f>IFERROR(__xludf.DUMMYFUNCTION("""COMPUTED_VALUE"""),45906.0)</f>
        <v>45906</v>
      </c>
      <c r="I2964" s="115" t="str">
        <f>IFERROR(__xludf.DUMMYFUNCTION("""COMPUTED_VALUE"""),"13")</f>
        <v>13</v>
      </c>
      <c r="J2964" s="115" t="str">
        <f>IFERROR(__xludf.DUMMYFUNCTION("""COMPUTED_VALUE"""),"Vineeth V2025-09-0613")</f>
        <v>Vineeth V2025-09-0613</v>
      </c>
      <c r="K2964" s="115">
        <f>IFERROR(__xludf.DUMMYFUNCTION("""COMPUTED_VALUE"""),210377.0)</f>
        <v>210377</v>
      </c>
    </row>
    <row r="2965">
      <c r="A2965" s="115" t="str">
        <f>IFERROR(__xludf.DUMMYFUNCTION("""COMPUTED_VALUE"""),"SOUTH")</f>
        <v>SOUTH</v>
      </c>
      <c r="B2965" s="115" t="str">
        <f>IFERROR(__xludf.DUMMYFUNCTION("""COMPUTED_VALUE"""),"Vineeth V")</f>
        <v>Vineeth V</v>
      </c>
      <c r="C2965" s="115" t="str">
        <f>IFERROR(__xludf.DUMMYFUNCTION("""COMPUTED_VALUE"""),"MYNTRA")</f>
        <v>MYNTRA</v>
      </c>
      <c r="D2965" s="115">
        <f>IFERROR(__xludf.DUMMYFUNCTION("""COMPUTED_VALUE"""),25624.0)</f>
        <v>25624</v>
      </c>
      <c r="E2965" s="115">
        <f>IFERROR(__xludf.DUMMYFUNCTION("""COMPUTED_VALUE"""),3519.0)</f>
        <v>3519</v>
      </c>
      <c r="F2965" s="115">
        <f>IFERROR(__xludf.DUMMYFUNCTION("""COMPUTED_VALUE"""),6009.0)</f>
        <v>6009</v>
      </c>
      <c r="G2965" s="115">
        <f>IFERROR(__xludf.DUMMYFUNCTION("""COMPUTED_VALUE"""),63.0)</f>
        <v>63</v>
      </c>
      <c r="H2965" s="116">
        <f>IFERROR(__xludf.DUMMYFUNCTION("""COMPUTED_VALUE"""),45906.0)</f>
        <v>45906</v>
      </c>
      <c r="I2965" s="115" t="str">
        <f>IFERROR(__xludf.DUMMYFUNCTION("""COMPUTED_VALUE"""),"13")</f>
        <v>13</v>
      </c>
      <c r="J2965" s="115" t="str">
        <f>IFERROR(__xludf.DUMMYFUNCTION("""COMPUTED_VALUE"""),"Vineeth V2025-09-0613")</f>
        <v>Vineeth V2025-09-0613</v>
      </c>
      <c r="K2965" s="115">
        <f>IFERROR(__xludf.DUMMYFUNCTION("""COMPUTED_VALUE"""),29143.0)</f>
        <v>29143</v>
      </c>
    </row>
    <row r="2966">
      <c r="A2966" s="115" t="str">
        <f>IFERROR(__xludf.DUMMYFUNCTION("""COMPUTED_VALUE"""),"WEST")</f>
        <v>WEST</v>
      </c>
      <c r="B2966" s="115" t="str">
        <f>IFERROR(__xludf.DUMMYFUNCTION("""COMPUTED_VALUE"""),"Ashish Jakar")</f>
        <v>Ashish Jakar</v>
      </c>
      <c r="C2966" s="115" t="str">
        <f>IFERROR(__xludf.DUMMYFUNCTION("""COMPUTED_VALUE"""),"EXTERNAL")</f>
        <v>EXTERNAL</v>
      </c>
      <c r="D2966" s="115">
        <f>IFERROR(__xludf.DUMMYFUNCTION("""COMPUTED_VALUE"""),43406.0)</f>
        <v>43406</v>
      </c>
      <c r="E2966" s="115">
        <f>IFERROR(__xludf.DUMMYFUNCTION("""COMPUTED_VALUE"""),5142.0)</f>
        <v>5142</v>
      </c>
      <c r="F2966" s="115">
        <f>IFERROR(__xludf.DUMMYFUNCTION("""COMPUTED_VALUE"""),10186.0)</f>
        <v>10186</v>
      </c>
      <c r="G2966" s="115">
        <f>IFERROR(__xludf.DUMMYFUNCTION("""COMPUTED_VALUE"""),860.0)</f>
        <v>860</v>
      </c>
      <c r="H2966" s="116">
        <f>IFERROR(__xludf.DUMMYFUNCTION("""COMPUTED_VALUE"""),45906.0)</f>
        <v>45906</v>
      </c>
      <c r="I2966" s="115" t="str">
        <f>IFERROR(__xludf.DUMMYFUNCTION("""COMPUTED_VALUE"""),"13")</f>
        <v>13</v>
      </c>
      <c r="J2966" s="115" t="str">
        <f>IFERROR(__xludf.DUMMYFUNCTION("""COMPUTED_VALUE"""),"Ashish Jakar2025-09-0613")</f>
        <v>Ashish Jakar2025-09-0613</v>
      </c>
      <c r="K2966" s="115">
        <f>IFERROR(__xludf.DUMMYFUNCTION("""COMPUTED_VALUE"""),48548.0)</f>
        <v>48548</v>
      </c>
    </row>
    <row r="2967">
      <c r="A2967" s="115" t="str">
        <f>IFERROR(__xludf.DUMMYFUNCTION("""COMPUTED_VALUE"""),"WEST")</f>
        <v>WEST</v>
      </c>
      <c r="B2967" s="115" t="str">
        <f>IFERROR(__xludf.DUMMYFUNCTION("""COMPUTED_VALUE"""),"Ashish Jakar")</f>
        <v>Ashish Jakar</v>
      </c>
      <c r="C2967" s="115" t="str">
        <f>IFERROR(__xludf.DUMMYFUNCTION("""COMPUTED_VALUE"""),"FLIPKART")</f>
        <v>FLIPKART</v>
      </c>
      <c r="D2967" s="115">
        <f>IFERROR(__xludf.DUMMYFUNCTION("""COMPUTED_VALUE"""),218842.0)</f>
        <v>218842</v>
      </c>
      <c r="E2967" s="115">
        <f>IFERROR(__xludf.DUMMYFUNCTION("""COMPUTED_VALUE"""),24954.0)</f>
        <v>24954</v>
      </c>
      <c r="F2967" s="115">
        <f>IFERROR(__xludf.DUMMYFUNCTION("""COMPUTED_VALUE"""),91240.0)</f>
        <v>91240</v>
      </c>
      <c r="G2967" s="115">
        <f>IFERROR(__xludf.DUMMYFUNCTION("""COMPUTED_VALUE"""),4933.0)</f>
        <v>4933</v>
      </c>
      <c r="H2967" s="116">
        <f>IFERROR(__xludf.DUMMYFUNCTION("""COMPUTED_VALUE"""),45906.0)</f>
        <v>45906</v>
      </c>
      <c r="I2967" s="115" t="str">
        <f>IFERROR(__xludf.DUMMYFUNCTION("""COMPUTED_VALUE"""),"13")</f>
        <v>13</v>
      </c>
      <c r="J2967" s="115" t="str">
        <f>IFERROR(__xludf.DUMMYFUNCTION("""COMPUTED_VALUE"""),"Ashish Jakar2025-09-0613")</f>
        <v>Ashish Jakar2025-09-0613</v>
      </c>
      <c r="K2967" s="115">
        <f>IFERROR(__xludf.DUMMYFUNCTION("""COMPUTED_VALUE"""),243796.0)</f>
        <v>243796</v>
      </c>
    </row>
    <row r="2968">
      <c r="A2968" s="115" t="str">
        <f>IFERROR(__xludf.DUMMYFUNCTION("""COMPUTED_VALUE"""),"WEST")</f>
        <v>WEST</v>
      </c>
      <c r="B2968" s="115" t="str">
        <f>IFERROR(__xludf.DUMMYFUNCTION("""COMPUTED_VALUE"""),"Ashish Jakar")</f>
        <v>Ashish Jakar</v>
      </c>
      <c r="C2968" s="115" t="str">
        <f>IFERROR(__xludf.DUMMYFUNCTION("""COMPUTED_VALUE"""),"MYNTRA")</f>
        <v>MYNTRA</v>
      </c>
      <c r="D2968" s="115">
        <f>IFERROR(__xludf.DUMMYFUNCTION("""COMPUTED_VALUE"""),31096.0)</f>
        <v>31096</v>
      </c>
      <c r="E2968" s="115">
        <f>IFERROR(__xludf.DUMMYFUNCTION("""COMPUTED_VALUE"""),8284.0)</f>
        <v>8284</v>
      </c>
      <c r="F2968" s="115">
        <f>IFERROR(__xludf.DUMMYFUNCTION("""COMPUTED_VALUE"""),15801.0)</f>
        <v>15801</v>
      </c>
      <c r="G2968" s="115">
        <f>IFERROR(__xludf.DUMMYFUNCTION("""COMPUTED_VALUE"""),1980.0)</f>
        <v>1980</v>
      </c>
      <c r="H2968" s="116">
        <f>IFERROR(__xludf.DUMMYFUNCTION("""COMPUTED_VALUE"""),45906.0)</f>
        <v>45906</v>
      </c>
      <c r="I2968" s="115" t="str">
        <f>IFERROR(__xludf.DUMMYFUNCTION("""COMPUTED_VALUE"""),"13")</f>
        <v>13</v>
      </c>
      <c r="J2968" s="115" t="str">
        <f>IFERROR(__xludf.DUMMYFUNCTION("""COMPUTED_VALUE"""),"Ashish Jakar2025-09-0613")</f>
        <v>Ashish Jakar2025-09-0613</v>
      </c>
      <c r="K2968" s="115">
        <f>IFERROR(__xludf.DUMMYFUNCTION("""COMPUTED_VALUE"""),39380.0)</f>
        <v>39380</v>
      </c>
    </row>
    <row r="2969">
      <c r="A2969" s="115" t="str">
        <f>IFERROR(__xludf.DUMMYFUNCTION("""COMPUTED_VALUE"""),"WEST")</f>
        <v>WEST</v>
      </c>
      <c r="B2969" s="115" t="str">
        <f>IFERROR(__xludf.DUMMYFUNCTION("""COMPUTED_VALUE"""),"Ashvani Bhatt")</f>
        <v>Ashvani Bhatt</v>
      </c>
      <c r="C2969" s="115" t="str">
        <f>IFERROR(__xludf.DUMMYFUNCTION("""COMPUTED_VALUE"""),"EXTERNAL")</f>
        <v>EXTERNAL</v>
      </c>
      <c r="D2969" s="115">
        <f>IFERROR(__xludf.DUMMYFUNCTION("""COMPUTED_VALUE"""),31027.0)</f>
        <v>31027</v>
      </c>
      <c r="E2969" s="115">
        <f>IFERROR(__xludf.DUMMYFUNCTION("""COMPUTED_VALUE"""),2571.0)</f>
        <v>2571</v>
      </c>
      <c r="F2969" s="115">
        <f>IFERROR(__xludf.DUMMYFUNCTION("""COMPUTED_VALUE"""),7334.0)</f>
        <v>7334</v>
      </c>
      <c r="G2969" s="115">
        <f>IFERROR(__xludf.DUMMYFUNCTION("""COMPUTED_VALUE"""),208.0)</f>
        <v>208</v>
      </c>
      <c r="H2969" s="116">
        <f>IFERROR(__xludf.DUMMYFUNCTION("""COMPUTED_VALUE"""),45906.0)</f>
        <v>45906</v>
      </c>
      <c r="I2969" s="115" t="str">
        <f>IFERROR(__xludf.DUMMYFUNCTION("""COMPUTED_VALUE"""),"13")</f>
        <v>13</v>
      </c>
      <c r="J2969" s="115" t="str">
        <f>IFERROR(__xludf.DUMMYFUNCTION("""COMPUTED_VALUE"""),"Ashvani Bhatt2025-09-0613")</f>
        <v>Ashvani Bhatt2025-09-0613</v>
      </c>
      <c r="K2969" s="115">
        <f>IFERROR(__xludf.DUMMYFUNCTION("""COMPUTED_VALUE"""),33598.0)</f>
        <v>33598</v>
      </c>
    </row>
    <row r="2970">
      <c r="A2970" s="115" t="str">
        <f>IFERROR(__xludf.DUMMYFUNCTION("""COMPUTED_VALUE"""),"WEST")</f>
        <v>WEST</v>
      </c>
      <c r="B2970" s="115" t="str">
        <f>IFERROR(__xludf.DUMMYFUNCTION("""COMPUTED_VALUE"""),"Ashvani Bhatt")</f>
        <v>Ashvani Bhatt</v>
      </c>
      <c r="C2970" s="115" t="str">
        <f>IFERROR(__xludf.DUMMYFUNCTION("""COMPUTED_VALUE"""),"FLIPKART")</f>
        <v>FLIPKART</v>
      </c>
      <c r="D2970" s="115">
        <f>IFERROR(__xludf.DUMMYFUNCTION("""COMPUTED_VALUE"""),227182.0)</f>
        <v>227182</v>
      </c>
      <c r="E2970" s="115">
        <f>IFERROR(__xludf.DUMMYFUNCTION("""COMPUTED_VALUE"""),23884.0)</f>
        <v>23884</v>
      </c>
      <c r="F2970" s="115">
        <f>IFERROR(__xludf.DUMMYFUNCTION("""COMPUTED_VALUE"""),90587.0)</f>
        <v>90587</v>
      </c>
      <c r="G2970" s="115">
        <f>IFERROR(__xludf.DUMMYFUNCTION("""COMPUTED_VALUE"""),3128.0)</f>
        <v>3128</v>
      </c>
      <c r="H2970" s="116">
        <f>IFERROR(__xludf.DUMMYFUNCTION("""COMPUTED_VALUE"""),45906.0)</f>
        <v>45906</v>
      </c>
      <c r="I2970" s="115" t="str">
        <f>IFERROR(__xludf.DUMMYFUNCTION("""COMPUTED_VALUE"""),"13")</f>
        <v>13</v>
      </c>
      <c r="J2970" s="115" t="str">
        <f>IFERROR(__xludf.DUMMYFUNCTION("""COMPUTED_VALUE"""),"Ashvani Bhatt2025-09-0613")</f>
        <v>Ashvani Bhatt2025-09-0613</v>
      </c>
      <c r="K2970" s="115">
        <f>IFERROR(__xludf.DUMMYFUNCTION("""COMPUTED_VALUE"""),251066.0)</f>
        <v>251066</v>
      </c>
    </row>
    <row r="2971">
      <c r="A2971" s="115" t="str">
        <f>IFERROR(__xludf.DUMMYFUNCTION("""COMPUTED_VALUE"""),"WEST")</f>
        <v>WEST</v>
      </c>
      <c r="B2971" s="115" t="str">
        <f>IFERROR(__xludf.DUMMYFUNCTION("""COMPUTED_VALUE"""),"Ashvani Bhatt")</f>
        <v>Ashvani Bhatt</v>
      </c>
      <c r="C2971" s="115" t="str">
        <f>IFERROR(__xludf.DUMMYFUNCTION("""COMPUTED_VALUE"""),"MYNTRA")</f>
        <v>MYNTRA</v>
      </c>
      <c r="D2971" s="115">
        <f>IFERROR(__xludf.DUMMYFUNCTION("""COMPUTED_VALUE"""),29179.0)</f>
        <v>29179</v>
      </c>
      <c r="E2971" s="115">
        <f>IFERROR(__xludf.DUMMYFUNCTION("""COMPUTED_VALUE"""),7222.0)</f>
        <v>7222</v>
      </c>
      <c r="F2971" s="115">
        <f>IFERROR(__xludf.DUMMYFUNCTION("""COMPUTED_VALUE"""),14560.0)</f>
        <v>14560</v>
      </c>
      <c r="G2971" s="115">
        <f>IFERROR(__xludf.DUMMYFUNCTION("""COMPUTED_VALUE"""),1287.0)</f>
        <v>1287</v>
      </c>
      <c r="H2971" s="116">
        <f>IFERROR(__xludf.DUMMYFUNCTION("""COMPUTED_VALUE"""),45906.0)</f>
        <v>45906</v>
      </c>
      <c r="I2971" s="115" t="str">
        <f>IFERROR(__xludf.DUMMYFUNCTION("""COMPUTED_VALUE"""),"13")</f>
        <v>13</v>
      </c>
      <c r="J2971" s="115" t="str">
        <f>IFERROR(__xludf.DUMMYFUNCTION("""COMPUTED_VALUE"""),"Ashvani Bhatt2025-09-0613")</f>
        <v>Ashvani Bhatt2025-09-0613</v>
      </c>
      <c r="K2971" s="115">
        <f>IFERROR(__xludf.DUMMYFUNCTION("""COMPUTED_VALUE"""),36401.0)</f>
        <v>36401</v>
      </c>
    </row>
    <row r="2972">
      <c r="A2972" s="115" t="str">
        <f>IFERROR(__xludf.DUMMYFUNCTION("""COMPUTED_VALUE"""),"West")</f>
        <v>West</v>
      </c>
      <c r="B2972" s="115" t="str">
        <f>IFERROR(__xludf.DUMMYFUNCTION("""COMPUTED_VALUE"""),"Ashish Jakar")</f>
        <v>Ashish Jakar</v>
      </c>
      <c r="C2972" s="115" t="str">
        <f>IFERROR(__xludf.DUMMYFUNCTION("""COMPUTED_VALUE"""),"EXTERNAL")</f>
        <v>EXTERNAL</v>
      </c>
      <c r="D2972" s="115">
        <f>IFERROR(__xludf.DUMMYFUNCTION("""COMPUTED_VALUE"""),19.0)</f>
        <v>19</v>
      </c>
      <c r="E2972" s="115">
        <f>IFERROR(__xludf.DUMMYFUNCTION("""COMPUTED_VALUE"""),0.0)</f>
        <v>0</v>
      </c>
      <c r="F2972" s="115">
        <f>IFERROR(__xludf.DUMMYFUNCTION("""COMPUTED_VALUE"""),2.0)</f>
        <v>2</v>
      </c>
      <c r="G2972" s="115">
        <f>IFERROR(__xludf.DUMMYFUNCTION("""COMPUTED_VALUE"""),0.0)</f>
        <v>0</v>
      </c>
      <c r="H2972" s="116">
        <f>IFERROR(__xludf.DUMMYFUNCTION("""COMPUTED_VALUE"""),45906.0)</f>
        <v>45906</v>
      </c>
      <c r="I2972" s="115" t="str">
        <f>IFERROR(__xludf.DUMMYFUNCTION("""COMPUTED_VALUE"""),"13")</f>
        <v>13</v>
      </c>
      <c r="J2972" s="115" t="str">
        <f>IFERROR(__xludf.DUMMYFUNCTION("""COMPUTED_VALUE"""),"Ashish Jakar2025-09-0613")</f>
        <v>Ashish Jakar2025-09-0613</v>
      </c>
      <c r="K2972" s="115">
        <f>IFERROR(__xludf.DUMMYFUNCTION("""COMPUTED_VALUE"""),19.0)</f>
        <v>19</v>
      </c>
    </row>
    <row r="2973">
      <c r="A2973" s="115" t="str">
        <f>IFERROR(__xludf.DUMMYFUNCTION("""COMPUTED_VALUE"""),"West")</f>
        <v>West</v>
      </c>
      <c r="B2973" s="115" t="str">
        <f>IFERROR(__xludf.DUMMYFUNCTION("""COMPUTED_VALUE"""),"Ashish Jakar")</f>
        <v>Ashish Jakar</v>
      </c>
      <c r="C2973" s="115" t="str">
        <f>IFERROR(__xludf.DUMMYFUNCTION("""COMPUTED_VALUE"""),"FLIPKART")</f>
        <v>FLIPKART</v>
      </c>
      <c r="D2973" s="115">
        <f>IFERROR(__xludf.DUMMYFUNCTION("""COMPUTED_VALUE"""),213.0)</f>
        <v>213</v>
      </c>
      <c r="E2973" s="115">
        <f>IFERROR(__xludf.DUMMYFUNCTION("""COMPUTED_VALUE"""),1.0)</f>
        <v>1</v>
      </c>
      <c r="F2973" s="115">
        <f>IFERROR(__xludf.DUMMYFUNCTION("""COMPUTED_VALUE"""),8.0)</f>
        <v>8</v>
      </c>
      <c r="G2973" s="115">
        <f>IFERROR(__xludf.DUMMYFUNCTION("""COMPUTED_VALUE"""),0.0)</f>
        <v>0</v>
      </c>
      <c r="H2973" s="116">
        <f>IFERROR(__xludf.DUMMYFUNCTION("""COMPUTED_VALUE"""),45906.0)</f>
        <v>45906</v>
      </c>
      <c r="I2973" s="115" t="str">
        <f>IFERROR(__xludf.DUMMYFUNCTION("""COMPUTED_VALUE"""),"13")</f>
        <v>13</v>
      </c>
      <c r="J2973" s="115" t="str">
        <f>IFERROR(__xludf.DUMMYFUNCTION("""COMPUTED_VALUE"""),"Ashish Jakar2025-09-0613")</f>
        <v>Ashish Jakar2025-09-0613</v>
      </c>
      <c r="K2973" s="115">
        <f>IFERROR(__xludf.DUMMYFUNCTION("""COMPUTED_VALUE"""),214.0)</f>
        <v>214</v>
      </c>
    </row>
    <row r="2974">
      <c r="A2974" s="115" t="str">
        <f>IFERROR(__xludf.DUMMYFUNCTION("""COMPUTED_VALUE"""),"West")</f>
        <v>West</v>
      </c>
      <c r="B2974" s="115" t="str">
        <f>IFERROR(__xludf.DUMMYFUNCTION("""COMPUTED_VALUE"""),"Ashish Jakar")</f>
        <v>Ashish Jakar</v>
      </c>
      <c r="C2974" s="115" t="str">
        <f>IFERROR(__xludf.DUMMYFUNCTION("""COMPUTED_VALUE"""),"MYNTRA")</f>
        <v>MYNTRA</v>
      </c>
      <c r="D2974" s="115">
        <f>IFERROR(__xludf.DUMMYFUNCTION("""COMPUTED_VALUE"""),124.0)</f>
        <v>124</v>
      </c>
      <c r="E2974" s="115">
        <f>IFERROR(__xludf.DUMMYFUNCTION("""COMPUTED_VALUE"""),0.0)</f>
        <v>0</v>
      </c>
      <c r="F2974" s="115">
        <f>IFERROR(__xludf.DUMMYFUNCTION("""COMPUTED_VALUE"""),3.0)</f>
        <v>3</v>
      </c>
      <c r="G2974" s="115">
        <f>IFERROR(__xludf.DUMMYFUNCTION("""COMPUTED_VALUE"""),0.0)</f>
        <v>0</v>
      </c>
      <c r="H2974" s="116">
        <f>IFERROR(__xludf.DUMMYFUNCTION("""COMPUTED_VALUE"""),45906.0)</f>
        <v>45906</v>
      </c>
      <c r="I2974" s="115" t="str">
        <f>IFERROR(__xludf.DUMMYFUNCTION("""COMPUTED_VALUE"""),"13")</f>
        <v>13</v>
      </c>
      <c r="J2974" s="115" t="str">
        <f>IFERROR(__xludf.DUMMYFUNCTION("""COMPUTED_VALUE"""),"Ashish Jakar2025-09-0613")</f>
        <v>Ashish Jakar2025-09-0613</v>
      </c>
      <c r="K2974" s="115">
        <f>IFERROR(__xludf.DUMMYFUNCTION("""COMPUTED_VALUE"""),124.0)</f>
        <v>124</v>
      </c>
    </row>
    <row r="2975">
      <c r="A2975" s="115"/>
      <c r="B2975" s="115"/>
      <c r="C2975" s="115" t="str">
        <f>IFERROR(__xludf.DUMMYFUNCTION("""COMPUTED_VALUE"""),"EXTERNAL")</f>
        <v>EXTERNAL</v>
      </c>
      <c r="D2975" s="115">
        <f>IFERROR(__xludf.DUMMYFUNCTION("""COMPUTED_VALUE"""),1266.0)</f>
        <v>1266</v>
      </c>
      <c r="E2975" s="115">
        <f>IFERROR(__xludf.DUMMYFUNCTION("""COMPUTED_VALUE"""),159.0)</f>
        <v>159</v>
      </c>
      <c r="F2975" s="115">
        <f>IFERROR(__xludf.DUMMYFUNCTION("""COMPUTED_VALUE"""),125.0)</f>
        <v>125</v>
      </c>
      <c r="G2975" s="115">
        <f>IFERROR(__xludf.DUMMYFUNCTION("""COMPUTED_VALUE"""),23.0)</f>
        <v>23</v>
      </c>
      <c r="H2975" s="116">
        <f>IFERROR(__xludf.DUMMYFUNCTION("""COMPUTED_VALUE"""),45906.0)</f>
        <v>45906</v>
      </c>
      <c r="I2975" s="115" t="str">
        <f>IFERROR(__xludf.DUMMYFUNCTION("""COMPUTED_VALUE"""),"13")</f>
        <v>13</v>
      </c>
      <c r="J2975" s="115" t="str">
        <f>IFERROR(__xludf.DUMMYFUNCTION("""COMPUTED_VALUE"""),"2025-09-0613")</f>
        <v>2025-09-0613</v>
      </c>
      <c r="K2975" s="115">
        <f>IFERROR(__xludf.DUMMYFUNCTION("""COMPUTED_VALUE"""),1425.0)</f>
        <v>1425</v>
      </c>
    </row>
    <row r="2976">
      <c r="A2976" s="115"/>
      <c r="B2976" s="115"/>
      <c r="C2976" s="115" t="str">
        <f>IFERROR(__xludf.DUMMYFUNCTION("""COMPUTED_VALUE"""),"FLIPKART")</f>
        <v>FLIPKART</v>
      </c>
      <c r="D2976" s="115">
        <f>IFERROR(__xludf.DUMMYFUNCTION("""COMPUTED_VALUE"""),10430.0)</f>
        <v>10430</v>
      </c>
      <c r="E2976" s="115">
        <f>IFERROR(__xludf.DUMMYFUNCTION("""COMPUTED_VALUE"""),1095.0)</f>
        <v>1095</v>
      </c>
      <c r="F2976" s="115">
        <f>IFERROR(__xludf.DUMMYFUNCTION("""COMPUTED_VALUE"""),1595.0)</f>
        <v>1595</v>
      </c>
      <c r="G2976" s="115">
        <f>IFERROR(__xludf.DUMMYFUNCTION("""COMPUTED_VALUE"""),126.0)</f>
        <v>126</v>
      </c>
      <c r="H2976" s="116">
        <f>IFERROR(__xludf.DUMMYFUNCTION("""COMPUTED_VALUE"""),45906.0)</f>
        <v>45906</v>
      </c>
      <c r="I2976" s="115" t="str">
        <f>IFERROR(__xludf.DUMMYFUNCTION("""COMPUTED_VALUE"""),"13")</f>
        <v>13</v>
      </c>
      <c r="J2976" s="115" t="str">
        <f>IFERROR(__xludf.DUMMYFUNCTION("""COMPUTED_VALUE"""),"2025-09-0613")</f>
        <v>2025-09-0613</v>
      </c>
      <c r="K2976" s="115">
        <f>IFERROR(__xludf.DUMMYFUNCTION("""COMPUTED_VALUE"""),11525.0)</f>
        <v>11525</v>
      </c>
    </row>
    <row r="2977">
      <c r="A2977" s="115"/>
      <c r="B2977" s="115"/>
      <c r="C2977" s="115" t="str">
        <f>IFERROR(__xludf.DUMMYFUNCTION("""COMPUTED_VALUE"""),"MYNTRA")</f>
        <v>MYNTRA</v>
      </c>
      <c r="D2977" s="115">
        <f>IFERROR(__xludf.DUMMYFUNCTION("""COMPUTED_VALUE"""),1737.0)</f>
        <v>1737</v>
      </c>
      <c r="E2977" s="115">
        <f>IFERROR(__xludf.DUMMYFUNCTION("""COMPUTED_VALUE"""),437.0)</f>
        <v>437</v>
      </c>
      <c r="F2977" s="115">
        <f>IFERROR(__xludf.DUMMYFUNCTION("""COMPUTED_VALUE"""),348.0)</f>
        <v>348</v>
      </c>
      <c r="G2977" s="115">
        <f>IFERROR(__xludf.DUMMYFUNCTION("""COMPUTED_VALUE"""),47.0)</f>
        <v>47</v>
      </c>
      <c r="H2977" s="116">
        <f>IFERROR(__xludf.DUMMYFUNCTION("""COMPUTED_VALUE"""),45906.0)</f>
        <v>45906</v>
      </c>
      <c r="I2977" s="115" t="str">
        <f>IFERROR(__xludf.DUMMYFUNCTION("""COMPUTED_VALUE"""),"13")</f>
        <v>13</v>
      </c>
      <c r="J2977" s="115" t="str">
        <f>IFERROR(__xludf.DUMMYFUNCTION("""COMPUTED_VALUE"""),"2025-09-0613")</f>
        <v>2025-09-0613</v>
      </c>
      <c r="K2977" s="115">
        <f>IFERROR(__xludf.DUMMYFUNCTION("""COMPUTED_VALUE"""),2174.0)</f>
        <v>2174</v>
      </c>
    </row>
    <row r="2978">
      <c r="A2978" s="115" t="str">
        <f>IFERROR(__xludf.DUMMYFUNCTION("""COMPUTED_VALUE"""),"EAST")</f>
        <v>EAST</v>
      </c>
      <c r="B2978" s="115" t="str">
        <f>IFERROR(__xludf.DUMMYFUNCTION("""COMPUTED_VALUE"""),"Ashish Ranjan")</f>
        <v>Ashish Ranjan</v>
      </c>
      <c r="C2978" s="115" t="str">
        <f>IFERROR(__xludf.DUMMYFUNCTION("""COMPUTED_VALUE"""),"EXTERNAL")</f>
        <v>EXTERNAL</v>
      </c>
      <c r="D2978" s="115">
        <f>IFERROR(__xludf.DUMMYFUNCTION("""COMPUTED_VALUE"""),39762.0)</f>
        <v>39762</v>
      </c>
      <c r="E2978" s="115">
        <f>IFERROR(__xludf.DUMMYFUNCTION("""COMPUTED_VALUE"""),2755.0)</f>
        <v>2755</v>
      </c>
      <c r="F2978" s="115">
        <f>IFERROR(__xludf.DUMMYFUNCTION("""COMPUTED_VALUE"""),14962.0)</f>
        <v>14962</v>
      </c>
      <c r="G2978" s="115">
        <f>IFERROR(__xludf.DUMMYFUNCTION("""COMPUTED_VALUE"""),482.0)</f>
        <v>482</v>
      </c>
      <c r="H2978" s="116">
        <f>IFERROR(__xludf.DUMMYFUNCTION("""COMPUTED_VALUE"""),45906.0)</f>
        <v>45906</v>
      </c>
      <c r="I2978" s="115" t="str">
        <f>IFERROR(__xludf.DUMMYFUNCTION("""COMPUTED_VALUE"""),"14")</f>
        <v>14</v>
      </c>
      <c r="J2978" s="115" t="str">
        <f>IFERROR(__xludf.DUMMYFUNCTION("""COMPUTED_VALUE"""),"Ashish Ranjan2025-09-0614")</f>
        <v>Ashish Ranjan2025-09-0614</v>
      </c>
      <c r="K2978" s="115">
        <f>IFERROR(__xludf.DUMMYFUNCTION("""COMPUTED_VALUE"""),42517.0)</f>
        <v>42517</v>
      </c>
    </row>
    <row r="2979">
      <c r="A2979" s="115" t="str">
        <f>IFERROR(__xludf.DUMMYFUNCTION("""COMPUTED_VALUE"""),"EAST")</f>
        <v>EAST</v>
      </c>
      <c r="B2979" s="115" t="str">
        <f>IFERROR(__xludf.DUMMYFUNCTION("""COMPUTED_VALUE"""),"Ashish Ranjan")</f>
        <v>Ashish Ranjan</v>
      </c>
      <c r="C2979" s="115" t="str">
        <f>IFERROR(__xludf.DUMMYFUNCTION("""COMPUTED_VALUE"""),"FLIPKART")</f>
        <v>FLIPKART</v>
      </c>
      <c r="D2979" s="115">
        <f>IFERROR(__xludf.DUMMYFUNCTION("""COMPUTED_VALUE"""),621441.0)</f>
        <v>621441</v>
      </c>
      <c r="E2979" s="115">
        <f>IFERROR(__xludf.DUMMYFUNCTION("""COMPUTED_VALUE"""),54385.0)</f>
        <v>54385</v>
      </c>
      <c r="F2979" s="115">
        <f>IFERROR(__xludf.DUMMYFUNCTION("""COMPUTED_VALUE"""),376041.0)</f>
        <v>376041</v>
      </c>
      <c r="G2979" s="115">
        <f>IFERROR(__xludf.DUMMYFUNCTION("""COMPUTED_VALUE"""),13840.0)</f>
        <v>13840</v>
      </c>
      <c r="H2979" s="116">
        <f>IFERROR(__xludf.DUMMYFUNCTION("""COMPUTED_VALUE"""),45906.0)</f>
        <v>45906</v>
      </c>
      <c r="I2979" s="115" t="str">
        <f>IFERROR(__xludf.DUMMYFUNCTION("""COMPUTED_VALUE"""),"14")</f>
        <v>14</v>
      </c>
      <c r="J2979" s="115" t="str">
        <f>IFERROR(__xludf.DUMMYFUNCTION("""COMPUTED_VALUE"""),"Ashish Ranjan2025-09-0614")</f>
        <v>Ashish Ranjan2025-09-0614</v>
      </c>
      <c r="K2979" s="115">
        <f>IFERROR(__xludf.DUMMYFUNCTION("""COMPUTED_VALUE"""),675826.0)</f>
        <v>675826</v>
      </c>
    </row>
    <row r="2980">
      <c r="A2980" s="115" t="str">
        <f>IFERROR(__xludf.DUMMYFUNCTION("""COMPUTED_VALUE"""),"EAST")</f>
        <v>EAST</v>
      </c>
      <c r="B2980" s="115" t="str">
        <f>IFERROR(__xludf.DUMMYFUNCTION("""COMPUTED_VALUE"""),"Ashish Ranjan")</f>
        <v>Ashish Ranjan</v>
      </c>
      <c r="C2980" s="115" t="str">
        <f>IFERROR(__xludf.DUMMYFUNCTION("""COMPUTED_VALUE"""),"MYNTRA")</f>
        <v>MYNTRA</v>
      </c>
      <c r="D2980" s="115">
        <f>IFERROR(__xludf.DUMMYFUNCTION("""COMPUTED_VALUE"""),63289.0)</f>
        <v>63289</v>
      </c>
      <c r="E2980" s="115">
        <f>IFERROR(__xludf.DUMMYFUNCTION("""COMPUTED_VALUE"""),13134.0)</f>
        <v>13134</v>
      </c>
      <c r="F2980" s="115">
        <f>IFERROR(__xludf.DUMMYFUNCTION("""COMPUTED_VALUE"""),39015.0)</f>
        <v>39015</v>
      </c>
      <c r="G2980" s="115">
        <f>IFERROR(__xludf.DUMMYFUNCTION("""COMPUTED_VALUE"""),3462.0)</f>
        <v>3462</v>
      </c>
      <c r="H2980" s="116">
        <f>IFERROR(__xludf.DUMMYFUNCTION("""COMPUTED_VALUE"""),45906.0)</f>
        <v>45906</v>
      </c>
      <c r="I2980" s="115" t="str">
        <f>IFERROR(__xludf.DUMMYFUNCTION("""COMPUTED_VALUE"""),"14")</f>
        <v>14</v>
      </c>
      <c r="J2980" s="115" t="str">
        <f>IFERROR(__xludf.DUMMYFUNCTION("""COMPUTED_VALUE"""),"Ashish Ranjan2025-09-0614")</f>
        <v>Ashish Ranjan2025-09-0614</v>
      </c>
      <c r="K2980" s="115">
        <f>IFERROR(__xludf.DUMMYFUNCTION("""COMPUTED_VALUE"""),76423.0)</f>
        <v>76423</v>
      </c>
    </row>
    <row r="2981">
      <c r="A2981" s="115" t="str">
        <f>IFERROR(__xludf.DUMMYFUNCTION("""COMPUTED_VALUE"""),"EAST")</f>
        <v>EAST</v>
      </c>
      <c r="B2981" s="115" t="str">
        <f>IFERROR(__xludf.DUMMYFUNCTION("""COMPUTED_VALUE"""),"Girish Chand")</f>
        <v>Girish Chand</v>
      </c>
      <c r="C2981" s="115" t="str">
        <f>IFERROR(__xludf.DUMMYFUNCTION("""COMPUTED_VALUE"""),"EXTERNAL")</f>
        <v>EXTERNAL</v>
      </c>
      <c r="D2981" s="115">
        <f>IFERROR(__xludf.DUMMYFUNCTION("""COMPUTED_VALUE"""),24474.0)</f>
        <v>24474</v>
      </c>
      <c r="E2981" s="115">
        <f>IFERROR(__xludf.DUMMYFUNCTION("""COMPUTED_VALUE"""),2149.0)</f>
        <v>2149</v>
      </c>
      <c r="F2981" s="115">
        <f>IFERROR(__xludf.DUMMYFUNCTION("""COMPUTED_VALUE"""),6501.0)</f>
        <v>6501</v>
      </c>
      <c r="G2981" s="115">
        <f>IFERROR(__xludf.DUMMYFUNCTION("""COMPUTED_VALUE"""),123.0)</f>
        <v>123</v>
      </c>
      <c r="H2981" s="116">
        <f>IFERROR(__xludf.DUMMYFUNCTION("""COMPUTED_VALUE"""),45906.0)</f>
        <v>45906</v>
      </c>
      <c r="I2981" s="115" t="str">
        <f>IFERROR(__xludf.DUMMYFUNCTION("""COMPUTED_VALUE"""),"14")</f>
        <v>14</v>
      </c>
      <c r="J2981" s="115" t="str">
        <f>IFERROR(__xludf.DUMMYFUNCTION("""COMPUTED_VALUE"""),"Girish Chand2025-09-0614")</f>
        <v>Girish Chand2025-09-0614</v>
      </c>
      <c r="K2981" s="115">
        <f>IFERROR(__xludf.DUMMYFUNCTION("""COMPUTED_VALUE"""),26623.0)</f>
        <v>26623</v>
      </c>
    </row>
    <row r="2982">
      <c r="A2982" s="115" t="str">
        <f>IFERROR(__xludf.DUMMYFUNCTION("""COMPUTED_VALUE"""),"EAST")</f>
        <v>EAST</v>
      </c>
      <c r="B2982" s="115" t="str">
        <f>IFERROR(__xludf.DUMMYFUNCTION("""COMPUTED_VALUE"""),"Girish Chand")</f>
        <v>Girish Chand</v>
      </c>
      <c r="C2982" s="115" t="str">
        <f>IFERROR(__xludf.DUMMYFUNCTION("""COMPUTED_VALUE"""),"FLIPKART")</f>
        <v>FLIPKART</v>
      </c>
      <c r="D2982" s="115">
        <f>IFERROR(__xludf.DUMMYFUNCTION("""COMPUTED_VALUE"""),437065.0)</f>
        <v>437065</v>
      </c>
      <c r="E2982" s="115">
        <f>IFERROR(__xludf.DUMMYFUNCTION("""COMPUTED_VALUE"""),38024.0)</f>
        <v>38024</v>
      </c>
      <c r="F2982" s="115">
        <f>IFERROR(__xludf.DUMMYFUNCTION("""COMPUTED_VALUE"""),200667.0)</f>
        <v>200667</v>
      </c>
      <c r="G2982" s="115">
        <f>IFERROR(__xludf.DUMMYFUNCTION("""COMPUTED_VALUE"""),5351.0)</f>
        <v>5351</v>
      </c>
      <c r="H2982" s="116">
        <f>IFERROR(__xludf.DUMMYFUNCTION("""COMPUTED_VALUE"""),45906.0)</f>
        <v>45906</v>
      </c>
      <c r="I2982" s="115" t="str">
        <f>IFERROR(__xludf.DUMMYFUNCTION("""COMPUTED_VALUE"""),"14")</f>
        <v>14</v>
      </c>
      <c r="J2982" s="115" t="str">
        <f>IFERROR(__xludf.DUMMYFUNCTION("""COMPUTED_VALUE"""),"Girish Chand2025-09-0614")</f>
        <v>Girish Chand2025-09-0614</v>
      </c>
      <c r="K2982" s="115">
        <f>IFERROR(__xludf.DUMMYFUNCTION("""COMPUTED_VALUE"""),475089.0)</f>
        <v>475089</v>
      </c>
    </row>
    <row r="2983">
      <c r="A2983" s="115" t="str">
        <f>IFERROR(__xludf.DUMMYFUNCTION("""COMPUTED_VALUE"""),"EAST")</f>
        <v>EAST</v>
      </c>
      <c r="B2983" s="115" t="str">
        <f>IFERROR(__xludf.DUMMYFUNCTION("""COMPUTED_VALUE"""),"Girish Chand")</f>
        <v>Girish Chand</v>
      </c>
      <c r="C2983" s="115" t="str">
        <f>IFERROR(__xludf.DUMMYFUNCTION("""COMPUTED_VALUE"""),"MYNTRA")</f>
        <v>MYNTRA</v>
      </c>
      <c r="D2983" s="115">
        <f>IFERROR(__xludf.DUMMYFUNCTION("""COMPUTED_VALUE"""),37778.0)</f>
        <v>37778</v>
      </c>
      <c r="E2983" s="115">
        <f>IFERROR(__xludf.DUMMYFUNCTION("""COMPUTED_VALUE"""),6993.0)</f>
        <v>6993</v>
      </c>
      <c r="F2983" s="115">
        <f>IFERROR(__xludf.DUMMYFUNCTION("""COMPUTED_VALUE"""),18855.0)</f>
        <v>18855</v>
      </c>
      <c r="G2983" s="115">
        <f>IFERROR(__xludf.DUMMYFUNCTION("""COMPUTED_VALUE"""),1242.0)</f>
        <v>1242</v>
      </c>
      <c r="H2983" s="116">
        <f>IFERROR(__xludf.DUMMYFUNCTION("""COMPUTED_VALUE"""),45906.0)</f>
        <v>45906</v>
      </c>
      <c r="I2983" s="115" t="str">
        <f>IFERROR(__xludf.DUMMYFUNCTION("""COMPUTED_VALUE"""),"14")</f>
        <v>14</v>
      </c>
      <c r="J2983" s="115" t="str">
        <f>IFERROR(__xludf.DUMMYFUNCTION("""COMPUTED_VALUE"""),"Girish Chand2025-09-0614")</f>
        <v>Girish Chand2025-09-0614</v>
      </c>
      <c r="K2983" s="115">
        <f>IFERROR(__xludf.DUMMYFUNCTION("""COMPUTED_VALUE"""),44771.0)</f>
        <v>44771</v>
      </c>
    </row>
    <row r="2984">
      <c r="A2984" s="115" t="str">
        <f>IFERROR(__xludf.DUMMYFUNCTION("""COMPUTED_VALUE"""),"EAST")</f>
        <v>EAST</v>
      </c>
      <c r="B2984" s="115" t="str">
        <f>IFERROR(__xludf.DUMMYFUNCTION("""COMPUTED_VALUE"""),"Parag Kashyap")</f>
        <v>Parag Kashyap</v>
      </c>
      <c r="C2984" s="115" t="str">
        <f>IFERROR(__xludf.DUMMYFUNCTION("""COMPUTED_VALUE"""),"EXTERNAL")</f>
        <v>EXTERNAL</v>
      </c>
      <c r="D2984" s="115">
        <f>IFERROR(__xludf.DUMMYFUNCTION("""COMPUTED_VALUE"""),17400.0)</f>
        <v>17400</v>
      </c>
      <c r="E2984" s="115">
        <f>IFERROR(__xludf.DUMMYFUNCTION("""COMPUTED_VALUE"""),965.0)</f>
        <v>965</v>
      </c>
      <c r="F2984" s="115">
        <f>IFERROR(__xludf.DUMMYFUNCTION("""COMPUTED_VALUE"""),4255.0)</f>
        <v>4255</v>
      </c>
      <c r="G2984" s="115">
        <f>IFERROR(__xludf.DUMMYFUNCTION("""COMPUTED_VALUE"""),65.0)</f>
        <v>65</v>
      </c>
      <c r="H2984" s="116">
        <f>IFERROR(__xludf.DUMMYFUNCTION("""COMPUTED_VALUE"""),45906.0)</f>
        <v>45906</v>
      </c>
      <c r="I2984" s="115" t="str">
        <f>IFERROR(__xludf.DUMMYFUNCTION("""COMPUTED_VALUE"""),"14")</f>
        <v>14</v>
      </c>
      <c r="J2984" s="115" t="str">
        <f>IFERROR(__xludf.DUMMYFUNCTION("""COMPUTED_VALUE"""),"Parag Kashyap2025-09-0614")</f>
        <v>Parag Kashyap2025-09-0614</v>
      </c>
      <c r="K2984" s="115">
        <f>IFERROR(__xludf.DUMMYFUNCTION("""COMPUTED_VALUE"""),18365.0)</f>
        <v>18365</v>
      </c>
    </row>
    <row r="2985">
      <c r="A2985" s="115" t="str">
        <f>IFERROR(__xludf.DUMMYFUNCTION("""COMPUTED_VALUE"""),"EAST")</f>
        <v>EAST</v>
      </c>
      <c r="B2985" s="115" t="str">
        <f>IFERROR(__xludf.DUMMYFUNCTION("""COMPUTED_VALUE"""),"Parag Kashyap")</f>
        <v>Parag Kashyap</v>
      </c>
      <c r="C2985" s="115" t="str">
        <f>IFERROR(__xludf.DUMMYFUNCTION("""COMPUTED_VALUE"""),"FLIPKART")</f>
        <v>FLIPKART</v>
      </c>
      <c r="D2985" s="115">
        <f>IFERROR(__xludf.DUMMYFUNCTION("""COMPUTED_VALUE"""),278080.0)</f>
        <v>278080</v>
      </c>
      <c r="E2985" s="115">
        <f>IFERROR(__xludf.DUMMYFUNCTION("""COMPUTED_VALUE"""),17951.0)</f>
        <v>17951</v>
      </c>
      <c r="F2985" s="115">
        <f>IFERROR(__xludf.DUMMYFUNCTION("""COMPUTED_VALUE"""),121998.0)</f>
        <v>121998</v>
      </c>
      <c r="G2985" s="115">
        <f>IFERROR(__xludf.DUMMYFUNCTION("""COMPUTED_VALUE"""),2070.0)</f>
        <v>2070</v>
      </c>
      <c r="H2985" s="116">
        <f>IFERROR(__xludf.DUMMYFUNCTION("""COMPUTED_VALUE"""),45906.0)</f>
        <v>45906</v>
      </c>
      <c r="I2985" s="115" t="str">
        <f>IFERROR(__xludf.DUMMYFUNCTION("""COMPUTED_VALUE"""),"14")</f>
        <v>14</v>
      </c>
      <c r="J2985" s="115" t="str">
        <f>IFERROR(__xludf.DUMMYFUNCTION("""COMPUTED_VALUE"""),"Parag Kashyap2025-09-0614")</f>
        <v>Parag Kashyap2025-09-0614</v>
      </c>
      <c r="K2985" s="115">
        <f>IFERROR(__xludf.DUMMYFUNCTION("""COMPUTED_VALUE"""),296031.0)</f>
        <v>296031</v>
      </c>
    </row>
    <row r="2986">
      <c r="A2986" s="115" t="str">
        <f>IFERROR(__xludf.DUMMYFUNCTION("""COMPUTED_VALUE"""),"EAST")</f>
        <v>EAST</v>
      </c>
      <c r="B2986" s="115" t="str">
        <f>IFERROR(__xludf.DUMMYFUNCTION("""COMPUTED_VALUE"""),"Parag Kashyap")</f>
        <v>Parag Kashyap</v>
      </c>
      <c r="C2986" s="115" t="str">
        <f>IFERROR(__xludf.DUMMYFUNCTION("""COMPUTED_VALUE"""),"MYNTRA")</f>
        <v>MYNTRA</v>
      </c>
      <c r="D2986" s="115">
        <f>IFERROR(__xludf.DUMMYFUNCTION("""COMPUTED_VALUE"""),34824.0)</f>
        <v>34824</v>
      </c>
      <c r="E2986" s="115">
        <f>IFERROR(__xludf.DUMMYFUNCTION("""COMPUTED_VALUE"""),4880.0)</f>
        <v>4880</v>
      </c>
      <c r="F2986" s="115">
        <f>IFERROR(__xludf.DUMMYFUNCTION("""COMPUTED_VALUE"""),16439.0)</f>
        <v>16439</v>
      </c>
      <c r="G2986" s="115">
        <f>IFERROR(__xludf.DUMMYFUNCTION("""COMPUTED_VALUE"""),650.0)</f>
        <v>650</v>
      </c>
      <c r="H2986" s="116">
        <f>IFERROR(__xludf.DUMMYFUNCTION("""COMPUTED_VALUE"""),45906.0)</f>
        <v>45906</v>
      </c>
      <c r="I2986" s="115" t="str">
        <f>IFERROR(__xludf.DUMMYFUNCTION("""COMPUTED_VALUE"""),"14")</f>
        <v>14</v>
      </c>
      <c r="J2986" s="115" t="str">
        <f>IFERROR(__xludf.DUMMYFUNCTION("""COMPUTED_VALUE"""),"Parag Kashyap2025-09-0614")</f>
        <v>Parag Kashyap2025-09-0614</v>
      </c>
      <c r="K2986" s="115">
        <f>IFERROR(__xludf.DUMMYFUNCTION("""COMPUTED_VALUE"""),39704.0)</f>
        <v>39704</v>
      </c>
    </row>
    <row r="2987">
      <c r="A2987" s="115" t="str">
        <f>IFERROR(__xludf.DUMMYFUNCTION("""COMPUTED_VALUE"""),"NORTH")</f>
        <v>NORTH</v>
      </c>
      <c r="B2987" s="115" t="str">
        <f>IFERROR(__xludf.DUMMYFUNCTION("""COMPUTED_VALUE"""),"Amit Kumar Pathak")</f>
        <v>Amit Kumar Pathak</v>
      </c>
      <c r="C2987" s="115" t="str">
        <f>IFERROR(__xludf.DUMMYFUNCTION("""COMPUTED_VALUE"""),"EXTERNAL")</f>
        <v>EXTERNAL</v>
      </c>
      <c r="D2987" s="115">
        <f>IFERROR(__xludf.DUMMYFUNCTION("""COMPUTED_VALUE"""),24628.0)</f>
        <v>24628</v>
      </c>
      <c r="E2987" s="115">
        <f>IFERROR(__xludf.DUMMYFUNCTION("""COMPUTED_VALUE"""),3243.0)</f>
        <v>3243</v>
      </c>
      <c r="F2987" s="115">
        <f>IFERROR(__xludf.DUMMYFUNCTION("""COMPUTED_VALUE"""),5550.0)</f>
        <v>5550</v>
      </c>
      <c r="G2987" s="115">
        <f>IFERROR(__xludf.DUMMYFUNCTION("""COMPUTED_VALUE"""),643.0)</f>
        <v>643</v>
      </c>
      <c r="H2987" s="116">
        <f>IFERROR(__xludf.DUMMYFUNCTION("""COMPUTED_VALUE"""),45906.0)</f>
        <v>45906</v>
      </c>
      <c r="I2987" s="115" t="str">
        <f>IFERROR(__xludf.DUMMYFUNCTION("""COMPUTED_VALUE"""),"14")</f>
        <v>14</v>
      </c>
      <c r="J2987" s="115" t="str">
        <f>IFERROR(__xludf.DUMMYFUNCTION("""COMPUTED_VALUE"""),"Amit Kumar Pathak2025-09-0614")</f>
        <v>Amit Kumar Pathak2025-09-0614</v>
      </c>
      <c r="K2987" s="115">
        <f>IFERROR(__xludf.DUMMYFUNCTION("""COMPUTED_VALUE"""),27871.0)</f>
        <v>27871</v>
      </c>
    </row>
    <row r="2988">
      <c r="A2988" s="115" t="str">
        <f>IFERROR(__xludf.DUMMYFUNCTION("""COMPUTED_VALUE"""),"NORTH")</f>
        <v>NORTH</v>
      </c>
      <c r="B2988" s="115" t="str">
        <f>IFERROR(__xludf.DUMMYFUNCTION("""COMPUTED_VALUE"""),"Amit Kumar Pathak")</f>
        <v>Amit Kumar Pathak</v>
      </c>
      <c r="C2988" s="115" t="str">
        <f>IFERROR(__xludf.DUMMYFUNCTION("""COMPUTED_VALUE"""),"FLIPKART")</f>
        <v>FLIPKART</v>
      </c>
      <c r="D2988" s="115">
        <f>IFERROR(__xludf.DUMMYFUNCTION("""COMPUTED_VALUE"""),152675.0)</f>
        <v>152675</v>
      </c>
      <c r="E2988" s="115">
        <f>IFERROR(__xludf.DUMMYFUNCTION("""COMPUTED_VALUE"""),22064.0)</f>
        <v>22064</v>
      </c>
      <c r="F2988" s="115">
        <f>IFERROR(__xludf.DUMMYFUNCTION("""COMPUTED_VALUE"""),66547.0)</f>
        <v>66547</v>
      </c>
      <c r="G2988" s="115">
        <f>IFERROR(__xludf.DUMMYFUNCTION("""COMPUTED_VALUE"""),6029.0)</f>
        <v>6029</v>
      </c>
      <c r="H2988" s="116">
        <f>IFERROR(__xludf.DUMMYFUNCTION("""COMPUTED_VALUE"""),45906.0)</f>
        <v>45906</v>
      </c>
      <c r="I2988" s="115" t="str">
        <f>IFERROR(__xludf.DUMMYFUNCTION("""COMPUTED_VALUE"""),"14")</f>
        <v>14</v>
      </c>
      <c r="J2988" s="115" t="str">
        <f>IFERROR(__xludf.DUMMYFUNCTION("""COMPUTED_VALUE"""),"Amit Kumar Pathak2025-09-0614")</f>
        <v>Amit Kumar Pathak2025-09-0614</v>
      </c>
      <c r="K2988" s="115">
        <f>IFERROR(__xludf.DUMMYFUNCTION("""COMPUTED_VALUE"""),174739.0)</f>
        <v>174739</v>
      </c>
    </row>
    <row r="2989">
      <c r="A2989" s="115" t="str">
        <f>IFERROR(__xludf.DUMMYFUNCTION("""COMPUTED_VALUE"""),"NORTH")</f>
        <v>NORTH</v>
      </c>
      <c r="B2989" s="115" t="str">
        <f>IFERROR(__xludf.DUMMYFUNCTION("""COMPUTED_VALUE"""),"Amit Kumar Pathak")</f>
        <v>Amit Kumar Pathak</v>
      </c>
      <c r="C2989" s="115" t="str">
        <f>IFERROR(__xludf.DUMMYFUNCTION("""COMPUTED_VALUE"""),"MYNTRA")</f>
        <v>MYNTRA</v>
      </c>
      <c r="D2989" s="115">
        <f>IFERROR(__xludf.DUMMYFUNCTION("""COMPUTED_VALUE"""),14760.0)</f>
        <v>14760</v>
      </c>
      <c r="E2989" s="115">
        <f>IFERROR(__xludf.DUMMYFUNCTION("""COMPUTED_VALUE"""),5619.0)</f>
        <v>5619</v>
      </c>
      <c r="F2989" s="115">
        <f>IFERROR(__xludf.DUMMYFUNCTION("""COMPUTED_VALUE"""),8049.0)</f>
        <v>8049</v>
      </c>
      <c r="G2989" s="115">
        <f>IFERROR(__xludf.DUMMYFUNCTION("""COMPUTED_VALUE"""),1724.0)</f>
        <v>1724</v>
      </c>
      <c r="H2989" s="116">
        <f>IFERROR(__xludf.DUMMYFUNCTION("""COMPUTED_VALUE"""),45906.0)</f>
        <v>45906</v>
      </c>
      <c r="I2989" s="115" t="str">
        <f>IFERROR(__xludf.DUMMYFUNCTION("""COMPUTED_VALUE"""),"14")</f>
        <v>14</v>
      </c>
      <c r="J2989" s="115" t="str">
        <f>IFERROR(__xludf.DUMMYFUNCTION("""COMPUTED_VALUE"""),"Amit Kumar Pathak2025-09-0614")</f>
        <v>Amit Kumar Pathak2025-09-0614</v>
      </c>
      <c r="K2989" s="115">
        <f>IFERROR(__xludf.DUMMYFUNCTION("""COMPUTED_VALUE"""),20379.0)</f>
        <v>20379</v>
      </c>
    </row>
    <row r="2990">
      <c r="A2990" s="115" t="str">
        <f>IFERROR(__xludf.DUMMYFUNCTION("""COMPUTED_VALUE"""),"NORTH")</f>
        <v>NORTH</v>
      </c>
      <c r="B2990" s="115" t="str">
        <f>IFERROR(__xludf.DUMMYFUNCTION("""COMPUTED_VALUE"""),"Loveleen Singh")</f>
        <v>Loveleen Singh</v>
      </c>
      <c r="C2990" s="115" t="str">
        <f>IFERROR(__xludf.DUMMYFUNCTION("""COMPUTED_VALUE"""),"EXTERNAL")</f>
        <v>EXTERNAL</v>
      </c>
      <c r="D2990" s="115">
        <f>IFERROR(__xludf.DUMMYFUNCTION("""COMPUTED_VALUE"""),30987.0)</f>
        <v>30987</v>
      </c>
      <c r="E2990" s="115">
        <f>IFERROR(__xludf.DUMMYFUNCTION("""COMPUTED_VALUE"""),1942.0)</f>
        <v>1942</v>
      </c>
      <c r="F2990" s="115">
        <f>IFERROR(__xludf.DUMMYFUNCTION("""COMPUTED_VALUE"""),6437.0)</f>
        <v>6437</v>
      </c>
      <c r="G2990" s="115">
        <f>IFERROR(__xludf.DUMMYFUNCTION("""COMPUTED_VALUE"""),196.0)</f>
        <v>196</v>
      </c>
      <c r="H2990" s="116">
        <f>IFERROR(__xludf.DUMMYFUNCTION("""COMPUTED_VALUE"""),45906.0)</f>
        <v>45906</v>
      </c>
      <c r="I2990" s="115" t="str">
        <f>IFERROR(__xludf.DUMMYFUNCTION("""COMPUTED_VALUE"""),"14")</f>
        <v>14</v>
      </c>
      <c r="J2990" s="115" t="str">
        <f>IFERROR(__xludf.DUMMYFUNCTION("""COMPUTED_VALUE"""),"Loveleen Singh2025-09-0614")</f>
        <v>Loveleen Singh2025-09-0614</v>
      </c>
      <c r="K2990" s="115">
        <f>IFERROR(__xludf.DUMMYFUNCTION("""COMPUTED_VALUE"""),32929.0)</f>
        <v>32929</v>
      </c>
    </row>
    <row r="2991">
      <c r="A2991" s="115" t="str">
        <f>IFERROR(__xludf.DUMMYFUNCTION("""COMPUTED_VALUE"""),"NORTH")</f>
        <v>NORTH</v>
      </c>
      <c r="B2991" s="115" t="str">
        <f>IFERROR(__xludf.DUMMYFUNCTION("""COMPUTED_VALUE"""),"Loveleen Singh")</f>
        <v>Loveleen Singh</v>
      </c>
      <c r="C2991" s="115" t="str">
        <f>IFERROR(__xludf.DUMMYFUNCTION("""COMPUTED_VALUE"""),"FLIPKART")</f>
        <v>FLIPKART</v>
      </c>
      <c r="D2991" s="115">
        <f>IFERROR(__xludf.DUMMYFUNCTION("""COMPUTED_VALUE"""),153872.0)</f>
        <v>153872</v>
      </c>
      <c r="E2991" s="115">
        <f>IFERROR(__xludf.DUMMYFUNCTION("""COMPUTED_VALUE"""),15128.0)</f>
        <v>15128</v>
      </c>
      <c r="F2991" s="115">
        <f>IFERROR(__xludf.DUMMYFUNCTION("""COMPUTED_VALUE"""),66207.0)</f>
        <v>66207</v>
      </c>
      <c r="G2991" s="115">
        <f>IFERROR(__xludf.DUMMYFUNCTION("""COMPUTED_VALUE"""),2559.0)</f>
        <v>2559</v>
      </c>
      <c r="H2991" s="116">
        <f>IFERROR(__xludf.DUMMYFUNCTION("""COMPUTED_VALUE"""),45906.0)</f>
        <v>45906</v>
      </c>
      <c r="I2991" s="115" t="str">
        <f>IFERROR(__xludf.DUMMYFUNCTION("""COMPUTED_VALUE"""),"14")</f>
        <v>14</v>
      </c>
      <c r="J2991" s="115" t="str">
        <f>IFERROR(__xludf.DUMMYFUNCTION("""COMPUTED_VALUE"""),"Loveleen Singh2025-09-0614")</f>
        <v>Loveleen Singh2025-09-0614</v>
      </c>
      <c r="K2991" s="115">
        <f>IFERROR(__xludf.DUMMYFUNCTION("""COMPUTED_VALUE"""),169000.0)</f>
        <v>169000</v>
      </c>
    </row>
    <row r="2992">
      <c r="A2992" s="115" t="str">
        <f>IFERROR(__xludf.DUMMYFUNCTION("""COMPUTED_VALUE"""),"NORTH")</f>
        <v>NORTH</v>
      </c>
      <c r="B2992" s="115" t="str">
        <f>IFERROR(__xludf.DUMMYFUNCTION("""COMPUTED_VALUE"""),"Loveleen Singh")</f>
        <v>Loveleen Singh</v>
      </c>
      <c r="C2992" s="115" t="str">
        <f>IFERROR(__xludf.DUMMYFUNCTION("""COMPUTED_VALUE"""),"MYNTRA")</f>
        <v>MYNTRA</v>
      </c>
      <c r="D2992" s="115">
        <f>IFERROR(__xludf.DUMMYFUNCTION("""COMPUTED_VALUE"""),25226.0)</f>
        <v>25226</v>
      </c>
      <c r="E2992" s="115">
        <f>IFERROR(__xludf.DUMMYFUNCTION("""COMPUTED_VALUE"""),6107.0)</f>
        <v>6107</v>
      </c>
      <c r="F2992" s="115">
        <f>IFERROR(__xludf.DUMMYFUNCTION("""COMPUTED_VALUE"""),13024.0)</f>
        <v>13024</v>
      </c>
      <c r="G2992" s="115">
        <f>IFERROR(__xludf.DUMMYFUNCTION("""COMPUTED_VALUE"""),1207.0)</f>
        <v>1207</v>
      </c>
      <c r="H2992" s="116">
        <f>IFERROR(__xludf.DUMMYFUNCTION("""COMPUTED_VALUE"""),45906.0)</f>
        <v>45906</v>
      </c>
      <c r="I2992" s="115" t="str">
        <f>IFERROR(__xludf.DUMMYFUNCTION("""COMPUTED_VALUE"""),"14")</f>
        <v>14</v>
      </c>
      <c r="J2992" s="115" t="str">
        <f>IFERROR(__xludf.DUMMYFUNCTION("""COMPUTED_VALUE"""),"Loveleen Singh2025-09-0614")</f>
        <v>Loveleen Singh2025-09-0614</v>
      </c>
      <c r="K2992" s="115">
        <f>IFERROR(__xludf.DUMMYFUNCTION("""COMPUTED_VALUE"""),31333.0)</f>
        <v>31333</v>
      </c>
    </row>
    <row r="2993">
      <c r="A2993" s="115" t="str">
        <f>IFERROR(__xludf.DUMMYFUNCTION("""COMPUTED_VALUE"""),"NORTH")</f>
        <v>NORTH</v>
      </c>
      <c r="B2993" s="115" t="str">
        <f>IFERROR(__xludf.DUMMYFUNCTION("""COMPUTED_VALUE"""),"Manoj Harsh")</f>
        <v>Manoj Harsh</v>
      </c>
      <c r="C2993" s="115" t="str">
        <f>IFERROR(__xludf.DUMMYFUNCTION("""COMPUTED_VALUE"""),"EXTERNAL")</f>
        <v>EXTERNAL</v>
      </c>
      <c r="D2993" s="115">
        <f>IFERROR(__xludf.DUMMYFUNCTION("""COMPUTED_VALUE"""),37450.0)</f>
        <v>37450</v>
      </c>
      <c r="E2993" s="115">
        <f>IFERROR(__xludf.DUMMYFUNCTION("""COMPUTED_VALUE"""),2780.0)</f>
        <v>2780</v>
      </c>
      <c r="F2993" s="115">
        <f>IFERROR(__xludf.DUMMYFUNCTION("""COMPUTED_VALUE"""),9156.0)</f>
        <v>9156</v>
      </c>
      <c r="G2993" s="115">
        <f>IFERROR(__xludf.DUMMYFUNCTION("""COMPUTED_VALUE"""),214.0)</f>
        <v>214</v>
      </c>
      <c r="H2993" s="116">
        <f>IFERROR(__xludf.DUMMYFUNCTION("""COMPUTED_VALUE"""),45906.0)</f>
        <v>45906</v>
      </c>
      <c r="I2993" s="115" t="str">
        <f>IFERROR(__xludf.DUMMYFUNCTION("""COMPUTED_VALUE"""),"14")</f>
        <v>14</v>
      </c>
      <c r="J2993" s="115" t="str">
        <f>IFERROR(__xludf.DUMMYFUNCTION("""COMPUTED_VALUE"""),"Manoj Harsh2025-09-0614")</f>
        <v>Manoj Harsh2025-09-0614</v>
      </c>
      <c r="K2993" s="115">
        <f>IFERROR(__xludf.DUMMYFUNCTION("""COMPUTED_VALUE"""),40230.0)</f>
        <v>40230</v>
      </c>
    </row>
    <row r="2994">
      <c r="A2994" s="115" t="str">
        <f>IFERROR(__xludf.DUMMYFUNCTION("""COMPUTED_VALUE"""),"NORTH")</f>
        <v>NORTH</v>
      </c>
      <c r="B2994" s="115" t="str">
        <f>IFERROR(__xludf.DUMMYFUNCTION("""COMPUTED_VALUE"""),"Manoj Harsh")</f>
        <v>Manoj Harsh</v>
      </c>
      <c r="C2994" s="115" t="str">
        <f>IFERROR(__xludf.DUMMYFUNCTION("""COMPUTED_VALUE"""),"FLIPKART")</f>
        <v>FLIPKART</v>
      </c>
      <c r="D2994" s="115">
        <f>IFERROR(__xludf.DUMMYFUNCTION("""COMPUTED_VALUE"""),416179.0)</f>
        <v>416179</v>
      </c>
      <c r="E2994" s="115">
        <f>IFERROR(__xludf.DUMMYFUNCTION("""COMPUTED_VALUE"""),39802.0)</f>
        <v>39802</v>
      </c>
      <c r="F2994" s="115">
        <f>IFERROR(__xludf.DUMMYFUNCTION("""COMPUTED_VALUE"""),172343.0)</f>
        <v>172343</v>
      </c>
      <c r="G2994" s="115">
        <f>IFERROR(__xludf.DUMMYFUNCTION("""COMPUTED_VALUE"""),5791.0)</f>
        <v>5791</v>
      </c>
      <c r="H2994" s="116">
        <f>IFERROR(__xludf.DUMMYFUNCTION("""COMPUTED_VALUE"""),45906.0)</f>
        <v>45906</v>
      </c>
      <c r="I2994" s="115" t="str">
        <f>IFERROR(__xludf.DUMMYFUNCTION("""COMPUTED_VALUE"""),"14")</f>
        <v>14</v>
      </c>
      <c r="J2994" s="115" t="str">
        <f>IFERROR(__xludf.DUMMYFUNCTION("""COMPUTED_VALUE"""),"Manoj Harsh2025-09-0614")</f>
        <v>Manoj Harsh2025-09-0614</v>
      </c>
      <c r="K2994" s="115">
        <f>IFERROR(__xludf.DUMMYFUNCTION("""COMPUTED_VALUE"""),455981.0)</f>
        <v>455981</v>
      </c>
    </row>
    <row r="2995">
      <c r="A2995" s="115" t="str">
        <f>IFERROR(__xludf.DUMMYFUNCTION("""COMPUTED_VALUE"""),"NORTH")</f>
        <v>NORTH</v>
      </c>
      <c r="B2995" s="115" t="str">
        <f>IFERROR(__xludf.DUMMYFUNCTION("""COMPUTED_VALUE"""),"Manoj Harsh")</f>
        <v>Manoj Harsh</v>
      </c>
      <c r="C2995" s="115" t="str">
        <f>IFERROR(__xludf.DUMMYFUNCTION("""COMPUTED_VALUE"""),"MYNTRA")</f>
        <v>MYNTRA</v>
      </c>
      <c r="D2995" s="115">
        <f>IFERROR(__xludf.DUMMYFUNCTION("""COMPUTED_VALUE"""),39017.0)</f>
        <v>39017</v>
      </c>
      <c r="E2995" s="115">
        <f>IFERROR(__xludf.DUMMYFUNCTION("""COMPUTED_VALUE"""),7514.0)</f>
        <v>7514</v>
      </c>
      <c r="F2995" s="115">
        <f>IFERROR(__xludf.DUMMYFUNCTION("""COMPUTED_VALUE"""),19224.0)</f>
        <v>19224</v>
      </c>
      <c r="G2995" s="115">
        <f>IFERROR(__xludf.DUMMYFUNCTION("""COMPUTED_VALUE"""),1364.0)</f>
        <v>1364</v>
      </c>
      <c r="H2995" s="116">
        <f>IFERROR(__xludf.DUMMYFUNCTION("""COMPUTED_VALUE"""),45906.0)</f>
        <v>45906</v>
      </c>
      <c r="I2995" s="115" t="str">
        <f>IFERROR(__xludf.DUMMYFUNCTION("""COMPUTED_VALUE"""),"14")</f>
        <v>14</v>
      </c>
      <c r="J2995" s="115" t="str">
        <f>IFERROR(__xludf.DUMMYFUNCTION("""COMPUTED_VALUE"""),"Manoj Harsh2025-09-0614")</f>
        <v>Manoj Harsh2025-09-0614</v>
      </c>
      <c r="K2995" s="115">
        <f>IFERROR(__xludf.DUMMYFUNCTION("""COMPUTED_VALUE"""),46531.0)</f>
        <v>46531</v>
      </c>
    </row>
    <row r="2996">
      <c r="A2996" s="115" t="str">
        <f>IFERROR(__xludf.DUMMYFUNCTION("""COMPUTED_VALUE"""),"NORTH")</f>
        <v>NORTH</v>
      </c>
      <c r="B2996" s="115" t="str">
        <f>IFERROR(__xludf.DUMMYFUNCTION("""COMPUTED_VALUE"""),"Pradeep Kothari")</f>
        <v>Pradeep Kothari</v>
      </c>
      <c r="C2996" s="115" t="str">
        <f>IFERROR(__xludf.DUMMYFUNCTION("""COMPUTED_VALUE"""),"EXTERNAL")</f>
        <v>EXTERNAL</v>
      </c>
      <c r="D2996" s="115">
        <f>IFERROR(__xludf.DUMMYFUNCTION("""COMPUTED_VALUE"""),18090.0)</f>
        <v>18090</v>
      </c>
      <c r="E2996" s="115">
        <f>IFERROR(__xludf.DUMMYFUNCTION("""COMPUTED_VALUE"""),1827.0)</f>
        <v>1827</v>
      </c>
      <c r="F2996" s="115">
        <f>IFERROR(__xludf.DUMMYFUNCTION("""COMPUTED_VALUE"""),5106.0)</f>
        <v>5106</v>
      </c>
      <c r="G2996" s="115">
        <f>IFERROR(__xludf.DUMMYFUNCTION("""COMPUTED_VALUE"""),362.0)</f>
        <v>362</v>
      </c>
      <c r="H2996" s="116">
        <f>IFERROR(__xludf.DUMMYFUNCTION("""COMPUTED_VALUE"""),45906.0)</f>
        <v>45906</v>
      </c>
      <c r="I2996" s="115" t="str">
        <f>IFERROR(__xludf.DUMMYFUNCTION("""COMPUTED_VALUE"""),"14")</f>
        <v>14</v>
      </c>
      <c r="J2996" s="115" t="str">
        <f>IFERROR(__xludf.DUMMYFUNCTION("""COMPUTED_VALUE"""),"Pradeep Kothari2025-09-0614")</f>
        <v>Pradeep Kothari2025-09-0614</v>
      </c>
      <c r="K2996" s="115">
        <f>IFERROR(__xludf.DUMMYFUNCTION("""COMPUTED_VALUE"""),19917.0)</f>
        <v>19917</v>
      </c>
    </row>
    <row r="2997">
      <c r="A2997" s="115" t="str">
        <f>IFERROR(__xludf.DUMMYFUNCTION("""COMPUTED_VALUE"""),"NORTH")</f>
        <v>NORTH</v>
      </c>
      <c r="B2997" s="115" t="str">
        <f>IFERROR(__xludf.DUMMYFUNCTION("""COMPUTED_VALUE"""),"Pradeep Kothari")</f>
        <v>Pradeep Kothari</v>
      </c>
      <c r="C2997" s="115" t="str">
        <f>IFERROR(__xludf.DUMMYFUNCTION("""COMPUTED_VALUE"""),"FLIPKART")</f>
        <v>FLIPKART</v>
      </c>
      <c r="D2997" s="115">
        <f>IFERROR(__xludf.DUMMYFUNCTION("""COMPUTED_VALUE"""),131051.0)</f>
        <v>131051</v>
      </c>
      <c r="E2997" s="115">
        <f>IFERROR(__xludf.DUMMYFUNCTION("""COMPUTED_VALUE"""),15917.0)</f>
        <v>15917</v>
      </c>
      <c r="F2997" s="115">
        <f>IFERROR(__xludf.DUMMYFUNCTION("""COMPUTED_VALUE"""),68442.0)</f>
        <v>68442</v>
      </c>
      <c r="G2997" s="115">
        <f>IFERROR(__xludf.DUMMYFUNCTION("""COMPUTED_VALUE"""),4417.0)</f>
        <v>4417</v>
      </c>
      <c r="H2997" s="116">
        <f>IFERROR(__xludf.DUMMYFUNCTION("""COMPUTED_VALUE"""),45906.0)</f>
        <v>45906</v>
      </c>
      <c r="I2997" s="115" t="str">
        <f>IFERROR(__xludf.DUMMYFUNCTION("""COMPUTED_VALUE"""),"14")</f>
        <v>14</v>
      </c>
      <c r="J2997" s="115" t="str">
        <f>IFERROR(__xludf.DUMMYFUNCTION("""COMPUTED_VALUE"""),"Pradeep Kothari2025-09-0614")</f>
        <v>Pradeep Kothari2025-09-0614</v>
      </c>
      <c r="K2997" s="115">
        <f>IFERROR(__xludf.DUMMYFUNCTION("""COMPUTED_VALUE"""),146968.0)</f>
        <v>146968</v>
      </c>
    </row>
    <row r="2998">
      <c r="A2998" s="115" t="str">
        <f>IFERROR(__xludf.DUMMYFUNCTION("""COMPUTED_VALUE"""),"NORTH")</f>
        <v>NORTH</v>
      </c>
      <c r="B2998" s="115" t="str">
        <f>IFERROR(__xludf.DUMMYFUNCTION("""COMPUTED_VALUE"""),"Pradeep Kothari")</f>
        <v>Pradeep Kothari</v>
      </c>
      <c r="C2998" s="115" t="str">
        <f>IFERROR(__xludf.DUMMYFUNCTION("""COMPUTED_VALUE"""),"MYNTRA")</f>
        <v>MYNTRA</v>
      </c>
      <c r="D2998" s="115">
        <f>IFERROR(__xludf.DUMMYFUNCTION("""COMPUTED_VALUE"""),22726.0)</f>
        <v>22726</v>
      </c>
      <c r="E2998" s="115">
        <f>IFERROR(__xludf.DUMMYFUNCTION("""COMPUTED_VALUE"""),5800.0)</f>
        <v>5800</v>
      </c>
      <c r="F2998" s="115">
        <f>IFERROR(__xludf.DUMMYFUNCTION("""COMPUTED_VALUE"""),14214.0)</f>
        <v>14214</v>
      </c>
      <c r="G2998" s="115">
        <f>IFERROR(__xludf.DUMMYFUNCTION("""COMPUTED_VALUE"""),1881.0)</f>
        <v>1881</v>
      </c>
      <c r="H2998" s="116">
        <f>IFERROR(__xludf.DUMMYFUNCTION("""COMPUTED_VALUE"""),45906.0)</f>
        <v>45906</v>
      </c>
      <c r="I2998" s="115" t="str">
        <f>IFERROR(__xludf.DUMMYFUNCTION("""COMPUTED_VALUE"""),"14")</f>
        <v>14</v>
      </c>
      <c r="J2998" s="115" t="str">
        <f>IFERROR(__xludf.DUMMYFUNCTION("""COMPUTED_VALUE"""),"Pradeep Kothari2025-09-0614")</f>
        <v>Pradeep Kothari2025-09-0614</v>
      </c>
      <c r="K2998" s="115">
        <f>IFERROR(__xludf.DUMMYFUNCTION("""COMPUTED_VALUE"""),28526.0)</f>
        <v>28526</v>
      </c>
    </row>
    <row r="2999">
      <c r="A2999" s="115" t="str">
        <f>IFERROR(__xludf.DUMMYFUNCTION("""COMPUTED_VALUE"""),"SOUTH")</f>
        <v>SOUTH</v>
      </c>
      <c r="B2999" s="115" t="str">
        <f>IFERROR(__xludf.DUMMYFUNCTION("""COMPUTED_VALUE"""),"Kandula Sampath")</f>
        <v>Kandula Sampath</v>
      </c>
      <c r="C2999" s="115" t="str">
        <f>IFERROR(__xludf.DUMMYFUNCTION("""COMPUTED_VALUE"""),"EXTERNAL")</f>
        <v>EXTERNAL</v>
      </c>
      <c r="D2999" s="115">
        <f>IFERROR(__xludf.DUMMYFUNCTION("""COMPUTED_VALUE"""),33386.0)</f>
        <v>33386</v>
      </c>
      <c r="E2999" s="115">
        <f>IFERROR(__xludf.DUMMYFUNCTION("""COMPUTED_VALUE"""),2870.0)</f>
        <v>2870</v>
      </c>
      <c r="F2999" s="115">
        <f>IFERROR(__xludf.DUMMYFUNCTION("""COMPUTED_VALUE"""),9671.0)</f>
        <v>9671</v>
      </c>
      <c r="G2999" s="115">
        <f>IFERROR(__xludf.DUMMYFUNCTION("""COMPUTED_VALUE"""),359.0)</f>
        <v>359</v>
      </c>
      <c r="H2999" s="116">
        <f>IFERROR(__xludf.DUMMYFUNCTION("""COMPUTED_VALUE"""),45906.0)</f>
        <v>45906</v>
      </c>
      <c r="I2999" s="115" t="str">
        <f>IFERROR(__xludf.DUMMYFUNCTION("""COMPUTED_VALUE"""),"14")</f>
        <v>14</v>
      </c>
      <c r="J2999" s="115" t="str">
        <f>IFERROR(__xludf.DUMMYFUNCTION("""COMPUTED_VALUE"""),"Kandula Sampath2025-09-0614")</f>
        <v>Kandula Sampath2025-09-0614</v>
      </c>
      <c r="K2999" s="115">
        <f>IFERROR(__xludf.DUMMYFUNCTION("""COMPUTED_VALUE"""),36256.0)</f>
        <v>36256</v>
      </c>
    </row>
    <row r="3000">
      <c r="A3000" s="115" t="str">
        <f>IFERROR(__xludf.DUMMYFUNCTION("""COMPUTED_VALUE"""),"SOUTH")</f>
        <v>SOUTH</v>
      </c>
      <c r="B3000" s="115" t="str">
        <f>IFERROR(__xludf.DUMMYFUNCTION("""COMPUTED_VALUE"""),"Kandula Sampath")</f>
        <v>Kandula Sampath</v>
      </c>
      <c r="C3000" s="115" t="str">
        <f>IFERROR(__xludf.DUMMYFUNCTION("""COMPUTED_VALUE"""),"FLIPKART")</f>
        <v>FLIPKART</v>
      </c>
      <c r="D3000" s="115">
        <f>IFERROR(__xludf.DUMMYFUNCTION("""COMPUTED_VALUE"""),302190.0)</f>
        <v>302190</v>
      </c>
      <c r="E3000" s="115">
        <f>IFERROR(__xludf.DUMMYFUNCTION("""COMPUTED_VALUE"""),26906.0)</f>
        <v>26906</v>
      </c>
      <c r="F3000" s="115">
        <f>IFERROR(__xludf.DUMMYFUNCTION("""COMPUTED_VALUE"""),148816.0)</f>
        <v>148816</v>
      </c>
      <c r="G3000" s="115">
        <f>IFERROR(__xludf.DUMMYFUNCTION("""COMPUTED_VALUE"""),4822.0)</f>
        <v>4822</v>
      </c>
      <c r="H3000" s="116">
        <f>IFERROR(__xludf.DUMMYFUNCTION("""COMPUTED_VALUE"""),45906.0)</f>
        <v>45906</v>
      </c>
      <c r="I3000" s="115" t="str">
        <f>IFERROR(__xludf.DUMMYFUNCTION("""COMPUTED_VALUE"""),"14")</f>
        <v>14</v>
      </c>
      <c r="J3000" s="115" t="str">
        <f>IFERROR(__xludf.DUMMYFUNCTION("""COMPUTED_VALUE"""),"Kandula Sampath2025-09-0614")</f>
        <v>Kandula Sampath2025-09-0614</v>
      </c>
      <c r="K3000" s="115">
        <f>IFERROR(__xludf.DUMMYFUNCTION("""COMPUTED_VALUE"""),329096.0)</f>
        <v>329096</v>
      </c>
    </row>
    <row r="3001">
      <c r="A3001" s="115" t="str">
        <f>IFERROR(__xludf.DUMMYFUNCTION("""COMPUTED_VALUE"""),"SOUTH")</f>
        <v>SOUTH</v>
      </c>
      <c r="B3001" s="115" t="str">
        <f>IFERROR(__xludf.DUMMYFUNCTION("""COMPUTED_VALUE"""),"Kandula Sampath")</f>
        <v>Kandula Sampath</v>
      </c>
      <c r="C3001" s="115" t="str">
        <f>IFERROR(__xludf.DUMMYFUNCTION("""COMPUTED_VALUE"""),"MYNTRA")</f>
        <v>MYNTRA</v>
      </c>
      <c r="D3001" s="115">
        <f>IFERROR(__xludf.DUMMYFUNCTION("""COMPUTED_VALUE"""),35911.0)</f>
        <v>35911</v>
      </c>
      <c r="E3001" s="115">
        <f>IFERROR(__xludf.DUMMYFUNCTION("""COMPUTED_VALUE"""),7157.0)</f>
        <v>7157</v>
      </c>
      <c r="F3001" s="115">
        <f>IFERROR(__xludf.DUMMYFUNCTION("""COMPUTED_VALUE"""),20286.0)</f>
        <v>20286</v>
      </c>
      <c r="G3001" s="115">
        <f>IFERROR(__xludf.DUMMYFUNCTION("""COMPUTED_VALUE"""),1320.0)</f>
        <v>1320</v>
      </c>
      <c r="H3001" s="116">
        <f>IFERROR(__xludf.DUMMYFUNCTION("""COMPUTED_VALUE"""),45906.0)</f>
        <v>45906</v>
      </c>
      <c r="I3001" s="115" t="str">
        <f>IFERROR(__xludf.DUMMYFUNCTION("""COMPUTED_VALUE"""),"14")</f>
        <v>14</v>
      </c>
      <c r="J3001" s="115" t="str">
        <f>IFERROR(__xludf.DUMMYFUNCTION("""COMPUTED_VALUE"""),"Kandula Sampath2025-09-0614")</f>
        <v>Kandula Sampath2025-09-0614</v>
      </c>
      <c r="K3001" s="115">
        <f>IFERROR(__xludf.DUMMYFUNCTION("""COMPUTED_VALUE"""),43068.0)</f>
        <v>43068</v>
      </c>
    </row>
    <row r="3002">
      <c r="A3002" s="115" t="str">
        <f>IFERROR(__xludf.DUMMYFUNCTION("""COMPUTED_VALUE"""),"SOUTH")</f>
        <v>SOUTH</v>
      </c>
      <c r="B3002" s="115" t="str">
        <f>IFERROR(__xludf.DUMMYFUNCTION("""COMPUTED_VALUE"""),"Martin A")</f>
        <v>Martin A</v>
      </c>
      <c r="C3002" s="115" t="str">
        <f>IFERROR(__xludf.DUMMYFUNCTION("""COMPUTED_VALUE"""),"EXTERNAL")</f>
        <v>EXTERNAL</v>
      </c>
      <c r="D3002" s="115">
        <f>IFERROR(__xludf.DUMMYFUNCTION("""COMPUTED_VALUE"""),31692.0)</f>
        <v>31692</v>
      </c>
      <c r="E3002" s="115">
        <f>IFERROR(__xludf.DUMMYFUNCTION("""COMPUTED_VALUE"""),3129.0)</f>
        <v>3129</v>
      </c>
      <c r="F3002" s="115">
        <f>IFERROR(__xludf.DUMMYFUNCTION("""COMPUTED_VALUE"""),8802.0)</f>
        <v>8802</v>
      </c>
      <c r="G3002" s="115">
        <f>IFERROR(__xludf.DUMMYFUNCTION("""COMPUTED_VALUE"""),588.0)</f>
        <v>588</v>
      </c>
      <c r="H3002" s="116">
        <f>IFERROR(__xludf.DUMMYFUNCTION("""COMPUTED_VALUE"""),45906.0)</f>
        <v>45906</v>
      </c>
      <c r="I3002" s="115" t="str">
        <f>IFERROR(__xludf.DUMMYFUNCTION("""COMPUTED_VALUE"""),"14")</f>
        <v>14</v>
      </c>
      <c r="J3002" s="115" t="str">
        <f>IFERROR(__xludf.DUMMYFUNCTION("""COMPUTED_VALUE"""),"Martin A2025-09-0614")</f>
        <v>Martin A2025-09-0614</v>
      </c>
      <c r="K3002" s="115">
        <f>IFERROR(__xludf.DUMMYFUNCTION("""COMPUTED_VALUE"""),34821.0)</f>
        <v>34821</v>
      </c>
    </row>
    <row r="3003">
      <c r="A3003" s="115" t="str">
        <f>IFERROR(__xludf.DUMMYFUNCTION("""COMPUTED_VALUE"""),"SOUTH")</f>
        <v>SOUTH</v>
      </c>
      <c r="B3003" s="115" t="str">
        <f>IFERROR(__xludf.DUMMYFUNCTION("""COMPUTED_VALUE"""),"Martin A")</f>
        <v>Martin A</v>
      </c>
      <c r="C3003" s="115" t="str">
        <f>IFERROR(__xludf.DUMMYFUNCTION("""COMPUTED_VALUE"""),"FLIPKART")</f>
        <v>FLIPKART</v>
      </c>
      <c r="D3003" s="115">
        <f>IFERROR(__xludf.DUMMYFUNCTION("""COMPUTED_VALUE"""),271206.0)</f>
        <v>271206</v>
      </c>
      <c r="E3003" s="115">
        <f>IFERROR(__xludf.DUMMYFUNCTION("""COMPUTED_VALUE"""),23742.0)</f>
        <v>23742</v>
      </c>
      <c r="F3003" s="115">
        <f>IFERROR(__xludf.DUMMYFUNCTION("""COMPUTED_VALUE"""),132560.0)</f>
        <v>132560</v>
      </c>
      <c r="G3003" s="115">
        <f>IFERROR(__xludf.DUMMYFUNCTION("""COMPUTED_VALUE"""),5057.0)</f>
        <v>5057</v>
      </c>
      <c r="H3003" s="116">
        <f>IFERROR(__xludf.DUMMYFUNCTION("""COMPUTED_VALUE"""),45906.0)</f>
        <v>45906</v>
      </c>
      <c r="I3003" s="115" t="str">
        <f>IFERROR(__xludf.DUMMYFUNCTION("""COMPUTED_VALUE"""),"14")</f>
        <v>14</v>
      </c>
      <c r="J3003" s="115" t="str">
        <f>IFERROR(__xludf.DUMMYFUNCTION("""COMPUTED_VALUE"""),"Martin A2025-09-0614")</f>
        <v>Martin A2025-09-0614</v>
      </c>
      <c r="K3003" s="115">
        <f>IFERROR(__xludf.DUMMYFUNCTION("""COMPUTED_VALUE"""),294948.0)</f>
        <v>294948</v>
      </c>
    </row>
    <row r="3004">
      <c r="A3004" s="115" t="str">
        <f>IFERROR(__xludf.DUMMYFUNCTION("""COMPUTED_VALUE"""),"SOUTH")</f>
        <v>SOUTH</v>
      </c>
      <c r="B3004" s="115" t="str">
        <f>IFERROR(__xludf.DUMMYFUNCTION("""COMPUTED_VALUE"""),"Martin A")</f>
        <v>Martin A</v>
      </c>
      <c r="C3004" s="115" t="str">
        <f>IFERROR(__xludf.DUMMYFUNCTION("""COMPUTED_VALUE"""),"MYNTRA")</f>
        <v>MYNTRA</v>
      </c>
      <c r="D3004" s="115">
        <f>IFERROR(__xludf.DUMMYFUNCTION("""COMPUTED_VALUE"""),26112.0)</f>
        <v>26112</v>
      </c>
      <c r="E3004" s="115">
        <f>IFERROR(__xludf.DUMMYFUNCTION("""COMPUTED_VALUE"""),5903.0)</f>
        <v>5903</v>
      </c>
      <c r="F3004" s="115">
        <f>IFERROR(__xludf.DUMMYFUNCTION("""COMPUTED_VALUE"""),15183.0)</f>
        <v>15183</v>
      </c>
      <c r="G3004" s="115">
        <f>IFERROR(__xludf.DUMMYFUNCTION("""COMPUTED_VALUE"""),1506.0)</f>
        <v>1506</v>
      </c>
      <c r="H3004" s="116">
        <f>IFERROR(__xludf.DUMMYFUNCTION("""COMPUTED_VALUE"""),45906.0)</f>
        <v>45906</v>
      </c>
      <c r="I3004" s="115" t="str">
        <f>IFERROR(__xludf.DUMMYFUNCTION("""COMPUTED_VALUE"""),"14")</f>
        <v>14</v>
      </c>
      <c r="J3004" s="115" t="str">
        <f>IFERROR(__xludf.DUMMYFUNCTION("""COMPUTED_VALUE"""),"Martin A2025-09-0614")</f>
        <v>Martin A2025-09-0614</v>
      </c>
      <c r="K3004" s="115">
        <f>IFERROR(__xludf.DUMMYFUNCTION("""COMPUTED_VALUE"""),32015.0)</f>
        <v>32015</v>
      </c>
    </row>
    <row r="3005">
      <c r="A3005" s="115" t="str">
        <f>IFERROR(__xludf.DUMMYFUNCTION("""COMPUTED_VALUE"""),"SOUTH")</f>
        <v>SOUTH</v>
      </c>
      <c r="B3005" s="115" t="str">
        <f>IFERROR(__xludf.DUMMYFUNCTION("""COMPUTED_VALUE"""),"Premkumar M")</f>
        <v>Premkumar M</v>
      </c>
      <c r="C3005" s="115" t="str">
        <f>IFERROR(__xludf.DUMMYFUNCTION("""COMPUTED_VALUE"""),"EXTERNAL")</f>
        <v>EXTERNAL</v>
      </c>
      <c r="D3005" s="115">
        <f>IFERROR(__xludf.DUMMYFUNCTION("""COMPUTED_VALUE"""),28099.0)</f>
        <v>28099</v>
      </c>
      <c r="E3005" s="115">
        <f>IFERROR(__xludf.DUMMYFUNCTION("""COMPUTED_VALUE"""),1639.0)</f>
        <v>1639</v>
      </c>
      <c r="F3005" s="115">
        <f>IFERROR(__xludf.DUMMYFUNCTION("""COMPUTED_VALUE"""),7090.0)</f>
        <v>7090</v>
      </c>
      <c r="G3005" s="115">
        <f>IFERROR(__xludf.DUMMYFUNCTION("""COMPUTED_VALUE"""),110.0)</f>
        <v>110</v>
      </c>
      <c r="H3005" s="116">
        <f>IFERROR(__xludf.DUMMYFUNCTION("""COMPUTED_VALUE"""),45906.0)</f>
        <v>45906</v>
      </c>
      <c r="I3005" s="115" t="str">
        <f>IFERROR(__xludf.DUMMYFUNCTION("""COMPUTED_VALUE"""),"14")</f>
        <v>14</v>
      </c>
      <c r="J3005" s="115" t="str">
        <f>IFERROR(__xludf.DUMMYFUNCTION("""COMPUTED_VALUE"""),"Premkumar M2025-09-0614")</f>
        <v>Premkumar M2025-09-0614</v>
      </c>
      <c r="K3005" s="115">
        <f>IFERROR(__xludf.DUMMYFUNCTION("""COMPUTED_VALUE"""),29738.0)</f>
        <v>29738</v>
      </c>
    </row>
    <row r="3006">
      <c r="A3006" s="115" t="str">
        <f>IFERROR(__xludf.DUMMYFUNCTION("""COMPUTED_VALUE"""),"SOUTH")</f>
        <v>SOUTH</v>
      </c>
      <c r="B3006" s="115" t="str">
        <f>IFERROR(__xludf.DUMMYFUNCTION("""COMPUTED_VALUE"""),"Premkumar M")</f>
        <v>Premkumar M</v>
      </c>
      <c r="C3006" s="115" t="str">
        <f>IFERROR(__xludf.DUMMYFUNCTION("""COMPUTED_VALUE"""),"FLIPKART")</f>
        <v>FLIPKART</v>
      </c>
      <c r="D3006" s="115">
        <f>IFERROR(__xludf.DUMMYFUNCTION("""COMPUTED_VALUE"""),262399.0)</f>
        <v>262399</v>
      </c>
      <c r="E3006" s="115">
        <f>IFERROR(__xludf.DUMMYFUNCTION("""COMPUTED_VALUE"""),17894.0)</f>
        <v>17894</v>
      </c>
      <c r="F3006" s="115">
        <f>IFERROR(__xludf.DUMMYFUNCTION("""COMPUTED_VALUE"""),102138.0)</f>
        <v>102138</v>
      </c>
      <c r="G3006" s="115">
        <f>IFERROR(__xludf.DUMMYFUNCTION("""COMPUTED_VALUE"""),1527.0)</f>
        <v>1527</v>
      </c>
      <c r="H3006" s="116">
        <f>IFERROR(__xludf.DUMMYFUNCTION("""COMPUTED_VALUE"""),45906.0)</f>
        <v>45906</v>
      </c>
      <c r="I3006" s="115" t="str">
        <f>IFERROR(__xludf.DUMMYFUNCTION("""COMPUTED_VALUE"""),"14")</f>
        <v>14</v>
      </c>
      <c r="J3006" s="115" t="str">
        <f>IFERROR(__xludf.DUMMYFUNCTION("""COMPUTED_VALUE"""),"Premkumar M2025-09-0614")</f>
        <v>Premkumar M2025-09-0614</v>
      </c>
      <c r="K3006" s="115">
        <f>IFERROR(__xludf.DUMMYFUNCTION("""COMPUTED_VALUE"""),280293.0)</f>
        <v>280293</v>
      </c>
    </row>
    <row r="3007">
      <c r="A3007" s="115" t="str">
        <f>IFERROR(__xludf.DUMMYFUNCTION("""COMPUTED_VALUE"""),"SOUTH")</f>
        <v>SOUTH</v>
      </c>
      <c r="B3007" s="115" t="str">
        <f>IFERROR(__xludf.DUMMYFUNCTION("""COMPUTED_VALUE"""),"Premkumar M")</f>
        <v>Premkumar M</v>
      </c>
      <c r="C3007" s="115" t="str">
        <f>IFERROR(__xludf.DUMMYFUNCTION("""COMPUTED_VALUE"""),"MYNTRA")</f>
        <v>MYNTRA</v>
      </c>
      <c r="D3007" s="115">
        <f>IFERROR(__xludf.DUMMYFUNCTION("""COMPUTED_VALUE"""),14971.0)</f>
        <v>14971</v>
      </c>
      <c r="E3007" s="115">
        <f>IFERROR(__xludf.DUMMYFUNCTION("""COMPUTED_VALUE"""),2828.0)</f>
        <v>2828</v>
      </c>
      <c r="F3007" s="115">
        <f>IFERROR(__xludf.DUMMYFUNCTION("""COMPUTED_VALUE"""),6829.0)</f>
        <v>6829</v>
      </c>
      <c r="G3007" s="115">
        <f>IFERROR(__xludf.DUMMYFUNCTION("""COMPUTED_VALUE"""),275.0)</f>
        <v>275</v>
      </c>
      <c r="H3007" s="116">
        <f>IFERROR(__xludf.DUMMYFUNCTION("""COMPUTED_VALUE"""),45906.0)</f>
        <v>45906</v>
      </c>
      <c r="I3007" s="115" t="str">
        <f>IFERROR(__xludf.DUMMYFUNCTION("""COMPUTED_VALUE"""),"14")</f>
        <v>14</v>
      </c>
      <c r="J3007" s="115" t="str">
        <f>IFERROR(__xludf.DUMMYFUNCTION("""COMPUTED_VALUE"""),"Premkumar M2025-09-0614")</f>
        <v>Premkumar M2025-09-0614</v>
      </c>
      <c r="K3007" s="115">
        <f>IFERROR(__xludf.DUMMYFUNCTION("""COMPUTED_VALUE"""),17799.0)</f>
        <v>17799</v>
      </c>
    </row>
    <row r="3008">
      <c r="A3008" s="115" t="str">
        <f>IFERROR(__xludf.DUMMYFUNCTION("""COMPUTED_VALUE"""),"SOUTH")</f>
        <v>SOUTH</v>
      </c>
      <c r="B3008" s="115" t="str">
        <f>IFERROR(__xludf.DUMMYFUNCTION("""COMPUTED_VALUE"""),"Vineeth V")</f>
        <v>Vineeth V</v>
      </c>
      <c r="C3008" s="115" t="str">
        <f>IFERROR(__xludf.DUMMYFUNCTION("""COMPUTED_VALUE"""),"EXTERNAL")</f>
        <v>EXTERNAL</v>
      </c>
      <c r="D3008" s="115">
        <f>IFERROR(__xludf.DUMMYFUNCTION("""COMPUTED_VALUE"""),24789.0)</f>
        <v>24789</v>
      </c>
      <c r="E3008" s="115">
        <f>IFERROR(__xludf.DUMMYFUNCTION("""COMPUTED_VALUE"""),639.0)</f>
        <v>639</v>
      </c>
      <c r="F3008" s="115">
        <f>IFERROR(__xludf.DUMMYFUNCTION("""COMPUTED_VALUE"""),5289.0)</f>
        <v>5289</v>
      </c>
      <c r="G3008" s="115">
        <f>IFERROR(__xludf.DUMMYFUNCTION("""COMPUTED_VALUE"""),32.0)</f>
        <v>32</v>
      </c>
      <c r="H3008" s="116">
        <f>IFERROR(__xludf.DUMMYFUNCTION("""COMPUTED_VALUE"""),45906.0)</f>
        <v>45906</v>
      </c>
      <c r="I3008" s="115" t="str">
        <f>IFERROR(__xludf.DUMMYFUNCTION("""COMPUTED_VALUE"""),"14")</f>
        <v>14</v>
      </c>
      <c r="J3008" s="115" t="str">
        <f>IFERROR(__xludf.DUMMYFUNCTION("""COMPUTED_VALUE"""),"Vineeth V2025-09-0614")</f>
        <v>Vineeth V2025-09-0614</v>
      </c>
      <c r="K3008" s="115">
        <f>IFERROR(__xludf.DUMMYFUNCTION("""COMPUTED_VALUE"""),25428.0)</f>
        <v>25428</v>
      </c>
    </row>
    <row r="3009">
      <c r="A3009" s="115" t="str">
        <f>IFERROR(__xludf.DUMMYFUNCTION("""COMPUTED_VALUE"""),"SOUTH")</f>
        <v>SOUTH</v>
      </c>
      <c r="B3009" s="115" t="str">
        <f>IFERROR(__xludf.DUMMYFUNCTION("""COMPUTED_VALUE"""),"Vineeth V")</f>
        <v>Vineeth V</v>
      </c>
      <c r="C3009" s="115" t="str">
        <f>IFERROR(__xludf.DUMMYFUNCTION("""COMPUTED_VALUE"""),"FLIPKART")</f>
        <v>FLIPKART</v>
      </c>
      <c r="D3009" s="115">
        <f>IFERROR(__xludf.DUMMYFUNCTION("""COMPUTED_VALUE"""),208361.0)</f>
        <v>208361</v>
      </c>
      <c r="E3009" s="115">
        <f>IFERROR(__xludf.DUMMYFUNCTION("""COMPUTED_VALUE"""),14945.0)</f>
        <v>14945</v>
      </c>
      <c r="F3009" s="115">
        <f>IFERROR(__xludf.DUMMYFUNCTION("""COMPUTED_VALUE"""),65002.0)</f>
        <v>65002</v>
      </c>
      <c r="G3009" s="115">
        <f>IFERROR(__xludf.DUMMYFUNCTION("""COMPUTED_VALUE"""),561.0)</f>
        <v>561</v>
      </c>
      <c r="H3009" s="116">
        <f>IFERROR(__xludf.DUMMYFUNCTION("""COMPUTED_VALUE"""),45906.0)</f>
        <v>45906</v>
      </c>
      <c r="I3009" s="115" t="str">
        <f>IFERROR(__xludf.DUMMYFUNCTION("""COMPUTED_VALUE"""),"14")</f>
        <v>14</v>
      </c>
      <c r="J3009" s="115" t="str">
        <f>IFERROR(__xludf.DUMMYFUNCTION("""COMPUTED_VALUE"""),"Vineeth V2025-09-0614")</f>
        <v>Vineeth V2025-09-0614</v>
      </c>
      <c r="K3009" s="115">
        <f>IFERROR(__xludf.DUMMYFUNCTION("""COMPUTED_VALUE"""),223306.0)</f>
        <v>223306</v>
      </c>
    </row>
    <row r="3010">
      <c r="A3010" s="115" t="str">
        <f>IFERROR(__xludf.DUMMYFUNCTION("""COMPUTED_VALUE"""),"SOUTH")</f>
        <v>SOUTH</v>
      </c>
      <c r="B3010" s="115" t="str">
        <f>IFERROR(__xludf.DUMMYFUNCTION("""COMPUTED_VALUE"""),"Vineeth V")</f>
        <v>Vineeth V</v>
      </c>
      <c r="C3010" s="115" t="str">
        <f>IFERROR(__xludf.DUMMYFUNCTION("""COMPUTED_VALUE"""),"MYNTRA")</f>
        <v>MYNTRA</v>
      </c>
      <c r="D3010" s="115">
        <f>IFERROR(__xludf.DUMMYFUNCTION("""COMPUTED_VALUE"""),27010.0)</f>
        <v>27010</v>
      </c>
      <c r="E3010" s="115">
        <f>IFERROR(__xludf.DUMMYFUNCTION("""COMPUTED_VALUE"""),3871.0)</f>
        <v>3871</v>
      </c>
      <c r="F3010" s="115">
        <f>IFERROR(__xludf.DUMMYFUNCTION("""COMPUTED_VALUE"""),9571.0)</f>
        <v>9571</v>
      </c>
      <c r="G3010" s="115">
        <f>IFERROR(__xludf.DUMMYFUNCTION("""COMPUTED_VALUE"""),142.0)</f>
        <v>142</v>
      </c>
      <c r="H3010" s="116">
        <f>IFERROR(__xludf.DUMMYFUNCTION("""COMPUTED_VALUE"""),45906.0)</f>
        <v>45906</v>
      </c>
      <c r="I3010" s="115" t="str">
        <f>IFERROR(__xludf.DUMMYFUNCTION("""COMPUTED_VALUE"""),"14")</f>
        <v>14</v>
      </c>
      <c r="J3010" s="115" t="str">
        <f>IFERROR(__xludf.DUMMYFUNCTION("""COMPUTED_VALUE"""),"Vineeth V2025-09-0614")</f>
        <v>Vineeth V2025-09-0614</v>
      </c>
      <c r="K3010" s="115">
        <f>IFERROR(__xludf.DUMMYFUNCTION("""COMPUTED_VALUE"""),30881.0)</f>
        <v>30881</v>
      </c>
    </row>
    <row r="3011">
      <c r="A3011" s="115" t="str">
        <f>IFERROR(__xludf.DUMMYFUNCTION("""COMPUTED_VALUE"""),"WEST")</f>
        <v>WEST</v>
      </c>
      <c r="B3011" s="115" t="str">
        <f>IFERROR(__xludf.DUMMYFUNCTION("""COMPUTED_VALUE"""),"Ashish Jakar")</f>
        <v>Ashish Jakar</v>
      </c>
      <c r="C3011" s="115" t="str">
        <f>IFERROR(__xludf.DUMMYFUNCTION("""COMPUTED_VALUE"""),"EXTERNAL")</f>
        <v>EXTERNAL</v>
      </c>
      <c r="D3011" s="115">
        <f>IFERROR(__xludf.DUMMYFUNCTION("""COMPUTED_VALUE"""),44845.0)</f>
        <v>44845</v>
      </c>
      <c r="E3011" s="115">
        <f>IFERROR(__xludf.DUMMYFUNCTION("""COMPUTED_VALUE"""),5326.0)</f>
        <v>5326</v>
      </c>
      <c r="F3011" s="115">
        <f>IFERROR(__xludf.DUMMYFUNCTION("""COMPUTED_VALUE"""),13263.0)</f>
        <v>13263</v>
      </c>
      <c r="G3011" s="115">
        <f>IFERROR(__xludf.DUMMYFUNCTION("""COMPUTED_VALUE"""),1164.0)</f>
        <v>1164</v>
      </c>
      <c r="H3011" s="116">
        <f>IFERROR(__xludf.DUMMYFUNCTION("""COMPUTED_VALUE"""),45906.0)</f>
        <v>45906</v>
      </c>
      <c r="I3011" s="115" t="str">
        <f>IFERROR(__xludf.DUMMYFUNCTION("""COMPUTED_VALUE"""),"14")</f>
        <v>14</v>
      </c>
      <c r="J3011" s="115" t="str">
        <f>IFERROR(__xludf.DUMMYFUNCTION("""COMPUTED_VALUE"""),"Ashish Jakar2025-09-0614")</f>
        <v>Ashish Jakar2025-09-0614</v>
      </c>
      <c r="K3011" s="115">
        <f>IFERROR(__xludf.DUMMYFUNCTION("""COMPUTED_VALUE"""),50171.0)</f>
        <v>50171</v>
      </c>
    </row>
    <row r="3012">
      <c r="A3012" s="115" t="str">
        <f>IFERROR(__xludf.DUMMYFUNCTION("""COMPUTED_VALUE"""),"WEST")</f>
        <v>WEST</v>
      </c>
      <c r="B3012" s="115" t="str">
        <f>IFERROR(__xludf.DUMMYFUNCTION("""COMPUTED_VALUE"""),"Ashish Jakar")</f>
        <v>Ashish Jakar</v>
      </c>
      <c r="C3012" s="115" t="str">
        <f>IFERROR(__xludf.DUMMYFUNCTION("""COMPUTED_VALUE"""),"FLIPKART")</f>
        <v>FLIPKART</v>
      </c>
      <c r="D3012" s="115">
        <f>IFERROR(__xludf.DUMMYFUNCTION("""COMPUTED_VALUE"""),224765.0)</f>
        <v>224765</v>
      </c>
      <c r="E3012" s="115">
        <f>IFERROR(__xludf.DUMMYFUNCTION("""COMPUTED_VALUE"""),26011.0)</f>
        <v>26011</v>
      </c>
      <c r="F3012" s="115">
        <f>IFERROR(__xludf.DUMMYFUNCTION("""COMPUTED_VALUE"""),114528.0)</f>
        <v>114528</v>
      </c>
      <c r="G3012" s="115">
        <f>IFERROR(__xludf.DUMMYFUNCTION("""COMPUTED_VALUE"""),7311.0)</f>
        <v>7311</v>
      </c>
      <c r="H3012" s="116">
        <f>IFERROR(__xludf.DUMMYFUNCTION("""COMPUTED_VALUE"""),45906.0)</f>
        <v>45906</v>
      </c>
      <c r="I3012" s="115" t="str">
        <f>IFERROR(__xludf.DUMMYFUNCTION("""COMPUTED_VALUE"""),"14")</f>
        <v>14</v>
      </c>
      <c r="J3012" s="115" t="str">
        <f>IFERROR(__xludf.DUMMYFUNCTION("""COMPUTED_VALUE"""),"Ashish Jakar2025-09-0614")</f>
        <v>Ashish Jakar2025-09-0614</v>
      </c>
      <c r="K3012" s="115">
        <f>IFERROR(__xludf.DUMMYFUNCTION("""COMPUTED_VALUE"""),250776.0)</f>
        <v>250776</v>
      </c>
    </row>
    <row r="3013">
      <c r="A3013" s="115" t="str">
        <f>IFERROR(__xludf.DUMMYFUNCTION("""COMPUTED_VALUE"""),"WEST")</f>
        <v>WEST</v>
      </c>
      <c r="B3013" s="115" t="str">
        <f>IFERROR(__xludf.DUMMYFUNCTION("""COMPUTED_VALUE"""),"Ashish Jakar")</f>
        <v>Ashish Jakar</v>
      </c>
      <c r="C3013" s="115" t="str">
        <f>IFERROR(__xludf.DUMMYFUNCTION("""COMPUTED_VALUE"""),"MYNTRA")</f>
        <v>MYNTRA</v>
      </c>
      <c r="D3013" s="115">
        <f>IFERROR(__xludf.DUMMYFUNCTION("""COMPUTED_VALUE"""),31990.0)</f>
        <v>31990</v>
      </c>
      <c r="E3013" s="115">
        <f>IFERROR(__xludf.DUMMYFUNCTION("""COMPUTED_VALUE"""),8536.0)</f>
        <v>8536</v>
      </c>
      <c r="F3013" s="115">
        <f>IFERROR(__xludf.DUMMYFUNCTION("""COMPUTED_VALUE"""),19434.0)</f>
        <v>19434</v>
      </c>
      <c r="G3013" s="115">
        <f>IFERROR(__xludf.DUMMYFUNCTION("""COMPUTED_VALUE"""),2718.0)</f>
        <v>2718</v>
      </c>
      <c r="H3013" s="116">
        <f>IFERROR(__xludf.DUMMYFUNCTION("""COMPUTED_VALUE"""),45906.0)</f>
        <v>45906</v>
      </c>
      <c r="I3013" s="115" t="str">
        <f>IFERROR(__xludf.DUMMYFUNCTION("""COMPUTED_VALUE"""),"14")</f>
        <v>14</v>
      </c>
      <c r="J3013" s="115" t="str">
        <f>IFERROR(__xludf.DUMMYFUNCTION("""COMPUTED_VALUE"""),"Ashish Jakar2025-09-0614")</f>
        <v>Ashish Jakar2025-09-0614</v>
      </c>
      <c r="K3013" s="115">
        <f>IFERROR(__xludf.DUMMYFUNCTION("""COMPUTED_VALUE"""),40526.0)</f>
        <v>40526</v>
      </c>
    </row>
    <row r="3014">
      <c r="A3014" s="115" t="str">
        <f>IFERROR(__xludf.DUMMYFUNCTION("""COMPUTED_VALUE"""),"WEST")</f>
        <v>WEST</v>
      </c>
      <c r="B3014" s="115" t="str">
        <f>IFERROR(__xludf.DUMMYFUNCTION("""COMPUTED_VALUE"""),"Ashvani Bhatt")</f>
        <v>Ashvani Bhatt</v>
      </c>
      <c r="C3014" s="115" t="str">
        <f>IFERROR(__xludf.DUMMYFUNCTION("""COMPUTED_VALUE"""),"EXTERNAL")</f>
        <v>EXTERNAL</v>
      </c>
      <c r="D3014" s="115">
        <f>IFERROR(__xludf.DUMMYFUNCTION("""COMPUTED_VALUE"""),32420.0)</f>
        <v>32420</v>
      </c>
      <c r="E3014" s="115">
        <f>IFERROR(__xludf.DUMMYFUNCTION("""COMPUTED_VALUE"""),2708.0)</f>
        <v>2708</v>
      </c>
      <c r="F3014" s="115">
        <f>IFERROR(__xludf.DUMMYFUNCTION("""COMPUTED_VALUE"""),9247.0)</f>
        <v>9247</v>
      </c>
      <c r="G3014" s="115">
        <f>IFERROR(__xludf.DUMMYFUNCTION("""COMPUTED_VALUE"""),349.0)</f>
        <v>349</v>
      </c>
      <c r="H3014" s="116">
        <f>IFERROR(__xludf.DUMMYFUNCTION("""COMPUTED_VALUE"""),45906.0)</f>
        <v>45906</v>
      </c>
      <c r="I3014" s="115" t="str">
        <f>IFERROR(__xludf.DUMMYFUNCTION("""COMPUTED_VALUE"""),"14")</f>
        <v>14</v>
      </c>
      <c r="J3014" s="115" t="str">
        <f>IFERROR(__xludf.DUMMYFUNCTION("""COMPUTED_VALUE"""),"Ashvani Bhatt2025-09-0614")</f>
        <v>Ashvani Bhatt2025-09-0614</v>
      </c>
      <c r="K3014" s="115">
        <f>IFERROR(__xludf.DUMMYFUNCTION("""COMPUTED_VALUE"""),35128.0)</f>
        <v>35128</v>
      </c>
    </row>
    <row r="3015">
      <c r="A3015" s="115" t="str">
        <f>IFERROR(__xludf.DUMMYFUNCTION("""COMPUTED_VALUE"""),"WEST")</f>
        <v>WEST</v>
      </c>
      <c r="B3015" s="115" t="str">
        <f>IFERROR(__xludf.DUMMYFUNCTION("""COMPUTED_VALUE"""),"Ashvani Bhatt")</f>
        <v>Ashvani Bhatt</v>
      </c>
      <c r="C3015" s="115" t="str">
        <f>IFERROR(__xludf.DUMMYFUNCTION("""COMPUTED_VALUE"""),"FLIPKART")</f>
        <v>FLIPKART</v>
      </c>
      <c r="D3015" s="115">
        <f>IFERROR(__xludf.DUMMYFUNCTION("""COMPUTED_VALUE"""),235048.0)</f>
        <v>235048</v>
      </c>
      <c r="E3015" s="115">
        <f>IFERROR(__xludf.DUMMYFUNCTION("""COMPUTED_VALUE"""),25236.0)</f>
        <v>25236</v>
      </c>
      <c r="F3015" s="115">
        <f>IFERROR(__xludf.DUMMYFUNCTION("""COMPUTED_VALUE"""),115173.0)</f>
        <v>115173</v>
      </c>
      <c r="G3015" s="115">
        <f>IFERROR(__xludf.DUMMYFUNCTION("""COMPUTED_VALUE"""),4980.0)</f>
        <v>4980</v>
      </c>
      <c r="H3015" s="116">
        <f>IFERROR(__xludf.DUMMYFUNCTION("""COMPUTED_VALUE"""),45906.0)</f>
        <v>45906</v>
      </c>
      <c r="I3015" s="115" t="str">
        <f>IFERROR(__xludf.DUMMYFUNCTION("""COMPUTED_VALUE"""),"14")</f>
        <v>14</v>
      </c>
      <c r="J3015" s="115" t="str">
        <f>IFERROR(__xludf.DUMMYFUNCTION("""COMPUTED_VALUE"""),"Ashvani Bhatt2025-09-0614")</f>
        <v>Ashvani Bhatt2025-09-0614</v>
      </c>
      <c r="K3015" s="115">
        <f>IFERROR(__xludf.DUMMYFUNCTION("""COMPUTED_VALUE"""),260284.0)</f>
        <v>260284</v>
      </c>
    </row>
    <row r="3016">
      <c r="A3016" s="115" t="str">
        <f>IFERROR(__xludf.DUMMYFUNCTION("""COMPUTED_VALUE"""),"WEST")</f>
        <v>WEST</v>
      </c>
      <c r="B3016" s="115" t="str">
        <f>IFERROR(__xludf.DUMMYFUNCTION("""COMPUTED_VALUE"""),"Ashvani Bhatt")</f>
        <v>Ashvani Bhatt</v>
      </c>
      <c r="C3016" s="115" t="str">
        <f>IFERROR(__xludf.DUMMYFUNCTION("""COMPUTED_VALUE"""),"MYNTRA")</f>
        <v>MYNTRA</v>
      </c>
      <c r="D3016" s="115">
        <f>IFERROR(__xludf.DUMMYFUNCTION("""COMPUTED_VALUE"""),29972.0)</f>
        <v>29972</v>
      </c>
      <c r="E3016" s="115">
        <f>IFERROR(__xludf.DUMMYFUNCTION("""COMPUTED_VALUE"""),7566.0)</f>
        <v>7566</v>
      </c>
      <c r="F3016" s="115">
        <f>IFERROR(__xludf.DUMMYFUNCTION("""COMPUTED_VALUE"""),18164.0)</f>
        <v>18164</v>
      </c>
      <c r="G3016" s="115">
        <f>IFERROR(__xludf.DUMMYFUNCTION("""COMPUTED_VALUE"""),1957.0)</f>
        <v>1957</v>
      </c>
      <c r="H3016" s="116">
        <f>IFERROR(__xludf.DUMMYFUNCTION("""COMPUTED_VALUE"""),45906.0)</f>
        <v>45906</v>
      </c>
      <c r="I3016" s="115" t="str">
        <f>IFERROR(__xludf.DUMMYFUNCTION("""COMPUTED_VALUE"""),"14")</f>
        <v>14</v>
      </c>
      <c r="J3016" s="115" t="str">
        <f>IFERROR(__xludf.DUMMYFUNCTION("""COMPUTED_VALUE"""),"Ashvani Bhatt2025-09-0614")</f>
        <v>Ashvani Bhatt2025-09-0614</v>
      </c>
      <c r="K3016" s="115">
        <f>IFERROR(__xludf.DUMMYFUNCTION("""COMPUTED_VALUE"""),37538.0)</f>
        <v>37538</v>
      </c>
    </row>
    <row r="3017">
      <c r="A3017" s="115" t="str">
        <f>IFERROR(__xludf.DUMMYFUNCTION("""COMPUTED_VALUE"""),"West")</f>
        <v>West</v>
      </c>
      <c r="B3017" s="115" t="str">
        <f>IFERROR(__xludf.DUMMYFUNCTION("""COMPUTED_VALUE"""),"Ashish Jakar")</f>
        <v>Ashish Jakar</v>
      </c>
      <c r="C3017" s="115" t="str">
        <f>IFERROR(__xludf.DUMMYFUNCTION("""COMPUTED_VALUE"""),"EXTERNAL")</f>
        <v>EXTERNAL</v>
      </c>
      <c r="D3017" s="115">
        <f>IFERROR(__xludf.DUMMYFUNCTION("""COMPUTED_VALUE"""),19.0)</f>
        <v>19</v>
      </c>
      <c r="E3017" s="115">
        <f>IFERROR(__xludf.DUMMYFUNCTION("""COMPUTED_VALUE"""),6.0)</f>
        <v>6</v>
      </c>
      <c r="F3017" s="115">
        <f>IFERROR(__xludf.DUMMYFUNCTION("""COMPUTED_VALUE"""),3.0)</f>
        <v>3</v>
      </c>
      <c r="G3017" s="115">
        <f>IFERROR(__xludf.DUMMYFUNCTION("""COMPUTED_VALUE"""),0.0)</f>
        <v>0</v>
      </c>
      <c r="H3017" s="116">
        <f>IFERROR(__xludf.DUMMYFUNCTION("""COMPUTED_VALUE"""),45906.0)</f>
        <v>45906</v>
      </c>
      <c r="I3017" s="115" t="str">
        <f>IFERROR(__xludf.DUMMYFUNCTION("""COMPUTED_VALUE"""),"14")</f>
        <v>14</v>
      </c>
      <c r="J3017" s="115" t="str">
        <f>IFERROR(__xludf.DUMMYFUNCTION("""COMPUTED_VALUE"""),"Ashish Jakar2025-09-0614")</f>
        <v>Ashish Jakar2025-09-0614</v>
      </c>
      <c r="K3017" s="115">
        <f>IFERROR(__xludf.DUMMYFUNCTION("""COMPUTED_VALUE"""),25.0)</f>
        <v>25</v>
      </c>
    </row>
    <row r="3018">
      <c r="A3018" s="115" t="str">
        <f>IFERROR(__xludf.DUMMYFUNCTION("""COMPUTED_VALUE"""),"West")</f>
        <v>West</v>
      </c>
      <c r="B3018" s="115" t="str">
        <f>IFERROR(__xludf.DUMMYFUNCTION("""COMPUTED_VALUE"""),"Ashish Jakar")</f>
        <v>Ashish Jakar</v>
      </c>
      <c r="C3018" s="115" t="str">
        <f>IFERROR(__xludf.DUMMYFUNCTION("""COMPUTED_VALUE"""),"FLIPKART")</f>
        <v>FLIPKART</v>
      </c>
      <c r="D3018" s="115">
        <f>IFERROR(__xludf.DUMMYFUNCTION("""COMPUTED_VALUE"""),245.0)</f>
        <v>245</v>
      </c>
      <c r="E3018" s="115">
        <f>IFERROR(__xludf.DUMMYFUNCTION("""COMPUTED_VALUE"""),11.0)</f>
        <v>11</v>
      </c>
      <c r="F3018" s="115">
        <f>IFERROR(__xludf.DUMMYFUNCTION("""COMPUTED_VALUE"""),47.0)</f>
        <v>47</v>
      </c>
      <c r="G3018" s="115">
        <f>IFERROR(__xludf.DUMMYFUNCTION("""COMPUTED_VALUE"""),1.0)</f>
        <v>1</v>
      </c>
      <c r="H3018" s="116">
        <f>IFERROR(__xludf.DUMMYFUNCTION("""COMPUTED_VALUE"""),45906.0)</f>
        <v>45906</v>
      </c>
      <c r="I3018" s="115" t="str">
        <f>IFERROR(__xludf.DUMMYFUNCTION("""COMPUTED_VALUE"""),"14")</f>
        <v>14</v>
      </c>
      <c r="J3018" s="115" t="str">
        <f>IFERROR(__xludf.DUMMYFUNCTION("""COMPUTED_VALUE"""),"Ashish Jakar2025-09-0614")</f>
        <v>Ashish Jakar2025-09-0614</v>
      </c>
      <c r="K3018" s="115">
        <f>IFERROR(__xludf.DUMMYFUNCTION("""COMPUTED_VALUE"""),256.0)</f>
        <v>256</v>
      </c>
    </row>
    <row r="3019">
      <c r="A3019" s="115" t="str">
        <f>IFERROR(__xludf.DUMMYFUNCTION("""COMPUTED_VALUE"""),"West")</f>
        <v>West</v>
      </c>
      <c r="B3019" s="115" t="str">
        <f>IFERROR(__xludf.DUMMYFUNCTION("""COMPUTED_VALUE"""),"Ashish Jakar")</f>
        <v>Ashish Jakar</v>
      </c>
      <c r="C3019" s="115" t="str">
        <f>IFERROR(__xludf.DUMMYFUNCTION("""COMPUTED_VALUE"""),"MYNTRA")</f>
        <v>MYNTRA</v>
      </c>
      <c r="D3019" s="115">
        <f>IFERROR(__xludf.DUMMYFUNCTION("""COMPUTED_VALUE"""),164.0)</f>
        <v>164</v>
      </c>
      <c r="E3019" s="115">
        <f>IFERROR(__xludf.DUMMYFUNCTION("""COMPUTED_VALUE"""),12.0)</f>
        <v>12</v>
      </c>
      <c r="F3019" s="115">
        <f>IFERROR(__xludf.DUMMYFUNCTION("""COMPUTED_VALUE"""),16.0)</f>
        <v>16</v>
      </c>
      <c r="G3019" s="115">
        <f>IFERROR(__xludf.DUMMYFUNCTION("""COMPUTED_VALUE"""),0.0)</f>
        <v>0</v>
      </c>
      <c r="H3019" s="116">
        <f>IFERROR(__xludf.DUMMYFUNCTION("""COMPUTED_VALUE"""),45906.0)</f>
        <v>45906</v>
      </c>
      <c r="I3019" s="115" t="str">
        <f>IFERROR(__xludf.DUMMYFUNCTION("""COMPUTED_VALUE"""),"14")</f>
        <v>14</v>
      </c>
      <c r="J3019" s="115" t="str">
        <f>IFERROR(__xludf.DUMMYFUNCTION("""COMPUTED_VALUE"""),"Ashish Jakar2025-09-0614")</f>
        <v>Ashish Jakar2025-09-0614</v>
      </c>
      <c r="K3019" s="115">
        <f>IFERROR(__xludf.DUMMYFUNCTION("""COMPUTED_VALUE"""),176.0)</f>
        <v>176</v>
      </c>
    </row>
    <row r="3020">
      <c r="A3020" s="115"/>
      <c r="B3020" s="115"/>
      <c r="C3020" s="115" t="str">
        <f>IFERROR(__xludf.DUMMYFUNCTION("""COMPUTED_VALUE"""),"EXTERNAL")</f>
        <v>EXTERNAL</v>
      </c>
      <c r="D3020" s="115">
        <f>IFERROR(__xludf.DUMMYFUNCTION("""COMPUTED_VALUE"""),1423.0)</f>
        <v>1423</v>
      </c>
      <c r="E3020" s="115">
        <f>IFERROR(__xludf.DUMMYFUNCTION("""COMPUTED_VALUE"""),164.0)</f>
        <v>164</v>
      </c>
      <c r="F3020" s="115">
        <f>IFERROR(__xludf.DUMMYFUNCTION("""COMPUTED_VALUE"""),241.0)</f>
        <v>241</v>
      </c>
      <c r="G3020" s="115">
        <f>IFERROR(__xludf.DUMMYFUNCTION("""COMPUTED_VALUE"""),35.0)</f>
        <v>35</v>
      </c>
      <c r="H3020" s="116">
        <f>IFERROR(__xludf.DUMMYFUNCTION("""COMPUTED_VALUE"""),45906.0)</f>
        <v>45906</v>
      </c>
      <c r="I3020" s="115" t="str">
        <f>IFERROR(__xludf.DUMMYFUNCTION("""COMPUTED_VALUE"""),"14")</f>
        <v>14</v>
      </c>
      <c r="J3020" s="115" t="str">
        <f>IFERROR(__xludf.DUMMYFUNCTION("""COMPUTED_VALUE"""),"2025-09-0614")</f>
        <v>2025-09-0614</v>
      </c>
      <c r="K3020" s="115">
        <f>IFERROR(__xludf.DUMMYFUNCTION("""COMPUTED_VALUE"""),1587.0)</f>
        <v>1587</v>
      </c>
    </row>
    <row r="3021">
      <c r="A3021" s="115"/>
      <c r="B3021" s="115"/>
      <c r="C3021" s="115" t="str">
        <f>IFERROR(__xludf.DUMMYFUNCTION("""COMPUTED_VALUE"""),"FLIPKART")</f>
        <v>FLIPKART</v>
      </c>
      <c r="D3021" s="115">
        <f>IFERROR(__xludf.DUMMYFUNCTION("""COMPUTED_VALUE"""),11834.0)</f>
        <v>11834</v>
      </c>
      <c r="E3021" s="115">
        <f>IFERROR(__xludf.DUMMYFUNCTION("""COMPUTED_VALUE"""),1163.0)</f>
        <v>1163</v>
      </c>
      <c r="F3021" s="115">
        <f>IFERROR(__xludf.DUMMYFUNCTION("""COMPUTED_VALUE"""),2990.0)</f>
        <v>2990</v>
      </c>
      <c r="G3021" s="115">
        <f>IFERROR(__xludf.DUMMYFUNCTION("""COMPUTED_VALUE"""),206.0)</f>
        <v>206</v>
      </c>
      <c r="H3021" s="116">
        <f>IFERROR(__xludf.DUMMYFUNCTION("""COMPUTED_VALUE"""),45906.0)</f>
        <v>45906</v>
      </c>
      <c r="I3021" s="115" t="str">
        <f>IFERROR(__xludf.DUMMYFUNCTION("""COMPUTED_VALUE"""),"14")</f>
        <v>14</v>
      </c>
      <c r="J3021" s="115" t="str">
        <f>IFERROR(__xludf.DUMMYFUNCTION("""COMPUTED_VALUE"""),"2025-09-0614")</f>
        <v>2025-09-0614</v>
      </c>
      <c r="K3021" s="115">
        <f>IFERROR(__xludf.DUMMYFUNCTION("""COMPUTED_VALUE"""),12997.0)</f>
        <v>12997</v>
      </c>
    </row>
    <row r="3022">
      <c r="A3022" s="115"/>
      <c r="B3022" s="115"/>
      <c r="C3022" s="115" t="str">
        <f>IFERROR(__xludf.DUMMYFUNCTION("""COMPUTED_VALUE"""),"MYNTRA")</f>
        <v>MYNTRA</v>
      </c>
      <c r="D3022" s="115">
        <f>IFERROR(__xludf.DUMMYFUNCTION("""COMPUTED_VALUE"""),1895.0)</f>
        <v>1895</v>
      </c>
      <c r="E3022" s="115">
        <f>IFERROR(__xludf.DUMMYFUNCTION("""COMPUTED_VALUE"""),467.0)</f>
        <v>467</v>
      </c>
      <c r="F3022" s="115">
        <f>IFERROR(__xludf.DUMMYFUNCTION("""COMPUTED_VALUE"""),642.0)</f>
        <v>642</v>
      </c>
      <c r="G3022" s="115">
        <f>IFERROR(__xludf.DUMMYFUNCTION("""COMPUTED_VALUE"""),74.0)</f>
        <v>74</v>
      </c>
      <c r="H3022" s="116">
        <f>IFERROR(__xludf.DUMMYFUNCTION("""COMPUTED_VALUE"""),45906.0)</f>
        <v>45906</v>
      </c>
      <c r="I3022" s="115" t="str">
        <f>IFERROR(__xludf.DUMMYFUNCTION("""COMPUTED_VALUE"""),"14")</f>
        <v>14</v>
      </c>
      <c r="J3022" s="115" t="str">
        <f>IFERROR(__xludf.DUMMYFUNCTION("""COMPUTED_VALUE"""),"2025-09-0614")</f>
        <v>2025-09-0614</v>
      </c>
      <c r="K3022" s="115">
        <f>IFERROR(__xludf.DUMMYFUNCTION("""COMPUTED_VALUE"""),2362.0)</f>
        <v>2362</v>
      </c>
    </row>
    <row r="3023">
      <c r="A3023" s="115" t="str">
        <f>IFERROR(__xludf.DUMMYFUNCTION("""COMPUTED_VALUE"""),"EAST")</f>
        <v>EAST</v>
      </c>
      <c r="B3023" s="115" t="str">
        <f>IFERROR(__xludf.DUMMYFUNCTION("""COMPUTED_VALUE"""),"Ashish Ranjan")</f>
        <v>Ashish Ranjan</v>
      </c>
      <c r="C3023" s="115" t="str">
        <f>IFERROR(__xludf.DUMMYFUNCTION("""COMPUTED_VALUE"""),"EXTERNAL")</f>
        <v>EXTERNAL</v>
      </c>
      <c r="D3023" s="115">
        <f>IFERROR(__xludf.DUMMYFUNCTION("""COMPUTED_VALUE"""),40875.0)</f>
        <v>40875</v>
      </c>
      <c r="E3023" s="115">
        <f>IFERROR(__xludf.DUMMYFUNCTION("""COMPUTED_VALUE"""),2798.0)</f>
        <v>2798</v>
      </c>
      <c r="F3023" s="115">
        <f>IFERROR(__xludf.DUMMYFUNCTION("""COMPUTED_VALUE"""),17327.0)</f>
        <v>17327</v>
      </c>
      <c r="G3023" s="115">
        <f>IFERROR(__xludf.DUMMYFUNCTION("""COMPUTED_VALUE"""),657.0)</f>
        <v>657</v>
      </c>
      <c r="H3023" s="116">
        <f>IFERROR(__xludf.DUMMYFUNCTION("""COMPUTED_VALUE"""),45906.0)</f>
        <v>45906</v>
      </c>
      <c r="I3023" s="115" t="str">
        <f>IFERROR(__xludf.DUMMYFUNCTION("""COMPUTED_VALUE"""),"15")</f>
        <v>15</v>
      </c>
      <c r="J3023" s="115" t="str">
        <f>IFERROR(__xludf.DUMMYFUNCTION("""COMPUTED_VALUE"""),"Ashish Ranjan2025-09-0615")</f>
        <v>Ashish Ranjan2025-09-0615</v>
      </c>
      <c r="K3023" s="115">
        <f>IFERROR(__xludf.DUMMYFUNCTION("""COMPUTED_VALUE"""),43673.0)</f>
        <v>43673</v>
      </c>
    </row>
    <row r="3024">
      <c r="A3024" s="115" t="str">
        <f>IFERROR(__xludf.DUMMYFUNCTION("""COMPUTED_VALUE"""),"EAST")</f>
        <v>EAST</v>
      </c>
      <c r="B3024" s="115" t="str">
        <f>IFERROR(__xludf.DUMMYFUNCTION("""COMPUTED_VALUE"""),"Ashish Ranjan")</f>
        <v>Ashish Ranjan</v>
      </c>
      <c r="C3024" s="115" t="str">
        <f>IFERROR(__xludf.DUMMYFUNCTION("""COMPUTED_VALUE"""),"FLIPKART")</f>
        <v>FLIPKART</v>
      </c>
      <c r="D3024" s="115">
        <f>IFERROR(__xludf.DUMMYFUNCTION("""COMPUTED_VALUE"""),636222.0)</f>
        <v>636222</v>
      </c>
      <c r="E3024" s="115">
        <f>IFERROR(__xludf.DUMMYFUNCTION("""COMPUTED_VALUE"""),55859.0)</f>
        <v>55859</v>
      </c>
      <c r="F3024" s="115">
        <f>IFERROR(__xludf.DUMMYFUNCTION("""COMPUTED_VALUE"""),433035.0)</f>
        <v>433035</v>
      </c>
      <c r="G3024" s="115">
        <f>IFERROR(__xludf.DUMMYFUNCTION("""COMPUTED_VALUE"""),19218.0)</f>
        <v>19218</v>
      </c>
      <c r="H3024" s="116">
        <f>IFERROR(__xludf.DUMMYFUNCTION("""COMPUTED_VALUE"""),45906.0)</f>
        <v>45906</v>
      </c>
      <c r="I3024" s="115" t="str">
        <f>IFERROR(__xludf.DUMMYFUNCTION("""COMPUTED_VALUE"""),"15")</f>
        <v>15</v>
      </c>
      <c r="J3024" s="115" t="str">
        <f>IFERROR(__xludf.DUMMYFUNCTION("""COMPUTED_VALUE"""),"Ashish Ranjan2025-09-0615")</f>
        <v>Ashish Ranjan2025-09-0615</v>
      </c>
      <c r="K3024" s="115">
        <f>IFERROR(__xludf.DUMMYFUNCTION("""COMPUTED_VALUE"""),692081.0)</f>
        <v>692081</v>
      </c>
    </row>
    <row r="3025">
      <c r="A3025" s="115" t="str">
        <f>IFERROR(__xludf.DUMMYFUNCTION("""COMPUTED_VALUE"""),"EAST")</f>
        <v>EAST</v>
      </c>
      <c r="B3025" s="115" t="str">
        <f>IFERROR(__xludf.DUMMYFUNCTION("""COMPUTED_VALUE"""),"Ashish Ranjan")</f>
        <v>Ashish Ranjan</v>
      </c>
      <c r="C3025" s="115" t="str">
        <f>IFERROR(__xludf.DUMMYFUNCTION("""COMPUTED_VALUE"""),"MYNTRA")</f>
        <v>MYNTRA</v>
      </c>
      <c r="D3025" s="115">
        <f>IFERROR(__xludf.DUMMYFUNCTION("""COMPUTED_VALUE"""),64933.0)</f>
        <v>64933</v>
      </c>
      <c r="E3025" s="115">
        <f>IFERROR(__xludf.DUMMYFUNCTION("""COMPUTED_VALUE"""),13439.0)</f>
        <v>13439</v>
      </c>
      <c r="F3025" s="115">
        <f>IFERROR(__xludf.DUMMYFUNCTION("""COMPUTED_VALUE"""),45135.0)</f>
        <v>45135</v>
      </c>
      <c r="G3025" s="115">
        <f>IFERROR(__xludf.DUMMYFUNCTION("""COMPUTED_VALUE"""),4679.0)</f>
        <v>4679</v>
      </c>
      <c r="H3025" s="116">
        <f>IFERROR(__xludf.DUMMYFUNCTION("""COMPUTED_VALUE"""),45906.0)</f>
        <v>45906</v>
      </c>
      <c r="I3025" s="115" t="str">
        <f>IFERROR(__xludf.DUMMYFUNCTION("""COMPUTED_VALUE"""),"15")</f>
        <v>15</v>
      </c>
      <c r="J3025" s="115" t="str">
        <f>IFERROR(__xludf.DUMMYFUNCTION("""COMPUTED_VALUE"""),"Ashish Ranjan2025-09-0615")</f>
        <v>Ashish Ranjan2025-09-0615</v>
      </c>
      <c r="K3025" s="115">
        <f>IFERROR(__xludf.DUMMYFUNCTION("""COMPUTED_VALUE"""),78372.0)</f>
        <v>78372</v>
      </c>
    </row>
    <row r="3026">
      <c r="A3026" s="115" t="str">
        <f>IFERROR(__xludf.DUMMYFUNCTION("""COMPUTED_VALUE"""),"EAST")</f>
        <v>EAST</v>
      </c>
      <c r="B3026" s="115" t="str">
        <f>IFERROR(__xludf.DUMMYFUNCTION("""COMPUTED_VALUE"""),"Girish Chand")</f>
        <v>Girish Chand</v>
      </c>
      <c r="C3026" s="115" t="str">
        <f>IFERROR(__xludf.DUMMYFUNCTION("""COMPUTED_VALUE"""),"EXTERNAL")</f>
        <v>EXTERNAL</v>
      </c>
      <c r="D3026" s="115">
        <f>IFERROR(__xludf.DUMMYFUNCTION("""COMPUTED_VALUE"""),24837.0)</f>
        <v>24837</v>
      </c>
      <c r="E3026" s="115">
        <f>IFERROR(__xludf.DUMMYFUNCTION("""COMPUTED_VALUE"""),2184.0)</f>
        <v>2184</v>
      </c>
      <c r="F3026" s="115">
        <f>IFERROR(__xludf.DUMMYFUNCTION("""COMPUTED_VALUE"""),7875.0)</f>
        <v>7875</v>
      </c>
      <c r="G3026" s="115">
        <f>IFERROR(__xludf.DUMMYFUNCTION("""COMPUTED_VALUE"""),204.0)</f>
        <v>204</v>
      </c>
      <c r="H3026" s="116">
        <f>IFERROR(__xludf.DUMMYFUNCTION("""COMPUTED_VALUE"""),45906.0)</f>
        <v>45906</v>
      </c>
      <c r="I3026" s="115" t="str">
        <f>IFERROR(__xludf.DUMMYFUNCTION("""COMPUTED_VALUE"""),"15")</f>
        <v>15</v>
      </c>
      <c r="J3026" s="115" t="str">
        <f>IFERROR(__xludf.DUMMYFUNCTION("""COMPUTED_VALUE"""),"Girish Chand2025-09-0615")</f>
        <v>Girish Chand2025-09-0615</v>
      </c>
      <c r="K3026" s="115">
        <f>IFERROR(__xludf.DUMMYFUNCTION("""COMPUTED_VALUE"""),27021.0)</f>
        <v>27021</v>
      </c>
    </row>
    <row r="3027">
      <c r="A3027" s="115" t="str">
        <f>IFERROR(__xludf.DUMMYFUNCTION("""COMPUTED_VALUE"""),"EAST")</f>
        <v>EAST</v>
      </c>
      <c r="B3027" s="115" t="str">
        <f>IFERROR(__xludf.DUMMYFUNCTION("""COMPUTED_VALUE"""),"Girish Chand")</f>
        <v>Girish Chand</v>
      </c>
      <c r="C3027" s="115" t="str">
        <f>IFERROR(__xludf.DUMMYFUNCTION("""COMPUTED_VALUE"""),"FLIPKART")</f>
        <v>FLIPKART</v>
      </c>
      <c r="D3027" s="115">
        <f>IFERROR(__xludf.DUMMYFUNCTION("""COMPUTED_VALUE"""),440872.0)</f>
        <v>440872</v>
      </c>
      <c r="E3027" s="115">
        <f>IFERROR(__xludf.DUMMYFUNCTION("""COMPUTED_VALUE"""),38626.0)</f>
        <v>38626</v>
      </c>
      <c r="F3027" s="115">
        <f>IFERROR(__xludf.DUMMYFUNCTION("""COMPUTED_VALUE"""),242008.0)</f>
        <v>242008</v>
      </c>
      <c r="G3027" s="115">
        <f>IFERROR(__xludf.DUMMYFUNCTION("""COMPUTED_VALUE"""),8328.0)</f>
        <v>8328</v>
      </c>
      <c r="H3027" s="116">
        <f>IFERROR(__xludf.DUMMYFUNCTION("""COMPUTED_VALUE"""),45906.0)</f>
        <v>45906</v>
      </c>
      <c r="I3027" s="115" t="str">
        <f>IFERROR(__xludf.DUMMYFUNCTION("""COMPUTED_VALUE"""),"15")</f>
        <v>15</v>
      </c>
      <c r="J3027" s="115" t="str">
        <f>IFERROR(__xludf.DUMMYFUNCTION("""COMPUTED_VALUE"""),"Girish Chand2025-09-0615")</f>
        <v>Girish Chand2025-09-0615</v>
      </c>
      <c r="K3027" s="115">
        <f>IFERROR(__xludf.DUMMYFUNCTION("""COMPUTED_VALUE"""),479498.0)</f>
        <v>479498</v>
      </c>
    </row>
    <row r="3028">
      <c r="A3028" s="115" t="str">
        <f>IFERROR(__xludf.DUMMYFUNCTION("""COMPUTED_VALUE"""),"EAST")</f>
        <v>EAST</v>
      </c>
      <c r="B3028" s="115" t="str">
        <f>IFERROR(__xludf.DUMMYFUNCTION("""COMPUTED_VALUE"""),"Girish Chand")</f>
        <v>Girish Chand</v>
      </c>
      <c r="C3028" s="115" t="str">
        <f>IFERROR(__xludf.DUMMYFUNCTION("""COMPUTED_VALUE"""),"MYNTRA")</f>
        <v>MYNTRA</v>
      </c>
      <c r="D3028" s="115">
        <f>IFERROR(__xludf.DUMMYFUNCTION("""COMPUTED_VALUE"""),38123.0)</f>
        <v>38123</v>
      </c>
      <c r="E3028" s="115">
        <f>IFERROR(__xludf.DUMMYFUNCTION("""COMPUTED_VALUE"""),7094.0)</f>
        <v>7094</v>
      </c>
      <c r="F3028" s="115">
        <f>IFERROR(__xludf.DUMMYFUNCTION("""COMPUTED_VALUE"""),22654.0)</f>
        <v>22654</v>
      </c>
      <c r="G3028" s="115">
        <f>IFERROR(__xludf.DUMMYFUNCTION("""COMPUTED_VALUE"""),1768.0)</f>
        <v>1768</v>
      </c>
      <c r="H3028" s="116">
        <f>IFERROR(__xludf.DUMMYFUNCTION("""COMPUTED_VALUE"""),45906.0)</f>
        <v>45906</v>
      </c>
      <c r="I3028" s="115" t="str">
        <f>IFERROR(__xludf.DUMMYFUNCTION("""COMPUTED_VALUE"""),"15")</f>
        <v>15</v>
      </c>
      <c r="J3028" s="115" t="str">
        <f>IFERROR(__xludf.DUMMYFUNCTION("""COMPUTED_VALUE"""),"Girish Chand2025-09-0615")</f>
        <v>Girish Chand2025-09-0615</v>
      </c>
      <c r="K3028" s="115">
        <f>IFERROR(__xludf.DUMMYFUNCTION("""COMPUTED_VALUE"""),45217.0)</f>
        <v>45217</v>
      </c>
    </row>
    <row r="3029">
      <c r="A3029" s="115" t="str">
        <f>IFERROR(__xludf.DUMMYFUNCTION("""COMPUTED_VALUE"""),"EAST")</f>
        <v>EAST</v>
      </c>
      <c r="B3029" s="115" t="str">
        <f>IFERROR(__xludf.DUMMYFUNCTION("""COMPUTED_VALUE"""),"Parag Kashyap")</f>
        <v>Parag Kashyap</v>
      </c>
      <c r="C3029" s="115" t="str">
        <f>IFERROR(__xludf.DUMMYFUNCTION("""COMPUTED_VALUE"""),"EXTERNAL")</f>
        <v>EXTERNAL</v>
      </c>
      <c r="D3029" s="115">
        <f>IFERROR(__xludf.DUMMYFUNCTION("""COMPUTED_VALUE"""),17693.0)</f>
        <v>17693</v>
      </c>
      <c r="E3029" s="115">
        <f>IFERROR(__xludf.DUMMYFUNCTION("""COMPUTED_VALUE"""),1020.0)</f>
        <v>1020</v>
      </c>
      <c r="F3029" s="115">
        <f>IFERROR(__xludf.DUMMYFUNCTION("""COMPUTED_VALUE"""),5206.0)</f>
        <v>5206</v>
      </c>
      <c r="G3029" s="115">
        <f>IFERROR(__xludf.DUMMYFUNCTION("""COMPUTED_VALUE"""),108.0)</f>
        <v>108</v>
      </c>
      <c r="H3029" s="116">
        <f>IFERROR(__xludf.DUMMYFUNCTION("""COMPUTED_VALUE"""),45906.0)</f>
        <v>45906</v>
      </c>
      <c r="I3029" s="115" t="str">
        <f>IFERROR(__xludf.DUMMYFUNCTION("""COMPUTED_VALUE"""),"15")</f>
        <v>15</v>
      </c>
      <c r="J3029" s="115" t="str">
        <f>IFERROR(__xludf.DUMMYFUNCTION("""COMPUTED_VALUE"""),"Parag Kashyap2025-09-0615")</f>
        <v>Parag Kashyap2025-09-0615</v>
      </c>
      <c r="K3029" s="115">
        <f>IFERROR(__xludf.DUMMYFUNCTION("""COMPUTED_VALUE"""),18713.0)</f>
        <v>18713</v>
      </c>
    </row>
    <row r="3030">
      <c r="A3030" s="115" t="str">
        <f>IFERROR(__xludf.DUMMYFUNCTION("""COMPUTED_VALUE"""),"EAST")</f>
        <v>EAST</v>
      </c>
      <c r="B3030" s="115" t="str">
        <f>IFERROR(__xludf.DUMMYFUNCTION("""COMPUTED_VALUE"""),"Parag Kashyap")</f>
        <v>Parag Kashyap</v>
      </c>
      <c r="C3030" s="115" t="str">
        <f>IFERROR(__xludf.DUMMYFUNCTION("""COMPUTED_VALUE"""),"FLIPKART")</f>
        <v>FLIPKART</v>
      </c>
      <c r="D3030" s="115">
        <f>IFERROR(__xludf.DUMMYFUNCTION("""COMPUTED_VALUE"""),280996.0)</f>
        <v>280996</v>
      </c>
      <c r="E3030" s="115">
        <f>IFERROR(__xludf.DUMMYFUNCTION("""COMPUTED_VALUE"""),18637.0)</f>
        <v>18637</v>
      </c>
      <c r="F3030" s="115">
        <f>IFERROR(__xludf.DUMMYFUNCTION("""COMPUTED_VALUE"""),148515.0)</f>
        <v>148515</v>
      </c>
      <c r="G3030" s="115">
        <f>IFERROR(__xludf.DUMMYFUNCTION("""COMPUTED_VALUE"""),3378.0)</f>
        <v>3378</v>
      </c>
      <c r="H3030" s="116">
        <f>IFERROR(__xludf.DUMMYFUNCTION("""COMPUTED_VALUE"""),45906.0)</f>
        <v>45906</v>
      </c>
      <c r="I3030" s="115" t="str">
        <f>IFERROR(__xludf.DUMMYFUNCTION("""COMPUTED_VALUE"""),"15")</f>
        <v>15</v>
      </c>
      <c r="J3030" s="115" t="str">
        <f>IFERROR(__xludf.DUMMYFUNCTION("""COMPUTED_VALUE"""),"Parag Kashyap2025-09-0615")</f>
        <v>Parag Kashyap2025-09-0615</v>
      </c>
      <c r="K3030" s="115">
        <f>IFERROR(__xludf.DUMMYFUNCTION("""COMPUTED_VALUE"""),299633.0)</f>
        <v>299633</v>
      </c>
    </row>
    <row r="3031">
      <c r="A3031" s="115" t="str">
        <f>IFERROR(__xludf.DUMMYFUNCTION("""COMPUTED_VALUE"""),"EAST")</f>
        <v>EAST</v>
      </c>
      <c r="B3031" s="115" t="str">
        <f>IFERROR(__xludf.DUMMYFUNCTION("""COMPUTED_VALUE"""),"Parag Kashyap")</f>
        <v>Parag Kashyap</v>
      </c>
      <c r="C3031" s="115" t="str">
        <f>IFERROR(__xludf.DUMMYFUNCTION("""COMPUTED_VALUE"""),"MYNTRA")</f>
        <v>MYNTRA</v>
      </c>
      <c r="D3031" s="115">
        <f>IFERROR(__xludf.DUMMYFUNCTION("""COMPUTED_VALUE"""),35134.0)</f>
        <v>35134</v>
      </c>
      <c r="E3031" s="115">
        <f>IFERROR(__xludf.DUMMYFUNCTION("""COMPUTED_VALUE"""),5057.0)</f>
        <v>5057</v>
      </c>
      <c r="F3031" s="115">
        <f>IFERROR(__xludf.DUMMYFUNCTION("""COMPUTED_VALUE"""),19850.0)</f>
        <v>19850</v>
      </c>
      <c r="G3031" s="115">
        <f>IFERROR(__xludf.DUMMYFUNCTION("""COMPUTED_VALUE"""),996.0)</f>
        <v>996</v>
      </c>
      <c r="H3031" s="116">
        <f>IFERROR(__xludf.DUMMYFUNCTION("""COMPUTED_VALUE"""),45906.0)</f>
        <v>45906</v>
      </c>
      <c r="I3031" s="115" t="str">
        <f>IFERROR(__xludf.DUMMYFUNCTION("""COMPUTED_VALUE"""),"15")</f>
        <v>15</v>
      </c>
      <c r="J3031" s="115" t="str">
        <f>IFERROR(__xludf.DUMMYFUNCTION("""COMPUTED_VALUE"""),"Parag Kashyap2025-09-0615")</f>
        <v>Parag Kashyap2025-09-0615</v>
      </c>
      <c r="K3031" s="115">
        <f>IFERROR(__xludf.DUMMYFUNCTION("""COMPUTED_VALUE"""),40191.0)</f>
        <v>40191</v>
      </c>
    </row>
    <row r="3032">
      <c r="A3032" s="115" t="str">
        <f>IFERROR(__xludf.DUMMYFUNCTION("""COMPUTED_VALUE"""),"NORTH")</f>
        <v>NORTH</v>
      </c>
      <c r="B3032" s="115" t="str">
        <f>IFERROR(__xludf.DUMMYFUNCTION("""COMPUTED_VALUE"""),"Amit Kumar Pathak")</f>
        <v>Amit Kumar Pathak</v>
      </c>
      <c r="C3032" s="115" t="str">
        <f>IFERROR(__xludf.DUMMYFUNCTION("""COMPUTED_VALUE"""),"EXTERNAL")</f>
        <v>EXTERNAL</v>
      </c>
      <c r="D3032" s="115">
        <f>IFERROR(__xludf.DUMMYFUNCTION("""COMPUTED_VALUE"""),26362.0)</f>
        <v>26362</v>
      </c>
      <c r="E3032" s="115">
        <f>IFERROR(__xludf.DUMMYFUNCTION("""COMPUTED_VALUE"""),3308.0)</f>
        <v>3308</v>
      </c>
      <c r="F3032" s="115">
        <f>IFERROR(__xludf.DUMMYFUNCTION("""COMPUTED_VALUE"""),6665.0)</f>
        <v>6665</v>
      </c>
      <c r="G3032" s="115">
        <f>IFERROR(__xludf.DUMMYFUNCTION("""COMPUTED_VALUE"""),814.0)</f>
        <v>814</v>
      </c>
      <c r="H3032" s="116">
        <f>IFERROR(__xludf.DUMMYFUNCTION("""COMPUTED_VALUE"""),45906.0)</f>
        <v>45906</v>
      </c>
      <c r="I3032" s="115" t="str">
        <f>IFERROR(__xludf.DUMMYFUNCTION("""COMPUTED_VALUE"""),"15")</f>
        <v>15</v>
      </c>
      <c r="J3032" s="115" t="str">
        <f>IFERROR(__xludf.DUMMYFUNCTION("""COMPUTED_VALUE"""),"Amit Kumar Pathak2025-09-0615")</f>
        <v>Amit Kumar Pathak2025-09-0615</v>
      </c>
      <c r="K3032" s="115">
        <f>IFERROR(__xludf.DUMMYFUNCTION("""COMPUTED_VALUE"""),29670.0)</f>
        <v>29670</v>
      </c>
    </row>
    <row r="3033">
      <c r="A3033" s="115" t="str">
        <f>IFERROR(__xludf.DUMMYFUNCTION("""COMPUTED_VALUE"""),"NORTH")</f>
        <v>NORTH</v>
      </c>
      <c r="B3033" s="115" t="str">
        <f>IFERROR(__xludf.DUMMYFUNCTION("""COMPUTED_VALUE"""),"Amit Kumar Pathak")</f>
        <v>Amit Kumar Pathak</v>
      </c>
      <c r="C3033" s="115" t="str">
        <f>IFERROR(__xludf.DUMMYFUNCTION("""COMPUTED_VALUE"""),"FLIPKART")</f>
        <v>FLIPKART</v>
      </c>
      <c r="D3033" s="115">
        <f>IFERROR(__xludf.DUMMYFUNCTION("""COMPUTED_VALUE"""),163534.0)</f>
        <v>163534</v>
      </c>
      <c r="E3033" s="115">
        <f>IFERROR(__xludf.DUMMYFUNCTION("""COMPUTED_VALUE"""),22863.0)</f>
        <v>22863</v>
      </c>
      <c r="F3033" s="115">
        <f>IFERROR(__xludf.DUMMYFUNCTION("""COMPUTED_VALUE"""),78986.0)</f>
        <v>78986</v>
      </c>
      <c r="G3033" s="115">
        <f>IFERROR(__xludf.DUMMYFUNCTION("""COMPUTED_VALUE"""),7646.0)</f>
        <v>7646</v>
      </c>
      <c r="H3033" s="116">
        <f>IFERROR(__xludf.DUMMYFUNCTION("""COMPUTED_VALUE"""),45906.0)</f>
        <v>45906</v>
      </c>
      <c r="I3033" s="115" t="str">
        <f>IFERROR(__xludf.DUMMYFUNCTION("""COMPUTED_VALUE"""),"15")</f>
        <v>15</v>
      </c>
      <c r="J3033" s="115" t="str">
        <f>IFERROR(__xludf.DUMMYFUNCTION("""COMPUTED_VALUE"""),"Amit Kumar Pathak2025-09-0615")</f>
        <v>Amit Kumar Pathak2025-09-0615</v>
      </c>
      <c r="K3033" s="115">
        <f>IFERROR(__xludf.DUMMYFUNCTION("""COMPUTED_VALUE"""),186397.0)</f>
        <v>186397</v>
      </c>
    </row>
    <row r="3034">
      <c r="A3034" s="115" t="str">
        <f>IFERROR(__xludf.DUMMYFUNCTION("""COMPUTED_VALUE"""),"NORTH")</f>
        <v>NORTH</v>
      </c>
      <c r="B3034" s="115" t="str">
        <f>IFERROR(__xludf.DUMMYFUNCTION("""COMPUTED_VALUE"""),"Amit Kumar Pathak")</f>
        <v>Amit Kumar Pathak</v>
      </c>
      <c r="C3034" s="115" t="str">
        <f>IFERROR(__xludf.DUMMYFUNCTION("""COMPUTED_VALUE"""),"MYNTRA")</f>
        <v>MYNTRA</v>
      </c>
      <c r="D3034" s="115">
        <f>IFERROR(__xludf.DUMMYFUNCTION("""COMPUTED_VALUE"""),16072.0)</f>
        <v>16072</v>
      </c>
      <c r="E3034" s="115">
        <f>IFERROR(__xludf.DUMMYFUNCTION("""COMPUTED_VALUE"""),5827.0)</f>
        <v>5827</v>
      </c>
      <c r="F3034" s="115">
        <f>IFERROR(__xludf.DUMMYFUNCTION("""COMPUTED_VALUE"""),9446.0)</f>
        <v>9446</v>
      </c>
      <c r="G3034" s="115">
        <f>IFERROR(__xludf.DUMMYFUNCTION("""COMPUTED_VALUE"""),2222.0)</f>
        <v>2222</v>
      </c>
      <c r="H3034" s="116">
        <f>IFERROR(__xludf.DUMMYFUNCTION("""COMPUTED_VALUE"""),45906.0)</f>
        <v>45906</v>
      </c>
      <c r="I3034" s="115" t="str">
        <f>IFERROR(__xludf.DUMMYFUNCTION("""COMPUTED_VALUE"""),"15")</f>
        <v>15</v>
      </c>
      <c r="J3034" s="115" t="str">
        <f>IFERROR(__xludf.DUMMYFUNCTION("""COMPUTED_VALUE"""),"Amit Kumar Pathak2025-09-0615")</f>
        <v>Amit Kumar Pathak2025-09-0615</v>
      </c>
      <c r="K3034" s="115">
        <f>IFERROR(__xludf.DUMMYFUNCTION("""COMPUTED_VALUE"""),21899.0)</f>
        <v>21899</v>
      </c>
    </row>
    <row r="3035">
      <c r="A3035" s="115" t="str">
        <f>IFERROR(__xludf.DUMMYFUNCTION("""COMPUTED_VALUE"""),"NORTH")</f>
        <v>NORTH</v>
      </c>
      <c r="B3035" s="115" t="str">
        <f>IFERROR(__xludf.DUMMYFUNCTION("""COMPUTED_VALUE"""),"Loveleen Singh")</f>
        <v>Loveleen Singh</v>
      </c>
      <c r="C3035" s="115" t="str">
        <f>IFERROR(__xludf.DUMMYFUNCTION("""COMPUTED_VALUE"""),"EXTERNAL")</f>
        <v>EXTERNAL</v>
      </c>
      <c r="D3035" s="115">
        <f>IFERROR(__xludf.DUMMYFUNCTION("""COMPUTED_VALUE"""),31570.0)</f>
        <v>31570</v>
      </c>
      <c r="E3035" s="115">
        <f>IFERROR(__xludf.DUMMYFUNCTION("""COMPUTED_VALUE"""),1992.0)</f>
        <v>1992</v>
      </c>
      <c r="F3035" s="115">
        <f>IFERROR(__xludf.DUMMYFUNCTION("""COMPUTED_VALUE"""),7967.0)</f>
        <v>7967</v>
      </c>
      <c r="G3035" s="115">
        <f>IFERROR(__xludf.DUMMYFUNCTION("""COMPUTED_VALUE"""),267.0)</f>
        <v>267</v>
      </c>
      <c r="H3035" s="116">
        <f>IFERROR(__xludf.DUMMYFUNCTION("""COMPUTED_VALUE"""),45906.0)</f>
        <v>45906</v>
      </c>
      <c r="I3035" s="115" t="str">
        <f>IFERROR(__xludf.DUMMYFUNCTION("""COMPUTED_VALUE"""),"15")</f>
        <v>15</v>
      </c>
      <c r="J3035" s="115" t="str">
        <f>IFERROR(__xludf.DUMMYFUNCTION("""COMPUTED_VALUE"""),"Loveleen Singh2025-09-0615")</f>
        <v>Loveleen Singh2025-09-0615</v>
      </c>
      <c r="K3035" s="115">
        <f>IFERROR(__xludf.DUMMYFUNCTION("""COMPUTED_VALUE"""),33562.0)</f>
        <v>33562</v>
      </c>
    </row>
    <row r="3036">
      <c r="A3036" s="115" t="str">
        <f>IFERROR(__xludf.DUMMYFUNCTION("""COMPUTED_VALUE"""),"NORTH")</f>
        <v>NORTH</v>
      </c>
      <c r="B3036" s="115" t="str">
        <f>IFERROR(__xludf.DUMMYFUNCTION("""COMPUTED_VALUE"""),"Loveleen Singh")</f>
        <v>Loveleen Singh</v>
      </c>
      <c r="C3036" s="115" t="str">
        <f>IFERROR(__xludf.DUMMYFUNCTION("""COMPUTED_VALUE"""),"FLIPKART")</f>
        <v>FLIPKART</v>
      </c>
      <c r="D3036" s="115">
        <f>IFERROR(__xludf.DUMMYFUNCTION("""COMPUTED_VALUE"""),156240.0)</f>
        <v>156240</v>
      </c>
      <c r="E3036" s="115">
        <f>IFERROR(__xludf.DUMMYFUNCTION("""COMPUTED_VALUE"""),15469.0)</f>
        <v>15469</v>
      </c>
      <c r="F3036" s="115">
        <f>IFERROR(__xludf.DUMMYFUNCTION("""COMPUTED_VALUE"""),81083.0)</f>
        <v>81083</v>
      </c>
      <c r="G3036" s="115">
        <f>IFERROR(__xludf.DUMMYFUNCTION("""COMPUTED_VALUE"""),3533.0)</f>
        <v>3533</v>
      </c>
      <c r="H3036" s="116">
        <f>IFERROR(__xludf.DUMMYFUNCTION("""COMPUTED_VALUE"""),45906.0)</f>
        <v>45906</v>
      </c>
      <c r="I3036" s="115" t="str">
        <f>IFERROR(__xludf.DUMMYFUNCTION("""COMPUTED_VALUE"""),"15")</f>
        <v>15</v>
      </c>
      <c r="J3036" s="115" t="str">
        <f>IFERROR(__xludf.DUMMYFUNCTION("""COMPUTED_VALUE"""),"Loveleen Singh2025-09-0615")</f>
        <v>Loveleen Singh2025-09-0615</v>
      </c>
      <c r="K3036" s="115">
        <f>IFERROR(__xludf.DUMMYFUNCTION("""COMPUTED_VALUE"""),171709.0)</f>
        <v>171709</v>
      </c>
    </row>
    <row r="3037">
      <c r="A3037" s="115" t="str">
        <f>IFERROR(__xludf.DUMMYFUNCTION("""COMPUTED_VALUE"""),"NORTH")</f>
        <v>NORTH</v>
      </c>
      <c r="B3037" s="115" t="str">
        <f>IFERROR(__xludf.DUMMYFUNCTION("""COMPUTED_VALUE"""),"Loveleen Singh")</f>
        <v>Loveleen Singh</v>
      </c>
      <c r="C3037" s="115" t="str">
        <f>IFERROR(__xludf.DUMMYFUNCTION("""COMPUTED_VALUE"""),"MYNTRA")</f>
        <v>MYNTRA</v>
      </c>
      <c r="D3037" s="115">
        <f>IFERROR(__xludf.DUMMYFUNCTION("""COMPUTED_VALUE"""),25505.0)</f>
        <v>25505</v>
      </c>
      <c r="E3037" s="115">
        <f>IFERROR(__xludf.DUMMYFUNCTION("""COMPUTED_VALUE"""),6260.0)</f>
        <v>6260</v>
      </c>
      <c r="F3037" s="115">
        <f>IFERROR(__xludf.DUMMYFUNCTION("""COMPUTED_VALUE"""),15547.0)</f>
        <v>15547</v>
      </c>
      <c r="G3037" s="115">
        <f>IFERROR(__xludf.DUMMYFUNCTION("""COMPUTED_VALUE"""),1700.0)</f>
        <v>1700</v>
      </c>
      <c r="H3037" s="116">
        <f>IFERROR(__xludf.DUMMYFUNCTION("""COMPUTED_VALUE"""),45906.0)</f>
        <v>45906</v>
      </c>
      <c r="I3037" s="115" t="str">
        <f>IFERROR(__xludf.DUMMYFUNCTION("""COMPUTED_VALUE"""),"15")</f>
        <v>15</v>
      </c>
      <c r="J3037" s="115" t="str">
        <f>IFERROR(__xludf.DUMMYFUNCTION("""COMPUTED_VALUE"""),"Loveleen Singh2025-09-0615")</f>
        <v>Loveleen Singh2025-09-0615</v>
      </c>
      <c r="K3037" s="115">
        <f>IFERROR(__xludf.DUMMYFUNCTION("""COMPUTED_VALUE"""),31765.0)</f>
        <v>31765</v>
      </c>
    </row>
    <row r="3038">
      <c r="A3038" s="115" t="str">
        <f>IFERROR(__xludf.DUMMYFUNCTION("""COMPUTED_VALUE"""),"NORTH")</f>
        <v>NORTH</v>
      </c>
      <c r="B3038" s="115" t="str">
        <f>IFERROR(__xludf.DUMMYFUNCTION("""COMPUTED_VALUE"""),"Manoj Harsh")</f>
        <v>Manoj Harsh</v>
      </c>
      <c r="C3038" s="115" t="str">
        <f>IFERROR(__xludf.DUMMYFUNCTION("""COMPUTED_VALUE"""),"EXTERNAL")</f>
        <v>EXTERNAL</v>
      </c>
      <c r="D3038" s="115">
        <f>IFERROR(__xludf.DUMMYFUNCTION("""COMPUTED_VALUE"""),38129.0)</f>
        <v>38129</v>
      </c>
      <c r="E3038" s="115">
        <f>IFERROR(__xludf.DUMMYFUNCTION("""COMPUTED_VALUE"""),2892.0)</f>
        <v>2892</v>
      </c>
      <c r="F3038" s="115">
        <f>IFERROR(__xludf.DUMMYFUNCTION("""COMPUTED_VALUE"""),11317.0)</f>
        <v>11317</v>
      </c>
      <c r="G3038" s="115">
        <f>IFERROR(__xludf.DUMMYFUNCTION("""COMPUTED_VALUE"""),325.0)</f>
        <v>325</v>
      </c>
      <c r="H3038" s="116">
        <f>IFERROR(__xludf.DUMMYFUNCTION("""COMPUTED_VALUE"""),45906.0)</f>
        <v>45906</v>
      </c>
      <c r="I3038" s="115" t="str">
        <f>IFERROR(__xludf.DUMMYFUNCTION("""COMPUTED_VALUE"""),"15")</f>
        <v>15</v>
      </c>
      <c r="J3038" s="115" t="str">
        <f>IFERROR(__xludf.DUMMYFUNCTION("""COMPUTED_VALUE"""),"Manoj Harsh2025-09-0615")</f>
        <v>Manoj Harsh2025-09-0615</v>
      </c>
      <c r="K3038" s="115">
        <f>IFERROR(__xludf.DUMMYFUNCTION("""COMPUTED_VALUE"""),41021.0)</f>
        <v>41021</v>
      </c>
    </row>
    <row r="3039">
      <c r="A3039" s="115" t="str">
        <f>IFERROR(__xludf.DUMMYFUNCTION("""COMPUTED_VALUE"""),"NORTH")</f>
        <v>NORTH</v>
      </c>
      <c r="B3039" s="115" t="str">
        <f>IFERROR(__xludf.DUMMYFUNCTION("""COMPUTED_VALUE"""),"Manoj Harsh")</f>
        <v>Manoj Harsh</v>
      </c>
      <c r="C3039" s="115" t="str">
        <f>IFERROR(__xludf.DUMMYFUNCTION("""COMPUTED_VALUE"""),"FLIPKART")</f>
        <v>FLIPKART</v>
      </c>
      <c r="D3039" s="115">
        <f>IFERROR(__xludf.DUMMYFUNCTION("""COMPUTED_VALUE"""),421816.0)</f>
        <v>421816</v>
      </c>
      <c r="E3039" s="115">
        <f>IFERROR(__xludf.DUMMYFUNCTION("""COMPUTED_VALUE"""),41162.0)</f>
        <v>41162</v>
      </c>
      <c r="F3039" s="115">
        <f>IFERROR(__xludf.DUMMYFUNCTION("""COMPUTED_VALUE"""),212779.0)</f>
        <v>212779</v>
      </c>
      <c r="G3039" s="115">
        <f>IFERROR(__xludf.DUMMYFUNCTION("""COMPUTED_VALUE"""),8800.0)</f>
        <v>8800</v>
      </c>
      <c r="H3039" s="116">
        <f>IFERROR(__xludf.DUMMYFUNCTION("""COMPUTED_VALUE"""),45906.0)</f>
        <v>45906</v>
      </c>
      <c r="I3039" s="115" t="str">
        <f>IFERROR(__xludf.DUMMYFUNCTION("""COMPUTED_VALUE"""),"15")</f>
        <v>15</v>
      </c>
      <c r="J3039" s="115" t="str">
        <f>IFERROR(__xludf.DUMMYFUNCTION("""COMPUTED_VALUE"""),"Manoj Harsh2025-09-0615")</f>
        <v>Manoj Harsh2025-09-0615</v>
      </c>
      <c r="K3039" s="115">
        <f>IFERROR(__xludf.DUMMYFUNCTION("""COMPUTED_VALUE"""),462978.0)</f>
        <v>462978</v>
      </c>
    </row>
    <row r="3040">
      <c r="A3040" s="115" t="str">
        <f>IFERROR(__xludf.DUMMYFUNCTION("""COMPUTED_VALUE"""),"NORTH")</f>
        <v>NORTH</v>
      </c>
      <c r="B3040" s="115" t="str">
        <f>IFERROR(__xludf.DUMMYFUNCTION("""COMPUTED_VALUE"""),"Manoj Harsh")</f>
        <v>Manoj Harsh</v>
      </c>
      <c r="C3040" s="115" t="str">
        <f>IFERROR(__xludf.DUMMYFUNCTION("""COMPUTED_VALUE"""),"MYNTRA")</f>
        <v>MYNTRA</v>
      </c>
      <c r="D3040" s="115">
        <f>IFERROR(__xludf.DUMMYFUNCTION("""COMPUTED_VALUE"""),39423.0)</f>
        <v>39423</v>
      </c>
      <c r="E3040" s="115">
        <f>IFERROR(__xludf.DUMMYFUNCTION("""COMPUTED_VALUE"""),7751.0)</f>
        <v>7751</v>
      </c>
      <c r="F3040" s="115">
        <f>IFERROR(__xludf.DUMMYFUNCTION("""COMPUTED_VALUE"""),23046.0)</f>
        <v>23046</v>
      </c>
      <c r="G3040" s="115">
        <f>IFERROR(__xludf.DUMMYFUNCTION("""COMPUTED_VALUE"""),2049.0)</f>
        <v>2049</v>
      </c>
      <c r="H3040" s="116">
        <f>IFERROR(__xludf.DUMMYFUNCTION("""COMPUTED_VALUE"""),45906.0)</f>
        <v>45906</v>
      </c>
      <c r="I3040" s="115" t="str">
        <f>IFERROR(__xludf.DUMMYFUNCTION("""COMPUTED_VALUE"""),"15")</f>
        <v>15</v>
      </c>
      <c r="J3040" s="115" t="str">
        <f>IFERROR(__xludf.DUMMYFUNCTION("""COMPUTED_VALUE"""),"Manoj Harsh2025-09-0615")</f>
        <v>Manoj Harsh2025-09-0615</v>
      </c>
      <c r="K3040" s="115">
        <f>IFERROR(__xludf.DUMMYFUNCTION("""COMPUTED_VALUE"""),47174.0)</f>
        <v>47174</v>
      </c>
    </row>
    <row r="3041">
      <c r="A3041" s="115" t="str">
        <f>IFERROR(__xludf.DUMMYFUNCTION("""COMPUTED_VALUE"""),"NORTH")</f>
        <v>NORTH</v>
      </c>
      <c r="B3041" s="115" t="str">
        <f>IFERROR(__xludf.DUMMYFUNCTION("""COMPUTED_VALUE"""),"Pradeep Kothari")</f>
        <v>Pradeep Kothari</v>
      </c>
      <c r="C3041" s="115" t="str">
        <f>IFERROR(__xludf.DUMMYFUNCTION("""COMPUTED_VALUE"""),"EXTERNAL")</f>
        <v>EXTERNAL</v>
      </c>
      <c r="D3041" s="115">
        <f>IFERROR(__xludf.DUMMYFUNCTION("""COMPUTED_VALUE"""),18456.0)</f>
        <v>18456</v>
      </c>
      <c r="E3041" s="115">
        <f>IFERROR(__xludf.DUMMYFUNCTION("""COMPUTED_VALUE"""),1855.0)</f>
        <v>1855</v>
      </c>
      <c r="F3041" s="115">
        <f>IFERROR(__xludf.DUMMYFUNCTION("""COMPUTED_VALUE"""),5956.0)</f>
        <v>5956</v>
      </c>
      <c r="G3041" s="115">
        <f>IFERROR(__xludf.DUMMYFUNCTION("""COMPUTED_VALUE"""),453.0)</f>
        <v>453</v>
      </c>
      <c r="H3041" s="116">
        <f>IFERROR(__xludf.DUMMYFUNCTION("""COMPUTED_VALUE"""),45906.0)</f>
        <v>45906</v>
      </c>
      <c r="I3041" s="115" t="str">
        <f>IFERROR(__xludf.DUMMYFUNCTION("""COMPUTED_VALUE"""),"15")</f>
        <v>15</v>
      </c>
      <c r="J3041" s="115" t="str">
        <f>IFERROR(__xludf.DUMMYFUNCTION("""COMPUTED_VALUE"""),"Pradeep Kothari2025-09-0615")</f>
        <v>Pradeep Kothari2025-09-0615</v>
      </c>
      <c r="K3041" s="115">
        <f>IFERROR(__xludf.DUMMYFUNCTION("""COMPUTED_VALUE"""),20311.0)</f>
        <v>20311</v>
      </c>
    </row>
    <row r="3042">
      <c r="A3042" s="115" t="str">
        <f>IFERROR(__xludf.DUMMYFUNCTION("""COMPUTED_VALUE"""),"NORTH")</f>
        <v>NORTH</v>
      </c>
      <c r="B3042" s="115" t="str">
        <f>IFERROR(__xludf.DUMMYFUNCTION("""COMPUTED_VALUE"""),"Pradeep Kothari")</f>
        <v>Pradeep Kothari</v>
      </c>
      <c r="C3042" s="115" t="str">
        <f>IFERROR(__xludf.DUMMYFUNCTION("""COMPUTED_VALUE"""),"FLIPKART")</f>
        <v>FLIPKART</v>
      </c>
      <c r="D3042" s="115">
        <f>IFERROR(__xludf.DUMMYFUNCTION("""COMPUTED_VALUE"""),132913.0)</f>
        <v>132913</v>
      </c>
      <c r="E3042" s="115">
        <f>IFERROR(__xludf.DUMMYFUNCTION("""COMPUTED_VALUE"""),16191.0)</f>
        <v>16191</v>
      </c>
      <c r="F3042" s="115">
        <f>IFERROR(__xludf.DUMMYFUNCTION("""COMPUTED_VALUE"""),79175.0)</f>
        <v>79175</v>
      </c>
      <c r="G3042" s="115">
        <f>IFERROR(__xludf.DUMMYFUNCTION("""COMPUTED_VALUE"""),5914.0)</f>
        <v>5914</v>
      </c>
      <c r="H3042" s="116">
        <f>IFERROR(__xludf.DUMMYFUNCTION("""COMPUTED_VALUE"""),45906.0)</f>
        <v>45906</v>
      </c>
      <c r="I3042" s="115" t="str">
        <f>IFERROR(__xludf.DUMMYFUNCTION("""COMPUTED_VALUE"""),"15")</f>
        <v>15</v>
      </c>
      <c r="J3042" s="115" t="str">
        <f>IFERROR(__xludf.DUMMYFUNCTION("""COMPUTED_VALUE"""),"Pradeep Kothari2025-09-0615")</f>
        <v>Pradeep Kothari2025-09-0615</v>
      </c>
      <c r="K3042" s="115">
        <f>IFERROR(__xludf.DUMMYFUNCTION("""COMPUTED_VALUE"""),149104.0)</f>
        <v>149104</v>
      </c>
    </row>
    <row r="3043">
      <c r="A3043" s="115" t="str">
        <f>IFERROR(__xludf.DUMMYFUNCTION("""COMPUTED_VALUE"""),"NORTH")</f>
        <v>NORTH</v>
      </c>
      <c r="B3043" s="115" t="str">
        <f>IFERROR(__xludf.DUMMYFUNCTION("""COMPUTED_VALUE"""),"Pradeep Kothari")</f>
        <v>Pradeep Kothari</v>
      </c>
      <c r="C3043" s="115" t="str">
        <f>IFERROR(__xludf.DUMMYFUNCTION("""COMPUTED_VALUE"""),"MYNTRA")</f>
        <v>MYNTRA</v>
      </c>
      <c r="D3043" s="115">
        <f>IFERROR(__xludf.DUMMYFUNCTION("""COMPUTED_VALUE"""),23008.0)</f>
        <v>23008</v>
      </c>
      <c r="E3043" s="115">
        <f>IFERROR(__xludf.DUMMYFUNCTION("""COMPUTED_VALUE"""),5901.0)</f>
        <v>5901</v>
      </c>
      <c r="F3043" s="115">
        <f>IFERROR(__xludf.DUMMYFUNCTION("""COMPUTED_VALUE"""),15882.0)</f>
        <v>15882</v>
      </c>
      <c r="G3043" s="115">
        <f>IFERROR(__xludf.DUMMYFUNCTION("""COMPUTED_VALUE"""),2466.0)</f>
        <v>2466</v>
      </c>
      <c r="H3043" s="116">
        <f>IFERROR(__xludf.DUMMYFUNCTION("""COMPUTED_VALUE"""),45906.0)</f>
        <v>45906</v>
      </c>
      <c r="I3043" s="115" t="str">
        <f>IFERROR(__xludf.DUMMYFUNCTION("""COMPUTED_VALUE"""),"15")</f>
        <v>15</v>
      </c>
      <c r="J3043" s="115" t="str">
        <f>IFERROR(__xludf.DUMMYFUNCTION("""COMPUTED_VALUE"""),"Pradeep Kothari2025-09-0615")</f>
        <v>Pradeep Kothari2025-09-0615</v>
      </c>
      <c r="K3043" s="115">
        <f>IFERROR(__xludf.DUMMYFUNCTION("""COMPUTED_VALUE"""),28909.0)</f>
        <v>28909</v>
      </c>
    </row>
    <row r="3044">
      <c r="A3044" s="115" t="str">
        <f>IFERROR(__xludf.DUMMYFUNCTION("""COMPUTED_VALUE"""),"SOUTH")</f>
        <v>SOUTH</v>
      </c>
      <c r="B3044" s="115" t="str">
        <f>IFERROR(__xludf.DUMMYFUNCTION("""COMPUTED_VALUE"""),"Kandula Sampath")</f>
        <v>Kandula Sampath</v>
      </c>
      <c r="C3044" s="115" t="str">
        <f>IFERROR(__xludf.DUMMYFUNCTION("""COMPUTED_VALUE"""),"EXTERNAL")</f>
        <v>EXTERNAL</v>
      </c>
      <c r="D3044" s="115">
        <f>IFERROR(__xludf.DUMMYFUNCTION("""COMPUTED_VALUE"""),34075.0)</f>
        <v>34075</v>
      </c>
      <c r="E3044" s="115">
        <f>IFERROR(__xludf.DUMMYFUNCTION("""COMPUTED_VALUE"""),2914.0)</f>
        <v>2914</v>
      </c>
      <c r="F3044" s="115">
        <f>IFERROR(__xludf.DUMMYFUNCTION("""COMPUTED_VALUE"""),10993.0)</f>
        <v>10993</v>
      </c>
      <c r="G3044" s="115">
        <f>IFERROR(__xludf.DUMMYFUNCTION("""COMPUTED_VALUE"""),492.0)</f>
        <v>492</v>
      </c>
      <c r="H3044" s="116">
        <f>IFERROR(__xludf.DUMMYFUNCTION("""COMPUTED_VALUE"""),45906.0)</f>
        <v>45906</v>
      </c>
      <c r="I3044" s="115" t="str">
        <f>IFERROR(__xludf.DUMMYFUNCTION("""COMPUTED_VALUE"""),"15")</f>
        <v>15</v>
      </c>
      <c r="J3044" s="115" t="str">
        <f>IFERROR(__xludf.DUMMYFUNCTION("""COMPUTED_VALUE"""),"Kandula Sampath2025-09-0615")</f>
        <v>Kandula Sampath2025-09-0615</v>
      </c>
      <c r="K3044" s="115">
        <f>IFERROR(__xludf.DUMMYFUNCTION("""COMPUTED_VALUE"""),36989.0)</f>
        <v>36989</v>
      </c>
    </row>
    <row r="3045">
      <c r="A3045" s="115" t="str">
        <f>IFERROR(__xludf.DUMMYFUNCTION("""COMPUTED_VALUE"""),"SOUTH")</f>
        <v>SOUTH</v>
      </c>
      <c r="B3045" s="115" t="str">
        <f>IFERROR(__xludf.DUMMYFUNCTION("""COMPUTED_VALUE"""),"Kandula Sampath")</f>
        <v>Kandula Sampath</v>
      </c>
      <c r="C3045" s="115" t="str">
        <f>IFERROR(__xludf.DUMMYFUNCTION("""COMPUTED_VALUE"""),"FLIPKART")</f>
        <v>FLIPKART</v>
      </c>
      <c r="D3045" s="115">
        <f>IFERROR(__xludf.DUMMYFUNCTION("""COMPUTED_VALUE"""),305403.0)</f>
        <v>305403</v>
      </c>
      <c r="E3045" s="115">
        <f>IFERROR(__xludf.DUMMYFUNCTION("""COMPUTED_VALUE"""),27389.0)</f>
        <v>27389</v>
      </c>
      <c r="F3045" s="115">
        <f>IFERROR(__xludf.DUMMYFUNCTION("""COMPUTED_VALUE"""),167169.0)</f>
        <v>167169</v>
      </c>
      <c r="G3045" s="115">
        <f>IFERROR(__xludf.DUMMYFUNCTION("""COMPUTED_VALUE"""),6573.0)</f>
        <v>6573</v>
      </c>
      <c r="H3045" s="116">
        <f>IFERROR(__xludf.DUMMYFUNCTION("""COMPUTED_VALUE"""),45906.0)</f>
        <v>45906</v>
      </c>
      <c r="I3045" s="115" t="str">
        <f>IFERROR(__xludf.DUMMYFUNCTION("""COMPUTED_VALUE"""),"15")</f>
        <v>15</v>
      </c>
      <c r="J3045" s="115" t="str">
        <f>IFERROR(__xludf.DUMMYFUNCTION("""COMPUTED_VALUE"""),"Kandula Sampath2025-09-0615")</f>
        <v>Kandula Sampath2025-09-0615</v>
      </c>
      <c r="K3045" s="115">
        <f>IFERROR(__xludf.DUMMYFUNCTION("""COMPUTED_VALUE"""),332792.0)</f>
        <v>332792</v>
      </c>
    </row>
    <row r="3046">
      <c r="A3046" s="115" t="str">
        <f>IFERROR(__xludf.DUMMYFUNCTION("""COMPUTED_VALUE"""),"SOUTH")</f>
        <v>SOUTH</v>
      </c>
      <c r="B3046" s="115" t="str">
        <f>IFERROR(__xludf.DUMMYFUNCTION("""COMPUTED_VALUE"""),"Kandula Sampath")</f>
        <v>Kandula Sampath</v>
      </c>
      <c r="C3046" s="115" t="str">
        <f>IFERROR(__xludf.DUMMYFUNCTION("""COMPUTED_VALUE"""),"MYNTRA")</f>
        <v>MYNTRA</v>
      </c>
      <c r="D3046" s="115">
        <f>IFERROR(__xludf.DUMMYFUNCTION("""COMPUTED_VALUE"""),36322.0)</f>
        <v>36322</v>
      </c>
      <c r="E3046" s="115">
        <f>IFERROR(__xludf.DUMMYFUNCTION("""COMPUTED_VALUE"""),7294.0)</f>
        <v>7294</v>
      </c>
      <c r="F3046" s="115">
        <f>IFERROR(__xludf.DUMMYFUNCTION("""COMPUTED_VALUE"""),22552.0)</f>
        <v>22552</v>
      </c>
      <c r="G3046" s="115">
        <f>IFERROR(__xludf.DUMMYFUNCTION("""COMPUTED_VALUE"""),1768.0)</f>
        <v>1768</v>
      </c>
      <c r="H3046" s="116">
        <f>IFERROR(__xludf.DUMMYFUNCTION("""COMPUTED_VALUE"""),45906.0)</f>
        <v>45906</v>
      </c>
      <c r="I3046" s="115" t="str">
        <f>IFERROR(__xludf.DUMMYFUNCTION("""COMPUTED_VALUE"""),"15")</f>
        <v>15</v>
      </c>
      <c r="J3046" s="115" t="str">
        <f>IFERROR(__xludf.DUMMYFUNCTION("""COMPUTED_VALUE"""),"Kandula Sampath2025-09-0615")</f>
        <v>Kandula Sampath2025-09-0615</v>
      </c>
      <c r="K3046" s="115">
        <f>IFERROR(__xludf.DUMMYFUNCTION("""COMPUTED_VALUE"""),43616.0)</f>
        <v>43616</v>
      </c>
    </row>
    <row r="3047">
      <c r="A3047" s="115" t="str">
        <f>IFERROR(__xludf.DUMMYFUNCTION("""COMPUTED_VALUE"""),"SOUTH")</f>
        <v>SOUTH</v>
      </c>
      <c r="B3047" s="115" t="str">
        <f>IFERROR(__xludf.DUMMYFUNCTION("""COMPUTED_VALUE"""),"Martin A")</f>
        <v>Martin A</v>
      </c>
      <c r="C3047" s="115" t="str">
        <f>IFERROR(__xludf.DUMMYFUNCTION("""COMPUTED_VALUE"""),"EXTERNAL")</f>
        <v>EXTERNAL</v>
      </c>
      <c r="D3047" s="115">
        <f>IFERROR(__xludf.DUMMYFUNCTION("""COMPUTED_VALUE"""),32205.0)</f>
        <v>32205</v>
      </c>
      <c r="E3047" s="115">
        <f>IFERROR(__xludf.DUMMYFUNCTION("""COMPUTED_VALUE"""),3172.0)</f>
        <v>3172</v>
      </c>
      <c r="F3047" s="115">
        <f>IFERROR(__xludf.DUMMYFUNCTION("""COMPUTED_VALUE"""),10319.0)</f>
        <v>10319</v>
      </c>
      <c r="G3047" s="115">
        <f>IFERROR(__xludf.DUMMYFUNCTION("""COMPUTED_VALUE"""),760.0)</f>
        <v>760</v>
      </c>
      <c r="H3047" s="116">
        <f>IFERROR(__xludf.DUMMYFUNCTION("""COMPUTED_VALUE"""),45906.0)</f>
        <v>45906</v>
      </c>
      <c r="I3047" s="115" t="str">
        <f>IFERROR(__xludf.DUMMYFUNCTION("""COMPUTED_VALUE"""),"15")</f>
        <v>15</v>
      </c>
      <c r="J3047" s="115" t="str">
        <f>IFERROR(__xludf.DUMMYFUNCTION("""COMPUTED_VALUE"""),"Martin A2025-09-0615")</f>
        <v>Martin A2025-09-0615</v>
      </c>
      <c r="K3047" s="115">
        <f>IFERROR(__xludf.DUMMYFUNCTION("""COMPUTED_VALUE"""),35377.0)</f>
        <v>35377</v>
      </c>
    </row>
    <row r="3048">
      <c r="A3048" s="115" t="str">
        <f>IFERROR(__xludf.DUMMYFUNCTION("""COMPUTED_VALUE"""),"SOUTH")</f>
        <v>SOUTH</v>
      </c>
      <c r="B3048" s="115" t="str">
        <f>IFERROR(__xludf.DUMMYFUNCTION("""COMPUTED_VALUE"""),"Martin A")</f>
        <v>Martin A</v>
      </c>
      <c r="C3048" s="115" t="str">
        <f>IFERROR(__xludf.DUMMYFUNCTION("""COMPUTED_VALUE"""),"FLIPKART")</f>
        <v>FLIPKART</v>
      </c>
      <c r="D3048" s="115">
        <f>IFERROR(__xludf.DUMMYFUNCTION("""COMPUTED_VALUE"""),274485.0)</f>
        <v>274485</v>
      </c>
      <c r="E3048" s="115">
        <f>IFERROR(__xludf.DUMMYFUNCTION("""COMPUTED_VALUE"""),24260.0)</f>
        <v>24260</v>
      </c>
      <c r="F3048" s="115">
        <f>IFERROR(__xludf.DUMMYFUNCTION("""COMPUTED_VALUE"""),153819.0)</f>
        <v>153819</v>
      </c>
      <c r="G3048" s="115">
        <f>IFERROR(__xludf.DUMMYFUNCTION("""COMPUTED_VALUE"""),6890.0)</f>
        <v>6890</v>
      </c>
      <c r="H3048" s="116">
        <f>IFERROR(__xludf.DUMMYFUNCTION("""COMPUTED_VALUE"""),45906.0)</f>
        <v>45906</v>
      </c>
      <c r="I3048" s="115" t="str">
        <f>IFERROR(__xludf.DUMMYFUNCTION("""COMPUTED_VALUE"""),"15")</f>
        <v>15</v>
      </c>
      <c r="J3048" s="115" t="str">
        <f>IFERROR(__xludf.DUMMYFUNCTION("""COMPUTED_VALUE"""),"Martin A2025-09-0615")</f>
        <v>Martin A2025-09-0615</v>
      </c>
      <c r="K3048" s="115">
        <f>IFERROR(__xludf.DUMMYFUNCTION("""COMPUTED_VALUE"""),298745.0)</f>
        <v>298745</v>
      </c>
    </row>
    <row r="3049">
      <c r="A3049" s="115" t="str">
        <f>IFERROR(__xludf.DUMMYFUNCTION("""COMPUTED_VALUE"""),"SOUTH")</f>
        <v>SOUTH</v>
      </c>
      <c r="B3049" s="115" t="str">
        <f>IFERROR(__xludf.DUMMYFUNCTION("""COMPUTED_VALUE"""),"Martin A")</f>
        <v>Martin A</v>
      </c>
      <c r="C3049" s="115" t="str">
        <f>IFERROR(__xludf.DUMMYFUNCTION("""COMPUTED_VALUE"""),"MYNTRA")</f>
        <v>MYNTRA</v>
      </c>
      <c r="D3049" s="115">
        <f>IFERROR(__xludf.DUMMYFUNCTION("""COMPUTED_VALUE"""),26436.0)</f>
        <v>26436</v>
      </c>
      <c r="E3049" s="115">
        <f>IFERROR(__xludf.DUMMYFUNCTION("""COMPUTED_VALUE"""),6006.0)</f>
        <v>6006</v>
      </c>
      <c r="F3049" s="115">
        <f>IFERROR(__xludf.DUMMYFUNCTION("""COMPUTED_VALUE"""),17278.0)</f>
        <v>17278</v>
      </c>
      <c r="G3049" s="115">
        <f>IFERROR(__xludf.DUMMYFUNCTION("""COMPUTED_VALUE"""),2031.0)</f>
        <v>2031</v>
      </c>
      <c r="H3049" s="116">
        <f>IFERROR(__xludf.DUMMYFUNCTION("""COMPUTED_VALUE"""),45906.0)</f>
        <v>45906</v>
      </c>
      <c r="I3049" s="115" t="str">
        <f>IFERROR(__xludf.DUMMYFUNCTION("""COMPUTED_VALUE"""),"15")</f>
        <v>15</v>
      </c>
      <c r="J3049" s="115" t="str">
        <f>IFERROR(__xludf.DUMMYFUNCTION("""COMPUTED_VALUE"""),"Martin A2025-09-0615")</f>
        <v>Martin A2025-09-0615</v>
      </c>
      <c r="K3049" s="115">
        <f>IFERROR(__xludf.DUMMYFUNCTION("""COMPUTED_VALUE"""),32442.0)</f>
        <v>32442</v>
      </c>
    </row>
    <row r="3050">
      <c r="A3050" s="115" t="str">
        <f>IFERROR(__xludf.DUMMYFUNCTION("""COMPUTED_VALUE"""),"SOUTH")</f>
        <v>SOUTH</v>
      </c>
      <c r="B3050" s="115" t="str">
        <f>IFERROR(__xludf.DUMMYFUNCTION("""COMPUTED_VALUE"""),"Premkumar M")</f>
        <v>Premkumar M</v>
      </c>
      <c r="C3050" s="115" t="str">
        <f>IFERROR(__xludf.DUMMYFUNCTION("""COMPUTED_VALUE"""),"EXTERNAL")</f>
        <v>EXTERNAL</v>
      </c>
      <c r="D3050" s="115">
        <f>IFERROR(__xludf.DUMMYFUNCTION("""COMPUTED_VALUE"""),28905.0)</f>
        <v>28905</v>
      </c>
      <c r="E3050" s="115">
        <f>IFERROR(__xludf.DUMMYFUNCTION("""COMPUTED_VALUE"""),1707.0)</f>
        <v>1707</v>
      </c>
      <c r="F3050" s="115">
        <f>IFERROR(__xludf.DUMMYFUNCTION("""COMPUTED_VALUE"""),8951.0)</f>
        <v>8951</v>
      </c>
      <c r="G3050" s="115">
        <f>IFERROR(__xludf.DUMMYFUNCTION("""COMPUTED_VALUE"""),149.0)</f>
        <v>149</v>
      </c>
      <c r="H3050" s="116">
        <f>IFERROR(__xludf.DUMMYFUNCTION("""COMPUTED_VALUE"""),45906.0)</f>
        <v>45906</v>
      </c>
      <c r="I3050" s="115" t="str">
        <f>IFERROR(__xludf.DUMMYFUNCTION("""COMPUTED_VALUE"""),"15")</f>
        <v>15</v>
      </c>
      <c r="J3050" s="115" t="str">
        <f>IFERROR(__xludf.DUMMYFUNCTION("""COMPUTED_VALUE"""),"Premkumar M2025-09-0615")</f>
        <v>Premkumar M2025-09-0615</v>
      </c>
      <c r="K3050" s="115">
        <f>IFERROR(__xludf.DUMMYFUNCTION("""COMPUTED_VALUE"""),30612.0)</f>
        <v>30612</v>
      </c>
    </row>
    <row r="3051">
      <c r="A3051" s="115" t="str">
        <f>IFERROR(__xludf.DUMMYFUNCTION("""COMPUTED_VALUE"""),"SOUTH")</f>
        <v>SOUTH</v>
      </c>
      <c r="B3051" s="115" t="str">
        <f>IFERROR(__xludf.DUMMYFUNCTION("""COMPUTED_VALUE"""),"Premkumar M")</f>
        <v>Premkumar M</v>
      </c>
      <c r="C3051" s="115" t="str">
        <f>IFERROR(__xludf.DUMMYFUNCTION("""COMPUTED_VALUE"""),"FLIPKART")</f>
        <v>FLIPKART</v>
      </c>
      <c r="D3051" s="115">
        <f>IFERROR(__xludf.DUMMYFUNCTION("""COMPUTED_VALUE"""),268242.0)</f>
        <v>268242</v>
      </c>
      <c r="E3051" s="115">
        <f>IFERROR(__xludf.DUMMYFUNCTION("""COMPUTED_VALUE"""),18609.0)</f>
        <v>18609</v>
      </c>
      <c r="F3051" s="115">
        <f>IFERROR(__xludf.DUMMYFUNCTION("""COMPUTED_VALUE"""),127010.0)</f>
        <v>127010</v>
      </c>
      <c r="G3051" s="115">
        <f>IFERROR(__xludf.DUMMYFUNCTION("""COMPUTED_VALUE"""),2374.0)</f>
        <v>2374</v>
      </c>
      <c r="H3051" s="116">
        <f>IFERROR(__xludf.DUMMYFUNCTION("""COMPUTED_VALUE"""),45906.0)</f>
        <v>45906</v>
      </c>
      <c r="I3051" s="115" t="str">
        <f>IFERROR(__xludf.DUMMYFUNCTION("""COMPUTED_VALUE"""),"15")</f>
        <v>15</v>
      </c>
      <c r="J3051" s="115" t="str">
        <f>IFERROR(__xludf.DUMMYFUNCTION("""COMPUTED_VALUE"""),"Premkumar M2025-09-0615")</f>
        <v>Premkumar M2025-09-0615</v>
      </c>
      <c r="K3051" s="115">
        <f>IFERROR(__xludf.DUMMYFUNCTION("""COMPUTED_VALUE"""),286851.0)</f>
        <v>286851</v>
      </c>
    </row>
    <row r="3052">
      <c r="A3052" s="115" t="str">
        <f>IFERROR(__xludf.DUMMYFUNCTION("""COMPUTED_VALUE"""),"SOUTH")</f>
        <v>SOUTH</v>
      </c>
      <c r="B3052" s="115" t="str">
        <f>IFERROR(__xludf.DUMMYFUNCTION("""COMPUTED_VALUE"""),"Premkumar M")</f>
        <v>Premkumar M</v>
      </c>
      <c r="C3052" s="115" t="str">
        <f>IFERROR(__xludf.DUMMYFUNCTION("""COMPUTED_VALUE"""),"MYNTRA")</f>
        <v>MYNTRA</v>
      </c>
      <c r="D3052" s="115">
        <f>IFERROR(__xludf.DUMMYFUNCTION("""COMPUTED_VALUE"""),15236.0)</f>
        <v>15236</v>
      </c>
      <c r="E3052" s="115">
        <f>IFERROR(__xludf.DUMMYFUNCTION("""COMPUTED_VALUE"""),2915.0)</f>
        <v>2915</v>
      </c>
      <c r="F3052" s="115">
        <f>IFERROR(__xludf.DUMMYFUNCTION("""COMPUTED_VALUE"""),8314.0)</f>
        <v>8314</v>
      </c>
      <c r="G3052" s="115">
        <f>IFERROR(__xludf.DUMMYFUNCTION("""COMPUTED_VALUE"""),432.0)</f>
        <v>432</v>
      </c>
      <c r="H3052" s="116">
        <f>IFERROR(__xludf.DUMMYFUNCTION("""COMPUTED_VALUE"""),45906.0)</f>
        <v>45906</v>
      </c>
      <c r="I3052" s="115" t="str">
        <f>IFERROR(__xludf.DUMMYFUNCTION("""COMPUTED_VALUE"""),"15")</f>
        <v>15</v>
      </c>
      <c r="J3052" s="115" t="str">
        <f>IFERROR(__xludf.DUMMYFUNCTION("""COMPUTED_VALUE"""),"Premkumar M2025-09-0615")</f>
        <v>Premkumar M2025-09-0615</v>
      </c>
      <c r="K3052" s="115">
        <f>IFERROR(__xludf.DUMMYFUNCTION("""COMPUTED_VALUE"""),18151.0)</f>
        <v>18151</v>
      </c>
    </row>
    <row r="3053">
      <c r="A3053" s="115" t="str">
        <f>IFERROR(__xludf.DUMMYFUNCTION("""COMPUTED_VALUE"""),"SOUTH")</f>
        <v>SOUTH</v>
      </c>
      <c r="B3053" s="115" t="str">
        <f>IFERROR(__xludf.DUMMYFUNCTION("""COMPUTED_VALUE"""),"Vineeth V")</f>
        <v>Vineeth V</v>
      </c>
      <c r="C3053" s="115" t="str">
        <f>IFERROR(__xludf.DUMMYFUNCTION("""COMPUTED_VALUE"""),"EXTERNAL")</f>
        <v>EXTERNAL</v>
      </c>
      <c r="D3053" s="115">
        <f>IFERROR(__xludf.DUMMYFUNCTION("""COMPUTED_VALUE"""),25557.0)</f>
        <v>25557</v>
      </c>
      <c r="E3053" s="115">
        <f>IFERROR(__xludf.DUMMYFUNCTION("""COMPUTED_VALUE"""),665.0)</f>
        <v>665</v>
      </c>
      <c r="F3053" s="115">
        <f>IFERROR(__xludf.DUMMYFUNCTION("""COMPUTED_VALUE"""),7394.0)</f>
        <v>7394</v>
      </c>
      <c r="G3053" s="115">
        <f>IFERROR(__xludf.DUMMYFUNCTION("""COMPUTED_VALUE"""),43.0)</f>
        <v>43</v>
      </c>
      <c r="H3053" s="116">
        <f>IFERROR(__xludf.DUMMYFUNCTION("""COMPUTED_VALUE"""),45906.0)</f>
        <v>45906</v>
      </c>
      <c r="I3053" s="115" t="str">
        <f>IFERROR(__xludf.DUMMYFUNCTION("""COMPUTED_VALUE"""),"15")</f>
        <v>15</v>
      </c>
      <c r="J3053" s="115" t="str">
        <f>IFERROR(__xludf.DUMMYFUNCTION("""COMPUTED_VALUE"""),"Vineeth V2025-09-0615")</f>
        <v>Vineeth V2025-09-0615</v>
      </c>
      <c r="K3053" s="115">
        <f>IFERROR(__xludf.DUMMYFUNCTION("""COMPUTED_VALUE"""),26222.0)</f>
        <v>26222</v>
      </c>
    </row>
    <row r="3054">
      <c r="A3054" s="115" t="str">
        <f>IFERROR(__xludf.DUMMYFUNCTION("""COMPUTED_VALUE"""),"SOUTH")</f>
        <v>SOUTH</v>
      </c>
      <c r="B3054" s="115" t="str">
        <f>IFERROR(__xludf.DUMMYFUNCTION("""COMPUTED_VALUE"""),"Vineeth V")</f>
        <v>Vineeth V</v>
      </c>
      <c r="C3054" s="115" t="str">
        <f>IFERROR(__xludf.DUMMYFUNCTION("""COMPUTED_VALUE"""),"FLIPKART")</f>
        <v>FLIPKART</v>
      </c>
      <c r="D3054" s="115">
        <f>IFERROR(__xludf.DUMMYFUNCTION("""COMPUTED_VALUE"""),212961.0)</f>
        <v>212961</v>
      </c>
      <c r="E3054" s="115">
        <f>IFERROR(__xludf.DUMMYFUNCTION("""COMPUTED_VALUE"""),15454.0)</f>
        <v>15454</v>
      </c>
      <c r="F3054" s="115">
        <f>IFERROR(__xludf.DUMMYFUNCTION("""COMPUTED_VALUE"""),90759.0)</f>
        <v>90759</v>
      </c>
      <c r="G3054" s="115">
        <f>IFERROR(__xludf.DUMMYFUNCTION("""COMPUTED_VALUE"""),876.0)</f>
        <v>876</v>
      </c>
      <c r="H3054" s="116">
        <f>IFERROR(__xludf.DUMMYFUNCTION("""COMPUTED_VALUE"""),45906.0)</f>
        <v>45906</v>
      </c>
      <c r="I3054" s="115" t="str">
        <f>IFERROR(__xludf.DUMMYFUNCTION("""COMPUTED_VALUE"""),"15")</f>
        <v>15</v>
      </c>
      <c r="J3054" s="115" t="str">
        <f>IFERROR(__xludf.DUMMYFUNCTION("""COMPUTED_VALUE"""),"Vineeth V2025-09-0615")</f>
        <v>Vineeth V2025-09-0615</v>
      </c>
      <c r="K3054" s="115">
        <f>IFERROR(__xludf.DUMMYFUNCTION("""COMPUTED_VALUE"""),228415.0)</f>
        <v>228415</v>
      </c>
    </row>
    <row r="3055">
      <c r="A3055" s="115" t="str">
        <f>IFERROR(__xludf.DUMMYFUNCTION("""COMPUTED_VALUE"""),"SOUTH")</f>
        <v>SOUTH</v>
      </c>
      <c r="B3055" s="115" t="str">
        <f>IFERROR(__xludf.DUMMYFUNCTION("""COMPUTED_VALUE"""),"Vineeth V")</f>
        <v>Vineeth V</v>
      </c>
      <c r="C3055" s="115" t="str">
        <f>IFERROR(__xludf.DUMMYFUNCTION("""COMPUTED_VALUE"""),"MYNTRA")</f>
        <v>MYNTRA</v>
      </c>
      <c r="D3055" s="115">
        <f>IFERROR(__xludf.DUMMYFUNCTION("""COMPUTED_VALUE"""),27605.0)</f>
        <v>27605</v>
      </c>
      <c r="E3055" s="115">
        <f>IFERROR(__xludf.DUMMYFUNCTION("""COMPUTED_VALUE"""),3984.0)</f>
        <v>3984</v>
      </c>
      <c r="F3055" s="115">
        <f>IFERROR(__xludf.DUMMYFUNCTION("""COMPUTED_VALUE"""),13278.0)</f>
        <v>13278</v>
      </c>
      <c r="G3055" s="115">
        <f>IFERROR(__xludf.DUMMYFUNCTION("""COMPUTED_VALUE"""),272.0)</f>
        <v>272</v>
      </c>
      <c r="H3055" s="116">
        <f>IFERROR(__xludf.DUMMYFUNCTION("""COMPUTED_VALUE"""),45906.0)</f>
        <v>45906</v>
      </c>
      <c r="I3055" s="115" t="str">
        <f>IFERROR(__xludf.DUMMYFUNCTION("""COMPUTED_VALUE"""),"15")</f>
        <v>15</v>
      </c>
      <c r="J3055" s="115" t="str">
        <f>IFERROR(__xludf.DUMMYFUNCTION("""COMPUTED_VALUE"""),"Vineeth V2025-09-0615")</f>
        <v>Vineeth V2025-09-0615</v>
      </c>
      <c r="K3055" s="115">
        <f>IFERROR(__xludf.DUMMYFUNCTION("""COMPUTED_VALUE"""),31589.0)</f>
        <v>31589</v>
      </c>
    </row>
    <row r="3056">
      <c r="A3056" s="115" t="str">
        <f>IFERROR(__xludf.DUMMYFUNCTION("""COMPUTED_VALUE"""),"WEST")</f>
        <v>WEST</v>
      </c>
      <c r="B3056" s="115" t="str">
        <f>IFERROR(__xludf.DUMMYFUNCTION("""COMPUTED_VALUE"""),"Ashish Jakar")</f>
        <v>Ashish Jakar</v>
      </c>
      <c r="C3056" s="115" t="str">
        <f>IFERROR(__xludf.DUMMYFUNCTION("""COMPUTED_VALUE"""),"EXTERNAL")</f>
        <v>EXTERNAL</v>
      </c>
      <c r="D3056" s="115">
        <f>IFERROR(__xludf.DUMMYFUNCTION("""COMPUTED_VALUE"""),45793.0)</f>
        <v>45793</v>
      </c>
      <c r="E3056" s="115">
        <f>IFERROR(__xludf.DUMMYFUNCTION("""COMPUTED_VALUE"""),5427.0)</f>
        <v>5427</v>
      </c>
      <c r="F3056" s="115">
        <f>IFERROR(__xludf.DUMMYFUNCTION("""COMPUTED_VALUE"""),15418.0)</f>
        <v>15418</v>
      </c>
      <c r="G3056" s="115">
        <f>IFERROR(__xludf.DUMMYFUNCTION("""COMPUTED_VALUE"""),1524.0)</f>
        <v>1524</v>
      </c>
      <c r="H3056" s="116">
        <f>IFERROR(__xludf.DUMMYFUNCTION("""COMPUTED_VALUE"""),45906.0)</f>
        <v>45906</v>
      </c>
      <c r="I3056" s="115" t="str">
        <f>IFERROR(__xludf.DUMMYFUNCTION("""COMPUTED_VALUE"""),"15")</f>
        <v>15</v>
      </c>
      <c r="J3056" s="115" t="str">
        <f>IFERROR(__xludf.DUMMYFUNCTION("""COMPUTED_VALUE"""),"Ashish Jakar2025-09-0615")</f>
        <v>Ashish Jakar2025-09-0615</v>
      </c>
      <c r="K3056" s="115">
        <f>IFERROR(__xludf.DUMMYFUNCTION("""COMPUTED_VALUE"""),51220.0)</f>
        <v>51220</v>
      </c>
    </row>
    <row r="3057">
      <c r="A3057" s="115" t="str">
        <f>IFERROR(__xludf.DUMMYFUNCTION("""COMPUTED_VALUE"""),"WEST")</f>
        <v>WEST</v>
      </c>
      <c r="B3057" s="115" t="str">
        <f>IFERROR(__xludf.DUMMYFUNCTION("""COMPUTED_VALUE"""),"Ashish Jakar")</f>
        <v>Ashish Jakar</v>
      </c>
      <c r="C3057" s="115" t="str">
        <f>IFERROR(__xludf.DUMMYFUNCTION("""COMPUTED_VALUE"""),"FLIPKART")</f>
        <v>FLIPKART</v>
      </c>
      <c r="D3057" s="115">
        <f>IFERROR(__xludf.DUMMYFUNCTION("""COMPUTED_VALUE"""),228399.0)</f>
        <v>228399</v>
      </c>
      <c r="E3057" s="115">
        <f>IFERROR(__xludf.DUMMYFUNCTION("""COMPUTED_VALUE"""),26725.0)</f>
        <v>26725</v>
      </c>
      <c r="F3057" s="115">
        <f>IFERROR(__xludf.DUMMYFUNCTION("""COMPUTED_VALUE"""),131968.0)</f>
        <v>131968</v>
      </c>
      <c r="G3057" s="115">
        <f>IFERROR(__xludf.DUMMYFUNCTION("""COMPUTED_VALUE"""),9602.0)</f>
        <v>9602</v>
      </c>
      <c r="H3057" s="116">
        <f>IFERROR(__xludf.DUMMYFUNCTION("""COMPUTED_VALUE"""),45906.0)</f>
        <v>45906</v>
      </c>
      <c r="I3057" s="115" t="str">
        <f>IFERROR(__xludf.DUMMYFUNCTION("""COMPUTED_VALUE"""),"15")</f>
        <v>15</v>
      </c>
      <c r="J3057" s="115" t="str">
        <f>IFERROR(__xludf.DUMMYFUNCTION("""COMPUTED_VALUE"""),"Ashish Jakar2025-09-0615")</f>
        <v>Ashish Jakar2025-09-0615</v>
      </c>
      <c r="K3057" s="115">
        <f>IFERROR(__xludf.DUMMYFUNCTION("""COMPUTED_VALUE"""),255124.0)</f>
        <v>255124</v>
      </c>
    </row>
    <row r="3058">
      <c r="A3058" s="115" t="str">
        <f>IFERROR(__xludf.DUMMYFUNCTION("""COMPUTED_VALUE"""),"WEST")</f>
        <v>WEST</v>
      </c>
      <c r="B3058" s="115" t="str">
        <f>IFERROR(__xludf.DUMMYFUNCTION("""COMPUTED_VALUE"""),"Ashish Jakar")</f>
        <v>Ashish Jakar</v>
      </c>
      <c r="C3058" s="115" t="str">
        <f>IFERROR(__xludf.DUMMYFUNCTION("""COMPUTED_VALUE"""),"MYNTRA")</f>
        <v>MYNTRA</v>
      </c>
      <c r="D3058" s="115">
        <f>IFERROR(__xludf.DUMMYFUNCTION("""COMPUTED_VALUE"""),32578.0)</f>
        <v>32578</v>
      </c>
      <c r="E3058" s="115">
        <f>IFERROR(__xludf.DUMMYFUNCTION("""COMPUTED_VALUE"""),8722.0)</f>
        <v>8722</v>
      </c>
      <c r="F3058" s="115">
        <f>IFERROR(__xludf.DUMMYFUNCTION("""COMPUTED_VALUE"""),22185.0)</f>
        <v>22185</v>
      </c>
      <c r="G3058" s="115">
        <f>IFERROR(__xludf.DUMMYFUNCTION("""COMPUTED_VALUE"""),3520.0)</f>
        <v>3520</v>
      </c>
      <c r="H3058" s="116">
        <f>IFERROR(__xludf.DUMMYFUNCTION("""COMPUTED_VALUE"""),45906.0)</f>
        <v>45906</v>
      </c>
      <c r="I3058" s="115" t="str">
        <f>IFERROR(__xludf.DUMMYFUNCTION("""COMPUTED_VALUE"""),"15")</f>
        <v>15</v>
      </c>
      <c r="J3058" s="115" t="str">
        <f>IFERROR(__xludf.DUMMYFUNCTION("""COMPUTED_VALUE"""),"Ashish Jakar2025-09-0615")</f>
        <v>Ashish Jakar2025-09-0615</v>
      </c>
      <c r="K3058" s="115">
        <f>IFERROR(__xludf.DUMMYFUNCTION("""COMPUTED_VALUE"""),41300.0)</f>
        <v>41300</v>
      </c>
    </row>
    <row r="3059">
      <c r="A3059" s="115" t="str">
        <f>IFERROR(__xludf.DUMMYFUNCTION("""COMPUTED_VALUE"""),"WEST")</f>
        <v>WEST</v>
      </c>
      <c r="B3059" s="115" t="str">
        <f>IFERROR(__xludf.DUMMYFUNCTION("""COMPUTED_VALUE"""),"Ashvani Bhatt")</f>
        <v>Ashvani Bhatt</v>
      </c>
      <c r="C3059" s="115" t="str">
        <f>IFERROR(__xludf.DUMMYFUNCTION("""COMPUTED_VALUE"""),"EXTERNAL")</f>
        <v>EXTERNAL</v>
      </c>
      <c r="D3059" s="115">
        <f>IFERROR(__xludf.DUMMYFUNCTION("""COMPUTED_VALUE"""),33404.0)</f>
        <v>33404</v>
      </c>
      <c r="E3059" s="115">
        <f>IFERROR(__xludf.DUMMYFUNCTION("""COMPUTED_VALUE"""),2769.0)</f>
        <v>2769</v>
      </c>
      <c r="F3059" s="115">
        <f>IFERROR(__xludf.DUMMYFUNCTION("""COMPUTED_VALUE"""),10760.0)</f>
        <v>10760</v>
      </c>
      <c r="G3059" s="115">
        <f>IFERROR(__xludf.DUMMYFUNCTION("""COMPUTED_VALUE"""),470.0)</f>
        <v>470</v>
      </c>
      <c r="H3059" s="116">
        <f>IFERROR(__xludf.DUMMYFUNCTION("""COMPUTED_VALUE"""),45906.0)</f>
        <v>45906</v>
      </c>
      <c r="I3059" s="115" t="str">
        <f>IFERROR(__xludf.DUMMYFUNCTION("""COMPUTED_VALUE"""),"15")</f>
        <v>15</v>
      </c>
      <c r="J3059" s="115" t="str">
        <f>IFERROR(__xludf.DUMMYFUNCTION("""COMPUTED_VALUE"""),"Ashvani Bhatt2025-09-0615")</f>
        <v>Ashvani Bhatt2025-09-0615</v>
      </c>
      <c r="K3059" s="115">
        <f>IFERROR(__xludf.DUMMYFUNCTION("""COMPUTED_VALUE"""),36173.0)</f>
        <v>36173</v>
      </c>
    </row>
    <row r="3060">
      <c r="A3060" s="115" t="str">
        <f>IFERROR(__xludf.DUMMYFUNCTION("""COMPUTED_VALUE"""),"WEST")</f>
        <v>WEST</v>
      </c>
      <c r="B3060" s="115" t="str">
        <f>IFERROR(__xludf.DUMMYFUNCTION("""COMPUTED_VALUE"""),"Ashvani Bhatt")</f>
        <v>Ashvani Bhatt</v>
      </c>
      <c r="C3060" s="115" t="str">
        <f>IFERROR(__xludf.DUMMYFUNCTION("""COMPUTED_VALUE"""),"FLIPKART")</f>
        <v>FLIPKART</v>
      </c>
      <c r="D3060" s="115">
        <f>IFERROR(__xludf.DUMMYFUNCTION("""COMPUTED_VALUE"""),240171.0)</f>
        <v>240171</v>
      </c>
      <c r="E3060" s="115">
        <f>IFERROR(__xludf.DUMMYFUNCTION("""COMPUTED_VALUE"""),25795.0)</f>
        <v>25795</v>
      </c>
      <c r="F3060" s="115">
        <f>IFERROR(__xludf.DUMMYFUNCTION("""COMPUTED_VALUE"""),134107.0)</f>
        <v>134107</v>
      </c>
      <c r="G3060" s="115">
        <f>IFERROR(__xludf.DUMMYFUNCTION("""COMPUTED_VALUE"""),7219.0)</f>
        <v>7219</v>
      </c>
      <c r="H3060" s="116">
        <f>IFERROR(__xludf.DUMMYFUNCTION("""COMPUTED_VALUE"""),45906.0)</f>
        <v>45906</v>
      </c>
      <c r="I3060" s="115" t="str">
        <f>IFERROR(__xludf.DUMMYFUNCTION("""COMPUTED_VALUE"""),"15")</f>
        <v>15</v>
      </c>
      <c r="J3060" s="115" t="str">
        <f>IFERROR(__xludf.DUMMYFUNCTION("""COMPUTED_VALUE"""),"Ashvani Bhatt2025-09-0615")</f>
        <v>Ashvani Bhatt2025-09-0615</v>
      </c>
      <c r="K3060" s="115">
        <f>IFERROR(__xludf.DUMMYFUNCTION("""COMPUTED_VALUE"""),265966.0)</f>
        <v>265966</v>
      </c>
    </row>
    <row r="3061">
      <c r="A3061" s="115" t="str">
        <f>IFERROR(__xludf.DUMMYFUNCTION("""COMPUTED_VALUE"""),"WEST")</f>
        <v>WEST</v>
      </c>
      <c r="B3061" s="115" t="str">
        <f>IFERROR(__xludf.DUMMYFUNCTION("""COMPUTED_VALUE"""),"Ashvani Bhatt")</f>
        <v>Ashvani Bhatt</v>
      </c>
      <c r="C3061" s="115" t="str">
        <f>IFERROR(__xludf.DUMMYFUNCTION("""COMPUTED_VALUE"""),"MYNTRA")</f>
        <v>MYNTRA</v>
      </c>
      <c r="D3061" s="115">
        <f>IFERROR(__xludf.DUMMYFUNCTION("""COMPUTED_VALUE"""),30463.0)</f>
        <v>30463</v>
      </c>
      <c r="E3061" s="115">
        <f>IFERROR(__xludf.DUMMYFUNCTION("""COMPUTED_VALUE"""),7754.0)</f>
        <v>7754</v>
      </c>
      <c r="F3061" s="115">
        <f>IFERROR(__xludf.DUMMYFUNCTION("""COMPUTED_VALUE"""),20696.0)</f>
        <v>20696</v>
      </c>
      <c r="G3061" s="115">
        <f>IFERROR(__xludf.DUMMYFUNCTION("""COMPUTED_VALUE"""),2680.0)</f>
        <v>2680</v>
      </c>
      <c r="H3061" s="116">
        <f>IFERROR(__xludf.DUMMYFUNCTION("""COMPUTED_VALUE"""),45906.0)</f>
        <v>45906</v>
      </c>
      <c r="I3061" s="115" t="str">
        <f>IFERROR(__xludf.DUMMYFUNCTION("""COMPUTED_VALUE"""),"15")</f>
        <v>15</v>
      </c>
      <c r="J3061" s="115" t="str">
        <f>IFERROR(__xludf.DUMMYFUNCTION("""COMPUTED_VALUE"""),"Ashvani Bhatt2025-09-0615")</f>
        <v>Ashvani Bhatt2025-09-0615</v>
      </c>
      <c r="K3061" s="115">
        <f>IFERROR(__xludf.DUMMYFUNCTION("""COMPUTED_VALUE"""),38217.0)</f>
        <v>38217</v>
      </c>
    </row>
    <row r="3062">
      <c r="A3062" s="115" t="str">
        <f>IFERROR(__xludf.DUMMYFUNCTION("""COMPUTED_VALUE"""),"West")</f>
        <v>West</v>
      </c>
      <c r="B3062" s="115" t="str">
        <f>IFERROR(__xludf.DUMMYFUNCTION("""COMPUTED_VALUE"""),"Ashish Jakar")</f>
        <v>Ashish Jakar</v>
      </c>
      <c r="C3062" s="115" t="str">
        <f>IFERROR(__xludf.DUMMYFUNCTION("""COMPUTED_VALUE"""),"EXTERNAL")</f>
        <v>EXTERNAL</v>
      </c>
      <c r="D3062" s="115">
        <f>IFERROR(__xludf.DUMMYFUNCTION("""COMPUTED_VALUE"""),19.0)</f>
        <v>19</v>
      </c>
      <c r="E3062" s="115">
        <f>IFERROR(__xludf.DUMMYFUNCTION("""COMPUTED_VALUE"""),22.0)</f>
        <v>22</v>
      </c>
      <c r="F3062" s="115">
        <f>IFERROR(__xludf.DUMMYFUNCTION("""COMPUTED_VALUE"""),5.0)</f>
        <v>5</v>
      </c>
      <c r="G3062" s="115">
        <f>IFERROR(__xludf.DUMMYFUNCTION("""COMPUTED_VALUE"""),0.0)</f>
        <v>0</v>
      </c>
      <c r="H3062" s="116">
        <f>IFERROR(__xludf.DUMMYFUNCTION("""COMPUTED_VALUE"""),45906.0)</f>
        <v>45906</v>
      </c>
      <c r="I3062" s="115" t="str">
        <f>IFERROR(__xludf.DUMMYFUNCTION("""COMPUTED_VALUE"""),"15")</f>
        <v>15</v>
      </c>
      <c r="J3062" s="115" t="str">
        <f>IFERROR(__xludf.DUMMYFUNCTION("""COMPUTED_VALUE"""),"Ashish Jakar2025-09-0615")</f>
        <v>Ashish Jakar2025-09-0615</v>
      </c>
      <c r="K3062" s="115">
        <f>IFERROR(__xludf.DUMMYFUNCTION("""COMPUTED_VALUE"""),41.0)</f>
        <v>41</v>
      </c>
    </row>
    <row r="3063">
      <c r="A3063" s="115" t="str">
        <f>IFERROR(__xludf.DUMMYFUNCTION("""COMPUTED_VALUE"""),"West")</f>
        <v>West</v>
      </c>
      <c r="B3063" s="115" t="str">
        <f>IFERROR(__xludf.DUMMYFUNCTION("""COMPUTED_VALUE"""),"Ashish Jakar")</f>
        <v>Ashish Jakar</v>
      </c>
      <c r="C3063" s="115" t="str">
        <f>IFERROR(__xludf.DUMMYFUNCTION("""COMPUTED_VALUE"""),"FLIPKART")</f>
        <v>FLIPKART</v>
      </c>
      <c r="D3063" s="115">
        <f>IFERROR(__xludf.DUMMYFUNCTION("""COMPUTED_VALUE"""),245.0)</f>
        <v>245</v>
      </c>
      <c r="E3063" s="115">
        <f>IFERROR(__xludf.DUMMYFUNCTION("""COMPUTED_VALUE"""),48.0)</f>
        <v>48</v>
      </c>
      <c r="F3063" s="115">
        <f>IFERROR(__xludf.DUMMYFUNCTION("""COMPUTED_VALUE"""),96.0)</f>
        <v>96</v>
      </c>
      <c r="G3063" s="115">
        <f>IFERROR(__xludf.DUMMYFUNCTION("""COMPUTED_VALUE"""),2.0)</f>
        <v>2</v>
      </c>
      <c r="H3063" s="116">
        <f>IFERROR(__xludf.DUMMYFUNCTION("""COMPUTED_VALUE"""),45906.0)</f>
        <v>45906</v>
      </c>
      <c r="I3063" s="115" t="str">
        <f>IFERROR(__xludf.DUMMYFUNCTION("""COMPUTED_VALUE"""),"15")</f>
        <v>15</v>
      </c>
      <c r="J3063" s="115" t="str">
        <f>IFERROR(__xludf.DUMMYFUNCTION("""COMPUTED_VALUE"""),"Ashish Jakar2025-09-0615")</f>
        <v>Ashish Jakar2025-09-0615</v>
      </c>
      <c r="K3063" s="115">
        <f>IFERROR(__xludf.DUMMYFUNCTION("""COMPUTED_VALUE"""),293.0)</f>
        <v>293</v>
      </c>
    </row>
    <row r="3064">
      <c r="A3064" s="115" t="str">
        <f>IFERROR(__xludf.DUMMYFUNCTION("""COMPUTED_VALUE"""),"West")</f>
        <v>West</v>
      </c>
      <c r="B3064" s="115" t="str">
        <f>IFERROR(__xludf.DUMMYFUNCTION("""COMPUTED_VALUE"""),"Ashish Jakar")</f>
        <v>Ashish Jakar</v>
      </c>
      <c r="C3064" s="115" t="str">
        <f>IFERROR(__xludf.DUMMYFUNCTION("""COMPUTED_VALUE"""),"MYNTRA")</f>
        <v>MYNTRA</v>
      </c>
      <c r="D3064" s="115">
        <f>IFERROR(__xludf.DUMMYFUNCTION("""COMPUTED_VALUE"""),164.0)</f>
        <v>164</v>
      </c>
      <c r="E3064" s="115">
        <f>IFERROR(__xludf.DUMMYFUNCTION("""COMPUTED_VALUE"""),47.0)</f>
        <v>47</v>
      </c>
      <c r="F3064" s="115">
        <f>IFERROR(__xludf.DUMMYFUNCTION("""COMPUTED_VALUE"""),35.0)</f>
        <v>35</v>
      </c>
      <c r="G3064" s="115">
        <f>IFERROR(__xludf.DUMMYFUNCTION("""COMPUTED_VALUE"""),0.0)</f>
        <v>0</v>
      </c>
      <c r="H3064" s="116">
        <f>IFERROR(__xludf.DUMMYFUNCTION("""COMPUTED_VALUE"""),45906.0)</f>
        <v>45906</v>
      </c>
      <c r="I3064" s="115" t="str">
        <f>IFERROR(__xludf.DUMMYFUNCTION("""COMPUTED_VALUE"""),"15")</f>
        <v>15</v>
      </c>
      <c r="J3064" s="115" t="str">
        <f>IFERROR(__xludf.DUMMYFUNCTION("""COMPUTED_VALUE"""),"Ashish Jakar2025-09-0615")</f>
        <v>Ashish Jakar2025-09-0615</v>
      </c>
      <c r="K3064" s="115">
        <f>IFERROR(__xludf.DUMMYFUNCTION("""COMPUTED_VALUE"""),211.0)</f>
        <v>211</v>
      </c>
    </row>
    <row r="3065">
      <c r="A3065" s="115"/>
      <c r="B3065" s="115"/>
      <c r="C3065" s="115" t="str">
        <f>IFERROR(__xludf.DUMMYFUNCTION("""COMPUTED_VALUE"""),"EXTERNAL")</f>
        <v>EXTERNAL</v>
      </c>
      <c r="D3065" s="115">
        <f>IFERROR(__xludf.DUMMYFUNCTION("""COMPUTED_VALUE"""),1513.0)</f>
        <v>1513</v>
      </c>
      <c r="E3065" s="115">
        <f>IFERROR(__xludf.DUMMYFUNCTION("""COMPUTED_VALUE"""),171.0)</f>
        <v>171</v>
      </c>
      <c r="F3065" s="115">
        <f>IFERROR(__xludf.DUMMYFUNCTION("""COMPUTED_VALUE"""),350.0)</f>
        <v>350</v>
      </c>
      <c r="G3065" s="115">
        <f>IFERROR(__xludf.DUMMYFUNCTION("""COMPUTED_VALUE"""),54.0)</f>
        <v>54</v>
      </c>
      <c r="H3065" s="116">
        <f>IFERROR(__xludf.DUMMYFUNCTION("""COMPUTED_VALUE"""),45906.0)</f>
        <v>45906</v>
      </c>
      <c r="I3065" s="115" t="str">
        <f>IFERROR(__xludf.DUMMYFUNCTION("""COMPUTED_VALUE"""),"15")</f>
        <v>15</v>
      </c>
      <c r="J3065" s="115" t="str">
        <f>IFERROR(__xludf.DUMMYFUNCTION("""COMPUTED_VALUE"""),"2025-09-0615")</f>
        <v>2025-09-0615</v>
      </c>
      <c r="K3065" s="115">
        <f>IFERROR(__xludf.DUMMYFUNCTION("""COMPUTED_VALUE"""),1684.0)</f>
        <v>1684</v>
      </c>
    </row>
    <row r="3066">
      <c r="A3066" s="115"/>
      <c r="B3066" s="115"/>
      <c r="C3066" s="115" t="str">
        <f>IFERROR(__xludf.DUMMYFUNCTION("""COMPUTED_VALUE"""),"FLIPKART")</f>
        <v>FLIPKART</v>
      </c>
      <c r="D3066" s="115">
        <f>IFERROR(__xludf.DUMMYFUNCTION("""COMPUTED_VALUE"""),12582.0)</f>
        <v>12582</v>
      </c>
      <c r="E3066" s="115">
        <f>IFERROR(__xludf.DUMMYFUNCTION("""COMPUTED_VALUE"""),1301.0)</f>
        <v>1301</v>
      </c>
      <c r="F3066" s="115">
        <f>IFERROR(__xludf.DUMMYFUNCTION("""COMPUTED_VALUE"""),4608.0)</f>
        <v>4608</v>
      </c>
      <c r="G3066" s="115">
        <f>IFERROR(__xludf.DUMMYFUNCTION("""COMPUTED_VALUE"""),293.0)</f>
        <v>293</v>
      </c>
      <c r="H3066" s="116">
        <f>IFERROR(__xludf.DUMMYFUNCTION("""COMPUTED_VALUE"""),45906.0)</f>
        <v>45906</v>
      </c>
      <c r="I3066" s="115" t="str">
        <f>IFERROR(__xludf.DUMMYFUNCTION("""COMPUTED_VALUE"""),"15")</f>
        <v>15</v>
      </c>
      <c r="J3066" s="115" t="str">
        <f>IFERROR(__xludf.DUMMYFUNCTION("""COMPUTED_VALUE"""),"2025-09-0615")</f>
        <v>2025-09-0615</v>
      </c>
      <c r="K3066" s="115">
        <f>IFERROR(__xludf.DUMMYFUNCTION("""COMPUTED_VALUE"""),13883.0)</f>
        <v>13883</v>
      </c>
    </row>
    <row r="3067">
      <c r="A3067" s="115"/>
      <c r="B3067" s="115"/>
      <c r="C3067" s="115" t="str">
        <f>IFERROR(__xludf.DUMMYFUNCTION("""COMPUTED_VALUE"""),"MYNTRA")</f>
        <v>MYNTRA</v>
      </c>
      <c r="D3067" s="115">
        <f>IFERROR(__xludf.DUMMYFUNCTION("""COMPUTED_VALUE"""),1997.0)</f>
        <v>1997</v>
      </c>
      <c r="E3067" s="115">
        <f>IFERROR(__xludf.DUMMYFUNCTION("""COMPUTED_VALUE"""),505.0)</f>
        <v>505</v>
      </c>
      <c r="F3067" s="115">
        <f>IFERROR(__xludf.DUMMYFUNCTION("""COMPUTED_VALUE"""),962.0)</f>
        <v>962</v>
      </c>
      <c r="G3067" s="115">
        <f>IFERROR(__xludf.DUMMYFUNCTION("""COMPUTED_VALUE"""),135.0)</f>
        <v>135</v>
      </c>
      <c r="H3067" s="116">
        <f>IFERROR(__xludf.DUMMYFUNCTION("""COMPUTED_VALUE"""),45906.0)</f>
        <v>45906</v>
      </c>
      <c r="I3067" s="115" t="str">
        <f>IFERROR(__xludf.DUMMYFUNCTION("""COMPUTED_VALUE"""),"15")</f>
        <v>15</v>
      </c>
      <c r="J3067" s="115" t="str">
        <f>IFERROR(__xludf.DUMMYFUNCTION("""COMPUTED_VALUE"""),"2025-09-0615")</f>
        <v>2025-09-0615</v>
      </c>
      <c r="K3067" s="115">
        <f>IFERROR(__xludf.DUMMYFUNCTION("""COMPUTED_VALUE"""),2502.0)</f>
        <v>2502</v>
      </c>
    </row>
    <row r="3068">
      <c r="A3068" s="115" t="str">
        <f>IFERROR(__xludf.DUMMYFUNCTION("""COMPUTED_VALUE"""),"CENTRAL")</f>
        <v>CENTRAL</v>
      </c>
      <c r="B3068" s="115" t="str">
        <f>IFERROR(__xludf.DUMMYFUNCTION("""COMPUTED_VALUE"""),"Ashish Ranjan")</f>
        <v>Ashish Ranjan</v>
      </c>
      <c r="C3068" s="115" t="str">
        <f>IFERROR(__xludf.DUMMYFUNCTION("""COMPUTED_VALUE"""),"EXTERNAL")</f>
        <v>EXTERNAL</v>
      </c>
      <c r="D3068" s="115">
        <f>IFERROR(__xludf.DUMMYFUNCTION("""COMPUTED_VALUE"""),26.0)</f>
        <v>26</v>
      </c>
      <c r="E3068" s="115">
        <f>IFERROR(__xludf.DUMMYFUNCTION("""COMPUTED_VALUE"""),2.0)</f>
        <v>2</v>
      </c>
      <c r="F3068" s="115">
        <f>IFERROR(__xludf.DUMMYFUNCTION("""COMPUTED_VALUE"""),8.0)</f>
        <v>8</v>
      </c>
      <c r="G3068" s="115">
        <f>IFERROR(__xludf.DUMMYFUNCTION("""COMPUTED_VALUE"""),1.0)</f>
        <v>1</v>
      </c>
      <c r="H3068" s="116">
        <f>IFERROR(__xludf.DUMMYFUNCTION("""COMPUTED_VALUE"""),45906.0)</f>
        <v>45906</v>
      </c>
      <c r="I3068" s="115" t="str">
        <f>IFERROR(__xludf.DUMMYFUNCTION("""COMPUTED_VALUE"""),"16")</f>
        <v>16</v>
      </c>
      <c r="J3068" s="115" t="str">
        <f>IFERROR(__xludf.DUMMYFUNCTION("""COMPUTED_VALUE"""),"Ashish Ranjan2025-09-0616")</f>
        <v>Ashish Ranjan2025-09-0616</v>
      </c>
      <c r="K3068" s="115">
        <f>IFERROR(__xludf.DUMMYFUNCTION("""COMPUTED_VALUE"""),28.0)</f>
        <v>28</v>
      </c>
    </row>
    <row r="3069">
      <c r="A3069" s="115" t="str">
        <f>IFERROR(__xludf.DUMMYFUNCTION("""COMPUTED_VALUE"""),"CENTRAL")</f>
        <v>CENTRAL</v>
      </c>
      <c r="B3069" s="115" t="str">
        <f>IFERROR(__xludf.DUMMYFUNCTION("""COMPUTED_VALUE"""),"Ashish Ranjan")</f>
        <v>Ashish Ranjan</v>
      </c>
      <c r="C3069" s="115" t="str">
        <f>IFERROR(__xludf.DUMMYFUNCTION("""COMPUTED_VALUE"""),"FLIPKART")</f>
        <v>FLIPKART</v>
      </c>
      <c r="D3069" s="115">
        <f>IFERROR(__xludf.DUMMYFUNCTION("""COMPUTED_VALUE"""),145.0)</f>
        <v>145</v>
      </c>
      <c r="E3069" s="115">
        <f>IFERROR(__xludf.DUMMYFUNCTION("""COMPUTED_VALUE"""),23.0)</f>
        <v>23</v>
      </c>
      <c r="F3069" s="115">
        <f>IFERROR(__xludf.DUMMYFUNCTION("""COMPUTED_VALUE"""),122.0)</f>
        <v>122</v>
      </c>
      <c r="G3069" s="115">
        <f>IFERROR(__xludf.DUMMYFUNCTION("""COMPUTED_VALUE"""),16.0)</f>
        <v>16</v>
      </c>
      <c r="H3069" s="116">
        <f>IFERROR(__xludf.DUMMYFUNCTION("""COMPUTED_VALUE"""),45906.0)</f>
        <v>45906</v>
      </c>
      <c r="I3069" s="115" t="str">
        <f>IFERROR(__xludf.DUMMYFUNCTION("""COMPUTED_VALUE"""),"16")</f>
        <v>16</v>
      </c>
      <c r="J3069" s="115" t="str">
        <f>IFERROR(__xludf.DUMMYFUNCTION("""COMPUTED_VALUE"""),"Ashish Ranjan2025-09-0616")</f>
        <v>Ashish Ranjan2025-09-0616</v>
      </c>
      <c r="K3069" s="115">
        <f>IFERROR(__xludf.DUMMYFUNCTION("""COMPUTED_VALUE"""),168.0)</f>
        <v>168</v>
      </c>
    </row>
    <row r="3070">
      <c r="A3070" s="115" t="str">
        <f>IFERROR(__xludf.DUMMYFUNCTION("""COMPUTED_VALUE"""),"CENTRAL")</f>
        <v>CENTRAL</v>
      </c>
      <c r="B3070" s="115" t="str">
        <f>IFERROR(__xludf.DUMMYFUNCTION("""COMPUTED_VALUE"""),"Ashish Ranjan")</f>
        <v>Ashish Ranjan</v>
      </c>
      <c r="C3070" s="115" t="str">
        <f>IFERROR(__xludf.DUMMYFUNCTION("""COMPUTED_VALUE"""),"MYNTRA")</f>
        <v>MYNTRA</v>
      </c>
      <c r="D3070" s="115">
        <f>IFERROR(__xludf.DUMMYFUNCTION("""COMPUTED_VALUE"""),5.0)</f>
        <v>5</v>
      </c>
      <c r="E3070" s="115">
        <f>IFERROR(__xludf.DUMMYFUNCTION("""COMPUTED_VALUE"""),5.0)</f>
        <v>5</v>
      </c>
      <c r="F3070" s="115">
        <f>IFERROR(__xludf.DUMMYFUNCTION("""COMPUTED_VALUE"""),5.0)</f>
        <v>5</v>
      </c>
      <c r="G3070" s="115">
        <f>IFERROR(__xludf.DUMMYFUNCTION("""COMPUTED_VALUE"""),4.0)</f>
        <v>4</v>
      </c>
      <c r="H3070" s="116">
        <f>IFERROR(__xludf.DUMMYFUNCTION("""COMPUTED_VALUE"""),45906.0)</f>
        <v>45906</v>
      </c>
      <c r="I3070" s="115" t="str">
        <f>IFERROR(__xludf.DUMMYFUNCTION("""COMPUTED_VALUE"""),"16")</f>
        <v>16</v>
      </c>
      <c r="J3070" s="115" t="str">
        <f>IFERROR(__xludf.DUMMYFUNCTION("""COMPUTED_VALUE"""),"Ashish Ranjan2025-09-0616")</f>
        <v>Ashish Ranjan2025-09-0616</v>
      </c>
      <c r="K3070" s="115">
        <f>IFERROR(__xludf.DUMMYFUNCTION("""COMPUTED_VALUE"""),10.0)</f>
        <v>10</v>
      </c>
    </row>
    <row r="3071">
      <c r="A3071" s="115" t="str">
        <f>IFERROR(__xludf.DUMMYFUNCTION("""COMPUTED_VALUE"""),"CENTRAL")</f>
        <v>CENTRAL</v>
      </c>
      <c r="B3071" s="115" t="str">
        <f>IFERROR(__xludf.DUMMYFUNCTION("""COMPUTED_VALUE"""),"Parag Kashyap")</f>
        <v>Parag Kashyap</v>
      </c>
      <c r="C3071" s="115" t="str">
        <f>IFERROR(__xludf.DUMMYFUNCTION("""COMPUTED_VALUE"""),"EXTERNAL")</f>
        <v>EXTERNAL</v>
      </c>
      <c r="D3071" s="115">
        <f>IFERROR(__xludf.DUMMYFUNCTION("""COMPUTED_VALUE"""),48.0)</f>
        <v>48</v>
      </c>
      <c r="E3071" s="115">
        <f>IFERROR(__xludf.DUMMYFUNCTION("""COMPUTED_VALUE"""),0.0)</f>
        <v>0</v>
      </c>
      <c r="F3071" s="115">
        <f>IFERROR(__xludf.DUMMYFUNCTION("""COMPUTED_VALUE"""),4.0)</f>
        <v>4</v>
      </c>
      <c r="G3071" s="115">
        <f>IFERROR(__xludf.DUMMYFUNCTION("""COMPUTED_VALUE"""),0.0)</f>
        <v>0</v>
      </c>
      <c r="H3071" s="116">
        <f>IFERROR(__xludf.DUMMYFUNCTION("""COMPUTED_VALUE"""),45906.0)</f>
        <v>45906</v>
      </c>
      <c r="I3071" s="115" t="str">
        <f>IFERROR(__xludf.DUMMYFUNCTION("""COMPUTED_VALUE"""),"16")</f>
        <v>16</v>
      </c>
      <c r="J3071" s="115" t="str">
        <f>IFERROR(__xludf.DUMMYFUNCTION("""COMPUTED_VALUE"""),"Parag Kashyap2025-09-0616")</f>
        <v>Parag Kashyap2025-09-0616</v>
      </c>
      <c r="K3071" s="115">
        <f>IFERROR(__xludf.DUMMYFUNCTION("""COMPUTED_VALUE"""),48.0)</f>
        <v>48</v>
      </c>
    </row>
    <row r="3072">
      <c r="A3072" s="115" t="str">
        <f>IFERROR(__xludf.DUMMYFUNCTION("""COMPUTED_VALUE"""),"CENTRAL")</f>
        <v>CENTRAL</v>
      </c>
      <c r="B3072" s="115" t="str">
        <f>IFERROR(__xludf.DUMMYFUNCTION("""COMPUTED_VALUE"""),"Parag Kashyap")</f>
        <v>Parag Kashyap</v>
      </c>
      <c r="C3072" s="115" t="str">
        <f>IFERROR(__xludf.DUMMYFUNCTION("""COMPUTED_VALUE"""),"FLIPKART")</f>
        <v>FLIPKART</v>
      </c>
      <c r="D3072" s="115">
        <f>IFERROR(__xludf.DUMMYFUNCTION("""COMPUTED_VALUE"""),310.0)</f>
        <v>310</v>
      </c>
      <c r="E3072" s="115">
        <f>IFERROR(__xludf.DUMMYFUNCTION("""COMPUTED_VALUE"""),0.0)</f>
        <v>0</v>
      </c>
      <c r="F3072" s="115">
        <f>IFERROR(__xludf.DUMMYFUNCTION("""COMPUTED_VALUE"""),125.0)</f>
        <v>125</v>
      </c>
      <c r="G3072" s="115">
        <f>IFERROR(__xludf.DUMMYFUNCTION("""COMPUTED_VALUE"""),0.0)</f>
        <v>0</v>
      </c>
      <c r="H3072" s="116">
        <f>IFERROR(__xludf.DUMMYFUNCTION("""COMPUTED_VALUE"""),45906.0)</f>
        <v>45906</v>
      </c>
      <c r="I3072" s="115" t="str">
        <f>IFERROR(__xludf.DUMMYFUNCTION("""COMPUTED_VALUE"""),"16")</f>
        <v>16</v>
      </c>
      <c r="J3072" s="115" t="str">
        <f>IFERROR(__xludf.DUMMYFUNCTION("""COMPUTED_VALUE"""),"Parag Kashyap2025-09-0616")</f>
        <v>Parag Kashyap2025-09-0616</v>
      </c>
      <c r="K3072" s="115">
        <f>IFERROR(__xludf.DUMMYFUNCTION("""COMPUTED_VALUE"""),310.0)</f>
        <v>310</v>
      </c>
    </row>
    <row r="3073">
      <c r="A3073" s="115" t="str">
        <f>IFERROR(__xludf.DUMMYFUNCTION("""COMPUTED_VALUE"""),"CENTRAL")</f>
        <v>CENTRAL</v>
      </c>
      <c r="B3073" s="115" t="str">
        <f>IFERROR(__xludf.DUMMYFUNCTION("""COMPUTED_VALUE"""),"Parag Kashyap")</f>
        <v>Parag Kashyap</v>
      </c>
      <c r="C3073" s="115" t="str">
        <f>IFERROR(__xludf.DUMMYFUNCTION("""COMPUTED_VALUE"""),"MYNTRA")</f>
        <v>MYNTRA</v>
      </c>
      <c r="D3073" s="115">
        <f>IFERROR(__xludf.DUMMYFUNCTION("""COMPUTED_VALUE"""),18.0)</f>
        <v>18</v>
      </c>
      <c r="E3073" s="115">
        <f>IFERROR(__xludf.DUMMYFUNCTION("""COMPUTED_VALUE"""),0.0)</f>
        <v>0</v>
      </c>
      <c r="F3073" s="115">
        <f>IFERROR(__xludf.DUMMYFUNCTION("""COMPUTED_VALUE"""),9.0)</f>
        <v>9</v>
      </c>
      <c r="G3073" s="115">
        <f>IFERROR(__xludf.DUMMYFUNCTION("""COMPUTED_VALUE"""),0.0)</f>
        <v>0</v>
      </c>
      <c r="H3073" s="116">
        <f>IFERROR(__xludf.DUMMYFUNCTION("""COMPUTED_VALUE"""),45906.0)</f>
        <v>45906</v>
      </c>
      <c r="I3073" s="115" t="str">
        <f>IFERROR(__xludf.DUMMYFUNCTION("""COMPUTED_VALUE"""),"16")</f>
        <v>16</v>
      </c>
      <c r="J3073" s="115" t="str">
        <f>IFERROR(__xludf.DUMMYFUNCTION("""COMPUTED_VALUE"""),"Parag Kashyap2025-09-0616")</f>
        <v>Parag Kashyap2025-09-0616</v>
      </c>
      <c r="K3073" s="115">
        <f>IFERROR(__xludf.DUMMYFUNCTION("""COMPUTED_VALUE"""),18.0)</f>
        <v>18</v>
      </c>
    </row>
    <row r="3074">
      <c r="A3074" s="115" t="str">
        <f>IFERROR(__xludf.DUMMYFUNCTION("""COMPUTED_VALUE"""),"EAST")</f>
        <v>EAST</v>
      </c>
      <c r="B3074" s="115" t="str">
        <f>IFERROR(__xludf.DUMMYFUNCTION("""COMPUTED_VALUE"""),"0")</f>
        <v>0</v>
      </c>
      <c r="C3074" s="115" t="str">
        <f>IFERROR(__xludf.DUMMYFUNCTION("""COMPUTED_VALUE"""),"EXTERNAL")</f>
        <v>EXTERNAL</v>
      </c>
      <c r="D3074" s="115">
        <f>IFERROR(__xludf.DUMMYFUNCTION("""COMPUTED_VALUE"""),14.0)</f>
        <v>14</v>
      </c>
      <c r="E3074" s="115">
        <f>IFERROR(__xludf.DUMMYFUNCTION("""COMPUTED_VALUE"""),1.0)</f>
        <v>1</v>
      </c>
      <c r="F3074" s="115">
        <f>IFERROR(__xludf.DUMMYFUNCTION("""COMPUTED_VALUE"""),2.0)</f>
        <v>2</v>
      </c>
      <c r="G3074" s="115">
        <f>IFERROR(__xludf.DUMMYFUNCTION("""COMPUTED_VALUE"""),1.0)</f>
        <v>1</v>
      </c>
      <c r="H3074" s="116">
        <f>IFERROR(__xludf.DUMMYFUNCTION("""COMPUTED_VALUE"""),45906.0)</f>
        <v>45906</v>
      </c>
      <c r="I3074" s="115" t="str">
        <f>IFERROR(__xludf.DUMMYFUNCTION("""COMPUTED_VALUE"""),"16")</f>
        <v>16</v>
      </c>
      <c r="J3074" s="115" t="str">
        <f>IFERROR(__xludf.DUMMYFUNCTION("""COMPUTED_VALUE"""),"02025-09-0616")</f>
        <v>02025-09-0616</v>
      </c>
      <c r="K3074" s="115">
        <f>IFERROR(__xludf.DUMMYFUNCTION("""COMPUTED_VALUE"""),15.0)</f>
        <v>15</v>
      </c>
    </row>
    <row r="3075">
      <c r="A3075" s="115" t="str">
        <f>IFERROR(__xludf.DUMMYFUNCTION("""COMPUTED_VALUE"""),"EAST")</f>
        <v>EAST</v>
      </c>
      <c r="B3075" s="115" t="str">
        <f>IFERROR(__xludf.DUMMYFUNCTION("""COMPUTED_VALUE"""),"0")</f>
        <v>0</v>
      </c>
      <c r="C3075" s="115" t="str">
        <f>IFERROR(__xludf.DUMMYFUNCTION("""COMPUTED_VALUE"""),"FLIPKART")</f>
        <v>FLIPKART</v>
      </c>
      <c r="D3075" s="115">
        <f>IFERROR(__xludf.DUMMYFUNCTION("""COMPUTED_VALUE"""),197.0)</f>
        <v>197</v>
      </c>
      <c r="E3075" s="115">
        <f>IFERROR(__xludf.DUMMYFUNCTION("""COMPUTED_VALUE"""),8.0)</f>
        <v>8</v>
      </c>
      <c r="F3075" s="115">
        <f>IFERROR(__xludf.DUMMYFUNCTION("""COMPUTED_VALUE"""),104.0)</f>
        <v>104</v>
      </c>
      <c r="G3075" s="115">
        <f>IFERROR(__xludf.DUMMYFUNCTION("""COMPUTED_VALUE"""),0.0)</f>
        <v>0</v>
      </c>
      <c r="H3075" s="116">
        <f>IFERROR(__xludf.DUMMYFUNCTION("""COMPUTED_VALUE"""),45906.0)</f>
        <v>45906</v>
      </c>
      <c r="I3075" s="115" t="str">
        <f>IFERROR(__xludf.DUMMYFUNCTION("""COMPUTED_VALUE"""),"16")</f>
        <v>16</v>
      </c>
      <c r="J3075" s="115" t="str">
        <f>IFERROR(__xludf.DUMMYFUNCTION("""COMPUTED_VALUE"""),"02025-09-0616")</f>
        <v>02025-09-0616</v>
      </c>
      <c r="K3075" s="115">
        <f>IFERROR(__xludf.DUMMYFUNCTION("""COMPUTED_VALUE"""),205.0)</f>
        <v>205</v>
      </c>
    </row>
    <row r="3076">
      <c r="A3076" s="115" t="str">
        <f>IFERROR(__xludf.DUMMYFUNCTION("""COMPUTED_VALUE"""),"EAST")</f>
        <v>EAST</v>
      </c>
      <c r="B3076" s="115" t="str">
        <f>IFERROR(__xludf.DUMMYFUNCTION("""COMPUTED_VALUE"""),"0")</f>
        <v>0</v>
      </c>
      <c r="C3076" s="115" t="str">
        <f>IFERROR(__xludf.DUMMYFUNCTION("""COMPUTED_VALUE"""),"MYNTRA")</f>
        <v>MYNTRA</v>
      </c>
      <c r="D3076" s="115">
        <f>IFERROR(__xludf.DUMMYFUNCTION("""COMPUTED_VALUE"""),41.0)</f>
        <v>41</v>
      </c>
      <c r="E3076" s="115">
        <f>IFERROR(__xludf.DUMMYFUNCTION("""COMPUTED_VALUE"""),5.0)</f>
        <v>5</v>
      </c>
      <c r="F3076" s="115">
        <f>IFERROR(__xludf.DUMMYFUNCTION("""COMPUTED_VALUE"""),22.0)</f>
        <v>22</v>
      </c>
      <c r="G3076" s="115">
        <f>IFERROR(__xludf.DUMMYFUNCTION("""COMPUTED_VALUE"""),1.0)</f>
        <v>1</v>
      </c>
      <c r="H3076" s="116">
        <f>IFERROR(__xludf.DUMMYFUNCTION("""COMPUTED_VALUE"""),45906.0)</f>
        <v>45906</v>
      </c>
      <c r="I3076" s="115" t="str">
        <f>IFERROR(__xludf.DUMMYFUNCTION("""COMPUTED_VALUE"""),"16")</f>
        <v>16</v>
      </c>
      <c r="J3076" s="115" t="str">
        <f>IFERROR(__xludf.DUMMYFUNCTION("""COMPUTED_VALUE"""),"02025-09-0616")</f>
        <v>02025-09-0616</v>
      </c>
      <c r="K3076" s="115">
        <f>IFERROR(__xludf.DUMMYFUNCTION("""COMPUTED_VALUE"""),46.0)</f>
        <v>46</v>
      </c>
    </row>
    <row r="3077">
      <c r="A3077" s="115" t="str">
        <f>IFERROR(__xludf.DUMMYFUNCTION("""COMPUTED_VALUE"""),"EAST")</f>
        <v>EAST</v>
      </c>
      <c r="B3077" s="115" t="str">
        <f>IFERROR(__xludf.DUMMYFUNCTION("""COMPUTED_VALUE"""),"Ashish Jakar")</f>
        <v>Ashish Jakar</v>
      </c>
      <c r="C3077" s="115" t="str">
        <f>IFERROR(__xludf.DUMMYFUNCTION("""COMPUTED_VALUE"""),"EXTERNAL")</f>
        <v>EXTERNAL</v>
      </c>
      <c r="D3077" s="115">
        <f>IFERROR(__xludf.DUMMYFUNCTION("""COMPUTED_VALUE"""),7.0)</f>
        <v>7</v>
      </c>
      <c r="E3077" s="115">
        <f>IFERROR(__xludf.DUMMYFUNCTION("""COMPUTED_VALUE"""),0.0)</f>
        <v>0</v>
      </c>
      <c r="F3077" s="115">
        <f>IFERROR(__xludf.DUMMYFUNCTION("""COMPUTED_VALUE"""),2.0)</f>
        <v>2</v>
      </c>
      <c r="G3077" s="115">
        <f>IFERROR(__xludf.DUMMYFUNCTION("""COMPUTED_VALUE"""),0.0)</f>
        <v>0</v>
      </c>
      <c r="H3077" s="116">
        <f>IFERROR(__xludf.DUMMYFUNCTION("""COMPUTED_VALUE"""),45906.0)</f>
        <v>45906</v>
      </c>
      <c r="I3077" s="115" t="str">
        <f>IFERROR(__xludf.DUMMYFUNCTION("""COMPUTED_VALUE"""),"16")</f>
        <v>16</v>
      </c>
      <c r="J3077" s="115" t="str">
        <f>IFERROR(__xludf.DUMMYFUNCTION("""COMPUTED_VALUE"""),"Ashish Jakar2025-09-0616")</f>
        <v>Ashish Jakar2025-09-0616</v>
      </c>
      <c r="K3077" s="115">
        <f>IFERROR(__xludf.DUMMYFUNCTION("""COMPUTED_VALUE"""),7.0)</f>
        <v>7</v>
      </c>
    </row>
    <row r="3078">
      <c r="A3078" s="115" t="str">
        <f>IFERROR(__xludf.DUMMYFUNCTION("""COMPUTED_VALUE"""),"EAST")</f>
        <v>EAST</v>
      </c>
      <c r="B3078" s="115" t="str">
        <f>IFERROR(__xludf.DUMMYFUNCTION("""COMPUTED_VALUE"""),"Ashish Jakar")</f>
        <v>Ashish Jakar</v>
      </c>
      <c r="C3078" s="115" t="str">
        <f>IFERROR(__xludf.DUMMYFUNCTION("""COMPUTED_VALUE"""),"FLIPKART")</f>
        <v>FLIPKART</v>
      </c>
      <c r="D3078" s="115">
        <f>IFERROR(__xludf.DUMMYFUNCTION("""COMPUTED_VALUE"""),65.0)</f>
        <v>65</v>
      </c>
      <c r="E3078" s="115">
        <f>IFERROR(__xludf.DUMMYFUNCTION("""COMPUTED_VALUE"""),0.0)</f>
        <v>0</v>
      </c>
      <c r="F3078" s="115">
        <f>IFERROR(__xludf.DUMMYFUNCTION("""COMPUTED_VALUE"""),61.0)</f>
        <v>61</v>
      </c>
      <c r="G3078" s="115">
        <f>IFERROR(__xludf.DUMMYFUNCTION("""COMPUTED_VALUE"""),0.0)</f>
        <v>0</v>
      </c>
      <c r="H3078" s="116">
        <f>IFERROR(__xludf.DUMMYFUNCTION("""COMPUTED_VALUE"""),45906.0)</f>
        <v>45906</v>
      </c>
      <c r="I3078" s="115" t="str">
        <f>IFERROR(__xludf.DUMMYFUNCTION("""COMPUTED_VALUE"""),"16")</f>
        <v>16</v>
      </c>
      <c r="J3078" s="115" t="str">
        <f>IFERROR(__xludf.DUMMYFUNCTION("""COMPUTED_VALUE"""),"Ashish Jakar2025-09-0616")</f>
        <v>Ashish Jakar2025-09-0616</v>
      </c>
      <c r="K3078" s="115">
        <f>IFERROR(__xludf.DUMMYFUNCTION("""COMPUTED_VALUE"""),65.0)</f>
        <v>65</v>
      </c>
    </row>
    <row r="3079">
      <c r="A3079" s="115" t="str">
        <f>IFERROR(__xludf.DUMMYFUNCTION("""COMPUTED_VALUE"""),"EAST")</f>
        <v>EAST</v>
      </c>
      <c r="B3079" s="115" t="str">
        <f>IFERROR(__xludf.DUMMYFUNCTION("""COMPUTED_VALUE"""),"Ashish Jakar")</f>
        <v>Ashish Jakar</v>
      </c>
      <c r="C3079" s="115" t="str">
        <f>IFERROR(__xludf.DUMMYFUNCTION("""COMPUTED_VALUE"""),"MYNTRA")</f>
        <v>MYNTRA</v>
      </c>
      <c r="D3079" s="115">
        <f>IFERROR(__xludf.DUMMYFUNCTION("""COMPUTED_VALUE"""),3.0)</f>
        <v>3</v>
      </c>
      <c r="E3079" s="115">
        <f>IFERROR(__xludf.DUMMYFUNCTION("""COMPUTED_VALUE"""),0.0)</f>
        <v>0</v>
      </c>
      <c r="F3079" s="115">
        <f>IFERROR(__xludf.DUMMYFUNCTION("""COMPUTED_VALUE"""),1.0)</f>
        <v>1</v>
      </c>
      <c r="G3079" s="115">
        <f>IFERROR(__xludf.DUMMYFUNCTION("""COMPUTED_VALUE"""),0.0)</f>
        <v>0</v>
      </c>
      <c r="H3079" s="116">
        <f>IFERROR(__xludf.DUMMYFUNCTION("""COMPUTED_VALUE"""),45906.0)</f>
        <v>45906</v>
      </c>
      <c r="I3079" s="115" t="str">
        <f>IFERROR(__xludf.DUMMYFUNCTION("""COMPUTED_VALUE"""),"16")</f>
        <v>16</v>
      </c>
      <c r="J3079" s="115" t="str">
        <f>IFERROR(__xludf.DUMMYFUNCTION("""COMPUTED_VALUE"""),"Ashish Jakar2025-09-0616")</f>
        <v>Ashish Jakar2025-09-0616</v>
      </c>
      <c r="K3079" s="115">
        <f>IFERROR(__xludf.DUMMYFUNCTION("""COMPUTED_VALUE"""),3.0)</f>
        <v>3</v>
      </c>
    </row>
    <row r="3080">
      <c r="A3080" s="115" t="str">
        <f>IFERROR(__xludf.DUMMYFUNCTION("""COMPUTED_VALUE"""),"EAST")</f>
        <v>EAST</v>
      </c>
      <c r="B3080" s="115" t="str">
        <f>IFERROR(__xludf.DUMMYFUNCTION("""COMPUTED_VALUE"""),"Ashish Ranjan")</f>
        <v>Ashish Ranjan</v>
      </c>
      <c r="C3080" s="115" t="str">
        <f>IFERROR(__xludf.DUMMYFUNCTION("""COMPUTED_VALUE"""),"EXTERNAL")</f>
        <v>EXTERNAL</v>
      </c>
      <c r="D3080" s="115">
        <f>IFERROR(__xludf.DUMMYFUNCTION("""COMPUTED_VALUE"""),42391.0)</f>
        <v>42391</v>
      </c>
      <c r="E3080" s="115">
        <f>IFERROR(__xludf.DUMMYFUNCTION("""COMPUTED_VALUE"""),2837.0)</f>
        <v>2837</v>
      </c>
      <c r="F3080" s="115">
        <f>IFERROR(__xludf.DUMMYFUNCTION("""COMPUTED_VALUE"""),19340.0)</f>
        <v>19340</v>
      </c>
      <c r="G3080" s="115">
        <f>IFERROR(__xludf.DUMMYFUNCTION("""COMPUTED_VALUE"""),821.0)</f>
        <v>821</v>
      </c>
      <c r="H3080" s="116">
        <f>IFERROR(__xludf.DUMMYFUNCTION("""COMPUTED_VALUE"""),45906.0)</f>
        <v>45906</v>
      </c>
      <c r="I3080" s="115" t="str">
        <f>IFERROR(__xludf.DUMMYFUNCTION("""COMPUTED_VALUE"""),"16")</f>
        <v>16</v>
      </c>
      <c r="J3080" s="115" t="str">
        <f>IFERROR(__xludf.DUMMYFUNCTION("""COMPUTED_VALUE"""),"Ashish Ranjan2025-09-0616")</f>
        <v>Ashish Ranjan2025-09-0616</v>
      </c>
      <c r="K3080" s="115">
        <f>IFERROR(__xludf.DUMMYFUNCTION("""COMPUTED_VALUE"""),45228.0)</f>
        <v>45228</v>
      </c>
    </row>
    <row r="3081">
      <c r="A3081" s="115" t="str">
        <f>IFERROR(__xludf.DUMMYFUNCTION("""COMPUTED_VALUE"""),"EAST")</f>
        <v>EAST</v>
      </c>
      <c r="B3081" s="115" t="str">
        <f>IFERROR(__xludf.DUMMYFUNCTION("""COMPUTED_VALUE"""),"Ashish Ranjan")</f>
        <v>Ashish Ranjan</v>
      </c>
      <c r="C3081" s="115" t="str">
        <f>IFERROR(__xludf.DUMMYFUNCTION("""COMPUTED_VALUE"""),"FLIPKART")</f>
        <v>FLIPKART</v>
      </c>
      <c r="D3081" s="115">
        <f>IFERROR(__xludf.DUMMYFUNCTION("""COMPUTED_VALUE"""),654969.0)</f>
        <v>654969</v>
      </c>
      <c r="E3081" s="115">
        <f>IFERROR(__xludf.DUMMYFUNCTION("""COMPUTED_VALUE"""),57269.0)</f>
        <v>57269</v>
      </c>
      <c r="F3081" s="115">
        <f>IFERROR(__xludf.DUMMYFUNCTION("""COMPUTED_VALUE"""),477986.0)</f>
        <v>477986</v>
      </c>
      <c r="G3081" s="115">
        <f>IFERROR(__xludf.DUMMYFUNCTION("""COMPUTED_VALUE"""),24591.0)</f>
        <v>24591</v>
      </c>
      <c r="H3081" s="116">
        <f>IFERROR(__xludf.DUMMYFUNCTION("""COMPUTED_VALUE"""),45906.0)</f>
        <v>45906</v>
      </c>
      <c r="I3081" s="115" t="str">
        <f>IFERROR(__xludf.DUMMYFUNCTION("""COMPUTED_VALUE"""),"16")</f>
        <v>16</v>
      </c>
      <c r="J3081" s="115" t="str">
        <f>IFERROR(__xludf.DUMMYFUNCTION("""COMPUTED_VALUE"""),"Ashish Ranjan2025-09-0616")</f>
        <v>Ashish Ranjan2025-09-0616</v>
      </c>
      <c r="K3081" s="115">
        <f>IFERROR(__xludf.DUMMYFUNCTION("""COMPUTED_VALUE"""),712238.0)</f>
        <v>712238</v>
      </c>
    </row>
    <row r="3082">
      <c r="A3082" s="115" t="str">
        <f>IFERROR(__xludf.DUMMYFUNCTION("""COMPUTED_VALUE"""),"EAST")</f>
        <v>EAST</v>
      </c>
      <c r="B3082" s="115" t="str">
        <f>IFERROR(__xludf.DUMMYFUNCTION("""COMPUTED_VALUE"""),"Ashish Ranjan")</f>
        <v>Ashish Ranjan</v>
      </c>
      <c r="C3082" s="115" t="str">
        <f>IFERROR(__xludf.DUMMYFUNCTION("""COMPUTED_VALUE"""),"MYNTRA")</f>
        <v>MYNTRA</v>
      </c>
      <c r="D3082" s="115">
        <f>IFERROR(__xludf.DUMMYFUNCTION("""COMPUTED_VALUE"""),67419.0)</f>
        <v>67419</v>
      </c>
      <c r="E3082" s="115">
        <f>IFERROR(__xludf.DUMMYFUNCTION("""COMPUTED_VALUE"""),13634.0)</f>
        <v>13634</v>
      </c>
      <c r="F3082" s="115">
        <f>IFERROR(__xludf.DUMMYFUNCTION("""COMPUTED_VALUE"""),49925.0)</f>
        <v>49925</v>
      </c>
      <c r="G3082" s="115">
        <f>IFERROR(__xludf.DUMMYFUNCTION("""COMPUTED_VALUE"""),5977.0)</f>
        <v>5977</v>
      </c>
      <c r="H3082" s="116">
        <f>IFERROR(__xludf.DUMMYFUNCTION("""COMPUTED_VALUE"""),45906.0)</f>
        <v>45906</v>
      </c>
      <c r="I3082" s="115" t="str">
        <f>IFERROR(__xludf.DUMMYFUNCTION("""COMPUTED_VALUE"""),"16")</f>
        <v>16</v>
      </c>
      <c r="J3082" s="115" t="str">
        <f>IFERROR(__xludf.DUMMYFUNCTION("""COMPUTED_VALUE"""),"Ashish Ranjan2025-09-0616")</f>
        <v>Ashish Ranjan2025-09-0616</v>
      </c>
      <c r="K3082" s="115">
        <f>IFERROR(__xludf.DUMMYFUNCTION("""COMPUTED_VALUE"""),81053.0)</f>
        <v>81053</v>
      </c>
    </row>
    <row r="3083">
      <c r="A3083" s="115" t="str">
        <f>IFERROR(__xludf.DUMMYFUNCTION("""COMPUTED_VALUE"""),"EAST")</f>
        <v>EAST</v>
      </c>
      <c r="B3083" s="115" t="str">
        <f>IFERROR(__xludf.DUMMYFUNCTION("""COMPUTED_VALUE"""),"Girish Chand")</f>
        <v>Girish Chand</v>
      </c>
      <c r="C3083" s="115" t="str">
        <f>IFERROR(__xludf.DUMMYFUNCTION("""COMPUTED_VALUE"""),"EXTERNAL")</f>
        <v>EXTERNAL</v>
      </c>
      <c r="D3083" s="115">
        <f>IFERROR(__xludf.DUMMYFUNCTION("""COMPUTED_VALUE"""),25032.0)</f>
        <v>25032</v>
      </c>
      <c r="E3083" s="115">
        <f>IFERROR(__xludf.DUMMYFUNCTION("""COMPUTED_VALUE"""),2200.0)</f>
        <v>2200</v>
      </c>
      <c r="F3083" s="115">
        <f>IFERROR(__xludf.DUMMYFUNCTION("""COMPUTED_VALUE"""),9039.0)</f>
        <v>9039</v>
      </c>
      <c r="G3083" s="115">
        <f>IFERROR(__xludf.DUMMYFUNCTION("""COMPUTED_VALUE"""),303.0)</f>
        <v>303</v>
      </c>
      <c r="H3083" s="116">
        <f>IFERROR(__xludf.DUMMYFUNCTION("""COMPUTED_VALUE"""),45906.0)</f>
        <v>45906</v>
      </c>
      <c r="I3083" s="115" t="str">
        <f>IFERROR(__xludf.DUMMYFUNCTION("""COMPUTED_VALUE"""),"16")</f>
        <v>16</v>
      </c>
      <c r="J3083" s="115" t="str">
        <f>IFERROR(__xludf.DUMMYFUNCTION("""COMPUTED_VALUE"""),"Girish Chand2025-09-0616")</f>
        <v>Girish Chand2025-09-0616</v>
      </c>
      <c r="K3083" s="115">
        <f>IFERROR(__xludf.DUMMYFUNCTION("""COMPUTED_VALUE"""),27232.0)</f>
        <v>27232</v>
      </c>
    </row>
    <row r="3084">
      <c r="A3084" s="115" t="str">
        <f>IFERROR(__xludf.DUMMYFUNCTION("""COMPUTED_VALUE"""),"EAST")</f>
        <v>EAST</v>
      </c>
      <c r="B3084" s="115" t="str">
        <f>IFERROR(__xludf.DUMMYFUNCTION("""COMPUTED_VALUE"""),"Girish Chand")</f>
        <v>Girish Chand</v>
      </c>
      <c r="C3084" s="115" t="str">
        <f>IFERROR(__xludf.DUMMYFUNCTION("""COMPUTED_VALUE"""),"FLIPKART")</f>
        <v>FLIPKART</v>
      </c>
      <c r="D3084" s="115">
        <f>IFERROR(__xludf.DUMMYFUNCTION("""COMPUTED_VALUE"""),444036.0)</f>
        <v>444036</v>
      </c>
      <c r="E3084" s="115">
        <f>IFERROR(__xludf.DUMMYFUNCTION("""COMPUTED_VALUE"""),39311.0)</f>
        <v>39311</v>
      </c>
      <c r="F3084" s="115">
        <f>IFERROR(__xludf.DUMMYFUNCTION("""COMPUTED_VALUE"""),275708.0)</f>
        <v>275708</v>
      </c>
      <c r="G3084" s="115">
        <f>IFERROR(__xludf.DUMMYFUNCTION("""COMPUTED_VALUE"""),11943.0)</f>
        <v>11943</v>
      </c>
      <c r="H3084" s="116">
        <f>IFERROR(__xludf.DUMMYFUNCTION("""COMPUTED_VALUE"""),45906.0)</f>
        <v>45906</v>
      </c>
      <c r="I3084" s="115" t="str">
        <f>IFERROR(__xludf.DUMMYFUNCTION("""COMPUTED_VALUE"""),"16")</f>
        <v>16</v>
      </c>
      <c r="J3084" s="115" t="str">
        <f>IFERROR(__xludf.DUMMYFUNCTION("""COMPUTED_VALUE"""),"Girish Chand2025-09-0616")</f>
        <v>Girish Chand2025-09-0616</v>
      </c>
      <c r="K3084" s="115">
        <f>IFERROR(__xludf.DUMMYFUNCTION("""COMPUTED_VALUE"""),483347.0)</f>
        <v>483347</v>
      </c>
    </row>
    <row r="3085">
      <c r="A3085" s="115" t="str">
        <f>IFERROR(__xludf.DUMMYFUNCTION("""COMPUTED_VALUE"""),"EAST")</f>
        <v>EAST</v>
      </c>
      <c r="B3085" s="115" t="str">
        <f>IFERROR(__xludf.DUMMYFUNCTION("""COMPUTED_VALUE"""),"Girish Chand")</f>
        <v>Girish Chand</v>
      </c>
      <c r="C3085" s="115" t="str">
        <f>IFERROR(__xludf.DUMMYFUNCTION("""COMPUTED_VALUE"""),"MYNTRA")</f>
        <v>MYNTRA</v>
      </c>
      <c r="D3085" s="115">
        <f>IFERROR(__xludf.DUMMYFUNCTION("""COMPUTED_VALUE"""),38380.0)</f>
        <v>38380</v>
      </c>
      <c r="E3085" s="115">
        <f>IFERROR(__xludf.DUMMYFUNCTION("""COMPUTED_VALUE"""),7197.0)</f>
        <v>7197</v>
      </c>
      <c r="F3085" s="115">
        <f>IFERROR(__xludf.DUMMYFUNCTION("""COMPUTED_VALUE"""),25600.0)</f>
        <v>25600</v>
      </c>
      <c r="G3085" s="115">
        <f>IFERROR(__xludf.DUMMYFUNCTION("""COMPUTED_VALUE"""),2425.0)</f>
        <v>2425</v>
      </c>
      <c r="H3085" s="116">
        <f>IFERROR(__xludf.DUMMYFUNCTION("""COMPUTED_VALUE"""),45906.0)</f>
        <v>45906</v>
      </c>
      <c r="I3085" s="115" t="str">
        <f>IFERROR(__xludf.DUMMYFUNCTION("""COMPUTED_VALUE"""),"16")</f>
        <v>16</v>
      </c>
      <c r="J3085" s="115" t="str">
        <f>IFERROR(__xludf.DUMMYFUNCTION("""COMPUTED_VALUE"""),"Girish Chand2025-09-0616")</f>
        <v>Girish Chand2025-09-0616</v>
      </c>
      <c r="K3085" s="115">
        <f>IFERROR(__xludf.DUMMYFUNCTION("""COMPUTED_VALUE"""),45577.0)</f>
        <v>45577</v>
      </c>
    </row>
    <row r="3086">
      <c r="A3086" s="115" t="str">
        <f>IFERROR(__xludf.DUMMYFUNCTION("""COMPUTED_VALUE"""),"EAST")</f>
        <v>EAST</v>
      </c>
      <c r="B3086" s="115" t="str">
        <f>IFERROR(__xludf.DUMMYFUNCTION("""COMPUTED_VALUE"""),"Parag Kashyap")</f>
        <v>Parag Kashyap</v>
      </c>
      <c r="C3086" s="115" t="str">
        <f>IFERROR(__xludf.DUMMYFUNCTION("""COMPUTED_VALUE"""),"EXTERNAL")</f>
        <v>EXTERNAL</v>
      </c>
      <c r="D3086" s="115">
        <f>IFERROR(__xludf.DUMMYFUNCTION("""COMPUTED_VALUE"""),17769.0)</f>
        <v>17769</v>
      </c>
      <c r="E3086" s="115">
        <f>IFERROR(__xludf.DUMMYFUNCTION("""COMPUTED_VALUE"""),1035.0)</f>
        <v>1035</v>
      </c>
      <c r="F3086" s="115">
        <f>IFERROR(__xludf.DUMMYFUNCTION("""COMPUTED_VALUE"""),6039.0)</f>
        <v>6039</v>
      </c>
      <c r="G3086" s="115">
        <f>IFERROR(__xludf.DUMMYFUNCTION("""COMPUTED_VALUE"""),157.0)</f>
        <v>157</v>
      </c>
      <c r="H3086" s="116">
        <f>IFERROR(__xludf.DUMMYFUNCTION("""COMPUTED_VALUE"""),45906.0)</f>
        <v>45906</v>
      </c>
      <c r="I3086" s="115" t="str">
        <f>IFERROR(__xludf.DUMMYFUNCTION("""COMPUTED_VALUE"""),"16")</f>
        <v>16</v>
      </c>
      <c r="J3086" s="115" t="str">
        <f>IFERROR(__xludf.DUMMYFUNCTION("""COMPUTED_VALUE"""),"Parag Kashyap2025-09-0616")</f>
        <v>Parag Kashyap2025-09-0616</v>
      </c>
      <c r="K3086" s="115">
        <f>IFERROR(__xludf.DUMMYFUNCTION("""COMPUTED_VALUE"""),18804.0)</f>
        <v>18804</v>
      </c>
    </row>
    <row r="3087">
      <c r="A3087" s="115" t="str">
        <f>IFERROR(__xludf.DUMMYFUNCTION("""COMPUTED_VALUE"""),"EAST")</f>
        <v>EAST</v>
      </c>
      <c r="B3087" s="115" t="str">
        <f>IFERROR(__xludf.DUMMYFUNCTION("""COMPUTED_VALUE"""),"Parag Kashyap")</f>
        <v>Parag Kashyap</v>
      </c>
      <c r="C3087" s="115" t="str">
        <f>IFERROR(__xludf.DUMMYFUNCTION("""COMPUTED_VALUE"""),"FLIPKART")</f>
        <v>FLIPKART</v>
      </c>
      <c r="D3087" s="115">
        <f>IFERROR(__xludf.DUMMYFUNCTION("""COMPUTED_VALUE"""),282177.0)</f>
        <v>282177</v>
      </c>
      <c r="E3087" s="115">
        <f>IFERROR(__xludf.DUMMYFUNCTION("""COMPUTED_VALUE"""),18996.0)</f>
        <v>18996</v>
      </c>
      <c r="F3087" s="115">
        <f>IFERROR(__xludf.DUMMYFUNCTION("""COMPUTED_VALUE"""),170871.0)</f>
        <v>170871</v>
      </c>
      <c r="G3087" s="115">
        <f>IFERROR(__xludf.DUMMYFUNCTION("""COMPUTED_VALUE"""),4949.0)</f>
        <v>4949</v>
      </c>
      <c r="H3087" s="116">
        <f>IFERROR(__xludf.DUMMYFUNCTION("""COMPUTED_VALUE"""),45906.0)</f>
        <v>45906</v>
      </c>
      <c r="I3087" s="115" t="str">
        <f>IFERROR(__xludf.DUMMYFUNCTION("""COMPUTED_VALUE"""),"16")</f>
        <v>16</v>
      </c>
      <c r="J3087" s="115" t="str">
        <f>IFERROR(__xludf.DUMMYFUNCTION("""COMPUTED_VALUE"""),"Parag Kashyap2025-09-0616")</f>
        <v>Parag Kashyap2025-09-0616</v>
      </c>
      <c r="K3087" s="115">
        <f>IFERROR(__xludf.DUMMYFUNCTION("""COMPUTED_VALUE"""),301173.0)</f>
        <v>301173</v>
      </c>
    </row>
    <row r="3088">
      <c r="A3088" s="115" t="str">
        <f>IFERROR(__xludf.DUMMYFUNCTION("""COMPUTED_VALUE"""),"EAST")</f>
        <v>EAST</v>
      </c>
      <c r="B3088" s="115" t="str">
        <f>IFERROR(__xludf.DUMMYFUNCTION("""COMPUTED_VALUE"""),"Parag Kashyap")</f>
        <v>Parag Kashyap</v>
      </c>
      <c r="C3088" s="115" t="str">
        <f>IFERROR(__xludf.DUMMYFUNCTION("""COMPUTED_VALUE"""),"MYNTRA")</f>
        <v>MYNTRA</v>
      </c>
      <c r="D3088" s="115">
        <f>IFERROR(__xludf.DUMMYFUNCTION("""COMPUTED_VALUE"""),35367.0)</f>
        <v>35367</v>
      </c>
      <c r="E3088" s="115">
        <f>IFERROR(__xludf.DUMMYFUNCTION("""COMPUTED_VALUE"""),5140.0)</f>
        <v>5140</v>
      </c>
      <c r="F3088" s="115">
        <f>IFERROR(__xludf.DUMMYFUNCTION("""COMPUTED_VALUE"""),22613.0)</f>
        <v>22613</v>
      </c>
      <c r="G3088" s="115">
        <f>IFERROR(__xludf.DUMMYFUNCTION("""COMPUTED_VALUE"""),1373.0)</f>
        <v>1373</v>
      </c>
      <c r="H3088" s="116">
        <f>IFERROR(__xludf.DUMMYFUNCTION("""COMPUTED_VALUE"""),45906.0)</f>
        <v>45906</v>
      </c>
      <c r="I3088" s="115" t="str">
        <f>IFERROR(__xludf.DUMMYFUNCTION("""COMPUTED_VALUE"""),"16")</f>
        <v>16</v>
      </c>
      <c r="J3088" s="115" t="str">
        <f>IFERROR(__xludf.DUMMYFUNCTION("""COMPUTED_VALUE"""),"Parag Kashyap2025-09-0616")</f>
        <v>Parag Kashyap2025-09-0616</v>
      </c>
      <c r="K3088" s="115">
        <f>IFERROR(__xludf.DUMMYFUNCTION("""COMPUTED_VALUE"""),40507.0)</f>
        <v>40507</v>
      </c>
    </row>
    <row r="3089">
      <c r="A3089" s="115" t="str">
        <f>IFERROR(__xludf.DUMMYFUNCTION("""COMPUTED_VALUE"""),"NORTH")</f>
        <v>NORTH</v>
      </c>
      <c r="B3089" s="115" t="str">
        <f>IFERROR(__xludf.DUMMYFUNCTION("""COMPUTED_VALUE"""),"0")</f>
        <v>0</v>
      </c>
      <c r="C3089" s="115" t="str">
        <f>IFERROR(__xludf.DUMMYFUNCTION("""COMPUTED_VALUE"""),"EXTERNAL")</f>
        <v>EXTERNAL</v>
      </c>
      <c r="D3089" s="115">
        <f>IFERROR(__xludf.DUMMYFUNCTION("""COMPUTED_VALUE"""),236.0)</f>
        <v>236</v>
      </c>
      <c r="E3089" s="115">
        <f>IFERROR(__xludf.DUMMYFUNCTION("""COMPUTED_VALUE"""),38.0)</f>
        <v>38</v>
      </c>
      <c r="F3089" s="115">
        <f>IFERROR(__xludf.DUMMYFUNCTION("""COMPUTED_VALUE"""),87.0)</f>
        <v>87</v>
      </c>
      <c r="G3089" s="115">
        <f>IFERROR(__xludf.DUMMYFUNCTION("""COMPUTED_VALUE"""),9.0)</f>
        <v>9</v>
      </c>
      <c r="H3089" s="116">
        <f>IFERROR(__xludf.DUMMYFUNCTION("""COMPUTED_VALUE"""),45906.0)</f>
        <v>45906</v>
      </c>
      <c r="I3089" s="115" t="str">
        <f>IFERROR(__xludf.DUMMYFUNCTION("""COMPUTED_VALUE"""),"16")</f>
        <v>16</v>
      </c>
      <c r="J3089" s="115" t="str">
        <f>IFERROR(__xludf.DUMMYFUNCTION("""COMPUTED_VALUE"""),"02025-09-0616")</f>
        <v>02025-09-0616</v>
      </c>
      <c r="K3089" s="115">
        <f>IFERROR(__xludf.DUMMYFUNCTION("""COMPUTED_VALUE"""),274.0)</f>
        <v>274</v>
      </c>
    </row>
    <row r="3090">
      <c r="A3090" s="115" t="str">
        <f>IFERROR(__xludf.DUMMYFUNCTION("""COMPUTED_VALUE"""),"NORTH")</f>
        <v>NORTH</v>
      </c>
      <c r="B3090" s="115" t="str">
        <f>IFERROR(__xludf.DUMMYFUNCTION("""COMPUTED_VALUE"""),"0")</f>
        <v>0</v>
      </c>
      <c r="C3090" s="115" t="str">
        <f>IFERROR(__xludf.DUMMYFUNCTION("""COMPUTED_VALUE"""),"FLIPKART")</f>
        <v>FLIPKART</v>
      </c>
      <c r="D3090" s="115">
        <f>IFERROR(__xludf.DUMMYFUNCTION("""COMPUTED_VALUE"""),1917.0)</f>
        <v>1917</v>
      </c>
      <c r="E3090" s="115">
        <f>IFERROR(__xludf.DUMMYFUNCTION("""COMPUTED_VALUE"""),251.0)</f>
        <v>251</v>
      </c>
      <c r="F3090" s="115">
        <f>IFERROR(__xludf.DUMMYFUNCTION("""COMPUTED_VALUE"""),793.0)</f>
        <v>793</v>
      </c>
      <c r="G3090" s="115">
        <f>IFERROR(__xludf.DUMMYFUNCTION("""COMPUTED_VALUE"""),90.0)</f>
        <v>90</v>
      </c>
      <c r="H3090" s="116">
        <f>IFERROR(__xludf.DUMMYFUNCTION("""COMPUTED_VALUE"""),45906.0)</f>
        <v>45906</v>
      </c>
      <c r="I3090" s="115" t="str">
        <f>IFERROR(__xludf.DUMMYFUNCTION("""COMPUTED_VALUE"""),"16")</f>
        <v>16</v>
      </c>
      <c r="J3090" s="115" t="str">
        <f>IFERROR(__xludf.DUMMYFUNCTION("""COMPUTED_VALUE"""),"02025-09-0616")</f>
        <v>02025-09-0616</v>
      </c>
      <c r="K3090" s="115">
        <f>IFERROR(__xludf.DUMMYFUNCTION("""COMPUTED_VALUE"""),2168.0)</f>
        <v>2168</v>
      </c>
    </row>
    <row r="3091">
      <c r="A3091" s="115" t="str">
        <f>IFERROR(__xludf.DUMMYFUNCTION("""COMPUTED_VALUE"""),"NORTH")</f>
        <v>NORTH</v>
      </c>
      <c r="B3091" s="115" t="str">
        <f>IFERROR(__xludf.DUMMYFUNCTION("""COMPUTED_VALUE"""),"0")</f>
        <v>0</v>
      </c>
      <c r="C3091" s="115" t="str">
        <f>IFERROR(__xludf.DUMMYFUNCTION("""COMPUTED_VALUE"""),"MYNTRA")</f>
        <v>MYNTRA</v>
      </c>
      <c r="D3091" s="115">
        <f>IFERROR(__xludf.DUMMYFUNCTION("""COMPUTED_VALUE"""),191.0)</f>
        <v>191</v>
      </c>
      <c r="E3091" s="115">
        <f>IFERROR(__xludf.DUMMYFUNCTION("""COMPUTED_VALUE"""),54.0)</f>
        <v>54</v>
      </c>
      <c r="F3091" s="115">
        <f>IFERROR(__xludf.DUMMYFUNCTION("""COMPUTED_VALUE"""),120.0)</f>
        <v>120</v>
      </c>
      <c r="G3091" s="115">
        <f>IFERROR(__xludf.DUMMYFUNCTION("""COMPUTED_VALUE"""),12.0)</f>
        <v>12</v>
      </c>
      <c r="H3091" s="116">
        <f>IFERROR(__xludf.DUMMYFUNCTION("""COMPUTED_VALUE"""),45906.0)</f>
        <v>45906</v>
      </c>
      <c r="I3091" s="115" t="str">
        <f>IFERROR(__xludf.DUMMYFUNCTION("""COMPUTED_VALUE"""),"16")</f>
        <v>16</v>
      </c>
      <c r="J3091" s="115" t="str">
        <f>IFERROR(__xludf.DUMMYFUNCTION("""COMPUTED_VALUE"""),"02025-09-0616")</f>
        <v>02025-09-0616</v>
      </c>
      <c r="K3091" s="115">
        <f>IFERROR(__xludf.DUMMYFUNCTION("""COMPUTED_VALUE"""),245.0)</f>
        <v>245</v>
      </c>
    </row>
    <row r="3092">
      <c r="A3092" s="115" t="str">
        <f>IFERROR(__xludf.DUMMYFUNCTION("""COMPUTED_VALUE"""),"NORTH")</f>
        <v>NORTH</v>
      </c>
      <c r="B3092" s="115" t="str">
        <f>IFERROR(__xludf.DUMMYFUNCTION("""COMPUTED_VALUE"""),"Amit Kumar Pathak")</f>
        <v>Amit Kumar Pathak</v>
      </c>
      <c r="C3092" s="115" t="str">
        <f>IFERROR(__xludf.DUMMYFUNCTION("""COMPUTED_VALUE"""),"EXTERNAL")</f>
        <v>EXTERNAL</v>
      </c>
      <c r="D3092" s="115">
        <f>IFERROR(__xludf.DUMMYFUNCTION("""COMPUTED_VALUE"""),28193.0)</f>
        <v>28193</v>
      </c>
      <c r="E3092" s="115">
        <f>IFERROR(__xludf.DUMMYFUNCTION("""COMPUTED_VALUE"""),3387.0)</f>
        <v>3387</v>
      </c>
      <c r="F3092" s="115">
        <f>IFERROR(__xludf.DUMMYFUNCTION("""COMPUTED_VALUE"""),7798.0)</f>
        <v>7798</v>
      </c>
      <c r="G3092" s="115">
        <f>IFERROR(__xludf.DUMMYFUNCTION("""COMPUTED_VALUE"""),952.0)</f>
        <v>952</v>
      </c>
      <c r="H3092" s="116">
        <f>IFERROR(__xludf.DUMMYFUNCTION("""COMPUTED_VALUE"""),45906.0)</f>
        <v>45906</v>
      </c>
      <c r="I3092" s="115" t="str">
        <f>IFERROR(__xludf.DUMMYFUNCTION("""COMPUTED_VALUE"""),"16")</f>
        <v>16</v>
      </c>
      <c r="J3092" s="115" t="str">
        <f>IFERROR(__xludf.DUMMYFUNCTION("""COMPUTED_VALUE"""),"Amit Kumar Pathak2025-09-0616")</f>
        <v>Amit Kumar Pathak2025-09-0616</v>
      </c>
      <c r="K3092" s="115">
        <f>IFERROR(__xludf.DUMMYFUNCTION("""COMPUTED_VALUE"""),31580.0)</f>
        <v>31580</v>
      </c>
    </row>
    <row r="3093">
      <c r="A3093" s="115" t="str">
        <f>IFERROR(__xludf.DUMMYFUNCTION("""COMPUTED_VALUE"""),"NORTH")</f>
        <v>NORTH</v>
      </c>
      <c r="B3093" s="115" t="str">
        <f>IFERROR(__xludf.DUMMYFUNCTION("""COMPUTED_VALUE"""),"Amit Kumar Pathak")</f>
        <v>Amit Kumar Pathak</v>
      </c>
      <c r="C3093" s="115" t="str">
        <f>IFERROR(__xludf.DUMMYFUNCTION("""COMPUTED_VALUE"""),"FLIPKART")</f>
        <v>FLIPKART</v>
      </c>
      <c r="D3093" s="115">
        <f>IFERROR(__xludf.DUMMYFUNCTION("""COMPUTED_VALUE"""),174784.0)</f>
        <v>174784</v>
      </c>
      <c r="E3093" s="115">
        <f>IFERROR(__xludf.DUMMYFUNCTION("""COMPUTED_VALUE"""),23686.0)</f>
        <v>23686</v>
      </c>
      <c r="F3093" s="115">
        <f>IFERROR(__xludf.DUMMYFUNCTION("""COMPUTED_VALUE"""),91620.0)</f>
        <v>91620</v>
      </c>
      <c r="G3093" s="115">
        <f>IFERROR(__xludf.DUMMYFUNCTION("""COMPUTED_VALUE"""),9066.0)</f>
        <v>9066</v>
      </c>
      <c r="H3093" s="116">
        <f>IFERROR(__xludf.DUMMYFUNCTION("""COMPUTED_VALUE"""),45906.0)</f>
        <v>45906</v>
      </c>
      <c r="I3093" s="115" t="str">
        <f>IFERROR(__xludf.DUMMYFUNCTION("""COMPUTED_VALUE"""),"16")</f>
        <v>16</v>
      </c>
      <c r="J3093" s="115" t="str">
        <f>IFERROR(__xludf.DUMMYFUNCTION("""COMPUTED_VALUE"""),"Amit Kumar Pathak2025-09-0616")</f>
        <v>Amit Kumar Pathak2025-09-0616</v>
      </c>
      <c r="K3093" s="115">
        <f>IFERROR(__xludf.DUMMYFUNCTION("""COMPUTED_VALUE"""),198470.0)</f>
        <v>198470</v>
      </c>
    </row>
    <row r="3094">
      <c r="A3094" s="115" t="str">
        <f>IFERROR(__xludf.DUMMYFUNCTION("""COMPUTED_VALUE"""),"NORTH")</f>
        <v>NORTH</v>
      </c>
      <c r="B3094" s="115" t="str">
        <f>IFERROR(__xludf.DUMMYFUNCTION("""COMPUTED_VALUE"""),"Amit Kumar Pathak")</f>
        <v>Amit Kumar Pathak</v>
      </c>
      <c r="C3094" s="115" t="str">
        <f>IFERROR(__xludf.DUMMYFUNCTION("""COMPUTED_VALUE"""),"MYNTRA")</f>
        <v>MYNTRA</v>
      </c>
      <c r="D3094" s="115">
        <f>IFERROR(__xludf.DUMMYFUNCTION("""COMPUTED_VALUE"""),17513.0)</f>
        <v>17513</v>
      </c>
      <c r="E3094" s="115">
        <f>IFERROR(__xludf.DUMMYFUNCTION("""COMPUTED_VALUE"""),6022.0)</f>
        <v>6022</v>
      </c>
      <c r="F3094" s="115">
        <f>IFERROR(__xludf.DUMMYFUNCTION("""COMPUTED_VALUE"""),10913.0)</f>
        <v>10913</v>
      </c>
      <c r="G3094" s="115">
        <f>IFERROR(__xludf.DUMMYFUNCTION("""COMPUTED_VALUE"""),2665.0)</f>
        <v>2665</v>
      </c>
      <c r="H3094" s="116">
        <f>IFERROR(__xludf.DUMMYFUNCTION("""COMPUTED_VALUE"""),45906.0)</f>
        <v>45906</v>
      </c>
      <c r="I3094" s="115" t="str">
        <f>IFERROR(__xludf.DUMMYFUNCTION("""COMPUTED_VALUE"""),"16")</f>
        <v>16</v>
      </c>
      <c r="J3094" s="115" t="str">
        <f>IFERROR(__xludf.DUMMYFUNCTION("""COMPUTED_VALUE"""),"Amit Kumar Pathak2025-09-0616")</f>
        <v>Amit Kumar Pathak2025-09-0616</v>
      </c>
      <c r="K3094" s="115">
        <f>IFERROR(__xludf.DUMMYFUNCTION("""COMPUTED_VALUE"""),23535.0)</f>
        <v>23535</v>
      </c>
    </row>
    <row r="3095">
      <c r="A3095" s="115" t="str">
        <f>IFERROR(__xludf.DUMMYFUNCTION("""COMPUTED_VALUE"""),"NORTH")</f>
        <v>NORTH</v>
      </c>
      <c r="B3095" s="115" t="str">
        <f>IFERROR(__xludf.DUMMYFUNCTION("""COMPUTED_VALUE"""),"Ashvani Bhatt")</f>
        <v>Ashvani Bhatt</v>
      </c>
      <c r="C3095" s="115" t="str">
        <f>IFERROR(__xludf.DUMMYFUNCTION("""COMPUTED_VALUE"""),"EXTERNAL")</f>
        <v>EXTERNAL</v>
      </c>
      <c r="D3095" s="115">
        <f>IFERROR(__xludf.DUMMYFUNCTION("""COMPUTED_VALUE"""),13.0)</f>
        <v>13</v>
      </c>
      <c r="E3095" s="115">
        <f>IFERROR(__xludf.DUMMYFUNCTION("""COMPUTED_VALUE"""),4.0)</f>
        <v>4</v>
      </c>
      <c r="F3095" s="115">
        <f>IFERROR(__xludf.DUMMYFUNCTION("""COMPUTED_VALUE"""),5.0)</f>
        <v>5</v>
      </c>
      <c r="G3095" s="115">
        <f>IFERROR(__xludf.DUMMYFUNCTION("""COMPUTED_VALUE"""),1.0)</f>
        <v>1</v>
      </c>
      <c r="H3095" s="116">
        <f>IFERROR(__xludf.DUMMYFUNCTION("""COMPUTED_VALUE"""),45906.0)</f>
        <v>45906</v>
      </c>
      <c r="I3095" s="115" t="str">
        <f>IFERROR(__xludf.DUMMYFUNCTION("""COMPUTED_VALUE"""),"16")</f>
        <v>16</v>
      </c>
      <c r="J3095" s="115" t="str">
        <f>IFERROR(__xludf.DUMMYFUNCTION("""COMPUTED_VALUE"""),"Ashvani Bhatt2025-09-0616")</f>
        <v>Ashvani Bhatt2025-09-0616</v>
      </c>
      <c r="K3095" s="115">
        <f>IFERROR(__xludf.DUMMYFUNCTION("""COMPUTED_VALUE"""),17.0)</f>
        <v>17</v>
      </c>
    </row>
    <row r="3096">
      <c r="A3096" s="115" t="str">
        <f>IFERROR(__xludf.DUMMYFUNCTION("""COMPUTED_VALUE"""),"NORTH")</f>
        <v>NORTH</v>
      </c>
      <c r="B3096" s="115" t="str">
        <f>IFERROR(__xludf.DUMMYFUNCTION("""COMPUTED_VALUE"""),"Ashvani Bhatt")</f>
        <v>Ashvani Bhatt</v>
      </c>
      <c r="C3096" s="115" t="str">
        <f>IFERROR(__xludf.DUMMYFUNCTION("""COMPUTED_VALUE"""),"FLIPKART")</f>
        <v>FLIPKART</v>
      </c>
      <c r="D3096" s="115">
        <f>IFERROR(__xludf.DUMMYFUNCTION("""COMPUTED_VALUE"""),230.0)</f>
        <v>230</v>
      </c>
      <c r="E3096" s="115">
        <f>IFERROR(__xludf.DUMMYFUNCTION("""COMPUTED_VALUE"""),68.0)</f>
        <v>68</v>
      </c>
      <c r="F3096" s="115">
        <f>IFERROR(__xludf.DUMMYFUNCTION("""COMPUTED_VALUE"""),81.0)</f>
        <v>81</v>
      </c>
      <c r="G3096" s="115">
        <f>IFERROR(__xludf.DUMMYFUNCTION("""COMPUTED_VALUE"""),8.0)</f>
        <v>8</v>
      </c>
      <c r="H3096" s="116">
        <f>IFERROR(__xludf.DUMMYFUNCTION("""COMPUTED_VALUE"""),45906.0)</f>
        <v>45906</v>
      </c>
      <c r="I3096" s="115" t="str">
        <f>IFERROR(__xludf.DUMMYFUNCTION("""COMPUTED_VALUE"""),"16")</f>
        <v>16</v>
      </c>
      <c r="J3096" s="115" t="str">
        <f>IFERROR(__xludf.DUMMYFUNCTION("""COMPUTED_VALUE"""),"Ashvani Bhatt2025-09-0616")</f>
        <v>Ashvani Bhatt2025-09-0616</v>
      </c>
      <c r="K3096" s="115">
        <f>IFERROR(__xludf.DUMMYFUNCTION("""COMPUTED_VALUE"""),298.0)</f>
        <v>298</v>
      </c>
    </row>
    <row r="3097">
      <c r="A3097" s="115" t="str">
        <f>IFERROR(__xludf.DUMMYFUNCTION("""COMPUTED_VALUE"""),"NORTH")</f>
        <v>NORTH</v>
      </c>
      <c r="B3097" s="115" t="str">
        <f>IFERROR(__xludf.DUMMYFUNCTION("""COMPUTED_VALUE"""),"Ashvani Bhatt")</f>
        <v>Ashvani Bhatt</v>
      </c>
      <c r="C3097" s="115" t="str">
        <f>IFERROR(__xludf.DUMMYFUNCTION("""COMPUTED_VALUE"""),"MYNTRA")</f>
        <v>MYNTRA</v>
      </c>
      <c r="D3097" s="115">
        <f>IFERROR(__xludf.DUMMYFUNCTION("""COMPUTED_VALUE"""),1.0)</f>
        <v>1</v>
      </c>
      <c r="E3097" s="115">
        <f>IFERROR(__xludf.DUMMYFUNCTION("""COMPUTED_VALUE"""),4.0)</f>
        <v>4</v>
      </c>
      <c r="F3097" s="115">
        <f>IFERROR(__xludf.DUMMYFUNCTION("""COMPUTED_VALUE"""),1.0)</f>
        <v>1</v>
      </c>
      <c r="G3097" s="115">
        <f>IFERROR(__xludf.DUMMYFUNCTION("""COMPUTED_VALUE"""),0.0)</f>
        <v>0</v>
      </c>
      <c r="H3097" s="116">
        <f>IFERROR(__xludf.DUMMYFUNCTION("""COMPUTED_VALUE"""),45906.0)</f>
        <v>45906</v>
      </c>
      <c r="I3097" s="115" t="str">
        <f>IFERROR(__xludf.DUMMYFUNCTION("""COMPUTED_VALUE"""),"16")</f>
        <v>16</v>
      </c>
      <c r="J3097" s="115" t="str">
        <f>IFERROR(__xludf.DUMMYFUNCTION("""COMPUTED_VALUE"""),"Ashvani Bhatt2025-09-0616")</f>
        <v>Ashvani Bhatt2025-09-0616</v>
      </c>
      <c r="K3097" s="115">
        <f>IFERROR(__xludf.DUMMYFUNCTION("""COMPUTED_VALUE"""),5.0)</f>
        <v>5</v>
      </c>
    </row>
    <row r="3098">
      <c r="A3098" s="115" t="str">
        <f>IFERROR(__xludf.DUMMYFUNCTION("""COMPUTED_VALUE"""),"NORTH")</f>
        <v>NORTH</v>
      </c>
      <c r="B3098" s="115" t="str">
        <f>IFERROR(__xludf.DUMMYFUNCTION("""COMPUTED_VALUE"""),"Loveleen Singh")</f>
        <v>Loveleen Singh</v>
      </c>
      <c r="C3098" s="115" t="str">
        <f>IFERROR(__xludf.DUMMYFUNCTION("""COMPUTED_VALUE"""),"EXTERNAL")</f>
        <v>EXTERNAL</v>
      </c>
      <c r="D3098" s="115">
        <f>IFERROR(__xludf.DUMMYFUNCTION("""COMPUTED_VALUE"""),31934.0)</f>
        <v>31934</v>
      </c>
      <c r="E3098" s="115">
        <f>IFERROR(__xludf.DUMMYFUNCTION("""COMPUTED_VALUE"""),2017.0)</f>
        <v>2017</v>
      </c>
      <c r="F3098" s="115">
        <f>IFERROR(__xludf.DUMMYFUNCTION("""COMPUTED_VALUE"""),9245.0)</f>
        <v>9245</v>
      </c>
      <c r="G3098" s="115">
        <f>IFERROR(__xludf.DUMMYFUNCTION("""COMPUTED_VALUE"""),367.0)</f>
        <v>367</v>
      </c>
      <c r="H3098" s="116">
        <f>IFERROR(__xludf.DUMMYFUNCTION("""COMPUTED_VALUE"""),45906.0)</f>
        <v>45906</v>
      </c>
      <c r="I3098" s="115" t="str">
        <f>IFERROR(__xludf.DUMMYFUNCTION("""COMPUTED_VALUE"""),"16")</f>
        <v>16</v>
      </c>
      <c r="J3098" s="115" t="str">
        <f>IFERROR(__xludf.DUMMYFUNCTION("""COMPUTED_VALUE"""),"Loveleen Singh2025-09-0616")</f>
        <v>Loveleen Singh2025-09-0616</v>
      </c>
      <c r="K3098" s="115">
        <f>IFERROR(__xludf.DUMMYFUNCTION("""COMPUTED_VALUE"""),33951.0)</f>
        <v>33951</v>
      </c>
    </row>
    <row r="3099">
      <c r="A3099" s="115" t="str">
        <f>IFERROR(__xludf.DUMMYFUNCTION("""COMPUTED_VALUE"""),"NORTH")</f>
        <v>NORTH</v>
      </c>
      <c r="B3099" s="115" t="str">
        <f>IFERROR(__xludf.DUMMYFUNCTION("""COMPUTED_VALUE"""),"Loveleen Singh")</f>
        <v>Loveleen Singh</v>
      </c>
      <c r="C3099" s="115" t="str">
        <f>IFERROR(__xludf.DUMMYFUNCTION("""COMPUTED_VALUE"""),"FLIPKART")</f>
        <v>FLIPKART</v>
      </c>
      <c r="D3099" s="115">
        <f>IFERROR(__xludf.DUMMYFUNCTION("""COMPUTED_VALUE"""),157598.0)</f>
        <v>157598</v>
      </c>
      <c r="E3099" s="115">
        <f>IFERROR(__xludf.DUMMYFUNCTION("""COMPUTED_VALUE"""),15725.0)</f>
        <v>15725</v>
      </c>
      <c r="F3099" s="115">
        <f>IFERROR(__xludf.DUMMYFUNCTION("""COMPUTED_VALUE"""),92995.0)</f>
        <v>92995</v>
      </c>
      <c r="G3099" s="115">
        <f>IFERROR(__xludf.DUMMYFUNCTION("""COMPUTED_VALUE"""),4822.0)</f>
        <v>4822</v>
      </c>
      <c r="H3099" s="116">
        <f>IFERROR(__xludf.DUMMYFUNCTION("""COMPUTED_VALUE"""),45906.0)</f>
        <v>45906</v>
      </c>
      <c r="I3099" s="115" t="str">
        <f>IFERROR(__xludf.DUMMYFUNCTION("""COMPUTED_VALUE"""),"16")</f>
        <v>16</v>
      </c>
      <c r="J3099" s="115" t="str">
        <f>IFERROR(__xludf.DUMMYFUNCTION("""COMPUTED_VALUE"""),"Loveleen Singh2025-09-0616")</f>
        <v>Loveleen Singh2025-09-0616</v>
      </c>
      <c r="K3099" s="115">
        <f>IFERROR(__xludf.DUMMYFUNCTION("""COMPUTED_VALUE"""),173323.0)</f>
        <v>173323</v>
      </c>
    </row>
    <row r="3100">
      <c r="A3100" s="115" t="str">
        <f>IFERROR(__xludf.DUMMYFUNCTION("""COMPUTED_VALUE"""),"NORTH")</f>
        <v>NORTH</v>
      </c>
      <c r="B3100" s="115" t="str">
        <f>IFERROR(__xludf.DUMMYFUNCTION("""COMPUTED_VALUE"""),"Loveleen Singh")</f>
        <v>Loveleen Singh</v>
      </c>
      <c r="C3100" s="115" t="str">
        <f>IFERROR(__xludf.DUMMYFUNCTION("""COMPUTED_VALUE"""),"MYNTRA")</f>
        <v>MYNTRA</v>
      </c>
      <c r="D3100" s="115">
        <f>IFERROR(__xludf.DUMMYFUNCTION("""COMPUTED_VALUE"""),25679.0)</f>
        <v>25679</v>
      </c>
      <c r="E3100" s="115">
        <f>IFERROR(__xludf.DUMMYFUNCTION("""COMPUTED_VALUE"""),6340.0)</f>
        <v>6340</v>
      </c>
      <c r="F3100" s="115">
        <f>IFERROR(__xludf.DUMMYFUNCTION("""COMPUTED_VALUE"""),17455.0)</f>
        <v>17455</v>
      </c>
      <c r="G3100" s="115">
        <f>IFERROR(__xludf.DUMMYFUNCTION("""COMPUTED_VALUE"""),2269.0)</f>
        <v>2269</v>
      </c>
      <c r="H3100" s="116">
        <f>IFERROR(__xludf.DUMMYFUNCTION("""COMPUTED_VALUE"""),45906.0)</f>
        <v>45906</v>
      </c>
      <c r="I3100" s="115" t="str">
        <f>IFERROR(__xludf.DUMMYFUNCTION("""COMPUTED_VALUE"""),"16")</f>
        <v>16</v>
      </c>
      <c r="J3100" s="115" t="str">
        <f>IFERROR(__xludf.DUMMYFUNCTION("""COMPUTED_VALUE"""),"Loveleen Singh2025-09-0616")</f>
        <v>Loveleen Singh2025-09-0616</v>
      </c>
      <c r="K3100" s="115">
        <f>IFERROR(__xludf.DUMMYFUNCTION("""COMPUTED_VALUE"""),32019.0)</f>
        <v>32019</v>
      </c>
    </row>
    <row r="3101">
      <c r="A3101" s="115" t="str">
        <f>IFERROR(__xludf.DUMMYFUNCTION("""COMPUTED_VALUE"""),"NORTH")</f>
        <v>NORTH</v>
      </c>
      <c r="B3101" s="115" t="str">
        <f>IFERROR(__xludf.DUMMYFUNCTION("""COMPUTED_VALUE"""),"Manoj Harsh")</f>
        <v>Manoj Harsh</v>
      </c>
      <c r="C3101" s="115" t="str">
        <f>IFERROR(__xludf.DUMMYFUNCTION("""COMPUTED_VALUE"""),"EXTERNAL")</f>
        <v>EXTERNAL</v>
      </c>
      <c r="D3101" s="115">
        <f>IFERROR(__xludf.DUMMYFUNCTION("""COMPUTED_VALUE"""),38438.0)</f>
        <v>38438</v>
      </c>
      <c r="E3101" s="115">
        <f>IFERROR(__xludf.DUMMYFUNCTION("""COMPUTED_VALUE"""),2913.0)</f>
        <v>2913</v>
      </c>
      <c r="F3101" s="115">
        <f>IFERROR(__xludf.DUMMYFUNCTION("""COMPUTED_VALUE"""),13239.0)</f>
        <v>13239</v>
      </c>
      <c r="G3101" s="115">
        <f>IFERROR(__xludf.DUMMYFUNCTION("""COMPUTED_VALUE"""),445.0)</f>
        <v>445</v>
      </c>
      <c r="H3101" s="116">
        <f>IFERROR(__xludf.DUMMYFUNCTION("""COMPUTED_VALUE"""),45906.0)</f>
        <v>45906</v>
      </c>
      <c r="I3101" s="115" t="str">
        <f>IFERROR(__xludf.DUMMYFUNCTION("""COMPUTED_VALUE"""),"16")</f>
        <v>16</v>
      </c>
      <c r="J3101" s="115" t="str">
        <f>IFERROR(__xludf.DUMMYFUNCTION("""COMPUTED_VALUE"""),"Manoj Harsh2025-09-0616")</f>
        <v>Manoj Harsh2025-09-0616</v>
      </c>
      <c r="K3101" s="115">
        <f>IFERROR(__xludf.DUMMYFUNCTION("""COMPUTED_VALUE"""),41351.0)</f>
        <v>41351</v>
      </c>
    </row>
    <row r="3102">
      <c r="A3102" s="115" t="str">
        <f>IFERROR(__xludf.DUMMYFUNCTION("""COMPUTED_VALUE"""),"NORTH")</f>
        <v>NORTH</v>
      </c>
      <c r="B3102" s="115" t="str">
        <f>IFERROR(__xludf.DUMMYFUNCTION("""COMPUTED_VALUE"""),"Manoj Harsh")</f>
        <v>Manoj Harsh</v>
      </c>
      <c r="C3102" s="115" t="str">
        <f>IFERROR(__xludf.DUMMYFUNCTION("""COMPUTED_VALUE"""),"FLIPKART")</f>
        <v>FLIPKART</v>
      </c>
      <c r="D3102" s="115">
        <f>IFERROR(__xludf.DUMMYFUNCTION("""COMPUTED_VALUE"""),424105.0)</f>
        <v>424105</v>
      </c>
      <c r="E3102" s="115">
        <f>IFERROR(__xludf.DUMMYFUNCTION("""COMPUTED_VALUE"""),41639.0)</f>
        <v>41639</v>
      </c>
      <c r="F3102" s="115">
        <f>IFERROR(__xludf.DUMMYFUNCTION("""COMPUTED_VALUE"""),247278.0)</f>
        <v>247278</v>
      </c>
      <c r="G3102" s="115">
        <f>IFERROR(__xludf.DUMMYFUNCTION("""COMPUTED_VALUE"""),12338.0)</f>
        <v>12338</v>
      </c>
      <c r="H3102" s="116">
        <f>IFERROR(__xludf.DUMMYFUNCTION("""COMPUTED_VALUE"""),45906.0)</f>
        <v>45906</v>
      </c>
      <c r="I3102" s="115" t="str">
        <f>IFERROR(__xludf.DUMMYFUNCTION("""COMPUTED_VALUE"""),"16")</f>
        <v>16</v>
      </c>
      <c r="J3102" s="115" t="str">
        <f>IFERROR(__xludf.DUMMYFUNCTION("""COMPUTED_VALUE"""),"Manoj Harsh2025-09-0616")</f>
        <v>Manoj Harsh2025-09-0616</v>
      </c>
      <c r="K3102" s="115">
        <f>IFERROR(__xludf.DUMMYFUNCTION("""COMPUTED_VALUE"""),465744.0)</f>
        <v>465744</v>
      </c>
    </row>
    <row r="3103">
      <c r="A3103" s="115" t="str">
        <f>IFERROR(__xludf.DUMMYFUNCTION("""COMPUTED_VALUE"""),"NORTH")</f>
        <v>NORTH</v>
      </c>
      <c r="B3103" s="115" t="str">
        <f>IFERROR(__xludf.DUMMYFUNCTION("""COMPUTED_VALUE"""),"Manoj Harsh")</f>
        <v>Manoj Harsh</v>
      </c>
      <c r="C3103" s="115" t="str">
        <f>IFERROR(__xludf.DUMMYFUNCTION("""COMPUTED_VALUE"""),"MYNTRA")</f>
        <v>MYNTRA</v>
      </c>
      <c r="D3103" s="115">
        <f>IFERROR(__xludf.DUMMYFUNCTION("""COMPUTED_VALUE"""),39556.0)</f>
        <v>39556</v>
      </c>
      <c r="E3103" s="115">
        <f>IFERROR(__xludf.DUMMYFUNCTION("""COMPUTED_VALUE"""),7818.0)</f>
        <v>7818</v>
      </c>
      <c r="F3103" s="115">
        <f>IFERROR(__xludf.DUMMYFUNCTION("""COMPUTED_VALUE"""),26135.0)</f>
        <v>26135</v>
      </c>
      <c r="G3103" s="115">
        <f>IFERROR(__xludf.DUMMYFUNCTION("""COMPUTED_VALUE"""),2834.0)</f>
        <v>2834</v>
      </c>
      <c r="H3103" s="116">
        <f>IFERROR(__xludf.DUMMYFUNCTION("""COMPUTED_VALUE"""),45906.0)</f>
        <v>45906</v>
      </c>
      <c r="I3103" s="115" t="str">
        <f>IFERROR(__xludf.DUMMYFUNCTION("""COMPUTED_VALUE"""),"16")</f>
        <v>16</v>
      </c>
      <c r="J3103" s="115" t="str">
        <f>IFERROR(__xludf.DUMMYFUNCTION("""COMPUTED_VALUE"""),"Manoj Harsh2025-09-0616")</f>
        <v>Manoj Harsh2025-09-0616</v>
      </c>
      <c r="K3103" s="115">
        <f>IFERROR(__xludf.DUMMYFUNCTION("""COMPUTED_VALUE"""),47374.0)</f>
        <v>47374</v>
      </c>
    </row>
    <row r="3104">
      <c r="A3104" s="115" t="str">
        <f>IFERROR(__xludf.DUMMYFUNCTION("""COMPUTED_VALUE"""),"NORTH")</f>
        <v>NORTH</v>
      </c>
      <c r="B3104" s="115" t="str">
        <f>IFERROR(__xludf.DUMMYFUNCTION("""COMPUTED_VALUE"""),"Pradeep Kothari")</f>
        <v>Pradeep Kothari</v>
      </c>
      <c r="C3104" s="115" t="str">
        <f>IFERROR(__xludf.DUMMYFUNCTION("""COMPUTED_VALUE"""),"EXTERNAL")</f>
        <v>EXTERNAL</v>
      </c>
      <c r="D3104" s="115">
        <f>IFERROR(__xludf.DUMMYFUNCTION("""COMPUTED_VALUE"""),18640.0)</f>
        <v>18640</v>
      </c>
      <c r="E3104" s="115">
        <f>IFERROR(__xludf.DUMMYFUNCTION("""COMPUTED_VALUE"""),1875.0)</f>
        <v>1875</v>
      </c>
      <c r="F3104" s="115">
        <f>IFERROR(__xludf.DUMMYFUNCTION("""COMPUTED_VALUE"""),6613.0)</f>
        <v>6613</v>
      </c>
      <c r="G3104" s="115">
        <f>IFERROR(__xludf.DUMMYFUNCTION("""COMPUTED_VALUE"""),559.0)</f>
        <v>559</v>
      </c>
      <c r="H3104" s="116">
        <f>IFERROR(__xludf.DUMMYFUNCTION("""COMPUTED_VALUE"""),45906.0)</f>
        <v>45906</v>
      </c>
      <c r="I3104" s="115" t="str">
        <f>IFERROR(__xludf.DUMMYFUNCTION("""COMPUTED_VALUE"""),"16")</f>
        <v>16</v>
      </c>
      <c r="J3104" s="115" t="str">
        <f>IFERROR(__xludf.DUMMYFUNCTION("""COMPUTED_VALUE"""),"Pradeep Kothari2025-09-0616")</f>
        <v>Pradeep Kothari2025-09-0616</v>
      </c>
      <c r="K3104" s="115">
        <f>IFERROR(__xludf.DUMMYFUNCTION("""COMPUTED_VALUE"""),20515.0)</f>
        <v>20515</v>
      </c>
    </row>
    <row r="3105">
      <c r="A3105" s="115" t="str">
        <f>IFERROR(__xludf.DUMMYFUNCTION("""COMPUTED_VALUE"""),"NORTH")</f>
        <v>NORTH</v>
      </c>
      <c r="B3105" s="115" t="str">
        <f>IFERROR(__xludf.DUMMYFUNCTION("""COMPUTED_VALUE"""),"Pradeep Kothari")</f>
        <v>Pradeep Kothari</v>
      </c>
      <c r="C3105" s="115" t="str">
        <f>IFERROR(__xludf.DUMMYFUNCTION("""COMPUTED_VALUE"""),"FLIPKART")</f>
        <v>FLIPKART</v>
      </c>
      <c r="D3105" s="115">
        <f>IFERROR(__xludf.DUMMYFUNCTION("""COMPUTED_VALUE"""),133980.0)</f>
        <v>133980</v>
      </c>
      <c r="E3105" s="115">
        <f>IFERROR(__xludf.DUMMYFUNCTION("""COMPUTED_VALUE"""),16389.0)</f>
        <v>16389</v>
      </c>
      <c r="F3105" s="115">
        <f>IFERROR(__xludf.DUMMYFUNCTION("""COMPUTED_VALUE"""),87021.0)</f>
        <v>87021</v>
      </c>
      <c r="G3105" s="115">
        <f>IFERROR(__xludf.DUMMYFUNCTION("""COMPUTED_VALUE"""),7291.0)</f>
        <v>7291</v>
      </c>
      <c r="H3105" s="116">
        <f>IFERROR(__xludf.DUMMYFUNCTION("""COMPUTED_VALUE"""),45906.0)</f>
        <v>45906</v>
      </c>
      <c r="I3105" s="115" t="str">
        <f>IFERROR(__xludf.DUMMYFUNCTION("""COMPUTED_VALUE"""),"16")</f>
        <v>16</v>
      </c>
      <c r="J3105" s="115" t="str">
        <f>IFERROR(__xludf.DUMMYFUNCTION("""COMPUTED_VALUE"""),"Pradeep Kothari2025-09-0616")</f>
        <v>Pradeep Kothari2025-09-0616</v>
      </c>
      <c r="K3105" s="115">
        <f>IFERROR(__xludf.DUMMYFUNCTION("""COMPUTED_VALUE"""),150369.0)</f>
        <v>150369</v>
      </c>
    </row>
    <row r="3106">
      <c r="A3106" s="115" t="str">
        <f>IFERROR(__xludf.DUMMYFUNCTION("""COMPUTED_VALUE"""),"NORTH")</f>
        <v>NORTH</v>
      </c>
      <c r="B3106" s="115" t="str">
        <f>IFERROR(__xludf.DUMMYFUNCTION("""COMPUTED_VALUE"""),"Pradeep Kothari")</f>
        <v>Pradeep Kothari</v>
      </c>
      <c r="C3106" s="115" t="str">
        <f>IFERROR(__xludf.DUMMYFUNCTION("""COMPUTED_VALUE"""),"MYNTRA")</f>
        <v>MYNTRA</v>
      </c>
      <c r="D3106" s="115">
        <f>IFERROR(__xludf.DUMMYFUNCTION("""COMPUTED_VALUE"""),23177.0)</f>
        <v>23177</v>
      </c>
      <c r="E3106" s="115">
        <f>IFERROR(__xludf.DUMMYFUNCTION("""COMPUTED_VALUE"""),5975.0)</f>
        <v>5975</v>
      </c>
      <c r="F3106" s="115">
        <f>IFERROR(__xludf.DUMMYFUNCTION("""COMPUTED_VALUE"""),17069.0)</f>
        <v>17069</v>
      </c>
      <c r="G3106" s="115">
        <f>IFERROR(__xludf.DUMMYFUNCTION("""COMPUTED_VALUE"""),2993.0)</f>
        <v>2993</v>
      </c>
      <c r="H3106" s="116">
        <f>IFERROR(__xludf.DUMMYFUNCTION("""COMPUTED_VALUE"""),45906.0)</f>
        <v>45906</v>
      </c>
      <c r="I3106" s="115" t="str">
        <f>IFERROR(__xludf.DUMMYFUNCTION("""COMPUTED_VALUE"""),"16")</f>
        <v>16</v>
      </c>
      <c r="J3106" s="115" t="str">
        <f>IFERROR(__xludf.DUMMYFUNCTION("""COMPUTED_VALUE"""),"Pradeep Kothari2025-09-0616")</f>
        <v>Pradeep Kothari2025-09-0616</v>
      </c>
      <c r="K3106" s="115">
        <f>IFERROR(__xludf.DUMMYFUNCTION("""COMPUTED_VALUE"""),29152.0)</f>
        <v>29152</v>
      </c>
    </row>
    <row r="3107">
      <c r="A3107" s="115" t="str">
        <f>IFERROR(__xludf.DUMMYFUNCTION("""COMPUTED_VALUE"""),"SOUTH")</f>
        <v>SOUTH</v>
      </c>
      <c r="B3107" s="115" t="str">
        <f>IFERROR(__xludf.DUMMYFUNCTION("""COMPUTED_VALUE"""),"0")</f>
        <v>0</v>
      </c>
      <c r="C3107" s="115" t="str">
        <f>IFERROR(__xludf.DUMMYFUNCTION("""COMPUTED_VALUE"""),"EXTERNAL")</f>
        <v>EXTERNAL</v>
      </c>
      <c r="D3107" s="115">
        <f>IFERROR(__xludf.DUMMYFUNCTION("""COMPUTED_VALUE"""),98.0)</f>
        <v>98</v>
      </c>
      <c r="E3107" s="115">
        <f>IFERROR(__xludf.DUMMYFUNCTION("""COMPUTED_VALUE"""),7.0)</f>
        <v>7</v>
      </c>
      <c r="F3107" s="115">
        <f>IFERROR(__xludf.DUMMYFUNCTION("""COMPUTED_VALUE"""),23.0)</f>
        <v>23</v>
      </c>
      <c r="G3107" s="115">
        <f>IFERROR(__xludf.DUMMYFUNCTION("""COMPUTED_VALUE"""),1.0)</f>
        <v>1</v>
      </c>
      <c r="H3107" s="116">
        <f>IFERROR(__xludf.DUMMYFUNCTION("""COMPUTED_VALUE"""),45906.0)</f>
        <v>45906</v>
      </c>
      <c r="I3107" s="115" t="str">
        <f>IFERROR(__xludf.DUMMYFUNCTION("""COMPUTED_VALUE"""),"16")</f>
        <v>16</v>
      </c>
      <c r="J3107" s="115" t="str">
        <f>IFERROR(__xludf.DUMMYFUNCTION("""COMPUTED_VALUE"""),"02025-09-0616")</f>
        <v>02025-09-0616</v>
      </c>
      <c r="K3107" s="115">
        <f>IFERROR(__xludf.DUMMYFUNCTION("""COMPUTED_VALUE"""),105.0)</f>
        <v>105</v>
      </c>
    </row>
    <row r="3108">
      <c r="A3108" s="115" t="str">
        <f>IFERROR(__xludf.DUMMYFUNCTION("""COMPUTED_VALUE"""),"SOUTH")</f>
        <v>SOUTH</v>
      </c>
      <c r="B3108" s="115" t="str">
        <f>IFERROR(__xludf.DUMMYFUNCTION("""COMPUTED_VALUE"""),"0")</f>
        <v>0</v>
      </c>
      <c r="C3108" s="115" t="str">
        <f>IFERROR(__xludf.DUMMYFUNCTION("""COMPUTED_VALUE"""),"FLIPKART")</f>
        <v>FLIPKART</v>
      </c>
      <c r="D3108" s="115">
        <f>IFERROR(__xludf.DUMMYFUNCTION("""COMPUTED_VALUE"""),709.0)</f>
        <v>709</v>
      </c>
      <c r="E3108" s="115">
        <f>IFERROR(__xludf.DUMMYFUNCTION("""COMPUTED_VALUE"""),114.0)</f>
        <v>114</v>
      </c>
      <c r="F3108" s="115">
        <f>IFERROR(__xludf.DUMMYFUNCTION("""COMPUTED_VALUE"""),240.0)</f>
        <v>240</v>
      </c>
      <c r="G3108" s="115">
        <f>IFERROR(__xludf.DUMMYFUNCTION("""COMPUTED_VALUE"""),2.0)</f>
        <v>2</v>
      </c>
      <c r="H3108" s="116">
        <f>IFERROR(__xludf.DUMMYFUNCTION("""COMPUTED_VALUE"""),45906.0)</f>
        <v>45906</v>
      </c>
      <c r="I3108" s="115" t="str">
        <f>IFERROR(__xludf.DUMMYFUNCTION("""COMPUTED_VALUE"""),"16")</f>
        <v>16</v>
      </c>
      <c r="J3108" s="115" t="str">
        <f>IFERROR(__xludf.DUMMYFUNCTION("""COMPUTED_VALUE"""),"02025-09-0616")</f>
        <v>02025-09-0616</v>
      </c>
      <c r="K3108" s="115">
        <f>IFERROR(__xludf.DUMMYFUNCTION("""COMPUTED_VALUE"""),823.0)</f>
        <v>823</v>
      </c>
    </row>
    <row r="3109">
      <c r="A3109" s="115" t="str">
        <f>IFERROR(__xludf.DUMMYFUNCTION("""COMPUTED_VALUE"""),"SOUTH")</f>
        <v>SOUTH</v>
      </c>
      <c r="B3109" s="115" t="str">
        <f>IFERROR(__xludf.DUMMYFUNCTION("""COMPUTED_VALUE"""),"0")</f>
        <v>0</v>
      </c>
      <c r="C3109" s="115" t="str">
        <f>IFERROR(__xludf.DUMMYFUNCTION("""COMPUTED_VALUE"""),"MYNTRA")</f>
        <v>MYNTRA</v>
      </c>
      <c r="D3109" s="115">
        <f>IFERROR(__xludf.DUMMYFUNCTION("""COMPUTED_VALUE"""),110.0)</f>
        <v>110</v>
      </c>
      <c r="E3109" s="115">
        <f>IFERROR(__xludf.DUMMYFUNCTION("""COMPUTED_VALUE"""),29.0)</f>
        <v>29</v>
      </c>
      <c r="F3109" s="115">
        <f>IFERROR(__xludf.DUMMYFUNCTION("""COMPUTED_VALUE"""),24.0)</f>
        <v>24</v>
      </c>
      <c r="G3109" s="115">
        <f>IFERROR(__xludf.DUMMYFUNCTION("""COMPUTED_VALUE"""),2.0)</f>
        <v>2</v>
      </c>
      <c r="H3109" s="116">
        <f>IFERROR(__xludf.DUMMYFUNCTION("""COMPUTED_VALUE"""),45906.0)</f>
        <v>45906</v>
      </c>
      <c r="I3109" s="115" t="str">
        <f>IFERROR(__xludf.DUMMYFUNCTION("""COMPUTED_VALUE"""),"16")</f>
        <v>16</v>
      </c>
      <c r="J3109" s="115" t="str">
        <f>IFERROR(__xludf.DUMMYFUNCTION("""COMPUTED_VALUE"""),"02025-09-0616")</f>
        <v>02025-09-0616</v>
      </c>
      <c r="K3109" s="115">
        <f>IFERROR(__xludf.DUMMYFUNCTION("""COMPUTED_VALUE"""),139.0)</f>
        <v>139</v>
      </c>
    </row>
    <row r="3110">
      <c r="A3110" s="115" t="str">
        <f>IFERROR(__xludf.DUMMYFUNCTION("""COMPUTED_VALUE"""),"SOUTH")</f>
        <v>SOUTH</v>
      </c>
      <c r="B3110" s="115" t="str">
        <f>IFERROR(__xludf.DUMMYFUNCTION("""COMPUTED_VALUE"""),"Ashish Ranjan")</f>
        <v>Ashish Ranjan</v>
      </c>
      <c r="C3110" s="115" t="str">
        <f>IFERROR(__xludf.DUMMYFUNCTION("""COMPUTED_VALUE"""),"EXTERNAL")</f>
        <v>EXTERNAL</v>
      </c>
      <c r="D3110" s="115">
        <f>IFERROR(__xludf.DUMMYFUNCTION("""COMPUTED_VALUE"""),12.0)</f>
        <v>12</v>
      </c>
      <c r="E3110" s="115">
        <f>IFERROR(__xludf.DUMMYFUNCTION("""COMPUTED_VALUE"""),0.0)</f>
        <v>0</v>
      </c>
      <c r="F3110" s="115">
        <f>IFERROR(__xludf.DUMMYFUNCTION("""COMPUTED_VALUE"""),1.0)</f>
        <v>1</v>
      </c>
      <c r="G3110" s="115">
        <f>IFERROR(__xludf.DUMMYFUNCTION("""COMPUTED_VALUE"""),0.0)</f>
        <v>0</v>
      </c>
      <c r="H3110" s="116">
        <f>IFERROR(__xludf.DUMMYFUNCTION("""COMPUTED_VALUE"""),45906.0)</f>
        <v>45906</v>
      </c>
      <c r="I3110" s="115" t="str">
        <f>IFERROR(__xludf.DUMMYFUNCTION("""COMPUTED_VALUE"""),"16")</f>
        <v>16</v>
      </c>
      <c r="J3110" s="115" t="str">
        <f>IFERROR(__xludf.DUMMYFUNCTION("""COMPUTED_VALUE"""),"Ashish Ranjan2025-09-0616")</f>
        <v>Ashish Ranjan2025-09-0616</v>
      </c>
      <c r="K3110" s="115">
        <f>IFERROR(__xludf.DUMMYFUNCTION("""COMPUTED_VALUE"""),12.0)</f>
        <v>12</v>
      </c>
    </row>
    <row r="3111">
      <c r="A3111" s="115" t="str">
        <f>IFERROR(__xludf.DUMMYFUNCTION("""COMPUTED_VALUE"""),"SOUTH")</f>
        <v>SOUTH</v>
      </c>
      <c r="B3111" s="115" t="str">
        <f>IFERROR(__xludf.DUMMYFUNCTION("""COMPUTED_VALUE"""),"Ashish Ranjan")</f>
        <v>Ashish Ranjan</v>
      </c>
      <c r="C3111" s="115" t="str">
        <f>IFERROR(__xludf.DUMMYFUNCTION("""COMPUTED_VALUE"""),"FLIPKART")</f>
        <v>FLIPKART</v>
      </c>
      <c r="D3111" s="115">
        <f>IFERROR(__xludf.DUMMYFUNCTION("""COMPUTED_VALUE"""),60.0)</f>
        <v>60</v>
      </c>
      <c r="E3111" s="115">
        <f>IFERROR(__xludf.DUMMYFUNCTION("""COMPUTED_VALUE"""),0.0)</f>
        <v>0</v>
      </c>
      <c r="F3111" s="115">
        <f>IFERROR(__xludf.DUMMYFUNCTION("""COMPUTED_VALUE"""),10.0)</f>
        <v>10</v>
      </c>
      <c r="G3111" s="115">
        <f>IFERROR(__xludf.DUMMYFUNCTION("""COMPUTED_VALUE"""),0.0)</f>
        <v>0</v>
      </c>
      <c r="H3111" s="116">
        <f>IFERROR(__xludf.DUMMYFUNCTION("""COMPUTED_VALUE"""),45906.0)</f>
        <v>45906</v>
      </c>
      <c r="I3111" s="115" t="str">
        <f>IFERROR(__xludf.DUMMYFUNCTION("""COMPUTED_VALUE"""),"16")</f>
        <v>16</v>
      </c>
      <c r="J3111" s="115" t="str">
        <f>IFERROR(__xludf.DUMMYFUNCTION("""COMPUTED_VALUE"""),"Ashish Ranjan2025-09-0616")</f>
        <v>Ashish Ranjan2025-09-0616</v>
      </c>
      <c r="K3111" s="115">
        <f>IFERROR(__xludf.DUMMYFUNCTION("""COMPUTED_VALUE"""),60.0)</f>
        <v>60</v>
      </c>
    </row>
    <row r="3112">
      <c r="A3112" s="115" t="str">
        <f>IFERROR(__xludf.DUMMYFUNCTION("""COMPUTED_VALUE"""),"SOUTH")</f>
        <v>SOUTH</v>
      </c>
      <c r="B3112" s="115" t="str">
        <f>IFERROR(__xludf.DUMMYFUNCTION("""COMPUTED_VALUE"""),"Ashish Ranjan")</f>
        <v>Ashish Ranjan</v>
      </c>
      <c r="C3112" s="115" t="str">
        <f>IFERROR(__xludf.DUMMYFUNCTION("""COMPUTED_VALUE"""),"MYNTRA")</f>
        <v>MYNTRA</v>
      </c>
      <c r="D3112" s="115">
        <f>IFERROR(__xludf.DUMMYFUNCTION("""COMPUTED_VALUE"""),5.0)</f>
        <v>5</v>
      </c>
      <c r="E3112" s="115">
        <f>IFERROR(__xludf.DUMMYFUNCTION("""COMPUTED_VALUE"""),0.0)</f>
        <v>0</v>
      </c>
      <c r="F3112" s="115">
        <f>IFERROR(__xludf.DUMMYFUNCTION("""COMPUTED_VALUE"""),0.0)</f>
        <v>0</v>
      </c>
      <c r="G3112" s="115">
        <f>IFERROR(__xludf.DUMMYFUNCTION("""COMPUTED_VALUE"""),0.0)</f>
        <v>0</v>
      </c>
      <c r="H3112" s="116">
        <f>IFERROR(__xludf.DUMMYFUNCTION("""COMPUTED_VALUE"""),45906.0)</f>
        <v>45906</v>
      </c>
      <c r="I3112" s="115" t="str">
        <f>IFERROR(__xludf.DUMMYFUNCTION("""COMPUTED_VALUE"""),"16")</f>
        <v>16</v>
      </c>
      <c r="J3112" s="115" t="str">
        <f>IFERROR(__xludf.DUMMYFUNCTION("""COMPUTED_VALUE"""),"Ashish Ranjan2025-09-0616")</f>
        <v>Ashish Ranjan2025-09-0616</v>
      </c>
      <c r="K3112" s="115">
        <f>IFERROR(__xludf.DUMMYFUNCTION("""COMPUTED_VALUE"""),5.0)</f>
        <v>5</v>
      </c>
    </row>
    <row r="3113">
      <c r="A3113" s="115" t="str">
        <f>IFERROR(__xludf.DUMMYFUNCTION("""COMPUTED_VALUE"""),"SOUTH")</f>
        <v>SOUTH</v>
      </c>
      <c r="B3113" s="115" t="str">
        <f>IFERROR(__xludf.DUMMYFUNCTION("""COMPUTED_VALUE"""),"Kandula Sampath")</f>
        <v>Kandula Sampath</v>
      </c>
      <c r="C3113" s="115" t="str">
        <f>IFERROR(__xludf.DUMMYFUNCTION("""COMPUTED_VALUE"""),"EXTERNAL")</f>
        <v>EXTERNAL</v>
      </c>
      <c r="D3113" s="115">
        <f>IFERROR(__xludf.DUMMYFUNCTION("""COMPUTED_VALUE"""),34573.0)</f>
        <v>34573</v>
      </c>
      <c r="E3113" s="115">
        <f>IFERROR(__xludf.DUMMYFUNCTION("""COMPUTED_VALUE"""),2945.0)</f>
        <v>2945</v>
      </c>
      <c r="F3113" s="115">
        <f>IFERROR(__xludf.DUMMYFUNCTION("""COMPUTED_VALUE"""),12237.0)</f>
        <v>12237</v>
      </c>
      <c r="G3113" s="115">
        <f>IFERROR(__xludf.DUMMYFUNCTION("""COMPUTED_VALUE"""),636.0)</f>
        <v>636</v>
      </c>
      <c r="H3113" s="116">
        <f>IFERROR(__xludf.DUMMYFUNCTION("""COMPUTED_VALUE"""),45906.0)</f>
        <v>45906</v>
      </c>
      <c r="I3113" s="115" t="str">
        <f>IFERROR(__xludf.DUMMYFUNCTION("""COMPUTED_VALUE"""),"16")</f>
        <v>16</v>
      </c>
      <c r="J3113" s="115" t="str">
        <f>IFERROR(__xludf.DUMMYFUNCTION("""COMPUTED_VALUE"""),"Kandula Sampath2025-09-0616")</f>
        <v>Kandula Sampath2025-09-0616</v>
      </c>
      <c r="K3113" s="115">
        <f>IFERROR(__xludf.DUMMYFUNCTION("""COMPUTED_VALUE"""),37518.0)</f>
        <v>37518</v>
      </c>
    </row>
    <row r="3114">
      <c r="A3114" s="115" t="str">
        <f>IFERROR(__xludf.DUMMYFUNCTION("""COMPUTED_VALUE"""),"SOUTH")</f>
        <v>SOUTH</v>
      </c>
      <c r="B3114" s="115" t="str">
        <f>IFERROR(__xludf.DUMMYFUNCTION("""COMPUTED_VALUE"""),"Kandula Sampath")</f>
        <v>Kandula Sampath</v>
      </c>
      <c r="C3114" s="115" t="str">
        <f>IFERROR(__xludf.DUMMYFUNCTION("""COMPUTED_VALUE"""),"FLIPKART")</f>
        <v>FLIPKART</v>
      </c>
      <c r="D3114" s="115">
        <f>IFERROR(__xludf.DUMMYFUNCTION("""COMPUTED_VALUE"""),308158.0)</f>
        <v>308158</v>
      </c>
      <c r="E3114" s="115">
        <f>IFERROR(__xludf.DUMMYFUNCTION("""COMPUTED_VALUE"""),27842.0)</f>
        <v>27842</v>
      </c>
      <c r="F3114" s="115">
        <f>IFERROR(__xludf.DUMMYFUNCTION("""COMPUTED_VALUE"""),183511.0)</f>
        <v>183511</v>
      </c>
      <c r="G3114" s="115">
        <f>IFERROR(__xludf.DUMMYFUNCTION("""COMPUTED_VALUE"""),8415.0)</f>
        <v>8415</v>
      </c>
      <c r="H3114" s="116">
        <f>IFERROR(__xludf.DUMMYFUNCTION("""COMPUTED_VALUE"""),45906.0)</f>
        <v>45906</v>
      </c>
      <c r="I3114" s="115" t="str">
        <f>IFERROR(__xludf.DUMMYFUNCTION("""COMPUTED_VALUE"""),"16")</f>
        <v>16</v>
      </c>
      <c r="J3114" s="115" t="str">
        <f>IFERROR(__xludf.DUMMYFUNCTION("""COMPUTED_VALUE"""),"Kandula Sampath2025-09-0616")</f>
        <v>Kandula Sampath2025-09-0616</v>
      </c>
      <c r="K3114" s="115">
        <f>IFERROR(__xludf.DUMMYFUNCTION("""COMPUTED_VALUE"""),336000.0)</f>
        <v>336000</v>
      </c>
    </row>
    <row r="3115">
      <c r="A3115" s="115" t="str">
        <f>IFERROR(__xludf.DUMMYFUNCTION("""COMPUTED_VALUE"""),"SOUTH")</f>
        <v>SOUTH</v>
      </c>
      <c r="B3115" s="115" t="str">
        <f>IFERROR(__xludf.DUMMYFUNCTION("""COMPUTED_VALUE"""),"Kandula Sampath")</f>
        <v>Kandula Sampath</v>
      </c>
      <c r="C3115" s="115" t="str">
        <f>IFERROR(__xludf.DUMMYFUNCTION("""COMPUTED_VALUE"""),"MYNTRA")</f>
        <v>MYNTRA</v>
      </c>
      <c r="D3115" s="115">
        <f>IFERROR(__xludf.DUMMYFUNCTION("""COMPUTED_VALUE"""),36559.0)</f>
        <v>36559</v>
      </c>
      <c r="E3115" s="115">
        <f>IFERROR(__xludf.DUMMYFUNCTION("""COMPUTED_VALUE"""),7405.0)</f>
        <v>7405</v>
      </c>
      <c r="F3115" s="115">
        <f>IFERROR(__xludf.DUMMYFUNCTION("""COMPUTED_VALUE"""),24539.0)</f>
        <v>24539</v>
      </c>
      <c r="G3115" s="115">
        <f>IFERROR(__xludf.DUMMYFUNCTION("""COMPUTED_VALUE"""),2320.0)</f>
        <v>2320</v>
      </c>
      <c r="H3115" s="116">
        <f>IFERROR(__xludf.DUMMYFUNCTION("""COMPUTED_VALUE"""),45906.0)</f>
        <v>45906</v>
      </c>
      <c r="I3115" s="115" t="str">
        <f>IFERROR(__xludf.DUMMYFUNCTION("""COMPUTED_VALUE"""),"16")</f>
        <v>16</v>
      </c>
      <c r="J3115" s="115" t="str">
        <f>IFERROR(__xludf.DUMMYFUNCTION("""COMPUTED_VALUE"""),"Kandula Sampath2025-09-0616")</f>
        <v>Kandula Sampath2025-09-0616</v>
      </c>
      <c r="K3115" s="115">
        <f>IFERROR(__xludf.DUMMYFUNCTION("""COMPUTED_VALUE"""),43964.0)</f>
        <v>43964</v>
      </c>
    </row>
    <row r="3116">
      <c r="A3116" s="115" t="str">
        <f>IFERROR(__xludf.DUMMYFUNCTION("""COMPUTED_VALUE"""),"SOUTH")</f>
        <v>SOUTH</v>
      </c>
      <c r="B3116" s="115" t="str">
        <f>IFERROR(__xludf.DUMMYFUNCTION("""COMPUTED_VALUE"""),"Martin A")</f>
        <v>Martin A</v>
      </c>
      <c r="C3116" s="115" t="str">
        <f>IFERROR(__xludf.DUMMYFUNCTION("""COMPUTED_VALUE"""),"EXTERNAL")</f>
        <v>EXTERNAL</v>
      </c>
      <c r="D3116" s="115">
        <f>IFERROR(__xludf.DUMMYFUNCTION("""COMPUTED_VALUE"""),33377.0)</f>
        <v>33377</v>
      </c>
      <c r="E3116" s="115">
        <f>IFERROR(__xludf.DUMMYFUNCTION("""COMPUTED_VALUE"""),3218.0)</f>
        <v>3218</v>
      </c>
      <c r="F3116" s="115">
        <f>IFERROR(__xludf.DUMMYFUNCTION("""COMPUTED_VALUE"""),11497.0)</f>
        <v>11497</v>
      </c>
      <c r="G3116" s="115">
        <f>IFERROR(__xludf.DUMMYFUNCTION("""COMPUTED_VALUE"""),1002.0)</f>
        <v>1002</v>
      </c>
      <c r="H3116" s="116">
        <f>IFERROR(__xludf.DUMMYFUNCTION("""COMPUTED_VALUE"""),45906.0)</f>
        <v>45906</v>
      </c>
      <c r="I3116" s="115" t="str">
        <f>IFERROR(__xludf.DUMMYFUNCTION("""COMPUTED_VALUE"""),"16")</f>
        <v>16</v>
      </c>
      <c r="J3116" s="115" t="str">
        <f>IFERROR(__xludf.DUMMYFUNCTION("""COMPUTED_VALUE"""),"Martin A2025-09-0616")</f>
        <v>Martin A2025-09-0616</v>
      </c>
      <c r="K3116" s="115">
        <f>IFERROR(__xludf.DUMMYFUNCTION("""COMPUTED_VALUE"""),36595.0)</f>
        <v>36595</v>
      </c>
    </row>
    <row r="3117">
      <c r="A3117" s="115" t="str">
        <f>IFERROR(__xludf.DUMMYFUNCTION("""COMPUTED_VALUE"""),"SOUTH")</f>
        <v>SOUTH</v>
      </c>
      <c r="B3117" s="115" t="str">
        <f>IFERROR(__xludf.DUMMYFUNCTION("""COMPUTED_VALUE"""),"Martin A")</f>
        <v>Martin A</v>
      </c>
      <c r="C3117" s="115" t="str">
        <f>IFERROR(__xludf.DUMMYFUNCTION("""COMPUTED_VALUE"""),"FLIPKART")</f>
        <v>FLIPKART</v>
      </c>
      <c r="D3117" s="115">
        <f>IFERROR(__xludf.DUMMYFUNCTION("""COMPUTED_VALUE"""),282800.0)</f>
        <v>282800</v>
      </c>
      <c r="E3117" s="115">
        <f>IFERROR(__xludf.DUMMYFUNCTION("""COMPUTED_VALUE"""),24837.0)</f>
        <v>24837</v>
      </c>
      <c r="F3117" s="115">
        <f>IFERROR(__xludf.DUMMYFUNCTION("""COMPUTED_VALUE"""),170643.0)</f>
        <v>170643</v>
      </c>
      <c r="G3117" s="115">
        <f>IFERROR(__xludf.DUMMYFUNCTION("""COMPUTED_VALUE"""),8894.0)</f>
        <v>8894</v>
      </c>
      <c r="H3117" s="116">
        <f>IFERROR(__xludf.DUMMYFUNCTION("""COMPUTED_VALUE"""),45906.0)</f>
        <v>45906</v>
      </c>
      <c r="I3117" s="115" t="str">
        <f>IFERROR(__xludf.DUMMYFUNCTION("""COMPUTED_VALUE"""),"16")</f>
        <v>16</v>
      </c>
      <c r="J3117" s="115" t="str">
        <f>IFERROR(__xludf.DUMMYFUNCTION("""COMPUTED_VALUE"""),"Martin A2025-09-0616")</f>
        <v>Martin A2025-09-0616</v>
      </c>
      <c r="K3117" s="115">
        <f>IFERROR(__xludf.DUMMYFUNCTION("""COMPUTED_VALUE"""),307637.0)</f>
        <v>307637</v>
      </c>
    </row>
    <row r="3118">
      <c r="A3118" s="115" t="str">
        <f>IFERROR(__xludf.DUMMYFUNCTION("""COMPUTED_VALUE"""),"SOUTH")</f>
        <v>SOUTH</v>
      </c>
      <c r="B3118" s="115" t="str">
        <f>IFERROR(__xludf.DUMMYFUNCTION("""COMPUTED_VALUE"""),"Martin A")</f>
        <v>Martin A</v>
      </c>
      <c r="C3118" s="115" t="str">
        <f>IFERROR(__xludf.DUMMYFUNCTION("""COMPUTED_VALUE"""),"MYNTRA")</f>
        <v>MYNTRA</v>
      </c>
      <c r="D3118" s="115">
        <f>IFERROR(__xludf.DUMMYFUNCTION("""COMPUTED_VALUE"""),27735.0)</f>
        <v>27735</v>
      </c>
      <c r="E3118" s="115">
        <f>IFERROR(__xludf.DUMMYFUNCTION("""COMPUTED_VALUE"""),6112.0)</f>
        <v>6112</v>
      </c>
      <c r="F3118" s="115">
        <f>IFERROR(__xludf.DUMMYFUNCTION("""COMPUTED_VALUE"""),19080.0)</f>
        <v>19080</v>
      </c>
      <c r="G3118" s="115">
        <f>IFERROR(__xludf.DUMMYFUNCTION("""COMPUTED_VALUE"""),2496.0)</f>
        <v>2496</v>
      </c>
      <c r="H3118" s="116">
        <f>IFERROR(__xludf.DUMMYFUNCTION("""COMPUTED_VALUE"""),45906.0)</f>
        <v>45906</v>
      </c>
      <c r="I3118" s="115" t="str">
        <f>IFERROR(__xludf.DUMMYFUNCTION("""COMPUTED_VALUE"""),"16")</f>
        <v>16</v>
      </c>
      <c r="J3118" s="115" t="str">
        <f>IFERROR(__xludf.DUMMYFUNCTION("""COMPUTED_VALUE"""),"Martin A2025-09-0616")</f>
        <v>Martin A2025-09-0616</v>
      </c>
      <c r="K3118" s="115">
        <f>IFERROR(__xludf.DUMMYFUNCTION("""COMPUTED_VALUE"""),33847.0)</f>
        <v>33847</v>
      </c>
    </row>
    <row r="3119">
      <c r="A3119" s="115" t="str">
        <f>IFERROR(__xludf.DUMMYFUNCTION("""COMPUTED_VALUE"""),"SOUTH")</f>
        <v>SOUTH</v>
      </c>
      <c r="B3119" s="115" t="str">
        <f>IFERROR(__xludf.DUMMYFUNCTION("""COMPUTED_VALUE"""),"Parag Kashyap")</f>
        <v>Parag Kashyap</v>
      </c>
      <c r="C3119" s="115" t="str">
        <f>IFERROR(__xludf.DUMMYFUNCTION("""COMPUTED_VALUE"""),"EXTERNAL")</f>
        <v>EXTERNAL</v>
      </c>
      <c r="D3119" s="115">
        <f>IFERROR(__xludf.DUMMYFUNCTION("""COMPUTED_VALUE"""),24.0)</f>
        <v>24</v>
      </c>
      <c r="E3119" s="115">
        <f>IFERROR(__xludf.DUMMYFUNCTION("""COMPUTED_VALUE"""),1.0)</f>
        <v>1</v>
      </c>
      <c r="F3119" s="115">
        <f>IFERROR(__xludf.DUMMYFUNCTION("""COMPUTED_VALUE"""),10.0)</f>
        <v>10</v>
      </c>
      <c r="G3119" s="115">
        <f>IFERROR(__xludf.DUMMYFUNCTION("""COMPUTED_VALUE"""),0.0)</f>
        <v>0</v>
      </c>
      <c r="H3119" s="116">
        <f>IFERROR(__xludf.DUMMYFUNCTION("""COMPUTED_VALUE"""),45906.0)</f>
        <v>45906</v>
      </c>
      <c r="I3119" s="115" t="str">
        <f>IFERROR(__xludf.DUMMYFUNCTION("""COMPUTED_VALUE"""),"16")</f>
        <v>16</v>
      </c>
      <c r="J3119" s="115" t="str">
        <f>IFERROR(__xludf.DUMMYFUNCTION("""COMPUTED_VALUE"""),"Parag Kashyap2025-09-0616")</f>
        <v>Parag Kashyap2025-09-0616</v>
      </c>
      <c r="K3119" s="115">
        <f>IFERROR(__xludf.DUMMYFUNCTION("""COMPUTED_VALUE"""),25.0)</f>
        <v>25</v>
      </c>
    </row>
    <row r="3120">
      <c r="A3120" s="115" t="str">
        <f>IFERROR(__xludf.DUMMYFUNCTION("""COMPUTED_VALUE"""),"SOUTH")</f>
        <v>SOUTH</v>
      </c>
      <c r="B3120" s="115" t="str">
        <f>IFERROR(__xludf.DUMMYFUNCTION("""COMPUTED_VALUE"""),"Parag Kashyap")</f>
        <v>Parag Kashyap</v>
      </c>
      <c r="C3120" s="115" t="str">
        <f>IFERROR(__xludf.DUMMYFUNCTION("""COMPUTED_VALUE"""),"FLIPKART")</f>
        <v>FLIPKART</v>
      </c>
      <c r="D3120" s="115">
        <f>IFERROR(__xludf.DUMMYFUNCTION("""COMPUTED_VALUE"""),77.0)</f>
        <v>77</v>
      </c>
      <c r="E3120" s="115">
        <f>IFERROR(__xludf.DUMMYFUNCTION("""COMPUTED_VALUE"""),3.0)</f>
        <v>3</v>
      </c>
      <c r="F3120" s="115">
        <f>IFERROR(__xludf.DUMMYFUNCTION("""COMPUTED_VALUE"""),56.0)</f>
        <v>56</v>
      </c>
      <c r="G3120" s="115">
        <f>IFERROR(__xludf.DUMMYFUNCTION("""COMPUTED_VALUE"""),2.0)</f>
        <v>2</v>
      </c>
      <c r="H3120" s="116">
        <f>IFERROR(__xludf.DUMMYFUNCTION("""COMPUTED_VALUE"""),45906.0)</f>
        <v>45906</v>
      </c>
      <c r="I3120" s="115" t="str">
        <f>IFERROR(__xludf.DUMMYFUNCTION("""COMPUTED_VALUE"""),"16")</f>
        <v>16</v>
      </c>
      <c r="J3120" s="115" t="str">
        <f>IFERROR(__xludf.DUMMYFUNCTION("""COMPUTED_VALUE"""),"Parag Kashyap2025-09-0616")</f>
        <v>Parag Kashyap2025-09-0616</v>
      </c>
      <c r="K3120" s="115">
        <f>IFERROR(__xludf.DUMMYFUNCTION("""COMPUTED_VALUE"""),80.0)</f>
        <v>80</v>
      </c>
    </row>
    <row r="3121">
      <c r="A3121" s="115" t="str">
        <f>IFERROR(__xludf.DUMMYFUNCTION("""COMPUTED_VALUE"""),"SOUTH")</f>
        <v>SOUTH</v>
      </c>
      <c r="B3121" s="115" t="str">
        <f>IFERROR(__xludf.DUMMYFUNCTION("""COMPUTED_VALUE"""),"Parag Kashyap")</f>
        <v>Parag Kashyap</v>
      </c>
      <c r="C3121" s="115" t="str">
        <f>IFERROR(__xludf.DUMMYFUNCTION("""COMPUTED_VALUE"""),"MYNTRA")</f>
        <v>MYNTRA</v>
      </c>
      <c r="D3121" s="115">
        <f>IFERROR(__xludf.DUMMYFUNCTION("""COMPUTED_VALUE"""),2.0)</f>
        <v>2</v>
      </c>
      <c r="E3121" s="115">
        <f>IFERROR(__xludf.DUMMYFUNCTION("""COMPUTED_VALUE"""),0.0)</f>
        <v>0</v>
      </c>
      <c r="F3121" s="115">
        <f>IFERROR(__xludf.DUMMYFUNCTION("""COMPUTED_VALUE"""),0.0)</f>
        <v>0</v>
      </c>
      <c r="G3121" s="115">
        <f>IFERROR(__xludf.DUMMYFUNCTION("""COMPUTED_VALUE"""),0.0)</f>
        <v>0</v>
      </c>
      <c r="H3121" s="116">
        <f>IFERROR(__xludf.DUMMYFUNCTION("""COMPUTED_VALUE"""),45906.0)</f>
        <v>45906</v>
      </c>
      <c r="I3121" s="115" t="str">
        <f>IFERROR(__xludf.DUMMYFUNCTION("""COMPUTED_VALUE"""),"16")</f>
        <v>16</v>
      </c>
      <c r="J3121" s="115" t="str">
        <f>IFERROR(__xludf.DUMMYFUNCTION("""COMPUTED_VALUE"""),"Parag Kashyap2025-09-0616")</f>
        <v>Parag Kashyap2025-09-0616</v>
      </c>
      <c r="K3121" s="115">
        <f>IFERROR(__xludf.DUMMYFUNCTION("""COMPUTED_VALUE"""),2.0)</f>
        <v>2</v>
      </c>
    </row>
    <row r="3122">
      <c r="A3122" s="115" t="str">
        <f>IFERROR(__xludf.DUMMYFUNCTION("""COMPUTED_VALUE"""),"SOUTH")</f>
        <v>SOUTH</v>
      </c>
      <c r="B3122" s="115" t="str">
        <f>IFERROR(__xludf.DUMMYFUNCTION("""COMPUTED_VALUE"""),"Premkumar M")</f>
        <v>Premkumar M</v>
      </c>
      <c r="C3122" s="115" t="str">
        <f>IFERROR(__xludf.DUMMYFUNCTION("""COMPUTED_VALUE"""),"EXTERNAL")</f>
        <v>EXTERNAL</v>
      </c>
      <c r="D3122" s="115">
        <f>IFERROR(__xludf.DUMMYFUNCTION("""COMPUTED_VALUE"""),29588.0)</f>
        <v>29588</v>
      </c>
      <c r="E3122" s="115">
        <f>IFERROR(__xludf.DUMMYFUNCTION("""COMPUTED_VALUE"""),1753.0)</f>
        <v>1753</v>
      </c>
      <c r="F3122" s="115">
        <f>IFERROR(__xludf.DUMMYFUNCTION("""COMPUTED_VALUE"""),10608.0)</f>
        <v>10608</v>
      </c>
      <c r="G3122" s="115">
        <f>IFERROR(__xludf.DUMMYFUNCTION("""COMPUTED_VALUE"""),211.0)</f>
        <v>211</v>
      </c>
      <c r="H3122" s="116">
        <f>IFERROR(__xludf.DUMMYFUNCTION("""COMPUTED_VALUE"""),45906.0)</f>
        <v>45906</v>
      </c>
      <c r="I3122" s="115" t="str">
        <f>IFERROR(__xludf.DUMMYFUNCTION("""COMPUTED_VALUE"""),"16")</f>
        <v>16</v>
      </c>
      <c r="J3122" s="115" t="str">
        <f>IFERROR(__xludf.DUMMYFUNCTION("""COMPUTED_VALUE"""),"Premkumar M2025-09-0616")</f>
        <v>Premkumar M2025-09-0616</v>
      </c>
      <c r="K3122" s="115">
        <f>IFERROR(__xludf.DUMMYFUNCTION("""COMPUTED_VALUE"""),31341.0)</f>
        <v>31341</v>
      </c>
    </row>
    <row r="3123">
      <c r="A3123" s="115" t="str">
        <f>IFERROR(__xludf.DUMMYFUNCTION("""COMPUTED_VALUE"""),"SOUTH")</f>
        <v>SOUTH</v>
      </c>
      <c r="B3123" s="115" t="str">
        <f>IFERROR(__xludf.DUMMYFUNCTION("""COMPUTED_VALUE"""),"Premkumar M")</f>
        <v>Premkumar M</v>
      </c>
      <c r="C3123" s="115" t="str">
        <f>IFERROR(__xludf.DUMMYFUNCTION("""COMPUTED_VALUE"""),"FLIPKART")</f>
        <v>FLIPKART</v>
      </c>
      <c r="D3123" s="115">
        <f>IFERROR(__xludf.DUMMYFUNCTION("""COMPUTED_VALUE"""),273479.0)</f>
        <v>273479</v>
      </c>
      <c r="E3123" s="115">
        <f>IFERROR(__xludf.DUMMYFUNCTION("""COMPUTED_VALUE"""),19052.0)</f>
        <v>19052</v>
      </c>
      <c r="F3123" s="115">
        <f>IFERROR(__xludf.DUMMYFUNCTION("""COMPUTED_VALUE"""),149294.0)</f>
        <v>149294</v>
      </c>
      <c r="G3123" s="115">
        <f>IFERROR(__xludf.DUMMYFUNCTION("""COMPUTED_VALUE"""),3420.0)</f>
        <v>3420</v>
      </c>
      <c r="H3123" s="116">
        <f>IFERROR(__xludf.DUMMYFUNCTION("""COMPUTED_VALUE"""),45906.0)</f>
        <v>45906</v>
      </c>
      <c r="I3123" s="115" t="str">
        <f>IFERROR(__xludf.DUMMYFUNCTION("""COMPUTED_VALUE"""),"16")</f>
        <v>16</v>
      </c>
      <c r="J3123" s="115" t="str">
        <f>IFERROR(__xludf.DUMMYFUNCTION("""COMPUTED_VALUE"""),"Premkumar M2025-09-0616")</f>
        <v>Premkumar M2025-09-0616</v>
      </c>
      <c r="K3123" s="115">
        <f>IFERROR(__xludf.DUMMYFUNCTION("""COMPUTED_VALUE"""),292531.0)</f>
        <v>292531</v>
      </c>
    </row>
    <row r="3124">
      <c r="A3124" s="115" t="str">
        <f>IFERROR(__xludf.DUMMYFUNCTION("""COMPUTED_VALUE"""),"SOUTH")</f>
        <v>SOUTH</v>
      </c>
      <c r="B3124" s="115" t="str">
        <f>IFERROR(__xludf.DUMMYFUNCTION("""COMPUTED_VALUE"""),"Premkumar M")</f>
        <v>Premkumar M</v>
      </c>
      <c r="C3124" s="115" t="str">
        <f>IFERROR(__xludf.DUMMYFUNCTION("""COMPUTED_VALUE"""),"MYNTRA")</f>
        <v>MYNTRA</v>
      </c>
      <c r="D3124" s="115">
        <f>IFERROR(__xludf.DUMMYFUNCTION("""COMPUTED_VALUE"""),15430.0)</f>
        <v>15430</v>
      </c>
      <c r="E3124" s="115">
        <f>IFERROR(__xludf.DUMMYFUNCTION("""COMPUTED_VALUE"""),2972.0)</f>
        <v>2972</v>
      </c>
      <c r="F3124" s="115">
        <f>IFERROR(__xludf.DUMMYFUNCTION("""COMPUTED_VALUE"""),9609.0)</f>
        <v>9609</v>
      </c>
      <c r="G3124" s="115">
        <f>IFERROR(__xludf.DUMMYFUNCTION("""COMPUTED_VALUE"""),621.0)</f>
        <v>621</v>
      </c>
      <c r="H3124" s="116">
        <f>IFERROR(__xludf.DUMMYFUNCTION("""COMPUTED_VALUE"""),45906.0)</f>
        <v>45906</v>
      </c>
      <c r="I3124" s="115" t="str">
        <f>IFERROR(__xludf.DUMMYFUNCTION("""COMPUTED_VALUE"""),"16")</f>
        <v>16</v>
      </c>
      <c r="J3124" s="115" t="str">
        <f>IFERROR(__xludf.DUMMYFUNCTION("""COMPUTED_VALUE"""),"Premkumar M2025-09-0616")</f>
        <v>Premkumar M2025-09-0616</v>
      </c>
      <c r="K3124" s="115">
        <f>IFERROR(__xludf.DUMMYFUNCTION("""COMPUTED_VALUE"""),18402.0)</f>
        <v>18402</v>
      </c>
    </row>
    <row r="3125">
      <c r="A3125" s="115" t="str">
        <f>IFERROR(__xludf.DUMMYFUNCTION("""COMPUTED_VALUE"""),"SOUTH")</f>
        <v>SOUTH</v>
      </c>
      <c r="B3125" s="115" t="str">
        <f>IFERROR(__xludf.DUMMYFUNCTION("""COMPUTED_VALUE"""),"Vineeth V")</f>
        <v>Vineeth V</v>
      </c>
      <c r="C3125" s="115" t="str">
        <f>IFERROR(__xludf.DUMMYFUNCTION("""COMPUTED_VALUE"""),"EXTERNAL")</f>
        <v>EXTERNAL</v>
      </c>
      <c r="D3125" s="115">
        <f>IFERROR(__xludf.DUMMYFUNCTION("""COMPUTED_VALUE"""),26040.0)</f>
        <v>26040</v>
      </c>
      <c r="E3125" s="115">
        <f>IFERROR(__xludf.DUMMYFUNCTION("""COMPUTED_VALUE"""),685.0)</f>
        <v>685</v>
      </c>
      <c r="F3125" s="115">
        <f>IFERROR(__xludf.DUMMYFUNCTION("""COMPUTED_VALUE"""),9533.0)</f>
        <v>9533</v>
      </c>
      <c r="G3125" s="115">
        <f>IFERROR(__xludf.DUMMYFUNCTION("""COMPUTED_VALUE"""),75.0)</f>
        <v>75</v>
      </c>
      <c r="H3125" s="116">
        <f>IFERROR(__xludf.DUMMYFUNCTION("""COMPUTED_VALUE"""),45906.0)</f>
        <v>45906</v>
      </c>
      <c r="I3125" s="115" t="str">
        <f>IFERROR(__xludf.DUMMYFUNCTION("""COMPUTED_VALUE"""),"16")</f>
        <v>16</v>
      </c>
      <c r="J3125" s="115" t="str">
        <f>IFERROR(__xludf.DUMMYFUNCTION("""COMPUTED_VALUE"""),"Vineeth V2025-09-0616")</f>
        <v>Vineeth V2025-09-0616</v>
      </c>
      <c r="K3125" s="115">
        <f>IFERROR(__xludf.DUMMYFUNCTION("""COMPUTED_VALUE"""),26725.0)</f>
        <v>26725</v>
      </c>
    </row>
    <row r="3126">
      <c r="A3126" s="115" t="str">
        <f>IFERROR(__xludf.DUMMYFUNCTION("""COMPUTED_VALUE"""),"SOUTH")</f>
        <v>SOUTH</v>
      </c>
      <c r="B3126" s="115" t="str">
        <f>IFERROR(__xludf.DUMMYFUNCTION("""COMPUTED_VALUE"""),"Vineeth V")</f>
        <v>Vineeth V</v>
      </c>
      <c r="C3126" s="115" t="str">
        <f>IFERROR(__xludf.DUMMYFUNCTION("""COMPUTED_VALUE"""),"FLIPKART")</f>
        <v>FLIPKART</v>
      </c>
      <c r="D3126" s="115">
        <f>IFERROR(__xludf.DUMMYFUNCTION("""COMPUTED_VALUE"""),215972.0)</f>
        <v>215972</v>
      </c>
      <c r="E3126" s="115">
        <f>IFERROR(__xludf.DUMMYFUNCTION("""COMPUTED_VALUE"""),15725.0)</f>
        <v>15725</v>
      </c>
      <c r="F3126" s="115">
        <f>IFERROR(__xludf.DUMMYFUNCTION("""COMPUTED_VALUE"""),115549.0)</f>
        <v>115549</v>
      </c>
      <c r="G3126" s="115">
        <f>IFERROR(__xludf.DUMMYFUNCTION("""COMPUTED_VALUE"""),1505.0)</f>
        <v>1505</v>
      </c>
      <c r="H3126" s="116">
        <f>IFERROR(__xludf.DUMMYFUNCTION("""COMPUTED_VALUE"""),45906.0)</f>
        <v>45906</v>
      </c>
      <c r="I3126" s="115" t="str">
        <f>IFERROR(__xludf.DUMMYFUNCTION("""COMPUTED_VALUE"""),"16")</f>
        <v>16</v>
      </c>
      <c r="J3126" s="115" t="str">
        <f>IFERROR(__xludf.DUMMYFUNCTION("""COMPUTED_VALUE"""),"Vineeth V2025-09-0616")</f>
        <v>Vineeth V2025-09-0616</v>
      </c>
      <c r="K3126" s="115">
        <f>IFERROR(__xludf.DUMMYFUNCTION("""COMPUTED_VALUE"""),231697.0)</f>
        <v>231697</v>
      </c>
    </row>
    <row r="3127">
      <c r="A3127" s="115" t="str">
        <f>IFERROR(__xludf.DUMMYFUNCTION("""COMPUTED_VALUE"""),"SOUTH")</f>
        <v>SOUTH</v>
      </c>
      <c r="B3127" s="115" t="str">
        <f>IFERROR(__xludf.DUMMYFUNCTION("""COMPUTED_VALUE"""),"Vineeth V")</f>
        <v>Vineeth V</v>
      </c>
      <c r="C3127" s="115" t="str">
        <f>IFERROR(__xludf.DUMMYFUNCTION("""COMPUTED_VALUE"""),"MYNTRA")</f>
        <v>MYNTRA</v>
      </c>
      <c r="D3127" s="115">
        <f>IFERROR(__xludf.DUMMYFUNCTION("""COMPUTED_VALUE"""),28071.0)</f>
        <v>28071</v>
      </c>
      <c r="E3127" s="115">
        <f>IFERROR(__xludf.DUMMYFUNCTION("""COMPUTED_VALUE"""),4037.0)</f>
        <v>4037</v>
      </c>
      <c r="F3127" s="115">
        <f>IFERROR(__xludf.DUMMYFUNCTION("""COMPUTED_VALUE"""),16599.0)</f>
        <v>16599</v>
      </c>
      <c r="G3127" s="115">
        <f>IFERROR(__xludf.DUMMYFUNCTION("""COMPUTED_VALUE"""),456.0)</f>
        <v>456</v>
      </c>
      <c r="H3127" s="116">
        <f>IFERROR(__xludf.DUMMYFUNCTION("""COMPUTED_VALUE"""),45906.0)</f>
        <v>45906</v>
      </c>
      <c r="I3127" s="115" t="str">
        <f>IFERROR(__xludf.DUMMYFUNCTION("""COMPUTED_VALUE"""),"16")</f>
        <v>16</v>
      </c>
      <c r="J3127" s="115" t="str">
        <f>IFERROR(__xludf.DUMMYFUNCTION("""COMPUTED_VALUE"""),"Vineeth V2025-09-0616")</f>
        <v>Vineeth V2025-09-0616</v>
      </c>
      <c r="K3127" s="115">
        <f>IFERROR(__xludf.DUMMYFUNCTION("""COMPUTED_VALUE"""),32108.0)</f>
        <v>32108</v>
      </c>
    </row>
    <row r="3128">
      <c r="A3128" s="115" t="str">
        <f>IFERROR(__xludf.DUMMYFUNCTION("""COMPUTED_VALUE"""),"WEST")</f>
        <v>WEST</v>
      </c>
      <c r="B3128" s="115" t="str">
        <f>IFERROR(__xludf.DUMMYFUNCTION("""COMPUTED_VALUE"""),"0")</f>
        <v>0</v>
      </c>
      <c r="C3128" s="115" t="str">
        <f>IFERROR(__xludf.DUMMYFUNCTION("""COMPUTED_VALUE"""),"EXTERNAL")</f>
        <v>EXTERNAL</v>
      </c>
      <c r="D3128" s="115">
        <f>IFERROR(__xludf.DUMMYFUNCTION("""COMPUTED_VALUE"""),96.0)</f>
        <v>96</v>
      </c>
      <c r="E3128" s="115">
        <f>IFERROR(__xludf.DUMMYFUNCTION("""COMPUTED_VALUE"""),6.0)</f>
        <v>6</v>
      </c>
      <c r="F3128" s="115">
        <f>IFERROR(__xludf.DUMMYFUNCTION("""COMPUTED_VALUE"""),13.0)</f>
        <v>13</v>
      </c>
      <c r="G3128" s="115">
        <f>IFERROR(__xludf.DUMMYFUNCTION("""COMPUTED_VALUE"""),4.0)</f>
        <v>4</v>
      </c>
      <c r="H3128" s="116">
        <f>IFERROR(__xludf.DUMMYFUNCTION("""COMPUTED_VALUE"""),45906.0)</f>
        <v>45906</v>
      </c>
      <c r="I3128" s="115" t="str">
        <f>IFERROR(__xludf.DUMMYFUNCTION("""COMPUTED_VALUE"""),"16")</f>
        <v>16</v>
      </c>
      <c r="J3128" s="115" t="str">
        <f>IFERROR(__xludf.DUMMYFUNCTION("""COMPUTED_VALUE"""),"02025-09-0616")</f>
        <v>02025-09-0616</v>
      </c>
      <c r="K3128" s="115">
        <f>IFERROR(__xludf.DUMMYFUNCTION("""COMPUTED_VALUE"""),102.0)</f>
        <v>102</v>
      </c>
    </row>
    <row r="3129">
      <c r="A3129" s="115" t="str">
        <f>IFERROR(__xludf.DUMMYFUNCTION("""COMPUTED_VALUE"""),"WEST")</f>
        <v>WEST</v>
      </c>
      <c r="B3129" s="115" t="str">
        <f>IFERROR(__xludf.DUMMYFUNCTION("""COMPUTED_VALUE"""),"0")</f>
        <v>0</v>
      </c>
      <c r="C3129" s="115" t="str">
        <f>IFERROR(__xludf.DUMMYFUNCTION("""COMPUTED_VALUE"""),"FLIPKART")</f>
        <v>FLIPKART</v>
      </c>
      <c r="D3129" s="115">
        <f>IFERROR(__xludf.DUMMYFUNCTION("""COMPUTED_VALUE"""),830.0)</f>
        <v>830</v>
      </c>
      <c r="E3129" s="115">
        <f>IFERROR(__xludf.DUMMYFUNCTION("""COMPUTED_VALUE"""),26.0)</f>
        <v>26</v>
      </c>
      <c r="F3129" s="115">
        <f>IFERROR(__xludf.DUMMYFUNCTION("""COMPUTED_VALUE"""),404.0)</f>
        <v>404</v>
      </c>
      <c r="G3129" s="115">
        <f>IFERROR(__xludf.DUMMYFUNCTION("""COMPUTED_VALUE"""),7.0)</f>
        <v>7</v>
      </c>
      <c r="H3129" s="116">
        <f>IFERROR(__xludf.DUMMYFUNCTION("""COMPUTED_VALUE"""),45906.0)</f>
        <v>45906</v>
      </c>
      <c r="I3129" s="115" t="str">
        <f>IFERROR(__xludf.DUMMYFUNCTION("""COMPUTED_VALUE"""),"16")</f>
        <v>16</v>
      </c>
      <c r="J3129" s="115" t="str">
        <f>IFERROR(__xludf.DUMMYFUNCTION("""COMPUTED_VALUE"""),"02025-09-0616")</f>
        <v>02025-09-0616</v>
      </c>
      <c r="K3129" s="115">
        <f>IFERROR(__xludf.DUMMYFUNCTION("""COMPUTED_VALUE"""),856.0)</f>
        <v>856</v>
      </c>
    </row>
    <row r="3130">
      <c r="A3130" s="115" t="str">
        <f>IFERROR(__xludf.DUMMYFUNCTION("""COMPUTED_VALUE"""),"WEST")</f>
        <v>WEST</v>
      </c>
      <c r="B3130" s="115" t="str">
        <f>IFERROR(__xludf.DUMMYFUNCTION("""COMPUTED_VALUE"""),"0")</f>
        <v>0</v>
      </c>
      <c r="C3130" s="115" t="str">
        <f>IFERROR(__xludf.DUMMYFUNCTION("""COMPUTED_VALUE"""),"MYNTRA")</f>
        <v>MYNTRA</v>
      </c>
      <c r="D3130" s="115">
        <f>IFERROR(__xludf.DUMMYFUNCTION("""COMPUTED_VALUE"""),178.0)</f>
        <v>178</v>
      </c>
      <c r="E3130" s="115">
        <f>IFERROR(__xludf.DUMMYFUNCTION("""COMPUTED_VALUE"""),12.0)</f>
        <v>12</v>
      </c>
      <c r="F3130" s="115">
        <f>IFERROR(__xludf.DUMMYFUNCTION("""COMPUTED_VALUE"""),93.0)</f>
        <v>93</v>
      </c>
      <c r="G3130" s="115">
        <f>IFERROR(__xludf.DUMMYFUNCTION("""COMPUTED_VALUE"""),3.0)</f>
        <v>3</v>
      </c>
      <c r="H3130" s="116">
        <f>IFERROR(__xludf.DUMMYFUNCTION("""COMPUTED_VALUE"""),45906.0)</f>
        <v>45906</v>
      </c>
      <c r="I3130" s="115" t="str">
        <f>IFERROR(__xludf.DUMMYFUNCTION("""COMPUTED_VALUE"""),"16")</f>
        <v>16</v>
      </c>
      <c r="J3130" s="115" t="str">
        <f>IFERROR(__xludf.DUMMYFUNCTION("""COMPUTED_VALUE"""),"02025-09-0616")</f>
        <v>02025-09-0616</v>
      </c>
      <c r="K3130" s="115">
        <f>IFERROR(__xludf.DUMMYFUNCTION("""COMPUTED_VALUE"""),190.0)</f>
        <v>190</v>
      </c>
    </row>
    <row r="3131">
      <c r="A3131" s="115" t="str">
        <f>IFERROR(__xludf.DUMMYFUNCTION("""COMPUTED_VALUE"""),"WEST")</f>
        <v>WEST</v>
      </c>
      <c r="B3131" s="115" t="str">
        <f>IFERROR(__xludf.DUMMYFUNCTION("""COMPUTED_VALUE"""),"Ashish Jakar")</f>
        <v>Ashish Jakar</v>
      </c>
      <c r="C3131" s="115" t="str">
        <f>IFERROR(__xludf.DUMMYFUNCTION("""COMPUTED_VALUE"""),"EXTERNAL")</f>
        <v>EXTERNAL</v>
      </c>
      <c r="D3131" s="115">
        <f>IFERROR(__xludf.DUMMYFUNCTION("""COMPUTED_VALUE"""),47110.0)</f>
        <v>47110</v>
      </c>
      <c r="E3131" s="115">
        <f>IFERROR(__xludf.DUMMYFUNCTION("""COMPUTED_VALUE"""),5544.0)</f>
        <v>5544</v>
      </c>
      <c r="F3131" s="115">
        <f>IFERROR(__xludf.DUMMYFUNCTION("""COMPUTED_VALUE"""),17147.0)</f>
        <v>17147</v>
      </c>
      <c r="G3131" s="115">
        <f>IFERROR(__xludf.DUMMYFUNCTION("""COMPUTED_VALUE"""),1816.0)</f>
        <v>1816</v>
      </c>
      <c r="H3131" s="116">
        <f>IFERROR(__xludf.DUMMYFUNCTION("""COMPUTED_VALUE"""),45906.0)</f>
        <v>45906</v>
      </c>
      <c r="I3131" s="115" t="str">
        <f>IFERROR(__xludf.DUMMYFUNCTION("""COMPUTED_VALUE"""),"16")</f>
        <v>16</v>
      </c>
      <c r="J3131" s="115" t="str">
        <f>IFERROR(__xludf.DUMMYFUNCTION("""COMPUTED_VALUE"""),"Ashish Jakar2025-09-0616")</f>
        <v>Ashish Jakar2025-09-0616</v>
      </c>
      <c r="K3131" s="115">
        <f>IFERROR(__xludf.DUMMYFUNCTION("""COMPUTED_VALUE"""),52654.0)</f>
        <v>52654</v>
      </c>
    </row>
    <row r="3132">
      <c r="A3132" s="115" t="str">
        <f>IFERROR(__xludf.DUMMYFUNCTION("""COMPUTED_VALUE"""),"WEST")</f>
        <v>WEST</v>
      </c>
      <c r="B3132" s="115" t="str">
        <f>IFERROR(__xludf.DUMMYFUNCTION("""COMPUTED_VALUE"""),"Ashish Jakar")</f>
        <v>Ashish Jakar</v>
      </c>
      <c r="C3132" s="115" t="str">
        <f>IFERROR(__xludf.DUMMYFUNCTION("""COMPUTED_VALUE"""),"FLIPKART")</f>
        <v>FLIPKART</v>
      </c>
      <c r="D3132" s="115">
        <f>IFERROR(__xludf.DUMMYFUNCTION("""COMPUTED_VALUE"""),232911.0)</f>
        <v>232911</v>
      </c>
      <c r="E3132" s="115">
        <f>IFERROR(__xludf.DUMMYFUNCTION("""COMPUTED_VALUE"""),27250.0)</f>
        <v>27250</v>
      </c>
      <c r="F3132" s="115">
        <f>IFERROR(__xludf.DUMMYFUNCTION("""COMPUTED_VALUE"""),146074.0)</f>
        <v>146074</v>
      </c>
      <c r="G3132" s="115">
        <f>IFERROR(__xludf.DUMMYFUNCTION("""COMPUTED_VALUE"""),11807.0)</f>
        <v>11807</v>
      </c>
      <c r="H3132" s="116">
        <f>IFERROR(__xludf.DUMMYFUNCTION("""COMPUTED_VALUE"""),45906.0)</f>
        <v>45906</v>
      </c>
      <c r="I3132" s="115" t="str">
        <f>IFERROR(__xludf.DUMMYFUNCTION("""COMPUTED_VALUE"""),"16")</f>
        <v>16</v>
      </c>
      <c r="J3132" s="115" t="str">
        <f>IFERROR(__xludf.DUMMYFUNCTION("""COMPUTED_VALUE"""),"Ashish Jakar2025-09-0616")</f>
        <v>Ashish Jakar2025-09-0616</v>
      </c>
      <c r="K3132" s="115">
        <f>IFERROR(__xludf.DUMMYFUNCTION("""COMPUTED_VALUE"""),260161.0)</f>
        <v>260161</v>
      </c>
    </row>
    <row r="3133">
      <c r="A3133" s="115" t="str">
        <f>IFERROR(__xludf.DUMMYFUNCTION("""COMPUTED_VALUE"""),"WEST")</f>
        <v>WEST</v>
      </c>
      <c r="B3133" s="115" t="str">
        <f>IFERROR(__xludf.DUMMYFUNCTION("""COMPUTED_VALUE"""),"Ashish Jakar")</f>
        <v>Ashish Jakar</v>
      </c>
      <c r="C3133" s="115" t="str">
        <f>IFERROR(__xludf.DUMMYFUNCTION("""COMPUTED_VALUE"""),"MYNTRA")</f>
        <v>MYNTRA</v>
      </c>
      <c r="D3133" s="115">
        <f>IFERROR(__xludf.DUMMYFUNCTION("""COMPUTED_VALUE"""),33387.0)</f>
        <v>33387</v>
      </c>
      <c r="E3133" s="115">
        <f>IFERROR(__xludf.DUMMYFUNCTION("""COMPUTED_VALUE"""),8920.0)</f>
        <v>8920</v>
      </c>
      <c r="F3133" s="115">
        <f>IFERROR(__xludf.DUMMYFUNCTION("""COMPUTED_VALUE"""),24286.0)</f>
        <v>24286</v>
      </c>
      <c r="G3133" s="115">
        <f>IFERROR(__xludf.DUMMYFUNCTION("""COMPUTED_VALUE"""),4245.0)</f>
        <v>4245</v>
      </c>
      <c r="H3133" s="116">
        <f>IFERROR(__xludf.DUMMYFUNCTION("""COMPUTED_VALUE"""),45906.0)</f>
        <v>45906</v>
      </c>
      <c r="I3133" s="115" t="str">
        <f>IFERROR(__xludf.DUMMYFUNCTION("""COMPUTED_VALUE"""),"16")</f>
        <v>16</v>
      </c>
      <c r="J3133" s="115" t="str">
        <f>IFERROR(__xludf.DUMMYFUNCTION("""COMPUTED_VALUE"""),"Ashish Jakar2025-09-0616")</f>
        <v>Ashish Jakar2025-09-0616</v>
      </c>
      <c r="K3133" s="115">
        <f>IFERROR(__xludf.DUMMYFUNCTION("""COMPUTED_VALUE"""),42307.0)</f>
        <v>42307</v>
      </c>
    </row>
    <row r="3134">
      <c r="A3134" s="115" t="str">
        <f>IFERROR(__xludf.DUMMYFUNCTION("""COMPUTED_VALUE"""),"WEST")</f>
        <v>WEST</v>
      </c>
      <c r="B3134" s="115" t="str">
        <f>IFERROR(__xludf.DUMMYFUNCTION("""COMPUTED_VALUE"""),"Ashish Ranjan")</f>
        <v>Ashish Ranjan</v>
      </c>
      <c r="C3134" s="115" t="str">
        <f>IFERROR(__xludf.DUMMYFUNCTION("""COMPUTED_VALUE"""),"EXTERNAL")</f>
        <v>EXTERNAL</v>
      </c>
      <c r="D3134" s="115">
        <f>IFERROR(__xludf.DUMMYFUNCTION("""COMPUTED_VALUE"""),22.0)</f>
        <v>22</v>
      </c>
      <c r="E3134" s="115">
        <f>IFERROR(__xludf.DUMMYFUNCTION("""COMPUTED_VALUE"""),0.0)</f>
        <v>0</v>
      </c>
      <c r="F3134" s="115">
        <f>IFERROR(__xludf.DUMMYFUNCTION("""COMPUTED_VALUE"""),3.0)</f>
        <v>3</v>
      </c>
      <c r="G3134" s="115">
        <f>IFERROR(__xludf.DUMMYFUNCTION("""COMPUTED_VALUE"""),0.0)</f>
        <v>0</v>
      </c>
      <c r="H3134" s="116">
        <f>IFERROR(__xludf.DUMMYFUNCTION("""COMPUTED_VALUE"""),45906.0)</f>
        <v>45906</v>
      </c>
      <c r="I3134" s="115" t="str">
        <f>IFERROR(__xludf.DUMMYFUNCTION("""COMPUTED_VALUE"""),"16")</f>
        <v>16</v>
      </c>
      <c r="J3134" s="115" t="str">
        <f>IFERROR(__xludf.DUMMYFUNCTION("""COMPUTED_VALUE"""),"Ashish Ranjan2025-09-0616")</f>
        <v>Ashish Ranjan2025-09-0616</v>
      </c>
      <c r="K3134" s="115">
        <f>IFERROR(__xludf.DUMMYFUNCTION("""COMPUTED_VALUE"""),22.0)</f>
        <v>22</v>
      </c>
    </row>
    <row r="3135">
      <c r="A3135" s="115" t="str">
        <f>IFERROR(__xludf.DUMMYFUNCTION("""COMPUTED_VALUE"""),"WEST")</f>
        <v>WEST</v>
      </c>
      <c r="B3135" s="115" t="str">
        <f>IFERROR(__xludf.DUMMYFUNCTION("""COMPUTED_VALUE"""),"Ashish Ranjan")</f>
        <v>Ashish Ranjan</v>
      </c>
      <c r="C3135" s="115" t="str">
        <f>IFERROR(__xludf.DUMMYFUNCTION("""COMPUTED_VALUE"""),"FLIPKART")</f>
        <v>FLIPKART</v>
      </c>
      <c r="D3135" s="115">
        <f>IFERROR(__xludf.DUMMYFUNCTION("""COMPUTED_VALUE"""),253.0)</f>
        <v>253</v>
      </c>
      <c r="E3135" s="115">
        <f>IFERROR(__xludf.DUMMYFUNCTION("""COMPUTED_VALUE"""),11.0)</f>
        <v>11</v>
      </c>
      <c r="F3135" s="115">
        <f>IFERROR(__xludf.DUMMYFUNCTION("""COMPUTED_VALUE"""),144.0)</f>
        <v>144</v>
      </c>
      <c r="G3135" s="115">
        <f>IFERROR(__xludf.DUMMYFUNCTION("""COMPUTED_VALUE"""),10.0)</f>
        <v>10</v>
      </c>
      <c r="H3135" s="116">
        <f>IFERROR(__xludf.DUMMYFUNCTION("""COMPUTED_VALUE"""),45906.0)</f>
        <v>45906</v>
      </c>
      <c r="I3135" s="115" t="str">
        <f>IFERROR(__xludf.DUMMYFUNCTION("""COMPUTED_VALUE"""),"16")</f>
        <v>16</v>
      </c>
      <c r="J3135" s="115" t="str">
        <f>IFERROR(__xludf.DUMMYFUNCTION("""COMPUTED_VALUE"""),"Ashish Ranjan2025-09-0616")</f>
        <v>Ashish Ranjan2025-09-0616</v>
      </c>
      <c r="K3135" s="115">
        <f>IFERROR(__xludf.DUMMYFUNCTION("""COMPUTED_VALUE"""),264.0)</f>
        <v>264</v>
      </c>
    </row>
    <row r="3136">
      <c r="A3136" s="115" t="str">
        <f>IFERROR(__xludf.DUMMYFUNCTION("""COMPUTED_VALUE"""),"WEST")</f>
        <v>WEST</v>
      </c>
      <c r="B3136" s="115" t="str">
        <f>IFERROR(__xludf.DUMMYFUNCTION("""COMPUTED_VALUE"""),"Ashish Ranjan")</f>
        <v>Ashish Ranjan</v>
      </c>
      <c r="C3136" s="115" t="str">
        <f>IFERROR(__xludf.DUMMYFUNCTION("""COMPUTED_VALUE"""),"MYNTRA")</f>
        <v>MYNTRA</v>
      </c>
      <c r="D3136" s="115">
        <f>IFERROR(__xludf.DUMMYFUNCTION("""COMPUTED_VALUE"""),6.0)</f>
        <v>6</v>
      </c>
      <c r="E3136" s="115">
        <f>IFERROR(__xludf.DUMMYFUNCTION("""COMPUTED_VALUE"""),1.0)</f>
        <v>1</v>
      </c>
      <c r="F3136" s="115">
        <f>IFERROR(__xludf.DUMMYFUNCTION("""COMPUTED_VALUE"""),2.0)</f>
        <v>2</v>
      </c>
      <c r="G3136" s="115">
        <f>IFERROR(__xludf.DUMMYFUNCTION("""COMPUTED_VALUE"""),1.0)</f>
        <v>1</v>
      </c>
      <c r="H3136" s="116">
        <f>IFERROR(__xludf.DUMMYFUNCTION("""COMPUTED_VALUE"""),45906.0)</f>
        <v>45906</v>
      </c>
      <c r="I3136" s="115" t="str">
        <f>IFERROR(__xludf.DUMMYFUNCTION("""COMPUTED_VALUE"""),"16")</f>
        <v>16</v>
      </c>
      <c r="J3136" s="115" t="str">
        <f>IFERROR(__xludf.DUMMYFUNCTION("""COMPUTED_VALUE"""),"Ashish Ranjan2025-09-0616")</f>
        <v>Ashish Ranjan2025-09-0616</v>
      </c>
      <c r="K3136" s="115">
        <f>IFERROR(__xludf.DUMMYFUNCTION("""COMPUTED_VALUE"""),7.0)</f>
        <v>7</v>
      </c>
    </row>
    <row r="3137">
      <c r="A3137" s="115" t="str">
        <f>IFERROR(__xludf.DUMMYFUNCTION("""COMPUTED_VALUE"""),"WEST")</f>
        <v>WEST</v>
      </c>
      <c r="B3137" s="115" t="str">
        <f>IFERROR(__xludf.DUMMYFUNCTION("""COMPUTED_VALUE"""),"Ashvani Bhatt")</f>
        <v>Ashvani Bhatt</v>
      </c>
      <c r="C3137" s="115" t="str">
        <f>IFERROR(__xludf.DUMMYFUNCTION("""COMPUTED_VALUE"""),"EXTERNAL")</f>
        <v>EXTERNAL</v>
      </c>
      <c r="D3137" s="115">
        <f>IFERROR(__xludf.DUMMYFUNCTION("""COMPUTED_VALUE"""),34394.0)</f>
        <v>34394</v>
      </c>
      <c r="E3137" s="115">
        <f>IFERROR(__xludf.DUMMYFUNCTION("""COMPUTED_VALUE"""),2877.0)</f>
        <v>2877</v>
      </c>
      <c r="F3137" s="115">
        <f>IFERROR(__xludf.DUMMYFUNCTION("""COMPUTED_VALUE"""),12021.0)</f>
        <v>12021</v>
      </c>
      <c r="G3137" s="115">
        <f>IFERROR(__xludf.DUMMYFUNCTION("""COMPUTED_VALUE"""),620.0)</f>
        <v>620</v>
      </c>
      <c r="H3137" s="116">
        <f>IFERROR(__xludf.DUMMYFUNCTION("""COMPUTED_VALUE"""),45906.0)</f>
        <v>45906</v>
      </c>
      <c r="I3137" s="115" t="str">
        <f>IFERROR(__xludf.DUMMYFUNCTION("""COMPUTED_VALUE"""),"16")</f>
        <v>16</v>
      </c>
      <c r="J3137" s="115" t="str">
        <f>IFERROR(__xludf.DUMMYFUNCTION("""COMPUTED_VALUE"""),"Ashvani Bhatt2025-09-0616")</f>
        <v>Ashvani Bhatt2025-09-0616</v>
      </c>
      <c r="K3137" s="115">
        <f>IFERROR(__xludf.DUMMYFUNCTION("""COMPUTED_VALUE"""),37271.0)</f>
        <v>37271</v>
      </c>
    </row>
    <row r="3138">
      <c r="A3138" s="115" t="str">
        <f>IFERROR(__xludf.DUMMYFUNCTION("""COMPUTED_VALUE"""),"WEST")</f>
        <v>WEST</v>
      </c>
      <c r="B3138" s="115" t="str">
        <f>IFERROR(__xludf.DUMMYFUNCTION("""COMPUTED_VALUE"""),"Ashvani Bhatt")</f>
        <v>Ashvani Bhatt</v>
      </c>
      <c r="C3138" s="115" t="str">
        <f>IFERROR(__xludf.DUMMYFUNCTION("""COMPUTED_VALUE"""),"FLIPKART")</f>
        <v>FLIPKART</v>
      </c>
      <c r="D3138" s="115">
        <f>IFERROR(__xludf.DUMMYFUNCTION("""COMPUTED_VALUE"""),244838.0)</f>
        <v>244838</v>
      </c>
      <c r="E3138" s="115">
        <f>IFERROR(__xludf.DUMMYFUNCTION("""COMPUTED_VALUE"""),26276.0)</f>
        <v>26276</v>
      </c>
      <c r="F3138" s="115">
        <f>IFERROR(__xludf.DUMMYFUNCTION("""COMPUTED_VALUE"""),149519.0)</f>
        <v>149519</v>
      </c>
      <c r="G3138" s="115">
        <f>IFERROR(__xludf.DUMMYFUNCTION("""COMPUTED_VALUE"""),9288.0)</f>
        <v>9288</v>
      </c>
      <c r="H3138" s="116">
        <f>IFERROR(__xludf.DUMMYFUNCTION("""COMPUTED_VALUE"""),45906.0)</f>
        <v>45906</v>
      </c>
      <c r="I3138" s="115" t="str">
        <f>IFERROR(__xludf.DUMMYFUNCTION("""COMPUTED_VALUE"""),"16")</f>
        <v>16</v>
      </c>
      <c r="J3138" s="115" t="str">
        <f>IFERROR(__xludf.DUMMYFUNCTION("""COMPUTED_VALUE"""),"Ashvani Bhatt2025-09-0616")</f>
        <v>Ashvani Bhatt2025-09-0616</v>
      </c>
      <c r="K3138" s="115">
        <f>IFERROR(__xludf.DUMMYFUNCTION("""COMPUTED_VALUE"""),271114.0)</f>
        <v>271114</v>
      </c>
    </row>
    <row r="3139">
      <c r="A3139" s="115" t="str">
        <f>IFERROR(__xludf.DUMMYFUNCTION("""COMPUTED_VALUE"""),"WEST")</f>
        <v>WEST</v>
      </c>
      <c r="B3139" s="115" t="str">
        <f>IFERROR(__xludf.DUMMYFUNCTION("""COMPUTED_VALUE"""),"Ashvani Bhatt")</f>
        <v>Ashvani Bhatt</v>
      </c>
      <c r="C3139" s="115" t="str">
        <f>IFERROR(__xludf.DUMMYFUNCTION("""COMPUTED_VALUE"""),"MYNTRA")</f>
        <v>MYNTRA</v>
      </c>
      <c r="D3139" s="115">
        <f>IFERROR(__xludf.DUMMYFUNCTION("""COMPUTED_VALUE"""),30789.0)</f>
        <v>30789</v>
      </c>
      <c r="E3139" s="115">
        <f>IFERROR(__xludf.DUMMYFUNCTION("""COMPUTED_VALUE"""),7862.0)</f>
        <v>7862</v>
      </c>
      <c r="F3139" s="115">
        <f>IFERROR(__xludf.DUMMYFUNCTION("""COMPUTED_VALUE"""),22583.0)</f>
        <v>22583</v>
      </c>
      <c r="G3139" s="115">
        <f>IFERROR(__xludf.DUMMYFUNCTION("""COMPUTED_VALUE"""),3348.0)</f>
        <v>3348</v>
      </c>
      <c r="H3139" s="116">
        <f>IFERROR(__xludf.DUMMYFUNCTION("""COMPUTED_VALUE"""),45906.0)</f>
        <v>45906</v>
      </c>
      <c r="I3139" s="115" t="str">
        <f>IFERROR(__xludf.DUMMYFUNCTION("""COMPUTED_VALUE"""),"16")</f>
        <v>16</v>
      </c>
      <c r="J3139" s="115" t="str">
        <f>IFERROR(__xludf.DUMMYFUNCTION("""COMPUTED_VALUE"""),"Ashvani Bhatt2025-09-0616")</f>
        <v>Ashvani Bhatt2025-09-0616</v>
      </c>
      <c r="K3139" s="115">
        <f>IFERROR(__xludf.DUMMYFUNCTION("""COMPUTED_VALUE"""),38651.0)</f>
        <v>38651</v>
      </c>
    </row>
    <row r="3140">
      <c r="A3140" s="115" t="str">
        <f>IFERROR(__xludf.DUMMYFUNCTION("""COMPUTED_VALUE"""),"WEST")</f>
        <v>WEST</v>
      </c>
      <c r="B3140" s="115" t="str">
        <f>IFERROR(__xludf.DUMMYFUNCTION("""COMPUTED_VALUE"""),"Kandula Sampath")</f>
        <v>Kandula Sampath</v>
      </c>
      <c r="C3140" s="115" t="str">
        <f>IFERROR(__xludf.DUMMYFUNCTION("""COMPUTED_VALUE"""),"EXTERNAL")</f>
        <v>EXTERNAL</v>
      </c>
      <c r="D3140" s="115">
        <f>IFERROR(__xludf.DUMMYFUNCTION("""COMPUTED_VALUE"""),7.0)</f>
        <v>7</v>
      </c>
      <c r="E3140" s="115">
        <f>IFERROR(__xludf.DUMMYFUNCTION("""COMPUTED_VALUE"""),1.0)</f>
        <v>1</v>
      </c>
      <c r="F3140" s="115">
        <f>IFERROR(__xludf.DUMMYFUNCTION("""COMPUTED_VALUE"""),0.0)</f>
        <v>0</v>
      </c>
      <c r="G3140" s="115">
        <f>IFERROR(__xludf.DUMMYFUNCTION("""COMPUTED_VALUE"""),0.0)</f>
        <v>0</v>
      </c>
      <c r="H3140" s="116">
        <f>IFERROR(__xludf.DUMMYFUNCTION("""COMPUTED_VALUE"""),45906.0)</f>
        <v>45906</v>
      </c>
      <c r="I3140" s="115" t="str">
        <f>IFERROR(__xludf.DUMMYFUNCTION("""COMPUTED_VALUE"""),"16")</f>
        <v>16</v>
      </c>
      <c r="J3140" s="115" t="str">
        <f>IFERROR(__xludf.DUMMYFUNCTION("""COMPUTED_VALUE"""),"Kandula Sampath2025-09-0616")</f>
        <v>Kandula Sampath2025-09-0616</v>
      </c>
      <c r="K3140" s="115">
        <f>IFERROR(__xludf.DUMMYFUNCTION("""COMPUTED_VALUE"""),8.0)</f>
        <v>8</v>
      </c>
    </row>
    <row r="3141">
      <c r="A3141" s="115" t="str">
        <f>IFERROR(__xludf.DUMMYFUNCTION("""COMPUTED_VALUE"""),"WEST")</f>
        <v>WEST</v>
      </c>
      <c r="B3141" s="115" t="str">
        <f>IFERROR(__xludf.DUMMYFUNCTION("""COMPUTED_VALUE"""),"Kandula Sampath")</f>
        <v>Kandula Sampath</v>
      </c>
      <c r="C3141" s="115" t="str">
        <f>IFERROR(__xludf.DUMMYFUNCTION("""COMPUTED_VALUE"""),"FLIPKART")</f>
        <v>FLIPKART</v>
      </c>
      <c r="D3141" s="115">
        <f>IFERROR(__xludf.DUMMYFUNCTION("""COMPUTED_VALUE"""),57.0)</f>
        <v>57</v>
      </c>
      <c r="E3141" s="115">
        <f>IFERROR(__xludf.DUMMYFUNCTION("""COMPUTED_VALUE"""),7.0)</f>
        <v>7</v>
      </c>
      <c r="F3141" s="115">
        <f>IFERROR(__xludf.DUMMYFUNCTION("""COMPUTED_VALUE"""),43.0)</f>
        <v>43</v>
      </c>
      <c r="G3141" s="115">
        <f>IFERROR(__xludf.DUMMYFUNCTION("""COMPUTED_VALUE"""),2.0)</f>
        <v>2</v>
      </c>
      <c r="H3141" s="116">
        <f>IFERROR(__xludf.DUMMYFUNCTION("""COMPUTED_VALUE"""),45906.0)</f>
        <v>45906</v>
      </c>
      <c r="I3141" s="115" t="str">
        <f>IFERROR(__xludf.DUMMYFUNCTION("""COMPUTED_VALUE"""),"16")</f>
        <v>16</v>
      </c>
      <c r="J3141" s="115" t="str">
        <f>IFERROR(__xludf.DUMMYFUNCTION("""COMPUTED_VALUE"""),"Kandula Sampath2025-09-0616")</f>
        <v>Kandula Sampath2025-09-0616</v>
      </c>
      <c r="K3141" s="115">
        <f>IFERROR(__xludf.DUMMYFUNCTION("""COMPUTED_VALUE"""),64.0)</f>
        <v>64</v>
      </c>
    </row>
    <row r="3142">
      <c r="A3142" s="115" t="str">
        <f>IFERROR(__xludf.DUMMYFUNCTION("""COMPUTED_VALUE"""),"WEST")</f>
        <v>WEST</v>
      </c>
      <c r="B3142" s="115" t="str">
        <f>IFERROR(__xludf.DUMMYFUNCTION("""COMPUTED_VALUE"""),"Kandula Sampath")</f>
        <v>Kandula Sampath</v>
      </c>
      <c r="C3142" s="115" t="str">
        <f>IFERROR(__xludf.DUMMYFUNCTION("""COMPUTED_VALUE"""),"MYNTRA")</f>
        <v>MYNTRA</v>
      </c>
      <c r="D3142" s="115">
        <f>IFERROR(__xludf.DUMMYFUNCTION("""COMPUTED_VALUE"""),0.0)</f>
        <v>0</v>
      </c>
      <c r="E3142" s="115">
        <f>IFERROR(__xludf.DUMMYFUNCTION("""COMPUTED_VALUE"""),4.0)</f>
        <v>4</v>
      </c>
      <c r="F3142" s="115">
        <f>IFERROR(__xludf.DUMMYFUNCTION("""COMPUTED_VALUE"""),0.0)</f>
        <v>0</v>
      </c>
      <c r="G3142" s="115">
        <f>IFERROR(__xludf.DUMMYFUNCTION("""COMPUTED_VALUE"""),0.0)</f>
        <v>0</v>
      </c>
      <c r="H3142" s="116">
        <f>IFERROR(__xludf.DUMMYFUNCTION("""COMPUTED_VALUE"""),45906.0)</f>
        <v>45906</v>
      </c>
      <c r="I3142" s="115" t="str">
        <f>IFERROR(__xludf.DUMMYFUNCTION("""COMPUTED_VALUE"""),"16")</f>
        <v>16</v>
      </c>
      <c r="J3142" s="115" t="str">
        <f>IFERROR(__xludf.DUMMYFUNCTION("""COMPUTED_VALUE"""),"Kandula Sampath2025-09-0616")</f>
        <v>Kandula Sampath2025-09-0616</v>
      </c>
      <c r="K3142" s="115">
        <f>IFERROR(__xludf.DUMMYFUNCTION("""COMPUTED_VALUE"""),4.0)</f>
        <v>4</v>
      </c>
    </row>
    <row r="3143">
      <c r="A3143" s="115" t="str">
        <f>IFERROR(__xludf.DUMMYFUNCTION("""COMPUTED_VALUE"""),"WEST")</f>
        <v>WEST</v>
      </c>
      <c r="B3143" s="115" t="str">
        <f>IFERROR(__xludf.DUMMYFUNCTION("""COMPUTED_VALUE"""),"Loveleen Singh")</f>
        <v>Loveleen Singh</v>
      </c>
      <c r="C3143" s="115" t="str">
        <f>IFERROR(__xludf.DUMMYFUNCTION("""COMPUTED_VALUE"""),"EXTERNAL")</f>
        <v>EXTERNAL</v>
      </c>
      <c r="D3143" s="115">
        <f>IFERROR(__xludf.DUMMYFUNCTION("""COMPUTED_VALUE"""),1.0)</f>
        <v>1</v>
      </c>
      <c r="E3143" s="115">
        <f>IFERROR(__xludf.DUMMYFUNCTION("""COMPUTED_VALUE"""),0.0)</f>
        <v>0</v>
      </c>
      <c r="F3143" s="115">
        <f>IFERROR(__xludf.DUMMYFUNCTION("""COMPUTED_VALUE"""),0.0)</f>
        <v>0</v>
      </c>
      <c r="G3143" s="115">
        <f>IFERROR(__xludf.DUMMYFUNCTION("""COMPUTED_VALUE"""),0.0)</f>
        <v>0</v>
      </c>
      <c r="H3143" s="116">
        <f>IFERROR(__xludf.DUMMYFUNCTION("""COMPUTED_VALUE"""),45906.0)</f>
        <v>45906</v>
      </c>
      <c r="I3143" s="115" t="str">
        <f>IFERROR(__xludf.DUMMYFUNCTION("""COMPUTED_VALUE"""),"16")</f>
        <v>16</v>
      </c>
      <c r="J3143" s="115" t="str">
        <f>IFERROR(__xludf.DUMMYFUNCTION("""COMPUTED_VALUE"""),"Loveleen Singh2025-09-0616")</f>
        <v>Loveleen Singh2025-09-0616</v>
      </c>
      <c r="K3143" s="115">
        <f>IFERROR(__xludf.DUMMYFUNCTION("""COMPUTED_VALUE"""),1.0)</f>
        <v>1</v>
      </c>
    </row>
    <row r="3144">
      <c r="A3144" s="115" t="str">
        <f>IFERROR(__xludf.DUMMYFUNCTION("""COMPUTED_VALUE"""),"WEST")</f>
        <v>WEST</v>
      </c>
      <c r="B3144" s="115" t="str">
        <f>IFERROR(__xludf.DUMMYFUNCTION("""COMPUTED_VALUE"""),"Loveleen Singh")</f>
        <v>Loveleen Singh</v>
      </c>
      <c r="C3144" s="115" t="str">
        <f>IFERROR(__xludf.DUMMYFUNCTION("""COMPUTED_VALUE"""),"FLIPKART")</f>
        <v>FLIPKART</v>
      </c>
      <c r="D3144" s="115">
        <f>IFERROR(__xludf.DUMMYFUNCTION("""COMPUTED_VALUE"""),40.0)</f>
        <v>40</v>
      </c>
      <c r="E3144" s="115">
        <f>IFERROR(__xludf.DUMMYFUNCTION("""COMPUTED_VALUE"""),4.0)</f>
        <v>4</v>
      </c>
      <c r="F3144" s="115">
        <f>IFERROR(__xludf.DUMMYFUNCTION("""COMPUTED_VALUE"""),9.0)</f>
        <v>9</v>
      </c>
      <c r="G3144" s="115">
        <f>IFERROR(__xludf.DUMMYFUNCTION("""COMPUTED_VALUE"""),0.0)</f>
        <v>0</v>
      </c>
      <c r="H3144" s="116">
        <f>IFERROR(__xludf.DUMMYFUNCTION("""COMPUTED_VALUE"""),45906.0)</f>
        <v>45906</v>
      </c>
      <c r="I3144" s="115" t="str">
        <f>IFERROR(__xludf.DUMMYFUNCTION("""COMPUTED_VALUE"""),"16")</f>
        <v>16</v>
      </c>
      <c r="J3144" s="115" t="str">
        <f>IFERROR(__xludf.DUMMYFUNCTION("""COMPUTED_VALUE"""),"Loveleen Singh2025-09-0616")</f>
        <v>Loveleen Singh2025-09-0616</v>
      </c>
      <c r="K3144" s="115">
        <f>IFERROR(__xludf.DUMMYFUNCTION("""COMPUTED_VALUE"""),44.0)</f>
        <v>44</v>
      </c>
    </row>
    <row r="3145">
      <c r="A3145" s="115" t="str">
        <f>IFERROR(__xludf.DUMMYFUNCTION("""COMPUTED_VALUE"""),"WEST")</f>
        <v>WEST</v>
      </c>
      <c r="B3145" s="115" t="str">
        <f>IFERROR(__xludf.DUMMYFUNCTION("""COMPUTED_VALUE"""),"Loveleen Singh")</f>
        <v>Loveleen Singh</v>
      </c>
      <c r="C3145" s="115" t="str">
        <f>IFERROR(__xludf.DUMMYFUNCTION("""COMPUTED_VALUE"""),"MYNTRA")</f>
        <v>MYNTRA</v>
      </c>
      <c r="D3145" s="115">
        <f>IFERROR(__xludf.DUMMYFUNCTION("""COMPUTED_VALUE"""),0.0)</f>
        <v>0</v>
      </c>
      <c r="E3145" s="115">
        <f>IFERROR(__xludf.DUMMYFUNCTION("""COMPUTED_VALUE"""),1.0)</f>
        <v>1</v>
      </c>
      <c r="F3145" s="115">
        <f>IFERROR(__xludf.DUMMYFUNCTION("""COMPUTED_VALUE"""),0.0)</f>
        <v>0</v>
      </c>
      <c r="G3145" s="115">
        <f>IFERROR(__xludf.DUMMYFUNCTION("""COMPUTED_VALUE"""),0.0)</f>
        <v>0</v>
      </c>
      <c r="H3145" s="116">
        <f>IFERROR(__xludf.DUMMYFUNCTION("""COMPUTED_VALUE"""),45906.0)</f>
        <v>45906</v>
      </c>
      <c r="I3145" s="115" t="str">
        <f>IFERROR(__xludf.DUMMYFUNCTION("""COMPUTED_VALUE"""),"16")</f>
        <v>16</v>
      </c>
      <c r="J3145" s="115" t="str">
        <f>IFERROR(__xludf.DUMMYFUNCTION("""COMPUTED_VALUE"""),"Loveleen Singh2025-09-0616")</f>
        <v>Loveleen Singh2025-09-0616</v>
      </c>
      <c r="K3145" s="115">
        <f>IFERROR(__xludf.DUMMYFUNCTION("""COMPUTED_VALUE"""),1.0)</f>
        <v>1</v>
      </c>
    </row>
    <row r="3146">
      <c r="A3146" s="115" t="str">
        <f>IFERROR(__xludf.DUMMYFUNCTION("""COMPUTED_VALUE"""),"WEST")</f>
        <v>WEST</v>
      </c>
      <c r="B3146" s="115" t="str">
        <f>IFERROR(__xludf.DUMMYFUNCTION("""COMPUTED_VALUE"""),"Pradeep Kothari")</f>
        <v>Pradeep Kothari</v>
      </c>
      <c r="C3146" s="115" t="str">
        <f>IFERROR(__xludf.DUMMYFUNCTION("""COMPUTED_VALUE"""),"EXTERNAL")</f>
        <v>EXTERNAL</v>
      </c>
      <c r="D3146" s="115">
        <f>IFERROR(__xludf.DUMMYFUNCTION("""COMPUTED_VALUE"""),4.0)</f>
        <v>4</v>
      </c>
      <c r="E3146" s="115">
        <f>IFERROR(__xludf.DUMMYFUNCTION("""COMPUTED_VALUE"""),0.0)</f>
        <v>0</v>
      </c>
      <c r="F3146" s="115">
        <f>IFERROR(__xludf.DUMMYFUNCTION("""COMPUTED_VALUE"""),1.0)</f>
        <v>1</v>
      </c>
      <c r="G3146" s="115">
        <f>IFERROR(__xludf.DUMMYFUNCTION("""COMPUTED_VALUE"""),0.0)</f>
        <v>0</v>
      </c>
      <c r="H3146" s="116">
        <f>IFERROR(__xludf.DUMMYFUNCTION("""COMPUTED_VALUE"""),45906.0)</f>
        <v>45906</v>
      </c>
      <c r="I3146" s="115" t="str">
        <f>IFERROR(__xludf.DUMMYFUNCTION("""COMPUTED_VALUE"""),"16")</f>
        <v>16</v>
      </c>
      <c r="J3146" s="115" t="str">
        <f>IFERROR(__xludf.DUMMYFUNCTION("""COMPUTED_VALUE"""),"Pradeep Kothari2025-09-0616")</f>
        <v>Pradeep Kothari2025-09-0616</v>
      </c>
      <c r="K3146" s="115">
        <f>IFERROR(__xludf.DUMMYFUNCTION("""COMPUTED_VALUE"""),4.0)</f>
        <v>4</v>
      </c>
    </row>
    <row r="3147">
      <c r="A3147" s="115" t="str">
        <f>IFERROR(__xludf.DUMMYFUNCTION("""COMPUTED_VALUE"""),"WEST")</f>
        <v>WEST</v>
      </c>
      <c r="B3147" s="115" t="str">
        <f>IFERROR(__xludf.DUMMYFUNCTION("""COMPUTED_VALUE"""),"Pradeep Kothari")</f>
        <v>Pradeep Kothari</v>
      </c>
      <c r="C3147" s="115" t="str">
        <f>IFERROR(__xludf.DUMMYFUNCTION("""COMPUTED_VALUE"""),"FLIPKART")</f>
        <v>FLIPKART</v>
      </c>
      <c r="D3147" s="115">
        <f>IFERROR(__xludf.DUMMYFUNCTION("""COMPUTED_VALUE"""),45.0)</f>
        <v>45</v>
      </c>
      <c r="E3147" s="115">
        <f>IFERROR(__xludf.DUMMYFUNCTION("""COMPUTED_VALUE"""),4.0)</f>
        <v>4</v>
      </c>
      <c r="F3147" s="115">
        <f>IFERROR(__xludf.DUMMYFUNCTION("""COMPUTED_VALUE"""),32.0)</f>
        <v>32</v>
      </c>
      <c r="G3147" s="115">
        <f>IFERROR(__xludf.DUMMYFUNCTION("""COMPUTED_VALUE"""),1.0)</f>
        <v>1</v>
      </c>
      <c r="H3147" s="116">
        <f>IFERROR(__xludf.DUMMYFUNCTION("""COMPUTED_VALUE"""),45906.0)</f>
        <v>45906</v>
      </c>
      <c r="I3147" s="115" t="str">
        <f>IFERROR(__xludf.DUMMYFUNCTION("""COMPUTED_VALUE"""),"16")</f>
        <v>16</v>
      </c>
      <c r="J3147" s="115" t="str">
        <f>IFERROR(__xludf.DUMMYFUNCTION("""COMPUTED_VALUE"""),"Pradeep Kothari2025-09-0616")</f>
        <v>Pradeep Kothari2025-09-0616</v>
      </c>
      <c r="K3147" s="115">
        <f>IFERROR(__xludf.DUMMYFUNCTION("""COMPUTED_VALUE"""),49.0)</f>
        <v>49</v>
      </c>
    </row>
    <row r="3148">
      <c r="A3148" s="115"/>
      <c r="B3148" s="115"/>
      <c r="C3148" s="115" t="str">
        <f>IFERROR(__xludf.DUMMYFUNCTION("""COMPUTED_VALUE"""),"EXTERNAL")</f>
        <v>EXTERNAL</v>
      </c>
      <c r="D3148" s="115">
        <f>IFERROR(__xludf.DUMMYFUNCTION("""COMPUTED_VALUE"""),1008.0)</f>
        <v>1008</v>
      </c>
      <c r="E3148" s="115">
        <f>IFERROR(__xludf.DUMMYFUNCTION("""COMPUTED_VALUE"""),110.0)</f>
        <v>110</v>
      </c>
      <c r="F3148" s="115">
        <f>IFERROR(__xludf.DUMMYFUNCTION("""COMPUTED_VALUE"""),246.0)</f>
        <v>246</v>
      </c>
      <c r="G3148" s="115">
        <f>IFERROR(__xludf.DUMMYFUNCTION("""COMPUTED_VALUE"""),68.0)</f>
        <v>68</v>
      </c>
      <c r="H3148" s="116">
        <f>IFERROR(__xludf.DUMMYFUNCTION("""COMPUTED_VALUE"""),45906.0)</f>
        <v>45906</v>
      </c>
      <c r="I3148" s="115" t="str">
        <f>IFERROR(__xludf.DUMMYFUNCTION("""COMPUTED_VALUE"""),"16")</f>
        <v>16</v>
      </c>
      <c r="J3148" s="115" t="str">
        <f>IFERROR(__xludf.DUMMYFUNCTION("""COMPUTED_VALUE"""),"2025-09-0616")</f>
        <v>2025-09-0616</v>
      </c>
      <c r="K3148" s="115">
        <f>IFERROR(__xludf.DUMMYFUNCTION("""COMPUTED_VALUE"""),1118.0)</f>
        <v>1118</v>
      </c>
    </row>
    <row r="3149">
      <c r="A3149" s="115"/>
      <c r="B3149" s="115"/>
      <c r="C3149" s="115" t="str">
        <f>IFERROR(__xludf.DUMMYFUNCTION("""COMPUTED_VALUE"""),"FLIPKART")</f>
        <v>FLIPKART</v>
      </c>
      <c r="D3149" s="115">
        <f>IFERROR(__xludf.DUMMYFUNCTION("""COMPUTED_VALUE"""),6353.0)</f>
        <v>6353</v>
      </c>
      <c r="E3149" s="115">
        <f>IFERROR(__xludf.DUMMYFUNCTION("""COMPUTED_VALUE"""),641.0)</f>
        <v>641</v>
      </c>
      <c r="F3149" s="115">
        <f>IFERROR(__xludf.DUMMYFUNCTION("""COMPUTED_VALUE"""),2861.0)</f>
        <v>2861</v>
      </c>
      <c r="G3149" s="115">
        <f>IFERROR(__xludf.DUMMYFUNCTION("""COMPUTED_VALUE"""),242.0)</f>
        <v>242</v>
      </c>
      <c r="H3149" s="116">
        <f>IFERROR(__xludf.DUMMYFUNCTION("""COMPUTED_VALUE"""),45906.0)</f>
        <v>45906</v>
      </c>
      <c r="I3149" s="115" t="str">
        <f>IFERROR(__xludf.DUMMYFUNCTION("""COMPUTED_VALUE"""),"16")</f>
        <v>16</v>
      </c>
      <c r="J3149" s="115" t="str">
        <f>IFERROR(__xludf.DUMMYFUNCTION("""COMPUTED_VALUE"""),"2025-09-0616")</f>
        <v>2025-09-0616</v>
      </c>
      <c r="K3149" s="115">
        <f>IFERROR(__xludf.DUMMYFUNCTION("""COMPUTED_VALUE"""),6994.0)</f>
        <v>6994</v>
      </c>
    </row>
    <row r="3150">
      <c r="A3150" s="115"/>
      <c r="B3150" s="115"/>
      <c r="C3150" s="115" t="str">
        <f>IFERROR(__xludf.DUMMYFUNCTION("""COMPUTED_VALUE"""),"MYNTRA")</f>
        <v>MYNTRA</v>
      </c>
      <c r="D3150" s="115">
        <f>IFERROR(__xludf.DUMMYFUNCTION("""COMPUTED_VALUE"""),1296.0)</f>
        <v>1296</v>
      </c>
      <c r="E3150" s="115">
        <f>IFERROR(__xludf.DUMMYFUNCTION("""COMPUTED_VALUE"""),355.0)</f>
        <v>355</v>
      </c>
      <c r="F3150" s="115">
        <f>IFERROR(__xludf.DUMMYFUNCTION("""COMPUTED_VALUE"""),733.0)</f>
        <v>733</v>
      </c>
      <c r="G3150" s="115">
        <f>IFERROR(__xludf.DUMMYFUNCTION("""COMPUTED_VALUE"""),133.0)</f>
        <v>133</v>
      </c>
      <c r="H3150" s="116">
        <f>IFERROR(__xludf.DUMMYFUNCTION("""COMPUTED_VALUE"""),45906.0)</f>
        <v>45906</v>
      </c>
      <c r="I3150" s="115" t="str">
        <f>IFERROR(__xludf.DUMMYFUNCTION("""COMPUTED_VALUE"""),"16")</f>
        <v>16</v>
      </c>
      <c r="J3150" s="115" t="str">
        <f>IFERROR(__xludf.DUMMYFUNCTION("""COMPUTED_VALUE"""),"2025-09-0616")</f>
        <v>2025-09-0616</v>
      </c>
      <c r="K3150" s="115">
        <f>IFERROR(__xludf.DUMMYFUNCTION("""COMPUTED_VALUE"""),1651.0)</f>
        <v>1651</v>
      </c>
    </row>
    <row r="3151">
      <c r="A3151" s="115" t="str">
        <f>IFERROR(__xludf.DUMMYFUNCTION("""COMPUTED_VALUE"""),"EAST")</f>
        <v>EAST</v>
      </c>
      <c r="B3151" s="115" t="str">
        <f>IFERROR(__xludf.DUMMYFUNCTION("""COMPUTED_VALUE"""),"Ashish Ranjan")</f>
        <v>Ashish Ranjan</v>
      </c>
      <c r="C3151" s="115" t="str">
        <f>IFERROR(__xludf.DUMMYFUNCTION("""COMPUTED_VALUE"""),"EXTERNAL")</f>
        <v>EXTERNAL</v>
      </c>
      <c r="D3151" s="115">
        <f>IFERROR(__xludf.DUMMYFUNCTION("""COMPUTED_VALUE"""),43608.0)</f>
        <v>43608</v>
      </c>
      <c r="E3151" s="115">
        <f>IFERROR(__xludf.DUMMYFUNCTION("""COMPUTED_VALUE"""),2899.0)</f>
        <v>2899</v>
      </c>
      <c r="F3151" s="115">
        <f>IFERROR(__xludf.DUMMYFUNCTION("""COMPUTED_VALUE"""),21335.0)</f>
        <v>21335</v>
      </c>
      <c r="G3151" s="115">
        <f>IFERROR(__xludf.DUMMYFUNCTION("""COMPUTED_VALUE"""),1028.0)</f>
        <v>1028</v>
      </c>
      <c r="H3151" s="116">
        <f>IFERROR(__xludf.DUMMYFUNCTION("""COMPUTED_VALUE"""),45906.0)</f>
        <v>45906</v>
      </c>
      <c r="I3151" s="115" t="str">
        <f>IFERROR(__xludf.DUMMYFUNCTION("""COMPUTED_VALUE"""),"17")</f>
        <v>17</v>
      </c>
      <c r="J3151" s="115" t="str">
        <f>IFERROR(__xludf.DUMMYFUNCTION("""COMPUTED_VALUE"""),"Ashish Ranjan2025-09-0617")</f>
        <v>Ashish Ranjan2025-09-0617</v>
      </c>
      <c r="K3151" s="115">
        <f>IFERROR(__xludf.DUMMYFUNCTION("""COMPUTED_VALUE"""),46507.0)</f>
        <v>46507</v>
      </c>
    </row>
    <row r="3152">
      <c r="A3152" s="115" t="str">
        <f>IFERROR(__xludf.DUMMYFUNCTION("""COMPUTED_VALUE"""),"EAST")</f>
        <v>EAST</v>
      </c>
      <c r="B3152" s="115" t="str">
        <f>IFERROR(__xludf.DUMMYFUNCTION("""COMPUTED_VALUE"""),"Ashish Ranjan")</f>
        <v>Ashish Ranjan</v>
      </c>
      <c r="C3152" s="115" t="str">
        <f>IFERROR(__xludf.DUMMYFUNCTION("""COMPUTED_VALUE"""),"FLIPKART")</f>
        <v>FLIPKART</v>
      </c>
      <c r="D3152" s="115">
        <f>IFERROR(__xludf.DUMMYFUNCTION("""COMPUTED_VALUE"""),670179.0)</f>
        <v>670179</v>
      </c>
      <c r="E3152" s="115">
        <f>IFERROR(__xludf.DUMMYFUNCTION("""COMPUTED_VALUE"""),58673.0)</f>
        <v>58673</v>
      </c>
      <c r="F3152" s="115">
        <f>IFERROR(__xludf.DUMMYFUNCTION("""COMPUTED_VALUE"""),517500.0)</f>
        <v>517500</v>
      </c>
      <c r="G3152" s="115">
        <f>IFERROR(__xludf.DUMMYFUNCTION("""COMPUTED_VALUE"""),30359.0)</f>
        <v>30359</v>
      </c>
      <c r="H3152" s="116">
        <f>IFERROR(__xludf.DUMMYFUNCTION("""COMPUTED_VALUE"""),45906.0)</f>
        <v>45906</v>
      </c>
      <c r="I3152" s="115" t="str">
        <f>IFERROR(__xludf.DUMMYFUNCTION("""COMPUTED_VALUE"""),"17")</f>
        <v>17</v>
      </c>
      <c r="J3152" s="115" t="str">
        <f>IFERROR(__xludf.DUMMYFUNCTION("""COMPUTED_VALUE"""),"Ashish Ranjan2025-09-0617")</f>
        <v>Ashish Ranjan2025-09-0617</v>
      </c>
      <c r="K3152" s="115">
        <f>IFERROR(__xludf.DUMMYFUNCTION("""COMPUTED_VALUE"""),728852.0)</f>
        <v>728852</v>
      </c>
    </row>
    <row r="3153">
      <c r="A3153" s="115" t="str">
        <f>IFERROR(__xludf.DUMMYFUNCTION("""COMPUTED_VALUE"""),"EAST")</f>
        <v>EAST</v>
      </c>
      <c r="B3153" s="115" t="str">
        <f>IFERROR(__xludf.DUMMYFUNCTION("""COMPUTED_VALUE"""),"Ashish Ranjan")</f>
        <v>Ashish Ranjan</v>
      </c>
      <c r="C3153" s="115" t="str">
        <f>IFERROR(__xludf.DUMMYFUNCTION("""COMPUTED_VALUE"""),"MYNTRA")</f>
        <v>MYNTRA</v>
      </c>
      <c r="D3153" s="115">
        <f>IFERROR(__xludf.DUMMYFUNCTION("""COMPUTED_VALUE"""),69649.0)</f>
        <v>69649</v>
      </c>
      <c r="E3153" s="115">
        <f>IFERROR(__xludf.DUMMYFUNCTION("""COMPUTED_VALUE"""),13996.0)</f>
        <v>13996</v>
      </c>
      <c r="F3153" s="115">
        <f>IFERROR(__xludf.DUMMYFUNCTION("""COMPUTED_VALUE"""),54223.0)</f>
        <v>54223</v>
      </c>
      <c r="G3153" s="115">
        <f>IFERROR(__xludf.DUMMYFUNCTION("""COMPUTED_VALUE"""),7234.0)</f>
        <v>7234</v>
      </c>
      <c r="H3153" s="116">
        <f>IFERROR(__xludf.DUMMYFUNCTION("""COMPUTED_VALUE"""),45906.0)</f>
        <v>45906</v>
      </c>
      <c r="I3153" s="115" t="str">
        <f>IFERROR(__xludf.DUMMYFUNCTION("""COMPUTED_VALUE"""),"17")</f>
        <v>17</v>
      </c>
      <c r="J3153" s="115" t="str">
        <f>IFERROR(__xludf.DUMMYFUNCTION("""COMPUTED_VALUE"""),"Ashish Ranjan2025-09-0617")</f>
        <v>Ashish Ranjan2025-09-0617</v>
      </c>
      <c r="K3153" s="115">
        <f>IFERROR(__xludf.DUMMYFUNCTION("""COMPUTED_VALUE"""),83645.0)</f>
        <v>83645</v>
      </c>
    </row>
    <row r="3154">
      <c r="A3154" s="115" t="str">
        <f>IFERROR(__xludf.DUMMYFUNCTION("""COMPUTED_VALUE"""),"EAST")</f>
        <v>EAST</v>
      </c>
      <c r="B3154" s="115" t="str">
        <f>IFERROR(__xludf.DUMMYFUNCTION("""COMPUTED_VALUE"""),"Girish Chand")</f>
        <v>Girish Chand</v>
      </c>
      <c r="C3154" s="115" t="str">
        <f>IFERROR(__xludf.DUMMYFUNCTION("""COMPUTED_VALUE"""),"EXTERNAL")</f>
        <v>EXTERNAL</v>
      </c>
      <c r="D3154" s="115">
        <f>IFERROR(__xludf.DUMMYFUNCTION("""COMPUTED_VALUE"""),25210.0)</f>
        <v>25210</v>
      </c>
      <c r="E3154" s="115">
        <f>IFERROR(__xludf.DUMMYFUNCTION("""COMPUTED_VALUE"""),2213.0)</f>
        <v>2213</v>
      </c>
      <c r="F3154" s="115">
        <f>IFERROR(__xludf.DUMMYFUNCTION("""COMPUTED_VALUE"""),9976.0)</f>
        <v>9976</v>
      </c>
      <c r="G3154" s="115">
        <f>IFERROR(__xludf.DUMMYFUNCTION("""COMPUTED_VALUE"""),390.0)</f>
        <v>390</v>
      </c>
      <c r="H3154" s="116">
        <f>IFERROR(__xludf.DUMMYFUNCTION("""COMPUTED_VALUE"""),45906.0)</f>
        <v>45906</v>
      </c>
      <c r="I3154" s="115" t="str">
        <f>IFERROR(__xludf.DUMMYFUNCTION("""COMPUTED_VALUE"""),"17")</f>
        <v>17</v>
      </c>
      <c r="J3154" s="115" t="str">
        <f>IFERROR(__xludf.DUMMYFUNCTION("""COMPUTED_VALUE"""),"Girish Chand2025-09-0617")</f>
        <v>Girish Chand2025-09-0617</v>
      </c>
      <c r="K3154" s="115">
        <f>IFERROR(__xludf.DUMMYFUNCTION("""COMPUTED_VALUE"""),27423.0)</f>
        <v>27423</v>
      </c>
    </row>
    <row r="3155">
      <c r="A3155" s="115" t="str">
        <f>IFERROR(__xludf.DUMMYFUNCTION("""COMPUTED_VALUE"""),"EAST")</f>
        <v>EAST</v>
      </c>
      <c r="B3155" s="115" t="str">
        <f>IFERROR(__xludf.DUMMYFUNCTION("""COMPUTED_VALUE"""),"Girish Chand")</f>
        <v>Girish Chand</v>
      </c>
      <c r="C3155" s="115" t="str">
        <f>IFERROR(__xludf.DUMMYFUNCTION("""COMPUTED_VALUE"""),"FLIPKART")</f>
        <v>FLIPKART</v>
      </c>
      <c r="D3155" s="115">
        <f>IFERROR(__xludf.DUMMYFUNCTION("""COMPUTED_VALUE"""),446199.0)</f>
        <v>446199</v>
      </c>
      <c r="E3155" s="115">
        <f>IFERROR(__xludf.DUMMYFUNCTION("""COMPUTED_VALUE"""),39870.0)</f>
        <v>39870</v>
      </c>
      <c r="F3155" s="115">
        <f>IFERROR(__xludf.DUMMYFUNCTION("""COMPUTED_VALUE"""),301057.0)</f>
        <v>301057</v>
      </c>
      <c r="G3155" s="115">
        <f>IFERROR(__xludf.DUMMYFUNCTION("""COMPUTED_VALUE"""),15945.0)</f>
        <v>15945</v>
      </c>
      <c r="H3155" s="116">
        <f>IFERROR(__xludf.DUMMYFUNCTION("""COMPUTED_VALUE"""),45906.0)</f>
        <v>45906</v>
      </c>
      <c r="I3155" s="115" t="str">
        <f>IFERROR(__xludf.DUMMYFUNCTION("""COMPUTED_VALUE"""),"17")</f>
        <v>17</v>
      </c>
      <c r="J3155" s="115" t="str">
        <f>IFERROR(__xludf.DUMMYFUNCTION("""COMPUTED_VALUE"""),"Girish Chand2025-09-0617")</f>
        <v>Girish Chand2025-09-0617</v>
      </c>
      <c r="K3155" s="115">
        <f>IFERROR(__xludf.DUMMYFUNCTION("""COMPUTED_VALUE"""),486069.0)</f>
        <v>486069</v>
      </c>
    </row>
    <row r="3156">
      <c r="A3156" s="115" t="str">
        <f>IFERROR(__xludf.DUMMYFUNCTION("""COMPUTED_VALUE"""),"EAST")</f>
        <v>EAST</v>
      </c>
      <c r="B3156" s="115" t="str">
        <f>IFERROR(__xludf.DUMMYFUNCTION("""COMPUTED_VALUE"""),"Girish Chand")</f>
        <v>Girish Chand</v>
      </c>
      <c r="C3156" s="115" t="str">
        <f>IFERROR(__xludf.DUMMYFUNCTION("""COMPUTED_VALUE"""),"MYNTRA")</f>
        <v>MYNTRA</v>
      </c>
      <c r="D3156" s="115">
        <f>IFERROR(__xludf.DUMMYFUNCTION("""COMPUTED_VALUE"""),38598.0)</f>
        <v>38598</v>
      </c>
      <c r="E3156" s="115">
        <f>IFERROR(__xludf.DUMMYFUNCTION("""COMPUTED_VALUE"""),7287.0)</f>
        <v>7287</v>
      </c>
      <c r="F3156" s="115">
        <f>IFERROR(__xludf.DUMMYFUNCTION("""COMPUTED_VALUE"""),27739.0)</f>
        <v>27739</v>
      </c>
      <c r="G3156" s="115">
        <f>IFERROR(__xludf.DUMMYFUNCTION("""COMPUTED_VALUE"""),3111.0)</f>
        <v>3111</v>
      </c>
      <c r="H3156" s="116">
        <f>IFERROR(__xludf.DUMMYFUNCTION("""COMPUTED_VALUE"""),45906.0)</f>
        <v>45906</v>
      </c>
      <c r="I3156" s="115" t="str">
        <f>IFERROR(__xludf.DUMMYFUNCTION("""COMPUTED_VALUE"""),"17")</f>
        <v>17</v>
      </c>
      <c r="J3156" s="115" t="str">
        <f>IFERROR(__xludf.DUMMYFUNCTION("""COMPUTED_VALUE"""),"Girish Chand2025-09-0617")</f>
        <v>Girish Chand2025-09-0617</v>
      </c>
      <c r="K3156" s="115">
        <f>IFERROR(__xludf.DUMMYFUNCTION("""COMPUTED_VALUE"""),45885.0)</f>
        <v>45885</v>
      </c>
    </row>
    <row r="3157">
      <c r="A3157" s="115" t="str">
        <f>IFERROR(__xludf.DUMMYFUNCTION("""COMPUTED_VALUE"""),"EAST")</f>
        <v>EAST</v>
      </c>
      <c r="B3157" s="115" t="str">
        <f>IFERROR(__xludf.DUMMYFUNCTION("""COMPUTED_VALUE"""),"Parag Kashyap")</f>
        <v>Parag Kashyap</v>
      </c>
      <c r="C3157" s="115" t="str">
        <f>IFERROR(__xludf.DUMMYFUNCTION("""COMPUTED_VALUE"""),"EXTERNAL")</f>
        <v>EXTERNAL</v>
      </c>
      <c r="D3157" s="115">
        <f>IFERROR(__xludf.DUMMYFUNCTION("""COMPUTED_VALUE"""),17942.0)</f>
        <v>17942</v>
      </c>
      <c r="E3157" s="115">
        <f>IFERROR(__xludf.DUMMYFUNCTION("""COMPUTED_VALUE"""),1039.0)</f>
        <v>1039</v>
      </c>
      <c r="F3157" s="115">
        <f>IFERROR(__xludf.DUMMYFUNCTION("""COMPUTED_VALUE"""),6776.0)</f>
        <v>6776</v>
      </c>
      <c r="G3157" s="115">
        <f>IFERROR(__xludf.DUMMYFUNCTION("""COMPUTED_VALUE"""),213.0)</f>
        <v>213</v>
      </c>
      <c r="H3157" s="116">
        <f>IFERROR(__xludf.DUMMYFUNCTION("""COMPUTED_VALUE"""),45906.0)</f>
        <v>45906</v>
      </c>
      <c r="I3157" s="115" t="str">
        <f>IFERROR(__xludf.DUMMYFUNCTION("""COMPUTED_VALUE"""),"17")</f>
        <v>17</v>
      </c>
      <c r="J3157" s="115" t="str">
        <f>IFERROR(__xludf.DUMMYFUNCTION("""COMPUTED_VALUE"""),"Parag Kashyap2025-09-0617")</f>
        <v>Parag Kashyap2025-09-0617</v>
      </c>
      <c r="K3157" s="115">
        <f>IFERROR(__xludf.DUMMYFUNCTION("""COMPUTED_VALUE"""),18981.0)</f>
        <v>18981</v>
      </c>
    </row>
    <row r="3158">
      <c r="A3158" s="115" t="str">
        <f>IFERROR(__xludf.DUMMYFUNCTION("""COMPUTED_VALUE"""),"EAST")</f>
        <v>EAST</v>
      </c>
      <c r="B3158" s="115" t="str">
        <f>IFERROR(__xludf.DUMMYFUNCTION("""COMPUTED_VALUE"""),"Parag Kashyap")</f>
        <v>Parag Kashyap</v>
      </c>
      <c r="C3158" s="115" t="str">
        <f>IFERROR(__xludf.DUMMYFUNCTION("""COMPUTED_VALUE"""),"FLIPKART")</f>
        <v>FLIPKART</v>
      </c>
      <c r="D3158" s="115">
        <f>IFERROR(__xludf.DUMMYFUNCTION("""COMPUTED_VALUE"""),283523.0)</f>
        <v>283523</v>
      </c>
      <c r="E3158" s="115">
        <f>IFERROR(__xludf.DUMMYFUNCTION("""COMPUTED_VALUE"""),19235.0)</f>
        <v>19235</v>
      </c>
      <c r="F3158" s="115">
        <f>IFERROR(__xludf.DUMMYFUNCTION("""COMPUTED_VALUE"""),189617.0)</f>
        <v>189617</v>
      </c>
      <c r="G3158" s="115">
        <f>IFERROR(__xludf.DUMMYFUNCTION("""COMPUTED_VALUE"""),6696.0)</f>
        <v>6696</v>
      </c>
      <c r="H3158" s="116">
        <f>IFERROR(__xludf.DUMMYFUNCTION("""COMPUTED_VALUE"""),45906.0)</f>
        <v>45906</v>
      </c>
      <c r="I3158" s="115" t="str">
        <f>IFERROR(__xludf.DUMMYFUNCTION("""COMPUTED_VALUE"""),"17")</f>
        <v>17</v>
      </c>
      <c r="J3158" s="115" t="str">
        <f>IFERROR(__xludf.DUMMYFUNCTION("""COMPUTED_VALUE"""),"Parag Kashyap2025-09-0617")</f>
        <v>Parag Kashyap2025-09-0617</v>
      </c>
      <c r="K3158" s="115">
        <f>IFERROR(__xludf.DUMMYFUNCTION("""COMPUTED_VALUE"""),302758.0)</f>
        <v>302758</v>
      </c>
    </row>
    <row r="3159">
      <c r="A3159" s="115" t="str">
        <f>IFERROR(__xludf.DUMMYFUNCTION("""COMPUTED_VALUE"""),"EAST")</f>
        <v>EAST</v>
      </c>
      <c r="B3159" s="115" t="str">
        <f>IFERROR(__xludf.DUMMYFUNCTION("""COMPUTED_VALUE"""),"Parag Kashyap")</f>
        <v>Parag Kashyap</v>
      </c>
      <c r="C3159" s="115" t="str">
        <f>IFERROR(__xludf.DUMMYFUNCTION("""COMPUTED_VALUE"""),"MYNTRA")</f>
        <v>MYNTRA</v>
      </c>
      <c r="D3159" s="115">
        <f>IFERROR(__xludf.DUMMYFUNCTION("""COMPUTED_VALUE"""),35506.0)</f>
        <v>35506</v>
      </c>
      <c r="E3159" s="115">
        <f>IFERROR(__xludf.DUMMYFUNCTION("""COMPUTED_VALUE"""),5180.0)</f>
        <v>5180</v>
      </c>
      <c r="F3159" s="115">
        <f>IFERROR(__xludf.DUMMYFUNCTION("""COMPUTED_VALUE"""),24805.0)</f>
        <v>24805</v>
      </c>
      <c r="G3159" s="115">
        <f>IFERROR(__xludf.DUMMYFUNCTION("""COMPUTED_VALUE"""),1842.0)</f>
        <v>1842</v>
      </c>
      <c r="H3159" s="116">
        <f>IFERROR(__xludf.DUMMYFUNCTION("""COMPUTED_VALUE"""),45906.0)</f>
        <v>45906</v>
      </c>
      <c r="I3159" s="115" t="str">
        <f>IFERROR(__xludf.DUMMYFUNCTION("""COMPUTED_VALUE"""),"17")</f>
        <v>17</v>
      </c>
      <c r="J3159" s="115" t="str">
        <f>IFERROR(__xludf.DUMMYFUNCTION("""COMPUTED_VALUE"""),"Parag Kashyap2025-09-0617")</f>
        <v>Parag Kashyap2025-09-0617</v>
      </c>
      <c r="K3159" s="115">
        <f>IFERROR(__xludf.DUMMYFUNCTION("""COMPUTED_VALUE"""),40686.0)</f>
        <v>40686</v>
      </c>
    </row>
    <row r="3160">
      <c r="A3160" s="115" t="str">
        <f>IFERROR(__xludf.DUMMYFUNCTION("""COMPUTED_VALUE"""),"NORTH")</f>
        <v>NORTH</v>
      </c>
      <c r="B3160" s="115" t="str">
        <f>IFERROR(__xludf.DUMMYFUNCTION("""COMPUTED_VALUE"""),"Amit Kumar Pathak")</f>
        <v>Amit Kumar Pathak</v>
      </c>
      <c r="C3160" s="115" t="str">
        <f>IFERROR(__xludf.DUMMYFUNCTION("""COMPUTED_VALUE"""),"EXTERNAL")</f>
        <v>EXTERNAL</v>
      </c>
      <c r="D3160" s="115">
        <f>IFERROR(__xludf.DUMMYFUNCTION("""COMPUTED_VALUE"""),28860.0)</f>
        <v>28860</v>
      </c>
      <c r="E3160" s="115">
        <f>IFERROR(__xludf.DUMMYFUNCTION("""COMPUTED_VALUE"""),3410.0)</f>
        <v>3410</v>
      </c>
      <c r="F3160" s="115">
        <f>IFERROR(__xludf.DUMMYFUNCTION("""COMPUTED_VALUE"""),9005.0)</f>
        <v>9005</v>
      </c>
      <c r="G3160" s="115">
        <f>IFERROR(__xludf.DUMMYFUNCTION("""COMPUTED_VALUE"""),1105.0)</f>
        <v>1105</v>
      </c>
      <c r="H3160" s="116">
        <f>IFERROR(__xludf.DUMMYFUNCTION("""COMPUTED_VALUE"""),45906.0)</f>
        <v>45906</v>
      </c>
      <c r="I3160" s="115" t="str">
        <f>IFERROR(__xludf.DUMMYFUNCTION("""COMPUTED_VALUE"""),"17")</f>
        <v>17</v>
      </c>
      <c r="J3160" s="115" t="str">
        <f>IFERROR(__xludf.DUMMYFUNCTION("""COMPUTED_VALUE"""),"Amit Kumar Pathak2025-09-0617")</f>
        <v>Amit Kumar Pathak2025-09-0617</v>
      </c>
      <c r="K3160" s="115">
        <f>IFERROR(__xludf.DUMMYFUNCTION("""COMPUTED_VALUE"""),32270.0)</f>
        <v>32270</v>
      </c>
    </row>
    <row r="3161">
      <c r="A3161" s="115" t="str">
        <f>IFERROR(__xludf.DUMMYFUNCTION("""COMPUTED_VALUE"""),"NORTH")</f>
        <v>NORTH</v>
      </c>
      <c r="B3161" s="115" t="str">
        <f>IFERROR(__xludf.DUMMYFUNCTION("""COMPUTED_VALUE"""),"Amit Kumar Pathak")</f>
        <v>Amit Kumar Pathak</v>
      </c>
      <c r="C3161" s="115" t="str">
        <f>IFERROR(__xludf.DUMMYFUNCTION("""COMPUTED_VALUE"""),"FLIPKART")</f>
        <v>FLIPKART</v>
      </c>
      <c r="D3161" s="115">
        <f>IFERROR(__xludf.DUMMYFUNCTION("""COMPUTED_VALUE"""),178260.0)</f>
        <v>178260</v>
      </c>
      <c r="E3161" s="115">
        <f>IFERROR(__xludf.DUMMYFUNCTION("""COMPUTED_VALUE"""),23998.0)</f>
        <v>23998</v>
      </c>
      <c r="F3161" s="115">
        <f>IFERROR(__xludf.DUMMYFUNCTION("""COMPUTED_VALUE"""),104385.0)</f>
        <v>104385</v>
      </c>
      <c r="G3161" s="115">
        <f>IFERROR(__xludf.DUMMYFUNCTION("""COMPUTED_VALUE"""),10713.0)</f>
        <v>10713</v>
      </c>
      <c r="H3161" s="116">
        <f>IFERROR(__xludf.DUMMYFUNCTION("""COMPUTED_VALUE"""),45906.0)</f>
        <v>45906</v>
      </c>
      <c r="I3161" s="115" t="str">
        <f>IFERROR(__xludf.DUMMYFUNCTION("""COMPUTED_VALUE"""),"17")</f>
        <v>17</v>
      </c>
      <c r="J3161" s="115" t="str">
        <f>IFERROR(__xludf.DUMMYFUNCTION("""COMPUTED_VALUE"""),"Amit Kumar Pathak2025-09-0617")</f>
        <v>Amit Kumar Pathak2025-09-0617</v>
      </c>
      <c r="K3161" s="115">
        <f>IFERROR(__xludf.DUMMYFUNCTION("""COMPUTED_VALUE"""),202258.0)</f>
        <v>202258</v>
      </c>
    </row>
    <row r="3162">
      <c r="A3162" s="115" t="str">
        <f>IFERROR(__xludf.DUMMYFUNCTION("""COMPUTED_VALUE"""),"NORTH")</f>
        <v>NORTH</v>
      </c>
      <c r="B3162" s="115" t="str">
        <f>IFERROR(__xludf.DUMMYFUNCTION("""COMPUTED_VALUE"""),"Amit Kumar Pathak")</f>
        <v>Amit Kumar Pathak</v>
      </c>
      <c r="C3162" s="115" t="str">
        <f>IFERROR(__xludf.DUMMYFUNCTION("""COMPUTED_VALUE"""),"MYNTRA")</f>
        <v>MYNTRA</v>
      </c>
      <c r="D3162" s="115">
        <f>IFERROR(__xludf.DUMMYFUNCTION("""COMPUTED_VALUE"""),17866.0)</f>
        <v>17866</v>
      </c>
      <c r="E3162" s="115">
        <f>IFERROR(__xludf.DUMMYFUNCTION("""COMPUTED_VALUE"""),6096.0)</f>
        <v>6096</v>
      </c>
      <c r="F3162" s="115">
        <f>IFERROR(__xludf.DUMMYFUNCTION("""COMPUTED_VALUE"""),12408.0)</f>
        <v>12408</v>
      </c>
      <c r="G3162" s="115">
        <f>IFERROR(__xludf.DUMMYFUNCTION("""COMPUTED_VALUE"""),3082.0)</f>
        <v>3082</v>
      </c>
      <c r="H3162" s="116">
        <f>IFERROR(__xludf.DUMMYFUNCTION("""COMPUTED_VALUE"""),45906.0)</f>
        <v>45906</v>
      </c>
      <c r="I3162" s="115" t="str">
        <f>IFERROR(__xludf.DUMMYFUNCTION("""COMPUTED_VALUE"""),"17")</f>
        <v>17</v>
      </c>
      <c r="J3162" s="115" t="str">
        <f>IFERROR(__xludf.DUMMYFUNCTION("""COMPUTED_VALUE"""),"Amit Kumar Pathak2025-09-0617")</f>
        <v>Amit Kumar Pathak2025-09-0617</v>
      </c>
      <c r="K3162" s="115">
        <f>IFERROR(__xludf.DUMMYFUNCTION("""COMPUTED_VALUE"""),23962.0)</f>
        <v>23962</v>
      </c>
    </row>
    <row r="3163">
      <c r="A3163" s="115" t="str">
        <f>IFERROR(__xludf.DUMMYFUNCTION("""COMPUTED_VALUE"""),"NORTH")</f>
        <v>NORTH</v>
      </c>
      <c r="B3163" s="115" t="str">
        <f>IFERROR(__xludf.DUMMYFUNCTION("""COMPUTED_VALUE"""),"Loveleen Singh")</f>
        <v>Loveleen Singh</v>
      </c>
      <c r="C3163" s="115" t="str">
        <f>IFERROR(__xludf.DUMMYFUNCTION("""COMPUTED_VALUE"""),"EXTERNAL")</f>
        <v>EXTERNAL</v>
      </c>
      <c r="D3163" s="115">
        <f>IFERROR(__xludf.DUMMYFUNCTION("""COMPUTED_VALUE"""),32086.0)</f>
        <v>32086</v>
      </c>
      <c r="E3163" s="115">
        <f>IFERROR(__xludf.DUMMYFUNCTION("""COMPUTED_VALUE"""),2029.0)</f>
        <v>2029</v>
      </c>
      <c r="F3163" s="115">
        <f>IFERROR(__xludf.DUMMYFUNCTION("""COMPUTED_VALUE"""),10305.0)</f>
        <v>10305</v>
      </c>
      <c r="G3163" s="115">
        <f>IFERROR(__xludf.DUMMYFUNCTION("""COMPUTED_VALUE"""),476.0)</f>
        <v>476</v>
      </c>
      <c r="H3163" s="116">
        <f>IFERROR(__xludf.DUMMYFUNCTION("""COMPUTED_VALUE"""),45906.0)</f>
        <v>45906</v>
      </c>
      <c r="I3163" s="115" t="str">
        <f>IFERROR(__xludf.DUMMYFUNCTION("""COMPUTED_VALUE"""),"17")</f>
        <v>17</v>
      </c>
      <c r="J3163" s="115" t="str">
        <f>IFERROR(__xludf.DUMMYFUNCTION("""COMPUTED_VALUE"""),"Loveleen Singh2025-09-0617")</f>
        <v>Loveleen Singh2025-09-0617</v>
      </c>
      <c r="K3163" s="115">
        <f>IFERROR(__xludf.DUMMYFUNCTION("""COMPUTED_VALUE"""),34115.0)</f>
        <v>34115</v>
      </c>
    </row>
    <row r="3164">
      <c r="A3164" s="115" t="str">
        <f>IFERROR(__xludf.DUMMYFUNCTION("""COMPUTED_VALUE"""),"NORTH")</f>
        <v>NORTH</v>
      </c>
      <c r="B3164" s="115" t="str">
        <f>IFERROR(__xludf.DUMMYFUNCTION("""COMPUTED_VALUE"""),"Loveleen Singh")</f>
        <v>Loveleen Singh</v>
      </c>
      <c r="C3164" s="115" t="str">
        <f>IFERROR(__xludf.DUMMYFUNCTION("""COMPUTED_VALUE"""),"FLIPKART")</f>
        <v>FLIPKART</v>
      </c>
      <c r="D3164" s="115">
        <f>IFERROR(__xludf.DUMMYFUNCTION("""COMPUTED_VALUE"""),158175.0)</f>
        <v>158175</v>
      </c>
      <c r="E3164" s="115">
        <f>IFERROR(__xludf.DUMMYFUNCTION("""COMPUTED_VALUE"""),15821.0)</f>
        <v>15821</v>
      </c>
      <c r="F3164" s="115">
        <f>IFERROR(__xludf.DUMMYFUNCTION("""COMPUTED_VALUE"""),102820.0)</f>
        <v>102820</v>
      </c>
      <c r="G3164" s="115">
        <f>IFERROR(__xludf.DUMMYFUNCTION("""COMPUTED_VALUE"""),6214.0)</f>
        <v>6214</v>
      </c>
      <c r="H3164" s="116">
        <f>IFERROR(__xludf.DUMMYFUNCTION("""COMPUTED_VALUE"""),45906.0)</f>
        <v>45906</v>
      </c>
      <c r="I3164" s="115" t="str">
        <f>IFERROR(__xludf.DUMMYFUNCTION("""COMPUTED_VALUE"""),"17")</f>
        <v>17</v>
      </c>
      <c r="J3164" s="115" t="str">
        <f>IFERROR(__xludf.DUMMYFUNCTION("""COMPUTED_VALUE"""),"Loveleen Singh2025-09-0617")</f>
        <v>Loveleen Singh2025-09-0617</v>
      </c>
      <c r="K3164" s="115">
        <f>IFERROR(__xludf.DUMMYFUNCTION("""COMPUTED_VALUE"""),173996.0)</f>
        <v>173996</v>
      </c>
    </row>
    <row r="3165">
      <c r="A3165" s="115" t="str">
        <f>IFERROR(__xludf.DUMMYFUNCTION("""COMPUTED_VALUE"""),"NORTH")</f>
        <v>NORTH</v>
      </c>
      <c r="B3165" s="115" t="str">
        <f>IFERROR(__xludf.DUMMYFUNCTION("""COMPUTED_VALUE"""),"Loveleen Singh")</f>
        <v>Loveleen Singh</v>
      </c>
      <c r="C3165" s="115" t="str">
        <f>IFERROR(__xludf.DUMMYFUNCTION("""COMPUTED_VALUE"""),"MYNTRA")</f>
        <v>MYNTRA</v>
      </c>
      <c r="D3165" s="115">
        <f>IFERROR(__xludf.DUMMYFUNCTION("""COMPUTED_VALUE"""),25834.0)</f>
        <v>25834</v>
      </c>
      <c r="E3165" s="115">
        <f>IFERROR(__xludf.DUMMYFUNCTION("""COMPUTED_VALUE"""),6390.0)</f>
        <v>6390</v>
      </c>
      <c r="F3165" s="115">
        <f>IFERROR(__xludf.DUMMYFUNCTION("""COMPUTED_VALUE"""),18995.0)</f>
        <v>18995</v>
      </c>
      <c r="G3165" s="115">
        <f>IFERROR(__xludf.DUMMYFUNCTION("""COMPUTED_VALUE"""),2779.0)</f>
        <v>2779</v>
      </c>
      <c r="H3165" s="116">
        <f>IFERROR(__xludf.DUMMYFUNCTION("""COMPUTED_VALUE"""),45906.0)</f>
        <v>45906</v>
      </c>
      <c r="I3165" s="115" t="str">
        <f>IFERROR(__xludf.DUMMYFUNCTION("""COMPUTED_VALUE"""),"17")</f>
        <v>17</v>
      </c>
      <c r="J3165" s="115" t="str">
        <f>IFERROR(__xludf.DUMMYFUNCTION("""COMPUTED_VALUE"""),"Loveleen Singh2025-09-0617")</f>
        <v>Loveleen Singh2025-09-0617</v>
      </c>
      <c r="K3165" s="115">
        <f>IFERROR(__xludf.DUMMYFUNCTION("""COMPUTED_VALUE"""),32224.0)</f>
        <v>32224</v>
      </c>
    </row>
    <row r="3166">
      <c r="A3166" s="115" t="str">
        <f>IFERROR(__xludf.DUMMYFUNCTION("""COMPUTED_VALUE"""),"NORTH")</f>
        <v>NORTH</v>
      </c>
      <c r="B3166" s="115" t="str">
        <f>IFERROR(__xludf.DUMMYFUNCTION("""COMPUTED_VALUE"""),"Manoj Harsh")</f>
        <v>Manoj Harsh</v>
      </c>
      <c r="C3166" s="115" t="str">
        <f>IFERROR(__xludf.DUMMYFUNCTION("""COMPUTED_VALUE"""),"EXTERNAL")</f>
        <v>EXTERNAL</v>
      </c>
      <c r="D3166" s="115">
        <f>IFERROR(__xludf.DUMMYFUNCTION("""COMPUTED_VALUE"""),38632.0)</f>
        <v>38632</v>
      </c>
      <c r="E3166" s="115">
        <f>IFERROR(__xludf.DUMMYFUNCTION("""COMPUTED_VALUE"""),2940.0)</f>
        <v>2940</v>
      </c>
      <c r="F3166" s="115">
        <f>IFERROR(__xludf.DUMMYFUNCTION("""COMPUTED_VALUE"""),14716.0)</f>
        <v>14716</v>
      </c>
      <c r="G3166" s="115">
        <f>IFERROR(__xludf.DUMMYFUNCTION("""COMPUTED_VALUE"""),592.0)</f>
        <v>592</v>
      </c>
      <c r="H3166" s="116">
        <f>IFERROR(__xludf.DUMMYFUNCTION("""COMPUTED_VALUE"""),45906.0)</f>
        <v>45906</v>
      </c>
      <c r="I3166" s="115" t="str">
        <f>IFERROR(__xludf.DUMMYFUNCTION("""COMPUTED_VALUE"""),"17")</f>
        <v>17</v>
      </c>
      <c r="J3166" s="115" t="str">
        <f>IFERROR(__xludf.DUMMYFUNCTION("""COMPUTED_VALUE"""),"Manoj Harsh2025-09-0617")</f>
        <v>Manoj Harsh2025-09-0617</v>
      </c>
      <c r="K3166" s="115">
        <f>IFERROR(__xludf.DUMMYFUNCTION("""COMPUTED_VALUE"""),41572.0)</f>
        <v>41572</v>
      </c>
    </row>
    <row r="3167">
      <c r="A3167" s="115" t="str">
        <f>IFERROR(__xludf.DUMMYFUNCTION("""COMPUTED_VALUE"""),"NORTH")</f>
        <v>NORTH</v>
      </c>
      <c r="B3167" s="115" t="str">
        <f>IFERROR(__xludf.DUMMYFUNCTION("""COMPUTED_VALUE"""),"Manoj Harsh")</f>
        <v>Manoj Harsh</v>
      </c>
      <c r="C3167" s="115" t="str">
        <f>IFERROR(__xludf.DUMMYFUNCTION("""COMPUTED_VALUE"""),"FLIPKART")</f>
        <v>FLIPKART</v>
      </c>
      <c r="D3167" s="115">
        <f>IFERROR(__xludf.DUMMYFUNCTION("""COMPUTED_VALUE"""),426257.0)</f>
        <v>426257</v>
      </c>
      <c r="E3167" s="115">
        <f>IFERROR(__xludf.DUMMYFUNCTION("""COMPUTED_VALUE"""),42143.0)</f>
        <v>42143</v>
      </c>
      <c r="F3167" s="115">
        <f>IFERROR(__xludf.DUMMYFUNCTION("""COMPUTED_VALUE"""),274589.0)</f>
        <v>274589</v>
      </c>
      <c r="G3167" s="115">
        <f>IFERROR(__xludf.DUMMYFUNCTION("""COMPUTED_VALUE"""),16333.0)</f>
        <v>16333</v>
      </c>
      <c r="H3167" s="116">
        <f>IFERROR(__xludf.DUMMYFUNCTION("""COMPUTED_VALUE"""),45906.0)</f>
        <v>45906</v>
      </c>
      <c r="I3167" s="115" t="str">
        <f>IFERROR(__xludf.DUMMYFUNCTION("""COMPUTED_VALUE"""),"17")</f>
        <v>17</v>
      </c>
      <c r="J3167" s="115" t="str">
        <f>IFERROR(__xludf.DUMMYFUNCTION("""COMPUTED_VALUE"""),"Manoj Harsh2025-09-0617")</f>
        <v>Manoj Harsh2025-09-0617</v>
      </c>
      <c r="K3167" s="115">
        <f>IFERROR(__xludf.DUMMYFUNCTION("""COMPUTED_VALUE"""),468400.0)</f>
        <v>468400</v>
      </c>
    </row>
    <row r="3168">
      <c r="A3168" s="115" t="str">
        <f>IFERROR(__xludf.DUMMYFUNCTION("""COMPUTED_VALUE"""),"NORTH")</f>
        <v>NORTH</v>
      </c>
      <c r="B3168" s="115" t="str">
        <f>IFERROR(__xludf.DUMMYFUNCTION("""COMPUTED_VALUE"""),"Manoj Harsh")</f>
        <v>Manoj Harsh</v>
      </c>
      <c r="C3168" s="115" t="str">
        <f>IFERROR(__xludf.DUMMYFUNCTION("""COMPUTED_VALUE"""),"MYNTRA")</f>
        <v>MYNTRA</v>
      </c>
      <c r="D3168" s="115">
        <f>IFERROR(__xludf.DUMMYFUNCTION("""COMPUTED_VALUE"""),39642.0)</f>
        <v>39642</v>
      </c>
      <c r="E3168" s="115">
        <f>IFERROR(__xludf.DUMMYFUNCTION("""COMPUTED_VALUE"""),7935.0)</f>
        <v>7935</v>
      </c>
      <c r="F3168" s="115">
        <f>IFERROR(__xludf.DUMMYFUNCTION("""COMPUTED_VALUE"""),28548.0)</f>
        <v>28548</v>
      </c>
      <c r="G3168" s="115">
        <f>IFERROR(__xludf.DUMMYFUNCTION("""COMPUTED_VALUE"""),3636.0)</f>
        <v>3636</v>
      </c>
      <c r="H3168" s="116">
        <f>IFERROR(__xludf.DUMMYFUNCTION("""COMPUTED_VALUE"""),45906.0)</f>
        <v>45906</v>
      </c>
      <c r="I3168" s="115" t="str">
        <f>IFERROR(__xludf.DUMMYFUNCTION("""COMPUTED_VALUE"""),"17")</f>
        <v>17</v>
      </c>
      <c r="J3168" s="115" t="str">
        <f>IFERROR(__xludf.DUMMYFUNCTION("""COMPUTED_VALUE"""),"Manoj Harsh2025-09-0617")</f>
        <v>Manoj Harsh2025-09-0617</v>
      </c>
      <c r="K3168" s="115">
        <f>IFERROR(__xludf.DUMMYFUNCTION("""COMPUTED_VALUE"""),47577.0)</f>
        <v>47577</v>
      </c>
    </row>
    <row r="3169">
      <c r="A3169" s="115" t="str">
        <f>IFERROR(__xludf.DUMMYFUNCTION("""COMPUTED_VALUE"""),"NORTH")</f>
        <v>NORTH</v>
      </c>
      <c r="B3169" s="115" t="str">
        <f>IFERROR(__xludf.DUMMYFUNCTION("""COMPUTED_VALUE"""),"Pradeep Kothari")</f>
        <v>Pradeep Kothari</v>
      </c>
      <c r="C3169" s="115" t="str">
        <f>IFERROR(__xludf.DUMMYFUNCTION("""COMPUTED_VALUE"""),"EXTERNAL")</f>
        <v>EXTERNAL</v>
      </c>
      <c r="D3169" s="115">
        <f>IFERROR(__xludf.DUMMYFUNCTION("""COMPUTED_VALUE"""),18789.0)</f>
        <v>18789</v>
      </c>
      <c r="E3169" s="115">
        <f>IFERROR(__xludf.DUMMYFUNCTION("""COMPUTED_VALUE"""),1892.0)</f>
        <v>1892</v>
      </c>
      <c r="F3169" s="115">
        <f>IFERROR(__xludf.DUMMYFUNCTION("""COMPUTED_VALUE"""),7057.0)</f>
        <v>7057</v>
      </c>
      <c r="G3169" s="115">
        <f>IFERROR(__xludf.DUMMYFUNCTION("""COMPUTED_VALUE"""),644.0)</f>
        <v>644</v>
      </c>
      <c r="H3169" s="116">
        <f>IFERROR(__xludf.DUMMYFUNCTION("""COMPUTED_VALUE"""),45906.0)</f>
        <v>45906</v>
      </c>
      <c r="I3169" s="115" t="str">
        <f>IFERROR(__xludf.DUMMYFUNCTION("""COMPUTED_VALUE"""),"17")</f>
        <v>17</v>
      </c>
      <c r="J3169" s="115" t="str">
        <f>IFERROR(__xludf.DUMMYFUNCTION("""COMPUTED_VALUE"""),"Pradeep Kothari2025-09-0617")</f>
        <v>Pradeep Kothari2025-09-0617</v>
      </c>
      <c r="K3169" s="115">
        <f>IFERROR(__xludf.DUMMYFUNCTION("""COMPUTED_VALUE"""),20681.0)</f>
        <v>20681</v>
      </c>
    </row>
    <row r="3170">
      <c r="A3170" s="115" t="str">
        <f>IFERROR(__xludf.DUMMYFUNCTION("""COMPUTED_VALUE"""),"NORTH")</f>
        <v>NORTH</v>
      </c>
      <c r="B3170" s="115" t="str">
        <f>IFERROR(__xludf.DUMMYFUNCTION("""COMPUTED_VALUE"""),"Pradeep Kothari")</f>
        <v>Pradeep Kothari</v>
      </c>
      <c r="C3170" s="115" t="str">
        <f>IFERROR(__xludf.DUMMYFUNCTION("""COMPUTED_VALUE"""),"FLIPKART")</f>
        <v>FLIPKART</v>
      </c>
      <c r="D3170" s="115">
        <f>IFERROR(__xludf.DUMMYFUNCTION("""COMPUTED_VALUE"""),134769.0)</f>
        <v>134769</v>
      </c>
      <c r="E3170" s="115">
        <f>IFERROR(__xludf.DUMMYFUNCTION("""COMPUTED_VALUE"""),16518.0)</f>
        <v>16518</v>
      </c>
      <c r="F3170" s="115">
        <f>IFERROR(__xludf.DUMMYFUNCTION("""COMPUTED_VALUE"""),92767.0)</f>
        <v>92767</v>
      </c>
      <c r="G3170" s="115">
        <f>IFERROR(__xludf.DUMMYFUNCTION("""COMPUTED_VALUE"""),8550.0)</f>
        <v>8550</v>
      </c>
      <c r="H3170" s="116">
        <f>IFERROR(__xludf.DUMMYFUNCTION("""COMPUTED_VALUE"""),45906.0)</f>
        <v>45906</v>
      </c>
      <c r="I3170" s="115" t="str">
        <f>IFERROR(__xludf.DUMMYFUNCTION("""COMPUTED_VALUE"""),"17")</f>
        <v>17</v>
      </c>
      <c r="J3170" s="115" t="str">
        <f>IFERROR(__xludf.DUMMYFUNCTION("""COMPUTED_VALUE"""),"Pradeep Kothari2025-09-0617")</f>
        <v>Pradeep Kothari2025-09-0617</v>
      </c>
      <c r="K3170" s="115">
        <f>IFERROR(__xludf.DUMMYFUNCTION("""COMPUTED_VALUE"""),151287.0)</f>
        <v>151287</v>
      </c>
    </row>
    <row r="3171">
      <c r="A3171" s="115" t="str">
        <f>IFERROR(__xludf.DUMMYFUNCTION("""COMPUTED_VALUE"""),"NORTH")</f>
        <v>NORTH</v>
      </c>
      <c r="B3171" s="115" t="str">
        <f>IFERROR(__xludf.DUMMYFUNCTION("""COMPUTED_VALUE"""),"Pradeep Kothari")</f>
        <v>Pradeep Kothari</v>
      </c>
      <c r="C3171" s="115" t="str">
        <f>IFERROR(__xludf.DUMMYFUNCTION("""COMPUTED_VALUE"""),"MYNTRA")</f>
        <v>MYNTRA</v>
      </c>
      <c r="D3171" s="115">
        <f>IFERROR(__xludf.DUMMYFUNCTION("""COMPUTED_VALUE"""),23283.0)</f>
        <v>23283</v>
      </c>
      <c r="E3171" s="115">
        <f>IFERROR(__xludf.DUMMYFUNCTION("""COMPUTED_VALUE"""),6023.0)</f>
        <v>6023</v>
      </c>
      <c r="F3171" s="115">
        <f>IFERROR(__xludf.DUMMYFUNCTION("""COMPUTED_VALUE"""),18004.0)</f>
        <v>18004</v>
      </c>
      <c r="G3171" s="115">
        <f>IFERROR(__xludf.DUMMYFUNCTION("""COMPUTED_VALUE"""),3484.0)</f>
        <v>3484</v>
      </c>
      <c r="H3171" s="116">
        <f>IFERROR(__xludf.DUMMYFUNCTION("""COMPUTED_VALUE"""),45906.0)</f>
        <v>45906</v>
      </c>
      <c r="I3171" s="115" t="str">
        <f>IFERROR(__xludf.DUMMYFUNCTION("""COMPUTED_VALUE"""),"17")</f>
        <v>17</v>
      </c>
      <c r="J3171" s="115" t="str">
        <f>IFERROR(__xludf.DUMMYFUNCTION("""COMPUTED_VALUE"""),"Pradeep Kothari2025-09-0617")</f>
        <v>Pradeep Kothari2025-09-0617</v>
      </c>
      <c r="K3171" s="115">
        <f>IFERROR(__xludf.DUMMYFUNCTION("""COMPUTED_VALUE"""),29306.0)</f>
        <v>29306</v>
      </c>
    </row>
    <row r="3172">
      <c r="A3172" s="115" t="str">
        <f>IFERROR(__xludf.DUMMYFUNCTION("""COMPUTED_VALUE"""),"SOUTH")</f>
        <v>SOUTH</v>
      </c>
      <c r="B3172" s="115" t="str">
        <f>IFERROR(__xludf.DUMMYFUNCTION("""COMPUTED_VALUE"""),"Kandula Sampath")</f>
        <v>Kandula Sampath</v>
      </c>
      <c r="C3172" s="115" t="str">
        <f>IFERROR(__xludf.DUMMYFUNCTION("""COMPUTED_VALUE"""),"EXTERNAL")</f>
        <v>EXTERNAL</v>
      </c>
      <c r="D3172" s="115">
        <f>IFERROR(__xludf.DUMMYFUNCTION("""COMPUTED_VALUE"""),34679.0)</f>
        <v>34679</v>
      </c>
      <c r="E3172" s="115">
        <f>IFERROR(__xludf.DUMMYFUNCTION("""COMPUTED_VALUE"""),2963.0)</f>
        <v>2963</v>
      </c>
      <c r="F3172" s="115">
        <f>IFERROR(__xludf.DUMMYFUNCTION("""COMPUTED_VALUE"""),13403.0)</f>
        <v>13403</v>
      </c>
      <c r="G3172" s="115">
        <f>IFERROR(__xludf.DUMMYFUNCTION("""COMPUTED_VALUE"""),798.0)</f>
        <v>798</v>
      </c>
      <c r="H3172" s="116">
        <f>IFERROR(__xludf.DUMMYFUNCTION("""COMPUTED_VALUE"""),45906.0)</f>
        <v>45906</v>
      </c>
      <c r="I3172" s="115" t="str">
        <f>IFERROR(__xludf.DUMMYFUNCTION("""COMPUTED_VALUE"""),"17")</f>
        <v>17</v>
      </c>
      <c r="J3172" s="115" t="str">
        <f>IFERROR(__xludf.DUMMYFUNCTION("""COMPUTED_VALUE"""),"Kandula Sampath2025-09-0617")</f>
        <v>Kandula Sampath2025-09-0617</v>
      </c>
      <c r="K3172" s="115">
        <f>IFERROR(__xludf.DUMMYFUNCTION("""COMPUTED_VALUE"""),37642.0)</f>
        <v>37642</v>
      </c>
    </row>
    <row r="3173">
      <c r="A3173" s="115" t="str">
        <f>IFERROR(__xludf.DUMMYFUNCTION("""COMPUTED_VALUE"""),"SOUTH")</f>
        <v>SOUTH</v>
      </c>
      <c r="B3173" s="115" t="str">
        <f>IFERROR(__xludf.DUMMYFUNCTION("""COMPUTED_VALUE"""),"Kandula Sampath")</f>
        <v>Kandula Sampath</v>
      </c>
      <c r="C3173" s="115" t="str">
        <f>IFERROR(__xludf.DUMMYFUNCTION("""COMPUTED_VALUE"""),"FLIPKART")</f>
        <v>FLIPKART</v>
      </c>
      <c r="D3173" s="115">
        <f>IFERROR(__xludf.DUMMYFUNCTION("""COMPUTED_VALUE"""),308928.0)</f>
        <v>308928</v>
      </c>
      <c r="E3173" s="115">
        <f>IFERROR(__xludf.DUMMYFUNCTION("""COMPUTED_VALUE"""),28045.0)</f>
        <v>28045</v>
      </c>
      <c r="F3173" s="115">
        <f>IFERROR(__xludf.DUMMYFUNCTION("""COMPUTED_VALUE"""),199387.0)</f>
        <v>199387</v>
      </c>
      <c r="G3173" s="115">
        <f>IFERROR(__xludf.DUMMYFUNCTION("""COMPUTED_VALUE"""),10295.0)</f>
        <v>10295</v>
      </c>
      <c r="H3173" s="116">
        <f>IFERROR(__xludf.DUMMYFUNCTION("""COMPUTED_VALUE"""),45906.0)</f>
        <v>45906</v>
      </c>
      <c r="I3173" s="115" t="str">
        <f>IFERROR(__xludf.DUMMYFUNCTION("""COMPUTED_VALUE"""),"17")</f>
        <v>17</v>
      </c>
      <c r="J3173" s="115" t="str">
        <f>IFERROR(__xludf.DUMMYFUNCTION("""COMPUTED_VALUE"""),"Kandula Sampath2025-09-0617")</f>
        <v>Kandula Sampath2025-09-0617</v>
      </c>
      <c r="K3173" s="115">
        <f>IFERROR(__xludf.DUMMYFUNCTION("""COMPUTED_VALUE"""),336973.0)</f>
        <v>336973</v>
      </c>
    </row>
    <row r="3174">
      <c r="A3174" s="115" t="str">
        <f>IFERROR(__xludf.DUMMYFUNCTION("""COMPUTED_VALUE"""),"SOUTH")</f>
        <v>SOUTH</v>
      </c>
      <c r="B3174" s="115" t="str">
        <f>IFERROR(__xludf.DUMMYFUNCTION("""COMPUTED_VALUE"""),"Kandula Sampath")</f>
        <v>Kandula Sampath</v>
      </c>
      <c r="C3174" s="115" t="str">
        <f>IFERROR(__xludf.DUMMYFUNCTION("""COMPUTED_VALUE"""),"MYNTRA")</f>
        <v>MYNTRA</v>
      </c>
      <c r="D3174" s="115">
        <f>IFERROR(__xludf.DUMMYFUNCTION("""COMPUTED_VALUE"""),36639.0)</f>
        <v>36639</v>
      </c>
      <c r="E3174" s="115">
        <f>IFERROR(__xludf.DUMMYFUNCTION("""COMPUTED_VALUE"""),7460.0)</f>
        <v>7460</v>
      </c>
      <c r="F3174" s="115">
        <f>IFERROR(__xludf.DUMMYFUNCTION("""COMPUTED_VALUE"""),26443.0)</f>
        <v>26443</v>
      </c>
      <c r="G3174" s="115">
        <f>IFERROR(__xludf.DUMMYFUNCTION("""COMPUTED_VALUE"""),2853.0)</f>
        <v>2853</v>
      </c>
      <c r="H3174" s="116">
        <f>IFERROR(__xludf.DUMMYFUNCTION("""COMPUTED_VALUE"""),45906.0)</f>
        <v>45906</v>
      </c>
      <c r="I3174" s="115" t="str">
        <f>IFERROR(__xludf.DUMMYFUNCTION("""COMPUTED_VALUE"""),"17")</f>
        <v>17</v>
      </c>
      <c r="J3174" s="115" t="str">
        <f>IFERROR(__xludf.DUMMYFUNCTION("""COMPUTED_VALUE"""),"Kandula Sampath2025-09-0617")</f>
        <v>Kandula Sampath2025-09-0617</v>
      </c>
      <c r="K3174" s="115">
        <f>IFERROR(__xludf.DUMMYFUNCTION("""COMPUTED_VALUE"""),44099.0)</f>
        <v>44099</v>
      </c>
    </row>
    <row r="3175">
      <c r="A3175" s="115" t="str">
        <f>IFERROR(__xludf.DUMMYFUNCTION("""COMPUTED_VALUE"""),"SOUTH")</f>
        <v>SOUTH</v>
      </c>
      <c r="B3175" s="115" t="str">
        <f>IFERROR(__xludf.DUMMYFUNCTION("""COMPUTED_VALUE"""),"Martin A")</f>
        <v>Martin A</v>
      </c>
      <c r="C3175" s="115" t="str">
        <f>IFERROR(__xludf.DUMMYFUNCTION("""COMPUTED_VALUE"""),"EXTERNAL")</f>
        <v>EXTERNAL</v>
      </c>
      <c r="D3175" s="115">
        <f>IFERROR(__xludf.DUMMYFUNCTION("""COMPUTED_VALUE"""),34461.0)</f>
        <v>34461</v>
      </c>
      <c r="E3175" s="115">
        <f>IFERROR(__xludf.DUMMYFUNCTION("""COMPUTED_VALUE"""),3266.0)</f>
        <v>3266</v>
      </c>
      <c r="F3175" s="115">
        <f>IFERROR(__xludf.DUMMYFUNCTION("""COMPUTED_VALUE"""),12589.0)</f>
        <v>12589</v>
      </c>
      <c r="G3175" s="115">
        <f>IFERROR(__xludf.DUMMYFUNCTION("""COMPUTED_VALUE"""),1223.0)</f>
        <v>1223</v>
      </c>
      <c r="H3175" s="116">
        <f>IFERROR(__xludf.DUMMYFUNCTION("""COMPUTED_VALUE"""),45906.0)</f>
        <v>45906</v>
      </c>
      <c r="I3175" s="115" t="str">
        <f>IFERROR(__xludf.DUMMYFUNCTION("""COMPUTED_VALUE"""),"17")</f>
        <v>17</v>
      </c>
      <c r="J3175" s="115" t="str">
        <f>IFERROR(__xludf.DUMMYFUNCTION("""COMPUTED_VALUE"""),"Martin A2025-09-0617")</f>
        <v>Martin A2025-09-0617</v>
      </c>
      <c r="K3175" s="115">
        <f>IFERROR(__xludf.DUMMYFUNCTION("""COMPUTED_VALUE"""),37727.0)</f>
        <v>37727</v>
      </c>
    </row>
    <row r="3176">
      <c r="A3176" s="115" t="str">
        <f>IFERROR(__xludf.DUMMYFUNCTION("""COMPUTED_VALUE"""),"SOUTH")</f>
        <v>SOUTH</v>
      </c>
      <c r="B3176" s="115" t="str">
        <f>IFERROR(__xludf.DUMMYFUNCTION("""COMPUTED_VALUE"""),"Martin A")</f>
        <v>Martin A</v>
      </c>
      <c r="C3176" s="115" t="str">
        <f>IFERROR(__xludf.DUMMYFUNCTION("""COMPUTED_VALUE"""),"FLIPKART")</f>
        <v>FLIPKART</v>
      </c>
      <c r="D3176" s="115">
        <f>IFERROR(__xludf.DUMMYFUNCTION("""COMPUTED_VALUE"""),291319.0)</f>
        <v>291319</v>
      </c>
      <c r="E3176" s="115">
        <f>IFERROR(__xludf.DUMMYFUNCTION("""COMPUTED_VALUE"""),25350.0)</f>
        <v>25350</v>
      </c>
      <c r="F3176" s="115">
        <f>IFERROR(__xludf.DUMMYFUNCTION("""COMPUTED_VALUE"""),184324.0)</f>
        <v>184324</v>
      </c>
      <c r="G3176" s="115">
        <f>IFERROR(__xludf.DUMMYFUNCTION("""COMPUTED_VALUE"""),11047.0)</f>
        <v>11047</v>
      </c>
      <c r="H3176" s="116">
        <f>IFERROR(__xludf.DUMMYFUNCTION("""COMPUTED_VALUE"""),45906.0)</f>
        <v>45906</v>
      </c>
      <c r="I3176" s="115" t="str">
        <f>IFERROR(__xludf.DUMMYFUNCTION("""COMPUTED_VALUE"""),"17")</f>
        <v>17</v>
      </c>
      <c r="J3176" s="115" t="str">
        <f>IFERROR(__xludf.DUMMYFUNCTION("""COMPUTED_VALUE"""),"Martin A2025-09-0617")</f>
        <v>Martin A2025-09-0617</v>
      </c>
      <c r="K3176" s="115">
        <f>IFERROR(__xludf.DUMMYFUNCTION("""COMPUTED_VALUE"""),316669.0)</f>
        <v>316669</v>
      </c>
    </row>
    <row r="3177">
      <c r="A3177" s="115" t="str">
        <f>IFERROR(__xludf.DUMMYFUNCTION("""COMPUTED_VALUE"""),"SOUTH")</f>
        <v>SOUTH</v>
      </c>
      <c r="B3177" s="115" t="str">
        <f>IFERROR(__xludf.DUMMYFUNCTION("""COMPUTED_VALUE"""),"Martin A")</f>
        <v>Martin A</v>
      </c>
      <c r="C3177" s="115" t="str">
        <f>IFERROR(__xludf.DUMMYFUNCTION("""COMPUTED_VALUE"""),"MYNTRA")</f>
        <v>MYNTRA</v>
      </c>
      <c r="D3177" s="115">
        <f>IFERROR(__xludf.DUMMYFUNCTION("""COMPUTED_VALUE"""),28781.0)</f>
        <v>28781</v>
      </c>
      <c r="E3177" s="115">
        <f>IFERROR(__xludf.DUMMYFUNCTION("""COMPUTED_VALUE"""),6213.0)</f>
        <v>6213</v>
      </c>
      <c r="F3177" s="115">
        <f>IFERROR(__xludf.DUMMYFUNCTION("""COMPUTED_VALUE"""),20586.0)</f>
        <v>20586</v>
      </c>
      <c r="G3177" s="115">
        <f>IFERROR(__xludf.DUMMYFUNCTION("""COMPUTED_VALUE"""),2956.0)</f>
        <v>2956</v>
      </c>
      <c r="H3177" s="116">
        <f>IFERROR(__xludf.DUMMYFUNCTION("""COMPUTED_VALUE"""),45906.0)</f>
        <v>45906</v>
      </c>
      <c r="I3177" s="115" t="str">
        <f>IFERROR(__xludf.DUMMYFUNCTION("""COMPUTED_VALUE"""),"17")</f>
        <v>17</v>
      </c>
      <c r="J3177" s="115" t="str">
        <f>IFERROR(__xludf.DUMMYFUNCTION("""COMPUTED_VALUE"""),"Martin A2025-09-0617")</f>
        <v>Martin A2025-09-0617</v>
      </c>
      <c r="K3177" s="115">
        <f>IFERROR(__xludf.DUMMYFUNCTION("""COMPUTED_VALUE"""),34994.0)</f>
        <v>34994</v>
      </c>
    </row>
    <row r="3178">
      <c r="A3178" s="115" t="str">
        <f>IFERROR(__xludf.DUMMYFUNCTION("""COMPUTED_VALUE"""),"SOUTH")</f>
        <v>SOUTH</v>
      </c>
      <c r="B3178" s="115" t="str">
        <f>IFERROR(__xludf.DUMMYFUNCTION("""COMPUTED_VALUE"""),"Premkumar M")</f>
        <v>Premkumar M</v>
      </c>
      <c r="C3178" s="115" t="str">
        <f>IFERROR(__xludf.DUMMYFUNCTION("""COMPUTED_VALUE"""),"EXTERNAL")</f>
        <v>EXTERNAL</v>
      </c>
      <c r="D3178" s="115">
        <f>IFERROR(__xludf.DUMMYFUNCTION("""COMPUTED_VALUE"""),30041.0)</f>
        <v>30041</v>
      </c>
      <c r="E3178" s="115">
        <f>IFERROR(__xludf.DUMMYFUNCTION("""COMPUTED_VALUE"""),1765.0)</f>
        <v>1765</v>
      </c>
      <c r="F3178" s="115">
        <f>IFERROR(__xludf.DUMMYFUNCTION("""COMPUTED_VALUE"""),12109.0)</f>
        <v>12109</v>
      </c>
      <c r="G3178" s="115">
        <f>IFERROR(__xludf.DUMMYFUNCTION("""COMPUTED_VALUE"""),285.0)</f>
        <v>285</v>
      </c>
      <c r="H3178" s="116">
        <f>IFERROR(__xludf.DUMMYFUNCTION("""COMPUTED_VALUE"""),45906.0)</f>
        <v>45906</v>
      </c>
      <c r="I3178" s="115" t="str">
        <f>IFERROR(__xludf.DUMMYFUNCTION("""COMPUTED_VALUE"""),"17")</f>
        <v>17</v>
      </c>
      <c r="J3178" s="115" t="str">
        <f>IFERROR(__xludf.DUMMYFUNCTION("""COMPUTED_VALUE"""),"Premkumar M2025-09-0617")</f>
        <v>Premkumar M2025-09-0617</v>
      </c>
      <c r="K3178" s="115">
        <f>IFERROR(__xludf.DUMMYFUNCTION("""COMPUTED_VALUE"""),31806.0)</f>
        <v>31806</v>
      </c>
    </row>
    <row r="3179">
      <c r="A3179" s="115" t="str">
        <f>IFERROR(__xludf.DUMMYFUNCTION("""COMPUTED_VALUE"""),"SOUTH")</f>
        <v>SOUTH</v>
      </c>
      <c r="B3179" s="115" t="str">
        <f>IFERROR(__xludf.DUMMYFUNCTION("""COMPUTED_VALUE"""),"Premkumar M")</f>
        <v>Premkumar M</v>
      </c>
      <c r="C3179" s="115" t="str">
        <f>IFERROR(__xludf.DUMMYFUNCTION("""COMPUTED_VALUE"""),"FLIPKART")</f>
        <v>FLIPKART</v>
      </c>
      <c r="D3179" s="115">
        <f>IFERROR(__xludf.DUMMYFUNCTION("""COMPUTED_VALUE"""),277036.0)</f>
        <v>277036</v>
      </c>
      <c r="E3179" s="115">
        <f>IFERROR(__xludf.DUMMYFUNCTION("""COMPUTED_VALUE"""),19391.0)</f>
        <v>19391</v>
      </c>
      <c r="F3179" s="115">
        <f>IFERROR(__xludf.DUMMYFUNCTION("""COMPUTED_VALUE"""),169339.0)</f>
        <v>169339</v>
      </c>
      <c r="G3179" s="115">
        <f>IFERROR(__xludf.DUMMYFUNCTION("""COMPUTED_VALUE"""),4595.0)</f>
        <v>4595</v>
      </c>
      <c r="H3179" s="116">
        <f>IFERROR(__xludf.DUMMYFUNCTION("""COMPUTED_VALUE"""),45906.0)</f>
        <v>45906</v>
      </c>
      <c r="I3179" s="115" t="str">
        <f>IFERROR(__xludf.DUMMYFUNCTION("""COMPUTED_VALUE"""),"17")</f>
        <v>17</v>
      </c>
      <c r="J3179" s="115" t="str">
        <f>IFERROR(__xludf.DUMMYFUNCTION("""COMPUTED_VALUE"""),"Premkumar M2025-09-0617")</f>
        <v>Premkumar M2025-09-0617</v>
      </c>
      <c r="K3179" s="115">
        <f>IFERROR(__xludf.DUMMYFUNCTION("""COMPUTED_VALUE"""),296427.0)</f>
        <v>296427</v>
      </c>
    </row>
    <row r="3180">
      <c r="A3180" s="115" t="str">
        <f>IFERROR(__xludf.DUMMYFUNCTION("""COMPUTED_VALUE"""),"SOUTH")</f>
        <v>SOUTH</v>
      </c>
      <c r="B3180" s="115" t="str">
        <f>IFERROR(__xludf.DUMMYFUNCTION("""COMPUTED_VALUE"""),"Premkumar M")</f>
        <v>Premkumar M</v>
      </c>
      <c r="C3180" s="115" t="str">
        <f>IFERROR(__xludf.DUMMYFUNCTION("""COMPUTED_VALUE"""),"MYNTRA")</f>
        <v>MYNTRA</v>
      </c>
      <c r="D3180" s="115">
        <f>IFERROR(__xludf.DUMMYFUNCTION("""COMPUTED_VALUE"""),15588.0)</f>
        <v>15588</v>
      </c>
      <c r="E3180" s="115">
        <f>IFERROR(__xludf.DUMMYFUNCTION("""COMPUTED_VALUE"""),3021.0)</f>
        <v>3021</v>
      </c>
      <c r="F3180" s="115">
        <f>IFERROR(__xludf.DUMMYFUNCTION("""COMPUTED_VALUE"""),10787.0)</f>
        <v>10787</v>
      </c>
      <c r="G3180" s="115">
        <f>IFERROR(__xludf.DUMMYFUNCTION("""COMPUTED_VALUE"""),803.0)</f>
        <v>803</v>
      </c>
      <c r="H3180" s="116">
        <f>IFERROR(__xludf.DUMMYFUNCTION("""COMPUTED_VALUE"""),45906.0)</f>
        <v>45906</v>
      </c>
      <c r="I3180" s="115" t="str">
        <f>IFERROR(__xludf.DUMMYFUNCTION("""COMPUTED_VALUE"""),"17")</f>
        <v>17</v>
      </c>
      <c r="J3180" s="115" t="str">
        <f>IFERROR(__xludf.DUMMYFUNCTION("""COMPUTED_VALUE"""),"Premkumar M2025-09-0617")</f>
        <v>Premkumar M2025-09-0617</v>
      </c>
      <c r="K3180" s="115">
        <f>IFERROR(__xludf.DUMMYFUNCTION("""COMPUTED_VALUE"""),18609.0)</f>
        <v>18609</v>
      </c>
    </row>
    <row r="3181">
      <c r="A3181" s="115" t="str">
        <f>IFERROR(__xludf.DUMMYFUNCTION("""COMPUTED_VALUE"""),"SOUTH")</f>
        <v>SOUTH</v>
      </c>
      <c r="B3181" s="115" t="str">
        <f>IFERROR(__xludf.DUMMYFUNCTION("""COMPUTED_VALUE"""),"Vineeth V")</f>
        <v>Vineeth V</v>
      </c>
      <c r="C3181" s="115" t="str">
        <f>IFERROR(__xludf.DUMMYFUNCTION("""COMPUTED_VALUE"""),"EXTERNAL")</f>
        <v>EXTERNAL</v>
      </c>
      <c r="D3181" s="115">
        <f>IFERROR(__xludf.DUMMYFUNCTION("""COMPUTED_VALUE"""),26298.0)</f>
        <v>26298</v>
      </c>
      <c r="E3181" s="115">
        <f>IFERROR(__xludf.DUMMYFUNCTION("""COMPUTED_VALUE"""),686.0)</f>
        <v>686</v>
      </c>
      <c r="F3181" s="115">
        <f>IFERROR(__xludf.DUMMYFUNCTION("""COMPUTED_VALUE"""),11386.0)</f>
        <v>11386</v>
      </c>
      <c r="G3181" s="115">
        <f>IFERROR(__xludf.DUMMYFUNCTION("""COMPUTED_VALUE"""),109.0)</f>
        <v>109</v>
      </c>
      <c r="H3181" s="116">
        <f>IFERROR(__xludf.DUMMYFUNCTION("""COMPUTED_VALUE"""),45906.0)</f>
        <v>45906</v>
      </c>
      <c r="I3181" s="115" t="str">
        <f>IFERROR(__xludf.DUMMYFUNCTION("""COMPUTED_VALUE"""),"17")</f>
        <v>17</v>
      </c>
      <c r="J3181" s="115" t="str">
        <f>IFERROR(__xludf.DUMMYFUNCTION("""COMPUTED_VALUE"""),"Vineeth V2025-09-0617")</f>
        <v>Vineeth V2025-09-0617</v>
      </c>
      <c r="K3181" s="115">
        <f>IFERROR(__xludf.DUMMYFUNCTION("""COMPUTED_VALUE"""),26984.0)</f>
        <v>26984</v>
      </c>
    </row>
    <row r="3182">
      <c r="A3182" s="115" t="str">
        <f>IFERROR(__xludf.DUMMYFUNCTION("""COMPUTED_VALUE"""),"SOUTH")</f>
        <v>SOUTH</v>
      </c>
      <c r="B3182" s="115" t="str">
        <f>IFERROR(__xludf.DUMMYFUNCTION("""COMPUTED_VALUE"""),"Vineeth V")</f>
        <v>Vineeth V</v>
      </c>
      <c r="C3182" s="115" t="str">
        <f>IFERROR(__xludf.DUMMYFUNCTION("""COMPUTED_VALUE"""),"FLIPKART")</f>
        <v>FLIPKART</v>
      </c>
      <c r="D3182" s="115">
        <f>IFERROR(__xludf.DUMMYFUNCTION("""COMPUTED_VALUE"""),217092.0)</f>
        <v>217092</v>
      </c>
      <c r="E3182" s="115">
        <f>IFERROR(__xludf.DUMMYFUNCTION("""COMPUTED_VALUE"""),15814.0)</f>
        <v>15814</v>
      </c>
      <c r="F3182" s="115">
        <f>IFERROR(__xludf.DUMMYFUNCTION("""COMPUTED_VALUE"""),136968.0)</f>
        <v>136968</v>
      </c>
      <c r="G3182" s="115">
        <f>IFERROR(__xludf.DUMMYFUNCTION("""COMPUTED_VALUE"""),2432.0)</f>
        <v>2432</v>
      </c>
      <c r="H3182" s="116">
        <f>IFERROR(__xludf.DUMMYFUNCTION("""COMPUTED_VALUE"""),45906.0)</f>
        <v>45906</v>
      </c>
      <c r="I3182" s="115" t="str">
        <f>IFERROR(__xludf.DUMMYFUNCTION("""COMPUTED_VALUE"""),"17")</f>
        <v>17</v>
      </c>
      <c r="J3182" s="115" t="str">
        <f>IFERROR(__xludf.DUMMYFUNCTION("""COMPUTED_VALUE"""),"Vineeth V2025-09-0617")</f>
        <v>Vineeth V2025-09-0617</v>
      </c>
      <c r="K3182" s="115">
        <f>IFERROR(__xludf.DUMMYFUNCTION("""COMPUTED_VALUE"""),232906.0)</f>
        <v>232906</v>
      </c>
    </row>
    <row r="3183">
      <c r="A3183" s="115" t="str">
        <f>IFERROR(__xludf.DUMMYFUNCTION("""COMPUTED_VALUE"""),"SOUTH")</f>
        <v>SOUTH</v>
      </c>
      <c r="B3183" s="115" t="str">
        <f>IFERROR(__xludf.DUMMYFUNCTION("""COMPUTED_VALUE"""),"Vineeth V")</f>
        <v>Vineeth V</v>
      </c>
      <c r="C3183" s="115" t="str">
        <f>IFERROR(__xludf.DUMMYFUNCTION("""COMPUTED_VALUE"""),"MYNTRA")</f>
        <v>MYNTRA</v>
      </c>
      <c r="D3183" s="115">
        <f>IFERROR(__xludf.DUMMYFUNCTION("""COMPUTED_VALUE"""),28210.0)</f>
        <v>28210</v>
      </c>
      <c r="E3183" s="115">
        <f>IFERROR(__xludf.DUMMYFUNCTION("""COMPUTED_VALUE"""),4061.0)</f>
        <v>4061</v>
      </c>
      <c r="F3183" s="115">
        <f>IFERROR(__xludf.DUMMYFUNCTION("""COMPUTED_VALUE"""),19439.0)</f>
        <v>19439</v>
      </c>
      <c r="G3183" s="115">
        <f>IFERROR(__xludf.DUMMYFUNCTION("""COMPUTED_VALUE"""),717.0)</f>
        <v>717</v>
      </c>
      <c r="H3183" s="116">
        <f>IFERROR(__xludf.DUMMYFUNCTION("""COMPUTED_VALUE"""),45906.0)</f>
        <v>45906</v>
      </c>
      <c r="I3183" s="115" t="str">
        <f>IFERROR(__xludf.DUMMYFUNCTION("""COMPUTED_VALUE"""),"17")</f>
        <v>17</v>
      </c>
      <c r="J3183" s="115" t="str">
        <f>IFERROR(__xludf.DUMMYFUNCTION("""COMPUTED_VALUE"""),"Vineeth V2025-09-0617")</f>
        <v>Vineeth V2025-09-0617</v>
      </c>
      <c r="K3183" s="115">
        <f>IFERROR(__xludf.DUMMYFUNCTION("""COMPUTED_VALUE"""),32271.0)</f>
        <v>32271</v>
      </c>
    </row>
    <row r="3184">
      <c r="A3184" s="115" t="str">
        <f>IFERROR(__xludf.DUMMYFUNCTION("""COMPUTED_VALUE"""),"WEST")</f>
        <v>WEST</v>
      </c>
      <c r="B3184" s="115" t="str">
        <f>IFERROR(__xludf.DUMMYFUNCTION("""COMPUTED_VALUE"""),"Ashish Jakar")</f>
        <v>Ashish Jakar</v>
      </c>
      <c r="C3184" s="115" t="str">
        <f>IFERROR(__xludf.DUMMYFUNCTION("""COMPUTED_VALUE"""),"EXTERNAL")</f>
        <v>EXTERNAL</v>
      </c>
      <c r="D3184" s="115">
        <f>IFERROR(__xludf.DUMMYFUNCTION("""COMPUTED_VALUE"""),47733.0)</f>
        <v>47733</v>
      </c>
      <c r="E3184" s="115">
        <f>IFERROR(__xludf.DUMMYFUNCTION("""COMPUTED_VALUE"""),5577.0)</f>
        <v>5577</v>
      </c>
      <c r="F3184" s="115">
        <f>IFERROR(__xludf.DUMMYFUNCTION("""COMPUTED_VALUE"""),18804.0)</f>
        <v>18804</v>
      </c>
      <c r="G3184" s="115">
        <f>IFERROR(__xludf.DUMMYFUNCTION("""COMPUTED_VALUE"""),2067.0)</f>
        <v>2067</v>
      </c>
      <c r="H3184" s="116">
        <f>IFERROR(__xludf.DUMMYFUNCTION("""COMPUTED_VALUE"""),45906.0)</f>
        <v>45906</v>
      </c>
      <c r="I3184" s="115" t="str">
        <f>IFERROR(__xludf.DUMMYFUNCTION("""COMPUTED_VALUE"""),"17")</f>
        <v>17</v>
      </c>
      <c r="J3184" s="115" t="str">
        <f>IFERROR(__xludf.DUMMYFUNCTION("""COMPUTED_VALUE"""),"Ashish Jakar2025-09-0617")</f>
        <v>Ashish Jakar2025-09-0617</v>
      </c>
      <c r="K3184" s="115">
        <f>IFERROR(__xludf.DUMMYFUNCTION("""COMPUTED_VALUE"""),53310.0)</f>
        <v>53310</v>
      </c>
    </row>
    <row r="3185">
      <c r="A3185" s="115" t="str">
        <f>IFERROR(__xludf.DUMMYFUNCTION("""COMPUTED_VALUE"""),"WEST")</f>
        <v>WEST</v>
      </c>
      <c r="B3185" s="115" t="str">
        <f>IFERROR(__xludf.DUMMYFUNCTION("""COMPUTED_VALUE"""),"Ashish Jakar")</f>
        <v>Ashish Jakar</v>
      </c>
      <c r="C3185" s="115" t="str">
        <f>IFERROR(__xludf.DUMMYFUNCTION("""COMPUTED_VALUE"""),"FLIPKART")</f>
        <v>FLIPKART</v>
      </c>
      <c r="D3185" s="115">
        <f>IFERROR(__xludf.DUMMYFUNCTION("""COMPUTED_VALUE"""),235352.0)</f>
        <v>235352</v>
      </c>
      <c r="E3185" s="115">
        <f>IFERROR(__xludf.DUMMYFUNCTION("""COMPUTED_VALUE"""),27531.0)</f>
        <v>27531</v>
      </c>
      <c r="F3185" s="115">
        <f>IFERROR(__xludf.DUMMYFUNCTION("""COMPUTED_VALUE"""),156916.0)</f>
        <v>156916</v>
      </c>
      <c r="G3185" s="115">
        <f>IFERROR(__xludf.DUMMYFUNCTION("""COMPUTED_VALUE"""),13524.0)</f>
        <v>13524</v>
      </c>
      <c r="H3185" s="116">
        <f>IFERROR(__xludf.DUMMYFUNCTION("""COMPUTED_VALUE"""),45906.0)</f>
        <v>45906</v>
      </c>
      <c r="I3185" s="115" t="str">
        <f>IFERROR(__xludf.DUMMYFUNCTION("""COMPUTED_VALUE"""),"17")</f>
        <v>17</v>
      </c>
      <c r="J3185" s="115" t="str">
        <f>IFERROR(__xludf.DUMMYFUNCTION("""COMPUTED_VALUE"""),"Ashish Jakar2025-09-0617")</f>
        <v>Ashish Jakar2025-09-0617</v>
      </c>
      <c r="K3185" s="115">
        <f>IFERROR(__xludf.DUMMYFUNCTION("""COMPUTED_VALUE"""),262883.0)</f>
        <v>262883</v>
      </c>
    </row>
    <row r="3186">
      <c r="A3186" s="115" t="str">
        <f>IFERROR(__xludf.DUMMYFUNCTION("""COMPUTED_VALUE"""),"WEST")</f>
        <v>WEST</v>
      </c>
      <c r="B3186" s="115" t="str">
        <f>IFERROR(__xludf.DUMMYFUNCTION("""COMPUTED_VALUE"""),"Ashish Jakar")</f>
        <v>Ashish Jakar</v>
      </c>
      <c r="C3186" s="115" t="str">
        <f>IFERROR(__xludf.DUMMYFUNCTION("""COMPUTED_VALUE"""),"MYNTRA")</f>
        <v>MYNTRA</v>
      </c>
      <c r="D3186" s="115">
        <f>IFERROR(__xludf.DUMMYFUNCTION("""COMPUTED_VALUE"""),33763.0)</f>
        <v>33763</v>
      </c>
      <c r="E3186" s="115">
        <f>IFERROR(__xludf.DUMMYFUNCTION("""COMPUTED_VALUE"""),8988.0)</f>
        <v>8988</v>
      </c>
      <c r="F3186" s="115">
        <f>IFERROR(__xludf.DUMMYFUNCTION("""COMPUTED_VALUE"""),25989.0)</f>
        <v>25989</v>
      </c>
      <c r="G3186" s="115">
        <f>IFERROR(__xludf.DUMMYFUNCTION("""COMPUTED_VALUE"""),4818.0)</f>
        <v>4818</v>
      </c>
      <c r="H3186" s="116">
        <f>IFERROR(__xludf.DUMMYFUNCTION("""COMPUTED_VALUE"""),45906.0)</f>
        <v>45906</v>
      </c>
      <c r="I3186" s="115" t="str">
        <f>IFERROR(__xludf.DUMMYFUNCTION("""COMPUTED_VALUE"""),"17")</f>
        <v>17</v>
      </c>
      <c r="J3186" s="115" t="str">
        <f>IFERROR(__xludf.DUMMYFUNCTION("""COMPUTED_VALUE"""),"Ashish Jakar2025-09-0617")</f>
        <v>Ashish Jakar2025-09-0617</v>
      </c>
      <c r="K3186" s="115">
        <f>IFERROR(__xludf.DUMMYFUNCTION("""COMPUTED_VALUE"""),42751.0)</f>
        <v>42751</v>
      </c>
    </row>
    <row r="3187">
      <c r="A3187" s="115" t="str">
        <f>IFERROR(__xludf.DUMMYFUNCTION("""COMPUTED_VALUE"""),"WEST")</f>
        <v>WEST</v>
      </c>
      <c r="B3187" s="115" t="str">
        <f>IFERROR(__xludf.DUMMYFUNCTION("""COMPUTED_VALUE"""),"Ashvani Bhatt")</f>
        <v>Ashvani Bhatt</v>
      </c>
      <c r="C3187" s="115" t="str">
        <f>IFERROR(__xludf.DUMMYFUNCTION("""COMPUTED_VALUE"""),"EXTERNAL")</f>
        <v>EXTERNAL</v>
      </c>
      <c r="D3187" s="115">
        <f>IFERROR(__xludf.DUMMYFUNCTION("""COMPUTED_VALUE"""),34920.0)</f>
        <v>34920</v>
      </c>
      <c r="E3187" s="115">
        <f>IFERROR(__xludf.DUMMYFUNCTION("""COMPUTED_VALUE"""),2897.0)</f>
        <v>2897</v>
      </c>
      <c r="F3187" s="115">
        <f>IFERROR(__xludf.DUMMYFUNCTION("""COMPUTED_VALUE"""),13061.0)</f>
        <v>13061</v>
      </c>
      <c r="G3187" s="115">
        <f>IFERROR(__xludf.DUMMYFUNCTION("""COMPUTED_VALUE"""),759.0)</f>
        <v>759</v>
      </c>
      <c r="H3187" s="116">
        <f>IFERROR(__xludf.DUMMYFUNCTION("""COMPUTED_VALUE"""),45906.0)</f>
        <v>45906</v>
      </c>
      <c r="I3187" s="115" t="str">
        <f>IFERROR(__xludf.DUMMYFUNCTION("""COMPUTED_VALUE"""),"17")</f>
        <v>17</v>
      </c>
      <c r="J3187" s="115" t="str">
        <f>IFERROR(__xludf.DUMMYFUNCTION("""COMPUTED_VALUE"""),"Ashvani Bhatt2025-09-0617")</f>
        <v>Ashvani Bhatt2025-09-0617</v>
      </c>
      <c r="K3187" s="115">
        <f>IFERROR(__xludf.DUMMYFUNCTION("""COMPUTED_VALUE"""),37817.0)</f>
        <v>37817</v>
      </c>
    </row>
    <row r="3188">
      <c r="A3188" s="115" t="str">
        <f>IFERROR(__xludf.DUMMYFUNCTION("""COMPUTED_VALUE"""),"WEST")</f>
        <v>WEST</v>
      </c>
      <c r="B3188" s="115" t="str">
        <f>IFERROR(__xludf.DUMMYFUNCTION("""COMPUTED_VALUE"""),"Ashvani Bhatt")</f>
        <v>Ashvani Bhatt</v>
      </c>
      <c r="C3188" s="115" t="str">
        <f>IFERROR(__xludf.DUMMYFUNCTION("""COMPUTED_VALUE"""),"FLIPKART")</f>
        <v>FLIPKART</v>
      </c>
      <c r="D3188" s="115">
        <f>IFERROR(__xludf.DUMMYFUNCTION("""COMPUTED_VALUE"""),248002.0)</f>
        <v>248002</v>
      </c>
      <c r="E3188" s="115">
        <f>IFERROR(__xludf.DUMMYFUNCTION("""COMPUTED_VALUE"""),26611.0)</f>
        <v>26611</v>
      </c>
      <c r="F3188" s="115">
        <f>IFERROR(__xludf.DUMMYFUNCTION("""COMPUTED_VALUE"""),162333.0)</f>
        <v>162333</v>
      </c>
      <c r="G3188" s="115">
        <f>IFERROR(__xludf.DUMMYFUNCTION("""COMPUTED_VALUE"""),11334.0)</f>
        <v>11334</v>
      </c>
      <c r="H3188" s="116">
        <f>IFERROR(__xludf.DUMMYFUNCTION("""COMPUTED_VALUE"""),45906.0)</f>
        <v>45906</v>
      </c>
      <c r="I3188" s="115" t="str">
        <f>IFERROR(__xludf.DUMMYFUNCTION("""COMPUTED_VALUE"""),"17")</f>
        <v>17</v>
      </c>
      <c r="J3188" s="115" t="str">
        <f>IFERROR(__xludf.DUMMYFUNCTION("""COMPUTED_VALUE"""),"Ashvani Bhatt2025-09-0617")</f>
        <v>Ashvani Bhatt2025-09-0617</v>
      </c>
      <c r="K3188" s="115">
        <f>IFERROR(__xludf.DUMMYFUNCTION("""COMPUTED_VALUE"""),274613.0)</f>
        <v>274613</v>
      </c>
    </row>
    <row r="3189">
      <c r="A3189" s="115" t="str">
        <f>IFERROR(__xludf.DUMMYFUNCTION("""COMPUTED_VALUE"""),"WEST")</f>
        <v>WEST</v>
      </c>
      <c r="B3189" s="115" t="str">
        <f>IFERROR(__xludf.DUMMYFUNCTION("""COMPUTED_VALUE"""),"Ashvani Bhatt")</f>
        <v>Ashvani Bhatt</v>
      </c>
      <c r="C3189" s="115" t="str">
        <f>IFERROR(__xludf.DUMMYFUNCTION("""COMPUTED_VALUE"""),"MYNTRA")</f>
        <v>MYNTRA</v>
      </c>
      <c r="D3189" s="115">
        <f>IFERROR(__xludf.DUMMYFUNCTION("""COMPUTED_VALUE"""),31115.0)</f>
        <v>31115</v>
      </c>
      <c r="E3189" s="115">
        <f>IFERROR(__xludf.DUMMYFUNCTION("""COMPUTED_VALUE"""),7925.0)</f>
        <v>7925</v>
      </c>
      <c r="F3189" s="115">
        <f>IFERROR(__xludf.DUMMYFUNCTION("""COMPUTED_VALUE"""),24038.0)</f>
        <v>24038</v>
      </c>
      <c r="G3189" s="115">
        <f>IFERROR(__xludf.DUMMYFUNCTION("""COMPUTED_VALUE"""),3928.0)</f>
        <v>3928</v>
      </c>
      <c r="H3189" s="116">
        <f>IFERROR(__xludf.DUMMYFUNCTION("""COMPUTED_VALUE"""),45906.0)</f>
        <v>45906</v>
      </c>
      <c r="I3189" s="115" t="str">
        <f>IFERROR(__xludf.DUMMYFUNCTION("""COMPUTED_VALUE"""),"17")</f>
        <v>17</v>
      </c>
      <c r="J3189" s="115" t="str">
        <f>IFERROR(__xludf.DUMMYFUNCTION("""COMPUTED_VALUE"""),"Ashvani Bhatt2025-09-0617")</f>
        <v>Ashvani Bhatt2025-09-0617</v>
      </c>
      <c r="K3189" s="115">
        <f>IFERROR(__xludf.DUMMYFUNCTION("""COMPUTED_VALUE"""),39040.0)</f>
        <v>39040</v>
      </c>
    </row>
    <row r="3190">
      <c r="A3190" s="115"/>
      <c r="B3190" s="115"/>
      <c r="C3190" s="115" t="str">
        <f>IFERROR(__xludf.DUMMYFUNCTION("""COMPUTED_VALUE"""),"EXTERNAL")</f>
        <v>EXTERNAL</v>
      </c>
      <c r="D3190" s="115">
        <f>IFERROR(__xludf.DUMMYFUNCTION("""COMPUTED_VALUE"""),1140.0)</f>
        <v>1140</v>
      </c>
      <c r="E3190" s="115">
        <f>IFERROR(__xludf.DUMMYFUNCTION("""COMPUTED_VALUE"""),113.0)</f>
        <v>113</v>
      </c>
      <c r="F3190" s="115">
        <f>IFERROR(__xludf.DUMMYFUNCTION("""COMPUTED_VALUE"""),311.0)</f>
        <v>311</v>
      </c>
      <c r="G3190" s="115">
        <f>IFERROR(__xludf.DUMMYFUNCTION("""COMPUTED_VALUE"""),77.0)</f>
        <v>77</v>
      </c>
      <c r="H3190" s="116">
        <f>IFERROR(__xludf.DUMMYFUNCTION("""COMPUTED_VALUE"""),45906.0)</f>
        <v>45906</v>
      </c>
      <c r="I3190" s="115" t="str">
        <f>IFERROR(__xludf.DUMMYFUNCTION("""COMPUTED_VALUE"""),"17")</f>
        <v>17</v>
      </c>
      <c r="J3190" s="115" t="str">
        <f>IFERROR(__xludf.DUMMYFUNCTION("""COMPUTED_VALUE"""),"2025-09-0617")</f>
        <v>2025-09-0617</v>
      </c>
      <c r="K3190" s="115">
        <f>IFERROR(__xludf.DUMMYFUNCTION("""COMPUTED_VALUE"""),1253.0)</f>
        <v>1253</v>
      </c>
    </row>
    <row r="3191">
      <c r="A3191" s="115"/>
      <c r="B3191" s="115"/>
      <c r="C3191" s="115" t="str">
        <f>IFERROR(__xludf.DUMMYFUNCTION("""COMPUTED_VALUE"""),"FLIPKART")</f>
        <v>FLIPKART</v>
      </c>
      <c r="D3191" s="115">
        <f>IFERROR(__xludf.DUMMYFUNCTION("""COMPUTED_VALUE"""),6570.0)</f>
        <v>6570</v>
      </c>
      <c r="E3191" s="115">
        <f>IFERROR(__xludf.DUMMYFUNCTION("""COMPUTED_VALUE"""),661.0)</f>
        <v>661</v>
      </c>
      <c r="F3191" s="115">
        <f>IFERROR(__xludf.DUMMYFUNCTION("""COMPUTED_VALUE"""),3485.0)</f>
        <v>3485</v>
      </c>
      <c r="G3191" s="115">
        <f>IFERROR(__xludf.DUMMYFUNCTION("""COMPUTED_VALUE"""),330.0)</f>
        <v>330</v>
      </c>
      <c r="H3191" s="116">
        <f>IFERROR(__xludf.DUMMYFUNCTION("""COMPUTED_VALUE"""),45906.0)</f>
        <v>45906</v>
      </c>
      <c r="I3191" s="115" t="str">
        <f>IFERROR(__xludf.DUMMYFUNCTION("""COMPUTED_VALUE"""),"17")</f>
        <v>17</v>
      </c>
      <c r="J3191" s="115" t="str">
        <f>IFERROR(__xludf.DUMMYFUNCTION("""COMPUTED_VALUE"""),"2025-09-0617")</f>
        <v>2025-09-0617</v>
      </c>
      <c r="K3191" s="115">
        <f>IFERROR(__xludf.DUMMYFUNCTION("""COMPUTED_VALUE"""),7231.0)</f>
        <v>7231</v>
      </c>
    </row>
    <row r="3192">
      <c r="A3192" s="115"/>
      <c r="B3192" s="115"/>
      <c r="C3192" s="115" t="str">
        <f>IFERROR(__xludf.DUMMYFUNCTION("""COMPUTED_VALUE"""),"MYNTRA")</f>
        <v>MYNTRA</v>
      </c>
      <c r="D3192" s="115">
        <f>IFERROR(__xludf.DUMMYFUNCTION("""COMPUTED_VALUE"""),1334.0)</f>
        <v>1334</v>
      </c>
      <c r="E3192" s="115">
        <f>IFERROR(__xludf.DUMMYFUNCTION("""COMPUTED_VALUE"""),369.0)</f>
        <v>369</v>
      </c>
      <c r="F3192" s="115">
        <f>IFERROR(__xludf.DUMMYFUNCTION("""COMPUTED_VALUE"""),885.0)</f>
        <v>885</v>
      </c>
      <c r="G3192" s="115">
        <f>IFERROR(__xludf.DUMMYFUNCTION("""COMPUTED_VALUE"""),187.0)</f>
        <v>187</v>
      </c>
      <c r="H3192" s="116">
        <f>IFERROR(__xludf.DUMMYFUNCTION("""COMPUTED_VALUE"""),45906.0)</f>
        <v>45906</v>
      </c>
      <c r="I3192" s="115" t="str">
        <f>IFERROR(__xludf.DUMMYFUNCTION("""COMPUTED_VALUE"""),"17")</f>
        <v>17</v>
      </c>
      <c r="J3192" s="115" t="str">
        <f>IFERROR(__xludf.DUMMYFUNCTION("""COMPUTED_VALUE"""),"2025-09-0617")</f>
        <v>2025-09-0617</v>
      </c>
      <c r="K3192" s="115">
        <f>IFERROR(__xludf.DUMMYFUNCTION("""COMPUTED_VALUE"""),1703.0)</f>
        <v>1703</v>
      </c>
    </row>
    <row r="3193">
      <c r="A3193" s="115" t="str">
        <f>IFERROR(__xludf.DUMMYFUNCTION("""COMPUTED_VALUE"""),"EAST")</f>
        <v>EAST</v>
      </c>
      <c r="B3193" s="115" t="str">
        <f>IFERROR(__xludf.DUMMYFUNCTION("""COMPUTED_VALUE"""),"Ashish Ranjan")</f>
        <v>Ashish Ranjan</v>
      </c>
      <c r="C3193" s="115" t="str">
        <f>IFERROR(__xludf.DUMMYFUNCTION("""COMPUTED_VALUE"""),"EXTERNAL")</f>
        <v>EXTERNAL</v>
      </c>
      <c r="D3193" s="115">
        <f>IFERROR(__xludf.DUMMYFUNCTION("""COMPUTED_VALUE"""),44160.0)</f>
        <v>44160</v>
      </c>
      <c r="E3193" s="115">
        <f>IFERROR(__xludf.DUMMYFUNCTION("""COMPUTED_VALUE"""),2928.0)</f>
        <v>2928</v>
      </c>
      <c r="F3193" s="115">
        <f>IFERROR(__xludf.DUMMYFUNCTION("""COMPUTED_VALUE"""),23117.0)</f>
        <v>23117</v>
      </c>
      <c r="G3193" s="115">
        <f>IFERROR(__xludf.DUMMYFUNCTION("""COMPUTED_VALUE"""),1223.0)</f>
        <v>1223</v>
      </c>
      <c r="H3193" s="116">
        <f>IFERROR(__xludf.DUMMYFUNCTION("""COMPUTED_VALUE"""),45906.0)</f>
        <v>45906</v>
      </c>
      <c r="I3193" s="115" t="str">
        <f>IFERROR(__xludf.DUMMYFUNCTION("""COMPUTED_VALUE"""),"18")</f>
        <v>18</v>
      </c>
      <c r="J3193" s="115" t="str">
        <f>IFERROR(__xludf.DUMMYFUNCTION("""COMPUTED_VALUE"""),"Ashish Ranjan2025-09-0618")</f>
        <v>Ashish Ranjan2025-09-0618</v>
      </c>
      <c r="K3193" s="115">
        <f>IFERROR(__xludf.DUMMYFUNCTION("""COMPUTED_VALUE"""),47088.0)</f>
        <v>47088</v>
      </c>
    </row>
    <row r="3194">
      <c r="A3194" s="115" t="str">
        <f>IFERROR(__xludf.DUMMYFUNCTION("""COMPUTED_VALUE"""),"EAST")</f>
        <v>EAST</v>
      </c>
      <c r="B3194" s="115" t="str">
        <f>IFERROR(__xludf.DUMMYFUNCTION("""COMPUTED_VALUE"""),"Ashish Ranjan")</f>
        <v>Ashish Ranjan</v>
      </c>
      <c r="C3194" s="115" t="str">
        <f>IFERROR(__xludf.DUMMYFUNCTION("""COMPUTED_VALUE"""),"FLIPKART")</f>
        <v>FLIPKART</v>
      </c>
      <c r="D3194" s="115">
        <f>IFERROR(__xludf.DUMMYFUNCTION("""COMPUTED_VALUE"""),677803.0)</f>
        <v>677803</v>
      </c>
      <c r="E3194" s="115">
        <f>IFERROR(__xludf.DUMMYFUNCTION("""COMPUTED_VALUE"""),59572.0)</f>
        <v>59572</v>
      </c>
      <c r="F3194" s="115">
        <f>IFERROR(__xludf.DUMMYFUNCTION("""COMPUTED_VALUE"""),552260.0)</f>
        <v>552260</v>
      </c>
      <c r="G3194" s="115">
        <f>IFERROR(__xludf.DUMMYFUNCTION("""COMPUTED_VALUE"""),35956.0)</f>
        <v>35956</v>
      </c>
      <c r="H3194" s="116">
        <f>IFERROR(__xludf.DUMMYFUNCTION("""COMPUTED_VALUE"""),45906.0)</f>
        <v>45906</v>
      </c>
      <c r="I3194" s="115" t="str">
        <f>IFERROR(__xludf.DUMMYFUNCTION("""COMPUTED_VALUE"""),"18")</f>
        <v>18</v>
      </c>
      <c r="J3194" s="115" t="str">
        <f>IFERROR(__xludf.DUMMYFUNCTION("""COMPUTED_VALUE"""),"Ashish Ranjan2025-09-0618")</f>
        <v>Ashish Ranjan2025-09-0618</v>
      </c>
      <c r="K3194" s="115">
        <f>IFERROR(__xludf.DUMMYFUNCTION("""COMPUTED_VALUE"""),737375.0)</f>
        <v>737375</v>
      </c>
    </row>
    <row r="3195">
      <c r="A3195" s="115" t="str">
        <f>IFERROR(__xludf.DUMMYFUNCTION("""COMPUTED_VALUE"""),"EAST")</f>
        <v>EAST</v>
      </c>
      <c r="B3195" s="115" t="str">
        <f>IFERROR(__xludf.DUMMYFUNCTION("""COMPUTED_VALUE"""),"Ashish Ranjan")</f>
        <v>Ashish Ranjan</v>
      </c>
      <c r="C3195" s="115" t="str">
        <f>IFERROR(__xludf.DUMMYFUNCTION("""COMPUTED_VALUE"""),"MYNTRA")</f>
        <v>MYNTRA</v>
      </c>
      <c r="D3195" s="115">
        <f>IFERROR(__xludf.DUMMYFUNCTION("""COMPUTED_VALUE"""),70679.0)</f>
        <v>70679</v>
      </c>
      <c r="E3195" s="115">
        <f>IFERROR(__xludf.DUMMYFUNCTION("""COMPUTED_VALUE"""),14122.0)</f>
        <v>14122</v>
      </c>
      <c r="F3195" s="115">
        <f>IFERROR(__xludf.DUMMYFUNCTION("""COMPUTED_VALUE"""),58186.0)</f>
        <v>58186</v>
      </c>
      <c r="G3195" s="115">
        <f>IFERROR(__xludf.DUMMYFUNCTION("""COMPUTED_VALUE"""),8561.0)</f>
        <v>8561</v>
      </c>
      <c r="H3195" s="116">
        <f>IFERROR(__xludf.DUMMYFUNCTION("""COMPUTED_VALUE"""),45906.0)</f>
        <v>45906</v>
      </c>
      <c r="I3195" s="115" t="str">
        <f>IFERROR(__xludf.DUMMYFUNCTION("""COMPUTED_VALUE"""),"18")</f>
        <v>18</v>
      </c>
      <c r="J3195" s="115" t="str">
        <f>IFERROR(__xludf.DUMMYFUNCTION("""COMPUTED_VALUE"""),"Ashish Ranjan2025-09-0618")</f>
        <v>Ashish Ranjan2025-09-0618</v>
      </c>
      <c r="K3195" s="115">
        <f>IFERROR(__xludf.DUMMYFUNCTION("""COMPUTED_VALUE"""),84801.0)</f>
        <v>84801</v>
      </c>
    </row>
    <row r="3196">
      <c r="A3196" s="115" t="str">
        <f>IFERROR(__xludf.DUMMYFUNCTION("""COMPUTED_VALUE"""),"EAST")</f>
        <v>EAST</v>
      </c>
      <c r="B3196" s="115" t="str">
        <f>IFERROR(__xludf.DUMMYFUNCTION("""COMPUTED_VALUE"""),"Girish Chand")</f>
        <v>Girish Chand</v>
      </c>
      <c r="C3196" s="115" t="str">
        <f>IFERROR(__xludf.DUMMYFUNCTION("""COMPUTED_VALUE"""),"EXTERNAL")</f>
        <v>EXTERNAL</v>
      </c>
      <c r="D3196" s="115">
        <f>IFERROR(__xludf.DUMMYFUNCTION("""COMPUTED_VALUE"""),25258.0)</f>
        <v>25258</v>
      </c>
      <c r="E3196" s="115">
        <f>IFERROR(__xludf.DUMMYFUNCTION("""COMPUTED_VALUE"""),2217.0)</f>
        <v>2217</v>
      </c>
      <c r="F3196" s="115">
        <f>IFERROR(__xludf.DUMMYFUNCTION("""COMPUTED_VALUE"""),10662.0)</f>
        <v>10662</v>
      </c>
      <c r="G3196" s="115">
        <f>IFERROR(__xludf.DUMMYFUNCTION("""COMPUTED_VALUE"""),495.0)</f>
        <v>495</v>
      </c>
      <c r="H3196" s="116">
        <f>IFERROR(__xludf.DUMMYFUNCTION("""COMPUTED_VALUE"""),45906.0)</f>
        <v>45906</v>
      </c>
      <c r="I3196" s="115" t="str">
        <f>IFERROR(__xludf.DUMMYFUNCTION("""COMPUTED_VALUE"""),"18")</f>
        <v>18</v>
      </c>
      <c r="J3196" s="115" t="str">
        <f>IFERROR(__xludf.DUMMYFUNCTION("""COMPUTED_VALUE"""),"Girish Chand2025-09-0618")</f>
        <v>Girish Chand2025-09-0618</v>
      </c>
      <c r="K3196" s="115">
        <f>IFERROR(__xludf.DUMMYFUNCTION("""COMPUTED_VALUE"""),27475.0)</f>
        <v>27475</v>
      </c>
    </row>
    <row r="3197">
      <c r="A3197" s="115" t="str">
        <f>IFERROR(__xludf.DUMMYFUNCTION("""COMPUTED_VALUE"""),"EAST")</f>
        <v>EAST</v>
      </c>
      <c r="B3197" s="115" t="str">
        <f>IFERROR(__xludf.DUMMYFUNCTION("""COMPUTED_VALUE"""),"Girish Chand")</f>
        <v>Girish Chand</v>
      </c>
      <c r="C3197" s="115" t="str">
        <f>IFERROR(__xludf.DUMMYFUNCTION("""COMPUTED_VALUE"""),"FLIPKART")</f>
        <v>FLIPKART</v>
      </c>
      <c r="D3197" s="115">
        <f>IFERROR(__xludf.DUMMYFUNCTION("""COMPUTED_VALUE"""),446976.0)</f>
        <v>446976</v>
      </c>
      <c r="E3197" s="115">
        <f>IFERROR(__xludf.DUMMYFUNCTION("""COMPUTED_VALUE"""),40361.0)</f>
        <v>40361</v>
      </c>
      <c r="F3197" s="115">
        <f>IFERROR(__xludf.DUMMYFUNCTION("""COMPUTED_VALUE"""),318584.0)</f>
        <v>318584</v>
      </c>
      <c r="G3197" s="115">
        <f>IFERROR(__xludf.DUMMYFUNCTION("""COMPUTED_VALUE"""),20524.0)</f>
        <v>20524</v>
      </c>
      <c r="H3197" s="116">
        <f>IFERROR(__xludf.DUMMYFUNCTION("""COMPUTED_VALUE"""),45906.0)</f>
        <v>45906</v>
      </c>
      <c r="I3197" s="115" t="str">
        <f>IFERROR(__xludf.DUMMYFUNCTION("""COMPUTED_VALUE"""),"18")</f>
        <v>18</v>
      </c>
      <c r="J3197" s="115" t="str">
        <f>IFERROR(__xludf.DUMMYFUNCTION("""COMPUTED_VALUE"""),"Girish Chand2025-09-0618")</f>
        <v>Girish Chand2025-09-0618</v>
      </c>
      <c r="K3197" s="115">
        <f>IFERROR(__xludf.DUMMYFUNCTION("""COMPUTED_VALUE"""),487337.0)</f>
        <v>487337</v>
      </c>
    </row>
    <row r="3198">
      <c r="A3198" s="115" t="str">
        <f>IFERROR(__xludf.DUMMYFUNCTION("""COMPUTED_VALUE"""),"EAST")</f>
        <v>EAST</v>
      </c>
      <c r="B3198" s="115" t="str">
        <f>IFERROR(__xludf.DUMMYFUNCTION("""COMPUTED_VALUE"""),"Girish Chand")</f>
        <v>Girish Chand</v>
      </c>
      <c r="C3198" s="115" t="str">
        <f>IFERROR(__xludf.DUMMYFUNCTION("""COMPUTED_VALUE"""),"MYNTRA")</f>
        <v>MYNTRA</v>
      </c>
      <c r="D3198" s="115">
        <f>IFERROR(__xludf.DUMMYFUNCTION("""COMPUTED_VALUE"""),38674.0)</f>
        <v>38674</v>
      </c>
      <c r="E3198" s="115">
        <f>IFERROR(__xludf.DUMMYFUNCTION("""COMPUTED_VALUE"""),7327.0)</f>
        <v>7327</v>
      </c>
      <c r="F3198" s="115">
        <f>IFERROR(__xludf.DUMMYFUNCTION("""COMPUTED_VALUE"""),29260.0)</f>
        <v>29260</v>
      </c>
      <c r="G3198" s="115">
        <f>IFERROR(__xludf.DUMMYFUNCTION("""COMPUTED_VALUE"""),3865.0)</f>
        <v>3865</v>
      </c>
      <c r="H3198" s="116">
        <f>IFERROR(__xludf.DUMMYFUNCTION("""COMPUTED_VALUE"""),45906.0)</f>
        <v>45906</v>
      </c>
      <c r="I3198" s="115" t="str">
        <f>IFERROR(__xludf.DUMMYFUNCTION("""COMPUTED_VALUE"""),"18")</f>
        <v>18</v>
      </c>
      <c r="J3198" s="115" t="str">
        <f>IFERROR(__xludf.DUMMYFUNCTION("""COMPUTED_VALUE"""),"Girish Chand2025-09-0618")</f>
        <v>Girish Chand2025-09-0618</v>
      </c>
      <c r="K3198" s="115">
        <f>IFERROR(__xludf.DUMMYFUNCTION("""COMPUTED_VALUE"""),46001.0)</f>
        <v>46001</v>
      </c>
    </row>
    <row r="3199">
      <c r="A3199" s="115" t="str">
        <f>IFERROR(__xludf.DUMMYFUNCTION("""COMPUTED_VALUE"""),"EAST")</f>
        <v>EAST</v>
      </c>
      <c r="B3199" s="115" t="str">
        <f>IFERROR(__xludf.DUMMYFUNCTION("""COMPUTED_VALUE"""),"Parag Kashyap")</f>
        <v>Parag Kashyap</v>
      </c>
      <c r="C3199" s="115" t="str">
        <f>IFERROR(__xludf.DUMMYFUNCTION("""COMPUTED_VALUE"""),"EXTERNAL")</f>
        <v>EXTERNAL</v>
      </c>
      <c r="D3199" s="115">
        <f>IFERROR(__xludf.DUMMYFUNCTION("""COMPUTED_VALUE"""),17988.0)</f>
        <v>17988</v>
      </c>
      <c r="E3199" s="115">
        <f>IFERROR(__xludf.DUMMYFUNCTION("""COMPUTED_VALUE"""),1045.0)</f>
        <v>1045</v>
      </c>
      <c r="F3199" s="115">
        <f>IFERROR(__xludf.DUMMYFUNCTION("""COMPUTED_VALUE"""),7367.0)</f>
        <v>7367</v>
      </c>
      <c r="G3199" s="115">
        <f>IFERROR(__xludf.DUMMYFUNCTION("""COMPUTED_VALUE"""),274.0)</f>
        <v>274</v>
      </c>
      <c r="H3199" s="116">
        <f>IFERROR(__xludf.DUMMYFUNCTION("""COMPUTED_VALUE"""),45906.0)</f>
        <v>45906</v>
      </c>
      <c r="I3199" s="115" t="str">
        <f>IFERROR(__xludf.DUMMYFUNCTION("""COMPUTED_VALUE"""),"18")</f>
        <v>18</v>
      </c>
      <c r="J3199" s="115" t="str">
        <f>IFERROR(__xludf.DUMMYFUNCTION("""COMPUTED_VALUE"""),"Parag Kashyap2025-09-0618")</f>
        <v>Parag Kashyap2025-09-0618</v>
      </c>
      <c r="K3199" s="115">
        <f>IFERROR(__xludf.DUMMYFUNCTION("""COMPUTED_VALUE"""),19033.0)</f>
        <v>19033</v>
      </c>
    </row>
    <row r="3200">
      <c r="A3200" s="115" t="str">
        <f>IFERROR(__xludf.DUMMYFUNCTION("""COMPUTED_VALUE"""),"EAST")</f>
        <v>EAST</v>
      </c>
      <c r="B3200" s="115" t="str">
        <f>IFERROR(__xludf.DUMMYFUNCTION("""COMPUTED_VALUE"""),"Parag Kashyap")</f>
        <v>Parag Kashyap</v>
      </c>
      <c r="C3200" s="115" t="str">
        <f>IFERROR(__xludf.DUMMYFUNCTION("""COMPUTED_VALUE"""),"FLIPKART")</f>
        <v>FLIPKART</v>
      </c>
      <c r="D3200" s="115">
        <f>IFERROR(__xludf.DUMMYFUNCTION("""COMPUTED_VALUE"""),283931.0)</f>
        <v>283931</v>
      </c>
      <c r="E3200" s="115">
        <f>IFERROR(__xludf.DUMMYFUNCTION("""COMPUTED_VALUE"""),19468.0)</f>
        <v>19468</v>
      </c>
      <c r="F3200" s="115">
        <f>IFERROR(__xludf.DUMMYFUNCTION("""COMPUTED_VALUE"""),204473.0)</f>
        <v>204473</v>
      </c>
      <c r="G3200" s="115">
        <f>IFERROR(__xludf.DUMMYFUNCTION("""COMPUTED_VALUE"""),8788.0)</f>
        <v>8788</v>
      </c>
      <c r="H3200" s="116">
        <f>IFERROR(__xludf.DUMMYFUNCTION("""COMPUTED_VALUE"""),45906.0)</f>
        <v>45906</v>
      </c>
      <c r="I3200" s="115" t="str">
        <f>IFERROR(__xludf.DUMMYFUNCTION("""COMPUTED_VALUE"""),"18")</f>
        <v>18</v>
      </c>
      <c r="J3200" s="115" t="str">
        <f>IFERROR(__xludf.DUMMYFUNCTION("""COMPUTED_VALUE"""),"Parag Kashyap2025-09-0618")</f>
        <v>Parag Kashyap2025-09-0618</v>
      </c>
      <c r="K3200" s="115">
        <f>IFERROR(__xludf.DUMMYFUNCTION("""COMPUTED_VALUE"""),303399.0)</f>
        <v>303399</v>
      </c>
    </row>
    <row r="3201">
      <c r="A3201" s="115" t="str">
        <f>IFERROR(__xludf.DUMMYFUNCTION("""COMPUTED_VALUE"""),"EAST")</f>
        <v>EAST</v>
      </c>
      <c r="B3201" s="115" t="str">
        <f>IFERROR(__xludf.DUMMYFUNCTION("""COMPUTED_VALUE"""),"Parag Kashyap")</f>
        <v>Parag Kashyap</v>
      </c>
      <c r="C3201" s="115" t="str">
        <f>IFERROR(__xludf.DUMMYFUNCTION("""COMPUTED_VALUE"""),"MYNTRA")</f>
        <v>MYNTRA</v>
      </c>
      <c r="D3201" s="115">
        <f>IFERROR(__xludf.DUMMYFUNCTION("""COMPUTED_VALUE"""),35555.0)</f>
        <v>35555</v>
      </c>
      <c r="E3201" s="115">
        <f>IFERROR(__xludf.DUMMYFUNCTION("""COMPUTED_VALUE"""),5201.0)</f>
        <v>5201</v>
      </c>
      <c r="F3201" s="115">
        <f>IFERROR(__xludf.DUMMYFUNCTION("""COMPUTED_VALUE"""),26598.0)</f>
        <v>26598</v>
      </c>
      <c r="G3201" s="115">
        <f>IFERROR(__xludf.DUMMYFUNCTION("""COMPUTED_VALUE"""),2384.0)</f>
        <v>2384</v>
      </c>
      <c r="H3201" s="116">
        <f>IFERROR(__xludf.DUMMYFUNCTION("""COMPUTED_VALUE"""),45906.0)</f>
        <v>45906</v>
      </c>
      <c r="I3201" s="115" t="str">
        <f>IFERROR(__xludf.DUMMYFUNCTION("""COMPUTED_VALUE"""),"18")</f>
        <v>18</v>
      </c>
      <c r="J3201" s="115" t="str">
        <f>IFERROR(__xludf.DUMMYFUNCTION("""COMPUTED_VALUE"""),"Parag Kashyap2025-09-0618")</f>
        <v>Parag Kashyap2025-09-0618</v>
      </c>
      <c r="K3201" s="115">
        <f>IFERROR(__xludf.DUMMYFUNCTION("""COMPUTED_VALUE"""),40756.0)</f>
        <v>40756</v>
      </c>
    </row>
    <row r="3202">
      <c r="A3202" s="115" t="str">
        <f>IFERROR(__xludf.DUMMYFUNCTION("""COMPUTED_VALUE"""),"NORTH")</f>
        <v>NORTH</v>
      </c>
      <c r="B3202" s="115" t="str">
        <f>IFERROR(__xludf.DUMMYFUNCTION("""COMPUTED_VALUE"""),"Amit Kumar Pathak")</f>
        <v>Amit Kumar Pathak</v>
      </c>
      <c r="C3202" s="115" t="str">
        <f>IFERROR(__xludf.DUMMYFUNCTION("""COMPUTED_VALUE"""),"EXTERNAL")</f>
        <v>EXTERNAL</v>
      </c>
      <c r="D3202" s="115">
        <f>IFERROR(__xludf.DUMMYFUNCTION("""COMPUTED_VALUE"""),29126.0)</f>
        <v>29126</v>
      </c>
      <c r="E3202" s="115">
        <f>IFERROR(__xludf.DUMMYFUNCTION("""COMPUTED_VALUE"""),3429.0)</f>
        <v>3429</v>
      </c>
      <c r="F3202" s="115">
        <f>IFERROR(__xludf.DUMMYFUNCTION("""COMPUTED_VALUE"""),9971.0)</f>
        <v>9971</v>
      </c>
      <c r="G3202" s="115">
        <f>IFERROR(__xludf.DUMMYFUNCTION("""COMPUTED_VALUE"""),1274.0)</f>
        <v>1274</v>
      </c>
      <c r="H3202" s="116">
        <f>IFERROR(__xludf.DUMMYFUNCTION("""COMPUTED_VALUE"""),45906.0)</f>
        <v>45906</v>
      </c>
      <c r="I3202" s="115" t="str">
        <f>IFERROR(__xludf.DUMMYFUNCTION("""COMPUTED_VALUE"""),"18")</f>
        <v>18</v>
      </c>
      <c r="J3202" s="115" t="str">
        <f>IFERROR(__xludf.DUMMYFUNCTION("""COMPUTED_VALUE"""),"Amit Kumar Pathak2025-09-0618")</f>
        <v>Amit Kumar Pathak2025-09-0618</v>
      </c>
      <c r="K3202" s="115">
        <f>IFERROR(__xludf.DUMMYFUNCTION("""COMPUTED_VALUE"""),32555.0)</f>
        <v>32555</v>
      </c>
    </row>
    <row r="3203">
      <c r="A3203" s="115" t="str">
        <f>IFERROR(__xludf.DUMMYFUNCTION("""COMPUTED_VALUE"""),"NORTH")</f>
        <v>NORTH</v>
      </c>
      <c r="B3203" s="115" t="str">
        <f>IFERROR(__xludf.DUMMYFUNCTION("""COMPUTED_VALUE"""),"Amit Kumar Pathak")</f>
        <v>Amit Kumar Pathak</v>
      </c>
      <c r="C3203" s="115" t="str">
        <f>IFERROR(__xludf.DUMMYFUNCTION("""COMPUTED_VALUE"""),"FLIPKART")</f>
        <v>FLIPKART</v>
      </c>
      <c r="D3203" s="115">
        <f>IFERROR(__xludf.DUMMYFUNCTION("""COMPUTED_VALUE"""),179337.0)</f>
        <v>179337</v>
      </c>
      <c r="E3203" s="115">
        <f>IFERROR(__xludf.DUMMYFUNCTION("""COMPUTED_VALUE"""),24207.0)</f>
        <v>24207</v>
      </c>
      <c r="F3203" s="115">
        <f>IFERROR(__xludf.DUMMYFUNCTION("""COMPUTED_VALUE"""),115423.0)</f>
        <v>115423</v>
      </c>
      <c r="G3203" s="115">
        <f>IFERROR(__xludf.DUMMYFUNCTION("""COMPUTED_VALUE"""),12261.0)</f>
        <v>12261</v>
      </c>
      <c r="H3203" s="116">
        <f>IFERROR(__xludf.DUMMYFUNCTION("""COMPUTED_VALUE"""),45906.0)</f>
        <v>45906</v>
      </c>
      <c r="I3203" s="115" t="str">
        <f>IFERROR(__xludf.DUMMYFUNCTION("""COMPUTED_VALUE"""),"18")</f>
        <v>18</v>
      </c>
      <c r="J3203" s="115" t="str">
        <f>IFERROR(__xludf.DUMMYFUNCTION("""COMPUTED_VALUE"""),"Amit Kumar Pathak2025-09-0618")</f>
        <v>Amit Kumar Pathak2025-09-0618</v>
      </c>
      <c r="K3203" s="115">
        <f>IFERROR(__xludf.DUMMYFUNCTION("""COMPUTED_VALUE"""),203544.0)</f>
        <v>203544</v>
      </c>
    </row>
    <row r="3204">
      <c r="A3204" s="115" t="str">
        <f>IFERROR(__xludf.DUMMYFUNCTION("""COMPUTED_VALUE"""),"NORTH")</f>
        <v>NORTH</v>
      </c>
      <c r="B3204" s="115" t="str">
        <f>IFERROR(__xludf.DUMMYFUNCTION("""COMPUTED_VALUE"""),"Amit Kumar Pathak")</f>
        <v>Amit Kumar Pathak</v>
      </c>
      <c r="C3204" s="115" t="str">
        <f>IFERROR(__xludf.DUMMYFUNCTION("""COMPUTED_VALUE"""),"MYNTRA")</f>
        <v>MYNTRA</v>
      </c>
      <c r="D3204" s="115">
        <f>IFERROR(__xludf.DUMMYFUNCTION("""COMPUTED_VALUE"""),17963.0)</f>
        <v>17963</v>
      </c>
      <c r="E3204" s="115">
        <f>IFERROR(__xludf.DUMMYFUNCTION("""COMPUTED_VALUE"""),6168.0)</f>
        <v>6168</v>
      </c>
      <c r="F3204" s="115">
        <f>IFERROR(__xludf.DUMMYFUNCTION("""COMPUTED_VALUE"""),13598.0)</f>
        <v>13598</v>
      </c>
      <c r="G3204" s="115">
        <f>IFERROR(__xludf.DUMMYFUNCTION("""COMPUTED_VALUE"""),3491.0)</f>
        <v>3491</v>
      </c>
      <c r="H3204" s="116">
        <f>IFERROR(__xludf.DUMMYFUNCTION("""COMPUTED_VALUE"""),45906.0)</f>
        <v>45906</v>
      </c>
      <c r="I3204" s="115" t="str">
        <f>IFERROR(__xludf.DUMMYFUNCTION("""COMPUTED_VALUE"""),"18")</f>
        <v>18</v>
      </c>
      <c r="J3204" s="115" t="str">
        <f>IFERROR(__xludf.DUMMYFUNCTION("""COMPUTED_VALUE"""),"Amit Kumar Pathak2025-09-0618")</f>
        <v>Amit Kumar Pathak2025-09-0618</v>
      </c>
      <c r="K3204" s="115">
        <f>IFERROR(__xludf.DUMMYFUNCTION("""COMPUTED_VALUE"""),24131.0)</f>
        <v>24131</v>
      </c>
    </row>
    <row r="3205">
      <c r="A3205" s="115" t="str">
        <f>IFERROR(__xludf.DUMMYFUNCTION("""COMPUTED_VALUE"""),"NORTH")</f>
        <v>NORTH</v>
      </c>
      <c r="B3205" s="115" t="str">
        <f>IFERROR(__xludf.DUMMYFUNCTION("""COMPUTED_VALUE"""),"Loveleen Singh")</f>
        <v>Loveleen Singh</v>
      </c>
      <c r="C3205" s="115" t="str">
        <f>IFERROR(__xludf.DUMMYFUNCTION("""COMPUTED_VALUE"""),"EXTERNAL")</f>
        <v>EXTERNAL</v>
      </c>
      <c r="D3205" s="115">
        <f>IFERROR(__xludf.DUMMYFUNCTION("""COMPUTED_VALUE"""),32153.0)</f>
        <v>32153</v>
      </c>
      <c r="E3205" s="115">
        <f>IFERROR(__xludf.DUMMYFUNCTION("""COMPUTED_VALUE"""),2035.0)</f>
        <v>2035</v>
      </c>
      <c r="F3205" s="115">
        <f>IFERROR(__xludf.DUMMYFUNCTION("""COMPUTED_VALUE"""),11089.0)</f>
        <v>11089</v>
      </c>
      <c r="G3205" s="115">
        <f>IFERROR(__xludf.DUMMYFUNCTION("""COMPUTED_VALUE"""),574.0)</f>
        <v>574</v>
      </c>
      <c r="H3205" s="116">
        <f>IFERROR(__xludf.DUMMYFUNCTION("""COMPUTED_VALUE"""),45906.0)</f>
        <v>45906</v>
      </c>
      <c r="I3205" s="115" t="str">
        <f>IFERROR(__xludf.DUMMYFUNCTION("""COMPUTED_VALUE"""),"18")</f>
        <v>18</v>
      </c>
      <c r="J3205" s="115" t="str">
        <f>IFERROR(__xludf.DUMMYFUNCTION("""COMPUTED_VALUE"""),"Loveleen Singh2025-09-0618")</f>
        <v>Loveleen Singh2025-09-0618</v>
      </c>
      <c r="K3205" s="115">
        <f>IFERROR(__xludf.DUMMYFUNCTION("""COMPUTED_VALUE"""),34188.0)</f>
        <v>34188</v>
      </c>
    </row>
    <row r="3206">
      <c r="A3206" s="115" t="str">
        <f>IFERROR(__xludf.DUMMYFUNCTION("""COMPUTED_VALUE"""),"NORTH")</f>
        <v>NORTH</v>
      </c>
      <c r="B3206" s="115" t="str">
        <f>IFERROR(__xludf.DUMMYFUNCTION("""COMPUTED_VALUE"""),"Loveleen Singh")</f>
        <v>Loveleen Singh</v>
      </c>
      <c r="C3206" s="115" t="str">
        <f>IFERROR(__xludf.DUMMYFUNCTION("""COMPUTED_VALUE"""),"FLIPKART")</f>
        <v>FLIPKART</v>
      </c>
      <c r="D3206" s="115">
        <f>IFERROR(__xludf.DUMMYFUNCTION("""COMPUTED_VALUE"""),158546.0)</f>
        <v>158546</v>
      </c>
      <c r="E3206" s="115">
        <f>IFERROR(__xludf.DUMMYFUNCTION("""COMPUTED_VALUE"""),15907.0)</f>
        <v>15907</v>
      </c>
      <c r="F3206" s="115">
        <f>IFERROR(__xludf.DUMMYFUNCTION("""COMPUTED_VALUE"""),109985.0)</f>
        <v>109985</v>
      </c>
      <c r="G3206" s="115">
        <f>IFERROR(__xludf.DUMMYFUNCTION("""COMPUTED_VALUE"""),7444.0)</f>
        <v>7444</v>
      </c>
      <c r="H3206" s="116">
        <f>IFERROR(__xludf.DUMMYFUNCTION("""COMPUTED_VALUE"""),45906.0)</f>
        <v>45906</v>
      </c>
      <c r="I3206" s="115" t="str">
        <f>IFERROR(__xludf.DUMMYFUNCTION("""COMPUTED_VALUE"""),"18")</f>
        <v>18</v>
      </c>
      <c r="J3206" s="115" t="str">
        <f>IFERROR(__xludf.DUMMYFUNCTION("""COMPUTED_VALUE"""),"Loveleen Singh2025-09-0618")</f>
        <v>Loveleen Singh2025-09-0618</v>
      </c>
      <c r="K3206" s="115">
        <f>IFERROR(__xludf.DUMMYFUNCTION("""COMPUTED_VALUE"""),174453.0)</f>
        <v>174453</v>
      </c>
    </row>
    <row r="3207">
      <c r="A3207" s="115" t="str">
        <f>IFERROR(__xludf.DUMMYFUNCTION("""COMPUTED_VALUE"""),"NORTH")</f>
        <v>NORTH</v>
      </c>
      <c r="B3207" s="115" t="str">
        <f>IFERROR(__xludf.DUMMYFUNCTION("""COMPUTED_VALUE"""),"Loveleen Singh")</f>
        <v>Loveleen Singh</v>
      </c>
      <c r="C3207" s="115" t="str">
        <f>IFERROR(__xludf.DUMMYFUNCTION("""COMPUTED_VALUE"""),"MYNTRA")</f>
        <v>MYNTRA</v>
      </c>
      <c r="D3207" s="115">
        <f>IFERROR(__xludf.DUMMYFUNCTION("""COMPUTED_VALUE"""),25862.0)</f>
        <v>25862</v>
      </c>
      <c r="E3207" s="115">
        <f>IFERROR(__xludf.DUMMYFUNCTION("""COMPUTED_VALUE"""),6411.0)</f>
        <v>6411</v>
      </c>
      <c r="F3207" s="115">
        <f>IFERROR(__xludf.DUMMYFUNCTION("""COMPUTED_VALUE"""),20045.0)</f>
        <v>20045</v>
      </c>
      <c r="G3207" s="115">
        <f>IFERROR(__xludf.DUMMYFUNCTION("""COMPUTED_VALUE"""),3323.0)</f>
        <v>3323</v>
      </c>
      <c r="H3207" s="116">
        <f>IFERROR(__xludf.DUMMYFUNCTION("""COMPUTED_VALUE"""),45906.0)</f>
        <v>45906</v>
      </c>
      <c r="I3207" s="115" t="str">
        <f>IFERROR(__xludf.DUMMYFUNCTION("""COMPUTED_VALUE"""),"18")</f>
        <v>18</v>
      </c>
      <c r="J3207" s="115" t="str">
        <f>IFERROR(__xludf.DUMMYFUNCTION("""COMPUTED_VALUE"""),"Loveleen Singh2025-09-0618")</f>
        <v>Loveleen Singh2025-09-0618</v>
      </c>
      <c r="K3207" s="115">
        <f>IFERROR(__xludf.DUMMYFUNCTION("""COMPUTED_VALUE"""),32273.0)</f>
        <v>32273</v>
      </c>
    </row>
    <row r="3208">
      <c r="A3208" s="115" t="str">
        <f>IFERROR(__xludf.DUMMYFUNCTION("""COMPUTED_VALUE"""),"NORTH")</f>
        <v>NORTH</v>
      </c>
      <c r="B3208" s="115" t="str">
        <f>IFERROR(__xludf.DUMMYFUNCTION("""COMPUTED_VALUE"""),"Manoj Harsh")</f>
        <v>Manoj Harsh</v>
      </c>
      <c r="C3208" s="115" t="str">
        <f>IFERROR(__xludf.DUMMYFUNCTION("""COMPUTED_VALUE"""),"EXTERNAL")</f>
        <v>EXTERNAL</v>
      </c>
      <c r="D3208" s="115">
        <f>IFERROR(__xludf.DUMMYFUNCTION("""COMPUTED_VALUE"""),38685.0)</f>
        <v>38685</v>
      </c>
      <c r="E3208" s="115">
        <f>IFERROR(__xludf.DUMMYFUNCTION("""COMPUTED_VALUE"""),2949.0)</f>
        <v>2949</v>
      </c>
      <c r="F3208" s="115">
        <f>IFERROR(__xludf.DUMMYFUNCTION("""COMPUTED_VALUE"""),15890.0)</f>
        <v>15890</v>
      </c>
      <c r="G3208" s="115">
        <f>IFERROR(__xludf.DUMMYFUNCTION("""COMPUTED_VALUE"""),759.0)</f>
        <v>759</v>
      </c>
      <c r="H3208" s="116">
        <f>IFERROR(__xludf.DUMMYFUNCTION("""COMPUTED_VALUE"""),45906.0)</f>
        <v>45906</v>
      </c>
      <c r="I3208" s="115" t="str">
        <f>IFERROR(__xludf.DUMMYFUNCTION("""COMPUTED_VALUE"""),"18")</f>
        <v>18</v>
      </c>
      <c r="J3208" s="115" t="str">
        <f>IFERROR(__xludf.DUMMYFUNCTION("""COMPUTED_VALUE"""),"Manoj Harsh2025-09-0618")</f>
        <v>Manoj Harsh2025-09-0618</v>
      </c>
      <c r="K3208" s="115">
        <f>IFERROR(__xludf.DUMMYFUNCTION("""COMPUTED_VALUE"""),41634.0)</f>
        <v>41634</v>
      </c>
    </row>
    <row r="3209">
      <c r="A3209" s="115" t="str">
        <f>IFERROR(__xludf.DUMMYFUNCTION("""COMPUTED_VALUE"""),"NORTH")</f>
        <v>NORTH</v>
      </c>
      <c r="B3209" s="115" t="str">
        <f>IFERROR(__xludf.DUMMYFUNCTION("""COMPUTED_VALUE"""),"Manoj Harsh")</f>
        <v>Manoj Harsh</v>
      </c>
      <c r="C3209" s="115" t="str">
        <f>IFERROR(__xludf.DUMMYFUNCTION("""COMPUTED_VALUE"""),"FLIPKART")</f>
        <v>FLIPKART</v>
      </c>
      <c r="D3209" s="115">
        <f>IFERROR(__xludf.DUMMYFUNCTION("""COMPUTED_VALUE"""),426772.0)</f>
        <v>426772</v>
      </c>
      <c r="E3209" s="115">
        <f>IFERROR(__xludf.DUMMYFUNCTION("""COMPUTED_VALUE"""),42414.0)</f>
        <v>42414</v>
      </c>
      <c r="F3209" s="115">
        <f>IFERROR(__xludf.DUMMYFUNCTION("""COMPUTED_VALUE"""),294113.0)</f>
        <v>294113</v>
      </c>
      <c r="G3209" s="115">
        <f>IFERROR(__xludf.DUMMYFUNCTION("""COMPUTED_VALUE"""),20439.0)</f>
        <v>20439</v>
      </c>
      <c r="H3209" s="116">
        <f>IFERROR(__xludf.DUMMYFUNCTION("""COMPUTED_VALUE"""),45906.0)</f>
        <v>45906</v>
      </c>
      <c r="I3209" s="115" t="str">
        <f>IFERROR(__xludf.DUMMYFUNCTION("""COMPUTED_VALUE"""),"18")</f>
        <v>18</v>
      </c>
      <c r="J3209" s="115" t="str">
        <f>IFERROR(__xludf.DUMMYFUNCTION("""COMPUTED_VALUE"""),"Manoj Harsh2025-09-0618")</f>
        <v>Manoj Harsh2025-09-0618</v>
      </c>
      <c r="K3209" s="115">
        <f>IFERROR(__xludf.DUMMYFUNCTION("""COMPUTED_VALUE"""),469186.0)</f>
        <v>469186</v>
      </c>
    </row>
    <row r="3210">
      <c r="A3210" s="115" t="str">
        <f>IFERROR(__xludf.DUMMYFUNCTION("""COMPUTED_VALUE"""),"NORTH")</f>
        <v>NORTH</v>
      </c>
      <c r="B3210" s="115" t="str">
        <f>IFERROR(__xludf.DUMMYFUNCTION("""COMPUTED_VALUE"""),"Manoj Harsh")</f>
        <v>Manoj Harsh</v>
      </c>
      <c r="C3210" s="115" t="str">
        <f>IFERROR(__xludf.DUMMYFUNCTION("""COMPUTED_VALUE"""),"MYNTRA")</f>
        <v>MYNTRA</v>
      </c>
      <c r="D3210" s="115">
        <f>IFERROR(__xludf.DUMMYFUNCTION("""COMPUTED_VALUE"""),39674.0)</f>
        <v>39674</v>
      </c>
      <c r="E3210" s="115">
        <f>IFERROR(__xludf.DUMMYFUNCTION("""COMPUTED_VALUE"""),7971.0)</f>
        <v>7971</v>
      </c>
      <c r="F3210" s="115">
        <f>IFERROR(__xludf.DUMMYFUNCTION("""COMPUTED_VALUE"""),30124.0)</f>
        <v>30124</v>
      </c>
      <c r="G3210" s="115">
        <f>IFERROR(__xludf.DUMMYFUNCTION("""COMPUTED_VALUE"""),4371.0)</f>
        <v>4371</v>
      </c>
      <c r="H3210" s="116">
        <f>IFERROR(__xludf.DUMMYFUNCTION("""COMPUTED_VALUE"""),45906.0)</f>
        <v>45906</v>
      </c>
      <c r="I3210" s="115" t="str">
        <f>IFERROR(__xludf.DUMMYFUNCTION("""COMPUTED_VALUE"""),"18")</f>
        <v>18</v>
      </c>
      <c r="J3210" s="115" t="str">
        <f>IFERROR(__xludf.DUMMYFUNCTION("""COMPUTED_VALUE"""),"Manoj Harsh2025-09-0618")</f>
        <v>Manoj Harsh2025-09-0618</v>
      </c>
      <c r="K3210" s="115">
        <f>IFERROR(__xludf.DUMMYFUNCTION("""COMPUTED_VALUE"""),47645.0)</f>
        <v>47645</v>
      </c>
    </row>
    <row r="3211">
      <c r="A3211" s="115" t="str">
        <f>IFERROR(__xludf.DUMMYFUNCTION("""COMPUTED_VALUE"""),"NORTH")</f>
        <v>NORTH</v>
      </c>
      <c r="B3211" s="115" t="str">
        <f>IFERROR(__xludf.DUMMYFUNCTION("""COMPUTED_VALUE"""),"Pradeep Kothari")</f>
        <v>Pradeep Kothari</v>
      </c>
      <c r="C3211" s="115" t="str">
        <f>IFERROR(__xludf.DUMMYFUNCTION("""COMPUTED_VALUE"""),"EXTERNAL")</f>
        <v>EXTERNAL</v>
      </c>
      <c r="D3211" s="115">
        <f>IFERROR(__xludf.DUMMYFUNCTION("""COMPUTED_VALUE"""),18842.0)</f>
        <v>18842</v>
      </c>
      <c r="E3211" s="115">
        <f>IFERROR(__xludf.DUMMYFUNCTION("""COMPUTED_VALUE"""),1894.0)</f>
        <v>1894</v>
      </c>
      <c r="F3211" s="115">
        <f>IFERROR(__xludf.DUMMYFUNCTION("""COMPUTED_VALUE"""),7379.0)</f>
        <v>7379</v>
      </c>
      <c r="G3211" s="115">
        <f>IFERROR(__xludf.DUMMYFUNCTION("""COMPUTED_VALUE"""),700.0)</f>
        <v>700</v>
      </c>
      <c r="H3211" s="116">
        <f>IFERROR(__xludf.DUMMYFUNCTION("""COMPUTED_VALUE"""),45906.0)</f>
        <v>45906</v>
      </c>
      <c r="I3211" s="115" t="str">
        <f>IFERROR(__xludf.DUMMYFUNCTION("""COMPUTED_VALUE"""),"18")</f>
        <v>18</v>
      </c>
      <c r="J3211" s="115" t="str">
        <f>IFERROR(__xludf.DUMMYFUNCTION("""COMPUTED_VALUE"""),"Pradeep Kothari2025-09-0618")</f>
        <v>Pradeep Kothari2025-09-0618</v>
      </c>
      <c r="K3211" s="115">
        <f>IFERROR(__xludf.DUMMYFUNCTION("""COMPUTED_VALUE"""),20736.0)</f>
        <v>20736</v>
      </c>
    </row>
    <row r="3212">
      <c r="A3212" s="115" t="str">
        <f>IFERROR(__xludf.DUMMYFUNCTION("""COMPUTED_VALUE"""),"NORTH")</f>
        <v>NORTH</v>
      </c>
      <c r="B3212" s="115" t="str">
        <f>IFERROR(__xludf.DUMMYFUNCTION("""COMPUTED_VALUE"""),"Pradeep Kothari")</f>
        <v>Pradeep Kothari</v>
      </c>
      <c r="C3212" s="115" t="str">
        <f>IFERROR(__xludf.DUMMYFUNCTION("""COMPUTED_VALUE"""),"FLIPKART")</f>
        <v>FLIPKART</v>
      </c>
      <c r="D3212" s="115">
        <f>IFERROR(__xludf.DUMMYFUNCTION("""COMPUTED_VALUE"""),135076.0)</f>
        <v>135076</v>
      </c>
      <c r="E3212" s="115">
        <f>IFERROR(__xludf.DUMMYFUNCTION("""COMPUTED_VALUE"""),16603.0)</f>
        <v>16603</v>
      </c>
      <c r="F3212" s="115">
        <f>IFERROR(__xludf.DUMMYFUNCTION("""COMPUTED_VALUE"""),96732.0)</f>
        <v>96732</v>
      </c>
      <c r="G3212" s="115">
        <f>IFERROR(__xludf.DUMMYFUNCTION("""COMPUTED_VALUE"""),9464.0)</f>
        <v>9464</v>
      </c>
      <c r="H3212" s="116">
        <f>IFERROR(__xludf.DUMMYFUNCTION("""COMPUTED_VALUE"""),45906.0)</f>
        <v>45906</v>
      </c>
      <c r="I3212" s="115" t="str">
        <f>IFERROR(__xludf.DUMMYFUNCTION("""COMPUTED_VALUE"""),"18")</f>
        <v>18</v>
      </c>
      <c r="J3212" s="115" t="str">
        <f>IFERROR(__xludf.DUMMYFUNCTION("""COMPUTED_VALUE"""),"Pradeep Kothari2025-09-0618")</f>
        <v>Pradeep Kothari2025-09-0618</v>
      </c>
      <c r="K3212" s="115">
        <f>IFERROR(__xludf.DUMMYFUNCTION("""COMPUTED_VALUE"""),151679.0)</f>
        <v>151679</v>
      </c>
    </row>
    <row r="3213">
      <c r="A3213" s="115" t="str">
        <f>IFERROR(__xludf.DUMMYFUNCTION("""COMPUTED_VALUE"""),"NORTH")</f>
        <v>NORTH</v>
      </c>
      <c r="B3213" s="115" t="str">
        <f>IFERROR(__xludf.DUMMYFUNCTION("""COMPUTED_VALUE"""),"Pradeep Kothari")</f>
        <v>Pradeep Kothari</v>
      </c>
      <c r="C3213" s="115" t="str">
        <f>IFERROR(__xludf.DUMMYFUNCTION("""COMPUTED_VALUE"""),"MYNTRA")</f>
        <v>MYNTRA</v>
      </c>
      <c r="D3213" s="115">
        <f>IFERROR(__xludf.DUMMYFUNCTION("""COMPUTED_VALUE"""),23312.0)</f>
        <v>23312</v>
      </c>
      <c r="E3213" s="115">
        <f>IFERROR(__xludf.DUMMYFUNCTION("""COMPUTED_VALUE"""),6043.0)</f>
        <v>6043</v>
      </c>
      <c r="F3213" s="115">
        <f>IFERROR(__xludf.DUMMYFUNCTION("""COMPUTED_VALUE"""),18627.0)</f>
        <v>18627</v>
      </c>
      <c r="G3213" s="115">
        <f>IFERROR(__xludf.DUMMYFUNCTION("""COMPUTED_VALUE"""),3806.0)</f>
        <v>3806</v>
      </c>
      <c r="H3213" s="116">
        <f>IFERROR(__xludf.DUMMYFUNCTION("""COMPUTED_VALUE"""),45906.0)</f>
        <v>45906</v>
      </c>
      <c r="I3213" s="115" t="str">
        <f>IFERROR(__xludf.DUMMYFUNCTION("""COMPUTED_VALUE"""),"18")</f>
        <v>18</v>
      </c>
      <c r="J3213" s="115" t="str">
        <f>IFERROR(__xludf.DUMMYFUNCTION("""COMPUTED_VALUE"""),"Pradeep Kothari2025-09-0618")</f>
        <v>Pradeep Kothari2025-09-0618</v>
      </c>
      <c r="K3213" s="115">
        <f>IFERROR(__xludf.DUMMYFUNCTION("""COMPUTED_VALUE"""),29355.0)</f>
        <v>29355</v>
      </c>
    </row>
    <row r="3214">
      <c r="A3214" s="115" t="str">
        <f>IFERROR(__xludf.DUMMYFUNCTION("""COMPUTED_VALUE"""),"SOUTH")</f>
        <v>SOUTH</v>
      </c>
      <c r="B3214" s="115" t="str">
        <f>IFERROR(__xludf.DUMMYFUNCTION("""COMPUTED_VALUE"""),"Kandula Sampath")</f>
        <v>Kandula Sampath</v>
      </c>
      <c r="C3214" s="115" t="str">
        <f>IFERROR(__xludf.DUMMYFUNCTION("""COMPUTED_VALUE"""),"EXTERNAL")</f>
        <v>EXTERNAL</v>
      </c>
      <c r="D3214" s="115">
        <f>IFERROR(__xludf.DUMMYFUNCTION("""COMPUTED_VALUE"""),34717.0)</f>
        <v>34717</v>
      </c>
      <c r="E3214" s="115">
        <f>IFERROR(__xludf.DUMMYFUNCTION("""COMPUTED_VALUE"""),2975.0)</f>
        <v>2975</v>
      </c>
      <c r="F3214" s="115">
        <f>IFERROR(__xludf.DUMMYFUNCTION("""COMPUTED_VALUE"""),14448.0)</f>
        <v>14448</v>
      </c>
      <c r="G3214" s="115">
        <f>IFERROR(__xludf.DUMMYFUNCTION("""COMPUTED_VALUE"""),920.0)</f>
        <v>920</v>
      </c>
      <c r="H3214" s="116">
        <f>IFERROR(__xludf.DUMMYFUNCTION("""COMPUTED_VALUE"""),45906.0)</f>
        <v>45906</v>
      </c>
      <c r="I3214" s="115" t="str">
        <f>IFERROR(__xludf.DUMMYFUNCTION("""COMPUTED_VALUE"""),"18")</f>
        <v>18</v>
      </c>
      <c r="J3214" s="115" t="str">
        <f>IFERROR(__xludf.DUMMYFUNCTION("""COMPUTED_VALUE"""),"Kandula Sampath2025-09-0618")</f>
        <v>Kandula Sampath2025-09-0618</v>
      </c>
      <c r="K3214" s="115">
        <f>IFERROR(__xludf.DUMMYFUNCTION("""COMPUTED_VALUE"""),37692.0)</f>
        <v>37692</v>
      </c>
    </row>
    <row r="3215">
      <c r="A3215" s="115" t="str">
        <f>IFERROR(__xludf.DUMMYFUNCTION("""COMPUTED_VALUE"""),"SOUTH")</f>
        <v>SOUTH</v>
      </c>
      <c r="B3215" s="115" t="str">
        <f>IFERROR(__xludf.DUMMYFUNCTION("""COMPUTED_VALUE"""),"Kandula Sampath")</f>
        <v>Kandula Sampath</v>
      </c>
      <c r="C3215" s="115" t="str">
        <f>IFERROR(__xludf.DUMMYFUNCTION("""COMPUTED_VALUE"""),"FLIPKART")</f>
        <v>FLIPKART</v>
      </c>
      <c r="D3215" s="115">
        <f>IFERROR(__xludf.DUMMYFUNCTION("""COMPUTED_VALUE"""),309260.0)</f>
        <v>309260</v>
      </c>
      <c r="E3215" s="115">
        <f>IFERROR(__xludf.DUMMYFUNCTION("""COMPUTED_VALUE"""),28374.0)</f>
        <v>28374</v>
      </c>
      <c r="F3215" s="115">
        <f>IFERROR(__xludf.DUMMYFUNCTION("""COMPUTED_VALUE"""),213576.0)</f>
        <v>213576</v>
      </c>
      <c r="G3215" s="115">
        <f>IFERROR(__xludf.DUMMYFUNCTION("""COMPUTED_VALUE"""),12498.0)</f>
        <v>12498</v>
      </c>
      <c r="H3215" s="116">
        <f>IFERROR(__xludf.DUMMYFUNCTION("""COMPUTED_VALUE"""),45906.0)</f>
        <v>45906</v>
      </c>
      <c r="I3215" s="115" t="str">
        <f>IFERROR(__xludf.DUMMYFUNCTION("""COMPUTED_VALUE"""),"18")</f>
        <v>18</v>
      </c>
      <c r="J3215" s="115" t="str">
        <f>IFERROR(__xludf.DUMMYFUNCTION("""COMPUTED_VALUE"""),"Kandula Sampath2025-09-0618")</f>
        <v>Kandula Sampath2025-09-0618</v>
      </c>
      <c r="K3215" s="115">
        <f>IFERROR(__xludf.DUMMYFUNCTION("""COMPUTED_VALUE"""),337634.0)</f>
        <v>337634</v>
      </c>
    </row>
    <row r="3216">
      <c r="A3216" s="115" t="str">
        <f>IFERROR(__xludf.DUMMYFUNCTION("""COMPUTED_VALUE"""),"SOUTH")</f>
        <v>SOUTH</v>
      </c>
      <c r="B3216" s="115" t="str">
        <f>IFERROR(__xludf.DUMMYFUNCTION("""COMPUTED_VALUE"""),"Kandula Sampath")</f>
        <v>Kandula Sampath</v>
      </c>
      <c r="C3216" s="115" t="str">
        <f>IFERROR(__xludf.DUMMYFUNCTION("""COMPUTED_VALUE"""),"MYNTRA")</f>
        <v>MYNTRA</v>
      </c>
      <c r="D3216" s="115">
        <f>IFERROR(__xludf.DUMMYFUNCTION("""COMPUTED_VALUE"""),36663.0)</f>
        <v>36663</v>
      </c>
      <c r="E3216" s="115">
        <f>IFERROR(__xludf.DUMMYFUNCTION("""COMPUTED_VALUE"""),7504.0)</f>
        <v>7504</v>
      </c>
      <c r="F3216" s="115">
        <f>IFERROR(__xludf.DUMMYFUNCTION("""COMPUTED_VALUE"""),28083.0)</f>
        <v>28083</v>
      </c>
      <c r="G3216" s="115">
        <f>IFERROR(__xludf.DUMMYFUNCTION("""COMPUTED_VALUE"""),3388.0)</f>
        <v>3388</v>
      </c>
      <c r="H3216" s="116">
        <f>IFERROR(__xludf.DUMMYFUNCTION("""COMPUTED_VALUE"""),45906.0)</f>
        <v>45906</v>
      </c>
      <c r="I3216" s="115" t="str">
        <f>IFERROR(__xludf.DUMMYFUNCTION("""COMPUTED_VALUE"""),"18")</f>
        <v>18</v>
      </c>
      <c r="J3216" s="115" t="str">
        <f>IFERROR(__xludf.DUMMYFUNCTION("""COMPUTED_VALUE"""),"Kandula Sampath2025-09-0618")</f>
        <v>Kandula Sampath2025-09-0618</v>
      </c>
      <c r="K3216" s="115">
        <f>IFERROR(__xludf.DUMMYFUNCTION("""COMPUTED_VALUE"""),44167.0)</f>
        <v>44167</v>
      </c>
    </row>
    <row r="3217">
      <c r="A3217" s="115" t="str">
        <f>IFERROR(__xludf.DUMMYFUNCTION("""COMPUTED_VALUE"""),"SOUTH")</f>
        <v>SOUTH</v>
      </c>
      <c r="B3217" s="115" t="str">
        <f>IFERROR(__xludf.DUMMYFUNCTION("""COMPUTED_VALUE"""),"Martin A")</f>
        <v>Martin A</v>
      </c>
      <c r="C3217" s="115" t="str">
        <f>IFERROR(__xludf.DUMMYFUNCTION("""COMPUTED_VALUE"""),"EXTERNAL")</f>
        <v>EXTERNAL</v>
      </c>
      <c r="D3217" s="115">
        <f>IFERROR(__xludf.DUMMYFUNCTION("""COMPUTED_VALUE"""),35183.0)</f>
        <v>35183</v>
      </c>
      <c r="E3217" s="115">
        <f>IFERROR(__xludf.DUMMYFUNCTION("""COMPUTED_VALUE"""),3282.0)</f>
        <v>3282</v>
      </c>
      <c r="F3217" s="115">
        <f>IFERROR(__xludf.DUMMYFUNCTION("""COMPUTED_VALUE"""),13691.0)</f>
        <v>13691</v>
      </c>
      <c r="G3217" s="115">
        <f>IFERROR(__xludf.DUMMYFUNCTION("""COMPUTED_VALUE"""),1379.0)</f>
        <v>1379</v>
      </c>
      <c r="H3217" s="116">
        <f>IFERROR(__xludf.DUMMYFUNCTION("""COMPUTED_VALUE"""),45906.0)</f>
        <v>45906</v>
      </c>
      <c r="I3217" s="115" t="str">
        <f>IFERROR(__xludf.DUMMYFUNCTION("""COMPUTED_VALUE"""),"18")</f>
        <v>18</v>
      </c>
      <c r="J3217" s="115" t="str">
        <f>IFERROR(__xludf.DUMMYFUNCTION("""COMPUTED_VALUE"""),"Martin A2025-09-0618")</f>
        <v>Martin A2025-09-0618</v>
      </c>
      <c r="K3217" s="115">
        <f>IFERROR(__xludf.DUMMYFUNCTION("""COMPUTED_VALUE"""),38465.0)</f>
        <v>38465</v>
      </c>
    </row>
    <row r="3218">
      <c r="A3218" s="115" t="str">
        <f>IFERROR(__xludf.DUMMYFUNCTION("""COMPUTED_VALUE"""),"SOUTH")</f>
        <v>SOUTH</v>
      </c>
      <c r="B3218" s="115" t="str">
        <f>IFERROR(__xludf.DUMMYFUNCTION("""COMPUTED_VALUE"""),"Martin A")</f>
        <v>Martin A</v>
      </c>
      <c r="C3218" s="115" t="str">
        <f>IFERROR(__xludf.DUMMYFUNCTION("""COMPUTED_VALUE"""),"FLIPKART")</f>
        <v>FLIPKART</v>
      </c>
      <c r="D3218" s="115">
        <f>IFERROR(__xludf.DUMMYFUNCTION("""COMPUTED_VALUE"""),296614.0)</f>
        <v>296614</v>
      </c>
      <c r="E3218" s="115">
        <f>IFERROR(__xludf.DUMMYFUNCTION("""COMPUTED_VALUE"""),25761.0)</f>
        <v>25761</v>
      </c>
      <c r="F3218" s="115">
        <f>IFERROR(__xludf.DUMMYFUNCTION("""COMPUTED_VALUE"""),198311.0)</f>
        <v>198311</v>
      </c>
      <c r="G3218" s="115">
        <f>IFERROR(__xludf.DUMMYFUNCTION("""COMPUTED_VALUE"""),12953.0)</f>
        <v>12953</v>
      </c>
      <c r="H3218" s="116">
        <f>IFERROR(__xludf.DUMMYFUNCTION("""COMPUTED_VALUE"""),45906.0)</f>
        <v>45906</v>
      </c>
      <c r="I3218" s="115" t="str">
        <f>IFERROR(__xludf.DUMMYFUNCTION("""COMPUTED_VALUE"""),"18")</f>
        <v>18</v>
      </c>
      <c r="J3218" s="115" t="str">
        <f>IFERROR(__xludf.DUMMYFUNCTION("""COMPUTED_VALUE"""),"Martin A2025-09-0618")</f>
        <v>Martin A2025-09-0618</v>
      </c>
      <c r="K3218" s="115">
        <f>IFERROR(__xludf.DUMMYFUNCTION("""COMPUTED_VALUE"""),322375.0)</f>
        <v>322375</v>
      </c>
    </row>
    <row r="3219">
      <c r="A3219" s="115" t="str">
        <f>IFERROR(__xludf.DUMMYFUNCTION("""COMPUTED_VALUE"""),"SOUTH")</f>
        <v>SOUTH</v>
      </c>
      <c r="B3219" s="115" t="str">
        <f>IFERROR(__xludf.DUMMYFUNCTION("""COMPUTED_VALUE"""),"Martin A")</f>
        <v>Martin A</v>
      </c>
      <c r="C3219" s="115" t="str">
        <f>IFERROR(__xludf.DUMMYFUNCTION("""COMPUTED_VALUE"""),"MYNTRA")</f>
        <v>MYNTRA</v>
      </c>
      <c r="D3219" s="115">
        <f>IFERROR(__xludf.DUMMYFUNCTION("""COMPUTED_VALUE"""),29433.0)</f>
        <v>29433</v>
      </c>
      <c r="E3219" s="115">
        <f>IFERROR(__xludf.DUMMYFUNCTION("""COMPUTED_VALUE"""),6296.0)</f>
        <v>6296</v>
      </c>
      <c r="F3219" s="115">
        <f>IFERROR(__xludf.DUMMYFUNCTION("""COMPUTED_VALUE"""),22080.0)</f>
        <v>22080</v>
      </c>
      <c r="G3219" s="115">
        <f>IFERROR(__xludf.DUMMYFUNCTION("""COMPUTED_VALUE"""),3363.0)</f>
        <v>3363</v>
      </c>
      <c r="H3219" s="116">
        <f>IFERROR(__xludf.DUMMYFUNCTION("""COMPUTED_VALUE"""),45906.0)</f>
        <v>45906</v>
      </c>
      <c r="I3219" s="115" t="str">
        <f>IFERROR(__xludf.DUMMYFUNCTION("""COMPUTED_VALUE"""),"18")</f>
        <v>18</v>
      </c>
      <c r="J3219" s="115" t="str">
        <f>IFERROR(__xludf.DUMMYFUNCTION("""COMPUTED_VALUE"""),"Martin A2025-09-0618")</f>
        <v>Martin A2025-09-0618</v>
      </c>
      <c r="K3219" s="115">
        <f>IFERROR(__xludf.DUMMYFUNCTION("""COMPUTED_VALUE"""),35729.0)</f>
        <v>35729</v>
      </c>
    </row>
    <row r="3220">
      <c r="A3220" s="115" t="str">
        <f>IFERROR(__xludf.DUMMYFUNCTION("""COMPUTED_VALUE"""),"SOUTH")</f>
        <v>SOUTH</v>
      </c>
      <c r="B3220" s="115" t="str">
        <f>IFERROR(__xludf.DUMMYFUNCTION("""COMPUTED_VALUE"""),"Premkumar M")</f>
        <v>Premkumar M</v>
      </c>
      <c r="C3220" s="115" t="str">
        <f>IFERROR(__xludf.DUMMYFUNCTION("""COMPUTED_VALUE"""),"EXTERNAL")</f>
        <v>EXTERNAL</v>
      </c>
      <c r="D3220" s="115">
        <f>IFERROR(__xludf.DUMMYFUNCTION("""COMPUTED_VALUE"""),30220.0)</f>
        <v>30220</v>
      </c>
      <c r="E3220" s="115">
        <f>IFERROR(__xludf.DUMMYFUNCTION("""COMPUTED_VALUE"""),1768.0)</f>
        <v>1768</v>
      </c>
      <c r="F3220" s="115">
        <f>IFERROR(__xludf.DUMMYFUNCTION("""COMPUTED_VALUE"""),13478.0)</f>
        <v>13478</v>
      </c>
      <c r="G3220" s="115">
        <f>IFERROR(__xludf.DUMMYFUNCTION("""COMPUTED_VALUE"""),387.0)</f>
        <v>387</v>
      </c>
      <c r="H3220" s="116">
        <f>IFERROR(__xludf.DUMMYFUNCTION("""COMPUTED_VALUE"""),45906.0)</f>
        <v>45906</v>
      </c>
      <c r="I3220" s="115" t="str">
        <f>IFERROR(__xludf.DUMMYFUNCTION("""COMPUTED_VALUE"""),"18")</f>
        <v>18</v>
      </c>
      <c r="J3220" s="115" t="str">
        <f>IFERROR(__xludf.DUMMYFUNCTION("""COMPUTED_VALUE"""),"Premkumar M2025-09-0618")</f>
        <v>Premkumar M2025-09-0618</v>
      </c>
      <c r="K3220" s="115">
        <f>IFERROR(__xludf.DUMMYFUNCTION("""COMPUTED_VALUE"""),31988.0)</f>
        <v>31988</v>
      </c>
    </row>
    <row r="3221">
      <c r="A3221" s="115" t="str">
        <f>IFERROR(__xludf.DUMMYFUNCTION("""COMPUTED_VALUE"""),"SOUTH")</f>
        <v>SOUTH</v>
      </c>
      <c r="B3221" s="115" t="str">
        <f>IFERROR(__xludf.DUMMYFUNCTION("""COMPUTED_VALUE"""),"Premkumar M")</f>
        <v>Premkumar M</v>
      </c>
      <c r="C3221" s="115" t="str">
        <f>IFERROR(__xludf.DUMMYFUNCTION("""COMPUTED_VALUE"""),"FLIPKART")</f>
        <v>FLIPKART</v>
      </c>
      <c r="D3221" s="115">
        <f>IFERROR(__xludf.DUMMYFUNCTION("""COMPUTED_VALUE"""),278520.0)</f>
        <v>278520</v>
      </c>
      <c r="E3221" s="115">
        <f>IFERROR(__xludf.DUMMYFUNCTION("""COMPUTED_VALUE"""),19529.0)</f>
        <v>19529</v>
      </c>
      <c r="F3221" s="115">
        <f>IFERROR(__xludf.DUMMYFUNCTION("""COMPUTED_VALUE"""),187573.0)</f>
        <v>187573</v>
      </c>
      <c r="G3221" s="115">
        <f>IFERROR(__xludf.DUMMYFUNCTION("""COMPUTED_VALUE"""),5955.0)</f>
        <v>5955</v>
      </c>
      <c r="H3221" s="116">
        <f>IFERROR(__xludf.DUMMYFUNCTION("""COMPUTED_VALUE"""),45906.0)</f>
        <v>45906</v>
      </c>
      <c r="I3221" s="115" t="str">
        <f>IFERROR(__xludf.DUMMYFUNCTION("""COMPUTED_VALUE"""),"18")</f>
        <v>18</v>
      </c>
      <c r="J3221" s="115" t="str">
        <f>IFERROR(__xludf.DUMMYFUNCTION("""COMPUTED_VALUE"""),"Premkumar M2025-09-0618")</f>
        <v>Premkumar M2025-09-0618</v>
      </c>
      <c r="K3221" s="115">
        <f>IFERROR(__xludf.DUMMYFUNCTION("""COMPUTED_VALUE"""),298049.0)</f>
        <v>298049</v>
      </c>
    </row>
    <row r="3222">
      <c r="A3222" s="115" t="str">
        <f>IFERROR(__xludf.DUMMYFUNCTION("""COMPUTED_VALUE"""),"SOUTH")</f>
        <v>SOUTH</v>
      </c>
      <c r="B3222" s="115" t="str">
        <f>IFERROR(__xludf.DUMMYFUNCTION("""COMPUTED_VALUE"""),"Premkumar M")</f>
        <v>Premkumar M</v>
      </c>
      <c r="C3222" s="115" t="str">
        <f>IFERROR(__xludf.DUMMYFUNCTION("""COMPUTED_VALUE"""),"MYNTRA")</f>
        <v>MYNTRA</v>
      </c>
      <c r="D3222" s="115">
        <f>IFERROR(__xludf.DUMMYFUNCTION("""COMPUTED_VALUE"""),15677.0)</f>
        <v>15677</v>
      </c>
      <c r="E3222" s="115">
        <f>IFERROR(__xludf.DUMMYFUNCTION("""COMPUTED_VALUE"""),3031.0)</f>
        <v>3031</v>
      </c>
      <c r="F3222" s="115">
        <f>IFERROR(__xludf.DUMMYFUNCTION("""COMPUTED_VALUE"""),11809.0)</f>
        <v>11809</v>
      </c>
      <c r="G3222" s="115">
        <f>IFERROR(__xludf.DUMMYFUNCTION("""COMPUTED_VALUE"""),1016.0)</f>
        <v>1016</v>
      </c>
      <c r="H3222" s="116">
        <f>IFERROR(__xludf.DUMMYFUNCTION("""COMPUTED_VALUE"""),45906.0)</f>
        <v>45906</v>
      </c>
      <c r="I3222" s="115" t="str">
        <f>IFERROR(__xludf.DUMMYFUNCTION("""COMPUTED_VALUE"""),"18")</f>
        <v>18</v>
      </c>
      <c r="J3222" s="115" t="str">
        <f>IFERROR(__xludf.DUMMYFUNCTION("""COMPUTED_VALUE"""),"Premkumar M2025-09-0618")</f>
        <v>Premkumar M2025-09-0618</v>
      </c>
      <c r="K3222" s="115">
        <f>IFERROR(__xludf.DUMMYFUNCTION("""COMPUTED_VALUE"""),18708.0)</f>
        <v>18708</v>
      </c>
    </row>
    <row r="3223">
      <c r="A3223" s="115" t="str">
        <f>IFERROR(__xludf.DUMMYFUNCTION("""COMPUTED_VALUE"""),"SOUTH")</f>
        <v>SOUTH</v>
      </c>
      <c r="B3223" s="115" t="str">
        <f>IFERROR(__xludf.DUMMYFUNCTION("""COMPUTED_VALUE"""),"Vineeth V")</f>
        <v>Vineeth V</v>
      </c>
      <c r="C3223" s="115" t="str">
        <f>IFERROR(__xludf.DUMMYFUNCTION("""COMPUTED_VALUE"""),"EXTERNAL")</f>
        <v>EXTERNAL</v>
      </c>
      <c r="D3223" s="115">
        <f>IFERROR(__xludf.DUMMYFUNCTION("""COMPUTED_VALUE"""),26437.0)</f>
        <v>26437</v>
      </c>
      <c r="E3223" s="115">
        <f>IFERROR(__xludf.DUMMYFUNCTION("""COMPUTED_VALUE"""),686.0)</f>
        <v>686</v>
      </c>
      <c r="F3223" s="115">
        <f>IFERROR(__xludf.DUMMYFUNCTION("""COMPUTED_VALUE"""),12829.0)</f>
        <v>12829</v>
      </c>
      <c r="G3223" s="115">
        <f>IFERROR(__xludf.DUMMYFUNCTION("""COMPUTED_VALUE"""),168.0)</f>
        <v>168</v>
      </c>
      <c r="H3223" s="116">
        <f>IFERROR(__xludf.DUMMYFUNCTION("""COMPUTED_VALUE"""),45906.0)</f>
        <v>45906</v>
      </c>
      <c r="I3223" s="115" t="str">
        <f>IFERROR(__xludf.DUMMYFUNCTION("""COMPUTED_VALUE"""),"18")</f>
        <v>18</v>
      </c>
      <c r="J3223" s="115" t="str">
        <f>IFERROR(__xludf.DUMMYFUNCTION("""COMPUTED_VALUE"""),"Vineeth V2025-09-0618")</f>
        <v>Vineeth V2025-09-0618</v>
      </c>
      <c r="K3223" s="115">
        <f>IFERROR(__xludf.DUMMYFUNCTION("""COMPUTED_VALUE"""),27123.0)</f>
        <v>27123</v>
      </c>
    </row>
    <row r="3224">
      <c r="A3224" s="115" t="str">
        <f>IFERROR(__xludf.DUMMYFUNCTION("""COMPUTED_VALUE"""),"SOUTH")</f>
        <v>SOUTH</v>
      </c>
      <c r="B3224" s="115" t="str">
        <f>IFERROR(__xludf.DUMMYFUNCTION("""COMPUTED_VALUE"""),"Vineeth V")</f>
        <v>Vineeth V</v>
      </c>
      <c r="C3224" s="115" t="str">
        <f>IFERROR(__xludf.DUMMYFUNCTION("""COMPUTED_VALUE"""),"FLIPKART")</f>
        <v>FLIPKART</v>
      </c>
      <c r="D3224" s="115">
        <f>IFERROR(__xludf.DUMMYFUNCTION("""COMPUTED_VALUE"""),218092.0)</f>
        <v>218092</v>
      </c>
      <c r="E3224" s="115">
        <f>IFERROR(__xludf.DUMMYFUNCTION("""COMPUTED_VALUE"""),15893.0)</f>
        <v>15893</v>
      </c>
      <c r="F3224" s="115">
        <f>IFERROR(__xludf.DUMMYFUNCTION("""COMPUTED_VALUE"""),154712.0)</f>
        <v>154712</v>
      </c>
      <c r="G3224" s="115">
        <f>IFERROR(__xludf.DUMMYFUNCTION("""COMPUTED_VALUE"""),3793.0)</f>
        <v>3793</v>
      </c>
      <c r="H3224" s="116">
        <f>IFERROR(__xludf.DUMMYFUNCTION("""COMPUTED_VALUE"""),45906.0)</f>
        <v>45906</v>
      </c>
      <c r="I3224" s="115" t="str">
        <f>IFERROR(__xludf.DUMMYFUNCTION("""COMPUTED_VALUE"""),"18")</f>
        <v>18</v>
      </c>
      <c r="J3224" s="115" t="str">
        <f>IFERROR(__xludf.DUMMYFUNCTION("""COMPUTED_VALUE"""),"Vineeth V2025-09-0618")</f>
        <v>Vineeth V2025-09-0618</v>
      </c>
      <c r="K3224" s="115">
        <f>IFERROR(__xludf.DUMMYFUNCTION("""COMPUTED_VALUE"""),233985.0)</f>
        <v>233985</v>
      </c>
    </row>
    <row r="3225">
      <c r="A3225" s="115" t="str">
        <f>IFERROR(__xludf.DUMMYFUNCTION("""COMPUTED_VALUE"""),"SOUTH")</f>
        <v>SOUTH</v>
      </c>
      <c r="B3225" s="115" t="str">
        <f>IFERROR(__xludf.DUMMYFUNCTION("""COMPUTED_VALUE"""),"Vineeth V")</f>
        <v>Vineeth V</v>
      </c>
      <c r="C3225" s="115" t="str">
        <f>IFERROR(__xludf.DUMMYFUNCTION("""COMPUTED_VALUE"""),"MYNTRA")</f>
        <v>MYNTRA</v>
      </c>
      <c r="D3225" s="115">
        <f>IFERROR(__xludf.DUMMYFUNCTION("""COMPUTED_VALUE"""),28314.0)</f>
        <v>28314</v>
      </c>
      <c r="E3225" s="115">
        <f>IFERROR(__xludf.DUMMYFUNCTION("""COMPUTED_VALUE"""),4071.0)</f>
        <v>4071</v>
      </c>
      <c r="F3225" s="115">
        <f>IFERROR(__xludf.DUMMYFUNCTION("""COMPUTED_VALUE"""),21796.0)</f>
        <v>21796</v>
      </c>
      <c r="G3225" s="115">
        <f>IFERROR(__xludf.DUMMYFUNCTION("""COMPUTED_VALUE"""),1095.0)</f>
        <v>1095</v>
      </c>
      <c r="H3225" s="116">
        <f>IFERROR(__xludf.DUMMYFUNCTION("""COMPUTED_VALUE"""),45906.0)</f>
        <v>45906</v>
      </c>
      <c r="I3225" s="115" t="str">
        <f>IFERROR(__xludf.DUMMYFUNCTION("""COMPUTED_VALUE"""),"18")</f>
        <v>18</v>
      </c>
      <c r="J3225" s="115" t="str">
        <f>IFERROR(__xludf.DUMMYFUNCTION("""COMPUTED_VALUE"""),"Vineeth V2025-09-0618")</f>
        <v>Vineeth V2025-09-0618</v>
      </c>
      <c r="K3225" s="115">
        <f>IFERROR(__xludf.DUMMYFUNCTION("""COMPUTED_VALUE"""),32385.0)</f>
        <v>32385</v>
      </c>
    </row>
    <row r="3226">
      <c r="A3226" s="115" t="str">
        <f>IFERROR(__xludf.DUMMYFUNCTION("""COMPUTED_VALUE"""),"WEST")</f>
        <v>WEST</v>
      </c>
      <c r="B3226" s="115" t="str">
        <f>IFERROR(__xludf.DUMMYFUNCTION("""COMPUTED_VALUE"""),"Ashish Jakar")</f>
        <v>Ashish Jakar</v>
      </c>
      <c r="C3226" s="115" t="str">
        <f>IFERROR(__xludf.DUMMYFUNCTION("""COMPUTED_VALUE"""),"EXTERNAL")</f>
        <v>EXTERNAL</v>
      </c>
      <c r="D3226" s="115">
        <f>IFERROR(__xludf.DUMMYFUNCTION("""COMPUTED_VALUE"""),47892.0)</f>
        <v>47892</v>
      </c>
      <c r="E3226" s="115">
        <f>IFERROR(__xludf.DUMMYFUNCTION("""COMPUTED_VALUE"""),5591.0)</f>
        <v>5591</v>
      </c>
      <c r="F3226" s="115">
        <f>IFERROR(__xludf.DUMMYFUNCTION("""COMPUTED_VALUE"""),19818.0)</f>
        <v>19818</v>
      </c>
      <c r="G3226" s="115">
        <f>IFERROR(__xludf.DUMMYFUNCTION("""COMPUTED_VALUE"""),2298.0)</f>
        <v>2298</v>
      </c>
      <c r="H3226" s="116">
        <f>IFERROR(__xludf.DUMMYFUNCTION("""COMPUTED_VALUE"""),45906.0)</f>
        <v>45906</v>
      </c>
      <c r="I3226" s="115" t="str">
        <f>IFERROR(__xludf.DUMMYFUNCTION("""COMPUTED_VALUE"""),"18")</f>
        <v>18</v>
      </c>
      <c r="J3226" s="115" t="str">
        <f>IFERROR(__xludf.DUMMYFUNCTION("""COMPUTED_VALUE"""),"Ashish Jakar2025-09-0618")</f>
        <v>Ashish Jakar2025-09-0618</v>
      </c>
      <c r="K3226" s="115">
        <f>IFERROR(__xludf.DUMMYFUNCTION("""COMPUTED_VALUE"""),53483.0)</f>
        <v>53483</v>
      </c>
    </row>
    <row r="3227">
      <c r="A3227" s="115" t="str">
        <f>IFERROR(__xludf.DUMMYFUNCTION("""COMPUTED_VALUE"""),"WEST")</f>
        <v>WEST</v>
      </c>
      <c r="B3227" s="115" t="str">
        <f>IFERROR(__xludf.DUMMYFUNCTION("""COMPUTED_VALUE"""),"Ashish Jakar")</f>
        <v>Ashish Jakar</v>
      </c>
      <c r="C3227" s="115" t="str">
        <f>IFERROR(__xludf.DUMMYFUNCTION("""COMPUTED_VALUE"""),"FLIPKART")</f>
        <v>FLIPKART</v>
      </c>
      <c r="D3227" s="115">
        <f>IFERROR(__xludf.DUMMYFUNCTION("""COMPUTED_VALUE"""),235992.0)</f>
        <v>235992</v>
      </c>
      <c r="E3227" s="115">
        <f>IFERROR(__xludf.DUMMYFUNCTION("""COMPUTED_VALUE"""),27708.0)</f>
        <v>27708</v>
      </c>
      <c r="F3227" s="115">
        <f>IFERROR(__xludf.DUMMYFUNCTION("""COMPUTED_VALUE"""),164522.0)</f>
        <v>164522</v>
      </c>
      <c r="G3227" s="115">
        <f>IFERROR(__xludf.DUMMYFUNCTION("""COMPUTED_VALUE"""),15033.0)</f>
        <v>15033</v>
      </c>
      <c r="H3227" s="116">
        <f>IFERROR(__xludf.DUMMYFUNCTION("""COMPUTED_VALUE"""),45906.0)</f>
        <v>45906</v>
      </c>
      <c r="I3227" s="115" t="str">
        <f>IFERROR(__xludf.DUMMYFUNCTION("""COMPUTED_VALUE"""),"18")</f>
        <v>18</v>
      </c>
      <c r="J3227" s="115" t="str">
        <f>IFERROR(__xludf.DUMMYFUNCTION("""COMPUTED_VALUE"""),"Ashish Jakar2025-09-0618")</f>
        <v>Ashish Jakar2025-09-0618</v>
      </c>
      <c r="K3227" s="115">
        <f>IFERROR(__xludf.DUMMYFUNCTION("""COMPUTED_VALUE"""),263700.0)</f>
        <v>263700</v>
      </c>
    </row>
    <row r="3228">
      <c r="A3228" s="115" t="str">
        <f>IFERROR(__xludf.DUMMYFUNCTION("""COMPUTED_VALUE"""),"WEST")</f>
        <v>WEST</v>
      </c>
      <c r="B3228" s="115" t="str">
        <f>IFERROR(__xludf.DUMMYFUNCTION("""COMPUTED_VALUE"""),"Ashish Jakar")</f>
        <v>Ashish Jakar</v>
      </c>
      <c r="C3228" s="115" t="str">
        <f>IFERROR(__xludf.DUMMYFUNCTION("""COMPUTED_VALUE"""),"MYNTRA")</f>
        <v>MYNTRA</v>
      </c>
      <c r="D3228" s="115">
        <f>IFERROR(__xludf.DUMMYFUNCTION("""COMPUTED_VALUE"""),33831.0)</f>
        <v>33831</v>
      </c>
      <c r="E3228" s="115">
        <f>IFERROR(__xludf.DUMMYFUNCTION("""COMPUTED_VALUE"""),9006.0)</f>
        <v>9006</v>
      </c>
      <c r="F3228" s="115">
        <f>IFERROR(__xludf.DUMMYFUNCTION("""COMPUTED_VALUE"""),27084.0)</f>
        <v>27084</v>
      </c>
      <c r="G3228" s="115">
        <f>IFERROR(__xludf.DUMMYFUNCTION("""COMPUTED_VALUE"""),5244.0)</f>
        <v>5244</v>
      </c>
      <c r="H3228" s="116">
        <f>IFERROR(__xludf.DUMMYFUNCTION("""COMPUTED_VALUE"""),45906.0)</f>
        <v>45906</v>
      </c>
      <c r="I3228" s="115" t="str">
        <f>IFERROR(__xludf.DUMMYFUNCTION("""COMPUTED_VALUE"""),"18")</f>
        <v>18</v>
      </c>
      <c r="J3228" s="115" t="str">
        <f>IFERROR(__xludf.DUMMYFUNCTION("""COMPUTED_VALUE"""),"Ashish Jakar2025-09-0618")</f>
        <v>Ashish Jakar2025-09-0618</v>
      </c>
      <c r="K3228" s="115">
        <f>IFERROR(__xludf.DUMMYFUNCTION("""COMPUTED_VALUE"""),42837.0)</f>
        <v>42837</v>
      </c>
    </row>
    <row r="3229">
      <c r="A3229" s="115" t="str">
        <f>IFERROR(__xludf.DUMMYFUNCTION("""COMPUTED_VALUE"""),"WEST")</f>
        <v>WEST</v>
      </c>
      <c r="B3229" s="115" t="str">
        <f>IFERROR(__xludf.DUMMYFUNCTION("""COMPUTED_VALUE"""),"Ashvani Bhatt")</f>
        <v>Ashvani Bhatt</v>
      </c>
      <c r="C3229" s="115" t="str">
        <f>IFERROR(__xludf.DUMMYFUNCTION("""COMPUTED_VALUE"""),"EXTERNAL")</f>
        <v>EXTERNAL</v>
      </c>
      <c r="D3229" s="115">
        <f>IFERROR(__xludf.DUMMYFUNCTION("""COMPUTED_VALUE"""),35159.0)</f>
        <v>35159</v>
      </c>
      <c r="E3229" s="115">
        <f>IFERROR(__xludf.DUMMYFUNCTION("""COMPUTED_VALUE"""),2908.0)</f>
        <v>2908</v>
      </c>
      <c r="F3229" s="115">
        <f>IFERROR(__xludf.DUMMYFUNCTION("""COMPUTED_VALUE"""),13817.0)</f>
        <v>13817</v>
      </c>
      <c r="G3229" s="115">
        <f>IFERROR(__xludf.DUMMYFUNCTION("""COMPUTED_VALUE"""),895.0)</f>
        <v>895</v>
      </c>
      <c r="H3229" s="116">
        <f>IFERROR(__xludf.DUMMYFUNCTION("""COMPUTED_VALUE"""),45906.0)</f>
        <v>45906</v>
      </c>
      <c r="I3229" s="115" t="str">
        <f>IFERROR(__xludf.DUMMYFUNCTION("""COMPUTED_VALUE"""),"18")</f>
        <v>18</v>
      </c>
      <c r="J3229" s="115" t="str">
        <f>IFERROR(__xludf.DUMMYFUNCTION("""COMPUTED_VALUE"""),"Ashvani Bhatt2025-09-0618")</f>
        <v>Ashvani Bhatt2025-09-0618</v>
      </c>
      <c r="K3229" s="115">
        <f>IFERROR(__xludf.DUMMYFUNCTION("""COMPUTED_VALUE"""),38067.0)</f>
        <v>38067</v>
      </c>
    </row>
    <row r="3230">
      <c r="A3230" s="115" t="str">
        <f>IFERROR(__xludf.DUMMYFUNCTION("""COMPUTED_VALUE"""),"WEST")</f>
        <v>WEST</v>
      </c>
      <c r="B3230" s="115" t="str">
        <f>IFERROR(__xludf.DUMMYFUNCTION("""COMPUTED_VALUE"""),"Ashvani Bhatt")</f>
        <v>Ashvani Bhatt</v>
      </c>
      <c r="C3230" s="115" t="str">
        <f>IFERROR(__xludf.DUMMYFUNCTION("""COMPUTED_VALUE"""),"FLIPKART")</f>
        <v>FLIPKART</v>
      </c>
      <c r="D3230" s="115">
        <f>IFERROR(__xludf.DUMMYFUNCTION("""COMPUTED_VALUE"""),248974.0)</f>
        <v>248974</v>
      </c>
      <c r="E3230" s="115">
        <f>IFERROR(__xludf.DUMMYFUNCTION("""COMPUTED_VALUE"""),26742.0)</f>
        <v>26742</v>
      </c>
      <c r="F3230" s="115">
        <f>IFERROR(__xludf.DUMMYFUNCTION("""COMPUTED_VALUE"""),171741.0)</f>
        <v>171741</v>
      </c>
      <c r="G3230" s="115">
        <f>IFERROR(__xludf.DUMMYFUNCTION("""COMPUTED_VALUE"""),13229.0)</f>
        <v>13229</v>
      </c>
      <c r="H3230" s="116">
        <f>IFERROR(__xludf.DUMMYFUNCTION("""COMPUTED_VALUE"""),45906.0)</f>
        <v>45906</v>
      </c>
      <c r="I3230" s="115" t="str">
        <f>IFERROR(__xludf.DUMMYFUNCTION("""COMPUTED_VALUE"""),"18")</f>
        <v>18</v>
      </c>
      <c r="J3230" s="115" t="str">
        <f>IFERROR(__xludf.DUMMYFUNCTION("""COMPUTED_VALUE"""),"Ashvani Bhatt2025-09-0618")</f>
        <v>Ashvani Bhatt2025-09-0618</v>
      </c>
      <c r="K3230" s="115">
        <f>IFERROR(__xludf.DUMMYFUNCTION("""COMPUTED_VALUE"""),275716.0)</f>
        <v>275716</v>
      </c>
    </row>
    <row r="3231">
      <c r="A3231" s="115" t="str">
        <f>IFERROR(__xludf.DUMMYFUNCTION("""COMPUTED_VALUE"""),"WEST")</f>
        <v>WEST</v>
      </c>
      <c r="B3231" s="115" t="str">
        <f>IFERROR(__xludf.DUMMYFUNCTION("""COMPUTED_VALUE"""),"Ashvani Bhatt")</f>
        <v>Ashvani Bhatt</v>
      </c>
      <c r="C3231" s="115" t="str">
        <f>IFERROR(__xludf.DUMMYFUNCTION("""COMPUTED_VALUE"""),"MYNTRA")</f>
        <v>MYNTRA</v>
      </c>
      <c r="D3231" s="115">
        <f>IFERROR(__xludf.DUMMYFUNCTION("""COMPUTED_VALUE"""),31186.0)</f>
        <v>31186</v>
      </c>
      <c r="E3231" s="115">
        <f>IFERROR(__xludf.DUMMYFUNCTION("""COMPUTED_VALUE"""),7959.0)</f>
        <v>7959</v>
      </c>
      <c r="F3231" s="115">
        <f>IFERROR(__xludf.DUMMYFUNCTION("""COMPUTED_VALUE"""),24997.0)</f>
        <v>24997</v>
      </c>
      <c r="G3231" s="115">
        <f>IFERROR(__xludf.DUMMYFUNCTION("""COMPUTED_VALUE"""),4511.0)</f>
        <v>4511</v>
      </c>
      <c r="H3231" s="116">
        <f>IFERROR(__xludf.DUMMYFUNCTION("""COMPUTED_VALUE"""),45906.0)</f>
        <v>45906</v>
      </c>
      <c r="I3231" s="115" t="str">
        <f>IFERROR(__xludf.DUMMYFUNCTION("""COMPUTED_VALUE"""),"18")</f>
        <v>18</v>
      </c>
      <c r="J3231" s="115" t="str">
        <f>IFERROR(__xludf.DUMMYFUNCTION("""COMPUTED_VALUE"""),"Ashvani Bhatt2025-09-0618")</f>
        <v>Ashvani Bhatt2025-09-0618</v>
      </c>
      <c r="K3231" s="115">
        <f>IFERROR(__xludf.DUMMYFUNCTION("""COMPUTED_VALUE"""),39145.0)</f>
        <v>39145</v>
      </c>
    </row>
    <row r="3232">
      <c r="A3232" s="115"/>
      <c r="B3232" s="115"/>
      <c r="C3232" s="115" t="str">
        <f>IFERROR(__xludf.DUMMYFUNCTION("""COMPUTED_VALUE"""),"EXTERNAL")</f>
        <v>EXTERNAL</v>
      </c>
      <c r="D3232" s="115">
        <f>IFERROR(__xludf.DUMMYFUNCTION("""COMPUTED_VALUE"""),1157.0)</f>
        <v>1157</v>
      </c>
      <c r="E3232" s="115">
        <f>IFERROR(__xludf.DUMMYFUNCTION("""COMPUTED_VALUE"""),116.0)</f>
        <v>116</v>
      </c>
      <c r="F3232" s="115">
        <f>IFERROR(__xludf.DUMMYFUNCTION("""COMPUTED_VALUE"""),354.0)</f>
        <v>354</v>
      </c>
      <c r="G3232" s="115">
        <f>IFERROR(__xludf.DUMMYFUNCTION("""COMPUTED_VALUE"""),82.0)</f>
        <v>82</v>
      </c>
      <c r="H3232" s="116">
        <f>IFERROR(__xludf.DUMMYFUNCTION("""COMPUTED_VALUE"""),45906.0)</f>
        <v>45906</v>
      </c>
      <c r="I3232" s="115" t="str">
        <f>IFERROR(__xludf.DUMMYFUNCTION("""COMPUTED_VALUE"""),"18")</f>
        <v>18</v>
      </c>
      <c r="J3232" s="115" t="str">
        <f>IFERROR(__xludf.DUMMYFUNCTION("""COMPUTED_VALUE"""),"2025-09-0618")</f>
        <v>2025-09-0618</v>
      </c>
      <c r="K3232" s="115">
        <f>IFERROR(__xludf.DUMMYFUNCTION("""COMPUTED_VALUE"""),1273.0)</f>
        <v>1273</v>
      </c>
    </row>
    <row r="3233">
      <c r="A3233" s="115"/>
      <c r="B3233" s="115"/>
      <c r="C3233" s="115" t="str">
        <f>IFERROR(__xludf.DUMMYFUNCTION("""COMPUTED_VALUE"""),"FLIPKART")</f>
        <v>FLIPKART</v>
      </c>
      <c r="D3233" s="115">
        <f>IFERROR(__xludf.DUMMYFUNCTION("""COMPUTED_VALUE"""),6638.0)</f>
        <v>6638</v>
      </c>
      <c r="E3233" s="115">
        <f>IFERROR(__xludf.DUMMYFUNCTION("""COMPUTED_VALUE"""),687.0)</f>
        <v>687</v>
      </c>
      <c r="F3233" s="115">
        <f>IFERROR(__xludf.DUMMYFUNCTION("""COMPUTED_VALUE"""),3984.0)</f>
        <v>3984</v>
      </c>
      <c r="G3233" s="115">
        <f>IFERROR(__xludf.DUMMYFUNCTION("""COMPUTED_VALUE"""),398.0)</f>
        <v>398</v>
      </c>
      <c r="H3233" s="116">
        <f>IFERROR(__xludf.DUMMYFUNCTION("""COMPUTED_VALUE"""),45906.0)</f>
        <v>45906</v>
      </c>
      <c r="I3233" s="115" t="str">
        <f>IFERROR(__xludf.DUMMYFUNCTION("""COMPUTED_VALUE"""),"18")</f>
        <v>18</v>
      </c>
      <c r="J3233" s="115" t="str">
        <f>IFERROR(__xludf.DUMMYFUNCTION("""COMPUTED_VALUE"""),"2025-09-0618")</f>
        <v>2025-09-0618</v>
      </c>
      <c r="K3233" s="115">
        <f>IFERROR(__xludf.DUMMYFUNCTION("""COMPUTED_VALUE"""),7325.0)</f>
        <v>7325</v>
      </c>
    </row>
    <row r="3234">
      <c r="A3234" s="115"/>
      <c r="B3234" s="115"/>
      <c r="C3234" s="115" t="str">
        <f>IFERROR(__xludf.DUMMYFUNCTION("""COMPUTED_VALUE"""),"MYNTRA")</f>
        <v>MYNTRA</v>
      </c>
      <c r="D3234" s="115">
        <f>IFERROR(__xludf.DUMMYFUNCTION("""COMPUTED_VALUE"""),1352.0)</f>
        <v>1352</v>
      </c>
      <c r="E3234" s="115">
        <f>IFERROR(__xludf.DUMMYFUNCTION("""COMPUTED_VALUE"""),386.0)</f>
        <v>386</v>
      </c>
      <c r="F3234" s="115">
        <f>IFERROR(__xludf.DUMMYFUNCTION("""COMPUTED_VALUE"""),1001.0)</f>
        <v>1001</v>
      </c>
      <c r="G3234" s="115">
        <f>IFERROR(__xludf.DUMMYFUNCTION("""COMPUTED_VALUE"""),232.0)</f>
        <v>232</v>
      </c>
      <c r="H3234" s="116">
        <f>IFERROR(__xludf.DUMMYFUNCTION("""COMPUTED_VALUE"""),45906.0)</f>
        <v>45906</v>
      </c>
      <c r="I3234" s="115" t="str">
        <f>IFERROR(__xludf.DUMMYFUNCTION("""COMPUTED_VALUE"""),"18")</f>
        <v>18</v>
      </c>
      <c r="J3234" s="115" t="str">
        <f>IFERROR(__xludf.DUMMYFUNCTION("""COMPUTED_VALUE"""),"2025-09-0618")</f>
        <v>2025-09-0618</v>
      </c>
      <c r="K3234" s="115">
        <f>IFERROR(__xludf.DUMMYFUNCTION("""COMPUTED_VALUE"""),1738.0)</f>
        <v>1738</v>
      </c>
    </row>
    <row r="3235">
      <c r="A3235" s="115" t="str">
        <f>IFERROR(__xludf.DUMMYFUNCTION("""COMPUTED_VALUE"""),"EAST")</f>
        <v>EAST</v>
      </c>
      <c r="B3235" s="115" t="str">
        <f>IFERROR(__xludf.DUMMYFUNCTION("""COMPUTED_VALUE"""),"Ashish Ranjan")</f>
        <v>Ashish Ranjan</v>
      </c>
      <c r="C3235" s="115" t="str">
        <f>IFERROR(__xludf.DUMMYFUNCTION("""COMPUTED_VALUE"""),"EXTERNAL")</f>
        <v>EXTERNAL</v>
      </c>
      <c r="D3235" s="115">
        <f>IFERROR(__xludf.DUMMYFUNCTION("""COMPUTED_VALUE"""),44441.0)</f>
        <v>44441</v>
      </c>
      <c r="E3235" s="115">
        <f>IFERROR(__xludf.DUMMYFUNCTION("""COMPUTED_VALUE"""),2938.0)</f>
        <v>2938</v>
      </c>
      <c r="F3235" s="115">
        <f>IFERROR(__xludf.DUMMYFUNCTION("""COMPUTED_VALUE"""),24403.0)</f>
        <v>24403</v>
      </c>
      <c r="G3235" s="115">
        <f>IFERROR(__xludf.DUMMYFUNCTION("""COMPUTED_VALUE"""),1432.0)</f>
        <v>1432</v>
      </c>
      <c r="H3235" s="116">
        <f>IFERROR(__xludf.DUMMYFUNCTION("""COMPUTED_VALUE"""),45906.0)</f>
        <v>45906</v>
      </c>
      <c r="I3235" s="115" t="str">
        <f>IFERROR(__xludf.DUMMYFUNCTION("""COMPUTED_VALUE"""),"19")</f>
        <v>19</v>
      </c>
      <c r="J3235" s="115" t="str">
        <f>IFERROR(__xludf.DUMMYFUNCTION("""COMPUTED_VALUE"""),"Ashish Ranjan2025-09-0619")</f>
        <v>Ashish Ranjan2025-09-0619</v>
      </c>
      <c r="K3235" s="115">
        <f>IFERROR(__xludf.DUMMYFUNCTION("""COMPUTED_VALUE"""),47379.0)</f>
        <v>47379</v>
      </c>
    </row>
    <row r="3236">
      <c r="A3236" s="115" t="str">
        <f>IFERROR(__xludf.DUMMYFUNCTION("""COMPUTED_VALUE"""),"EAST")</f>
        <v>EAST</v>
      </c>
      <c r="B3236" s="115" t="str">
        <f>IFERROR(__xludf.DUMMYFUNCTION("""COMPUTED_VALUE"""),"Ashish Ranjan")</f>
        <v>Ashish Ranjan</v>
      </c>
      <c r="C3236" s="115" t="str">
        <f>IFERROR(__xludf.DUMMYFUNCTION("""COMPUTED_VALUE"""),"FLIPKART")</f>
        <v>FLIPKART</v>
      </c>
      <c r="D3236" s="115">
        <f>IFERROR(__xludf.DUMMYFUNCTION("""COMPUTED_VALUE"""),680829.0)</f>
        <v>680829</v>
      </c>
      <c r="E3236" s="115">
        <f>IFERROR(__xludf.DUMMYFUNCTION("""COMPUTED_VALUE"""),60259.0)</f>
        <v>60259</v>
      </c>
      <c r="F3236" s="115">
        <f>IFERROR(__xludf.DUMMYFUNCTION("""COMPUTED_VALUE"""),578077.0)</f>
        <v>578077</v>
      </c>
      <c r="G3236" s="115">
        <f>IFERROR(__xludf.DUMMYFUNCTION("""COMPUTED_VALUE"""),41402.0)</f>
        <v>41402</v>
      </c>
      <c r="H3236" s="116">
        <f>IFERROR(__xludf.DUMMYFUNCTION("""COMPUTED_VALUE"""),45906.0)</f>
        <v>45906</v>
      </c>
      <c r="I3236" s="115" t="str">
        <f>IFERROR(__xludf.DUMMYFUNCTION("""COMPUTED_VALUE"""),"19")</f>
        <v>19</v>
      </c>
      <c r="J3236" s="115" t="str">
        <f>IFERROR(__xludf.DUMMYFUNCTION("""COMPUTED_VALUE"""),"Ashish Ranjan2025-09-0619")</f>
        <v>Ashish Ranjan2025-09-0619</v>
      </c>
      <c r="K3236" s="115">
        <f>IFERROR(__xludf.DUMMYFUNCTION("""COMPUTED_VALUE"""),741088.0)</f>
        <v>741088</v>
      </c>
    </row>
    <row r="3237">
      <c r="A3237" s="115" t="str">
        <f>IFERROR(__xludf.DUMMYFUNCTION("""COMPUTED_VALUE"""),"EAST")</f>
        <v>EAST</v>
      </c>
      <c r="B3237" s="115" t="str">
        <f>IFERROR(__xludf.DUMMYFUNCTION("""COMPUTED_VALUE"""),"Ashish Ranjan")</f>
        <v>Ashish Ranjan</v>
      </c>
      <c r="C3237" s="115" t="str">
        <f>IFERROR(__xludf.DUMMYFUNCTION("""COMPUTED_VALUE"""),"MYNTRA")</f>
        <v>MYNTRA</v>
      </c>
      <c r="D3237" s="115">
        <f>IFERROR(__xludf.DUMMYFUNCTION("""COMPUTED_VALUE"""),71202.0)</f>
        <v>71202</v>
      </c>
      <c r="E3237" s="115">
        <f>IFERROR(__xludf.DUMMYFUNCTION("""COMPUTED_VALUE"""),14169.0)</f>
        <v>14169</v>
      </c>
      <c r="F3237" s="115">
        <f>IFERROR(__xludf.DUMMYFUNCTION("""COMPUTED_VALUE"""),61163.0)</f>
        <v>61163</v>
      </c>
      <c r="G3237" s="115">
        <f>IFERROR(__xludf.DUMMYFUNCTION("""COMPUTED_VALUE"""),9717.0)</f>
        <v>9717</v>
      </c>
      <c r="H3237" s="116">
        <f>IFERROR(__xludf.DUMMYFUNCTION("""COMPUTED_VALUE"""),45906.0)</f>
        <v>45906</v>
      </c>
      <c r="I3237" s="115" t="str">
        <f>IFERROR(__xludf.DUMMYFUNCTION("""COMPUTED_VALUE"""),"19")</f>
        <v>19</v>
      </c>
      <c r="J3237" s="115" t="str">
        <f>IFERROR(__xludf.DUMMYFUNCTION("""COMPUTED_VALUE"""),"Ashish Ranjan2025-09-0619")</f>
        <v>Ashish Ranjan2025-09-0619</v>
      </c>
      <c r="K3237" s="115">
        <f>IFERROR(__xludf.DUMMYFUNCTION("""COMPUTED_VALUE"""),85371.0)</f>
        <v>85371</v>
      </c>
    </row>
    <row r="3238">
      <c r="A3238" s="115" t="str">
        <f>IFERROR(__xludf.DUMMYFUNCTION("""COMPUTED_VALUE"""),"EAST")</f>
        <v>EAST</v>
      </c>
      <c r="B3238" s="115" t="str">
        <f>IFERROR(__xludf.DUMMYFUNCTION("""COMPUTED_VALUE"""),"Girish Chand")</f>
        <v>Girish Chand</v>
      </c>
      <c r="C3238" s="115" t="str">
        <f>IFERROR(__xludf.DUMMYFUNCTION("""COMPUTED_VALUE"""),"EXTERNAL")</f>
        <v>EXTERNAL</v>
      </c>
      <c r="D3238" s="115">
        <f>IFERROR(__xludf.DUMMYFUNCTION("""COMPUTED_VALUE"""),25269.0)</f>
        <v>25269</v>
      </c>
      <c r="E3238" s="115">
        <f>IFERROR(__xludf.DUMMYFUNCTION("""COMPUTED_VALUE"""),2223.0)</f>
        <v>2223</v>
      </c>
      <c r="F3238" s="115">
        <f>IFERROR(__xludf.DUMMYFUNCTION("""COMPUTED_VALUE"""),11093.0)</f>
        <v>11093</v>
      </c>
      <c r="G3238" s="115">
        <f>IFERROR(__xludf.DUMMYFUNCTION("""COMPUTED_VALUE"""),609.0)</f>
        <v>609</v>
      </c>
      <c r="H3238" s="116">
        <f>IFERROR(__xludf.DUMMYFUNCTION("""COMPUTED_VALUE"""),45906.0)</f>
        <v>45906</v>
      </c>
      <c r="I3238" s="115" t="str">
        <f>IFERROR(__xludf.DUMMYFUNCTION("""COMPUTED_VALUE"""),"19")</f>
        <v>19</v>
      </c>
      <c r="J3238" s="115" t="str">
        <f>IFERROR(__xludf.DUMMYFUNCTION("""COMPUTED_VALUE"""),"Girish Chand2025-09-0619")</f>
        <v>Girish Chand2025-09-0619</v>
      </c>
      <c r="K3238" s="115">
        <f>IFERROR(__xludf.DUMMYFUNCTION("""COMPUTED_VALUE"""),27492.0)</f>
        <v>27492</v>
      </c>
    </row>
    <row r="3239">
      <c r="A3239" s="115" t="str">
        <f>IFERROR(__xludf.DUMMYFUNCTION("""COMPUTED_VALUE"""),"EAST")</f>
        <v>EAST</v>
      </c>
      <c r="B3239" s="115" t="str">
        <f>IFERROR(__xludf.DUMMYFUNCTION("""COMPUTED_VALUE"""),"Girish Chand")</f>
        <v>Girish Chand</v>
      </c>
      <c r="C3239" s="115" t="str">
        <f>IFERROR(__xludf.DUMMYFUNCTION("""COMPUTED_VALUE"""),"FLIPKART")</f>
        <v>FLIPKART</v>
      </c>
      <c r="D3239" s="115">
        <f>IFERROR(__xludf.DUMMYFUNCTION("""COMPUTED_VALUE"""),447164.0)</f>
        <v>447164</v>
      </c>
      <c r="E3239" s="115">
        <f>IFERROR(__xludf.DUMMYFUNCTION("""COMPUTED_VALUE"""),40740.0)</f>
        <v>40740</v>
      </c>
      <c r="F3239" s="115">
        <f>IFERROR(__xludf.DUMMYFUNCTION("""COMPUTED_VALUE"""),329010.0)</f>
        <v>329010</v>
      </c>
      <c r="G3239" s="115">
        <f>IFERROR(__xludf.DUMMYFUNCTION("""COMPUTED_VALUE"""),24503.0)</f>
        <v>24503</v>
      </c>
      <c r="H3239" s="116">
        <f>IFERROR(__xludf.DUMMYFUNCTION("""COMPUTED_VALUE"""),45906.0)</f>
        <v>45906</v>
      </c>
      <c r="I3239" s="115" t="str">
        <f>IFERROR(__xludf.DUMMYFUNCTION("""COMPUTED_VALUE"""),"19")</f>
        <v>19</v>
      </c>
      <c r="J3239" s="115" t="str">
        <f>IFERROR(__xludf.DUMMYFUNCTION("""COMPUTED_VALUE"""),"Girish Chand2025-09-0619")</f>
        <v>Girish Chand2025-09-0619</v>
      </c>
      <c r="K3239" s="115">
        <f>IFERROR(__xludf.DUMMYFUNCTION("""COMPUTED_VALUE"""),487904.0)</f>
        <v>487904</v>
      </c>
    </row>
    <row r="3240">
      <c r="A3240" s="115" t="str">
        <f>IFERROR(__xludf.DUMMYFUNCTION("""COMPUTED_VALUE"""),"EAST")</f>
        <v>EAST</v>
      </c>
      <c r="B3240" s="115" t="str">
        <f>IFERROR(__xludf.DUMMYFUNCTION("""COMPUTED_VALUE"""),"Girish Chand")</f>
        <v>Girish Chand</v>
      </c>
      <c r="C3240" s="115" t="str">
        <f>IFERROR(__xludf.DUMMYFUNCTION("""COMPUTED_VALUE"""),"MYNTRA")</f>
        <v>MYNTRA</v>
      </c>
      <c r="D3240" s="115">
        <f>IFERROR(__xludf.DUMMYFUNCTION("""COMPUTED_VALUE"""),38684.0)</f>
        <v>38684</v>
      </c>
      <c r="E3240" s="115">
        <f>IFERROR(__xludf.DUMMYFUNCTION("""COMPUTED_VALUE"""),7369.0)</f>
        <v>7369</v>
      </c>
      <c r="F3240" s="115">
        <f>IFERROR(__xludf.DUMMYFUNCTION("""COMPUTED_VALUE"""),30203.0)</f>
        <v>30203</v>
      </c>
      <c r="G3240" s="115">
        <f>IFERROR(__xludf.DUMMYFUNCTION("""COMPUTED_VALUE"""),4600.0)</f>
        <v>4600</v>
      </c>
      <c r="H3240" s="116">
        <f>IFERROR(__xludf.DUMMYFUNCTION("""COMPUTED_VALUE"""),45906.0)</f>
        <v>45906</v>
      </c>
      <c r="I3240" s="115" t="str">
        <f>IFERROR(__xludf.DUMMYFUNCTION("""COMPUTED_VALUE"""),"19")</f>
        <v>19</v>
      </c>
      <c r="J3240" s="115" t="str">
        <f>IFERROR(__xludf.DUMMYFUNCTION("""COMPUTED_VALUE"""),"Girish Chand2025-09-0619")</f>
        <v>Girish Chand2025-09-0619</v>
      </c>
      <c r="K3240" s="115">
        <f>IFERROR(__xludf.DUMMYFUNCTION("""COMPUTED_VALUE"""),46053.0)</f>
        <v>46053</v>
      </c>
    </row>
    <row r="3241">
      <c r="A3241" s="115" t="str">
        <f>IFERROR(__xludf.DUMMYFUNCTION("""COMPUTED_VALUE"""),"EAST")</f>
        <v>EAST</v>
      </c>
      <c r="B3241" s="115" t="str">
        <f>IFERROR(__xludf.DUMMYFUNCTION("""COMPUTED_VALUE"""),"Parag Kashyap")</f>
        <v>Parag Kashyap</v>
      </c>
      <c r="C3241" s="115" t="str">
        <f>IFERROR(__xludf.DUMMYFUNCTION("""COMPUTED_VALUE"""),"EXTERNAL")</f>
        <v>EXTERNAL</v>
      </c>
      <c r="D3241" s="115">
        <f>IFERROR(__xludf.DUMMYFUNCTION("""COMPUTED_VALUE"""),18018.0)</f>
        <v>18018</v>
      </c>
      <c r="E3241" s="115">
        <f>IFERROR(__xludf.DUMMYFUNCTION("""COMPUTED_VALUE"""),1051.0)</f>
        <v>1051</v>
      </c>
      <c r="F3241" s="115">
        <f>IFERROR(__xludf.DUMMYFUNCTION("""COMPUTED_VALUE"""),7735.0)</f>
        <v>7735</v>
      </c>
      <c r="G3241" s="115">
        <f>IFERROR(__xludf.DUMMYFUNCTION("""COMPUTED_VALUE"""),352.0)</f>
        <v>352</v>
      </c>
      <c r="H3241" s="116">
        <f>IFERROR(__xludf.DUMMYFUNCTION("""COMPUTED_VALUE"""),45906.0)</f>
        <v>45906</v>
      </c>
      <c r="I3241" s="115" t="str">
        <f>IFERROR(__xludf.DUMMYFUNCTION("""COMPUTED_VALUE"""),"19")</f>
        <v>19</v>
      </c>
      <c r="J3241" s="115" t="str">
        <f>IFERROR(__xludf.DUMMYFUNCTION("""COMPUTED_VALUE"""),"Parag Kashyap2025-09-0619")</f>
        <v>Parag Kashyap2025-09-0619</v>
      </c>
      <c r="K3241" s="115">
        <f>IFERROR(__xludf.DUMMYFUNCTION("""COMPUTED_VALUE"""),19069.0)</f>
        <v>19069</v>
      </c>
    </row>
    <row r="3242">
      <c r="A3242" s="115" t="str">
        <f>IFERROR(__xludf.DUMMYFUNCTION("""COMPUTED_VALUE"""),"EAST")</f>
        <v>EAST</v>
      </c>
      <c r="B3242" s="115" t="str">
        <f>IFERROR(__xludf.DUMMYFUNCTION("""COMPUTED_VALUE"""),"Parag Kashyap")</f>
        <v>Parag Kashyap</v>
      </c>
      <c r="C3242" s="115" t="str">
        <f>IFERROR(__xludf.DUMMYFUNCTION("""COMPUTED_VALUE"""),"FLIPKART")</f>
        <v>FLIPKART</v>
      </c>
      <c r="D3242" s="115">
        <f>IFERROR(__xludf.DUMMYFUNCTION("""COMPUTED_VALUE"""),284123.0)</f>
        <v>284123</v>
      </c>
      <c r="E3242" s="115">
        <f>IFERROR(__xludf.DUMMYFUNCTION("""COMPUTED_VALUE"""),19733.0)</f>
        <v>19733</v>
      </c>
      <c r="F3242" s="115">
        <f>IFERROR(__xludf.DUMMYFUNCTION("""COMPUTED_VALUE"""),214373.0)</f>
        <v>214373</v>
      </c>
      <c r="G3242" s="115">
        <f>IFERROR(__xludf.DUMMYFUNCTION("""COMPUTED_VALUE"""),11132.0)</f>
        <v>11132</v>
      </c>
      <c r="H3242" s="116">
        <f>IFERROR(__xludf.DUMMYFUNCTION("""COMPUTED_VALUE"""),45906.0)</f>
        <v>45906</v>
      </c>
      <c r="I3242" s="115" t="str">
        <f>IFERROR(__xludf.DUMMYFUNCTION("""COMPUTED_VALUE"""),"19")</f>
        <v>19</v>
      </c>
      <c r="J3242" s="115" t="str">
        <f>IFERROR(__xludf.DUMMYFUNCTION("""COMPUTED_VALUE"""),"Parag Kashyap2025-09-0619")</f>
        <v>Parag Kashyap2025-09-0619</v>
      </c>
      <c r="K3242" s="115">
        <f>IFERROR(__xludf.DUMMYFUNCTION("""COMPUTED_VALUE"""),303856.0)</f>
        <v>303856</v>
      </c>
    </row>
    <row r="3243">
      <c r="A3243" s="115" t="str">
        <f>IFERROR(__xludf.DUMMYFUNCTION("""COMPUTED_VALUE"""),"EAST")</f>
        <v>EAST</v>
      </c>
      <c r="B3243" s="115" t="str">
        <f>IFERROR(__xludf.DUMMYFUNCTION("""COMPUTED_VALUE"""),"Parag Kashyap")</f>
        <v>Parag Kashyap</v>
      </c>
      <c r="C3243" s="115" t="str">
        <f>IFERROR(__xludf.DUMMYFUNCTION("""COMPUTED_VALUE"""),"MYNTRA")</f>
        <v>MYNTRA</v>
      </c>
      <c r="D3243" s="115">
        <f>IFERROR(__xludf.DUMMYFUNCTION("""COMPUTED_VALUE"""),35581.0)</f>
        <v>35581</v>
      </c>
      <c r="E3243" s="115">
        <f>IFERROR(__xludf.DUMMYFUNCTION("""COMPUTED_VALUE"""),5220.0)</f>
        <v>5220</v>
      </c>
      <c r="F3243" s="115">
        <f>IFERROR(__xludf.DUMMYFUNCTION("""COMPUTED_VALUE"""),27682.0)</f>
        <v>27682</v>
      </c>
      <c r="G3243" s="115">
        <f>IFERROR(__xludf.DUMMYFUNCTION("""COMPUTED_VALUE"""),2964.0)</f>
        <v>2964</v>
      </c>
      <c r="H3243" s="116">
        <f>IFERROR(__xludf.DUMMYFUNCTION("""COMPUTED_VALUE"""),45906.0)</f>
        <v>45906</v>
      </c>
      <c r="I3243" s="115" t="str">
        <f>IFERROR(__xludf.DUMMYFUNCTION("""COMPUTED_VALUE"""),"19")</f>
        <v>19</v>
      </c>
      <c r="J3243" s="115" t="str">
        <f>IFERROR(__xludf.DUMMYFUNCTION("""COMPUTED_VALUE"""),"Parag Kashyap2025-09-0619")</f>
        <v>Parag Kashyap2025-09-0619</v>
      </c>
      <c r="K3243" s="115">
        <f>IFERROR(__xludf.DUMMYFUNCTION("""COMPUTED_VALUE"""),40801.0)</f>
        <v>40801</v>
      </c>
    </row>
    <row r="3244">
      <c r="A3244" s="115" t="str">
        <f>IFERROR(__xludf.DUMMYFUNCTION("""COMPUTED_VALUE"""),"NORTH")</f>
        <v>NORTH</v>
      </c>
      <c r="B3244" s="115" t="str">
        <f>IFERROR(__xludf.DUMMYFUNCTION("""COMPUTED_VALUE"""),"Amit Kumar Pathak")</f>
        <v>Amit Kumar Pathak</v>
      </c>
      <c r="C3244" s="115" t="str">
        <f>IFERROR(__xludf.DUMMYFUNCTION("""COMPUTED_VALUE"""),"EXTERNAL")</f>
        <v>EXTERNAL</v>
      </c>
      <c r="D3244" s="115">
        <f>IFERROR(__xludf.DUMMYFUNCTION("""COMPUTED_VALUE"""),29211.0)</f>
        <v>29211</v>
      </c>
      <c r="E3244" s="115">
        <f>IFERROR(__xludf.DUMMYFUNCTION("""COMPUTED_VALUE"""),3436.0)</f>
        <v>3436</v>
      </c>
      <c r="F3244" s="115">
        <f>IFERROR(__xludf.DUMMYFUNCTION("""COMPUTED_VALUE"""),10718.0)</f>
        <v>10718</v>
      </c>
      <c r="G3244" s="115">
        <f>IFERROR(__xludf.DUMMYFUNCTION("""COMPUTED_VALUE"""),1417.0)</f>
        <v>1417</v>
      </c>
      <c r="H3244" s="116">
        <f>IFERROR(__xludf.DUMMYFUNCTION("""COMPUTED_VALUE"""),45906.0)</f>
        <v>45906</v>
      </c>
      <c r="I3244" s="115" t="str">
        <f>IFERROR(__xludf.DUMMYFUNCTION("""COMPUTED_VALUE"""),"19")</f>
        <v>19</v>
      </c>
      <c r="J3244" s="115" t="str">
        <f>IFERROR(__xludf.DUMMYFUNCTION("""COMPUTED_VALUE"""),"Amit Kumar Pathak2025-09-0619")</f>
        <v>Amit Kumar Pathak2025-09-0619</v>
      </c>
      <c r="K3244" s="115">
        <f>IFERROR(__xludf.DUMMYFUNCTION("""COMPUTED_VALUE"""),32647.0)</f>
        <v>32647</v>
      </c>
    </row>
    <row r="3245">
      <c r="A3245" s="115" t="str">
        <f>IFERROR(__xludf.DUMMYFUNCTION("""COMPUTED_VALUE"""),"NORTH")</f>
        <v>NORTH</v>
      </c>
      <c r="B3245" s="115" t="str">
        <f>IFERROR(__xludf.DUMMYFUNCTION("""COMPUTED_VALUE"""),"Amit Kumar Pathak")</f>
        <v>Amit Kumar Pathak</v>
      </c>
      <c r="C3245" s="115" t="str">
        <f>IFERROR(__xludf.DUMMYFUNCTION("""COMPUTED_VALUE"""),"FLIPKART")</f>
        <v>FLIPKART</v>
      </c>
      <c r="D3245" s="115">
        <f>IFERROR(__xludf.DUMMYFUNCTION("""COMPUTED_VALUE"""),179858.0)</f>
        <v>179858</v>
      </c>
      <c r="E3245" s="115">
        <f>IFERROR(__xludf.DUMMYFUNCTION("""COMPUTED_VALUE"""),24297.0)</f>
        <v>24297</v>
      </c>
      <c r="F3245" s="115">
        <f>IFERROR(__xludf.DUMMYFUNCTION("""COMPUTED_VALUE"""),123284.0)</f>
        <v>123284</v>
      </c>
      <c r="G3245" s="115">
        <f>IFERROR(__xludf.DUMMYFUNCTION("""COMPUTED_VALUE"""),13643.0)</f>
        <v>13643</v>
      </c>
      <c r="H3245" s="116">
        <f>IFERROR(__xludf.DUMMYFUNCTION("""COMPUTED_VALUE"""),45906.0)</f>
        <v>45906</v>
      </c>
      <c r="I3245" s="115" t="str">
        <f>IFERROR(__xludf.DUMMYFUNCTION("""COMPUTED_VALUE"""),"19")</f>
        <v>19</v>
      </c>
      <c r="J3245" s="115" t="str">
        <f>IFERROR(__xludf.DUMMYFUNCTION("""COMPUTED_VALUE"""),"Amit Kumar Pathak2025-09-0619")</f>
        <v>Amit Kumar Pathak2025-09-0619</v>
      </c>
      <c r="K3245" s="115">
        <f>IFERROR(__xludf.DUMMYFUNCTION("""COMPUTED_VALUE"""),204155.0)</f>
        <v>204155</v>
      </c>
    </row>
    <row r="3246">
      <c r="A3246" s="115" t="str">
        <f>IFERROR(__xludf.DUMMYFUNCTION("""COMPUTED_VALUE"""),"NORTH")</f>
        <v>NORTH</v>
      </c>
      <c r="B3246" s="115" t="str">
        <f>IFERROR(__xludf.DUMMYFUNCTION("""COMPUTED_VALUE"""),"Amit Kumar Pathak")</f>
        <v>Amit Kumar Pathak</v>
      </c>
      <c r="C3246" s="115" t="str">
        <f>IFERROR(__xludf.DUMMYFUNCTION("""COMPUTED_VALUE"""),"MYNTRA")</f>
        <v>MYNTRA</v>
      </c>
      <c r="D3246" s="115">
        <f>IFERROR(__xludf.DUMMYFUNCTION("""COMPUTED_VALUE"""),17988.0)</f>
        <v>17988</v>
      </c>
      <c r="E3246" s="115">
        <f>IFERROR(__xludf.DUMMYFUNCTION("""COMPUTED_VALUE"""),6181.0)</f>
        <v>6181</v>
      </c>
      <c r="F3246" s="115">
        <f>IFERROR(__xludf.DUMMYFUNCTION("""COMPUTED_VALUE"""),14433.0)</f>
        <v>14433</v>
      </c>
      <c r="G3246" s="115">
        <f>IFERROR(__xludf.DUMMYFUNCTION("""COMPUTED_VALUE"""),3825.0)</f>
        <v>3825</v>
      </c>
      <c r="H3246" s="116">
        <f>IFERROR(__xludf.DUMMYFUNCTION("""COMPUTED_VALUE"""),45906.0)</f>
        <v>45906</v>
      </c>
      <c r="I3246" s="115" t="str">
        <f>IFERROR(__xludf.DUMMYFUNCTION("""COMPUTED_VALUE"""),"19")</f>
        <v>19</v>
      </c>
      <c r="J3246" s="115" t="str">
        <f>IFERROR(__xludf.DUMMYFUNCTION("""COMPUTED_VALUE"""),"Amit Kumar Pathak2025-09-0619")</f>
        <v>Amit Kumar Pathak2025-09-0619</v>
      </c>
      <c r="K3246" s="115">
        <f>IFERROR(__xludf.DUMMYFUNCTION("""COMPUTED_VALUE"""),24169.0)</f>
        <v>24169</v>
      </c>
    </row>
    <row r="3247">
      <c r="A3247" s="115" t="str">
        <f>IFERROR(__xludf.DUMMYFUNCTION("""COMPUTED_VALUE"""),"NORTH")</f>
        <v>NORTH</v>
      </c>
      <c r="B3247" s="115" t="str">
        <f>IFERROR(__xludf.DUMMYFUNCTION("""COMPUTED_VALUE"""),"Loveleen Singh")</f>
        <v>Loveleen Singh</v>
      </c>
      <c r="C3247" s="115" t="str">
        <f>IFERROR(__xludf.DUMMYFUNCTION("""COMPUTED_VALUE"""),"EXTERNAL")</f>
        <v>EXTERNAL</v>
      </c>
      <c r="D3247" s="115">
        <f>IFERROR(__xludf.DUMMYFUNCTION("""COMPUTED_VALUE"""),32176.0)</f>
        <v>32176</v>
      </c>
      <c r="E3247" s="115">
        <f>IFERROR(__xludf.DUMMYFUNCTION("""COMPUTED_VALUE"""),2038.0)</f>
        <v>2038</v>
      </c>
      <c r="F3247" s="115">
        <f>IFERROR(__xludf.DUMMYFUNCTION("""COMPUTED_VALUE"""),11560.0)</f>
        <v>11560</v>
      </c>
      <c r="G3247" s="115">
        <f>IFERROR(__xludf.DUMMYFUNCTION("""COMPUTED_VALUE"""),659.0)</f>
        <v>659</v>
      </c>
      <c r="H3247" s="116">
        <f>IFERROR(__xludf.DUMMYFUNCTION("""COMPUTED_VALUE"""),45906.0)</f>
        <v>45906</v>
      </c>
      <c r="I3247" s="115" t="str">
        <f>IFERROR(__xludf.DUMMYFUNCTION("""COMPUTED_VALUE"""),"19")</f>
        <v>19</v>
      </c>
      <c r="J3247" s="115" t="str">
        <f>IFERROR(__xludf.DUMMYFUNCTION("""COMPUTED_VALUE"""),"Loveleen Singh2025-09-0619")</f>
        <v>Loveleen Singh2025-09-0619</v>
      </c>
      <c r="K3247" s="115">
        <f>IFERROR(__xludf.DUMMYFUNCTION("""COMPUTED_VALUE"""),34214.0)</f>
        <v>34214</v>
      </c>
    </row>
    <row r="3248">
      <c r="A3248" s="115" t="str">
        <f>IFERROR(__xludf.DUMMYFUNCTION("""COMPUTED_VALUE"""),"NORTH")</f>
        <v>NORTH</v>
      </c>
      <c r="B3248" s="115" t="str">
        <f>IFERROR(__xludf.DUMMYFUNCTION("""COMPUTED_VALUE"""),"Loveleen Singh")</f>
        <v>Loveleen Singh</v>
      </c>
      <c r="C3248" s="115" t="str">
        <f>IFERROR(__xludf.DUMMYFUNCTION("""COMPUTED_VALUE"""),"FLIPKART")</f>
        <v>FLIPKART</v>
      </c>
      <c r="D3248" s="115">
        <f>IFERROR(__xludf.DUMMYFUNCTION("""COMPUTED_VALUE"""),158654.0)</f>
        <v>158654</v>
      </c>
      <c r="E3248" s="115">
        <f>IFERROR(__xludf.DUMMYFUNCTION("""COMPUTED_VALUE"""),15940.0)</f>
        <v>15940</v>
      </c>
      <c r="F3248" s="115">
        <f>IFERROR(__xludf.DUMMYFUNCTION("""COMPUTED_VALUE"""),114253.0)</f>
        <v>114253</v>
      </c>
      <c r="G3248" s="115">
        <f>IFERROR(__xludf.DUMMYFUNCTION("""COMPUTED_VALUE"""),8525.0)</f>
        <v>8525</v>
      </c>
      <c r="H3248" s="116">
        <f>IFERROR(__xludf.DUMMYFUNCTION("""COMPUTED_VALUE"""),45906.0)</f>
        <v>45906</v>
      </c>
      <c r="I3248" s="115" t="str">
        <f>IFERROR(__xludf.DUMMYFUNCTION("""COMPUTED_VALUE"""),"19")</f>
        <v>19</v>
      </c>
      <c r="J3248" s="115" t="str">
        <f>IFERROR(__xludf.DUMMYFUNCTION("""COMPUTED_VALUE"""),"Loveleen Singh2025-09-0619")</f>
        <v>Loveleen Singh2025-09-0619</v>
      </c>
      <c r="K3248" s="115">
        <f>IFERROR(__xludf.DUMMYFUNCTION("""COMPUTED_VALUE"""),174594.0)</f>
        <v>174594</v>
      </c>
    </row>
    <row r="3249">
      <c r="A3249" s="115" t="str">
        <f>IFERROR(__xludf.DUMMYFUNCTION("""COMPUTED_VALUE"""),"NORTH")</f>
        <v>NORTH</v>
      </c>
      <c r="B3249" s="115" t="str">
        <f>IFERROR(__xludf.DUMMYFUNCTION("""COMPUTED_VALUE"""),"Loveleen Singh")</f>
        <v>Loveleen Singh</v>
      </c>
      <c r="C3249" s="115" t="str">
        <f>IFERROR(__xludf.DUMMYFUNCTION("""COMPUTED_VALUE"""),"MYNTRA")</f>
        <v>MYNTRA</v>
      </c>
      <c r="D3249" s="115">
        <f>IFERROR(__xludf.DUMMYFUNCTION("""COMPUTED_VALUE"""),25893.0)</f>
        <v>25893</v>
      </c>
      <c r="E3249" s="115">
        <f>IFERROR(__xludf.DUMMYFUNCTION("""COMPUTED_VALUE"""),6429.0)</f>
        <v>6429</v>
      </c>
      <c r="F3249" s="115">
        <f>IFERROR(__xludf.DUMMYFUNCTION("""COMPUTED_VALUE"""),20716.0)</f>
        <v>20716</v>
      </c>
      <c r="G3249" s="115">
        <f>IFERROR(__xludf.DUMMYFUNCTION("""COMPUTED_VALUE"""),3765.0)</f>
        <v>3765</v>
      </c>
      <c r="H3249" s="116">
        <f>IFERROR(__xludf.DUMMYFUNCTION("""COMPUTED_VALUE"""),45906.0)</f>
        <v>45906</v>
      </c>
      <c r="I3249" s="115" t="str">
        <f>IFERROR(__xludf.DUMMYFUNCTION("""COMPUTED_VALUE"""),"19")</f>
        <v>19</v>
      </c>
      <c r="J3249" s="115" t="str">
        <f>IFERROR(__xludf.DUMMYFUNCTION("""COMPUTED_VALUE"""),"Loveleen Singh2025-09-0619")</f>
        <v>Loveleen Singh2025-09-0619</v>
      </c>
      <c r="K3249" s="115">
        <f>IFERROR(__xludf.DUMMYFUNCTION("""COMPUTED_VALUE"""),32322.0)</f>
        <v>32322</v>
      </c>
    </row>
    <row r="3250">
      <c r="A3250" s="115" t="str">
        <f>IFERROR(__xludf.DUMMYFUNCTION("""COMPUTED_VALUE"""),"NORTH")</f>
        <v>NORTH</v>
      </c>
      <c r="B3250" s="115" t="str">
        <f>IFERROR(__xludf.DUMMYFUNCTION("""COMPUTED_VALUE"""),"Manoj Harsh")</f>
        <v>Manoj Harsh</v>
      </c>
      <c r="C3250" s="115" t="str">
        <f>IFERROR(__xludf.DUMMYFUNCTION("""COMPUTED_VALUE"""),"EXTERNAL")</f>
        <v>EXTERNAL</v>
      </c>
      <c r="D3250" s="115">
        <f>IFERROR(__xludf.DUMMYFUNCTION("""COMPUTED_VALUE"""),38759.0)</f>
        <v>38759</v>
      </c>
      <c r="E3250" s="115">
        <f>IFERROR(__xludf.DUMMYFUNCTION("""COMPUTED_VALUE"""),2954.0)</f>
        <v>2954</v>
      </c>
      <c r="F3250" s="115">
        <f>IFERROR(__xludf.DUMMYFUNCTION("""COMPUTED_VALUE"""),16650.0)</f>
        <v>16650</v>
      </c>
      <c r="G3250" s="115">
        <f>IFERROR(__xludf.DUMMYFUNCTION("""COMPUTED_VALUE"""),895.0)</f>
        <v>895</v>
      </c>
      <c r="H3250" s="116">
        <f>IFERROR(__xludf.DUMMYFUNCTION("""COMPUTED_VALUE"""),45906.0)</f>
        <v>45906</v>
      </c>
      <c r="I3250" s="115" t="str">
        <f>IFERROR(__xludf.DUMMYFUNCTION("""COMPUTED_VALUE"""),"19")</f>
        <v>19</v>
      </c>
      <c r="J3250" s="115" t="str">
        <f>IFERROR(__xludf.DUMMYFUNCTION("""COMPUTED_VALUE"""),"Manoj Harsh2025-09-0619")</f>
        <v>Manoj Harsh2025-09-0619</v>
      </c>
      <c r="K3250" s="115">
        <f>IFERROR(__xludf.DUMMYFUNCTION("""COMPUTED_VALUE"""),41713.0)</f>
        <v>41713</v>
      </c>
    </row>
    <row r="3251">
      <c r="A3251" s="115" t="str">
        <f>IFERROR(__xludf.DUMMYFUNCTION("""COMPUTED_VALUE"""),"NORTH")</f>
        <v>NORTH</v>
      </c>
      <c r="B3251" s="115" t="str">
        <f>IFERROR(__xludf.DUMMYFUNCTION("""COMPUTED_VALUE"""),"Manoj Harsh")</f>
        <v>Manoj Harsh</v>
      </c>
      <c r="C3251" s="115" t="str">
        <f>IFERROR(__xludf.DUMMYFUNCTION("""COMPUTED_VALUE"""),"FLIPKART")</f>
        <v>FLIPKART</v>
      </c>
      <c r="D3251" s="115">
        <f>IFERROR(__xludf.DUMMYFUNCTION("""COMPUTED_VALUE"""),427163.0)</f>
        <v>427163</v>
      </c>
      <c r="E3251" s="115">
        <f>IFERROR(__xludf.DUMMYFUNCTION("""COMPUTED_VALUE"""),42690.0)</f>
        <v>42690</v>
      </c>
      <c r="F3251" s="115">
        <f>IFERROR(__xludf.DUMMYFUNCTION("""COMPUTED_VALUE"""),305976.0)</f>
        <v>305976</v>
      </c>
      <c r="G3251" s="115">
        <f>IFERROR(__xludf.DUMMYFUNCTION("""COMPUTED_VALUE"""),23991.0)</f>
        <v>23991</v>
      </c>
      <c r="H3251" s="116">
        <f>IFERROR(__xludf.DUMMYFUNCTION("""COMPUTED_VALUE"""),45906.0)</f>
        <v>45906</v>
      </c>
      <c r="I3251" s="115" t="str">
        <f>IFERROR(__xludf.DUMMYFUNCTION("""COMPUTED_VALUE"""),"19")</f>
        <v>19</v>
      </c>
      <c r="J3251" s="115" t="str">
        <f>IFERROR(__xludf.DUMMYFUNCTION("""COMPUTED_VALUE"""),"Manoj Harsh2025-09-0619")</f>
        <v>Manoj Harsh2025-09-0619</v>
      </c>
      <c r="K3251" s="115">
        <f>IFERROR(__xludf.DUMMYFUNCTION("""COMPUTED_VALUE"""),469853.0)</f>
        <v>469853</v>
      </c>
    </row>
    <row r="3252">
      <c r="A3252" s="115" t="str">
        <f>IFERROR(__xludf.DUMMYFUNCTION("""COMPUTED_VALUE"""),"NORTH")</f>
        <v>NORTH</v>
      </c>
      <c r="B3252" s="115" t="str">
        <f>IFERROR(__xludf.DUMMYFUNCTION("""COMPUTED_VALUE"""),"Manoj Harsh")</f>
        <v>Manoj Harsh</v>
      </c>
      <c r="C3252" s="115" t="str">
        <f>IFERROR(__xludf.DUMMYFUNCTION("""COMPUTED_VALUE"""),"MYNTRA")</f>
        <v>MYNTRA</v>
      </c>
      <c r="D3252" s="115">
        <f>IFERROR(__xludf.DUMMYFUNCTION("""COMPUTED_VALUE"""),39693.0)</f>
        <v>39693</v>
      </c>
      <c r="E3252" s="115">
        <f>IFERROR(__xludf.DUMMYFUNCTION("""COMPUTED_VALUE"""),8002.0)</f>
        <v>8002</v>
      </c>
      <c r="F3252" s="115">
        <f>IFERROR(__xludf.DUMMYFUNCTION("""COMPUTED_VALUE"""),31137.0)</f>
        <v>31137</v>
      </c>
      <c r="G3252" s="115">
        <f>IFERROR(__xludf.DUMMYFUNCTION("""COMPUTED_VALUE"""),4934.0)</f>
        <v>4934</v>
      </c>
      <c r="H3252" s="116">
        <f>IFERROR(__xludf.DUMMYFUNCTION("""COMPUTED_VALUE"""),45906.0)</f>
        <v>45906</v>
      </c>
      <c r="I3252" s="115" t="str">
        <f>IFERROR(__xludf.DUMMYFUNCTION("""COMPUTED_VALUE"""),"19")</f>
        <v>19</v>
      </c>
      <c r="J3252" s="115" t="str">
        <f>IFERROR(__xludf.DUMMYFUNCTION("""COMPUTED_VALUE"""),"Manoj Harsh2025-09-0619")</f>
        <v>Manoj Harsh2025-09-0619</v>
      </c>
      <c r="K3252" s="115">
        <f>IFERROR(__xludf.DUMMYFUNCTION("""COMPUTED_VALUE"""),47695.0)</f>
        <v>47695</v>
      </c>
    </row>
    <row r="3253">
      <c r="A3253" s="115" t="str">
        <f>IFERROR(__xludf.DUMMYFUNCTION("""COMPUTED_VALUE"""),"NORTH")</f>
        <v>NORTH</v>
      </c>
      <c r="B3253" s="115" t="str">
        <f>IFERROR(__xludf.DUMMYFUNCTION("""COMPUTED_VALUE"""),"Pradeep Kothari")</f>
        <v>Pradeep Kothari</v>
      </c>
      <c r="C3253" s="115" t="str">
        <f>IFERROR(__xludf.DUMMYFUNCTION("""COMPUTED_VALUE"""),"EXTERNAL")</f>
        <v>EXTERNAL</v>
      </c>
      <c r="D3253" s="115">
        <f>IFERROR(__xludf.DUMMYFUNCTION("""COMPUTED_VALUE"""),18858.0)</f>
        <v>18858</v>
      </c>
      <c r="E3253" s="115">
        <f>IFERROR(__xludf.DUMMYFUNCTION("""COMPUTED_VALUE"""),1894.0)</f>
        <v>1894</v>
      </c>
      <c r="F3253" s="115">
        <f>IFERROR(__xludf.DUMMYFUNCTION("""COMPUTED_VALUE"""),7623.0)</f>
        <v>7623</v>
      </c>
      <c r="G3253" s="115">
        <f>IFERROR(__xludf.DUMMYFUNCTION("""COMPUTED_VALUE"""),745.0)</f>
        <v>745</v>
      </c>
      <c r="H3253" s="116">
        <f>IFERROR(__xludf.DUMMYFUNCTION("""COMPUTED_VALUE"""),45906.0)</f>
        <v>45906</v>
      </c>
      <c r="I3253" s="115" t="str">
        <f>IFERROR(__xludf.DUMMYFUNCTION("""COMPUTED_VALUE"""),"19")</f>
        <v>19</v>
      </c>
      <c r="J3253" s="115" t="str">
        <f>IFERROR(__xludf.DUMMYFUNCTION("""COMPUTED_VALUE"""),"Pradeep Kothari2025-09-0619")</f>
        <v>Pradeep Kothari2025-09-0619</v>
      </c>
      <c r="K3253" s="115">
        <f>IFERROR(__xludf.DUMMYFUNCTION("""COMPUTED_VALUE"""),20752.0)</f>
        <v>20752</v>
      </c>
    </row>
    <row r="3254">
      <c r="A3254" s="115" t="str">
        <f>IFERROR(__xludf.DUMMYFUNCTION("""COMPUTED_VALUE"""),"NORTH")</f>
        <v>NORTH</v>
      </c>
      <c r="B3254" s="115" t="str">
        <f>IFERROR(__xludf.DUMMYFUNCTION("""COMPUTED_VALUE"""),"Pradeep Kothari")</f>
        <v>Pradeep Kothari</v>
      </c>
      <c r="C3254" s="115" t="str">
        <f>IFERROR(__xludf.DUMMYFUNCTION("""COMPUTED_VALUE"""),"FLIPKART")</f>
        <v>FLIPKART</v>
      </c>
      <c r="D3254" s="115">
        <f>IFERROR(__xludf.DUMMYFUNCTION("""COMPUTED_VALUE"""),135240.0)</f>
        <v>135240</v>
      </c>
      <c r="E3254" s="115">
        <f>IFERROR(__xludf.DUMMYFUNCTION("""COMPUTED_VALUE"""),16647.0)</f>
        <v>16647</v>
      </c>
      <c r="F3254" s="115">
        <f>IFERROR(__xludf.DUMMYFUNCTION("""COMPUTED_VALUE"""),99161.0)</f>
        <v>99161</v>
      </c>
      <c r="G3254" s="115">
        <f>IFERROR(__xludf.DUMMYFUNCTION("""COMPUTED_VALUE"""),10208.0)</f>
        <v>10208</v>
      </c>
      <c r="H3254" s="116">
        <f>IFERROR(__xludf.DUMMYFUNCTION("""COMPUTED_VALUE"""),45906.0)</f>
        <v>45906</v>
      </c>
      <c r="I3254" s="115" t="str">
        <f>IFERROR(__xludf.DUMMYFUNCTION("""COMPUTED_VALUE"""),"19")</f>
        <v>19</v>
      </c>
      <c r="J3254" s="115" t="str">
        <f>IFERROR(__xludf.DUMMYFUNCTION("""COMPUTED_VALUE"""),"Pradeep Kothari2025-09-0619")</f>
        <v>Pradeep Kothari2025-09-0619</v>
      </c>
      <c r="K3254" s="115">
        <f>IFERROR(__xludf.DUMMYFUNCTION("""COMPUTED_VALUE"""),151887.0)</f>
        <v>151887</v>
      </c>
    </row>
    <row r="3255">
      <c r="A3255" s="115" t="str">
        <f>IFERROR(__xludf.DUMMYFUNCTION("""COMPUTED_VALUE"""),"NORTH")</f>
        <v>NORTH</v>
      </c>
      <c r="B3255" s="115" t="str">
        <f>IFERROR(__xludf.DUMMYFUNCTION("""COMPUTED_VALUE"""),"Pradeep Kothari")</f>
        <v>Pradeep Kothari</v>
      </c>
      <c r="C3255" s="115" t="str">
        <f>IFERROR(__xludf.DUMMYFUNCTION("""COMPUTED_VALUE"""),"MYNTRA")</f>
        <v>MYNTRA</v>
      </c>
      <c r="D3255" s="115">
        <f>IFERROR(__xludf.DUMMYFUNCTION("""COMPUTED_VALUE"""),23330.0)</f>
        <v>23330</v>
      </c>
      <c r="E3255" s="115">
        <f>IFERROR(__xludf.DUMMYFUNCTION("""COMPUTED_VALUE"""),6050.0)</f>
        <v>6050</v>
      </c>
      <c r="F3255" s="115">
        <f>IFERROR(__xludf.DUMMYFUNCTION("""COMPUTED_VALUE"""),19034.0)</f>
        <v>19034</v>
      </c>
      <c r="G3255" s="115">
        <f>IFERROR(__xludf.DUMMYFUNCTION("""COMPUTED_VALUE"""),4056.0)</f>
        <v>4056</v>
      </c>
      <c r="H3255" s="116">
        <f>IFERROR(__xludf.DUMMYFUNCTION("""COMPUTED_VALUE"""),45906.0)</f>
        <v>45906</v>
      </c>
      <c r="I3255" s="115" t="str">
        <f>IFERROR(__xludf.DUMMYFUNCTION("""COMPUTED_VALUE"""),"19")</f>
        <v>19</v>
      </c>
      <c r="J3255" s="115" t="str">
        <f>IFERROR(__xludf.DUMMYFUNCTION("""COMPUTED_VALUE"""),"Pradeep Kothari2025-09-0619")</f>
        <v>Pradeep Kothari2025-09-0619</v>
      </c>
      <c r="K3255" s="115">
        <f>IFERROR(__xludf.DUMMYFUNCTION("""COMPUTED_VALUE"""),29380.0)</f>
        <v>29380</v>
      </c>
    </row>
    <row r="3256">
      <c r="A3256" s="115" t="str">
        <f>IFERROR(__xludf.DUMMYFUNCTION("""COMPUTED_VALUE"""),"SOUTH")</f>
        <v>SOUTH</v>
      </c>
      <c r="B3256" s="115" t="str">
        <f>IFERROR(__xludf.DUMMYFUNCTION("""COMPUTED_VALUE"""),"Kandula Sampath")</f>
        <v>Kandula Sampath</v>
      </c>
      <c r="C3256" s="115" t="str">
        <f>IFERROR(__xludf.DUMMYFUNCTION("""COMPUTED_VALUE"""),"EXTERNAL")</f>
        <v>EXTERNAL</v>
      </c>
      <c r="D3256" s="115">
        <f>IFERROR(__xludf.DUMMYFUNCTION("""COMPUTED_VALUE"""),34730.0)</f>
        <v>34730</v>
      </c>
      <c r="E3256" s="115">
        <f>IFERROR(__xludf.DUMMYFUNCTION("""COMPUTED_VALUE"""),2978.0)</f>
        <v>2978</v>
      </c>
      <c r="F3256" s="115">
        <f>IFERROR(__xludf.DUMMYFUNCTION("""COMPUTED_VALUE"""),15223.0)</f>
        <v>15223</v>
      </c>
      <c r="G3256" s="115">
        <f>IFERROR(__xludf.DUMMYFUNCTION("""COMPUTED_VALUE"""),1062.0)</f>
        <v>1062</v>
      </c>
      <c r="H3256" s="116">
        <f>IFERROR(__xludf.DUMMYFUNCTION("""COMPUTED_VALUE"""),45906.0)</f>
        <v>45906</v>
      </c>
      <c r="I3256" s="115" t="str">
        <f>IFERROR(__xludf.DUMMYFUNCTION("""COMPUTED_VALUE"""),"19")</f>
        <v>19</v>
      </c>
      <c r="J3256" s="115" t="str">
        <f>IFERROR(__xludf.DUMMYFUNCTION("""COMPUTED_VALUE"""),"Kandula Sampath2025-09-0619")</f>
        <v>Kandula Sampath2025-09-0619</v>
      </c>
      <c r="K3256" s="115">
        <f>IFERROR(__xludf.DUMMYFUNCTION("""COMPUTED_VALUE"""),37708.0)</f>
        <v>37708</v>
      </c>
    </row>
    <row r="3257">
      <c r="A3257" s="115" t="str">
        <f>IFERROR(__xludf.DUMMYFUNCTION("""COMPUTED_VALUE"""),"SOUTH")</f>
        <v>SOUTH</v>
      </c>
      <c r="B3257" s="115" t="str">
        <f>IFERROR(__xludf.DUMMYFUNCTION("""COMPUTED_VALUE"""),"Kandula Sampath")</f>
        <v>Kandula Sampath</v>
      </c>
      <c r="C3257" s="115" t="str">
        <f>IFERROR(__xludf.DUMMYFUNCTION("""COMPUTED_VALUE"""),"FLIPKART")</f>
        <v>FLIPKART</v>
      </c>
      <c r="D3257" s="115">
        <f>IFERROR(__xludf.DUMMYFUNCTION("""COMPUTED_VALUE"""),309463.0)</f>
        <v>309463</v>
      </c>
      <c r="E3257" s="115">
        <f>IFERROR(__xludf.DUMMYFUNCTION("""COMPUTED_VALUE"""),28558.0)</f>
        <v>28558</v>
      </c>
      <c r="F3257" s="115">
        <f>IFERROR(__xludf.DUMMYFUNCTION("""COMPUTED_VALUE"""),224063.0)</f>
        <v>224063</v>
      </c>
      <c r="G3257" s="115">
        <f>IFERROR(__xludf.DUMMYFUNCTION("""COMPUTED_VALUE"""),14717.0)</f>
        <v>14717</v>
      </c>
      <c r="H3257" s="116">
        <f>IFERROR(__xludf.DUMMYFUNCTION("""COMPUTED_VALUE"""),45906.0)</f>
        <v>45906</v>
      </c>
      <c r="I3257" s="115" t="str">
        <f>IFERROR(__xludf.DUMMYFUNCTION("""COMPUTED_VALUE"""),"19")</f>
        <v>19</v>
      </c>
      <c r="J3257" s="115" t="str">
        <f>IFERROR(__xludf.DUMMYFUNCTION("""COMPUTED_VALUE"""),"Kandula Sampath2025-09-0619")</f>
        <v>Kandula Sampath2025-09-0619</v>
      </c>
      <c r="K3257" s="115">
        <f>IFERROR(__xludf.DUMMYFUNCTION("""COMPUTED_VALUE"""),338021.0)</f>
        <v>338021</v>
      </c>
    </row>
    <row r="3258">
      <c r="A3258" s="115" t="str">
        <f>IFERROR(__xludf.DUMMYFUNCTION("""COMPUTED_VALUE"""),"SOUTH")</f>
        <v>SOUTH</v>
      </c>
      <c r="B3258" s="115" t="str">
        <f>IFERROR(__xludf.DUMMYFUNCTION("""COMPUTED_VALUE"""),"Kandula Sampath")</f>
        <v>Kandula Sampath</v>
      </c>
      <c r="C3258" s="115" t="str">
        <f>IFERROR(__xludf.DUMMYFUNCTION("""COMPUTED_VALUE"""),"MYNTRA")</f>
        <v>MYNTRA</v>
      </c>
      <c r="D3258" s="115">
        <f>IFERROR(__xludf.DUMMYFUNCTION("""COMPUTED_VALUE"""),36678.0)</f>
        <v>36678</v>
      </c>
      <c r="E3258" s="115">
        <f>IFERROR(__xludf.DUMMYFUNCTION("""COMPUTED_VALUE"""),7537.0)</f>
        <v>7537</v>
      </c>
      <c r="F3258" s="115">
        <f>IFERROR(__xludf.DUMMYFUNCTION("""COMPUTED_VALUE"""),29250.0)</f>
        <v>29250</v>
      </c>
      <c r="G3258" s="115">
        <f>IFERROR(__xludf.DUMMYFUNCTION("""COMPUTED_VALUE"""),4008.0)</f>
        <v>4008</v>
      </c>
      <c r="H3258" s="116">
        <f>IFERROR(__xludf.DUMMYFUNCTION("""COMPUTED_VALUE"""),45906.0)</f>
        <v>45906</v>
      </c>
      <c r="I3258" s="115" t="str">
        <f>IFERROR(__xludf.DUMMYFUNCTION("""COMPUTED_VALUE"""),"19")</f>
        <v>19</v>
      </c>
      <c r="J3258" s="115" t="str">
        <f>IFERROR(__xludf.DUMMYFUNCTION("""COMPUTED_VALUE"""),"Kandula Sampath2025-09-0619")</f>
        <v>Kandula Sampath2025-09-0619</v>
      </c>
      <c r="K3258" s="115">
        <f>IFERROR(__xludf.DUMMYFUNCTION("""COMPUTED_VALUE"""),44215.0)</f>
        <v>44215</v>
      </c>
    </row>
    <row r="3259">
      <c r="A3259" s="115" t="str">
        <f>IFERROR(__xludf.DUMMYFUNCTION("""COMPUTED_VALUE"""),"SOUTH")</f>
        <v>SOUTH</v>
      </c>
      <c r="B3259" s="115" t="str">
        <f>IFERROR(__xludf.DUMMYFUNCTION("""COMPUTED_VALUE"""),"Martin A")</f>
        <v>Martin A</v>
      </c>
      <c r="C3259" s="115" t="str">
        <f>IFERROR(__xludf.DUMMYFUNCTION("""COMPUTED_VALUE"""),"EXTERNAL")</f>
        <v>EXTERNAL</v>
      </c>
      <c r="D3259" s="115">
        <f>IFERROR(__xludf.DUMMYFUNCTION("""COMPUTED_VALUE"""),35448.0)</f>
        <v>35448</v>
      </c>
      <c r="E3259" s="115">
        <f>IFERROR(__xludf.DUMMYFUNCTION("""COMPUTED_VALUE"""),3306.0)</f>
        <v>3306</v>
      </c>
      <c r="F3259" s="115">
        <f>IFERROR(__xludf.DUMMYFUNCTION("""COMPUTED_VALUE"""),14561.0)</f>
        <v>14561</v>
      </c>
      <c r="G3259" s="115">
        <f>IFERROR(__xludf.DUMMYFUNCTION("""COMPUTED_VALUE"""),1542.0)</f>
        <v>1542</v>
      </c>
      <c r="H3259" s="116">
        <f>IFERROR(__xludf.DUMMYFUNCTION("""COMPUTED_VALUE"""),45906.0)</f>
        <v>45906</v>
      </c>
      <c r="I3259" s="115" t="str">
        <f>IFERROR(__xludf.DUMMYFUNCTION("""COMPUTED_VALUE"""),"19")</f>
        <v>19</v>
      </c>
      <c r="J3259" s="115" t="str">
        <f>IFERROR(__xludf.DUMMYFUNCTION("""COMPUTED_VALUE"""),"Martin A2025-09-0619")</f>
        <v>Martin A2025-09-0619</v>
      </c>
      <c r="K3259" s="115">
        <f>IFERROR(__xludf.DUMMYFUNCTION("""COMPUTED_VALUE"""),38754.0)</f>
        <v>38754</v>
      </c>
    </row>
    <row r="3260">
      <c r="A3260" s="115" t="str">
        <f>IFERROR(__xludf.DUMMYFUNCTION("""COMPUTED_VALUE"""),"SOUTH")</f>
        <v>SOUTH</v>
      </c>
      <c r="B3260" s="115" t="str">
        <f>IFERROR(__xludf.DUMMYFUNCTION("""COMPUTED_VALUE"""),"Martin A")</f>
        <v>Martin A</v>
      </c>
      <c r="C3260" s="115" t="str">
        <f>IFERROR(__xludf.DUMMYFUNCTION("""COMPUTED_VALUE"""),"FLIPKART")</f>
        <v>FLIPKART</v>
      </c>
      <c r="D3260" s="115">
        <f>IFERROR(__xludf.DUMMYFUNCTION("""COMPUTED_VALUE"""),298397.0)</f>
        <v>298397</v>
      </c>
      <c r="E3260" s="115">
        <f>IFERROR(__xludf.DUMMYFUNCTION("""COMPUTED_VALUE"""),26016.0)</f>
        <v>26016</v>
      </c>
      <c r="F3260" s="115">
        <f>IFERROR(__xludf.DUMMYFUNCTION("""COMPUTED_VALUE"""),209351.0)</f>
        <v>209351</v>
      </c>
      <c r="G3260" s="115">
        <f>IFERROR(__xludf.DUMMYFUNCTION("""COMPUTED_VALUE"""),14647.0)</f>
        <v>14647</v>
      </c>
      <c r="H3260" s="116">
        <f>IFERROR(__xludf.DUMMYFUNCTION("""COMPUTED_VALUE"""),45906.0)</f>
        <v>45906</v>
      </c>
      <c r="I3260" s="115" t="str">
        <f>IFERROR(__xludf.DUMMYFUNCTION("""COMPUTED_VALUE"""),"19")</f>
        <v>19</v>
      </c>
      <c r="J3260" s="115" t="str">
        <f>IFERROR(__xludf.DUMMYFUNCTION("""COMPUTED_VALUE"""),"Martin A2025-09-0619")</f>
        <v>Martin A2025-09-0619</v>
      </c>
      <c r="K3260" s="115">
        <f>IFERROR(__xludf.DUMMYFUNCTION("""COMPUTED_VALUE"""),324413.0)</f>
        <v>324413</v>
      </c>
    </row>
    <row r="3261">
      <c r="A3261" s="115" t="str">
        <f>IFERROR(__xludf.DUMMYFUNCTION("""COMPUTED_VALUE"""),"SOUTH")</f>
        <v>SOUTH</v>
      </c>
      <c r="B3261" s="115" t="str">
        <f>IFERROR(__xludf.DUMMYFUNCTION("""COMPUTED_VALUE"""),"Martin A")</f>
        <v>Martin A</v>
      </c>
      <c r="C3261" s="115" t="str">
        <f>IFERROR(__xludf.DUMMYFUNCTION("""COMPUTED_VALUE"""),"MYNTRA")</f>
        <v>MYNTRA</v>
      </c>
      <c r="D3261" s="115">
        <f>IFERROR(__xludf.DUMMYFUNCTION("""COMPUTED_VALUE"""),29626.0)</f>
        <v>29626</v>
      </c>
      <c r="E3261" s="115">
        <f>IFERROR(__xludf.DUMMYFUNCTION("""COMPUTED_VALUE"""),6333.0)</f>
        <v>6333</v>
      </c>
      <c r="F3261" s="115">
        <f>IFERROR(__xludf.DUMMYFUNCTION("""COMPUTED_VALUE"""),23313.0)</f>
        <v>23313</v>
      </c>
      <c r="G3261" s="115">
        <f>IFERROR(__xludf.DUMMYFUNCTION("""COMPUTED_VALUE"""),3768.0)</f>
        <v>3768</v>
      </c>
      <c r="H3261" s="116">
        <f>IFERROR(__xludf.DUMMYFUNCTION("""COMPUTED_VALUE"""),45906.0)</f>
        <v>45906</v>
      </c>
      <c r="I3261" s="115" t="str">
        <f>IFERROR(__xludf.DUMMYFUNCTION("""COMPUTED_VALUE"""),"19")</f>
        <v>19</v>
      </c>
      <c r="J3261" s="115" t="str">
        <f>IFERROR(__xludf.DUMMYFUNCTION("""COMPUTED_VALUE"""),"Martin A2025-09-0619")</f>
        <v>Martin A2025-09-0619</v>
      </c>
      <c r="K3261" s="115">
        <f>IFERROR(__xludf.DUMMYFUNCTION("""COMPUTED_VALUE"""),35959.0)</f>
        <v>35959</v>
      </c>
    </row>
    <row r="3262">
      <c r="A3262" s="115" t="str">
        <f>IFERROR(__xludf.DUMMYFUNCTION("""COMPUTED_VALUE"""),"SOUTH")</f>
        <v>SOUTH</v>
      </c>
      <c r="B3262" s="115" t="str">
        <f>IFERROR(__xludf.DUMMYFUNCTION("""COMPUTED_VALUE"""),"Premkumar M")</f>
        <v>Premkumar M</v>
      </c>
      <c r="C3262" s="115" t="str">
        <f>IFERROR(__xludf.DUMMYFUNCTION("""COMPUTED_VALUE"""),"EXTERNAL")</f>
        <v>EXTERNAL</v>
      </c>
      <c r="D3262" s="115">
        <f>IFERROR(__xludf.DUMMYFUNCTION("""COMPUTED_VALUE"""),30270.0)</f>
        <v>30270</v>
      </c>
      <c r="E3262" s="115">
        <f>IFERROR(__xludf.DUMMYFUNCTION("""COMPUTED_VALUE"""),1773.0)</f>
        <v>1773</v>
      </c>
      <c r="F3262" s="115">
        <f>IFERROR(__xludf.DUMMYFUNCTION("""COMPUTED_VALUE"""),14555.0)</f>
        <v>14555</v>
      </c>
      <c r="G3262" s="115">
        <f>IFERROR(__xludf.DUMMYFUNCTION("""COMPUTED_VALUE"""),540.0)</f>
        <v>540</v>
      </c>
      <c r="H3262" s="116">
        <f>IFERROR(__xludf.DUMMYFUNCTION("""COMPUTED_VALUE"""),45906.0)</f>
        <v>45906</v>
      </c>
      <c r="I3262" s="115" t="str">
        <f>IFERROR(__xludf.DUMMYFUNCTION("""COMPUTED_VALUE"""),"19")</f>
        <v>19</v>
      </c>
      <c r="J3262" s="115" t="str">
        <f>IFERROR(__xludf.DUMMYFUNCTION("""COMPUTED_VALUE"""),"Premkumar M2025-09-0619")</f>
        <v>Premkumar M2025-09-0619</v>
      </c>
      <c r="K3262" s="115">
        <f>IFERROR(__xludf.DUMMYFUNCTION("""COMPUTED_VALUE"""),32043.0)</f>
        <v>32043</v>
      </c>
    </row>
    <row r="3263">
      <c r="A3263" s="115" t="str">
        <f>IFERROR(__xludf.DUMMYFUNCTION("""COMPUTED_VALUE"""),"SOUTH")</f>
        <v>SOUTH</v>
      </c>
      <c r="B3263" s="115" t="str">
        <f>IFERROR(__xludf.DUMMYFUNCTION("""COMPUTED_VALUE"""),"Premkumar M")</f>
        <v>Premkumar M</v>
      </c>
      <c r="C3263" s="115" t="str">
        <f>IFERROR(__xludf.DUMMYFUNCTION("""COMPUTED_VALUE"""),"FLIPKART")</f>
        <v>FLIPKART</v>
      </c>
      <c r="D3263" s="115">
        <f>IFERROR(__xludf.DUMMYFUNCTION("""COMPUTED_VALUE"""),279145.0)</f>
        <v>279145</v>
      </c>
      <c r="E3263" s="115">
        <f>IFERROR(__xludf.DUMMYFUNCTION("""COMPUTED_VALUE"""),19710.0)</f>
        <v>19710</v>
      </c>
      <c r="F3263" s="115">
        <f>IFERROR(__xludf.DUMMYFUNCTION("""COMPUTED_VALUE"""),202082.0)</f>
        <v>202082</v>
      </c>
      <c r="G3263" s="115">
        <f>IFERROR(__xludf.DUMMYFUNCTION("""COMPUTED_VALUE"""),7748.0)</f>
        <v>7748</v>
      </c>
      <c r="H3263" s="116">
        <f>IFERROR(__xludf.DUMMYFUNCTION("""COMPUTED_VALUE"""),45906.0)</f>
        <v>45906</v>
      </c>
      <c r="I3263" s="115" t="str">
        <f>IFERROR(__xludf.DUMMYFUNCTION("""COMPUTED_VALUE"""),"19")</f>
        <v>19</v>
      </c>
      <c r="J3263" s="115" t="str">
        <f>IFERROR(__xludf.DUMMYFUNCTION("""COMPUTED_VALUE"""),"Premkumar M2025-09-0619")</f>
        <v>Premkumar M2025-09-0619</v>
      </c>
      <c r="K3263" s="115">
        <f>IFERROR(__xludf.DUMMYFUNCTION("""COMPUTED_VALUE"""),298855.0)</f>
        <v>298855</v>
      </c>
    </row>
    <row r="3264">
      <c r="A3264" s="115" t="str">
        <f>IFERROR(__xludf.DUMMYFUNCTION("""COMPUTED_VALUE"""),"SOUTH")</f>
        <v>SOUTH</v>
      </c>
      <c r="B3264" s="115" t="str">
        <f>IFERROR(__xludf.DUMMYFUNCTION("""COMPUTED_VALUE"""),"Premkumar M")</f>
        <v>Premkumar M</v>
      </c>
      <c r="C3264" s="115" t="str">
        <f>IFERROR(__xludf.DUMMYFUNCTION("""COMPUTED_VALUE"""),"MYNTRA")</f>
        <v>MYNTRA</v>
      </c>
      <c r="D3264" s="115">
        <f>IFERROR(__xludf.DUMMYFUNCTION("""COMPUTED_VALUE"""),15696.0)</f>
        <v>15696</v>
      </c>
      <c r="E3264" s="115">
        <f>IFERROR(__xludf.DUMMYFUNCTION("""COMPUTED_VALUE"""),3040.0)</f>
        <v>3040</v>
      </c>
      <c r="F3264" s="115">
        <f>IFERROR(__xludf.DUMMYFUNCTION("""COMPUTED_VALUE"""),12625.0)</f>
        <v>12625</v>
      </c>
      <c r="G3264" s="115">
        <f>IFERROR(__xludf.DUMMYFUNCTION("""COMPUTED_VALUE"""),1291.0)</f>
        <v>1291</v>
      </c>
      <c r="H3264" s="116">
        <f>IFERROR(__xludf.DUMMYFUNCTION("""COMPUTED_VALUE"""),45906.0)</f>
        <v>45906</v>
      </c>
      <c r="I3264" s="115" t="str">
        <f>IFERROR(__xludf.DUMMYFUNCTION("""COMPUTED_VALUE"""),"19")</f>
        <v>19</v>
      </c>
      <c r="J3264" s="115" t="str">
        <f>IFERROR(__xludf.DUMMYFUNCTION("""COMPUTED_VALUE"""),"Premkumar M2025-09-0619")</f>
        <v>Premkumar M2025-09-0619</v>
      </c>
      <c r="K3264" s="115">
        <f>IFERROR(__xludf.DUMMYFUNCTION("""COMPUTED_VALUE"""),18736.0)</f>
        <v>18736</v>
      </c>
    </row>
    <row r="3265">
      <c r="A3265" s="115" t="str">
        <f>IFERROR(__xludf.DUMMYFUNCTION("""COMPUTED_VALUE"""),"SOUTH")</f>
        <v>SOUTH</v>
      </c>
      <c r="B3265" s="115" t="str">
        <f>IFERROR(__xludf.DUMMYFUNCTION("""COMPUTED_VALUE"""),"Vineeth V")</f>
        <v>Vineeth V</v>
      </c>
      <c r="C3265" s="115" t="str">
        <f>IFERROR(__xludf.DUMMYFUNCTION("""COMPUTED_VALUE"""),"EXTERNAL")</f>
        <v>EXTERNAL</v>
      </c>
      <c r="D3265" s="115">
        <f>IFERROR(__xludf.DUMMYFUNCTION("""COMPUTED_VALUE"""),26659.0)</f>
        <v>26659</v>
      </c>
      <c r="E3265" s="115">
        <f>IFERROR(__xludf.DUMMYFUNCTION("""COMPUTED_VALUE"""),691.0)</f>
        <v>691</v>
      </c>
      <c r="F3265" s="115">
        <f>IFERROR(__xludf.DUMMYFUNCTION("""COMPUTED_VALUE"""),13931.0)</f>
        <v>13931</v>
      </c>
      <c r="G3265" s="115">
        <f>IFERROR(__xludf.DUMMYFUNCTION("""COMPUTED_VALUE"""),210.0)</f>
        <v>210</v>
      </c>
      <c r="H3265" s="116">
        <f>IFERROR(__xludf.DUMMYFUNCTION("""COMPUTED_VALUE"""),45906.0)</f>
        <v>45906</v>
      </c>
      <c r="I3265" s="115" t="str">
        <f>IFERROR(__xludf.DUMMYFUNCTION("""COMPUTED_VALUE"""),"19")</f>
        <v>19</v>
      </c>
      <c r="J3265" s="115" t="str">
        <f>IFERROR(__xludf.DUMMYFUNCTION("""COMPUTED_VALUE"""),"Vineeth V2025-09-0619")</f>
        <v>Vineeth V2025-09-0619</v>
      </c>
      <c r="K3265" s="115">
        <f>IFERROR(__xludf.DUMMYFUNCTION("""COMPUTED_VALUE"""),27350.0)</f>
        <v>27350</v>
      </c>
    </row>
    <row r="3266">
      <c r="A3266" s="115" t="str">
        <f>IFERROR(__xludf.DUMMYFUNCTION("""COMPUTED_VALUE"""),"SOUTH")</f>
        <v>SOUTH</v>
      </c>
      <c r="B3266" s="115" t="str">
        <f>IFERROR(__xludf.DUMMYFUNCTION("""COMPUTED_VALUE"""),"Vineeth V")</f>
        <v>Vineeth V</v>
      </c>
      <c r="C3266" s="115" t="str">
        <f>IFERROR(__xludf.DUMMYFUNCTION("""COMPUTED_VALUE"""),"FLIPKART")</f>
        <v>FLIPKART</v>
      </c>
      <c r="D3266" s="115">
        <f>IFERROR(__xludf.DUMMYFUNCTION("""COMPUTED_VALUE"""),218814.0)</f>
        <v>218814</v>
      </c>
      <c r="E3266" s="115">
        <f>IFERROR(__xludf.DUMMYFUNCTION("""COMPUTED_VALUE"""),16036.0)</f>
        <v>16036</v>
      </c>
      <c r="F3266" s="115">
        <f>IFERROR(__xludf.DUMMYFUNCTION("""COMPUTED_VALUE"""),166565.0)</f>
        <v>166565</v>
      </c>
      <c r="G3266" s="115">
        <f>IFERROR(__xludf.DUMMYFUNCTION("""COMPUTED_VALUE"""),5265.0)</f>
        <v>5265</v>
      </c>
      <c r="H3266" s="116">
        <f>IFERROR(__xludf.DUMMYFUNCTION("""COMPUTED_VALUE"""),45906.0)</f>
        <v>45906</v>
      </c>
      <c r="I3266" s="115" t="str">
        <f>IFERROR(__xludf.DUMMYFUNCTION("""COMPUTED_VALUE"""),"19")</f>
        <v>19</v>
      </c>
      <c r="J3266" s="115" t="str">
        <f>IFERROR(__xludf.DUMMYFUNCTION("""COMPUTED_VALUE"""),"Vineeth V2025-09-0619")</f>
        <v>Vineeth V2025-09-0619</v>
      </c>
      <c r="K3266" s="115">
        <f>IFERROR(__xludf.DUMMYFUNCTION("""COMPUTED_VALUE"""),234850.0)</f>
        <v>234850</v>
      </c>
    </row>
    <row r="3267">
      <c r="A3267" s="115" t="str">
        <f>IFERROR(__xludf.DUMMYFUNCTION("""COMPUTED_VALUE"""),"SOUTH")</f>
        <v>SOUTH</v>
      </c>
      <c r="B3267" s="115" t="str">
        <f>IFERROR(__xludf.DUMMYFUNCTION("""COMPUTED_VALUE"""),"Vineeth V")</f>
        <v>Vineeth V</v>
      </c>
      <c r="C3267" s="115" t="str">
        <f>IFERROR(__xludf.DUMMYFUNCTION("""COMPUTED_VALUE"""),"MYNTRA")</f>
        <v>MYNTRA</v>
      </c>
      <c r="D3267" s="115">
        <f>IFERROR(__xludf.DUMMYFUNCTION("""COMPUTED_VALUE"""),28391.0)</f>
        <v>28391</v>
      </c>
      <c r="E3267" s="115">
        <f>IFERROR(__xludf.DUMMYFUNCTION("""COMPUTED_VALUE"""),4100.0)</f>
        <v>4100</v>
      </c>
      <c r="F3267" s="115">
        <f>IFERROR(__xludf.DUMMYFUNCTION("""COMPUTED_VALUE"""),23322.0)</f>
        <v>23322</v>
      </c>
      <c r="G3267" s="115">
        <f>IFERROR(__xludf.DUMMYFUNCTION("""COMPUTED_VALUE"""),1463.0)</f>
        <v>1463</v>
      </c>
      <c r="H3267" s="116">
        <f>IFERROR(__xludf.DUMMYFUNCTION("""COMPUTED_VALUE"""),45906.0)</f>
        <v>45906</v>
      </c>
      <c r="I3267" s="115" t="str">
        <f>IFERROR(__xludf.DUMMYFUNCTION("""COMPUTED_VALUE"""),"19")</f>
        <v>19</v>
      </c>
      <c r="J3267" s="115" t="str">
        <f>IFERROR(__xludf.DUMMYFUNCTION("""COMPUTED_VALUE"""),"Vineeth V2025-09-0619")</f>
        <v>Vineeth V2025-09-0619</v>
      </c>
      <c r="K3267" s="115">
        <f>IFERROR(__xludf.DUMMYFUNCTION("""COMPUTED_VALUE"""),32491.0)</f>
        <v>32491</v>
      </c>
    </row>
    <row r="3268">
      <c r="A3268" s="115" t="str">
        <f>IFERROR(__xludf.DUMMYFUNCTION("""COMPUTED_VALUE"""),"WEST")</f>
        <v>WEST</v>
      </c>
      <c r="B3268" s="115" t="str">
        <f>IFERROR(__xludf.DUMMYFUNCTION("""COMPUTED_VALUE"""),"Ashish Jakar")</f>
        <v>Ashish Jakar</v>
      </c>
      <c r="C3268" s="115" t="str">
        <f>IFERROR(__xludf.DUMMYFUNCTION("""COMPUTED_VALUE"""),"EXTERNAL")</f>
        <v>EXTERNAL</v>
      </c>
      <c r="D3268" s="115">
        <f>IFERROR(__xludf.DUMMYFUNCTION("""COMPUTED_VALUE"""),47991.0)</f>
        <v>47991</v>
      </c>
      <c r="E3268" s="115">
        <f>IFERROR(__xludf.DUMMYFUNCTION("""COMPUTED_VALUE"""),5595.0)</f>
        <v>5595</v>
      </c>
      <c r="F3268" s="115">
        <f>IFERROR(__xludf.DUMMYFUNCTION("""COMPUTED_VALUE"""),20375.0)</f>
        <v>20375</v>
      </c>
      <c r="G3268" s="115">
        <f>IFERROR(__xludf.DUMMYFUNCTION("""COMPUTED_VALUE"""),2508.0)</f>
        <v>2508</v>
      </c>
      <c r="H3268" s="116">
        <f>IFERROR(__xludf.DUMMYFUNCTION("""COMPUTED_VALUE"""),45906.0)</f>
        <v>45906</v>
      </c>
      <c r="I3268" s="115" t="str">
        <f>IFERROR(__xludf.DUMMYFUNCTION("""COMPUTED_VALUE"""),"19")</f>
        <v>19</v>
      </c>
      <c r="J3268" s="115" t="str">
        <f>IFERROR(__xludf.DUMMYFUNCTION("""COMPUTED_VALUE"""),"Ashish Jakar2025-09-0619")</f>
        <v>Ashish Jakar2025-09-0619</v>
      </c>
      <c r="K3268" s="115">
        <f>IFERROR(__xludf.DUMMYFUNCTION("""COMPUTED_VALUE"""),53586.0)</f>
        <v>53586</v>
      </c>
    </row>
    <row r="3269">
      <c r="A3269" s="115" t="str">
        <f>IFERROR(__xludf.DUMMYFUNCTION("""COMPUTED_VALUE"""),"WEST")</f>
        <v>WEST</v>
      </c>
      <c r="B3269" s="115" t="str">
        <f>IFERROR(__xludf.DUMMYFUNCTION("""COMPUTED_VALUE"""),"Ashish Jakar")</f>
        <v>Ashish Jakar</v>
      </c>
      <c r="C3269" s="115" t="str">
        <f>IFERROR(__xludf.DUMMYFUNCTION("""COMPUTED_VALUE"""),"FLIPKART")</f>
        <v>FLIPKART</v>
      </c>
      <c r="D3269" s="115">
        <f>IFERROR(__xludf.DUMMYFUNCTION("""COMPUTED_VALUE"""),236276.0)</f>
        <v>236276</v>
      </c>
      <c r="E3269" s="115">
        <f>IFERROR(__xludf.DUMMYFUNCTION("""COMPUTED_VALUE"""),27766.0)</f>
        <v>27766</v>
      </c>
      <c r="F3269" s="115">
        <f>IFERROR(__xludf.DUMMYFUNCTION("""COMPUTED_VALUE"""),168936.0)</f>
        <v>168936</v>
      </c>
      <c r="G3269" s="115">
        <f>IFERROR(__xludf.DUMMYFUNCTION("""COMPUTED_VALUE"""),16371.0)</f>
        <v>16371</v>
      </c>
      <c r="H3269" s="116">
        <f>IFERROR(__xludf.DUMMYFUNCTION("""COMPUTED_VALUE"""),45906.0)</f>
        <v>45906</v>
      </c>
      <c r="I3269" s="115" t="str">
        <f>IFERROR(__xludf.DUMMYFUNCTION("""COMPUTED_VALUE"""),"19")</f>
        <v>19</v>
      </c>
      <c r="J3269" s="115" t="str">
        <f>IFERROR(__xludf.DUMMYFUNCTION("""COMPUTED_VALUE"""),"Ashish Jakar2025-09-0619")</f>
        <v>Ashish Jakar2025-09-0619</v>
      </c>
      <c r="K3269" s="115">
        <f>IFERROR(__xludf.DUMMYFUNCTION("""COMPUTED_VALUE"""),264042.0)</f>
        <v>264042</v>
      </c>
    </row>
    <row r="3270">
      <c r="A3270" s="115" t="str">
        <f>IFERROR(__xludf.DUMMYFUNCTION("""COMPUTED_VALUE"""),"WEST")</f>
        <v>WEST</v>
      </c>
      <c r="B3270" s="115" t="str">
        <f>IFERROR(__xludf.DUMMYFUNCTION("""COMPUTED_VALUE"""),"Ashish Jakar")</f>
        <v>Ashish Jakar</v>
      </c>
      <c r="C3270" s="115" t="str">
        <f>IFERROR(__xludf.DUMMYFUNCTION("""COMPUTED_VALUE"""),"MYNTRA")</f>
        <v>MYNTRA</v>
      </c>
      <c r="D3270" s="115">
        <f>IFERROR(__xludf.DUMMYFUNCTION("""COMPUTED_VALUE"""),33882.0)</f>
        <v>33882</v>
      </c>
      <c r="E3270" s="115">
        <f>IFERROR(__xludf.DUMMYFUNCTION("""COMPUTED_VALUE"""),9012.0)</f>
        <v>9012</v>
      </c>
      <c r="F3270" s="115">
        <f>IFERROR(__xludf.DUMMYFUNCTION("""COMPUTED_VALUE"""),27803.0)</f>
        <v>27803</v>
      </c>
      <c r="G3270" s="115">
        <f>IFERROR(__xludf.DUMMYFUNCTION("""COMPUTED_VALUE"""),5657.0)</f>
        <v>5657</v>
      </c>
      <c r="H3270" s="116">
        <f>IFERROR(__xludf.DUMMYFUNCTION("""COMPUTED_VALUE"""),45906.0)</f>
        <v>45906</v>
      </c>
      <c r="I3270" s="115" t="str">
        <f>IFERROR(__xludf.DUMMYFUNCTION("""COMPUTED_VALUE"""),"19")</f>
        <v>19</v>
      </c>
      <c r="J3270" s="115" t="str">
        <f>IFERROR(__xludf.DUMMYFUNCTION("""COMPUTED_VALUE"""),"Ashish Jakar2025-09-0619")</f>
        <v>Ashish Jakar2025-09-0619</v>
      </c>
      <c r="K3270" s="115">
        <f>IFERROR(__xludf.DUMMYFUNCTION("""COMPUTED_VALUE"""),42894.0)</f>
        <v>42894</v>
      </c>
    </row>
    <row r="3271">
      <c r="A3271" s="115" t="str">
        <f>IFERROR(__xludf.DUMMYFUNCTION("""COMPUTED_VALUE"""),"WEST")</f>
        <v>WEST</v>
      </c>
      <c r="B3271" s="115" t="str">
        <f>IFERROR(__xludf.DUMMYFUNCTION("""COMPUTED_VALUE"""),"Ashvani Bhatt")</f>
        <v>Ashvani Bhatt</v>
      </c>
      <c r="C3271" s="115" t="str">
        <f>IFERROR(__xludf.DUMMYFUNCTION("""COMPUTED_VALUE"""),"EXTERNAL")</f>
        <v>EXTERNAL</v>
      </c>
      <c r="D3271" s="115">
        <f>IFERROR(__xludf.DUMMYFUNCTION("""COMPUTED_VALUE"""),35253.0)</f>
        <v>35253</v>
      </c>
      <c r="E3271" s="115">
        <f>IFERROR(__xludf.DUMMYFUNCTION("""COMPUTED_VALUE"""),2916.0)</f>
        <v>2916</v>
      </c>
      <c r="F3271" s="115">
        <f>IFERROR(__xludf.DUMMYFUNCTION("""COMPUTED_VALUE"""),14337.0)</f>
        <v>14337</v>
      </c>
      <c r="G3271" s="115">
        <f>IFERROR(__xludf.DUMMYFUNCTION("""COMPUTED_VALUE"""),1019.0)</f>
        <v>1019</v>
      </c>
      <c r="H3271" s="116">
        <f>IFERROR(__xludf.DUMMYFUNCTION("""COMPUTED_VALUE"""),45906.0)</f>
        <v>45906</v>
      </c>
      <c r="I3271" s="115" t="str">
        <f>IFERROR(__xludf.DUMMYFUNCTION("""COMPUTED_VALUE"""),"19")</f>
        <v>19</v>
      </c>
      <c r="J3271" s="115" t="str">
        <f>IFERROR(__xludf.DUMMYFUNCTION("""COMPUTED_VALUE"""),"Ashvani Bhatt2025-09-0619")</f>
        <v>Ashvani Bhatt2025-09-0619</v>
      </c>
      <c r="K3271" s="115">
        <f>IFERROR(__xludf.DUMMYFUNCTION("""COMPUTED_VALUE"""),38169.0)</f>
        <v>38169</v>
      </c>
    </row>
    <row r="3272">
      <c r="A3272" s="115" t="str">
        <f>IFERROR(__xludf.DUMMYFUNCTION("""COMPUTED_VALUE"""),"WEST")</f>
        <v>WEST</v>
      </c>
      <c r="B3272" s="115" t="str">
        <f>IFERROR(__xludf.DUMMYFUNCTION("""COMPUTED_VALUE"""),"Ashvani Bhatt")</f>
        <v>Ashvani Bhatt</v>
      </c>
      <c r="C3272" s="115" t="str">
        <f>IFERROR(__xludf.DUMMYFUNCTION("""COMPUTED_VALUE"""),"FLIPKART")</f>
        <v>FLIPKART</v>
      </c>
      <c r="D3272" s="115">
        <f>IFERROR(__xludf.DUMMYFUNCTION("""COMPUTED_VALUE"""),249505.0)</f>
        <v>249505</v>
      </c>
      <c r="E3272" s="115">
        <f>IFERROR(__xludf.DUMMYFUNCTION("""COMPUTED_VALUE"""),26814.0)</f>
        <v>26814</v>
      </c>
      <c r="F3272" s="115">
        <f>IFERROR(__xludf.DUMMYFUNCTION("""COMPUTED_VALUE"""),177827.0)</f>
        <v>177827</v>
      </c>
      <c r="G3272" s="115">
        <f>IFERROR(__xludf.DUMMYFUNCTION("""COMPUTED_VALUE"""),15165.0)</f>
        <v>15165</v>
      </c>
      <c r="H3272" s="116">
        <f>IFERROR(__xludf.DUMMYFUNCTION("""COMPUTED_VALUE"""),45906.0)</f>
        <v>45906</v>
      </c>
      <c r="I3272" s="115" t="str">
        <f>IFERROR(__xludf.DUMMYFUNCTION("""COMPUTED_VALUE"""),"19")</f>
        <v>19</v>
      </c>
      <c r="J3272" s="115" t="str">
        <f>IFERROR(__xludf.DUMMYFUNCTION("""COMPUTED_VALUE"""),"Ashvani Bhatt2025-09-0619")</f>
        <v>Ashvani Bhatt2025-09-0619</v>
      </c>
      <c r="K3272" s="115">
        <f>IFERROR(__xludf.DUMMYFUNCTION("""COMPUTED_VALUE"""),276319.0)</f>
        <v>276319</v>
      </c>
    </row>
    <row r="3273">
      <c r="A3273" s="115" t="str">
        <f>IFERROR(__xludf.DUMMYFUNCTION("""COMPUTED_VALUE"""),"WEST")</f>
        <v>WEST</v>
      </c>
      <c r="B3273" s="115" t="str">
        <f>IFERROR(__xludf.DUMMYFUNCTION("""COMPUTED_VALUE"""),"Ashvani Bhatt")</f>
        <v>Ashvani Bhatt</v>
      </c>
      <c r="C3273" s="115" t="str">
        <f>IFERROR(__xludf.DUMMYFUNCTION("""COMPUTED_VALUE"""),"MYNTRA")</f>
        <v>MYNTRA</v>
      </c>
      <c r="D3273" s="115">
        <f>IFERROR(__xludf.DUMMYFUNCTION("""COMPUTED_VALUE"""),31220.0)</f>
        <v>31220</v>
      </c>
      <c r="E3273" s="115">
        <f>IFERROR(__xludf.DUMMYFUNCTION("""COMPUTED_VALUE"""),7985.0)</f>
        <v>7985</v>
      </c>
      <c r="F3273" s="115">
        <f>IFERROR(__xludf.DUMMYFUNCTION("""COMPUTED_VALUE"""),25650.0)</f>
        <v>25650</v>
      </c>
      <c r="G3273" s="115">
        <f>IFERROR(__xludf.DUMMYFUNCTION("""COMPUTED_VALUE"""),5069.0)</f>
        <v>5069</v>
      </c>
      <c r="H3273" s="116">
        <f>IFERROR(__xludf.DUMMYFUNCTION("""COMPUTED_VALUE"""),45906.0)</f>
        <v>45906</v>
      </c>
      <c r="I3273" s="115" t="str">
        <f>IFERROR(__xludf.DUMMYFUNCTION("""COMPUTED_VALUE"""),"19")</f>
        <v>19</v>
      </c>
      <c r="J3273" s="115" t="str">
        <f>IFERROR(__xludf.DUMMYFUNCTION("""COMPUTED_VALUE"""),"Ashvani Bhatt2025-09-0619")</f>
        <v>Ashvani Bhatt2025-09-0619</v>
      </c>
      <c r="K3273" s="115">
        <f>IFERROR(__xludf.DUMMYFUNCTION("""COMPUTED_VALUE"""),39205.0)</f>
        <v>39205</v>
      </c>
    </row>
    <row r="3274">
      <c r="A3274" s="115"/>
      <c r="B3274" s="115"/>
      <c r="C3274" s="115" t="str">
        <f>IFERROR(__xludf.DUMMYFUNCTION("""COMPUTED_VALUE"""),"EXTERNAL")</f>
        <v>EXTERNAL</v>
      </c>
      <c r="D3274" s="115">
        <f>IFERROR(__xludf.DUMMYFUNCTION("""COMPUTED_VALUE"""),1189.0)</f>
        <v>1189</v>
      </c>
      <c r="E3274" s="115">
        <f>IFERROR(__xludf.DUMMYFUNCTION("""COMPUTED_VALUE"""),117.0)</f>
        <v>117</v>
      </c>
      <c r="F3274" s="115">
        <f>IFERROR(__xludf.DUMMYFUNCTION("""COMPUTED_VALUE"""),398.0)</f>
        <v>398</v>
      </c>
      <c r="G3274" s="115">
        <f>IFERROR(__xludf.DUMMYFUNCTION("""COMPUTED_VALUE"""),84.0)</f>
        <v>84</v>
      </c>
      <c r="H3274" s="116">
        <f>IFERROR(__xludf.DUMMYFUNCTION("""COMPUTED_VALUE"""),45906.0)</f>
        <v>45906</v>
      </c>
      <c r="I3274" s="115" t="str">
        <f>IFERROR(__xludf.DUMMYFUNCTION("""COMPUTED_VALUE"""),"19")</f>
        <v>19</v>
      </c>
      <c r="J3274" s="115" t="str">
        <f>IFERROR(__xludf.DUMMYFUNCTION("""COMPUTED_VALUE"""),"2025-09-0619")</f>
        <v>2025-09-0619</v>
      </c>
      <c r="K3274" s="115">
        <f>IFERROR(__xludf.DUMMYFUNCTION("""COMPUTED_VALUE"""),1306.0)</f>
        <v>1306</v>
      </c>
    </row>
    <row r="3275">
      <c r="A3275" s="115"/>
      <c r="B3275" s="115"/>
      <c r="C3275" s="115" t="str">
        <f>IFERROR(__xludf.DUMMYFUNCTION("""COMPUTED_VALUE"""),"FLIPKART")</f>
        <v>FLIPKART</v>
      </c>
      <c r="D3275" s="115">
        <f>IFERROR(__xludf.DUMMYFUNCTION("""COMPUTED_VALUE"""),6793.0)</f>
        <v>6793</v>
      </c>
      <c r="E3275" s="115">
        <f>IFERROR(__xludf.DUMMYFUNCTION("""COMPUTED_VALUE"""),711.0)</f>
        <v>711</v>
      </c>
      <c r="F3275" s="115">
        <f>IFERROR(__xludf.DUMMYFUNCTION("""COMPUTED_VALUE"""),4312.0)</f>
        <v>4312</v>
      </c>
      <c r="G3275" s="115">
        <f>IFERROR(__xludf.DUMMYFUNCTION("""COMPUTED_VALUE"""),447.0)</f>
        <v>447</v>
      </c>
      <c r="H3275" s="116">
        <f>IFERROR(__xludf.DUMMYFUNCTION("""COMPUTED_VALUE"""),45906.0)</f>
        <v>45906</v>
      </c>
      <c r="I3275" s="115" t="str">
        <f>IFERROR(__xludf.DUMMYFUNCTION("""COMPUTED_VALUE"""),"19")</f>
        <v>19</v>
      </c>
      <c r="J3275" s="115" t="str">
        <f>IFERROR(__xludf.DUMMYFUNCTION("""COMPUTED_VALUE"""),"2025-09-0619")</f>
        <v>2025-09-0619</v>
      </c>
      <c r="K3275" s="115">
        <f>IFERROR(__xludf.DUMMYFUNCTION("""COMPUTED_VALUE"""),7504.0)</f>
        <v>7504</v>
      </c>
    </row>
    <row r="3276">
      <c r="A3276" s="115"/>
      <c r="B3276" s="115"/>
      <c r="C3276" s="115" t="str">
        <f>IFERROR(__xludf.DUMMYFUNCTION("""COMPUTED_VALUE"""),"MYNTRA")</f>
        <v>MYNTRA</v>
      </c>
      <c r="D3276" s="115">
        <f>IFERROR(__xludf.DUMMYFUNCTION("""COMPUTED_VALUE"""),1360.0)</f>
        <v>1360</v>
      </c>
      <c r="E3276" s="115">
        <f>IFERROR(__xludf.DUMMYFUNCTION("""COMPUTED_VALUE"""),386.0)</f>
        <v>386</v>
      </c>
      <c r="F3276" s="115">
        <f>IFERROR(__xludf.DUMMYFUNCTION("""COMPUTED_VALUE"""),1060.0)</f>
        <v>1060</v>
      </c>
      <c r="G3276" s="115">
        <f>IFERROR(__xludf.DUMMYFUNCTION("""COMPUTED_VALUE"""),257.0)</f>
        <v>257</v>
      </c>
      <c r="H3276" s="116">
        <f>IFERROR(__xludf.DUMMYFUNCTION("""COMPUTED_VALUE"""),45906.0)</f>
        <v>45906</v>
      </c>
      <c r="I3276" s="115" t="str">
        <f>IFERROR(__xludf.DUMMYFUNCTION("""COMPUTED_VALUE"""),"19")</f>
        <v>19</v>
      </c>
      <c r="J3276" s="115" t="str">
        <f>IFERROR(__xludf.DUMMYFUNCTION("""COMPUTED_VALUE"""),"2025-09-0619")</f>
        <v>2025-09-0619</v>
      </c>
      <c r="K3276" s="115">
        <f>IFERROR(__xludf.DUMMYFUNCTION("""COMPUTED_VALUE"""),1746.0)</f>
        <v>1746</v>
      </c>
    </row>
    <row r="3277">
      <c r="A3277" s="115" t="str">
        <f>IFERROR(__xludf.DUMMYFUNCTION("""COMPUTED_VALUE"""),"EAST")</f>
        <v>EAST</v>
      </c>
      <c r="B3277" s="115" t="str">
        <f>IFERROR(__xludf.DUMMYFUNCTION("""COMPUTED_VALUE"""),"Ashish Ranjan")</f>
        <v>Ashish Ranjan</v>
      </c>
      <c r="C3277" s="115" t="str">
        <f>IFERROR(__xludf.DUMMYFUNCTION("""COMPUTED_VALUE"""),"EXTERNAL")</f>
        <v>EXTERNAL</v>
      </c>
      <c r="D3277" s="115">
        <f>IFERROR(__xludf.DUMMYFUNCTION("""COMPUTED_VALUE"""),44507.0)</f>
        <v>44507</v>
      </c>
      <c r="E3277" s="115">
        <f>IFERROR(__xludf.DUMMYFUNCTION("""COMPUTED_VALUE"""),2942.0)</f>
        <v>2942</v>
      </c>
      <c r="F3277" s="115">
        <f>IFERROR(__xludf.DUMMYFUNCTION("""COMPUTED_VALUE"""),25327.0)</f>
        <v>25327</v>
      </c>
      <c r="G3277" s="115">
        <f>IFERROR(__xludf.DUMMYFUNCTION("""COMPUTED_VALUE"""),1591.0)</f>
        <v>1591</v>
      </c>
      <c r="H3277" s="116">
        <f>IFERROR(__xludf.DUMMYFUNCTION("""COMPUTED_VALUE"""),45906.0)</f>
        <v>45906</v>
      </c>
      <c r="I3277" s="115" t="str">
        <f>IFERROR(__xludf.DUMMYFUNCTION("""COMPUTED_VALUE"""),"20")</f>
        <v>20</v>
      </c>
      <c r="J3277" s="115" t="str">
        <f>IFERROR(__xludf.DUMMYFUNCTION("""COMPUTED_VALUE"""),"Ashish Ranjan2025-09-0620")</f>
        <v>Ashish Ranjan2025-09-0620</v>
      </c>
      <c r="K3277" s="115">
        <f>IFERROR(__xludf.DUMMYFUNCTION("""COMPUTED_VALUE"""),47449.0)</f>
        <v>47449</v>
      </c>
    </row>
    <row r="3278">
      <c r="A3278" s="115" t="str">
        <f>IFERROR(__xludf.DUMMYFUNCTION("""COMPUTED_VALUE"""),"EAST")</f>
        <v>EAST</v>
      </c>
      <c r="B3278" s="115" t="str">
        <f>IFERROR(__xludf.DUMMYFUNCTION("""COMPUTED_VALUE"""),"Ashish Ranjan")</f>
        <v>Ashish Ranjan</v>
      </c>
      <c r="C3278" s="115" t="str">
        <f>IFERROR(__xludf.DUMMYFUNCTION("""COMPUTED_VALUE"""),"FLIPKART")</f>
        <v>FLIPKART</v>
      </c>
      <c r="D3278" s="115">
        <f>IFERROR(__xludf.DUMMYFUNCTION("""COMPUTED_VALUE"""),681718.0)</f>
        <v>681718</v>
      </c>
      <c r="E3278" s="115">
        <f>IFERROR(__xludf.DUMMYFUNCTION("""COMPUTED_VALUE"""),60853.0)</f>
        <v>60853</v>
      </c>
      <c r="F3278" s="115">
        <f>IFERROR(__xludf.DUMMYFUNCTION("""COMPUTED_VALUE"""),594505.0)</f>
        <v>594505</v>
      </c>
      <c r="G3278" s="115">
        <f>IFERROR(__xludf.DUMMYFUNCTION("""COMPUTED_VALUE"""),45713.0)</f>
        <v>45713</v>
      </c>
      <c r="H3278" s="116">
        <f>IFERROR(__xludf.DUMMYFUNCTION("""COMPUTED_VALUE"""),45906.0)</f>
        <v>45906</v>
      </c>
      <c r="I3278" s="115" t="str">
        <f>IFERROR(__xludf.DUMMYFUNCTION("""COMPUTED_VALUE"""),"20")</f>
        <v>20</v>
      </c>
      <c r="J3278" s="115" t="str">
        <f>IFERROR(__xludf.DUMMYFUNCTION("""COMPUTED_VALUE"""),"Ashish Ranjan2025-09-0620")</f>
        <v>Ashish Ranjan2025-09-0620</v>
      </c>
      <c r="K3278" s="115">
        <f>IFERROR(__xludf.DUMMYFUNCTION("""COMPUTED_VALUE"""),742571.0)</f>
        <v>742571</v>
      </c>
    </row>
    <row r="3279">
      <c r="A3279" s="115" t="str">
        <f>IFERROR(__xludf.DUMMYFUNCTION("""COMPUTED_VALUE"""),"EAST")</f>
        <v>EAST</v>
      </c>
      <c r="B3279" s="115" t="str">
        <f>IFERROR(__xludf.DUMMYFUNCTION("""COMPUTED_VALUE"""),"Ashish Ranjan")</f>
        <v>Ashish Ranjan</v>
      </c>
      <c r="C3279" s="115" t="str">
        <f>IFERROR(__xludf.DUMMYFUNCTION("""COMPUTED_VALUE"""),"MYNTRA")</f>
        <v>MYNTRA</v>
      </c>
      <c r="D3279" s="115">
        <f>IFERROR(__xludf.DUMMYFUNCTION("""COMPUTED_VALUE"""),71381.0)</f>
        <v>71381</v>
      </c>
      <c r="E3279" s="115">
        <f>IFERROR(__xludf.DUMMYFUNCTION("""COMPUTED_VALUE"""),14217.0)</f>
        <v>14217</v>
      </c>
      <c r="F3279" s="115">
        <f>IFERROR(__xludf.DUMMYFUNCTION("""COMPUTED_VALUE"""),63027.0)</f>
        <v>63027</v>
      </c>
      <c r="G3279" s="115">
        <f>IFERROR(__xludf.DUMMYFUNCTION("""COMPUTED_VALUE"""),10598.0)</f>
        <v>10598</v>
      </c>
      <c r="H3279" s="116">
        <f>IFERROR(__xludf.DUMMYFUNCTION("""COMPUTED_VALUE"""),45906.0)</f>
        <v>45906</v>
      </c>
      <c r="I3279" s="115" t="str">
        <f>IFERROR(__xludf.DUMMYFUNCTION("""COMPUTED_VALUE"""),"20")</f>
        <v>20</v>
      </c>
      <c r="J3279" s="115" t="str">
        <f>IFERROR(__xludf.DUMMYFUNCTION("""COMPUTED_VALUE"""),"Ashish Ranjan2025-09-0620")</f>
        <v>Ashish Ranjan2025-09-0620</v>
      </c>
      <c r="K3279" s="115">
        <f>IFERROR(__xludf.DUMMYFUNCTION("""COMPUTED_VALUE"""),85598.0)</f>
        <v>85598</v>
      </c>
    </row>
    <row r="3280">
      <c r="A3280" s="115" t="str">
        <f>IFERROR(__xludf.DUMMYFUNCTION("""COMPUTED_VALUE"""),"EAST")</f>
        <v>EAST</v>
      </c>
      <c r="B3280" s="115" t="str">
        <f>IFERROR(__xludf.DUMMYFUNCTION("""COMPUTED_VALUE"""),"Girish Chand")</f>
        <v>Girish Chand</v>
      </c>
      <c r="C3280" s="115" t="str">
        <f>IFERROR(__xludf.DUMMYFUNCTION("""COMPUTED_VALUE"""),"EXTERNAL")</f>
        <v>EXTERNAL</v>
      </c>
      <c r="D3280" s="115">
        <f>IFERROR(__xludf.DUMMYFUNCTION("""COMPUTED_VALUE"""),25273.0)</f>
        <v>25273</v>
      </c>
      <c r="E3280" s="115">
        <f>IFERROR(__xludf.DUMMYFUNCTION("""COMPUTED_VALUE"""),2225.0)</f>
        <v>2225</v>
      </c>
      <c r="F3280" s="115">
        <f>IFERROR(__xludf.DUMMYFUNCTION("""COMPUTED_VALUE"""),11294.0)</f>
        <v>11294</v>
      </c>
      <c r="G3280" s="115">
        <f>IFERROR(__xludf.DUMMYFUNCTION("""COMPUTED_VALUE"""),689.0)</f>
        <v>689</v>
      </c>
      <c r="H3280" s="116">
        <f>IFERROR(__xludf.DUMMYFUNCTION("""COMPUTED_VALUE"""),45906.0)</f>
        <v>45906</v>
      </c>
      <c r="I3280" s="115" t="str">
        <f>IFERROR(__xludf.DUMMYFUNCTION("""COMPUTED_VALUE"""),"20")</f>
        <v>20</v>
      </c>
      <c r="J3280" s="115" t="str">
        <f>IFERROR(__xludf.DUMMYFUNCTION("""COMPUTED_VALUE"""),"Girish Chand2025-09-0620")</f>
        <v>Girish Chand2025-09-0620</v>
      </c>
      <c r="K3280" s="115">
        <f>IFERROR(__xludf.DUMMYFUNCTION("""COMPUTED_VALUE"""),27498.0)</f>
        <v>27498</v>
      </c>
    </row>
    <row r="3281">
      <c r="A3281" s="115" t="str">
        <f>IFERROR(__xludf.DUMMYFUNCTION("""COMPUTED_VALUE"""),"EAST")</f>
        <v>EAST</v>
      </c>
      <c r="B3281" s="115" t="str">
        <f>IFERROR(__xludf.DUMMYFUNCTION("""COMPUTED_VALUE"""),"Girish Chand")</f>
        <v>Girish Chand</v>
      </c>
      <c r="C3281" s="115" t="str">
        <f>IFERROR(__xludf.DUMMYFUNCTION("""COMPUTED_VALUE"""),"FLIPKART")</f>
        <v>FLIPKART</v>
      </c>
      <c r="D3281" s="115">
        <f>IFERROR(__xludf.DUMMYFUNCTION("""COMPUTED_VALUE"""),447278.0)</f>
        <v>447278</v>
      </c>
      <c r="E3281" s="115">
        <f>IFERROR(__xludf.DUMMYFUNCTION("""COMPUTED_VALUE"""),40963.0)</f>
        <v>40963</v>
      </c>
      <c r="F3281" s="115">
        <f>IFERROR(__xludf.DUMMYFUNCTION("""COMPUTED_VALUE"""),333796.0)</f>
        <v>333796</v>
      </c>
      <c r="G3281" s="115">
        <f>IFERROR(__xludf.DUMMYFUNCTION("""COMPUTED_VALUE"""),27764.0)</f>
        <v>27764</v>
      </c>
      <c r="H3281" s="116">
        <f>IFERROR(__xludf.DUMMYFUNCTION("""COMPUTED_VALUE"""),45906.0)</f>
        <v>45906</v>
      </c>
      <c r="I3281" s="115" t="str">
        <f>IFERROR(__xludf.DUMMYFUNCTION("""COMPUTED_VALUE"""),"20")</f>
        <v>20</v>
      </c>
      <c r="J3281" s="115" t="str">
        <f>IFERROR(__xludf.DUMMYFUNCTION("""COMPUTED_VALUE"""),"Girish Chand2025-09-0620")</f>
        <v>Girish Chand2025-09-0620</v>
      </c>
      <c r="K3281" s="115">
        <f>IFERROR(__xludf.DUMMYFUNCTION("""COMPUTED_VALUE"""),488241.0)</f>
        <v>488241</v>
      </c>
    </row>
    <row r="3282">
      <c r="A3282" s="115" t="str">
        <f>IFERROR(__xludf.DUMMYFUNCTION("""COMPUTED_VALUE"""),"EAST")</f>
        <v>EAST</v>
      </c>
      <c r="B3282" s="115" t="str">
        <f>IFERROR(__xludf.DUMMYFUNCTION("""COMPUTED_VALUE"""),"Girish Chand")</f>
        <v>Girish Chand</v>
      </c>
      <c r="C3282" s="115" t="str">
        <f>IFERROR(__xludf.DUMMYFUNCTION("""COMPUTED_VALUE"""),"MYNTRA")</f>
        <v>MYNTRA</v>
      </c>
      <c r="D3282" s="115">
        <f>IFERROR(__xludf.DUMMYFUNCTION("""COMPUTED_VALUE"""),38694.0)</f>
        <v>38694</v>
      </c>
      <c r="E3282" s="115">
        <f>IFERROR(__xludf.DUMMYFUNCTION("""COMPUTED_VALUE"""),7380.0)</f>
        <v>7380</v>
      </c>
      <c r="F3282" s="115">
        <f>IFERROR(__xludf.DUMMYFUNCTION("""COMPUTED_VALUE"""),30602.0)</f>
        <v>30602</v>
      </c>
      <c r="G3282" s="115">
        <f>IFERROR(__xludf.DUMMYFUNCTION("""COMPUTED_VALUE"""),5203.0)</f>
        <v>5203</v>
      </c>
      <c r="H3282" s="116">
        <f>IFERROR(__xludf.DUMMYFUNCTION("""COMPUTED_VALUE"""),45906.0)</f>
        <v>45906</v>
      </c>
      <c r="I3282" s="115" t="str">
        <f>IFERROR(__xludf.DUMMYFUNCTION("""COMPUTED_VALUE"""),"20")</f>
        <v>20</v>
      </c>
      <c r="J3282" s="115" t="str">
        <f>IFERROR(__xludf.DUMMYFUNCTION("""COMPUTED_VALUE"""),"Girish Chand2025-09-0620")</f>
        <v>Girish Chand2025-09-0620</v>
      </c>
      <c r="K3282" s="115">
        <f>IFERROR(__xludf.DUMMYFUNCTION("""COMPUTED_VALUE"""),46074.0)</f>
        <v>46074</v>
      </c>
    </row>
    <row r="3283">
      <c r="A3283" s="115" t="str">
        <f>IFERROR(__xludf.DUMMYFUNCTION("""COMPUTED_VALUE"""),"EAST")</f>
        <v>EAST</v>
      </c>
      <c r="B3283" s="115" t="str">
        <f>IFERROR(__xludf.DUMMYFUNCTION("""COMPUTED_VALUE"""),"Parag Kashyap")</f>
        <v>Parag Kashyap</v>
      </c>
      <c r="C3283" s="115" t="str">
        <f>IFERROR(__xludf.DUMMYFUNCTION("""COMPUTED_VALUE"""),"EXTERNAL")</f>
        <v>EXTERNAL</v>
      </c>
      <c r="D3283" s="115">
        <f>IFERROR(__xludf.DUMMYFUNCTION("""COMPUTED_VALUE"""),18028.0)</f>
        <v>18028</v>
      </c>
      <c r="E3283" s="115">
        <f>IFERROR(__xludf.DUMMYFUNCTION("""COMPUTED_VALUE"""),1055.0)</f>
        <v>1055</v>
      </c>
      <c r="F3283" s="115">
        <f>IFERROR(__xludf.DUMMYFUNCTION("""COMPUTED_VALUE"""),7961.0)</f>
        <v>7961</v>
      </c>
      <c r="G3283" s="115">
        <f>IFERROR(__xludf.DUMMYFUNCTION("""COMPUTED_VALUE"""),410.0)</f>
        <v>410</v>
      </c>
      <c r="H3283" s="116">
        <f>IFERROR(__xludf.DUMMYFUNCTION("""COMPUTED_VALUE"""),45906.0)</f>
        <v>45906</v>
      </c>
      <c r="I3283" s="115" t="str">
        <f>IFERROR(__xludf.DUMMYFUNCTION("""COMPUTED_VALUE"""),"20")</f>
        <v>20</v>
      </c>
      <c r="J3283" s="115" t="str">
        <f>IFERROR(__xludf.DUMMYFUNCTION("""COMPUTED_VALUE"""),"Parag Kashyap2025-09-0620")</f>
        <v>Parag Kashyap2025-09-0620</v>
      </c>
      <c r="K3283" s="115">
        <f>IFERROR(__xludf.DUMMYFUNCTION("""COMPUTED_VALUE"""),19083.0)</f>
        <v>19083</v>
      </c>
    </row>
    <row r="3284">
      <c r="A3284" s="115" t="str">
        <f>IFERROR(__xludf.DUMMYFUNCTION("""COMPUTED_VALUE"""),"EAST")</f>
        <v>EAST</v>
      </c>
      <c r="B3284" s="115" t="str">
        <f>IFERROR(__xludf.DUMMYFUNCTION("""COMPUTED_VALUE"""),"Parag Kashyap")</f>
        <v>Parag Kashyap</v>
      </c>
      <c r="C3284" s="115" t="str">
        <f>IFERROR(__xludf.DUMMYFUNCTION("""COMPUTED_VALUE"""),"FLIPKART")</f>
        <v>FLIPKART</v>
      </c>
      <c r="D3284" s="115">
        <f>IFERROR(__xludf.DUMMYFUNCTION("""COMPUTED_VALUE"""),284192.0)</f>
        <v>284192</v>
      </c>
      <c r="E3284" s="115">
        <f>IFERROR(__xludf.DUMMYFUNCTION("""COMPUTED_VALUE"""),20008.0)</f>
        <v>20008</v>
      </c>
      <c r="F3284" s="115">
        <f>IFERROR(__xludf.DUMMYFUNCTION("""COMPUTED_VALUE"""),220091.0)</f>
        <v>220091</v>
      </c>
      <c r="G3284" s="115">
        <f>IFERROR(__xludf.DUMMYFUNCTION("""COMPUTED_VALUE"""),13088.0)</f>
        <v>13088</v>
      </c>
      <c r="H3284" s="116">
        <f>IFERROR(__xludf.DUMMYFUNCTION("""COMPUTED_VALUE"""),45906.0)</f>
        <v>45906</v>
      </c>
      <c r="I3284" s="115" t="str">
        <f>IFERROR(__xludf.DUMMYFUNCTION("""COMPUTED_VALUE"""),"20")</f>
        <v>20</v>
      </c>
      <c r="J3284" s="115" t="str">
        <f>IFERROR(__xludf.DUMMYFUNCTION("""COMPUTED_VALUE"""),"Parag Kashyap2025-09-0620")</f>
        <v>Parag Kashyap2025-09-0620</v>
      </c>
      <c r="K3284" s="115">
        <f>IFERROR(__xludf.DUMMYFUNCTION("""COMPUTED_VALUE"""),304200.0)</f>
        <v>304200</v>
      </c>
    </row>
    <row r="3285">
      <c r="A3285" s="115" t="str">
        <f>IFERROR(__xludf.DUMMYFUNCTION("""COMPUTED_VALUE"""),"EAST")</f>
        <v>EAST</v>
      </c>
      <c r="B3285" s="115" t="str">
        <f>IFERROR(__xludf.DUMMYFUNCTION("""COMPUTED_VALUE"""),"Parag Kashyap")</f>
        <v>Parag Kashyap</v>
      </c>
      <c r="C3285" s="115" t="str">
        <f>IFERROR(__xludf.DUMMYFUNCTION("""COMPUTED_VALUE"""),"MYNTRA")</f>
        <v>MYNTRA</v>
      </c>
      <c r="D3285" s="115">
        <f>IFERROR(__xludf.DUMMYFUNCTION("""COMPUTED_VALUE"""),35584.0)</f>
        <v>35584</v>
      </c>
      <c r="E3285" s="115">
        <f>IFERROR(__xludf.DUMMYFUNCTION("""COMPUTED_VALUE"""),5221.0)</f>
        <v>5221</v>
      </c>
      <c r="F3285" s="115">
        <f>IFERROR(__xludf.DUMMYFUNCTION("""COMPUTED_VALUE"""),28305.0)</f>
        <v>28305</v>
      </c>
      <c r="G3285" s="115">
        <f>IFERROR(__xludf.DUMMYFUNCTION("""COMPUTED_VALUE"""),3402.0)</f>
        <v>3402</v>
      </c>
      <c r="H3285" s="116">
        <f>IFERROR(__xludf.DUMMYFUNCTION("""COMPUTED_VALUE"""),45906.0)</f>
        <v>45906</v>
      </c>
      <c r="I3285" s="115" t="str">
        <f>IFERROR(__xludf.DUMMYFUNCTION("""COMPUTED_VALUE"""),"20")</f>
        <v>20</v>
      </c>
      <c r="J3285" s="115" t="str">
        <f>IFERROR(__xludf.DUMMYFUNCTION("""COMPUTED_VALUE"""),"Parag Kashyap2025-09-0620")</f>
        <v>Parag Kashyap2025-09-0620</v>
      </c>
      <c r="K3285" s="115">
        <f>IFERROR(__xludf.DUMMYFUNCTION("""COMPUTED_VALUE"""),40805.0)</f>
        <v>40805</v>
      </c>
    </row>
    <row r="3286">
      <c r="A3286" s="115" t="str">
        <f>IFERROR(__xludf.DUMMYFUNCTION("""COMPUTED_VALUE"""),"NORTH")</f>
        <v>NORTH</v>
      </c>
      <c r="B3286" s="115" t="str">
        <f>IFERROR(__xludf.DUMMYFUNCTION("""COMPUTED_VALUE"""),"Amit Kumar Pathak")</f>
        <v>Amit Kumar Pathak</v>
      </c>
      <c r="C3286" s="115" t="str">
        <f>IFERROR(__xludf.DUMMYFUNCTION("""COMPUTED_VALUE"""),"EXTERNAL")</f>
        <v>EXTERNAL</v>
      </c>
      <c r="D3286" s="115">
        <f>IFERROR(__xludf.DUMMYFUNCTION("""COMPUTED_VALUE"""),29237.0)</f>
        <v>29237</v>
      </c>
      <c r="E3286" s="115">
        <f>IFERROR(__xludf.DUMMYFUNCTION("""COMPUTED_VALUE"""),3444.0)</f>
        <v>3444</v>
      </c>
      <c r="F3286" s="115">
        <f>IFERROR(__xludf.DUMMYFUNCTION("""COMPUTED_VALUE"""),11161.0)</f>
        <v>11161</v>
      </c>
      <c r="G3286" s="115">
        <f>IFERROR(__xludf.DUMMYFUNCTION("""COMPUTED_VALUE"""),1563.0)</f>
        <v>1563</v>
      </c>
      <c r="H3286" s="116">
        <f>IFERROR(__xludf.DUMMYFUNCTION("""COMPUTED_VALUE"""),45906.0)</f>
        <v>45906</v>
      </c>
      <c r="I3286" s="115" t="str">
        <f>IFERROR(__xludf.DUMMYFUNCTION("""COMPUTED_VALUE"""),"20")</f>
        <v>20</v>
      </c>
      <c r="J3286" s="115" t="str">
        <f>IFERROR(__xludf.DUMMYFUNCTION("""COMPUTED_VALUE"""),"Amit Kumar Pathak2025-09-0620")</f>
        <v>Amit Kumar Pathak2025-09-0620</v>
      </c>
      <c r="K3286" s="115">
        <f>IFERROR(__xludf.DUMMYFUNCTION("""COMPUTED_VALUE"""),32681.0)</f>
        <v>32681</v>
      </c>
    </row>
    <row r="3287">
      <c r="A3287" s="115" t="str">
        <f>IFERROR(__xludf.DUMMYFUNCTION("""COMPUTED_VALUE"""),"NORTH")</f>
        <v>NORTH</v>
      </c>
      <c r="B3287" s="115" t="str">
        <f>IFERROR(__xludf.DUMMYFUNCTION("""COMPUTED_VALUE"""),"Amit Kumar Pathak")</f>
        <v>Amit Kumar Pathak</v>
      </c>
      <c r="C3287" s="115" t="str">
        <f>IFERROR(__xludf.DUMMYFUNCTION("""COMPUTED_VALUE"""),"FLIPKART")</f>
        <v>FLIPKART</v>
      </c>
      <c r="D3287" s="115">
        <f>IFERROR(__xludf.DUMMYFUNCTION("""COMPUTED_VALUE"""),179952.0)</f>
        <v>179952</v>
      </c>
      <c r="E3287" s="115">
        <f>IFERROR(__xludf.DUMMYFUNCTION("""COMPUTED_VALUE"""),24400.0)</f>
        <v>24400</v>
      </c>
      <c r="F3287" s="115">
        <f>IFERROR(__xludf.DUMMYFUNCTION("""COMPUTED_VALUE"""),128311.0)</f>
        <v>128311</v>
      </c>
      <c r="G3287" s="115">
        <f>IFERROR(__xludf.DUMMYFUNCTION("""COMPUTED_VALUE"""),15151.0)</f>
        <v>15151</v>
      </c>
      <c r="H3287" s="116">
        <f>IFERROR(__xludf.DUMMYFUNCTION("""COMPUTED_VALUE"""),45906.0)</f>
        <v>45906</v>
      </c>
      <c r="I3287" s="115" t="str">
        <f>IFERROR(__xludf.DUMMYFUNCTION("""COMPUTED_VALUE"""),"20")</f>
        <v>20</v>
      </c>
      <c r="J3287" s="115" t="str">
        <f>IFERROR(__xludf.DUMMYFUNCTION("""COMPUTED_VALUE"""),"Amit Kumar Pathak2025-09-0620")</f>
        <v>Amit Kumar Pathak2025-09-0620</v>
      </c>
      <c r="K3287" s="115">
        <f>IFERROR(__xludf.DUMMYFUNCTION("""COMPUTED_VALUE"""),204352.0)</f>
        <v>204352</v>
      </c>
    </row>
    <row r="3288">
      <c r="A3288" s="115" t="str">
        <f>IFERROR(__xludf.DUMMYFUNCTION("""COMPUTED_VALUE"""),"NORTH")</f>
        <v>NORTH</v>
      </c>
      <c r="B3288" s="115" t="str">
        <f>IFERROR(__xludf.DUMMYFUNCTION("""COMPUTED_VALUE"""),"Amit Kumar Pathak")</f>
        <v>Amit Kumar Pathak</v>
      </c>
      <c r="C3288" s="115" t="str">
        <f>IFERROR(__xludf.DUMMYFUNCTION("""COMPUTED_VALUE"""),"MYNTRA")</f>
        <v>MYNTRA</v>
      </c>
      <c r="D3288" s="115">
        <f>IFERROR(__xludf.DUMMYFUNCTION("""COMPUTED_VALUE"""),17998.0)</f>
        <v>17998</v>
      </c>
      <c r="E3288" s="115">
        <f>IFERROR(__xludf.DUMMYFUNCTION("""COMPUTED_VALUE"""),6199.0)</f>
        <v>6199</v>
      </c>
      <c r="F3288" s="115">
        <f>IFERROR(__xludf.DUMMYFUNCTION("""COMPUTED_VALUE"""),14955.0)</f>
        <v>14955</v>
      </c>
      <c r="G3288" s="115">
        <f>IFERROR(__xludf.DUMMYFUNCTION("""COMPUTED_VALUE"""),4148.0)</f>
        <v>4148</v>
      </c>
      <c r="H3288" s="116">
        <f>IFERROR(__xludf.DUMMYFUNCTION("""COMPUTED_VALUE"""),45906.0)</f>
        <v>45906</v>
      </c>
      <c r="I3288" s="115" t="str">
        <f>IFERROR(__xludf.DUMMYFUNCTION("""COMPUTED_VALUE"""),"20")</f>
        <v>20</v>
      </c>
      <c r="J3288" s="115" t="str">
        <f>IFERROR(__xludf.DUMMYFUNCTION("""COMPUTED_VALUE"""),"Amit Kumar Pathak2025-09-0620")</f>
        <v>Amit Kumar Pathak2025-09-0620</v>
      </c>
      <c r="K3288" s="115">
        <f>IFERROR(__xludf.DUMMYFUNCTION("""COMPUTED_VALUE"""),24197.0)</f>
        <v>24197</v>
      </c>
    </row>
    <row r="3289">
      <c r="A3289" s="115" t="str">
        <f>IFERROR(__xludf.DUMMYFUNCTION("""COMPUTED_VALUE"""),"NORTH")</f>
        <v>NORTH</v>
      </c>
      <c r="B3289" s="115" t="str">
        <f>IFERROR(__xludf.DUMMYFUNCTION("""COMPUTED_VALUE"""),"Loveleen Singh")</f>
        <v>Loveleen Singh</v>
      </c>
      <c r="C3289" s="115" t="str">
        <f>IFERROR(__xludf.DUMMYFUNCTION("""COMPUTED_VALUE"""),"EXTERNAL")</f>
        <v>EXTERNAL</v>
      </c>
      <c r="D3289" s="115">
        <f>IFERROR(__xludf.DUMMYFUNCTION("""COMPUTED_VALUE"""),32191.0)</f>
        <v>32191</v>
      </c>
      <c r="E3289" s="115">
        <f>IFERROR(__xludf.DUMMYFUNCTION("""COMPUTED_VALUE"""),2042.0)</f>
        <v>2042</v>
      </c>
      <c r="F3289" s="115">
        <f>IFERROR(__xludf.DUMMYFUNCTION("""COMPUTED_VALUE"""),11831.0)</f>
        <v>11831</v>
      </c>
      <c r="G3289" s="115">
        <f>IFERROR(__xludf.DUMMYFUNCTION("""COMPUTED_VALUE"""),733.0)</f>
        <v>733</v>
      </c>
      <c r="H3289" s="116">
        <f>IFERROR(__xludf.DUMMYFUNCTION("""COMPUTED_VALUE"""),45906.0)</f>
        <v>45906</v>
      </c>
      <c r="I3289" s="115" t="str">
        <f>IFERROR(__xludf.DUMMYFUNCTION("""COMPUTED_VALUE"""),"20")</f>
        <v>20</v>
      </c>
      <c r="J3289" s="115" t="str">
        <f>IFERROR(__xludf.DUMMYFUNCTION("""COMPUTED_VALUE"""),"Loveleen Singh2025-09-0620")</f>
        <v>Loveleen Singh2025-09-0620</v>
      </c>
      <c r="K3289" s="115">
        <f>IFERROR(__xludf.DUMMYFUNCTION("""COMPUTED_VALUE"""),34233.0)</f>
        <v>34233</v>
      </c>
    </row>
    <row r="3290">
      <c r="A3290" s="115" t="str">
        <f>IFERROR(__xludf.DUMMYFUNCTION("""COMPUTED_VALUE"""),"NORTH")</f>
        <v>NORTH</v>
      </c>
      <c r="B3290" s="115" t="str">
        <f>IFERROR(__xludf.DUMMYFUNCTION("""COMPUTED_VALUE"""),"Loveleen Singh")</f>
        <v>Loveleen Singh</v>
      </c>
      <c r="C3290" s="115" t="str">
        <f>IFERROR(__xludf.DUMMYFUNCTION("""COMPUTED_VALUE"""),"FLIPKART")</f>
        <v>FLIPKART</v>
      </c>
      <c r="D3290" s="115">
        <f>IFERROR(__xludf.DUMMYFUNCTION("""COMPUTED_VALUE"""),158733.0)</f>
        <v>158733</v>
      </c>
      <c r="E3290" s="115">
        <f>IFERROR(__xludf.DUMMYFUNCTION("""COMPUTED_VALUE"""),15961.0)</f>
        <v>15961</v>
      </c>
      <c r="F3290" s="115">
        <f>IFERROR(__xludf.DUMMYFUNCTION("""COMPUTED_VALUE"""),116404.0)</f>
        <v>116404</v>
      </c>
      <c r="G3290" s="115">
        <f>IFERROR(__xludf.DUMMYFUNCTION("""COMPUTED_VALUE"""),9482.0)</f>
        <v>9482</v>
      </c>
      <c r="H3290" s="116">
        <f>IFERROR(__xludf.DUMMYFUNCTION("""COMPUTED_VALUE"""),45906.0)</f>
        <v>45906</v>
      </c>
      <c r="I3290" s="115" t="str">
        <f>IFERROR(__xludf.DUMMYFUNCTION("""COMPUTED_VALUE"""),"20")</f>
        <v>20</v>
      </c>
      <c r="J3290" s="115" t="str">
        <f>IFERROR(__xludf.DUMMYFUNCTION("""COMPUTED_VALUE"""),"Loveleen Singh2025-09-0620")</f>
        <v>Loveleen Singh2025-09-0620</v>
      </c>
      <c r="K3290" s="115">
        <f>IFERROR(__xludf.DUMMYFUNCTION("""COMPUTED_VALUE"""),174694.0)</f>
        <v>174694</v>
      </c>
    </row>
    <row r="3291">
      <c r="A3291" s="115" t="str">
        <f>IFERROR(__xludf.DUMMYFUNCTION("""COMPUTED_VALUE"""),"NORTH")</f>
        <v>NORTH</v>
      </c>
      <c r="B3291" s="115" t="str">
        <f>IFERROR(__xludf.DUMMYFUNCTION("""COMPUTED_VALUE"""),"Loveleen Singh")</f>
        <v>Loveleen Singh</v>
      </c>
      <c r="C3291" s="115" t="str">
        <f>IFERROR(__xludf.DUMMYFUNCTION("""COMPUTED_VALUE"""),"MYNTRA")</f>
        <v>MYNTRA</v>
      </c>
      <c r="D3291" s="115">
        <f>IFERROR(__xludf.DUMMYFUNCTION("""COMPUTED_VALUE"""),25896.0)</f>
        <v>25896</v>
      </c>
      <c r="E3291" s="115">
        <f>IFERROR(__xludf.DUMMYFUNCTION("""COMPUTED_VALUE"""),6436.0)</f>
        <v>6436</v>
      </c>
      <c r="F3291" s="115">
        <f>IFERROR(__xludf.DUMMYFUNCTION("""COMPUTED_VALUE"""),21053.0)</f>
        <v>21053</v>
      </c>
      <c r="G3291" s="115">
        <f>IFERROR(__xludf.DUMMYFUNCTION("""COMPUTED_VALUE"""),4082.0)</f>
        <v>4082</v>
      </c>
      <c r="H3291" s="116">
        <f>IFERROR(__xludf.DUMMYFUNCTION("""COMPUTED_VALUE"""),45906.0)</f>
        <v>45906</v>
      </c>
      <c r="I3291" s="115" t="str">
        <f>IFERROR(__xludf.DUMMYFUNCTION("""COMPUTED_VALUE"""),"20")</f>
        <v>20</v>
      </c>
      <c r="J3291" s="115" t="str">
        <f>IFERROR(__xludf.DUMMYFUNCTION("""COMPUTED_VALUE"""),"Loveleen Singh2025-09-0620")</f>
        <v>Loveleen Singh2025-09-0620</v>
      </c>
      <c r="K3291" s="115">
        <f>IFERROR(__xludf.DUMMYFUNCTION("""COMPUTED_VALUE"""),32332.0)</f>
        <v>32332</v>
      </c>
    </row>
    <row r="3292">
      <c r="A3292" s="115" t="str">
        <f>IFERROR(__xludf.DUMMYFUNCTION("""COMPUTED_VALUE"""),"NORTH")</f>
        <v>NORTH</v>
      </c>
      <c r="B3292" s="115" t="str">
        <f>IFERROR(__xludf.DUMMYFUNCTION("""COMPUTED_VALUE"""),"Manoj Harsh")</f>
        <v>Manoj Harsh</v>
      </c>
      <c r="C3292" s="115" t="str">
        <f>IFERROR(__xludf.DUMMYFUNCTION("""COMPUTED_VALUE"""),"EXTERNAL")</f>
        <v>EXTERNAL</v>
      </c>
      <c r="D3292" s="115">
        <f>IFERROR(__xludf.DUMMYFUNCTION("""COMPUTED_VALUE"""),38771.0)</f>
        <v>38771</v>
      </c>
      <c r="E3292" s="115">
        <f>IFERROR(__xludf.DUMMYFUNCTION("""COMPUTED_VALUE"""),2960.0)</f>
        <v>2960</v>
      </c>
      <c r="F3292" s="115">
        <f>IFERROR(__xludf.DUMMYFUNCTION("""COMPUTED_VALUE"""),17184.0)</f>
        <v>17184</v>
      </c>
      <c r="G3292" s="115">
        <f>IFERROR(__xludf.DUMMYFUNCTION("""COMPUTED_VALUE"""),1018.0)</f>
        <v>1018</v>
      </c>
      <c r="H3292" s="116">
        <f>IFERROR(__xludf.DUMMYFUNCTION("""COMPUTED_VALUE"""),45906.0)</f>
        <v>45906</v>
      </c>
      <c r="I3292" s="115" t="str">
        <f>IFERROR(__xludf.DUMMYFUNCTION("""COMPUTED_VALUE"""),"20")</f>
        <v>20</v>
      </c>
      <c r="J3292" s="115" t="str">
        <f>IFERROR(__xludf.DUMMYFUNCTION("""COMPUTED_VALUE"""),"Manoj Harsh2025-09-0620")</f>
        <v>Manoj Harsh2025-09-0620</v>
      </c>
      <c r="K3292" s="115">
        <f>IFERROR(__xludf.DUMMYFUNCTION("""COMPUTED_VALUE"""),41731.0)</f>
        <v>41731</v>
      </c>
    </row>
    <row r="3293">
      <c r="A3293" s="115" t="str">
        <f>IFERROR(__xludf.DUMMYFUNCTION("""COMPUTED_VALUE"""),"NORTH")</f>
        <v>NORTH</v>
      </c>
      <c r="B3293" s="115" t="str">
        <f>IFERROR(__xludf.DUMMYFUNCTION("""COMPUTED_VALUE"""),"Manoj Harsh")</f>
        <v>Manoj Harsh</v>
      </c>
      <c r="C3293" s="115" t="str">
        <f>IFERROR(__xludf.DUMMYFUNCTION("""COMPUTED_VALUE"""),"FLIPKART")</f>
        <v>FLIPKART</v>
      </c>
      <c r="D3293" s="115">
        <f>IFERROR(__xludf.DUMMYFUNCTION("""COMPUTED_VALUE"""),427272.0)</f>
        <v>427272</v>
      </c>
      <c r="E3293" s="115">
        <f>IFERROR(__xludf.DUMMYFUNCTION("""COMPUTED_VALUE"""),42873.0)</f>
        <v>42873</v>
      </c>
      <c r="F3293" s="115">
        <f>IFERROR(__xludf.DUMMYFUNCTION("""COMPUTED_VALUE"""),311964.0)</f>
        <v>311964</v>
      </c>
      <c r="G3293" s="115">
        <f>IFERROR(__xludf.DUMMYFUNCTION("""COMPUTED_VALUE"""),26729.0)</f>
        <v>26729</v>
      </c>
      <c r="H3293" s="116">
        <f>IFERROR(__xludf.DUMMYFUNCTION("""COMPUTED_VALUE"""),45906.0)</f>
        <v>45906</v>
      </c>
      <c r="I3293" s="115" t="str">
        <f>IFERROR(__xludf.DUMMYFUNCTION("""COMPUTED_VALUE"""),"20")</f>
        <v>20</v>
      </c>
      <c r="J3293" s="115" t="str">
        <f>IFERROR(__xludf.DUMMYFUNCTION("""COMPUTED_VALUE"""),"Manoj Harsh2025-09-0620")</f>
        <v>Manoj Harsh2025-09-0620</v>
      </c>
      <c r="K3293" s="115">
        <f>IFERROR(__xludf.DUMMYFUNCTION("""COMPUTED_VALUE"""),470145.0)</f>
        <v>470145</v>
      </c>
    </row>
    <row r="3294">
      <c r="A3294" s="115" t="str">
        <f>IFERROR(__xludf.DUMMYFUNCTION("""COMPUTED_VALUE"""),"NORTH")</f>
        <v>NORTH</v>
      </c>
      <c r="B3294" s="115" t="str">
        <f>IFERROR(__xludf.DUMMYFUNCTION("""COMPUTED_VALUE"""),"Manoj Harsh")</f>
        <v>Manoj Harsh</v>
      </c>
      <c r="C3294" s="115" t="str">
        <f>IFERROR(__xludf.DUMMYFUNCTION("""COMPUTED_VALUE"""),"MYNTRA")</f>
        <v>MYNTRA</v>
      </c>
      <c r="D3294" s="115">
        <f>IFERROR(__xludf.DUMMYFUNCTION("""COMPUTED_VALUE"""),39706.0)</f>
        <v>39706</v>
      </c>
      <c r="E3294" s="115">
        <f>IFERROR(__xludf.DUMMYFUNCTION("""COMPUTED_VALUE"""),8020.0)</f>
        <v>8020</v>
      </c>
      <c r="F3294" s="115">
        <f>IFERROR(__xludf.DUMMYFUNCTION("""COMPUTED_VALUE"""),31673.0)</f>
        <v>31673</v>
      </c>
      <c r="G3294" s="115">
        <f>IFERROR(__xludf.DUMMYFUNCTION("""COMPUTED_VALUE"""),5432.0)</f>
        <v>5432</v>
      </c>
      <c r="H3294" s="116">
        <f>IFERROR(__xludf.DUMMYFUNCTION("""COMPUTED_VALUE"""),45906.0)</f>
        <v>45906</v>
      </c>
      <c r="I3294" s="115" t="str">
        <f>IFERROR(__xludf.DUMMYFUNCTION("""COMPUTED_VALUE"""),"20")</f>
        <v>20</v>
      </c>
      <c r="J3294" s="115" t="str">
        <f>IFERROR(__xludf.DUMMYFUNCTION("""COMPUTED_VALUE"""),"Manoj Harsh2025-09-0620")</f>
        <v>Manoj Harsh2025-09-0620</v>
      </c>
      <c r="K3294" s="115">
        <f>IFERROR(__xludf.DUMMYFUNCTION("""COMPUTED_VALUE"""),47726.0)</f>
        <v>47726</v>
      </c>
    </row>
    <row r="3295">
      <c r="A3295" s="115" t="str">
        <f>IFERROR(__xludf.DUMMYFUNCTION("""COMPUTED_VALUE"""),"NORTH")</f>
        <v>NORTH</v>
      </c>
      <c r="B3295" s="115" t="str">
        <f>IFERROR(__xludf.DUMMYFUNCTION("""COMPUTED_VALUE"""),"Pradeep Kothari")</f>
        <v>Pradeep Kothari</v>
      </c>
      <c r="C3295" s="115" t="str">
        <f>IFERROR(__xludf.DUMMYFUNCTION("""COMPUTED_VALUE"""),"EXTERNAL")</f>
        <v>EXTERNAL</v>
      </c>
      <c r="D3295" s="115">
        <f>IFERROR(__xludf.DUMMYFUNCTION("""COMPUTED_VALUE"""),18869.0)</f>
        <v>18869</v>
      </c>
      <c r="E3295" s="115">
        <f>IFERROR(__xludf.DUMMYFUNCTION("""COMPUTED_VALUE"""),1895.0)</f>
        <v>1895</v>
      </c>
      <c r="F3295" s="115">
        <f>IFERROR(__xludf.DUMMYFUNCTION("""COMPUTED_VALUE"""),7745.0)</f>
        <v>7745</v>
      </c>
      <c r="G3295" s="115">
        <f>IFERROR(__xludf.DUMMYFUNCTION("""COMPUTED_VALUE"""),812.0)</f>
        <v>812</v>
      </c>
      <c r="H3295" s="116">
        <f>IFERROR(__xludf.DUMMYFUNCTION("""COMPUTED_VALUE"""),45906.0)</f>
        <v>45906</v>
      </c>
      <c r="I3295" s="115" t="str">
        <f>IFERROR(__xludf.DUMMYFUNCTION("""COMPUTED_VALUE"""),"20")</f>
        <v>20</v>
      </c>
      <c r="J3295" s="115" t="str">
        <f>IFERROR(__xludf.DUMMYFUNCTION("""COMPUTED_VALUE"""),"Pradeep Kothari2025-09-0620")</f>
        <v>Pradeep Kothari2025-09-0620</v>
      </c>
      <c r="K3295" s="115">
        <f>IFERROR(__xludf.DUMMYFUNCTION("""COMPUTED_VALUE"""),20764.0)</f>
        <v>20764</v>
      </c>
    </row>
    <row r="3296">
      <c r="A3296" s="115" t="str">
        <f>IFERROR(__xludf.DUMMYFUNCTION("""COMPUTED_VALUE"""),"NORTH")</f>
        <v>NORTH</v>
      </c>
      <c r="B3296" s="115" t="str">
        <f>IFERROR(__xludf.DUMMYFUNCTION("""COMPUTED_VALUE"""),"Pradeep Kothari")</f>
        <v>Pradeep Kothari</v>
      </c>
      <c r="C3296" s="115" t="str">
        <f>IFERROR(__xludf.DUMMYFUNCTION("""COMPUTED_VALUE"""),"FLIPKART")</f>
        <v>FLIPKART</v>
      </c>
      <c r="D3296" s="115">
        <f>IFERROR(__xludf.DUMMYFUNCTION("""COMPUTED_VALUE"""),135327.0)</f>
        <v>135327</v>
      </c>
      <c r="E3296" s="115">
        <f>IFERROR(__xludf.DUMMYFUNCTION("""COMPUTED_VALUE"""),16662.0)</f>
        <v>16662</v>
      </c>
      <c r="F3296" s="115">
        <f>IFERROR(__xludf.DUMMYFUNCTION("""COMPUTED_VALUE"""),100419.0)</f>
        <v>100419</v>
      </c>
      <c r="G3296" s="115">
        <f>IFERROR(__xludf.DUMMYFUNCTION("""COMPUTED_VALUE"""),10766.0)</f>
        <v>10766</v>
      </c>
      <c r="H3296" s="116">
        <f>IFERROR(__xludf.DUMMYFUNCTION("""COMPUTED_VALUE"""),45906.0)</f>
        <v>45906</v>
      </c>
      <c r="I3296" s="115" t="str">
        <f>IFERROR(__xludf.DUMMYFUNCTION("""COMPUTED_VALUE"""),"20")</f>
        <v>20</v>
      </c>
      <c r="J3296" s="115" t="str">
        <f>IFERROR(__xludf.DUMMYFUNCTION("""COMPUTED_VALUE"""),"Pradeep Kothari2025-09-0620")</f>
        <v>Pradeep Kothari2025-09-0620</v>
      </c>
      <c r="K3296" s="115">
        <f>IFERROR(__xludf.DUMMYFUNCTION("""COMPUTED_VALUE"""),151989.0)</f>
        <v>151989</v>
      </c>
    </row>
    <row r="3297">
      <c r="A3297" s="115" t="str">
        <f>IFERROR(__xludf.DUMMYFUNCTION("""COMPUTED_VALUE"""),"NORTH")</f>
        <v>NORTH</v>
      </c>
      <c r="B3297" s="115" t="str">
        <f>IFERROR(__xludf.DUMMYFUNCTION("""COMPUTED_VALUE"""),"Pradeep Kothari")</f>
        <v>Pradeep Kothari</v>
      </c>
      <c r="C3297" s="115" t="str">
        <f>IFERROR(__xludf.DUMMYFUNCTION("""COMPUTED_VALUE"""),"MYNTRA")</f>
        <v>MYNTRA</v>
      </c>
      <c r="D3297" s="115">
        <f>IFERROR(__xludf.DUMMYFUNCTION("""COMPUTED_VALUE"""),23336.0)</f>
        <v>23336</v>
      </c>
      <c r="E3297" s="115">
        <f>IFERROR(__xludf.DUMMYFUNCTION("""COMPUTED_VALUE"""),6054.0)</f>
        <v>6054</v>
      </c>
      <c r="F3297" s="115">
        <f>IFERROR(__xludf.DUMMYFUNCTION("""COMPUTED_VALUE"""),19218.0)</f>
        <v>19218</v>
      </c>
      <c r="G3297" s="115">
        <f>IFERROR(__xludf.DUMMYFUNCTION("""COMPUTED_VALUE"""),4241.0)</f>
        <v>4241</v>
      </c>
      <c r="H3297" s="116">
        <f>IFERROR(__xludf.DUMMYFUNCTION("""COMPUTED_VALUE"""),45906.0)</f>
        <v>45906</v>
      </c>
      <c r="I3297" s="115" t="str">
        <f>IFERROR(__xludf.DUMMYFUNCTION("""COMPUTED_VALUE"""),"20")</f>
        <v>20</v>
      </c>
      <c r="J3297" s="115" t="str">
        <f>IFERROR(__xludf.DUMMYFUNCTION("""COMPUTED_VALUE"""),"Pradeep Kothari2025-09-0620")</f>
        <v>Pradeep Kothari2025-09-0620</v>
      </c>
      <c r="K3297" s="115">
        <f>IFERROR(__xludf.DUMMYFUNCTION("""COMPUTED_VALUE"""),29390.0)</f>
        <v>29390</v>
      </c>
    </row>
    <row r="3298">
      <c r="A3298" s="115" t="str">
        <f>IFERROR(__xludf.DUMMYFUNCTION("""COMPUTED_VALUE"""),"SOUTH")</f>
        <v>SOUTH</v>
      </c>
      <c r="B3298" s="115" t="str">
        <f>IFERROR(__xludf.DUMMYFUNCTION("""COMPUTED_VALUE"""),"Kandula Sampath")</f>
        <v>Kandula Sampath</v>
      </c>
      <c r="C3298" s="115" t="str">
        <f>IFERROR(__xludf.DUMMYFUNCTION("""COMPUTED_VALUE"""),"EXTERNAL")</f>
        <v>EXTERNAL</v>
      </c>
      <c r="D3298" s="115">
        <f>IFERROR(__xludf.DUMMYFUNCTION("""COMPUTED_VALUE"""),34740.0)</f>
        <v>34740</v>
      </c>
      <c r="E3298" s="115">
        <f>IFERROR(__xludf.DUMMYFUNCTION("""COMPUTED_VALUE"""),2980.0)</f>
        <v>2980</v>
      </c>
      <c r="F3298" s="115">
        <f>IFERROR(__xludf.DUMMYFUNCTION("""COMPUTED_VALUE"""),15674.0)</f>
        <v>15674</v>
      </c>
      <c r="G3298" s="115">
        <f>IFERROR(__xludf.DUMMYFUNCTION("""COMPUTED_VALUE"""),1195.0)</f>
        <v>1195</v>
      </c>
      <c r="H3298" s="116">
        <f>IFERROR(__xludf.DUMMYFUNCTION("""COMPUTED_VALUE"""),45906.0)</f>
        <v>45906</v>
      </c>
      <c r="I3298" s="115" t="str">
        <f>IFERROR(__xludf.DUMMYFUNCTION("""COMPUTED_VALUE"""),"20")</f>
        <v>20</v>
      </c>
      <c r="J3298" s="115" t="str">
        <f>IFERROR(__xludf.DUMMYFUNCTION("""COMPUTED_VALUE"""),"Kandula Sampath2025-09-0620")</f>
        <v>Kandula Sampath2025-09-0620</v>
      </c>
      <c r="K3298" s="115">
        <f>IFERROR(__xludf.DUMMYFUNCTION("""COMPUTED_VALUE"""),37720.0)</f>
        <v>37720</v>
      </c>
    </row>
    <row r="3299">
      <c r="A3299" s="115" t="str">
        <f>IFERROR(__xludf.DUMMYFUNCTION("""COMPUTED_VALUE"""),"SOUTH")</f>
        <v>SOUTH</v>
      </c>
      <c r="B3299" s="115" t="str">
        <f>IFERROR(__xludf.DUMMYFUNCTION("""COMPUTED_VALUE"""),"Kandula Sampath")</f>
        <v>Kandula Sampath</v>
      </c>
      <c r="C3299" s="115" t="str">
        <f>IFERROR(__xludf.DUMMYFUNCTION("""COMPUTED_VALUE"""),"FLIPKART")</f>
        <v>FLIPKART</v>
      </c>
      <c r="D3299" s="115">
        <f>IFERROR(__xludf.DUMMYFUNCTION("""COMPUTED_VALUE"""),309570.0)</f>
        <v>309570</v>
      </c>
      <c r="E3299" s="115">
        <f>IFERROR(__xludf.DUMMYFUNCTION("""COMPUTED_VALUE"""),28697.0)</f>
        <v>28697</v>
      </c>
      <c r="F3299" s="115">
        <f>IFERROR(__xludf.DUMMYFUNCTION("""COMPUTED_VALUE"""),230304.0)</f>
        <v>230304</v>
      </c>
      <c r="G3299" s="115">
        <f>IFERROR(__xludf.DUMMYFUNCTION("""COMPUTED_VALUE"""),16761.0)</f>
        <v>16761</v>
      </c>
      <c r="H3299" s="116">
        <f>IFERROR(__xludf.DUMMYFUNCTION("""COMPUTED_VALUE"""),45906.0)</f>
        <v>45906</v>
      </c>
      <c r="I3299" s="115" t="str">
        <f>IFERROR(__xludf.DUMMYFUNCTION("""COMPUTED_VALUE"""),"20")</f>
        <v>20</v>
      </c>
      <c r="J3299" s="115" t="str">
        <f>IFERROR(__xludf.DUMMYFUNCTION("""COMPUTED_VALUE"""),"Kandula Sampath2025-09-0620")</f>
        <v>Kandula Sampath2025-09-0620</v>
      </c>
      <c r="K3299" s="115">
        <f>IFERROR(__xludf.DUMMYFUNCTION("""COMPUTED_VALUE"""),338267.0)</f>
        <v>338267</v>
      </c>
    </row>
    <row r="3300">
      <c r="A3300" s="115" t="str">
        <f>IFERROR(__xludf.DUMMYFUNCTION("""COMPUTED_VALUE"""),"SOUTH")</f>
        <v>SOUTH</v>
      </c>
      <c r="B3300" s="115" t="str">
        <f>IFERROR(__xludf.DUMMYFUNCTION("""COMPUTED_VALUE"""),"Kandula Sampath")</f>
        <v>Kandula Sampath</v>
      </c>
      <c r="C3300" s="115" t="str">
        <f>IFERROR(__xludf.DUMMYFUNCTION("""COMPUTED_VALUE"""),"MYNTRA")</f>
        <v>MYNTRA</v>
      </c>
      <c r="D3300" s="115">
        <f>IFERROR(__xludf.DUMMYFUNCTION("""COMPUTED_VALUE"""),36695.0)</f>
        <v>36695</v>
      </c>
      <c r="E3300" s="115">
        <f>IFERROR(__xludf.DUMMYFUNCTION("""COMPUTED_VALUE"""),7566.0)</f>
        <v>7566</v>
      </c>
      <c r="F3300" s="115">
        <f>IFERROR(__xludf.DUMMYFUNCTION("""COMPUTED_VALUE"""),29926.0)</f>
        <v>29926</v>
      </c>
      <c r="G3300" s="115">
        <f>IFERROR(__xludf.DUMMYFUNCTION("""COMPUTED_VALUE"""),4561.0)</f>
        <v>4561</v>
      </c>
      <c r="H3300" s="116">
        <f>IFERROR(__xludf.DUMMYFUNCTION("""COMPUTED_VALUE"""),45906.0)</f>
        <v>45906</v>
      </c>
      <c r="I3300" s="115" t="str">
        <f>IFERROR(__xludf.DUMMYFUNCTION("""COMPUTED_VALUE"""),"20")</f>
        <v>20</v>
      </c>
      <c r="J3300" s="115" t="str">
        <f>IFERROR(__xludf.DUMMYFUNCTION("""COMPUTED_VALUE"""),"Kandula Sampath2025-09-0620")</f>
        <v>Kandula Sampath2025-09-0620</v>
      </c>
      <c r="K3300" s="115">
        <f>IFERROR(__xludf.DUMMYFUNCTION("""COMPUTED_VALUE"""),44261.0)</f>
        <v>44261</v>
      </c>
    </row>
    <row r="3301">
      <c r="A3301" s="115" t="str">
        <f>IFERROR(__xludf.DUMMYFUNCTION("""COMPUTED_VALUE"""),"SOUTH")</f>
        <v>SOUTH</v>
      </c>
      <c r="B3301" s="115" t="str">
        <f>IFERROR(__xludf.DUMMYFUNCTION("""COMPUTED_VALUE"""),"Martin A")</f>
        <v>Martin A</v>
      </c>
      <c r="C3301" s="115" t="str">
        <f>IFERROR(__xludf.DUMMYFUNCTION("""COMPUTED_VALUE"""),"EXTERNAL")</f>
        <v>EXTERNAL</v>
      </c>
      <c r="D3301" s="115">
        <f>IFERROR(__xludf.DUMMYFUNCTION("""COMPUTED_VALUE"""),35483.0)</f>
        <v>35483</v>
      </c>
      <c r="E3301" s="115">
        <f>IFERROR(__xludf.DUMMYFUNCTION("""COMPUTED_VALUE"""),3314.0)</f>
        <v>3314</v>
      </c>
      <c r="F3301" s="115">
        <f>IFERROR(__xludf.DUMMYFUNCTION("""COMPUTED_VALUE"""),15092.0)</f>
        <v>15092</v>
      </c>
      <c r="G3301" s="115">
        <f>IFERROR(__xludf.DUMMYFUNCTION("""COMPUTED_VALUE"""),1662.0)</f>
        <v>1662</v>
      </c>
      <c r="H3301" s="116">
        <f>IFERROR(__xludf.DUMMYFUNCTION("""COMPUTED_VALUE"""),45906.0)</f>
        <v>45906</v>
      </c>
      <c r="I3301" s="115" t="str">
        <f>IFERROR(__xludf.DUMMYFUNCTION("""COMPUTED_VALUE"""),"20")</f>
        <v>20</v>
      </c>
      <c r="J3301" s="115" t="str">
        <f>IFERROR(__xludf.DUMMYFUNCTION("""COMPUTED_VALUE"""),"Martin A2025-09-0620")</f>
        <v>Martin A2025-09-0620</v>
      </c>
      <c r="K3301" s="115">
        <f>IFERROR(__xludf.DUMMYFUNCTION("""COMPUTED_VALUE"""),38797.0)</f>
        <v>38797</v>
      </c>
    </row>
    <row r="3302">
      <c r="A3302" s="115" t="str">
        <f>IFERROR(__xludf.DUMMYFUNCTION("""COMPUTED_VALUE"""),"SOUTH")</f>
        <v>SOUTH</v>
      </c>
      <c r="B3302" s="115" t="str">
        <f>IFERROR(__xludf.DUMMYFUNCTION("""COMPUTED_VALUE"""),"Martin A")</f>
        <v>Martin A</v>
      </c>
      <c r="C3302" s="115" t="str">
        <f>IFERROR(__xludf.DUMMYFUNCTION("""COMPUTED_VALUE"""),"FLIPKART")</f>
        <v>FLIPKART</v>
      </c>
      <c r="D3302" s="115">
        <f>IFERROR(__xludf.DUMMYFUNCTION("""COMPUTED_VALUE"""),298592.0)</f>
        <v>298592</v>
      </c>
      <c r="E3302" s="115">
        <f>IFERROR(__xludf.DUMMYFUNCTION("""COMPUTED_VALUE"""),26117.0)</f>
        <v>26117</v>
      </c>
      <c r="F3302" s="115">
        <f>IFERROR(__xludf.DUMMYFUNCTION("""COMPUTED_VALUE"""),215761.0)</f>
        <v>215761</v>
      </c>
      <c r="G3302" s="115">
        <f>IFERROR(__xludf.DUMMYFUNCTION("""COMPUTED_VALUE"""),15951.0)</f>
        <v>15951</v>
      </c>
      <c r="H3302" s="116">
        <f>IFERROR(__xludf.DUMMYFUNCTION("""COMPUTED_VALUE"""),45906.0)</f>
        <v>45906</v>
      </c>
      <c r="I3302" s="115" t="str">
        <f>IFERROR(__xludf.DUMMYFUNCTION("""COMPUTED_VALUE"""),"20")</f>
        <v>20</v>
      </c>
      <c r="J3302" s="115" t="str">
        <f>IFERROR(__xludf.DUMMYFUNCTION("""COMPUTED_VALUE"""),"Martin A2025-09-0620")</f>
        <v>Martin A2025-09-0620</v>
      </c>
      <c r="K3302" s="115">
        <f>IFERROR(__xludf.DUMMYFUNCTION("""COMPUTED_VALUE"""),324709.0)</f>
        <v>324709</v>
      </c>
    </row>
    <row r="3303">
      <c r="A3303" s="115" t="str">
        <f>IFERROR(__xludf.DUMMYFUNCTION("""COMPUTED_VALUE"""),"SOUTH")</f>
        <v>SOUTH</v>
      </c>
      <c r="B3303" s="115" t="str">
        <f>IFERROR(__xludf.DUMMYFUNCTION("""COMPUTED_VALUE"""),"Martin A")</f>
        <v>Martin A</v>
      </c>
      <c r="C3303" s="115" t="str">
        <f>IFERROR(__xludf.DUMMYFUNCTION("""COMPUTED_VALUE"""),"MYNTRA")</f>
        <v>MYNTRA</v>
      </c>
      <c r="D3303" s="115">
        <f>IFERROR(__xludf.DUMMYFUNCTION("""COMPUTED_VALUE"""),29636.0)</f>
        <v>29636</v>
      </c>
      <c r="E3303" s="115">
        <f>IFERROR(__xludf.DUMMYFUNCTION("""COMPUTED_VALUE"""),6358.0)</f>
        <v>6358</v>
      </c>
      <c r="F3303" s="115">
        <f>IFERROR(__xludf.DUMMYFUNCTION("""COMPUTED_VALUE"""),24065.0)</f>
        <v>24065</v>
      </c>
      <c r="G3303" s="115">
        <f>IFERROR(__xludf.DUMMYFUNCTION("""COMPUTED_VALUE"""),4076.0)</f>
        <v>4076</v>
      </c>
      <c r="H3303" s="116">
        <f>IFERROR(__xludf.DUMMYFUNCTION("""COMPUTED_VALUE"""),45906.0)</f>
        <v>45906</v>
      </c>
      <c r="I3303" s="115" t="str">
        <f>IFERROR(__xludf.DUMMYFUNCTION("""COMPUTED_VALUE"""),"20")</f>
        <v>20</v>
      </c>
      <c r="J3303" s="115" t="str">
        <f>IFERROR(__xludf.DUMMYFUNCTION("""COMPUTED_VALUE"""),"Martin A2025-09-0620")</f>
        <v>Martin A2025-09-0620</v>
      </c>
      <c r="K3303" s="115">
        <f>IFERROR(__xludf.DUMMYFUNCTION("""COMPUTED_VALUE"""),35994.0)</f>
        <v>35994</v>
      </c>
    </row>
    <row r="3304">
      <c r="A3304" s="115" t="str">
        <f>IFERROR(__xludf.DUMMYFUNCTION("""COMPUTED_VALUE"""),"SOUTH")</f>
        <v>SOUTH</v>
      </c>
      <c r="B3304" s="115" t="str">
        <f>IFERROR(__xludf.DUMMYFUNCTION("""COMPUTED_VALUE"""),"Premkumar M")</f>
        <v>Premkumar M</v>
      </c>
      <c r="C3304" s="115" t="str">
        <f>IFERROR(__xludf.DUMMYFUNCTION("""COMPUTED_VALUE"""),"EXTERNAL")</f>
        <v>EXTERNAL</v>
      </c>
      <c r="D3304" s="115">
        <f>IFERROR(__xludf.DUMMYFUNCTION("""COMPUTED_VALUE"""),30325.0)</f>
        <v>30325</v>
      </c>
      <c r="E3304" s="115">
        <f>IFERROR(__xludf.DUMMYFUNCTION("""COMPUTED_VALUE"""),1788.0)</f>
        <v>1788</v>
      </c>
      <c r="F3304" s="115">
        <f>IFERROR(__xludf.DUMMYFUNCTION("""COMPUTED_VALUE"""),15412.0)</f>
        <v>15412</v>
      </c>
      <c r="G3304" s="115">
        <f>IFERROR(__xludf.DUMMYFUNCTION("""COMPUTED_VALUE"""),654.0)</f>
        <v>654</v>
      </c>
      <c r="H3304" s="116">
        <f>IFERROR(__xludf.DUMMYFUNCTION("""COMPUTED_VALUE"""),45906.0)</f>
        <v>45906</v>
      </c>
      <c r="I3304" s="115" t="str">
        <f>IFERROR(__xludf.DUMMYFUNCTION("""COMPUTED_VALUE"""),"20")</f>
        <v>20</v>
      </c>
      <c r="J3304" s="115" t="str">
        <f>IFERROR(__xludf.DUMMYFUNCTION("""COMPUTED_VALUE"""),"Premkumar M2025-09-0620")</f>
        <v>Premkumar M2025-09-0620</v>
      </c>
      <c r="K3304" s="115">
        <f>IFERROR(__xludf.DUMMYFUNCTION("""COMPUTED_VALUE"""),32113.0)</f>
        <v>32113</v>
      </c>
    </row>
    <row r="3305">
      <c r="A3305" s="115" t="str">
        <f>IFERROR(__xludf.DUMMYFUNCTION("""COMPUTED_VALUE"""),"SOUTH")</f>
        <v>SOUTH</v>
      </c>
      <c r="B3305" s="115" t="str">
        <f>IFERROR(__xludf.DUMMYFUNCTION("""COMPUTED_VALUE"""),"Premkumar M")</f>
        <v>Premkumar M</v>
      </c>
      <c r="C3305" s="115" t="str">
        <f>IFERROR(__xludf.DUMMYFUNCTION("""COMPUTED_VALUE"""),"FLIPKART")</f>
        <v>FLIPKART</v>
      </c>
      <c r="D3305" s="115">
        <f>IFERROR(__xludf.DUMMYFUNCTION("""COMPUTED_VALUE"""),279409.0)</f>
        <v>279409</v>
      </c>
      <c r="E3305" s="115">
        <f>IFERROR(__xludf.DUMMYFUNCTION("""COMPUTED_VALUE"""),19835.0)</f>
        <v>19835</v>
      </c>
      <c r="F3305" s="115">
        <f>IFERROR(__xludf.DUMMYFUNCTION("""COMPUTED_VALUE"""),212237.0)</f>
        <v>212237</v>
      </c>
      <c r="G3305" s="115">
        <f>IFERROR(__xludf.DUMMYFUNCTION("""COMPUTED_VALUE"""),9593.0)</f>
        <v>9593</v>
      </c>
      <c r="H3305" s="116">
        <f>IFERROR(__xludf.DUMMYFUNCTION("""COMPUTED_VALUE"""),45906.0)</f>
        <v>45906</v>
      </c>
      <c r="I3305" s="115" t="str">
        <f>IFERROR(__xludf.DUMMYFUNCTION("""COMPUTED_VALUE"""),"20")</f>
        <v>20</v>
      </c>
      <c r="J3305" s="115" t="str">
        <f>IFERROR(__xludf.DUMMYFUNCTION("""COMPUTED_VALUE"""),"Premkumar M2025-09-0620")</f>
        <v>Premkumar M2025-09-0620</v>
      </c>
      <c r="K3305" s="115">
        <f>IFERROR(__xludf.DUMMYFUNCTION("""COMPUTED_VALUE"""),299244.0)</f>
        <v>299244</v>
      </c>
    </row>
    <row r="3306">
      <c r="A3306" s="115" t="str">
        <f>IFERROR(__xludf.DUMMYFUNCTION("""COMPUTED_VALUE"""),"SOUTH")</f>
        <v>SOUTH</v>
      </c>
      <c r="B3306" s="115" t="str">
        <f>IFERROR(__xludf.DUMMYFUNCTION("""COMPUTED_VALUE"""),"Premkumar M")</f>
        <v>Premkumar M</v>
      </c>
      <c r="C3306" s="115" t="str">
        <f>IFERROR(__xludf.DUMMYFUNCTION("""COMPUTED_VALUE"""),"MYNTRA")</f>
        <v>MYNTRA</v>
      </c>
      <c r="D3306" s="115">
        <f>IFERROR(__xludf.DUMMYFUNCTION("""COMPUTED_VALUE"""),15703.0)</f>
        <v>15703</v>
      </c>
      <c r="E3306" s="115">
        <f>IFERROR(__xludf.DUMMYFUNCTION("""COMPUTED_VALUE"""),3055.0)</f>
        <v>3055</v>
      </c>
      <c r="F3306" s="115">
        <f>IFERROR(__xludf.DUMMYFUNCTION("""COMPUTED_VALUE"""),13131.0)</f>
        <v>13131</v>
      </c>
      <c r="G3306" s="115">
        <f>IFERROR(__xludf.DUMMYFUNCTION("""COMPUTED_VALUE"""),1568.0)</f>
        <v>1568</v>
      </c>
      <c r="H3306" s="116">
        <f>IFERROR(__xludf.DUMMYFUNCTION("""COMPUTED_VALUE"""),45906.0)</f>
        <v>45906</v>
      </c>
      <c r="I3306" s="115" t="str">
        <f>IFERROR(__xludf.DUMMYFUNCTION("""COMPUTED_VALUE"""),"20")</f>
        <v>20</v>
      </c>
      <c r="J3306" s="115" t="str">
        <f>IFERROR(__xludf.DUMMYFUNCTION("""COMPUTED_VALUE"""),"Premkumar M2025-09-0620")</f>
        <v>Premkumar M2025-09-0620</v>
      </c>
      <c r="K3306" s="115">
        <f>IFERROR(__xludf.DUMMYFUNCTION("""COMPUTED_VALUE"""),18758.0)</f>
        <v>18758</v>
      </c>
    </row>
    <row r="3307">
      <c r="A3307" s="115" t="str">
        <f>IFERROR(__xludf.DUMMYFUNCTION("""COMPUTED_VALUE"""),"SOUTH")</f>
        <v>SOUTH</v>
      </c>
      <c r="B3307" s="115" t="str">
        <f>IFERROR(__xludf.DUMMYFUNCTION("""COMPUTED_VALUE"""),"Vineeth V")</f>
        <v>Vineeth V</v>
      </c>
      <c r="C3307" s="115" t="str">
        <f>IFERROR(__xludf.DUMMYFUNCTION("""COMPUTED_VALUE"""),"EXTERNAL")</f>
        <v>EXTERNAL</v>
      </c>
      <c r="D3307" s="115">
        <f>IFERROR(__xludf.DUMMYFUNCTION("""COMPUTED_VALUE"""),26723.0)</f>
        <v>26723</v>
      </c>
      <c r="E3307" s="115">
        <f>IFERROR(__xludf.DUMMYFUNCTION("""COMPUTED_VALUE"""),691.0)</f>
        <v>691</v>
      </c>
      <c r="F3307" s="115">
        <f>IFERROR(__xludf.DUMMYFUNCTION("""COMPUTED_VALUE"""),14548.0)</f>
        <v>14548</v>
      </c>
      <c r="G3307" s="115">
        <f>IFERROR(__xludf.DUMMYFUNCTION("""COMPUTED_VALUE"""),274.0)</f>
        <v>274</v>
      </c>
      <c r="H3307" s="116">
        <f>IFERROR(__xludf.DUMMYFUNCTION("""COMPUTED_VALUE"""),45906.0)</f>
        <v>45906</v>
      </c>
      <c r="I3307" s="115" t="str">
        <f>IFERROR(__xludf.DUMMYFUNCTION("""COMPUTED_VALUE"""),"20")</f>
        <v>20</v>
      </c>
      <c r="J3307" s="115" t="str">
        <f>IFERROR(__xludf.DUMMYFUNCTION("""COMPUTED_VALUE"""),"Vineeth V2025-09-0620")</f>
        <v>Vineeth V2025-09-0620</v>
      </c>
      <c r="K3307" s="115">
        <f>IFERROR(__xludf.DUMMYFUNCTION("""COMPUTED_VALUE"""),27414.0)</f>
        <v>27414</v>
      </c>
    </row>
    <row r="3308">
      <c r="A3308" s="115" t="str">
        <f>IFERROR(__xludf.DUMMYFUNCTION("""COMPUTED_VALUE"""),"SOUTH")</f>
        <v>SOUTH</v>
      </c>
      <c r="B3308" s="115" t="str">
        <f>IFERROR(__xludf.DUMMYFUNCTION("""COMPUTED_VALUE"""),"Vineeth V")</f>
        <v>Vineeth V</v>
      </c>
      <c r="C3308" s="115" t="str">
        <f>IFERROR(__xludf.DUMMYFUNCTION("""COMPUTED_VALUE"""),"FLIPKART")</f>
        <v>FLIPKART</v>
      </c>
      <c r="D3308" s="115">
        <f>IFERROR(__xludf.DUMMYFUNCTION("""COMPUTED_VALUE"""),219023.0)</f>
        <v>219023</v>
      </c>
      <c r="E3308" s="115">
        <f>IFERROR(__xludf.DUMMYFUNCTION("""COMPUTED_VALUE"""),16075.0)</f>
        <v>16075</v>
      </c>
      <c r="F3308" s="115">
        <f>IFERROR(__xludf.DUMMYFUNCTION("""COMPUTED_VALUE"""),173776.0)</f>
        <v>173776</v>
      </c>
      <c r="G3308" s="115">
        <f>IFERROR(__xludf.DUMMYFUNCTION("""COMPUTED_VALUE"""),6799.0)</f>
        <v>6799</v>
      </c>
      <c r="H3308" s="116">
        <f>IFERROR(__xludf.DUMMYFUNCTION("""COMPUTED_VALUE"""),45906.0)</f>
        <v>45906</v>
      </c>
      <c r="I3308" s="115" t="str">
        <f>IFERROR(__xludf.DUMMYFUNCTION("""COMPUTED_VALUE"""),"20")</f>
        <v>20</v>
      </c>
      <c r="J3308" s="115" t="str">
        <f>IFERROR(__xludf.DUMMYFUNCTION("""COMPUTED_VALUE"""),"Vineeth V2025-09-0620")</f>
        <v>Vineeth V2025-09-0620</v>
      </c>
      <c r="K3308" s="115">
        <f>IFERROR(__xludf.DUMMYFUNCTION("""COMPUTED_VALUE"""),235098.0)</f>
        <v>235098</v>
      </c>
    </row>
    <row r="3309">
      <c r="A3309" s="115" t="str">
        <f>IFERROR(__xludf.DUMMYFUNCTION("""COMPUTED_VALUE"""),"SOUTH")</f>
        <v>SOUTH</v>
      </c>
      <c r="B3309" s="115" t="str">
        <f>IFERROR(__xludf.DUMMYFUNCTION("""COMPUTED_VALUE"""),"Vineeth V")</f>
        <v>Vineeth V</v>
      </c>
      <c r="C3309" s="115" t="str">
        <f>IFERROR(__xludf.DUMMYFUNCTION("""COMPUTED_VALUE"""),"MYNTRA")</f>
        <v>MYNTRA</v>
      </c>
      <c r="D3309" s="115">
        <f>IFERROR(__xludf.DUMMYFUNCTION("""COMPUTED_VALUE"""),28417.0)</f>
        <v>28417</v>
      </c>
      <c r="E3309" s="115">
        <f>IFERROR(__xludf.DUMMYFUNCTION("""COMPUTED_VALUE"""),4107.0)</f>
        <v>4107</v>
      </c>
      <c r="F3309" s="115">
        <f>IFERROR(__xludf.DUMMYFUNCTION("""COMPUTED_VALUE"""),24239.0)</f>
        <v>24239</v>
      </c>
      <c r="G3309" s="115">
        <f>IFERROR(__xludf.DUMMYFUNCTION("""COMPUTED_VALUE"""),1929.0)</f>
        <v>1929</v>
      </c>
      <c r="H3309" s="116">
        <f>IFERROR(__xludf.DUMMYFUNCTION("""COMPUTED_VALUE"""),45906.0)</f>
        <v>45906</v>
      </c>
      <c r="I3309" s="115" t="str">
        <f>IFERROR(__xludf.DUMMYFUNCTION("""COMPUTED_VALUE"""),"20")</f>
        <v>20</v>
      </c>
      <c r="J3309" s="115" t="str">
        <f>IFERROR(__xludf.DUMMYFUNCTION("""COMPUTED_VALUE"""),"Vineeth V2025-09-0620")</f>
        <v>Vineeth V2025-09-0620</v>
      </c>
      <c r="K3309" s="115">
        <f>IFERROR(__xludf.DUMMYFUNCTION("""COMPUTED_VALUE"""),32524.0)</f>
        <v>32524</v>
      </c>
    </row>
    <row r="3310">
      <c r="A3310" s="115" t="str">
        <f>IFERROR(__xludf.DUMMYFUNCTION("""COMPUTED_VALUE"""),"WEST")</f>
        <v>WEST</v>
      </c>
      <c r="B3310" s="115" t="str">
        <f>IFERROR(__xludf.DUMMYFUNCTION("""COMPUTED_VALUE"""),"Ashish Jakar")</f>
        <v>Ashish Jakar</v>
      </c>
      <c r="C3310" s="115" t="str">
        <f>IFERROR(__xludf.DUMMYFUNCTION("""COMPUTED_VALUE"""),"EXTERNAL")</f>
        <v>EXTERNAL</v>
      </c>
      <c r="D3310" s="115">
        <f>IFERROR(__xludf.DUMMYFUNCTION("""COMPUTED_VALUE"""),48078.0)</f>
        <v>48078</v>
      </c>
      <c r="E3310" s="115">
        <f>IFERROR(__xludf.DUMMYFUNCTION("""COMPUTED_VALUE"""),5593.0)</f>
        <v>5593</v>
      </c>
      <c r="F3310" s="115">
        <f>IFERROR(__xludf.DUMMYFUNCTION("""COMPUTED_VALUE"""),20740.0)</f>
        <v>20740</v>
      </c>
      <c r="G3310" s="115">
        <f>IFERROR(__xludf.DUMMYFUNCTION("""COMPUTED_VALUE"""),2613.0)</f>
        <v>2613</v>
      </c>
      <c r="H3310" s="116">
        <f>IFERROR(__xludf.DUMMYFUNCTION("""COMPUTED_VALUE"""),45906.0)</f>
        <v>45906</v>
      </c>
      <c r="I3310" s="115" t="str">
        <f>IFERROR(__xludf.DUMMYFUNCTION("""COMPUTED_VALUE"""),"20")</f>
        <v>20</v>
      </c>
      <c r="J3310" s="115" t="str">
        <f>IFERROR(__xludf.DUMMYFUNCTION("""COMPUTED_VALUE"""),"Ashish Jakar2025-09-0620")</f>
        <v>Ashish Jakar2025-09-0620</v>
      </c>
      <c r="K3310" s="115">
        <f>IFERROR(__xludf.DUMMYFUNCTION("""COMPUTED_VALUE"""),53671.0)</f>
        <v>53671</v>
      </c>
    </row>
    <row r="3311">
      <c r="A3311" s="115" t="str">
        <f>IFERROR(__xludf.DUMMYFUNCTION("""COMPUTED_VALUE"""),"WEST")</f>
        <v>WEST</v>
      </c>
      <c r="B3311" s="115" t="str">
        <f>IFERROR(__xludf.DUMMYFUNCTION("""COMPUTED_VALUE"""),"Ashish Jakar")</f>
        <v>Ashish Jakar</v>
      </c>
      <c r="C3311" s="115" t="str">
        <f>IFERROR(__xludf.DUMMYFUNCTION("""COMPUTED_VALUE"""),"FLIPKART")</f>
        <v>FLIPKART</v>
      </c>
      <c r="D3311" s="115">
        <f>IFERROR(__xludf.DUMMYFUNCTION("""COMPUTED_VALUE"""),236350.0)</f>
        <v>236350</v>
      </c>
      <c r="E3311" s="115">
        <f>IFERROR(__xludf.DUMMYFUNCTION("""COMPUTED_VALUE"""),27788.0)</f>
        <v>27788</v>
      </c>
      <c r="F3311" s="115">
        <f>IFERROR(__xludf.DUMMYFUNCTION("""COMPUTED_VALUE"""),171535.0)</f>
        <v>171535</v>
      </c>
      <c r="G3311" s="115">
        <f>IFERROR(__xludf.DUMMYFUNCTION("""COMPUTED_VALUE"""),17271.0)</f>
        <v>17271</v>
      </c>
      <c r="H3311" s="116">
        <f>IFERROR(__xludf.DUMMYFUNCTION("""COMPUTED_VALUE"""),45906.0)</f>
        <v>45906</v>
      </c>
      <c r="I3311" s="115" t="str">
        <f>IFERROR(__xludf.DUMMYFUNCTION("""COMPUTED_VALUE"""),"20")</f>
        <v>20</v>
      </c>
      <c r="J3311" s="115" t="str">
        <f>IFERROR(__xludf.DUMMYFUNCTION("""COMPUTED_VALUE"""),"Ashish Jakar2025-09-0620")</f>
        <v>Ashish Jakar2025-09-0620</v>
      </c>
      <c r="K3311" s="115">
        <f>IFERROR(__xludf.DUMMYFUNCTION("""COMPUTED_VALUE"""),264138.0)</f>
        <v>264138</v>
      </c>
    </row>
    <row r="3312">
      <c r="A3312" s="115" t="str">
        <f>IFERROR(__xludf.DUMMYFUNCTION("""COMPUTED_VALUE"""),"WEST")</f>
        <v>WEST</v>
      </c>
      <c r="B3312" s="115" t="str">
        <f>IFERROR(__xludf.DUMMYFUNCTION("""COMPUTED_VALUE"""),"Ashish Jakar")</f>
        <v>Ashish Jakar</v>
      </c>
      <c r="C3312" s="115" t="str">
        <f>IFERROR(__xludf.DUMMYFUNCTION("""COMPUTED_VALUE"""),"MYNTRA")</f>
        <v>MYNTRA</v>
      </c>
      <c r="D3312" s="115">
        <f>IFERROR(__xludf.DUMMYFUNCTION("""COMPUTED_VALUE"""),33888.0)</f>
        <v>33888</v>
      </c>
      <c r="E3312" s="115">
        <f>IFERROR(__xludf.DUMMYFUNCTION("""COMPUTED_VALUE"""),9019.0)</f>
        <v>9019</v>
      </c>
      <c r="F3312" s="115">
        <f>IFERROR(__xludf.DUMMYFUNCTION("""COMPUTED_VALUE"""),28172.0)</f>
        <v>28172</v>
      </c>
      <c r="G3312" s="115">
        <f>IFERROR(__xludf.DUMMYFUNCTION("""COMPUTED_VALUE"""),5981.0)</f>
        <v>5981</v>
      </c>
      <c r="H3312" s="116">
        <f>IFERROR(__xludf.DUMMYFUNCTION("""COMPUTED_VALUE"""),45906.0)</f>
        <v>45906</v>
      </c>
      <c r="I3312" s="115" t="str">
        <f>IFERROR(__xludf.DUMMYFUNCTION("""COMPUTED_VALUE"""),"20")</f>
        <v>20</v>
      </c>
      <c r="J3312" s="115" t="str">
        <f>IFERROR(__xludf.DUMMYFUNCTION("""COMPUTED_VALUE"""),"Ashish Jakar2025-09-0620")</f>
        <v>Ashish Jakar2025-09-0620</v>
      </c>
      <c r="K3312" s="115">
        <f>IFERROR(__xludf.DUMMYFUNCTION("""COMPUTED_VALUE"""),42907.0)</f>
        <v>42907</v>
      </c>
    </row>
    <row r="3313">
      <c r="A3313" s="115" t="str">
        <f>IFERROR(__xludf.DUMMYFUNCTION("""COMPUTED_VALUE"""),"WEST")</f>
        <v>WEST</v>
      </c>
      <c r="B3313" s="115" t="str">
        <f>IFERROR(__xludf.DUMMYFUNCTION("""COMPUTED_VALUE"""),"Ashvani Bhatt")</f>
        <v>Ashvani Bhatt</v>
      </c>
      <c r="C3313" s="115" t="str">
        <f>IFERROR(__xludf.DUMMYFUNCTION("""COMPUTED_VALUE"""),"EXTERNAL")</f>
        <v>EXTERNAL</v>
      </c>
      <c r="D3313" s="115">
        <f>IFERROR(__xludf.DUMMYFUNCTION("""COMPUTED_VALUE"""),35279.0)</f>
        <v>35279</v>
      </c>
      <c r="E3313" s="115">
        <f>IFERROR(__xludf.DUMMYFUNCTION("""COMPUTED_VALUE"""),2918.0)</f>
        <v>2918</v>
      </c>
      <c r="F3313" s="115">
        <f>IFERROR(__xludf.DUMMYFUNCTION("""COMPUTED_VALUE"""),14683.0)</f>
        <v>14683</v>
      </c>
      <c r="G3313" s="115">
        <f>IFERROR(__xludf.DUMMYFUNCTION("""COMPUTED_VALUE"""),1123.0)</f>
        <v>1123</v>
      </c>
      <c r="H3313" s="116">
        <f>IFERROR(__xludf.DUMMYFUNCTION("""COMPUTED_VALUE"""),45906.0)</f>
        <v>45906</v>
      </c>
      <c r="I3313" s="115" t="str">
        <f>IFERROR(__xludf.DUMMYFUNCTION("""COMPUTED_VALUE"""),"20")</f>
        <v>20</v>
      </c>
      <c r="J3313" s="115" t="str">
        <f>IFERROR(__xludf.DUMMYFUNCTION("""COMPUTED_VALUE"""),"Ashvani Bhatt2025-09-0620")</f>
        <v>Ashvani Bhatt2025-09-0620</v>
      </c>
      <c r="K3313" s="115">
        <f>IFERROR(__xludf.DUMMYFUNCTION("""COMPUTED_VALUE"""),38197.0)</f>
        <v>38197</v>
      </c>
    </row>
    <row r="3314">
      <c r="A3314" s="115" t="str">
        <f>IFERROR(__xludf.DUMMYFUNCTION("""COMPUTED_VALUE"""),"WEST")</f>
        <v>WEST</v>
      </c>
      <c r="B3314" s="115" t="str">
        <f>IFERROR(__xludf.DUMMYFUNCTION("""COMPUTED_VALUE"""),"Ashvani Bhatt")</f>
        <v>Ashvani Bhatt</v>
      </c>
      <c r="C3314" s="115" t="str">
        <f>IFERROR(__xludf.DUMMYFUNCTION("""COMPUTED_VALUE"""),"FLIPKART")</f>
        <v>FLIPKART</v>
      </c>
      <c r="D3314" s="115">
        <f>IFERROR(__xludf.DUMMYFUNCTION("""COMPUTED_VALUE"""),249709.0)</f>
        <v>249709</v>
      </c>
      <c r="E3314" s="115">
        <f>IFERROR(__xludf.DUMMYFUNCTION("""COMPUTED_VALUE"""),26900.0)</f>
        <v>26900</v>
      </c>
      <c r="F3314" s="115">
        <f>IFERROR(__xludf.DUMMYFUNCTION("""COMPUTED_VALUE"""),181526.0)</f>
        <v>181526</v>
      </c>
      <c r="G3314" s="115">
        <f>IFERROR(__xludf.DUMMYFUNCTION("""COMPUTED_VALUE"""),16720.0)</f>
        <v>16720</v>
      </c>
      <c r="H3314" s="116">
        <f>IFERROR(__xludf.DUMMYFUNCTION("""COMPUTED_VALUE"""),45906.0)</f>
        <v>45906</v>
      </c>
      <c r="I3314" s="115" t="str">
        <f>IFERROR(__xludf.DUMMYFUNCTION("""COMPUTED_VALUE"""),"20")</f>
        <v>20</v>
      </c>
      <c r="J3314" s="115" t="str">
        <f>IFERROR(__xludf.DUMMYFUNCTION("""COMPUTED_VALUE"""),"Ashvani Bhatt2025-09-0620")</f>
        <v>Ashvani Bhatt2025-09-0620</v>
      </c>
      <c r="K3314" s="115">
        <f>IFERROR(__xludf.DUMMYFUNCTION("""COMPUTED_VALUE"""),276609.0)</f>
        <v>276609</v>
      </c>
    </row>
    <row r="3315">
      <c r="A3315" s="115" t="str">
        <f>IFERROR(__xludf.DUMMYFUNCTION("""COMPUTED_VALUE"""),"WEST")</f>
        <v>WEST</v>
      </c>
      <c r="B3315" s="115" t="str">
        <f>IFERROR(__xludf.DUMMYFUNCTION("""COMPUTED_VALUE"""),"Ashvani Bhatt")</f>
        <v>Ashvani Bhatt</v>
      </c>
      <c r="C3315" s="115" t="str">
        <f>IFERROR(__xludf.DUMMYFUNCTION("""COMPUTED_VALUE"""),"MYNTRA")</f>
        <v>MYNTRA</v>
      </c>
      <c r="D3315" s="115">
        <f>IFERROR(__xludf.DUMMYFUNCTION("""COMPUTED_VALUE"""),31231.0)</f>
        <v>31231</v>
      </c>
      <c r="E3315" s="115">
        <f>IFERROR(__xludf.DUMMYFUNCTION("""COMPUTED_VALUE"""),7985.0)</f>
        <v>7985</v>
      </c>
      <c r="F3315" s="115">
        <f>IFERROR(__xludf.DUMMYFUNCTION("""COMPUTED_VALUE"""),25996.0)</f>
        <v>25996</v>
      </c>
      <c r="G3315" s="115">
        <f>IFERROR(__xludf.DUMMYFUNCTION("""COMPUTED_VALUE"""),5466.0)</f>
        <v>5466</v>
      </c>
      <c r="H3315" s="116">
        <f>IFERROR(__xludf.DUMMYFUNCTION("""COMPUTED_VALUE"""),45906.0)</f>
        <v>45906</v>
      </c>
      <c r="I3315" s="115" t="str">
        <f>IFERROR(__xludf.DUMMYFUNCTION("""COMPUTED_VALUE"""),"20")</f>
        <v>20</v>
      </c>
      <c r="J3315" s="115" t="str">
        <f>IFERROR(__xludf.DUMMYFUNCTION("""COMPUTED_VALUE"""),"Ashvani Bhatt2025-09-0620")</f>
        <v>Ashvani Bhatt2025-09-0620</v>
      </c>
      <c r="K3315" s="115">
        <f>IFERROR(__xludf.DUMMYFUNCTION("""COMPUTED_VALUE"""),39216.0)</f>
        <v>39216</v>
      </c>
    </row>
    <row r="3316">
      <c r="A3316" s="115"/>
      <c r="B3316" s="115"/>
      <c r="C3316" s="115" t="str">
        <f>IFERROR(__xludf.DUMMYFUNCTION("""COMPUTED_VALUE"""),"EXTERNAL")</f>
        <v>EXTERNAL</v>
      </c>
      <c r="D3316" s="115">
        <f>IFERROR(__xludf.DUMMYFUNCTION("""COMPUTED_VALUE"""),1189.0)</f>
        <v>1189</v>
      </c>
      <c r="E3316" s="115">
        <f>IFERROR(__xludf.DUMMYFUNCTION("""COMPUTED_VALUE"""),121.0)</f>
        <v>121</v>
      </c>
      <c r="F3316" s="115">
        <f>IFERROR(__xludf.DUMMYFUNCTION("""COMPUTED_VALUE"""),412.0)</f>
        <v>412</v>
      </c>
      <c r="G3316" s="115">
        <f>IFERROR(__xludf.DUMMYFUNCTION("""COMPUTED_VALUE"""),94.0)</f>
        <v>94</v>
      </c>
      <c r="H3316" s="116">
        <f>IFERROR(__xludf.DUMMYFUNCTION("""COMPUTED_VALUE"""),45906.0)</f>
        <v>45906</v>
      </c>
      <c r="I3316" s="115" t="str">
        <f>IFERROR(__xludf.DUMMYFUNCTION("""COMPUTED_VALUE"""),"20")</f>
        <v>20</v>
      </c>
      <c r="J3316" s="115" t="str">
        <f>IFERROR(__xludf.DUMMYFUNCTION("""COMPUTED_VALUE"""),"2025-09-0620")</f>
        <v>2025-09-0620</v>
      </c>
      <c r="K3316" s="115">
        <f>IFERROR(__xludf.DUMMYFUNCTION("""COMPUTED_VALUE"""),1310.0)</f>
        <v>1310</v>
      </c>
    </row>
    <row r="3317">
      <c r="A3317" s="115"/>
      <c r="B3317" s="115"/>
      <c r="C3317" s="115" t="str">
        <f>IFERROR(__xludf.DUMMYFUNCTION("""COMPUTED_VALUE"""),"FLIPKART")</f>
        <v>FLIPKART</v>
      </c>
      <c r="D3317" s="115">
        <f>IFERROR(__xludf.DUMMYFUNCTION("""COMPUTED_VALUE"""),6793.0)</f>
        <v>6793</v>
      </c>
      <c r="E3317" s="115">
        <f>IFERROR(__xludf.DUMMYFUNCTION("""COMPUTED_VALUE"""),720.0)</f>
        <v>720</v>
      </c>
      <c r="F3317" s="115">
        <f>IFERROR(__xludf.DUMMYFUNCTION("""COMPUTED_VALUE"""),4541.0)</f>
        <v>4541</v>
      </c>
      <c r="G3317" s="115">
        <f>IFERROR(__xludf.DUMMYFUNCTION("""COMPUTED_VALUE"""),487.0)</f>
        <v>487</v>
      </c>
      <c r="H3317" s="116">
        <f>IFERROR(__xludf.DUMMYFUNCTION("""COMPUTED_VALUE"""),45906.0)</f>
        <v>45906</v>
      </c>
      <c r="I3317" s="115" t="str">
        <f>IFERROR(__xludf.DUMMYFUNCTION("""COMPUTED_VALUE"""),"20")</f>
        <v>20</v>
      </c>
      <c r="J3317" s="115" t="str">
        <f>IFERROR(__xludf.DUMMYFUNCTION("""COMPUTED_VALUE"""),"2025-09-0620")</f>
        <v>2025-09-0620</v>
      </c>
      <c r="K3317" s="115">
        <f>IFERROR(__xludf.DUMMYFUNCTION("""COMPUTED_VALUE"""),7513.0)</f>
        <v>7513</v>
      </c>
    </row>
    <row r="3318">
      <c r="A3318" s="115"/>
      <c r="B3318" s="115"/>
      <c r="C3318" s="115" t="str">
        <f>IFERROR(__xludf.DUMMYFUNCTION("""COMPUTED_VALUE"""),"MYNTRA")</f>
        <v>MYNTRA</v>
      </c>
      <c r="D3318" s="115">
        <f>IFERROR(__xludf.DUMMYFUNCTION("""COMPUTED_VALUE"""),1360.0)</f>
        <v>1360</v>
      </c>
      <c r="E3318" s="115">
        <f>IFERROR(__xludf.DUMMYFUNCTION("""COMPUTED_VALUE"""),386.0)</f>
        <v>386</v>
      </c>
      <c r="F3318" s="115">
        <f>IFERROR(__xludf.DUMMYFUNCTION("""COMPUTED_VALUE"""),1093.0)</f>
        <v>1093</v>
      </c>
      <c r="G3318" s="115">
        <f>IFERROR(__xludf.DUMMYFUNCTION("""COMPUTED_VALUE"""),292.0)</f>
        <v>292</v>
      </c>
      <c r="H3318" s="116">
        <f>IFERROR(__xludf.DUMMYFUNCTION("""COMPUTED_VALUE"""),45906.0)</f>
        <v>45906</v>
      </c>
      <c r="I3318" s="115" t="str">
        <f>IFERROR(__xludf.DUMMYFUNCTION("""COMPUTED_VALUE"""),"20")</f>
        <v>20</v>
      </c>
      <c r="J3318" s="115" t="str">
        <f>IFERROR(__xludf.DUMMYFUNCTION("""COMPUTED_VALUE"""),"2025-09-0620")</f>
        <v>2025-09-0620</v>
      </c>
      <c r="K3318" s="115">
        <f>IFERROR(__xludf.DUMMYFUNCTION("""COMPUTED_VALUE"""),1746.0)</f>
        <v>1746</v>
      </c>
    </row>
    <row r="3319">
      <c r="A3319" s="115" t="str">
        <f>IFERROR(__xludf.DUMMYFUNCTION("""COMPUTED_VALUE"""),"EAST")</f>
        <v>EAST</v>
      </c>
      <c r="B3319" s="115" t="str">
        <f>IFERROR(__xludf.DUMMYFUNCTION("""COMPUTED_VALUE"""),"Ashish Ranjan")</f>
        <v>Ashish Ranjan</v>
      </c>
      <c r="C3319" s="115" t="str">
        <f>IFERROR(__xludf.DUMMYFUNCTION("""COMPUTED_VALUE"""),"EXTERNAL")</f>
        <v>EXTERNAL</v>
      </c>
      <c r="D3319" s="115">
        <f>IFERROR(__xludf.DUMMYFUNCTION("""COMPUTED_VALUE"""),44534.0)</f>
        <v>44534</v>
      </c>
      <c r="E3319" s="115">
        <f>IFERROR(__xludf.DUMMYFUNCTION("""COMPUTED_VALUE"""),2945.0)</f>
        <v>2945</v>
      </c>
      <c r="F3319" s="115">
        <f>IFERROR(__xludf.DUMMYFUNCTION("""COMPUTED_VALUE"""),25793.0)</f>
        <v>25793</v>
      </c>
      <c r="G3319" s="115">
        <f>IFERROR(__xludf.DUMMYFUNCTION("""COMPUTED_VALUE"""),1712.0)</f>
        <v>1712</v>
      </c>
      <c r="H3319" s="116">
        <f>IFERROR(__xludf.DUMMYFUNCTION("""COMPUTED_VALUE"""),45906.0)</f>
        <v>45906</v>
      </c>
      <c r="I3319" s="115" t="str">
        <f>IFERROR(__xludf.DUMMYFUNCTION("""COMPUTED_VALUE"""),"21")</f>
        <v>21</v>
      </c>
      <c r="J3319" s="115" t="str">
        <f>IFERROR(__xludf.DUMMYFUNCTION("""COMPUTED_VALUE"""),"Ashish Ranjan2025-09-0621")</f>
        <v>Ashish Ranjan2025-09-0621</v>
      </c>
      <c r="K3319" s="115">
        <f>IFERROR(__xludf.DUMMYFUNCTION("""COMPUTED_VALUE"""),47479.0)</f>
        <v>47479</v>
      </c>
    </row>
    <row r="3320">
      <c r="A3320" s="115" t="str">
        <f>IFERROR(__xludf.DUMMYFUNCTION("""COMPUTED_VALUE"""),"EAST")</f>
        <v>EAST</v>
      </c>
      <c r="B3320" s="115" t="str">
        <f>IFERROR(__xludf.DUMMYFUNCTION("""COMPUTED_VALUE"""),"Ashish Ranjan")</f>
        <v>Ashish Ranjan</v>
      </c>
      <c r="C3320" s="115" t="str">
        <f>IFERROR(__xludf.DUMMYFUNCTION("""COMPUTED_VALUE"""),"FLIPKART")</f>
        <v>FLIPKART</v>
      </c>
      <c r="D3320" s="115">
        <f>IFERROR(__xludf.DUMMYFUNCTION("""COMPUTED_VALUE"""),682022.0)</f>
        <v>682022</v>
      </c>
      <c r="E3320" s="115">
        <f>IFERROR(__xludf.DUMMYFUNCTION("""COMPUTED_VALUE"""),61205.0)</f>
        <v>61205</v>
      </c>
      <c r="F3320" s="115">
        <f>IFERROR(__xludf.DUMMYFUNCTION("""COMPUTED_VALUE"""),603130.0)</f>
        <v>603130</v>
      </c>
      <c r="G3320" s="115">
        <f>IFERROR(__xludf.DUMMYFUNCTION("""COMPUTED_VALUE"""),48754.0)</f>
        <v>48754</v>
      </c>
      <c r="H3320" s="116">
        <f>IFERROR(__xludf.DUMMYFUNCTION("""COMPUTED_VALUE"""),45906.0)</f>
        <v>45906</v>
      </c>
      <c r="I3320" s="115" t="str">
        <f>IFERROR(__xludf.DUMMYFUNCTION("""COMPUTED_VALUE"""),"21")</f>
        <v>21</v>
      </c>
      <c r="J3320" s="115" t="str">
        <f>IFERROR(__xludf.DUMMYFUNCTION("""COMPUTED_VALUE"""),"Ashish Ranjan2025-09-0621")</f>
        <v>Ashish Ranjan2025-09-0621</v>
      </c>
      <c r="K3320" s="115">
        <f>IFERROR(__xludf.DUMMYFUNCTION("""COMPUTED_VALUE"""),743227.0)</f>
        <v>743227</v>
      </c>
    </row>
    <row r="3321">
      <c r="A3321" s="115" t="str">
        <f>IFERROR(__xludf.DUMMYFUNCTION("""COMPUTED_VALUE"""),"EAST")</f>
        <v>EAST</v>
      </c>
      <c r="B3321" s="115" t="str">
        <f>IFERROR(__xludf.DUMMYFUNCTION("""COMPUTED_VALUE"""),"Ashish Ranjan")</f>
        <v>Ashish Ranjan</v>
      </c>
      <c r="C3321" s="115" t="str">
        <f>IFERROR(__xludf.DUMMYFUNCTION("""COMPUTED_VALUE"""),"MYNTRA")</f>
        <v>MYNTRA</v>
      </c>
      <c r="D3321" s="115">
        <f>IFERROR(__xludf.DUMMYFUNCTION("""COMPUTED_VALUE"""),71406.0)</f>
        <v>71406</v>
      </c>
      <c r="E3321" s="115">
        <f>IFERROR(__xludf.DUMMYFUNCTION("""COMPUTED_VALUE"""),14221.0)</f>
        <v>14221</v>
      </c>
      <c r="F3321" s="115">
        <f>IFERROR(__xludf.DUMMYFUNCTION("""COMPUTED_VALUE"""),64059.0)</f>
        <v>64059</v>
      </c>
      <c r="G3321" s="115">
        <f>IFERROR(__xludf.DUMMYFUNCTION("""COMPUTED_VALUE"""),11281.0)</f>
        <v>11281</v>
      </c>
      <c r="H3321" s="116">
        <f>IFERROR(__xludf.DUMMYFUNCTION("""COMPUTED_VALUE"""),45906.0)</f>
        <v>45906</v>
      </c>
      <c r="I3321" s="115" t="str">
        <f>IFERROR(__xludf.DUMMYFUNCTION("""COMPUTED_VALUE"""),"21")</f>
        <v>21</v>
      </c>
      <c r="J3321" s="115" t="str">
        <f>IFERROR(__xludf.DUMMYFUNCTION("""COMPUTED_VALUE"""),"Ashish Ranjan2025-09-0621")</f>
        <v>Ashish Ranjan2025-09-0621</v>
      </c>
      <c r="K3321" s="115">
        <f>IFERROR(__xludf.DUMMYFUNCTION("""COMPUTED_VALUE"""),85627.0)</f>
        <v>85627</v>
      </c>
    </row>
    <row r="3322">
      <c r="A3322" s="115" t="str">
        <f>IFERROR(__xludf.DUMMYFUNCTION("""COMPUTED_VALUE"""),"EAST")</f>
        <v>EAST</v>
      </c>
      <c r="B3322" s="115" t="str">
        <f>IFERROR(__xludf.DUMMYFUNCTION("""COMPUTED_VALUE"""),"Girish Chand")</f>
        <v>Girish Chand</v>
      </c>
      <c r="C3322" s="115" t="str">
        <f>IFERROR(__xludf.DUMMYFUNCTION("""COMPUTED_VALUE"""),"EXTERNAL")</f>
        <v>EXTERNAL</v>
      </c>
      <c r="D3322" s="115">
        <f>IFERROR(__xludf.DUMMYFUNCTION("""COMPUTED_VALUE"""),25276.0)</f>
        <v>25276</v>
      </c>
      <c r="E3322" s="115">
        <f>IFERROR(__xludf.DUMMYFUNCTION("""COMPUTED_VALUE"""),2226.0)</f>
        <v>2226</v>
      </c>
      <c r="F3322" s="115">
        <f>IFERROR(__xludf.DUMMYFUNCTION("""COMPUTED_VALUE"""),11425.0)</f>
        <v>11425</v>
      </c>
      <c r="G3322" s="115">
        <f>IFERROR(__xludf.DUMMYFUNCTION("""COMPUTED_VALUE"""),727.0)</f>
        <v>727</v>
      </c>
      <c r="H3322" s="116">
        <f>IFERROR(__xludf.DUMMYFUNCTION("""COMPUTED_VALUE"""),45906.0)</f>
        <v>45906</v>
      </c>
      <c r="I3322" s="115" t="str">
        <f>IFERROR(__xludf.DUMMYFUNCTION("""COMPUTED_VALUE"""),"21")</f>
        <v>21</v>
      </c>
      <c r="J3322" s="115" t="str">
        <f>IFERROR(__xludf.DUMMYFUNCTION("""COMPUTED_VALUE"""),"Girish Chand2025-09-0621")</f>
        <v>Girish Chand2025-09-0621</v>
      </c>
      <c r="K3322" s="115">
        <f>IFERROR(__xludf.DUMMYFUNCTION("""COMPUTED_VALUE"""),27502.0)</f>
        <v>27502</v>
      </c>
    </row>
    <row r="3323">
      <c r="A3323" s="115" t="str">
        <f>IFERROR(__xludf.DUMMYFUNCTION("""COMPUTED_VALUE"""),"EAST")</f>
        <v>EAST</v>
      </c>
      <c r="B3323" s="115" t="str">
        <f>IFERROR(__xludf.DUMMYFUNCTION("""COMPUTED_VALUE"""),"Girish Chand")</f>
        <v>Girish Chand</v>
      </c>
      <c r="C3323" s="115" t="str">
        <f>IFERROR(__xludf.DUMMYFUNCTION("""COMPUTED_VALUE"""),"FLIPKART")</f>
        <v>FLIPKART</v>
      </c>
      <c r="D3323" s="115">
        <f>IFERROR(__xludf.DUMMYFUNCTION("""COMPUTED_VALUE"""),447336.0)</f>
        <v>447336</v>
      </c>
      <c r="E3323" s="115">
        <f>IFERROR(__xludf.DUMMYFUNCTION("""COMPUTED_VALUE"""),41058.0)</f>
        <v>41058</v>
      </c>
      <c r="F3323" s="115">
        <f>IFERROR(__xludf.DUMMYFUNCTION("""COMPUTED_VALUE"""),335892.0)</f>
        <v>335892</v>
      </c>
      <c r="G3323" s="115">
        <f>IFERROR(__xludf.DUMMYFUNCTION("""COMPUTED_VALUE"""),29658.0)</f>
        <v>29658</v>
      </c>
      <c r="H3323" s="116">
        <f>IFERROR(__xludf.DUMMYFUNCTION("""COMPUTED_VALUE"""),45906.0)</f>
        <v>45906</v>
      </c>
      <c r="I3323" s="115" t="str">
        <f>IFERROR(__xludf.DUMMYFUNCTION("""COMPUTED_VALUE"""),"21")</f>
        <v>21</v>
      </c>
      <c r="J3323" s="115" t="str">
        <f>IFERROR(__xludf.DUMMYFUNCTION("""COMPUTED_VALUE"""),"Girish Chand2025-09-0621")</f>
        <v>Girish Chand2025-09-0621</v>
      </c>
      <c r="K3323" s="115">
        <f>IFERROR(__xludf.DUMMYFUNCTION("""COMPUTED_VALUE"""),488394.0)</f>
        <v>488394</v>
      </c>
    </row>
    <row r="3324">
      <c r="A3324" s="115" t="str">
        <f>IFERROR(__xludf.DUMMYFUNCTION("""COMPUTED_VALUE"""),"EAST")</f>
        <v>EAST</v>
      </c>
      <c r="B3324" s="115" t="str">
        <f>IFERROR(__xludf.DUMMYFUNCTION("""COMPUTED_VALUE"""),"Girish Chand")</f>
        <v>Girish Chand</v>
      </c>
      <c r="C3324" s="115" t="str">
        <f>IFERROR(__xludf.DUMMYFUNCTION("""COMPUTED_VALUE"""),"MYNTRA")</f>
        <v>MYNTRA</v>
      </c>
      <c r="D3324" s="115">
        <f>IFERROR(__xludf.DUMMYFUNCTION("""COMPUTED_VALUE"""),38695.0)</f>
        <v>38695</v>
      </c>
      <c r="E3324" s="115">
        <f>IFERROR(__xludf.DUMMYFUNCTION("""COMPUTED_VALUE"""),7387.0)</f>
        <v>7387</v>
      </c>
      <c r="F3324" s="115">
        <f>IFERROR(__xludf.DUMMYFUNCTION("""COMPUTED_VALUE"""),30763.0)</f>
        <v>30763</v>
      </c>
      <c r="G3324" s="115">
        <f>IFERROR(__xludf.DUMMYFUNCTION("""COMPUTED_VALUE"""),5495.0)</f>
        <v>5495</v>
      </c>
      <c r="H3324" s="116">
        <f>IFERROR(__xludf.DUMMYFUNCTION("""COMPUTED_VALUE"""),45906.0)</f>
        <v>45906</v>
      </c>
      <c r="I3324" s="115" t="str">
        <f>IFERROR(__xludf.DUMMYFUNCTION("""COMPUTED_VALUE"""),"21")</f>
        <v>21</v>
      </c>
      <c r="J3324" s="115" t="str">
        <f>IFERROR(__xludf.DUMMYFUNCTION("""COMPUTED_VALUE"""),"Girish Chand2025-09-0621")</f>
        <v>Girish Chand2025-09-0621</v>
      </c>
      <c r="K3324" s="115">
        <f>IFERROR(__xludf.DUMMYFUNCTION("""COMPUTED_VALUE"""),46082.0)</f>
        <v>46082</v>
      </c>
    </row>
    <row r="3325">
      <c r="A3325" s="115" t="str">
        <f>IFERROR(__xludf.DUMMYFUNCTION("""COMPUTED_VALUE"""),"EAST")</f>
        <v>EAST</v>
      </c>
      <c r="B3325" s="115" t="str">
        <f>IFERROR(__xludf.DUMMYFUNCTION("""COMPUTED_VALUE"""),"Parag Kashyap")</f>
        <v>Parag Kashyap</v>
      </c>
      <c r="C3325" s="115" t="str">
        <f>IFERROR(__xludf.DUMMYFUNCTION("""COMPUTED_VALUE"""),"EXTERNAL")</f>
        <v>EXTERNAL</v>
      </c>
      <c r="D3325" s="115">
        <f>IFERROR(__xludf.DUMMYFUNCTION("""COMPUTED_VALUE"""),18038.0)</f>
        <v>18038</v>
      </c>
      <c r="E3325" s="115">
        <f>IFERROR(__xludf.DUMMYFUNCTION("""COMPUTED_VALUE"""),1057.0)</f>
        <v>1057</v>
      </c>
      <c r="F3325" s="115">
        <f>IFERROR(__xludf.DUMMYFUNCTION("""COMPUTED_VALUE"""),8089.0)</f>
        <v>8089</v>
      </c>
      <c r="G3325" s="115">
        <f>IFERROR(__xludf.DUMMYFUNCTION("""COMPUTED_VALUE"""),450.0)</f>
        <v>450</v>
      </c>
      <c r="H3325" s="116">
        <f>IFERROR(__xludf.DUMMYFUNCTION("""COMPUTED_VALUE"""),45906.0)</f>
        <v>45906</v>
      </c>
      <c r="I3325" s="115" t="str">
        <f>IFERROR(__xludf.DUMMYFUNCTION("""COMPUTED_VALUE"""),"21")</f>
        <v>21</v>
      </c>
      <c r="J3325" s="115" t="str">
        <f>IFERROR(__xludf.DUMMYFUNCTION("""COMPUTED_VALUE"""),"Parag Kashyap2025-09-0621")</f>
        <v>Parag Kashyap2025-09-0621</v>
      </c>
      <c r="K3325" s="115">
        <f>IFERROR(__xludf.DUMMYFUNCTION("""COMPUTED_VALUE"""),19095.0)</f>
        <v>19095</v>
      </c>
    </row>
    <row r="3326">
      <c r="A3326" s="115" t="str">
        <f>IFERROR(__xludf.DUMMYFUNCTION("""COMPUTED_VALUE"""),"EAST")</f>
        <v>EAST</v>
      </c>
      <c r="B3326" s="115" t="str">
        <f>IFERROR(__xludf.DUMMYFUNCTION("""COMPUTED_VALUE"""),"Parag Kashyap")</f>
        <v>Parag Kashyap</v>
      </c>
      <c r="C3326" s="115" t="str">
        <f>IFERROR(__xludf.DUMMYFUNCTION("""COMPUTED_VALUE"""),"FLIPKART")</f>
        <v>FLIPKART</v>
      </c>
      <c r="D3326" s="115">
        <f>IFERROR(__xludf.DUMMYFUNCTION("""COMPUTED_VALUE"""),284292.0)</f>
        <v>284292</v>
      </c>
      <c r="E3326" s="115">
        <f>IFERROR(__xludf.DUMMYFUNCTION("""COMPUTED_VALUE"""),20185.0)</f>
        <v>20185</v>
      </c>
      <c r="F3326" s="115">
        <f>IFERROR(__xludf.DUMMYFUNCTION("""COMPUTED_VALUE"""),223279.0)</f>
        <v>223279</v>
      </c>
      <c r="G3326" s="115">
        <f>IFERROR(__xludf.DUMMYFUNCTION("""COMPUTED_VALUE"""),14425.0)</f>
        <v>14425</v>
      </c>
      <c r="H3326" s="116">
        <f>IFERROR(__xludf.DUMMYFUNCTION("""COMPUTED_VALUE"""),45906.0)</f>
        <v>45906</v>
      </c>
      <c r="I3326" s="115" t="str">
        <f>IFERROR(__xludf.DUMMYFUNCTION("""COMPUTED_VALUE"""),"21")</f>
        <v>21</v>
      </c>
      <c r="J3326" s="115" t="str">
        <f>IFERROR(__xludf.DUMMYFUNCTION("""COMPUTED_VALUE"""),"Parag Kashyap2025-09-0621")</f>
        <v>Parag Kashyap2025-09-0621</v>
      </c>
      <c r="K3326" s="115">
        <f>IFERROR(__xludf.DUMMYFUNCTION("""COMPUTED_VALUE"""),304477.0)</f>
        <v>304477</v>
      </c>
    </row>
    <row r="3327">
      <c r="A3327" s="115" t="str">
        <f>IFERROR(__xludf.DUMMYFUNCTION("""COMPUTED_VALUE"""),"EAST")</f>
        <v>EAST</v>
      </c>
      <c r="B3327" s="115" t="str">
        <f>IFERROR(__xludf.DUMMYFUNCTION("""COMPUTED_VALUE"""),"Parag Kashyap")</f>
        <v>Parag Kashyap</v>
      </c>
      <c r="C3327" s="115" t="str">
        <f>IFERROR(__xludf.DUMMYFUNCTION("""COMPUTED_VALUE"""),"MYNTRA")</f>
        <v>MYNTRA</v>
      </c>
      <c r="D3327" s="115">
        <f>IFERROR(__xludf.DUMMYFUNCTION("""COMPUTED_VALUE"""),35587.0)</f>
        <v>35587</v>
      </c>
      <c r="E3327" s="115">
        <f>IFERROR(__xludf.DUMMYFUNCTION("""COMPUTED_VALUE"""),5240.0)</f>
        <v>5240</v>
      </c>
      <c r="F3327" s="115">
        <f>IFERROR(__xludf.DUMMYFUNCTION("""COMPUTED_VALUE"""),28661.0)</f>
        <v>28661</v>
      </c>
      <c r="G3327" s="115">
        <f>IFERROR(__xludf.DUMMYFUNCTION("""COMPUTED_VALUE"""),3734.0)</f>
        <v>3734</v>
      </c>
      <c r="H3327" s="116">
        <f>IFERROR(__xludf.DUMMYFUNCTION("""COMPUTED_VALUE"""),45906.0)</f>
        <v>45906</v>
      </c>
      <c r="I3327" s="115" t="str">
        <f>IFERROR(__xludf.DUMMYFUNCTION("""COMPUTED_VALUE"""),"21")</f>
        <v>21</v>
      </c>
      <c r="J3327" s="115" t="str">
        <f>IFERROR(__xludf.DUMMYFUNCTION("""COMPUTED_VALUE"""),"Parag Kashyap2025-09-0621")</f>
        <v>Parag Kashyap2025-09-0621</v>
      </c>
      <c r="K3327" s="115">
        <f>IFERROR(__xludf.DUMMYFUNCTION("""COMPUTED_VALUE"""),40827.0)</f>
        <v>40827</v>
      </c>
    </row>
    <row r="3328">
      <c r="A3328" s="115" t="str">
        <f>IFERROR(__xludf.DUMMYFUNCTION("""COMPUTED_VALUE"""),"NORTH")</f>
        <v>NORTH</v>
      </c>
      <c r="B3328" s="115" t="str">
        <f>IFERROR(__xludf.DUMMYFUNCTION("""COMPUTED_VALUE"""),"Amit Kumar Pathak")</f>
        <v>Amit Kumar Pathak</v>
      </c>
      <c r="C3328" s="115" t="str">
        <f>IFERROR(__xludf.DUMMYFUNCTION("""COMPUTED_VALUE"""),"EXTERNAL")</f>
        <v>EXTERNAL</v>
      </c>
      <c r="D3328" s="115">
        <f>IFERROR(__xludf.DUMMYFUNCTION("""COMPUTED_VALUE"""),29272.0)</f>
        <v>29272</v>
      </c>
      <c r="E3328" s="115">
        <f>IFERROR(__xludf.DUMMYFUNCTION("""COMPUTED_VALUE"""),3446.0)</f>
        <v>3446</v>
      </c>
      <c r="F3328" s="115">
        <f>IFERROR(__xludf.DUMMYFUNCTION("""COMPUTED_VALUE"""),11442.0)</f>
        <v>11442</v>
      </c>
      <c r="G3328" s="115">
        <f>IFERROR(__xludf.DUMMYFUNCTION("""COMPUTED_VALUE"""),1651.0)</f>
        <v>1651</v>
      </c>
      <c r="H3328" s="116">
        <f>IFERROR(__xludf.DUMMYFUNCTION("""COMPUTED_VALUE"""),45906.0)</f>
        <v>45906</v>
      </c>
      <c r="I3328" s="115" t="str">
        <f>IFERROR(__xludf.DUMMYFUNCTION("""COMPUTED_VALUE"""),"21")</f>
        <v>21</v>
      </c>
      <c r="J3328" s="115" t="str">
        <f>IFERROR(__xludf.DUMMYFUNCTION("""COMPUTED_VALUE"""),"Amit Kumar Pathak2025-09-0621")</f>
        <v>Amit Kumar Pathak2025-09-0621</v>
      </c>
      <c r="K3328" s="115">
        <f>IFERROR(__xludf.DUMMYFUNCTION("""COMPUTED_VALUE"""),32718.0)</f>
        <v>32718</v>
      </c>
    </row>
    <row r="3329">
      <c r="A3329" s="115" t="str">
        <f>IFERROR(__xludf.DUMMYFUNCTION("""COMPUTED_VALUE"""),"NORTH")</f>
        <v>NORTH</v>
      </c>
      <c r="B3329" s="115" t="str">
        <f>IFERROR(__xludf.DUMMYFUNCTION("""COMPUTED_VALUE"""),"Amit Kumar Pathak")</f>
        <v>Amit Kumar Pathak</v>
      </c>
      <c r="C3329" s="115" t="str">
        <f>IFERROR(__xludf.DUMMYFUNCTION("""COMPUTED_VALUE"""),"FLIPKART")</f>
        <v>FLIPKART</v>
      </c>
      <c r="D3329" s="115">
        <f>IFERROR(__xludf.DUMMYFUNCTION("""COMPUTED_VALUE"""),179990.0)</f>
        <v>179990</v>
      </c>
      <c r="E3329" s="115">
        <f>IFERROR(__xludf.DUMMYFUNCTION("""COMPUTED_VALUE"""),24427.0)</f>
        <v>24427</v>
      </c>
      <c r="F3329" s="115">
        <f>IFERROR(__xludf.DUMMYFUNCTION("""COMPUTED_VALUE"""),131258.0)</f>
        <v>131258</v>
      </c>
      <c r="G3329" s="115">
        <f>IFERROR(__xludf.DUMMYFUNCTION("""COMPUTED_VALUE"""),16146.0)</f>
        <v>16146</v>
      </c>
      <c r="H3329" s="116">
        <f>IFERROR(__xludf.DUMMYFUNCTION("""COMPUTED_VALUE"""),45906.0)</f>
        <v>45906</v>
      </c>
      <c r="I3329" s="115" t="str">
        <f>IFERROR(__xludf.DUMMYFUNCTION("""COMPUTED_VALUE"""),"21")</f>
        <v>21</v>
      </c>
      <c r="J3329" s="115" t="str">
        <f>IFERROR(__xludf.DUMMYFUNCTION("""COMPUTED_VALUE"""),"Amit Kumar Pathak2025-09-0621")</f>
        <v>Amit Kumar Pathak2025-09-0621</v>
      </c>
      <c r="K3329" s="115">
        <f>IFERROR(__xludf.DUMMYFUNCTION("""COMPUTED_VALUE"""),204417.0)</f>
        <v>204417</v>
      </c>
    </row>
    <row r="3330">
      <c r="A3330" s="115" t="str">
        <f>IFERROR(__xludf.DUMMYFUNCTION("""COMPUTED_VALUE"""),"NORTH")</f>
        <v>NORTH</v>
      </c>
      <c r="B3330" s="115" t="str">
        <f>IFERROR(__xludf.DUMMYFUNCTION("""COMPUTED_VALUE"""),"Amit Kumar Pathak")</f>
        <v>Amit Kumar Pathak</v>
      </c>
      <c r="C3330" s="115" t="str">
        <f>IFERROR(__xludf.DUMMYFUNCTION("""COMPUTED_VALUE"""),"MYNTRA")</f>
        <v>MYNTRA</v>
      </c>
      <c r="D3330" s="115">
        <f>IFERROR(__xludf.DUMMYFUNCTION("""COMPUTED_VALUE"""),18002.0)</f>
        <v>18002</v>
      </c>
      <c r="E3330" s="115">
        <f>IFERROR(__xludf.DUMMYFUNCTION("""COMPUTED_VALUE"""),6201.0)</f>
        <v>6201</v>
      </c>
      <c r="F3330" s="115">
        <f>IFERROR(__xludf.DUMMYFUNCTION("""COMPUTED_VALUE"""),15225.0)</f>
        <v>15225</v>
      </c>
      <c r="G3330" s="115">
        <f>IFERROR(__xludf.DUMMYFUNCTION("""COMPUTED_VALUE"""),4366.0)</f>
        <v>4366</v>
      </c>
      <c r="H3330" s="116">
        <f>IFERROR(__xludf.DUMMYFUNCTION("""COMPUTED_VALUE"""),45906.0)</f>
        <v>45906</v>
      </c>
      <c r="I3330" s="115" t="str">
        <f>IFERROR(__xludf.DUMMYFUNCTION("""COMPUTED_VALUE"""),"21")</f>
        <v>21</v>
      </c>
      <c r="J3330" s="115" t="str">
        <f>IFERROR(__xludf.DUMMYFUNCTION("""COMPUTED_VALUE"""),"Amit Kumar Pathak2025-09-0621")</f>
        <v>Amit Kumar Pathak2025-09-0621</v>
      </c>
      <c r="K3330" s="115">
        <f>IFERROR(__xludf.DUMMYFUNCTION("""COMPUTED_VALUE"""),24203.0)</f>
        <v>24203</v>
      </c>
    </row>
    <row r="3331">
      <c r="A3331" s="115" t="str">
        <f>IFERROR(__xludf.DUMMYFUNCTION("""COMPUTED_VALUE"""),"NORTH")</f>
        <v>NORTH</v>
      </c>
      <c r="B3331" s="115" t="str">
        <f>IFERROR(__xludf.DUMMYFUNCTION("""COMPUTED_VALUE"""),"Loveleen Singh")</f>
        <v>Loveleen Singh</v>
      </c>
      <c r="C3331" s="115" t="str">
        <f>IFERROR(__xludf.DUMMYFUNCTION("""COMPUTED_VALUE"""),"EXTERNAL")</f>
        <v>EXTERNAL</v>
      </c>
      <c r="D3331" s="115">
        <f>IFERROR(__xludf.DUMMYFUNCTION("""COMPUTED_VALUE"""),32192.0)</f>
        <v>32192</v>
      </c>
      <c r="E3331" s="115">
        <f>IFERROR(__xludf.DUMMYFUNCTION("""COMPUTED_VALUE"""),2047.0)</f>
        <v>2047</v>
      </c>
      <c r="F3331" s="115">
        <f>IFERROR(__xludf.DUMMYFUNCTION("""COMPUTED_VALUE"""),11951.0)</f>
        <v>11951</v>
      </c>
      <c r="G3331" s="115">
        <f>IFERROR(__xludf.DUMMYFUNCTION("""COMPUTED_VALUE"""),774.0)</f>
        <v>774</v>
      </c>
      <c r="H3331" s="116">
        <f>IFERROR(__xludf.DUMMYFUNCTION("""COMPUTED_VALUE"""),45906.0)</f>
        <v>45906</v>
      </c>
      <c r="I3331" s="115" t="str">
        <f>IFERROR(__xludf.DUMMYFUNCTION("""COMPUTED_VALUE"""),"21")</f>
        <v>21</v>
      </c>
      <c r="J3331" s="115" t="str">
        <f>IFERROR(__xludf.DUMMYFUNCTION("""COMPUTED_VALUE"""),"Loveleen Singh2025-09-0621")</f>
        <v>Loveleen Singh2025-09-0621</v>
      </c>
      <c r="K3331" s="115">
        <f>IFERROR(__xludf.DUMMYFUNCTION("""COMPUTED_VALUE"""),34239.0)</f>
        <v>34239</v>
      </c>
    </row>
    <row r="3332">
      <c r="A3332" s="115" t="str">
        <f>IFERROR(__xludf.DUMMYFUNCTION("""COMPUTED_VALUE"""),"NORTH")</f>
        <v>NORTH</v>
      </c>
      <c r="B3332" s="115" t="str">
        <f>IFERROR(__xludf.DUMMYFUNCTION("""COMPUTED_VALUE"""),"Loveleen Singh")</f>
        <v>Loveleen Singh</v>
      </c>
      <c r="C3332" s="115" t="str">
        <f>IFERROR(__xludf.DUMMYFUNCTION("""COMPUTED_VALUE"""),"FLIPKART")</f>
        <v>FLIPKART</v>
      </c>
      <c r="D3332" s="115">
        <f>IFERROR(__xludf.DUMMYFUNCTION("""COMPUTED_VALUE"""),158751.0)</f>
        <v>158751</v>
      </c>
      <c r="E3332" s="115">
        <f>IFERROR(__xludf.DUMMYFUNCTION("""COMPUTED_VALUE"""),16003.0)</f>
        <v>16003</v>
      </c>
      <c r="F3332" s="115">
        <f>IFERROR(__xludf.DUMMYFUNCTION("""COMPUTED_VALUE"""),117282.0)</f>
        <v>117282</v>
      </c>
      <c r="G3332" s="115">
        <f>IFERROR(__xludf.DUMMYFUNCTION("""COMPUTED_VALUE"""),9944.0)</f>
        <v>9944</v>
      </c>
      <c r="H3332" s="116">
        <f>IFERROR(__xludf.DUMMYFUNCTION("""COMPUTED_VALUE"""),45906.0)</f>
        <v>45906</v>
      </c>
      <c r="I3332" s="115" t="str">
        <f>IFERROR(__xludf.DUMMYFUNCTION("""COMPUTED_VALUE"""),"21")</f>
        <v>21</v>
      </c>
      <c r="J3332" s="115" t="str">
        <f>IFERROR(__xludf.DUMMYFUNCTION("""COMPUTED_VALUE"""),"Loveleen Singh2025-09-0621")</f>
        <v>Loveleen Singh2025-09-0621</v>
      </c>
      <c r="K3332" s="115">
        <f>IFERROR(__xludf.DUMMYFUNCTION("""COMPUTED_VALUE"""),174754.0)</f>
        <v>174754</v>
      </c>
    </row>
    <row r="3333">
      <c r="A3333" s="115" t="str">
        <f>IFERROR(__xludf.DUMMYFUNCTION("""COMPUTED_VALUE"""),"NORTH")</f>
        <v>NORTH</v>
      </c>
      <c r="B3333" s="115" t="str">
        <f>IFERROR(__xludf.DUMMYFUNCTION("""COMPUTED_VALUE"""),"Loveleen Singh")</f>
        <v>Loveleen Singh</v>
      </c>
      <c r="C3333" s="115" t="str">
        <f>IFERROR(__xludf.DUMMYFUNCTION("""COMPUTED_VALUE"""),"MYNTRA")</f>
        <v>MYNTRA</v>
      </c>
      <c r="D3333" s="115">
        <f>IFERROR(__xludf.DUMMYFUNCTION("""COMPUTED_VALUE"""),25898.0)</f>
        <v>25898</v>
      </c>
      <c r="E3333" s="115">
        <f>IFERROR(__xludf.DUMMYFUNCTION("""COMPUTED_VALUE"""),6444.0)</f>
        <v>6444</v>
      </c>
      <c r="F3333" s="115">
        <f>IFERROR(__xludf.DUMMYFUNCTION("""COMPUTED_VALUE"""),21223.0)</f>
        <v>21223</v>
      </c>
      <c r="G3333" s="115">
        <f>IFERROR(__xludf.DUMMYFUNCTION("""COMPUTED_VALUE"""),4236.0)</f>
        <v>4236</v>
      </c>
      <c r="H3333" s="116">
        <f>IFERROR(__xludf.DUMMYFUNCTION("""COMPUTED_VALUE"""),45906.0)</f>
        <v>45906</v>
      </c>
      <c r="I3333" s="115" t="str">
        <f>IFERROR(__xludf.DUMMYFUNCTION("""COMPUTED_VALUE"""),"21")</f>
        <v>21</v>
      </c>
      <c r="J3333" s="115" t="str">
        <f>IFERROR(__xludf.DUMMYFUNCTION("""COMPUTED_VALUE"""),"Loveleen Singh2025-09-0621")</f>
        <v>Loveleen Singh2025-09-0621</v>
      </c>
      <c r="K3333" s="115">
        <f>IFERROR(__xludf.DUMMYFUNCTION("""COMPUTED_VALUE"""),32342.0)</f>
        <v>32342</v>
      </c>
    </row>
    <row r="3334">
      <c r="A3334" s="115" t="str">
        <f>IFERROR(__xludf.DUMMYFUNCTION("""COMPUTED_VALUE"""),"NORTH")</f>
        <v>NORTH</v>
      </c>
      <c r="B3334" s="115" t="str">
        <f>IFERROR(__xludf.DUMMYFUNCTION("""COMPUTED_VALUE"""),"Manoj Harsh")</f>
        <v>Manoj Harsh</v>
      </c>
      <c r="C3334" s="115" t="str">
        <f>IFERROR(__xludf.DUMMYFUNCTION("""COMPUTED_VALUE"""),"EXTERNAL")</f>
        <v>EXTERNAL</v>
      </c>
      <c r="D3334" s="115">
        <f>IFERROR(__xludf.DUMMYFUNCTION("""COMPUTED_VALUE"""),38787.0)</f>
        <v>38787</v>
      </c>
      <c r="E3334" s="115">
        <f>IFERROR(__xludf.DUMMYFUNCTION("""COMPUTED_VALUE"""),2961.0)</f>
        <v>2961</v>
      </c>
      <c r="F3334" s="115">
        <f>IFERROR(__xludf.DUMMYFUNCTION("""COMPUTED_VALUE"""),17382.0)</f>
        <v>17382</v>
      </c>
      <c r="G3334" s="115">
        <f>IFERROR(__xludf.DUMMYFUNCTION("""COMPUTED_VALUE"""),1084.0)</f>
        <v>1084</v>
      </c>
      <c r="H3334" s="116">
        <f>IFERROR(__xludf.DUMMYFUNCTION("""COMPUTED_VALUE"""),45906.0)</f>
        <v>45906</v>
      </c>
      <c r="I3334" s="115" t="str">
        <f>IFERROR(__xludf.DUMMYFUNCTION("""COMPUTED_VALUE"""),"21")</f>
        <v>21</v>
      </c>
      <c r="J3334" s="115" t="str">
        <f>IFERROR(__xludf.DUMMYFUNCTION("""COMPUTED_VALUE"""),"Manoj Harsh2025-09-0621")</f>
        <v>Manoj Harsh2025-09-0621</v>
      </c>
      <c r="K3334" s="115">
        <f>IFERROR(__xludf.DUMMYFUNCTION("""COMPUTED_VALUE"""),41748.0)</f>
        <v>41748</v>
      </c>
    </row>
    <row r="3335">
      <c r="A3335" s="115" t="str">
        <f>IFERROR(__xludf.DUMMYFUNCTION("""COMPUTED_VALUE"""),"NORTH")</f>
        <v>NORTH</v>
      </c>
      <c r="B3335" s="115" t="str">
        <f>IFERROR(__xludf.DUMMYFUNCTION("""COMPUTED_VALUE"""),"Manoj Harsh")</f>
        <v>Manoj Harsh</v>
      </c>
      <c r="C3335" s="115" t="str">
        <f>IFERROR(__xludf.DUMMYFUNCTION("""COMPUTED_VALUE"""),"FLIPKART")</f>
        <v>FLIPKART</v>
      </c>
      <c r="D3335" s="115">
        <f>IFERROR(__xludf.DUMMYFUNCTION("""COMPUTED_VALUE"""),427406.0)</f>
        <v>427406</v>
      </c>
      <c r="E3335" s="115">
        <f>IFERROR(__xludf.DUMMYFUNCTION("""COMPUTED_VALUE"""),42967.0)</f>
        <v>42967</v>
      </c>
      <c r="F3335" s="115">
        <f>IFERROR(__xludf.DUMMYFUNCTION("""COMPUTED_VALUE"""),314718.0)</f>
        <v>314718</v>
      </c>
      <c r="G3335" s="115">
        <f>IFERROR(__xludf.DUMMYFUNCTION("""COMPUTED_VALUE"""),28309.0)</f>
        <v>28309</v>
      </c>
      <c r="H3335" s="116">
        <f>IFERROR(__xludf.DUMMYFUNCTION("""COMPUTED_VALUE"""),45906.0)</f>
        <v>45906</v>
      </c>
      <c r="I3335" s="115" t="str">
        <f>IFERROR(__xludf.DUMMYFUNCTION("""COMPUTED_VALUE"""),"21")</f>
        <v>21</v>
      </c>
      <c r="J3335" s="115" t="str">
        <f>IFERROR(__xludf.DUMMYFUNCTION("""COMPUTED_VALUE"""),"Manoj Harsh2025-09-0621")</f>
        <v>Manoj Harsh2025-09-0621</v>
      </c>
      <c r="K3335" s="115">
        <f>IFERROR(__xludf.DUMMYFUNCTION("""COMPUTED_VALUE"""),470373.0)</f>
        <v>470373</v>
      </c>
    </row>
    <row r="3336">
      <c r="A3336" s="115" t="str">
        <f>IFERROR(__xludf.DUMMYFUNCTION("""COMPUTED_VALUE"""),"NORTH")</f>
        <v>NORTH</v>
      </c>
      <c r="B3336" s="115" t="str">
        <f>IFERROR(__xludf.DUMMYFUNCTION("""COMPUTED_VALUE"""),"Manoj Harsh")</f>
        <v>Manoj Harsh</v>
      </c>
      <c r="C3336" s="115" t="str">
        <f>IFERROR(__xludf.DUMMYFUNCTION("""COMPUTED_VALUE"""),"MYNTRA")</f>
        <v>MYNTRA</v>
      </c>
      <c r="D3336" s="115">
        <f>IFERROR(__xludf.DUMMYFUNCTION("""COMPUTED_VALUE"""),39712.0)</f>
        <v>39712</v>
      </c>
      <c r="E3336" s="115">
        <f>IFERROR(__xludf.DUMMYFUNCTION("""COMPUTED_VALUE"""),8022.0)</f>
        <v>8022</v>
      </c>
      <c r="F3336" s="115">
        <f>IFERROR(__xludf.DUMMYFUNCTION("""COMPUTED_VALUE"""),31874.0)</f>
        <v>31874</v>
      </c>
      <c r="G3336" s="115">
        <f>IFERROR(__xludf.DUMMYFUNCTION("""COMPUTED_VALUE"""),5696.0)</f>
        <v>5696</v>
      </c>
      <c r="H3336" s="116">
        <f>IFERROR(__xludf.DUMMYFUNCTION("""COMPUTED_VALUE"""),45906.0)</f>
        <v>45906</v>
      </c>
      <c r="I3336" s="115" t="str">
        <f>IFERROR(__xludf.DUMMYFUNCTION("""COMPUTED_VALUE"""),"21")</f>
        <v>21</v>
      </c>
      <c r="J3336" s="115" t="str">
        <f>IFERROR(__xludf.DUMMYFUNCTION("""COMPUTED_VALUE"""),"Manoj Harsh2025-09-0621")</f>
        <v>Manoj Harsh2025-09-0621</v>
      </c>
      <c r="K3336" s="115">
        <f>IFERROR(__xludf.DUMMYFUNCTION("""COMPUTED_VALUE"""),47734.0)</f>
        <v>47734</v>
      </c>
    </row>
    <row r="3337">
      <c r="A3337" s="115" t="str">
        <f>IFERROR(__xludf.DUMMYFUNCTION("""COMPUTED_VALUE"""),"NORTH")</f>
        <v>NORTH</v>
      </c>
      <c r="B3337" s="115" t="str">
        <f>IFERROR(__xludf.DUMMYFUNCTION("""COMPUTED_VALUE"""),"Pradeep Kothari")</f>
        <v>Pradeep Kothari</v>
      </c>
      <c r="C3337" s="115" t="str">
        <f>IFERROR(__xludf.DUMMYFUNCTION("""COMPUTED_VALUE"""),"EXTERNAL")</f>
        <v>EXTERNAL</v>
      </c>
      <c r="D3337" s="115">
        <f>IFERROR(__xludf.DUMMYFUNCTION("""COMPUTED_VALUE"""),18874.0)</f>
        <v>18874</v>
      </c>
      <c r="E3337" s="115">
        <f>IFERROR(__xludf.DUMMYFUNCTION("""COMPUTED_VALUE"""),1896.0)</f>
        <v>1896</v>
      </c>
      <c r="F3337" s="115">
        <f>IFERROR(__xludf.DUMMYFUNCTION("""COMPUTED_VALUE"""),7796.0)</f>
        <v>7796</v>
      </c>
      <c r="G3337" s="115">
        <f>IFERROR(__xludf.DUMMYFUNCTION("""COMPUTED_VALUE"""),839.0)</f>
        <v>839</v>
      </c>
      <c r="H3337" s="116">
        <f>IFERROR(__xludf.DUMMYFUNCTION("""COMPUTED_VALUE"""),45906.0)</f>
        <v>45906</v>
      </c>
      <c r="I3337" s="115" t="str">
        <f>IFERROR(__xludf.DUMMYFUNCTION("""COMPUTED_VALUE"""),"21")</f>
        <v>21</v>
      </c>
      <c r="J3337" s="115" t="str">
        <f>IFERROR(__xludf.DUMMYFUNCTION("""COMPUTED_VALUE"""),"Pradeep Kothari2025-09-0621")</f>
        <v>Pradeep Kothari2025-09-0621</v>
      </c>
      <c r="K3337" s="115">
        <f>IFERROR(__xludf.DUMMYFUNCTION("""COMPUTED_VALUE"""),20770.0)</f>
        <v>20770</v>
      </c>
    </row>
    <row r="3338">
      <c r="A3338" s="115" t="str">
        <f>IFERROR(__xludf.DUMMYFUNCTION("""COMPUTED_VALUE"""),"NORTH")</f>
        <v>NORTH</v>
      </c>
      <c r="B3338" s="115" t="str">
        <f>IFERROR(__xludf.DUMMYFUNCTION("""COMPUTED_VALUE"""),"Pradeep Kothari")</f>
        <v>Pradeep Kothari</v>
      </c>
      <c r="C3338" s="115" t="str">
        <f>IFERROR(__xludf.DUMMYFUNCTION("""COMPUTED_VALUE"""),"FLIPKART")</f>
        <v>FLIPKART</v>
      </c>
      <c r="D3338" s="115">
        <f>IFERROR(__xludf.DUMMYFUNCTION("""COMPUTED_VALUE"""),135343.0)</f>
        <v>135343</v>
      </c>
      <c r="E3338" s="115">
        <f>IFERROR(__xludf.DUMMYFUNCTION("""COMPUTED_VALUE"""),16671.0)</f>
        <v>16671</v>
      </c>
      <c r="F3338" s="115">
        <f>IFERROR(__xludf.DUMMYFUNCTION("""COMPUTED_VALUE"""),100917.0)</f>
        <v>100917</v>
      </c>
      <c r="G3338" s="115">
        <f>IFERROR(__xludf.DUMMYFUNCTION("""COMPUTED_VALUE"""),11104.0)</f>
        <v>11104</v>
      </c>
      <c r="H3338" s="116">
        <f>IFERROR(__xludf.DUMMYFUNCTION("""COMPUTED_VALUE"""),45906.0)</f>
        <v>45906</v>
      </c>
      <c r="I3338" s="115" t="str">
        <f>IFERROR(__xludf.DUMMYFUNCTION("""COMPUTED_VALUE"""),"21")</f>
        <v>21</v>
      </c>
      <c r="J3338" s="115" t="str">
        <f>IFERROR(__xludf.DUMMYFUNCTION("""COMPUTED_VALUE"""),"Pradeep Kothari2025-09-0621")</f>
        <v>Pradeep Kothari2025-09-0621</v>
      </c>
      <c r="K3338" s="115">
        <f>IFERROR(__xludf.DUMMYFUNCTION("""COMPUTED_VALUE"""),152014.0)</f>
        <v>152014</v>
      </c>
    </row>
    <row r="3339">
      <c r="A3339" s="115" t="str">
        <f>IFERROR(__xludf.DUMMYFUNCTION("""COMPUTED_VALUE"""),"NORTH")</f>
        <v>NORTH</v>
      </c>
      <c r="B3339" s="115" t="str">
        <f>IFERROR(__xludf.DUMMYFUNCTION("""COMPUTED_VALUE"""),"Pradeep Kothari")</f>
        <v>Pradeep Kothari</v>
      </c>
      <c r="C3339" s="115" t="str">
        <f>IFERROR(__xludf.DUMMYFUNCTION("""COMPUTED_VALUE"""),"MYNTRA")</f>
        <v>MYNTRA</v>
      </c>
      <c r="D3339" s="115">
        <f>IFERROR(__xludf.DUMMYFUNCTION("""COMPUTED_VALUE"""),23338.0)</f>
        <v>23338</v>
      </c>
      <c r="E3339" s="115">
        <f>IFERROR(__xludf.DUMMYFUNCTION("""COMPUTED_VALUE"""),6064.0)</f>
        <v>6064</v>
      </c>
      <c r="F3339" s="115">
        <f>IFERROR(__xludf.DUMMYFUNCTION("""COMPUTED_VALUE"""),19294.0)</f>
        <v>19294</v>
      </c>
      <c r="G3339" s="115">
        <f>IFERROR(__xludf.DUMMYFUNCTION("""COMPUTED_VALUE"""),4347.0)</f>
        <v>4347</v>
      </c>
      <c r="H3339" s="116">
        <f>IFERROR(__xludf.DUMMYFUNCTION("""COMPUTED_VALUE"""),45906.0)</f>
        <v>45906</v>
      </c>
      <c r="I3339" s="115" t="str">
        <f>IFERROR(__xludf.DUMMYFUNCTION("""COMPUTED_VALUE"""),"21")</f>
        <v>21</v>
      </c>
      <c r="J3339" s="115" t="str">
        <f>IFERROR(__xludf.DUMMYFUNCTION("""COMPUTED_VALUE"""),"Pradeep Kothari2025-09-0621")</f>
        <v>Pradeep Kothari2025-09-0621</v>
      </c>
      <c r="K3339" s="115">
        <f>IFERROR(__xludf.DUMMYFUNCTION("""COMPUTED_VALUE"""),29402.0)</f>
        <v>29402</v>
      </c>
    </row>
    <row r="3340">
      <c r="A3340" s="115" t="str">
        <f>IFERROR(__xludf.DUMMYFUNCTION("""COMPUTED_VALUE"""),"SOUTH")</f>
        <v>SOUTH</v>
      </c>
      <c r="B3340" s="115" t="str">
        <f>IFERROR(__xludf.DUMMYFUNCTION("""COMPUTED_VALUE"""),"Kandula Sampath")</f>
        <v>Kandula Sampath</v>
      </c>
      <c r="C3340" s="115" t="str">
        <f>IFERROR(__xludf.DUMMYFUNCTION("""COMPUTED_VALUE"""),"EXTERNAL")</f>
        <v>EXTERNAL</v>
      </c>
      <c r="D3340" s="115">
        <f>IFERROR(__xludf.DUMMYFUNCTION("""COMPUTED_VALUE"""),34744.0)</f>
        <v>34744</v>
      </c>
      <c r="E3340" s="115">
        <f>IFERROR(__xludf.DUMMYFUNCTION("""COMPUTED_VALUE"""),2982.0)</f>
        <v>2982</v>
      </c>
      <c r="F3340" s="115">
        <f>IFERROR(__xludf.DUMMYFUNCTION("""COMPUTED_VALUE"""),15889.0)</f>
        <v>15889</v>
      </c>
      <c r="G3340" s="115">
        <f>IFERROR(__xludf.DUMMYFUNCTION("""COMPUTED_VALUE"""),1318.0)</f>
        <v>1318</v>
      </c>
      <c r="H3340" s="116">
        <f>IFERROR(__xludf.DUMMYFUNCTION("""COMPUTED_VALUE"""),45906.0)</f>
        <v>45906</v>
      </c>
      <c r="I3340" s="115" t="str">
        <f>IFERROR(__xludf.DUMMYFUNCTION("""COMPUTED_VALUE"""),"21")</f>
        <v>21</v>
      </c>
      <c r="J3340" s="115" t="str">
        <f>IFERROR(__xludf.DUMMYFUNCTION("""COMPUTED_VALUE"""),"Kandula Sampath2025-09-0621")</f>
        <v>Kandula Sampath2025-09-0621</v>
      </c>
      <c r="K3340" s="115">
        <f>IFERROR(__xludf.DUMMYFUNCTION("""COMPUTED_VALUE"""),37726.0)</f>
        <v>37726</v>
      </c>
    </row>
    <row r="3341">
      <c r="A3341" s="115" t="str">
        <f>IFERROR(__xludf.DUMMYFUNCTION("""COMPUTED_VALUE"""),"SOUTH")</f>
        <v>SOUTH</v>
      </c>
      <c r="B3341" s="115" t="str">
        <f>IFERROR(__xludf.DUMMYFUNCTION("""COMPUTED_VALUE"""),"Kandula Sampath")</f>
        <v>Kandula Sampath</v>
      </c>
      <c r="C3341" s="115" t="str">
        <f>IFERROR(__xludf.DUMMYFUNCTION("""COMPUTED_VALUE"""),"FLIPKART")</f>
        <v>FLIPKART</v>
      </c>
      <c r="D3341" s="115">
        <f>IFERROR(__xludf.DUMMYFUNCTION("""COMPUTED_VALUE"""),309636.0)</f>
        <v>309636</v>
      </c>
      <c r="E3341" s="115">
        <f>IFERROR(__xludf.DUMMYFUNCTION("""COMPUTED_VALUE"""),28799.0)</f>
        <v>28799</v>
      </c>
      <c r="F3341" s="115">
        <f>IFERROR(__xludf.DUMMYFUNCTION("""COMPUTED_VALUE"""),233066.0)</f>
        <v>233066</v>
      </c>
      <c r="G3341" s="115">
        <f>IFERROR(__xludf.DUMMYFUNCTION("""COMPUTED_VALUE"""),18144.0)</f>
        <v>18144</v>
      </c>
      <c r="H3341" s="116">
        <f>IFERROR(__xludf.DUMMYFUNCTION("""COMPUTED_VALUE"""),45906.0)</f>
        <v>45906</v>
      </c>
      <c r="I3341" s="115" t="str">
        <f>IFERROR(__xludf.DUMMYFUNCTION("""COMPUTED_VALUE"""),"21")</f>
        <v>21</v>
      </c>
      <c r="J3341" s="115" t="str">
        <f>IFERROR(__xludf.DUMMYFUNCTION("""COMPUTED_VALUE"""),"Kandula Sampath2025-09-0621")</f>
        <v>Kandula Sampath2025-09-0621</v>
      </c>
      <c r="K3341" s="115">
        <f>IFERROR(__xludf.DUMMYFUNCTION("""COMPUTED_VALUE"""),338435.0)</f>
        <v>338435</v>
      </c>
    </row>
    <row r="3342">
      <c r="A3342" s="115" t="str">
        <f>IFERROR(__xludf.DUMMYFUNCTION("""COMPUTED_VALUE"""),"SOUTH")</f>
        <v>SOUTH</v>
      </c>
      <c r="B3342" s="115" t="str">
        <f>IFERROR(__xludf.DUMMYFUNCTION("""COMPUTED_VALUE"""),"Kandula Sampath")</f>
        <v>Kandula Sampath</v>
      </c>
      <c r="C3342" s="115" t="str">
        <f>IFERROR(__xludf.DUMMYFUNCTION("""COMPUTED_VALUE"""),"MYNTRA")</f>
        <v>MYNTRA</v>
      </c>
      <c r="D3342" s="115">
        <f>IFERROR(__xludf.DUMMYFUNCTION("""COMPUTED_VALUE"""),36707.0)</f>
        <v>36707</v>
      </c>
      <c r="E3342" s="115">
        <f>IFERROR(__xludf.DUMMYFUNCTION("""COMPUTED_VALUE"""),7568.0)</f>
        <v>7568</v>
      </c>
      <c r="F3342" s="115">
        <f>IFERROR(__xludf.DUMMYFUNCTION("""COMPUTED_VALUE"""),30241.0)</f>
        <v>30241</v>
      </c>
      <c r="G3342" s="115">
        <f>IFERROR(__xludf.DUMMYFUNCTION("""COMPUTED_VALUE"""),4951.0)</f>
        <v>4951</v>
      </c>
      <c r="H3342" s="116">
        <f>IFERROR(__xludf.DUMMYFUNCTION("""COMPUTED_VALUE"""),45906.0)</f>
        <v>45906</v>
      </c>
      <c r="I3342" s="115" t="str">
        <f>IFERROR(__xludf.DUMMYFUNCTION("""COMPUTED_VALUE"""),"21")</f>
        <v>21</v>
      </c>
      <c r="J3342" s="115" t="str">
        <f>IFERROR(__xludf.DUMMYFUNCTION("""COMPUTED_VALUE"""),"Kandula Sampath2025-09-0621")</f>
        <v>Kandula Sampath2025-09-0621</v>
      </c>
      <c r="K3342" s="115">
        <f>IFERROR(__xludf.DUMMYFUNCTION("""COMPUTED_VALUE"""),44275.0)</f>
        <v>44275</v>
      </c>
    </row>
    <row r="3343">
      <c r="A3343" s="115" t="str">
        <f>IFERROR(__xludf.DUMMYFUNCTION("""COMPUTED_VALUE"""),"SOUTH")</f>
        <v>SOUTH</v>
      </c>
      <c r="B3343" s="115" t="str">
        <f>IFERROR(__xludf.DUMMYFUNCTION("""COMPUTED_VALUE"""),"Martin A")</f>
        <v>Martin A</v>
      </c>
      <c r="C3343" s="115" t="str">
        <f>IFERROR(__xludf.DUMMYFUNCTION("""COMPUTED_VALUE"""),"EXTERNAL")</f>
        <v>EXTERNAL</v>
      </c>
      <c r="D3343" s="115">
        <f>IFERROR(__xludf.DUMMYFUNCTION("""COMPUTED_VALUE"""),35519.0)</f>
        <v>35519</v>
      </c>
      <c r="E3343" s="115">
        <f>IFERROR(__xludf.DUMMYFUNCTION("""COMPUTED_VALUE"""),3317.0)</f>
        <v>3317</v>
      </c>
      <c r="F3343" s="115">
        <f>IFERROR(__xludf.DUMMYFUNCTION("""COMPUTED_VALUE"""),15431.0)</f>
        <v>15431</v>
      </c>
      <c r="G3343" s="115">
        <f>IFERROR(__xludf.DUMMYFUNCTION("""COMPUTED_VALUE"""),1772.0)</f>
        <v>1772</v>
      </c>
      <c r="H3343" s="116">
        <f>IFERROR(__xludf.DUMMYFUNCTION("""COMPUTED_VALUE"""),45906.0)</f>
        <v>45906</v>
      </c>
      <c r="I3343" s="115" t="str">
        <f>IFERROR(__xludf.DUMMYFUNCTION("""COMPUTED_VALUE"""),"21")</f>
        <v>21</v>
      </c>
      <c r="J3343" s="115" t="str">
        <f>IFERROR(__xludf.DUMMYFUNCTION("""COMPUTED_VALUE"""),"Martin A2025-09-0621")</f>
        <v>Martin A2025-09-0621</v>
      </c>
      <c r="K3343" s="115">
        <f>IFERROR(__xludf.DUMMYFUNCTION("""COMPUTED_VALUE"""),38836.0)</f>
        <v>38836</v>
      </c>
    </row>
    <row r="3344">
      <c r="A3344" s="115" t="str">
        <f>IFERROR(__xludf.DUMMYFUNCTION("""COMPUTED_VALUE"""),"SOUTH")</f>
        <v>SOUTH</v>
      </c>
      <c r="B3344" s="115" t="str">
        <f>IFERROR(__xludf.DUMMYFUNCTION("""COMPUTED_VALUE"""),"Martin A")</f>
        <v>Martin A</v>
      </c>
      <c r="C3344" s="115" t="str">
        <f>IFERROR(__xludf.DUMMYFUNCTION("""COMPUTED_VALUE"""),"FLIPKART")</f>
        <v>FLIPKART</v>
      </c>
      <c r="D3344" s="115">
        <f>IFERROR(__xludf.DUMMYFUNCTION("""COMPUTED_VALUE"""),298885.0)</f>
        <v>298885</v>
      </c>
      <c r="E3344" s="115">
        <f>IFERROR(__xludf.DUMMYFUNCTION("""COMPUTED_VALUE"""),26160.0)</f>
        <v>26160</v>
      </c>
      <c r="F3344" s="115">
        <f>IFERROR(__xludf.DUMMYFUNCTION("""COMPUTED_VALUE"""),220153.0)</f>
        <v>220153</v>
      </c>
      <c r="G3344" s="115">
        <f>IFERROR(__xludf.DUMMYFUNCTION("""COMPUTED_VALUE"""),16912.0)</f>
        <v>16912</v>
      </c>
      <c r="H3344" s="116">
        <f>IFERROR(__xludf.DUMMYFUNCTION("""COMPUTED_VALUE"""),45906.0)</f>
        <v>45906</v>
      </c>
      <c r="I3344" s="115" t="str">
        <f>IFERROR(__xludf.DUMMYFUNCTION("""COMPUTED_VALUE"""),"21")</f>
        <v>21</v>
      </c>
      <c r="J3344" s="115" t="str">
        <f>IFERROR(__xludf.DUMMYFUNCTION("""COMPUTED_VALUE"""),"Martin A2025-09-0621")</f>
        <v>Martin A2025-09-0621</v>
      </c>
      <c r="K3344" s="115">
        <f>IFERROR(__xludf.DUMMYFUNCTION("""COMPUTED_VALUE"""),325045.0)</f>
        <v>325045</v>
      </c>
    </row>
    <row r="3345">
      <c r="A3345" s="115" t="str">
        <f>IFERROR(__xludf.DUMMYFUNCTION("""COMPUTED_VALUE"""),"SOUTH")</f>
        <v>SOUTH</v>
      </c>
      <c r="B3345" s="115" t="str">
        <f>IFERROR(__xludf.DUMMYFUNCTION("""COMPUTED_VALUE"""),"Martin A")</f>
        <v>Martin A</v>
      </c>
      <c r="C3345" s="115" t="str">
        <f>IFERROR(__xludf.DUMMYFUNCTION("""COMPUTED_VALUE"""),"MYNTRA")</f>
        <v>MYNTRA</v>
      </c>
      <c r="D3345" s="115">
        <f>IFERROR(__xludf.DUMMYFUNCTION("""COMPUTED_VALUE"""),29649.0)</f>
        <v>29649</v>
      </c>
      <c r="E3345" s="115">
        <f>IFERROR(__xludf.DUMMYFUNCTION("""COMPUTED_VALUE"""),6366.0)</f>
        <v>6366</v>
      </c>
      <c r="F3345" s="115">
        <f>IFERROR(__xludf.DUMMYFUNCTION("""COMPUTED_VALUE"""),24628.0)</f>
        <v>24628</v>
      </c>
      <c r="G3345" s="115">
        <f>IFERROR(__xludf.DUMMYFUNCTION("""COMPUTED_VALUE"""),4284.0)</f>
        <v>4284</v>
      </c>
      <c r="H3345" s="116">
        <f>IFERROR(__xludf.DUMMYFUNCTION("""COMPUTED_VALUE"""),45906.0)</f>
        <v>45906</v>
      </c>
      <c r="I3345" s="115" t="str">
        <f>IFERROR(__xludf.DUMMYFUNCTION("""COMPUTED_VALUE"""),"21")</f>
        <v>21</v>
      </c>
      <c r="J3345" s="115" t="str">
        <f>IFERROR(__xludf.DUMMYFUNCTION("""COMPUTED_VALUE"""),"Martin A2025-09-0621")</f>
        <v>Martin A2025-09-0621</v>
      </c>
      <c r="K3345" s="115">
        <f>IFERROR(__xludf.DUMMYFUNCTION("""COMPUTED_VALUE"""),36015.0)</f>
        <v>36015</v>
      </c>
    </row>
    <row r="3346">
      <c r="A3346" s="115" t="str">
        <f>IFERROR(__xludf.DUMMYFUNCTION("""COMPUTED_VALUE"""),"SOUTH")</f>
        <v>SOUTH</v>
      </c>
      <c r="B3346" s="115" t="str">
        <f>IFERROR(__xludf.DUMMYFUNCTION("""COMPUTED_VALUE"""),"Premkumar M")</f>
        <v>Premkumar M</v>
      </c>
      <c r="C3346" s="115" t="str">
        <f>IFERROR(__xludf.DUMMYFUNCTION("""COMPUTED_VALUE"""),"EXTERNAL")</f>
        <v>EXTERNAL</v>
      </c>
      <c r="D3346" s="115">
        <f>IFERROR(__xludf.DUMMYFUNCTION("""COMPUTED_VALUE"""),30345.0)</f>
        <v>30345</v>
      </c>
      <c r="E3346" s="115">
        <f>IFERROR(__xludf.DUMMYFUNCTION("""COMPUTED_VALUE"""),1791.0)</f>
        <v>1791</v>
      </c>
      <c r="F3346" s="115">
        <f>IFERROR(__xludf.DUMMYFUNCTION("""COMPUTED_VALUE"""),15961.0)</f>
        <v>15961</v>
      </c>
      <c r="G3346" s="115">
        <f>IFERROR(__xludf.DUMMYFUNCTION("""COMPUTED_VALUE"""),758.0)</f>
        <v>758</v>
      </c>
      <c r="H3346" s="116">
        <f>IFERROR(__xludf.DUMMYFUNCTION("""COMPUTED_VALUE"""),45906.0)</f>
        <v>45906</v>
      </c>
      <c r="I3346" s="115" t="str">
        <f>IFERROR(__xludf.DUMMYFUNCTION("""COMPUTED_VALUE"""),"21")</f>
        <v>21</v>
      </c>
      <c r="J3346" s="115" t="str">
        <f>IFERROR(__xludf.DUMMYFUNCTION("""COMPUTED_VALUE"""),"Premkumar M2025-09-0621")</f>
        <v>Premkumar M2025-09-0621</v>
      </c>
      <c r="K3346" s="115">
        <f>IFERROR(__xludf.DUMMYFUNCTION("""COMPUTED_VALUE"""),32136.0)</f>
        <v>32136</v>
      </c>
    </row>
    <row r="3347">
      <c r="A3347" s="115" t="str">
        <f>IFERROR(__xludf.DUMMYFUNCTION("""COMPUTED_VALUE"""),"SOUTH")</f>
        <v>SOUTH</v>
      </c>
      <c r="B3347" s="115" t="str">
        <f>IFERROR(__xludf.DUMMYFUNCTION("""COMPUTED_VALUE"""),"Premkumar M")</f>
        <v>Premkumar M</v>
      </c>
      <c r="C3347" s="115" t="str">
        <f>IFERROR(__xludf.DUMMYFUNCTION("""COMPUTED_VALUE"""),"FLIPKART")</f>
        <v>FLIPKART</v>
      </c>
      <c r="D3347" s="115">
        <f>IFERROR(__xludf.DUMMYFUNCTION("""COMPUTED_VALUE"""),279652.0)</f>
        <v>279652</v>
      </c>
      <c r="E3347" s="115">
        <f>IFERROR(__xludf.DUMMYFUNCTION("""COMPUTED_VALUE"""),19915.0)</f>
        <v>19915</v>
      </c>
      <c r="F3347" s="115">
        <f>IFERROR(__xludf.DUMMYFUNCTION("""COMPUTED_VALUE"""),218446.0)</f>
        <v>218446</v>
      </c>
      <c r="G3347" s="115">
        <f>IFERROR(__xludf.DUMMYFUNCTION("""COMPUTED_VALUE"""),11101.0)</f>
        <v>11101</v>
      </c>
      <c r="H3347" s="116">
        <f>IFERROR(__xludf.DUMMYFUNCTION("""COMPUTED_VALUE"""),45906.0)</f>
        <v>45906</v>
      </c>
      <c r="I3347" s="115" t="str">
        <f>IFERROR(__xludf.DUMMYFUNCTION("""COMPUTED_VALUE"""),"21")</f>
        <v>21</v>
      </c>
      <c r="J3347" s="115" t="str">
        <f>IFERROR(__xludf.DUMMYFUNCTION("""COMPUTED_VALUE"""),"Premkumar M2025-09-0621")</f>
        <v>Premkumar M2025-09-0621</v>
      </c>
      <c r="K3347" s="115">
        <f>IFERROR(__xludf.DUMMYFUNCTION("""COMPUTED_VALUE"""),299567.0)</f>
        <v>299567</v>
      </c>
    </row>
    <row r="3348">
      <c r="A3348" s="115" t="str">
        <f>IFERROR(__xludf.DUMMYFUNCTION("""COMPUTED_VALUE"""),"SOUTH")</f>
        <v>SOUTH</v>
      </c>
      <c r="B3348" s="115" t="str">
        <f>IFERROR(__xludf.DUMMYFUNCTION("""COMPUTED_VALUE"""),"Premkumar M")</f>
        <v>Premkumar M</v>
      </c>
      <c r="C3348" s="115" t="str">
        <f>IFERROR(__xludf.DUMMYFUNCTION("""COMPUTED_VALUE"""),"MYNTRA")</f>
        <v>MYNTRA</v>
      </c>
      <c r="D3348" s="115">
        <f>IFERROR(__xludf.DUMMYFUNCTION("""COMPUTED_VALUE"""),15710.0)</f>
        <v>15710</v>
      </c>
      <c r="E3348" s="115">
        <f>IFERROR(__xludf.DUMMYFUNCTION("""COMPUTED_VALUE"""),3063.0)</f>
        <v>3063</v>
      </c>
      <c r="F3348" s="115">
        <f>IFERROR(__xludf.DUMMYFUNCTION("""COMPUTED_VALUE"""),13451.0)</f>
        <v>13451</v>
      </c>
      <c r="G3348" s="115">
        <f>IFERROR(__xludf.DUMMYFUNCTION("""COMPUTED_VALUE"""),1811.0)</f>
        <v>1811</v>
      </c>
      <c r="H3348" s="116">
        <f>IFERROR(__xludf.DUMMYFUNCTION("""COMPUTED_VALUE"""),45906.0)</f>
        <v>45906</v>
      </c>
      <c r="I3348" s="115" t="str">
        <f>IFERROR(__xludf.DUMMYFUNCTION("""COMPUTED_VALUE"""),"21")</f>
        <v>21</v>
      </c>
      <c r="J3348" s="115" t="str">
        <f>IFERROR(__xludf.DUMMYFUNCTION("""COMPUTED_VALUE"""),"Premkumar M2025-09-0621")</f>
        <v>Premkumar M2025-09-0621</v>
      </c>
      <c r="K3348" s="115">
        <f>IFERROR(__xludf.DUMMYFUNCTION("""COMPUTED_VALUE"""),18773.0)</f>
        <v>18773</v>
      </c>
    </row>
    <row r="3349">
      <c r="A3349" s="115" t="str">
        <f>IFERROR(__xludf.DUMMYFUNCTION("""COMPUTED_VALUE"""),"SOUTH")</f>
        <v>SOUTH</v>
      </c>
      <c r="B3349" s="115" t="str">
        <f>IFERROR(__xludf.DUMMYFUNCTION("""COMPUTED_VALUE"""),"Vineeth V")</f>
        <v>Vineeth V</v>
      </c>
      <c r="C3349" s="115" t="str">
        <f>IFERROR(__xludf.DUMMYFUNCTION("""COMPUTED_VALUE"""),"EXTERNAL")</f>
        <v>EXTERNAL</v>
      </c>
      <c r="D3349" s="115">
        <f>IFERROR(__xludf.DUMMYFUNCTION("""COMPUTED_VALUE"""),26763.0)</f>
        <v>26763</v>
      </c>
      <c r="E3349" s="115">
        <f>IFERROR(__xludf.DUMMYFUNCTION("""COMPUTED_VALUE"""),702.0)</f>
        <v>702</v>
      </c>
      <c r="F3349" s="115">
        <f>IFERROR(__xludf.DUMMYFUNCTION("""COMPUTED_VALUE"""),14878.0)</f>
        <v>14878</v>
      </c>
      <c r="G3349" s="115">
        <f>IFERROR(__xludf.DUMMYFUNCTION("""COMPUTED_VALUE"""),321.0)</f>
        <v>321</v>
      </c>
      <c r="H3349" s="116">
        <f>IFERROR(__xludf.DUMMYFUNCTION("""COMPUTED_VALUE"""),45906.0)</f>
        <v>45906</v>
      </c>
      <c r="I3349" s="115" t="str">
        <f>IFERROR(__xludf.DUMMYFUNCTION("""COMPUTED_VALUE"""),"21")</f>
        <v>21</v>
      </c>
      <c r="J3349" s="115" t="str">
        <f>IFERROR(__xludf.DUMMYFUNCTION("""COMPUTED_VALUE"""),"Vineeth V2025-09-0621")</f>
        <v>Vineeth V2025-09-0621</v>
      </c>
      <c r="K3349" s="115">
        <f>IFERROR(__xludf.DUMMYFUNCTION("""COMPUTED_VALUE"""),27465.0)</f>
        <v>27465</v>
      </c>
    </row>
    <row r="3350">
      <c r="A3350" s="115" t="str">
        <f>IFERROR(__xludf.DUMMYFUNCTION("""COMPUTED_VALUE"""),"SOUTH")</f>
        <v>SOUTH</v>
      </c>
      <c r="B3350" s="115" t="str">
        <f>IFERROR(__xludf.DUMMYFUNCTION("""COMPUTED_VALUE"""),"Vineeth V")</f>
        <v>Vineeth V</v>
      </c>
      <c r="C3350" s="115" t="str">
        <f>IFERROR(__xludf.DUMMYFUNCTION("""COMPUTED_VALUE"""),"FLIPKART")</f>
        <v>FLIPKART</v>
      </c>
      <c r="D3350" s="115">
        <f>IFERROR(__xludf.DUMMYFUNCTION("""COMPUTED_VALUE"""),219171.0)</f>
        <v>219171</v>
      </c>
      <c r="E3350" s="115">
        <f>IFERROR(__xludf.DUMMYFUNCTION("""COMPUTED_VALUE"""),16158.0)</f>
        <v>16158</v>
      </c>
      <c r="F3350" s="115">
        <f>IFERROR(__xludf.DUMMYFUNCTION("""COMPUTED_VALUE"""),177618.0)</f>
        <v>177618</v>
      </c>
      <c r="G3350" s="115">
        <f>IFERROR(__xludf.DUMMYFUNCTION("""COMPUTED_VALUE"""),8013.0)</f>
        <v>8013</v>
      </c>
      <c r="H3350" s="116">
        <f>IFERROR(__xludf.DUMMYFUNCTION("""COMPUTED_VALUE"""),45906.0)</f>
        <v>45906</v>
      </c>
      <c r="I3350" s="115" t="str">
        <f>IFERROR(__xludf.DUMMYFUNCTION("""COMPUTED_VALUE"""),"21")</f>
        <v>21</v>
      </c>
      <c r="J3350" s="115" t="str">
        <f>IFERROR(__xludf.DUMMYFUNCTION("""COMPUTED_VALUE"""),"Vineeth V2025-09-0621")</f>
        <v>Vineeth V2025-09-0621</v>
      </c>
      <c r="K3350" s="115">
        <f>IFERROR(__xludf.DUMMYFUNCTION("""COMPUTED_VALUE"""),235329.0)</f>
        <v>235329</v>
      </c>
    </row>
    <row r="3351">
      <c r="A3351" s="115" t="str">
        <f>IFERROR(__xludf.DUMMYFUNCTION("""COMPUTED_VALUE"""),"SOUTH")</f>
        <v>SOUTH</v>
      </c>
      <c r="B3351" s="115" t="str">
        <f>IFERROR(__xludf.DUMMYFUNCTION("""COMPUTED_VALUE"""),"Vineeth V")</f>
        <v>Vineeth V</v>
      </c>
      <c r="C3351" s="115" t="str">
        <f>IFERROR(__xludf.DUMMYFUNCTION("""COMPUTED_VALUE"""),"MYNTRA")</f>
        <v>MYNTRA</v>
      </c>
      <c r="D3351" s="115">
        <f>IFERROR(__xludf.DUMMYFUNCTION("""COMPUTED_VALUE"""),28434.0)</f>
        <v>28434</v>
      </c>
      <c r="E3351" s="115">
        <f>IFERROR(__xludf.DUMMYFUNCTION("""COMPUTED_VALUE"""),4126.0)</f>
        <v>4126</v>
      </c>
      <c r="F3351" s="115">
        <f>IFERROR(__xludf.DUMMYFUNCTION("""COMPUTED_VALUE"""),24728.0)</f>
        <v>24728</v>
      </c>
      <c r="G3351" s="115">
        <f>IFERROR(__xludf.DUMMYFUNCTION("""COMPUTED_VALUE"""),2241.0)</f>
        <v>2241</v>
      </c>
      <c r="H3351" s="116">
        <f>IFERROR(__xludf.DUMMYFUNCTION("""COMPUTED_VALUE"""),45906.0)</f>
        <v>45906</v>
      </c>
      <c r="I3351" s="115" t="str">
        <f>IFERROR(__xludf.DUMMYFUNCTION("""COMPUTED_VALUE"""),"21")</f>
        <v>21</v>
      </c>
      <c r="J3351" s="115" t="str">
        <f>IFERROR(__xludf.DUMMYFUNCTION("""COMPUTED_VALUE"""),"Vineeth V2025-09-0621")</f>
        <v>Vineeth V2025-09-0621</v>
      </c>
      <c r="K3351" s="115">
        <f>IFERROR(__xludf.DUMMYFUNCTION("""COMPUTED_VALUE"""),32560.0)</f>
        <v>32560</v>
      </c>
    </row>
    <row r="3352">
      <c r="A3352" s="115" t="str">
        <f>IFERROR(__xludf.DUMMYFUNCTION("""COMPUTED_VALUE"""),"WEST")</f>
        <v>WEST</v>
      </c>
      <c r="B3352" s="115" t="str">
        <f>IFERROR(__xludf.DUMMYFUNCTION("""COMPUTED_VALUE"""),"Ashish Jakar")</f>
        <v>Ashish Jakar</v>
      </c>
      <c r="C3352" s="115" t="str">
        <f>IFERROR(__xludf.DUMMYFUNCTION("""COMPUTED_VALUE"""),"EXTERNAL")</f>
        <v>EXTERNAL</v>
      </c>
      <c r="D3352" s="115">
        <f>IFERROR(__xludf.DUMMYFUNCTION("""COMPUTED_VALUE"""),48085.0)</f>
        <v>48085</v>
      </c>
      <c r="E3352" s="115">
        <f>IFERROR(__xludf.DUMMYFUNCTION("""COMPUTED_VALUE"""),5593.0)</f>
        <v>5593</v>
      </c>
      <c r="F3352" s="115">
        <f>IFERROR(__xludf.DUMMYFUNCTION("""COMPUTED_VALUE"""),20975.0)</f>
        <v>20975</v>
      </c>
      <c r="G3352" s="115">
        <f>IFERROR(__xludf.DUMMYFUNCTION("""COMPUTED_VALUE"""),2673.0)</f>
        <v>2673</v>
      </c>
      <c r="H3352" s="116">
        <f>IFERROR(__xludf.DUMMYFUNCTION("""COMPUTED_VALUE"""),45906.0)</f>
        <v>45906</v>
      </c>
      <c r="I3352" s="115" t="str">
        <f>IFERROR(__xludf.DUMMYFUNCTION("""COMPUTED_VALUE"""),"21")</f>
        <v>21</v>
      </c>
      <c r="J3352" s="115" t="str">
        <f>IFERROR(__xludf.DUMMYFUNCTION("""COMPUTED_VALUE"""),"Ashish Jakar2025-09-0621")</f>
        <v>Ashish Jakar2025-09-0621</v>
      </c>
      <c r="K3352" s="115">
        <f>IFERROR(__xludf.DUMMYFUNCTION("""COMPUTED_VALUE"""),53678.0)</f>
        <v>53678</v>
      </c>
    </row>
    <row r="3353">
      <c r="A3353" s="115" t="str">
        <f>IFERROR(__xludf.DUMMYFUNCTION("""COMPUTED_VALUE"""),"WEST")</f>
        <v>WEST</v>
      </c>
      <c r="B3353" s="115" t="str">
        <f>IFERROR(__xludf.DUMMYFUNCTION("""COMPUTED_VALUE"""),"Ashish Jakar")</f>
        <v>Ashish Jakar</v>
      </c>
      <c r="C3353" s="115" t="str">
        <f>IFERROR(__xludf.DUMMYFUNCTION("""COMPUTED_VALUE"""),"FLIPKART")</f>
        <v>FLIPKART</v>
      </c>
      <c r="D3353" s="115">
        <f>IFERROR(__xludf.DUMMYFUNCTION("""COMPUTED_VALUE"""),236415.0)</f>
        <v>236415</v>
      </c>
      <c r="E3353" s="115">
        <f>IFERROR(__xludf.DUMMYFUNCTION("""COMPUTED_VALUE"""),27816.0)</f>
        <v>27816</v>
      </c>
      <c r="F3353" s="115">
        <f>IFERROR(__xludf.DUMMYFUNCTION("""COMPUTED_VALUE"""),172891.0)</f>
        <v>172891</v>
      </c>
      <c r="G3353" s="115">
        <f>IFERROR(__xludf.DUMMYFUNCTION("""COMPUTED_VALUE"""),17759.0)</f>
        <v>17759</v>
      </c>
      <c r="H3353" s="116">
        <f>IFERROR(__xludf.DUMMYFUNCTION("""COMPUTED_VALUE"""),45906.0)</f>
        <v>45906</v>
      </c>
      <c r="I3353" s="115" t="str">
        <f>IFERROR(__xludf.DUMMYFUNCTION("""COMPUTED_VALUE"""),"21")</f>
        <v>21</v>
      </c>
      <c r="J3353" s="115" t="str">
        <f>IFERROR(__xludf.DUMMYFUNCTION("""COMPUTED_VALUE"""),"Ashish Jakar2025-09-0621")</f>
        <v>Ashish Jakar2025-09-0621</v>
      </c>
      <c r="K3353" s="115">
        <f>IFERROR(__xludf.DUMMYFUNCTION("""COMPUTED_VALUE"""),264231.0)</f>
        <v>264231</v>
      </c>
    </row>
    <row r="3354">
      <c r="A3354" s="115" t="str">
        <f>IFERROR(__xludf.DUMMYFUNCTION("""COMPUTED_VALUE"""),"WEST")</f>
        <v>WEST</v>
      </c>
      <c r="B3354" s="115" t="str">
        <f>IFERROR(__xludf.DUMMYFUNCTION("""COMPUTED_VALUE"""),"Ashish Jakar")</f>
        <v>Ashish Jakar</v>
      </c>
      <c r="C3354" s="115" t="str">
        <f>IFERROR(__xludf.DUMMYFUNCTION("""COMPUTED_VALUE"""),"MYNTRA")</f>
        <v>MYNTRA</v>
      </c>
      <c r="D3354" s="115">
        <f>IFERROR(__xludf.DUMMYFUNCTION("""COMPUTED_VALUE"""),33896.0)</f>
        <v>33896</v>
      </c>
      <c r="E3354" s="115">
        <f>IFERROR(__xludf.DUMMYFUNCTION("""COMPUTED_VALUE"""),9021.0)</f>
        <v>9021</v>
      </c>
      <c r="F3354" s="115">
        <f>IFERROR(__xludf.DUMMYFUNCTION("""COMPUTED_VALUE"""),28368.0)</f>
        <v>28368</v>
      </c>
      <c r="G3354" s="115">
        <f>IFERROR(__xludf.DUMMYFUNCTION("""COMPUTED_VALUE"""),6112.0)</f>
        <v>6112</v>
      </c>
      <c r="H3354" s="116">
        <f>IFERROR(__xludf.DUMMYFUNCTION("""COMPUTED_VALUE"""),45906.0)</f>
        <v>45906</v>
      </c>
      <c r="I3354" s="115" t="str">
        <f>IFERROR(__xludf.DUMMYFUNCTION("""COMPUTED_VALUE"""),"21")</f>
        <v>21</v>
      </c>
      <c r="J3354" s="115" t="str">
        <f>IFERROR(__xludf.DUMMYFUNCTION("""COMPUTED_VALUE"""),"Ashish Jakar2025-09-0621")</f>
        <v>Ashish Jakar2025-09-0621</v>
      </c>
      <c r="K3354" s="115">
        <f>IFERROR(__xludf.DUMMYFUNCTION("""COMPUTED_VALUE"""),42917.0)</f>
        <v>42917</v>
      </c>
    </row>
    <row r="3355">
      <c r="A3355" s="115" t="str">
        <f>IFERROR(__xludf.DUMMYFUNCTION("""COMPUTED_VALUE"""),"WEST")</f>
        <v>WEST</v>
      </c>
      <c r="B3355" s="115" t="str">
        <f>IFERROR(__xludf.DUMMYFUNCTION("""COMPUTED_VALUE"""),"Ashvani Bhatt")</f>
        <v>Ashvani Bhatt</v>
      </c>
      <c r="C3355" s="115" t="str">
        <f>IFERROR(__xludf.DUMMYFUNCTION("""COMPUTED_VALUE"""),"EXTERNAL")</f>
        <v>EXTERNAL</v>
      </c>
      <c r="D3355" s="115">
        <f>IFERROR(__xludf.DUMMYFUNCTION("""COMPUTED_VALUE"""),35292.0)</f>
        <v>35292</v>
      </c>
      <c r="E3355" s="115">
        <f>IFERROR(__xludf.DUMMYFUNCTION("""COMPUTED_VALUE"""),2919.0)</f>
        <v>2919</v>
      </c>
      <c r="F3355" s="115">
        <f>IFERROR(__xludf.DUMMYFUNCTION("""COMPUTED_VALUE"""),14854.0)</f>
        <v>14854</v>
      </c>
      <c r="G3355" s="115">
        <f>IFERROR(__xludf.DUMMYFUNCTION("""COMPUTED_VALUE"""),1203.0)</f>
        <v>1203</v>
      </c>
      <c r="H3355" s="116">
        <f>IFERROR(__xludf.DUMMYFUNCTION("""COMPUTED_VALUE"""),45906.0)</f>
        <v>45906</v>
      </c>
      <c r="I3355" s="115" t="str">
        <f>IFERROR(__xludf.DUMMYFUNCTION("""COMPUTED_VALUE"""),"21")</f>
        <v>21</v>
      </c>
      <c r="J3355" s="115" t="str">
        <f>IFERROR(__xludf.DUMMYFUNCTION("""COMPUTED_VALUE"""),"Ashvani Bhatt2025-09-0621")</f>
        <v>Ashvani Bhatt2025-09-0621</v>
      </c>
      <c r="K3355" s="115">
        <f>IFERROR(__xludf.DUMMYFUNCTION("""COMPUTED_VALUE"""),38211.0)</f>
        <v>38211</v>
      </c>
    </row>
    <row r="3356">
      <c r="A3356" s="115" t="str">
        <f>IFERROR(__xludf.DUMMYFUNCTION("""COMPUTED_VALUE"""),"WEST")</f>
        <v>WEST</v>
      </c>
      <c r="B3356" s="115" t="str">
        <f>IFERROR(__xludf.DUMMYFUNCTION("""COMPUTED_VALUE"""),"Ashvani Bhatt")</f>
        <v>Ashvani Bhatt</v>
      </c>
      <c r="C3356" s="115" t="str">
        <f>IFERROR(__xludf.DUMMYFUNCTION("""COMPUTED_VALUE"""),"FLIPKART")</f>
        <v>FLIPKART</v>
      </c>
      <c r="D3356" s="115">
        <f>IFERROR(__xludf.DUMMYFUNCTION("""COMPUTED_VALUE"""),249747.0)</f>
        <v>249747</v>
      </c>
      <c r="E3356" s="115">
        <f>IFERROR(__xludf.DUMMYFUNCTION("""COMPUTED_VALUE"""),26929.0)</f>
        <v>26929</v>
      </c>
      <c r="F3356" s="115">
        <f>IFERROR(__xludf.DUMMYFUNCTION("""COMPUTED_VALUE"""),183083.0)</f>
        <v>183083</v>
      </c>
      <c r="G3356" s="115">
        <f>IFERROR(__xludf.DUMMYFUNCTION("""COMPUTED_VALUE"""),17748.0)</f>
        <v>17748</v>
      </c>
      <c r="H3356" s="116">
        <f>IFERROR(__xludf.DUMMYFUNCTION("""COMPUTED_VALUE"""),45906.0)</f>
        <v>45906</v>
      </c>
      <c r="I3356" s="115" t="str">
        <f>IFERROR(__xludf.DUMMYFUNCTION("""COMPUTED_VALUE"""),"21")</f>
        <v>21</v>
      </c>
      <c r="J3356" s="115" t="str">
        <f>IFERROR(__xludf.DUMMYFUNCTION("""COMPUTED_VALUE"""),"Ashvani Bhatt2025-09-0621")</f>
        <v>Ashvani Bhatt2025-09-0621</v>
      </c>
      <c r="K3356" s="115">
        <f>IFERROR(__xludf.DUMMYFUNCTION("""COMPUTED_VALUE"""),276676.0)</f>
        <v>276676</v>
      </c>
    </row>
    <row r="3357">
      <c r="A3357" s="115" t="str">
        <f>IFERROR(__xludf.DUMMYFUNCTION("""COMPUTED_VALUE"""),"WEST")</f>
        <v>WEST</v>
      </c>
      <c r="B3357" s="115" t="str">
        <f>IFERROR(__xludf.DUMMYFUNCTION("""COMPUTED_VALUE"""),"Ashvani Bhatt")</f>
        <v>Ashvani Bhatt</v>
      </c>
      <c r="C3357" s="115" t="str">
        <f>IFERROR(__xludf.DUMMYFUNCTION("""COMPUTED_VALUE"""),"MYNTRA")</f>
        <v>MYNTRA</v>
      </c>
      <c r="D3357" s="115">
        <f>IFERROR(__xludf.DUMMYFUNCTION("""COMPUTED_VALUE"""),31236.0)</f>
        <v>31236</v>
      </c>
      <c r="E3357" s="115">
        <f>IFERROR(__xludf.DUMMYFUNCTION("""COMPUTED_VALUE"""),7991.0)</f>
        <v>7991</v>
      </c>
      <c r="F3357" s="115">
        <f>IFERROR(__xludf.DUMMYFUNCTION("""COMPUTED_VALUE"""),26162.0)</f>
        <v>26162</v>
      </c>
      <c r="G3357" s="115">
        <f>IFERROR(__xludf.DUMMYFUNCTION("""COMPUTED_VALUE"""),5706.0)</f>
        <v>5706</v>
      </c>
      <c r="H3357" s="116">
        <f>IFERROR(__xludf.DUMMYFUNCTION("""COMPUTED_VALUE"""),45906.0)</f>
        <v>45906</v>
      </c>
      <c r="I3357" s="115" t="str">
        <f>IFERROR(__xludf.DUMMYFUNCTION("""COMPUTED_VALUE"""),"21")</f>
        <v>21</v>
      </c>
      <c r="J3357" s="115" t="str">
        <f>IFERROR(__xludf.DUMMYFUNCTION("""COMPUTED_VALUE"""),"Ashvani Bhatt2025-09-0621")</f>
        <v>Ashvani Bhatt2025-09-0621</v>
      </c>
      <c r="K3357" s="115">
        <f>IFERROR(__xludf.DUMMYFUNCTION("""COMPUTED_VALUE"""),39227.0)</f>
        <v>39227</v>
      </c>
    </row>
    <row r="3358">
      <c r="A3358" s="115"/>
      <c r="B3358" s="115"/>
      <c r="C3358" s="115" t="str">
        <f>IFERROR(__xludf.DUMMYFUNCTION("""COMPUTED_VALUE"""),"EXTERNAL")</f>
        <v>EXTERNAL</v>
      </c>
      <c r="D3358" s="115">
        <f>IFERROR(__xludf.DUMMYFUNCTION("""COMPUTED_VALUE"""),1189.0)</f>
        <v>1189</v>
      </c>
      <c r="E3358" s="115">
        <f>IFERROR(__xludf.DUMMYFUNCTION("""COMPUTED_VALUE"""),121.0)</f>
        <v>121</v>
      </c>
      <c r="F3358" s="115">
        <f>IFERROR(__xludf.DUMMYFUNCTION("""COMPUTED_VALUE"""),432.0)</f>
        <v>432</v>
      </c>
      <c r="G3358" s="115">
        <f>IFERROR(__xludf.DUMMYFUNCTION("""COMPUTED_VALUE"""),94.0)</f>
        <v>94</v>
      </c>
      <c r="H3358" s="116">
        <f>IFERROR(__xludf.DUMMYFUNCTION("""COMPUTED_VALUE"""),45906.0)</f>
        <v>45906</v>
      </c>
      <c r="I3358" s="115" t="str">
        <f>IFERROR(__xludf.DUMMYFUNCTION("""COMPUTED_VALUE"""),"21")</f>
        <v>21</v>
      </c>
      <c r="J3358" s="115" t="str">
        <f>IFERROR(__xludf.DUMMYFUNCTION("""COMPUTED_VALUE"""),"2025-09-0621")</f>
        <v>2025-09-0621</v>
      </c>
      <c r="K3358" s="115">
        <f>IFERROR(__xludf.DUMMYFUNCTION("""COMPUTED_VALUE"""),1310.0)</f>
        <v>1310</v>
      </c>
    </row>
    <row r="3359">
      <c r="A3359" s="115"/>
      <c r="B3359" s="115"/>
      <c r="C3359" s="115" t="str">
        <f>IFERROR(__xludf.DUMMYFUNCTION("""COMPUTED_VALUE"""),"FLIPKART")</f>
        <v>FLIPKART</v>
      </c>
      <c r="D3359" s="115">
        <f>IFERROR(__xludf.DUMMYFUNCTION("""COMPUTED_VALUE"""),6795.0)</f>
        <v>6795</v>
      </c>
      <c r="E3359" s="115">
        <f>IFERROR(__xludf.DUMMYFUNCTION("""COMPUTED_VALUE"""),720.0)</f>
        <v>720</v>
      </c>
      <c r="F3359" s="115">
        <f>IFERROR(__xludf.DUMMYFUNCTION("""COMPUTED_VALUE"""),4625.0)</f>
        <v>4625</v>
      </c>
      <c r="G3359" s="115">
        <f>IFERROR(__xludf.DUMMYFUNCTION("""COMPUTED_VALUE"""),513.0)</f>
        <v>513</v>
      </c>
      <c r="H3359" s="116">
        <f>IFERROR(__xludf.DUMMYFUNCTION("""COMPUTED_VALUE"""),45906.0)</f>
        <v>45906</v>
      </c>
      <c r="I3359" s="115" t="str">
        <f>IFERROR(__xludf.DUMMYFUNCTION("""COMPUTED_VALUE"""),"21")</f>
        <v>21</v>
      </c>
      <c r="J3359" s="115" t="str">
        <f>IFERROR(__xludf.DUMMYFUNCTION("""COMPUTED_VALUE"""),"2025-09-0621")</f>
        <v>2025-09-0621</v>
      </c>
      <c r="K3359" s="115">
        <f>IFERROR(__xludf.DUMMYFUNCTION("""COMPUTED_VALUE"""),7515.0)</f>
        <v>7515</v>
      </c>
    </row>
    <row r="3360">
      <c r="A3360" s="115"/>
      <c r="B3360" s="115"/>
      <c r="C3360" s="115" t="str">
        <f>IFERROR(__xludf.DUMMYFUNCTION("""COMPUTED_VALUE"""),"MYNTRA")</f>
        <v>MYNTRA</v>
      </c>
      <c r="D3360" s="115">
        <f>IFERROR(__xludf.DUMMYFUNCTION("""COMPUTED_VALUE"""),1360.0)</f>
        <v>1360</v>
      </c>
      <c r="E3360" s="115">
        <f>IFERROR(__xludf.DUMMYFUNCTION("""COMPUTED_VALUE"""),386.0)</f>
        <v>386</v>
      </c>
      <c r="F3360" s="115">
        <f>IFERROR(__xludf.DUMMYFUNCTION("""COMPUTED_VALUE"""),1119.0)</f>
        <v>1119</v>
      </c>
      <c r="G3360" s="115">
        <f>IFERROR(__xludf.DUMMYFUNCTION("""COMPUTED_VALUE"""),301.0)</f>
        <v>301</v>
      </c>
      <c r="H3360" s="116">
        <f>IFERROR(__xludf.DUMMYFUNCTION("""COMPUTED_VALUE"""),45906.0)</f>
        <v>45906</v>
      </c>
      <c r="I3360" s="115" t="str">
        <f>IFERROR(__xludf.DUMMYFUNCTION("""COMPUTED_VALUE"""),"21")</f>
        <v>21</v>
      </c>
      <c r="J3360" s="115" t="str">
        <f>IFERROR(__xludf.DUMMYFUNCTION("""COMPUTED_VALUE"""),"2025-09-0621")</f>
        <v>2025-09-0621</v>
      </c>
      <c r="K3360" s="115">
        <f>IFERROR(__xludf.DUMMYFUNCTION("""COMPUTED_VALUE"""),1746.0)</f>
        <v>1746</v>
      </c>
    </row>
    <row r="3361">
      <c r="A3361" s="115" t="str">
        <f>IFERROR(__xludf.DUMMYFUNCTION("""COMPUTED_VALUE"""),"EAST")</f>
        <v>EAST</v>
      </c>
      <c r="B3361" s="115" t="str">
        <f>IFERROR(__xludf.DUMMYFUNCTION("""COMPUTED_VALUE"""),"Ashish Ranjan")</f>
        <v>Ashish Ranjan</v>
      </c>
      <c r="C3361" s="115" t="str">
        <f>IFERROR(__xludf.DUMMYFUNCTION("""COMPUTED_VALUE"""),"EXTERNAL")</f>
        <v>EXTERNAL</v>
      </c>
      <c r="D3361" s="115">
        <f>IFERROR(__xludf.DUMMYFUNCTION("""COMPUTED_VALUE"""),44552.0)</f>
        <v>44552</v>
      </c>
      <c r="E3361" s="115">
        <f>IFERROR(__xludf.DUMMYFUNCTION("""COMPUTED_VALUE"""),2951.0)</f>
        <v>2951</v>
      </c>
      <c r="F3361" s="115">
        <f>IFERROR(__xludf.DUMMYFUNCTION("""COMPUTED_VALUE"""),26025.0)</f>
        <v>26025</v>
      </c>
      <c r="G3361" s="115">
        <f>IFERROR(__xludf.DUMMYFUNCTION("""COMPUTED_VALUE"""),1822.0)</f>
        <v>1822</v>
      </c>
      <c r="H3361" s="116">
        <f>IFERROR(__xludf.DUMMYFUNCTION("""COMPUTED_VALUE"""),45906.0)</f>
        <v>45906</v>
      </c>
      <c r="I3361" s="115" t="str">
        <f>IFERROR(__xludf.DUMMYFUNCTION("""COMPUTED_VALUE"""),"22")</f>
        <v>22</v>
      </c>
      <c r="J3361" s="115" t="str">
        <f>IFERROR(__xludf.DUMMYFUNCTION("""COMPUTED_VALUE"""),"Ashish Ranjan2025-09-0622")</f>
        <v>Ashish Ranjan2025-09-0622</v>
      </c>
      <c r="K3361" s="115">
        <f>IFERROR(__xludf.DUMMYFUNCTION("""COMPUTED_VALUE"""),47503.0)</f>
        <v>47503</v>
      </c>
    </row>
    <row r="3362">
      <c r="A3362" s="115" t="str">
        <f>IFERROR(__xludf.DUMMYFUNCTION("""COMPUTED_VALUE"""),"EAST")</f>
        <v>EAST</v>
      </c>
      <c r="B3362" s="115" t="str">
        <f>IFERROR(__xludf.DUMMYFUNCTION("""COMPUTED_VALUE"""),"Ashish Ranjan")</f>
        <v>Ashish Ranjan</v>
      </c>
      <c r="C3362" s="115" t="str">
        <f>IFERROR(__xludf.DUMMYFUNCTION("""COMPUTED_VALUE"""),"FLIPKART")</f>
        <v>FLIPKART</v>
      </c>
      <c r="D3362" s="115">
        <f>IFERROR(__xludf.DUMMYFUNCTION("""COMPUTED_VALUE"""),682286.0)</f>
        <v>682286</v>
      </c>
      <c r="E3362" s="115">
        <f>IFERROR(__xludf.DUMMYFUNCTION("""COMPUTED_VALUE"""),61390.0)</f>
        <v>61390</v>
      </c>
      <c r="F3362" s="115">
        <f>IFERROR(__xludf.DUMMYFUNCTION("""COMPUTED_VALUE"""),607033.0)</f>
        <v>607033</v>
      </c>
      <c r="G3362" s="115">
        <f>IFERROR(__xludf.DUMMYFUNCTION("""COMPUTED_VALUE"""),50874.0)</f>
        <v>50874</v>
      </c>
      <c r="H3362" s="116">
        <f>IFERROR(__xludf.DUMMYFUNCTION("""COMPUTED_VALUE"""),45906.0)</f>
        <v>45906</v>
      </c>
      <c r="I3362" s="115" t="str">
        <f>IFERROR(__xludf.DUMMYFUNCTION("""COMPUTED_VALUE"""),"22")</f>
        <v>22</v>
      </c>
      <c r="J3362" s="115" t="str">
        <f>IFERROR(__xludf.DUMMYFUNCTION("""COMPUTED_VALUE"""),"Ashish Ranjan2025-09-0622")</f>
        <v>Ashish Ranjan2025-09-0622</v>
      </c>
      <c r="K3362" s="115">
        <f>IFERROR(__xludf.DUMMYFUNCTION("""COMPUTED_VALUE"""),743676.0)</f>
        <v>743676</v>
      </c>
    </row>
    <row r="3363">
      <c r="A3363" s="115" t="str">
        <f>IFERROR(__xludf.DUMMYFUNCTION("""COMPUTED_VALUE"""),"EAST")</f>
        <v>EAST</v>
      </c>
      <c r="B3363" s="115" t="str">
        <f>IFERROR(__xludf.DUMMYFUNCTION("""COMPUTED_VALUE"""),"Ashish Ranjan")</f>
        <v>Ashish Ranjan</v>
      </c>
      <c r="C3363" s="115" t="str">
        <f>IFERROR(__xludf.DUMMYFUNCTION("""COMPUTED_VALUE"""),"MYNTRA")</f>
        <v>MYNTRA</v>
      </c>
      <c r="D3363" s="115">
        <f>IFERROR(__xludf.DUMMYFUNCTION("""COMPUTED_VALUE"""),71408.0)</f>
        <v>71408</v>
      </c>
      <c r="E3363" s="115">
        <f>IFERROR(__xludf.DUMMYFUNCTION("""COMPUTED_VALUE"""),14224.0)</f>
        <v>14224</v>
      </c>
      <c r="F3363" s="115">
        <f>IFERROR(__xludf.DUMMYFUNCTION("""COMPUTED_VALUE"""),64541.0)</f>
        <v>64541</v>
      </c>
      <c r="G3363" s="115">
        <f>IFERROR(__xludf.DUMMYFUNCTION("""COMPUTED_VALUE"""),11744.0)</f>
        <v>11744</v>
      </c>
      <c r="H3363" s="116">
        <f>IFERROR(__xludf.DUMMYFUNCTION("""COMPUTED_VALUE"""),45906.0)</f>
        <v>45906</v>
      </c>
      <c r="I3363" s="115" t="str">
        <f>IFERROR(__xludf.DUMMYFUNCTION("""COMPUTED_VALUE"""),"22")</f>
        <v>22</v>
      </c>
      <c r="J3363" s="115" t="str">
        <f>IFERROR(__xludf.DUMMYFUNCTION("""COMPUTED_VALUE"""),"Ashish Ranjan2025-09-0622")</f>
        <v>Ashish Ranjan2025-09-0622</v>
      </c>
      <c r="K3363" s="115">
        <f>IFERROR(__xludf.DUMMYFUNCTION("""COMPUTED_VALUE"""),85632.0)</f>
        <v>85632</v>
      </c>
    </row>
    <row r="3364">
      <c r="A3364" s="115" t="str">
        <f>IFERROR(__xludf.DUMMYFUNCTION("""COMPUTED_VALUE"""),"EAST")</f>
        <v>EAST</v>
      </c>
      <c r="B3364" s="115" t="str">
        <f>IFERROR(__xludf.DUMMYFUNCTION("""COMPUTED_VALUE"""),"Girish Chand")</f>
        <v>Girish Chand</v>
      </c>
      <c r="C3364" s="115" t="str">
        <f>IFERROR(__xludf.DUMMYFUNCTION("""COMPUTED_VALUE"""),"EXTERNAL")</f>
        <v>EXTERNAL</v>
      </c>
      <c r="D3364" s="115">
        <f>IFERROR(__xludf.DUMMYFUNCTION("""COMPUTED_VALUE"""),25280.0)</f>
        <v>25280</v>
      </c>
      <c r="E3364" s="115">
        <f>IFERROR(__xludf.DUMMYFUNCTION("""COMPUTED_VALUE"""),2227.0)</f>
        <v>2227</v>
      </c>
      <c r="F3364" s="115">
        <f>IFERROR(__xludf.DUMMYFUNCTION("""COMPUTED_VALUE"""),11463.0)</f>
        <v>11463</v>
      </c>
      <c r="G3364" s="115">
        <f>IFERROR(__xludf.DUMMYFUNCTION("""COMPUTED_VALUE"""),762.0)</f>
        <v>762</v>
      </c>
      <c r="H3364" s="116">
        <f>IFERROR(__xludf.DUMMYFUNCTION("""COMPUTED_VALUE"""),45906.0)</f>
        <v>45906</v>
      </c>
      <c r="I3364" s="115" t="str">
        <f>IFERROR(__xludf.DUMMYFUNCTION("""COMPUTED_VALUE"""),"22")</f>
        <v>22</v>
      </c>
      <c r="J3364" s="115" t="str">
        <f>IFERROR(__xludf.DUMMYFUNCTION("""COMPUTED_VALUE"""),"Girish Chand2025-09-0622")</f>
        <v>Girish Chand2025-09-0622</v>
      </c>
      <c r="K3364" s="115">
        <f>IFERROR(__xludf.DUMMYFUNCTION("""COMPUTED_VALUE"""),27507.0)</f>
        <v>27507</v>
      </c>
    </row>
    <row r="3365">
      <c r="A3365" s="115" t="str">
        <f>IFERROR(__xludf.DUMMYFUNCTION("""COMPUTED_VALUE"""),"EAST")</f>
        <v>EAST</v>
      </c>
      <c r="B3365" s="115" t="str">
        <f>IFERROR(__xludf.DUMMYFUNCTION("""COMPUTED_VALUE"""),"Girish Chand")</f>
        <v>Girish Chand</v>
      </c>
      <c r="C3365" s="115" t="str">
        <f>IFERROR(__xludf.DUMMYFUNCTION("""COMPUTED_VALUE"""),"FLIPKART")</f>
        <v>FLIPKART</v>
      </c>
      <c r="D3365" s="115">
        <f>IFERROR(__xludf.DUMMYFUNCTION("""COMPUTED_VALUE"""),447358.0)</f>
        <v>447358</v>
      </c>
      <c r="E3365" s="115">
        <f>IFERROR(__xludf.DUMMYFUNCTION("""COMPUTED_VALUE"""),41084.0)</f>
        <v>41084</v>
      </c>
      <c r="F3365" s="115">
        <f>IFERROR(__xludf.DUMMYFUNCTION("""COMPUTED_VALUE"""),336524.0)</f>
        <v>336524</v>
      </c>
      <c r="G3365" s="115">
        <f>IFERROR(__xludf.DUMMYFUNCTION("""COMPUTED_VALUE"""),30584.0)</f>
        <v>30584</v>
      </c>
      <c r="H3365" s="116">
        <f>IFERROR(__xludf.DUMMYFUNCTION("""COMPUTED_VALUE"""),45906.0)</f>
        <v>45906</v>
      </c>
      <c r="I3365" s="115" t="str">
        <f>IFERROR(__xludf.DUMMYFUNCTION("""COMPUTED_VALUE"""),"22")</f>
        <v>22</v>
      </c>
      <c r="J3365" s="115" t="str">
        <f>IFERROR(__xludf.DUMMYFUNCTION("""COMPUTED_VALUE"""),"Girish Chand2025-09-0622")</f>
        <v>Girish Chand2025-09-0622</v>
      </c>
      <c r="K3365" s="115">
        <f>IFERROR(__xludf.DUMMYFUNCTION("""COMPUTED_VALUE"""),488442.0)</f>
        <v>488442</v>
      </c>
    </row>
    <row r="3366">
      <c r="A3366" s="115" t="str">
        <f>IFERROR(__xludf.DUMMYFUNCTION("""COMPUTED_VALUE"""),"EAST")</f>
        <v>EAST</v>
      </c>
      <c r="B3366" s="115" t="str">
        <f>IFERROR(__xludf.DUMMYFUNCTION("""COMPUTED_VALUE"""),"Girish Chand")</f>
        <v>Girish Chand</v>
      </c>
      <c r="C3366" s="115" t="str">
        <f>IFERROR(__xludf.DUMMYFUNCTION("""COMPUTED_VALUE"""),"MYNTRA")</f>
        <v>MYNTRA</v>
      </c>
      <c r="D3366" s="115">
        <f>IFERROR(__xludf.DUMMYFUNCTION("""COMPUTED_VALUE"""),38695.0)</f>
        <v>38695</v>
      </c>
      <c r="E3366" s="115">
        <f>IFERROR(__xludf.DUMMYFUNCTION("""COMPUTED_VALUE"""),7391.0)</f>
        <v>7391</v>
      </c>
      <c r="F3366" s="115">
        <f>IFERROR(__xludf.DUMMYFUNCTION("""COMPUTED_VALUE"""),30873.0)</f>
        <v>30873</v>
      </c>
      <c r="G3366" s="115">
        <f>IFERROR(__xludf.DUMMYFUNCTION("""COMPUTED_VALUE"""),5613.0)</f>
        <v>5613</v>
      </c>
      <c r="H3366" s="116">
        <f>IFERROR(__xludf.DUMMYFUNCTION("""COMPUTED_VALUE"""),45906.0)</f>
        <v>45906</v>
      </c>
      <c r="I3366" s="115" t="str">
        <f>IFERROR(__xludf.DUMMYFUNCTION("""COMPUTED_VALUE"""),"22")</f>
        <v>22</v>
      </c>
      <c r="J3366" s="115" t="str">
        <f>IFERROR(__xludf.DUMMYFUNCTION("""COMPUTED_VALUE"""),"Girish Chand2025-09-0622")</f>
        <v>Girish Chand2025-09-0622</v>
      </c>
      <c r="K3366" s="115">
        <f>IFERROR(__xludf.DUMMYFUNCTION("""COMPUTED_VALUE"""),46086.0)</f>
        <v>46086</v>
      </c>
    </row>
    <row r="3367">
      <c r="A3367" s="115" t="str">
        <f>IFERROR(__xludf.DUMMYFUNCTION("""COMPUTED_VALUE"""),"EAST")</f>
        <v>EAST</v>
      </c>
      <c r="B3367" s="115" t="str">
        <f>IFERROR(__xludf.DUMMYFUNCTION("""COMPUTED_VALUE"""),"Parag Kashyap")</f>
        <v>Parag Kashyap</v>
      </c>
      <c r="C3367" s="115" t="str">
        <f>IFERROR(__xludf.DUMMYFUNCTION("""COMPUTED_VALUE"""),"EXTERNAL")</f>
        <v>EXTERNAL</v>
      </c>
      <c r="D3367" s="115">
        <f>IFERROR(__xludf.DUMMYFUNCTION("""COMPUTED_VALUE"""),18038.0)</f>
        <v>18038</v>
      </c>
      <c r="E3367" s="115">
        <f>IFERROR(__xludf.DUMMYFUNCTION("""COMPUTED_VALUE"""),1057.0)</f>
        <v>1057</v>
      </c>
      <c r="F3367" s="115">
        <f>IFERROR(__xludf.DUMMYFUNCTION("""COMPUTED_VALUE"""),8139.0)</f>
        <v>8139</v>
      </c>
      <c r="G3367" s="115">
        <f>IFERROR(__xludf.DUMMYFUNCTION("""COMPUTED_VALUE"""),500.0)</f>
        <v>500</v>
      </c>
      <c r="H3367" s="116">
        <f>IFERROR(__xludf.DUMMYFUNCTION("""COMPUTED_VALUE"""),45906.0)</f>
        <v>45906</v>
      </c>
      <c r="I3367" s="115" t="str">
        <f>IFERROR(__xludf.DUMMYFUNCTION("""COMPUTED_VALUE"""),"22")</f>
        <v>22</v>
      </c>
      <c r="J3367" s="115" t="str">
        <f>IFERROR(__xludf.DUMMYFUNCTION("""COMPUTED_VALUE"""),"Parag Kashyap2025-09-0622")</f>
        <v>Parag Kashyap2025-09-0622</v>
      </c>
      <c r="K3367" s="115">
        <f>IFERROR(__xludf.DUMMYFUNCTION("""COMPUTED_VALUE"""),19095.0)</f>
        <v>19095</v>
      </c>
    </row>
    <row r="3368">
      <c r="A3368" s="115" t="str">
        <f>IFERROR(__xludf.DUMMYFUNCTION("""COMPUTED_VALUE"""),"EAST")</f>
        <v>EAST</v>
      </c>
      <c r="B3368" s="115" t="str">
        <f>IFERROR(__xludf.DUMMYFUNCTION("""COMPUTED_VALUE"""),"Parag Kashyap")</f>
        <v>Parag Kashyap</v>
      </c>
      <c r="C3368" s="115" t="str">
        <f>IFERROR(__xludf.DUMMYFUNCTION("""COMPUTED_VALUE"""),"FLIPKART")</f>
        <v>FLIPKART</v>
      </c>
      <c r="D3368" s="115">
        <f>IFERROR(__xludf.DUMMYFUNCTION("""COMPUTED_VALUE"""),284306.0)</f>
        <v>284306</v>
      </c>
      <c r="E3368" s="115">
        <f>IFERROR(__xludf.DUMMYFUNCTION("""COMPUTED_VALUE"""),20267.0)</f>
        <v>20267</v>
      </c>
      <c r="F3368" s="115">
        <f>IFERROR(__xludf.DUMMYFUNCTION("""COMPUTED_VALUE"""),224588.0)</f>
        <v>224588</v>
      </c>
      <c r="G3368" s="115">
        <f>IFERROR(__xludf.DUMMYFUNCTION("""COMPUTED_VALUE"""),15316.0)</f>
        <v>15316</v>
      </c>
      <c r="H3368" s="116">
        <f>IFERROR(__xludf.DUMMYFUNCTION("""COMPUTED_VALUE"""),45906.0)</f>
        <v>45906</v>
      </c>
      <c r="I3368" s="115" t="str">
        <f>IFERROR(__xludf.DUMMYFUNCTION("""COMPUTED_VALUE"""),"22")</f>
        <v>22</v>
      </c>
      <c r="J3368" s="115" t="str">
        <f>IFERROR(__xludf.DUMMYFUNCTION("""COMPUTED_VALUE"""),"Parag Kashyap2025-09-0622")</f>
        <v>Parag Kashyap2025-09-0622</v>
      </c>
      <c r="K3368" s="115">
        <f>IFERROR(__xludf.DUMMYFUNCTION("""COMPUTED_VALUE"""),304573.0)</f>
        <v>304573</v>
      </c>
    </row>
    <row r="3369">
      <c r="A3369" s="115" t="str">
        <f>IFERROR(__xludf.DUMMYFUNCTION("""COMPUTED_VALUE"""),"EAST")</f>
        <v>EAST</v>
      </c>
      <c r="B3369" s="115" t="str">
        <f>IFERROR(__xludf.DUMMYFUNCTION("""COMPUTED_VALUE"""),"Parag Kashyap")</f>
        <v>Parag Kashyap</v>
      </c>
      <c r="C3369" s="115" t="str">
        <f>IFERROR(__xludf.DUMMYFUNCTION("""COMPUTED_VALUE"""),"MYNTRA")</f>
        <v>MYNTRA</v>
      </c>
      <c r="D3369" s="115">
        <f>IFERROR(__xludf.DUMMYFUNCTION("""COMPUTED_VALUE"""),35590.0)</f>
        <v>35590</v>
      </c>
      <c r="E3369" s="115">
        <f>IFERROR(__xludf.DUMMYFUNCTION("""COMPUTED_VALUE"""),5244.0)</f>
        <v>5244</v>
      </c>
      <c r="F3369" s="115">
        <f>IFERROR(__xludf.DUMMYFUNCTION("""COMPUTED_VALUE"""),28805.0)</f>
        <v>28805</v>
      </c>
      <c r="G3369" s="115">
        <f>IFERROR(__xludf.DUMMYFUNCTION("""COMPUTED_VALUE"""),3942.0)</f>
        <v>3942</v>
      </c>
      <c r="H3369" s="116">
        <f>IFERROR(__xludf.DUMMYFUNCTION("""COMPUTED_VALUE"""),45906.0)</f>
        <v>45906</v>
      </c>
      <c r="I3369" s="115" t="str">
        <f>IFERROR(__xludf.DUMMYFUNCTION("""COMPUTED_VALUE"""),"22")</f>
        <v>22</v>
      </c>
      <c r="J3369" s="115" t="str">
        <f>IFERROR(__xludf.DUMMYFUNCTION("""COMPUTED_VALUE"""),"Parag Kashyap2025-09-0622")</f>
        <v>Parag Kashyap2025-09-0622</v>
      </c>
      <c r="K3369" s="115">
        <f>IFERROR(__xludf.DUMMYFUNCTION("""COMPUTED_VALUE"""),40834.0)</f>
        <v>40834</v>
      </c>
    </row>
    <row r="3370">
      <c r="A3370" s="115" t="str">
        <f>IFERROR(__xludf.DUMMYFUNCTION("""COMPUTED_VALUE"""),"NORTH")</f>
        <v>NORTH</v>
      </c>
      <c r="B3370" s="115" t="str">
        <f>IFERROR(__xludf.DUMMYFUNCTION("""COMPUTED_VALUE"""),"Amit Kumar Pathak")</f>
        <v>Amit Kumar Pathak</v>
      </c>
      <c r="C3370" s="115" t="str">
        <f>IFERROR(__xludf.DUMMYFUNCTION("""COMPUTED_VALUE"""),"EXTERNAL")</f>
        <v>EXTERNAL</v>
      </c>
      <c r="D3370" s="115">
        <f>IFERROR(__xludf.DUMMYFUNCTION("""COMPUTED_VALUE"""),29273.0)</f>
        <v>29273</v>
      </c>
      <c r="E3370" s="115">
        <f>IFERROR(__xludf.DUMMYFUNCTION("""COMPUTED_VALUE"""),3448.0)</f>
        <v>3448</v>
      </c>
      <c r="F3370" s="115">
        <f>IFERROR(__xludf.DUMMYFUNCTION("""COMPUTED_VALUE"""),11555.0)</f>
        <v>11555</v>
      </c>
      <c r="G3370" s="115">
        <f>IFERROR(__xludf.DUMMYFUNCTION("""COMPUTED_VALUE"""),1715.0)</f>
        <v>1715</v>
      </c>
      <c r="H3370" s="116">
        <f>IFERROR(__xludf.DUMMYFUNCTION("""COMPUTED_VALUE"""),45906.0)</f>
        <v>45906</v>
      </c>
      <c r="I3370" s="115" t="str">
        <f>IFERROR(__xludf.DUMMYFUNCTION("""COMPUTED_VALUE"""),"22")</f>
        <v>22</v>
      </c>
      <c r="J3370" s="115" t="str">
        <f>IFERROR(__xludf.DUMMYFUNCTION("""COMPUTED_VALUE"""),"Amit Kumar Pathak2025-09-0622")</f>
        <v>Amit Kumar Pathak2025-09-0622</v>
      </c>
      <c r="K3370" s="115">
        <f>IFERROR(__xludf.DUMMYFUNCTION("""COMPUTED_VALUE"""),32721.0)</f>
        <v>32721</v>
      </c>
    </row>
    <row r="3371">
      <c r="A3371" s="115" t="str">
        <f>IFERROR(__xludf.DUMMYFUNCTION("""COMPUTED_VALUE"""),"NORTH")</f>
        <v>NORTH</v>
      </c>
      <c r="B3371" s="115" t="str">
        <f>IFERROR(__xludf.DUMMYFUNCTION("""COMPUTED_VALUE"""),"Amit Kumar Pathak")</f>
        <v>Amit Kumar Pathak</v>
      </c>
      <c r="C3371" s="115" t="str">
        <f>IFERROR(__xludf.DUMMYFUNCTION("""COMPUTED_VALUE"""),"FLIPKART")</f>
        <v>FLIPKART</v>
      </c>
      <c r="D3371" s="115">
        <f>IFERROR(__xludf.DUMMYFUNCTION("""COMPUTED_VALUE"""),180001.0)</f>
        <v>180001</v>
      </c>
      <c r="E3371" s="115">
        <f>IFERROR(__xludf.DUMMYFUNCTION("""COMPUTED_VALUE"""),24432.0)</f>
        <v>24432</v>
      </c>
      <c r="F3371" s="115">
        <f>IFERROR(__xludf.DUMMYFUNCTION("""COMPUTED_VALUE"""),132404.0)</f>
        <v>132404</v>
      </c>
      <c r="G3371" s="115">
        <f>IFERROR(__xludf.DUMMYFUNCTION("""COMPUTED_VALUE"""),16930.0)</f>
        <v>16930</v>
      </c>
      <c r="H3371" s="116">
        <f>IFERROR(__xludf.DUMMYFUNCTION("""COMPUTED_VALUE"""),45906.0)</f>
        <v>45906</v>
      </c>
      <c r="I3371" s="115" t="str">
        <f>IFERROR(__xludf.DUMMYFUNCTION("""COMPUTED_VALUE"""),"22")</f>
        <v>22</v>
      </c>
      <c r="J3371" s="115" t="str">
        <f>IFERROR(__xludf.DUMMYFUNCTION("""COMPUTED_VALUE"""),"Amit Kumar Pathak2025-09-0622")</f>
        <v>Amit Kumar Pathak2025-09-0622</v>
      </c>
      <c r="K3371" s="115">
        <f>IFERROR(__xludf.DUMMYFUNCTION("""COMPUTED_VALUE"""),204433.0)</f>
        <v>204433</v>
      </c>
    </row>
    <row r="3372">
      <c r="A3372" s="115" t="str">
        <f>IFERROR(__xludf.DUMMYFUNCTION("""COMPUTED_VALUE"""),"NORTH")</f>
        <v>NORTH</v>
      </c>
      <c r="B3372" s="115" t="str">
        <f>IFERROR(__xludf.DUMMYFUNCTION("""COMPUTED_VALUE"""),"Amit Kumar Pathak")</f>
        <v>Amit Kumar Pathak</v>
      </c>
      <c r="C3372" s="115" t="str">
        <f>IFERROR(__xludf.DUMMYFUNCTION("""COMPUTED_VALUE"""),"MYNTRA")</f>
        <v>MYNTRA</v>
      </c>
      <c r="D3372" s="115">
        <f>IFERROR(__xludf.DUMMYFUNCTION("""COMPUTED_VALUE"""),18002.0)</f>
        <v>18002</v>
      </c>
      <c r="E3372" s="115">
        <f>IFERROR(__xludf.DUMMYFUNCTION("""COMPUTED_VALUE"""),6201.0)</f>
        <v>6201</v>
      </c>
      <c r="F3372" s="115">
        <f>IFERROR(__xludf.DUMMYFUNCTION("""COMPUTED_VALUE"""),15361.0)</f>
        <v>15361</v>
      </c>
      <c r="G3372" s="115">
        <f>IFERROR(__xludf.DUMMYFUNCTION("""COMPUTED_VALUE"""),4504.0)</f>
        <v>4504</v>
      </c>
      <c r="H3372" s="116">
        <f>IFERROR(__xludf.DUMMYFUNCTION("""COMPUTED_VALUE"""),45906.0)</f>
        <v>45906</v>
      </c>
      <c r="I3372" s="115" t="str">
        <f>IFERROR(__xludf.DUMMYFUNCTION("""COMPUTED_VALUE"""),"22")</f>
        <v>22</v>
      </c>
      <c r="J3372" s="115" t="str">
        <f>IFERROR(__xludf.DUMMYFUNCTION("""COMPUTED_VALUE"""),"Amit Kumar Pathak2025-09-0622")</f>
        <v>Amit Kumar Pathak2025-09-0622</v>
      </c>
      <c r="K3372" s="115">
        <f>IFERROR(__xludf.DUMMYFUNCTION("""COMPUTED_VALUE"""),24203.0)</f>
        <v>24203</v>
      </c>
    </row>
    <row r="3373">
      <c r="A3373" s="115" t="str">
        <f>IFERROR(__xludf.DUMMYFUNCTION("""COMPUTED_VALUE"""),"NORTH")</f>
        <v>NORTH</v>
      </c>
      <c r="B3373" s="115" t="str">
        <f>IFERROR(__xludf.DUMMYFUNCTION("""COMPUTED_VALUE"""),"Loveleen Singh")</f>
        <v>Loveleen Singh</v>
      </c>
      <c r="C3373" s="115" t="str">
        <f>IFERROR(__xludf.DUMMYFUNCTION("""COMPUTED_VALUE"""),"EXTERNAL")</f>
        <v>EXTERNAL</v>
      </c>
      <c r="D3373" s="115">
        <f>IFERROR(__xludf.DUMMYFUNCTION("""COMPUTED_VALUE"""),32193.0)</f>
        <v>32193</v>
      </c>
      <c r="E3373" s="115">
        <f>IFERROR(__xludf.DUMMYFUNCTION("""COMPUTED_VALUE"""),2046.0)</f>
        <v>2046</v>
      </c>
      <c r="F3373" s="115">
        <f>IFERROR(__xludf.DUMMYFUNCTION("""COMPUTED_VALUE"""),12001.0)</f>
        <v>12001</v>
      </c>
      <c r="G3373" s="115">
        <f>IFERROR(__xludf.DUMMYFUNCTION("""COMPUTED_VALUE"""),799.0)</f>
        <v>799</v>
      </c>
      <c r="H3373" s="116">
        <f>IFERROR(__xludf.DUMMYFUNCTION("""COMPUTED_VALUE"""),45906.0)</f>
        <v>45906</v>
      </c>
      <c r="I3373" s="115" t="str">
        <f>IFERROR(__xludf.DUMMYFUNCTION("""COMPUTED_VALUE"""),"22")</f>
        <v>22</v>
      </c>
      <c r="J3373" s="115" t="str">
        <f>IFERROR(__xludf.DUMMYFUNCTION("""COMPUTED_VALUE"""),"Loveleen Singh2025-09-0622")</f>
        <v>Loveleen Singh2025-09-0622</v>
      </c>
      <c r="K3373" s="115">
        <f>IFERROR(__xludf.DUMMYFUNCTION("""COMPUTED_VALUE"""),34239.0)</f>
        <v>34239</v>
      </c>
    </row>
    <row r="3374">
      <c r="A3374" s="115" t="str">
        <f>IFERROR(__xludf.DUMMYFUNCTION("""COMPUTED_VALUE"""),"NORTH")</f>
        <v>NORTH</v>
      </c>
      <c r="B3374" s="115" t="str">
        <f>IFERROR(__xludf.DUMMYFUNCTION("""COMPUTED_VALUE"""),"Loveleen Singh")</f>
        <v>Loveleen Singh</v>
      </c>
      <c r="C3374" s="115" t="str">
        <f>IFERROR(__xludf.DUMMYFUNCTION("""COMPUTED_VALUE"""),"FLIPKART")</f>
        <v>FLIPKART</v>
      </c>
      <c r="D3374" s="115">
        <f>IFERROR(__xludf.DUMMYFUNCTION("""COMPUTED_VALUE"""),158763.0)</f>
        <v>158763</v>
      </c>
      <c r="E3374" s="115">
        <f>IFERROR(__xludf.DUMMYFUNCTION("""COMPUTED_VALUE"""),16007.0)</f>
        <v>16007</v>
      </c>
      <c r="F3374" s="115">
        <f>IFERROR(__xludf.DUMMYFUNCTION("""COMPUTED_VALUE"""),117573.0)</f>
        <v>117573</v>
      </c>
      <c r="G3374" s="115">
        <f>IFERROR(__xludf.DUMMYFUNCTION("""COMPUTED_VALUE"""),10160.0)</f>
        <v>10160</v>
      </c>
      <c r="H3374" s="116">
        <f>IFERROR(__xludf.DUMMYFUNCTION("""COMPUTED_VALUE"""),45906.0)</f>
        <v>45906</v>
      </c>
      <c r="I3374" s="115" t="str">
        <f>IFERROR(__xludf.DUMMYFUNCTION("""COMPUTED_VALUE"""),"22")</f>
        <v>22</v>
      </c>
      <c r="J3374" s="115" t="str">
        <f>IFERROR(__xludf.DUMMYFUNCTION("""COMPUTED_VALUE"""),"Loveleen Singh2025-09-0622")</f>
        <v>Loveleen Singh2025-09-0622</v>
      </c>
      <c r="K3374" s="115">
        <f>IFERROR(__xludf.DUMMYFUNCTION("""COMPUTED_VALUE"""),174770.0)</f>
        <v>174770</v>
      </c>
    </row>
    <row r="3375">
      <c r="A3375" s="115" t="str">
        <f>IFERROR(__xludf.DUMMYFUNCTION("""COMPUTED_VALUE"""),"NORTH")</f>
        <v>NORTH</v>
      </c>
      <c r="B3375" s="115" t="str">
        <f>IFERROR(__xludf.DUMMYFUNCTION("""COMPUTED_VALUE"""),"Loveleen Singh")</f>
        <v>Loveleen Singh</v>
      </c>
      <c r="C3375" s="115" t="str">
        <f>IFERROR(__xludf.DUMMYFUNCTION("""COMPUTED_VALUE"""),"MYNTRA")</f>
        <v>MYNTRA</v>
      </c>
      <c r="D3375" s="115">
        <f>IFERROR(__xludf.DUMMYFUNCTION("""COMPUTED_VALUE"""),25899.0)</f>
        <v>25899</v>
      </c>
      <c r="E3375" s="115">
        <f>IFERROR(__xludf.DUMMYFUNCTION("""COMPUTED_VALUE"""),6447.0)</f>
        <v>6447</v>
      </c>
      <c r="F3375" s="115">
        <f>IFERROR(__xludf.DUMMYFUNCTION("""COMPUTED_VALUE"""),21264.0)</f>
        <v>21264</v>
      </c>
      <c r="G3375" s="115">
        <f>IFERROR(__xludf.DUMMYFUNCTION("""COMPUTED_VALUE"""),4326.0)</f>
        <v>4326</v>
      </c>
      <c r="H3375" s="116">
        <f>IFERROR(__xludf.DUMMYFUNCTION("""COMPUTED_VALUE"""),45906.0)</f>
        <v>45906</v>
      </c>
      <c r="I3375" s="115" t="str">
        <f>IFERROR(__xludf.DUMMYFUNCTION("""COMPUTED_VALUE"""),"22")</f>
        <v>22</v>
      </c>
      <c r="J3375" s="115" t="str">
        <f>IFERROR(__xludf.DUMMYFUNCTION("""COMPUTED_VALUE"""),"Loveleen Singh2025-09-0622")</f>
        <v>Loveleen Singh2025-09-0622</v>
      </c>
      <c r="K3375" s="115">
        <f>IFERROR(__xludf.DUMMYFUNCTION("""COMPUTED_VALUE"""),32346.0)</f>
        <v>32346</v>
      </c>
    </row>
    <row r="3376">
      <c r="A3376" s="115" t="str">
        <f>IFERROR(__xludf.DUMMYFUNCTION("""COMPUTED_VALUE"""),"NORTH")</f>
        <v>NORTH</v>
      </c>
      <c r="B3376" s="115" t="str">
        <f>IFERROR(__xludf.DUMMYFUNCTION("""COMPUTED_VALUE"""),"Manoj Harsh")</f>
        <v>Manoj Harsh</v>
      </c>
      <c r="C3376" s="115" t="str">
        <f>IFERROR(__xludf.DUMMYFUNCTION("""COMPUTED_VALUE"""),"EXTERNAL")</f>
        <v>EXTERNAL</v>
      </c>
      <c r="D3376" s="115">
        <f>IFERROR(__xludf.DUMMYFUNCTION("""COMPUTED_VALUE"""),38791.0)</f>
        <v>38791</v>
      </c>
      <c r="E3376" s="115">
        <f>IFERROR(__xludf.DUMMYFUNCTION("""COMPUTED_VALUE"""),2962.0)</f>
        <v>2962</v>
      </c>
      <c r="F3376" s="115">
        <f>IFERROR(__xludf.DUMMYFUNCTION("""COMPUTED_VALUE"""),17451.0)</f>
        <v>17451</v>
      </c>
      <c r="G3376" s="115">
        <f>IFERROR(__xludf.DUMMYFUNCTION("""COMPUTED_VALUE"""),1139.0)</f>
        <v>1139</v>
      </c>
      <c r="H3376" s="116">
        <f>IFERROR(__xludf.DUMMYFUNCTION("""COMPUTED_VALUE"""),45906.0)</f>
        <v>45906</v>
      </c>
      <c r="I3376" s="115" t="str">
        <f>IFERROR(__xludf.DUMMYFUNCTION("""COMPUTED_VALUE"""),"22")</f>
        <v>22</v>
      </c>
      <c r="J3376" s="115" t="str">
        <f>IFERROR(__xludf.DUMMYFUNCTION("""COMPUTED_VALUE"""),"Manoj Harsh2025-09-0622")</f>
        <v>Manoj Harsh2025-09-0622</v>
      </c>
      <c r="K3376" s="115">
        <f>IFERROR(__xludf.DUMMYFUNCTION("""COMPUTED_VALUE"""),41753.0)</f>
        <v>41753</v>
      </c>
    </row>
    <row r="3377">
      <c r="A3377" s="115" t="str">
        <f>IFERROR(__xludf.DUMMYFUNCTION("""COMPUTED_VALUE"""),"NORTH")</f>
        <v>NORTH</v>
      </c>
      <c r="B3377" s="115" t="str">
        <f>IFERROR(__xludf.DUMMYFUNCTION("""COMPUTED_VALUE"""),"Manoj Harsh")</f>
        <v>Manoj Harsh</v>
      </c>
      <c r="C3377" s="115" t="str">
        <f>IFERROR(__xludf.DUMMYFUNCTION("""COMPUTED_VALUE"""),"FLIPKART")</f>
        <v>FLIPKART</v>
      </c>
      <c r="D3377" s="115">
        <f>IFERROR(__xludf.DUMMYFUNCTION("""COMPUTED_VALUE"""),427432.0)</f>
        <v>427432</v>
      </c>
      <c r="E3377" s="115">
        <f>IFERROR(__xludf.DUMMYFUNCTION("""COMPUTED_VALUE"""),42969.0)</f>
        <v>42969</v>
      </c>
      <c r="F3377" s="115">
        <f>IFERROR(__xludf.DUMMYFUNCTION("""COMPUTED_VALUE"""),315779.0)</f>
        <v>315779</v>
      </c>
      <c r="G3377" s="115">
        <f>IFERROR(__xludf.DUMMYFUNCTION("""COMPUTED_VALUE"""),29302.0)</f>
        <v>29302</v>
      </c>
      <c r="H3377" s="116">
        <f>IFERROR(__xludf.DUMMYFUNCTION("""COMPUTED_VALUE"""),45906.0)</f>
        <v>45906</v>
      </c>
      <c r="I3377" s="115" t="str">
        <f>IFERROR(__xludf.DUMMYFUNCTION("""COMPUTED_VALUE"""),"22")</f>
        <v>22</v>
      </c>
      <c r="J3377" s="115" t="str">
        <f>IFERROR(__xludf.DUMMYFUNCTION("""COMPUTED_VALUE"""),"Manoj Harsh2025-09-0622")</f>
        <v>Manoj Harsh2025-09-0622</v>
      </c>
      <c r="K3377" s="115">
        <f>IFERROR(__xludf.DUMMYFUNCTION("""COMPUTED_VALUE"""),470401.0)</f>
        <v>470401</v>
      </c>
    </row>
    <row r="3378">
      <c r="A3378" s="115" t="str">
        <f>IFERROR(__xludf.DUMMYFUNCTION("""COMPUTED_VALUE"""),"NORTH")</f>
        <v>NORTH</v>
      </c>
      <c r="B3378" s="115" t="str">
        <f>IFERROR(__xludf.DUMMYFUNCTION("""COMPUTED_VALUE"""),"Manoj Harsh")</f>
        <v>Manoj Harsh</v>
      </c>
      <c r="C3378" s="115" t="str">
        <f>IFERROR(__xludf.DUMMYFUNCTION("""COMPUTED_VALUE"""),"MYNTRA")</f>
        <v>MYNTRA</v>
      </c>
      <c r="D3378" s="115">
        <f>IFERROR(__xludf.DUMMYFUNCTION("""COMPUTED_VALUE"""),39714.0)</f>
        <v>39714</v>
      </c>
      <c r="E3378" s="115">
        <f>IFERROR(__xludf.DUMMYFUNCTION("""COMPUTED_VALUE"""),8027.0)</f>
        <v>8027</v>
      </c>
      <c r="F3378" s="115">
        <f>IFERROR(__xludf.DUMMYFUNCTION("""COMPUTED_VALUE"""),31968.0)</f>
        <v>31968</v>
      </c>
      <c r="G3378" s="115">
        <f>IFERROR(__xludf.DUMMYFUNCTION("""COMPUTED_VALUE"""),5858.0)</f>
        <v>5858</v>
      </c>
      <c r="H3378" s="116">
        <f>IFERROR(__xludf.DUMMYFUNCTION("""COMPUTED_VALUE"""),45906.0)</f>
        <v>45906</v>
      </c>
      <c r="I3378" s="115" t="str">
        <f>IFERROR(__xludf.DUMMYFUNCTION("""COMPUTED_VALUE"""),"22")</f>
        <v>22</v>
      </c>
      <c r="J3378" s="115" t="str">
        <f>IFERROR(__xludf.DUMMYFUNCTION("""COMPUTED_VALUE"""),"Manoj Harsh2025-09-0622")</f>
        <v>Manoj Harsh2025-09-0622</v>
      </c>
      <c r="K3378" s="115">
        <f>IFERROR(__xludf.DUMMYFUNCTION("""COMPUTED_VALUE"""),47741.0)</f>
        <v>47741</v>
      </c>
    </row>
    <row r="3379">
      <c r="A3379" s="115" t="str">
        <f>IFERROR(__xludf.DUMMYFUNCTION("""COMPUTED_VALUE"""),"NORTH")</f>
        <v>NORTH</v>
      </c>
      <c r="B3379" s="115" t="str">
        <f>IFERROR(__xludf.DUMMYFUNCTION("""COMPUTED_VALUE"""),"Pradeep Kothari")</f>
        <v>Pradeep Kothari</v>
      </c>
      <c r="C3379" s="115" t="str">
        <f>IFERROR(__xludf.DUMMYFUNCTION("""COMPUTED_VALUE"""),"EXTERNAL")</f>
        <v>EXTERNAL</v>
      </c>
      <c r="D3379" s="115">
        <f>IFERROR(__xludf.DUMMYFUNCTION("""COMPUTED_VALUE"""),18877.0)</f>
        <v>18877</v>
      </c>
      <c r="E3379" s="115">
        <f>IFERROR(__xludf.DUMMYFUNCTION("""COMPUTED_VALUE"""),1896.0)</f>
        <v>1896</v>
      </c>
      <c r="F3379" s="115">
        <f>IFERROR(__xludf.DUMMYFUNCTION("""COMPUTED_VALUE"""),7818.0)</f>
        <v>7818</v>
      </c>
      <c r="G3379" s="115">
        <f>IFERROR(__xludf.DUMMYFUNCTION("""COMPUTED_VALUE"""),874.0)</f>
        <v>874</v>
      </c>
      <c r="H3379" s="116">
        <f>IFERROR(__xludf.DUMMYFUNCTION("""COMPUTED_VALUE"""),45906.0)</f>
        <v>45906</v>
      </c>
      <c r="I3379" s="115" t="str">
        <f>IFERROR(__xludf.DUMMYFUNCTION("""COMPUTED_VALUE"""),"22")</f>
        <v>22</v>
      </c>
      <c r="J3379" s="115" t="str">
        <f>IFERROR(__xludf.DUMMYFUNCTION("""COMPUTED_VALUE"""),"Pradeep Kothari2025-09-0622")</f>
        <v>Pradeep Kothari2025-09-0622</v>
      </c>
      <c r="K3379" s="115">
        <f>IFERROR(__xludf.DUMMYFUNCTION("""COMPUTED_VALUE"""),20773.0)</f>
        <v>20773</v>
      </c>
    </row>
    <row r="3380">
      <c r="A3380" s="115" t="str">
        <f>IFERROR(__xludf.DUMMYFUNCTION("""COMPUTED_VALUE"""),"NORTH")</f>
        <v>NORTH</v>
      </c>
      <c r="B3380" s="115" t="str">
        <f>IFERROR(__xludf.DUMMYFUNCTION("""COMPUTED_VALUE"""),"Pradeep Kothari")</f>
        <v>Pradeep Kothari</v>
      </c>
      <c r="C3380" s="115" t="str">
        <f>IFERROR(__xludf.DUMMYFUNCTION("""COMPUTED_VALUE"""),"FLIPKART")</f>
        <v>FLIPKART</v>
      </c>
      <c r="D3380" s="115">
        <f>IFERROR(__xludf.DUMMYFUNCTION("""COMPUTED_VALUE"""),135368.0)</f>
        <v>135368</v>
      </c>
      <c r="E3380" s="115">
        <f>IFERROR(__xludf.DUMMYFUNCTION("""COMPUTED_VALUE"""),16672.0)</f>
        <v>16672</v>
      </c>
      <c r="F3380" s="115">
        <f>IFERROR(__xludf.DUMMYFUNCTION("""COMPUTED_VALUE"""),101121.0)</f>
        <v>101121</v>
      </c>
      <c r="G3380" s="115">
        <f>IFERROR(__xludf.DUMMYFUNCTION("""COMPUTED_VALUE"""),11309.0)</f>
        <v>11309</v>
      </c>
      <c r="H3380" s="116">
        <f>IFERROR(__xludf.DUMMYFUNCTION("""COMPUTED_VALUE"""),45906.0)</f>
        <v>45906</v>
      </c>
      <c r="I3380" s="115" t="str">
        <f>IFERROR(__xludf.DUMMYFUNCTION("""COMPUTED_VALUE"""),"22")</f>
        <v>22</v>
      </c>
      <c r="J3380" s="115" t="str">
        <f>IFERROR(__xludf.DUMMYFUNCTION("""COMPUTED_VALUE"""),"Pradeep Kothari2025-09-0622")</f>
        <v>Pradeep Kothari2025-09-0622</v>
      </c>
      <c r="K3380" s="115">
        <f>IFERROR(__xludf.DUMMYFUNCTION("""COMPUTED_VALUE"""),152040.0)</f>
        <v>152040</v>
      </c>
    </row>
    <row r="3381">
      <c r="A3381" s="115" t="str">
        <f>IFERROR(__xludf.DUMMYFUNCTION("""COMPUTED_VALUE"""),"NORTH")</f>
        <v>NORTH</v>
      </c>
      <c r="B3381" s="115" t="str">
        <f>IFERROR(__xludf.DUMMYFUNCTION("""COMPUTED_VALUE"""),"Pradeep Kothari")</f>
        <v>Pradeep Kothari</v>
      </c>
      <c r="C3381" s="115" t="str">
        <f>IFERROR(__xludf.DUMMYFUNCTION("""COMPUTED_VALUE"""),"MYNTRA")</f>
        <v>MYNTRA</v>
      </c>
      <c r="D3381" s="115">
        <f>IFERROR(__xludf.DUMMYFUNCTION("""COMPUTED_VALUE"""),23338.0)</f>
        <v>23338</v>
      </c>
      <c r="E3381" s="115">
        <f>IFERROR(__xludf.DUMMYFUNCTION("""COMPUTED_VALUE"""),6064.0)</f>
        <v>6064</v>
      </c>
      <c r="F3381" s="115">
        <f>IFERROR(__xludf.DUMMYFUNCTION("""COMPUTED_VALUE"""),19333.0)</f>
        <v>19333</v>
      </c>
      <c r="G3381" s="115">
        <f>IFERROR(__xludf.DUMMYFUNCTION("""COMPUTED_VALUE"""),4407.0)</f>
        <v>4407</v>
      </c>
      <c r="H3381" s="116">
        <f>IFERROR(__xludf.DUMMYFUNCTION("""COMPUTED_VALUE"""),45906.0)</f>
        <v>45906</v>
      </c>
      <c r="I3381" s="115" t="str">
        <f>IFERROR(__xludf.DUMMYFUNCTION("""COMPUTED_VALUE"""),"22")</f>
        <v>22</v>
      </c>
      <c r="J3381" s="115" t="str">
        <f>IFERROR(__xludf.DUMMYFUNCTION("""COMPUTED_VALUE"""),"Pradeep Kothari2025-09-0622")</f>
        <v>Pradeep Kothari2025-09-0622</v>
      </c>
      <c r="K3381" s="115">
        <f>IFERROR(__xludf.DUMMYFUNCTION("""COMPUTED_VALUE"""),29402.0)</f>
        <v>29402</v>
      </c>
    </row>
    <row r="3382">
      <c r="A3382" s="115" t="str">
        <f>IFERROR(__xludf.DUMMYFUNCTION("""COMPUTED_VALUE"""),"SOUTH")</f>
        <v>SOUTH</v>
      </c>
      <c r="B3382" s="115" t="str">
        <f>IFERROR(__xludf.DUMMYFUNCTION("""COMPUTED_VALUE"""),"Kandula Sampath")</f>
        <v>Kandula Sampath</v>
      </c>
      <c r="C3382" s="115" t="str">
        <f>IFERROR(__xludf.DUMMYFUNCTION("""COMPUTED_VALUE"""),"EXTERNAL")</f>
        <v>EXTERNAL</v>
      </c>
      <c r="D3382" s="115">
        <f>IFERROR(__xludf.DUMMYFUNCTION("""COMPUTED_VALUE"""),34751.0)</f>
        <v>34751</v>
      </c>
      <c r="E3382" s="115">
        <f>IFERROR(__xludf.DUMMYFUNCTION("""COMPUTED_VALUE"""),2984.0)</f>
        <v>2984</v>
      </c>
      <c r="F3382" s="115">
        <f>IFERROR(__xludf.DUMMYFUNCTION("""COMPUTED_VALUE"""),15957.0)</f>
        <v>15957</v>
      </c>
      <c r="G3382" s="115">
        <f>IFERROR(__xludf.DUMMYFUNCTION("""COMPUTED_VALUE"""),1414.0)</f>
        <v>1414</v>
      </c>
      <c r="H3382" s="116">
        <f>IFERROR(__xludf.DUMMYFUNCTION("""COMPUTED_VALUE"""),45906.0)</f>
        <v>45906</v>
      </c>
      <c r="I3382" s="115" t="str">
        <f>IFERROR(__xludf.DUMMYFUNCTION("""COMPUTED_VALUE"""),"22")</f>
        <v>22</v>
      </c>
      <c r="J3382" s="115" t="str">
        <f>IFERROR(__xludf.DUMMYFUNCTION("""COMPUTED_VALUE"""),"Kandula Sampath2025-09-0622")</f>
        <v>Kandula Sampath2025-09-0622</v>
      </c>
      <c r="K3382" s="115">
        <f>IFERROR(__xludf.DUMMYFUNCTION("""COMPUTED_VALUE"""),37735.0)</f>
        <v>37735</v>
      </c>
    </row>
    <row r="3383">
      <c r="A3383" s="115" t="str">
        <f>IFERROR(__xludf.DUMMYFUNCTION("""COMPUTED_VALUE"""),"SOUTH")</f>
        <v>SOUTH</v>
      </c>
      <c r="B3383" s="115" t="str">
        <f>IFERROR(__xludf.DUMMYFUNCTION("""COMPUTED_VALUE"""),"Kandula Sampath")</f>
        <v>Kandula Sampath</v>
      </c>
      <c r="C3383" s="115" t="str">
        <f>IFERROR(__xludf.DUMMYFUNCTION("""COMPUTED_VALUE"""),"FLIPKART")</f>
        <v>FLIPKART</v>
      </c>
      <c r="D3383" s="115">
        <f>IFERROR(__xludf.DUMMYFUNCTION("""COMPUTED_VALUE"""),309662.0)</f>
        <v>309662</v>
      </c>
      <c r="E3383" s="115">
        <f>IFERROR(__xludf.DUMMYFUNCTION("""COMPUTED_VALUE"""),28857.0)</f>
        <v>28857</v>
      </c>
      <c r="F3383" s="115">
        <f>IFERROR(__xludf.DUMMYFUNCTION("""COMPUTED_VALUE"""),234042.0)</f>
        <v>234042</v>
      </c>
      <c r="G3383" s="115">
        <f>IFERROR(__xludf.DUMMYFUNCTION("""COMPUTED_VALUE"""),19111.0)</f>
        <v>19111</v>
      </c>
      <c r="H3383" s="116">
        <f>IFERROR(__xludf.DUMMYFUNCTION("""COMPUTED_VALUE"""),45906.0)</f>
        <v>45906</v>
      </c>
      <c r="I3383" s="115" t="str">
        <f>IFERROR(__xludf.DUMMYFUNCTION("""COMPUTED_VALUE"""),"22")</f>
        <v>22</v>
      </c>
      <c r="J3383" s="115" t="str">
        <f>IFERROR(__xludf.DUMMYFUNCTION("""COMPUTED_VALUE"""),"Kandula Sampath2025-09-0622")</f>
        <v>Kandula Sampath2025-09-0622</v>
      </c>
      <c r="K3383" s="115">
        <f>IFERROR(__xludf.DUMMYFUNCTION("""COMPUTED_VALUE"""),338519.0)</f>
        <v>338519</v>
      </c>
    </row>
    <row r="3384">
      <c r="A3384" s="115" t="str">
        <f>IFERROR(__xludf.DUMMYFUNCTION("""COMPUTED_VALUE"""),"SOUTH")</f>
        <v>SOUTH</v>
      </c>
      <c r="B3384" s="115" t="str">
        <f>IFERROR(__xludf.DUMMYFUNCTION("""COMPUTED_VALUE"""),"Kandula Sampath")</f>
        <v>Kandula Sampath</v>
      </c>
      <c r="C3384" s="115" t="str">
        <f>IFERROR(__xludf.DUMMYFUNCTION("""COMPUTED_VALUE"""),"MYNTRA")</f>
        <v>MYNTRA</v>
      </c>
      <c r="D3384" s="115">
        <f>IFERROR(__xludf.DUMMYFUNCTION("""COMPUTED_VALUE"""),36712.0)</f>
        <v>36712</v>
      </c>
      <c r="E3384" s="115">
        <f>IFERROR(__xludf.DUMMYFUNCTION("""COMPUTED_VALUE"""),7572.0)</f>
        <v>7572</v>
      </c>
      <c r="F3384" s="115">
        <f>IFERROR(__xludf.DUMMYFUNCTION("""COMPUTED_VALUE"""),30358.0)</f>
        <v>30358</v>
      </c>
      <c r="G3384" s="115">
        <f>IFERROR(__xludf.DUMMYFUNCTION("""COMPUTED_VALUE"""),5210.0)</f>
        <v>5210</v>
      </c>
      <c r="H3384" s="116">
        <f>IFERROR(__xludf.DUMMYFUNCTION("""COMPUTED_VALUE"""),45906.0)</f>
        <v>45906</v>
      </c>
      <c r="I3384" s="115" t="str">
        <f>IFERROR(__xludf.DUMMYFUNCTION("""COMPUTED_VALUE"""),"22")</f>
        <v>22</v>
      </c>
      <c r="J3384" s="115" t="str">
        <f>IFERROR(__xludf.DUMMYFUNCTION("""COMPUTED_VALUE"""),"Kandula Sampath2025-09-0622")</f>
        <v>Kandula Sampath2025-09-0622</v>
      </c>
      <c r="K3384" s="115">
        <f>IFERROR(__xludf.DUMMYFUNCTION("""COMPUTED_VALUE"""),44284.0)</f>
        <v>44284</v>
      </c>
    </row>
    <row r="3385">
      <c r="A3385" s="115" t="str">
        <f>IFERROR(__xludf.DUMMYFUNCTION("""COMPUTED_VALUE"""),"SOUTH")</f>
        <v>SOUTH</v>
      </c>
      <c r="B3385" s="115" t="str">
        <f>IFERROR(__xludf.DUMMYFUNCTION("""COMPUTED_VALUE"""),"Martin A")</f>
        <v>Martin A</v>
      </c>
      <c r="C3385" s="115" t="str">
        <f>IFERROR(__xludf.DUMMYFUNCTION("""COMPUTED_VALUE"""),"EXTERNAL")</f>
        <v>EXTERNAL</v>
      </c>
      <c r="D3385" s="115">
        <f>IFERROR(__xludf.DUMMYFUNCTION("""COMPUTED_VALUE"""),35524.0)</f>
        <v>35524</v>
      </c>
      <c r="E3385" s="115">
        <f>IFERROR(__xludf.DUMMYFUNCTION("""COMPUTED_VALUE"""),3322.0)</f>
        <v>3322</v>
      </c>
      <c r="F3385" s="115">
        <f>IFERROR(__xludf.DUMMYFUNCTION("""COMPUTED_VALUE"""),15596.0)</f>
        <v>15596</v>
      </c>
      <c r="G3385" s="115">
        <f>IFERROR(__xludf.DUMMYFUNCTION("""COMPUTED_VALUE"""),1873.0)</f>
        <v>1873</v>
      </c>
      <c r="H3385" s="116">
        <f>IFERROR(__xludf.DUMMYFUNCTION("""COMPUTED_VALUE"""),45906.0)</f>
        <v>45906</v>
      </c>
      <c r="I3385" s="115" t="str">
        <f>IFERROR(__xludf.DUMMYFUNCTION("""COMPUTED_VALUE"""),"22")</f>
        <v>22</v>
      </c>
      <c r="J3385" s="115" t="str">
        <f>IFERROR(__xludf.DUMMYFUNCTION("""COMPUTED_VALUE"""),"Martin A2025-09-0622")</f>
        <v>Martin A2025-09-0622</v>
      </c>
      <c r="K3385" s="115">
        <f>IFERROR(__xludf.DUMMYFUNCTION("""COMPUTED_VALUE"""),38846.0)</f>
        <v>38846</v>
      </c>
    </row>
    <row r="3386">
      <c r="A3386" s="115" t="str">
        <f>IFERROR(__xludf.DUMMYFUNCTION("""COMPUTED_VALUE"""),"SOUTH")</f>
        <v>SOUTH</v>
      </c>
      <c r="B3386" s="115" t="str">
        <f>IFERROR(__xludf.DUMMYFUNCTION("""COMPUTED_VALUE"""),"Martin A")</f>
        <v>Martin A</v>
      </c>
      <c r="C3386" s="115" t="str">
        <f>IFERROR(__xludf.DUMMYFUNCTION("""COMPUTED_VALUE"""),"FLIPKART")</f>
        <v>FLIPKART</v>
      </c>
      <c r="D3386" s="115">
        <f>IFERROR(__xludf.DUMMYFUNCTION("""COMPUTED_VALUE"""),298962.0)</f>
        <v>298962</v>
      </c>
      <c r="E3386" s="115">
        <f>IFERROR(__xludf.DUMMYFUNCTION("""COMPUTED_VALUE"""),26206.0)</f>
        <v>26206</v>
      </c>
      <c r="F3386" s="115">
        <f>IFERROR(__xludf.DUMMYFUNCTION("""COMPUTED_VALUE"""),222362.0)</f>
        <v>222362</v>
      </c>
      <c r="G3386" s="115">
        <f>IFERROR(__xludf.DUMMYFUNCTION("""COMPUTED_VALUE"""),17578.0)</f>
        <v>17578</v>
      </c>
      <c r="H3386" s="116">
        <f>IFERROR(__xludf.DUMMYFUNCTION("""COMPUTED_VALUE"""),45906.0)</f>
        <v>45906</v>
      </c>
      <c r="I3386" s="115" t="str">
        <f>IFERROR(__xludf.DUMMYFUNCTION("""COMPUTED_VALUE"""),"22")</f>
        <v>22</v>
      </c>
      <c r="J3386" s="115" t="str">
        <f>IFERROR(__xludf.DUMMYFUNCTION("""COMPUTED_VALUE"""),"Martin A2025-09-0622")</f>
        <v>Martin A2025-09-0622</v>
      </c>
      <c r="K3386" s="115">
        <f>IFERROR(__xludf.DUMMYFUNCTION("""COMPUTED_VALUE"""),325168.0)</f>
        <v>325168</v>
      </c>
    </row>
    <row r="3387">
      <c r="A3387" s="115" t="str">
        <f>IFERROR(__xludf.DUMMYFUNCTION("""COMPUTED_VALUE"""),"SOUTH")</f>
        <v>SOUTH</v>
      </c>
      <c r="B3387" s="115" t="str">
        <f>IFERROR(__xludf.DUMMYFUNCTION("""COMPUTED_VALUE"""),"Martin A")</f>
        <v>Martin A</v>
      </c>
      <c r="C3387" s="115" t="str">
        <f>IFERROR(__xludf.DUMMYFUNCTION("""COMPUTED_VALUE"""),"MYNTRA")</f>
        <v>MYNTRA</v>
      </c>
      <c r="D3387" s="115">
        <f>IFERROR(__xludf.DUMMYFUNCTION("""COMPUTED_VALUE"""),29659.0)</f>
        <v>29659</v>
      </c>
      <c r="E3387" s="115">
        <f>IFERROR(__xludf.DUMMYFUNCTION("""COMPUTED_VALUE"""),6370.0)</f>
        <v>6370</v>
      </c>
      <c r="F3387" s="115">
        <f>IFERROR(__xludf.DUMMYFUNCTION("""COMPUTED_VALUE"""),24870.0)</f>
        <v>24870</v>
      </c>
      <c r="G3387" s="115">
        <f>IFERROR(__xludf.DUMMYFUNCTION("""COMPUTED_VALUE"""),4415.0)</f>
        <v>4415</v>
      </c>
      <c r="H3387" s="116">
        <f>IFERROR(__xludf.DUMMYFUNCTION("""COMPUTED_VALUE"""),45906.0)</f>
        <v>45906</v>
      </c>
      <c r="I3387" s="115" t="str">
        <f>IFERROR(__xludf.DUMMYFUNCTION("""COMPUTED_VALUE"""),"22")</f>
        <v>22</v>
      </c>
      <c r="J3387" s="115" t="str">
        <f>IFERROR(__xludf.DUMMYFUNCTION("""COMPUTED_VALUE"""),"Martin A2025-09-0622")</f>
        <v>Martin A2025-09-0622</v>
      </c>
      <c r="K3387" s="115">
        <f>IFERROR(__xludf.DUMMYFUNCTION("""COMPUTED_VALUE"""),36029.0)</f>
        <v>36029</v>
      </c>
    </row>
    <row r="3388">
      <c r="A3388" s="115" t="str">
        <f>IFERROR(__xludf.DUMMYFUNCTION("""COMPUTED_VALUE"""),"SOUTH")</f>
        <v>SOUTH</v>
      </c>
      <c r="B3388" s="115" t="str">
        <f>IFERROR(__xludf.DUMMYFUNCTION("""COMPUTED_VALUE"""),"Premkumar M")</f>
        <v>Premkumar M</v>
      </c>
      <c r="C3388" s="115" t="str">
        <f>IFERROR(__xludf.DUMMYFUNCTION("""COMPUTED_VALUE"""),"EXTERNAL")</f>
        <v>EXTERNAL</v>
      </c>
      <c r="D3388" s="115">
        <f>IFERROR(__xludf.DUMMYFUNCTION("""COMPUTED_VALUE"""),30368.0)</f>
        <v>30368</v>
      </c>
      <c r="E3388" s="115">
        <f>IFERROR(__xludf.DUMMYFUNCTION("""COMPUTED_VALUE"""),1793.0)</f>
        <v>1793</v>
      </c>
      <c r="F3388" s="115">
        <f>IFERROR(__xludf.DUMMYFUNCTION("""COMPUTED_VALUE"""),16221.0)</f>
        <v>16221</v>
      </c>
      <c r="G3388" s="115">
        <f>IFERROR(__xludf.DUMMYFUNCTION("""COMPUTED_VALUE"""),845.0)</f>
        <v>845</v>
      </c>
      <c r="H3388" s="116">
        <f>IFERROR(__xludf.DUMMYFUNCTION("""COMPUTED_VALUE"""),45906.0)</f>
        <v>45906</v>
      </c>
      <c r="I3388" s="115" t="str">
        <f>IFERROR(__xludf.DUMMYFUNCTION("""COMPUTED_VALUE"""),"22")</f>
        <v>22</v>
      </c>
      <c r="J3388" s="115" t="str">
        <f>IFERROR(__xludf.DUMMYFUNCTION("""COMPUTED_VALUE"""),"Premkumar M2025-09-0622")</f>
        <v>Premkumar M2025-09-0622</v>
      </c>
      <c r="K3388" s="115">
        <f>IFERROR(__xludf.DUMMYFUNCTION("""COMPUTED_VALUE"""),32161.0)</f>
        <v>32161</v>
      </c>
    </row>
    <row r="3389">
      <c r="A3389" s="115" t="str">
        <f>IFERROR(__xludf.DUMMYFUNCTION("""COMPUTED_VALUE"""),"SOUTH")</f>
        <v>SOUTH</v>
      </c>
      <c r="B3389" s="115" t="str">
        <f>IFERROR(__xludf.DUMMYFUNCTION("""COMPUTED_VALUE"""),"Premkumar M")</f>
        <v>Premkumar M</v>
      </c>
      <c r="C3389" s="115" t="str">
        <f>IFERROR(__xludf.DUMMYFUNCTION("""COMPUTED_VALUE"""),"FLIPKART")</f>
        <v>FLIPKART</v>
      </c>
      <c r="D3389" s="115">
        <f>IFERROR(__xludf.DUMMYFUNCTION("""COMPUTED_VALUE"""),279763.0)</f>
        <v>279763</v>
      </c>
      <c r="E3389" s="115">
        <f>IFERROR(__xludf.DUMMYFUNCTION("""COMPUTED_VALUE"""),19958.0)</f>
        <v>19958</v>
      </c>
      <c r="F3389" s="115">
        <f>IFERROR(__xludf.DUMMYFUNCTION("""COMPUTED_VALUE"""),221242.0)</f>
        <v>221242</v>
      </c>
      <c r="G3389" s="115">
        <f>IFERROR(__xludf.DUMMYFUNCTION("""COMPUTED_VALUE"""),12304.0)</f>
        <v>12304</v>
      </c>
      <c r="H3389" s="116">
        <f>IFERROR(__xludf.DUMMYFUNCTION("""COMPUTED_VALUE"""),45906.0)</f>
        <v>45906</v>
      </c>
      <c r="I3389" s="115" t="str">
        <f>IFERROR(__xludf.DUMMYFUNCTION("""COMPUTED_VALUE"""),"22")</f>
        <v>22</v>
      </c>
      <c r="J3389" s="115" t="str">
        <f>IFERROR(__xludf.DUMMYFUNCTION("""COMPUTED_VALUE"""),"Premkumar M2025-09-0622")</f>
        <v>Premkumar M2025-09-0622</v>
      </c>
      <c r="K3389" s="115">
        <f>IFERROR(__xludf.DUMMYFUNCTION("""COMPUTED_VALUE"""),299721.0)</f>
        <v>299721</v>
      </c>
    </row>
    <row r="3390">
      <c r="A3390" s="115" t="str">
        <f>IFERROR(__xludf.DUMMYFUNCTION("""COMPUTED_VALUE"""),"SOUTH")</f>
        <v>SOUTH</v>
      </c>
      <c r="B3390" s="115" t="str">
        <f>IFERROR(__xludf.DUMMYFUNCTION("""COMPUTED_VALUE"""),"Premkumar M")</f>
        <v>Premkumar M</v>
      </c>
      <c r="C3390" s="115" t="str">
        <f>IFERROR(__xludf.DUMMYFUNCTION("""COMPUTED_VALUE"""),"MYNTRA")</f>
        <v>MYNTRA</v>
      </c>
      <c r="D3390" s="115">
        <f>IFERROR(__xludf.DUMMYFUNCTION("""COMPUTED_VALUE"""),15728.0)</f>
        <v>15728</v>
      </c>
      <c r="E3390" s="115">
        <f>IFERROR(__xludf.DUMMYFUNCTION("""COMPUTED_VALUE"""),3066.0)</f>
        <v>3066</v>
      </c>
      <c r="F3390" s="115">
        <f>IFERROR(__xludf.DUMMYFUNCTION("""COMPUTED_VALUE"""),13589.0)</f>
        <v>13589</v>
      </c>
      <c r="G3390" s="115">
        <f>IFERROR(__xludf.DUMMYFUNCTION("""COMPUTED_VALUE"""),1956.0)</f>
        <v>1956</v>
      </c>
      <c r="H3390" s="116">
        <f>IFERROR(__xludf.DUMMYFUNCTION("""COMPUTED_VALUE"""),45906.0)</f>
        <v>45906</v>
      </c>
      <c r="I3390" s="115" t="str">
        <f>IFERROR(__xludf.DUMMYFUNCTION("""COMPUTED_VALUE"""),"22")</f>
        <v>22</v>
      </c>
      <c r="J3390" s="115" t="str">
        <f>IFERROR(__xludf.DUMMYFUNCTION("""COMPUTED_VALUE"""),"Premkumar M2025-09-0622")</f>
        <v>Premkumar M2025-09-0622</v>
      </c>
      <c r="K3390" s="115">
        <f>IFERROR(__xludf.DUMMYFUNCTION("""COMPUTED_VALUE"""),18794.0)</f>
        <v>18794</v>
      </c>
    </row>
    <row r="3391">
      <c r="A3391" s="115" t="str">
        <f>IFERROR(__xludf.DUMMYFUNCTION("""COMPUTED_VALUE"""),"SOUTH")</f>
        <v>SOUTH</v>
      </c>
      <c r="B3391" s="115" t="str">
        <f>IFERROR(__xludf.DUMMYFUNCTION("""COMPUTED_VALUE"""),"Vineeth V")</f>
        <v>Vineeth V</v>
      </c>
      <c r="C3391" s="115" t="str">
        <f>IFERROR(__xludf.DUMMYFUNCTION("""COMPUTED_VALUE"""),"EXTERNAL")</f>
        <v>EXTERNAL</v>
      </c>
      <c r="D3391" s="115">
        <f>IFERROR(__xludf.DUMMYFUNCTION("""COMPUTED_VALUE"""),26784.0)</f>
        <v>26784</v>
      </c>
      <c r="E3391" s="115">
        <f>IFERROR(__xludf.DUMMYFUNCTION("""COMPUTED_VALUE"""),702.0)</f>
        <v>702</v>
      </c>
      <c r="F3391" s="115">
        <f>IFERROR(__xludf.DUMMYFUNCTION("""COMPUTED_VALUE"""),15060.0)</f>
        <v>15060</v>
      </c>
      <c r="G3391" s="115">
        <f>IFERROR(__xludf.DUMMYFUNCTION("""COMPUTED_VALUE"""),355.0)</f>
        <v>355</v>
      </c>
      <c r="H3391" s="116">
        <f>IFERROR(__xludf.DUMMYFUNCTION("""COMPUTED_VALUE"""),45906.0)</f>
        <v>45906</v>
      </c>
      <c r="I3391" s="115" t="str">
        <f>IFERROR(__xludf.DUMMYFUNCTION("""COMPUTED_VALUE"""),"22")</f>
        <v>22</v>
      </c>
      <c r="J3391" s="115" t="str">
        <f>IFERROR(__xludf.DUMMYFUNCTION("""COMPUTED_VALUE"""),"Vineeth V2025-09-0622")</f>
        <v>Vineeth V2025-09-0622</v>
      </c>
      <c r="K3391" s="115">
        <f>IFERROR(__xludf.DUMMYFUNCTION("""COMPUTED_VALUE"""),27486.0)</f>
        <v>27486</v>
      </c>
    </row>
    <row r="3392">
      <c r="A3392" s="115" t="str">
        <f>IFERROR(__xludf.DUMMYFUNCTION("""COMPUTED_VALUE"""),"SOUTH")</f>
        <v>SOUTH</v>
      </c>
      <c r="B3392" s="115" t="str">
        <f>IFERROR(__xludf.DUMMYFUNCTION("""COMPUTED_VALUE"""),"Vineeth V")</f>
        <v>Vineeth V</v>
      </c>
      <c r="C3392" s="115" t="str">
        <f>IFERROR(__xludf.DUMMYFUNCTION("""COMPUTED_VALUE"""),"FLIPKART")</f>
        <v>FLIPKART</v>
      </c>
      <c r="D3392" s="115">
        <f>IFERROR(__xludf.DUMMYFUNCTION("""COMPUTED_VALUE"""),219245.0)</f>
        <v>219245</v>
      </c>
      <c r="E3392" s="115">
        <f>IFERROR(__xludf.DUMMYFUNCTION("""COMPUTED_VALUE"""),16173.0)</f>
        <v>16173</v>
      </c>
      <c r="F3392" s="115">
        <f>IFERROR(__xludf.DUMMYFUNCTION("""COMPUTED_VALUE"""),179772.0)</f>
        <v>179772</v>
      </c>
      <c r="G3392" s="115">
        <f>IFERROR(__xludf.DUMMYFUNCTION("""COMPUTED_VALUE"""),8923.0)</f>
        <v>8923</v>
      </c>
      <c r="H3392" s="116">
        <f>IFERROR(__xludf.DUMMYFUNCTION("""COMPUTED_VALUE"""),45906.0)</f>
        <v>45906</v>
      </c>
      <c r="I3392" s="115" t="str">
        <f>IFERROR(__xludf.DUMMYFUNCTION("""COMPUTED_VALUE"""),"22")</f>
        <v>22</v>
      </c>
      <c r="J3392" s="115" t="str">
        <f>IFERROR(__xludf.DUMMYFUNCTION("""COMPUTED_VALUE"""),"Vineeth V2025-09-0622")</f>
        <v>Vineeth V2025-09-0622</v>
      </c>
      <c r="K3392" s="115">
        <f>IFERROR(__xludf.DUMMYFUNCTION("""COMPUTED_VALUE"""),235418.0)</f>
        <v>235418</v>
      </c>
    </row>
    <row r="3393">
      <c r="A3393" s="115" t="str">
        <f>IFERROR(__xludf.DUMMYFUNCTION("""COMPUTED_VALUE"""),"SOUTH")</f>
        <v>SOUTH</v>
      </c>
      <c r="B3393" s="115" t="str">
        <f>IFERROR(__xludf.DUMMYFUNCTION("""COMPUTED_VALUE"""),"Vineeth V")</f>
        <v>Vineeth V</v>
      </c>
      <c r="C3393" s="115" t="str">
        <f>IFERROR(__xludf.DUMMYFUNCTION("""COMPUTED_VALUE"""),"MYNTRA")</f>
        <v>MYNTRA</v>
      </c>
      <c r="D3393" s="115">
        <f>IFERROR(__xludf.DUMMYFUNCTION("""COMPUTED_VALUE"""),28494.0)</f>
        <v>28494</v>
      </c>
      <c r="E3393" s="115">
        <f>IFERROR(__xludf.DUMMYFUNCTION("""COMPUTED_VALUE"""),4126.0)</f>
        <v>4126</v>
      </c>
      <c r="F3393" s="115">
        <f>IFERROR(__xludf.DUMMYFUNCTION("""COMPUTED_VALUE"""),24977.0)</f>
        <v>24977</v>
      </c>
      <c r="G3393" s="115">
        <f>IFERROR(__xludf.DUMMYFUNCTION("""COMPUTED_VALUE"""),2517.0)</f>
        <v>2517</v>
      </c>
      <c r="H3393" s="116">
        <f>IFERROR(__xludf.DUMMYFUNCTION("""COMPUTED_VALUE"""),45906.0)</f>
        <v>45906</v>
      </c>
      <c r="I3393" s="115" t="str">
        <f>IFERROR(__xludf.DUMMYFUNCTION("""COMPUTED_VALUE"""),"22")</f>
        <v>22</v>
      </c>
      <c r="J3393" s="115" t="str">
        <f>IFERROR(__xludf.DUMMYFUNCTION("""COMPUTED_VALUE"""),"Vineeth V2025-09-0622")</f>
        <v>Vineeth V2025-09-0622</v>
      </c>
      <c r="K3393" s="115">
        <f>IFERROR(__xludf.DUMMYFUNCTION("""COMPUTED_VALUE"""),32620.0)</f>
        <v>32620</v>
      </c>
    </row>
    <row r="3394">
      <c r="A3394" s="115" t="str">
        <f>IFERROR(__xludf.DUMMYFUNCTION("""COMPUTED_VALUE"""),"WEST")</f>
        <v>WEST</v>
      </c>
      <c r="B3394" s="115" t="str">
        <f>IFERROR(__xludf.DUMMYFUNCTION("""COMPUTED_VALUE"""),"Ashish Jakar")</f>
        <v>Ashish Jakar</v>
      </c>
      <c r="C3394" s="115" t="str">
        <f>IFERROR(__xludf.DUMMYFUNCTION("""COMPUTED_VALUE"""),"EXTERNAL")</f>
        <v>EXTERNAL</v>
      </c>
      <c r="D3394" s="115">
        <f>IFERROR(__xludf.DUMMYFUNCTION("""COMPUTED_VALUE"""),48100.0)</f>
        <v>48100</v>
      </c>
      <c r="E3394" s="115">
        <f>IFERROR(__xludf.DUMMYFUNCTION("""COMPUTED_VALUE"""),5594.0)</f>
        <v>5594</v>
      </c>
      <c r="F3394" s="115">
        <f>IFERROR(__xludf.DUMMYFUNCTION("""COMPUTED_VALUE"""),21079.0)</f>
        <v>21079</v>
      </c>
      <c r="G3394" s="115">
        <f>IFERROR(__xludf.DUMMYFUNCTION("""COMPUTED_VALUE"""),2715.0)</f>
        <v>2715</v>
      </c>
      <c r="H3394" s="116">
        <f>IFERROR(__xludf.DUMMYFUNCTION("""COMPUTED_VALUE"""),45906.0)</f>
        <v>45906</v>
      </c>
      <c r="I3394" s="115" t="str">
        <f>IFERROR(__xludf.DUMMYFUNCTION("""COMPUTED_VALUE"""),"22")</f>
        <v>22</v>
      </c>
      <c r="J3394" s="115" t="str">
        <f>IFERROR(__xludf.DUMMYFUNCTION("""COMPUTED_VALUE"""),"Ashish Jakar2025-09-0622")</f>
        <v>Ashish Jakar2025-09-0622</v>
      </c>
      <c r="K3394" s="115">
        <f>IFERROR(__xludf.DUMMYFUNCTION("""COMPUTED_VALUE"""),53694.0)</f>
        <v>53694</v>
      </c>
    </row>
    <row r="3395">
      <c r="A3395" s="115" t="str">
        <f>IFERROR(__xludf.DUMMYFUNCTION("""COMPUTED_VALUE"""),"WEST")</f>
        <v>WEST</v>
      </c>
      <c r="B3395" s="115" t="str">
        <f>IFERROR(__xludf.DUMMYFUNCTION("""COMPUTED_VALUE"""),"Ashish Jakar")</f>
        <v>Ashish Jakar</v>
      </c>
      <c r="C3395" s="115" t="str">
        <f>IFERROR(__xludf.DUMMYFUNCTION("""COMPUTED_VALUE"""),"FLIPKART")</f>
        <v>FLIPKART</v>
      </c>
      <c r="D3395" s="115">
        <f>IFERROR(__xludf.DUMMYFUNCTION("""COMPUTED_VALUE"""),236435.0)</f>
        <v>236435</v>
      </c>
      <c r="E3395" s="115">
        <f>IFERROR(__xludf.DUMMYFUNCTION("""COMPUTED_VALUE"""),27820.0)</f>
        <v>27820</v>
      </c>
      <c r="F3395" s="115">
        <f>IFERROR(__xludf.DUMMYFUNCTION("""COMPUTED_VALUE"""),173517.0)</f>
        <v>173517</v>
      </c>
      <c r="G3395" s="115">
        <f>IFERROR(__xludf.DUMMYFUNCTION("""COMPUTED_VALUE"""),18084.0)</f>
        <v>18084</v>
      </c>
      <c r="H3395" s="116">
        <f>IFERROR(__xludf.DUMMYFUNCTION("""COMPUTED_VALUE"""),45906.0)</f>
        <v>45906</v>
      </c>
      <c r="I3395" s="115" t="str">
        <f>IFERROR(__xludf.DUMMYFUNCTION("""COMPUTED_VALUE"""),"22")</f>
        <v>22</v>
      </c>
      <c r="J3395" s="115" t="str">
        <f>IFERROR(__xludf.DUMMYFUNCTION("""COMPUTED_VALUE"""),"Ashish Jakar2025-09-0622")</f>
        <v>Ashish Jakar2025-09-0622</v>
      </c>
      <c r="K3395" s="115">
        <f>IFERROR(__xludf.DUMMYFUNCTION("""COMPUTED_VALUE"""),264255.0)</f>
        <v>264255</v>
      </c>
    </row>
    <row r="3396">
      <c r="A3396" s="115" t="str">
        <f>IFERROR(__xludf.DUMMYFUNCTION("""COMPUTED_VALUE"""),"WEST")</f>
        <v>WEST</v>
      </c>
      <c r="B3396" s="115" t="str">
        <f>IFERROR(__xludf.DUMMYFUNCTION("""COMPUTED_VALUE"""),"Ashish Jakar")</f>
        <v>Ashish Jakar</v>
      </c>
      <c r="C3396" s="115" t="str">
        <f>IFERROR(__xludf.DUMMYFUNCTION("""COMPUTED_VALUE"""),"MYNTRA")</f>
        <v>MYNTRA</v>
      </c>
      <c r="D3396" s="115">
        <f>IFERROR(__xludf.DUMMYFUNCTION("""COMPUTED_VALUE"""),33898.0)</f>
        <v>33898</v>
      </c>
      <c r="E3396" s="115">
        <f>IFERROR(__xludf.DUMMYFUNCTION("""COMPUTED_VALUE"""),9021.0)</f>
        <v>9021</v>
      </c>
      <c r="F3396" s="115">
        <f>IFERROR(__xludf.DUMMYFUNCTION("""COMPUTED_VALUE"""),28467.0)</f>
        <v>28467</v>
      </c>
      <c r="G3396" s="115">
        <f>IFERROR(__xludf.DUMMYFUNCTION("""COMPUTED_VALUE"""),6202.0)</f>
        <v>6202</v>
      </c>
      <c r="H3396" s="116">
        <f>IFERROR(__xludf.DUMMYFUNCTION("""COMPUTED_VALUE"""),45906.0)</f>
        <v>45906</v>
      </c>
      <c r="I3396" s="115" t="str">
        <f>IFERROR(__xludf.DUMMYFUNCTION("""COMPUTED_VALUE"""),"22")</f>
        <v>22</v>
      </c>
      <c r="J3396" s="115" t="str">
        <f>IFERROR(__xludf.DUMMYFUNCTION("""COMPUTED_VALUE"""),"Ashish Jakar2025-09-0622")</f>
        <v>Ashish Jakar2025-09-0622</v>
      </c>
      <c r="K3396" s="115">
        <f>IFERROR(__xludf.DUMMYFUNCTION("""COMPUTED_VALUE"""),42919.0)</f>
        <v>42919</v>
      </c>
    </row>
    <row r="3397">
      <c r="A3397" s="115" t="str">
        <f>IFERROR(__xludf.DUMMYFUNCTION("""COMPUTED_VALUE"""),"WEST")</f>
        <v>WEST</v>
      </c>
      <c r="B3397" s="115" t="str">
        <f>IFERROR(__xludf.DUMMYFUNCTION("""COMPUTED_VALUE"""),"Ashvani Bhatt")</f>
        <v>Ashvani Bhatt</v>
      </c>
      <c r="C3397" s="115" t="str">
        <f>IFERROR(__xludf.DUMMYFUNCTION("""COMPUTED_VALUE"""),"EXTERNAL")</f>
        <v>EXTERNAL</v>
      </c>
      <c r="D3397" s="115">
        <f>IFERROR(__xludf.DUMMYFUNCTION("""COMPUTED_VALUE"""),35305.0)</f>
        <v>35305</v>
      </c>
      <c r="E3397" s="115">
        <f>IFERROR(__xludf.DUMMYFUNCTION("""COMPUTED_VALUE"""),2919.0)</f>
        <v>2919</v>
      </c>
      <c r="F3397" s="115">
        <f>IFERROR(__xludf.DUMMYFUNCTION("""COMPUTED_VALUE"""),14911.0)</f>
        <v>14911</v>
      </c>
      <c r="G3397" s="115">
        <f>IFERROR(__xludf.DUMMYFUNCTION("""COMPUTED_VALUE"""),1255.0)</f>
        <v>1255</v>
      </c>
      <c r="H3397" s="116">
        <f>IFERROR(__xludf.DUMMYFUNCTION("""COMPUTED_VALUE"""),45906.0)</f>
        <v>45906</v>
      </c>
      <c r="I3397" s="115" t="str">
        <f>IFERROR(__xludf.DUMMYFUNCTION("""COMPUTED_VALUE"""),"22")</f>
        <v>22</v>
      </c>
      <c r="J3397" s="115" t="str">
        <f>IFERROR(__xludf.DUMMYFUNCTION("""COMPUTED_VALUE"""),"Ashvani Bhatt2025-09-0622")</f>
        <v>Ashvani Bhatt2025-09-0622</v>
      </c>
      <c r="K3397" s="115">
        <f>IFERROR(__xludf.DUMMYFUNCTION("""COMPUTED_VALUE"""),38224.0)</f>
        <v>38224</v>
      </c>
    </row>
    <row r="3398">
      <c r="A3398" s="115" t="str">
        <f>IFERROR(__xludf.DUMMYFUNCTION("""COMPUTED_VALUE"""),"WEST")</f>
        <v>WEST</v>
      </c>
      <c r="B3398" s="115" t="str">
        <f>IFERROR(__xludf.DUMMYFUNCTION("""COMPUTED_VALUE"""),"Ashvani Bhatt")</f>
        <v>Ashvani Bhatt</v>
      </c>
      <c r="C3398" s="115" t="str">
        <f>IFERROR(__xludf.DUMMYFUNCTION("""COMPUTED_VALUE"""),"FLIPKART")</f>
        <v>FLIPKART</v>
      </c>
      <c r="D3398" s="115">
        <f>IFERROR(__xludf.DUMMYFUNCTION("""COMPUTED_VALUE"""),249788.0)</f>
        <v>249788</v>
      </c>
      <c r="E3398" s="115">
        <f>IFERROR(__xludf.DUMMYFUNCTION("""COMPUTED_VALUE"""),26929.0)</f>
        <v>26929</v>
      </c>
      <c r="F3398" s="115">
        <f>IFERROR(__xludf.DUMMYFUNCTION("""COMPUTED_VALUE"""),183644.0)</f>
        <v>183644</v>
      </c>
      <c r="G3398" s="115">
        <f>IFERROR(__xludf.DUMMYFUNCTION("""COMPUTED_VALUE"""),18358.0)</f>
        <v>18358</v>
      </c>
      <c r="H3398" s="116">
        <f>IFERROR(__xludf.DUMMYFUNCTION("""COMPUTED_VALUE"""),45906.0)</f>
        <v>45906</v>
      </c>
      <c r="I3398" s="115" t="str">
        <f>IFERROR(__xludf.DUMMYFUNCTION("""COMPUTED_VALUE"""),"22")</f>
        <v>22</v>
      </c>
      <c r="J3398" s="115" t="str">
        <f>IFERROR(__xludf.DUMMYFUNCTION("""COMPUTED_VALUE"""),"Ashvani Bhatt2025-09-0622")</f>
        <v>Ashvani Bhatt2025-09-0622</v>
      </c>
      <c r="K3398" s="115">
        <f>IFERROR(__xludf.DUMMYFUNCTION("""COMPUTED_VALUE"""),276717.0)</f>
        <v>276717</v>
      </c>
    </row>
    <row r="3399">
      <c r="A3399" s="115" t="str">
        <f>IFERROR(__xludf.DUMMYFUNCTION("""COMPUTED_VALUE"""),"WEST")</f>
        <v>WEST</v>
      </c>
      <c r="B3399" s="115" t="str">
        <f>IFERROR(__xludf.DUMMYFUNCTION("""COMPUTED_VALUE"""),"Ashvani Bhatt")</f>
        <v>Ashvani Bhatt</v>
      </c>
      <c r="C3399" s="115" t="str">
        <f>IFERROR(__xludf.DUMMYFUNCTION("""COMPUTED_VALUE"""),"MYNTRA")</f>
        <v>MYNTRA</v>
      </c>
      <c r="D3399" s="115">
        <f>IFERROR(__xludf.DUMMYFUNCTION("""COMPUTED_VALUE"""),31240.0)</f>
        <v>31240</v>
      </c>
      <c r="E3399" s="115">
        <f>IFERROR(__xludf.DUMMYFUNCTION("""COMPUTED_VALUE"""),7993.0)</f>
        <v>7993</v>
      </c>
      <c r="F3399" s="115">
        <f>IFERROR(__xludf.DUMMYFUNCTION("""COMPUTED_VALUE"""),26227.0)</f>
        <v>26227</v>
      </c>
      <c r="G3399" s="115">
        <f>IFERROR(__xludf.DUMMYFUNCTION("""COMPUTED_VALUE"""),5841.0)</f>
        <v>5841</v>
      </c>
      <c r="H3399" s="116">
        <f>IFERROR(__xludf.DUMMYFUNCTION("""COMPUTED_VALUE"""),45906.0)</f>
        <v>45906</v>
      </c>
      <c r="I3399" s="115" t="str">
        <f>IFERROR(__xludf.DUMMYFUNCTION("""COMPUTED_VALUE"""),"22")</f>
        <v>22</v>
      </c>
      <c r="J3399" s="115" t="str">
        <f>IFERROR(__xludf.DUMMYFUNCTION("""COMPUTED_VALUE"""),"Ashvani Bhatt2025-09-0622")</f>
        <v>Ashvani Bhatt2025-09-0622</v>
      </c>
      <c r="K3399" s="115">
        <f>IFERROR(__xludf.DUMMYFUNCTION("""COMPUTED_VALUE"""),39233.0)</f>
        <v>39233</v>
      </c>
    </row>
    <row r="3400">
      <c r="A3400" s="115"/>
      <c r="B3400" s="115"/>
      <c r="C3400" s="115" t="str">
        <f>IFERROR(__xludf.DUMMYFUNCTION("""COMPUTED_VALUE"""),"EXTERNAL")</f>
        <v>EXTERNAL</v>
      </c>
      <c r="D3400" s="115">
        <f>IFERROR(__xludf.DUMMYFUNCTION("""COMPUTED_VALUE"""),1189.0)</f>
        <v>1189</v>
      </c>
      <c r="E3400" s="115">
        <f>IFERROR(__xludf.DUMMYFUNCTION("""COMPUTED_VALUE"""),121.0)</f>
        <v>121</v>
      </c>
      <c r="F3400" s="115">
        <f>IFERROR(__xludf.DUMMYFUNCTION("""COMPUTED_VALUE"""),443.0)</f>
        <v>443</v>
      </c>
      <c r="G3400" s="115">
        <f>IFERROR(__xludf.DUMMYFUNCTION("""COMPUTED_VALUE"""),96.0)</f>
        <v>96</v>
      </c>
      <c r="H3400" s="116">
        <f>IFERROR(__xludf.DUMMYFUNCTION("""COMPUTED_VALUE"""),45906.0)</f>
        <v>45906</v>
      </c>
      <c r="I3400" s="115" t="str">
        <f>IFERROR(__xludf.DUMMYFUNCTION("""COMPUTED_VALUE"""),"22")</f>
        <v>22</v>
      </c>
      <c r="J3400" s="115" t="str">
        <f>IFERROR(__xludf.DUMMYFUNCTION("""COMPUTED_VALUE"""),"2025-09-0622")</f>
        <v>2025-09-0622</v>
      </c>
      <c r="K3400" s="115">
        <f>IFERROR(__xludf.DUMMYFUNCTION("""COMPUTED_VALUE"""),1310.0)</f>
        <v>1310</v>
      </c>
    </row>
    <row r="3401">
      <c r="A3401" s="115"/>
      <c r="B3401" s="115"/>
      <c r="C3401" s="115" t="str">
        <f>IFERROR(__xludf.DUMMYFUNCTION("""COMPUTED_VALUE"""),"FLIPKART")</f>
        <v>FLIPKART</v>
      </c>
      <c r="D3401" s="115">
        <f>IFERROR(__xludf.DUMMYFUNCTION("""COMPUTED_VALUE"""),6795.0)</f>
        <v>6795</v>
      </c>
      <c r="E3401" s="115">
        <f>IFERROR(__xludf.DUMMYFUNCTION("""COMPUTED_VALUE"""),722.0)</f>
        <v>722</v>
      </c>
      <c r="F3401" s="115">
        <f>IFERROR(__xludf.DUMMYFUNCTION("""COMPUTED_VALUE"""),4652.0)</f>
        <v>4652</v>
      </c>
      <c r="G3401" s="115">
        <f>IFERROR(__xludf.DUMMYFUNCTION("""COMPUTED_VALUE"""),524.0)</f>
        <v>524</v>
      </c>
      <c r="H3401" s="116">
        <f>IFERROR(__xludf.DUMMYFUNCTION("""COMPUTED_VALUE"""),45906.0)</f>
        <v>45906</v>
      </c>
      <c r="I3401" s="115" t="str">
        <f>IFERROR(__xludf.DUMMYFUNCTION("""COMPUTED_VALUE"""),"22")</f>
        <v>22</v>
      </c>
      <c r="J3401" s="115" t="str">
        <f>IFERROR(__xludf.DUMMYFUNCTION("""COMPUTED_VALUE"""),"2025-09-0622")</f>
        <v>2025-09-0622</v>
      </c>
      <c r="K3401" s="115">
        <f>IFERROR(__xludf.DUMMYFUNCTION("""COMPUTED_VALUE"""),7517.0)</f>
        <v>7517</v>
      </c>
    </row>
    <row r="3402">
      <c r="A3402" s="115"/>
      <c r="B3402" s="115"/>
      <c r="C3402" s="115" t="str">
        <f>IFERROR(__xludf.DUMMYFUNCTION("""COMPUTED_VALUE"""),"MYNTRA")</f>
        <v>MYNTRA</v>
      </c>
      <c r="D3402" s="115">
        <f>IFERROR(__xludf.DUMMYFUNCTION("""COMPUTED_VALUE"""),1360.0)</f>
        <v>1360</v>
      </c>
      <c r="E3402" s="115">
        <f>IFERROR(__xludf.DUMMYFUNCTION("""COMPUTED_VALUE"""),386.0)</f>
        <v>386</v>
      </c>
      <c r="F3402" s="115">
        <f>IFERROR(__xludf.DUMMYFUNCTION("""COMPUTED_VALUE"""),1124.0)</f>
        <v>1124</v>
      </c>
      <c r="G3402" s="115">
        <f>IFERROR(__xludf.DUMMYFUNCTION("""COMPUTED_VALUE"""),303.0)</f>
        <v>303</v>
      </c>
      <c r="H3402" s="116">
        <f>IFERROR(__xludf.DUMMYFUNCTION("""COMPUTED_VALUE"""),45906.0)</f>
        <v>45906</v>
      </c>
      <c r="I3402" s="115" t="str">
        <f>IFERROR(__xludf.DUMMYFUNCTION("""COMPUTED_VALUE"""),"22")</f>
        <v>22</v>
      </c>
      <c r="J3402" s="115" t="str">
        <f>IFERROR(__xludf.DUMMYFUNCTION("""COMPUTED_VALUE"""),"2025-09-0622")</f>
        <v>2025-09-0622</v>
      </c>
      <c r="K3402" s="115">
        <f>IFERROR(__xludf.DUMMYFUNCTION("""COMPUTED_VALUE"""),1746.0)</f>
        <v>1746</v>
      </c>
    </row>
    <row r="3403">
      <c r="A3403" s="115" t="str">
        <f>IFERROR(__xludf.DUMMYFUNCTION("""COMPUTED_VALUE"""),"EAST")</f>
        <v>EAST</v>
      </c>
      <c r="B3403" s="115" t="str">
        <f>IFERROR(__xludf.DUMMYFUNCTION("""COMPUTED_VALUE"""),"Ashish Ranjan")</f>
        <v>Ashish Ranjan</v>
      </c>
      <c r="C3403" s="115" t="str">
        <f>IFERROR(__xludf.DUMMYFUNCTION("""COMPUTED_VALUE"""),"EXTERNAL")</f>
        <v>EXTERNAL</v>
      </c>
      <c r="D3403" s="115">
        <f>IFERROR(__xludf.DUMMYFUNCTION("""COMPUTED_VALUE"""),4080.0)</f>
        <v>4080</v>
      </c>
      <c r="E3403" s="115">
        <f>IFERROR(__xludf.DUMMYFUNCTION("""COMPUTED_VALUE"""),237.0)</f>
        <v>237</v>
      </c>
      <c r="F3403" s="115">
        <f>IFERROR(__xludf.DUMMYFUNCTION("""COMPUTED_VALUE"""),34.0)</f>
        <v>34</v>
      </c>
      <c r="G3403" s="115">
        <f>IFERROR(__xludf.DUMMYFUNCTION("""COMPUTED_VALUE"""),3.0)</f>
        <v>3</v>
      </c>
      <c r="H3403" s="116">
        <f>IFERROR(__xludf.DUMMYFUNCTION("""COMPUTED_VALUE"""),45907.0)</f>
        <v>45907</v>
      </c>
      <c r="I3403" s="115" t="str">
        <f>IFERROR(__xludf.DUMMYFUNCTION("""COMPUTED_VALUE"""),"08")</f>
        <v>08</v>
      </c>
      <c r="J3403" s="115" t="str">
        <f>IFERROR(__xludf.DUMMYFUNCTION("""COMPUTED_VALUE"""),"Ashish Ranjan2025-09-0708")</f>
        <v>Ashish Ranjan2025-09-0708</v>
      </c>
      <c r="K3403" s="115">
        <f>IFERROR(__xludf.DUMMYFUNCTION("""COMPUTED_VALUE"""),4317.0)</f>
        <v>4317</v>
      </c>
    </row>
    <row r="3404">
      <c r="A3404" s="115" t="str">
        <f>IFERROR(__xludf.DUMMYFUNCTION("""COMPUTED_VALUE"""),"EAST")</f>
        <v>EAST</v>
      </c>
      <c r="B3404" s="115" t="str">
        <f>IFERROR(__xludf.DUMMYFUNCTION("""COMPUTED_VALUE"""),"Ashish Ranjan")</f>
        <v>Ashish Ranjan</v>
      </c>
      <c r="C3404" s="115" t="str">
        <f>IFERROR(__xludf.DUMMYFUNCTION("""COMPUTED_VALUE"""),"FLIPKART")</f>
        <v>FLIPKART</v>
      </c>
      <c r="D3404" s="115">
        <f>IFERROR(__xludf.DUMMYFUNCTION("""COMPUTED_VALUE"""),68436.0)</f>
        <v>68436</v>
      </c>
      <c r="E3404" s="115">
        <f>IFERROR(__xludf.DUMMYFUNCTION("""COMPUTED_VALUE"""),7115.0)</f>
        <v>7115</v>
      </c>
      <c r="F3404" s="115">
        <f>IFERROR(__xludf.DUMMYFUNCTION("""COMPUTED_VALUE"""),795.0)</f>
        <v>795</v>
      </c>
      <c r="G3404" s="115">
        <f>IFERROR(__xludf.DUMMYFUNCTION("""COMPUTED_VALUE"""),102.0)</f>
        <v>102</v>
      </c>
      <c r="H3404" s="116">
        <f>IFERROR(__xludf.DUMMYFUNCTION("""COMPUTED_VALUE"""),45907.0)</f>
        <v>45907</v>
      </c>
      <c r="I3404" s="115" t="str">
        <f>IFERROR(__xludf.DUMMYFUNCTION("""COMPUTED_VALUE"""),"08")</f>
        <v>08</v>
      </c>
      <c r="J3404" s="115" t="str">
        <f>IFERROR(__xludf.DUMMYFUNCTION("""COMPUTED_VALUE"""),"Ashish Ranjan2025-09-0708")</f>
        <v>Ashish Ranjan2025-09-0708</v>
      </c>
      <c r="K3404" s="115">
        <f>IFERROR(__xludf.DUMMYFUNCTION("""COMPUTED_VALUE"""),75551.0)</f>
        <v>75551</v>
      </c>
    </row>
    <row r="3405">
      <c r="A3405" s="115" t="str">
        <f>IFERROR(__xludf.DUMMYFUNCTION("""COMPUTED_VALUE"""),"EAST")</f>
        <v>EAST</v>
      </c>
      <c r="B3405" s="115" t="str">
        <f>IFERROR(__xludf.DUMMYFUNCTION("""COMPUTED_VALUE"""),"Ashish Ranjan")</f>
        <v>Ashish Ranjan</v>
      </c>
      <c r="C3405" s="115" t="str">
        <f>IFERROR(__xludf.DUMMYFUNCTION("""COMPUTED_VALUE"""),"MYNTRA")</f>
        <v>MYNTRA</v>
      </c>
      <c r="D3405" s="115">
        <f>IFERROR(__xludf.DUMMYFUNCTION("""COMPUTED_VALUE"""),7090.0)</f>
        <v>7090</v>
      </c>
      <c r="E3405" s="115">
        <f>IFERROR(__xludf.DUMMYFUNCTION("""COMPUTED_VALUE"""),1439.0)</f>
        <v>1439</v>
      </c>
      <c r="F3405" s="115">
        <f>IFERROR(__xludf.DUMMYFUNCTION("""COMPUTED_VALUE"""),68.0)</f>
        <v>68</v>
      </c>
      <c r="G3405" s="115">
        <f>IFERROR(__xludf.DUMMYFUNCTION("""COMPUTED_VALUE"""),2.0)</f>
        <v>2</v>
      </c>
      <c r="H3405" s="116">
        <f>IFERROR(__xludf.DUMMYFUNCTION("""COMPUTED_VALUE"""),45907.0)</f>
        <v>45907</v>
      </c>
      <c r="I3405" s="115" t="str">
        <f>IFERROR(__xludf.DUMMYFUNCTION("""COMPUTED_VALUE"""),"08")</f>
        <v>08</v>
      </c>
      <c r="J3405" s="115" t="str">
        <f>IFERROR(__xludf.DUMMYFUNCTION("""COMPUTED_VALUE"""),"Ashish Ranjan2025-09-0708")</f>
        <v>Ashish Ranjan2025-09-0708</v>
      </c>
      <c r="K3405" s="115">
        <f>IFERROR(__xludf.DUMMYFUNCTION("""COMPUTED_VALUE"""),8529.0)</f>
        <v>8529</v>
      </c>
    </row>
    <row r="3406">
      <c r="A3406" s="115" t="str">
        <f>IFERROR(__xludf.DUMMYFUNCTION("""COMPUTED_VALUE"""),"EAST")</f>
        <v>EAST</v>
      </c>
      <c r="B3406" s="115" t="str">
        <f>IFERROR(__xludf.DUMMYFUNCTION("""COMPUTED_VALUE"""),"Girish Chand")</f>
        <v>Girish Chand</v>
      </c>
      <c r="C3406" s="115" t="str">
        <f>IFERROR(__xludf.DUMMYFUNCTION("""COMPUTED_VALUE"""),"EXTERNAL")</f>
        <v>EXTERNAL</v>
      </c>
      <c r="D3406" s="115">
        <f>IFERROR(__xludf.DUMMYFUNCTION("""COMPUTED_VALUE"""),2275.0)</f>
        <v>2275</v>
      </c>
      <c r="E3406" s="115">
        <f>IFERROR(__xludf.DUMMYFUNCTION("""COMPUTED_VALUE"""),135.0)</f>
        <v>135</v>
      </c>
      <c r="F3406" s="115">
        <f>IFERROR(__xludf.DUMMYFUNCTION("""COMPUTED_VALUE"""),5.0)</f>
        <v>5</v>
      </c>
      <c r="G3406" s="115">
        <f>IFERROR(__xludf.DUMMYFUNCTION("""COMPUTED_VALUE"""),1.0)</f>
        <v>1</v>
      </c>
      <c r="H3406" s="116">
        <f>IFERROR(__xludf.DUMMYFUNCTION("""COMPUTED_VALUE"""),45907.0)</f>
        <v>45907</v>
      </c>
      <c r="I3406" s="115" t="str">
        <f>IFERROR(__xludf.DUMMYFUNCTION("""COMPUTED_VALUE"""),"08")</f>
        <v>08</v>
      </c>
      <c r="J3406" s="115" t="str">
        <f>IFERROR(__xludf.DUMMYFUNCTION("""COMPUTED_VALUE"""),"Girish Chand2025-09-0708")</f>
        <v>Girish Chand2025-09-0708</v>
      </c>
      <c r="K3406" s="115">
        <f>IFERROR(__xludf.DUMMYFUNCTION("""COMPUTED_VALUE"""),2410.0)</f>
        <v>2410</v>
      </c>
    </row>
    <row r="3407">
      <c r="A3407" s="115" t="str">
        <f>IFERROR(__xludf.DUMMYFUNCTION("""COMPUTED_VALUE"""),"EAST")</f>
        <v>EAST</v>
      </c>
      <c r="B3407" s="115" t="str">
        <f>IFERROR(__xludf.DUMMYFUNCTION("""COMPUTED_VALUE"""),"Girish Chand")</f>
        <v>Girish Chand</v>
      </c>
      <c r="C3407" s="115" t="str">
        <f>IFERROR(__xludf.DUMMYFUNCTION("""COMPUTED_VALUE"""),"FLIPKART")</f>
        <v>FLIPKART</v>
      </c>
      <c r="D3407" s="115">
        <f>IFERROR(__xludf.DUMMYFUNCTION("""COMPUTED_VALUE"""),44372.0)</f>
        <v>44372</v>
      </c>
      <c r="E3407" s="115">
        <f>IFERROR(__xludf.DUMMYFUNCTION("""COMPUTED_VALUE"""),4025.0)</f>
        <v>4025</v>
      </c>
      <c r="F3407" s="115">
        <f>IFERROR(__xludf.DUMMYFUNCTION("""COMPUTED_VALUE"""),388.0)</f>
        <v>388</v>
      </c>
      <c r="G3407" s="115">
        <f>IFERROR(__xludf.DUMMYFUNCTION("""COMPUTED_VALUE"""),97.0)</f>
        <v>97</v>
      </c>
      <c r="H3407" s="116">
        <f>IFERROR(__xludf.DUMMYFUNCTION("""COMPUTED_VALUE"""),45907.0)</f>
        <v>45907</v>
      </c>
      <c r="I3407" s="115" t="str">
        <f>IFERROR(__xludf.DUMMYFUNCTION("""COMPUTED_VALUE"""),"08")</f>
        <v>08</v>
      </c>
      <c r="J3407" s="115" t="str">
        <f>IFERROR(__xludf.DUMMYFUNCTION("""COMPUTED_VALUE"""),"Girish Chand2025-09-0708")</f>
        <v>Girish Chand2025-09-0708</v>
      </c>
      <c r="K3407" s="115">
        <f>IFERROR(__xludf.DUMMYFUNCTION("""COMPUTED_VALUE"""),48397.0)</f>
        <v>48397</v>
      </c>
    </row>
    <row r="3408">
      <c r="A3408" s="115" t="str">
        <f>IFERROR(__xludf.DUMMYFUNCTION("""COMPUTED_VALUE"""),"EAST")</f>
        <v>EAST</v>
      </c>
      <c r="B3408" s="115" t="str">
        <f>IFERROR(__xludf.DUMMYFUNCTION("""COMPUTED_VALUE"""),"Girish Chand")</f>
        <v>Girish Chand</v>
      </c>
      <c r="C3408" s="115" t="str">
        <f>IFERROR(__xludf.DUMMYFUNCTION("""COMPUTED_VALUE"""),"MYNTRA")</f>
        <v>MYNTRA</v>
      </c>
      <c r="D3408" s="115">
        <f>IFERROR(__xludf.DUMMYFUNCTION("""COMPUTED_VALUE"""),4347.0)</f>
        <v>4347</v>
      </c>
      <c r="E3408" s="115">
        <f>IFERROR(__xludf.DUMMYFUNCTION("""COMPUTED_VALUE"""),845.0)</f>
        <v>845</v>
      </c>
      <c r="F3408" s="115">
        <f>IFERROR(__xludf.DUMMYFUNCTION("""COMPUTED_VALUE"""),44.0)</f>
        <v>44</v>
      </c>
      <c r="G3408" s="115">
        <f>IFERROR(__xludf.DUMMYFUNCTION("""COMPUTED_VALUE"""),38.0)</f>
        <v>38</v>
      </c>
      <c r="H3408" s="116">
        <f>IFERROR(__xludf.DUMMYFUNCTION("""COMPUTED_VALUE"""),45907.0)</f>
        <v>45907</v>
      </c>
      <c r="I3408" s="115" t="str">
        <f>IFERROR(__xludf.DUMMYFUNCTION("""COMPUTED_VALUE"""),"08")</f>
        <v>08</v>
      </c>
      <c r="J3408" s="115" t="str">
        <f>IFERROR(__xludf.DUMMYFUNCTION("""COMPUTED_VALUE"""),"Girish Chand2025-09-0708")</f>
        <v>Girish Chand2025-09-0708</v>
      </c>
      <c r="K3408" s="115">
        <f>IFERROR(__xludf.DUMMYFUNCTION("""COMPUTED_VALUE"""),5192.0)</f>
        <v>5192</v>
      </c>
    </row>
    <row r="3409">
      <c r="A3409" s="115" t="str">
        <f>IFERROR(__xludf.DUMMYFUNCTION("""COMPUTED_VALUE"""),"EAST")</f>
        <v>EAST</v>
      </c>
      <c r="B3409" s="115" t="str">
        <f>IFERROR(__xludf.DUMMYFUNCTION("""COMPUTED_VALUE"""),"Parag Kashyap")</f>
        <v>Parag Kashyap</v>
      </c>
      <c r="C3409" s="115" t="str">
        <f>IFERROR(__xludf.DUMMYFUNCTION("""COMPUTED_VALUE"""),"EXTERNAL")</f>
        <v>EXTERNAL</v>
      </c>
      <c r="D3409" s="115">
        <f>IFERROR(__xludf.DUMMYFUNCTION("""COMPUTED_VALUE"""),1050.0)</f>
        <v>1050</v>
      </c>
      <c r="E3409" s="115">
        <f>IFERROR(__xludf.DUMMYFUNCTION("""COMPUTED_VALUE"""),41.0)</f>
        <v>41</v>
      </c>
      <c r="F3409" s="115">
        <f>IFERROR(__xludf.DUMMYFUNCTION("""COMPUTED_VALUE"""),4.0)</f>
        <v>4</v>
      </c>
      <c r="G3409" s="115">
        <f>IFERROR(__xludf.DUMMYFUNCTION("""COMPUTED_VALUE"""),0.0)</f>
        <v>0</v>
      </c>
      <c r="H3409" s="116">
        <f>IFERROR(__xludf.DUMMYFUNCTION("""COMPUTED_VALUE"""),45907.0)</f>
        <v>45907</v>
      </c>
      <c r="I3409" s="115" t="str">
        <f>IFERROR(__xludf.DUMMYFUNCTION("""COMPUTED_VALUE"""),"08")</f>
        <v>08</v>
      </c>
      <c r="J3409" s="115" t="str">
        <f>IFERROR(__xludf.DUMMYFUNCTION("""COMPUTED_VALUE"""),"Parag Kashyap2025-09-0708")</f>
        <v>Parag Kashyap2025-09-0708</v>
      </c>
      <c r="K3409" s="115">
        <f>IFERROR(__xludf.DUMMYFUNCTION("""COMPUTED_VALUE"""),1091.0)</f>
        <v>1091</v>
      </c>
    </row>
    <row r="3410">
      <c r="A3410" s="115" t="str">
        <f>IFERROR(__xludf.DUMMYFUNCTION("""COMPUTED_VALUE"""),"EAST")</f>
        <v>EAST</v>
      </c>
      <c r="B3410" s="115" t="str">
        <f>IFERROR(__xludf.DUMMYFUNCTION("""COMPUTED_VALUE"""),"Parag Kashyap")</f>
        <v>Parag Kashyap</v>
      </c>
      <c r="C3410" s="115" t="str">
        <f>IFERROR(__xludf.DUMMYFUNCTION("""COMPUTED_VALUE"""),"FLIPKART")</f>
        <v>FLIPKART</v>
      </c>
      <c r="D3410" s="115">
        <f>IFERROR(__xludf.DUMMYFUNCTION("""COMPUTED_VALUE"""),21081.0)</f>
        <v>21081</v>
      </c>
      <c r="E3410" s="115">
        <f>IFERROR(__xludf.DUMMYFUNCTION("""COMPUTED_VALUE"""),1084.0)</f>
        <v>1084</v>
      </c>
      <c r="F3410" s="115">
        <f>IFERROR(__xludf.DUMMYFUNCTION("""COMPUTED_VALUE"""),118.0)</f>
        <v>118</v>
      </c>
      <c r="G3410" s="115">
        <f>IFERROR(__xludf.DUMMYFUNCTION("""COMPUTED_VALUE"""),9.0)</f>
        <v>9</v>
      </c>
      <c r="H3410" s="116">
        <f>IFERROR(__xludf.DUMMYFUNCTION("""COMPUTED_VALUE"""),45907.0)</f>
        <v>45907</v>
      </c>
      <c r="I3410" s="115" t="str">
        <f>IFERROR(__xludf.DUMMYFUNCTION("""COMPUTED_VALUE"""),"08")</f>
        <v>08</v>
      </c>
      <c r="J3410" s="115" t="str">
        <f>IFERROR(__xludf.DUMMYFUNCTION("""COMPUTED_VALUE"""),"Parag Kashyap2025-09-0708")</f>
        <v>Parag Kashyap2025-09-0708</v>
      </c>
      <c r="K3410" s="115">
        <f>IFERROR(__xludf.DUMMYFUNCTION("""COMPUTED_VALUE"""),22165.0)</f>
        <v>22165</v>
      </c>
    </row>
    <row r="3411">
      <c r="A3411" s="115" t="str">
        <f>IFERROR(__xludf.DUMMYFUNCTION("""COMPUTED_VALUE"""),"EAST")</f>
        <v>EAST</v>
      </c>
      <c r="B3411" s="115" t="str">
        <f>IFERROR(__xludf.DUMMYFUNCTION("""COMPUTED_VALUE"""),"Parag Kashyap")</f>
        <v>Parag Kashyap</v>
      </c>
      <c r="C3411" s="115" t="str">
        <f>IFERROR(__xludf.DUMMYFUNCTION("""COMPUTED_VALUE"""),"MYNTRA")</f>
        <v>MYNTRA</v>
      </c>
      <c r="D3411" s="115">
        <f>IFERROR(__xludf.DUMMYFUNCTION("""COMPUTED_VALUE"""),2905.0)</f>
        <v>2905</v>
      </c>
      <c r="E3411" s="115">
        <f>IFERROR(__xludf.DUMMYFUNCTION("""COMPUTED_VALUE"""),339.0)</f>
        <v>339</v>
      </c>
      <c r="F3411" s="115">
        <f>IFERROR(__xludf.DUMMYFUNCTION("""COMPUTED_VALUE"""),25.0)</f>
        <v>25</v>
      </c>
      <c r="G3411" s="115">
        <f>IFERROR(__xludf.DUMMYFUNCTION("""COMPUTED_VALUE"""),0.0)</f>
        <v>0</v>
      </c>
      <c r="H3411" s="116">
        <f>IFERROR(__xludf.DUMMYFUNCTION("""COMPUTED_VALUE"""),45907.0)</f>
        <v>45907</v>
      </c>
      <c r="I3411" s="115" t="str">
        <f>IFERROR(__xludf.DUMMYFUNCTION("""COMPUTED_VALUE"""),"08")</f>
        <v>08</v>
      </c>
      <c r="J3411" s="115" t="str">
        <f>IFERROR(__xludf.DUMMYFUNCTION("""COMPUTED_VALUE"""),"Parag Kashyap2025-09-0708")</f>
        <v>Parag Kashyap2025-09-0708</v>
      </c>
      <c r="K3411" s="115">
        <f>IFERROR(__xludf.DUMMYFUNCTION("""COMPUTED_VALUE"""),3244.0)</f>
        <v>3244</v>
      </c>
    </row>
    <row r="3412">
      <c r="A3412" s="115" t="str">
        <f>IFERROR(__xludf.DUMMYFUNCTION("""COMPUTED_VALUE"""),"NORTH")</f>
        <v>NORTH</v>
      </c>
      <c r="B3412" s="115" t="str">
        <f>IFERROR(__xludf.DUMMYFUNCTION("""COMPUTED_VALUE"""),"Amit Kumar Pathak")</f>
        <v>Amit Kumar Pathak</v>
      </c>
      <c r="C3412" s="115" t="str">
        <f>IFERROR(__xludf.DUMMYFUNCTION("""COMPUTED_VALUE"""),"EXTERNAL")</f>
        <v>EXTERNAL</v>
      </c>
      <c r="D3412" s="115">
        <f>IFERROR(__xludf.DUMMYFUNCTION("""COMPUTED_VALUE"""),5115.0)</f>
        <v>5115</v>
      </c>
      <c r="E3412" s="115">
        <f>IFERROR(__xludf.DUMMYFUNCTION("""COMPUTED_VALUE"""),487.0)</f>
        <v>487</v>
      </c>
      <c r="F3412" s="115">
        <f>IFERROR(__xludf.DUMMYFUNCTION("""COMPUTED_VALUE"""),3.0)</f>
        <v>3</v>
      </c>
      <c r="G3412" s="115">
        <f>IFERROR(__xludf.DUMMYFUNCTION("""COMPUTED_VALUE"""),21.0)</f>
        <v>21</v>
      </c>
      <c r="H3412" s="116">
        <f>IFERROR(__xludf.DUMMYFUNCTION("""COMPUTED_VALUE"""),45907.0)</f>
        <v>45907</v>
      </c>
      <c r="I3412" s="115" t="str">
        <f>IFERROR(__xludf.DUMMYFUNCTION("""COMPUTED_VALUE"""),"08")</f>
        <v>08</v>
      </c>
      <c r="J3412" s="115" t="str">
        <f>IFERROR(__xludf.DUMMYFUNCTION("""COMPUTED_VALUE"""),"Amit Kumar Pathak2025-09-0708")</f>
        <v>Amit Kumar Pathak2025-09-0708</v>
      </c>
      <c r="K3412" s="115">
        <f>IFERROR(__xludf.DUMMYFUNCTION("""COMPUTED_VALUE"""),5602.0)</f>
        <v>5602</v>
      </c>
    </row>
    <row r="3413">
      <c r="A3413" s="115" t="str">
        <f>IFERROR(__xludf.DUMMYFUNCTION("""COMPUTED_VALUE"""),"NORTH")</f>
        <v>NORTH</v>
      </c>
      <c r="B3413" s="115" t="str">
        <f>IFERROR(__xludf.DUMMYFUNCTION("""COMPUTED_VALUE"""),"Amit Kumar Pathak")</f>
        <v>Amit Kumar Pathak</v>
      </c>
      <c r="C3413" s="115" t="str">
        <f>IFERROR(__xludf.DUMMYFUNCTION("""COMPUTED_VALUE"""),"FLIPKART")</f>
        <v>FLIPKART</v>
      </c>
      <c r="D3413" s="115">
        <f>IFERROR(__xludf.DUMMYFUNCTION("""COMPUTED_VALUE"""),29270.0)</f>
        <v>29270</v>
      </c>
      <c r="E3413" s="115">
        <f>IFERROR(__xludf.DUMMYFUNCTION("""COMPUTED_VALUE"""),3429.0)</f>
        <v>3429</v>
      </c>
      <c r="F3413" s="115">
        <f>IFERROR(__xludf.DUMMYFUNCTION("""COMPUTED_VALUE"""),93.0)</f>
        <v>93</v>
      </c>
      <c r="G3413" s="115">
        <f>IFERROR(__xludf.DUMMYFUNCTION("""COMPUTED_VALUE"""),41.0)</f>
        <v>41</v>
      </c>
      <c r="H3413" s="116">
        <f>IFERROR(__xludf.DUMMYFUNCTION("""COMPUTED_VALUE"""),45907.0)</f>
        <v>45907</v>
      </c>
      <c r="I3413" s="115" t="str">
        <f>IFERROR(__xludf.DUMMYFUNCTION("""COMPUTED_VALUE"""),"08")</f>
        <v>08</v>
      </c>
      <c r="J3413" s="115" t="str">
        <f>IFERROR(__xludf.DUMMYFUNCTION("""COMPUTED_VALUE"""),"Amit Kumar Pathak2025-09-0708")</f>
        <v>Amit Kumar Pathak2025-09-0708</v>
      </c>
      <c r="K3413" s="115">
        <f>IFERROR(__xludf.DUMMYFUNCTION("""COMPUTED_VALUE"""),32699.0)</f>
        <v>32699</v>
      </c>
    </row>
    <row r="3414">
      <c r="A3414" s="115" t="str">
        <f>IFERROR(__xludf.DUMMYFUNCTION("""COMPUTED_VALUE"""),"NORTH")</f>
        <v>NORTH</v>
      </c>
      <c r="B3414" s="115" t="str">
        <f>IFERROR(__xludf.DUMMYFUNCTION("""COMPUTED_VALUE"""),"Amit Kumar Pathak")</f>
        <v>Amit Kumar Pathak</v>
      </c>
      <c r="C3414" s="115" t="str">
        <f>IFERROR(__xludf.DUMMYFUNCTION("""COMPUTED_VALUE"""),"MYNTRA")</f>
        <v>MYNTRA</v>
      </c>
      <c r="D3414" s="115">
        <f>IFERROR(__xludf.DUMMYFUNCTION("""COMPUTED_VALUE"""),3983.0)</f>
        <v>3983</v>
      </c>
      <c r="E3414" s="115">
        <f>IFERROR(__xludf.DUMMYFUNCTION("""COMPUTED_VALUE"""),1043.0)</f>
        <v>1043</v>
      </c>
      <c r="F3414" s="115">
        <f>IFERROR(__xludf.DUMMYFUNCTION("""COMPUTED_VALUE"""),32.0)</f>
        <v>32</v>
      </c>
      <c r="G3414" s="115">
        <f>IFERROR(__xludf.DUMMYFUNCTION("""COMPUTED_VALUE"""),2.0)</f>
        <v>2</v>
      </c>
      <c r="H3414" s="116">
        <f>IFERROR(__xludf.DUMMYFUNCTION("""COMPUTED_VALUE"""),45907.0)</f>
        <v>45907</v>
      </c>
      <c r="I3414" s="115" t="str">
        <f>IFERROR(__xludf.DUMMYFUNCTION("""COMPUTED_VALUE"""),"08")</f>
        <v>08</v>
      </c>
      <c r="J3414" s="115" t="str">
        <f>IFERROR(__xludf.DUMMYFUNCTION("""COMPUTED_VALUE"""),"Amit Kumar Pathak2025-09-0708")</f>
        <v>Amit Kumar Pathak2025-09-0708</v>
      </c>
      <c r="K3414" s="115">
        <f>IFERROR(__xludf.DUMMYFUNCTION("""COMPUTED_VALUE"""),5026.0)</f>
        <v>5026</v>
      </c>
    </row>
    <row r="3415">
      <c r="A3415" s="115" t="str">
        <f>IFERROR(__xludf.DUMMYFUNCTION("""COMPUTED_VALUE"""),"NORTH")</f>
        <v>NORTH</v>
      </c>
      <c r="B3415" s="115" t="str">
        <f>IFERROR(__xludf.DUMMYFUNCTION("""COMPUTED_VALUE"""),"Loveleen Singh")</f>
        <v>Loveleen Singh</v>
      </c>
      <c r="C3415" s="115" t="str">
        <f>IFERROR(__xludf.DUMMYFUNCTION("""COMPUTED_VALUE"""),"EXTERNAL")</f>
        <v>EXTERNAL</v>
      </c>
      <c r="D3415" s="115">
        <f>IFERROR(__xludf.DUMMYFUNCTION("""COMPUTED_VALUE"""),1333.0)</f>
        <v>1333</v>
      </c>
      <c r="E3415" s="115">
        <f>IFERROR(__xludf.DUMMYFUNCTION("""COMPUTED_VALUE"""),76.0)</f>
        <v>76</v>
      </c>
      <c r="F3415" s="115">
        <f>IFERROR(__xludf.DUMMYFUNCTION("""COMPUTED_VALUE"""),7.0)</f>
        <v>7</v>
      </c>
      <c r="G3415" s="115">
        <f>IFERROR(__xludf.DUMMYFUNCTION("""COMPUTED_VALUE"""),3.0)</f>
        <v>3</v>
      </c>
      <c r="H3415" s="116">
        <f>IFERROR(__xludf.DUMMYFUNCTION("""COMPUTED_VALUE"""),45907.0)</f>
        <v>45907</v>
      </c>
      <c r="I3415" s="115" t="str">
        <f>IFERROR(__xludf.DUMMYFUNCTION("""COMPUTED_VALUE"""),"08")</f>
        <v>08</v>
      </c>
      <c r="J3415" s="115" t="str">
        <f>IFERROR(__xludf.DUMMYFUNCTION("""COMPUTED_VALUE"""),"Loveleen Singh2025-09-0708")</f>
        <v>Loveleen Singh2025-09-0708</v>
      </c>
      <c r="K3415" s="115">
        <f>IFERROR(__xludf.DUMMYFUNCTION("""COMPUTED_VALUE"""),1409.0)</f>
        <v>1409</v>
      </c>
    </row>
    <row r="3416">
      <c r="A3416" s="115" t="str">
        <f>IFERROR(__xludf.DUMMYFUNCTION("""COMPUTED_VALUE"""),"NORTH")</f>
        <v>NORTH</v>
      </c>
      <c r="B3416" s="115" t="str">
        <f>IFERROR(__xludf.DUMMYFUNCTION("""COMPUTED_VALUE"""),"Loveleen Singh")</f>
        <v>Loveleen Singh</v>
      </c>
      <c r="C3416" s="115" t="str">
        <f>IFERROR(__xludf.DUMMYFUNCTION("""COMPUTED_VALUE"""),"FLIPKART")</f>
        <v>FLIPKART</v>
      </c>
      <c r="D3416" s="115">
        <f>IFERROR(__xludf.DUMMYFUNCTION("""COMPUTED_VALUE"""),8967.0)</f>
        <v>8967</v>
      </c>
      <c r="E3416" s="115">
        <f>IFERROR(__xludf.DUMMYFUNCTION("""COMPUTED_VALUE"""),799.0)</f>
        <v>799</v>
      </c>
      <c r="F3416" s="115">
        <f>IFERROR(__xludf.DUMMYFUNCTION("""COMPUTED_VALUE"""),176.0)</f>
        <v>176</v>
      </c>
      <c r="G3416" s="115">
        <f>IFERROR(__xludf.DUMMYFUNCTION("""COMPUTED_VALUE"""),12.0)</f>
        <v>12</v>
      </c>
      <c r="H3416" s="116">
        <f>IFERROR(__xludf.DUMMYFUNCTION("""COMPUTED_VALUE"""),45907.0)</f>
        <v>45907</v>
      </c>
      <c r="I3416" s="115" t="str">
        <f>IFERROR(__xludf.DUMMYFUNCTION("""COMPUTED_VALUE"""),"08")</f>
        <v>08</v>
      </c>
      <c r="J3416" s="115" t="str">
        <f>IFERROR(__xludf.DUMMYFUNCTION("""COMPUTED_VALUE"""),"Loveleen Singh2025-09-0708")</f>
        <v>Loveleen Singh2025-09-0708</v>
      </c>
      <c r="K3416" s="115">
        <f>IFERROR(__xludf.DUMMYFUNCTION("""COMPUTED_VALUE"""),9766.0)</f>
        <v>9766</v>
      </c>
    </row>
    <row r="3417">
      <c r="A3417" s="115" t="str">
        <f>IFERROR(__xludf.DUMMYFUNCTION("""COMPUTED_VALUE"""),"NORTH")</f>
        <v>NORTH</v>
      </c>
      <c r="B3417" s="115" t="str">
        <f>IFERROR(__xludf.DUMMYFUNCTION("""COMPUTED_VALUE"""),"Loveleen Singh")</f>
        <v>Loveleen Singh</v>
      </c>
      <c r="C3417" s="115" t="str">
        <f>IFERROR(__xludf.DUMMYFUNCTION("""COMPUTED_VALUE"""),"MYNTRA")</f>
        <v>MYNTRA</v>
      </c>
      <c r="D3417" s="115">
        <f>IFERROR(__xludf.DUMMYFUNCTION("""COMPUTED_VALUE"""),1867.0)</f>
        <v>1867</v>
      </c>
      <c r="E3417" s="115">
        <f>IFERROR(__xludf.DUMMYFUNCTION("""COMPUTED_VALUE"""),355.0)</f>
        <v>355</v>
      </c>
      <c r="F3417" s="115">
        <f>IFERROR(__xludf.DUMMYFUNCTION("""COMPUTED_VALUE"""),21.0)</f>
        <v>21</v>
      </c>
      <c r="G3417" s="115">
        <f>IFERROR(__xludf.DUMMYFUNCTION("""COMPUTED_VALUE"""),3.0)</f>
        <v>3</v>
      </c>
      <c r="H3417" s="116">
        <f>IFERROR(__xludf.DUMMYFUNCTION("""COMPUTED_VALUE"""),45907.0)</f>
        <v>45907</v>
      </c>
      <c r="I3417" s="115" t="str">
        <f>IFERROR(__xludf.DUMMYFUNCTION("""COMPUTED_VALUE"""),"08")</f>
        <v>08</v>
      </c>
      <c r="J3417" s="115" t="str">
        <f>IFERROR(__xludf.DUMMYFUNCTION("""COMPUTED_VALUE"""),"Loveleen Singh2025-09-0708")</f>
        <v>Loveleen Singh2025-09-0708</v>
      </c>
      <c r="K3417" s="115">
        <f>IFERROR(__xludf.DUMMYFUNCTION("""COMPUTED_VALUE"""),2222.0)</f>
        <v>2222</v>
      </c>
    </row>
    <row r="3418">
      <c r="A3418" s="115" t="str">
        <f>IFERROR(__xludf.DUMMYFUNCTION("""COMPUTED_VALUE"""),"NORTH")</f>
        <v>NORTH</v>
      </c>
      <c r="B3418" s="115" t="str">
        <f>IFERROR(__xludf.DUMMYFUNCTION("""COMPUTED_VALUE"""),"Manoj Harsh")</f>
        <v>Manoj Harsh</v>
      </c>
      <c r="C3418" s="115" t="str">
        <f>IFERROR(__xludf.DUMMYFUNCTION("""COMPUTED_VALUE"""),"EXTERNAL")</f>
        <v>EXTERNAL</v>
      </c>
      <c r="D3418" s="115">
        <f>IFERROR(__xludf.DUMMYFUNCTION("""COMPUTED_VALUE"""),2018.0)</f>
        <v>2018</v>
      </c>
      <c r="E3418" s="115">
        <f>IFERROR(__xludf.DUMMYFUNCTION("""COMPUTED_VALUE"""),252.0)</f>
        <v>252</v>
      </c>
      <c r="F3418" s="115">
        <f>IFERROR(__xludf.DUMMYFUNCTION("""COMPUTED_VALUE"""),14.0)</f>
        <v>14</v>
      </c>
      <c r="G3418" s="115">
        <f>IFERROR(__xludf.DUMMYFUNCTION("""COMPUTED_VALUE"""),7.0)</f>
        <v>7</v>
      </c>
      <c r="H3418" s="116">
        <f>IFERROR(__xludf.DUMMYFUNCTION("""COMPUTED_VALUE"""),45907.0)</f>
        <v>45907</v>
      </c>
      <c r="I3418" s="115" t="str">
        <f>IFERROR(__xludf.DUMMYFUNCTION("""COMPUTED_VALUE"""),"08")</f>
        <v>08</v>
      </c>
      <c r="J3418" s="115" t="str">
        <f>IFERROR(__xludf.DUMMYFUNCTION("""COMPUTED_VALUE"""),"Manoj Harsh2025-09-0708")</f>
        <v>Manoj Harsh2025-09-0708</v>
      </c>
      <c r="K3418" s="115">
        <f>IFERROR(__xludf.DUMMYFUNCTION("""COMPUTED_VALUE"""),2270.0)</f>
        <v>2270</v>
      </c>
    </row>
    <row r="3419">
      <c r="A3419" s="115" t="str">
        <f>IFERROR(__xludf.DUMMYFUNCTION("""COMPUTED_VALUE"""),"NORTH")</f>
        <v>NORTH</v>
      </c>
      <c r="B3419" s="115" t="str">
        <f>IFERROR(__xludf.DUMMYFUNCTION("""COMPUTED_VALUE"""),"Manoj Harsh")</f>
        <v>Manoj Harsh</v>
      </c>
      <c r="C3419" s="115" t="str">
        <f>IFERROR(__xludf.DUMMYFUNCTION("""COMPUTED_VALUE"""),"FLIPKART")</f>
        <v>FLIPKART</v>
      </c>
      <c r="D3419" s="115">
        <f>IFERROR(__xludf.DUMMYFUNCTION("""COMPUTED_VALUE"""),25406.0)</f>
        <v>25406</v>
      </c>
      <c r="E3419" s="115">
        <f>IFERROR(__xludf.DUMMYFUNCTION("""COMPUTED_VALUE"""),3721.0)</f>
        <v>3721</v>
      </c>
      <c r="F3419" s="115">
        <f>IFERROR(__xludf.DUMMYFUNCTION("""COMPUTED_VALUE"""),346.0)</f>
        <v>346</v>
      </c>
      <c r="G3419" s="115">
        <f>IFERROR(__xludf.DUMMYFUNCTION("""COMPUTED_VALUE"""),46.0)</f>
        <v>46</v>
      </c>
      <c r="H3419" s="116">
        <f>IFERROR(__xludf.DUMMYFUNCTION("""COMPUTED_VALUE"""),45907.0)</f>
        <v>45907</v>
      </c>
      <c r="I3419" s="115" t="str">
        <f>IFERROR(__xludf.DUMMYFUNCTION("""COMPUTED_VALUE"""),"08")</f>
        <v>08</v>
      </c>
      <c r="J3419" s="115" t="str">
        <f>IFERROR(__xludf.DUMMYFUNCTION("""COMPUTED_VALUE"""),"Manoj Harsh2025-09-0708")</f>
        <v>Manoj Harsh2025-09-0708</v>
      </c>
      <c r="K3419" s="115">
        <f>IFERROR(__xludf.DUMMYFUNCTION("""COMPUTED_VALUE"""),29127.0)</f>
        <v>29127</v>
      </c>
    </row>
    <row r="3420">
      <c r="A3420" s="115" t="str">
        <f>IFERROR(__xludf.DUMMYFUNCTION("""COMPUTED_VALUE"""),"NORTH")</f>
        <v>NORTH</v>
      </c>
      <c r="B3420" s="115" t="str">
        <f>IFERROR(__xludf.DUMMYFUNCTION("""COMPUTED_VALUE"""),"Manoj Harsh")</f>
        <v>Manoj Harsh</v>
      </c>
      <c r="C3420" s="115" t="str">
        <f>IFERROR(__xludf.DUMMYFUNCTION("""COMPUTED_VALUE"""),"MYNTRA")</f>
        <v>MYNTRA</v>
      </c>
      <c r="D3420" s="115">
        <f>IFERROR(__xludf.DUMMYFUNCTION("""COMPUTED_VALUE"""),3025.0)</f>
        <v>3025</v>
      </c>
      <c r="E3420" s="115">
        <f>IFERROR(__xludf.DUMMYFUNCTION("""COMPUTED_VALUE"""),788.0)</f>
        <v>788</v>
      </c>
      <c r="F3420" s="115">
        <f>IFERROR(__xludf.DUMMYFUNCTION("""COMPUTED_VALUE"""),154.0)</f>
        <v>154</v>
      </c>
      <c r="G3420" s="115">
        <f>IFERROR(__xludf.DUMMYFUNCTION("""COMPUTED_VALUE"""),3.0)</f>
        <v>3</v>
      </c>
      <c r="H3420" s="116">
        <f>IFERROR(__xludf.DUMMYFUNCTION("""COMPUTED_VALUE"""),45907.0)</f>
        <v>45907</v>
      </c>
      <c r="I3420" s="115" t="str">
        <f>IFERROR(__xludf.DUMMYFUNCTION("""COMPUTED_VALUE"""),"08")</f>
        <v>08</v>
      </c>
      <c r="J3420" s="115" t="str">
        <f>IFERROR(__xludf.DUMMYFUNCTION("""COMPUTED_VALUE"""),"Manoj Harsh2025-09-0708")</f>
        <v>Manoj Harsh2025-09-0708</v>
      </c>
      <c r="K3420" s="115">
        <f>IFERROR(__xludf.DUMMYFUNCTION("""COMPUTED_VALUE"""),3813.0)</f>
        <v>3813</v>
      </c>
    </row>
    <row r="3421">
      <c r="A3421" s="115" t="str">
        <f>IFERROR(__xludf.DUMMYFUNCTION("""COMPUTED_VALUE"""),"NORTH")</f>
        <v>NORTH</v>
      </c>
      <c r="B3421" s="115" t="str">
        <f>IFERROR(__xludf.DUMMYFUNCTION("""COMPUTED_VALUE"""),"Pradeep Kothari")</f>
        <v>Pradeep Kothari</v>
      </c>
      <c r="C3421" s="115" t="str">
        <f>IFERROR(__xludf.DUMMYFUNCTION("""COMPUTED_VALUE"""),"EXTERNAL")</f>
        <v>EXTERNAL</v>
      </c>
      <c r="D3421" s="115">
        <f>IFERROR(__xludf.DUMMYFUNCTION("""COMPUTED_VALUE"""),1064.0)</f>
        <v>1064</v>
      </c>
      <c r="E3421" s="115">
        <f>IFERROR(__xludf.DUMMYFUNCTION("""COMPUTED_VALUE"""),102.0)</f>
        <v>102</v>
      </c>
      <c r="F3421" s="115">
        <f>IFERROR(__xludf.DUMMYFUNCTION("""COMPUTED_VALUE"""),10.0)</f>
        <v>10</v>
      </c>
      <c r="G3421" s="115">
        <f>IFERROR(__xludf.DUMMYFUNCTION("""COMPUTED_VALUE"""),0.0)</f>
        <v>0</v>
      </c>
      <c r="H3421" s="116">
        <f>IFERROR(__xludf.DUMMYFUNCTION("""COMPUTED_VALUE"""),45907.0)</f>
        <v>45907</v>
      </c>
      <c r="I3421" s="115" t="str">
        <f>IFERROR(__xludf.DUMMYFUNCTION("""COMPUTED_VALUE"""),"08")</f>
        <v>08</v>
      </c>
      <c r="J3421" s="115" t="str">
        <f>IFERROR(__xludf.DUMMYFUNCTION("""COMPUTED_VALUE"""),"Pradeep Kothari2025-09-0708")</f>
        <v>Pradeep Kothari2025-09-0708</v>
      </c>
      <c r="K3421" s="115">
        <f>IFERROR(__xludf.DUMMYFUNCTION("""COMPUTED_VALUE"""),1166.0)</f>
        <v>1166</v>
      </c>
    </row>
    <row r="3422">
      <c r="A3422" s="115" t="str">
        <f>IFERROR(__xludf.DUMMYFUNCTION("""COMPUTED_VALUE"""),"NORTH")</f>
        <v>NORTH</v>
      </c>
      <c r="B3422" s="115" t="str">
        <f>IFERROR(__xludf.DUMMYFUNCTION("""COMPUTED_VALUE"""),"Pradeep Kothari")</f>
        <v>Pradeep Kothari</v>
      </c>
      <c r="C3422" s="115" t="str">
        <f>IFERROR(__xludf.DUMMYFUNCTION("""COMPUTED_VALUE"""),"FLIPKART")</f>
        <v>FLIPKART</v>
      </c>
      <c r="D3422" s="115">
        <f>IFERROR(__xludf.DUMMYFUNCTION("""COMPUTED_VALUE"""),8217.0)</f>
        <v>8217</v>
      </c>
      <c r="E3422" s="115">
        <f>IFERROR(__xludf.DUMMYFUNCTION("""COMPUTED_VALUE"""),1117.0)</f>
        <v>1117</v>
      </c>
      <c r="F3422" s="115">
        <f>IFERROR(__xludf.DUMMYFUNCTION("""COMPUTED_VALUE"""),151.0)</f>
        <v>151</v>
      </c>
      <c r="G3422" s="115">
        <f>IFERROR(__xludf.DUMMYFUNCTION("""COMPUTED_VALUE"""),13.0)</f>
        <v>13</v>
      </c>
      <c r="H3422" s="116">
        <f>IFERROR(__xludf.DUMMYFUNCTION("""COMPUTED_VALUE"""),45907.0)</f>
        <v>45907</v>
      </c>
      <c r="I3422" s="115" t="str">
        <f>IFERROR(__xludf.DUMMYFUNCTION("""COMPUTED_VALUE"""),"08")</f>
        <v>08</v>
      </c>
      <c r="J3422" s="115" t="str">
        <f>IFERROR(__xludf.DUMMYFUNCTION("""COMPUTED_VALUE"""),"Pradeep Kothari2025-09-0708")</f>
        <v>Pradeep Kothari2025-09-0708</v>
      </c>
      <c r="K3422" s="115">
        <f>IFERROR(__xludf.DUMMYFUNCTION("""COMPUTED_VALUE"""),9334.0)</f>
        <v>9334</v>
      </c>
    </row>
    <row r="3423">
      <c r="A3423" s="115" t="str">
        <f>IFERROR(__xludf.DUMMYFUNCTION("""COMPUTED_VALUE"""),"NORTH")</f>
        <v>NORTH</v>
      </c>
      <c r="B3423" s="115" t="str">
        <f>IFERROR(__xludf.DUMMYFUNCTION("""COMPUTED_VALUE"""),"Pradeep Kothari")</f>
        <v>Pradeep Kothari</v>
      </c>
      <c r="C3423" s="115" t="str">
        <f>IFERROR(__xludf.DUMMYFUNCTION("""COMPUTED_VALUE"""),"MYNTRA")</f>
        <v>MYNTRA</v>
      </c>
      <c r="D3423" s="115">
        <f>IFERROR(__xludf.DUMMYFUNCTION("""COMPUTED_VALUE"""),1872.0)</f>
        <v>1872</v>
      </c>
      <c r="E3423" s="115">
        <f>IFERROR(__xludf.DUMMYFUNCTION("""COMPUTED_VALUE"""),392.0)</f>
        <v>392</v>
      </c>
      <c r="F3423" s="115">
        <f>IFERROR(__xludf.DUMMYFUNCTION("""COMPUTED_VALUE"""),32.0)</f>
        <v>32</v>
      </c>
      <c r="G3423" s="115">
        <f>IFERROR(__xludf.DUMMYFUNCTION("""COMPUTED_VALUE"""),6.0)</f>
        <v>6</v>
      </c>
      <c r="H3423" s="116">
        <f>IFERROR(__xludf.DUMMYFUNCTION("""COMPUTED_VALUE"""),45907.0)</f>
        <v>45907</v>
      </c>
      <c r="I3423" s="115" t="str">
        <f>IFERROR(__xludf.DUMMYFUNCTION("""COMPUTED_VALUE"""),"08")</f>
        <v>08</v>
      </c>
      <c r="J3423" s="115" t="str">
        <f>IFERROR(__xludf.DUMMYFUNCTION("""COMPUTED_VALUE"""),"Pradeep Kothari2025-09-0708")</f>
        <v>Pradeep Kothari2025-09-0708</v>
      </c>
      <c r="K3423" s="115">
        <f>IFERROR(__xludf.DUMMYFUNCTION("""COMPUTED_VALUE"""),2264.0)</f>
        <v>2264</v>
      </c>
    </row>
    <row r="3424">
      <c r="A3424" s="115" t="str">
        <f>IFERROR(__xludf.DUMMYFUNCTION("""COMPUTED_VALUE"""),"SOUTH")</f>
        <v>SOUTH</v>
      </c>
      <c r="B3424" s="115" t="str">
        <f>IFERROR(__xludf.DUMMYFUNCTION("""COMPUTED_VALUE"""),"Kandula Sampath")</f>
        <v>Kandula Sampath</v>
      </c>
      <c r="C3424" s="115" t="str">
        <f>IFERROR(__xludf.DUMMYFUNCTION("""COMPUTED_VALUE"""),"EXTERNAL")</f>
        <v>EXTERNAL</v>
      </c>
      <c r="D3424" s="115">
        <f>IFERROR(__xludf.DUMMYFUNCTION("""COMPUTED_VALUE"""),4801.0)</f>
        <v>4801</v>
      </c>
      <c r="E3424" s="115">
        <f>IFERROR(__xludf.DUMMYFUNCTION("""COMPUTED_VALUE"""),242.0)</f>
        <v>242</v>
      </c>
      <c r="F3424" s="115">
        <f>IFERROR(__xludf.DUMMYFUNCTION("""COMPUTED_VALUE"""),90.0)</f>
        <v>90</v>
      </c>
      <c r="G3424" s="115">
        <f>IFERROR(__xludf.DUMMYFUNCTION("""COMPUTED_VALUE"""),5.0)</f>
        <v>5</v>
      </c>
      <c r="H3424" s="116">
        <f>IFERROR(__xludf.DUMMYFUNCTION("""COMPUTED_VALUE"""),45907.0)</f>
        <v>45907</v>
      </c>
      <c r="I3424" s="115" t="str">
        <f>IFERROR(__xludf.DUMMYFUNCTION("""COMPUTED_VALUE"""),"08")</f>
        <v>08</v>
      </c>
      <c r="J3424" s="115" t="str">
        <f>IFERROR(__xludf.DUMMYFUNCTION("""COMPUTED_VALUE"""),"Kandula Sampath2025-09-0708")</f>
        <v>Kandula Sampath2025-09-0708</v>
      </c>
      <c r="K3424" s="115">
        <f>IFERROR(__xludf.DUMMYFUNCTION("""COMPUTED_VALUE"""),5043.0)</f>
        <v>5043</v>
      </c>
    </row>
    <row r="3425">
      <c r="A3425" s="115" t="str">
        <f>IFERROR(__xludf.DUMMYFUNCTION("""COMPUTED_VALUE"""),"SOUTH")</f>
        <v>SOUTH</v>
      </c>
      <c r="B3425" s="115" t="str">
        <f>IFERROR(__xludf.DUMMYFUNCTION("""COMPUTED_VALUE"""),"Kandula Sampath")</f>
        <v>Kandula Sampath</v>
      </c>
      <c r="C3425" s="115" t="str">
        <f>IFERROR(__xludf.DUMMYFUNCTION("""COMPUTED_VALUE"""),"FLIPKART")</f>
        <v>FLIPKART</v>
      </c>
      <c r="D3425" s="115">
        <f>IFERROR(__xludf.DUMMYFUNCTION("""COMPUTED_VALUE"""),52823.0)</f>
        <v>52823</v>
      </c>
      <c r="E3425" s="115">
        <f>IFERROR(__xludf.DUMMYFUNCTION("""COMPUTED_VALUE"""),3351.0)</f>
        <v>3351</v>
      </c>
      <c r="F3425" s="115">
        <f>IFERROR(__xludf.DUMMYFUNCTION("""COMPUTED_VALUE"""),2061.0)</f>
        <v>2061</v>
      </c>
      <c r="G3425" s="115">
        <f>IFERROR(__xludf.DUMMYFUNCTION("""COMPUTED_VALUE"""),27.0)</f>
        <v>27</v>
      </c>
      <c r="H3425" s="116">
        <f>IFERROR(__xludf.DUMMYFUNCTION("""COMPUTED_VALUE"""),45907.0)</f>
        <v>45907</v>
      </c>
      <c r="I3425" s="115" t="str">
        <f>IFERROR(__xludf.DUMMYFUNCTION("""COMPUTED_VALUE"""),"08")</f>
        <v>08</v>
      </c>
      <c r="J3425" s="115" t="str">
        <f>IFERROR(__xludf.DUMMYFUNCTION("""COMPUTED_VALUE"""),"Kandula Sampath2025-09-0708")</f>
        <v>Kandula Sampath2025-09-0708</v>
      </c>
      <c r="K3425" s="115">
        <f>IFERROR(__xludf.DUMMYFUNCTION("""COMPUTED_VALUE"""),56174.0)</f>
        <v>56174</v>
      </c>
    </row>
    <row r="3426">
      <c r="A3426" s="115" t="str">
        <f>IFERROR(__xludf.DUMMYFUNCTION("""COMPUTED_VALUE"""),"SOUTH")</f>
        <v>SOUTH</v>
      </c>
      <c r="B3426" s="115" t="str">
        <f>IFERROR(__xludf.DUMMYFUNCTION("""COMPUTED_VALUE"""),"Kandula Sampath")</f>
        <v>Kandula Sampath</v>
      </c>
      <c r="C3426" s="115" t="str">
        <f>IFERROR(__xludf.DUMMYFUNCTION("""COMPUTED_VALUE"""),"MYNTRA")</f>
        <v>MYNTRA</v>
      </c>
      <c r="D3426" s="115">
        <f>IFERROR(__xludf.DUMMYFUNCTION("""COMPUTED_VALUE"""),6350.0)</f>
        <v>6350</v>
      </c>
      <c r="E3426" s="115">
        <f>IFERROR(__xludf.DUMMYFUNCTION("""COMPUTED_VALUE"""),928.0)</f>
        <v>928</v>
      </c>
      <c r="F3426" s="115">
        <f>IFERROR(__xludf.DUMMYFUNCTION("""COMPUTED_VALUE"""),308.0)</f>
        <v>308</v>
      </c>
      <c r="G3426" s="115">
        <f>IFERROR(__xludf.DUMMYFUNCTION("""COMPUTED_VALUE"""),10.0)</f>
        <v>10</v>
      </c>
      <c r="H3426" s="116">
        <f>IFERROR(__xludf.DUMMYFUNCTION("""COMPUTED_VALUE"""),45907.0)</f>
        <v>45907</v>
      </c>
      <c r="I3426" s="115" t="str">
        <f>IFERROR(__xludf.DUMMYFUNCTION("""COMPUTED_VALUE"""),"08")</f>
        <v>08</v>
      </c>
      <c r="J3426" s="115" t="str">
        <f>IFERROR(__xludf.DUMMYFUNCTION("""COMPUTED_VALUE"""),"Kandula Sampath2025-09-0708")</f>
        <v>Kandula Sampath2025-09-0708</v>
      </c>
      <c r="K3426" s="115">
        <f>IFERROR(__xludf.DUMMYFUNCTION("""COMPUTED_VALUE"""),7278.0)</f>
        <v>7278</v>
      </c>
    </row>
    <row r="3427">
      <c r="A3427" s="115" t="str">
        <f>IFERROR(__xludf.DUMMYFUNCTION("""COMPUTED_VALUE"""),"SOUTH")</f>
        <v>SOUTH</v>
      </c>
      <c r="B3427" s="115" t="str">
        <f>IFERROR(__xludf.DUMMYFUNCTION("""COMPUTED_VALUE"""),"Martin A")</f>
        <v>Martin A</v>
      </c>
      <c r="C3427" s="115" t="str">
        <f>IFERROR(__xludf.DUMMYFUNCTION("""COMPUTED_VALUE"""),"EXTERNAL")</f>
        <v>EXTERNAL</v>
      </c>
      <c r="D3427" s="115">
        <f>IFERROR(__xludf.DUMMYFUNCTION("""COMPUTED_VALUE"""),4031.0)</f>
        <v>4031</v>
      </c>
      <c r="E3427" s="115">
        <f>IFERROR(__xludf.DUMMYFUNCTION("""COMPUTED_VALUE"""),419.0)</f>
        <v>419</v>
      </c>
      <c r="F3427" s="115">
        <f>IFERROR(__xludf.DUMMYFUNCTION("""COMPUTED_VALUE"""),25.0)</f>
        <v>25</v>
      </c>
      <c r="G3427" s="115">
        <f>IFERROR(__xludf.DUMMYFUNCTION("""COMPUTED_VALUE"""),7.0)</f>
        <v>7</v>
      </c>
      <c r="H3427" s="116">
        <f>IFERROR(__xludf.DUMMYFUNCTION("""COMPUTED_VALUE"""),45907.0)</f>
        <v>45907</v>
      </c>
      <c r="I3427" s="115" t="str">
        <f>IFERROR(__xludf.DUMMYFUNCTION("""COMPUTED_VALUE"""),"08")</f>
        <v>08</v>
      </c>
      <c r="J3427" s="115" t="str">
        <f>IFERROR(__xludf.DUMMYFUNCTION("""COMPUTED_VALUE"""),"Martin A2025-09-0708")</f>
        <v>Martin A2025-09-0708</v>
      </c>
      <c r="K3427" s="115">
        <f>IFERROR(__xludf.DUMMYFUNCTION("""COMPUTED_VALUE"""),4450.0)</f>
        <v>4450</v>
      </c>
    </row>
    <row r="3428">
      <c r="A3428" s="115" t="str">
        <f>IFERROR(__xludf.DUMMYFUNCTION("""COMPUTED_VALUE"""),"SOUTH")</f>
        <v>SOUTH</v>
      </c>
      <c r="B3428" s="115" t="str">
        <f>IFERROR(__xludf.DUMMYFUNCTION("""COMPUTED_VALUE"""),"Martin A")</f>
        <v>Martin A</v>
      </c>
      <c r="C3428" s="115" t="str">
        <f>IFERROR(__xludf.DUMMYFUNCTION("""COMPUTED_VALUE"""),"FLIPKART")</f>
        <v>FLIPKART</v>
      </c>
      <c r="D3428" s="115">
        <f>IFERROR(__xludf.DUMMYFUNCTION("""COMPUTED_VALUE"""),37312.0)</f>
        <v>37312</v>
      </c>
      <c r="E3428" s="115">
        <f>IFERROR(__xludf.DUMMYFUNCTION("""COMPUTED_VALUE"""),3326.0)</f>
        <v>3326</v>
      </c>
      <c r="F3428" s="115">
        <f>IFERROR(__xludf.DUMMYFUNCTION("""COMPUTED_VALUE"""),330.0)</f>
        <v>330</v>
      </c>
      <c r="G3428" s="115">
        <f>IFERROR(__xludf.DUMMYFUNCTION("""COMPUTED_VALUE"""),45.0)</f>
        <v>45</v>
      </c>
      <c r="H3428" s="116">
        <f>IFERROR(__xludf.DUMMYFUNCTION("""COMPUTED_VALUE"""),45907.0)</f>
        <v>45907</v>
      </c>
      <c r="I3428" s="115" t="str">
        <f>IFERROR(__xludf.DUMMYFUNCTION("""COMPUTED_VALUE"""),"08")</f>
        <v>08</v>
      </c>
      <c r="J3428" s="115" t="str">
        <f>IFERROR(__xludf.DUMMYFUNCTION("""COMPUTED_VALUE"""),"Martin A2025-09-0708")</f>
        <v>Martin A2025-09-0708</v>
      </c>
      <c r="K3428" s="115">
        <f>IFERROR(__xludf.DUMMYFUNCTION("""COMPUTED_VALUE"""),40638.0)</f>
        <v>40638</v>
      </c>
    </row>
    <row r="3429">
      <c r="A3429" s="115" t="str">
        <f>IFERROR(__xludf.DUMMYFUNCTION("""COMPUTED_VALUE"""),"SOUTH")</f>
        <v>SOUTH</v>
      </c>
      <c r="B3429" s="115" t="str">
        <f>IFERROR(__xludf.DUMMYFUNCTION("""COMPUTED_VALUE"""),"Martin A")</f>
        <v>Martin A</v>
      </c>
      <c r="C3429" s="115" t="str">
        <f>IFERROR(__xludf.DUMMYFUNCTION("""COMPUTED_VALUE"""),"MYNTRA")</f>
        <v>MYNTRA</v>
      </c>
      <c r="D3429" s="115">
        <f>IFERROR(__xludf.DUMMYFUNCTION("""COMPUTED_VALUE"""),4052.0)</f>
        <v>4052</v>
      </c>
      <c r="E3429" s="115">
        <f>IFERROR(__xludf.DUMMYFUNCTION("""COMPUTED_VALUE"""),889.0)</f>
        <v>889</v>
      </c>
      <c r="F3429" s="115">
        <f>IFERROR(__xludf.DUMMYFUNCTION("""COMPUTED_VALUE"""),43.0)</f>
        <v>43</v>
      </c>
      <c r="G3429" s="115">
        <f>IFERROR(__xludf.DUMMYFUNCTION("""COMPUTED_VALUE"""),1.0)</f>
        <v>1</v>
      </c>
      <c r="H3429" s="116">
        <f>IFERROR(__xludf.DUMMYFUNCTION("""COMPUTED_VALUE"""),45907.0)</f>
        <v>45907</v>
      </c>
      <c r="I3429" s="115" t="str">
        <f>IFERROR(__xludf.DUMMYFUNCTION("""COMPUTED_VALUE"""),"08")</f>
        <v>08</v>
      </c>
      <c r="J3429" s="115" t="str">
        <f>IFERROR(__xludf.DUMMYFUNCTION("""COMPUTED_VALUE"""),"Martin A2025-09-0708")</f>
        <v>Martin A2025-09-0708</v>
      </c>
      <c r="K3429" s="115">
        <f>IFERROR(__xludf.DUMMYFUNCTION("""COMPUTED_VALUE"""),4941.0)</f>
        <v>4941</v>
      </c>
    </row>
    <row r="3430">
      <c r="A3430" s="115" t="str">
        <f>IFERROR(__xludf.DUMMYFUNCTION("""COMPUTED_VALUE"""),"SOUTH")</f>
        <v>SOUTH</v>
      </c>
      <c r="B3430" s="115" t="str">
        <f>IFERROR(__xludf.DUMMYFUNCTION("""COMPUTED_VALUE"""),"Premkumar M")</f>
        <v>Premkumar M</v>
      </c>
      <c r="C3430" s="115" t="str">
        <f>IFERROR(__xludf.DUMMYFUNCTION("""COMPUTED_VALUE"""),"EXTERNAL")</f>
        <v>EXTERNAL</v>
      </c>
      <c r="D3430" s="115">
        <f>IFERROR(__xludf.DUMMYFUNCTION("""COMPUTED_VALUE"""),694.0)</f>
        <v>694</v>
      </c>
      <c r="E3430" s="115">
        <f>IFERROR(__xludf.DUMMYFUNCTION("""COMPUTED_VALUE"""),17.0)</f>
        <v>17</v>
      </c>
      <c r="F3430" s="115">
        <f>IFERROR(__xludf.DUMMYFUNCTION("""COMPUTED_VALUE"""),14.0)</f>
        <v>14</v>
      </c>
      <c r="G3430" s="115">
        <f>IFERROR(__xludf.DUMMYFUNCTION("""COMPUTED_VALUE"""),1.0)</f>
        <v>1</v>
      </c>
      <c r="H3430" s="116">
        <f>IFERROR(__xludf.DUMMYFUNCTION("""COMPUTED_VALUE"""),45907.0)</f>
        <v>45907</v>
      </c>
      <c r="I3430" s="115" t="str">
        <f>IFERROR(__xludf.DUMMYFUNCTION("""COMPUTED_VALUE"""),"08")</f>
        <v>08</v>
      </c>
      <c r="J3430" s="115" t="str">
        <f>IFERROR(__xludf.DUMMYFUNCTION("""COMPUTED_VALUE"""),"Premkumar M2025-09-0708")</f>
        <v>Premkumar M2025-09-0708</v>
      </c>
      <c r="K3430" s="115">
        <f>IFERROR(__xludf.DUMMYFUNCTION("""COMPUTED_VALUE"""),711.0)</f>
        <v>711</v>
      </c>
    </row>
    <row r="3431">
      <c r="A3431" s="115" t="str">
        <f>IFERROR(__xludf.DUMMYFUNCTION("""COMPUTED_VALUE"""),"SOUTH")</f>
        <v>SOUTH</v>
      </c>
      <c r="B3431" s="115" t="str">
        <f>IFERROR(__xludf.DUMMYFUNCTION("""COMPUTED_VALUE"""),"Premkumar M")</f>
        <v>Premkumar M</v>
      </c>
      <c r="C3431" s="115" t="str">
        <f>IFERROR(__xludf.DUMMYFUNCTION("""COMPUTED_VALUE"""),"FLIPKART")</f>
        <v>FLIPKART</v>
      </c>
      <c r="D3431" s="115">
        <f>IFERROR(__xludf.DUMMYFUNCTION("""COMPUTED_VALUE"""),8139.0)</f>
        <v>8139</v>
      </c>
      <c r="E3431" s="115">
        <f>IFERROR(__xludf.DUMMYFUNCTION("""COMPUTED_VALUE"""),476.0)</f>
        <v>476</v>
      </c>
      <c r="F3431" s="115">
        <f>IFERROR(__xludf.DUMMYFUNCTION("""COMPUTED_VALUE"""),179.0)</f>
        <v>179</v>
      </c>
      <c r="G3431" s="115">
        <f>IFERROR(__xludf.DUMMYFUNCTION("""COMPUTED_VALUE"""),6.0)</f>
        <v>6</v>
      </c>
      <c r="H3431" s="116">
        <f>IFERROR(__xludf.DUMMYFUNCTION("""COMPUTED_VALUE"""),45907.0)</f>
        <v>45907</v>
      </c>
      <c r="I3431" s="115" t="str">
        <f>IFERROR(__xludf.DUMMYFUNCTION("""COMPUTED_VALUE"""),"08")</f>
        <v>08</v>
      </c>
      <c r="J3431" s="115" t="str">
        <f>IFERROR(__xludf.DUMMYFUNCTION("""COMPUTED_VALUE"""),"Premkumar M2025-09-0708")</f>
        <v>Premkumar M2025-09-0708</v>
      </c>
      <c r="K3431" s="115">
        <f>IFERROR(__xludf.DUMMYFUNCTION("""COMPUTED_VALUE"""),8615.0)</f>
        <v>8615</v>
      </c>
    </row>
    <row r="3432">
      <c r="A3432" s="115" t="str">
        <f>IFERROR(__xludf.DUMMYFUNCTION("""COMPUTED_VALUE"""),"SOUTH")</f>
        <v>SOUTH</v>
      </c>
      <c r="B3432" s="115" t="str">
        <f>IFERROR(__xludf.DUMMYFUNCTION("""COMPUTED_VALUE"""),"Premkumar M")</f>
        <v>Premkumar M</v>
      </c>
      <c r="C3432" s="115" t="str">
        <f>IFERROR(__xludf.DUMMYFUNCTION("""COMPUTED_VALUE"""),"MYNTRA")</f>
        <v>MYNTRA</v>
      </c>
      <c r="D3432" s="115">
        <f>IFERROR(__xludf.DUMMYFUNCTION("""COMPUTED_VALUE"""),502.0)</f>
        <v>502</v>
      </c>
      <c r="E3432" s="115">
        <f>IFERROR(__xludf.DUMMYFUNCTION("""COMPUTED_VALUE"""),105.0)</f>
        <v>105</v>
      </c>
      <c r="F3432" s="115">
        <f>IFERROR(__xludf.DUMMYFUNCTION("""COMPUTED_VALUE"""),4.0)</f>
        <v>4</v>
      </c>
      <c r="G3432" s="115">
        <f>IFERROR(__xludf.DUMMYFUNCTION("""COMPUTED_VALUE"""),0.0)</f>
        <v>0</v>
      </c>
      <c r="H3432" s="116">
        <f>IFERROR(__xludf.DUMMYFUNCTION("""COMPUTED_VALUE"""),45907.0)</f>
        <v>45907</v>
      </c>
      <c r="I3432" s="115" t="str">
        <f>IFERROR(__xludf.DUMMYFUNCTION("""COMPUTED_VALUE"""),"08")</f>
        <v>08</v>
      </c>
      <c r="J3432" s="115" t="str">
        <f>IFERROR(__xludf.DUMMYFUNCTION("""COMPUTED_VALUE"""),"Premkumar M2025-09-0708")</f>
        <v>Premkumar M2025-09-0708</v>
      </c>
      <c r="K3432" s="115">
        <f>IFERROR(__xludf.DUMMYFUNCTION("""COMPUTED_VALUE"""),607.0)</f>
        <v>607</v>
      </c>
    </row>
    <row r="3433">
      <c r="A3433" s="115" t="str">
        <f>IFERROR(__xludf.DUMMYFUNCTION("""COMPUTED_VALUE"""),"SOUTH")</f>
        <v>SOUTH</v>
      </c>
      <c r="B3433" s="115" t="str">
        <f>IFERROR(__xludf.DUMMYFUNCTION("""COMPUTED_VALUE"""),"Vineeth V")</f>
        <v>Vineeth V</v>
      </c>
      <c r="C3433" s="115" t="str">
        <f>IFERROR(__xludf.DUMMYFUNCTION("""COMPUTED_VALUE"""),"EXTERNAL")</f>
        <v>EXTERNAL</v>
      </c>
      <c r="D3433" s="115">
        <f>IFERROR(__xludf.DUMMYFUNCTION("""COMPUTED_VALUE"""),257.0)</f>
        <v>257</v>
      </c>
      <c r="E3433" s="115">
        <f>IFERROR(__xludf.DUMMYFUNCTION("""COMPUTED_VALUE"""),6.0)</f>
        <v>6</v>
      </c>
      <c r="F3433" s="115">
        <f>IFERROR(__xludf.DUMMYFUNCTION("""COMPUTED_VALUE"""),1.0)</f>
        <v>1</v>
      </c>
      <c r="G3433" s="115">
        <f>IFERROR(__xludf.DUMMYFUNCTION("""COMPUTED_VALUE"""),0.0)</f>
        <v>0</v>
      </c>
      <c r="H3433" s="116">
        <f>IFERROR(__xludf.DUMMYFUNCTION("""COMPUTED_VALUE"""),45907.0)</f>
        <v>45907</v>
      </c>
      <c r="I3433" s="115" t="str">
        <f>IFERROR(__xludf.DUMMYFUNCTION("""COMPUTED_VALUE"""),"08")</f>
        <v>08</v>
      </c>
      <c r="J3433" s="115" t="str">
        <f>IFERROR(__xludf.DUMMYFUNCTION("""COMPUTED_VALUE"""),"Vineeth V2025-09-0708")</f>
        <v>Vineeth V2025-09-0708</v>
      </c>
      <c r="K3433" s="115">
        <f>IFERROR(__xludf.DUMMYFUNCTION("""COMPUTED_VALUE"""),263.0)</f>
        <v>263</v>
      </c>
    </row>
    <row r="3434">
      <c r="A3434" s="115" t="str">
        <f>IFERROR(__xludf.DUMMYFUNCTION("""COMPUTED_VALUE"""),"SOUTH")</f>
        <v>SOUTH</v>
      </c>
      <c r="B3434" s="115" t="str">
        <f>IFERROR(__xludf.DUMMYFUNCTION("""COMPUTED_VALUE"""),"Vineeth V")</f>
        <v>Vineeth V</v>
      </c>
      <c r="C3434" s="115" t="str">
        <f>IFERROR(__xludf.DUMMYFUNCTION("""COMPUTED_VALUE"""),"FLIPKART")</f>
        <v>FLIPKART</v>
      </c>
      <c r="D3434" s="115">
        <f>IFERROR(__xludf.DUMMYFUNCTION("""COMPUTED_VALUE"""),3187.0)</f>
        <v>3187</v>
      </c>
      <c r="E3434" s="115">
        <f>IFERROR(__xludf.DUMMYFUNCTION("""COMPUTED_VALUE"""),182.0)</f>
        <v>182</v>
      </c>
      <c r="F3434" s="115">
        <f>IFERROR(__xludf.DUMMYFUNCTION("""COMPUTED_VALUE"""),50.0)</f>
        <v>50</v>
      </c>
      <c r="G3434" s="115">
        <f>IFERROR(__xludf.DUMMYFUNCTION("""COMPUTED_VALUE"""),8.0)</f>
        <v>8</v>
      </c>
      <c r="H3434" s="116">
        <f>IFERROR(__xludf.DUMMYFUNCTION("""COMPUTED_VALUE"""),45907.0)</f>
        <v>45907</v>
      </c>
      <c r="I3434" s="115" t="str">
        <f>IFERROR(__xludf.DUMMYFUNCTION("""COMPUTED_VALUE"""),"08")</f>
        <v>08</v>
      </c>
      <c r="J3434" s="115" t="str">
        <f>IFERROR(__xludf.DUMMYFUNCTION("""COMPUTED_VALUE"""),"Vineeth V2025-09-0708")</f>
        <v>Vineeth V2025-09-0708</v>
      </c>
      <c r="K3434" s="115">
        <f>IFERROR(__xludf.DUMMYFUNCTION("""COMPUTED_VALUE"""),3369.0)</f>
        <v>3369</v>
      </c>
    </row>
    <row r="3435">
      <c r="A3435" s="115" t="str">
        <f>IFERROR(__xludf.DUMMYFUNCTION("""COMPUTED_VALUE"""),"SOUTH")</f>
        <v>SOUTH</v>
      </c>
      <c r="B3435" s="115" t="str">
        <f>IFERROR(__xludf.DUMMYFUNCTION("""COMPUTED_VALUE"""),"Vineeth V")</f>
        <v>Vineeth V</v>
      </c>
      <c r="C3435" s="115" t="str">
        <f>IFERROR(__xludf.DUMMYFUNCTION("""COMPUTED_VALUE"""),"MYNTRA")</f>
        <v>MYNTRA</v>
      </c>
      <c r="D3435" s="115">
        <f>IFERROR(__xludf.DUMMYFUNCTION("""COMPUTED_VALUE"""),282.0)</f>
        <v>282</v>
      </c>
      <c r="E3435" s="115">
        <f>IFERROR(__xludf.DUMMYFUNCTION("""COMPUTED_VALUE"""),81.0)</f>
        <v>81</v>
      </c>
      <c r="F3435" s="115">
        <f>IFERROR(__xludf.DUMMYFUNCTION("""COMPUTED_VALUE"""),10.0)</f>
        <v>10</v>
      </c>
      <c r="G3435" s="115">
        <f>IFERROR(__xludf.DUMMYFUNCTION("""COMPUTED_VALUE"""),0.0)</f>
        <v>0</v>
      </c>
      <c r="H3435" s="116">
        <f>IFERROR(__xludf.DUMMYFUNCTION("""COMPUTED_VALUE"""),45907.0)</f>
        <v>45907</v>
      </c>
      <c r="I3435" s="115" t="str">
        <f>IFERROR(__xludf.DUMMYFUNCTION("""COMPUTED_VALUE"""),"08")</f>
        <v>08</v>
      </c>
      <c r="J3435" s="115" t="str">
        <f>IFERROR(__xludf.DUMMYFUNCTION("""COMPUTED_VALUE"""),"Vineeth V2025-09-0708")</f>
        <v>Vineeth V2025-09-0708</v>
      </c>
      <c r="K3435" s="115">
        <f>IFERROR(__xludf.DUMMYFUNCTION("""COMPUTED_VALUE"""),363.0)</f>
        <v>363</v>
      </c>
    </row>
    <row r="3436">
      <c r="A3436" s="115" t="str">
        <f>IFERROR(__xludf.DUMMYFUNCTION("""COMPUTED_VALUE"""),"WEST")</f>
        <v>WEST</v>
      </c>
      <c r="B3436" s="115" t="str">
        <f>IFERROR(__xludf.DUMMYFUNCTION("""COMPUTED_VALUE"""),"Ashish Jakar")</f>
        <v>Ashish Jakar</v>
      </c>
      <c r="C3436" s="115" t="str">
        <f>IFERROR(__xludf.DUMMYFUNCTION("""COMPUTED_VALUE"""),"EXTERNAL")</f>
        <v>EXTERNAL</v>
      </c>
      <c r="D3436" s="115">
        <f>IFERROR(__xludf.DUMMYFUNCTION("""COMPUTED_VALUE"""),1656.0)</f>
        <v>1656</v>
      </c>
      <c r="E3436" s="115">
        <f>IFERROR(__xludf.DUMMYFUNCTION("""COMPUTED_VALUE"""),384.0)</f>
        <v>384</v>
      </c>
      <c r="F3436" s="115">
        <f>IFERROR(__xludf.DUMMYFUNCTION("""COMPUTED_VALUE"""),5.0)</f>
        <v>5</v>
      </c>
      <c r="G3436" s="115">
        <f>IFERROR(__xludf.DUMMYFUNCTION("""COMPUTED_VALUE"""),0.0)</f>
        <v>0</v>
      </c>
      <c r="H3436" s="116">
        <f>IFERROR(__xludf.DUMMYFUNCTION("""COMPUTED_VALUE"""),45907.0)</f>
        <v>45907</v>
      </c>
      <c r="I3436" s="115" t="str">
        <f>IFERROR(__xludf.DUMMYFUNCTION("""COMPUTED_VALUE"""),"08")</f>
        <v>08</v>
      </c>
      <c r="J3436" s="115" t="str">
        <f>IFERROR(__xludf.DUMMYFUNCTION("""COMPUTED_VALUE"""),"Ashish Jakar2025-09-0708")</f>
        <v>Ashish Jakar2025-09-0708</v>
      </c>
      <c r="K3436" s="115">
        <f>IFERROR(__xludf.DUMMYFUNCTION("""COMPUTED_VALUE"""),2040.0)</f>
        <v>2040</v>
      </c>
    </row>
    <row r="3437">
      <c r="A3437" s="115" t="str">
        <f>IFERROR(__xludf.DUMMYFUNCTION("""COMPUTED_VALUE"""),"WEST")</f>
        <v>WEST</v>
      </c>
      <c r="B3437" s="115" t="str">
        <f>IFERROR(__xludf.DUMMYFUNCTION("""COMPUTED_VALUE"""),"Ashish Jakar")</f>
        <v>Ashish Jakar</v>
      </c>
      <c r="C3437" s="115" t="str">
        <f>IFERROR(__xludf.DUMMYFUNCTION("""COMPUTED_VALUE"""),"FLIPKART")</f>
        <v>FLIPKART</v>
      </c>
      <c r="D3437" s="115">
        <f>IFERROR(__xludf.DUMMYFUNCTION("""COMPUTED_VALUE"""),12150.0)</f>
        <v>12150</v>
      </c>
      <c r="E3437" s="115">
        <f>IFERROR(__xludf.DUMMYFUNCTION("""COMPUTED_VALUE"""),1518.0)</f>
        <v>1518</v>
      </c>
      <c r="F3437" s="115">
        <f>IFERROR(__xludf.DUMMYFUNCTION("""COMPUTED_VALUE"""),122.0)</f>
        <v>122</v>
      </c>
      <c r="G3437" s="115">
        <f>IFERROR(__xludf.DUMMYFUNCTION("""COMPUTED_VALUE"""),3.0)</f>
        <v>3</v>
      </c>
      <c r="H3437" s="116">
        <f>IFERROR(__xludf.DUMMYFUNCTION("""COMPUTED_VALUE"""),45907.0)</f>
        <v>45907</v>
      </c>
      <c r="I3437" s="115" t="str">
        <f>IFERROR(__xludf.DUMMYFUNCTION("""COMPUTED_VALUE"""),"08")</f>
        <v>08</v>
      </c>
      <c r="J3437" s="115" t="str">
        <f>IFERROR(__xludf.DUMMYFUNCTION("""COMPUTED_VALUE"""),"Ashish Jakar2025-09-0708")</f>
        <v>Ashish Jakar2025-09-0708</v>
      </c>
      <c r="K3437" s="115">
        <f>IFERROR(__xludf.DUMMYFUNCTION("""COMPUTED_VALUE"""),13668.0)</f>
        <v>13668</v>
      </c>
    </row>
    <row r="3438">
      <c r="A3438" s="115" t="str">
        <f>IFERROR(__xludf.DUMMYFUNCTION("""COMPUTED_VALUE"""),"WEST")</f>
        <v>WEST</v>
      </c>
      <c r="B3438" s="115" t="str">
        <f>IFERROR(__xludf.DUMMYFUNCTION("""COMPUTED_VALUE"""),"Ashish Jakar")</f>
        <v>Ashish Jakar</v>
      </c>
      <c r="C3438" s="115" t="str">
        <f>IFERROR(__xludf.DUMMYFUNCTION("""COMPUTED_VALUE"""),"MYNTRA")</f>
        <v>MYNTRA</v>
      </c>
      <c r="D3438" s="115">
        <f>IFERROR(__xludf.DUMMYFUNCTION("""COMPUTED_VALUE"""),1573.0)</f>
        <v>1573</v>
      </c>
      <c r="E3438" s="115">
        <f>IFERROR(__xludf.DUMMYFUNCTION("""COMPUTED_VALUE"""),605.0)</f>
        <v>605</v>
      </c>
      <c r="F3438" s="115">
        <f>IFERROR(__xludf.DUMMYFUNCTION("""COMPUTED_VALUE"""),18.0)</f>
        <v>18</v>
      </c>
      <c r="G3438" s="115">
        <f>IFERROR(__xludf.DUMMYFUNCTION("""COMPUTED_VALUE"""),1.0)</f>
        <v>1</v>
      </c>
      <c r="H3438" s="116">
        <f>IFERROR(__xludf.DUMMYFUNCTION("""COMPUTED_VALUE"""),45907.0)</f>
        <v>45907</v>
      </c>
      <c r="I3438" s="115" t="str">
        <f>IFERROR(__xludf.DUMMYFUNCTION("""COMPUTED_VALUE"""),"08")</f>
        <v>08</v>
      </c>
      <c r="J3438" s="115" t="str">
        <f>IFERROR(__xludf.DUMMYFUNCTION("""COMPUTED_VALUE"""),"Ashish Jakar2025-09-0708")</f>
        <v>Ashish Jakar2025-09-0708</v>
      </c>
      <c r="K3438" s="115">
        <f>IFERROR(__xludf.DUMMYFUNCTION("""COMPUTED_VALUE"""),2178.0)</f>
        <v>2178</v>
      </c>
    </row>
    <row r="3439">
      <c r="A3439" s="115" t="str">
        <f>IFERROR(__xludf.DUMMYFUNCTION("""COMPUTED_VALUE"""),"WEST")</f>
        <v>WEST</v>
      </c>
      <c r="B3439" s="115" t="str">
        <f>IFERROR(__xludf.DUMMYFUNCTION("""COMPUTED_VALUE"""),"Ashvani Bhatt")</f>
        <v>Ashvani Bhatt</v>
      </c>
      <c r="C3439" s="115" t="str">
        <f>IFERROR(__xludf.DUMMYFUNCTION("""COMPUTED_VALUE"""),"EXTERNAL")</f>
        <v>EXTERNAL</v>
      </c>
      <c r="D3439" s="115">
        <f>IFERROR(__xludf.DUMMYFUNCTION("""COMPUTED_VALUE"""),2131.0)</f>
        <v>2131</v>
      </c>
      <c r="E3439" s="115">
        <f>IFERROR(__xludf.DUMMYFUNCTION("""COMPUTED_VALUE"""),97.0)</f>
        <v>97</v>
      </c>
      <c r="F3439" s="115">
        <f>IFERROR(__xludf.DUMMYFUNCTION("""COMPUTED_VALUE"""),9.0)</f>
        <v>9</v>
      </c>
      <c r="G3439" s="115">
        <f>IFERROR(__xludf.DUMMYFUNCTION("""COMPUTED_VALUE"""),0.0)</f>
        <v>0</v>
      </c>
      <c r="H3439" s="116">
        <f>IFERROR(__xludf.DUMMYFUNCTION("""COMPUTED_VALUE"""),45907.0)</f>
        <v>45907</v>
      </c>
      <c r="I3439" s="115" t="str">
        <f>IFERROR(__xludf.DUMMYFUNCTION("""COMPUTED_VALUE"""),"08")</f>
        <v>08</v>
      </c>
      <c r="J3439" s="115" t="str">
        <f>IFERROR(__xludf.DUMMYFUNCTION("""COMPUTED_VALUE"""),"Ashvani Bhatt2025-09-0708")</f>
        <v>Ashvani Bhatt2025-09-0708</v>
      </c>
      <c r="K3439" s="115">
        <f>IFERROR(__xludf.DUMMYFUNCTION("""COMPUTED_VALUE"""),2228.0)</f>
        <v>2228</v>
      </c>
    </row>
    <row r="3440">
      <c r="A3440" s="115" t="str">
        <f>IFERROR(__xludf.DUMMYFUNCTION("""COMPUTED_VALUE"""),"WEST")</f>
        <v>WEST</v>
      </c>
      <c r="B3440" s="115" t="str">
        <f>IFERROR(__xludf.DUMMYFUNCTION("""COMPUTED_VALUE"""),"Ashvani Bhatt")</f>
        <v>Ashvani Bhatt</v>
      </c>
      <c r="C3440" s="115" t="str">
        <f>IFERROR(__xludf.DUMMYFUNCTION("""COMPUTED_VALUE"""),"FLIPKART")</f>
        <v>FLIPKART</v>
      </c>
      <c r="D3440" s="115">
        <f>IFERROR(__xludf.DUMMYFUNCTION("""COMPUTED_VALUE"""),18042.0)</f>
        <v>18042</v>
      </c>
      <c r="E3440" s="115">
        <f>IFERROR(__xludf.DUMMYFUNCTION("""COMPUTED_VALUE"""),1182.0)</f>
        <v>1182</v>
      </c>
      <c r="F3440" s="115">
        <f>IFERROR(__xludf.DUMMYFUNCTION("""COMPUTED_VALUE"""),196.0)</f>
        <v>196</v>
      </c>
      <c r="G3440" s="115">
        <f>IFERROR(__xludf.DUMMYFUNCTION("""COMPUTED_VALUE"""),8.0)</f>
        <v>8</v>
      </c>
      <c r="H3440" s="116">
        <f>IFERROR(__xludf.DUMMYFUNCTION("""COMPUTED_VALUE"""),45907.0)</f>
        <v>45907</v>
      </c>
      <c r="I3440" s="115" t="str">
        <f>IFERROR(__xludf.DUMMYFUNCTION("""COMPUTED_VALUE"""),"08")</f>
        <v>08</v>
      </c>
      <c r="J3440" s="115" t="str">
        <f>IFERROR(__xludf.DUMMYFUNCTION("""COMPUTED_VALUE"""),"Ashvani Bhatt2025-09-0708")</f>
        <v>Ashvani Bhatt2025-09-0708</v>
      </c>
      <c r="K3440" s="115">
        <f>IFERROR(__xludf.DUMMYFUNCTION("""COMPUTED_VALUE"""),19224.0)</f>
        <v>19224</v>
      </c>
    </row>
    <row r="3441">
      <c r="A3441" s="115" t="str">
        <f>IFERROR(__xludf.DUMMYFUNCTION("""COMPUTED_VALUE"""),"WEST")</f>
        <v>WEST</v>
      </c>
      <c r="B3441" s="115" t="str">
        <f>IFERROR(__xludf.DUMMYFUNCTION("""COMPUTED_VALUE"""),"Ashvani Bhatt")</f>
        <v>Ashvani Bhatt</v>
      </c>
      <c r="C3441" s="115" t="str">
        <f>IFERROR(__xludf.DUMMYFUNCTION("""COMPUTED_VALUE"""),"MYNTRA")</f>
        <v>MYNTRA</v>
      </c>
      <c r="D3441" s="115">
        <f>IFERROR(__xludf.DUMMYFUNCTION("""COMPUTED_VALUE"""),2843.0)</f>
        <v>2843</v>
      </c>
      <c r="E3441" s="115">
        <f>IFERROR(__xludf.DUMMYFUNCTION("""COMPUTED_VALUE"""),435.0)</f>
        <v>435</v>
      </c>
      <c r="F3441" s="115">
        <f>IFERROR(__xludf.DUMMYFUNCTION("""COMPUTED_VALUE"""),51.0)</f>
        <v>51</v>
      </c>
      <c r="G3441" s="115">
        <f>IFERROR(__xludf.DUMMYFUNCTION("""COMPUTED_VALUE"""),7.0)</f>
        <v>7</v>
      </c>
      <c r="H3441" s="116">
        <f>IFERROR(__xludf.DUMMYFUNCTION("""COMPUTED_VALUE"""),45907.0)</f>
        <v>45907</v>
      </c>
      <c r="I3441" s="115" t="str">
        <f>IFERROR(__xludf.DUMMYFUNCTION("""COMPUTED_VALUE"""),"08")</f>
        <v>08</v>
      </c>
      <c r="J3441" s="115" t="str">
        <f>IFERROR(__xludf.DUMMYFUNCTION("""COMPUTED_VALUE"""),"Ashvani Bhatt2025-09-0708")</f>
        <v>Ashvani Bhatt2025-09-0708</v>
      </c>
      <c r="K3441" s="115">
        <f>IFERROR(__xludf.DUMMYFUNCTION("""COMPUTED_VALUE"""),3278.0)</f>
        <v>3278</v>
      </c>
    </row>
    <row r="3442">
      <c r="A3442" s="115"/>
      <c r="B3442" s="115"/>
      <c r="C3442" s="115" t="str">
        <f>IFERROR(__xludf.DUMMYFUNCTION("""COMPUTED_VALUE"""),"EXTERNAL")</f>
        <v>EXTERNAL</v>
      </c>
      <c r="D3442" s="115">
        <f>IFERROR(__xludf.DUMMYFUNCTION("""COMPUTED_VALUE"""),3.0)</f>
        <v>3</v>
      </c>
      <c r="E3442" s="115">
        <f>IFERROR(__xludf.DUMMYFUNCTION("""COMPUTED_VALUE"""),3.0)</f>
        <v>3</v>
      </c>
      <c r="F3442" s="115">
        <f>IFERROR(__xludf.DUMMYFUNCTION("""COMPUTED_VALUE"""),0.0)</f>
        <v>0</v>
      </c>
      <c r="G3442" s="115">
        <f>IFERROR(__xludf.DUMMYFUNCTION("""COMPUTED_VALUE"""),0.0)</f>
        <v>0</v>
      </c>
      <c r="H3442" s="116">
        <f>IFERROR(__xludf.DUMMYFUNCTION("""COMPUTED_VALUE"""),45907.0)</f>
        <v>45907</v>
      </c>
      <c r="I3442" s="115" t="str">
        <f>IFERROR(__xludf.DUMMYFUNCTION("""COMPUTED_VALUE"""),"08")</f>
        <v>08</v>
      </c>
      <c r="J3442" s="115" t="str">
        <f>IFERROR(__xludf.DUMMYFUNCTION("""COMPUTED_VALUE"""),"2025-09-0708")</f>
        <v>2025-09-0708</v>
      </c>
      <c r="K3442" s="115">
        <f>IFERROR(__xludf.DUMMYFUNCTION("""COMPUTED_VALUE"""),6.0)</f>
        <v>6</v>
      </c>
    </row>
    <row r="3443">
      <c r="A3443" s="115"/>
      <c r="B3443" s="115"/>
      <c r="C3443" s="115" t="str">
        <f>IFERROR(__xludf.DUMMYFUNCTION("""COMPUTED_VALUE"""),"FLIPKART")</f>
        <v>FLIPKART</v>
      </c>
      <c r="D3443" s="115">
        <f>IFERROR(__xludf.DUMMYFUNCTION("""COMPUTED_VALUE"""),15.0)</f>
        <v>15</v>
      </c>
      <c r="E3443" s="115">
        <f>IFERROR(__xludf.DUMMYFUNCTION("""COMPUTED_VALUE"""),115.0)</f>
        <v>115</v>
      </c>
      <c r="F3443" s="115">
        <f>IFERROR(__xludf.DUMMYFUNCTION("""COMPUTED_VALUE"""),0.0)</f>
        <v>0</v>
      </c>
      <c r="G3443" s="115">
        <f>IFERROR(__xludf.DUMMYFUNCTION("""COMPUTED_VALUE"""),6.0)</f>
        <v>6</v>
      </c>
      <c r="H3443" s="116">
        <f>IFERROR(__xludf.DUMMYFUNCTION("""COMPUTED_VALUE"""),45907.0)</f>
        <v>45907</v>
      </c>
      <c r="I3443" s="115" t="str">
        <f>IFERROR(__xludf.DUMMYFUNCTION("""COMPUTED_VALUE"""),"08")</f>
        <v>08</v>
      </c>
      <c r="J3443" s="115" t="str">
        <f>IFERROR(__xludf.DUMMYFUNCTION("""COMPUTED_VALUE"""),"2025-09-0708")</f>
        <v>2025-09-0708</v>
      </c>
      <c r="K3443" s="115">
        <f>IFERROR(__xludf.DUMMYFUNCTION("""COMPUTED_VALUE"""),130.0)</f>
        <v>130</v>
      </c>
    </row>
    <row r="3444">
      <c r="A3444" s="115"/>
      <c r="B3444" s="115"/>
      <c r="C3444" s="115" t="str">
        <f>IFERROR(__xludf.DUMMYFUNCTION("""COMPUTED_VALUE"""),"MYNTRA")</f>
        <v>MYNTRA</v>
      </c>
      <c r="D3444" s="115">
        <f>IFERROR(__xludf.DUMMYFUNCTION("""COMPUTED_VALUE"""),4.0)</f>
        <v>4</v>
      </c>
      <c r="E3444" s="115">
        <f>IFERROR(__xludf.DUMMYFUNCTION("""COMPUTED_VALUE"""),29.0)</f>
        <v>29</v>
      </c>
      <c r="F3444" s="115">
        <f>IFERROR(__xludf.DUMMYFUNCTION("""COMPUTED_VALUE"""),0.0)</f>
        <v>0</v>
      </c>
      <c r="G3444" s="115">
        <f>IFERROR(__xludf.DUMMYFUNCTION("""COMPUTED_VALUE"""),0.0)</f>
        <v>0</v>
      </c>
      <c r="H3444" s="116">
        <f>IFERROR(__xludf.DUMMYFUNCTION("""COMPUTED_VALUE"""),45907.0)</f>
        <v>45907</v>
      </c>
      <c r="I3444" s="115" t="str">
        <f>IFERROR(__xludf.DUMMYFUNCTION("""COMPUTED_VALUE"""),"08")</f>
        <v>08</v>
      </c>
      <c r="J3444" s="115" t="str">
        <f>IFERROR(__xludf.DUMMYFUNCTION("""COMPUTED_VALUE"""),"2025-09-0708")</f>
        <v>2025-09-0708</v>
      </c>
      <c r="K3444" s="115">
        <f>IFERROR(__xludf.DUMMYFUNCTION("""COMPUTED_VALUE"""),33.0)</f>
        <v>33</v>
      </c>
    </row>
    <row r="3445">
      <c r="A3445" s="115" t="str">
        <f>IFERROR(__xludf.DUMMYFUNCTION("""COMPUTED_VALUE"""),"EAST")</f>
        <v>EAST</v>
      </c>
      <c r="B3445" s="115" t="str">
        <f>IFERROR(__xludf.DUMMYFUNCTION("""COMPUTED_VALUE"""),"Ashish Ranjan")</f>
        <v>Ashish Ranjan</v>
      </c>
      <c r="C3445" s="115" t="str">
        <f>IFERROR(__xludf.DUMMYFUNCTION("""COMPUTED_VALUE"""),"EXTERNAL")</f>
        <v>EXTERNAL</v>
      </c>
      <c r="D3445" s="115">
        <f>IFERROR(__xludf.DUMMYFUNCTION("""COMPUTED_VALUE"""),14493.0)</f>
        <v>14493</v>
      </c>
      <c r="E3445" s="115">
        <f>IFERROR(__xludf.DUMMYFUNCTION("""COMPUTED_VALUE"""),904.0)</f>
        <v>904</v>
      </c>
      <c r="F3445" s="115">
        <f>IFERROR(__xludf.DUMMYFUNCTION("""COMPUTED_VALUE"""),404.0)</f>
        <v>404</v>
      </c>
      <c r="G3445" s="115">
        <f>IFERROR(__xludf.DUMMYFUNCTION("""COMPUTED_VALUE"""),9.0)</f>
        <v>9</v>
      </c>
      <c r="H3445" s="116">
        <f>IFERROR(__xludf.DUMMYFUNCTION("""COMPUTED_VALUE"""),45907.0)</f>
        <v>45907</v>
      </c>
      <c r="I3445" s="115" t="str">
        <f>IFERROR(__xludf.DUMMYFUNCTION("""COMPUTED_VALUE"""),"09")</f>
        <v>09</v>
      </c>
      <c r="J3445" s="115" t="str">
        <f>IFERROR(__xludf.DUMMYFUNCTION("""COMPUTED_VALUE"""),"Ashish Ranjan2025-09-0709")</f>
        <v>Ashish Ranjan2025-09-0709</v>
      </c>
      <c r="K3445" s="115">
        <f>IFERROR(__xludf.DUMMYFUNCTION("""COMPUTED_VALUE"""),15397.0)</f>
        <v>15397</v>
      </c>
    </row>
    <row r="3446">
      <c r="A3446" s="115" t="str">
        <f>IFERROR(__xludf.DUMMYFUNCTION("""COMPUTED_VALUE"""),"EAST")</f>
        <v>EAST</v>
      </c>
      <c r="B3446" s="115" t="str">
        <f>IFERROR(__xludf.DUMMYFUNCTION("""COMPUTED_VALUE"""),"Ashish Ranjan")</f>
        <v>Ashish Ranjan</v>
      </c>
      <c r="C3446" s="115" t="str">
        <f>IFERROR(__xludf.DUMMYFUNCTION("""COMPUTED_VALUE"""),"FLIPKART")</f>
        <v>FLIPKART</v>
      </c>
      <c r="D3446" s="115">
        <f>IFERROR(__xludf.DUMMYFUNCTION("""COMPUTED_VALUE"""),228462.0)</f>
        <v>228462</v>
      </c>
      <c r="E3446" s="115">
        <f>IFERROR(__xludf.DUMMYFUNCTION("""COMPUTED_VALUE"""),22094.0)</f>
        <v>22094</v>
      </c>
      <c r="F3446" s="115">
        <f>IFERROR(__xludf.DUMMYFUNCTION("""COMPUTED_VALUE"""),9145.0)</f>
        <v>9145</v>
      </c>
      <c r="G3446" s="115">
        <f>IFERROR(__xludf.DUMMYFUNCTION("""COMPUTED_VALUE"""),438.0)</f>
        <v>438</v>
      </c>
      <c r="H3446" s="116">
        <f>IFERROR(__xludf.DUMMYFUNCTION("""COMPUTED_VALUE"""),45907.0)</f>
        <v>45907</v>
      </c>
      <c r="I3446" s="115" t="str">
        <f>IFERROR(__xludf.DUMMYFUNCTION("""COMPUTED_VALUE"""),"09")</f>
        <v>09</v>
      </c>
      <c r="J3446" s="115" t="str">
        <f>IFERROR(__xludf.DUMMYFUNCTION("""COMPUTED_VALUE"""),"Ashish Ranjan2025-09-0709")</f>
        <v>Ashish Ranjan2025-09-0709</v>
      </c>
      <c r="K3446" s="115">
        <f>IFERROR(__xludf.DUMMYFUNCTION("""COMPUTED_VALUE"""),250556.0)</f>
        <v>250556</v>
      </c>
    </row>
    <row r="3447">
      <c r="A3447" s="115" t="str">
        <f>IFERROR(__xludf.DUMMYFUNCTION("""COMPUTED_VALUE"""),"EAST")</f>
        <v>EAST</v>
      </c>
      <c r="B3447" s="115" t="str">
        <f>IFERROR(__xludf.DUMMYFUNCTION("""COMPUTED_VALUE"""),"Ashish Ranjan")</f>
        <v>Ashish Ranjan</v>
      </c>
      <c r="C3447" s="115" t="str">
        <f>IFERROR(__xludf.DUMMYFUNCTION("""COMPUTED_VALUE"""),"MYNTRA")</f>
        <v>MYNTRA</v>
      </c>
      <c r="D3447" s="115">
        <f>IFERROR(__xludf.DUMMYFUNCTION("""COMPUTED_VALUE"""),24434.0)</f>
        <v>24434</v>
      </c>
      <c r="E3447" s="115">
        <f>IFERROR(__xludf.DUMMYFUNCTION("""COMPUTED_VALUE"""),4595.0)</f>
        <v>4595</v>
      </c>
      <c r="F3447" s="115">
        <f>IFERROR(__xludf.DUMMYFUNCTION("""COMPUTED_VALUE"""),1075.0)</f>
        <v>1075</v>
      </c>
      <c r="G3447" s="115">
        <f>IFERROR(__xludf.DUMMYFUNCTION("""COMPUTED_VALUE"""),66.0)</f>
        <v>66</v>
      </c>
      <c r="H3447" s="116">
        <f>IFERROR(__xludf.DUMMYFUNCTION("""COMPUTED_VALUE"""),45907.0)</f>
        <v>45907</v>
      </c>
      <c r="I3447" s="115" t="str">
        <f>IFERROR(__xludf.DUMMYFUNCTION("""COMPUTED_VALUE"""),"09")</f>
        <v>09</v>
      </c>
      <c r="J3447" s="115" t="str">
        <f>IFERROR(__xludf.DUMMYFUNCTION("""COMPUTED_VALUE"""),"Ashish Ranjan2025-09-0709")</f>
        <v>Ashish Ranjan2025-09-0709</v>
      </c>
      <c r="K3447" s="115">
        <f>IFERROR(__xludf.DUMMYFUNCTION("""COMPUTED_VALUE"""),29029.0)</f>
        <v>29029</v>
      </c>
    </row>
    <row r="3448">
      <c r="A3448" s="115" t="str">
        <f>IFERROR(__xludf.DUMMYFUNCTION("""COMPUTED_VALUE"""),"EAST")</f>
        <v>EAST</v>
      </c>
      <c r="B3448" s="115" t="str">
        <f>IFERROR(__xludf.DUMMYFUNCTION("""COMPUTED_VALUE"""),"Girish Chand")</f>
        <v>Girish Chand</v>
      </c>
      <c r="C3448" s="115" t="str">
        <f>IFERROR(__xludf.DUMMYFUNCTION("""COMPUTED_VALUE"""),"EXTERNAL")</f>
        <v>EXTERNAL</v>
      </c>
      <c r="D3448" s="115">
        <f>IFERROR(__xludf.DUMMYFUNCTION("""COMPUTED_VALUE"""),8237.0)</f>
        <v>8237</v>
      </c>
      <c r="E3448" s="115">
        <f>IFERROR(__xludf.DUMMYFUNCTION("""COMPUTED_VALUE"""),419.0)</f>
        <v>419</v>
      </c>
      <c r="F3448" s="115">
        <f>IFERROR(__xludf.DUMMYFUNCTION("""COMPUTED_VALUE"""),108.0)</f>
        <v>108</v>
      </c>
      <c r="G3448" s="115">
        <f>IFERROR(__xludf.DUMMYFUNCTION("""COMPUTED_VALUE"""),6.0)</f>
        <v>6</v>
      </c>
      <c r="H3448" s="116">
        <f>IFERROR(__xludf.DUMMYFUNCTION("""COMPUTED_VALUE"""),45907.0)</f>
        <v>45907</v>
      </c>
      <c r="I3448" s="115" t="str">
        <f>IFERROR(__xludf.DUMMYFUNCTION("""COMPUTED_VALUE"""),"09")</f>
        <v>09</v>
      </c>
      <c r="J3448" s="115" t="str">
        <f>IFERROR(__xludf.DUMMYFUNCTION("""COMPUTED_VALUE"""),"Girish Chand2025-09-0709")</f>
        <v>Girish Chand2025-09-0709</v>
      </c>
      <c r="K3448" s="115">
        <f>IFERROR(__xludf.DUMMYFUNCTION("""COMPUTED_VALUE"""),8656.0)</f>
        <v>8656</v>
      </c>
    </row>
    <row r="3449">
      <c r="A3449" s="115" t="str">
        <f>IFERROR(__xludf.DUMMYFUNCTION("""COMPUTED_VALUE"""),"EAST")</f>
        <v>EAST</v>
      </c>
      <c r="B3449" s="115" t="str">
        <f>IFERROR(__xludf.DUMMYFUNCTION("""COMPUTED_VALUE"""),"Girish Chand")</f>
        <v>Girish Chand</v>
      </c>
      <c r="C3449" s="115" t="str">
        <f>IFERROR(__xludf.DUMMYFUNCTION("""COMPUTED_VALUE"""),"FLIPKART")</f>
        <v>FLIPKART</v>
      </c>
      <c r="D3449" s="115">
        <f>IFERROR(__xludf.DUMMYFUNCTION("""COMPUTED_VALUE"""),149015.0)</f>
        <v>149015</v>
      </c>
      <c r="E3449" s="115">
        <f>IFERROR(__xludf.DUMMYFUNCTION("""COMPUTED_VALUE"""),10830.0)</f>
        <v>10830</v>
      </c>
      <c r="F3449" s="115">
        <f>IFERROR(__xludf.DUMMYFUNCTION("""COMPUTED_VALUE"""),3935.0)</f>
        <v>3935</v>
      </c>
      <c r="G3449" s="115">
        <f>IFERROR(__xludf.DUMMYFUNCTION("""COMPUTED_VALUE"""),293.0)</f>
        <v>293</v>
      </c>
      <c r="H3449" s="116">
        <f>IFERROR(__xludf.DUMMYFUNCTION("""COMPUTED_VALUE"""),45907.0)</f>
        <v>45907</v>
      </c>
      <c r="I3449" s="115" t="str">
        <f>IFERROR(__xludf.DUMMYFUNCTION("""COMPUTED_VALUE"""),"09")</f>
        <v>09</v>
      </c>
      <c r="J3449" s="115" t="str">
        <f>IFERROR(__xludf.DUMMYFUNCTION("""COMPUTED_VALUE"""),"Girish Chand2025-09-0709")</f>
        <v>Girish Chand2025-09-0709</v>
      </c>
      <c r="K3449" s="115">
        <f>IFERROR(__xludf.DUMMYFUNCTION("""COMPUTED_VALUE"""),159845.0)</f>
        <v>159845</v>
      </c>
    </row>
    <row r="3450">
      <c r="A3450" s="115" t="str">
        <f>IFERROR(__xludf.DUMMYFUNCTION("""COMPUTED_VALUE"""),"EAST")</f>
        <v>EAST</v>
      </c>
      <c r="B3450" s="115" t="str">
        <f>IFERROR(__xludf.DUMMYFUNCTION("""COMPUTED_VALUE"""),"Girish Chand")</f>
        <v>Girish Chand</v>
      </c>
      <c r="C3450" s="115" t="str">
        <f>IFERROR(__xludf.DUMMYFUNCTION("""COMPUTED_VALUE"""),"MYNTRA")</f>
        <v>MYNTRA</v>
      </c>
      <c r="D3450" s="115">
        <f>IFERROR(__xludf.DUMMYFUNCTION("""COMPUTED_VALUE"""),13851.0)</f>
        <v>13851</v>
      </c>
      <c r="E3450" s="115">
        <f>IFERROR(__xludf.DUMMYFUNCTION("""COMPUTED_VALUE"""),2047.0)</f>
        <v>2047</v>
      </c>
      <c r="F3450" s="115">
        <f>IFERROR(__xludf.DUMMYFUNCTION("""COMPUTED_VALUE"""),494.0)</f>
        <v>494</v>
      </c>
      <c r="G3450" s="115">
        <f>IFERROR(__xludf.DUMMYFUNCTION("""COMPUTED_VALUE"""),68.0)</f>
        <v>68</v>
      </c>
      <c r="H3450" s="116">
        <f>IFERROR(__xludf.DUMMYFUNCTION("""COMPUTED_VALUE"""),45907.0)</f>
        <v>45907</v>
      </c>
      <c r="I3450" s="115" t="str">
        <f>IFERROR(__xludf.DUMMYFUNCTION("""COMPUTED_VALUE"""),"09")</f>
        <v>09</v>
      </c>
      <c r="J3450" s="115" t="str">
        <f>IFERROR(__xludf.DUMMYFUNCTION("""COMPUTED_VALUE"""),"Girish Chand2025-09-0709")</f>
        <v>Girish Chand2025-09-0709</v>
      </c>
      <c r="K3450" s="115">
        <f>IFERROR(__xludf.DUMMYFUNCTION("""COMPUTED_VALUE"""),15898.0)</f>
        <v>15898</v>
      </c>
    </row>
    <row r="3451">
      <c r="A3451" s="115" t="str">
        <f>IFERROR(__xludf.DUMMYFUNCTION("""COMPUTED_VALUE"""),"EAST")</f>
        <v>EAST</v>
      </c>
      <c r="B3451" s="115" t="str">
        <f>IFERROR(__xludf.DUMMYFUNCTION("""COMPUTED_VALUE"""),"Parag Kashyap")</f>
        <v>Parag Kashyap</v>
      </c>
      <c r="C3451" s="115" t="str">
        <f>IFERROR(__xludf.DUMMYFUNCTION("""COMPUTED_VALUE"""),"EXTERNAL")</f>
        <v>EXTERNAL</v>
      </c>
      <c r="D3451" s="115">
        <f>IFERROR(__xludf.DUMMYFUNCTION("""COMPUTED_VALUE"""),3174.0)</f>
        <v>3174</v>
      </c>
      <c r="E3451" s="115">
        <f>IFERROR(__xludf.DUMMYFUNCTION("""COMPUTED_VALUE"""),113.0)</f>
        <v>113</v>
      </c>
      <c r="F3451" s="115">
        <f>IFERROR(__xludf.DUMMYFUNCTION("""COMPUTED_VALUE"""),32.0)</f>
        <v>32</v>
      </c>
      <c r="G3451" s="115">
        <f>IFERROR(__xludf.DUMMYFUNCTION("""COMPUTED_VALUE"""),0.0)</f>
        <v>0</v>
      </c>
      <c r="H3451" s="116">
        <f>IFERROR(__xludf.DUMMYFUNCTION("""COMPUTED_VALUE"""),45907.0)</f>
        <v>45907</v>
      </c>
      <c r="I3451" s="115" t="str">
        <f>IFERROR(__xludf.DUMMYFUNCTION("""COMPUTED_VALUE"""),"09")</f>
        <v>09</v>
      </c>
      <c r="J3451" s="115" t="str">
        <f>IFERROR(__xludf.DUMMYFUNCTION("""COMPUTED_VALUE"""),"Parag Kashyap2025-09-0709")</f>
        <v>Parag Kashyap2025-09-0709</v>
      </c>
      <c r="K3451" s="115">
        <f>IFERROR(__xludf.DUMMYFUNCTION("""COMPUTED_VALUE"""),3287.0)</f>
        <v>3287</v>
      </c>
    </row>
    <row r="3452">
      <c r="A3452" s="115" t="str">
        <f>IFERROR(__xludf.DUMMYFUNCTION("""COMPUTED_VALUE"""),"EAST")</f>
        <v>EAST</v>
      </c>
      <c r="B3452" s="115" t="str">
        <f>IFERROR(__xludf.DUMMYFUNCTION("""COMPUTED_VALUE"""),"Parag Kashyap")</f>
        <v>Parag Kashyap</v>
      </c>
      <c r="C3452" s="115" t="str">
        <f>IFERROR(__xludf.DUMMYFUNCTION("""COMPUTED_VALUE"""),"FLIPKART")</f>
        <v>FLIPKART</v>
      </c>
      <c r="D3452" s="115">
        <f>IFERROR(__xludf.DUMMYFUNCTION("""COMPUTED_VALUE"""),62859.0)</f>
        <v>62859</v>
      </c>
      <c r="E3452" s="115">
        <f>IFERROR(__xludf.DUMMYFUNCTION("""COMPUTED_VALUE"""),2840.0)</f>
        <v>2840</v>
      </c>
      <c r="F3452" s="115">
        <f>IFERROR(__xludf.DUMMYFUNCTION("""COMPUTED_VALUE"""),1054.0)</f>
        <v>1054</v>
      </c>
      <c r="G3452" s="115">
        <f>IFERROR(__xludf.DUMMYFUNCTION("""COMPUTED_VALUE"""),59.0)</f>
        <v>59</v>
      </c>
      <c r="H3452" s="116">
        <f>IFERROR(__xludf.DUMMYFUNCTION("""COMPUTED_VALUE"""),45907.0)</f>
        <v>45907</v>
      </c>
      <c r="I3452" s="115" t="str">
        <f>IFERROR(__xludf.DUMMYFUNCTION("""COMPUTED_VALUE"""),"09")</f>
        <v>09</v>
      </c>
      <c r="J3452" s="115" t="str">
        <f>IFERROR(__xludf.DUMMYFUNCTION("""COMPUTED_VALUE"""),"Parag Kashyap2025-09-0709")</f>
        <v>Parag Kashyap2025-09-0709</v>
      </c>
      <c r="K3452" s="115">
        <f>IFERROR(__xludf.DUMMYFUNCTION("""COMPUTED_VALUE"""),65699.0)</f>
        <v>65699</v>
      </c>
    </row>
    <row r="3453">
      <c r="A3453" s="115" t="str">
        <f>IFERROR(__xludf.DUMMYFUNCTION("""COMPUTED_VALUE"""),"EAST")</f>
        <v>EAST</v>
      </c>
      <c r="B3453" s="115" t="str">
        <f>IFERROR(__xludf.DUMMYFUNCTION("""COMPUTED_VALUE"""),"Parag Kashyap")</f>
        <v>Parag Kashyap</v>
      </c>
      <c r="C3453" s="115" t="str">
        <f>IFERROR(__xludf.DUMMYFUNCTION("""COMPUTED_VALUE"""),"MYNTRA")</f>
        <v>MYNTRA</v>
      </c>
      <c r="D3453" s="115">
        <f>IFERROR(__xludf.DUMMYFUNCTION("""COMPUTED_VALUE"""),7562.0)</f>
        <v>7562</v>
      </c>
      <c r="E3453" s="115">
        <f>IFERROR(__xludf.DUMMYFUNCTION("""COMPUTED_VALUE"""),790.0)</f>
        <v>790</v>
      </c>
      <c r="F3453" s="115">
        <f>IFERROR(__xludf.DUMMYFUNCTION("""COMPUTED_VALUE"""),224.0)</f>
        <v>224</v>
      </c>
      <c r="G3453" s="115">
        <f>IFERROR(__xludf.DUMMYFUNCTION("""COMPUTED_VALUE"""),1.0)</f>
        <v>1</v>
      </c>
      <c r="H3453" s="116">
        <f>IFERROR(__xludf.DUMMYFUNCTION("""COMPUTED_VALUE"""),45907.0)</f>
        <v>45907</v>
      </c>
      <c r="I3453" s="115" t="str">
        <f>IFERROR(__xludf.DUMMYFUNCTION("""COMPUTED_VALUE"""),"09")</f>
        <v>09</v>
      </c>
      <c r="J3453" s="115" t="str">
        <f>IFERROR(__xludf.DUMMYFUNCTION("""COMPUTED_VALUE"""),"Parag Kashyap2025-09-0709")</f>
        <v>Parag Kashyap2025-09-0709</v>
      </c>
      <c r="K3453" s="115">
        <f>IFERROR(__xludf.DUMMYFUNCTION("""COMPUTED_VALUE"""),8352.0)</f>
        <v>8352</v>
      </c>
    </row>
    <row r="3454">
      <c r="A3454" s="115" t="str">
        <f>IFERROR(__xludf.DUMMYFUNCTION("""COMPUTED_VALUE"""),"NORTH")</f>
        <v>NORTH</v>
      </c>
      <c r="B3454" s="115" t="str">
        <f>IFERROR(__xludf.DUMMYFUNCTION("""COMPUTED_VALUE"""),"Amit Kumar Pathak")</f>
        <v>Amit Kumar Pathak</v>
      </c>
      <c r="C3454" s="115" t="str">
        <f>IFERROR(__xludf.DUMMYFUNCTION("""COMPUTED_VALUE"""),"EXTERNAL")</f>
        <v>EXTERNAL</v>
      </c>
      <c r="D3454" s="115">
        <f>IFERROR(__xludf.DUMMYFUNCTION("""COMPUTED_VALUE"""),10848.0)</f>
        <v>10848</v>
      </c>
      <c r="E3454" s="115">
        <f>IFERROR(__xludf.DUMMYFUNCTION("""COMPUTED_VALUE"""),1059.0)</f>
        <v>1059</v>
      </c>
      <c r="F3454" s="115">
        <f>IFERROR(__xludf.DUMMYFUNCTION("""COMPUTED_VALUE"""),102.0)</f>
        <v>102</v>
      </c>
      <c r="G3454" s="115">
        <f>IFERROR(__xludf.DUMMYFUNCTION("""COMPUTED_VALUE"""),27.0)</f>
        <v>27</v>
      </c>
      <c r="H3454" s="116">
        <f>IFERROR(__xludf.DUMMYFUNCTION("""COMPUTED_VALUE"""),45907.0)</f>
        <v>45907</v>
      </c>
      <c r="I3454" s="115" t="str">
        <f>IFERROR(__xludf.DUMMYFUNCTION("""COMPUTED_VALUE"""),"09")</f>
        <v>09</v>
      </c>
      <c r="J3454" s="115" t="str">
        <f>IFERROR(__xludf.DUMMYFUNCTION("""COMPUTED_VALUE"""),"Amit Kumar Pathak2025-09-0709")</f>
        <v>Amit Kumar Pathak2025-09-0709</v>
      </c>
      <c r="K3454" s="115">
        <f>IFERROR(__xludf.DUMMYFUNCTION("""COMPUTED_VALUE"""),11907.0)</f>
        <v>11907</v>
      </c>
    </row>
    <row r="3455">
      <c r="A3455" s="115" t="str">
        <f>IFERROR(__xludf.DUMMYFUNCTION("""COMPUTED_VALUE"""),"NORTH")</f>
        <v>NORTH</v>
      </c>
      <c r="B3455" s="115" t="str">
        <f>IFERROR(__xludf.DUMMYFUNCTION("""COMPUTED_VALUE"""),"Amit Kumar Pathak")</f>
        <v>Amit Kumar Pathak</v>
      </c>
      <c r="C3455" s="115" t="str">
        <f>IFERROR(__xludf.DUMMYFUNCTION("""COMPUTED_VALUE"""),"FLIPKART")</f>
        <v>FLIPKART</v>
      </c>
      <c r="D3455" s="115">
        <f>IFERROR(__xludf.DUMMYFUNCTION("""COMPUTED_VALUE"""),62853.0)</f>
        <v>62853</v>
      </c>
      <c r="E3455" s="115">
        <f>IFERROR(__xludf.DUMMYFUNCTION("""COMPUTED_VALUE"""),7992.0)</f>
        <v>7992</v>
      </c>
      <c r="F3455" s="115">
        <f>IFERROR(__xludf.DUMMYFUNCTION("""COMPUTED_VALUE"""),1444.0)</f>
        <v>1444</v>
      </c>
      <c r="G3455" s="115">
        <f>IFERROR(__xludf.DUMMYFUNCTION("""COMPUTED_VALUE"""),124.0)</f>
        <v>124</v>
      </c>
      <c r="H3455" s="116">
        <f>IFERROR(__xludf.DUMMYFUNCTION("""COMPUTED_VALUE"""),45907.0)</f>
        <v>45907</v>
      </c>
      <c r="I3455" s="115" t="str">
        <f>IFERROR(__xludf.DUMMYFUNCTION("""COMPUTED_VALUE"""),"09")</f>
        <v>09</v>
      </c>
      <c r="J3455" s="115" t="str">
        <f>IFERROR(__xludf.DUMMYFUNCTION("""COMPUTED_VALUE"""),"Amit Kumar Pathak2025-09-0709")</f>
        <v>Amit Kumar Pathak2025-09-0709</v>
      </c>
      <c r="K3455" s="115">
        <f>IFERROR(__xludf.DUMMYFUNCTION("""COMPUTED_VALUE"""),70845.0)</f>
        <v>70845</v>
      </c>
    </row>
    <row r="3456">
      <c r="A3456" s="115" t="str">
        <f>IFERROR(__xludf.DUMMYFUNCTION("""COMPUTED_VALUE"""),"NORTH")</f>
        <v>NORTH</v>
      </c>
      <c r="B3456" s="115" t="str">
        <f>IFERROR(__xludf.DUMMYFUNCTION("""COMPUTED_VALUE"""),"Amit Kumar Pathak")</f>
        <v>Amit Kumar Pathak</v>
      </c>
      <c r="C3456" s="115" t="str">
        <f>IFERROR(__xludf.DUMMYFUNCTION("""COMPUTED_VALUE"""),"MYNTRA")</f>
        <v>MYNTRA</v>
      </c>
      <c r="D3456" s="115">
        <f>IFERROR(__xludf.DUMMYFUNCTION("""COMPUTED_VALUE"""),8044.0)</f>
        <v>8044</v>
      </c>
      <c r="E3456" s="115">
        <f>IFERROR(__xludf.DUMMYFUNCTION("""COMPUTED_VALUE"""),2132.0)</f>
        <v>2132</v>
      </c>
      <c r="F3456" s="115">
        <f>IFERROR(__xludf.DUMMYFUNCTION("""COMPUTED_VALUE"""),264.0)</f>
        <v>264</v>
      </c>
      <c r="G3456" s="115">
        <f>IFERROR(__xludf.DUMMYFUNCTION("""COMPUTED_VALUE"""),26.0)</f>
        <v>26</v>
      </c>
      <c r="H3456" s="116">
        <f>IFERROR(__xludf.DUMMYFUNCTION("""COMPUTED_VALUE"""),45907.0)</f>
        <v>45907</v>
      </c>
      <c r="I3456" s="115" t="str">
        <f>IFERROR(__xludf.DUMMYFUNCTION("""COMPUTED_VALUE"""),"09")</f>
        <v>09</v>
      </c>
      <c r="J3456" s="115" t="str">
        <f>IFERROR(__xludf.DUMMYFUNCTION("""COMPUTED_VALUE"""),"Amit Kumar Pathak2025-09-0709")</f>
        <v>Amit Kumar Pathak2025-09-0709</v>
      </c>
      <c r="K3456" s="115">
        <f>IFERROR(__xludf.DUMMYFUNCTION("""COMPUTED_VALUE"""),10176.0)</f>
        <v>10176</v>
      </c>
    </row>
    <row r="3457">
      <c r="A3457" s="115" t="str">
        <f>IFERROR(__xludf.DUMMYFUNCTION("""COMPUTED_VALUE"""),"NORTH")</f>
        <v>NORTH</v>
      </c>
      <c r="B3457" s="115" t="str">
        <f>IFERROR(__xludf.DUMMYFUNCTION("""COMPUTED_VALUE"""),"Loveleen Singh")</f>
        <v>Loveleen Singh</v>
      </c>
      <c r="C3457" s="115" t="str">
        <f>IFERROR(__xludf.DUMMYFUNCTION("""COMPUTED_VALUE"""),"EXTERNAL")</f>
        <v>EXTERNAL</v>
      </c>
      <c r="D3457" s="115">
        <f>IFERROR(__xludf.DUMMYFUNCTION("""COMPUTED_VALUE"""),5720.0)</f>
        <v>5720</v>
      </c>
      <c r="E3457" s="115">
        <f>IFERROR(__xludf.DUMMYFUNCTION("""COMPUTED_VALUE"""),401.0)</f>
        <v>401</v>
      </c>
      <c r="F3457" s="115">
        <f>IFERROR(__xludf.DUMMYFUNCTION("""COMPUTED_VALUE"""),115.0)</f>
        <v>115</v>
      </c>
      <c r="G3457" s="115">
        <f>IFERROR(__xludf.DUMMYFUNCTION("""COMPUTED_VALUE"""),9.0)</f>
        <v>9</v>
      </c>
      <c r="H3457" s="116">
        <f>IFERROR(__xludf.DUMMYFUNCTION("""COMPUTED_VALUE"""),45907.0)</f>
        <v>45907</v>
      </c>
      <c r="I3457" s="115" t="str">
        <f>IFERROR(__xludf.DUMMYFUNCTION("""COMPUTED_VALUE"""),"09")</f>
        <v>09</v>
      </c>
      <c r="J3457" s="115" t="str">
        <f>IFERROR(__xludf.DUMMYFUNCTION("""COMPUTED_VALUE"""),"Loveleen Singh2025-09-0709")</f>
        <v>Loveleen Singh2025-09-0709</v>
      </c>
      <c r="K3457" s="115">
        <f>IFERROR(__xludf.DUMMYFUNCTION("""COMPUTED_VALUE"""),6121.0)</f>
        <v>6121</v>
      </c>
    </row>
    <row r="3458">
      <c r="A3458" s="115" t="str">
        <f>IFERROR(__xludf.DUMMYFUNCTION("""COMPUTED_VALUE"""),"NORTH")</f>
        <v>NORTH</v>
      </c>
      <c r="B3458" s="115" t="str">
        <f>IFERROR(__xludf.DUMMYFUNCTION("""COMPUTED_VALUE"""),"Loveleen Singh")</f>
        <v>Loveleen Singh</v>
      </c>
      <c r="C3458" s="115" t="str">
        <f>IFERROR(__xludf.DUMMYFUNCTION("""COMPUTED_VALUE"""),"FLIPKART")</f>
        <v>FLIPKART</v>
      </c>
      <c r="D3458" s="115">
        <f>IFERROR(__xludf.DUMMYFUNCTION("""COMPUTED_VALUE"""),33532.0)</f>
        <v>33532</v>
      </c>
      <c r="E3458" s="115">
        <f>IFERROR(__xludf.DUMMYFUNCTION("""COMPUTED_VALUE"""),2958.0)</f>
        <v>2958</v>
      </c>
      <c r="F3458" s="115">
        <f>IFERROR(__xludf.DUMMYFUNCTION("""COMPUTED_VALUE"""),1453.0)</f>
        <v>1453</v>
      </c>
      <c r="G3458" s="115">
        <f>IFERROR(__xludf.DUMMYFUNCTION("""COMPUTED_VALUE"""),53.0)</f>
        <v>53</v>
      </c>
      <c r="H3458" s="116">
        <f>IFERROR(__xludf.DUMMYFUNCTION("""COMPUTED_VALUE"""),45907.0)</f>
        <v>45907</v>
      </c>
      <c r="I3458" s="115" t="str">
        <f>IFERROR(__xludf.DUMMYFUNCTION("""COMPUTED_VALUE"""),"09")</f>
        <v>09</v>
      </c>
      <c r="J3458" s="115" t="str">
        <f>IFERROR(__xludf.DUMMYFUNCTION("""COMPUTED_VALUE"""),"Loveleen Singh2025-09-0709")</f>
        <v>Loveleen Singh2025-09-0709</v>
      </c>
      <c r="K3458" s="115">
        <f>IFERROR(__xludf.DUMMYFUNCTION("""COMPUTED_VALUE"""),36490.0)</f>
        <v>36490</v>
      </c>
    </row>
    <row r="3459">
      <c r="A3459" s="115" t="str">
        <f>IFERROR(__xludf.DUMMYFUNCTION("""COMPUTED_VALUE"""),"NORTH")</f>
        <v>NORTH</v>
      </c>
      <c r="B3459" s="115" t="str">
        <f>IFERROR(__xludf.DUMMYFUNCTION("""COMPUTED_VALUE"""),"Loveleen Singh")</f>
        <v>Loveleen Singh</v>
      </c>
      <c r="C3459" s="115" t="str">
        <f>IFERROR(__xludf.DUMMYFUNCTION("""COMPUTED_VALUE"""),"MYNTRA")</f>
        <v>MYNTRA</v>
      </c>
      <c r="D3459" s="115">
        <f>IFERROR(__xludf.DUMMYFUNCTION("""COMPUTED_VALUE"""),6229.0)</f>
        <v>6229</v>
      </c>
      <c r="E3459" s="115">
        <f>IFERROR(__xludf.DUMMYFUNCTION("""COMPUTED_VALUE"""),1205.0)</f>
        <v>1205</v>
      </c>
      <c r="F3459" s="115">
        <f>IFERROR(__xludf.DUMMYFUNCTION("""COMPUTED_VALUE"""),318.0)</f>
        <v>318</v>
      </c>
      <c r="G3459" s="115">
        <f>IFERROR(__xludf.DUMMYFUNCTION("""COMPUTED_VALUE"""),29.0)</f>
        <v>29</v>
      </c>
      <c r="H3459" s="116">
        <f>IFERROR(__xludf.DUMMYFUNCTION("""COMPUTED_VALUE"""),45907.0)</f>
        <v>45907</v>
      </c>
      <c r="I3459" s="115" t="str">
        <f>IFERROR(__xludf.DUMMYFUNCTION("""COMPUTED_VALUE"""),"09")</f>
        <v>09</v>
      </c>
      <c r="J3459" s="115" t="str">
        <f>IFERROR(__xludf.DUMMYFUNCTION("""COMPUTED_VALUE"""),"Loveleen Singh2025-09-0709")</f>
        <v>Loveleen Singh2025-09-0709</v>
      </c>
      <c r="K3459" s="115">
        <f>IFERROR(__xludf.DUMMYFUNCTION("""COMPUTED_VALUE"""),7434.0)</f>
        <v>7434</v>
      </c>
    </row>
    <row r="3460">
      <c r="A3460" s="115" t="str">
        <f>IFERROR(__xludf.DUMMYFUNCTION("""COMPUTED_VALUE"""),"NORTH")</f>
        <v>NORTH</v>
      </c>
      <c r="B3460" s="115" t="str">
        <f>IFERROR(__xludf.DUMMYFUNCTION("""COMPUTED_VALUE"""),"Manoj Harsh")</f>
        <v>Manoj Harsh</v>
      </c>
      <c r="C3460" s="115" t="str">
        <f>IFERROR(__xludf.DUMMYFUNCTION("""COMPUTED_VALUE"""),"EXTERNAL")</f>
        <v>EXTERNAL</v>
      </c>
      <c r="D3460" s="115">
        <f>IFERROR(__xludf.DUMMYFUNCTION("""COMPUTED_VALUE"""),8492.0)</f>
        <v>8492</v>
      </c>
      <c r="E3460" s="115">
        <f>IFERROR(__xludf.DUMMYFUNCTION("""COMPUTED_VALUE"""),613.0)</f>
        <v>613</v>
      </c>
      <c r="F3460" s="115">
        <f>IFERROR(__xludf.DUMMYFUNCTION("""COMPUTED_VALUE"""),110.0)</f>
        <v>110</v>
      </c>
      <c r="G3460" s="115">
        <f>IFERROR(__xludf.DUMMYFUNCTION("""COMPUTED_VALUE"""),6.0)</f>
        <v>6</v>
      </c>
      <c r="H3460" s="116">
        <f>IFERROR(__xludf.DUMMYFUNCTION("""COMPUTED_VALUE"""),45907.0)</f>
        <v>45907</v>
      </c>
      <c r="I3460" s="115" t="str">
        <f>IFERROR(__xludf.DUMMYFUNCTION("""COMPUTED_VALUE"""),"09")</f>
        <v>09</v>
      </c>
      <c r="J3460" s="115" t="str">
        <f>IFERROR(__xludf.DUMMYFUNCTION("""COMPUTED_VALUE"""),"Manoj Harsh2025-09-0709")</f>
        <v>Manoj Harsh2025-09-0709</v>
      </c>
      <c r="K3460" s="115">
        <f>IFERROR(__xludf.DUMMYFUNCTION("""COMPUTED_VALUE"""),9105.0)</f>
        <v>9105</v>
      </c>
    </row>
    <row r="3461">
      <c r="A3461" s="115" t="str">
        <f>IFERROR(__xludf.DUMMYFUNCTION("""COMPUTED_VALUE"""),"NORTH")</f>
        <v>NORTH</v>
      </c>
      <c r="B3461" s="115" t="str">
        <f>IFERROR(__xludf.DUMMYFUNCTION("""COMPUTED_VALUE"""),"Manoj Harsh")</f>
        <v>Manoj Harsh</v>
      </c>
      <c r="C3461" s="115" t="str">
        <f>IFERROR(__xludf.DUMMYFUNCTION("""COMPUTED_VALUE"""),"FLIPKART")</f>
        <v>FLIPKART</v>
      </c>
      <c r="D3461" s="115">
        <f>IFERROR(__xludf.DUMMYFUNCTION("""COMPUTED_VALUE"""),100226.0)</f>
        <v>100226</v>
      </c>
      <c r="E3461" s="115">
        <f>IFERROR(__xludf.DUMMYFUNCTION("""COMPUTED_VALUE"""),10053.0)</f>
        <v>10053</v>
      </c>
      <c r="F3461" s="115">
        <f>IFERROR(__xludf.DUMMYFUNCTION("""COMPUTED_VALUE"""),2336.0)</f>
        <v>2336</v>
      </c>
      <c r="G3461" s="115">
        <f>IFERROR(__xludf.DUMMYFUNCTION("""COMPUTED_VALUE"""),151.0)</f>
        <v>151</v>
      </c>
      <c r="H3461" s="116">
        <f>IFERROR(__xludf.DUMMYFUNCTION("""COMPUTED_VALUE"""),45907.0)</f>
        <v>45907</v>
      </c>
      <c r="I3461" s="115" t="str">
        <f>IFERROR(__xludf.DUMMYFUNCTION("""COMPUTED_VALUE"""),"09")</f>
        <v>09</v>
      </c>
      <c r="J3461" s="115" t="str">
        <f>IFERROR(__xludf.DUMMYFUNCTION("""COMPUTED_VALUE"""),"Manoj Harsh2025-09-0709")</f>
        <v>Manoj Harsh2025-09-0709</v>
      </c>
      <c r="K3461" s="115">
        <f>IFERROR(__xludf.DUMMYFUNCTION("""COMPUTED_VALUE"""),110279.0)</f>
        <v>110279</v>
      </c>
    </row>
    <row r="3462">
      <c r="A3462" s="115" t="str">
        <f>IFERROR(__xludf.DUMMYFUNCTION("""COMPUTED_VALUE"""),"NORTH")</f>
        <v>NORTH</v>
      </c>
      <c r="B3462" s="115" t="str">
        <f>IFERROR(__xludf.DUMMYFUNCTION("""COMPUTED_VALUE"""),"Manoj Harsh")</f>
        <v>Manoj Harsh</v>
      </c>
      <c r="C3462" s="115" t="str">
        <f>IFERROR(__xludf.DUMMYFUNCTION("""COMPUTED_VALUE"""),"MYNTRA")</f>
        <v>MYNTRA</v>
      </c>
      <c r="D3462" s="115">
        <f>IFERROR(__xludf.DUMMYFUNCTION("""COMPUTED_VALUE"""),10916.0)</f>
        <v>10916</v>
      </c>
      <c r="E3462" s="115">
        <f>IFERROR(__xludf.DUMMYFUNCTION("""COMPUTED_VALUE"""),2015.0)</f>
        <v>2015</v>
      </c>
      <c r="F3462" s="115">
        <f>IFERROR(__xludf.DUMMYFUNCTION("""COMPUTED_VALUE"""),438.0)</f>
        <v>438</v>
      </c>
      <c r="G3462" s="115">
        <f>IFERROR(__xludf.DUMMYFUNCTION("""COMPUTED_VALUE"""),14.0)</f>
        <v>14</v>
      </c>
      <c r="H3462" s="116">
        <f>IFERROR(__xludf.DUMMYFUNCTION("""COMPUTED_VALUE"""),45907.0)</f>
        <v>45907</v>
      </c>
      <c r="I3462" s="115" t="str">
        <f>IFERROR(__xludf.DUMMYFUNCTION("""COMPUTED_VALUE"""),"09")</f>
        <v>09</v>
      </c>
      <c r="J3462" s="115" t="str">
        <f>IFERROR(__xludf.DUMMYFUNCTION("""COMPUTED_VALUE"""),"Manoj Harsh2025-09-0709")</f>
        <v>Manoj Harsh2025-09-0709</v>
      </c>
      <c r="K3462" s="115">
        <f>IFERROR(__xludf.DUMMYFUNCTION("""COMPUTED_VALUE"""),12931.0)</f>
        <v>12931</v>
      </c>
    </row>
    <row r="3463">
      <c r="A3463" s="115" t="str">
        <f>IFERROR(__xludf.DUMMYFUNCTION("""COMPUTED_VALUE"""),"NORTH")</f>
        <v>NORTH</v>
      </c>
      <c r="B3463" s="115" t="str">
        <f>IFERROR(__xludf.DUMMYFUNCTION("""COMPUTED_VALUE"""),"Pradeep Kothari")</f>
        <v>Pradeep Kothari</v>
      </c>
      <c r="C3463" s="115" t="str">
        <f>IFERROR(__xludf.DUMMYFUNCTION("""COMPUTED_VALUE"""),"EXTERNAL")</f>
        <v>EXTERNAL</v>
      </c>
      <c r="D3463" s="115">
        <f>IFERROR(__xludf.DUMMYFUNCTION("""COMPUTED_VALUE"""),5259.0)</f>
        <v>5259</v>
      </c>
      <c r="E3463" s="115">
        <f>IFERROR(__xludf.DUMMYFUNCTION("""COMPUTED_VALUE"""),437.0)</f>
        <v>437</v>
      </c>
      <c r="F3463" s="115">
        <f>IFERROR(__xludf.DUMMYFUNCTION("""COMPUTED_VALUE"""),59.0)</f>
        <v>59</v>
      </c>
      <c r="G3463" s="115">
        <f>IFERROR(__xludf.DUMMYFUNCTION("""COMPUTED_VALUE"""),6.0)</f>
        <v>6</v>
      </c>
      <c r="H3463" s="116">
        <f>IFERROR(__xludf.DUMMYFUNCTION("""COMPUTED_VALUE"""),45907.0)</f>
        <v>45907</v>
      </c>
      <c r="I3463" s="115" t="str">
        <f>IFERROR(__xludf.DUMMYFUNCTION("""COMPUTED_VALUE"""),"09")</f>
        <v>09</v>
      </c>
      <c r="J3463" s="115" t="str">
        <f>IFERROR(__xludf.DUMMYFUNCTION("""COMPUTED_VALUE"""),"Pradeep Kothari2025-09-0709")</f>
        <v>Pradeep Kothari2025-09-0709</v>
      </c>
      <c r="K3463" s="115">
        <f>IFERROR(__xludf.DUMMYFUNCTION("""COMPUTED_VALUE"""),5696.0)</f>
        <v>5696</v>
      </c>
    </row>
    <row r="3464">
      <c r="A3464" s="115" t="str">
        <f>IFERROR(__xludf.DUMMYFUNCTION("""COMPUTED_VALUE"""),"NORTH")</f>
        <v>NORTH</v>
      </c>
      <c r="B3464" s="115" t="str">
        <f>IFERROR(__xludf.DUMMYFUNCTION("""COMPUTED_VALUE"""),"Pradeep Kothari")</f>
        <v>Pradeep Kothari</v>
      </c>
      <c r="C3464" s="115" t="str">
        <f>IFERROR(__xludf.DUMMYFUNCTION("""COMPUTED_VALUE"""),"FLIPKART")</f>
        <v>FLIPKART</v>
      </c>
      <c r="D3464" s="115">
        <f>IFERROR(__xludf.DUMMYFUNCTION("""COMPUTED_VALUE"""),37747.0)</f>
        <v>37747</v>
      </c>
      <c r="E3464" s="115">
        <f>IFERROR(__xludf.DUMMYFUNCTION("""COMPUTED_VALUE"""),3995.0)</f>
        <v>3995</v>
      </c>
      <c r="F3464" s="115">
        <f>IFERROR(__xludf.DUMMYFUNCTION("""COMPUTED_VALUE"""),1395.0)</f>
        <v>1395</v>
      </c>
      <c r="G3464" s="115">
        <f>IFERROR(__xludf.DUMMYFUNCTION("""COMPUTED_VALUE"""),135.0)</f>
        <v>135</v>
      </c>
      <c r="H3464" s="116">
        <f>IFERROR(__xludf.DUMMYFUNCTION("""COMPUTED_VALUE"""),45907.0)</f>
        <v>45907</v>
      </c>
      <c r="I3464" s="115" t="str">
        <f>IFERROR(__xludf.DUMMYFUNCTION("""COMPUTED_VALUE"""),"09")</f>
        <v>09</v>
      </c>
      <c r="J3464" s="115" t="str">
        <f>IFERROR(__xludf.DUMMYFUNCTION("""COMPUTED_VALUE"""),"Pradeep Kothari2025-09-0709")</f>
        <v>Pradeep Kothari2025-09-0709</v>
      </c>
      <c r="K3464" s="115">
        <f>IFERROR(__xludf.DUMMYFUNCTION("""COMPUTED_VALUE"""),41742.0)</f>
        <v>41742</v>
      </c>
    </row>
    <row r="3465">
      <c r="A3465" s="115" t="str">
        <f>IFERROR(__xludf.DUMMYFUNCTION("""COMPUTED_VALUE"""),"NORTH")</f>
        <v>NORTH</v>
      </c>
      <c r="B3465" s="115" t="str">
        <f>IFERROR(__xludf.DUMMYFUNCTION("""COMPUTED_VALUE"""),"Pradeep Kothari")</f>
        <v>Pradeep Kothari</v>
      </c>
      <c r="C3465" s="115" t="str">
        <f>IFERROR(__xludf.DUMMYFUNCTION("""COMPUTED_VALUE"""),"MYNTRA")</f>
        <v>MYNTRA</v>
      </c>
      <c r="D3465" s="115">
        <f>IFERROR(__xludf.DUMMYFUNCTION("""COMPUTED_VALUE"""),7833.0)</f>
        <v>7833</v>
      </c>
      <c r="E3465" s="115">
        <f>IFERROR(__xludf.DUMMYFUNCTION("""COMPUTED_VALUE"""),1421.0)</f>
        <v>1421</v>
      </c>
      <c r="F3465" s="115">
        <f>IFERROR(__xludf.DUMMYFUNCTION("""COMPUTED_VALUE"""),502.0)</f>
        <v>502</v>
      </c>
      <c r="G3465" s="115">
        <f>IFERROR(__xludf.DUMMYFUNCTION("""COMPUTED_VALUE"""),41.0)</f>
        <v>41</v>
      </c>
      <c r="H3465" s="116">
        <f>IFERROR(__xludf.DUMMYFUNCTION("""COMPUTED_VALUE"""),45907.0)</f>
        <v>45907</v>
      </c>
      <c r="I3465" s="115" t="str">
        <f>IFERROR(__xludf.DUMMYFUNCTION("""COMPUTED_VALUE"""),"09")</f>
        <v>09</v>
      </c>
      <c r="J3465" s="115" t="str">
        <f>IFERROR(__xludf.DUMMYFUNCTION("""COMPUTED_VALUE"""),"Pradeep Kothari2025-09-0709")</f>
        <v>Pradeep Kothari2025-09-0709</v>
      </c>
      <c r="K3465" s="115">
        <f>IFERROR(__xludf.DUMMYFUNCTION("""COMPUTED_VALUE"""),9254.0)</f>
        <v>9254</v>
      </c>
    </row>
    <row r="3466">
      <c r="A3466" s="115" t="str">
        <f>IFERROR(__xludf.DUMMYFUNCTION("""COMPUTED_VALUE"""),"SOUTH")</f>
        <v>SOUTH</v>
      </c>
      <c r="B3466" s="115" t="str">
        <f>IFERROR(__xludf.DUMMYFUNCTION("""COMPUTED_VALUE"""),"Kandula Sampath")</f>
        <v>Kandula Sampath</v>
      </c>
      <c r="C3466" s="115" t="str">
        <f>IFERROR(__xludf.DUMMYFUNCTION("""COMPUTED_VALUE"""),"EXTERNAL")</f>
        <v>EXTERNAL</v>
      </c>
      <c r="D3466" s="115">
        <f>IFERROR(__xludf.DUMMYFUNCTION("""COMPUTED_VALUE"""),12595.0)</f>
        <v>12595</v>
      </c>
      <c r="E3466" s="115">
        <f>IFERROR(__xludf.DUMMYFUNCTION("""COMPUTED_VALUE"""),849.0)</f>
        <v>849</v>
      </c>
      <c r="F3466" s="115">
        <f>IFERROR(__xludf.DUMMYFUNCTION("""COMPUTED_VALUE"""),486.0)</f>
        <v>486</v>
      </c>
      <c r="G3466" s="115">
        <f>IFERROR(__xludf.DUMMYFUNCTION("""COMPUTED_VALUE"""),11.0)</f>
        <v>11</v>
      </c>
      <c r="H3466" s="116">
        <f>IFERROR(__xludf.DUMMYFUNCTION("""COMPUTED_VALUE"""),45907.0)</f>
        <v>45907</v>
      </c>
      <c r="I3466" s="115" t="str">
        <f>IFERROR(__xludf.DUMMYFUNCTION("""COMPUTED_VALUE"""),"09")</f>
        <v>09</v>
      </c>
      <c r="J3466" s="115" t="str">
        <f>IFERROR(__xludf.DUMMYFUNCTION("""COMPUTED_VALUE"""),"Kandula Sampath2025-09-0709")</f>
        <v>Kandula Sampath2025-09-0709</v>
      </c>
      <c r="K3466" s="115">
        <f>IFERROR(__xludf.DUMMYFUNCTION("""COMPUTED_VALUE"""),13444.0)</f>
        <v>13444</v>
      </c>
    </row>
    <row r="3467">
      <c r="A3467" s="115" t="str">
        <f>IFERROR(__xludf.DUMMYFUNCTION("""COMPUTED_VALUE"""),"SOUTH")</f>
        <v>SOUTH</v>
      </c>
      <c r="B3467" s="115" t="str">
        <f>IFERROR(__xludf.DUMMYFUNCTION("""COMPUTED_VALUE"""),"Kandula Sampath")</f>
        <v>Kandula Sampath</v>
      </c>
      <c r="C3467" s="115" t="str">
        <f>IFERROR(__xludf.DUMMYFUNCTION("""COMPUTED_VALUE"""),"FLIPKART")</f>
        <v>FLIPKART</v>
      </c>
      <c r="D3467" s="115">
        <f>IFERROR(__xludf.DUMMYFUNCTION("""COMPUTED_VALUE"""),134322.0)</f>
        <v>134322</v>
      </c>
      <c r="E3467" s="115">
        <f>IFERROR(__xludf.DUMMYFUNCTION("""COMPUTED_VALUE"""),8526.0)</f>
        <v>8526</v>
      </c>
      <c r="F3467" s="115">
        <f>IFERROR(__xludf.DUMMYFUNCTION("""COMPUTED_VALUE"""),9274.0)</f>
        <v>9274</v>
      </c>
      <c r="G3467" s="115">
        <f>IFERROR(__xludf.DUMMYFUNCTION("""COMPUTED_VALUE"""),114.0)</f>
        <v>114</v>
      </c>
      <c r="H3467" s="116">
        <f>IFERROR(__xludf.DUMMYFUNCTION("""COMPUTED_VALUE"""),45907.0)</f>
        <v>45907</v>
      </c>
      <c r="I3467" s="115" t="str">
        <f>IFERROR(__xludf.DUMMYFUNCTION("""COMPUTED_VALUE"""),"09")</f>
        <v>09</v>
      </c>
      <c r="J3467" s="115" t="str">
        <f>IFERROR(__xludf.DUMMYFUNCTION("""COMPUTED_VALUE"""),"Kandula Sampath2025-09-0709")</f>
        <v>Kandula Sampath2025-09-0709</v>
      </c>
      <c r="K3467" s="115">
        <f>IFERROR(__xludf.DUMMYFUNCTION("""COMPUTED_VALUE"""),142848.0)</f>
        <v>142848</v>
      </c>
    </row>
    <row r="3468">
      <c r="A3468" s="115" t="str">
        <f>IFERROR(__xludf.DUMMYFUNCTION("""COMPUTED_VALUE"""),"SOUTH")</f>
        <v>SOUTH</v>
      </c>
      <c r="B3468" s="115" t="str">
        <f>IFERROR(__xludf.DUMMYFUNCTION("""COMPUTED_VALUE"""),"Kandula Sampath")</f>
        <v>Kandula Sampath</v>
      </c>
      <c r="C3468" s="115" t="str">
        <f>IFERROR(__xludf.DUMMYFUNCTION("""COMPUTED_VALUE"""),"MYNTRA")</f>
        <v>MYNTRA</v>
      </c>
      <c r="D3468" s="115">
        <f>IFERROR(__xludf.DUMMYFUNCTION("""COMPUTED_VALUE"""),16285.0)</f>
        <v>16285</v>
      </c>
      <c r="E3468" s="115">
        <f>IFERROR(__xludf.DUMMYFUNCTION("""COMPUTED_VALUE"""),2391.0)</f>
        <v>2391</v>
      </c>
      <c r="F3468" s="115">
        <f>IFERROR(__xludf.DUMMYFUNCTION("""COMPUTED_VALUE"""),1341.0)</f>
        <v>1341</v>
      </c>
      <c r="G3468" s="115">
        <f>IFERROR(__xludf.DUMMYFUNCTION("""COMPUTED_VALUE"""),42.0)</f>
        <v>42</v>
      </c>
      <c r="H3468" s="116">
        <f>IFERROR(__xludf.DUMMYFUNCTION("""COMPUTED_VALUE"""),45907.0)</f>
        <v>45907</v>
      </c>
      <c r="I3468" s="115" t="str">
        <f>IFERROR(__xludf.DUMMYFUNCTION("""COMPUTED_VALUE"""),"09")</f>
        <v>09</v>
      </c>
      <c r="J3468" s="115" t="str">
        <f>IFERROR(__xludf.DUMMYFUNCTION("""COMPUTED_VALUE"""),"Kandula Sampath2025-09-0709")</f>
        <v>Kandula Sampath2025-09-0709</v>
      </c>
      <c r="K3468" s="115">
        <f>IFERROR(__xludf.DUMMYFUNCTION("""COMPUTED_VALUE"""),18676.0)</f>
        <v>18676</v>
      </c>
    </row>
    <row r="3469">
      <c r="A3469" s="115" t="str">
        <f>IFERROR(__xludf.DUMMYFUNCTION("""COMPUTED_VALUE"""),"SOUTH")</f>
        <v>SOUTH</v>
      </c>
      <c r="B3469" s="115" t="str">
        <f>IFERROR(__xludf.DUMMYFUNCTION("""COMPUTED_VALUE"""),"Martin A")</f>
        <v>Martin A</v>
      </c>
      <c r="C3469" s="115" t="str">
        <f>IFERROR(__xludf.DUMMYFUNCTION("""COMPUTED_VALUE"""),"EXTERNAL")</f>
        <v>EXTERNAL</v>
      </c>
      <c r="D3469" s="115">
        <f>IFERROR(__xludf.DUMMYFUNCTION("""COMPUTED_VALUE"""),12179.0)</f>
        <v>12179</v>
      </c>
      <c r="E3469" s="115">
        <f>IFERROR(__xludf.DUMMYFUNCTION("""COMPUTED_VALUE"""),1152.0)</f>
        <v>1152</v>
      </c>
      <c r="F3469" s="115">
        <f>IFERROR(__xludf.DUMMYFUNCTION("""COMPUTED_VALUE"""),248.0)</f>
        <v>248</v>
      </c>
      <c r="G3469" s="115">
        <f>IFERROR(__xludf.DUMMYFUNCTION("""COMPUTED_VALUE"""),2.0)</f>
        <v>2</v>
      </c>
      <c r="H3469" s="116">
        <f>IFERROR(__xludf.DUMMYFUNCTION("""COMPUTED_VALUE"""),45907.0)</f>
        <v>45907</v>
      </c>
      <c r="I3469" s="115" t="str">
        <f>IFERROR(__xludf.DUMMYFUNCTION("""COMPUTED_VALUE"""),"09")</f>
        <v>09</v>
      </c>
      <c r="J3469" s="115" t="str">
        <f>IFERROR(__xludf.DUMMYFUNCTION("""COMPUTED_VALUE"""),"Martin A2025-09-0709")</f>
        <v>Martin A2025-09-0709</v>
      </c>
      <c r="K3469" s="115">
        <f>IFERROR(__xludf.DUMMYFUNCTION("""COMPUTED_VALUE"""),13331.0)</f>
        <v>13331</v>
      </c>
    </row>
    <row r="3470">
      <c r="A3470" s="115" t="str">
        <f>IFERROR(__xludf.DUMMYFUNCTION("""COMPUTED_VALUE"""),"SOUTH")</f>
        <v>SOUTH</v>
      </c>
      <c r="B3470" s="115" t="str">
        <f>IFERROR(__xludf.DUMMYFUNCTION("""COMPUTED_VALUE"""),"Martin A")</f>
        <v>Martin A</v>
      </c>
      <c r="C3470" s="115" t="str">
        <f>IFERROR(__xludf.DUMMYFUNCTION("""COMPUTED_VALUE"""),"FLIPKART")</f>
        <v>FLIPKART</v>
      </c>
      <c r="D3470" s="115">
        <f>IFERROR(__xludf.DUMMYFUNCTION("""COMPUTED_VALUE"""),107426.0)</f>
        <v>107426</v>
      </c>
      <c r="E3470" s="115">
        <f>IFERROR(__xludf.DUMMYFUNCTION("""COMPUTED_VALUE"""),8628.0)</f>
        <v>8628</v>
      </c>
      <c r="F3470" s="115">
        <f>IFERROR(__xludf.DUMMYFUNCTION("""COMPUTED_VALUE"""),3905.0)</f>
        <v>3905</v>
      </c>
      <c r="G3470" s="115">
        <f>IFERROR(__xludf.DUMMYFUNCTION("""COMPUTED_VALUE"""),106.0)</f>
        <v>106</v>
      </c>
      <c r="H3470" s="116">
        <f>IFERROR(__xludf.DUMMYFUNCTION("""COMPUTED_VALUE"""),45907.0)</f>
        <v>45907</v>
      </c>
      <c r="I3470" s="115" t="str">
        <f>IFERROR(__xludf.DUMMYFUNCTION("""COMPUTED_VALUE"""),"09")</f>
        <v>09</v>
      </c>
      <c r="J3470" s="115" t="str">
        <f>IFERROR(__xludf.DUMMYFUNCTION("""COMPUTED_VALUE"""),"Martin A2025-09-0709")</f>
        <v>Martin A2025-09-0709</v>
      </c>
      <c r="K3470" s="115">
        <f>IFERROR(__xludf.DUMMYFUNCTION("""COMPUTED_VALUE"""),116054.0)</f>
        <v>116054</v>
      </c>
    </row>
    <row r="3471">
      <c r="A3471" s="115" t="str">
        <f>IFERROR(__xludf.DUMMYFUNCTION("""COMPUTED_VALUE"""),"SOUTH")</f>
        <v>SOUTH</v>
      </c>
      <c r="B3471" s="115" t="str">
        <f>IFERROR(__xludf.DUMMYFUNCTION("""COMPUTED_VALUE"""),"Martin A")</f>
        <v>Martin A</v>
      </c>
      <c r="C3471" s="115" t="str">
        <f>IFERROR(__xludf.DUMMYFUNCTION("""COMPUTED_VALUE"""),"MYNTRA")</f>
        <v>MYNTRA</v>
      </c>
      <c r="D3471" s="115">
        <f>IFERROR(__xludf.DUMMYFUNCTION("""COMPUTED_VALUE"""),11492.0)</f>
        <v>11492</v>
      </c>
      <c r="E3471" s="115">
        <f>IFERROR(__xludf.DUMMYFUNCTION("""COMPUTED_VALUE"""),2278.0)</f>
        <v>2278</v>
      </c>
      <c r="F3471" s="115">
        <f>IFERROR(__xludf.DUMMYFUNCTION("""COMPUTED_VALUE"""),535.0)</f>
        <v>535</v>
      </c>
      <c r="G3471" s="115">
        <f>IFERROR(__xludf.DUMMYFUNCTION("""COMPUTED_VALUE"""),27.0)</f>
        <v>27</v>
      </c>
      <c r="H3471" s="116">
        <f>IFERROR(__xludf.DUMMYFUNCTION("""COMPUTED_VALUE"""),45907.0)</f>
        <v>45907</v>
      </c>
      <c r="I3471" s="115" t="str">
        <f>IFERROR(__xludf.DUMMYFUNCTION("""COMPUTED_VALUE"""),"09")</f>
        <v>09</v>
      </c>
      <c r="J3471" s="115" t="str">
        <f>IFERROR(__xludf.DUMMYFUNCTION("""COMPUTED_VALUE"""),"Martin A2025-09-0709")</f>
        <v>Martin A2025-09-0709</v>
      </c>
      <c r="K3471" s="115">
        <f>IFERROR(__xludf.DUMMYFUNCTION("""COMPUTED_VALUE"""),13770.0)</f>
        <v>13770</v>
      </c>
    </row>
    <row r="3472">
      <c r="A3472" s="115" t="str">
        <f>IFERROR(__xludf.DUMMYFUNCTION("""COMPUTED_VALUE"""),"SOUTH")</f>
        <v>SOUTH</v>
      </c>
      <c r="B3472" s="115" t="str">
        <f>IFERROR(__xludf.DUMMYFUNCTION("""COMPUTED_VALUE"""),"Premkumar M")</f>
        <v>Premkumar M</v>
      </c>
      <c r="C3472" s="115" t="str">
        <f>IFERROR(__xludf.DUMMYFUNCTION("""COMPUTED_VALUE"""),"EXTERNAL")</f>
        <v>EXTERNAL</v>
      </c>
      <c r="D3472" s="115">
        <f>IFERROR(__xludf.DUMMYFUNCTION("""COMPUTED_VALUE"""),3810.0)</f>
        <v>3810</v>
      </c>
      <c r="E3472" s="115">
        <f>IFERROR(__xludf.DUMMYFUNCTION("""COMPUTED_VALUE"""),150.0)</f>
        <v>150</v>
      </c>
      <c r="F3472" s="115">
        <f>IFERROR(__xludf.DUMMYFUNCTION("""COMPUTED_VALUE"""),73.0)</f>
        <v>73</v>
      </c>
      <c r="G3472" s="115">
        <f>IFERROR(__xludf.DUMMYFUNCTION("""COMPUTED_VALUE"""),1.0)</f>
        <v>1</v>
      </c>
      <c r="H3472" s="116">
        <f>IFERROR(__xludf.DUMMYFUNCTION("""COMPUTED_VALUE"""),45907.0)</f>
        <v>45907</v>
      </c>
      <c r="I3472" s="115" t="str">
        <f>IFERROR(__xludf.DUMMYFUNCTION("""COMPUTED_VALUE"""),"09")</f>
        <v>09</v>
      </c>
      <c r="J3472" s="115" t="str">
        <f>IFERROR(__xludf.DUMMYFUNCTION("""COMPUTED_VALUE"""),"Premkumar M2025-09-0709")</f>
        <v>Premkumar M2025-09-0709</v>
      </c>
      <c r="K3472" s="115">
        <f>IFERROR(__xludf.DUMMYFUNCTION("""COMPUTED_VALUE"""),3960.0)</f>
        <v>3960</v>
      </c>
    </row>
    <row r="3473">
      <c r="A3473" s="115" t="str">
        <f>IFERROR(__xludf.DUMMYFUNCTION("""COMPUTED_VALUE"""),"SOUTH")</f>
        <v>SOUTH</v>
      </c>
      <c r="B3473" s="115" t="str">
        <f>IFERROR(__xludf.DUMMYFUNCTION("""COMPUTED_VALUE"""),"Premkumar M")</f>
        <v>Premkumar M</v>
      </c>
      <c r="C3473" s="115" t="str">
        <f>IFERROR(__xludf.DUMMYFUNCTION("""COMPUTED_VALUE"""),"FLIPKART")</f>
        <v>FLIPKART</v>
      </c>
      <c r="D3473" s="115">
        <f>IFERROR(__xludf.DUMMYFUNCTION("""COMPUTED_VALUE"""),42607.0)</f>
        <v>42607</v>
      </c>
      <c r="E3473" s="115">
        <f>IFERROR(__xludf.DUMMYFUNCTION("""COMPUTED_VALUE"""),2249.0)</f>
        <v>2249</v>
      </c>
      <c r="F3473" s="115">
        <f>IFERROR(__xludf.DUMMYFUNCTION("""COMPUTED_VALUE"""),1208.0)</f>
        <v>1208</v>
      </c>
      <c r="G3473" s="115">
        <f>IFERROR(__xludf.DUMMYFUNCTION("""COMPUTED_VALUE"""),30.0)</f>
        <v>30</v>
      </c>
      <c r="H3473" s="116">
        <f>IFERROR(__xludf.DUMMYFUNCTION("""COMPUTED_VALUE"""),45907.0)</f>
        <v>45907</v>
      </c>
      <c r="I3473" s="115" t="str">
        <f>IFERROR(__xludf.DUMMYFUNCTION("""COMPUTED_VALUE"""),"09")</f>
        <v>09</v>
      </c>
      <c r="J3473" s="115" t="str">
        <f>IFERROR(__xludf.DUMMYFUNCTION("""COMPUTED_VALUE"""),"Premkumar M2025-09-0709")</f>
        <v>Premkumar M2025-09-0709</v>
      </c>
      <c r="K3473" s="115">
        <f>IFERROR(__xludf.DUMMYFUNCTION("""COMPUTED_VALUE"""),44856.0)</f>
        <v>44856</v>
      </c>
    </row>
    <row r="3474">
      <c r="A3474" s="115" t="str">
        <f>IFERROR(__xludf.DUMMYFUNCTION("""COMPUTED_VALUE"""),"SOUTH")</f>
        <v>SOUTH</v>
      </c>
      <c r="B3474" s="115" t="str">
        <f>IFERROR(__xludf.DUMMYFUNCTION("""COMPUTED_VALUE"""),"Premkumar M")</f>
        <v>Premkumar M</v>
      </c>
      <c r="C3474" s="115" t="str">
        <f>IFERROR(__xludf.DUMMYFUNCTION("""COMPUTED_VALUE"""),"MYNTRA")</f>
        <v>MYNTRA</v>
      </c>
      <c r="D3474" s="115">
        <f>IFERROR(__xludf.DUMMYFUNCTION("""COMPUTED_VALUE"""),2969.0)</f>
        <v>2969</v>
      </c>
      <c r="E3474" s="115">
        <f>IFERROR(__xludf.DUMMYFUNCTION("""COMPUTED_VALUE"""),451.0)</f>
        <v>451</v>
      </c>
      <c r="F3474" s="115">
        <f>IFERROR(__xludf.DUMMYFUNCTION("""COMPUTED_VALUE"""),61.0)</f>
        <v>61</v>
      </c>
      <c r="G3474" s="115">
        <f>IFERROR(__xludf.DUMMYFUNCTION("""COMPUTED_VALUE"""),1.0)</f>
        <v>1</v>
      </c>
      <c r="H3474" s="116">
        <f>IFERROR(__xludf.DUMMYFUNCTION("""COMPUTED_VALUE"""),45907.0)</f>
        <v>45907</v>
      </c>
      <c r="I3474" s="115" t="str">
        <f>IFERROR(__xludf.DUMMYFUNCTION("""COMPUTED_VALUE"""),"09")</f>
        <v>09</v>
      </c>
      <c r="J3474" s="115" t="str">
        <f>IFERROR(__xludf.DUMMYFUNCTION("""COMPUTED_VALUE"""),"Premkumar M2025-09-0709")</f>
        <v>Premkumar M2025-09-0709</v>
      </c>
      <c r="K3474" s="115">
        <f>IFERROR(__xludf.DUMMYFUNCTION("""COMPUTED_VALUE"""),3420.0)</f>
        <v>3420</v>
      </c>
    </row>
    <row r="3475">
      <c r="A3475" s="115" t="str">
        <f>IFERROR(__xludf.DUMMYFUNCTION("""COMPUTED_VALUE"""),"SOUTH")</f>
        <v>SOUTH</v>
      </c>
      <c r="B3475" s="115" t="str">
        <f>IFERROR(__xludf.DUMMYFUNCTION("""COMPUTED_VALUE"""),"Vineeth V")</f>
        <v>Vineeth V</v>
      </c>
      <c r="C3475" s="115" t="str">
        <f>IFERROR(__xludf.DUMMYFUNCTION("""COMPUTED_VALUE"""),"EXTERNAL")</f>
        <v>EXTERNAL</v>
      </c>
      <c r="D3475" s="115">
        <f>IFERROR(__xludf.DUMMYFUNCTION("""COMPUTED_VALUE"""),1191.0)</f>
        <v>1191</v>
      </c>
      <c r="E3475" s="115">
        <f>IFERROR(__xludf.DUMMYFUNCTION("""COMPUTED_VALUE"""),36.0)</f>
        <v>36</v>
      </c>
      <c r="F3475" s="115">
        <f>IFERROR(__xludf.DUMMYFUNCTION("""COMPUTED_VALUE"""),34.0)</f>
        <v>34</v>
      </c>
      <c r="G3475" s="115">
        <f>IFERROR(__xludf.DUMMYFUNCTION("""COMPUTED_VALUE"""),0.0)</f>
        <v>0</v>
      </c>
      <c r="H3475" s="116">
        <f>IFERROR(__xludf.DUMMYFUNCTION("""COMPUTED_VALUE"""),45907.0)</f>
        <v>45907</v>
      </c>
      <c r="I3475" s="115" t="str">
        <f>IFERROR(__xludf.DUMMYFUNCTION("""COMPUTED_VALUE"""),"09")</f>
        <v>09</v>
      </c>
      <c r="J3475" s="115" t="str">
        <f>IFERROR(__xludf.DUMMYFUNCTION("""COMPUTED_VALUE"""),"Vineeth V2025-09-0709")</f>
        <v>Vineeth V2025-09-0709</v>
      </c>
      <c r="K3475" s="115">
        <f>IFERROR(__xludf.DUMMYFUNCTION("""COMPUTED_VALUE"""),1227.0)</f>
        <v>1227</v>
      </c>
    </row>
    <row r="3476">
      <c r="A3476" s="115" t="str">
        <f>IFERROR(__xludf.DUMMYFUNCTION("""COMPUTED_VALUE"""),"SOUTH")</f>
        <v>SOUTH</v>
      </c>
      <c r="B3476" s="115" t="str">
        <f>IFERROR(__xludf.DUMMYFUNCTION("""COMPUTED_VALUE"""),"Vineeth V")</f>
        <v>Vineeth V</v>
      </c>
      <c r="C3476" s="115" t="str">
        <f>IFERROR(__xludf.DUMMYFUNCTION("""COMPUTED_VALUE"""),"FLIPKART")</f>
        <v>FLIPKART</v>
      </c>
      <c r="D3476" s="115">
        <f>IFERROR(__xludf.DUMMYFUNCTION("""COMPUTED_VALUE"""),16339.0)</f>
        <v>16339</v>
      </c>
      <c r="E3476" s="115">
        <f>IFERROR(__xludf.DUMMYFUNCTION("""COMPUTED_VALUE"""),821.0)</f>
        <v>821</v>
      </c>
      <c r="F3476" s="115">
        <f>IFERROR(__xludf.DUMMYFUNCTION("""COMPUTED_VALUE"""),383.0)</f>
        <v>383</v>
      </c>
      <c r="G3476" s="115">
        <f>IFERROR(__xludf.DUMMYFUNCTION("""COMPUTED_VALUE"""),17.0)</f>
        <v>17</v>
      </c>
      <c r="H3476" s="116">
        <f>IFERROR(__xludf.DUMMYFUNCTION("""COMPUTED_VALUE"""),45907.0)</f>
        <v>45907</v>
      </c>
      <c r="I3476" s="115" t="str">
        <f>IFERROR(__xludf.DUMMYFUNCTION("""COMPUTED_VALUE"""),"09")</f>
        <v>09</v>
      </c>
      <c r="J3476" s="115" t="str">
        <f>IFERROR(__xludf.DUMMYFUNCTION("""COMPUTED_VALUE"""),"Vineeth V2025-09-0709")</f>
        <v>Vineeth V2025-09-0709</v>
      </c>
      <c r="K3476" s="115">
        <f>IFERROR(__xludf.DUMMYFUNCTION("""COMPUTED_VALUE"""),17160.0)</f>
        <v>17160</v>
      </c>
    </row>
    <row r="3477">
      <c r="A3477" s="115" t="str">
        <f>IFERROR(__xludf.DUMMYFUNCTION("""COMPUTED_VALUE"""),"SOUTH")</f>
        <v>SOUTH</v>
      </c>
      <c r="B3477" s="115" t="str">
        <f>IFERROR(__xludf.DUMMYFUNCTION("""COMPUTED_VALUE"""),"Vineeth V")</f>
        <v>Vineeth V</v>
      </c>
      <c r="C3477" s="115" t="str">
        <f>IFERROR(__xludf.DUMMYFUNCTION("""COMPUTED_VALUE"""),"MYNTRA")</f>
        <v>MYNTRA</v>
      </c>
      <c r="D3477" s="115">
        <f>IFERROR(__xludf.DUMMYFUNCTION("""COMPUTED_VALUE"""),1364.0)</f>
        <v>1364</v>
      </c>
      <c r="E3477" s="115">
        <f>IFERROR(__xludf.DUMMYFUNCTION("""COMPUTED_VALUE"""),256.0)</f>
        <v>256</v>
      </c>
      <c r="F3477" s="115">
        <f>IFERROR(__xludf.DUMMYFUNCTION("""COMPUTED_VALUE"""),36.0)</f>
        <v>36</v>
      </c>
      <c r="G3477" s="115">
        <f>IFERROR(__xludf.DUMMYFUNCTION("""COMPUTED_VALUE"""),2.0)</f>
        <v>2</v>
      </c>
      <c r="H3477" s="116">
        <f>IFERROR(__xludf.DUMMYFUNCTION("""COMPUTED_VALUE"""),45907.0)</f>
        <v>45907</v>
      </c>
      <c r="I3477" s="115" t="str">
        <f>IFERROR(__xludf.DUMMYFUNCTION("""COMPUTED_VALUE"""),"09")</f>
        <v>09</v>
      </c>
      <c r="J3477" s="115" t="str">
        <f>IFERROR(__xludf.DUMMYFUNCTION("""COMPUTED_VALUE"""),"Vineeth V2025-09-0709")</f>
        <v>Vineeth V2025-09-0709</v>
      </c>
      <c r="K3477" s="115">
        <f>IFERROR(__xludf.DUMMYFUNCTION("""COMPUTED_VALUE"""),1620.0)</f>
        <v>1620</v>
      </c>
    </row>
    <row r="3478">
      <c r="A3478" s="115" t="str">
        <f>IFERROR(__xludf.DUMMYFUNCTION("""COMPUTED_VALUE"""),"WEST")</f>
        <v>WEST</v>
      </c>
      <c r="B3478" s="115" t="str">
        <f>IFERROR(__xludf.DUMMYFUNCTION("""COMPUTED_VALUE"""),"Ashish Jakar")</f>
        <v>Ashish Jakar</v>
      </c>
      <c r="C3478" s="115" t="str">
        <f>IFERROR(__xludf.DUMMYFUNCTION("""COMPUTED_VALUE"""),"EXTERNAL")</f>
        <v>EXTERNAL</v>
      </c>
      <c r="D3478" s="115">
        <f>IFERROR(__xludf.DUMMYFUNCTION("""COMPUTED_VALUE"""),9502.0)</f>
        <v>9502</v>
      </c>
      <c r="E3478" s="115">
        <f>IFERROR(__xludf.DUMMYFUNCTION("""COMPUTED_VALUE"""),1199.0)</f>
        <v>1199</v>
      </c>
      <c r="F3478" s="115">
        <f>IFERROR(__xludf.DUMMYFUNCTION("""COMPUTED_VALUE"""),103.0)</f>
        <v>103</v>
      </c>
      <c r="G3478" s="115">
        <f>IFERROR(__xludf.DUMMYFUNCTION("""COMPUTED_VALUE"""),4.0)</f>
        <v>4</v>
      </c>
      <c r="H3478" s="116">
        <f>IFERROR(__xludf.DUMMYFUNCTION("""COMPUTED_VALUE"""),45907.0)</f>
        <v>45907</v>
      </c>
      <c r="I3478" s="115" t="str">
        <f>IFERROR(__xludf.DUMMYFUNCTION("""COMPUTED_VALUE"""),"09")</f>
        <v>09</v>
      </c>
      <c r="J3478" s="115" t="str">
        <f>IFERROR(__xludf.DUMMYFUNCTION("""COMPUTED_VALUE"""),"Ashish Jakar2025-09-0709")</f>
        <v>Ashish Jakar2025-09-0709</v>
      </c>
      <c r="K3478" s="115">
        <f>IFERROR(__xludf.DUMMYFUNCTION("""COMPUTED_VALUE"""),10701.0)</f>
        <v>10701</v>
      </c>
    </row>
    <row r="3479">
      <c r="A3479" s="115" t="str">
        <f>IFERROR(__xludf.DUMMYFUNCTION("""COMPUTED_VALUE"""),"WEST")</f>
        <v>WEST</v>
      </c>
      <c r="B3479" s="115" t="str">
        <f>IFERROR(__xludf.DUMMYFUNCTION("""COMPUTED_VALUE"""),"Ashish Jakar")</f>
        <v>Ashish Jakar</v>
      </c>
      <c r="C3479" s="115" t="str">
        <f>IFERROR(__xludf.DUMMYFUNCTION("""COMPUTED_VALUE"""),"FLIPKART")</f>
        <v>FLIPKART</v>
      </c>
      <c r="D3479" s="115">
        <f>IFERROR(__xludf.DUMMYFUNCTION("""COMPUTED_VALUE"""),68918.0)</f>
        <v>68918</v>
      </c>
      <c r="E3479" s="115">
        <f>IFERROR(__xludf.DUMMYFUNCTION("""COMPUTED_VALUE"""),5439.0)</f>
        <v>5439</v>
      </c>
      <c r="F3479" s="115">
        <f>IFERROR(__xludf.DUMMYFUNCTION("""COMPUTED_VALUE"""),1643.0)</f>
        <v>1643</v>
      </c>
      <c r="G3479" s="115">
        <f>IFERROR(__xludf.DUMMYFUNCTION("""COMPUTED_VALUE"""),37.0)</f>
        <v>37</v>
      </c>
      <c r="H3479" s="116">
        <f>IFERROR(__xludf.DUMMYFUNCTION("""COMPUTED_VALUE"""),45907.0)</f>
        <v>45907</v>
      </c>
      <c r="I3479" s="115" t="str">
        <f>IFERROR(__xludf.DUMMYFUNCTION("""COMPUTED_VALUE"""),"09")</f>
        <v>09</v>
      </c>
      <c r="J3479" s="115" t="str">
        <f>IFERROR(__xludf.DUMMYFUNCTION("""COMPUTED_VALUE"""),"Ashish Jakar2025-09-0709")</f>
        <v>Ashish Jakar2025-09-0709</v>
      </c>
      <c r="K3479" s="115">
        <f>IFERROR(__xludf.DUMMYFUNCTION("""COMPUTED_VALUE"""),74357.0)</f>
        <v>74357</v>
      </c>
    </row>
    <row r="3480">
      <c r="A3480" s="115" t="str">
        <f>IFERROR(__xludf.DUMMYFUNCTION("""COMPUTED_VALUE"""),"WEST")</f>
        <v>WEST</v>
      </c>
      <c r="B3480" s="115" t="str">
        <f>IFERROR(__xludf.DUMMYFUNCTION("""COMPUTED_VALUE"""),"Ashish Jakar")</f>
        <v>Ashish Jakar</v>
      </c>
      <c r="C3480" s="115" t="str">
        <f>IFERROR(__xludf.DUMMYFUNCTION("""COMPUTED_VALUE"""),"MYNTRA")</f>
        <v>MYNTRA</v>
      </c>
      <c r="D3480" s="115">
        <f>IFERROR(__xludf.DUMMYFUNCTION("""COMPUTED_VALUE"""),9037.0)</f>
        <v>9037</v>
      </c>
      <c r="E3480" s="115">
        <f>IFERROR(__xludf.DUMMYFUNCTION("""COMPUTED_VALUE"""),2000.0)</f>
        <v>2000</v>
      </c>
      <c r="F3480" s="115">
        <f>IFERROR(__xludf.DUMMYFUNCTION("""COMPUTED_VALUE"""),291.0)</f>
        <v>291</v>
      </c>
      <c r="G3480" s="115">
        <f>IFERROR(__xludf.DUMMYFUNCTION("""COMPUTED_VALUE"""),9.0)</f>
        <v>9</v>
      </c>
      <c r="H3480" s="116">
        <f>IFERROR(__xludf.DUMMYFUNCTION("""COMPUTED_VALUE"""),45907.0)</f>
        <v>45907</v>
      </c>
      <c r="I3480" s="115" t="str">
        <f>IFERROR(__xludf.DUMMYFUNCTION("""COMPUTED_VALUE"""),"09")</f>
        <v>09</v>
      </c>
      <c r="J3480" s="115" t="str">
        <f>IFERROR(__xludf.DUMMYFUNCTION("""COMPUTED_VALUE"""),"Ashish Jakar2025-09-0709")</f>
        <v>Ashish Jakar2025-09-0709</v>
      </c>
      <c r="K3480" s="115">
        <f>IFERROR(__xludf.DUMMYFUNCTION("""COMPUTED_VALUE"""),11037.0)</f>
        <v>11037</v>
      </c>
    </row>
    <row r="3481">
      <c r="A3481" s="115" t="str">
        <f>IFERROR(__xludf.DUMMYFUNCTION("""COMPUTED_VALUE"""),"WEST")</f>
        <v>WEST</v>
      </c>
      <c r="B3481" s="115" t="str">
        <f>IFERROR(__xludf.DUMMYFUNCTION("""COMPUTED_VALUE"""),"Ashvani Bhatt")</f>
        <v>Ashvani Bhatt</v>
      </c>
      <c r="C3481" s="115" t="str">
        <f>IFERROR(__xludf.DUMMYFUNCTION("""COMPUTED_VALUE"""),"EXTERNAL")</f>
        <v>EXTERNAL</v>
      </c>
      <c r="D3481" s="115">
        <f>IFERROR(__xludf.DUMMYFUNCTION("""COMPUTED_VALUE"""),8137.0)</f>
        <v>8137</v>
      </c>
      <c r="E3481" s="115">
        <f>IFERROR(__xludf.DUMMYFUNCTION("""COMPUTED_VALUE"""),445.0)</f>
        <v>445</v>
      </c>
      <c r="F3481" s="115">
        <f>IFERROR(__xludf.DUMMYFUNCTION("""COMPUTED_VALUE"""),139.0)</f>
        <v>139</v>
      </c>
      <c r="G3481" s="115">
        <f>IFERROR(__xludf.DUMMYFUNCTION("""COMPUTED_VALUE"""),0.0)</f>
        <v>0</v>
      </c>
      <c r="H3481" s="116">
        <f>IFERROR(__xludf.DUMMYFUNCTION("""COMPUTED_VALUE"""),45907.0)</f>
        <v>45907</v>
      </c>
      <c r="I3481" s="115" t="str">
        <f>IFERROR(__xludf.DUMMYFUNCTION("""COMPUTED_VALUE"""),"09")</f>
        <v>09</v>
      </c>
      <c r="J3481" s="115" t="str">
        <f>IFERROR(__xludf.DUMMYFUNCTION("""COMPUTED_VALUE"""),"Ashvani Bhatt2025-09-0709")</f>
        <v>Ashvani Bhatt2025-09-0709</v>
      </c>
      <c r="K3481" s="115">
        <f>IFERROR(__xludf.DUMMYFUNCTION("""COMPUTED_VALUE"""),8582.0)</f>
        <v>8582</v>
      </c>
    </row>
    <row r="3482">
      <c r="A3482" s="115" t="str">
        <f>IFERROR(__xludf.DUMMYFUNCTION("""COMPUTED_VALUE"""),"WEST")</f>
        <v>WEST</v>
      </c>
      <c r="B3482" s="115" t="str">
        <f>IFERROR(__xludf.DUMMYFUNCTION("""COMPUTED_VALUE"""),"Ashvani Bhatt")</f>
        <v>Ashvani Bhatt</v>
      </c>
      <c r="C3482" s="115" t="str">
        <f>IFERROR(__xludf.DUMMYFUNCTION("""COMPUTED_VALUE"""),"FLIPKART")</f>
        <v>FLIPKART</v>
      </c>
      <c r="D3482" s="115">
        <f>IFERROR(__xludf.DUMMYFUNCTION("""COMPUTED_VALUE"""),65776.0)</f>
        <v>65776</v>
      </c>
      <c r="E3482" s="115">
        <f>IFERROR(__xludf.DUMMYFUNCTION("""COMPUTED_VALUE"""),4577.0)</f>
        <v>4577</v>
      </c>
      <c r="F3482" s="115">
        <f>IFERROR(__xludf.DUMMYFUNCTION("""COMPUTED_VALUE"""),1938.0)</f>
        <v>1938</v>
      </c>
      <c r="G3482" s="115">
        <f>IFERROR(__xludf.DUMMYFUNCTION("""COMPUTED_VALUE"""),46.0)</f>
        <v>46</v>
      </c>
      <c r="H3482" s="116">
        <f>IFERROR(__xludf.DUMMYFUNCTION("""COMPUTED_VALUE"""),45907.0)</f>
        <v>45907</v>
      </c>
      <c r="I3482" s="115" t="str">
        <f>IFERROR(__xludf.DUMMYFUNCTION("""COMPUTED_VALUE"""),"09")</f>
        <v>09</v>
      </c>
      <c r="J3482" s="115" t="str">
        <f>IFERROR(__xludf.DUMMYFUNCTION("""COMPUTED_VALUE"""),"Ashvani Bhatt2025-09-0709")</f>
        <v>Ashvani Bhatt2025-09-0709</v>
      </c>
      <c r="K3482" s="115">
        <f>IFERROR(__xludf.DUMMYFUNCTION("""COMPUTED_VALUE"""),70353.0)</f>
        <v>70353</v>
      </c>
    </row>
    <row r="3483">
      <c r="A3483" s="115" t="str">
        <f>IFERROR(__xludf.DUMMYFUNCTION("""COMPUTED_VALUE"""),"WEST")</f>
        <v>WEST</v>
      </c>
      <c r="B3483" s="115" t="str">
        <f>IFERROR(__xludf.DUMMYFUNCTION("""COMPUTED_VALUE"""),"Ashvani Bhatt")</f>
        <v>Ashvani Bhatt</v>
      </c>
      <c r="C3483" s="115" t="str">
        <f>IFERROR(__xludf.DUMMYFUNCTION("""COMPUTED_VALUE"""),"MYNTRA")</f>
        <v>MYNTRA</v>
      </c>
      <c r="D3483" s="115">
        <f>IFERROR(__xludf.DUMMYFUNCTION("""COMPUTED_VALUE"""),9083.0)</f>
        <v>9083</v>
      </c>
      <c r="E3483" s="115">
        <f>IFERROR(__xludf.DUMMYFUNCTION("""COMPUTED_VALUE"""),1329.0)</f>
        <v>1329</v>
      </c>
      <c r="F3483" s="115">
        <f>IFERROR(__xludf.DUMMYFUNCTION("""COMPUTED_VALUE"""),349.0)</f>
        <v>349</v>
      </c>
      <c r="G3483" s="115">
        <f>IFERROR(__xludf.DUMMYFUNCTION("""COMPUTED_VALUE"""),12.0)</f>
        <v>12</v>
      </c>
      <c r="H3483" s="116">
        <f>IFERROR(__xludf.DUMMYFUNCTION("""COMPUTED_VALUE"""),45907.0)</f>
        <v>45907</v>
      </c>
      <c r="I3483" s="115" t="str">
        <f>IFERROR(__xludf.DUMMYFUNCTION("""COMPUTED_VALUE"""),"09")</f>
        <v>09</v>
      </c>
      <c r="J3483" s="115" t="str">
        <f>IFERROR(__xludf.DUMMYFUNCTION("""COMPUTED_VALUE"""),"Ashvani Bhatt2025-09-0709")</f>
        <v>Ashvani Bhatt2025-09-0709</v>
      </c>
      <c r="K3483" s="115">
        <f>IFERROR(__xludf.DUMMYFUNCTION("""COMPUTED_VALUE"""),10412.0)</f>
        <v>10412</v>
      </c>
    </row>
    <row r="3484">
      <c r="A3484" s="115"/>
      <c r="B3484" s="115"/>
      <c r="C3484" s="115" t="str">
        <f>IFERROR(__xludf.DUMMYFUNCTION("""COMPUTED_VALUE"""),"EXTERNAL")</f>
        <v>EXTERNAL</v>
      </c>
      <c r="D3484" s="115">
        <f>IFERROR(__xludf.DUMMYFUNCTION("""COMPUTED_VALUE"""),19.0)</f>
        <v>19</v>
      </c>
      <c r="E3484" s="115">
        <f>IFERROR(__xludf.DUMMYFUNCTION("""COMPUTED_VALUE"""),36.0)</f>
        <v>36</v>
      </c>
      <c r="F3484" s="115">
        <f>IFERROR(__xludf.DUMMYFUNCTION("""COMPUTED_VALUE"""),0.0)</f>
        <v>0</v>
      </c>
      <c r="G3484" s="115">
        <f>IFERROR(__xludf.DUMMYFUNCTION("""COMPUTED_VALUE"""),5.0)</f>
        <v>5</v>
      </c>
      <c r="H3484" s="116">
        <f>IFERROR(__xludf.DUMMYFUNCTION("""COMPUTED_VALUE"""),45907.0)</f>
        <v>45907</v>
      </c>
      <c r="I3484" s="115" t="str">
        <f>IFERROR(__xludf.DUMMYFUNCTION("""COMPUTED_VALUE"""),"09")</f>
        <v>09</v>
      </c>
      <c r="J3484" s="115" t="str">
        <f>IFERROR(__xludf.DUMMYFUNCTION("""COMPUTED_VALUE"""),"2025-09-0709")</f>
        <v>2025-09-0709</v>
      </c>
      <c r="K3484" s="115">
        <f>IFERROR(__xludf.DUMMYFUNCTION("""COMPUTED_VALUE"""),55.0)</f>
        <v>55</v>
      </c>
    </row>
    <row r="3485">
      <c r="A3485" s="115"/>
      <c r="B3485" s="115"/>
      <c r="C3485" s="115" t="str">
        <f>IFERROR(__xludf.DUMMYFUNCTION("""COMPUTED_VALUE"""),"FLIPKART")</f>
        <v>FLIPKART</v>
      </c>
      <c r="D3485" s="115">
        <f>IFERROR(__xludf.DUMMYFUNCTION("""COMPUTED_VALUE"""),226.0)</f>
        <v>226</v>
      </c>
      <c r="E3485" s="115">
        <f>IFERROR(__xludf.DUMMYFUNCTION("""COMPUTED_VALUE"""),172.0)</f>
        <v>172</v>
      </c>
      <c r="F3485" s="115">
        <f>IFERROR(__xludf.DUMMYFUNCTION("""COMPUTED_VALUE"""),1.0)</f>
        <v>1</v>
      </c>
      <c r="G3485" s="115">
        <f>IFERROR(__xludf.DUMMYFUNCTION("""COMPUTED_VALUE"""),18.0)</f>
        <v>18</v>
      </c>
      <c r="H3485" s="116">
        <f>IFERROR(__xludf.DUMMYFUNCTION("""COMPUTED_VALUE"""),45907.0)</f>
        <v>45907</v>
      </c>
      <c r="I3485" s="115" t="str">
        <f>IFERROR(__xludf.DUMMYFUNCTION("""COMPUTED_VALUE"""),"09")</f>
        <v>09</v>
      </c>
      <c r="J3485" s="115" t="str">
        <f>IFERROR(__xludf.DUMMYFUNCTION("""COMPUTED_VALUE"""),"2025-09-0709")</f>
        <v>2025-09-0709</v>
      </c>
      <c r="K3485" s="115">
        <f>IFERROR(__xludf.DUMMYFUNCTION("""COMPUTED_VALUE"""),398.0)</f>
        <v>398</v>
      </c>
    </row>
    <row r="3486">
      <c r="A3486" s="115"/>
      <c r="B3486" s="115"/>
      <c r="C3486" s="115" t="str">
        <f>IFERROR(__xludf.DUMMYFUNCTION("""COMPUTED_VALUE"""),"MYNTRA")</f>
        <v>MYNTRA</v>
      </c>
      <c r="D3486" s="115">
        <f>IFERROR(__xludf.DUMMYFUNCTION("""COMPUTED_VALUE"""),30.0)</f>
        <v>30</v>
      </c>
      <c r="E3486" s="115">
        <f>IFERROR(__xludf.DUMMYFUNCTION("""COMPUTED_VALUE"""),57.0)</f>
        <v>57</v>
      </c>
      <c r="F3486" s="115">
        <f>IFERROR(__xludf.DUMMYFUNCTION("""COMPUTED_VALUE"""),0.0)</f>
        <v>0</v>
      </c>
      <c r="G3486" s="115">
        <f>IFERROR(__xludf.DUMMYFUNCTION("""COMPUTED_VALUE"""),1.0)</f>
        <v>1</v>
      </c>
      <c r="H3486" s="116">
        <f>IFERROR(__xludf.DUMMYFUNCTION("""COMPUTED_VALUE"""),45907.0)</f>
        <v>45907</v>
      </c>
      <c r="I3486" s="115" t="str">
        <f>IFERROR(__xludf.DUMMYFUNCTION("""COMPUTED_VALUE"""),"09")</f>
        <v>09</v>
      </c>
      <c r="J3486" s="115" t="str">
        <f>IFERROR(__xludf.DUMMYFUNCTION("""COMPUTED_VALUE"""),"2025-09-0709")</f>
        <v>2025-09-0709</v>
      </c>
      <c r="K3486" s="115">
        <f>IFERROR(__xludf.DUMMYFUNCTION("""COMPUTED_VALUE"""),87.0)</f>
        <v>87</v>
      </c>
    </row>
    <row r="3487">
      <c r="A3487" s="115" t="str">
        <f>IFERROR(__xludf.DUMMYFUNCTION("""COMPUTED_VALUE"""),"EAST")</f>
        <v>EAST</v>
      </c>
      <c r="B3487" s="115" t="str">
        <f>IFERROR(__xludf.DUMMYFUNCTION("""COMPUTED_VALUE"""),"Ashish Ranjan")</f>
        <v>Ashish Ranjan</v>
      </c>
      <c r="C3487" s="115" t="str">
        <f>IFERROR(__xludf.DUMMYFUNCTION("""COMPUTED_VALUE"""),"EXTERNAL")</f>
        <v>EXTERNAL</v>
      </c>
      <c r="D3487" s="115">
        <f>IFERROR(__xludf.DUMMYFUNCTION("""COMPUTED_VALUE"""),25662.0)</f>
        <v>25662</v>
      </c>
      <c r="E3487" s="115">
        <f>IFERROR(__xludf.DUMMYFUNCTION("""COMPUTED_VALUE"""),1657.0)</f>
        <v>1657</v>
      </c>
      <c r="F3487" s="115">
        <f>IFERROR(__xludf.DUMMYFUNCTION("""COMPUTED_VALUE"""),1805.0)</f>
        <v>1805</v>
      </c>
      <c r="G3487" s="115">
        <f>IFERROR(__xludf.DUMMYFUNCTION("""COMPUTED_VALUE"""),44.0)</f>
        <v>44</v>
      </c>
      <c r="H3487" s="116">
        <f>IFERROR(__xludf.DUMMYFUNCTION("""COMPUTED_VALUE"""),45907.0)</f>
        <v>45907</v>
      </c>
      <c r="I3487" s="115" t="str">
        <f>IFERROR(__xludf.DUMMYFUNCTION("""COMPUTED_VALUE"""),"10")</f>
        <v>10</v>
      </c>
      <c r="J3487" s="115" t="str">
        <f>IFERROR(__xludf.DUMMYFUNCTION("""COMPUTED_VALUE"""),"Ashish Ranjan2025-09-0710")</f>
        <v>Ashish Ranjan2025-09-0710</v>
      </c>
      <c r="K3487" s="115">
        <f>IFERROR(__xludf.DUMMYFUNCTION("""COMPUTED_VALUE"""),27319.0)</f>
        <v>27319</v>
      </c>
    </row>
    <row r="3488">
      <c r="A3488" s="115" t="str">
        <f>IFERROR(__xludf.DUMMYFUNCTION("""COMPUTED_VALUE"""),"EAST")</f>
        <v>EAST</v>
      </c>
      <c r="B3488" s="115" t="str">
        <f>IFERROR(__xludf.DUMMYFUNCTION("""COMPUTED_VALUE"""),"Ashish Ranjan")</f>
        <v>Ashish Ranjan</v>
      </c>
      <c r="C3488" s="115" t="str">
        <f>IFERROR(__xludf.DUMMYFUNCTION("""COMPUTED_VALUE"""),"FLIPKART")</f>
        <v>FLIPKART</v>
      </c>
      <c r="D3488" s="115">
        <f>IFERROR(__xludf.DUMMYFUNCTION("""COMPUTED_VALUE"""),387017.0)</f>
        <v>387017</v>
      </c>
      <c r="E3488" s="115">
        <f>IFERROR(__xludf.DUMMYFUNCTION("""COMPUTED_VALUE"""),37313.0)</f>
        <v>37313</v>
      </c>
      <c r="F3488" s="115">
        <f>IFERROR(__xludf.DUMMYFUNCTION("""COMPUTED_VALUE"""),44233.0)</f>
        <v>44233</v>
      </c>
      <c r="G3488" s="115">
        <f>IFERROR(__xludf.DUMMYFUNCTION("""COMPUTED_VALUE"""),1406.0)</f>
        <v>1406</v>
      </c>
      <c r="H3488" s="116">
        <f>IFERROR(__xludf.DUMMYFUNCTION("""COMPUTED_VALUE"""),45907.0)</f>
        <v>45907</v>
      </c>
      <c r="I3488" s="115" t="str">
        <f>IFERROR(__xludf.DUMMYFUNCTION("""COMPUTED_VALUE"""),"10")</f>
        <v>10</v>
      </c>
      <c r="J3488" s="115" t="str">
        <f>IFERROR(__xludf.DUMMYFUNCTION("""COMPUTED_VALUE"""),"Ashish Ranjan2025-09-0710")</f>
        <v>Ashish Ranjan2025-09-0710</v>
      </c>
      <c r="K3488" s="115">
        <f>IFERROR(__xludf.DUMMYFUNCTION("""COMPUTED_VALUE"""),424330.0)</f>
        <v>424330</v>
      </c>
    </row>
    <row r="3489">
      <c r="A3489" s="115" t="str">
        <f>IFERROR(__xludf.DUMMYFUNCTION("""COMPUTED_VALUE"""),"EAST")</f>
        <v>EAST</v>
      </c>
      <c r="B3489" s="115" t="str">
        <f>IFERROR(__xludf.DUMMYFUNCTION("""COMPUTED_VALUE"""),"Ashish Ranjan")</f>
        <v>Ashish Ranjan</v>
      </c>
      <c r="C3489" s="115" t="str">
        <f>IFERROR(__xludf.DUMMYFUNCTION("""COMPUTED_VALUE"""),"MYNTRA")</f>
        <v>MYNTRA</v>
      </c>
      <c r="D3489" s="115">
        <f>IFERROR(__xludf.DUMMYFUNCTION("""COMPUTED_VALUE"""),42273.0)</f>
        <v>42273</v>
      </c>
      <c r="E3489" s="115">
        <f>IFERROR(__xludf.DUMMYFUNCTION("""COMPUTED_VALUE"""),8135.0)</f>
        <v>8135</v>
      </c>
      <c r="F3489" s="115">
        <f>IFERROR(__xludf.DUMMYFUNCTION("""COMPUTED_VALUE"""),4965.0)</f>
        <v>4965</v>
      </c>
      <c r="G3489" s="115">
        <f>IFERROR(__xludf.DUMMYFUNCTION("""COMPUTED_VALUE"""),295.0)</f>
        <v>295</v>
      </c>
      <c r="H3489" s="116">
        <f>IFERROR(__xludf.DUMMYFUNCTION("""COMPUTED_VALUE"""),45907.0)</f>
        <v>45907</v>
      </c>
      <c r="I3489" s="115" t="str">
        <f>IFERROR(__xludf.DUMMYFUNCTION("""COMPUTED_VALUE"""),"10")</f>
        <v>10</v>
      </c>
      <c r="J3489" s="115" t="str">
        <f>IFERROR(__xludf.DUMMYFUNCTION("""COMPUTED_VALUE"""),"Ashish Ranjan2025-09-0710")</f>
        <v>Ashish Ranjan2025-09-0710</v>
      </c>
      <c r="K3489" s="115">
        <f>IFERROR(__xludf.DUMMYFUNCTION("""COMPUTED_VALUE"""),50408.0)</f>
        <v>50408</v>
      </c>
    </row>
    <row r="3490">
      <c r="A3490" s="115" t="str">
        <f>IFERROR(__xludf.DUMMYFUNCTION("""COMPUTED_VALUE"""),"EAST")</f>
        <v>EAST</v>
      </c>
      <c r="B3490" s="115" t="str">
        <f>IFERROR(__xludf.DUMMYFUNCTION("""COMPUTED_VALUE"""),"Girish Chand")</f>
        <v>Girish Chand</v>
      </c>
      <c r="C3490" s="115" t="str">
        <f>IFERROR(__xludf.DUMMYFUNCTION("""COMPUTED_VALUE"""),"EXTERNAL")</f>
        <v>EXTERNAL</v>
      </c>
      <c r="D3490" s="115">
        <f>IFERROR(__xludf.DUMMYFUNCTION("""COMPUTED_VALUE"""),15373.0)</f>
        <v>15373</v>
      </c>
      <c r="E3490" s="115">
        <f>IFERROR(__xludf.DUMMYFUNCTION("""COMPUTED_VALUE"""),1003.0)</f>
        <v>1003</v>
      </c>
      <c r="F3490" s="115">
        <f>IFERROR(__xludf.DUMMYFUNCTION("""COMPUTED_VALUE"""),520.0)</f>
        <v>520</v>
      </c>
      <c r="G3490" s="115">
        <f>IFERROR(__xludf.DUMMYFUNCTION("""COMPUTED_VALUE"""),5.0)</f>
        <v>5</v>
      </c>
      <c r="H3490" s="116">
        <f>IFERROR(__xludf.DUMMYFUNCTION("""COMPUTED_VALUE"""),45907.0)</f>
        <v>45907</v>
      </c>
      <c r="I3490" s="115" t="str">
        <f>IFERROR(__xludf.DUMMYFUNCTION("""COMPUTED_VALUE"""),"10")</f>
        <v>10</v>
      </c>
      <c r="J3490" s="115" t="str">
        <f>IFERROR(__xludf.DUMMYFUNCTION("""COMPUTED_VALUE"""),"Girish Chand2025-09-0710")</f>
        <v>Girish Chand2025-09-0710</v>
      </c>
      <c r="K3490" s="115">
        <f>IFERROR(__xludf.DUMMYFUNCTION("""COMPUTED_VALUE"""),16376.0)</f>
        <v>16376</v>
      </c>
    </row>
    <row r="3491">
      <c r="A3491" s="115" t="str">
        <f>IFERROR(__xludf.DUMMYFUNCTION("""COMPUTED_VALUE"""),"EAST")</f>
        <v>EAST</v>
      </c>
      <c r="B3491" s="115" t="str">
        <f>IFERROR(__xludf.DUMMYFUNCTION("""COMPUTED_VALUE"""),"Girish Chand")</f>
        <v>Girish Chand</v>
      </c>
      <c r="C3491" s="115" t="str">
        <f>IFERROR(__xludf.DUMMYFUNCTION("""COMPUTED_VALUE"""),"FLIPKART")</f>
        <v>FLIPKART</v>
      </c>
      <c r="D3491" s="115">
        <f>IFERROR(__xludf.DUMMYFUNCTION("""COMPUTED_VALUE"""),274284.0)</f>
        <v>274284</v>
      </c>
      <c r="E3491" s="115">
        <f>IFERROR(__xludf.DUMMYFUNCTION("""COMPUTED_VALUE"""),21642.0)</f>
        <v>21642</v>
      </c>
      <c r="F3491" s="115">
        <f>IFERROR(__xludf.DUMMYFUNCTION("""COMPUTED_VALUE"""),18218.0)</f>
        <v>18218</v>
      </c>
      <c r="G3491" s="115">
        <f>IFERROR(__xludf.DUMMYFUNCTION("""COMPUTED_VALUE"""),516.0)</f>
        <v>516</v>
      </c>
      <c r="H3491" s="116">
        <f>IFERROR(__xludf.DUMMYFUNCTION("""COMPUTED_VALUE"""),45907.0)</f>
        <v>45907</v>
      </c>
      <c r="I3491" s="115" t="str">
        <f>IFERROR(__xludf.DUMMYFUNCTION("""COMPUTED_VALUE"""),"10")</f>
        <v>10</v>
      </c>
      <c r="J3491" s="115" t="str">
        <f>IFERROR(__xludf.DUMMYFUNCTION("""COMPUTED_VALUE"""),"Girish Chand2025-09-0710")</f>
        <v>Girish Chand2025-09-0710</v>
      </c>
      <c r="K3491" s="115">
        <f>IFERROR(__xludf.DUMMYFUNCTION("""COMPUTED_VALUE"""),295926.0)</f>
        <v>295926</v>
      </c>
    </row>
    <row r="3492">
      <c r="A3492" s="115" t="str">
        <f>IFERROR(__xludf.DUMMYFUNCTION("""COMPUTED_VALUE"""),"EAST")</f>
        <v>EAST</v>
      </c>
      <c r="B3492" s="115" t="str">
        <f>IFERROR(__xludf.DUMMYFUNCTION("""COMPUTED_VALUE"""),"Girish Chand")</f>
        <v>Girish Chand</v>
      </c>
      <c r="C3492" s="115" t="str">
        <f>IFERROR(__xludf.DUMMYFUNCTION("""COMPUTED_VALUE"""),"MYNTRA")</f>
        <v>MYNTRA</v>
      </c>
      <c r="D3492" s="115">
        <f>IFERROR(__xludf.DUMMYFUNCTION("""COMPUTED_VALUE"""),24608.0)</f>
        <v>24608</v>
      </c>
      <c r="E3492" s="115">
        <f>IFERROR(__xludf.DUMMYFUNCTION("""COMPUTED_VALUE"""),4045.0)</f>
        <v>4045</v>
      </c>
      <c r="F3492" s="115">
        <f>IFERROR(__xludf.DUMMYFUNCTION("""COMPUTED_VALUE"""),2040.0)</f>
        <v>2040</v>
      </c>
      <c r="G3492" s="115">
        <f>IFERROR(__xludf.DUMMYFUNCTION("""COMPUTED_VALUE"""),151.0)</f>
        <v>151</v>
      </c>
      <c r="H3492" s="116">
        <f>IFERROR(__xludf.DUMMYFUNCTION("""COMPUTED_VALUE"""),45907.0)</f>
        <v>45907</v>
      </c>
      <c r="I3492" s="115" t="str">
        <f>IFERROR(__xludf.DUMMYFUNCTION("""COMPUTED_VALUE"""),"10")</f>
        <v>10</v>
      </c>
      <c r="J3492" s="115" t="str">
        <f>IFERROR(__xludf.DUMMYFUNCTION("""COMPUTED_VALUE"""),"Girish Chand2025-09-0710")</f>
        <v>Girish Chand2025-09-0710</v>
      </c>
      <c r="K3492" s="115">
        <f>IFERROR(__xludf.DUMMYFUNCTION("""COMPUTED_VALUE"""),28653.0)</f>
        <v>28653</v>
      </c>
    </row>
    <row r="3493">
      <c r="A3493" s="115" t="str">
        <f>IFERROR(__xludf.DUMMYFUNCTION("""COMPUTED_VALUE"""),"EAST")</f>
        <v>EAST</v>
      </c>
      <c r="B3493" s="115" t="str">
        <f>IFERROR(__xludf.DUMMYFUNCTION("""COMPUTED_VALUE"""),"Parag Kashyap")</f>
        <v>Parag Kashyap</v>
      </c>
      <c r="C3493" s="115" t="str">
        <f>IFERROR(__xludf.DUMMYFUNCTION("""COMPUTED_VALUE"""),"EXTERNAL")</f>
        <v>EXTERNAL</v>
      </c>
      <c r="D3493" s="115">
        <f>IFERROR(__xludf.DUMMYFUNCTION("""COMPUTED_VALUE"""),6574.0)</f>
        <v>6574</v>
      </c>
      <c r="E3493" s="115">
        <f>IFERROR(__xludf.DUMMYFUNCTION("""COMPUTED_VALUE"""),258.0)</f>
        <v>258</v>
      </c>
      <c r="F3493" s="115">
        <f>IFERROR(__xludf.DUMMYFUNCTION("""COMPUTED_VALUE"""),153.0)</f>
        <v>153</v>
      </c>
      <c r="G3493" s="115">
        <f>IFERROR(__xludf.DUMMYFUNCTION("""COMPUTED_VALUE"""),1.0)</f>
        <v>1</v>
      </c>
      <c r="H3493" s="116">
        <f>IFERROR(__xludf.DUMMYFUNCTION("""COMPUTED_VALUE"""),45907.0)</f>
        <v>45907</v>
      </c>
      <c r="I3493" s="115" t="str">
        <f>IFERROR(__xludf.DUMMYFUNCTION("""COMPUTED_VALUE"""),"10")</f>
        <v>10</v>
      </c>
      <c r="J3493" s="115" t="str">
        <f>IFERROR(__xludf.DUMMYFUNCTION("""COMPUTED_VALUE"""),"Parag Kashyap2025-09-0710")</f>
        <v>Parag Kashyap2025-09-0710</v>
      </c>
      <c r="K3493" s="115">
        <f>IFERROR(__xludf.DUMMYFUNCTION("""COMPUTED_VALUE"""),6832.0)</f>
        <v>6832</v>
      </c>
    </row>
    <row r="3494">
      <c r="A3494" s="115" t="str">
        <f>IFERROR(__xludf.DUMMYFUNCTION("""COMPUTED_VALUE"""),"EAST")</f>
        <v>EAST</v>
      </c>
      <c r="B3494" s="115" t="str">
        <f>IFERROR(__xludf.DUMMYFUNCTION("""COMPUTED_VALUE"""),"Parag Kashyap")</f>
        <v>Parag Kashyap</v>
      </c>
      <c r="C3494" s="115" t="str">
        <f>IFERROR(__xludf.DUMMYFUNCTION("""COMPUTED_VALUE"""),"FLIPKART")</f>
        <v>FLIPKART</v>
      </c>
      <c r="D3494" s="115">
        <f>IFERROR(__xludf.DUMMYFUNCTION("""COMPUTED_VALUE"""),127872.0)</f>
        <v>127872</v>
      </c>
      <c r="E3494" s="115">
        <f>IFERROR(__xludf.DUMMYFUNCTION("""COMPUTED_VALUE"""),6158.0)</f>
        <v>6158</v>
      </c>
      <c r="F3494" s="115">
        <f>IFERROR(__xludf.DUMMYFUNCTION("""COMPUTED_VALUE"""),5662.0)</f>
        <v>5662</v>
      </c>
      <c r="G3494" s="115">
        <f>IFERROR(__xludf.DUMMYFUNCTION("""COMPUTED_VALUE"""),112.0)</f>
        <v>112</v>
      </c>
      <c r="H3494" s="116">
        <f>IFERROR(__xludf.DUMMYFUNCTION("""COMPUTED_VALUE"""),45907.0)</f>
        <v>45907</v>
      </c>
      <c r="I3494" s="115" t="str">
        <f>IFERROR(__xludf.DUMMYFUNCTION("""COMPUTED_VALUE"""),"10")</f>
        <v>10</v>
      </c>
      <c r="J3494" s="115" t="str">
        <f>IFERROR(__xludf.DUMMYFUNCTION("""COMPUTED_VALUE"""),"Parag Kashyap2025-09-0710")</f>
        <v>Parag Kashyap2025-09-0710</v>
      </c>
      <c r="K3494" s="115">
        <f>IFERROR(__xludf.DUMMYFUNCTION("""COMPUTED_VALUE"""),134030.0)</f>
        <v>134030</v>
      </c>
    </row>
    <row r="3495">
      <c r="A3495" s="115" t="str">
        <f>IFERROR(__xludf.DUMMYFUNCTION("""COMPUTED_VALUE"""),"EAST")</f>
        <v>EAST</v>
      </c>
      <c r="B3495" s="115" t="str">
        <f>IFERROR(__xludf.DUMMYFUNCTION("""COMPUTED_VALUE"""),"Parag Kashyap")</f>
        <v>Parag Kashyap</v>
      </c>
      <c r="C3495" s="115" t="str">
        <f>IFERROR(__xludf.DUMMYFUNCTION("""COMPUTED_VALUE"""),"MYNTRA")</f>
        <v>MYNTRA</v>
      </c>
      <c r="D3495" s="115">
        <f>IFERROR(__xludf.DUMMYFUNCTION("""COMPUTED_VALUE"""),14341.0)</f>
        <v>14341</v>
      </c>
      <c r="E3495" s="115">
        <f>IFERROR(__xludf.DUMMYFUNCTION("""COMPUTED_VALUE"""),1563.0)</f>
        <v>1563</v>
      </c>
      <c r="F3495" s="115">
        <f>IFERROR(__xludf.DUMMYFUNCTION("""COMPUTED_VALUE"""),900.0)</f>
        <v>900</v>
      </c>
      <c r="G3495" s="115">
        <f>IFERROR(__xludf.DUMMYFUNCTION("""COMPUTED_VALUE"""),5.0)</f>
        <v>5</v>
      </c>
      <c r="H3495" s="116">
        <f>IFERROR(__xludf.DUMMYFUNCTION("""COMPUTED_VALUE"""),45907.0)</f>
        <v>45907</v>
      </c>
      <c r="I3495" s="115" t="str">
        <f>IFERROR(__xludf.DUMMYFUNCTION("""COMPUTED_VALUE"""),"10")</f>
        <v>10</v>
      </c>
      <c r="J3495" s="115" t="str">
        <f>IFERROR(__xludf.DUMMYFUNCTION("""COMPUTED_VALUE"""),"Parag Kashyap2025-09-0710")</f>
        <v>Parag Kashyap2025-09-0710</v>
      </c>
      <c r="K3495" s="115">
        <f>IFERROR(__xludf.DUMMYFUNCTION("""COMPUTED_VALUE"""),15904.0)</f>
        <v>15904</v>
      </c>
    </row>
    <row r="3496">
      <c r="A3496" s="115" t="str">
        <f>IFERROR(__xludf.DUMMYFUNCTION("""COMPUTED_VALUE"""),"NORTH")</f>
        <v>NORTH</v>
      </c>
      <c r="B3496" s="115" t="str">
        <f>IFERROR(__xludf.DUMMYFUNCTION("""COMPUTED_VALUE"""),"Amit Kumar Pathak")</f>
        <v>Amit Kumar Pathak</v>
      </c>
      <c r="C3496" s="115" t="str">
        <f>IFERROR(__xludf.DUMMYFUNCTION("""COMPUTED_VALUE"""),"EXTERNAL")</f>
        <v>EXTERNAL</v>
      </c>
      <c r="D3496" s="115">
        <f>IFERROR(__xludf.DUMMYFUNCTION("""COMPUTED_VALUE"""),17021.0)</f>
        <v>17021</v>
      </c>
      <c r="E3496" s="115">
        <f>IFERROR(__xludf.DUMMYFUNCTION("""COMPUTED_VALUE"""),1826.0)</f>
        <v>1826</v>
      </c>
      <c r="F3496" s="115">
        <f>IFERROR(__xludf.DUMMYFUNCTION("""COMPUTED_VALUE"""),603.0)</f>
        <v>603</v>
      </c>
      <c r="G3496" s="115">
        <f>IFERROR(__xludf.DUMMYFUNCTION("""COMPUTED_VALUE"""),49.0)</f>
        <v>49</v>
      </c>
      <c r="H3496" s="116">
        <f>IFERROR(__xludf.DUMMYFUNCTION("""COMPUTED_VALUE"""),45907.0)</f>
        <v>45907</v>
      </c>
      <c r="I3496" s="115" t="str">
        <f>IFERROR(__xludf.DUMMYFUNCTION("""COMPUTED_VALUE"""),"10")</f>
        <v>10</v>
      </c>
      <c r="J3496" s="115" t="str">
        <f>IFERROR(__xludf.DUMMYFUNCTION("""COMPUTED_VALUE"""),"Amit Kumar Pathak2025-09-0710")</f>
        <v>Amit Kumar Pathak2025-09-0710</v>
      </c>
      <c r="K3496" s="115">
        <f>IFERROR(__xludf.DUMMYFUNCTION("""COMPUTED_VALUE"""),18847.0)</f>
        <v>18847</v>
      </c>
    </row>
    <row r="3497">
      <c r="A3497" s="115" t="str">
        <f>IFERROR(__xludf.DUMMYFUNCTION("""COMPUTED_VALUE"""),"NORTH")</f>
        <v>NORTH</v>
      </c>
      <c r="B3497" s="115" t="str">
        <f>IFERROR(__xludf.DUMMYFUNCTION("""COMPUTED_VALUE"""),"Amit Kumar Pathak")</f>
        <v>Amit Kumar Pathak</v>
      </c>
      <c r="C3497" s="115" t="str">
        <f>IFERROR(__xludf.DUMMYFUNCTION("""COMPUTED_VALUE"""),"FLIPKART")</f>
        <v>FLIPKART</v>
      </c>
      <c r="D3497" s="115">
        <f>IFERROR(__xludf.DUMMYFUNCTION("""COMPUTED_VALUE"""),97462.0)</f>
        <v>97462</v>
      </c>
      <c r="E3497" s="115">
        <f>IFERROR(__xludf.DUMMYFUNCTION("""COMPUTED_VALUE"""),12556.0)</f>
        <v>12556</v>
      </c>
      <c r="F3497" s="115">
        <f>IFERROR(__xludf.DUMMYFUNCTION("""COMPUTED_VALUE"""),7029.0)</f>
        <v>7029</v>
      </c>
      <c r="G3497" s="115">
        <f>IFERROR(__xludf.DUMMYFUNCTION("""COMPUTED_VALUE"""),546.0)</f>
        <v>546</v>
      </c>
      <c r="H3497" s="116">
        <f>IFERROR(__xludf.DUMMYFUNCTION("""COMPUTED_VALUE"""),45907.0)</f>
        <v>45907</v>
      </c>
      <c r="I3497" s="115" t="str">
        <f>IFERROR(__xludf.DUMMYFUNCTION("""COMPUTED_VALUE"""),"10")</f>
        <v>10</v>
      </c>
      <c r="J3497" s="115" t="str">
        <f>IFERROR(__xludf.DUMMYFUNCTION("""COMPUTED_VALUE"""),"Amit Kumar Pathak2025-09-0710")</f>
        <v>Amit Kumar Pathak2025-09-0710</v>
      </c>
      <c r="K3497" s="115">
        <f>IFERROR(__xludf.DUMMYFUNCTION("""COMPUTED_VALUE"""),110018.0)</f>
        <v>110018</v>
      </c>
    </row>
    <row r="3498">
      <c r="A3498" s="115" t="str">
        <f>IFERROR(__xludf.DUMMYFUNCTION("""COMPUTED_VALUE"""),"NORTH")</f>
        <v>NORTH</v>
      </c>
      <c r="B3498" s="115" t="str">
        <f>IFERROR(__xludf.DUMMYFUNCTION("""COMPUTED_VALUE"""),"Amit Kumar Pathak")</f>
        <v>Amit Kumar Pathak</v>
      </c>
      <c r="C3498" s="115" t="str">
        <f>IFERROR(__xludf.DUMMYFUNCTION("""COMPUTED_VALUE"""),"MYNTRA")</f>
        <v>MYNTRA</v>
      </c>
      <c r="D3498" s="115">
        <f>IFERROR(__xludf.DUMMYFUNCTION("""COMPUTED_VALUE"""),11743.0)</f>
        <v>11743</v>
      </c>
      <c r="E3498" s="115">
        <f>IFERROR(__xludf.DUMMYFUNCTION("""COMPUTED_VALUE"""),3305.0)</f>
        <v>3305</v>
      </c>
      <c r="F3498" s="115">
        <f>IFERROR(__xludf.DUMMYFUNCTION("""COMPUTED_VALUE"""),1161.0)</f>
        <v>1161</v>
      </c>
      <c r="G3498" s="115">
        <f>IFERROR(__xludf.DUMMYFUNCTION("""COMPUTED_VALUE"""),152.0)</f>
        <v>152</v>
      </c>
      <c r="H3498" s="116">
        <f>IFERROR(__xludf.DUMMYFUNCTION("""COMPUTED_VALUE"""),45907.0)</f>
        <v>45907</v>
      </c>
      <c r="I3498" s="115" t="str">
        <f>IFERROR(__xludf.DUMMYFUNCTION("""COMPUTED_VALUE"""),"10")</f>
        <v>10</v>
      </c>
      <c r="J3498" s="115" t="str">
        <f>IFERROR(__xludf.DUMMYFUNCTION("""COMPUTED_VALUE"""),"Amit Kumar Pathak2025-09-0710")</f>
        <v>Amit Kumar Pathak2025-09-0710</v>
      </c>
      <c r="K3498" s="115">
        <f>IFERROR(__xludf.DUMMYFUNCTION("""COMPUTED_VALUE"""),15048.0)</f>
        <v>15048</v>
      </c>
    </row>
    <row r="3499">
      <c r="A3499" s="115" t="str">
        <f>IFERROR(__xludf.DUMMYFUNCTION("""COMPUTED_VALUE"""),"NORTH")</f>
        <v>NORTH</v>
      </c>
      <c r="B3499" s="115" t="str">
        <f>IFERROR(__xludf.DUMMYFUNCTION("""COMPUTED_VALUE"""),"Loveleen Singh")</f>
        <v>Loveleen Singh</v>
      </c>
      <c r="C3499" s="115" t="str">
        <f>IFERROR(__xludf.DUMMYFUNCTION("""COMPUTED_VALUE"""),"EXTERNAL")</f>
        <v>EXTERNAL</v>
      </c>
      <c r="D3499" s="115">
        <f>IFERROR(__xludf.DUMMYFUNCTION("""COMPUTED_VALUE"""),13499.0)</f>
        <v>13499</v>
      </c>
      <c r="E3499" s="115">
        <f>IFERROR(__xludf.DUMMYFUNCTION("""COMPUTED_VALUE"""),854.0)</f>
        <v>854</v>
      </c>
      <c r="F3499" s="115">
        <f>IFERROR(__xludf.DUMMYFUNCTION("""COMPUTED_VALUE"""),522.0)</f>
        <v>522</v>
      </c>
      <c r="G3499" s="115">
        <f>IFERROR(__xludf.DUMMYFUNCTION("""COMPUTED_VALUE"""),11.0)</f>
        <v>11</v>
      </c>
      <c r="H3499" s="116">
        <f>IFERROR(__xludf.DUMMYFUNCTION("""COMPUTED_VALUE"""),45907.0)</f>
        <v>45907</v>
      </c>
      <c r="I3499" s="115" t="str">
        <f>IFERROR(__xludf.DUMMYFUNCTION("""COMPUTED_VALUE"""),"10")</f>
        <v>10</v>
      </c>
      <c r="J3499" s="115" t="str">
        <f>IFERROR(__xludf.DUMMYFUNCTION("""COMPUTED_VALUE"""),"Loveleen Singh2025-09-0710")</f>
        <v>Loveleen Singh2025-09-0710</v>
      </c>
      <c r="K3499" s="115">
        <f>IFERROR(__xludf.DUMMYFUNCTION("""COMPUTED_VALUE"""),14353.0)</f>
        <v>14353</v>
      </c>
    </row>
    <row r="3500">
      <c r="A3500" s="115" t="str">
        <f>IFERROR(__xludf.DUMMYFUNCTION("""COMPUTED_VALUE"""),"NORTH")</f>
        <v>NORTH</v>
      </c>
      <c r="B3500" s="115" t="str">
        <f>IFERROR(__xludf.DUMMYFUNCTION("""COMPUTED_VALUE"""),"Loveleen Singh")</f>
        <v>Loveleen Singh</v>
      </c>
      <c r="C3500" s="115" t="str">
        <f>IFERROR(__xludf.DUMMYFUNCTION("""COMPUTED_VALUE"""),"FLIPKART")</f>
        <v>FLIPKART</v>
      </c>
      <c r="D3500" s="115">
        <f>IFERROR(__xludf.DUMMYFUNCTION("""COMPUTED_VALUE"""),74947.0)</f>
        <v>74947</v>
      </c>
      <c r="E3500" s="115">
        <f>IFERROR(__xludf.DUMMYFUNCTION("""COMPUTED_VALUE"""),6311.0)</f>
        <v>6311</v>
      </c>
      <c r="F3500" s="115">
        <f>IFERROR(__xludf.DUMMYFUNCTION("""COMPUTED_VALUE"""),5931.0)</f>
        <v>5931</v>
      </c>
      <c r="G3500" s="115">
        <f>IFERROR(__xludf.DUMMYFUNCTION("""COMPUTED_VALUE"""),247.0)</f>
        <v>247</v>
      </c>
      <c r="H3500" s="116">
        <f>IFERROR(__xludf.DUMMYFUNCTION("""COMPUTED_VALUE"""),45907.0)</f>
        <v>45907</v>
      </c>
      <c r="I3500" s="115" t="str">
        <f>IFERROR(__xludf.DUMMYFUNCTION("""COMPUTED_VALUE"""),"10")</f>
        <v>10</v>
      </c>
      <c r="J3500" s="115" t="str">
        <f>IFERROR(__xludf.DUMMYFUNCTION("""COMPUTED_VALUE"""),"Loveleen Singh2025-09-0710")</f>
        <v>Loveleen Singh2025-09-0710</v>
      </c>
      <c r="K3500" s="115">
        <f>IFERROR(__xludf.DUMMYFUNCTION("""COMPUTED_VALUE"""),81258.0)</f>
        <v>81258</v>
      </c>
    </row>
    <row r="3501">
      <c r="A3501" s="115" t="str">
        <f>IFERROR(__xludf.DUMMYFUNCTION("""COMPUTED_VALUE"""),"NORTH")</f>
        <v>NORTH</v>
      </c>
      <c r="B3501" s="115" t="str">
        <f>IFERROR(__xludf.DUMMYFUNCTION("""COMPUTED_VALUE"""),"Loveleen Singh")</f>
        <v>Loveleen Singh</v>
      </c>
      <c r="C3501" s="115" t="str">
        <f>IFERROR(__xludf.DUMMYFUNCTION("""COMPUTED_VALUE"""),"MYNTRA")</f>
        <v>MYNTRA</v>
      </c>
      <c r="D3501" s="115">
        <f>IFERROR(__xludf.DUMMYFUNCTION("""COMPUTED_VALUE"""),13169.0)</f>
        <v>13169</v>
      </c>
      <c r="E3501" s="115">
        <f>IFERROR(__xludf.DUMMYFUNCTION("""COMPUTED_VALUE"""),2477.0)</f>
        <v>2477</v>
      </c>
      <c r="F3501" s="115">
        <f>IFERROR(__xludf.DUMMYFUNCTION("""COMPUTED_VALUE"""),1222.0)</f>
        <v>1222</v>
      </c>
      <c r="G3501" s="115">
        <f>IFERROR(__xludf.DUMMYFUNCTION("""COMPUTED_VALUE"""),74.0)</f>
        <v>74</v>
      </c>
      <c r="H3501" s="116">
        <f>IFERROR(__xludf.DUMMYFUNCTION("""COMPUTED_VALUE"""),45907.0)</f>
        <v>45907</v>
      </c>
      <c r="I3501" s="115" t="str">
        <f>IFERROR(__xludf.DUMMYFUNCTION("""COMPUTED_VALUE"""),"10")</f>
        <v>10</v>
      </c>
      <c r="J3501" s="115" t="str">
        <f>IFERROR(__xludf.DUMMYFUNCTION("""COMPUTED_VALUE"""),"Loveleen Singh2025-09-0710")</f>
        <v>Loveleen Singh2025-09-0710</v>
      </c>
      <c r="K3501" s="115">
        <f>IFERROR(__xludf.DUMMYFUNCTION("""COMPUTED_VALUE"""),15646.0)</f>
        <v>15646</v>
      </c>
    </row>
    <row r="3502">
      <c r="A3502" s="115" t="str">
        <f>IFERROR(__xludf.DUMMYFUNCTION("""COMPUTED_VALUE"""),"NORTH")</f>
        <v>NORTH</v>
      </c>
      <c r="B3502" s="115" t="str">
        <f>IFERROR(__xludf.DUMMYFUNCTION("""COMPUTED_VALUE"""),"Manoj Harsh")</f>
        <v>Manoj Harsh</v>
      </c>
      <c r="C3502" s="115" t="str">
        <f>IFERROR(__xludf.DUMMYFUNCTION("""COMPUTED_VALUE"""),"EXTERNAL")</f>
        <v>EXTERNAL</v>
      </c>
      <c r="D3502" s="115">
        <f>IFERROR(__xludf.DUMMYFUNCTION("""COMPUTED_VALUE"""),19773.0)</f>
        <v>19773</v>
      </c>
      <c r="E3502" s="115">
        <f>IFERROR(__xludf.DUMMYFUNCTION("""COMPUTED_VALUE"""),1320.0)</f>
        <v>1320</v>
      </c>
      <c r="F3502" s="115">
        <f>IFERROR(__xludf.DUMMYFUNCTION("""COMPUTED_VALUE"""),532.0)</f>
        <v>532</v>
      </c>
      <c r="G3502" s="115">
        <f>IFERROR(__xludf.DUMMYFUNCTION("""COMPUTED_VALUE"""),16.0)</f>
        <v>16</v>
      </c>
      <c r="H3502" s="116">
        <f>IFERROR(__xludf.DUMMYFUNCTION("""COMPUTED_VALUE"""),45907.0)</f>
        <v>45907</v>
      </c>
      <c r="I3502" s="115" t="str">
        <f>IFERROR(__xludf.DUMMYFUNCTION("""COMPUTED_VALUE"""),"10")</f>
        <v>10</v>
      </c>
      <c r="J3502" s="115" t="str">
        <f>IFERROR(__xludf.DUMMYFUNCTION("""COMPUTED_VALUE"""),"Manoj Harsh2025-09-0710")</f>
        <v>Manoj Harsh2025-09-0710</v>
      </c>
      <c r="K3502" s="115">
        <f>IFERROR(__xludf.DUMMYFUNCTION("""COMPUTED_VALUE"""),21093.0)</f>
        <v>21093</v>
      </c>
    </row>
    <row r="3503">
      <c r="A3503" s="115" t="str">
        <f>IFERROR(__xludf.DUMMYFUNCTION("""COMPUTED_VALUE"""),"NORTH")</f>
        <v>NORTH</v>
      </c>
      <c r="B3503" s="115" t="str">
        <f>IFERROR(__xludf.DUMMYFUNCTION("""COMPUTED_VALUE"""),"Manoj Harsh")</f>
        <v>Manoj Harsh</v>
      </c>
      <c r="C3503" s="115" t="str">
        <f>IFERROR(__xludf.DUMMYFUNCTION("""COMPUTED_VALUE"""),"FLIPKART")</f>
        <v>FLIPKART</v>
      </c>
      <c r="D3503" s="115">
        <f>IFERROR(__xludf.DUMMYFUNCTION("""COMPUTED_VALUE"""),227654.0)</f>
        <v>227654</v>
      </c>
      <c r="E3503" s="115">
        <f>IFERROR(__xludf.DUMMYFUNCTION("""COMPUTED_VALUE"""),19721.0)</f>
        <v>19721</v>
      </c>
      <c r="F3503" s="115">
        <f>IFERROR(__xludf.DUMMYFUNCTION("""COMPUTED_VALUE"""),11711.0)</f>
        <v>11711</v>
      </c>
      <c r="G3503" s="115">
        <f>IFERROR(__xludf.DUMMYFUNCTION("""COMPUTED_VALUE"""),412.0)</f>
        <v>412</v>
      </c>
      <c r="H3503" s="116">
        <f>IFERROR(__xludf.DUMMYFUNCTION("""COMPUTED_VALUE"""),45907.0)</f>
        <v>45907</v>
      </c>
      <c r="I3503" s="115" t="str">
        <f>IFERROR(__xludf.DUMMYFUNCTION("""COMPUTED_VALUE"""),"10")</f>
        <v>10</v>
      </c>
      <c r="J3503" s="115" t="str">
        <f>IFERROR(__xludf.DUMMYFUNCTION("""COMPUTED_VALUE"""),"Manoj Harsh2025-09-0710")</f>
        <v>Manoj Harsh2025-09-0710</v>
      </c>
      <c r="K3503" s="115">
        <f>IFERROR(__xludf.DUMMYFUNCTION("""COMPUTED_VALUE"""),247375.0)</f>
        <v>247375</v>
      </c>
    </row>
    <row r="3504">
      <c r="A3504" s="115" t="str">
        <f>IFERROR(__xludf.DUMMYFUNCTION("""COMPUTED_VALUE"""),"NORTH")</f>
        <v>NORTH</v>
      </c>
      <c r="B3504" s="115" t="str">
        <f>IFERROR(__xludf.DUMMYFUNCTION("""COMPUTED_VALUE"""),"Manoj Harsh")</f>
        <v>Manoj Harsh</v>
      </c>
      <c r="C3504" s="115" t="str">
        <f>IFERROR(__xludf.DUMMYFUNCTION("""COMPUTED_VALUE"""),"MYNTRA")</f>
        <v>MYNTRA</v>
      </c>
      <c r="D3504" s="115">
        <f>IFERROR(__xludf.DUMMYFUNCTION("""COMPUTED_VALUE"""),23657.0)</f>
        <v>23657</v>
      </c>
      <c r="E3504" s="115">
        <f>IFERROR(__xludf.DUMMYFUNCTION("""COMPUTED_VALUE"""),3914.0)</f>
        <v>3914</v>
      </c>
      <c r="F3504" s="115">
        <f>IFERROR(__xludf.DUMMYFUNCTION("""COMPUTED_VALUE"""),1642.0)</f>
        <v>1642</v>
      </c>
      <c r="G3504" s="115">
        <f>IFERROR(__xludf.DUMMYFUNCTION("""COMPUTED_VALUE"""),80.0)</f>
        <v>80</v>
      </c>
      <c r="H3504" s="116">
        <f>IFERROR(__xludf.DUMMYFUNCTION("""COMPUTED_VALUE"""),45907.0)</f>
        <v>45907</v>
      </c>
      <c r="I3504" s="115" t="str">
        <f>IFERROR(__xludf.DUMMYFUNCTION("""COMPUTED_VALUE"""),"10")</f>
        <v>10</v>
      </c>
      <c r="J3504" s="115" t="str">
        <f>IFERROR(__xludf.DUMMYFUNCTION("""COMPUTED_VALUE"""),"Manoj Harsh2025-09-0710")</f>
        <v>Manoj Harsh2025-09-0710</v>
      </c>
      <c r="K3504" s="115">
        <f>IFERROR(__xludf.DUMMYFUNCTION("""COMPUTED_VALUE"""),27571.0)</f>
        <v>27571</v>
      </c>
    </row>
    <row r="3505">
      <c r="A3505" s="115" t="str">
        <f>IFERROR(__xludf.DUMMYFUNCTION("""COMPUTED_VALUE"""),"NORTH")</f>
        <v>NORTH</v>
      </c>
      <c r="B3505" s="115" t="str">
        <f>IFERROR(__xludf.DUMMYFUNCTION("""COMPUTED_VALUE"""),"Pradeep Kothari")</f>
        <v>Pradeep Kothari</v>
      </c>
      <c r="C3505" s="115" t="str">
        <f>IFERROR(__xludf.DUMMYFUNCTION("""COMPUTED_VALUE"""),"EXTERNAL")</f>
        <v>EXTERNAL</v>
      </c>
      <c r="D3505" s="115">
        <f>IFERROR(__xludf.DUMMYFUNCTION("""COMPUTED_VALUE"""),11359.0)</f>
        <v>11359</v>
      </c>
      <c r="E3505" s="115">
        <f>IFERROR(__xludf.DUMMYFUNCTION("""COMPUTED_VALUE"""),857.0)</f>
        <v>857</v>
      </c>
      <c r="F3505" s="115">
        <f>IFERROR(__xludf.DUMMYFUNCTION("""COMPUTED_VALUE"""),408.0)</f>
        <v>408</v>
      </c>
      <c r="G3505" s="115">
        <f>IFERROR(__xludf.DUMMYFUNCTION("""COMPUTED_VALUE"""),18.0)</f>
        <v>18</v>
      </c>
      <c r="H3505" s="116">
        <f>IFERROR(__xludf.DUMMYFUNCTION("""COMPUTED_VALUE"""),45907.0)</f>
        <v>45907</v>
      </c>
      <c r="I3505" s="115" t="str">
        <f>IFERROR(__xludf.DUMMYFUNCTION("""COMPUTED_VALUE"""),"10")</f>
        <v>10</v>
      </c>
      <c r="J3505" s="115" t="str">
        <f>IFERROR(__xludf.DUMMYFUNCTION("""COMPUTED_VALUE"""),"Pradeep Kothari2025-09-0710")</f>
        <v>Pradeep Kothari2025-09-0710</v>
      </c>
      <c r="K3505" s="115">
        <f>IFERROR(__xludf.DUMMYFUNCTION("""COMPUTED_VALUE"""),12216.0)</f>
        <v>12216</v>
      </c>
    </row>
    <row r="3506">
      <c r="A3506" s="115" t="str">
        <f>IFERROR(__xludf.DUMMYFUNCTION("""COMPUTED_VALUE"""),"NORTH")</f>
        <v>NORTH</v>
      </c>
      <c r="B3506" s="115" t="str">
        <f>IFERROR(__xludf.DUMMYFUNCTION("""COMPUTED_VALUE"""),"Pradeep Kothari")</f>
        <v>Pradeep Kothari</v>
      </c>
      <c r="C3506" s="115" t="str">
        <f>IFERROR(__xludf.DUMMYFUNCTION("""COMPUTED_VALUE"""),"FLIPKART")</f>
        <v>FLIPKART</v>
      </c>
      <c r="D3506" s="115">
        <f>IFERROR(__xludf.DUMMYFUNCTION("""COMPUTED_VALUE"""),79736.0)</f>
        <v>79736</v>
      </c>
      <c r="E3506" s="115">
        <f>IFERROR(__xludf.DUMMYFUNCTION("""COMPUTED_VALUE"""),8207.0)</f>
        <v>8207</v>
      </c>
      <c r="F3506" s="115">
        <f>IFERROR(__xludf.DUMMYFUNCTION("""COMPUTED_VALUE"""),6525.0)</f>
        <v>6525</v>
      </c>
      <c r="G3506" s="115">
        <f>IFERROR(__xludf.DUMMYFUNCTION("""COMPUTED_VALUE"""),347.0)</f>
        <v>347</v>
      </c>
      <c r="H3506" s="116">
        <f>IFERROR(__xludf.DUMMYFUNCTION("""COMPUTED_VALUE"""),45907.0)</f>
        <v>45907</v>
      </c>
      <c r="I3506" s="115" t="str">
        <f>IFERROR(__xludf.DUMMYFUNCTION("""COMPUTED_VALUE"""),"10")</f>
        <v>10</v>
      </c>
      <c r="J3506" s="115" t="str">
        <f>IFERROR(__xludf.DUMMYFUNCTION("""COMPUTED_VALUE"""),"Pradeep Kothari2025-09-0710")</f>
        <v>Pradeep Kothari2025-09-0710</v>
      </c>
      <c r="K3506" s="115">
        <f>IFERROR(__xludf.DUMMYFUNCTION("""COMPUTED_VALUE"""),87943.0)</f>
        <v>87943</v>
      </c>
    </row>
    <row r="3507">
      <c r="A3507" s="115" t="str">
        <f>IFERROR(__xludf.DUMMYFUNCTION("""COMPUTED_VALUE"""),"NORTH")</f>
        <v>NORTH</v>
      </c>
      <c r="B3507" s="115" t="str">
        <f>IFERROR(__xludf.DUMMYFUNCTION("""COMPUTED_VALUE"""),"Pradeep Kothari")</f>
        <v>Pradeep Kothari</v>
      </c>
      <c r="C3507" s="115" t="str">
        <f>IFERROR(__xludf.DUMMYFUNCTION("""COMPUTED_VALUE"""),"MYNTRA")</f>
        <v>MYNTRA</v>
      </c>
      <c r="D3507" s="115">
        <f>IFERROR(__xludf.DUMMYFUNCTION("""COMPUTED_VALUE"""),15984.0)</f>
        <v>15984</v>
      </c>
      <c r="E3507" s="115">
        <f>IFERROR(__xludf.DUMMYFUNCTION("""COMPUTED_VALUE"""),2881.0)</f>
        <v>2881</v>
      </c>
      <c r="F3507" s="115">
        <f>IFERROR(__xludf.DUMMYFUNCTION("""COMPUTED_VALUE"""),2129.0)</f>
        <v>2129</v>
      </c>
      <c r="G3507" s="115">
        <f>IFERROR(__xludf.DUMMYFUNCTION("""COMPUTED_VALUE"""),136.0)</f>
        <v>136</v>
      </c>
      <c r="H3507" s="116">
        <f>IFERROR(__xludf.DUMMYFUNCTION("""COMPUTED_VALUE"""),45907.0)</f>
        <v>45907</v>
      </c>
      <c r="I3507" s="115" t="str">
        <f>IFERROR(__xludf.DUMMYFUNCTION("""COMPUTED_VALUE"""),"10")</f>
        <v>10</v>
      </c>
      <c r="J3507" s="115" t="str">
        <f>IFERROR(__xludf.DUMMYFUNCTION("""COMPUTED_VALUE"""),"Pradeep Kothari2025-09-0710")</f>
        <v>Pradeep Kothari2025-09-0710</v>
      </c>
      <c r="K3507" s="115">
        <f>IFERROR(__xludf.DUMMYFUNCTION("""COMPUTED_VALUE"""),18865.0)</f>
        <v>18865</v>
      </c>
    </row>
    <row r="3508">
      <c r="A3508" s="115" t="str">
        <f>IFERROR(__xludf.DUMMYFUNCTION("""COMPUTED_VALUE"""),"SOUTH")</f>
        <v>SOUTH</v>
      </c>
      <c r="B3508" s="115" t="str">
        <f>IFERROR(__xludf.DUMMYFUNCTION("""COMPUTED_VALUE"""),"Kandula Sampath")</f>
        <v>Kandula Sampath</v>
      </c>
      <c r="C3508" s="115" t="str">
        <f>IFERROR(__xludf.DUMMYFUNCTION("""COMPUTED_VALUE"""),"EXTERNAL")</f>
        <v>EXTERNAL</v>
      </c>
      <c r="D3508" s="115">
        <f>IFERROR(__xludf.DUMMYFUNCTION("""COMPUTED_VALUE"""),21056.0)</f>
        <v>21056</v>
      </c>
      <c r="E3508" s="115">
        <f>IFERROR(__xludf.DUMMYFUNCTION("""COMPUTED_VALUE"""),1675.0)</f>
        <v>1675</v>
      </c>
      <c r="F3508" s="115">
        <f>IFERROR(__xludf.DUMMYFUNCTION("""COMPUTED_VALUE"""),1348.0)</f>
        <v>1348</v>
      </c>
      <c r="G3508" s="115">
        <f>IFERROR(__xludf.DUMMYFUNCTION("""COMPUTED_VALUE"""),25.0)</f>
        <v>25</v>
      </c>
      <c r="H3508" s="116">
        <f>IFERROR(__xludf.DUMMYFUNCTION("""COMPUTED_VALUE"""),45907.0)</f>
        <v>45907</v>
      </c>
      <c r="I3508" s="115" t="str">
        <f>IFERROR(__xludf.DUMMYFUNCTION("""COMPUTED_VALUE"""),"10")</f>
        <v>10</v>
      </c>
      <c r="J3508" s="115" t="str">
        <f>IFERROR(__xludf.DUMMYFUNCTION("""COMPUTED_VALUE"""),"Kandula Sampath2025-09-0710")</f>
        <v>Kandula Sampath2025-09-0710</v>
      </c>
      <c r="K3508" s="115">
        <f>IFERROR(__xludf.DUMMYFUNCTION("""COMPUTED_VALUE"""),22731.0)</f>
        <v>22731</v>
      </c>
    </row>
    <row r="3509">
      <c r="A3509" s="115" t="str">
        <f>IFERROR(__xludf.DUMMYFUNCTION("""COMPUTED_VALUE"""),"SOUTH")</f>
        <v>SOUTH</v>
      </c>
      <c r="B3509" s="115" t="str">
        <f>IFERROR(__xludf.DUMMYFUNCTION("""COMPUTED_VALUE"""),"Kandula Sampath")</f>
        <v>Kandula Sampath</v>
      </c>
      <c r="C3509" s="115" t="str">
        <f>IFERROR(__xludf.DUMMYFUNCTION("""COMPUTED_VALUE"""),"FLIPKART")</f>
        <v>FLIPKART</v>
      </c>
      <c r="D3509" s="115">
        <f>IFERROR(__xludf.DUMMYFUNCTION("""COMPUTED_VALUE"""),215884.0)</f>
        <v>215884</v>
      </c>
      <c r="E3509" s="115">
        <f>IFERROR(__xludf.DUMMYFUNCTION("""COMPUTED_VALUE"""),14904.0)</f>
        <v>14904</v>
      </c>
      <c r="F3509" s="115">
        <f>IFERROR(__xludf.DUMMYFUNCTION("""COMPUTED_VALUE"""),25064.0)</f>
        <v>25064</v>
      </c>
      <c r="G3509" s="115">
        <f>IFERROR(__xludf.DUMMYFUNCTION("""COMPUTED_VALUE"""),306.0)</f>
        <v>306</v>
      </c>
      <c r="H3509" s="116">
        <f>IFERROR(__xludf.DUMMYFUNCTION("""COMPUTED_VALUE"""),45907.0)</f>
        <v>45907</v>
      </c>
      <c r="I3509" s="115" t="str">
        <f>IFERROR(__xludf.DUMMYFUNCTION("""COMPUTED_VALUE"""),"10")</f>
        <v>10</v>
      </c>
      <c r="J3509" s="115" t="str">
        <f>IFERROR(__xludf.DUMMYFUNCTION("""COMPUTED_VALUE"""),"Kandula Sampath2025-09-0710")</f>
        <v>Kandula Sampath2025-09-0710</v>
      </c>
      <c r="K3509" s="115">
        <f>IFERROR(__xludf.DUMMYFUNCTION("""COMPUTED_VALUE"""),230788.0)</f>
        <v>230788</v>
      </c>
    </row>
    <row r="3510">
      <c r="A3510" s="115" t="str">
        <f>IFERROR(__xludf.DUMMYFUNCTION("""COMPUTED_VALUE"""),"SOUTH")</f>
        <v>SOUTH</v>
      </c>
      <c r="B3510" s="115" t="str">
        <f>IFERROR(__xludf.DUMMYFUNCTION("""COMPUTED_VALUE"""),"Kandula Sampath")</f>
        <v>Kandula Sampath</v>
      </c>
      <c r="C3510" s="115" t="str">
        <f>IFERROR(__xludf.DUMMYFUNCTION("""COMPUTED_VALUE"""),"MYNTRA")</f>
        <v>MYNTRA</v>
      </c>
      <c r="D3510" s="115">
        <f>IFERROR(__xludf.DUMMYFUNCTION("""COMPUTED_VALUE"""),26464.0)</f>
        <v>26464</v>
      </c>
      <c r="E3510" s="115">
        <f>IFERROR(__xludf.DUMMYFUNCTION("""COMPUTED_VALUE"""),4258.0)</f>
        <v>4258</v>
      </c>
      <c r="F3510" s="115">
        <f>IFERROR(__xludf.DUMMYFUNCTION("""COMPUTED_VALUE"""),3523.0)</f>
        <v>3523</v>
      </c>
      <c r="G3510" s="115">
        <f>IFERROR(__xludf.DUMMYFUNCTION("""COMPUTED_VALUE"""),93.0)</f>
        <v>93</v>
      </c>
      <c r="H3510" s="116">
        <f>IFERROR(__xludf.DUMMYFUNCTION("""COMPUTED_VALUE"""),45907.0)</f>
        <v>45907</v>
      </c>
      <c r="I3510" s="115" t="str">
        <f>IFERROR(__xludf.DUMMYFUNCTION("""COMPUTED_VALUE"""),"10")</f>
        <v>10</v>
      </c>
      <c r="J3510" s="115" t="str">
        <f>IFERROR(__xludf.DUMMYFUNCTION("""COMPUTED_VALUE"""),"Kandula Sampath2025-09-0710")</f>
        <v>Kandula Sampath2025-09-0710</v>
      </c>
      <c r="K3510" s="115">
        <f>IFERROR(__xludf.DUMMYFUNCTION("""COMPUTED_VALUE"""),30722.0)</f>
        <v>30722</v>
      </c>
    </row>
    <row r="3511">
      <c r="A3511" s="115" t="str">
        <f>IFERROR(__xludf.DUMMYFUNCTION("""COMPUTED_VALUE"""),"SOUTH")</f>
        <v>SOUTH</v>
      </c>
      <c r="B3511" s="115" t="str">
        <f>IFERROR(__xludf.DUMMYFUNCTION("""COMPUTED_VALUE"""),"Martin A")</f>
        <v>Martin A</v>
      </c>
      <c r="C3511" s="115" t="str">
        <f>IFERROR(__xludf.DUMMYFUNCTION("""COMPUTED_VALUE"""),"EXTERNAL")</f>
        <v>EXTERNAL</v>
      </c>
      <c r="D3511" s="115">
        <f>IFERROR(__xludf.DUMMYFUNCTION("""COMPUTED_VALUE"""),19200.0)</f>
        <v>19200</v>
      </c>
      <c r="E3511" s="115">
        <f>IFERROR(__xludf.DUMMYFUNCTION("""COMPUTED_VALUE"""),2082.0)</f>
        <v>2082</v>
      </c>
      <c r="F3511" s="115">
        <f>IFERROR(__xludf.DUMMYFUNCTION("""COMPUTED_VALUE"""),1066.0)</f>
        <v>1066</v>
      </c>
      <c r="G3511" s="115">
        <f>IFERROR(__xludf.DUMMYFUNCTION("""COMPUTED_VALUE"""),23.0)</f>
        <v>23</v>
      </c>
      <c r="H3511" s="116">
        <f>IFERROR(__xludf.DUMMYFUNCTION("""COMPUTED_VALUE"""),45907.0)</f>
        <v>45907</v>
      </c>
      <c r="I3511" s="115" t="str">
        <f>IFERROR(__xludf.DUMMYFUNCTION("""COMPUTED_VALUE"""),"10")</f>
        <v>10</v>
      </c>
      <c r="J3511" s="115" t="str">
        <f>IFERROR(__xludf.DUMMYFUNCTION("""COMPUTED_VALUE"""),"Martin A2025-09-0710")</f>
        <v>Martin A2025-09-0710</v>
      </c>
      <c r="K3511" s="115">
        <f>IFERROR(__xludf.DUMMYFUNCTION("""COMPUTED_VALUE"""),21282.0)</f>
        <v>21282</v>
      </c>
    </row>
    <row r="3512">
      <c r="A3512" s="115" t="str">
        <f>IFERROR(__xludf.DUMMYFUNCTION("""COMPUTED_VALUE"""),"SOUTH")</f>
        <v>SOUTH</v>
      </c>
      <c r="B3512" s="115" t="str">
        <f>IFERROR(__xludf.DUMMYFUNCTION("""COMPUTED_VALUE"""),"Martin A")</f>
        <v>Martin A</v>
      </c>
      <c r="C3512" s="115" t="str">
        <f>IFERROR(__xludf.DUMMYFUNCTION("""COMPUTED_VALUE"""),"FLIPKART")</f>
        <v>FLIPKART</v>
      </c>
      <c r="D3512" s="115">
        <f>IFERROR(__xludf.DUMMYFUNCTION("""COMPUTED_VALUE"""),171008.0)</f>
        <v>171008</v>
      </c>
      <c r="E3512" s="115">
        <f>IFERROR(__xludf.DUMMYFUNCTION("""COMPUTED_VALUE"""),14871.0)</f>
        <v>14871</v>
      </c>
      <c r="F3512" s="115">
        <f>IFERROR(__xludf.DUMMYFUNCTION("""COMPUTED_VALUE"""),15842.0)</f>
        <v>15842</v>
      </c>
      <c r="G3512" s="115">
        <f>IFERROR(__xludf.DUMMYFUNCTION("""COMPUTED_VALUE"""),345.0)</f>
        <v>345</v>
      </c>
      <c r="H3512" s="116">
        <f>IFERROR(__xludf.DUMMYFUNCTION("""COMPUTED_VALUE"""),45907.0)</f>
        <v>45907</v>
      </c>
      <c r="I3512" s="115" t="str">
        <f>IFERROR(__xludf.DUMMYFUNCTION("""COMPUTED_VALUE"""),"10")</f>
        <v>10</v>
      </c>
      <c r="J3512" s="115" t="str">
        <f>IFERROR(__xludf.DUMMYFUNCTION("""COMPUTED_VALUE"""),"Martin A2025-09-0710")</f>
        <v>Martin A2025-09-0710</v>
      </c>
      <c r="K3512" s="115">
        <f>IFERROR(__xludf.DUMMYFUNCTION("""COMPUTED_VALUE"""),185879.0)</f>
        <v>185879</v>
      </c>
    </row>
    <row r="3513">
      <c r="A3513" s="115" t="str">
        <f>IFERROR(__xludf.DUMMYFUNCTION("""COMPUTED_VALUE"""),"SOUTH")</f>
        <v>SOUTH</v>
      </c>
      <c r="B3513" s="115" t="str">
        <f>IFERROR(__xludf.DUMMYFUNCTION("""COMPUTED_VALUE"""),"Martin A")</f>
        <v>Martin A</v>
      </c>
      <c r="C3513" s="115" t="str">
        <f>IFERROR(__xludf.DUMMYFUNCTION("""COMPUTED_VALUE"""),"MYNTRA")</f>
        <v>MYNTRA</v>
      </c>
      <c r="D3513" s="115">
        <f>IFERROR(__xludf.DUMMYFUNCTION("""COMPUTED_VALUE"""),17852.0)</f>
        <v>17852</v>
      </c>
      <c r="E3513" s="115">
        <f>IFERROR(__xludf.DUMMYFUNCTION("""COMPUTED_VALUE"""),3855.0)</f>
        <v>3855</v>
      </c>
      <c r="F3513" s="115">
        <f>IFERROR(__xludf.DUMMYFUNCTION("""COMPUTED_VALUE"""),2095.0)</f>
        <v>2095</v>
      </c>
      <c r="G3513" s="115">
        <f>IFERROR(__xludf.DUMMYFUNCTION("""COMPUTED_VALUE"""),110.0)</f>
        <v>110</v>
      </c>
      <c r="H3513" s="116">
        <f>IFERROR(__xludf.DUMMYFUNCTION("""COMPUTED_VALUE"""),45907.0)</f>
        <v>45907</v>
      </c>
      <c r="I3513" s="115" t="str">
        <f>IFERROR(__xludf.DUMMYFUNCTION("""COMPUTED_VALUE"""),"10")</f>
        <v>10</v>
      </c>
      <c r="J3513" s="115" t="str">
        <f>IFERROR(__xludf.DUMMYFUNCTION("""COMPUTED_VALUE"""),"Martin A2025-09-0710")</f>
        <v>Martin A2025-09-0710</v>
      </c>
      <c r="K3513" s="115">
        <f>IFERROR(__xludf.DUMMYFUNCTION("""COMPUTED_VALUE"""),21707.0)</f>
        <v>21707</v>
      </c>
    </row>
    <row r="3514">
      <c r="A3514" s="115" t="str">
        <f>IFERROR(__xludf.DUMMYFUNCTION("""COMPUTED_VALUE"""),"SOUTH")</f>
        <v>SOUTH</v>
      </c>
      <c r="B3514" s="115" t="str">
        <f>IFERROR(__xludf.DUMMYFUNCTION("""COMPUTED_VALUE"""),"Premkumar M")</f>
        <v>Premkumar M</v>
      </c>
      <c r="C3514" s="115" t="str">
        <f>IFERROR(__xludf.DUMMYFUNCTION("""COMPUTED_VALUE"""),"EXTERNAL")</f>
        <v>EXTERNAL</v>
      </c>
      <c r="D3514" s="115">
        <f>IFERROR(__xludf.DUMMYFUNCTION("""COMPUTED_VALUE"""),9146.0)</f>
        <v>9146</v>
      </c>
      <c r="E3514" s="115">
        <f>IFERROR(__xludf.DUMMYFUNCTION("""COMPUTED_VALUE"""),386.0)</f>
        <v>386</v>
      </c>
      <c r="F3514" s="115">
        <f>IFERROR(__xludf.DUMMYFUNCTION("""COMPUTED_VALUE"""),327.0)</f>
        <v>327</v>
      </c>
      <c r="G3514" s="115">
        <f>IFERROR(__xludf.DUMMYFUNCTION("""COMPUTED_VALUE"""),1.0)</f>
        <v>1</v>
      </c>
      <c r="H3514" s="116">
        <f>IFERROR(__xludf.DUMMYFUNCTION("""COMPUTED_VALUE"""),45907.0)</f>
        <v>45907</v>
      </c>
      <c r="I3514" s="115" t="str">
        <f>IFERROR(__xludf.DUMMYFUNCTION("""COMPUTED_VALUE"""),"10")</f>
        <v>10</v>
      </c>
      <c r="J3514" s="115" t="str">
        <f>IFERROR(__xludf.DUMMYFUNCTION("""COMPUTED_VALUE"""),"Premkumar M2025-09-0710")</f>
        <v>Premkumar M2025-09-0710</v>
      </c>
      <c r="K3514" s="115">
        <f>IFERROR(__xludf.DUMMYFUNCTION("""COMPUTED_VALUE"""),9532.0)</f>
        <v>9532</v>
      </c>
    </row>
    <row r="3515">
      <c r="A3515" s="115" t="str">
        <f>IFERROR(__xludf.DUMMYFUNCTION("""COMPUTED_VALUE"""),"SOUTH")</f>
        <v>SOUTH</v>
      </c>
      <c r="B3515" s="115" t="str">
        <f>IFERROR(__xludf.DUMMYFUNCTION("""COMPUTED_VALUE"""),"Premkumar M")</f>
        <v>Premkumar M</v>
      </c>
      <c r="C3515" s="115" t="str">
        <f>IFERROR(__xludf.DUMMYFUNCTION("""COMPUTED_VALUE"""),"FLIPKART")</f>
        <v>FLIPKART</v>
      </c>
      <c r="D3515" s="115">
        <f>IFERROR(__xludf.DUMMYFUNCTION("""COMPUTED_VALUE"""),99840.0)</f>
        <v>99840</v>
      </c>
      <c r="E3515" s="115">
        <f>IFERROR(__xludf.DUMMYFUNCTION("""COMPUTED_VALUE"""),5141.0)</f>
        <v>5141</v>
      </c>
      <c r="F3515" s="115">
        <f>IFERROR(__xludf.DUMMYFUNCTION("""COMPUTED_VALUE"""),6141.0)</f>
        <v>6141</v>
      </c>
      <c r="G3515" s="115">
        <f>IFERROR(__xludf.DUMMYFUNCTION("""COMPUTED_VALUE"""),66.0)</f>
        <v>66</v>
      </c>
      <c r="H3515" s="116">
        <f>IFERROR(__xludf.DUMMYFUNCTION("""COMPUTED_VALUE"""),45907.0)</f>
        <v>45907</v>
      </c>
      <c r="I3515" s="115" t="str">
        <f>IFERROR(__xludf.DUMMYFUNCTION("""COMPUTED_VALUE"""),"10")</f>
        <v>10</v>
      </c>
      <c r="J3515" s="115" t="str">
        <f>IFERROR(__xludf.DUMMYFUNCTION("""COMPUTED_VALUE"""),"Premkumar M2025-09-0710")</f>
        <v>Premkumar M2025-09-0710</v>
      </c>
      <c r="K3515" s="115">
        <f>IFERROR(__xludf.DUMMYFUNCTION("""COMPUTED_VALUE"""),104981.0)</f>
        <v>104981</v>
      </c>
    </row>
    <row r="3516">
      <c r="A3516" s="115" t="str">
        <f>IFERROR(__xludf.DUMMYFUNCTION("""COMPUTED_VALUE"""),"SOUTH")</f>
        <v>SOUTH</v>
      </c>
      <c r="B3516" s="115" t="str">
        <f>IFERROR(__xludf.DUMMYFUNCTION("""COMPUTED_VALUE"""),"Premkumar M")</f>
        <v>Premkumar M</v>
      </c>
      <c r="C3516" s="115" t="str">
        <f>IFERROR(__xludf.DUMMYFUNCTION("""COMPUTED_VALUE"""),"MYNTRA")</f>
        <v>MYNTRA</v>
      </c>
      <c r="D3516" s="115">
        <f>IFERROR(__xludf.DUMMYFUNCTION("""COMPUTED_VALUE"""),6195.0)</f>
        <v>6195</v>
      </c>
      <c r="E3516" s="115">
        <f>IFERROR(__xludf.DUMMYFUNCTION("""COMPUTED_VALUE"""),906.0)</f>
        <v>906</v>
      </c>
      <c r="F3516" s="115">
        <f>IFERROR(__xludf.DUMMYFUNCTION("""COMPUTED_VALUE"""),445.0)</f>
        <v>445</v>
      </c>
      <c r="G3516" s="115">
        <f>IFERROR(__xludf.DUMMYFUNCTION("""COMPUTED_VALUE"""),13.0)</f>
        <v>13</v>
      </c>
      <c r="H3516" s="116">
        <f>IFERROR(__xludf.DUMMYFUNCTION("""COMPUTED_VALUE"""),45907.0)</f>
        <v>45907</v>
      </c>
      <c r="I3516" s="115" t="str">
        <f>IFERROR(__xludf.DUMMYFUNCTION("""COMPUTED_VALUE"""),"10")</f>
        <v>10</v>
      </c>
      <c r="J3516" s="115" t="str">
        <f>IFERROR(__xludf.DUMMYFUNCTION("""COMPUTED_VALUE"""),"Premkumar M2025-09-0710")</f>
        <v>Premkumar M2025-09-0710</v>
      </c>
      <c r="K3516" s="115">
        <f>IFERROR(__xludf.DUMMYFUNCTION("""COMPUTED_VALUE"""),7101.0)</f>
        <v>7101</v>
      </c>
    </row>
    <row r="3517">
      <c r="A3517" s="115" t="str">
        <f>IFERROR(__xludf.DUMMYFUNCTION("""COMPUTED_VALUE"""),"SOUTH")</f>
        <v>SOUTH</v>
      </c>
      <c r="B3517" s="115" t="str">
        <f>IFERROR(__xludf.DUMMYFUNCTION("""COMPUTED_VALUE"""),"Vineeth V")</f>
        <v>Vineeth V</v>
      </c>
      <c r="C3517" s="115" t="str">
        <f>IFERROR(__xludf.DUMMYFUNCTION("""COMPUTED_VALUE"""),"EXTERNAL")</f>
        <v>EXTERNAL</v>
      </c>
      <c r="D3517" s="115">
        <f>IFERROR(__xludf.DUMMYFUNCTION("""COMPUTED_VALUE"""),3931.0)</f>
        <v>3931</v>
      </c>
      <c r="E3517" s="115">
        <f>IFERROR(__xludf.DUMMYFUNCTION("""COMPUTED_VALUE"""),87.0)</f>
        <v>87</v>
      </c>
      <c r="F3517" s="115">
        <f>IFERROR(__xludf.DUMMYFUNCTION("""COMPUTED_VALUE"""),106.0)</f>
        <v>106</v>
      </c>
      <c r="G3517" s="115">
        <f>IFERROR(__xludf.DUMMYFUNCTION("""COMPUTED_VALUE"""),0.0)</f>
        <v>0</v>
      </c>
      <c r="H3517" s="116">
        <f>IFERROR(__xludf.DUMMYFUNCTION("""COMPUTED_VALUE"""),45907.0)</f>
        <v>45907</v>
      </c>
      <c r="I3517" s="115" t="str">
        <f>IFERROR(__xludf.DUMMYFUNCTION("""COMPUTED_VALUE"""),"10")</f>
        <v>10</v>
      </c>
      <c r="J3517" s="115" t="str">
        <f>IFERROR(__xludf.DUMMYFUNCTION("""COMPUTED_VALUE"""),"Vineeth V2025-09-0710")</f>
        <v>Vineeth V2025-09-0710</v>
      </c>
      <c r="K3517" s="115">
        <f>IFERROR(__xludf.DUMMYFUNCTION("""COMPUTED_VALUE"""),4018.0)</f>
        <v>4018</v>
      </c>
    </row>
    <row r="3518">
      <c r="A3518" s="115" t="str">
        <f>IFERROR(__xludf.DUMMYFUNCTION("""COMPUTED_VALUE"""),"SOUTH")</f>
        <v>SOUTH</v>
      </c>
      <c r="B3518" s="115" t="str">
        <f>IFERROR(__xludf.DUMMYFUNCTION("""COMPUTED_VALUE"""),"Vineeth V")</f>
        <v>Vineeth V</v>
      </c>
      <c r="C3518" s="115" t="str">
        <f>IFERROR(__xludf.DUMMYFUNCTION("""COMPUTED_VALUE"""),"FLIPKART")</f>
        <v>FLIPKART</v>
      </c>
      <c r="D3518" s="115">
        <f>IFERROR(__xludf.DUMMYFUNCTION("""COMPUTED_VALUE"""),53273.0)</f>
        <v>53273</v>
      </c>
      <c r="E3518" s="115">
        <f>IFERROR(__xludf.DUMMYFUNCTION("""COMPUTED_VALUE"""),2382.0)</f>
        <v>2382</v>
      </c>
      <c r="F3518" s="115">
        <f>IFERROR(__xludf.DUMMYFUNCTION("""COMPUTED_VALUE"""),1914.0)</f>
        <v>1914</v>
      </c>
      <c r="G3518" s="115">
        <f>IFERROR(__xludf.DUMMYFUNCTION("""COMPUTED_VALUE"""),24.0)</f>
        <v>24</v>
      </c>
      <c r="H3518" s="116">
        <f>IFERROR(__xludf.DUMMYFUNCTION("""COMPUTED_VALUE"""),45907.0)</f>
        <v>45907</v>
      </c>
      <c r="I3518" s="115" t="str">
        <f>IFERROR(__xludf.DUMMYFUNCTION("""COMPUTED_VALUE"""),"10")</f>
        <v>10</v>
      </c>
      <c r="J3518" s="115" t="str">
        <f>IFERROR(__xludf.DUMMYFUNCTION("""COMPUTED_VALUE"""),"Vineeth V2025-09-0710")</f>
        <v>Vineeth V2025-09-0710</v>
      </c>
      <c r="K3518" s="115">
        <f>IFERROR(__xludf.DUMMYFUNCTION("""COMPUTED_VALUE"""),55655.0)</f>
        <v>55655</v>
      </c>
    </row>
    <row r="3519">
      <c r="A3519" s="115" t="str">
        <f>IFERROR(__xludf.DUMMYFUNCTION("""COMPUTED_VALUE"""),"SOUTH")</f>
        <v>SOUTH</v>
      </c>
      <c r="B3519" s="115" t="str">
        <f>IFERROR(__xludf.DUMMYFUNCTION("""COMPUTED_VALUE"""),"Vineeth V")</f>
        <v>Vineeth V</v>
      </c>
      <c r="C3519" s="115" t="str">
        <f>IFERROR(__xludf.DUMMYFUNCTION("""COMPUTED_VALUE"""),"MYNTRA")</f>
        <v>MYNTRA</v>
      </c>
      <c r="D3519" s="115">
        <f>IFERROR(__xludf.DUMMYFUNCTION("""COMPUTED_VALUE"""),4418.0)</f>
        <v>4418</v>
      </c>
      <c r="E3519" s="115">
        <f>IFERROR(__xludf.DUMMYFUNCTION("""COMPUTED_VALUE"""),719.0)</f>
        <v>719</v>
      </c>
      <c r="F3519" s="115">
        <f>IFERROR(__xludf.DUMMYFUNCTION("""COMPUTED_VALUE"""),175.0)</f>
        <v>175</v>
      </c>
      <c r="G3519" s="115">
        <f>IFERROR(__xludf.DUMMYFUNCTION("""COMPUTED_VALUE"""),2.0)</f>
        <v>2</v>
      </c>
      <c r="H3519" s="116">
        <f>IFERROR(__xludf.DUMMYFUNCTION("""COMPUTED_VALUE"""),45907.0)</f>
        <v>45907</v>
      </c>
      <c r="I3519" s="115" t="str">
        <f>IFERROR(__xludf.DUMMYFUNCTION("""COMPUTED_VALUE"""),"10")</f>
        <v>10</v>
      </c>
      <c r="J3519" s="115" t="str">
        <f>IFERROR(__xludf.DUMMYFUNCTION("""COMPUTED_VALUE"""),"Vineeth V2025-09-0710")</f>
        <v>Vineeth V2025-09-0710</v>
      </c>
      <c r="K3519" s="115">
        <f>IFERROR(__xludf.DUMMYFUNCTION("""COMPUTED_VALUE"""),5137.0)</f>
        <v>5137</v>
      </c>
    </row>
    <row r="3520">
      <c r="A3520" s="115" t="str">
        <f>IFERROR(__xludf.DUMMYFUNCTION("""COMPUTED_VALUE"""),"WEST")</f>
        <v>WEST</v>
      </c>
      <c r="B3520" s="115" t="str">
        <f>IFERROR(__xludf.DUMMYFUNCTION("""COMPUTED_VALUE"""),"Ashish Jakar")</f>
        <v>Ashish Jakar</v>
      </c>
      <c r="C3520" s="115" t="str">
        <f>IFERROR(__xludf.DUMMYFUNCTION("""COMPUTED_VALUE"""),"EXTERNAL")</f>
        <v>EXTERNAL</v>
      </c>
      <c r="D3520" s="115">
        <f>IFERROR(__xludf.DUMMYFUNCTION("""COMPUTED_VALUE"""),24485.0)</f>
        <v>24485</v>
      </c>
      <c r="E3520" s="115">
        <f>IFERROR(__xludf.DUMMYFUNCTION("""COMPUTED_VALUE"""),2729.0)</f>
        <v>2729</v>
      </c>
      <c r="F3520" s="115">
        <f>IFERROR(__xludf.DUMMYFUNCTION("""COMPUTED_VALUE"""),738.0)</f>
        <v>738</v>
      </c>
      <c r="G3520" s="115">
        <f>IFERROR(__xludf.DUMMYFUNCTION("""COMPUTED_VALUE"""),46.0)</f>
        <v>46</v>
      </c>
      <c r="H3520" s="116">
        <f>IFERROR(__xludf.DUMMYFUNCTION("""COMPUTED_VALUE"""),45907.0)</f>
        <v>45907</v>
      </c>
      <c r="I3520" s="115" t="str">
        <f>IFERROR(__xludf.DUMMYFUNCTION("""COMPUTED_VALUE"""),"10")</f>
        <v>10</v>
      </c>
      <c r="J3520" s="115" t="str">
        <f>IFERROR(__xludf.DUMMYFUNCTION("""COMPUTED_VALUE"""),"Ashish Jakar2025-09-0710")</f>
        <v>Ashish Jakar2025-09-0710</v>
      </c>
      <c r="K3520" s="115">
        <f>IFERROR(__xludf.DUMMYFUNCTION("""COMPUTED_VALUE"""),27214.0)</f>
        <v>27214</v>
      </c>
    </row>
    <row r="3521">
      <c r="A3521" s="115" t="str">
        <f>IFERROR(__xludf.DUMMYFUNCTION("""COMPUTED_VALUE"""),"WEST")</f>
        <v>WEST</v>
      </c>
      <c r="B3521" s="115" t="str">
        <f>IFERROR(__xludf.DUMMYFUNCTION("""COMPUTED_VALUE"""),"Ashish Jakar")</f>
        <v>Ashish Jakar</v>
      </c>
      <c r="C3521" s="115" t="str">
        <f>IFERROR(__xludf.DUMMYFUNCTION("""COMPUTED_VALUE"""),"FLIPKART")</f>
        <v>FLIPKART</v>
      </c>
      <c r="D3521" s="115">
        <f>IFERROR(__xludf.DUMMYFUNCTION("""COMPUTED_VALUE"""),168444.0)</f>
        <v>168444</v>
      </c>
      <c r="E3521" s="115">
        <f>IFERROR(__xludf.DUMMYFUNCTION("""COMPUTED_VALUE"""),12276.0)</f>
        <v>12276</v>
      </c>
      <c r="F3521" s="115">
        <f>IFERROR(__xludf.DUMMYFUNCTION("""COMPUTED_VALUE"""),9992.0)</f>
        <v>9992</v>
      </c>
      <c r="G3521" s="115">
        <f>IFERROR(__xludf.DUMMYFUNCTION("""COMPUTED_VALUE"""),237.0)</f>
        <v>237</v>
      </c>
      <c r="H3521" s="116">
        <f>IFERROR(__xludf.DUMMYFUNCTION("""COMPUTED_VALUE"""),45907.0)</f>
        <v>45907</v>
      </c>
      <c r="I3521" s="115" t="str">
        <f>IFERROR(__xludf.DUMMYFUNCTION("""COMPUTED_VALUE"""),"10")</f>
        <v>10</v>
      </c>
      <c r="J3521" s="115" t="str">
        <f>IFERROR(__xludf.DUMMYFUNCTION("""COMPUTED_VALUE"""),"Ashish Jakar2025-09-0710")</f>
        <v>Ashish Jakar2025-09-0710</v>
      </c>
      <c r="K3521" s="115">
        <f>IFERROR(__xludf.DUMMYFUNCTION("""COMPUTED_VALUE"""),180720.0)</f>
        <v>180720</v>
      </c>
    </row>
    <row r="3522">
      <c r="A3522" s="115" t="str">
        <f>IFERROR(__xludf.DUMMYFUNCTION("""COMPUTED_VALUE"""),"WEST")</f>
        <v>WEST</v>
      </c>
      <c r="B3522" s="115" t="str">
        <f>IFERROR(__xludf.DUMMYFUNCTION("""COMPUTED_VALUE"""),"Ashish Jakar")</f>
        <v>Ashish Jakar</v>
      </c>
      <c r="C3522" s="115" t="str">
        <f>IFERROR(__xludf.DUMMYFUNCTION("""COMPUTED_VALUE"""),"MYNTRA")</f>
        <v>MYNTRA</v>
      </c>
      <c r="D3522" s="115">
        <f>IFERROR(__xludf.DUMMYFUNCTION("""COMPUTED_VALUE"""),21952.0)</f>
        <v>21952</v>
      </c>
      <c r="E3522" s="115">
        <f>IFERROR(__xludf.DUMMYFUNCTION("""COMPUTED_VALUE"""),4438.0)</f>
        <v>4438</v>
      </c>
      <c r="F3522" s="115">
        <f>IFERROR(__xludf.DUMMYFUNCTION("""COMPUTED_VALUE"""),1687.0)</f>
        <v>1687</v>
      </c>
      <c r="G3522" s="115">
        <f>IFERROR(__xludf.DUMMYFUNCTION("""COMPUTED_VALUE"""),94.0)</f>
        <v>94</v>
      </c>
      <c r="H3522" s="116">
        <f>IFERROR(__xludf.DUMMYFUNCTION("""COMPUTED_VALUE"""),45907.0)</f>
        <v>45907</v>
      </c>
      <c r="I3522" s="115" t="str">
        <f>IFERROR(__xludf.DUMMYFUNCTION("""COMPUTED_VALUE"""),"10")</f>
        <v>10</v>
      </c>
      <c r="J3522" s="115" t="str">
        <f>IFERROR(__xludf.DUMMYFUNCTION("""COMPUTED_VALUE"""),"Ashish Jakar2025-09-0710")</f>
        <v>Ashish Jakar2025-09-0710</v>
      </c>
      <c r="K3522" s="115">
        <f>IFERROR(__xludf.DUMMYFUNCTION("""COMPUTED_VALUE"""),26390.0)</f>
        <v>26390</v>
      </c>
    </row>
    <row r="3523">
      <c r="A3523" s="115" t="str">
        <f>IFERROR(__xludf.DUMMYFUNCTION("""COMPUTED_VALUE"""),"WEST")</f>
        <v>WEST</v>
      </c>
      <c r="B3523" s="115" t="str">
        <f>IFERROR(__xludf.DUMMYFUNCTION("""COMPUTED_VALUE"""),"Ashvani Bhatt")</f>
        <v>Ashvani Bhatt</v>
      </c>
      <c r="C3523" s="115" t="str">
        <f>IFERROR(__xludf.DUMMYFUNCTION("""COMPUTED_VALUE"""),"EXTERNAL")</f>
        <v>EXTERNAL</v>
      </c>
      <c r="D3523" s="115">
        <f>IFERROR(__xludf.DUMMYFUNCTION("""COMPUTED_VALUE"""),15230.0)</f>
        <v>15230</v>
      </c>
      <c r="E3523" s="115">
        <f>IFERROR(__xludf.DUMMYFUNCTION("""COMPUTED_VALUE"""),979.0)</f>
        <v>979</v>
      </c>
      <c r="F3523" s="115">
        <f>IFERROR(__xludf.DUMMYFUNCTION("""COMPUTED_VALUE"""),706.0)</f>
        <v>706</v>
      </c>
      <c r="G3523" s="115">
        <f>IFERROR(__xludf.DUMMYFUNCTION("""COMPUTED_VALUE"""),13.0)</f>
        <v>13</v>
      </c>
      <c r="H3523" s="116">
        <f>IFERROR(__xludf.DUMMYFUNCTION("""COMPUTED_VALUE"""),45907.0)</f>
        <v>45907</v>
      </c>
      <c r="I3523" s="115" t="str">
        <f>IFERROR(__xludf.DUMMYFUNCTION("""COMPUTED_VALUE"""),"10")</f>
        <v>10</v>
      </c>
      <c r="J3523" s="115" t="str">
        <f>IFERROR(__xludf.DUMMYFUNCTION("""COMPUTED_VALUE"""),"Ashvani Bhatt2025-09-0710")</f>
        <v>Ashvani Bhatt2025-09-0710</v>
      </c>
      <c r="K3523" s="115">
        <f>IFERROR(__xludf.DUMMYFUNCTION("""COMPUTED_VALUE"""),16209.0)</f>
        <v>16209</v>
      </c>
    </row>
    <row r="3524">
      <c r="A3524" s="115" t="str">
        <f>IFERROR(__xludf.DUMMYFUNCTION("""COMPUTED_VALUE"""),"WEST")</f>
        <v>WEST</v>
      </c>
      <c r="B3524" s="115" t="str">
        <f>IFERROR(__xludf.DUMMYFUNCTION("""COMPUTED_VALUE"""),"Ashvani Bhatt")</f>
        <v>Ashvani Bhatt</v>
      </c>
      <c r="C3524" s="115" t="str">
        <f>IFERROR(__xludf.DUMMYFUNCTION("""COMPUTED_VALUE"""),"FLIPKART")</f>
        <v>FLIPKART</v>
      </c>
      <c r="D3524" s="115">
        <f>IFERROR(__xludf.DUMMYFUNCTION("""COMPUTED_VALUE"""),120901.0)</f>
        <v>120901</v>
      </c>
      <c r="E3524" s="115">
        <f>IFERROR(__xludf.DUMMYFUNCTION("""COMPUTED_VALUE"""),9978.0)</f>
        <v>9978</v>
      </c>
      <c r="F3524" s="115">
        <f>IFERROR(__xludf.DUMMYFUNCTION("""COMPUTED_VALUE"""),9560.0)</f>
        <v>9560</v>
      </c>
      <c r="G3524" s="115">
        <f>IFERROR(__xludf.DUMMYFUNCTION("""COMPUTED_VALUE"""),201.0)</f>
        <v>201</v>
      </c>
      <c r="H3524" s="116">
        <f>IFERROR(__xludf.DUMMYFUNCTION("""COMPUTED_VALUE"""),45907.0)</f>
        <v>45907</v>
      </c>
      <c r="I3524" s="115" t="str">
        <f>IFERROR(__xludf.DUMMYFUNCTION("""COMPUTED_VALUE"""),"10")</f>
        <v>10</v>
      </c>
      <c r="J3524" s="115" t="str">
        <f>IFERROR(__xludf.DUMMYFUNCTION("""COMPUTED_VALUE"""),"Ashvani Bhatt2025-09-0710")</f>
        <v>Ashvani Bhatt2025-09-0710</v>
      </c>
      <c r="K3524" s="115">
        <f>IFERROR(__xludf.DUMMYFUNCTION("""COMPUTED_VALUE"""),130879.0)</f>
        <v>130879</v>
      </c>
    </row>
    <row r="3525">
      <c r="A3525" s="115" t="str">
        <f>IFERROR(__xludf.DUMMYFUNCTION("""COMPUTED_VALUE"""),"WEST")</f>
        <v>WEST</v>
      </c>
      <c r="B3525" s="115" t="str">
        <f>IFERROR(__xludf.DUMMYFUNCTION("""COMPUTED_VALUE"""),"Ashvani Bhatt")</f>
        <v>Ashvani Bhatt</v>
      </c>
      <c r="C3525" s="115" t="str">
        <f>IFERROR(__xludf.DUMMYFUNCTION("""COMPUTED_VALUE"""),"MYNTRA")</f>
        <v>MYNTRA</v>
      </c>
      <c r="D3525" s="115">
        <f>IFERROR(__xludf.DUMMYFUNCTION("""COMPUTED_VALUE"""),16644.0)</f>
        <v>16644</v>
      </c>
      <c r="E3525" s="115">
        <f>IFERROR(__xludf.DUMMYFUNCTION("""COMPUTED_VALUE"""),3080.0)</f>
        <v>3080</v>
      </c>
      <c r="F3525" s="115">
        <f>IFERROR(__xludf.DUMMYFUNCTION("""COMPUTED_VALUE"""),1649.0)</f>
        <v>1649</v>
      </c>
      <c r="G3525" s="115">
        <f>IFERROR(__xludf.DUMMYFUNCTION("""COMPUTED_VALUE"""),82.0)</f>
        <v>82</v>
      </c>
      <c r="H3525" s="116">
        <f>IFERROR(__xludf.DUMMYFUNCTION("""COMPUTED_VALUE"""),45907.0)</f>
        <v>45907</v>
      </c>
      <c r="I3525" s="115" t="str">
        <f>IFERROR(__xludf.DUMMYFUNCTION("""COMPUTED_VALUE"""),"10")</f>
        <v>10</v>
      </c>
      <c r="J3525" s="115" t="str">
        <f>IFERROR(__xludf.DUMMYFUNCTION("""COMPUTED_VALUE"""),"Ashvani Bhatt2025-09-0710")</f>
        <v>Ashvani Bhatt2025-09-0710</v>
      </c>
      <c r="K3525" s="115">
        <f>IFERROR(__xludf.DUMMYFUNCTION("""COMPUTED_VALUE"""),19724.0)</f>
        <v>19724</v>
      </c>
    </row>
    <row r="3526">
      <c r="A3526" s="115"/>
      <c r="B3526" s="115"/>
      <c r="C3526" s="115" t="str">
        <f>IFERROR(__xludf.DUMMYFUNCTION("""COMPUTED_VALUE"""),"EXTERNAL")</f>
        <v>EXTERNAL</v>
      </c>
      <c r="D3526" s="115">
        <f>IFERROR(__xludf.DUMMYFUNCTION("""COMPUTED_VALUE"""),231.0)</f>
        <v>231</v>
      </c>
      <c r="E3526" s="115">
        <f>IFERROR(__xludf.DUMMYFUNCTION("""COMPUTED_VALUE"""),48.0)</f>
        <v>48</v>
      </c>
      <c r="F3526" s="115">
        <f>IFERROR(__xludf.DUMMYFUNCTION("""COMPUTED_VALUE"""),3.0)</f>
        <v>3</v>
      </c>
      <c r="G3526" s="115">
        <f>IFERROR(__xludf.DUMMYFUNCTION("""COMPUTED_VALUE"""),11.0)</f>
        <v>11</v>
      </c>
      <c r="H3526" s="116">
        <f>IFERROR(__xludf.DUMMYFUNCTION("""COMPUTED_VALUE"""),45907.0)</f>
        <v>45907</v>
      </c>
      <c r="I3526" s="115" t="str">
        <f>IFERROR(__xludf.DUMMYFUNCTION("""COMPUTED_VALUE"""),"10")</f>
        <v>10</v>
      </c>
      <c r="J3526" s="115" t="str">
        <f>IFERROR(__xludf.DUMMYFUNCTION("""COMPUTED_VALUE"""),"2025-09-0710")</f>
        <v>2025-09-0710</v>
      </c>
      <c r="K3526" s="115">
        <f>IFERROR(__xludf.DUMMYFUNCTION("""COMPUTED_VALUE"""),279.0)</f>
        <v>279</v>
      </c>
    </row>
    <row r="3527">
      <c r="A3527" s="115"/>
      <c r="B3527" s="115"/>
      <c r="C3527" s="115" t="str">
        <f>IFERROR(__xludf.DUMMYFUNCTION("""COMPUTED_VALUE"""),"FLIPKART")</f>
        <v>FLIPKART</v>
      </c>
      <c r="D3527" s="115">
        <f>IFERROR(__xludf.DUMMYFUNCTION("""COMPUTED_VALUE"""),1781.0)</f>
        <v>1781</v>
      </c>
      <c r="E3527" s="115">
        <f>IFERROR(__xludf.DUMMYFUNCTION("""COMPUTED_VALUE"""),280.0)</f>
        <v>280</v>
      </c>
      <c r="F3527" s="115">
        <f>IFERROR(__xludf.DUMMYFUNCTION("""COMPUTED_VALUE"""),8.0)</f>
        <v>8</v>
      </c>
      <c r="G3527" s="115">
        <f>IFERROR(__xludf.DUMMYFUNCTION("""COMPUTED_VALUE"""),40.0)</f>
        <v>40</v>
      </c>
      <c r="H3527" s="116">
        <f>IFERROR(__xludf.DUMMYFUNCTION("""COMPUTED_VALUE"""),45907.0)</f>
        <v>45907</v>
      </c>
      <c r="I3527" s="115" t="str">
        <f>IFERROR(__xludf.DUMMYFUNCTION("""COMPUTED_VALUE"""),"10")</f>
        <v>10</v>
      </c>
      <c r="J3527" s="115" t="str">
        <f>IFERROR(__xludf.DUMMYFUNCTION("""COMPUTED_VALUE"""),"2025-09-0710")</f>
        <v>2025-09-0710</v>
      </c>
      <c r="K3527" s="115">
        <f>IFERROR(__xludf.DUMMYFUNCTION("""COMPUTED_VALUE"""),2061.0)</f>
        <v>2061</v>
      </c>
    </row>
    <row r="3528">
      <c r="A3528" s="115"/>
      <c r="B3528" s="115"/>
      <c r="C3528" s="115" t="str">
        <f>IFERROR(__xludf.DUMMYFUNCTION("""COMPUTED_VALUE"""),"MYNTRA")</f>
        <v>MYNTRA</v>
      </c>
      <c r="D3528" s="115">
        <f>IFERROR(__xludf.DUMMYFUNCTION("""COMPUTED_VALUE"""),368.0)</f>
        <v>368</v>
      </c>
      <c r="E3528" s="115">
        <f>IFERROR(__xludf.DUMMYFUNCTION("""COMPUTED_VALUE"""),97.0)</f>
        <v>97</v>
      </c>
      <c r="F3528" s="115">
        <f>IFERROR(__xludf.DUMMYFUNCTION("""COMPUTED_VALUE"""),4.0)</f>
        <v>4</v>
      </c>
      <c r="G3528" s="115">
        <f>IFERROR(__xludf.DUMMYFUNCTION("""COMPUTED_VALUE"""),9.0)</f>
        <v>9</v>
      </c>
      <c r="H3528" s="116">
        <f>IFERROR(__xludf.DUMMYFUNCTION("""COMPUTED_VALUE"""),45907.0)</f>
        <v>45907</v>
      </c>
      <c r="I3528" s="115" t="str">
        <f>IFERROR(__xludf.DUMMYFUNCTION("""COMPUTED_VALUE"""),"10")</f>
        <v>10</v>
      </c>
      <c r="J3528" s="115" t="str">
        <f>IFERROR(__xludf.DUMMYFUNCTION("""COMPUTED_VALUE"""),"2025-09-0710")</f>
        <v>2025-09-0710</v>
      </c>
      <c r="K3528" s="115">
        <f>IFERROR(__xludf.DUMMYFUNCTION("""COMPUTED_VALUE"""),465.0)</f>
        <v>465</v>
      </c>
    </row>
    <row r="3529">
      <c r="A3529" s="115" t="str">
        <f>IFERROR(__xludf.DUMMYFUNCTION("""COMPUTED_VALUE"""),"EAST")</f>
        <v>EAST</v>
      </c>
      <c r="B3529" s="115" t="str">
        <f>IFERROR(__xludf.DUMMYFUNCTION("""COMPUTED_VALUE"""),"Ashish Ranjan")</f>
        <v>Ashish Ranjan</v>
      </c>
      <c r="C3529" s="115" t="str">
        <f>IFERROR(__xludf.DUMMYFUNCTION("""COMPUTED_VALUE"""),"EXTERNAL")</f>
        <v>EXTERNAL</v>
      </c>
      <c r="D3529" s="115">
        <f>IFERROR(__xludf.DUMMYFUNCTION("""COMPUTED_VALUE"""),32949.0)</f>
        <v>32949</v>
      </c>
      <c r="E3529" s="115">
        <f>IFERROR(__xludf.DUMMYFUNCTION("""COMPUTED_VALUE"""),2285.0)</f>
        <v>2285</v>
      </c>
      <c r="F3529" s="115">
        <f>IFERROR(__xludf.DUMMYFUNCTION("""COMPUTED_VALUE"""),4826.0)</f>
        <v>4826</v>
      </c>
      <c r="G3529" s="115">
        <f>IFERROR(__xludf.DUMMYFUNCTION("""COMPUTED_VALUE"""),117.0)</f>
        <v>117</v>
      </c>
      <c r="H3529" s="116">
        <f>IFERROR(__xludf.DUMMYFUNCTION("""COMPUTED_VALUE"""),45907.0)</f>
        <v>45907</v>
      </c>
      <c r="I3529" s="115" t="str">
        <f>IFERROR(__xludf.DUMMYFUNCTION("""COMPUTED_VALUE"""),"11")</f>
        <v>11</v>
      </c>
      <c r="J3529" s="115" t="str">
        <f>IFERROR(__xludf.DUMMYFUNCTION("""COMPUTED_VALUE"""),"Ashish Ranjan2025-09-0711")</f>
        <v>Ashish Ranjan2025-09-0711</v>
      </c>
      <c r="K3529" s="115">
        <f>IFERROR(__xludf.DUMMYFUNCTION("""COMPUTED_VALUE"""),35234.0)</f>
        <v>35234</v>
      </c>
    </row>
    <row r="3530">
      <c r="A3530" s="115" t="str">
        <f>IFERROR(__xludf.DUMMYFUNCTION("""COMPUTED_VALUE"""),"EAST")</f>
        <v>EAST</v>
      </c>
      <c r="B3530" s="115" t="str">
        <f>IFERROR(__xludf.DUMMYFUNCTION("""COMPUTED_VALUE"""),"Ashish Ranjan")</f>
        <v>Ashish Ranjan</v>
      </c>
      <c r="C3530" s="115" t="str">
        <f>IFERROR(__xludf.DUMMYFUNCTION("""COMPUTED_VALUE"""),"FLIPKART")</f>
        <v>FLIPKART</v>
      </c>
      <c r="D3530" s="115">
        <f>IFERROR(__xludf.DUMMYFUNCTION("""COMPUTED_VALUE"""),489112.0)</f>
        <v>489112</v>
      </c>
      <c r="E3530" s="115">
        <f>IFERROR(__xludf.DUMMYFUNCTION("""COMPUTED_VALUE"""),48834.0)</f>
        <v>48834</v>
      </c>
      <c r="F3530" s="115">
        <f>IFERROR(__xludf.DUMMYFUNCTION("""COMPUTED_VALUE"""),115964.0)</f>
        <v>115964</v>
      </c>
      <c r="G3530" s="115">
        <f>IFERROR(__xludf.DUMMYFUNCTION("""COMPUTED_VALUE"""),3430.0)</f>
        <v>3430</v>
      </c>
      <c r="H3530" s="116">
        <f>IFERROR(__xludf.DUMMYFUNCTION("""COMPUTED_VALUE"""),45907.0)</f>
        <v>45907</v>
      </c>
      <c r="I3530" s="115" t="str">
        <f>IFERROR(__xludf.DUMMYFUNCTION("""COMPUTED_VALUE"""),"11")</f>
        <v>11</v>
      </c>
      <c r="J3530" s="115" t="str">
        <f>IFERROR(__xludf.DUMMYFUNCTION("""COMPUTED_VALUE"""),"Ashish Ranjan2025-09-0711")</f>
        <v>Ashish Ranjan2025-09-0711</v>
      </c>
      <c r="K3530" s="115">
        <f>IFERROR(__xludf.DUMMYFUNCTION("""COMPUTED_VALUE"""),537946.0)</f>
        <v>537946</v>
      </c>
    </row>
    <row r="3531">
      <c r="A3531" s="115" t="str">
        <f>IFERROR(__xludf.DUMMYFUNCTION("""COMPUTED_VALUE"""),"EAST")</f>
        <v>EAST</v>
      </c>
      <c r="B3531" s="115" t="str">
        <f>IFERROR(__xludf.DUMMYFUNCTION("""COMPUTED_VALUE"""),"Ashish Ranjan")</f>
        <v>Ashish Ranjan</v>
      </c>
      <c r="C3531" s="115" t="str">
        <f>IFERROR(__xludf.DUMMYFUNCTION("""COMPUTED_VALUE"""),"MYNTRA")</f>
        <v>MYNTRA</v>
      </c>
      <c r="D3531" s="115">
        <f>IFERROR(__xludf.DUMMYFUNCTION("""COMPUTED_VALUE"""),53624.0)</f>
        <v>53624</v>
      </c>
      <c r="E3531" s="115">
        <f>IFERROR(__xludf.DUMMYFUNCTION("""COMPUTED_VALUE"""),10958.0)</f>
        <v>10958</v>
      </c>
      <c r="F3531" s="115">
        <f>IFERROR(__xludf.DUMMYFUNCTION("""COMPUTED_VALUE"""),13151.0)</f>
        <v>13151</v>
      </c>
      <c r="G3531" s="115">
        <f>IFERROR(__xludf.DUMMYFUNCTION("""COMPUTED_VALUE"""),770.0)</f>
        <v>770</v>
      </c>
      <c r="H3531" s="116">
        <f>IFERROR(__xludf.DUMMYFUNCTION("""COMPUTED_VALUE"""),45907.0)</f>
        <v>45907</v>
      </c>
      <c r="I3531" s="115" t="str">
        <f>IFERROR(__xludf.DUMMYFUNCTION("""COMPUTED_VALUE"""),"11")</f>
        <v>11</v>
      </c>
      <c r="J3531" s="115" t="str">
        <f>IFERROR(__xludf.DUMMYFUNCTION("""COMPUTED_VALUE"""),"Ashish Ranjan2025-09-0711")</f>
        <v>Ashish Ranjan2025-09-0711</v>
      </c>
      <c r="K3531" s="115">
        <f>IFERROR(__xludf.DUMMYFUNCTION("""COMPUTED_VALUE"""),64582.0)</f>
        <v>64582</v>
      </c>
    </row>
    <row r="3532">
      <c r="A3532" s="115" t="str">
        <f>IFERROR(__xludf.DUMMYFUNCTION("""COMPUTED_VALUE"""),"EAST")</f>
        <v>EAST</v>
      </c>
      <c r="B3532" s="115" t="str">
        <f>IFERROR(__xludf.DUMMYFUNCTION("""COMPUTED_VALUE"""),"Girish Chand")</f>
        <v>Girish Chand</v>
      </c>
      <c r="C3532" s="115" t="str">
        <f>IFERROR(__xludf.DUMMYFUNCTION("""COMPUTED_VALUE"""),"EXTERNAL")</f>
        <v>EXTERNAL</v>
      </c>
      <c r="D3532" s="115">
        <f>IFERROR(__xludf.DUMMYFUNCTION("""COMPUTED_VALUE"""),19966.0)</f>
        <v>19966</v>
      </c>
      <c r="E3532" s="115">
        <f>IFERROR(__xludf.DUMMYFUNCTION("""COMPUTED_VALUE"""),1534.0)</f>
        <v>1534</v>
      </c>
      <c r="F3532" s="115">
        <f>IFERROR(__xludf.DUMMYFUNCTION("""COMPUTED_VALUE"""),1631.0)</f>
        <v>1631</v>
      </c>
      <c r="G3532" s="115">
        <f>IFERROR(__xludf.DUMMYFUNCTION("""COMPUTED_VALUE"""),19.0)</f>
        <v>19</v>
      </c>
      <c r="H3532" s="116">
        <f>IFERROR(__xludf.DUMMYFUNCTION("""COMPUTED_VALUE"""),45907.0)</f>
        <v>45907</v>
      </c>
      <c r="I3532" s="115" t="str">
        <f>IFERROR(__xludf.DUMMYFUNCTION("""COMPUTED_VALUE"""),"11")</f>
        <v>11</v>
      </c>
      <c r="J3532" s="115" t="str">
        <f>IFERROR(__xludf.DUMMYFUNCTION("""COMPUTED_VALUE"""),"Girish Chand2025-09-0711")</f>
        <v>Girish Chand2025-09-0711</v>
      </c>
      <c r="K3532" s="115">
        <f>IFERROR(__xludf.DUMMYFUNCTION("""COMPUTED_VALUE"""),21500.0)</f>
        <v>21500</v>
      </c>
    </row>
    <row r="3533">
      <c r="A3533" s="115" t="str">
        <f>IFERROR(__xludf.DUMMYFUNCTION("""COMPUTED_VALUE"""),"EAST")</f>
        <v>EAST</v>
      </c>
      <c r="B3533" s="115" t="str">
        <f>IFERROR(__xludf.DUMMYFUNCTION("""COMPUTED_VALUE"""),"Girish Chand")</f>
        <v>Girish Chand</v>
      </c>
      <c r="C3533" s="115" t="str">
        <f>IFERROR(__xludf.DUMMYFUNCTION("""COMPUTED_VALUE"""),"FLIPKART")</f>
        <v>FLIPKART</v>
      </c>
      <c r="D3533" s="115">
        <f>IFERROR(__xludf.DUMMYFUNCTION("""COMPUTED_VALUE"""),353261.0)</f>
        <v>353261</v>
      </c>
      <c r="E3533" s="115">
        <f>IFERROR(__xludf.DUMMYFUNCTION("""COMPUTED_VALUE"""),30912.0)</f>
        <v>30912</v>
      </c>
      <c r="F3533" s="115">
        <f>IFERROR(__xludf.DUMMYFUNCTION("""COMPUTED_VALUE"""),52714.0)</f>
        <v>52714</v>
      </c>
      <c r="G3533" s="115">
        <f>IFERROR(__xludf.DUMMYFUNCTION("""COMPUTED_VALUE"""),1140.0)</f>
        <v>1140</v>
      </c>
      <c r="H3533" s="116">
        <f>IFERROR(__xludf.DUMMYFUNCTION("""COMPUTED_VALUE"""),45907.0)</f>
        <v>45907</v>
      </c>
      <c r="I3533" s="115" t="str">
        <f>IFERROR(__xludf.DUMMYFUNCTION("""COMPUTED_VALUE"""),"11")</f>
        <v>11</v>
      </c>
      <c r="J3533" s="115" t="str">
        <f>IFERROR(__xludf.DUMMYFUNCTION("""COMPUTED_VALUE"""),"Girish Chand2025-09-0711")</f>
        <v>Girish Chand2025-09-0711</v>
      </c>
      <c r="K3533" s="115">
        <f>IFERROR(__xludf.DUMMYFUNCTION("""COMPUTED_VALUE"""),384173.0)</f>
        <v>384173</v>
      </c>
    </row>
    <row r="3534">
      <c r="A3534" s="115" t="str">
        <f>IFERROR(__xludf.DUMMYFUNCTION("""COMPUTED_VALUE"""),"EAST")</f>
        <v>EAST</v>
      </c>
      <c r="B3534" s="115" t="str">
        <f>IFERROR(__xludf.DUMMYFUNCTION("""COMPUTED_VALUE"""),"Girish Chand")</f>
        <v>Girish Chand</v>
      </c>
      <c r="C3534" s="115" t="str">
        <f>IFERROR(__xludf.DUMMYFUNCTION("""COMPUTED_VALUE"""),"MYNTRA")</f>
        <v>MYNTRA</v>
      </c>
      <c r="D3534" s="115">
        <f>IFERROR(__xludf.DUMMYFUNCTION("""COMPUTED_VALUE"""),31319.0)</f>
        <v>31319</v>
      </c>
      <c r="E3534" s="115">
        <f>IFERROR(__xludf.DUMMYFUNCTION("""COMPUTED_VALUE"""),5824.0)</f>
        <v>5824</v>
      </c>
      <c r="F3534" s="115">
        <f>IFERROR(__xludf.DUMMYFUNCTION("""COMPUTED_VALUE"""),5565.0)</f>
        <v>5565</v>
      </c>
      <c r="G3534" s="115">
        <f>IFERROR(__xludf.DUMMYFUNCTION("""COMPUTED_VALUE"""),317.0)</f>
        <v>317</v>
      </c>
      <c r="H3534" s="116">
        <f>IFERROR(__xludf.DUMMYFUNCTION("""COMPUTED_VALUE"""),45907.0)</f>
        <v>45907</v>
      </c>
      <c r="I3534" s="115" t="str">
        <f>IFERROR(__xludf.DUMMYFUNCTION("""COMPUTED_VALUE"""),"11")</f>
        <v>11</v>
      </c>
      <c r="J3534" s="115" t="str">
        <f>IFERROR(__xludf.DUMMYFUNCTION("""COMPUTED_VALUE"""),"Girish Chand2025-09-0711")</f>
        <v>Girish Chand2025-09-0711</v>
      </c>
      <c r="K3534" s="115">
        <f>IFERROR(__xludf.DUMMYFUNCTION("""COMPUTED_VALUE"""),37143.0)</f>
        <v>37143</v>
      </c>
    </row>
    <row r="3535">
      <c r="A3535" s="115" t="str">
        <f>IFERROR(__xludf.DUMMYFUNCTION("""COMPUTED_VALUE"""),"EAST")</f>
        <v>EAST</v>
      </c>
      <c r="B3535" s="115" t="str">
        <f>IFERROR(__xludf.DUMMYFUNCTION("""COMPUTED_VALUE"""),"Parag Kashyap")</f>
        <v>Parag Kashyap</v>
      </c>
      <c r="C3535" s="115" t="str">
        <f>IFERROR(__xludf.DUMMYFUNCTION("""COMPUTED_VALUE"""),"EXTERNAL")</f>
        <v>EXTERNAL</v>
      </c>
      <c r="D3535" s="115">
        <f>IFERROR(__xludf.DUMMYFUNCTION("""COMPUTED_VALUE"""),9734.0)</f>
        <v>9734</v>
      </c>
      <c r="E3535" s="115">
        <f>IFERROR(__xludf.DUMMYFUNCTION("""COMPUTED_VALUE"""),435.0)</f>
        <v>435</v>
      </c>
      <c r="F3535" s="115">
        <f>IFERROR(__xludf.DUMMYFUNCTION("""COMPUTED_VALUE"""),515.0)</f>
        <v>515</v>
      </c>
      <c r="G3535" s="115">
        <f>IFERROR(__xludf.DUMMYFUNCTION("""COMPUTED_VALUE"""),3.0)</f>
        <v>3</v>
      </c>
      <c r="H3535" s="116">
        <f>IFERROR(__xludf.DUMMYFUNCTION("""COMPUTED_VALUE"""),45907.0)</f>
        <v>45907</v>
      </c>
      <c r="I3535" s="115" t="str">
        <f>IFERROR(__xludf.DUMMYFUNCTION("""COMPUTED_VALUE"""),"11")</f>
        <v>11</v>
      </c>
      <c r="J3535" s="115" t="str">
        <f>IFERROR(__xludf.DUMMYFUNCTION("""COMPUTED_VALUE"""),"Parag Kashyap2025-09-0711")</f>
        <v>Parag Kashyap2025-09-0711</v>
      </c>
      <c r="K3535" s="115">
        <f>IFERROR(__xludf.DUMMYFUNCTION("""COMPUTED_VALUE"""),10169.0)</f>
        <v>10169</v>
      </c>
    </row>
    <row r="3536">
      <c r="A3536" s="115" t="str">
        <f>IFERROR(__xludf.DUMMYFUNCTION("""COMPUTED_VALUE"""),"EAST")</f>
        <v>EAST</v>
      </c>
      <c r="B3536" s="115" t="str">
        <f>IFERROR(__xludf.DUMMYFUNCTION("""COMPUTED_VALUE"""),"Parag Kashyap")</f>
        <v>Parag Kashyap</v>
      </c>
      <c r="C3536" s="115" t="str">
        <f>IFERROR(__xludf.DUMMYFUNCTION("""COMPUTED_VALUE"""),"FLIPKART")</f>
        <v>FLIPKART</v>
      </c>
      <c r="D3536" s="115">
        <f>IFERROR(__xludf.DUMMYFUNCTION("""COMPUTED_VALUE"""),179866.0)</f>
        <v>179866</v>
      </c>
      <c r="E3536" s="115">
        <f>IFERROR(__xludf.DUMMYFUNCTION("""COMPUTED_VALUE"""),9581.0)</f>
        <v>9581</v>
      </c>
      <c r="F3536" s="115">
        <f>IFERROR(__xludf.DUMMYFUNCTION("""COMPUTED_VALUE"""),20019.0)</f>
        <v>20019</v>
      </c>
      <c r="G3536" s="115">
        <f>IFERROR(__xludf.DUMMYFUNCTION("""COMPUTED_VALUE"""),236.0)</f>
        <v>236</v>
      </c>
      <c r="H3536" s="116">
        <f>IFERROR(__xludf.DUMMYFUNCTION("""COMPUTED_VALUE"""),45907.0)</f>
        <v>45907</v>
      </c>
      <c r="I3536" s="115" t="str">
        <f>IFERROR(__xludf.DUMMYFUNCTION("""COMPUTED_VALUE"""),"11")</f>
        <v>11</v>
      </c>
      <c r="J3536" s="115" t="str">
        <f>IFERROR(__xludf.DUMMYFUNCTION("""COMPUTED_VALUE"""),"Parag Kashyap2025-09-0711")</f>
        <v>Parag Kashyap2025-09-0711</v>
      </c>
      <c r="K3536" s="115">
        <f>IFERROR(__xludf.DUMMYFUNCTION("""COMPUTED_VALUE"""),189447.0)</f>
        <v>189447</v>
      </c>
    </row>
    <row r="3537">
      <c r="A3537" s="115" t="str">
        <f>IFERROR(__xludf.DUMMYFUNCTION("""COMPUTED_VALUE"""),"EAST")</f>
        <v>EAST</v>
      </c>
      <c r="B3537" s="115" t="str">
        <f>IFERROR(__xludf.DUMMYFUNCTION("""COMPUTED_VALUE"""),"Parag Kashyap")</f>
        <v>Parag Kashyap</v>
      </c>
      <c r="C3537" s="115" t="str">
        <f>IFERROR(__xludf.DUMMYFUNCTION("""COMPUTED_VALUE"""),"MYNTRA")</f>
        <v>MYNTRA</v>
      </c>
      <c r="D3537" s="115">
        <f>IFERROR(__xludf.DUMMYFUNCTION("""COMPUTED_VALUE"""),20102.0)</f>
        <v>20102</v>
      </c>
      <c r="E3537" s="115">
        <f>IFERROR(__xludf.DUMMYFUNCTION("""COMPUTED_VALUE"""),2404.0)</f>
        <v>2404</v>
      </c>
      <c r="F3537" s="115">
        <f>IFERROR(__xludf.DUMMYFUNCTION("""COMPUTED_VALUE"""),2663.0)</f>
        <v>2663</v>
      </c>
      <c r="G3537" s="115">
        <f>IFERROR(__xludf.DUMMYFUNCTION("""COMPUTED_VALUE"""),20.0)</f>
        <v>20</v>
      </c>
      <c r="H3537" s="116">
        <f>IFERROR(__xludf.DUMMYFUNCTION("""COMPUTED_VALUE"""),45907.0)</f>
        <v>45907</v>
      </c>
      <c r="I3537" s="115" t="str">
        <f>IFERROR(__xludf.DUMMYFUNCTION("""COMPUTED_VALUE"""),"11")</f>
        <v>11</v>
      </c>
      <c r="J3537" s="115" t="str">
        <f>IFERROR(__xludf.DUMMYFUNCTION("""COMPUTED_VALUE"""),"Parag Kashyap2025-09-0711")</f>
        <v>Parag Kashyap2025-09-0711</v>
      </c>
      <c r="K3537" s="115">
        <f>IFERROR(__xludf.DUMMYFUNCTION("""COMPUTED_VALUE"""),22506.0)</f>
        <v>22506</v>
      </c>
    </row>
    <row r="3538">
      <c r="A3538" s="115" t="str">
        <f>IFERROR(__xludf.DUMMYFUNCTION("""COMPUTED_VALUE"""),"NORTH")</f>
        <v>NORTH</v>
      </c>
      <c r="B3538" s="115" t="str">
        <f>IFERROR(__xludf.DUMMYFUNCTION("""COMPUTED_VALUE"""),"Amit Kumar Pathak")</f>
        <v>Amit Kumar Pathak</v>
      </c>
      <c r="C3538" s="115" t="str">
        <f>IFERROR(__xludf.DUMMYFUNCTION("""COMPUTED_VALUE"""),"EXTERNAL")</f>
        <v>EXTERNAL</v>
      </c>
      <c r="D3538" s="115">
        <f>IFERROR(__xludf.DUMMYFUNCTION("""COMPUTED_VALUE"""),20780.0)</f>
        <v>20780</v>
      </c>
      <c r="E3538" s="115">
        <f>IFERROR(__xludf.DUMMYFUNCTION("""COMPUTED_VALUE"""),2438.0)</f>
        <v>2438</v>
      </c>
      <c r="F3538" s="115">
        <f>IFERROR(__xludf.DUMMYFUNCTION("""COMPUTED_VALUE"""),1682.0)</f>
        <v>1682</v>
      </c>
      <c r="G3538" s="115">
        <f>IFERROR(__xludf.DUMMYFUNCTION("""COMPUTED_VALUE"""),131.0)</f>
        <v>131</v>
      </c>
      <c r="H3538" s="116">
        <f>IFERROR(__xludf.DUMMYFUNCTION("""COMPUTED_VALUE"""),45907.0)</f>
        <v>45907</v>
      </c>
      <c r="I3538" s="115" t="str">
        <f>IFERROR(__xludf.DUMMYFUNCTION("""COMPUTED_VALUE"""),"11")</f>
        <v>11</v>
      </c>
      <c r="J3538" s="115" t="str">
        <f>IFERROR(__xludf.DUMMYFUNCTION("""COMPUTED_VALUE"""),"Amit Kumar Pathak2025-09-0711")</f>
        <v>Amit Kumar Pathak2025-09-0711</v>
      </c>
      <c r="K3538" s="115">
        <f>IFERROR(__xludf.DUMMYFUNCTION("""COMPUTED_VALUE"""),23218.0)</f>
        <v>23218</v>
      </c>
    </row>
    <row r="3539">
      <c r="A3539" s="115" t="str">
        <f>IFERROR(__xludf.DUMMYFUNCTION("""COMPUTED_VALUE"""),"NORTH")</f>
        <v>NORTH</v>
      </c>
      <c r="B3539" s="115" t="str">
        <f>IFERROR(__xludf.DUMMYFUNCTION("""COMPUTED_VALUE"""),"Amit Kumar Pathak")</f>
        <v>Amit Kumar Pathak</v>
      </c>
      <c r="C3539" s="115" t="str">
        <f>IFERROR(__xludf.DUMMYFUNCTION("""COMPUTED_VALUE"""),"FLIPKART")</f>
        <v>FLIPKART</v>
      </c>
      <c r="D3539" s="115">
        <f>IFERROR(__xludf.DUMMYFUNCTION("""COMPUTED_VALUE"""),119073.0)</f>
        <v>119073</v>
      </c>
      <c r="E3539" s="115">
        <f>IFERROR(__xludf.DUMMYFUNCTION("""COMPUTED_VALUE"""),16357.0)</f>
        <v>16357</v>
      </c>
      <c r="F3539" s="115">
        <f>IFERROR(__xludf.DUMMYFUNCTION("""COMPUTED_VALUE"""),19114.0)</f>
        <v>19114</v>
      </c>
      <c r="G3539" s="115">
        <f>IFERROR(__xludf.DUMMYFUNCTION("""COMPUTED_VALUE"""),1444.0)</f>
        <v>1444</v>
      </c>
      <c r="H3539" s="116">
        <f>IFERROR(__xludf.DUMMYFUNCTION("""COMPUTED_VALUE"""),45907.0)</f>
        <v>45907</v>
      </c>
      <c r="I3539" s="115" t="str">
        <f>IFERROR(__xludf.DUMMYFUNCTION("""COMPUTED_VALUE"""),"11")</f>
        <v>11</v>
      </c>
      <c r="J3539" s="115" t="str">
        <f>IFERROR(__xludf.DUMMYFUNCTION("""COMPUTED_VALUE"""),"Amit Kumar Pathak2025-09-0711")</f>
        <v>Amit Kumar Pathak2025-09-0711</v>
      </c>
      <c r="K3539" s="115">
        <f>IFERROR(__xludf.DUMMYFUNCTION("""COMPUTED_VALUE"""),135430.0)</f>
        <v>135430</v>
      </c>
    </row>
    <row r="3540">
      <c r="A3540" s="115" t="str">
        <f>IFERROR(__xludf.DUMMYFUNCTION("""COMPUTED_VALUE"""),"NORTH")</f>
        <v>NORTH</v>
      </c>
      <c r="B3540" s="115" t="str">
        <f>IFERROR(__xludf.DUMMYFUNCTION("""COMPUTED_VALUE"""),"Amit Kumar Pathak")</f>
        <v>Amit Kumar Pathak</v>
      </c>
      <c r="C3540" s="115" t="str">
        <f>IFERROR(__xludf.DUMMYFUNCTION("""COMPUTED_VALUE"""),"MYNTRA")</f>
        <v>MYNTRA</v>
      </c>
      <c r="D3540" s="115">
        <f>IFERROR(__xludf.DUMMYFUNCTION("""COMPUTED_VALUE"""),13777.0)</f>
        <v>13777</v>
      </c>
      <c r="E3540" s="115">
        <f>IFERROR(__xludf.DUMMYFUNCTION("""COMPUTED_VALUE"""),4169.0)</f>
        <v>4169</v>
      </c>
      <c r="F3540" s="115">
        <f>IFERROR(__xludf.DUMMYFUNCTION("""COMPUTED_VALUE"""),3056.0)</f>
        <v>3056</v>
      </c>
      <c r="G3540" s="115">
        <f>IFERROR(__xludf.DUMMYFUNCTION("""COMPUTED_VALUE"""),395.0)</f>
        <v>395</v>
      </c>
      <c r="H3540" s="116">
        <f>IFERROR(__xludf.DUMMYFUNCTION("""COMPUTED_VALUE"""),45907.0)</f>
        <v>45907</v>
      </c>
      <c r="I3540" s="115" t="str">
        <f>IFERROR(__xludf.DUMMYFUNCTION("""COMPUTED_VALUE"""),"11")</f>
        <v>11</v>
      </c>
      <c r="J3540" s="115" t="str">
        <f>IFERROR(__xludf.DUMMYFUNCTION("""COMPUTED_VALUE"""),"Amit Kumar Pathak2025-09-0711")</f>
        <v>Amit Kumar Pathak2025-09-0711</v>
      </c>
      <c r="K3540" s="115">
        <f>IFERROR(__xludf.DUMMYFUNCTION("""COMPUTED_VALUE"""),17946.0)</f>
        <v>17946</v>
      </c>
    </row>
    <row r="3541">
      <c r="A3541" s="115" t="str">
        <f>IFERROR(__xludf.DUMMYFUNCTION("""COMPUTED_VALUE"""),"NORTH")</f>
        <v>NORTH</v>
      </c>
      <c r="B3541" s="115" t="str">
        <f>IFERROR(__xludf.DUMMYFUNCTION("""COMPUTED_VALUE"""),"Loveleen Singh")</f>
        <v>Loveleen Singh</v>
      </c>
      <c r="C3541" s="115" t="str">
        <f>IFERROR(__xludf.DUMMYFUNCTION("""COMPUTED_VALUE"""),"EXTERNAL")</f>
        <v>EXTERNAL</v>
      </c>
      <c r="D3541" s="115">
        <f>IFERROR(__xludf.DUMMYFUNCTION("""COMPUTED_VALUE"""),20888.0)</f>
        <v>20888</v>
      </c>
      <c r="E3541" s="115">
        <f>IFERROR(__xludf.DUMMYFUNCTION("""COMPUTED_VALUE"""),1315.0)</f>
        <v>1315</v>
      </c>
      <c r="F3541" s="115">
        <f>IFERROR(__xludf.DUMMYFUNCTION("""COMPUTED_VALUE"""),1514.0)</f>
        <v>1514</v>
      </c>
      <c r="G3541" s="115">
        <f>IFERROR(__xludf.DUMMYFUNCTION("""COMPUTED_VALUE"""),42.0)</f>
        <v>42</v>
      </c>
      <c r="H3541" s="116">
        <f>IFERROR(__xludf.DUMMYFUNCTION("""COMPUTED_VALUE"""),45907.0)</f>
        <v>45907</v>
      </c>
      <c r="I3541" s="115" t="str">
        <f>IFERROR(__xludf.DUMMYFUNCTION("""COMPUTED_VALUE"""),"11")</f>
        <v>11</v>
      </c>
      <c r="J3541" s="115" t="str">
        <f>IFERROR(__xludf.DUMMYFUNCTION("""COMPUTED_VALUE"""),"Loveleen Singh2025-09-0711")</f>
        <v>Loveleen Singh2025-09-0711</v>
      </c>
      <c r="K3541" s="115">
        <f>IFERROR(__xludf.DUMMYFUNCTION("""COMPUTED_VALUE"""),22203.0)</f>
        <v>22203</v>
      </c>
    </row>
    <row r="3542">
      <c r="A3542" s="115" t="str">
        <f>IFERROR(__xludf.DUMMYFUNCTION("""COMPUTED_VALUE"""),"NORTH")</f>
        <v>NORTH</v>
      </c>
      <c r="B3542" s="115" t="str">
        <f>IFERROR(__xludf.DUMMYFUNCTION("""COMPUTED_VALUE"""),"Loveleen Singh")</f>
        <v>Loveleen Singh</v>
      </c>
      <c r="C3542" s="115" t="str">
        <f>IFERROR(__xludf.DUMMYFUNCTION("""COMPUTED_VALUE"""),"FLIPKART")</f>
        <v>FLIPKART</v>
      </c>
      <c r="D3542" s="115">
        <f>IFERROR(__xludf.DUMMYFUNCTION("""COMPUTED_VALUE"""),109376.0)</f>
        <v>109376</v>
      </c>
      <c r="E3542" s="115">
        <f>IFERROR(__xludf.DUMMYFUNCTION("""COMPUTED_VALUE"""),9858.0)</f>
        <v>9858</v>
      </c>
      <c r="F3542" s="115">
        <f>IFERROR(__xludf.DUMMYFUNCTION("""COMPUTED_VALUE"""),16378.0)</f>
        <v>16378</v>
      </c>
      <c r="G3542" s="115">
        <f>IFERROR(__xludf.DUMMYFUNCTION("""COMPUTED_VALUE"""),597.0)</f>
        <v>597</v>
      </c>
      <c r="H3542" s="116">
        <f>IFERROR(__xludf.DUMMYFUNCTION("""COMPUTED_VALUE"""),45907.0)</f>
        <v>45907</v>
      </c>
      <c r="I3542" s="115" t="str">
        <f>IFERROR(__xludf.DUMMYFUNCTION("""COMPUTED_VALUE"""),"11")</f>
        <v>11</v>
      </c>
      <c r="J3542" s="115" t="str">
        <f>IFERROR(__xludf.DUMMYFUNCTION("""COMPUTED_VALUE"""),"Loveleen Singh2025-09-0711")</f>
        <v>Loveleen Singh2025-09-0711</v>
      </c>
      <c r="K3542" s="115">
        <f>IFERROR(__xludf.DUMMYFUNCTION("""COMPUTED_VALUE"""),119234.0)</f>
        <v>119234</v>
      </c>
    </row>
    <row r="3543">
      <c r="A3543" s="115" t="str">
        <f>IFERROR(__xludf.DUMMYFUNCTION("""COMPUTED_VALUE"""),"NORTH")</f>
        <v>NORTH</v>
      </c>
      <c r="B3543" s="115" t="str">
        <f>IFERROR(__xludf.DUMMYFUNCTION("""COMPUTED_VALUE"""),"Loveleen Singh")</f>
        <v>Loveleen Singh</v>
      </c>
      <c r="C3543" s="115" t="str">
        <f>IFERROR(__xludf.DUMMYFUNCTION("""COMPUTED_VALUE"""),"MYNTRA")</f>
        <v>MYNTRA</v>
      </c>
      <c r="D3543" s="115">
        <f>IFERROR(__xludf.DUMMYFUNCTION("""COMPUTED_VALUE"""),19148.0)</f>
        <v>19148</v>
      </c>
      <c r="E3543" s="115">
        <f>IFERROR(__xludf.DUMMYFUNCTION("""COMPUTED_VALUE"""),3955.0)</f>
        <v>3955</v>
      </c>
      <c r="F3543" s="115">
        <f>IFERROR(__xludf.DUMMYFUNCTION("""COMPUTED_VALUE"""),3538.0)</f>
        <v>3538</v>
      </c>
      <c r="G3543" s="115">
        <f>IFERROR(__xludf.DUMMYFUNCTION("""COMPUTED_VALUE"""),216.0)</f>
        <v>216</v>
      </c>
      <c r="H3543" s="116">
        <f>IFERROR(__xludf.DUMMYFUNCTION("""COMPUTED_VALUE"""),45907.0)</f>
        <v>45907</v>
      </c>
      <c r="I3543" s="115" t="str">
        <f>IFERROR(__xludf.DUMMYFUNCTION("""COMPUTED_VALUE"""),"11")</f>
        <v>11</v>
      </c>
      <c r="J3543" s="115" t="str">
        <f>IFERROR(__xludf.DUMMYFUNCTION("""COMPUTED_VALUE"""),"Loveleen Singh2025-09-0711")</f>
        <v>Loveleen Singh2025-09-0711</v>
      </c>
      <c r="K3543" s="115">
        <f>IFERROR(__xludf.DUMMYFUNCTION("""COMPUTED_VALUE"""),23103.0)</f>
        <v>23103</v>
      </c>
    </row>
    <row r="3544">
      <c r="A3544" s="115" t="str">
        <f>IFERROR(__xludf.DUMMYFUNCTION("""COMPUTED_VALUE"""),"NORTH")</f>
        <v>NORTH</v>
      </c>
      <c r="B3544" s="115" t="str">
        <f>IFERROR(__xludf.DUMMYFUNCTION("""COMPUTED_VALUE"""),"Manoj Harsh")</f>
        <v>Manoj Harsh</v>
      </c>
      <c r="C3544" s="115" t="str">
        <f>IFERROR(__xludf.DUMMYFUNCTION("""COMPUTED_VALUE"""),"EXTERNAL")</f>
        <v>EXTERNAL</v>
      </c>
      <c r="D3544" s="115">
        <f>IFERROR(__xludf.DUMMYFUNCTION("""COMPUTED_VALUE"""),28337.0)</f>
        <v>28337</v>
      </c>
      <c r="E3544" s="115">
        <f>IFERROR(__xludf.DUMMYFUNCTION("""COMPUTED_VALUE"""),1910.0)</f>
        <v>1910</v>
      </c>
      <c r="F3544" s="115">
        <f>IFERROR(__xludf.DUMMYFUNCTION("""COMPUTED_VALUE"""),1953.0)</f>
        <v>1953</v>
      </c>
      <c r="G3544" s="115">
        <f>IFERROR(__xludf.DUMMYFUNCTION("""COMPUTED_VALUE"""),43.0)</f>
        <v>43</v>
      </c>
      <c r="H3544" s="116">
        <f>IFERROR(__xludf.DUMMYFUNCTION("""COMPUTED_VALUE"""),45907.0)</f>
        <v>45907</v>
      </c>
      <c r="I3544" s="115" t="str">
        <f>IFERROR(__xludf.DUMMYFUNCTION("""COMPUTED_VALUE"""),"11")</f>
        <v>11</v>
      </c>
      <c r="J3544" s="115" t="str">
        <f>IFERROR(__xludf.DUMMYFUNCTION("""COMPUTED_VALUE"""),"Manoj Harsh2025-09-0711")</f>
        <v>Manoj Harsh2025-09-0711</v>
      </c>
      <c r="K3544" s="115">
        <f>IFERROR(__xludf.DUMMYFUNCTION("""COMPUTED_VALUE"""),30247.0)</f>
        <v>30247</v>
      </c>
    </row>
    <row r="3545">
      <c r="A3545" s="115" t="str">
        <f>IFERROR(__xludf.DUMMYFUNCTION("""COMPUTED_VALUE"""),"NORTH")</f>
        <v>NORTH</v>
      </c>
      <c r="B3545" s="115" t="str">
        <f>IFERROR(__xludf.DUMMYFUNCTION("""COMPUTED_VALUE"""),"Manoj Harsh")</f>
        <v>Manoj Harsh</v>
      </c>
      <c r="C3545" s="115" t="str">
        <f>IFERROR(__xludf.DUMMYFUNCTION("""COMPUTED_VALUE"""),"FLIPKART")</f>
        <v>FLIPKART</v>
      </c>
      <c r="D3545" s="115">
        <f>IFERROR(__xludf.DUMMYFUNCTION("""COMPUTED_VALUE"""),320033.0)</f>
        <v>320033</v>
      </c>
      <c r="E3545" s="115">
        <f>IFERROR(__xludf.DUMMYFUNCTION("""COMPUTED_VALUE"""),28952.0)</f>
        <v>28952</v>
      </c>
      <c r="F3545" s="115">
        <f>IFERROR(__xludf.DUMMYFUNCTION("""COMPUTED_VALUE"""),38297.0)</f>
        <v>38297</v>
      </c>
      <c r="G3545" s="115">
        <f>IFERROR(__xludf.DUMMYFUNCTION("""COMPUTED_VALUE"""),1032.0)</f>
        <v>1032</v>
      </c>
      <c r="H3545" s="116">
        <f>IFERROR(__xludf.DUMMYFUNCTION("""COMPUTED_VALUE"""),45907.0)</f>
        <v>45907</v>
      </c>
      <c r="I3545" s="115" t="str">
        <f>IFERROR(__xludf.DUMMYFUNCTION("""COMPUTED_VALUE"""),"11")</f>
        <v>11</v>
      </c>
      <c r="J3545" s="115" t="str">
        <f>IFERROR(__xludf.DUMMYFUNCTION("""COMPUTED_VALUE"""),"Manoj Harsh2025-09-0711")</f>
        <v>Manoj Harsh2025-09-0711</v>
      </c>
      <c r="K3545" s="115">
        <f>IFERROR(__xludf.DUMMYFUNCTION("""COMPUTED_VALUE"""),348985.0)</f>
        <v>348985</v>
      </c>
    </row>
    <row r="3546">
      <c r="A3546" s="115" t="str">
        <f>IFERROR(__xludf.DUMMYFUNCTION("""COMPUTED_VALUE"""),"NORTH")</f>
        <v>NORTH</v>
      </c>
      <c r="B3546" s="115" t="str">
        <f>IFERROR(__xludf.DUMMYFUNCTION("""COMPUTED_VALUE"""),"Manoj Harsh")</f>
        <v>Manoj Harsh</v>
      </c>
      <c r="C3546" s="115" t="str">
        <f>IFERROR(__xludf.DUMMYFUNCTION("""COMPUTED_VALUE"""),"MYNTRA")</f>
        <v>MYNTRA</v>
      </c>
      <c r="D3546" s="115">
        <f>IFERROR(__xludf.DUMMYFUNCTION("""COMPUTED_VALUE"""),31960.0)</f>
        <v>31960</v>
      </c>
      <c r="E3546" s="115">
        <f>IFERROR(__xludf.DUMMYFUNCTION("""COMPUTED_VALUE"""),5628.0)</f>
        <v>5628</v>
      </c>
      <c r="F3546" s="115">
        <f>IFERROR(__xludf.DUMMYFUNCTION("""COMPUTED_VALUE"""),5016.0)</f>
        <v>5016</v>
      </c>
      <c r="G3546" s="115">
        <f>IFERROR(__xludf.DUMMYFUNCTION("""COMPUTED_VALUE"""),241.0)</f>
        <v>241</v>
      </c>
      <c r="H3546" s="116">
        <f>IFERROR(__xludf.DUMMYFUNCTION("""COMPUTED_VALUE"""),45907.0)</f>
        <v>45907</v>
      </c>
      <c r="I3546" s="115" t="str">
        <f>IFERROR(__xludf.DUMMYFUNCTION("""COMPUTED_VALUE"""),"11")</f>
        <v>11</v>
      </c>
      <c r="J3546" s="115" t="str">
        <f>IFERROR(__xludf.DUMMYFUNCTION("""COMPUTED_VALUE"""),"Manoj Harsh2025-09-0711")</f>
        <v>Manoj Harsh2025-09-0711</v>
      </c>
      <c r="K3546" s="115">
        <f>IFERROR(__xludf.DUMMYFUNCTION("""COMPUTED_VALUE"""),37588.0)</f>
        <v>37588</v>
      </c>
    </row>
    <row r="3547">
      <c r="A3547" s="115" t="str">
        <f>IFERROR(__xludf.DUMMYFUNCTION("""COMPUTED_VALUE"""),"NORTH")</f>
        <v>NORTH</v>
      </c>
      <c r="B3547" s="115" t="str">
        <f>IFERROR(__xludf.DUMMYFUNCTION("""COMPUTED_VALUE"""),"Pradeep Kothari")</f>
        <v>Pradeep Kothari</v>
      </c>
      <c r="C3547" s="115" t="str">
        <f>IFERROR(__xludf.DUMMYFUNCTION("""COMPUTED_VALUE"""),"EXTERNAL")</f>
        <v>EXTERNAL</v>
      </c>
      <c r="D3547" s="115">
        <f>IFERROR(__xludf.DUMMYFUNCTION("""COMPUTED_VALUE"""),15891.0)</f>
        <v>15891</v>
      </c>
      <c r="E3547" s="115">
        <f>IFERROR(__xludf.DUMMYFUNCTION("""COMPUTED_VALUE"""),1269.0)</f>
        <v>1269</v>
      </c>
      <c r="F3547" s="115">
        <f>IFERROR(__xludf.DUMMYFUNCTION("""COMPUTED_VALUE"""),1341.0)</f>
        <v>1341</v>
      </c>
      <c r="G3547" s="115">
        <f>IFERROR(__xludf.DUMMYFUNCTION("""COMPUTED_VALUE"""),58.0)</f>
        <v>58</v>
      </c>
      <c r="H3547" s="116">
        <f>IFERROR(__xludf.DUMMYFUNCTION("""COMPUTED_VALUE"""),45907.0)</f>
        <v>45907</v>
      </c>
      <c r="I3547" s="115" t="str">
        <f>IFERROR(__xludf.DUMMYFUNCTION("""COMPUTED_VALUE"""),"11")</f>
        <v>11</v>
      </c>
      <c r="J3547" s="115" t="str">
        <f>IFERROR(__xludf.DUMMYFUNCTION("""COMPUTED_VALUE"""),"Pradeep Kothari2025-09-0711")</f>
        <v>Pradeep Kothari2025-09-0711</v>
      </c>
      <c r="K3547" s="115">
        <f>IFERROR(__xludf.DUMMYFUNCTION("""COMPUTED_VALUE"""),17160.0)</f>
        <v>17160</v>
      </c>
    </row>
    <row r="3548">
      <c r="A3548" s="115" t="str">
        <f>IFERROR(__xludf.DUMMYFUNCTION("""COMPUTED_VALUE"""),"NORTH")</f>
        <v>NORTH</v>
      </c>
      <c r="B3548" s="115" t="str">
        <f>IFERROR(__xludf.DUMMYFUNCTION("""COMPUTED_VALUE"""),"Pradeep Kothari")</f>
        <v>Pradeep Kothari</v>
      </c>
      <c r="C3548" s="115" t="str">
        <f>IFERROR(__xludf.DUMMYFUNCTION("""COMPUTED_VALUE"""),"FLIPKART")</f>
        <v>FLIPKART</v>
      </c>
      <c r="D3548" s="115">
        <f>IFERROR(__xludf.DUMMYFUNCTION("""COMPUTED_VALUE"""),109648.0)</f>
        <v>109648</v>
      </c>
      <c r="E3548" s="115">
        <f>IFERROR(__xludf.DUMMYFUNCTION("""COMPUTED_VALUE"""),12242.0)</f>
        <v>12242</v>
      </c>
      <c r="F3548" s="115">
        <f>IFERROR(__xludf.DUMMYFUNCTION("""COMPUTED_VALUE"""),19086.0)</f>
        <v>19086</v>
      </c>
      <c r="G3548" s="115">
        <f>IFERROR(__xludf.DUMMYFUNCTION("""COMPUTED_VALUE"""),846.0)</f>
        <v>846</v>
      </c>
      <c r="H3548" s="116">
        <f>IFERROR(__xludf.DUMMYFUNCTION("""COMPUTED_VALUE"""),45907.0)</f>
        <v>45907</v>
      </c>
      <c r="I3548" s="115" t="str">
        <f>IFERROR(__xludf.DUMMYFUNCTION("""COMPUTED_VALUE"""),"11")</f>
        <v>11</v>
      </c>
      <c r="J3548" s="115" t="str">
        <f>IFERROR(__xludf.DUMMYFUNCTION("""COMPUTED_VALUE"""),"Pradeep Kothari2025-09-0711")</f>
        <v>Pradeep Kothari2025-09-0711</v>
      </c>
      <c r="K3548" s="115">
        <f>IFERROR(__xludf.DUMMYFUNCTION("""COMPUTED_VALUE"""),121890.0)</f>
        <v>121890</v>
      </c>
    </row>
    <row r="3549">
      <c r="A3549" s="115" t="str">
        <f>IFERROR(__xludf.DUMMYFUNCTION("""COMPUTED_VALUE"""),"NORTH")</f>
        <v>NORTH</v>
      </c>
      <c r="B3549" s="115" t="str">
        <f>IFERROR(__xludf.DUMMYFUNCTION("""COMPUTED_VALUE"""),"Pradeep Kothari")</f>
        <v>Pradeep Kothari</v>
      </c>
      <c r="C3549" s="115" t="str">
        <f>IFERROR(__xludf.DUMMYFUNCTION("""COMPUTED_VALUE"""),"MYNTRA")</f>
        <v>MYNTRA</v>
      </c>
      <c r="D3549" s="115">
        <f>IFERROR(__xludf.DUMMYFUNCTION("""COMPUTED_VALUE"""),21832.0)</f>
        <v>21832</v>
      </c>
      <c r="E3549" s="115">
        <f>IFERROR(__xludf.DUMMYFUNCTION("""COMPUTED_VALUE"""),4560.0)</f>
        <v>4560</v>
      </c>
      <c r="F3549" s="115">
        <f>IFERROR(__xludf.DUMMYFUNCTION("""COMPUTED_VALUE"""),5318.0)</f>
        <v>5318</v>
      </c>
      <c r="G3549" s="115">
        <f>IFERROR(__xludf.DUMMYFUNCTION("""COMPUTED_VALUE"""),364.0)</f>
        <v>364</v>
      </c>
      <c r="H3549" s="116">
        <f>IFERROR(__xludf.DUMMYFUNCTION("""COMPUTED_VALUE"""),45907.0)</f>
        <v>45907</v>
      </c>
      <c r="I3549" s="115" t="str">
        <f>IFERROR(__xludf.DUMMYFUNCTION("""COMPUTED_VALUE"""),"11")</f>
        <v>11</v>
      </c>
      <c r="J3549" s="115" t="str">
        <f>IFERROR(__xludf.DUMMYFUNCTION("""COMPUTED_VALUE"""),"Pradeep Kothari2025-09-0711")</f>
        <v>Pradeep Kothari2025-09-0711</v>
      </c>
      <c r="K3549" s="115">
        <f>IFERROR(__xludf.DUMMYFUNCTION("""COMPUTED_VALUE"""),26392.0)</f>
        <v>26392</v>
      </c>
    </row>
    <row r="3550">
      <c r="A3550" s="115" t="str">
        <f>IFERROR(__xludf.DUMMYFUNCTION("""COMPUTED_VALUE"""),"SOUTH")</f>
        <v>SOUTH</v>
      </c>
      <c r="B3550" s="115" t="str">
        <f>IFERROR(__xludf.DUMMYFUNCTION("""COMPUTED_VALUE"""),"Kandula Sampath")</f>
        <v>Kandula Sampath</v>
      </c>
      <c r="C3550" s="115" t="str">
        <f>IFERROR(__xludf.DUMMYFUNCTION("""COMPUTED_VALUE"""),"EXTERNAL")</f>
        <v>EXTERNAL</v>
      </c>
      <c r="D3550" s="115">
        <f>IFERROR(__xludf.DUMMYFUNCTION("""COMPUTED_VALUE"""),27381.0)</f>
        <v>27381</v>
      </c>
      <c r="E3550" s="115">
        <f>IFERROR(__xludf.DUMMYFUNCTION("""COMPUTED_VALUE"""),2472.0)</f>
        <v>2472</v>
      </c>
      <c r="F3550" s="115">
        <f>IFERROR(__xludf.DUMMYFUNCTION("""COMPUTED_VALUE"""),2959.0)</f>
        <v>2959</v>
      </c>
      <c r="G3550" s="115">
        <f>IFERROR(__xludf.DUMMYFUNCTION("""COMPUTED_VALUE"""),50.0)</f>
        <v>50</v>
      </c>
      <c r="H3550" s="116">
        <f>IFERROR(__xludf.DUMMYFUNCTION("""COMPUTED_VALUE"""),45907.0)</f>
        <v>45907</v>
      </c>
      <c r="I3550" s="115" t="str">
        <f>IFERROR(__xludf.DUMMYFUNCTION("""COMPUTED_VALUE"""),"11")</f>
        <v>11</v>
      </c>
      <c r="J3550" s="115" t="str">
        <f>IFERROR(__xludf.DUMMYFUNCTION("""COMPUTED_VALUE"""),"Kandula Sampath2025-09-0711")</f>
        <v>Kandula Sampath2025-09-0711</v>
      </c>
      <c r="K3550" s="115">
        <f>IFERROR(__xludf.DUMMYFUNCTION("""COMPUTED_VALUE"""),29853.0)</f>
        <v>29853</v>
      </c>
    </row>
    <row r="3551">
      <c r="A3551" s="115" t="str">
        <f>IFERROR(__xludf.DUMMYFUNCTION("""COMPUTED_VALUE"""),"SOUTH")</f>
        <v>SOUTH</v>
      </c>
      <c r="B3551" s="115" t="str">
        <f>IFERROR(__xludf.DUMMYFUNCTION("""COMPUTED_VALUE"""),"Kandula Sampath")</f>
        <v>Kandula Sampath</v>
      </c>
      <c r="C3551" s="115" t="str">
        <f>IFERROR(__xludf.DUMMYFUNCTION("""COMPUTED_VALUE"""),"FLIPKART")</f>
        <v>FLIPKART</v>
      </c>
      <c r="D3551" s="115">
        <f>IFERROR(__xludf.DUMMYFUNCTION("""COMPUTED_VALUE"""),271637.0)</f>
        <v>271637</v>
      </c>
      <c r="E3551" s="115">
        <f>IFERROR(__xludf.DUMMYFUNCTION("""COMPUTED_VALUE"""),20483.0)</f>
        <v>20483</v>
      </c>
      <c r="F3551" s="115">
        <f>IFERROR(__xludf.DUMMYFUNCTION("""COMPUTED_VALUE"""),53079.0)</f>
        <v>53079</v>
      </c>
      <c r="G3551" s="115">
        <f>IFERROR(__xludf.DUMMYFUNCTION("""COMPUTED_VALUE"""),792.0)</f>
        <v>792</v>
      </c>
      <c r="H3551" s="116">
        <f>IFERROR(__xludf.DUMMYFUNCTION("""COMPUTED_VALUE"""),45907.0)</f>
        <v>45907</v>
      </c>
      <c r="I3551" s="115" t="str">
        <f>IFERROR(__xludf.DUMMYFUNCTION("""COMPUTED_VALUE"""),"11")</f>
        <v>11</v>
      </c>
      <c r="J3551" s="115" t="str">
        <f>IFERROR(__xludf.DUMMYFUNCTION("""COMPUTED_VALUE"""),"Kandula Sampath2025-09-0711")</f>
        <v>Kandula Sampath2025-09-0711</v>
      </c>
      <c r="K3551" s="115">
        <f>IFERROR(__xludf.DUMMYFUNCTION("""COMPUTED_VALUE"""),292120.0)</f>
        <v>292120</v>
      </c>
    </row>
    <row r="3552">
      <c r="A3552" s="115" t="str">
        <f>IFERROR(__xludf.DUMMYFUNCTION("""COMPUTED_VALUE"""),"SOUTH")</f>
        <v>SOUTH</v>
      </c>
      <c r="B3552" s="115" t="str">
        <f>IFERROR(__xludf.DUMMYFUNCTION("""COMPUTED_VALUE"""),"Kandula Sampath")</f>
        <v>Kandula Sampath</v>
      </c>
      <c r="C3552" s="115" t="str">
        <f>IFERROR(__xludf.DUMMYFUNCTION("""COMPUTED_VALUE"""),"MYNTRA")</f>
        <v>MYNTRA</v>
      </c>
      <c r="D3552" s="115">
        <f>IFERROR(__xludf.DUMMYFUNCTION("""COMPUTED_VALUE"""),32540.0)</f>
        <v>32540</v>
      </c>
      <c r="E3552" s="115">
        <f>IFERROR(__xludf.DUMMYFUNCTION("""COMPUTED_VALUE"""),5714.0)</f>
        <v>5714</v>
      </c>
      <c r="F3552" s="115">
        <f>IFERROR(__xludf.DUMMYFUNCTION("""COMPUTED_VALUE"""),7418.0)</f>
        <v>7418</v>
      </c>
      <c r="G3552" s="115">
        <f>IFERROR(__xludf.DUMMYFUNCTION("""COMPUTED_VALUE"""),228.0)</f>
        <v>228</v>
      </c>
      <c r="H3552" s="116">
        <f>IFERROR(__xludf.DUMMYFUNCTION("""COMPUTED_VALUE"""),45907.0)</f>
        <v>45907</v>
      </c>
      <c r="I3552" s="115" t="str">
        <f>IFERROR(__xludf.DUMMYFUNCTION("""COMPUTED_VALUE"""),"11")</f>
        <v>11</v>
      </c>
      <c r="J3552" s="115" t="str">
        <f>IFERROR(__xludf.DUMMYFUNCTION("""COMPUTED_VALUE"""),"Kandula Sampath2025-09-0711")</f>
        <v>Kandula Sampath2025-09-0711</v>
      </c>
      <c r="K3552" s="115">
        <f>IFERROR(__xludf.DUMMYFUNCTION("""COMPUTED_VALUE"""),38254.0)</f>
        <v>38254</v>
      </c>
    </row>
    <row r="3553">
      <c r="A3553" s="115" t="str">
        <f>IFERROR(__xludf.DUMMYFUNCTION("""COMPUTED_VALUE"""),"SOUTH")</f>
        <v>SOUTH</v>
      </c>
      <c r="B3553" s="115" t="str">
        <f>IFERROR(__xludf.DUMMYFUNCTION("""COMPUTED_VALUE"""),"Martin A")</f>
        <v>Martin A</v>
      </c>
      <c r="C3553" s="115" t="str">
        <f>IFERROR(__xludf.DUMMYFUNCTION("""COMPUTED_VALUE"""),"EXTERNAL")</f>
        <v>EXTERNAL</v>
      </c>
      <c r="D3553" s="115">
        <f>IFERROR(__xludf.DUMMYFUNCTION("""COMPUTED_VALUE"""),24707.0)</f>
        <v>24707</v>
      </c>
      <c r="E3553" s="115">
        <f>IFERROR(__xludf.DUMMYFUNCTION("""COMPUTED_VALUE"""),2797.0)</f>
        <v>2797</v>
      </c>
      <c r="F3553" s="115">
        <f>IFERROR(__xludf.DUMMYFUNCTION("""COMPUTED_VALUE"""),2650.0)</f>
        <v>2650</v>
      </c>
      <c r="G3553" s="115">
        <f>IFERROR(__xludf.DUMMYFUNCTION("""COMPUTED_VALUE"""),94.0)</f>
        <v>94</v>
      </c>
      <c r="H3553" s="116">
        <f>IFERROR(__xludf.DUMMYFUNCTION("""COMPUTED_VALUE"""),45907.0)</f>
        <v>45907</v>
      </c>
      <c r="I3553" s="115" t="str">
        <f>IFERROR(__xludf.DUMMYFUNCTION("""COMPUTED_VALUE"""),"11")</f>
        <v>11</v>
      </c>
      <c r="J3553" s="115" t="str">
        <f>IFERROR(__xludf.DUMMYFUNCTION("""COMPUTED_VALUE"""),"Martin A2025-09-0711")</f>
        <v>Martin A2025-09-0711</v>
      </c>
      <c r="K3553" s="115">
        <f>IFERROR(__xludf.DUMMYFUNCTION("""COMPUTED_VALUE"""),27504.0)</f>
        <v>27504</v>
      </c>
    </row>
    <row r="3554">
      <c r="A3554" s="115" t="str">
        <f>IFERROR(__xludf.DUMMYFUNCTION("""COMPUTED_VALUE"""),"SOUTH")</f>
        <v>SOUTH</v>
      </c>
      <c r="B3554" s="115" t="str">
        <f>IFERROR(__xludf.DUMMYFUNCTION("""COMPUTED_VALUE"""),"Martin A")</f>
        <v>Martin A</v>
      </c>
      <c r="C3554" s="115" t="str">
        <f>IFERROR(__xludf.DUMMYFUNCTION("""COMPUTED_VALUE"""),"FLIPKART")</f>
        <v>FLIPKART</v>
      </c>
      <c r="D3554" s="115">
        <f>IFERROR(__xludf.DUMMYFUNCTION("""COMPUTED_VALUE"""),215357.0)</f>
        <v>215357</v>
      </c>
      <c r="E3554" s="115">
        <f>IFERROR(__xludf.DUMMYFUNCTION("""COMPUTED_VALUE"""),19700.0)</f>
        <v>19700</v>
      </c>
      <c r="F3554" s="115">
        <f>IFERROR(__xludf.DUMMYFUNCTION("""COMPUTED_VALUE"""),39048.0)</f>
        <v>39048</v>
      </c>
      <c r="G3554" s="115">
        <f>IFERROR(__xludf.DUMMYFUNCTION("""COMPUTED_VALUE"""),881.0)</f>
        <v>881</v>
      </c>
      <c r="H3554" s="116">
        <f>IFERROR(__xludf.DUMMYFUNCTION("""COMPUTED_VALUE"""),45907.0)</f>
        <v>45907</v>
      </c>
      <c r="I3554" s="115" t="str">
        <f>IFERROR(__xludf.DUMMYFUNCTION("""COMPUTED_VALUE"""),"11")</f>
        <v>11</v>
      </c>
      <c r="J3554" s="115" t="str">
        <f>IFERROR(__xludf.DUMMYFUNCTION("""COMPUTED_VALUE"""),"Martin A2025-09-0711")</f>
        <v>Martin A2025-09-0711</v>
      </c>
      <c r="K3554" s="115">
        <f>IFERROR(__xludf.DUMMYFUNCTION("""COMPUTED_VALUE"""),235057.0)</f>
        <v>235057</v>
      </c>
    </row>
    <row r="3555">
      <c r="A3555" s="115" t="str">
        <f>IFERROR(__xludf.DUMMYFUNCTION("""COMPUTED_VALUE"""),"SOUTH")</f>
        <v>SOUTH</v>
      </c>
      <c r="B3555" s="115" t="str">
        <f>IFERROR(__xludf.DUMMYFUNCTION("""COMPUTED_VALUE"""),"Martin A")</f>
        <v>Martin A</v>
      </c>
      <c r="C3555" s="115" t="str">
        <f>IFERROR(__xludf.DUMMYFUNCTION("""COMPUTED_VALUE"""),"MYNTRA")</f>
        <v>MYNTRA</v>
      </c>
      <c r="D3555" s="115">
        <f>IFERROR(__xludf.DUMMYFUNCTION("""COMPUTED_VALUE"""),22162.0)</f>
        <v>22162</v>
      </c>
      <c r="E3555" s="115">
        <f>IFERROR(__xludf.DUMMYFUNCTION("""COMPUTED_VALUE"""),5101.0)</f>
        <v>5101</v>
      </c>
      <c r="F3555" s="115">
        <f>IFERROR(__xludf.DUMMYFUNCTION("""COMPUTED_VALUE"""),4994.0)</f>
        <v>4994</v>
      </c>
      <c r="G3555" s="115">
        <f>IFERROR(__xludf.DUMMYFUNCTION("""COMPUTED_VALUE"""),283.0)</f>
        <v>283</v>
      </c>
      <c r="H3555" s="116">
        <f>IFERROR(__xludf.DUMMYFUNCTION("""COMPUTED_VALUE"""),45907.0)</f>
        <v>45907</v>
      </c>
      <c r="I3555" s="115" t="str">
        <f>IFERROR(__xludf.DUMMYFUNCTION("""COMPUTED_VALUE"""),"11")</f>
        <v>11</v>
      </c>
      <c r="J3555" s="115" t="str">
        <f>IFERROR(__xludf.DUMMYFUNCTION("""COMPUTED_VALUE"""),"Martin A2025-09-0711")</f>
        <v>Martin A2025-09-0711</v>
      </c>
      <c r="K3555" s="115">
        <f>IFERROR(__xludf.DUMMYFUNCTION("""COMPUTED_VALUE"""),27263.0)</f>
        <v>27263</v>
      </c>
    </row>
    <row r="3556">
      <c r="A3556" s="115" t="str">
        <f>IFERROR(__xludf.DUMMYFUNCTION("""COMPUTED_VALUE"""),"SOUTH")</f>
        <v>SOUTH</v>
      </c>
      <c r="B3556" s="115" t="str">
        <f>IFERROR(__xludf.DUMMYFUNCTION("""COMPUTED_VALUE"""),"Premkumar M")</f>
        <v>Premkumar M</v>
      </c>
      <c r="C3556" s="115" t="str">
        <f>IFERROR(__xludf.DUMMYFUNCTION("""COMPUTED_VALUE"""),"EXTERNAL")</f>
        <v>EXTERNAL</v>
      </c>
      <c r="D3556" s="115">
        <f>IFERROR(__xludf.DUMMYFUNCTION("""COMPUTED_VALUE"""),15476.0)</f>
        <v>15476</v>
      </c>
      <c r="E3556" s="115">
        <f>IFERROR(__xludf.DUMMYFUNCTION("""COMPUTED_VALUE"""),793.0)</f>
        <v>793</v>
      </c>
      <c r="F3556" s="115">
        <f>IFERROR(__xludf.DUMMYFUNCTION("""COMPUTED_VALUE"""),1088.0)</f>
        <v>1088</v>
      </c>
      <c r="G3556" s="115">
        <f>IFERROR(__xludf.DUMMYFUNCTION("""COMPUTED_VALUE"""),6.0)</f>
        <v>6</v>
      </c>
      <c r="H3556" s="116">
        <f>IFERROR(__xludf.DUMMYFUNCTION("""COMPUTED_VALUE"""),45907.0)</f>
        <v>45907</v>
      </c>
      <c r="I3556" s="115" t="str">
        <f>IFERROR(__xludf.DUMMYFUNCTION("""COMPUTED_VALUE"""),"11")</f>
        <v>11</v>
      </c>
      <c r="J3556" s="115" t="str">
        <f>IFERROR(__xludf.DUMMYFUNCTION("""COMPUTED_VALUE"""),"Premkumar M2025-09-0711")</f>
        <v>Premkumar M2025-09-0711</v>
      </c>
      <c r="K3556" s="115">
        <f>IFERROR(__xludf.DUMMYFUNCTION("""COMPUTED_VALUE"""),16269.0)</f>
        <v>16269</v>
      </c>
    </row>
    <row r="3557">
      <c r="A3557" s="115" t="str">
        <f>IFERROR(__xludf.DUMMYFUNCTION("""COMPUTED_VALUE"""),"SOUTH")</f>
        <v>SOUTH</v>
      </c>
      <c r="B3557" s="115" t="str">
        <f>IFERROR(__xludf.DUMMYFUNCTION("""COMPUTED_VALUE"""),"Premkumar M")</f>
        <v>Premkumar M</v>
      </c>
      <c r="C3557" s="115" t="str">
        <f>IFERROR(__xludf.DUMMYFUNCTION("""COMPUTED_VALUE"""),"FLIPKART")</f>
        <v>FLIPKART</v>
      </c>
      <c r="D3557" s="115">
        <f>IFERROR(__xludf.DUMMYFUNCTION("""COMPUTED_VALUE"""),163782.0)</f>
        <v>163782</v>
      </c>
      <c r="E3557" s="115">
        <f>IFERROR(__xludf.DUMMYFUNCTION("""COMPUTED_VALUE"""),9011.0)</f>
        <v>9011</v>
      </c>
      <c r="F3557" s="115">
        <f>IFERROR(__xludf.DUMMYFUNCTION("""COMPUTED_VALUE"""),18905.0)</f>
        <v>18905</v>
      </c>
      <c r="G3557" s="115">
        <f>IFERROR(__xludf.DUMMYFUNCTION("""COMPUTED_VALUE"""),218.0)</f>
        <v>218</v>
      </c>
      <c r="H3557" s="116">
        <f>IFERROR(__xludf.DUMMYFUNCTION("""COMPUTED_VALUE"""),45907.0)</f>
        <v>45907</v>
      </c>
      <c r="I3557" s="115" t="str">
        <f>IFERROR(__xludf.DUMMYFUNCTION("""COMPUTED_VALUE"""),"11")</f>
        <v>11</v>
      </c>
      <c r="J3557" s="115" t="str">
        <f>IFERROR(__xludf.DUMMYFUNCTION("""COMPUTED_VALUE"""),"Premkumar M2025-09-0711")</f>
        <v>Premkumar M2025-09-0711</v>
      </c>
      <c r="K3557" s="115">
        <f>IFERROR(__xludf.DUMMYFUNCTION("""COMPUTED_VALUE"""),172793.0)</f>
        <v>172793</v>
      </c>
    </row>
    <row r="3558">
      <c r="A3558" s="115" t="str">
        <f>IFERROR(__xludf.DUMMYFUNCTION("""COMPUTED_VALUE"""),"SOUTH")</f>
        <v>SOUTH</v>
      </c>
      <c r="B3558" s="115" t="str">
        <f>IFERROR(__xludf.DUMMYFUNCTION("""COMPUTED_VALUE"""),"Premkumar M")</f>
        <v>Premkumar M</v>
      </c>
      <c r="C3558" s="115" t="str">
        <f>IFERROR(__xludf.DUMMYFUNCTION("""COMPUTED_VALUE"""),"MYNTRA")</f>
        <v>MYNTRA</v>
      </c>
      <c r="D3558" s="115">
        <f>IFERROR(__xludf.DUMMYFUNCTION("""COMPUTED_VALUE"""),9682.0)</f>
        <v>9682</v>
      </c>
      <c r="E3558" s="115">
        <f>IFERROR(__xludf.DUMMYFUNCTION("""COMPUTED_VALUE"""),1504.0)</f>
        <v>1504</v>
      </c>
      <c r="F3558" s="115">
        <f>IFERROR(__xludf.DUMMYFUNCTION("""COMPUTED_VALUE"""),1277.0)</f>
        <v>1277</v>
      </c>
      <c r="G3558" s="115">
        <f>IFERROR(__xludf.DUMMYFUNCTION("""COMPUTED_VALUE"""),33.0)</f>
        <v>33</v>
      </c>
      <c r="H3558" s="116">
        <f>IFERROR(__xludf.DUMMYFUNCTION("""COMPUTED_VALUE"""),45907.0)</f>
        <v>45907</v>
      </c>
      <c r="I3558" s="115" t="str">
        <f>IFERROR(__xludf.DUMMYFUNCTION("""COMPUTED_VALUE"""),"11")</f>
        <v>11</v>
      </c>
      <c r="J3558" s="115" t="str">
        <f>IFERROR(__xludf.DUMMYFUNCTION("""COMPUTED_VALUE"""),"Premkumar M2025-09-0711")</f>
        <v>Premkumar M2025-09-0711</v>
      </c>
      <c r="K3558" s="115">
        <f>IFERROR(__xludf.DUMMYFUNCTION("""COMPUTED_VALUE"""),11186.0)</f>
        <v>11186</v>
      </c>
    </row>
    <row r="3559">
      <c r="A3559" s="115" t="str">
        <f>IFERROR(__xludf.DUMMYFUNCTION("""COMPUTED_VALUE"""),"SOUTH")</f>
        <v>SOUTH</v>
      </c>
      <c r="B3559" s="115" t="str">
        <f>IFERROR(__xludf.DUMMYFUNCTION("""COMPUTED_VALUE"""),"Vineeth V")</f>
        <v>Vineeth V</v>
      </c>
      <c r="C3559" s="115" t="str">
        <f>IFERROR(__xludf.DUMMYFUNCTION("""COMPUTED_VALUE"""),"EXTERNAL")</f>
        <v>EXTERNAL</v>
      </c>
      <c r="D3559" s="115">
        <f>IFERROR(__xludf.DUMMYFUNCTION("""COMPUTED_VALUE"""),9278.0)</f>
        <v>9278</v>
      </c>
      <c r="E3559" s="115">
        <f>IFERROR(__xludf.DUMMYFUNCTION("""COMPUTED_VALUE"""),211.0)</f>
        <v>211</v>
      </c>
      <c r="F3559" s="115">
        <f>IFERROR(__xludf.DUMMYFUNCTION("""COMPUTED_VALUE"""),342.0)</f>
        <v>342</v>
      </c>
      <c r="G3559" s="115">
        <f>IFERROR(__xludf.DUMMYFUNCTION("""COMPUTED_VALUE"""),2.0)</f>
        <v>2</v>
      </c>
      <c r="H3559" s="116">
        <f>IFERROR(__xludf.DUMMYFUNCTION("""COMPUTED_VALUE"""),45907.0)</f>
        <v>45907</v>
      </c>
      <c r="I3559" s="115" t="str">
        <f>IFERROR(__xludf.DUMMYFUNCTION("""COMPUTED_VALUE"""),"11")</f>
        <v>11</v>
      </c>
      <c r="J3559" s="115" t="str">
        <f>IFERROR(__xludf.DUMMYFUNCTION("""COMPUTED_VALUE"""),"Vineeth V2025-09-0711")</f>
        <v>Vineeth V2025-09-0711</v>
      </c>
      <c r="K3559" s="115">
        <f>IFERROR(__xludf.DUMMYFUNCTION("""COMPUTED_VALUE"""),9489.0)</f>
        <v>9489</v>
      </c>
    </row>
    <row r="3560">
      <c r="A3560" s="115" t="str">
        <f>IFERROR(__xludf.DUMMYFUNCTION("""COMPUTED_VALUE"""),"SOUTH")</f>
        <v>SOUTH</v>
      </c>
      <c r="B3560" s="115" t="str">
        <f>IFERROR(__xludf.DUMMYFUNCTION("""COMPUTED_VALUE"""),"Vineeth V")</f>
        <v>Vineeth V</v>
      </c>
      <c r="C3560" s="115" t="str">
        <f>IFERROR(__xludf.DUMMYFUNCTION("""COMPUTED_VALUE"""),"FLIPKART")</f>
        <v>FLIPKART</v>
      </c>
      <c r="D3560" s="115">
        <f>IFERROR(__xludf.DUMMYFUNCTION("""COMPUTED_VALUE"""),119071.0)</f>
        <v>119071</v>
      </c>
      <c r="E3560" s="115">
        <f>IFERROR(__xludf.DUMMYFUNCTION("""COMPUTED_VALUE"""),5253.0)</f>
        <v>5253</v>
      </c>
      <c r="F3560" s="115">
        <f>IFERROR(__xludf.DUMMYFUNCTION("""COMPUTED_VALUE"""),7254.0)</f>
        <v>7254</v>
      </c>
      <c r="G3560" s="115">
        <f>IFERROR(__xludf.DUMMYFUNCTION("""COMPUTED_VALUE"""),44.0)</f>
        <v>44</v>
      </c>
      <c r="H3560" s="116">
        <f>IFERROR(__xludf.DUMMYFUNCTION("""COMPUTED_VALUE"""),45907.0)</f>
        <v>45907</v>
      </c>
      <c r="I3560" s="115" t="str">
        <f>IFERROR(__xludf.DUMMYFUNCTION("""COMPUTED_VALUE"""),"11")</f>
        <v>11</v>
      </c>
      <c r="J3560" s="115" t="str">
        <f>IFERROR(__xludf.DUMMYFUNCTION("""COMPUTED_VALUE"""),"Vineeth V2025-09-0711")</f>
        <v>Vineeth V2025-09-0711</v>
      </c>
      <c r="K3560" s="115">
        <f>IFERROR(__xludf.DUMMYFUNCTION("""COMPUTED_VALUE"""),124324.0)</f>
        <v>124324</v>
      </c>
    </row>
    <row r="3561">
      <c r="A3561" s="115" t="str">
        <f>IFERROR(__xludf.DUMMYFUNCTION("""COMPUTED_VALUE"""),"SOUTH")</f>
        <v>SOUTH</v>
      </c>
      <c r="B3561" s="115" t="str">
        <f>IFERROR(__xludf.DUMMYFUNCTION("""COMPUTED_VALUE"""),"Vineeth V")</f>
        <v>Vineeth V</v>
      </c>
      <c r="C3561" s="115" t="str">
        <f>IFERROR(__xludf.DUMMYFUNCTION("""COMPUTED_VALUE"""),"MYNTRA")</f>
        <v>MYNTRA</v>
      </c>
      <c r="D3561" s="115">
        <f>IFERROR(__xludf.DUMMYFUNCTION("""COMPUTED_VALUE"""),9544.0)</f>
        <v>9544</v>
      </c>
      <c r="E3561" s="115">
        <f>IFERROR(__xludf.DUMMYFUNCTION("""COMPUTED_VALUE"""),1558.0)</f>
        <v>1558</v>
      </c>
      <c r="F3561" s="115">
        <f>IFERROR(__xludf.DUMMYFUNCTION("""COMPUTED_VALUE"""),683.0)</f>
        <v>683</v>
      </c>
      <c r="G3561" s="115">
        <f>IFERROR(__xludf.DUMMYFUNCTION("""COMPUTED_VALUE"""),10.0)</f>
        <v>10</v>
      </c>
      <c r="H3561" s="116">
        <f>IFERROR(__xludf.DUMMYFUNCTION("""COMPUTED_VALUE"""),45907.0)</f>
        <v>45907</v>
      </c>
      <c r="I3561" s="115" t="str">
        <f>IFERROR(__xludf.DUMMYFUNCTION("""COMPUTED_VALUE"""),"11")</f>
        <v>11</v>
      </c>
      <c r="J3561" s="115" t="str">
        <f>IFERROR(__xludf.DUMMYFUNCTION("""COMPUTED_VALUE"""),"Vineeth V2025-09-0711")</f>
        <v>Vineeth V2025-09-0711</v>
      </c>
      <c r="K3561" s="115">
        <f>IFERROR(__xludf.DUMMYFUNCTION("""COMPUTED_VALUE"""),11102.0)</f>
        <v>11102</v>
      </c>
    </row>
    <row r="3562">
      <c r="A3562" s="115" t="str">
        <f>IFERROR(__xludf.DUMMYFUNCTION("""COMPUTED_VALUE"""),"WEST")</f>
        <v>WEST</v>
      </c>
      <c r="B3562" s="115" t="str">
        <f>IFERROR(__xludf.DUMMYFUNCTION("""COMPUTED_VALUE"""),"Ashish Jakar")</f>
        <v>Ashish Jakar</v>
      </c>
      <c r="C3562" s="115" t="str">
        <f>IFERROR(__xludf.DUMMYFUNCTION("""COMPUTED_VALUE"""),"EXTERNAL")</f>
        <v>EXTERNAL</v>
      </c>
      <c r="D3562" s="115">
        <f>IFERROR(__xludf.DUMMYFUNCTION("""COMPUTED_VALUE"""),37309.0)</f>
        <v>37309</v>
      </c>
      <c r="E3562" s="115">
        <f>IFERROR(__xludf.DUMMYFUNCTION("""COMPUTED_VALUE"""),4310.0)</f>
        <v>4310</v>
      </c>
      <c r="F3562" s="115">
        <f>IFERROR(__xludf.DUMMYFUNCTION("""COMPUTED_VALUE"""),2596.0)</f>
        <v>2596</v>
      </c>
      <c r="G3562" s="115">
        <f>IFERROR(__xludf.DUMMYFUNCTION("""COMPUTED_VALUE"""),158.0)</f>
        <v>158</v>
      </c>
      <c r="H3562" s="116">
        <f>IFERROR(__xludf.DUMMYFUNCTION("""COMPUTED_VALUE"""),45907.0)</f>
        <v>45907</v>
      </c>
      <c r="I3562" s="115" t="str">
        <f>IFERROR(__xludf.DUMMYFUNCTION("""COMPUTED_VALUE"""),"11")</f>
        <v>11</v>
      </c>
      <c r="J3562" s="115" t="str">
        <f>IFERROR(__xludf.DUMMYFUNCTION("""COMPUTED_VALUE"""),"Ashish Jakar2025-09-0711")</f>
        <v>Ashish Jakar2025-09-0711</v>
      </c>
      <c r="K3562" s="115">
        <f>IFERROR(__xludf.DUMMYFUNCTION("""COMPUTED_VALUE"""),41619.0)</f>
        <v>41619</v>
      </c>
    </row>
    <row r="3563">
      <c r="A3563" s="115" t="str">
        <f>IFERROR(__xludf.DUMMYFUNCTION("""COMPUTED_VALUE"""),"WEST")</f>
        <v>WEST</v>
      </c>
      <c r="B3563" s="115" t="str">
        <f>IFERROR(__xludf.DUMMYFUNCTION("""COMPUTED_VALUE"""),"Ashish Jakar")</f>
        <v>Ashish Jakar</v>
      </c>
      <c r="C3563" s="115" t="str">
        <f>IFERROR(__xludf.DUMMYFUNCTION("""COMPUTED_VALUE"""),"FLIPKART")</f>
        <v>FLIPKART</v>
      </c>
      <c r="D3563" s="115">
        <f>IFERROR(__xludf.DUMMYFUNCTION("""COMPUTED_VALUE"""),244065.0)</f>
        <v>244065</v>
      </c>
      <c r="E3563" s="115">
        <f>IFERROR(__xludf.DUMMYFUNCTION("""COMPUTED_VALUE"""),18950.0)</f>
        <v>18950</v>
      </c>
      <c r="F3563" s="115">
        <f>IFERROR(__xludf.DUMMYFUNCTION("""COMPUTED_VALUE"""),31731.0)</f>
        <v>31731</v>
      </c>
      <c r="G3563" s="115">
        <f>IFERROR(__xludf.DUMMYFUNCTION("""COMPUTED_VALUE"""),719.0)</f>
        <v>719</v>
      </c>
      <c r="H3563" s="116">
        <f>IFERROR(__xludf.DUMMYFUNCTION("""COMPUTED_VALUE"""),45907.0)</f>
        <v>45907</v>
      </c>
      <c r="I3563" s="115" t="str">
        <f>IFERROR(__xludf.DUMMYFUNCTION("""COMPUTED_VALUE"""),"11")</f>
        <v>11</v>
      </c>
      <c r="J3563" s="115" t="str">
        <f>IFERROR(__xludf.DUMMYFUNCTION("""COMPUTED_VALUE"""),"Ashish Jakar2025-09-0711")</f>
        <v>Ashish Jakar2025-09-0711</v>
      </c>
      <c r="K3563" s="115">
        <f>IFERROR(__xludf.DUMMYFUNCTION("""COMPUTED_VALUE"""),263015.0)</f>
        <v>263015</v>
      </c>
    </row>
    <row r="3564">
      <c r="A3564" s="115" t="str">
        <f>IFERROR(__xludf.DUMMYFUNCTION("""COMPUTED_VALUE"""),"WEST")</f>
        <v>WEST</v>
      </c>
      <c r="B3564" s="115" t="str">
        <f>IFERROR(__xludf.DUMMYFUNCTION("""COMPUTED_VALUE"""),"Ashish Jakar")</f>
        <v>Ashish Jakar</v>
      </c>
      <c r="C3564" s="115" t="str">
        <f>IFERROR(__xludf.DUMMYFUNCTION("""COMPUTED_VALUE"""),"MYNTRA")</f>
        <v>MYNTRA</v>
      </c>
      <c r="D3564" s="115">
        <f>IFERROR(__xludf.DUMMYFUNCTION("""COMPUTED_VALUE"""),31096.0)</f>
        <v>31096</v>
      </c>
      <c r="E3564" s="115">
        <f>IFERROR(__xludf.DUMMYFUNCTION("""COMPUTED_VALUE"""),6860.0)</f>
        <v>6860</v>
      </c>
      <c r="F3564" s="115">
        <f>IFERROR(__xludf.DUMMYFUNCTION("""COMPUTED_VALUE"""),4975.0)</f>
        <v>4975</v>
      </c>
      <c r="G3564" s="115">
        <f>IFERROR(__xludf.DUMMYFUNCTION("""COMPUTED_VALUE"""),331.0)</f>
        <v>331</v>
      </c>
      <c r="H3564" s="116">
        <f>IFERROR(__xludf.DUMMYFUNCTION("""COMPUTED_VALUE"""),45907.0)</f>
        <v>45907</v>
      </c>
      <c r="I3564" s="115" t="str">
        <f>IFERROR(__xludf.DUMMYFUNCTION("""COMPUTED_VALUE"""),"11")</f>
        <v>11</v>
      </c>
      <c r="J3564" s="115" t="str">
        <f>IFERROR(__xludf.DUMMYFUNCTION("""COMPUTED_VALUE"""),"Ashish Jakar2025-09-0711")</f>
        <v>Ashish Jakar2025-09-0711</v>
      </c>
      <c r="K3564" s="115">
        <f>IFERROR(__xludf.DUMMYFUNCTION("""COMPUTED_VALUE"""),37956.0)</f>
        <v>37956</v>
      </c>
    </row>
    <row r="3565">
      <c r="A3565" s="115" t="str">
        <f>IFERROR(__xludf.DUMMYFUNCTION("""COMPUTED_VALUE"""),"WEST")</f>
        <v>WEST</v>
      </c>
      <c r="B3565" s="115" t="str">
        <f>IFERROR(__xludf.DUMMYFUNCTION("""COMPUTED_VALUE"""),"Ashvani Bhatt")</f>
        <v>Ashvani Bhatt</v>
      </c>
      <c r="C3565" s="115" t="str">
        <f>IFERROR(__xludf.DUMMYFUNCTION("""COMPUTED_VALUE"""),"EXTERNAL")</f>
        <v>EXTERNAL</v>
      </c>
      <c r="D3565" s="115">
        <f>IFERROR(__xludf.DUMMYFUNCTION("""COMPUTED_VALUE"""),21449.0)</f>
        <v>21449</v>
      </c>
      <c r="E3565" s="115">
        <f>IFERROR(__xludf.DUMMYFUNCTION("""COMPUTED_VALUE"""),1518.0)</f>
        <v>1518</v>
      </c>
      <c r="F3565" s="115">
        <f>IFERROR(__xludf.DUMMYFUNCTION("""COMPUTED_VALUE"""),2072.0)</f>
        <v>2072</v>
      </c>
      <c r="G3565" s="115">
        <f>IFERROR(__xludf.DUMMYFUNCTION("""COMPUTED_VALUE"""),35.0)</f>
        <v>35</v>
      </c>
      <c r="H3565" s="116">
        <f>IFERROR(__xludf.DUMMYFUNCTION("""COMPUTED_VALUE"""),45907.0)</f>
        <v>45907</v>
      </c>
      <c r="I3565" s="115" t="str">
        <f>IFERROR(__xludf.DUMMYFUNCTION("""COMPUTED_VALUE"""),"11")</f>
        <v>11</v>
      </c>
      <c r="J3565" s="115" t="str">
        <f>IFERROR(__xludf.DUMMYFUNCTION("""COMPUTED_VALUE"""),"Ashvani Bhatt2025-09-0711")</f>
        <v>Ashvani Bhatt2025-09-0711</v>
      </c>
      <c r="K3565" s="115">
        <f>IFERROR(__xludf.DUMMYFUNCTION("""COMPUTED_VALUE"""),22967.0)</f>
        <v>22967</v>
      </c>
    </row>
    <row r="3566">
      <c r="A3566" s="115" t="str">
        <f>IFERROR(__xludf.DUMMYFUNCTION("""COMPUTED_VALUE"""),"WEST")</f>
        <v>WEST</v>
      </c>
      <c r="B3566" s="115" t="str">
        <f>IFERROR(__xludf.DUMMYFUNCTION("""COMPUTED_VALUE"""),"Ashvani Bhatt")</f>
        <v>Ashvani Bhatt</v>
      </c>
      <c r="C3566" s="115" t="str">
        <f>IFERROR(__xludf.DUMMYFUNCTION("""COMPUTED_VALUE"""),"FLIPKART")</f>
        <v>FLIPKART</v>
      </c>
      <c r="D3566" s="115">
        <f>IFERROR(__xludf.DUMMYFUNCTION("""COMPUTED_VALUE"""),166403.0)</f>
        <v>166403</v>
      </c>
      <c r="E3566" s="115">
        <f>IFERROR(__xludf.DUMMYFUNCTION("""COMPUTED_VALUE"""),14582.0)</f>
        <v>14582</v>
      </c>
      <c r="F3566" s="115">
        <f>IFERROR(__xludf.DUMMYFUNCTION("""COMPUTED_VALUE"""),27687.0)</f>
        <v>27687</v>
      </c>
      <c r="G3566" s="115">
        <f>IFERROR(__xludf.DUMMYFUNCTION("""COMPUTED_VALUE"""),518.0)</f>
        <v>518</v>
      </c>
      <c r="H3566" s="116">
        <f>IFERROR(__xludf.DUMMYFUNCTION("""COMPUTED_VALUE"""),45907.0)</f>
        <v>45907</v>
      </c>
      <c r="I3566" s="115" t="str">
        <f>IFERROR(__xludf.DUMMYFUNCTION("""COMPUTED_VALUE"""),"11")</f>
        <v>11</v>
      </c>
      <c r="J3566" s="115" t="str">
        <f>IFERROR(__xludf.DUMMYFUNCTION("""COMPUTED_VALUE"""),"Ashvani Bhatt2025-09-0711")</f>
        <v>Ashvani Bhatt2025-09-0711</v>
      </c>
      <c r="K3566" s="115">
        <f>IFERROR(__xludf.DUMMYFUNCTION("""COMPUTED_VALUE"""),180985.0)</f>
        <v>180985</v>
      </c>
    </row>
    <row r="3567">
      <c r="A3567" s="115" t="str">
        <f>IFERROR(__xludf.DUMMYFUNCTION("""COMPUTED_VALUE"""),"WEST")</f>
        <v>WEST</v>
      </c>
      <c r="B3567" s="115" t="str">
        <f>IFERROR(__xludf.DUMMYFUNCTION("""COMPUTED_VALUE"""),"Ashvani Bhatt")</f>
        <v>Ashvani Bhatt</v>
      </c>
      <c r="C3567" s="115" t="str">
        <f>IFERROR(__xludf.DUMMYFUNCTION("""COMPUTED_VALUE"""),"MYNTRA")</f>
        <v>MYNTRA</v>
      </c>
      <c r="D3567" s="115">
        <f>IFERROR(__xludf.DUMMYFUNCTION("""COMPUTED_VALUE"""),22699.0)</f>
        <v>22699</v>
      </c>
      <c r="E3567" s="115">
        <f>IFERROR(__xludf.DUMMYFUNCTION("""COMPUTED_VALUE"""),4506.0)</f>
        <v>4506</v>
      </c>
      <c r="F3567" s="115">
        <f>IFERROR(__xludf.DUMMYFUNCTION("""COMPUTED_VALUE"""),4796.0)</f>
        <v>4796</v>
      </c>
      <c r="G3567" s="115">
        <f>IFERROR(__xludf.DUMMYFUNCTION("""COMPUTED_VALUE"""),198.0)</f>
        <v>198</v>
      </c>
      <c r="H3567" s="116">
        <f>IFERROR(__xludf.DUMMYFUNCTION("""COMPUTED_VALUE"""),45907.0)</f>
        <v>45907</v>
      </c>
      <c r="I3567" s="115" t="str">
        <f>IFERROR(__xludf.DUMMYFUNCTION("""COMPUTED_VALUE"""),"11")</f>
        <v>11</v>
      </c>
      <c r="J3567" s="115" t="str">
        <f>IFERROR(__xludf.DUMMYFUNCTION("""COMPUTED_VALUE"""),"Ashvani Bhatt2025-09-0711")</f>
        <v>Ashvani Bhatt2025-09-0711</v>
      </c>
      <c r="K3567" s="115">
        <f>IFERROR(__xludf.DUMMYFUNCTION("""COMPUTED_VALUE"""),27205.0)</f>
        <v>27205</v>
      </c>
    </row>
    <row r="3568">
      <c r="A3568" s="115"/>
      <c r="B3568" s="115"/>
      <c r="C3568" s="115" t="str">
        <f>IFERROR(__xludf.DUMMYFUNCTION("""COMPUTED_VALUE"""),"EXTERNAL")</f>
        <v>EXTERNAL</v>
      </c>
      <c r="D3568" s="115">
        <f>IFERROR(__xludf.DUMMYFUNCTION("""COMPUTED_VALUE"""),437.0)</f>
        <v>437</v>
      </c>
      <c r="E3568" s="115">
        <f>IFERROR(__xludf.DUMMYFUNCTION("""COMPUTED_VALUE"""),73.0)</f>
        <v>73</v>
      </c>
      <c r="F3568" s="115">
        <f>IFERROR(__xludf.DUMMYFUNCTION("""COMPUTED_VALUE"""),17.0)</f>
        <v>17</v>
      </c>
      <c r="G3568" s="115">
        <f>IFERROR(__xludf.DUMMYFUNCTION("""COMPUTED_VALUE"""),12.0)</f>
        <v>12</v>
      </c>
      <c r="H3568" s="116">
        <f>IFERROR(__xludf.DUMMYFUNCTION("""COMPUTED_VALUE"""),45907.0)</f>
        <v>45907</v>
      </c>
      <c r="I3568" s="115" t="str">
        <f>IFERROR(__xludf.DUMMYFUNCTION("""COMPUTED_VALUE"""),"11")</f>
        <v>11</v>
      </c>
      <c r="J3568" s="115" t="str">
        <f>IFERROR(__xludf.DUMMYFUNCTION("""COMPUTED_VALUE"""),"2025-09-0711")</f>
        <v>2025-09-0711</v>
      </c>
      <c r="K3568" s="115">
        <f>IFERROR(__xludf.DUMMYFUNCTION("""COMPUTED_VALUE"""),510.0)</f>
        <v>510</v>
      </c>
    </row>
    <row r="3569">
      <c r="A3569" s="115"/>
      <c r="B3569" s="115"/>
      <c r="C3569" s="115" t="str">
        <f>IFERROR(__xludf.DUMMYFUNCTION("""COMPUTED_VALUE"""),"FLIPKART")</f>
        <v>FLIPKART</v>
      </c>
      <c r="D3569" s="115">
        <f>IFERROR(__xludf.DUMMYFUNCTION("""COMPUTED_VALUE"""),3185.0)</f>
        <v>3185</v>
      </c>
      <c r="E3569" s="115">
        <f>IFERROR(__xludf.DUMMYFUNCTION("""COMPUTED_VALUE"""),362.0)</f>
        <v>362</v>
      </c>
      <c r="F3569" s="115">
        <f>IFERROR(__xludf.DUMMYFUNCTION("""COMPUTED_VALUE"""),154.0)</f>
        <v>154</v>
      </c>
      <c r="G3569" s="115">
        <f>IFERROR(__xludf.DUMMYFUNCTION("""COMPUTED_VALUE"""),75.0)</f>
        <v>75</v>
      </c>
      <c r="H3569" s="116">
        <f>IFERROR(__xludf.DUMMYFUNCTION("""COMPUTED_VALUE"""),45907.0)</f>
        <v>45907</v>
      </c>
      <c r="I3569" s="115" t="str">
        <f>IFERROR(__xludf.DUMMYFUNCTION("""COMPUTED_VALUE"""),"11")</f>
        <v>11</v>
      </c>
      <c r="J3569" s="115" t="str">
        <f>IFERROR(__xludf.DUMMYFUNCTION("""COMPUTED_VALUE"""),"2025-09-0711")</f>
        <v>2025-09-0711</v>
      </c>
      <c r="K3569" s="115">
        <f>IFERROR(__xludf.DUMMYFUNCTION("""COMPUTED_VALUE"""),3547.0)</f>
        <v>3547</v>
      </c>
    </row>
    <row r="3570">
      <c r="A3570" s="115"/>
      <c r="B3570" s="115"/>
      <c r="C3570" s="115" t="str">
        <f>IFERROR(__xludf.DUMMYFUNCTION("""COMPUTED_VALUE"""),"MYNTRA")</f>
        <v>MYNTRA</v>
      </c>
      <c r="D3570" s="115">
        <f>IFERROR(__xludf.DUMMYFUNCTION("""COMPUTED_VALUE"""),702.0)</f>
        <v>702</v>
      </c>
      <c r="E3570" s="115">
        <f>IFERROR(__xludf.DUMMYFUNCTION("""COMPUTED_VALUE"""),169.0)</f>
        <v>169</v>
      </c>
      <c r="F3570" s="115">
        <f>IFERROR(__xludf.DUMMYFUNCTION("""COMPUTED_VALUE"""),40.0)</f>
        <v>40</v>
      </c>
      <c r="G3570" s="115">
        <f>IFERROR(__xludf.DUMMYFUNCTION("""COMPUTED_VALUE"""),19.0)</f>
        <v>19</v>
      </c>
      <c r="H3570" s="116">
        <f>IFERROR(__xludf.DUMMYFUNCTION("""COMPUTED_VALUE"""),45907.0)</f>
        <v>45907</v>
      </c>
      <c r="I3570" s="115" t="str">
        <f>IFERROR(__xludf.DUMMYFUNCTION("""COMPUTED_VALUE"""),"11")</f>
        <v>11</v>
      </c>
      <c r="J3570" s="115" t="str">
        <f>IFERROR(__xludf.DUMMYFUNCTION("""COMPUTED_VALUE"""),"2025-09-0711")</f>
        <v>2025-09-0711</v>
      </c>
      <c r="K3570" s="115">
        <f>IFERROR(__xludf.DUMMYFUNCTION("""COMPUTED_VALUE"""),871.0)</f>
        <v>871</v>
      </c>
    </row>
    <row r="3571">
      <c r="A3571" s="115" t="str">
        <f>IFERROR(__xludf.DUMMYFUNCTION("""COMPUTED_VALUE"""),"EAST")</f>
        <v>EAST</v>
      </c>
      <c r="B3571" s="115" t="str">
        <f>IFERROR(__xludf.DUMMYFUNCTION("""COMPUTED_VALUE"""),"Ashish Ranjan")</f>
        <v>Ashish Ranjan</v>
      </c>
      <c r="C3571" s="115" t="str">
        <f>IFERROR(__xludf.DUMMYFUNCTION("""COMPUTED_VALUE"""),"EXTERNAL")</f>
        <v>EXTERNAL</v>
      </c>
      <c r="D3571" s="115">
        <f>IFERROR(__xludf.DUMMYFUNCTION("""COMPUTED_VALUE"""),35997.0)</f>
        <v>35997</v>
      </c>
      <c r="E3571" s="115">
        <f>IFERROR(__xludf.DUMMYFUNCTION("""COMPUTED_VALUE"""),2659.0)</f>
        <v>2659</v>
      </c>
      <c r="F3571" s="115">
        <f>IFERROR(__xludf.DUMMYFUNCTION("""COMPUTED_VALUE"""),8645.0)</f>
        <v>8645</v>
      </c>
      <c r="G3571" s="115">
        <f>IFERROR(__xludf.DUMMYFUNCTION("""COMPUTED_VALUE"""),270.0)</f>
        <v>270</v>
      </c>
      <c r="H3571" s="116">
        <f>IFERROR(__xludf.DUMMYFUNCTION("""COMPUTED_VALUE"""),45907.0)</f>
        <v>45907</v>
      </c>
      <c r="I3571" s="115" t="str">
        <f>IFERROR(__xludf.DUMMYFUNCTION("""COMPUTED_VALUE"""),"12")</f>
        <v>12</v>
      </c>
      <c r="J3571" s="115" t="str">
        <f>IFERROR(__xludf.DUMMYFUNCTION("""COMPUTED_VALUE"""),"Ashish Ranjan2025-09-0712")</f>
        <v>Ashish Ranjan2025-09-0712</v>
      </c>
      <c r="K3571" s="115">
        <f>IFERROR(__xludf.DUMMYFUNCTION("""COMPUTED_VALUE"""),38656.0)</f>
        <v>38656</v>
      </c>
    </row>
    <row r="3572">
      <c r="A3572" s="115" t="str">
        <f>IFERROR(__xludf.DUMMYFUNCTION("""COMPUTED_VALUE"""),"EAST")</f>
        <v>EAST</v>
      </c>
      <c r="B3572" s="115" t="str">
        <f>IFERROR(__xludf.DUMMYFUNCTION("""COMPUTED_VALUE"""),"Ashish Ranjan")</f>
        <v>Ashish Ranjan</v>
      </c>
      <c r="C3572" s="115" t="str">
        <f>IFERROR(__xludf.DUMMYFUNCTION("""COMPUTED_VALUE"""),"FLIPKART")</f>
        <v>FLIPKART</v>
      </c>
      <c r="D3572" s="115">
        <f>IFERROR(__xludf.DUMMYFUNCTION("""COMPUTED_VALUE"""),527487.0)</f>
        <v>527487</v>
      </c>
      <c r="E3572" s="115">
        <f>IFERROR(__xludf.DUMMYFUNCTION("""COMPUTED_VALUE"""),55363.0)</f>
        <v>55363</v>
      </c>
      <c r="F3572" s="115">
        <f>IFERROR(__xludf.DUMMYFUNCTION("""COMPUTED_VALUE"""),202787.0)</f>
        <v>202787</v>
      </c>
      <c r="G3572" s="115">
        <f>IFERROR(__xludf.DUMMYFUNCTION("""COMPUTED_VALUE"""),7156.0)</f>
        <v>7156</v>
      </c>
      <c r="H3572" s="116">
        <f>IFERROR(__xludf.DUMMYFUNCTION("""COMPUTED_VALUE"""),45907.0)</f>
        <v>45907</v>
      </c>
      <c r="I3572" s="115" t="str">
        <f>IFERROR(__xludf.DUMMYFUNCTION("""COMPUTED_VALUE"""),"12")</f>
        <v>12</v>
      </c>
      <c r="J3572" s="115" t="str">
        <f>IFERROR(__xludf.DUMMYFUNCTION("""COMPUTED_VALUE"""),"Ashish Ranjan2025-09-0712")</f>
        <v>Ashish Ranjan2025-09-0712</v>
      </c>
      <c r="K3572" s="115">
        <f>IFERROR(__xludf.DUMMYFUNCTION("""COMPUTED_VALUE"""),582850.0)</f>
        <v>582850</v>
      </c>
    </row>
    <row r="3573">
      <c r="A3573" s="115" t="str">
        <f>IFERROR(__xludf.DUMMYFUNCTION("""COMPUTED_VALUE"""),"EAST")</f>
        <v>EAST</v>
      </c>
      <c r="B3573" s="115" t="str">
        <f>IFERROR(__xludf.DUMMYFUNCTION("""COMPUTED_VALUE"""),"Ashish Ranjan")</f>
        <v>Ashish Ranjan</v>
      </c>
      <c r="C3573" s="115" t="str">
        <f>IFERROR(__xludf.DUMMYFUNCTION("""COMPUTED_VALUE"""),"MYNTRA")</f>
        <v>MYNTRA</v>
      </c>
      <c r="D3573" s="115">
        <f>IFERROR(__xludf.DUMMYFUNCTION("""COMPUTED_VALUE"""),57940.0)</f>
        <v>57940</v>
      </c>
      <c r="E3573" s="115">
        <f>IFERROR(__xludf.DUMMYFUNCTION("""COMPUTED_VALUE"""),12546.0)</f>
        <v>12546</v>
      </c>
      <c r="F3573" s="115">
        <f>IFERROR(__xludf.DUMMYFUNCTION("""COMPUTED_VALUE"""),23038.0)</f>
        <v>23038</v>
      </c>
      <c r="G3573" s="115">
        <f>IFERROR(__xludf.DUMMYFUNCTION("""COMPUTED_VALUE"""),1658.0)</f>
        <v>1658</v>
      </c>
      <c r="H3573" s="116">
        <f>IFERROR(__xludf.DUMMYFUNCTION("""COMPUTED_VALUE"""),45907.0)</f>
        <v>45907</v>
      </c>
      <c r="I3573" s="115" t="str">
        <f>IFERROR(__xludf.DUMMYFUNCTION("""COMPUTED_VALUE"""),"12")</f>
        <v>12</v>
      </c>
      <c r="J3573" s="115" t="str">
        <f>IFERROR(__xludf.DUMMYFUNCTION("""COMPUTED_VALUE"""),"Ashish Ranjan2025-09-0712")</f>
        <v>Ashish Ranjan2025-09-0712</v>
      </c>
      <c r="K3573" s="115">
        <f>IFERROR(__xludf.DUMMYFUNCTION("""COMPUTED_VALUE"""),70486.0)</f>
        <v>70486</v>
      </c>
    </row>
    <row r="3574">
      <c r="A3574" s="115" t="str">
        <f>IFERROR(__xludf.DUMMYFUNCTION("""COMPUTED_VALUE"""),"EAST")</f>
        <v>EAST</v>
      </c>
      <c r="B3574" s="115" t="str">
        <f>IFERROR(__xludf.DUMMYFUNCTION("""COMPUTED_VALUE"""),"Girish Chand")</f>
        <v>Girish Chand</v>
      </c>
      <c r="C3574" s="115" t="str">
        <f>IFERROR(__xludf.DUMMYFUNCTION("""COMPUTED_VALUE"""),"EXTERNAL")</f>
        <v>EXTERNAL</v>
      </c>
      <c r="D3574" s="115">
        <f>IFERROR(__xludf.DUMMYFUNCTION("""COMPUTED_VALUE"""),21804.0)</f>
        <v>21804</v>
      </c>
      <c r="E3574" s="115">
        <f>IFERROR(__xludf.DUMMYFUNCTION("""COMPUTED_VALUE"""),1893.0)</f>
        <v>1893</v>
      </c>
      <c r="F3574" s="115">
        <f>IFERROR(__xludf.DUMMYFUNCTION("""COMPUTED_VALUE"""),3253.0)</f>
        <v>3253</v>
      </c>
      <c r="G3574" s="115">
        <f>IFERROR(__xludf.DUMMYFUNCTION("""COMPUTED_VALUE"""),48.0)</f>
        <v>48</v>
      </c>
      <c r="H3574" s="116">
        <f>IFERROR(__xludf.DUMMYFUNCTION("""COMPUTED_VALUE"""),45907.0)</f>
        <v>45907</v>
      </c>
      <c r="I3574" s="115" t="str">
        <f>IFERROR(__xludf.DUMMYFUNCTION("""COMPUTED_VALUE"""),"12")</f>
        <v>12</v>
      </c>
      <c r="J3574" s="115" t="str">
        <f>IFERROR(__xludf.DUMMYFUNCTION("""COMPUTED_VALUE"""),"Girish Chand2025-09-0712")</f>
        <v>Girish Chand2025-09-0712</v>
      </c>
      <c r="K3574" s="115">
        <f>IFERROR(__xludf.DUMMYFUNCTION("""COMPUTED_VALUE"""),23697.0)</f>
        <v>23697</v>
      </c>
    </row>
    <row r="3575">
      <c r="A3575" s="115" t="str">
        <f>IFERROR(__xludf.DUMMYFUNCTION("""COMPUTED_VALUE"""),"EAST")</f>
        <v>EAST</v>
      </c>
      <c r="B3575" s="115" t="str">
        <f>IFERROR(__xludf.DUMMYFUNCTION("""COMPUTED_VALUE"""),"Girish Chand")</f>
        <v>Girish Chand</v>
      </c>
      <c r="C3575" s="115" t="str">
        <f>IFERROR(__xludf.DUMMYFUNCTION("""COMPUTED_VALUE"""),"FLIPKART")</f>
        <v>FLIPKART</v>
      </c>
      <c r="D3575" s="115">
        <f>IFERROR(__xludf.DUMMYFUNCTION("""COMPUTED_VALUE"""),382941.0)</f>
        <v>382941</v>
      </c>
      <c r="E3575" s="115">
        <f>IFERROR(__xludf.DUMMYFUNCTION("""COMPUTED_VALUE"""),36195.0)</f>
        <v>36195</v>
      </c>
      <c r="F3575" s="115">
        <f>IFERROR(__xludf.DUMMYFUNCTION("""COMPUTED_VALUE"""),101384.0)</f>
        <v>101384</v>
      </c>
      <c r="G3575" s="115">
        <f>IFERROR(__xludf.DUMMYFUNCTION("""COMPUTED_VALUE"""),2352.0)</f>
        <v>2352</v>
      </c>
      <c r="H3575" s="116">
        <f>IFERROR(__xludf.DUMMYFUNCTION("""COMPUTED_VALUE"""),45907.0)</f>
        <v>45907</v>
      </c>
      <c r="I3575" s="115" t="str">
        <f>IFERROR(__xludf.DUMMYFUNCTION("""COMPUTED_VALUE"""),"12")</f>
        <v>12</v>
      </c>
      <c r="J3575" s="115" t="str">
        <f>IFERROR(__xludf.DUMMYFUNCTION("""COMPUTED_VALUE"""),"Girish Chand2025-09-0712")</f>
        <v>Girish Chand2025-09-0712</v>
      </c>
      <c r="K3575" s="115">
        <f>IFERROR(__xludf.DUMMYFUNCTION("""COMPUTED_VALUE"""),419136.0)</f>
        <v>419136</v>
      </c>
    </row>
    <row r="3576">
      <c r="A3576" s="115" t="str">
        <f>IFERROR(__xludf.DUMMYFUNCTION("""COMPUTED_VALUE"""),"EAST")</f>
        <v>EAST</v>
      </c>
      <c r="B3576" s="115" t="str">
        <f>IFERROR(__xludf.DUMMYFUNCTION("""COMPUTED_VALUE"""),"Girish Chand")</f>
        <v>Girish Chand</v>
      </c>
      <c r="C3576" s="115" t="str">
        <f>IFERROR(__xludf.DUMMYFUNCTION("""COMPUTED_VALUE"""),"MYNTRA")</f>
        <v>MYNTRA</v>
      </c>
      <c r="D3576" s="115">
        <f>IFERROR(__xludf.DUMMYFUNCTION("""COMPUTED_VALUE"""),33963.0)</f>
        <v>33963</v>
      </c>
      <c r="E3576" s="115">
        <f>IFERROR(__xludf.DUMMYFUNCTION("""COMPUTED_VALUE"""),6702.0)</f>
        <v>6702</v>
      </c>
      <c r="F3576" s="115">
        <f>IFERROR(__xludf.DUMMYFUNCTION("""COMPUTED_VALUE"""),10433.0)</f>
        <v>10433</v>
      </c>
      <c r="G3576" s="115">
        <f>IFERROR(__xludf.DUMMYFUNCTION("""COMPUTED_VALUE"""),617.0)</f>
        <v>617</v>
      </c>
      <c r="H3576" s="116">
        <f>IFERROR(__xludf.DUMMYFUNCTION("""COMPUTED_VALUE"""),45907.0)</f>
        <v>45907</v>
      </c>
      <c r="I3576" s="115" t="str">
        <f>IFERROR(__xludf.DUMMYFUNCTION("""COMPUTED_VALUE"""),"12")</f>
        <v>12</v>
      </c>
      <c r="J3576" s="115" t="str">
        <f>IFERROR(__xludf.DUMMYFUNCTION("""COMPUTED_VALUE"""),"Girish Chand2025-09-0712")</f>
        <v>Girish Chand2025-09-0712</v>
      </c>
      <c r="K3576" s="115">
        <f>IFERROR(__xludf.DUMMYFUNCTION("""COMPUTED_VALUE"""),40665.0)</f>
        <v>40665</v>
      </c>
    </row>
    <row r="3577">
      <c r="A3577" s="115" t="str">
        <f>IFERROR(__xludf.DUMMYFUNCTION("""COMPUTED_VALUE"""),"EAST")</f>
        <v>EAST</v>
      </c>
      <c r="B3577" s="115" t="str">
        <f>IFERROR(__xludf.DUMMYFUNCTION("""COMPUTED_VALUE"""),"Parag Kashyap")</f>
        <v>Parag Kashyap</v>
      </c>
      <c r="C3577" s="115" t="str">
        <f>IFERROR(__xludf.DUMMYFUNCTION("""COMPUTED_VALUE"""),"EXTERNAL")</f>
        <v>EXTERNAL</v>
      </c>
      <c r="D3577" s="115">
        <f>IFERROR(__xludf.DUMMYFUNCTION("""COMPUTED_VALUE"""),11364.0)</f>
        <v>11364</v>
      </c>
      <c r="E3577" s="115">
        <f>IFERROR(__xludf.DUMMYFUNCTION("""COMPUTED_VALUE"""),564.0)</f>
        <v>564</v>
      </c>
      <c r="F3577" s="115">
        <f>IFERROR(__xludf.DUMMYFUNCTION("""COMPUTED_VALUE"""),1173.0)</f>
        <v>1173</v>
      </c>
      <c r="G3577" s="115">
        <f>IFERROR(__xludf.DUMMYFUNCTION("""COMPUTED_VALUE"""),7.0)</f>
        <v>7</v>
      </c>
      <c r="H3577" s="116">
        <f>IFERROR(__xludf.DUMMYFUNCTION("""COMPUTED_VALUE"""),45907.0)</f>
        <v>45907</v>
      </c>
      <c r="I3577" s="115" t="str">
        <f>IFERROR(__xludf.DUMMYFUNCTION("""COMPUTED_VALUE"""),"12")</f>
        <v>12</v>
      </c>
      <c r="J3577" s="115" t="str">
        <f>IFERROR(__xludf.DUMMYFUNCTION("""COMPUTED_VALUE"""),"Parag Kashyap2025-09-0712")</f>
        <v>Parag Kashyap2025-09-0712</v>
      </c>
      <c r="K3577" s="115">
        <f>IFERROR(__xludf.DUMMYFUNCTION("""COMPUTED_VALUE"""),11928.0)</f>
        <v>11928</v>
      </c>
    </row>
    <row r="3578">
      <c r="A3578" s="115" t="str">
        <f>IFERROR(__xludf.DUMMYFUNCTION("""COMPUTED_VALUE"""),"EAST")</f>
        <v>EAST</v>
      </c>
      <c r="B3578" s="115" t="str">
        <f>IFERROR(__xludf.DUMMYFUNCTION("""COMPUTED_VALUE"""),"Parag Kashyap")</f>
        <v>Parag Kashyap</v>
      </c>
      <c r="C3578" s="115" t="str">
        <f>IFERROR(__xludf.DUMMYFUNCTION("""COMPUTED_VALUE"""),"FLIPKART")</f>
        <v>FLIPKART</v>
      </c>
      <c r="D3578" s="115">
        <f>IFERROR(__xludf.DUMMYFUNCTION("""COMPUTED_VALUE"""),206205.0)</f>
        <v>206205</v>
      </c>
      <c r="E3578" s="115">
        <f>IFERROR(__xludf.DUMMYFUNCTION("""COMPUTED_VALUE"""),11820.0)</f>
        <v>11820</v>
      </c>
      <c r="F3578" s="115">
        <f>IFERROR(__xludf.DUMMYFUNCTION("""COMPUTED_VALUE"""),42985.0)</f>
        <v>42985</v>
      </c>
      <c r="G3578" s="115">
        <f>IFERROR(__xludf.DUMMYFUNCTION("""COMPUTED_VALUE"""),439.0)</f>
        <v>439</v>
      </c>
      <c r="H3578" s="116">
        <f>IFERROR(__xludf.DUMMYFUNCTION("""COMPUTED_VALUE"""),45907.0)</f>
        <v>45907</v>
      </c>
      <c r="I3578" s="115" t="str">
        <f>IFERROR(__xludf.DUMMYFUNCTION("""COMPUTED_VALUE"""),"12")</f>
        <v>12</v>
      </c>
      <c r="J3578" s="115" t="str">
        <f>IFERROR(__xludf.DUMMYFUNCTION("""COMPUTED_VALUE"""),"Parag Kashyap2025-09-0712")</f>
        <v>Parag Kashyap2025-09-0712</v>
      </c>
      <c r="K3578" s="115">
        <f>IFERROR(__xludf.DUMMYFUNCTION("""COMPUTED_VALUE"""),218025.0)</f>
        <v>218025</v>
      </c>
    </row>
    <row r="3579">
      <c r="A3579" s="115" t="str">
        <f>IFERROR(__xludf.DUMMYFUNCTION("""COMPUTED_VALUE"""),"EAST")</f>
        <v>EAST</v>
      </c>
      <c r="B3579" s="115" t="str">
        <f>IFERROR(__xludf.DUMMYFUNCTION("""COMPUTED_VALUE"""),"Parag Kashyap")</f>
        <v>Parag Kashyap</v>
      </c>
      <c r="C3579" s="115" t="str">
        <f>IFERROR(__xludf.DUMMYFUNCTION("""COMPUTED_VALUE"""),"MYNTRA")</f>
        <v>MYNTRA</v>
      </c>
      <c r="D3579" s="115">
        <f>IFERROR(__xludf.DUMMYFUNCTION("""COMPUTED_VALUE"""),23324.0)</f>
        <v>23324</v>
      </c>
      <c r="E3579" s="115">
        <f>IFERROR(__xludf.DUMMYFUNCTION("""COMPUTED_VALUE"""),2949.0)</f>
        <v>2949</v>
      </c>
      <c r="F3579" s="115">
        <f>IFERROR(__xludf.DUMMYFUNCTION("""COMPUTED_VALUE"""),5611.0)</f>
        <v>5611</v>
      </c>
      <c r="G3579" s="115">
        <f>IFERROR(__xludf.DUMMYFUNCTION("""COMPUTED_VALUE"""),60.0)</f>
        <v>60</v>
      </c>
      <c r="H3579" s="116">
        <f>IFERROR(__xludf.DUMMYFUNCTION("""COMPUTED_VALUE"""),45907.0)</f>
        <v>45907</v>
      </c>
      <c r="I3579" s="115" t="str">
        <f>IFERROR(__xludf.DUMMYFUNCTION("""COMPUTED_VALUE"""),"12")</f>
        <v>12</v>
      </c>
      <c r="J3579" s="115" t="str">
        <f>IFERROR(__xludf.DUMMYFUNCTION("""COMPUTED_VALUE"""),"Parag Kashyap2025-09-0712")</f>
        <v>Parag Kashyap2025-09-0712</v>
      </c>
      <c r="K3579" s="115">
        <f>IFERROR(__xludf.DUMMYFUNCTION("""COMPUTED_VALUE"""),26273.0)</f>
        <v>26273</v>
      </c>
    </row>
    <row r="3580">
      <c r="A3580" s="115" t="str">
        <f>IFERROR(__xludf.DUMMYFUNCTION("""COMPUTED_VALUE"""),"NORTH")</f>
        <v>NORTH</v>
      </c>
      <c r="B3580" s="115" t="str">
        <f>IFERROR(__xludf.DUMMYFUNCTION("""COMPUTED_VALUE"""),"Amit Kumar Pathak")</f>
        <v>Amit Kumar Pathak</v>
      </c>
      <c r="C3580" s="115" t="str">
        <f>IFERROR(__xludf.DUMMYFUNCTION("""COMPUTED_VALUE"""),"EXTERNAL")</f>
        <v>EXTERNAL</v>
      </c>
      <c r="D3580" s="115">
        <f>IFERROR(__xludf.DUMMYFUNCTION("""COMPUTED_VALUE"""),22569.0)</f>
        <v>22569</v>
      </c>
      <c r="E3580" s="115">
        <f>IFERROR(__xludf.DUMMYFUNCTION("""COMPUTED_VALUE"""),2664.0)</f>
        <v>2664</v>
      </c>
      <c r="F3580" s="115">
        <f>IFERROR(__xludf.DUMMYFUNCTION("""COMPUTED_VALUE"""),3214.0)</f>
        <v>3214</v>
      </c>
      <c r="G3580" s="115">
        <f>IFERROR(__xludf.DUMMYFUNCTION("""COMPUTED_VALUE"""),238.0)</f>
        <v>238</v>
      </c>
      <c r="H3580" s="116">
        <f>IFERROR(__xludf.DUMMYFUNCTION("""COMPUTED_VALUE"""),45907.0)</f>
        <v>45907</v>
      </c>
      <c r="I3580" s="115" t="str">
        <f>IFERROR(__xludf.DUMMYFUNCTION("""COMPUTED_VALUE"""),"12")</f>
        <v>12</v>
      </c>
      <c r="J3580" s="115" t="str">
        <f>IFERROR(__xludf.DUMMYFUNCTION("""COMPUTED_VALUE"""),"Amit Kumar Pathak2025-09-0712")</f>
        <v>Amit Kumar Pathak2025-09-0712</v>
      </c>
      <c r="K3580" s="115">
        <f>IFERROR(__xludf.DUMMYFUNCTION("""COMPUTED_VALUE"""),25233.0)</f>
        <v>25233</v>
      </c>
    </row>
    <row r="3581">
      <c r="A3581" s="115" t="str">
        <f>IFERROR(__xludf.DUMMYFUNCTION("""COMPUTED_VALUE"""),"NORTH")</f>
        <v>NORTH</v>
      </c>
      <c r="B3581" s="115" t="str">
        <f>IFERROR(__xludf.DUMMYFUNCTION("""COMPUTED_VALUE"""),"Amit Kumar Pathak")</f>
        <v>Amit Kumar Pathak</v>
      </c>
      <c r="C3581" s="115" t="str">
        <f>IFERROR(__xludf.DUMMYFUNCTION("""COMPUTED_VALUE"""),"FLIPKART")</f>
        <v>FLIPKART</v>
      </c>
      <c r="D3581" s="115">
        <f>IFERROR(__xludf.DUMMYFUNCTION("""COMPUTED_VALUE"""),129193.0)</f>
        <v>129193</v>
      </c>
      <c r="E3581" s="115">
        <f>IFERROR(__xludf.DUMMYFUNCTION("""COMPUTED_VALUE"""),17976.0)</f>
        <v>17976</v>
      </c>
      <c r="F3581" s="115">
        <f>IFERROR(__xludf.DUMMYFUNCTION("""COMPUTED_VALUE"""),34919.0)</f>
        <v>34919</v>
      </c>
      <c r="G3581" s="115">
        <f>IFERROR(__xludf.DUMMYFUNCTION("""COMPUTED_VALUE"""),2655.0)</f>
        <v>2655</v>
      </c>
      <c r="H3581" s="116">
        <f>IFERROR(__xludf.DUMMYFUNCTION("""COMPUTED_VALUE"""),45907.0)</f>
        <v>45907</v>
      </c>
      <c r="I3581" s="115" t="str">
        <f>IFERROR(__xludf.DUMMYFUNCTION("""COMPUTED_VALUE"""),"12")</f>
        <v>12</v>
      </c>
      <c r="J3581" s="115" t="str">
        <f>IFERROR(__xludf.DUMMYFUNCTION("""COMPUTED_VALUE"""),"Amit Kumar Pathak2025-09-0712")</f>
        <v>Amit Kumar Pathak2025-09-0712</v>
      </c>
      <c r="K3581" s="115">
        <f>IFERROR(__xludf.DUMMYFUNCTION("""COMPUTED_VALUE"""),147169.0)</f>
        <v>147169</v>
      </c>
    </row>
    <row r="3582">
      <c r="A3582" s="115" t="str">
        <f>IFERROR(__xludf.DUMMYFUNCTION("""COMPUTED_VALUE"""),"NORTH")</f>
        <v>NORTH</v>
      </c>
      <c r="B3582" s="115" t="str">
        <f>IFERROR(__xludf.DUMMYFUNCTION("""COMPUTED_VALUE"""),"Amit Kumar Pathak")</f>
        <v>Amit Kumar Pathak</v>
      </c>
      <c r="C3582" s="115" t="str">
        <f>IFERROR(__xludf.DUMMYFUNCTION("""COMPUTED_VALUE"""),"MYNTRA")</f>
        <v>MYNTRA</v>
      </c>
      <c r="D3582" s="115">
        <f>IFERROR(__xludf.DUMMYFUNCTION("""COMPUTED_VALUE"""),14800.0)</f>
        <v>14800</v>
      </c>
      <c r="E3582" s="115">
        <f>IFERROR(__xludf.DUMMYFUNCTION("""COMPUTED_VALUE"""),4579.0)</f>
        <v>4579</v>
      </c>
      <c r="F3582" s="115">
        <f>IFERROR(__xludf.DUMMYFUNCTION("""COMPUTED_VALUE"""),5310.0)</f>
        <v>5310</v>
      </c>
      <c r="G3582" s="115">
        <f>IFERROR(__xludf.DUMMYFUNCTION("""COMPUTED_VALUE"""),817.0)</f>
        <v>817</v>
      </c>
      <c r="H3582" s="116">
        <f>IFERROR(__xludf.DUMMYFUNCTION("""COMPUTED_VALUE"""),45907.0)</f>
        <v>45907</v>
      </c>
      <c r="I3582" s="115" t="str">
        <f>IFERROR(__xludf.DUMMYFUNCTION("""COMPUTED_VALUE"""),"12")</f>
        <v>12</v>
      </c>
      <c r="J3582" s="115" t="str">
        <f>IFERROR(__xludf.DUMMYFUNCTION("""COMPUTED_VALUE"""),"Amit Kumar Pathak2025-09-0712")</f>
        <v>Amit Kumar Pathak2025-09-0712</v>
      </c>
      <c r="K3582" s="115">
        <f>IFERROR(__xludf.DUMMYFUNCTION("""COMPUTED_VALUE"""),19379.0)</f>
        <v>19379</v>
      </c>
    </row>
    <row r="3583">
      <c r="A3583" s="115" t="str">
        <f>IFERROR(__xludf.DUMMYFUNCTION("""COMPUTED_VALUE"""),"NORTH")</f>
        <v>NORTH</v>
      </c>
      <c r="B3583" s="115" t="str">
        <f>IFERROR(__xludf.DUMMYFUNCTION("""COMPUTED_VALUE"""),"Loveleen Singh")</f>
        <v>Loveleen Singh</v>
      </c>
      <c r="C3583" s="115" t="str">
        <f>IFERROR(__xludf.DUMMYFUNCTION("""COMPUTED_VALUE"""),"EXTERNAL")</f>
        <v>EXTERNAL</v>
      </c>
      <c r="D3583" s="115">
        <f>IFERROR(__xludf.DUMMYFUNCTION("""COMPUTED_VALUE"""),25621.0)</f>
        <v>25621</v>
      </c>
      <c r="E3583" s="115">
        <f>IFERROR(__xludf.DUMMYFUNCTION("""COMPUTED_VALUE"""),1750.0)</f>
        <v>1750</v>
      </c>
      <c r="F3583" s="115">
        <f>IFERROR(__xludf.DUMMYFUNCTION("""COMPUTED_VALUE"""),3072.0)</f>
        <v>3072</v>
      </c>
      <c r="G3583" s="115">
        <f>IFERROR(__xludf.DUMMYFUNCTION("""COMPUTED_VALUE"""),100.0)</f>
        <v>100</v>
      </c>
      <c r="H3583" s="116">
        <f>IFERROR(__xludf.DUMMYFUNCTION("""COMPUTED_VALUE"""),45907.0)</f>
        <v>45907</v>
      </c>
      <c r="I3583" s="115" t="str">
        <f>IFERROR(__xludf.DUMMYFUNCTION("""COMPUTED_VALUE"""),"12")</f>
        <v>12</v>
      </c>
      <c r="J3583" s="115" t="str">
        <f>IFERROR(__xludf.DUMMYFUNCTION("""COMPUTED_VALUE"""),"Loveleen Singh2025-09-0712")</f>
        <v>Loveleen Singh2025-09-0712</v>
      </c>
      <c r="K3583" s="115">
        <f>IFERROR(__xludf.DUMMYFUNCTION("""COMPUTED_VALUE"""),27371.0)</f>
        <v>27371</v>
      </c>
    </row>
    <row r="3584">
      <c r="A3584" s="115" t="str">
        <f>IFERROR(__xludf.DUMMYFUNCTION("""COMPUTED_VALUE"""),"NORTH")</f>
        <v>NORTH</v>
      </c>
      <c r="B3584" s="115" t="str">
        <f>IFERROR(__xludf.DUMMYFUNCTION("""COMPUTED_VALUE"""),"Loveleen Singh")</f>
        <v>Loveleen Singh</v>
      </c>
      <c r="C3584" s="115" t="str">
        <f>IFERROR(__xludf.DUMMYFUNCTION("""COMPUTED_VALUE"""),"FLIPKART")</f>
        <v>FLIPKART</v>
      </c>
      <c r="D3584" s="115">
        <f>IFERROR(__xludf.DUMMYFUNCTION("""COMPUTED_VALUE"""),130045.0)</f>
        <v>130045</v>
      </c>
      <c r="E3584" s="115">
        <f>IFERROR(__xludf.DUMMYFUNCTION("""COMPUTED_VALUE"""),12379.0)</f>
        <v>12379</v>
      </c>
      <c r="F3584" s="115">
        <f>IFERROR(__xludf.DUMMYFUNCTION("""COMPUTED_VALUE"""),31689.0)</f>
        <v>31689</v>
      </c>
      <c r="G3584" s="115">
        <f>IFERROR(__xludf.DUMMYFUNCTION("""COMPUTED_VALUE"""),1255.0)</f>
        <v>1255</v>
      </c>
      <c r="H3584" s="116">
        <f>IFERROR(__xludf.DUMMYFUNCTION("""COMPUTED_VALUE"""),45907.0)</f>
        <v>45907</v>
      </c>
      <c r="I3584" s="115" t="str">
        <f>IFERROR(__xludf.DUMMYFUNCTION("""COMPUTED_VALUE"""),"12")</f>
        <v>12</v>
      </c>
      <c r="J3584" s="115" t="str">
        <f>IFERROR(__xludf.DUMMYFUNCTION("""COMPUTED_VALUE"""),"Loveleen Singh2025-09-0712")</f>
        <v>Loveleen Singh2025-09-0712</v>
      </c>
      <c r="K3584" s="115">
        <f>IFERROR(__xludf.DUMMYFUNCTION("""COMPUTED_VALUE"""),142424.0)</f>
        <v>142424</v>
      </c>
    </row>
    <row r="3585">
      <c r="A3585" s="115" t="str">
        <f>IFERROR(__xludf.DUMMYFUNCTION("""COMPUTED_VALUE"""),"NORTH")</f>
        <v>NORTH</v>
      </c>
      <c r="B3585" s="115" t="str">
        <f>IFERROR(__xludf.DUMMYFUNCTION("""COMPUTED_VALUE"""),"Loveleen Singh")</f>
        <v>Loveleen Singh</v>
      </c>
      <c r="C3585" s="115" t="str">
        <f>IFERROR(__xludf.DUMMYFUNCTION("""COMPUTED_VALUE"""),"MYNTRA")</f>
        <v>MYNTRA</v>
      </c>
      <c r="D3585" s="115">
        <f>IFERROR(__xludf.DUMMYFUNCTION("""COMPUTED_VALUE"""),22181.0)</f>
        <v>22181</v>
      </c>
      <c r="E3585" s="115">
        <f>IFERROR(__xludf.DUMMYFUNCTION("""COMPUTED_VALUE"""),4887.0)</f>
        <v>4887</v>
      </c>
      <c r="F3585" s="115">
        <f>IFERROR(__xludf.DUMMYFUNCTION("""COMPUTED_VALUE"""),6511.0)</f>
        <v>6511</v>
      </c>
      <c r="G3585" s="115">
        <f>IFERROR(__xludf.DUMMYFUNCTION("""COMPUTED_VALUE"""),574.0)</f>
        <v>574</v>
      </c>
      <c r="H3585" s="116">
        <f>IFERROR(__xludf.DUMMYFUNCTION("""COMPUTED_VALUE"""),45907.0)</f>
        <v>45907</v>
      </c>
      <c r="I3585" s="115" t="str">
        <f>IFERROR(__xludf.DUMMYFUNCTION("""COMPUTED_VALUE"""),"12")</f>
        <v>12</v>
      </c>
      <c r="J3585" s="115" t="str">
        <f>IFERROR(__xludf.DUMMYFUNCTION("""COMPUTED_VALUE"""),"Loveleen Singh2025-09-0712")</f>
        <v>Loveleen Singh2025-09-0712</v>
      </c>
      <c r="K3585" s="115">
        <f>IFERROR(__xludf.DUMMYFUNCTION("""COMPUTED_VALUE"""),27068.0)</f>
        <v>27068</v>
      </c>
    </row>
    <row r="3586">
      <c r="A3586" s="115" t="str">
        <f>IFERROR(__xludf.DUMMYFUNCTION("""COMPUTED_VALUE"""),"NORTH")</f>
        <v>NORTH</v>
      </c>
      <c r="B3586" s="115" t="str">
        <f>IFERROR(__xludf.DUMMYFUNCTION("""COMPUTED_VALUE"""),"Manoj Harsh")</f>
        <v>Manoj Harsh</v>
      </c>
      <c r="C3586" s="115" t="str">
        <f>IFERROR(__xludf.DUMMYFUNCTION("""COMPUTED_VALUE"""),"EXTERNAL")</f>
        <v>EXTERNAL</v>
      </c>
      <c r="D3586" s="115">
        <f>IFERROR(__xludf.DUMMYFUNCTION("""COMPUTED_VALUE"""),32930.0)</f>
        <v>32930</v>
      </c>
      <c r="E3586" s="115">
        <f>IFERROR(__xludf.DUMMYFUNCTION("""COMPUTED_VALUE"""),2395.0)</f>
        <v>2395</v>
      </c>
      <c r="F3586" s="115">
        <f>IFERROR(__xludf.DUMMYFUNCTION("""COMPUTED_VALUE"""),4235.0)</f>
        <v>4235</v>
      </c>
      <c r="G3586" s="115">
        <f>IFERROR(__xludf.DUMMYFUNCTION("""COMPUTED_VALUE"""),82.0)</f>
        <v>82</v>
      </c>
      <c r="H3586" s="116">
        <f>IFERROR(__xludf.DUMMYFUNCTION("""COMPUTED_VALUE"""),45907.0)</f>
        <v>45907</v>
      </c>
      <c r="I3586" s="115" t="str">
        <f>IFERROR(__xludf.DUMMYFUNCTION("""COMPUTED_VALUE"""),"12")</f>
        <v>12</v>
      </c>
      <c r="J3586" s="115" t="str">
        <f>IFERROR(__xludf.DUMMYFUNCTION("""COMPUTED_VALUE"""),"Manoj Harsh2025-09-0712")</f>
        <v>Manoj Harsh2025-09-0712</v>
      </c>
      <c r="K3586" s="115">
        <f>IFERROR(__xludf.DUMMYFUNCTION("""COMPUTED_VALUE"""),35325.0)</f>
        <v>35325</v>
      </c>
    </row>
    <row r="3587">
      <c r="A3587" s="115" t="str">
        <f>IFERROR(__xludf.DUMMYFUNCTION("""COMPUTED_VALUE"""),"NORTH")</f>
        <v>NORTH</v>
      </c>
      <c r="B3587" s="115" t="str">
        <f>IFERROR(__xludf.DUMMYFUNCTION("""COMPUTED_VALUE"""),"Manoj Harsh")</f>
        <v>Manoj Harsh</v>
      </c>
      <c r="C3587" s="115" t="str">
        <f>IFERROR(__xludf.DUMMYFUNCTION("""COMPUTED_VALUE"""),"FLIPKART")</f>
        <v>FLIPKART</v>
      </c>
      <c r="D3587" s="115">
        <f>IFERROR(__xludf.DUMMYFUNCTION("""COMPUTED_VALUE"""),357153.0)</f>
        <v>357153</v>
      </c>
      <c r="E3587" s="115">
        <f>IFERROR(__xludf.DUMMYFUNCTION("""COMPUTED_VALUE"""),34804.0)</f>
        <v>34804</v>
      </c>
      <c r="F3587" s="115">
        <f>IFERROR(__xludf.DUMMYFUNCTION("""COMPUTED_VALUE"""),80461.0)</f>
        <v>80461</v>
      </c>
      <c r="G3587" s="115">
        <f>IFERROR(__xludf.DUMMYFUNCTION("""COMPUTED_VALUE"""),2195.0)</f>
        <v>2195</v>
      </c>
      <c r="H3587" s="116">
        <f>IFERROR(__xludf.DUMMYFUNCTION("""COMPUTED_VALUE"""),45907.0)</f>
        <v>45907</v>
      </c>
      <c r="I3587" s="115" t="str">
        <f>IFERROR(__xludf.DUMMYFUNCTION("""COMPUTED_VALUE"""),"12")</f>
        <v>12</v>
      </c>
      <c r="J3587" s="115" t="str">
        <f>IFERROR(__xludf.DUMMYFUNCTION("""COMPUTED_VALUE"""),"Manoj Harsh2025-09-0712")</f>
        <v>Manoj Harsh2025-09-0712</v>
      </c>
      <c r="K3587" s="115">
        <f>IFERROR(__xludf.DUMMYFUNCTION("""COMPUTED_VALUE"""),391957.0)</f>
        <v>391957</v>
      </c>
    </row>
    <row r="3588">
      <c r="A3588" s="115" t="str">
        <f>IFERROR(__xludf.DUMMYFUNCTION("""COMPUTED_VALUE"""),"NORTH")</f>
        <v>NORTH</v>
      </c>
      <c r="B3588" s="115" t="str">
        <f>IFERROR(__xludf.DUMMYFUNCTION("""COMPUTED_VALUE"""),"Manoj Harsh")</f>
        <v>Manoj Harsh</v>
      </c>
      <c r="C3588" s="115" t="str">
        <f>IFERROR(__xludf.DUMMYFUNCTION("""COMPUTED_VALUE"""),"MYNTRA")</f>
        <v>MYNTRA</v>
      </c>
      <c r="D3588" s="115">
        <f>IFERROR(__xludf.DUMMYFUNCTION("""COMPUTED_VALUE"""),35222.0)</f>
        <v>35222</v>
      </c>
      <c r="E3588" s="115">
        <f>IFERROR(__xludf.DUMMYFUNCTION("""COMPUTED_VALUE"""),6796.0)</f>
        <v>6796</v>
      </c>
      <c r="F3588" s="115">
        <f>IFERROR(__xludf.DUMMYFUNCTION("""COMPUTED_VALUE"""),10143.0)</f>
        <v>10143</v>
      </c>
      <c r="G3588" s="115">
        <f>IFERROR(__xludf.DUMMYFUNCTION("""COMPUTED_VALUE"""),531.0)</f>
        <v>531</v>
      </c>
      <c r="H3588" s="116">
        <f>IFERROR(__xludf.DUMMYFUNCTION("""COMPUTED_VALUE"""),45907.0)</f>
        <v>45907</v>
      </c>
      <c r="I3588" s="115" t="str">
        <f>IFERROR(__xludf.DUMMYFUNCTION("""COMPUTED_VALUE"""),"12")</f>
        <v>12</v>
      </c>
      <c r="J3588" s="115" t="str">
        <f>IFERROR(__xludf.DUMMYFUNCTION("""COMPUTED_VALUE"""),"Manoj Harsh2025-09-0712")</f>
        <v>Manoj Harsh2025-09-0712</v>
      </c>
      <c r="K3588" s="115">
        <f>IFERROR(__xludf.DUMMYFUNCTION("""COMPUTED_VALUE"""),42018.0)</f>
        <v>42018</v>
      </c>
    </row>
    <row r="3589">
      <c r="A3589" s="115" t="str">
        <f>IFERROR(__xludf.DUMMYFUNCTION("""COMPUTED_VALUE"""),"NORTH")</f>
        <v>NORTH</v>
      </c>
      <c r="B3589" s="115" t="str">
        <f>IFERROR(__xludf.DUMMYFUNCTION("""COMPUTED_VALUE"""),"Pradeep Kothari")</f>
        <v>Pradeep Kothari</v>
      </c>
      <c r="C3589" s="115" t="str">
        <f>IFERROR(__xludf.DUMMYFUNCTION("""COMPUTED_VALUE"""),"EXTERNAL")</f>
        <v>EXTERNAL</v>
      </c>
      <c r="D3589" s="115">
        <f>IFERROR(__xludf.DUMMYFUNCTION("""COMPUTED_VALUE"""),18030.0)</f>
        <v>18030</v>
      </c>
      <c r="E3589" s="115">
        <f>IFERROR(__xludf.DUMMYFUNCTION("""COMPUTED_VALUE"""),1453.0)</f>
        <v>1453</v>
      </c>
      <c r="F3589" s="115">
        <f>IFERROR(__xludf.DUMMYFUNCTION("""COMPUTED_VALUE"""),2728.0)</f>
        <v>2728</v>
      </c>
      <c r="G3589" s="115">
        <f>IFERROR(__xludf.DUMMYFUNCTION("""COMPUTED_VALUE"""),124.0)</f>
        <v>124</v>
      </c>
      <c r="H3589" s="116">
        <f>IFERROR(__xludf.DUMMYFUNCTION("""COMPUTED_VALUE"""),45907.0)</f>
        <v>45907</v>
      </c>
      <c r="I3589" s="115" t="str">
        <f>IFERROR(__xludf.DUMMYFUNCTION("""COMPUTED_VALUE"""),"12")</f>
        <v>12</v>
      </c>
      <c r="J3589" s="115" t="str">
        <f>IFERROR(__xludf.DUMMYFUNCTION("""COMPUTED_VALUE"""),"Pradeep Kothari2025-09-0712")</f>
        <v>Pradeep Kothari2025-09-0712</v>
      </c>
      <c r="K3589" s="115">
        <f>IFERROR(__xludf.DUMMYFUNCTION("""COMPUTED_VALUE"""),19483.0)</f>
        <v>19483</v>
      </c>
    </row>
    <row r="3590">
      <c r="A3590" s="115" t="str">
        <f>IFERROR(__xludf.DUMMYFUNCTION("""COMPUTED_VALUE"""),"NORTH")</f>
        <v>NORTH</v>
      </c>
      <c r="B3590" s="115" t="str">
        <f>IFERROR(__xludf.DUMMYFUNCTION("""COMPUTED_VALUE"""),"Pradeep Kothari")</f>
        <v>Pradeep Kothari</v>
      </c>
      <c r="C3590" s="115" t="str">
        <f>IFERROR(__xludf.DUMMYFUNCTION("""COMPUTED_VALUE"""),"FLIPKART")</f>
        <v>FLIPKART</v>
      </c>
      <c r="D3590" s="115">
        <f>IFERROR(__xludf.DUMMYFUNCTION("""COMPUTED_VALUE"""),121567.0)</f>
        <v>121567</v>
      </c>
      <c r="E3590" s="115">
        <f>IFERROR(__xludf.DUMMYFUNCTION("""COMPUTED_VALUE"""),14009.0)</f>
        <v>14009</v>
      </c>
      <c r="F3590" s="115">
        <f>IFERROR(__xludf.DUMMYFUNCTION("""COMPUTED_VALUE"""),36288.0)</f>
        <v>36288</v>
      </c>
      <c r="G3590" s="115">
        <f>IFERROR(__xludf.DUMMYFUNCTION("""COMPUTED_VALUE"""),1835.0)</f>
        <v>1835</v>
      </c>
      <c r="H3590" s="116">
        <f>IFERROR(__xludf.DUMMYFUNCTION("""COMPUTED_VALUE"""),45907.0)</f>
        <v>45907</v>
      </c>
      <c r="I3590" s="115" t="str">
        <f>IFERROR(__xludf.DUMMYFUNCTION("""COMPUTED_VALUE"""),"12")</f>
        <v>12</v>
      </c>
      <c r="J3590" s="115" t="str">
        <f>IFERROR(__xludf.DUMMYFUNCTION("""COMPUTED_VALUE"""),"Pradeep Kothari2025-09-0712")</f>
        <v>Pradeep Kothari2025-09-0712</v>
      </c>
      <c r="K3590" s="115">
        <f>IFERROR(__xludf.DUMMYFUNCTION("""COMPUTED_VALUE"""),135576.0)</f>
        <v>135576</v>
      </c>
    </row>
    <row r="3591">
      <c r="A3591" s="115" t="str">
        <f>IFERROR(__xludf.DUMMYFUNCTION("""COMPUTED_VALUE"""),"NORTH")</f>
        <v>NORTH</v>
      </c>
      <c r="B3591" s="115" t="str">
        <f>IFERROR(__xludf.DUMMYFUNCTION("""COMPUTED_VALUE"""),"Pradeep Kothari")</f>
        <v>Pradeep Kothari</v>
      </c>
      <c r="C3591" s="115" t="str">
        <f>IFERROR(__xludf.DUMMYFUNCTION("""COMPUTED_VALUE"""),"MYNTRA")</f>
        <v>MYNTRA</v>
      </c>
      <c r="D3591" s="115">
        <f>IFERROR(__xludf.DUMMYFUNCTION("""COMPUTED_VALUE"""),23620.0)</f>
        <v>23620</v>
      </c>
      <c r="E3591" s="115">
        <f>IFERROR(__xludf.DUMMYFUNCTION("""COMPUTED_VALUE"""),5298.0)</f>
        <v>5298</v>
      </c>
      <c r="F3591" s="115">
        <f>IFERROR(__xludf.DUMMYFUNCTION("""COMPUTED_VALUE"""),9184.0)</f>
        <v>9184</v>
      </c>
      <c r="G3591" s="115">
        <f>IFERROR(__xludf.DUMMYFUNCTION("""COMPUTED_VALUE"""),756.0)</f>
        <v>756</v>
      </c>
      <c r="H3591" s="116">
        <f>IFERROR(__xludf.DUMMYFUNCTION("""COMPUTED_VALUE"""),45907.0)</f>
        <v>45907</v>
      </c>
      <c r="I3591" s="115" t="str">
        <f>IFERROR(__xludf.DUMMYFUNCTION("""COMPUTED_VALUE"""),"12")</f>
        <v>12</v>
      </c>
      <c r="J3591" s="115" t="str">
        <f>IFERROR(__xludf.DUMMYFUNCTION("""COMPUTED_VALUE"""),"Pradeep Kothari2025-09-0712")</f>
        <v>Pradeep Kothari2025-09-0712</v>
      </c>
      <c r="K3591" s="115">
        <f>IFERROR(__xludf.DUMMYFUNCTION("""COMPUTED_VALUE"""),28918.0)</f>
        <v>28918</v>
      </c>
    </row>
    <row r="3592">
      <c r="A3592" s="115" t="str">
        <f>IFERROR(__xludf.DUMMYFUNCTION("""COMPUTED_VALUE"""),"SOUTH")</f>
        <v>SOUTH</v>
      </c>
      <c r="B3592" s="115" t="str">
        <f>IFERROR(__xludf.DUMMYFUNCTION("""COMPUTED_VALUE"""),"Kandula Sampath")</f>
        <v>Kandula Sampath</v>
      </c>
      <c r="C3592" s="115" t="str">
        <f>IFERROR(__xludf.DUMMYFUNCTION("""COMPUTED_VALUE"""),"EXTERNAL")</f>
        <v>EXTERNAL</v>
      </c>
      <c r="D3592" s="115">
        <f>IFERROR(__xludf.DUMMYFUNCTION("""COMPUTED_VALUE"""),30517.0)</f>
        <v>30517</v>
      </c>
      <c r="E3592" s="115">
        <f>IFERROR(__xludf.DUMMYFUNCTION("""COMPUTED_VALUE"""),2888.0)</f>
        <v>2888</v>
      </c>
      <c r="F3592" s="115">
        <f>IFERROR(__xludf.DUMMYFUNCTION("""COMPUTED_VALUE"""),4938.0)</f>
        <v>4938</v>
      </c>
      <c r="G3592" s="115">
        <f>IFERROR(__xludf.DUMMYFUNCTION("""COMPUTED_VALUE"""),114.0)</f>
        <v>114</v>
      </c>
      <c r="H3592" s="116">
        <f>IFERROR(__xludf.DUMMYFUNCTION("""COMPUTED_VALUE"""),45907.0)</f>
        <v>45907</v>
      </c>
      <c r="I3592" s="115" t="str">
        <f>IFERROR(__xludf.DUMMYFUNCTION("""COMPUTED_VALUE"""),"12")</f>
        <v>12</v>
      </c>
      <c r="J3592" s="115" t="str">
        <f>IFERROR(__xludf.DUMMYFUNCTION("""COMPUTED_VALUE"""),"Kandula Sampath2025-09-0712")</f>
        <v>Kandula Sampath2025-09-0712</v>
      </c>
      <c r="K3592" s="115">
        <f>IFERROR(__xludf.DUMMYFUNCTION("""COMPUTED_VALUE"""),33405.0)</f>
        <v>33405</v>
      </c>
    </row>
    <row r="3593">
      <c r="A3593" s="115" t="str">
        <f>IFERROR(__xludf.DUMMYFUNCTION("""COMPUTED_VALUE"""),"SOUTH")</f>
        <v>SOUTH</v>
      </c>
      <c r="B3593" s="115" t="str">
        <f>IFERROR(__xludf.DUMMYFUNCTION("""COMPUTED_VALUE"""),"Kandula Sampath")</f>
        <v>Kandula Sampath</v>
      </c>
      <c r="C3593" s="115" t="str">
        <f>IFERROR(__xludf.DUMMYFUNCTION("""COMPUTED_VALUE"""),"FLIPKART")</f>
        <v>FLIPKART</v>
      </c>
      <c r="D3593" s="115">
        <f>IFERROR(__xludf.DUMMYFUNCTION("""COMPUTED_VALUE"""),295066.0)</f>
        <v>295066</v>
      </c>
      <c r="E3593" s="115">
        <f>IFERROR(__xludf.DUMMYFUNCTION("""COMPUTED_VALUE"""),23534.0)</f>
        <v>23534</v>
      </c>
      <c r="F3593" s="115">
        <f>IFERROR(__xludf.DUMMYFUNCTION("""COMPUTED_VALUE"""),86133.0)</f>
        <v>86133</v>
      </c>
      <c r="G3593" s="115">
        <f>IFERROR(__xludf.DUMMYFUNCTION("""COMPUTED_VALUE"""),1541.0)</f>
        <v>1541</v>
      </c>
      <c r="H3593" s="116">
        <f>IFERROR(__xludf.DUMMYFUNCTION("""COMPUTED_VALUE"""),45907.0)</f>
        <v>45907</v>
      </c>
      <c r="I3593" s="115" t="str">
        <f>IFERROR(__xludf.DUMMYFUNCTION("""COMPUTED_VALUE"""),"12")</f>
        <v>12</v>
      </c>
      <c r="J3593" s="115" t="str">
        <f>IFERROR(__xludf.DUMMYFUNCTION("""COMPUTED_VALUE"""),"Kandula Sampath2025-09-0712")</f>
        <v>Kandula Sampath2025-09-0712</v>
      </c>
      <c r="K3593" s="115">
        <f>IFERROR(__xludf.DUMMYFUNCTION("""COMPUTED_VALUE"""),318600.0)</f>
        <v>318600</v>
      </c>
    </row>
    <row r="3594">
      <c r="A3594" s="115" t="str">
        <f>IFERROR(__xludf.DUMMYFUNCTION("""COMPUTED_VALUE"""),"SOUTH")</f>
        <v>SOUTH</v>
      </c>
      <c r="B3594" s="115" t="str">
        <f>IFERROR(__xludf.DUMMYFUNCTION("""COMPUTED_VALUE"""),"Kandula Sampath")</f>
        <v>Kandula Sampath</v>
      </c>
      <c r="C3594" s="115" t="str">
        <f>IFERROR(__xludf.DUMMYFUNCTION("""COMPUTED_VALUE"""),"MYNTRA")</f>
        <v>MYNTRA</v>
      </c>
      <c r="D3594" s="115">
        <f>IFERROR(__xludf.DUMMYFUNCTION("""COMPUTED_VALUE"""),35071.0)</f>
        <v>35071</v>
      </c>
      <c r="E3594" s="115">
        <f>IFERROR(__xludf.DUMMYFUNCTION("""COMPUTED_VALUE"""),6502.0)</f>
        <v>6502</v>
      </c>
      <c r="F3594" s="115">
        <f>IFERROR(__xludf.DUMMYFUNCTION("""COMPUTED_VALUE"""),12039.0)</f>
        <v>12039</v>
      </c>
      <c r="G3594" s="115">
        <f>IFERROR(__xludf.DUMMYFUNCTION("""COMPUTED_VALUE"""),456.0)</f>
        <v>456</v>
      </c>
      <c r="H3594" s="116">
        <f>IFERROR(__xludf.DUMMYFUNCTION("""COMPUTED_VALUE"""),45907.0)</f>
        <v>45907</v>
      </c>
      <c r="I3594" s="115" t="str">
        <f>IFERROR(__xludf.DUMMYFUNCTION("""COMPUTED_VALUE"""),"12")</f>
        <v>12</v>
      </c>
      <c r="J3594" s="115" t="str">
        <f>IFERROR(__xludf.DUMMYFUNCTION("""COMPUTED_VALUE"""),"Kandula Sampath2025-09-0712")</f>
        <v>Kandula Sampath2025-09-0712</v>
      </c>
      <c r="K3594" s="115">
        <f>IFERROR(__xludf.DUMMYFUNCTION("""COMPUTED_VALUE"""),41573.0)</f>
        <v>41573</v>
      </c>
    </row>
    <row r="3595">
      <c r="A3595" s="115" t="str">
        <f>IFERROR(__xludf.DUMMYFUNCTION("""COMPUTED_VALUE"""),"SOUTH")</f>
        <v>SOUTH</v>
      </c>
      <c r="B3595" s="115" t="str">
        <f>IFERROR(__xludf.DUMMYFUNCTION("""COMPUTED_VALUE"""),"Martin A")</f>
        <v>Martin A</v>
      </c>
      <c r="C3595" s="115" t="str">
        <f>IFERROR(__xludf.DUMMYFUNCTION("""COMPUTED_VALUE"""),"EXTERNAL")</f>
        <v>EXTERNAL</v>
      </c>
      <c r="D3595" s="115">
        <f>IFERROR(__xludf.DUMMYFUNCTION("""COMPUTED_VALUE"""),28144.0)</f>
        <v>28144</v>
      </c>
      <c r="E3595" s="115">
        <f>IFERROR(__xludf.DUMMYFUNCTION("""COMPUTED_VALUE"""),3215.0)</f>
        <v>3215</v>
      </c>
      <c r="F3595" s="115">
        <f>IFERROR(__xludf.DUMMYFUNCTION("""COMPUTED_VALUE"""),4697.0)</f>
        <v>4697</v>
      </c>
      <c r="G3595" s="115">
        <f>IFERROR(__xludf.DUMMYFUNCTION("""COMPUTED_VALUE"""),220.0)</f>
        <v>220</v>
      </c>
      <c r="H3595" s="116">
        <f>IFERROR(__xludf.DUMMYFUNCTION("""COMPUTED_VALUE"""),45907.0)</f>
        <v>45907</v>
      </c>
      <c r="I3595" s="115" t="str">
        <f>IFERROR(__xludf.DUMMYFUNCTION("""COMPUTED_VALUE"""),"12")</f>
        <v>12</v>
      </c>
      <c r="J3595" s="115" t="str">
        <f>IFERROR(__xludf.DUMMYFUNCTION("""COMPUTED_VALUE"""),"Martin A2025-09-0712")</f>
        <v>Martin A2025-09-0712</v>
      </c>
      <c r="K3595" s="115">
        <f>IFERROR(__xludf.DUMMYFUNCTION("""COMPUTED_VALUE"""),31359.0)</f>
        <v>31359</v>
      </c>
    </row>
    <row r="3596">
      <c r="A3596" s="115" t="str">
        <f>IFERROR(__xludf.DUMMYFUNCTION("""COMPUTED_VALUE"""),"SOUTH")</f>
        <v>SOUTH</v>
      </c>
      <c r="B3596" s="115" t="str">
        <f>IFERROR(__xludf.DUMMYFUNCTION("""COMPUTED_VALUE"""),"Martin A")</f>
        <v>Martin A</v>
      </c>
      <c r="C3596" s="115" t="str">
        <f>IFERROR(__xludf.DUMMYFUNCTION("""COMPUTED_VALUE"""),"FLIPKART")</f>
        <v>FLIPKART</v>
      </c>
      <c r="D3596" s="115">
        <f>IFERROR(__xludf.DUMMYFUNCTION("""COMPUTED_VALUE"""),239507.0)</f>
        <v>239507</v>
      </c>
      <c r="E3596" s="115">
        <f>IFERROR(__xludf.DUMMYFUNCTION("""COMPUTED_VALUE"""),22291.0)</f>
        <v>22291</v>
      </c>
      <c r="F3596" s="115">
        <f>IFERROR(__xludf.DUMMYFUNCTION("""COMPUTED_VALUE"""),68470.0)</f>
        <v>68470</v>
      </c>
      <c r="G3596" s="115">
        <f>IFERROR(__xludf.DUMMYFUNCTION("""COMPUTED_VALUE"""),1865.0)</f>
        <v>1865</v>
      </c>
      <c r="H3596" s="116">
        <f>IFERROR(__xludf.DUMMYFUNCTION("""COMPUTED_VALUE"""),45907.0)</f>
        <v>45907</v>
      </c>
      <c r="I3596" s="115" t="str">
        <f>IFERROR(__xludf.DUMMYFUNCTION("""COMPUTED_VALUE"""),"12")</f>
        <v>12</v>
      </c>
      <c r="J3596" s="115" t="str">
        <f>IFERROR(__xludf.DUMMYFUNCTION("""COMPUTED_VALUE"""),"Martin A2025-09-0712")</f>
        <v>Martin A2025-09-0712</v>
      </c>
      <c r="K3596" s="115">
        <f>IFERROR(__xludf.DUMMYFUNCTION("""COMPUTED_VALUE"""),261798.0)</f>
        <v>261798</v>
      </c>
    </row>
    <row r="3597">
      <c r="A3597" s="115" t="str">
        <f>IFERROR(__xludf.DUMMYFUNCTION("""COMPUTED_VALUE"""),"SOUTH")</f>
        <v>SOUTH</v>
      </c>
      <c r="B3597" s="115" t="str">
        <f>IFERROR(__xludf.DUMMYFUNCTION("""COMPUTED_VALUE"""),"Martin A")</f>
        <v>Martin A</v>
      </c>
      <c r="C3597" s="115" t="str">
        <f>IFERROR(__xludf.DUMMYFUNCTION("""COMPUTED_VALUE"""),"MYNTRA")</f>
        <v>MYNTRA</v>
      </c>
      <c r="D3597" s="115">
        <f>IFERROR(__xludf.DUMMYFUNCTION("""COMPUTED_VALUE"""),24345.0)</f>
        <v>24345</v>
      </c>
      <c r="E3597" s="115">
        <f>IFERROR(__xludf.DUMMYFUNCTION("""COMPUTED_VALUE"""),5736.0)</f>
        <v>5736</v>
      </c>
      <c r="F3597" s="115">
        <f>IFERROR(__xludf.DUMMYFUNCTION("""COMPUTED_VALUE"""),8466.0)</f>
        <v>8466</v>
      </c>
      <c r="G3597" s="115">
        <f>IFERROR(__xludf.DUMMYFUNCTION("""COMPUTED_VALUE"""),581.0)</f>
        <v>581</v>
      </c>
      <c r="H3597" s="116">
        <f>IFERROR(__xludf.DUMMYFUNCTION("""COMPUTED_VALUE"""),45907.0)</f>
        <v>45907</v>
      </c>
      <c r="I3597" s="115" t="str">
        <f>IFERROR(__xludf.DUMMYFUNCTION("""COMPUTED_VALUE"""),"12")</f>
        <v>12</v>
      </c>
      <c r="J3597" s="115" t="str">
        <f>IFERROR(__xludf.DUMMYFUNCTION("""COMPUTED_VALUE"""),"Martin A2025-09-0712")</f>
        <v>Martin A2025-09-0712</v>
      </c>
      <c r="K3597" s="115">
        <f>IFERROR(__xludf.DUMMYFUNCTION("""COMPUTED_VALUE"""),30081.0)</f>
        <v>30081</v>
      </c>
    </row>
    <row r="3598">
      <c r="A3598" s="115" t="str">
        <f>IFERROR(__xludf.DUMMYFUNCTION("""COMPUTED_VALUE"""),"SOUTH")</f>
        <v>SOUTH</v>
      </c>
      <c r="B3598" s="115" t="str">
        <f>IFERROR(__xludf.DUMMYFUNCTION("""COMPUTED_VALUE"""),"Premkumar M")</f>
        <v>Premkumar M</v>
      </c>
      <c r="C3598" s="115" t="str">
        <f>IFERROR(__xludf.DUMMYFUNCTION("""COMPUTED_VALUE"""),"EXTERNAL")</f>
        <v>EXTERNAL</v>
      </c>
      <c r="D3598" s="115">
        <f>IFERROR(__xludf.DUMMYFUNCTION("""COMPUTED_VALUE"""),20726.0)</f>
        <v>20726</v>
      </c>
      <c r="E3598" s="115">
        <f>IFERROR(__xludf.DUMMYFUNCTION("""COMPUTED_VALUE"""),1184.0)</f>
        <v>1184</v>
      </c>
      <c r="F3598" s="115">
        <f>IFERROR(__xludf.DUMMYFUNCTION("""COMPUTED_VALUE"""),2363.0)</f>
        <v>2363</v>
      </c>
      <c r="G3598" s="115">
        <f>IFERROR(__xludf.DUMMYFUNCTION("""COMPUTED_VALUE"""),18.0)</f>
        <v>18</v>
      </c>
      <c r="H3598" s="116">
        <f>IFERROR(__xludf.DUMMYFUNCTION("""COMPUTED_VALUE"""),45907.0)</f>
        <v>45907</v>
      </c>
      <c r="I3598" s="115" t="str">
        <f>IFERROR(__xludf.DUMMYFUNCTION("""COMPUTED_VALUE"""),"12")</f>
        <v>12</v>
      </c>
      <c r="J3598" s="115" t="str">
        <f>IFERROR(__xludf.DUMMYFUNCTION("""COMPUTED_VALUE"""),"Premkumar M2025-09-0712")</f>
        <v>Premkumar M2025-09-0712</v>
      </c>
      <c r="K3598" s="115">
        <f>IFERROR(__xludf.DUMMYFUNCTION("""COMPUTED_VALUE"""),21910.0)</f>
        <v>21910</v>
      </c>
    </row>
    <row r="3599">
      <c r="A3599" s="115" t="str">
        <f>IFERROR(__xludf.DUMMYFUNCTION("""COMPUTED_VALUE"""),"SOUTH")</f>
        <v>SOUTH</v>
      </c>
      <c r="B3599" s="115" t="str">
        <f>IFERROR(__xludf.DUMMYFUNCTION("""COMPUTED_VALUE"""),"Premkumar M")</f>
        <v>Premkumar M</v>
      </c>
      <c r="C3599" s="115" t="str">
        <f>IFERROR(__xludf.DUMMYFUNCTION("""COMPUTED_VALUE"""),"FLIPKART")</f>
        <v>FLIPKART</v>
      </c>
      <c r="D3599" s="115">
        <f>IFERROR(__xludf.DUMMYFUNCTION("""COMPUTED_VALUE"""),212828.0)</f>
        <v>212828</v>
      </c>
      <c r="E3599" s="115">
        <f>IFERROR(__xludf.DUMMYFUNCTION("""COMPUTED_VALUE"""),12136.0)</f>
        <v>12136</v>
      </c>
      <c r="F3599" s="115">
        <f>IFERROR(__xludf.DUMMYFUNCTION("""COMPUTED_VALUE"""),39981.0)</f>
        <v>39981</v>
      </c>
      <c r="G3599" s="115">
        <f>IFERROR(__xludf.DUMMYFUNCTION("""COMPUTED_VALUE"""),365.0)</f>
        <v>365</v>
      </c>
      <c r="H3599" s="116">
        <f>IFERROR(__xludf.DUMMYFUNCTION("""COMPUTED_VALUE"""),45907.0)</f>
        <v>45907</v>
      </c>
      <c r="I3599" s="115" t="str">
        <f>IFERROR(__xludf.DUMMYFUNCTION("""COMPUTED_VALUE"""),"12")</f>
        <v>12</v>
      </c>
      <c r="J3599" s="115" t="str">
        <f>IFERROR(__xludf.DUMMYFUNCTION("""COMPUTED_VALUE"""),"Premkumar M2025-09-0712")</f>
        <v>Premkumar M2025-09-0712</v>
      </c>
      <c r="K3599" s="115">
        <f>IFERROR(__xludf.DUMMYFUNCTION("""COMPUTED_VALUE"""),224964.0)</f>
        <v>224964</v>
      </c>
    </row>
    <row r="3600">
      <c r="A3600" s="115" t="str">
        <f>IFERROR(__xludf.DUMMYFUNCTION("""COMPUTED_VALUE"""),"SOUTH")</f>
        <v>SOUTH</v>
      </c>
      <c r="B3600" s="115" t="str">
        <f>IFERROR(__xludf.DUMMYFUNCTION("""COMPUTED_VALUE"""),"Premkumar M")</f>
        <v>Premkumar M</v>
      </c>
      <c r="C3600" s="115" t="str">
        <f>IFERROR(__xludf.DUMMYFUNCTION("""COMPUTED_VALUE"""),"MYNTRA")</f>
        <v>MYNTRA</v>
      </c>
      <c r="D3600" s="115">
        <f>IFERROR(__xludf.DUMMYFUNCTION("""COMPUTED_VALUE"""),12170.0)</f>
        <v>12170</v>
      </c>
      <c r="E3600" s="115">
        <f>IFERROR(__xludf.DUMMYFUNCTION("""COMPUTED_VALUE"""),1993.0)</f>
        <v>1993</v>
      </c>
      <c r="F3600" s="115">
        <f>IFERROR(__xludf.DUMMYFUNCTION("""COMPUTED_VALUE"""),2741.0)</f>
        <v>2741</v>
      </c>
      <c r="G3600" s="115">
        <f>IFERROR(__xludf.DUMMYFUNCTION("""COMPUTED_VALUE"""),63.0)</f>
        <v>63</v>
      </c>
      <c r="H3600" s="116">
        <f>IFERROR(__xludf.DUMMYFUNCTION("""COMPUTED_VALUE"""),45907.0)</f>
        <v>45907</v>
      </c>
      <c r="I3600" s="115" t="str">
        <f>IFERROR(__xludf.DUMMYFUNCTION("""COMPUTED_VALUE"""),"12")</f>
        <v>12</v>
      </c>
      <c r="J3600" s="115" t="str">
        <f>IFERROR(__xludf.DUMMYFUNCTION("""COMPUTED_VALUE"""),"Premkumar M2025-09-0712")</f>
        <v>Premkumar M2025-09-0712</v>
      </c>
      <c r="K3600" s="115">
        <f>IFERROR(__xludf.DUMMYFUNCTION("""COMPUTED_VALUE"""),14163.0)</f>
        <v>14163</v>
      </c>
    </row>
    <row r="3601">
      <c r="A3601" s="115" t="str">
        <f>IFERROR(__xludf.DUMMYFUNCTION("""COMPUTED_VALUE"""),"SOUTH")</f>
        <v>SOUTH</v>
      </c>
      <c r="B3601" s="115" t="str">
        <f>IFERROR(__xludf.DUMMYFUNCTION("""COMPUTED_VALUE"""),"Vineeth V")</f>
        <v>Vineeth V</v>
      </c>
      <c r="C3601" s="115" t="str">
        <f>IFERROR(__xludf.DUMMYFUNCTION("""COMPUTED_VALUE"""),"EXTERNAL")</f>
        <v>EXTERNAL</v>
      </c>
      <c r="D3601" s="115">
        <f>IFERROR(__xludf.DUMMYFUNCTION("""COMPUTED_VALUE"""),13661.0)</f>
        <v>13661</v>
      </c>
      <c r="E3601" s="115">
        <f>IFERROR(__xludf.DUMMYFUNCTION("""COMPUTED_VALUE"""),404.0)</f>
        <v>404</v>
      </c>
      <c r="F3601" s="115">
        <f>IFERROR(__xludf.DUMMYFUNCTION("""COMPUTED_VALUE"""),961.0)</f>
        <v>961</v>
      </c>
      <c r="G3601" s="115">
        <f>IFERROR(__xludf.DUMMYFUNCTION("""COMPUTED_VALUE"""),5.0)</f>
        <v>5</v>
      </c>
      <c r="H3601" s="116">
        <f>IFERROR(__xludf.DUMMYFUNCTION("""COMPUTED_VALUE"""),45907.0)</f>
        <v>45907</v>
      </c>
      <c r="I3601" s="115" t="str">
        <f>IFERROR(__xludf.DUMMYFUNCTION("""COMPUTED_VALUE"""),"12")</f>
        <v>12</v>
      </c>
      <c r="J3601" s="115" t="str">
        <f>IFERROR(__xludf.DUMMYFUNCTION("""COMPUTED_VALUE"""),"Vineeth V2025-09-0712")</f>
        <v>Vineeth V2025-09-0712</v>
      </c>
      <c r="K3601" s="115">
        <f>IFERROR(__xludf.DUMMYFUNCTION("""COMPUTED_VALUE"""),14065.0)</f>
        <v>14065</v>
      </c>
    </row>
    <row r="3602">
      <c r="A3602" s="115" t="str">
        <f>IFERROR(__xludf.DUMMYFUNCTION("""COMPUTED_VALUE"""),"SOUTH")</f>
        <v>SOUTH</v>
      </c>
      <c r="B3602" s="115" t="str">
        <f>IFERROR(__xludf.DUMMYFUNCTION("""COMPUTED_VALUE"""),"Vineeth V")</f>
        <v>Vineeth V</v>
      </c>
      <c r="C3602" s="115" t="str">
        <f>IFERROR(__xludf.DUMMYFUNCTION("""COMPUTED_VALUE"""),"FLIPKART")</f>
        <v>FLIPKART</v>
      </c>
      <c r="D3602" s="115">
        <f>IFERROR(__xludf.DUMMYFUNCTION("""COMPUTED_VALUE"""),174584.0)</f>
        <v>174584</v>
      </c>
      <c r="E3602" s="115">
        <f>IFERROR(__xludf.DUMMYFUNCTION("""COMPUTED_VALUE"""),9408.0)</f>
        <v>9408</v>
      </c>
      <c r="F3602" s="115">
        <f>IFERROR(__xludf.DUMMYFUNCTION("""COMPUTED_VALUE"""),19915.0)</f>
        <v>19915</v>
      </c>
      <c r="G3602" s="115">
        <f>IFERROR(__xludf.DUMMYFUNCTION("""COMPUTED_VALUE"""),88.0)</f>
        <v>88</v>
      </c>
      <c r="H3602" s="116">
        <f>IFERROR(__xludf.DUMMYFUNCTION("""COMPUTED_VALUE"""),45907.0)</f>
        <v>45907</v>
      </c>
      <c r="I3602" s="115" t="str">
        <f>IFERROR(__xludf.DUMMYFUNCTION("""COMPUTED_VALUE"""),"12")</f>
        <v>12</v>
      </c>
      <c r="J3602" s="115" t="str">
        <f>IFERROR(__xludf.DUMMYFUNCTION("""COMPUTED_VALUE"""),"Vineeth V2025-09-0712")</f>
        <v>Vineeth V2025-09-0712</v>
      </c>
      <c r="K3602" s="115">
        <f>IFERROR(__xludf.DUMMYFUNCTION("""COMPUTED_VALUE"""),183992.0)</f>
        <v>183992</v>
      </c>
    </row>
    <row r="3603">
      <c r="A3603" s="115" t="str">
        <f>IFERROR(__xludf.DUMMYFUNCTION("""COMPUTED_VALUE"""),"SOUTH")</f>
        <v>SOUTH</v>
      </c>
      <c r="B3603" s="115" t="str">
        <f>IFERROR(__xludf.DUMMYFUNCTION("""COMPUTED_VALUE"""),"Vineeth V")</f>
        <v>Vineeth V</v>
      </c>
      <c r="C3603" s="115" t="str">
        <f>IFERROR(__xludf.DUMMYFUNCTION("""COMPUTED_VALUE"""),"MYNTRA")</f>
        <v>MYNTRA</v>
      </c>
      <c r="D3603" s="115">
        <f>IFERROR(__xludf.DUMMYFUNCTION("""COMPUTED_VALUE"""),13851.0)</f>
        <v>13851</v>
      </c>
      <c r="E3603" s="115">
        <f>IFERROR(__xludf.DUMMYFUNCTION("""COMPUTED_VALUE"""),2850.0)</f>
        <v>2850</v>
      </c>
      <c r="F3603" s="115">
        <f>IFERROR(__xludf.DUMMYFUNCTION("""COMPUTED_VALUE"""),1959.0)</f>
        <v>1959</v>
      </c>
      <c r="G3603" s="115">
        <f>IFERROR(__xludf.DUMMYFUNCTION("""COMPUTED_VALUE"""),27.0)</f>
        <v>27</v>
      </c>
      <c r="H3603" s="116">
        <f>IFERROR(__xludf.DUMMYFUNCTION("""COMPUTED_VALUE"""),45907.0)</f>
        <v>45907</v>
      </c>
      <c r="I3603" s="115" t="str">
        <f>IFERROR(__xludf.DUMMYFUNCTION("""COMPUTED_VALUE"""),"12")</f>
        <v>12</v>
      </c>
      <c r="J3603" s="115" t="str">
        <f>IFERROR(__xludf.DUMMYFUNCTION("""COMPUTED_VALUE"""),"Vineeth V2025-09-0712")</f>
        <v>Vineeth V2025-09-0712</v>
      </c>
      <c r="K3603" s="115">
        <f>IFERROR(__xludf.DUMMYFUNCTION("""COMPUTED_VALUE"""),16701.0)</f>
        <v>16701</v>
      </c>
    </row>
    <row r="3604">
      <c r="A3604" s="115" t="str">
        <f>IFERROR(__xludf.DUMMYFUNCTION("""COMPUTED_VALUE"""),"WEST")</f>
        <v>WEST</v>
      </c>
      <c r="B3604" s="115" t="str">
        <f>IFERROR(__xludf.DUMMYFUNCTION("""COMPUTED_VALUE"""),"Ashish Jakar")</f>
        <v>Ashish Jakar</v>
      </c>
      <c r="C3604" s="115" t="str">
        <f>IFERROR(__xludf.DUMMYFUNCTION("""COMPUTED_VALUE"""),"EXTERNAL")</f>
        <v>EXTERNAL</v>
      </c>
      <c r="D3604" s="115">
        <f>IFERROR(__xludf.DUMMYFUNCTION("""COMPUTED_VALUE"""),45259.0)</f>
        <v>45259</v>
      </c>
      <c r="E3604" s="115">
        <f>IFERROR(__xludf.DUMMYFUNCTION("""COMPUTED_VALUE"""),5200.0)</f>
        <v>5200</v>
      </c>
      <c r="F3604" s="115">
        <f>IFERROR(__xludf.DUMMYFUNCTION("""COMPUTED_VALUE"""),5502.0)</f>
        <v>5502</v>
      </c>
      <c r="G3604" s="115">
        <f>IFERROR(__xludf.DUMMYFUNCTION("""COMPUTED_VALUE"""),362.0)</f>
        <v>362</v>
      </c>
      <c r="H3604" s="116">
        <f>IFERROR(__xludf.DUMMYFUNCTION("""COMPUTED_VALUE"""),45907.0)</f>
        <v>45907</v>
      </c>
      <c r="I3604" s="115" t="str">
        <f>IFERROR(__xludf.DUMMYFUNCTION("""COMPUTED_VALUE"""),"12")</f>
        <v>12</v>
      </c>
      <c r="J3604" s="115" t="str">
        <f>IFERROR(__xludf.DUMMYFUNCTION("""COMPUTED_VALUE"""),"Ashish Jakar2025-09-0712")</f>
        <v>Ashish Jakar2025-09-0712</v>
      </c>
      <c r="K3604" s="115">
        <f>IFERROR(__xludf.DUMMYFUNCTION("""COMPUTED_VALUE"""),50459.0)</f>
        <v>50459</v>
      </c>
    </row>
    <row r="3605">
      <c r="A3605" s="115" t="str">
        <f>IFERROR(__xludf.DUMMYFUNCTION("""COMPUTED_VALUE"""),"WEST")</f>
        <v>WEST</v>
      </c>
      <c r="B3605" s="115" t="str">
        <f>IFERROR(__xludf.DUMMYFUNCTION("""COMPUTED_VALUE"""),"Ashish Jakar")</f>
        <v>Ashish Jakar</v>
      </c>
      <c r="C3605" s="115" t="str">
        <f>IFERROR(__xludf.DUMMYFUNCTION("""COMPUTED_VALUE"""),"FLIPKART")</f>
        <v>FLIPKART</v>
      </c>
      <c r="D3605" s="115">
        <f>IFERROR(__xludf.DUMMYFUNCTION("""COMPUTED_VALUE"""),286142.0)</f>
        <v>286142</v>
      </c>
      <c r="E3605" s="115">
        <f>IFERROR(__xludf.DUMMYFUNCTION("""COMPUTED_VALUE"""),23336.0)</f>
        <v>23336</v>
      </c>
      <c r="F3605" s="115">
        <f>IFERROR(__xludf.DUMMYFUNCTION("""COMPUTED_VALUE"""),64062.0)</f>
        <v>64062</v>
      </c>
      <c r="G3605" s="115">
        <f>IFERROR(__xludf.DUMMYFUNCTION("""COMPUTED_VALUE"""),1672.0)</f>
        <v>1672</v>
      </c>
      <c r="H3605" s="116">
        <f>IFERROR(__xludf.DUMMYFUNCTION("""COMPUTED_VALUE"""),45907.0)</f>
        <v>45907</v>
      </c>
      <c r="I3605" s="115" t="str">
        <f>IFERROR(__xludf.DUMMYFUNCTION("""COMPUTED_VALUE"""),"12")</f>
        <v>12</v>
      </c>
      <c r="J3605" s="115" t="str">
        <f>IFERROR(__xludf.DUMMYFUNCTION("""COMPUTED_VALUE"""),"Ashish Jakar2025-09-0712")</f>
        <v>Ashish Jakar2025-09-0712</v>
      </c>
      <c r="K3605" s="115">
        <f>IFERROR(__xludf.DUMMYFUNCTION("""COMPUTED_VALUE"""),309478.0)</f>
        <v>309478</v>
      </c>
    </row>
    <row r="3606">
      <c r="A3606" s="115" t="str">
        <f>IFERROR(__xludf.DUMMYFUNCTION("""COMPUTED_VALUE"""),"WEST")</f>
        <v>WEST</v>
      </c>
      <c r="B3606" s="115" t="str">
        <f>IFERROR(__xludf.DUMMYFUNCTION("""COMPUTED_VALUE"""),"Ashish Jakar")</f>
        <v>Ashish Jakar</v>
      </c>
      <c r="C3606" s="115" t="str">
        <f>IFERROR(__xludf.DUMMYFUNCTION("""COMPUTED_VALUE"""),"MYNTRA")</f>
        <v>MYNTRA</v>
      </c>
      <c r="D3606" s="115">
        <f>IFERROR(__xludf.DUMMYFUNCTION("""COMPUTED_VALUE"""),36136.0)</f>
        <v>36136</v>
      </c>
      <c r="E3606" s="115">
        <f>IFERROR(__xludf.DUMMYFUNCTION("""COMPUTED_VALUE"""),8446.0)</f>
        <v>8446</v>
      </c>
      <c r="F3606" s="115">
        <f>IFERROR(__xludf.DUMMYFUNCTION("""COMPUTED_VALUE"""),10043.0)</f>
        <v>10043</v>
      </c>
      <c r="G3606" s="115">
        <f>IFERROR(__xludf.DUMMYFUNCTION("""COMPUTED_VALUE"""),763.0)</f>
        <v>763</v>
      </c>
      <c r="H3606" s="116">
        <f>IFERROR(__xludf.DUMMYFUNCTION("""COMPUTED_VALUE"""),45907.0)</f>
        <v>45907</v>
      </c>
      <c r="I3606" s="115" t="str">
        <f>IFERROR(__xludf.DUMMYFUNCTION("""COMPUTED_VALUE"""),"12")</f>
        <v>12</v>
      </c>
      <c r="J3606" s="115" t="str">
        <f>IFERROR(__xludf.DUMMYFUNCTION("""COMPUTED_VALUE"""),"Ashish Jakar2025-09-0712")</f>
        <v>Ashish Jakar2025-09-0712</v>
      </c>
      <c r="K3606" s="115">
        <f>IFERROR(__xludf.DUMMYFUNCTION("""COMPUTED_VALUE"""),44582.0)</f>
        <v>44582</v>
      </c>
    </row>
    <row r="3607">
      <c r="A3607" s="115" t="str">
        <f>IFERROR(__xludf.DUMMYFUNCTION("""COMPUTED_VALUE"""),"WEST")</f>
        <v>WEST</v>
      </c>
      <c r="B3607" s="115" t="str">
        <f>IFERROR(__xludf.DUMMYFUNCTION("""COMPUTED_VALUE"""),"Ashvani Bhatt")</f>
        <v>Ashvani Bhatt</v>
      </c>
      <c r="C3607" s="115" t="str">
        <f>IFERROR(__xludf.DUMMYFUNCTION("""COMPUTED_VALUE"""),"EXTERNAL")</f>
        <v>EXTERNAL</v>
      </c>
      <c r="D3607" s="115">
        <f>IFERROR(__xludf.DUMMYFUNCTION("""COMPUTED_VALUE"""),26604.0)</f>
        <v>26604</v>
      </c>
      <c r="E3607" s="115">
        <f>IFERROR(__xludf.DUMMYFUNCTION("""COMPUTED_VALUE"""),2014.0)</f>
        <v>2014</v>
      </c>
      <c r="F3607" s="115">
        <f>IFERROR(__xludf.DUMMYFUNCTION("""COMPUTED_VALUE"""),4035.0)</f>
        <v>4035</v>
      </c>
      <c r="G3607" s="115">
        <f>IFERROR(__xludf.DUMMYFUNCTION("""COMPUTED_VALUE"""),83.0)</f>
        <v>83</v>
      </c>
      <c r="H3607" s="116">
        <f>IFERROR(__xludf.DUMMYFUNCTION("""COMPUTED_VALUE"""),45907.0)</f>
        <v>45907</v>
      </c>
      <c r="I3607" s="115" t="str">
        <f>IFERROR(__xludf.DUMMYFUNCTION("""COMPUTED_VALUE"""),"12")</f>
        <v>12</v>
      </c>
      <c r="J3607" s="115" t="str">
        <f>IFERROR(__xludf.DUMMYFUNCTION("""COMPUTED_VALUE"""),"Ashvani Bhatt2025-09-0712")</f>
        <v>Ashvani Bhatt2025-09-0712</v>
      </c>
      <c r="K3607" s="115">
        <f>IFERROR(__xludf.DUMMYFUNCTION("""COMPUTED_VALUE"""),28618.0)</f>
        <v>28618</v>
      </c>
    </row>
    <row r="3608">
      <c r="A3608" s="115" t="str">
        <f>IFERROR(__xludf.DUMMYFUNCTION("""COMPUTED_VALUE"""),"WEST")</f>
        <v>WEST</v>
      </c>
      <c r="B3608" s="115" t="str">
        <f>IFERROR(__xludf.DUMMYFUNCTION("""COMPUTED_VALUE"""),"Ashvani Bhatt")</f>
        <v>Ashvani Bhatt</v>
      </c>
      <c r="C3608" s="115" t="str">
        <f>IFERROR(__xludf.DUMMYFUNCTION("""COMPUTED_VALUE"""),"FLIPKART")</f>
        <v>FLIPKART</v>
      </c>
      <c r="D3608" s="115">
        <f>IFERROR(__xludf.DUMMYFUNCTION("""COMPUTED_VALUE"""),201436.0)</f>
        <v>201436</v>
      </c>
      <c r="E3608" s="115">
        <f>IFERROR(__xludf.DUMMYFUNCTION("""COMPUTED_VALUE"""),18675.0)</f>
        <v>18675</v>
      </c>
      <c r="F3608" s="115">
        <f>IFERROR(__xludf.DUMMYFUNCTION("""COMPUTED_VALUE"""),53172.0)</f>
        <v>53172</v>
      </c>
      <c r="G3608" s="115">
        <f>IFERROR(__xludf.DUMMYFUNCTION("""COMPUTED_VALUE"""),1191.0)</f>
        <v>1191</v>
      </c>
      <c r="H3608" s="116">
        <f>IFERROR(__xludf.DUMMYFUNCTION("""COMPUTED_VALUE"""),45907.0)</f>
        <v>45907</v>
      </c>
      <c r="I3608" s="115" t="str">
        <f>IFERROR(__xludf.DUMMYFUNCTION("""COMPUTED_VALUE"""),"12")</f>
        <v>12</v>
      </c>
      <c r="J3608" s="115" t="str">
        <f>IFERROR(__xludf.DUMMYFUNCTION("""COMPUTED_VALUE"""),"Ashvani Bhatt2025-09-0712")</f>
        <v>Ashvani Bhatt2025-09-0712</v>
      </c>
      <c r="K3608" s="115">
        <f>IFERROR(__xludf.DUMMYFUNCTION("""COMPUTED_VALUE"""),220111.0)</f>
        <v>220111</v>
      </c>
    </row>
    <row r="3609">
      <c r="A3609" s="115" t="str">
        <f>IFERROR(__xludf.DUMMYFUNCTION("""COMPUTED_VALUE"""),"WEST")</f>
        <v>WEST</v>
      </c>
      <c r="B3609" s="115" t="str">
        <f>IFERROR(__xludf.DUMMYFUNCTION("""COMPUTED_VALUE"""),"Ashvani Bhatt")</f>
        <v>Ashvani Bhatt</v>
      </c>
      <c r="C3609" s="115" t="str">
        <f>IFERROR(__xludf.DUMMYFUNCTION("""COMPUTED_VALUE"""),"MYNTRA")</f>
        <v>MYNTRA</v>
      </c>
      <c r="D3609" s="115">
        <f>IFERROR(__xludf.DUMMYFUNCTION("""COMPUTED_VALUE"""),26953.0)</f>
        <v>26953</v>
      </c>
      <c r="E3609" s="115">
        <f>IFERROR(__xludf.DUMMYFUNCTION("""COMPUTED_VALUE"""),5618.0)</f>
        <v>5618</v>
      </c>
      <c r="F3609" s="115">
        <f>IFERROR(__xludf.DUMMYFUNCTION("""COMPUTED_VALUE"""),9126.0)</f>
        <v>9126</v>
      </c>
      <c r="G3609" s="115">
        <f>IFERROR(__xludf.DUMMYFUNCTION("""COMPUTED_VALUE"""),473.0)</f>
        <v>473</v>
      </c>
      <c r="H3609" s="116">
        <f>IFERROR(__xludf.DUMMYFUNCTION("""COMPUTED_VALUE"""),45907.0)</f>
        <v>45907</v>
      </c>
      <c r="I3609" s="115" t="str">
        <f>IFERROR(__xludf.DUMMYFUNCTION("""COMPUTED_VALUE"""),"12")</f>
        <v>12</v>
      </c>
      <c r="J3609" s="115" t="str">
        <f>IFERROR(__xludf.DUMMYFUNCTION("""COMPUTED_VALUE"""),"Ashvani Bhatt2025-09-0712")</f>
        <v>Ashvani Bhatt2025-09-0712</v>
      </c>
      <c r="K3609" s="115">
        <f>IFERROR(__xludf.DUMMYFUNCTION("""COMPUTED_VALUE"""),32571.0)</f>
        <v>32571</v>
      </c>
    </row>
    <row r="3610">
      <c r="A3610" s="115"/>
      <c r="B3610" s="115"/>
      <c r="C3610" s="115" t="str">
        <f>IFERROR(__xludf.DUMMYFUNCTION("""COMPUTED_VALUE"""),"EXTERNAL")</f>
        <v>EXTERNAL</v>
      </c>
      <c r="D3610" s="115">
        <f>IFERROR(__xludf.DUMMYFUNCTION("""COMPUTED_VALUE"""),608.0)</f>
        <v>608</v>
      </c>
      <c r="E3610" s="115">
        <f>IFERROR(__xludf.DUMMYFUNCTION("""COMPUTED_VALUE"""),84.0)</f>
        <v>84</v>
      </c>
      <c r="F3610" s="115">
        <f>IFERROR(__xludf.DUMMYFUNCTION("""COMPUTED_VALUE"""),63.0)</f>
        <v>63</v>
      </c>
      <c r="G3610" s="115">
        <f>IFERROR(__xludf.DUMMYFUNCTION("""COMPUTED_VALUE"""),20.0)</f>
        <v>20</v>
      </c>
      <c r="H3610" s="116">
        <f>IFERROR(__xludf.DUMMYFUNCTION("""COMPUTED_VALUE"""),45907.0)</f>
        <v>45907</v>
      </c>
      <c r="I3610" s="115" t="str">
        <f>IFERROR(__xludf.DUMMYFUNCTION("""COMPUTED_VALUE"""),"12")</f>
        <v>12</v>
      </c>
      <c r="J3610" s="115" t="str">
        <f>IFERROR(__xludf.DUMMYFUNCTION("""COMPUTED_VALUE"""),"2025-09-0712")</f>
        <v>2025-09-0712</v>
      </c>
      <c r="K3610" s="115">
        <f>IFERROR(__xludf.DUMMYFUNCTION("""COMPUTED_VALUE"""),692.0)</f>
        <v>692</v>
      </c>
    </row>
    <row r="3611">
      <c r="A3611" s="115"/>
      <c r="B3611" s="115"/>
      <c r="C3611" s="115" t="str">
        <f>IFERROR(__xludf.DUMMYFUNCTION("""COMPUTED_VALUE"""),"FLIPKART")</f>
        <v>FLIPKART</v>
      </c>
      <c r="D3611" s="115">
        <f>IFERROR(__xludf.DUMMYFUNCTION("""COMPUTED_VALUE"""),4280.0)</f>
        <v>4280</v>
      </c>
      <c r="E3611" s="115">
        <f>IFERROR(__xludf.DUMMYFUNCTION("""COMPUTED_VALUE"""),477.0)</f>
        <v>477</v>
      </c>
      <c r="F3611" s="115">
        <f>IFERROR(__xludf.DUMMYFUNCTION("""COMPUTED_VALUE"""),584.0)</f>
        <v>584</v>
      </c>
      <c r="G3611" s="115">
        <f>IFERROR(__xludf.DUMMYFUNCTION("""COMPUTED_VALUE"""),117.0)</f>
        <v>117</v>
      </c>
      <c r="H3611" s="116">
        <f>IFERROR(__xludf.DUMMYFUNCTION("""COMPUTED_VALUE"""),45907.0)</f>
        <v>45907</v>
      </c>
      <c r="I3611" s="115" t="str">
        <f>IFERROR(__xludf.DUMMYFUNCTION("""COMPUTED_VALUE"""),"12")</f>
        <v>12</v>
      </c>
      <c r="J3611" s="115" t="str">
        <f>IFERROR(__xludf.DUMMYFUNCTION("""COMPUTED_VALUE"""),"2025-09-0712")</f>
        <v>2025-09-0712</v>
      </c>
      <c r="K3611" s="115">
        <f>IFERROR(__xludf.DUMMYFUNCTION("""COMPUTED_VALUE"""),4757.0)</f>
        <v>4757</v>
      </c>
    </row>
    <row r="3612">
      <c r="A3612" s="115"/>
      <c r="B3612" s="115"/>
      <c r="C3612" s="115" t="str">
        <f>IFERROR(__xludf.DUMMYFUNCTION("""COMPUTED_VALUE"""),"MYNTRA")</f>
        <v>MYNTRA</v>
      </c>
      <c r="D3612" s="115">
        <f>IFERROR(__xludf.DUMMYFUNCTION("""COMPUTED_VALUE"""),1069.0)</f>
        <v>1069</v>
      </c>
      <c r="E3612" s="115">
        <f>IFERROR(__xludf.DUMMYFUNCTION("""COMPUTED_VALUE"""),252.0)</f>
        <v>252</v>
      </c>
      <c r="F3612" s="115">
        <f>IFERROR(__xludf.DUMMYFUNCTION("""COMPUTED_VALUE"""),183.0)</f>
        <v>183</v>
      </c>
      <c r="G3612" s="115">
        <f>IFERROR(__xludf.DUMMYFUNCTION("""COMPUTED_VALUE"""),48.0)</f>
        <v>48</v>
      </c>
      <c r="H3612" s="116">
        <f>IFERROR(__xludf.DUMMYFUNCTION("""COMPUTED_VALUE"""),45907.0)</f>
        <v>45907</v>
      </c>
      <c r="I3612" s="115" t="str">
        <f>IFERROR(__xludf.DUMMYFUNCTION("""COMPUTED_VALUE"""),"12")</f>
        <v>12</v>
      </c>
      <c r="J3612" s="115" t="str">
        <f>IFERROR(__xludf.DUMMYFUNCTION("""COMPUTED_VALUE"""),"2025-09-0712")</f>
        <v>2025-09-0712</v>
      </c>
      <c r="K3612" s="115">
        <f>IFERROR(__xludf.DUMMYFUNCTION("""COMPUTED_VALUE"""),1321.0)</f>
        <v>1321</v>
      </c>
    </row>
    <row r="3613">
      <c r="A3613" s="115" t="str">
        <f>IFERROR(__xludf.DUMMYFUNCTION("""COMPUTED_VALUE"""),"EAST")</f>
        <v>EAST</v>
      </c>
      <c r="B3613" s="115" t="str">
        <f>IFERROR(__xludf.DUMMYFUNCTION("""COMPUTED_VALUE"""),"Ashish Ranjan")</f>
        <v>Ashish Ranjan</v>
      </c>
      <c r="C3613" s="115" t="str">
        <f>IFERROR(__xludf.DUMMYFUNCTION("""COMPUTED_VALUE"""),"EXTERNAL")</f>
        <v>EXTERNAL</v>
      </c>
      <c r="D3613" s="115">
        <f>IFERROR(__xludf.DUMMYFUNCTION("""COMPUTED_VALUE"""),37436.0)</f>
        <v>37436</v>
      </c>
      <c r="E3613" s="115">
        <f>IFERROR(__xludf.DUMMYFUNCTION("""COMPUTED_VALUE"""),2868.0)</f>
        <v>2868</v>
      </c>
      <c r="F3613" s="115">
        <f>IFERROR(__xludf.DUMMYFUNCTION("""COMPUTED_VALUE"""),12094.0)</f>
        <v>12094</v>
      </c>
      <c r="G3613" s="115">
        <f>IFERROR(__xludf.DUMMYFUNCTION("""COMPUTED_VALUE"""),448.0)</f>
        <v>448</v>
      </c>
      <c r="H3613" s="116">
        <f>IFERROR(__xludf.DUMMYFUNCTION("""COMPUTED_VALUE"""),45907.0)</f>
        <v>45907</v>
      </c>
      <c r="I3613" s="115" t="str">
        <f>IFERROR(__xludf.DUMMYFUNCTION("""COMPUTED_VALUE"""),"13")</f>
        <v>13</v>
      </c>
      <c r="J3613" s="115" t="str">
        <f>IFERROR(__xludf.DUMMYFUNCTION("""COMPUTED_VALUE"""),"Ashish Ranjan2025-09-0713")</f>
        <v>Ashish Ranjan2025-09-0713</v>
      </c>
      <c r="K3613" s="115">
        <f>IFERROR(__xludf.DUMMYFUNCTION("""COMPUTED_VALUE"""),40304.0)</f>
        <v>40304</v>
      </c>
    </row>
    <row r="3614">
      <c r="A3614" s="115" t="str">
        <f>IFERROR(__xludf.DUMMYFUNCTION("""COMPUTED_VALUE"""),"EAST")</f>
        <v>EAST</v>
      </c>
      <c r="B3614" s="115" t="str">
        <f>IFERROR(__xludf.DUMMYFUNCTION("""COMPUTED_VALUE"""),"Ashish Ranjan")</f>
        <v>Ashish Ranjan</v>
      </c>
      <c r="C3614" s="115" t="str">
        <f>IFERROR(__xludf.DUMMYFUNCTION("""COMPUTED_VALUE"""),"FLIPKART")</f>
        <v>FLIPKART</v>
      </c>
      <c r="D3614" s="115">
        <f>IFERROR(__xludf.DUMMYFUNCTION("""COMPUTED_VALUE"""),546351.0)</f>
        <v>546351</v>
      </c>
      <c r="E3614" s="115">
        <f>IFERROR(__xludf.DUMMYFUNCTION("""COMPUTED_VALUE"""),58786.0)</f>
        <v>58786</v>
      </c>
      <c r="F3614" s="115">
        <f>IFERROR(__xludf.DUMMYFUNCTION("""COMPUTED_VALUE"""),283035.0)</f>
        <v>283035</v>
      </c>
      <c r="G3614" s="115">
        <f>IFERROR(__xludf.DUMMYFUNCTION("""COMPUTED_VALUE"""),11911.0)</f>
        <v>11911</v>
      </c>
      <c r="H3614" s="116">
        <f>IFERROR(__xludf.DUMMYFUNCTION("""COMPUTED_VALUE"""),45907.0)</f>
        <v>45907</v>
      </c>
      <c r="I3614" s="115" t="str">
        <f>IFERROR(__xludf.DUMMYFUNCTION("""COMPUTED_VALUE"""),"13")</f>
        <v>13</v>
      </c>
      <c r="J3614" s="115" t="str">
        <f>IFERROR(__xludf.DUMMYFUNCTION("""COMPUTED_VALUE"""),"Ashish Ranjan2025-09-0713")</f>
        <v>Ashish Ranjan2025-09-0713</v>
      </c>
      <c r="K3614" s="115">
        <f>IFERROR(__xludf.DUMMYFUNCTION("""COMPUTED_VALUE"""),605137.0)</f>
        <v>605137</v>
      </c>
    </row>
    <row r="3615">
      <c r="A3615" s="115" t="str">
        <f>IFERROR(__xludf.DUMMYFUNCTION("""COMPUTED_VALUE"""),"EAST")</f>
        <v>EAST</v>
      </c>
      <c r="B3615" s="115" t="str">
        <f>IFERROR(__xludf.DUMMYFUNCTION("""COMPUTED_VALUE"""),"Ashish Ranjan")</f>
        <v>Ashish Ranjan</v>
      </c>
      <c r="C3615" s="115" t="str">
        <f>IFERROR(__xludf.DUMMYFUNCTION("""COMPUTED_VALUE"""),"MYNTRA")</f>
        <v>MYNTRA</v>
      </c>
      <c r="D3615" s="115">
        <f>IFERROR(__xludf.DUMMYFUNCTION("""COMPUTED_VALUE"""),60677.0)</f>
        <v>60677</v>
      </c>
      <c r="E3615" s="115">
        <f>IFERROR(__xludf.DUMMYFUNCTION("""COMPUTED_VALUE"""),13401.0)</f>
        <v>13401</v>
      </c>
      <c r="F3615" s="115">
        <f>IFERROR(__xludf.DUMMYFUNCTION("""COMPUTED_VALUE"""),32236.0)</f>
        <v>32236</v>
      </c>
      <c r="G3615" s="115">
        <f>IFERROR(__xludf.DUMMYFUNCTION("""COMPUTED_VALUE"""),2775.0)</f>
        <v>2775</v>
      </c>
      <c r="H3615" s="116">
        <f>IFERROR(__xludf.DUMMYFUNCTION("""COMPUTED_VALUE"""),45907.0)</f>
        <v>45907</v>
      </c>
      <c r="I3615" s="115" t="str">
        <f>IFERROR(__xludf.DUMMYFUNCTION("""COMPUTED_VALUE"""),"13")</f>
        <v>13</v>
      </c>
      <c r="J3615" s="115" t="str">
        <f>IFERROR(__xludf.DUMMYFUNCTION("""COMPUTED_VALUE"""),"Ashish Ranjan2025-09-0713")</f>
        <v>Ashish Ranjan2025-09-0713</v>
      </c>
      <c r="K3615" s="115">
        <f>IFERROR(__xludf.DUMMYFUNCTION("""COMPUTED_VALUE"""),74078.0)</f>
        <v>74078</v>
      </c>
    </row>
    <row r="3616">
      <c r="A3616" s="115" t="str">
        <f>IFERROR(__xludf.DUMMYFUNCTION("""COMPUTED_VALUE"""),"EAST")</f>
        <v>EAST</v>
      </c>
      <c r="B3616" s="115" t="str">
        <f>IFERROR(__xludf.DUMMYFUNCTION("""COMPUTED_VALUE"""),"Girish Chand")</f>
        <v>Girish Chand</v>
      </c>
      <c r="C3616" s="115" t="str">
        <f>IFERROR(__xludf.DUMMYFUNCTION("""COMPUTED_VALUE"""),"EXTERNAL")</f>
        <v>EXTERNAL</v>
      </c>
      <c r="D3616" s="115">
        <f>IFERROR(__xludf.DUMMYFUNCTION("""COMPUTED_VALUE"""),22652.0)</f>
        <v>22652</v>
      </c>
      <c r="E3616" s="115">
        <f>IFERROR(__xludf.DUMMYFUNCTION("""COMPUTED_VALUE"""),2022.0)</f>
        <v>2022</v>
      </c>
      <c r="F3616" s="115">
        <f>IFERROR(__xludf.DUMMYFUNCTION("""COMPUTED_VALUE"""),4922.0)</f>
        <v>4922</v>
      </c>
      <c r="G3616" s="115">
        <f>IFERROR(__xludf.DUMMYFUNCTION("""COMPUTED_VALUE"""),90.0)</f>
        <v>90</v>
      </c>
      <c r="H3616" s="116">
        <f>IFERROR(__xludf.DUMMYFUNCTION("""COMPUTED_VALUE"""),45907.0)</f>
        <v>45907</v>
      </c>
      <c r="I3616" s="115" t="str">
        <f>IFERROR(__xludf.DUMMYFUNCTION("""COMPUTED_VALUE"""),"13")</f>
        <v>13</v>
      </c>
      <c r="J3616" s="115" t="str">
        <f>IFERROR(__xludf.DUMMYFUNCTION("""COMPUTED_VALUE"""),"Girish Chand2025-09-0713")</f>
        <v>Girish Chand2025-09-0713</v>
      </c>
      <c r="K3616" s="115">
        <f>IFERROR(__xludf.DUMMYFUNCTION("""COMPUTED_VALUE"""),24674.0)</f>
        <v>24674</v>
      </c>
    </row>
    <row r="3617">
      <c r="A3617" s="115" t="str">
        <f>IFERROR(__xludf.DUMMYFUNCTION("""COMPUTED_VALUE"""),"EAST")</f>
        <v>EAST</v>
      </c>
      <c r="B3617" s="115" t="str">
        <f>IFERROR(__xludf.DUMMYFUNCTION("""COMPUTED_VALUE"""),"Girish Chand")</f>
        <v>Girish Chand</v>
      </c>
      <c r="C3617" s="115" t="str">
        <f>IFERROR(__xludf.DUMMYFUNCTION("""COMPUTED_VALUE"""),"FLIPKART")</f>
        <v>FLIPKART</v>
      </c>
      <c r="D3617" s="115">
        <f>IFERROR(__xludf.DUMMYFUNCTION("""COMPUTED_VALUE"""),394164.0)</f>
        <v>394164</v>
      </c>
      <c r="E3617" s="115">
        <f>IFERROR(__xludf.DUMMYFUNCTION("""COMPUTED_VALUE"""),38362.0)</f>
        <v>38362</v>
      </c>
      <c r="F3617" s="115">
        <f>IFERROR(__xludf.DUMMYFUNCTION("""COMPUTED_VALUE"""),151678.0)</f>
        <v>151678</v>
      </c>
      <c r="G3617" s="115">
        <f>IFERROR(__xludf.DUMMYFUNCTION("""COMPUTED_VALUE"""),4244.0)</f>
        <v>4244</v>
      </c>
      <c r="H3617" s="116">
        <f>IFERROR(__xludf.DUMMYFUNCTION("""COMPUTED_VALUE"""),45907.0)</f>
        <v>45907</v>
      </c>
      <c r="I3617" s="115" t="str">
        <f>IFERROR(__xludf.DUMMYFUNCTION("""COMPUTED_VALUE"""),"13")</f>
        <v>13</v>
      </c>
      <c r="J3617" s="115" t="str">
        <f>IFERROR(__xludf.DUMMYFUNCTION("""COMPUTED_VALUE"""),"Girish Chand2025-09-0713")</f>
        <v>Girish Chand2025-09-0713</v>
      </c>
      <c r="K3617" s="115">
        <f>IFERROR(__xludf.DUMMYFUNCTION("""COMPUTED_VALUE"""),432526.0)</f>
        <v>432526</v>
      </c>
    </row>
    <row r="3618">
      <c r="A3618" s="115" t="str">
        <f>IFERROR(__xludf.DUMMYFUNCTION("""COMPUTED_VALUE"""),"EAST")</f>
        <v>EAST</v>
      </c>
      <c r="B3618" s="115" t="str">
        <f>IFERROR(__xludf.DUMMYFUNCTION("""COMPUTED_VALUE"""),"Girish Chand")</f>
        <v>Girish Chand</v>
      </c>
      <c r="C3618" s="115" t="str">
        <f>IFERROR(__xludf.DUMMYFUNCTION("""COMPUTED_VALUE"""),"MYNTRA")</f>
        <v>MYNTRA</v>
      </c>
      <c r="D3618" s="115">
        <f>IFERROR(__xludf.DUMMYFUNCTION("""COMPUTED_VALUE"""),35316.0)</f>
        <v>35316</v>
      </c>
      <c r="E3618" s="115">
        <f>IFERROR(__xludf.DUMMYFUNCTION("""COMPUTED_VALUE"""),7029.0)</f>
        <v>7029</v>
      </c>
      <c r="F3618" s="115">
        <f>IFERROR(__xludf.DUMMYFUNCTION("""COMPUTED_VALUE"""),15296.0)</f>
        <v>15296</v>
      </c>
      <c r="G3618" s="115">
        <f>IFERROR(__xludf.DUMMYFUNCTION("""COMPUTED_VALUE"""),1069.0)</f>
        <v>1069</v>
      </c>
      <c r="H3618" s="116">
        <f>IFERROR(__xludf.DUMMYFUNCTION("""COMPUTED_VALUE"""),45907.0)</f>
        <v>45907</v>
      </c>
      <c r="I3618" s="115" t="str">
        <f>IFERROR(__xludf.DUMMYFUNCTION("""COMPUTED_VALUE"""),"13")</f>
        <v>13</v>
      </c>
      <c r="J3618" s="115" t="str">
        <f>IFERROR(__xludf.DUMMYFUNCTION("""COMPUTED_VALUE"""),"Girish Chand2025-09-0713")</f>
        <v>Girish Chand2025-09-0713</v>
      </c>
      <c r="K3618" s="115">
        <f>IFERROR(__xludf.DUMMYFUNCTION("""COMPUTED_VALUE"""),42345.0)</f>
        <v>42345</v>
      </c>
    </row>
    <row r="3619">
      <c r="A3619" s="115" t="str">
        <f>IFERROR(__xludf.DUMMYFUNCTION("""COMPUTED_VALUE"""),"EAST")</f>
        <v>EAST</v>
      </c>
      <c r="B3619" s="115" t="str">
        <f>IFERROR(__xludf.DUMMYFUNCTION("""COMPUTED_VALUE"""),"Parag Kashyap")</f>
        <v>Parag Kashyap</v>
      </c>
      <c r="C3619" s="115" t="str">
        <f>IFERROR(__xludf.DUMMYFUNCTION("""COMPUTED_VALUE"""),"EXTERNAL")</f>
        <v>EXTERNAL</v>
      </c>
      <c r="D3619" s="115">
        <f>IFERROR(__xludf.DUMMYFUNCTION("""COMPUTED_VALUE"""),12312.0)</f>
        <v>12312</v>
      </c>
      <c r="E3619" s="115">
        <f>IFERROR(__xludf.DUMMYFUNCTION("""COMPUTED_VALUE"""),624.0)</f>
        <v>624</v>
      </c>
      <c r="F3619" s="115">
        <f>IFERROR(__xludf.DUMMYFUNCTION("""COMPUTED_VALUE"""),1983.0)</f>
        <v>1983</v>
      </c>
      <c r="G3619" s="115">
        <f>IFERROR(__xludf.DUMMYFUNCTION("""COMPUTED_VALUE"""),20.0)</f>
        <v>20</v>
      </c>
      <c r="H3619" s="116">
        <f>IFERROR(__xludf.DUMMYFUNCTION("""COMPUTED_VALUE"""),45907.0)</f>
        <v>45907</v>
      </c>
      <c r="I3619" s="115" t="str">
        <f>IFERROR(__xludf.DUMMYFUNCTION("""COMPUTED_VALUE"""),"13")</f>
        <v>13</v>
      </c>
      <c r="J3619" s="115" t="str">
        <f>IFERROR(__xludf.DUMMYFUNCTION("""COMPUTED_VALUE"""),"Parag Kashyap2025-09-0713")</f>
        <v>Parag Kashyap2025-09-0713</v>
      </c>
      <c r="K3619" s="115">
        <f>IFERROR(__xludf.DUMMYFUNCTION("""COMPUTED_VALUE"""),12936.0)</f>
        <v>12936</v>
      </c>
    </row>
    <row r="3620">
      <c r="A3620" s="115" t="str">
        <f>IFERROR(__xludf.DUMMYFUNCTION("""COMPUTED_VALUE"""),"EAST")</f>
        <v>EAST</v>
      </c>
      <c r="B3620" s="115" t="str">
        <f>IFERROR(__xludf.DUMMYFUNCTION("""COMPUTED_VALUE"""),"Parag Kashyap")</f>
        <v>Parag Kashyap</v>
      </c>
      <c r="C3620" s="115" t="str">
        <f>IFERROR(__xludf.DUMMYFUNCTION("""COMPUTED_VALUE"""),"FLIPKART")</f>
        <v>FLIPKART</v>
      </c>
      <c r="D3620" s="115">
        <f>IFERROR(__xludf.DUMMYFUNCTION("""COMPUTED_VALUE"""),221463.0)</f>
        <v>221463</v>
      </c>
      <c r="E3620" s="115">
        <f>IFERROR(__xludf.DUMMYFUNCTION("""COMPUTED_VALUE"""),13230.0)</f>
        <v>13230</v>
      </c>
      <c r="F3620" s="115">
        <f>IFERROR(__xludf.DUMMYFUNCTION("""COMPUTED_VALUE"""),70543.0)</f>
        <v>70543</v>
      </c>
      <c r="G3620" s="115">
        <f>IFERROR(__xludf.DUMMYFUNCTION("""COMPUTED_VALUE"""),876.0)</f>
        <v>876</v>
      </c>
      <c r="H3620" s="116">
        <f>IFERROR(__xludf.DUMMYFUNCTION("""COMPUTED_VALUE"""),45907.0)</f>
        <v>45907</v>
      </c>
      <c r="I3620" s="115" t="str">
        <f>IFERROR(__xludf.DUMMYFUNCTION("""COMPUTED_VALUE"""),"13")</f>
        <v>13</v>
      </c>
      <c r="J3620" s="115" t="str">
        <f>IFERROR(__xludf.DUMMYFUNCTION("""COMPUTED_VALUE"""),"Parag Kashyap2025-09-0713")</f>
        <v>Parag Kashyap2025-09-0713</v>
      </c>
      <c r="K3620" s="115">
        <f>IFERROR(__xludf.DUMMYFUNCTION("""COMPUTED_VALUE"""),234693.0)</f>
        <v>234693</v>
      </c>
    </row>
    <row r="3621">
      <c r="A3621" s="115" t="str">
        <f>IFERROR(__xludf.DUMMYFUNCTION("""COMPUTED_VALUE"""),"EAST")</f>
        <v>EAST</v>
      </c>
      <c r="B3621" s="115" t="str">
        <f>IFERROR(__xludf.DUMMYFUNCTION("""COMPUTED_VALUE"""),"Parag Kashyap")</f>
        <v>Parag Kashyap</v>
      </c>
      <c r="C3621" s="115" t="str">
        <f>IFERROR(__xludf.DUMMYFUNCTION("""COMPUTED_VALUE"""),"MYNTRA")</f>
        <v>MYNTRA</v>
      </c>
      <c r="D3621" s="115">
        <f>IFERROR(__xludf.DUMMYFUNCTION("""COMPUTED_VALUE"""),25657.0)</f>
        <v>25657</v>
      </c>
      <c r="E3621" s="115">
        <f>IFERROR(__xludf.DUMMYFUNCTION("""COMPUTED_VALUE"""),3361.0)</f>
        <v>3361</v>
      </c>
      <c r="F3621" s="115">
        <f>IFERROR(__xludf.DUMMYFUNCTION("""COMPUTED_VALUE"""),9078.0)</f>
        <v>9078</v>
      </c>
      <c r="G3621" s="115">
        <f>IFERROR(__xludf.DUMMYFUNCTION("""COMPUTED_VALUE"""),191.0)</f>
        <v>191</v>
      </c>
      <c r="H3621" s="116">
        <f>IFERROR(__xludf.DUMMYFUNCTION("""COMPUTED_VALUE"""),45907.0)</f>
        <v>45907</v>
      </c>
      <c r="I3621" s="115" t="str">
        <f>IFERROR(__xludf.DUMMYFUNCTION("""COMPUTED_VALUE"""),"13")</f>
        <v>13</v>
      </c>
      <c r="J3621" s="115" t="str">
        <f>IFERROR(__xludf.DUMMYFUNCTION("""COMPUTED_VALUE"""),"Parag Kashyap2025-09-0713")</f>
        <v>Parag Kashyap2025-09-0713</v>
      </c>
      <c r="K3621" s="115">
        <f>IFERROR(__xludf.DUMMYFUNCTION("""COMPUTED_VALUE"""),29018.0)</f>
        <v>29018</v>
      </c>
    </row>
    <row r="3622">
      <c r="A3622" s="115" t="str">
        <f>IFERROR(__xludf.DUMMYFUNCTION("""COMPUTED_VALUE"""),"NORTH")</f>
        <v>NORTH</v>
      </c>
      <c r="B3622" s="115" t="str">
        <f>IFERROR(__xludf.DUMMYFUNCTION("""COMPUTED_VALUE"""),"Amit Kumar Pathak")</f>
        <v>Amit Kumar Pathak</v>
      </c>
      <c r="C3622" s="115" t="str">
        <f>IFERROR(__xludf.DUMMYFUNCTION("""COMPUTED_VALUE"""),"EXTERNAL")</f>
        <v>EXTERNAL</v>
      </c>
      <c r="D3622" s="115">
        <f>IFERROR(__xludf.DUMMYFUNCTION("""COMPUTED_VALUE"""),23899.0)</f>
        <v>23899</v>
      </c>
      <c r="E3622" s="115">
        <f>IFERROR(__xludf.DUMMYFUNCTION("""COMPUTED_VALUE"""),2771.0)</f>
        <v>2771</v>
      </c>
      <c r="F3622" s="115">
        <f>IFERROR(__xludf.DUMMYFUNCTION("""COMPUTED_VALUE"""),4691.0)</f>
        <v>4691</v>
      </c>
      <c r="G3622" s="115">
        <f>IFERROR(__xludf.DUMMYFUNCTION("""COMPUTED_VALUE"""),392.0)</f>
        <v>392</v>
      </c>
      <c r="H3622" s="116">
        <f>IFERROR(__xludf.DUMMYFUNCTION("""COMPUTED_VALUE"""),45907.0)</f>
        <v>45907</v>
      </c>
      <c r="I3622" s="115" t="str">
        <f>IFERROR(__xludf.DUMMYFUNCTION("""COMPUTED_VALUE"""),"13")</f>
        <v>13</v>
      </c>
      <c r="J3622" s="115" t="str">
        <f>IFERROR(__xludf.DUMMYFUNCTION("""COMPUTED_VALUE"""),"Amit Kumar Pathak2025-09-0713")</f>
        <v>Amit Kumar Pathak2025-09-0713</v>
      </c>
      <c r="K3622" s="115">
        <f>IFERROR(__xludf.DUMMYFUNCTION("""COMPUTED_VALUE"""),26670.0)</f>
        <v>26670</v>
      </c>
    </row>
    <row r="3623">
      <c r="A3623" s="115" t="str">
        <f>IFERROR(__xludf.DUMMYFUNCTION("""COMPUTED_VALUE"""),"NORTH")</f>
        <v>NORTH</v>
      </c>
      <c r="B3623" s="115" t="str">
        <f>IFERROR(__xludf.DUMMYFUNCTION("""COMPUTED_VALUE"""),"Amit Kumar Pathak")</f>
        <v>Amit Kumar Pathak</v>
      </c>
      <c r="C3623" s="115" t="str">
        <f>IFERROR(__xludf.DUMMYFUNCTION("""COMPUTED_VALUE"""),"FLIPKART")</f>
        <v>FLIPKART</v>
      </c>
      <c r="D3623" s="115">
        <f>IFERROR(__xludf.DUMMYFUNCTION("""COMPUTED_VALUE"""),135512.0)</f>
        <v>135512</v>
      </c>
      <c r="E3623" s="115">
        <f>IFERROR(__xludf.DUMMYFUNCTION("""COMPUTED_VALUE"""),18702.0)</f>
        <v>18702</v>
      </c>
      <c r="F3623" s="115">
        <f>IFERROR(__xludf.DUMMYFUNCTION("""COMPUTED_VALUE"""),50392.0)</f>
        <v>50392</v>
      </c>
      <c r="G3623" s="115">
        <f>IFERROR(__xludf.DUMMYFUNCTION("""COMPUTED_VALUE"""),4010.0)</f>
        <v>4010</v>
      </c>
      <c r="H3623" s="116">
        <f>IFERROR(__xludf.DUMMYFUNCTION("""COMPUTED_VALUE"""),45907.0)</f>
        <v>45907</v>
      </c>
      <c r="I3623" s="115" t="str">
        <f>IFERROR(__xludf.DUMMYFUNCTION("""COMPUTED_VALUE"""),"13")</f>
        <v>13</v>
      </c>
      <c r="J3623" s="115" t="str">
        <f>IFERROR(__xludf.DUMMYFUNCTION("""COMPUTED_VALUE"""),"Amit Kumar Pathak2025-09-0713")</f>
        <v>Amit Kumar Pathak2025-09-0713</v>
      </c>
      <c r="K3623" s="115">
        <f>IFERROR(__xludf.DUMMYFUNCTION("""COMPUTED_VALUE"""),154214.0)</f>
        <v>154214</v>
      </c>
    </row>
    <row r="3624">
      <c r="A3624" s="115" t="str">
        <f>IFERROR(__xludf.DUMMYFUNCTION("""COMPUTED_VALUE"""),"NORTH")</f>
        <v>NORTH</v>
      </c>
      <c r="B3624" s="115" t="str">
        <f>IFERROR(__xludf.DUMMYFUNCTION("""COMPUTED_VALUE"""),"Amit Kumar Pathak")</f>
        <v>Amit Kumar Pathak</v>
      </c>
      <c r="C3624" s="115" t="str">
        <f>IFERROR(__xludf.DUMMYFUNCTION("""COMPUTED_VALUE"""),"MYNTRA")</f>
        <v>MYNTRA</v>
      </c>
      <c r="D3624" s="115">
        <f>IFERROR(__xludf.DUMMYFUNCTION("""COMPUTED_VALUE"""),15547.0)</f>
        <v>15547</v>
      </c>
      <c r="E3624" s="115">
        <f>IFERROR(__xludf.DUMMYFUNCTION("""COMPUTED_VALUE"""),4770.0)</f>
        <v>4770</v>
      </c>
      <c r="F3624" s="115">
        <f>IFERROR(__xludf.DUMMYFUNCTION("""COMPUTED_VALUE"""),7375.0)</f>
        <v>7375</v>
      </c>
      <c r="G3624" s="115">
        <f>IFERROR(__xludf.DUMMYFUNCTION("""COMPUTED_VALUE"""),1278.0)</f>
        <v>1278</v>
      </c>
      <c r="H3624" s="116">
        <f>IFERROR(__xludf.DUMMYFUNCTION("""COMPUTED_VALUE"""),45907.0)</f>
        <v>45907</v>
      </c>
      <c r="I3624" s="115" t="str">
        <f>IFERROR(__xludf.DUMMYFUNCTION("""COMPUTED_VALUE"""),"13")</f>
        <v>13</v>
      </c>
      <c r="J3624" s="115" t="str">
        <f>IFERROR(__xludf.DUMMYFUNCTION("""COMPUTED_VALUE"""),"Amit Kumar Pathak2025-09-0713")</f>
        <v>Amit Kumar Pathak2025-09-0713</v>
      </c>
      <c r="K3624" s="115">
        <f>IFERROR(__xludf.DUMMYFUNCTION("""COMPUTED_VALUE"""),20317.0)</f>
        <v>20317</v>
      </c>
    </row>
    <row r="3625">
      <c r="A3625" s="115" t="str">
        <f>IFERROR(__xludf.DUMMYFUNCTION("""COMPUTED_VALUE"""),"NORTH")</f>
        <v>NORTH</v>
      </c>
      <c r="B3625" s="115" t="str">
        <f>IFERROR(__xludf.DUMMYFUNCTION("""COMPUTED_VALUE"""),"Loveleen Singh")</f>
        <v>Loveleen Singh</v>
      </c>
      <c r="C3625" s="115" t="str">
        <f>IFERROR(__xludf.DUMMYFUNCTION("""COMPUTED_VALUE"""),"EXTERNAL")</f>
        <v>EXTERNAL</v>
      </c>
      <c r="D3625" s="115">
        <f>IFERROR(__xludf.DUMMYFUNCTION("""COMPUTED_VALUE"""),27846.0)</f>
        <v>27846</v>
      </c>
      <c r="E3625" s="115">
        <f>IFERROR(__xludf.DUMMYFUNCTION("""COMPUTED_VALUE"""),1937.0)</f>
        <v>1937</v>
      </c>
      <c r="F3625" s="115">
        <f>IFERROR(__xludf.DUMMYFUNCTION("""COMPUTED_VALUE"""),4839.0)</f>
        <v>4839</v>
      </c>
      <c r="G3625" s="115">
        <f>IFERROR(__xludf.DUMMYFUNCTION("""COMPUTED_VALUE"""),172.0)</f>
        <v>172</v>
      </c>
      <c r="H3625" s="116">
        <f>IFERROR(__xludf.DUMMYFUNCTION("""COMPUTED_VALUE"""),45907.0)</f>
        <v>45907</v>
      </c>
      <c r="I3625" s="115" t="str">
        <f>IFERROR(__xludf.DUMMYFUNCTION("""COMPUTED_VALUE"""),"13")</f>
        <v>13</v>
      </c>
      <c r="J3625" s="115" t="str">
        <f>IFERROR(__xludf.DUMMYFUNCTION("""COMPUTED_VALUE"""),"Loveleen Singh2025-09-0713")</f>
        <v>Loveleen Singh2025-09-0713</v>
      </c>
      <c r="K3625" s="115">
        <f>IFERROR(__xludf.DUMMYFUNCTION("""COMPUTED_VALUE"""),29783.0)</f>
        <v>29783</v>
      </c>
    </row>
    <row r="3626">
      <c r="A3626" s="115" t="str">
        <f>IFERROR(__xludf.DUMMYFUNCTION("""COMPUTED_VALUE"""),"NORTH")</f>
        <v>NORTH</v>
      </c>
      <c r="B3626" s="115" t="str">
        <f>IFERROR(__xludf.DUMMYFUNCTION("""COMPUTED_VALUE"""),"Loveleen Singh")</f>
        <v>Loveleen Singh</v>
      </c>
      <c r="C3626" s="115" t="str">
        <f>IFERROR(__xludf.DUMMYFUNCTION("""COMPUTED_VALUE"""),"FLIPKART")</f>
        <v>FLIPKART</v>
      </c>
      <c r="D3626" s="115">
        <f>IFERROR(__xludf.DUMMYFUNCTION("""COMPUTED_VALUE"""),138055.0)</f>
        <v>138055</v>
      </c>
      <c r="E3626" s="115">
        <f>IFERROR(__xludf.DUMMYFUNCTION("""COMPUTED_VALUE"""),13599.0)</f>
        <v>13599</v>
      </c>
      <c r="F3626" s="115">
        <f>IFERROR(__xludf.DUMMYFUNCTION("""COMPUTED_VALUE"""),48174.0)</f>
        <v>48174</v>
      </c>
      <c r="G3626" s="115">
        <f>IFERROR(__xludf.DUMMYFUNCTION("""COMPUTED_VALUE"""),2119.0)</f>
        <v>2119</v>
      </c>
      <c r="H3626" s="116">
        <f>IFERROR(__xludf.DUMMYFUNCTION("""COMPUTED_VALUE"""),45907.0)</f>
        <v>45907</v>
      </c>
      <c r="I3626" s="115" t="str">
        <f>IFERROR(__xludf.DUMMYFUNCTION("""COMPUTED_VALUE"""),"13")</f>
        <v>13</v>
      </c>
      <c r="J3626" s="115" t="str">
        <f>IFERROR(__xludf.DUMMYFUNCTION("""COMPUTED_VALUE"""),"Loveleen Singh2025-09-0713")</f>
        <v>Loveleen Singh2025-09-0713</v>
      </c>
      <c r="K3626" s="115">
        <f>IFERROR(__xludf.DUMMYFUNCTION("""COMPUTED_VALUE"""),151654.0)</f>
        <v>151654</v>
      </c>
    </row>
    <row r="3627">
      <c r="A3627" s="115" t="str">
        <f>IFERROR(__xludf.DUMMYFUNCTION("""COMPUTED_VALUE"""),"NORTH")</f>
        <v>NORTH</v>
      </c>
      <c r="B3627" s="115" t="str">
        <f>IFERROR(__xludf.DUMMYFUNCTION("""COMPUTED_VALUE"""),"Loveleen Singh")</f>
        <v>Loveleen Singh</v>
      </c>
      <c r="C3627" s="115" t="str">
        <f>IFERROR(__xludf.DUMMYFUNCTION("""COMPUTED_VALUE"""),"MYNTRA")</f>
        <v>MYNTRA</v>
      </c>
      <c r="D3627" s="115">
        <f>IFERROR(__xludf.DUMMYFUNCTION("""COMPUTED_VALUE"""),23286.0)</f>
        <v>23286</v>
      </c>
      <c r="E3627" s="115">
        <f>IFERROR(__xludf.DUMMYFUNCTION("""COMPUTED_VALUE"""),5322.0)</f>
        <v>5322</v>
      </c>
      <c r="F3627" s="115">
        <f>IFERROR(__xludf.DUMMYFUNCTION("""COMPUTED_VALUE"""),9741.0)</f>
        <v>9741</v>
      </c>
      <c r="G3627" s="115">
        <f>IFERROR(__xludf.DUMMYFUNCTION("""COMPUTED_VALUE"""),967.0)</f>
        <v>967</v>
      </c>
      <c r="H3627" s="116">
        <f>IFERROR(__xludf.DUMMYFUNCTION("""COMPUTED_VALUE"""),45907.0)</f>
        <v>45907</v>
      </c>
      <c r="I3627" s="115" t="str">
        <f>IFERROR(__xludf.DUMMYFUNCTION("""COMPUTED_VALUE"""),"13")</f>
        <v>13</v>
      </c>
      <c r="J3627" s="115" t="str">
        <f>IFERROR(__xludf.DUMMYFUNCTION("""COMPUTED_VALUE"""),"Loveleen Singh2025-09-0713")</f>
        <v>Loveleen Singh2025-09-0713</v>
      </c>
      <c r="K3627" s="115">
        <f>IFERROR(__xludf.DUMMYFUNCTION("""COMPUTED_VALUE"""),28608.0)</f>
        <v>28608</v>
      </c>
    </row>
    <row r="3628">
      <c r="A3628" s="115" t="str">
        <f>IFERROR(__xludf.DUMMYFUNCTION("""COMPUTED_VALUE"""),"NORTH")</f>
        <v>NORTH</v>
      </c>
      <c r="B3628" s="115" t="str">
        <f>IFERROR(__xludf.DUMMYFUNCTION("""COMPUTED_VALUE"""),"Manoj Harsh")</f>
        <v>Manoj Harsh</v>
      </c>
      <c r="C3628" s="115" t="str">
        <f>IFERROR(__xludf.DUMMYFUNCTION("""COMPUTED_VALUE"""),"EXTERNAL")</f>
        <v>EXTERNAL</v>
      </c>
      <c r="D3628" s="115">
        <f>IFERROR(__xludf.DUMMYFUNCTION("""COMPUTED_VALUE"""),34836.0)</f>
        <v>34836</v>
      </c>
      <c r="E3628" s="115">
        <f>IFERROR(__xludf.DUMMYFUNCTION("""COMPUTED_VALUE"""),2650.0)</f>
        <v>2650</v>
      </c>
      <c r="F3628" s="115">
        <f>IFERROR(__xludf.DUMMYFUNCTION("""COMPUTED_VALUE"""),6859.0)</f>
        <v>6859</v>
      </c>
      <c r="G3628" s="115">
        <f>IFERROR(__xludf.DUMMYFUNCTION("""COMPUTED_VALUE"""),151.0)</f>
        <v>151</v>
      </c>
      <c r="H3628" s="116">
        <f>IFERROR(__xludf.DUMMYFUNCTION("""COMPUTED_VALUE"""),45907.0)</f>
        <v>45907</v>
      </c>
      <c r="I3628" s="115" t="str">
        <f>IFERROR(__xludf.DUMMYFUNCTION("""COMPUTED_VALUE"""),"13")</f>
        <v>13</v>
      </c>
      <c r="J3628" s="115" t="str">
        <f>IFERROR(__xludf.DUMMYFUNCTION("""COMPUTED_VALUE"""),"Manoj Harsh2025-09-0713")</f>
        <v>Manoj Harsh2025-09-0713</v>
      </c>
      <c r="K3628" s="115">
        <f>IFERROR(__xludf.DUMMYFUNCTION("""COMPUTED_VALUE"""),37486.0)</f>
        <v>37486</v>
      </c>
    </row>
    <row r="3629">
      <c r="A3629" s="115" t="str">
        <f>IFERROR(__xludf.DUMMYFUNCTION("""COMPUTED_VALUE"""),"NORTH")</f>
        <v>NORTH</v>
      </c>
      <c r="B3629" s="115" t="str">
        <f>IFERROR(__xludf.DUMMYFUNCTION("""COMPUTED_VALUE"""),"Manoj Harsh")</f>
        <v>Manoj Harsh</v>
      </c>
      <c r="C3629" s="115" t="str">
        <f>IFERROR(__xludf.DUMMYFUNCTION("""COMPUTED_VALUE"""),"FLIPKART")</f>
        <v>FLIPKART</v>
      </c>
      <c r="D3629" s="115">
        <f>IFERROR(__xludf.DUMMYFUNCTION("""COMPUTED_VALUE"""),373530.0)</f>
        <v>373530</v>
      </c>
      <c r="E3629" s="115">
        <f>IFERROR(__xludf.DUMMYFUNCTION("""COMPUTED_VALUE"""),37718.0)</f>
        <v>37718</v>
      </c>
      <c r="F3629" s="115">
        <f>IFERROR(__xludf.DUMMYFUNCTION("""COMPUTED_VALUE"""),124244.0)</f>
        <v>124244</v>
      </c>
      <c r="G3629" s="115">
        <f>IFERROR(__xludf.DUMMYFUNCTION("""COMPUTED_VALUE"""),4085.0)</f>
        <v>4085</v>
      </c>
      <c r="H3629" s="116">
        <f>IFERROR(__xludf.DUMMYFUNCTION("""COMPUTED_VALUE"""),45907.0)</f>
        <v>45907</v>
      </c>
      <c r="I3629" s="115" t="str">
        <f>IFERROR(__xludf.DUMMYFUNCTION("""COMPUTED_VALUE"""),"13")</f>
        <v>13</v>
      </c>
      <c r="J3629" s="115" t="str">
        <f>IFERROR(__xludf.DUMMYFUNCTION("""COMPUTED_VALUE"""),"Manoj Harsh2025-09-0713")</f>
        <v>Manoj Harsh2025-09-0713</v>
      </c>
      <c r="K3629" s="115">
        <f>IFERROR(__xludf.DUMMYFUNCTION("""COMPUTED_VALUE"""),411248.0)</f>
        <v>411248</v>
      </c>
    </row>
    <row r="3630">
      <c r="A3630" s="115" t="str">
        <f>IFERROR(__xludf.DUMMYFUNCTION("""COMPUTED_VALUE"""),"NORTH")</f>
        <v>NORTH</v>
      </c>
      <c r="B3630" s="115" t="str">
        <f>IFERROR(__xludf.DUMMYFUNCTION("""COMPUTED_VALUE"""),"Manoj Harsh")</f>
        <v>Manoj Harsh</v>
      </c>
      <c r="C3630" s="115" t="str">
        <f>IFERROR(__xludf.DUMMYFUNCTION("""COMPUTED_VALUE"""),"MYNTRA")</f>
        <v>MYNTRA</v>
      </c>
      <c r="D3630" s="115">
        <f>IFERROR(__xludf.DUMMYFUNCTION("""COMPUTED_VALUE"""),36486.0)</f>
        <v>36486</v>
      </c>
      <c r="E3630" s="115">
        <f>IFERROR(__xludf.DUMMYFUNCTION("""COMPUTED_VALUE"""),7316.0)</f>
        <v>7316</v>
      </c>
      <c r="F3630" s="115">
        <f>IFERROR(__xludf.DUMMYFUNCTION("""COMPUTED_VALUE"""),15123.0)</f>
        <v>15123</v>
      </c>
      <c r="G3630" s="115">
        <f>IFERROR(__xludf.DUMMYFUNCTION("""COMPUTED_VALUE"""),999.0)</f>
        <v>999</v>
      </c>
      <c r="H3630" s="116">
        <f>IFERROR(__xludf.DUMMYFUNCTION("""COMPUTED_VALUE"""),45907.0)</f>
        <v>45907</v>
      </c>
      <c r="I3630" s="115" t="str">
        <f>IFERROR(__xludf.DUMMYFUNCTION("""COMPUTED_VALUE"""),"13")</f>
        <v>13</v>
      </c>
      <c r="J3630" s="115" t="str">
        <f>IFERROR(__xludf.DUMMYFUNCTION("""COMPUTED_VALUE"""),"Manoj Harsh2025-09-0713")</f>
        <v>Manoj Harsh2025-09-0713</v>
      </c>
      <c r="K3630" s="115">
        <f>IFERROR(__xludf.DUMMYFUNCTION("""COMPUTED_VALUE"""),43802.0)</f>
        <v>43802</v>
      </c>
    </row>
    <row r="3631">
      <c r="A3631" s="115" t="str">
        <f>IFERROR(__xludf.DUMMYFUNCTION("""COMPUTED_VALUE"""),"NORTH")</f>
        <v>NORTH</v>
      </c>
      <c r="B3631" s="115" t="str">
        <f>IFERROR(__xludf.DUMMYFUNCTION("""COMPUTED_VALUE"""),"Pradeep Kothari")</f>
        <v>Pradeep Kothari</v>
      </c>
      <c r="C3631" s="115" t="str">
        <f>IFERROR(__xludf.DUMMYFUNCTION("""COMPUTED_VALUE"""),"EXTERNAL")</f>
        <v>EXTERNAL</v>
      </c>
      <c r="D3631" s="115">
        <f>IFERROR(__xludf.DUMMYFUNCTION("""COMPUTED_VALUE"""),18954.0)</f>
        <v>18954</v>
      </c>
      <c r="E3631" s="115">
        <f>IFERROR(__xludf.DUMMYFUNCTION("""COMPUTED_VALUE"""),1545.0)</f>
        <v>1545</v>
      </c>
      <c r="F3631" s="115">
        <f>IFERROR(__xludf.DUMMYFUNCTION("""COMPUTED_VALUE"""),4107.0)</f>
        <v>4107</v>
      </c>
      <c r="G3631" s="115">
        <f>IFERROR(__xludf.DUMMYFUNCTION("""COMPUTED_VALUE"""),205.0)</f>
        <v>205</v>
      </c>
      <c r="H3631" s="116">
        <f>IFERROR(__xludf.DUMMYFUNCTION("""COMPUTED_VALUE"""),45907.0)</f>
        <v>45907</v>
      </c>
      <c r="I3631" s="115" t="str">
        <f>IFERROR(__xludf.DUMMYFUNCTION("""COMPUTED_VALUE"""),"13")</f>
        <v>13</v>
      </c>
      <c r="J3631" s="115" t="str">
        <f>IFERROR(__xludf.DUMMYFUNCTION("""COMPUTED_VALUE"""),"Pradeep Kothari2025-09-0713")</f>
        <v>Pradeep Kothari2025-09-0713</v>
      </c>
      <c r="K3631" s="115">
        <f>IFERROR(__xludf.DUMMYFUNCTION("""COMPUTED_VALUE"""),20499.0)</f>
        <v>20499</v>
      </c>
    </row>
    <row r="3632">
      <c r="A3632" s="115" t="str">
        <f>IFERROR(__xludf.DUMMYFUNCTION("""COMPUTED_VALUE"""),"NORTH")</f>
        <v>NORTH</v>
      </c>
      <c r="B3632" s="115" t="str">
        <f>IFERROR(__xludf.DUMMYFUNCTION("""COMPUTED_VALUE"""),"Pradeep Kothari")</f>
        <v>Pradeep Kothari</v>
      </c>
      <c r="C3632" s="115" t="str">
        <f>IFERROR(__xludf.DUMMYFUNCTION("""COMPUTED_VALUE"""),"FLIPKART")</f>
        <v>FLIPKART</v>
      </c>
      <c r="D3632" s="115">
        <f>IFERROR(__xludf.DUMMYFUNCTION("""COMPUTED_VALUE"""),126777.0)</f>
        <v>126777</v>
      </c>
      <c r="E3632" s="115">
        <f>IFERROR(__xludf.DUMMYFUNCTION("""COMPUTED_VALUE"""),15062.0)</f>
        <v>15062</v>
      </c>
      <c r="F3632" s="115">
        <f>IFERROR(__xludf.DUMMYFUNCTION("""COMPUTED_VALUE"""),52691.0)</f>
        <v>52691</v>
      </c>
      <c r="G3632" s="115">
        <f>IFERROR(__xludf.DUMMYFUNCTION("""COMPUTED_VALUE"""),3001.0)</f>
        <v>3001</v>
      </c>
      <c r="H3632" s="116">
        <f>IFERROR(__xludf.DUMMYFUNCTION("""COMPUTED_VALUE"""),45907.0)</f>
        <v>45907</v>
      </c>
      <c r="I3632" s="115" t="str">
        <f>IFERROR(__xludf.DUMMYFUNCTION("""COMPUTED_VALUE"""),"13")</f>
        <v>13</v>
      </c>
      <c r="J3632" s="115" t="str">
        <f>IFERROR(__xludf.DUMMYFUNCTION("""COMPUTED_VALUE"""),"Pradeep Kothari2025-09-0713")</f>
        <v>Pradeep Kothari2025-09-0713</v>
      </c>
      <c r="K3632" s="115">
        <f>IFERROR(__xludf.DUMMYFUNCTION("""COMPUTED_VALUE"""),141839.0)</f>
        <v>141839</v>
      </c>
    </row>
    <row r="3633">
      <c r="A3633" s="115" t="str">
        <f>IFERROR(__xludf.DUMMYFUNCTION("""COMPUTED_VALUE"""),"NORTH")</f>
        <v>NORTH</v>
      </c>
      <c r="B3633" s="115" t="str">
        <f>IFERROR(__xludf.DUMMYFUNCTION("""COMPUTED_VALUE"""),"Pradeep Kothari")</f>
        <v>Pradeep Kothari</v>
      </c>
      <c r="C3633" s="115" t="str">
        <f>IFERROR(__xludf.DUMMYFUNCTION("""COMPUTED_VALUE"""),"MYNTRA")</f>
        <v>MYNTRA</v>
      </c>
      <c r="D3633" s="115">
        <f>IFERROR(__xludf.DUMMYFUNCTION("""COMPUTED_VALUE"""),24448.0)</f>
        <v>24448</v>
      </c>
      <c r="E3633" s="115">
        <f>IFERROR(__xludf.DUMMYFUNCTION("""COMPUTED_VALUE"""),5743.0)</f>
        <v>5743</v>
      </c>
      <c r="F3633" s="115">
        <f>IFERROR(__xludf.DUMMYFUNCTION("""COMPUTED_VALUE"""),12558.0)</f>
        <v>12558</v>
      </c>
      <c r="G3633" s="115">
        <f>IFERROR(__xludf.DUMMYFUNCTION("""COMPUTED_VALUE"""),1333.0)</f>
        <v>1333</v>
      </c>
      <c r="H3633" s="116">
        <f>IFERROR(__xludf.DUMMYFUNCTION("""COMPUTED_VALUE"""),45907.0)</f>
        <v>45907</v>
      </c>
      <c r="I3633" s="115" t="str">
        <f>IFERROR(__xludf.DUMMYFUNCTION("""COMPUTED_VALUE"""),"13")</f>
        <v>13</v>
      </c>
      <c r="J3633" s="115" t="str">
        <f>IFERROR(__xludf.DUMMYFUNCTION("""COMPUTED_VALUE"""),"Pradeep Kothari2025-09-0713")</f>
        <v>Pradeep Kothari2025-09-0713</v>
      </c>
      <c r="K3633" s="115">
        <f>IFERROR(__xludf.DUMMYFUNCTION("""COMPUTED_VALUE"""),30191.0)</f>
        <v>30191</v>
      </c>
    </row>
    <row r="3634">
      <c r="A3634" s="115" t="str">
        <f>IFERROR(__xludf.DUMMYFUNCTION("""COMPUTED_VALUE"""),"SOUTH")</f>
        <v>SOUTH</v>
      </c>
      <c r="B3634" s="115" t="str">
        <f>IFERROR(__xludf.DUMMYFUNCTION("""COMPUTED_VALUE"""),"Kandula Sampath")</f>
        <v>Kandula Sampath</v>
      </c>
      <c r="C3634" s="115" t="str">
        <f>IFERROR(__xludf.DUMMYFUNCTION("""COMPUTED_VALUE"""),"EXTERNAL")</f>
        <v>EXTERNAL</v>
      </c>
      <c r="D3634" s="115">
        <f>IFERROR(__xludf.DUMMYFUNCTION("""COMPUTED_VALUE"""),31733.0)</f>
        <v>31733</v>
      </c>
      <c r="E3634" s="115">
        <f>IFERROR(__xludf.DUMMYFUNCTION("""COMPUTED_VALUE"""),3084.0)</f>
        <v>3084</v>
      </c>
      <c r="F3634" s="115">
        <f>IFERROR(__xludf.DUMMYFUNCTION("""COMPUTED_VALUE"""),7040.0)</f>
        <v>7040</v>
      </c>
      <c r="G3634" s="115">
        <f>IFERROR(__xludf.DUMMYFUNCTION("""COMPUTED_VALUE"""),213.0)</f>
        <v>213</v>
      </c>
      <c r="H3634" s="116">
        <f>IFERROR(__xludf.DUMMYFUNCTION("""COMPUTED_VALUE"""),45907.0)</f>
        <v>45907</v>
      </c>
      <c r="I3634" s="115" t="str">
        <f>IFERROR(__xludf.DUMMYFUNCTION("""COMPUTED_VALUE"""),"13")</f>
        <v>13</v>
      </c>
      <c r="J3634" s="115" t="str">
        <f>IFERROR(__xludf.DUMMYFUNCTION("""COMPUTED_VALUE"""),"Kandula Sampath2025-09-0713")</f>
        <v>Kandula Sampath2025-09-0713</v>
      </c>
      <c r="K3634" s="115">
        <f>IFERROR(__xludf.DUMMYFUNCTION("""COMPUTED_VALUE"""),34817.0)</f>
        <v>34817</v>
      </c>
    </row>
    <row r="3635">
      <c r="A3635" s="115" t="str">
        <f>IFERROR(__xludf.DUMMYFUNCTION("""COMPUTED_VALUE"""),"SOUTH")</f>
        <v>SOUTH</v>
      </c>
      <c r="B3635" s="115" t="str">
        <f>IFERROR(__xludf.DUMMYFUNCTION("""COMPUTED_VALUE"""),"Kandula Sampath")</f>
        <v>Kandula Sampath</v>
      </c>
      <c r="C3635" s="115" t="str">
        <f>IFERROR(__xludf.DUMMYFUNCTION("""COMPUTED_VALUE"""),"FLIPKART")</f>
        <v>FLIPKART</v>
      </c>
      <c r="D3635" s="115">
        <f>IFERROR(__xludf.DUMMYFUNCTION("""COMPUTED_VALUE"""),303349.0)</f>
        <v>303349</v>
      </c>
      <c r="E3635" s="115">
        <f>IFERROR(__xludf.DUMMYFUNCTION("""COMPUTED_VALUE"""),24687.0)</f>
        <v>24687</v>
      </c>
      <c r="F3635" s="115">
        <f>IFERROR(__xludf.DUMMYFUNCTION("""COMPUTED_VALUE"""),118183.0)</f>
        <v>118183</v>
      </c>
      <c r="G3635" s="115">
        <f>IFERROR(__xludf.DUMMYFUNCTION("""COMPUTED_VALUE"""),2817.0)</f>
        <v>2817</v>
      </c>
      <c r="H3635" s="116">
        <f>IFERROR(__xludf.DUMMYFUNCTION("""COMPUTED_VALUE"""),45907.0)</f>
        <v>45907</v>
      </c>
      <c r="I3635" s="115" t="str">
        <f>IFERROR(__xludf.DUMMYFUNCTION("""COMPUTED_VALUE"""),"13")</f>
        <v>13</v>
      </c>
      <c r="J3635" s="115" t="str">
        <f>IFERROR(__xludf.DUMMYFUNCTION("""COMPUTED_VALUE"""),"Kandula Sampath2025-09-0713")</f>
        <v>Kandula Sampath2025-09-0713</v>
      </c>
      <c r="K3635" s="115">
        <f>IFERROR(__xludf.DUMMYFUNCTION("""COMPUTED_VALUE"""),328036.0)</f>
        <v>328036</v>
      </c>
    </row>
    <row r="3636">
      <c r="A3636" s="115" t="str">
        <f>IFERROR(__xludf.DUMMYFUNCTION("""COMPUTED_VALUE"""),"SOUTH")</f>
        <v>SOUTH</v>
      </c>
      <c r="B3636" s="115" t="str">
        <f>IFERROR(__xludf.DUMMYFUNCTION("""COMPUTED_VALUE"""),"Kandula Sampath")</f>
        <v>Kandula Sampath</v>
      </c>
      <c r="C3636" s="115" t="str">
        <f>IFERROR(__xludf.DUMMYFUNCTION("""COMPUTED_VALUE"""),"MYNTRA")</f>
        <v>MYNTRA</v>
      </c>
      <c r="D3636" s="115">
        <f>IFERROR(__xludf.DUMMYFUNCTION("""COMPUTED_VALUE"""),35858.0)</f>
        <v>35858</v>
      </c>
      <c r="E3636" s="115">
        <f>IFERROR(__xludf.DUMMYFUNCTION("""COMPUTED_VALUE"""),6820.0)</f>
        <v>6820</v>
      </c>
      <c r="F3636" s="115">
        <f>IFERROR(__xludf.DUMMYFUNCTION("""COMPUTED_VALUE"""),16252.0)</f>
        <v>16252</v>
      </c>
      <c r="G3636" s="115">
        <f>IFERROR(__xludf.DUMMYFUNCTION("""COMPUTED_VALUE"""),849.0)</f>
        <v>849</v>
      </c>
      <c r="H3636" s="116">
        <f>IFERROR(__xludf.DUMMYFUNCTION("""COMPUTED_VALUE"""),45907.0)</f>
        <v>45907</v>
      </c>
      <c r="I3636" s="115" t="str">
        <f>IFERROR(__xludf.DUMMYFUNCTION("""COMPUTED_VALUE"""),"13")</f>
        <v>13</v>
      </c>
      <c r="J3636" s="115" t="str">
        <f>IFERROR(__xludf.DUMMYFUNCTION("""COMPUTED_VALUE"""),"Kandula Sampath2025-09-0713")</f>
        <v>Kandula Sampath2025-09-0713</v>
      </c>
      <c r="K3636" s="115">
        <f>IFERROR(__xludf.DUMMYFUNCTION("""COMPUTED_VALUE"""),42678.0)</f>
        <v>42678</v>
      </c>
    </row>
    <row r="3637">
      <c r="A3637" s="115" t="str">
        <f>IFERROR(__xludf.DUMMYFUNCTION("""COMPUTED_VALUE"""),"SOUTH")</f>
        <v>SOUTH</v>
      </c>
      <c r="B3637" s="115" t="str">
        <f>IFERROR(__xludf.DUMMYFUNCTION("""COMPUTED_VALUE"""),"Martin A")</f>
        <v>Martin A</v>
      </c>
      <c r="C3637" s="115" t="str">
        <f>IFERROR(__xludf.DUMMYFUNCTION("""COMPUTED_VALUE"""),"EXTERNAL")</f>
        <v>EXTERNAL</v>
      </c>
      <c r="D3637" s="115">
        <f>IFERROR(__xludf.DUMMYFUNCTION("""COMPUTED_VALUE"""),29692.0)</f>
        <v>29692</v>
      </c>
      <c r="E3637" s="115">
        <f>IFERROR(__xludf.DUMMYFUNCTION("""COMPUTED_VALUE"""),3392.0)</f>
        <v>3392</v>
      </c>
      <c r="F3637" s="115">
        <f>IFERROR(__xludf.DUMMYFUNCTION("""COMPUTED_VALUE"""),6816.0)</f>
        <v>6816</v>
      </c>
      <c r="G3637" s="115">
        <f>IFERROR(__xludf.DUMMYFUNCTION("""COMPUTED_VALUE"""),428.0)</f>
        <v>428</v>
      </c>
      <c r="H3637" s="116">
        <f>IFERROR(__xludf.DUMMYFUNCTION("""COMPUTED_VALUE"""),45907.0)</f>
        <v>45907</v>
      </c>
      <c r="I3637" s="115" t="str">
        <f>IFERROR(__xludf.DUMMYFUNCTION("""COMPUTED_VALUE"""),"13")</f>
        <v>13</v>
      </c>
      <c r="J3637" s="115" t="str">
        <f>IFERROR(__xludf.DUMMYFUNCTION("""COMPUTED_VALUE"""),"Martin A2025-09-0713")</f>
        <v>Martin A2025-09-0713</v>
      </c>
      <c r="K3637" s="115">
        <f>IFERROR(__xludf.DUMMYFUNCTION("""COMPUTED_VALUE"""),33084.0)</f>
        <v>33084</v>
      </c>
    </row>
    <row r="3638">
      <c r="A3638" s="115" t="str">
        <f>IFERROR(__xludf.DUMMYFUNCTION("""COMPUTED_VALUE"""),"SOUTH")</f>
        <v>SOUTH</v>
      </c>
      <c r="B3638" s="115" t="str">
        <f>IFERROR(__xludf.DUMMYFUNCTION("""COMPUTED_VALUE"""),"Martin A")</f>
        <v>Martin A</v>
      </c>
      <c r="C3638" s="115" t="str">
        <f>IFERROR(__xludf.DUMMYFUNCTION("""COMPUTED_VALUE"""),"FLIPKART")</f>
        <v>FLIPKART</v>
      </c>
      <c r="D3638" s="115">
        <f>IFERROR(__xludf.DUMMYFUNCTION("""COMPUTED_VALUE"""),249876.0)</f>
        <v>249876</v>
      </c>
      <c r="E3638" s="115">
        <f>IFERROR(__xludf.DUMMYFUNCTION("""COMPUTED_VALUE"""),23449.0)</f>
        <v>23449</v>
      </c>
      <c r="F3638" s="115">
        <f>IFERROR(__xludf.DUMMYFUNCTION("""COMPUTED_VALUE"""),99056.0)</f>
        <v>99056</v>
      </c>
      <c r="G3638" s="115">
        <f>IFERROR(__xludf.DUMMYFUNCTION("""COMPUTED_VALUE"""),3313.0)</f>
        <v>3313</v>
      </c>
      <c r="H3638" s="116">
        <f>IFERROR(__xludf.DUMMYFUNCTION("""COMPUTED_VALUE"""),45907.0)</f>
        <v>45907</v>
      </c>
      <c r="I3638" s="115" t="str">
        <f>IFERROR(__xludf.DUMMYFUNCTION("""COMPUTED_VALUE"""),"13")</f>
        <v>13</v>
      </c>
      <c r="J3638" s="115" t="str">
        <f>IFERROR(__xludf.DUMMYFUNCTION("""COMPUTED_VALUE"""),"Martin A2025-09-0713")</f>
        <v>Martin A2025-09-0713</v>
      </c>
      <c r="K3638" s="115">
        <f>IFERROR(__xludf.DUMMYFUNCTION("""COMPUTED_VALUE"""),273325.0)</f>
        <v>273325</v>
      </c>
    </row>
    <row r="3639">
      <c r="A3639" s="115" t="str">
        <f>IFERROR(__xludf.DUMMYFUNCTION("""COMPUTED_VALUE"""),"SOUTH")</f>
        <v>SOUTH</v>
      </c>
      <c r="B3639" s="115" t="str">
        <f>IFERROR(__xludf.DUMMYFUNCTION("""COMPUTED_VALUE"""),"Martin A")</f>
        <v>Martin A</v>
      </c>
      <c r="C3639" s="115" t="str">
        <f>IFERROR(__xludf.DUMMYFUNCTION("""COMPUTED_VALUE"""),"MYNTRA")</f>
        <v>MYNTRA</v>
      </c>
      <c r="D3639" s="115">
        <f>IFERROR(__xludf.DUMMYFUNCTION("""COMPUTED_VALUE"""),25289.0)</f>
        <v>25289</v>
      </c>
      <c r="E3639" s="115">
        <f>IFERROR(__xludf.DUMMYFUNCTION("""COMPUTED_VALUE"""),5984.0)</f>
        <v>5984</v>
      </c>
      <c r="F3639" s="115">
        <f>IFERROR(__xludf.DUMMYFUNCTION("""COMPUTED_VALUE"""),11894.0)</f>
        <v>11894</v>
      </c>
      <c r="G3639" s="115">
        <f>IFERROR(__xludf.DUMMYFUNCTION("""COMPUTED_VALUE"""),967.0)</f>
        <v>967</v>
      </c>
      <c r="H3639" s="116">
        <f>IFERROR(__xludf.DUMMYFUNCTION("""COMPUTED_VALUE"""),45907.0)</f>
        <v>45907</v>
      </c>
      <c r="I3639" s="115" t="str">
        <f>IFERROR(__xludf.DUMMYFUNCTION("""COMPUTED_VALUE"""),"13")</f>
        <v>13</v>
      </c>
      <c r="J3639" s="115" t="str">
        <f>IFERROR(__xludf.DUMMYFUNCTION("""COMPUTED_VALUE"""),"Martin A2025-09-0713")</f>
        <v>Martin A2025-09-0713</v>
      </c>
      <c r="K3639" s="115">
        <f>IFERROR(__xludf.DUMMYFUNCTION("""COMPUTED_VALUE"""),31273.0)</f>
        <v>31273</v>
      </c>
    </row>
    <row r="3640">
      <c r="A3640" s="115" t="str">
        <f>IFERROR(__xludf.DUMMYFUNCTION("""COMPUTED_VALUE"""),"SOUTH")</f>
        <v>SOUTH</v>
      </c>
      <c r="B3640" s="115" t="str">
        <f>IFERROR(__xludf.DUMMYFUNCTION("""COMPUTED_VALUE"""),"Premkumar M")</f>
        <v>Premkumar M</v>
      </c>
      <c r="C3640" s="115" t="str">
        <f>IFERROR(__xludf.DUMMYFUNCTION("""COMPUTED_VALUE"""),"EXTERNAL")</f>
        <v>EXTERNAL</v>
      </c>
      <c r="D3640" s="115">
        <f>IFERROR(__xludf.DUMMYFUNCTION("""COMPUTED_VALUE"""),23613.0)</f>
        <v>23613</v>
      </c>
      <c r="E3640" s="115">
        <f>IFERROR(__xludf.DUMMYFUNCTION("""COMPUTED_VALUE"""),1397.0)</f>
        <v>1397</v>
      </c>
      <c r="F3640" s="115">
        <f>IFERROR(__xludf.DUMMYFUNCTION("""COMPUTED_VALUE"""),4057.0)</f>
        <v>4057</v>
      </c>
      <c r="G3640" s="115">
        <f>IFERROR(__xludf.DUMMYFUNCTION("""COMPUTED_VALUE"""),47.0)</f>
        <v>47</v>
      </c>
      <c r="H3640" s="116">
        <f>IFERROR(__xludf.DUMMYFUNCTION("""COMPUTED_VALUE"""),45907.0)</f>
        <v>45907</v>
      </c>
      <c r="I3640" s="115" t="str">
        <f>IFERROR(__xludf.DUMMYFUNCTION("""COMPUTED_VALUE"""),"13")</f>
        <v>13</v>
      </c>
      <c r="J3640" s="115" t="str">
        <f>IFERROR(__xludf.DUMMYFUNCTION("""COMPUTED_VALUE"""),"Premkumar M2025-09-0713")</f>
        <v>Premkumar M2025-09-0713</v>
      </c>
      <c r="K3640" s="115">
        <f>IFERROR(__xludf.DUMMYFUNCTION("""COMPUTED_VALUE"""),25010.0)</f>
        <v>25010</v>
      </c>
    </row>
    <row r="3641">
      <c r="A3641" s="115" t="str">
        <f>IFERROR(__xludf.DUMMYFUNCTION("""COMPUTED_VALUE"""),"SOUTH")</f>
        <v>SOUTH</v>
      </c>
      <c r="B3641" s="115" t="str">
        <f>IFERROR(__xludf.DUMMYFUNCTION("""COMPUTED_VALUE"""),"Premkumar M")</f>
        <v>Premkumar M</v>
      </c>
      <c r="C3641" s="115" t="str">
        <f>IFERROR(__xludf.DUMMYFUNCTION("""COMPUTED_VALUE"""),"FLIPKART")</f>
        <v>FLIPKART</v>
      </c>
      <c r="D3641" s="115">
        <f>IFERROR(__xludf.DUMMYFUNCTION("""COMPUTED_VALUE"""),236837.0)</f>
        <v>236837</v>
      </c>
      <c r="E3641" s="115">
        <f>IFERROR(__xludf.DUMMYFUNCTION("""COMPUTED_VALUE"""),14134.0)</f>
        <v>14134</v>
      </c>
      <c r="F3641" s="115">
        <f>IFERROR(__xludf.DUMMYFUNCTION("""COMPUTED_VALUE"""),66229.0)</f>
        <v>66229</v>
      </c>
      <c r="G3641" s="115">
        <f>IFERROR(__xludf.DUMMYFUNCTION("""COMPUTED_VALUE"""),639.0)</f>
        <v>639</v>
      </c>
      <c r="H3641" s="116">
        <f>IFERROR(__xludf.DUMMYFUNCTION("""COMPUTED_VALUE"""),45907.0)</f>
        <v>45907</v>
      </c>
      <c r="I3641" s="115" t="str">
        <f>IFERROR(__xludf.DUMMYFUNCTION("""COMPUTED_VALUE"""),"13")</f>
        <v>13</v>
      </c>
      <c r="J3641" s="115" t="str">
        <f>IFERROR(__xludf.DUMMYFUNCTION("""COMPUTED_VALUE"""),"Premkumar M2025-09-0713")</f>
        <v>Premkumar M2025-09-0713</v>
      </c>
      <c r="K3641" s="115">
        <f>IFERROR(__xludf.DUMMYFUNCTION("""COMPUTED_VALUE"""),250971.0)</f>
        <v>250971</v>
      </c>
    </row>
    <row r="3642">
      <c r="A3642" s="115" t="str">
        <f>IFERROR(__xludf.DUMMYFUNCTION("""COMPUTED_VALUE"""),"SOUTH")</f>
        <v>SOUTH</v>
      </c>
      <c r="B3642" s="115" t="str">
        <f>IFERROR(__xludf.DUMMYFUNCTION("""COMPUTED_VALUE"""),"Premkumar M")</f>
        <v>Premkumar M</v>
      </c>
      <c r="C3642" s="115" t="str">
        <f>IFERROR(__xludf.DUMMYFUNCTION("""COMPUTED_VALUE"""),"MYNTRA")</f>
        <v>MYNTRA</v>
      </c>
      <c r="D3642" s="115">
        <f>IFERROR(__xludf.DUMMYFUNCTION("""COMPUTED_VALUE"""),13593.0)</f>
        <v>13593</v>
      </c>
      <c r="E3642" s="115">
        <f>IFERROR(__xludf.DUMMYFUNCTION("""COMPUTED_VALUE"""),2301.0)</f>
        <v>2301</v>
      </c>
      <c r="F3642" s="115">
        <f>IFERROR(__xludf.DUMMYFUNCTION("""COMPUTED_VALUE"""),4470.0)</f>
        <v>4470</v>
      </c>
      <c r="G3642" s="115">
        <f>IFERROR(__xludf.DUMMYFUNCTION("""COMPUTED_VALUE"""),139.0)</f>
        <v>139</v>
      </c>
      <c r="H3642" s="116">
        <f>IFERROR(__xludf.DUMMYFUNCTION("""COMPUTED_VALUE"""),45907.0)</f>
        <v>45907</v>
      </c>
      <c r="I3642" s="115" t="str">
        <f>IFERROR(__xludf.DUMMYFUNCTION("""COMPUTED_VALUE"""),"13")</f>
        <v>13</v>
      </c>
      <c r="J3642" s="115" t="str">
        <f>IFERROR(__xludf.DUMMYFUNCTION("""COMPUTED_VALUE"""),"Premkumar M2025-09-0713")</f>
        <v>Premkumar M2025-09-0713</v>
      </c>
      <c r="K3642" s="115">
        <f>IFERROR(__xludf.DUMMYFUNCTION("""COMPUTED_VALUE"""),15894.0)</f>
        <v>15894</v>
      </c>
    </row>
    <row r="3643">
      <c r="A3643" s="115" t="str">
        <f>IFERROR(__xludf.DUMMYFUNCTION("""COMPUTED_VALUE"""),"SOUTH")</f>
        <v>SOUTH</v>
      </c>
      <c r="B3643" s="115" t="str">
        <f>IFERROR(__xludf.DUMMYFUNCTION("""COMPUTED_VALUE"""),"Vineeth V")</f>
        <v>Vineeth V</v>
      </c>
      <c r="C3643" s="115" t="str">
        <f>IFERROR(__xludf.DUMMYFUNCTION("""COMPUTED_VALUE"""),"EXTERNAL")</f>
        <v>EXTERNAL</v>
      </c>
      <c r="D3643" s="115">
        <f>IFERROR(__xludf.DUMMYFUNCTION("""COMPUTED_VALUE"""),16265.0)</f>
        <v>16265</v>
      </c>
      <c r="E3643" s="115">
        <f>IFERROR(__xludf.DUMMYFUNCTION("""COMPUTED_VALUE"""),501.0)</f>
        <v>501</v>
      </c>
      <c r="F3643" s="115">
        <f>IFERROR(__xludf.DUMMYFUNCTION("""COMPUTED_VALUE"""),2014.0)</f>
        <v>2014</v>
      </c>
      <c r="G3643" s="115">
        <f>IFERROR(__xludf.DUMMYFUNCTION("""COMPUTED_VALUE"""),9.0)</f>
        <v>9</v>
      </c>
      <c r="H3643" s="116">
        <f>IFERROR(__xludf.DUMMYFUNCTION("""COMPUTED_VALUE"""),45907.0)</f>
        <v>45907</v>
      </c>
      <c r="I3643" s="115" t="str">
        <f>IFERROR(__xludf.DUMMYFUNCTION("""COMPUTED_VALUE"""),"13")</f>
        <v>13</v>
      </c>
      <c r="J3643" s="115" t="str">
        <f>IFERROR(__xludf.DUMMYFUNCTION("""COMPUTED_VALUE"""),"Vineeth V2025-09-0713")</f>
        <v>Vineeth V2025-09-0713</v>
      </c>
      <c r="K3643" s="115">
        <f>IFERROR(__xludf.DUMMYFUNCTION("""COMPUTED_VALUE"""),16766.0)</f>
        <v>16766</v>
      </c>
    </row>
    <row r="3644">
      <c r="A3644" s="115" t="str">
        <f>IFERROR(__xludf.DUMMYFUNCTION("""COMPUTED_VALUE"""),"SOUTH")</f>
        <v>SOUTH</v>
      </c>
      <c r="B3644" s="115" t="str">
        <f>IFERROR(__xludf.DUMMYFUNCTION("""COMPUTED_VALUE"""),"Vineeth V")</f>
        <v>Vineeth V</v>
      </c>
      <c r="C3644" s="115" t="str">
        <f>IFERROR(__xludf.DUMMYFUNCTION("""COMPUTED_VALUE"""),"FLIPKART")</f>
        <v>FLIPKART</v>
      </c>
      <c r="D3644" s="115">
        <f>IFERROR(__xludf.DUMMYFUNCTION("""COMPUTED_VALUE"""),205072.0)</f>
        <v>205072</v>
      </c>
      <c r="E3644" s="115">
        <f>IFERROR(__xludf.DUMMYFUNCTION("""COMPUTED_VALUE"""),12152.0)</f>
        <v>12152</v>
      </c>
      <c r="F3644" s="115">
        <f>IFERROR(__xludf.DUMMYFUNCTION("""COMPUTED_VALUE"""),40963.0)</f>
        <v>40963</v>
      </c>
      <c r="G3644" s="115">
        <f>IFERROR(__xludf.DUMMYFUNCTION("""COMPUTED_VALUE"""),239.0)</f>
        <v>239</v>
      </c>
      <c r="H3644" s="116">
        <f>IFERROR(__xludf.DUMMYFUNCTION("""COMPUTED_VALUE"""),45907.0)</f>
        <v>45907</v>
      </c>
      <c r="I3644" s="115" t="str">
        <f>IFERROR(__xludf.DUMMYFUNCTION("""COMPUTED_VALUE"""),"13")</f>
        <v>13</v>
      </c>
      <c r="J3644" s="115" t="str">
        <f>IFERROR(__xludf.DUMMYFUNCTION("""COMPUTED_VALUE"""),"Vineeth V2025-09-0713")</f>
        <v>Vineeth V2025-09-0713</v>
      </c>
      <c r="K3644" s="115">
        <f>IFERROR(__xludf.DUMMYFUNCTION("""COMPUTED_VALUE"""),217224.0)</f>
        <v>217224</v>
      </c>
    </row>
    <row r="3645">
      <c r="A3645" s="115" t="str">
        <f>IFERROR(__xludf.DUMMYFUNCTION("""COMPUTED_VALUE"""),"SOUTH")</f>
        <v>SOUTH</v>
      </c>
      <c r="B3645" s="115" t="str">
        <f>IFERROR(__xludf.DUMMYFUNCTION("""COMPUTED_VALUE"""),"Vineeth V")</f>
        <v>Vineeth V</v>
      </c>
      <c r="C3645" s="115" t="str">
        <f>IFERROR(__xludf.DUMMYFUNCTION("""COMPUTED_VALUE"""),"MYNTRA")</f>
        <v>MYNTRA</v>
      </c>
      <c r="D3645" s="115">
        <f>IFERROR(__xludf.DUMMYFUNCTION("""COMPUTED_VALUE"""),16256.0)</f>
        <v>16256</v>
      </c>
      <c r="E3645" s="115">
        <f>IFERROR(__xludf.DUMMYFUNCTION("""COMPUTED_VALUE"""),3573.0)</f>
        <v>3573</v>
      </c>
      <c r="F3645" s="115">
        <f>IFERROR(__xludf.DUMMYFUNCTION("""COMPUTED_VALUE"""),3795.0)</f>
        <v>3795</v>
      </c>
      <c r="G3645" s="115">
        <f>IFERROR(__xludf.DUMMYFUNCTION("""COMPUTED_VALUE"""),67.0)</f>
        <v>67</v>
      </c>
      <c r="H3645" s="116">
        <f>IFERROR(__xludf.DUMMYFUNCTION("""COMPUTED_VALUE"""),45907.0)</f>
        <v>45907</v>
      </c>
      <c r="I3645" s="115" t="str">
        <f>IFERROR(__xludf.DUMMYFUNCTION("""COMPUTED_VALUE"""),"13")</f>
        <v>13</v>
      </c>
      <c r="J3645" s="115" t="str">
        <f>IFERROR(__xludf.DUMMYFUNCTION("""COMPUTED_VALUE"""),"Vineeth V2025-09-0713")</f>
        <v>Vineeth V2025-09-0713</v>
      </c>
      <c r="K3645" s="115">
        <f>IFERROR(__xludf.DUMMYFUNCTION("""COMPUTED_VALUE"""),19829.0)</f>
        <v>19829</v>
      </c>
    </row>
    <row r="3646">
      <c r="A3646" s="115" t="str">
        <f>IFERROR(__xludf.DUMMYFUNCTION("""COMPUTED_VALUE"""),"WEST")</f>
        <v>WEST</v>
      </c>
      <c r="B3646" s="115" t="str">
        <f>IFERROR(__xludf.DUMMYFUNCTION("""COMPUTED_VALUE"""),"Ashish Jakar")</f>
        <v>Ashish Jakar</v>
      </c>
      <c r="C3646" s="115" t="str">
        <f>IFERROR(__xludf.DUMMYFUNCTION("""COMPUTED_VALUE"""),"EXTERNAL")</f>
        <v>EXTERNAL</v>
      </c>
      <c r="D3646" s="115">
        <f>IFERROR(__xludf.DUMMYFUNCTION("""COMPUTED_VALUE"""),49464.0)</f>
        <v>49464</v>
      </c>
      <c r="E3646" s="115">
        <f>IFERROR(__xludf.DUMMYFUNCTION("""COMPUTED_VALUE"""),5567.0)</f>
        <v>5567</v>
      </c>
      <c r="F3646" s="115">
        <f>IFERROR(__xludf.DUMMYFUNCTION("""COMPUTED_VALUE"""),8795.0)</f>
        <v>8795</v>
      </c>
      <c r="G3646" s="115">
        <f>IFERROR(__xludf.DUMMYFUNCTION("""COMPUTED_VALUE"""),599.0)</f>
        <v>599</v>
      </c>
      <c r="H3646" s="116">
        <f>IFERROR(__xludf.DUMMYFUNCTION("""COMPUTED_VALUE"""),45907.0)</f>
        <v>45907</v>
      </c>
      <c r="I3646" s="115" t="str">
        <f>IFERROR(__xludf.DUMMYFUNCTION("""COMPUTED_VALUE"""),"13")</f>
        <v>13</v>
      </c>
      <c r="J3646" s="115" t="str">
        <f>IFERROR(__xludf.DUMMYFUNCTION("""COMPUTED_VALUE"""),"Ashish Jakar2025-09-0713")</f>
        <v>Ashish Jakar2025-09-0713</v>
      </c>
      <c r="K3646" s="115">
        <f>IFERROR(__xludf.DUMMYFUNCTION("""COMPUTED_VALUE"""),55031.0)</f>
        <v>55031</v>
      </c>
    </row>
    <row r="3647">
      <c r="A3647" s="115" t="str">
        <f>IFERROR(__xludf.DUMMYFUNCTION("""COMPUTED_VALUE"""),"WEST")</f>
        <v>WEST</v>
      </c>
      <c r="B3647" s="115" t="str">
        <f>IFERROR(__xludf.DUMMYFUNCTION("""COMPUTED_VALUE"""),"Ashish Jakar")</f>
        <v>Ashish Jakar</v>
      </c>
      <c r="C3647" s="115" t="str">
        <f>IFERROR(__xludf.DUMMYFUNCTION("""COMPUTED_VALUE"""),"FLIPKART")</f>
        <v>FLIPKART</v>
      </c>
      <c r="D3647" s="115">
        <f>IFERROR(__xludf.DUMMYFUNCTION("""COMPUTED_VALUE"""),307709.0)</f>
        <v>307709</v>
      </c>
      <c r="E3647" s="115">
        <f>IFERROR(__xludf.DUMMYFUNCTION("""COMPUTED_VALUE"""),25191.0)</f>
        <v>25191</v>
      </c>
      <c r="F3647" s="115">
        <f>IFERROR(__xludf.DUMMYFUNCTION("""COMPUTED_VALUE"""),100478.0)</f>
        <v>100478</v>
      </c>
      <c r="G3647" s="115">
        <f>IFERROR(__xludf.DUMMYFUNCTION("""COMPUTED_VALUE"""),3084.0)</f>
        <v>3084</v>
      </c>
      <c r="H3647" s="116">
        <f>IFERROR(__xludf.DUMMYFUNCTION("""COMPUTED_VALUE"""),45907.0)</f>
        <v>45907</v>
      </c>
      <c r="I3647" s="115" t="str">
        <f>IFERROR(__xludf.DUMMYFUNCTION("""COMPUTED_VALUE"""),"13")</f>
        <v>13</v>
      </c>
      <c r="J3647" s="115" t="str">
        <f>IFERROR(__xludf.DUMMYFUNCTION("""COMPUTED_VALUE"""),"Ashish Jakar2025-09-0713")</f>
        <v>Ashish Jakar2025-09-0713</v>
      </c>
      <c r="K3647" s="115">
        <f>IFERROR(__xludf.DUMMYFUNCTION("""COMPUTED_VALUE"""),332900.0)</f>
        <v>332900</v>
      </c>
    </row>
    <row r="3648">
      <c r="A3648" s="115" t="str">
        <f>IFERROR(__xludf.DUMMYFUNCTION("""COMPUTED_VALUE"""),"WEST")</f>
        <v>WEST</v>
      </c>
      <c r="B3648" s="115" t="str">
        <f>IFERROR(__xludf.DUMMYFUNCTION("""COMPUTED_VALUE"""),"Ashish Jakar")</f>
        <v>Ashish Jakar</v>
      </c>
      <c r="C3648" s="115" t="str">
        <f>IFERROR(__xludf.DUMMYFUNCTION("""COMPUTED_VALUE"""),"MYNTRA")</f>
        <v>MYNTRA</v>
      </c>
      <c r="D3648" s="115">
        <f>IFERROR(__xludf.DUMMYFUNCTION("""COMPUTED_VALUE"""),38940.0)</f>
        <v>38940</v>
      </c>
      <c r="E3648" s="115">
        <f>IFERROR(__xludf.DUMMYFUNCTION("""COMPUTED_VALUE"""),9094.0)</f>
        <v>9094</v>
      </c>
      <c r="F3648" s="115">
        <f>IFERROR(__xludf.DUMMYFUNCTION("""COMPUTED_VALUE"""),15406.0)</f>
        <v>15406</v>
      </c>
      <c r="G3648" s="115">
        <f>IFERROR(__xludf.DUMMYFUNCTION("""COMPUTED_VALUE"""),1309.0)</f>
        <v>1309</v>
      </c>
      <c r="H3648" s="116">
        <f>IFERROR(__xludf.DUMMYFUNCTION("""COMPUTED_VALUE"""),45907.0)</f>
        <v>45907</v>
      </c>
      <c r="I3648" s="115" t="str">
        <f>IFERROR(__xludf.DUMMYFUNCTION("""COMPUTED_VALUE"""),"13")</f>
        <v>13</v>
      </c>
      <c r="J3648" s="115" t="str">
        <f>IFERROR(__xludf.DUMMYFUNCTION("""COMPUTED_VALUE"""),"Ashish Jakar2025-09-0713")</f>
        <v>Ashish Jakar2025-09-0713</v>
      </c>
      <c r="K3648" s="115">
        <f>IFERROR(__xludf.DUMMYFUNCTION("""COMPUTED_VALUE"""),48034.0)</f>
        <v>48034</v>
      </c>
    </row>
    <row r="3649">
      <c r="A3649" s="115" t="str">
        <f>IFERROR(__xludf.DUMMYFUNCTION("""COMPUTED_VALUE"""),"WEST")</f>
        <v>WEST</v>
      </c>
      <c r="B3649" s="115" t="str">
        <f>IFERROR(__xludf.DUMMYFUNCTION("""COMPUTED_VALUE"""),"Ashvani Bhatt")</f>
        <v>Ashvani Bhatt</v>
      </c>
      <c r="C3649" s="115" t="str">
        <f>IFERROR(__xludf.DUMMYFUNCTION("""COMPUTED_VALUE"""),"EXTERNAL")</f>
        <v>EXTERNAL</v>
      </c>
      <c r="D3649" s="115">
        <f>IFERROR(__xludf.DUMMYFUNCTION("""COMPUTED_VALUE"""),29568.0)</f>
        <v>29568</v>
      </c>
      <c r="E3649" s="115">
        <f>IFERROR(__xludf.DUMMYFUNCTION("""COMPUTED_VALUE"""),2295.0)</f>
        <v>2295</v>
      </c>
      <c r="F3649" s="115">
        <f>IFERROR(__xludf.DUMMYFUNCTION("""COMPUTED_VALUE"""),6179.0)</f>
        <v>6179</v>
      </c>
      <c r="G3649" s="115">
        <f>IFERROR(__xludf.DUMMYFUNCTION("""COMPUTED_VALUE"""),159.0)</f>
        <v>159</v>
      </c>
      <c r="H3649" s="116">
        <f>IFERROR(__xludf.DUMMYFUNCTION("""COMPUTED_VALUE"""),45907.0)</f>
        <v>45907</v>
      </c>
      <c r="I3649" s="115" t="str">
        <f>IFERROR(__xludf.DUMMYFUNCTION("""COMPUTED_VALUE"""),"13")</f>
        <v>13</v>
      </c>
      <c r="J3649" s="115" t="str">
        <f>IFERROR(__xludf.DUMMYFUNCTION("""COMPUTED_VALUE"""),"Ashvani Bhatt2025-09-0713")</f>
        <v>Ashvani Bhatt2025-09-0713</v>
      </c>
      <c r="K3649" s="115">
        <f>IFERROR(__xludf.DUMMYFUNCTION("""COMPUTED_VALUE"""),31863.0)</f>
        <v>31863</v>
      </c>
    </row>
    <row r="3650">
      <c r="A3650" s="115" t="str">
        <f>IFERROR(__xludf.DUMMYFUNCTION("""COMPUTED_VALUE"""),"WEST")</f>
        <v>WEST</v>
      </c>
      <c r="B3650" s="115" t="str">
        <f>IFERROR(__xludf.DUMMYFUNCTION("""COMPUTED_VALUE"""),"Ashvani Bhatt")</f>
        <v>Ashvani Bhatt</v>
      </c>
      <c r="C3650" s="115" t="str">
        <f>IFERROR(__xludf.DUMMYFUNCTION("""COMPUTED_VALUE"""),"FLIPKART")</f>
        <v>FLIPKART</v>
      </c>
      <c r="D3650" s="115">
        <f>IFERROR(__xludf.DUMMYFUNCTION("""COMPUTED_VALUE"""),221022.0)</f>
        <v>221022</v>
      </c>
      <c r="E3650" s="115">
        <f>IFERROR(__xludf.DUMMYFUNCTION("""COMPUTED_VALUE"""),21250.0)</f>
        <v>21250</v>
      </c>
      <c r="F3650" s="115">
        <f>IFERROR(__xludf.DUMMYFUNCTION("""COMPUTED_VALUE"""),81122.0)</f>
        <v>81122</v>
      </c>
      <c r="G3650" s="115">
        <f>IFERROR(__xludf.DUMMYFUNCTION("""COMPUTED_VALUE"""),2359.0)</f>
        <v>2359</v>
      </c>
      <c r="H3650" s="116">
        <f>IFERROR(__xludf.DUMMYFUNCTION("""COMPUTED_VALUE"""),45907.0)</f>
        <v>45907</v>
      </c>
      <c r="I3650" s="115" t="str">
        <f>IFERROR(__xludf.DUMMYFUNCTION("""COMPUTED_VALUE"""),"13")</f>
        <v>13</v>
      </c>
      <c r="J3650" s="115" t="str">
        <f>IFERROR(__xludf.DUMMYFUNCTION("""COMPUTED_VALUE"""),"Ashvani Bhatt2025-09-0713")</f>
        <v>Ashvani Bhatt2025-09-0713</v>
      </c>
      <c r="K3650" s="115">
        <f>IFERROR(__xludf.DUMMYFUNCTION("""COMPUTED_VALUE"""),242272.0)</f>
        <v>242272</v>
      </c>
    </row>
    <row r="3651">
      <c r="A3651" s="115" t="str">
        <f>IFERROR(__xludf.DUMMYFUNCTION("""COMPUTED_VALUE"""),"WEST")</f>
        <v>WEST</v>
      </c>
      <c r="B3651" s="115" t="str">
        <f>IFERROR(__xludf.DUMMYFUNCTION("""COMPUTED_VALUE"""),"Ashvani Bhatt")</f>
        <v>Ashvani Bhatt</v>
      </c>
      <c r="C3651" s="115" t="str">
        <f>IFERROR(__xludf.DUMMYFUNCTION("""COMPUTED_VALUE"""),"MYNTRA")</f>
        <v>MYNTRA</v>
      </c>
      <c r="D3651" s="115">
        <f>IFERROR(__xludf.DUMMYFUNCTION("""COMPUTED_VALUE"""),29066.0)</f>
        <v>29066</v>
      </c>
      <c r="E3651" s="115">
        <f>IFERROR(__xludf.DUMMYFUNCTION("""COMPUTED_VALUE"""),6276.0)</f>
        <v>6276</v>
      </c>
      <c r="F3651" s="115">
        <f>IFERROR(__xludf.DUMMYFUNCTION("""COMPUTED_VALUE"""),13353.0)</f>
        <v>13353</v>
      </c>
      <c r="G3651" s="115">
        <f>IFERROR(__xludf.DUMMYFUNCTION("""COMPUTED_VALUE"""),892.0)</f>
        <v>892</v>
      </c>
      <c r="H3651" s="116">
        <f>IFERROR(__xludf.DUMMYFUNCTION("""COMPUTED_VALUE"""),45907.0)</f>
        <v>45907</v>
      </c>
      <c r="I3651" s="115" t="str">
        <f>IFERROR(__xludf.DUMMYFUNCTION("""COMPUTED_VALUE"""),"13")</f>
        <v>13</v>
      </c>
      <c r="J3651" s="115" t="str">
        <f>IFERROR(__xludf.DUMMYFUNCTION("""COMPUTED_VALUE"""),"Ashvani Bhatt2025-09-0713")</f>
        <v>Ashvani Bhatt2025-09-0713</v>
      </c>
      <c r="K3651" s="115">
        <f>IFERROR(__xludf.DUMMYFUNCTION("""COMPUTED_VALUE"""),35342.0)</f>
        <v>35342</v>
      </c>
    </row>
    <row r="3652">
      <c r="A3652" s="115"/>
      <c r="B3652" s="115"/>
      <c r="C3652" s="115" t="str">
        <f>IFERROR(__xludf.DUMMYFUNCTION("""COMPUTED_VALUE"""),"EXTERNAL")</f>
        <v>EXTERNAL</v>
      </c>
      <c r="D3652" s="115">
        <f>IFERROR(__xludf.DUMMYFUNCTION("""COMPUTED_VALUE"""),781.0)</f>
        <v>781</v>
      </c>
      <c r="E3652" s="115">
        <f>IFERROR(__xludf.DUMMYFUNCTION("""COMPUTED_VALUE"""),106.0)</f>
        <v>106</v>
      </c>
      <c r="F3652" s="115">
        <f>IFERROR(__xludf.DUMMYFUNCTION("""COMPUTED_VALUE"""),133.0)</f>
        <v>133</v>
      </c>
      <c r="G3652" s="115">
        <f>IFERROR(__xludf.DUMMYFUNCTION("""COMPUTED_VALUE"""),33.0)</f>
        <v>33</v>
      </c>
      <c r="H3652" s="116">
        <f>IFERROR(__xludf.DUMMYFUNCTION("""COMPUTED_VALUE"""),45907.0)</f>
        <v>45907</v>
      </c>
      <c r="I3652" s="115" t="str">
        <f>IFERROR(__xludf.DUMMYFUNCTION("""COMPUTED_VALUE"""),"13")</f>
        <v>13</v>
      </c>
      <c r="J3652" s="115" t="str">
        <f>IFERROR(__xludf.DUMMYFUNCTION("""COMPUTED_VALUE"""),"2025-09-0713")</f>
        <v>2025-09-0713</v>
      </c>
      <c r="K3652" s="115">
        <f>IFERROR(__xludf.DUMMYFUNCTION("""COMPUTED_VALUE"""),887.0)</f>
        <v>887</v>
      </c>
    </row>
    <row r="3653">
      <c r="A3653" s="115"/>
      <c r="B3653" s="115"/>
      <c r="C3653" s="115" t="str">
        <f>IFERROR(__xludf.DUMMYFUNCTION("""COMPUTED_VALUE"""),"FLIPKART")</f>
        <v>FLIPKART</v>
      </c>
      <c r="D3653" s="115">
        <f>IFERROR(__xludf.DUMMYFUNCTION("""COMPUTED_VALUE"""),5263.0)</f>
        <v>5263</v>
      </c>
      <c r="E3653" s="115">
        <f>IFERROR(__xludf.DUMMYFUNCTION("""COMPUTED_VALUE"""),560.0)</f>
        <v>560</v>
      </c>
      <c r="F3653" s="115">
        <f>IFERROR(__xludf.DUMMYFUNCTION("""COMPUTED_VALUE"""),1162.0)</f>
        <v>1162</v>
      </c>
      <c r="G3653" s="115">
        <f>IFERROR(__xludf.DUMMYFUNCTION("""COMPUTED_VALUE"""),163.0)</f>
        <v>163</v>
      </c>
      <c r="H3653" s="116">
        <f>IFERROR(__xludf.DUMMYFUNCTION("""COMPUTED_VALUE"""),45907.0)</f>
        <v>45907</v>
      </c>
      <c r="I3653" s="115" t="str">
        <f>IFERROR(__xludf.DUMMYFUNCTION("""COMPUTED_VALUE"""),"13")</f>
        <v>13</v>
      </c>
      <c r="J3653" s="115" t="str">
        <f>IFERROR(__xludf.DUMMYFUNCTION("""COMPUTED_VALUE"""),"2025-09-0713")</f>
        <v>2025-09-0713</v>
      </c>
      <c r="K3653" s="115">
        <f>IFERROR(__xludf.DUMMYFUNCTION("""COMPUTED_VALUE"""),5823.0)</f>
        <v>5823</v>
      </c>
    </row>
    <row r="3654">
      <c r="A3654" s="115"/>
      <c r="B3654" s="115"/>
      <c r="C3654" s="115" t="str">
        <f>IFERROR(__xludf.DUMMYFUNCTION("""COMPUTED_VALUE"""),"MYNTRA")</f>
        <v>MYNTRA</v>
      </c>
      <c r="D3654" s="115">
        <f>IFERROR(__xludf.DUMMYFUNCTION("""COMPUTED_VALUE"""),1260.0)</f>
        <v>1260</v>
      </c>
      <c r="E3654" s="115">
        <f>IFERROR(__xludf.DUMMYFUNCTION("""COMPUTED_VALUE"""),311.0)</f>
        <v>311</v>
      </c>
      <c r="F3654" s="115">
        <f>IFERROR(__xludf.DUMMYFUNCTION("""COMPUTED_VALUE"""),388.0)</f>
        <v>388</v>
      </c>
      <c r="G3654" s="115">
        <f>IFERROR(__xludf.DUMMYFUNCTION("""COMPUTED_VALUE"""),65.0)</f>
        <v>65</v>
      </c>
      <c r="H3654" s="116">
        <f>IFERROR(__xludf.DUMMYFUNCTION("""COMPUTED_VALUE"""),45907.0)</f>
        <v>45907</v>
      </c>
      <c r="I3654" s="115" t="str">
        <f>IFERROR(__xludf.DUMMYFUNCTION("""COMPUTED_VALUE"""),"13")</f>
        <v>13</v>
      </c>
      <c r="J3654" s="115" t="str">
        <f>IFERROR(__xludf.DUMMYFUNCTION("""COMPUTED_VALUE"""),"2025-09-0713")</f>
        <v>2025-09-0713</v>
      </c>
      <c r="K3654" s="115">
        <f>IFERROR(__xludf.DUMMYFUNCTION("""COMPUTED_VALUE"""),1571.0)</f>
        <v>1571</v>
      </c>
    </row>
    <row r="3655">
      <c r="A3655" s="115" t="str">
        <f>IFERROR(__xludf.DUMMYFUNCTION("""COMPUTED_VALUE"""),"EAST")</f>
        <v>EAST</v>
      </c>
      <c r="B3655" s="115" t="str">
        <f>IFERROR(__xludf.DUMMYFUNCTION("""COMPUTED_VALUE"""),"Ashish Ranjan")</f>
        <v>Ashish Ranjan</v>
      </c>
      <c r="C3655" s="115" t="str">
        <f>IFERROR(__xludf.DUMMYFUNCTION("""COMPUTED_VALUE"""),"EXTERNAL")</f>
        <v>EXTERNAL</v>
      </c>
      <c r="D3655" s="115">
        <f>IFERROR(__xludf.DUMMYFUNCTION("""COMPUTED_VALUE"""),38451.0)</f>
        <v>38451</v>
      </c>
      <c r="E3655" s="115">
        <f>IFERROR(__xludf.DUMMYFUNCTION("""COMPUTED_VALUE"""),2936.0)</f>
        <v>2936</v>
      </c>
      <c r="F3655" s="115">
        <f>IFERROR(__xludf.DUMMYFUNCTION("""COMPUTED_VALUE"""),15012.0)</f>
        <v>15012</v>
      </c>
      <c r="G3655" s="115">
        <f>IFERROR(__xludf.DUMMYFUNCTION("""COMPUTED_VALUE"""),643.0)</f>
        <v>643</v>
      </c>
      <c r="H3655" s="116">
        <f>IFERROR(__xludf.DUMMYFUNCTION("""COMPUTED_VALUE"""),45907.0)</f>
        <v>45907</v>
      </c>
      <c r="I3655" s="115" t="str">
        <f>IFERROR(__xludf.DUMMYFUNCTION("""COMPUTED_VALUE"""),"14")</f>
        <v>14</v>
      </c>
      <c r="J3655" s="115" t="str">
        <f>IFERROR(__xludf.DUMMYFUNCTION("""COMPUTED_VALUE"""),"Ashish Ranjan2025-09-0714")</f>
        <v>Ashish Ranjan2025-09-0714</v>
      </c>
      <c r="K3655" s="115">
        <f>IFERROR(__xludf.DUMMYFUNCTION("""COMPUTED_VALUE"""),41387.0)</f>
        <v>41387</v>
      </c>
    </row>
    <row r="3656">
      <c r="A3656" s="115" t="str">
        <f>IFERROR(__xludf.DUMMYFUNCTION("""COMPUTED_VALUE"""),"EAST")</f>
        <v>EAST</v>
      </c>
      <c r="B3656" s="115" t="str">
        <f>IFERROR(__xludf.DUMMYFUNCTION("""COMPUTED_VALUE"""),"Ashish Ranjan")</f>
        <v>Ashish Ranjan</v>
      </c>
      <c r="C3656" s="115" t="str">
        <f>IFERROR(__xludf.DUMMYFUNCTION("""COMPUTED_VALUE"""),"FLIPKART")</f>
        <v>FLIPKART</v>
      </c>
      <c r="D3656" s="115">
        <f>IFERROR(__xludf.DUMMYFUNCTION("""COMPUTED_VALUE"""),560153.0)</f>
        <v>560153</v>
      </c>
      <c r="E3656" s="115">
        <f>IFERROR(__xludf.DUMMYFUNCTION("""COMPUTED_VALUE"""),60449.0)</f>
        <v>60449</v>
      </c>
      <c r="F3656" s="115">
        <f>IFERROR(__xludf.DUMMYFUNCTION("""COMPUTED_VALUE"""),348726.0)</f>
        <v>348726</v>
      </c>
      <c r="G3656" s="115">
        <f>IFERROR(__xludf.DUMMYFUNCTION("""COMPUTED_VALUE"""),17697.0)</f>
        <v>17697</v>
      </c>
      <c r="H3656" s="116">
        <f>IFERROR(__xludf.DUMMYFUNCTION("""COMPUTED_VALUE"""),45907.0)</f>
        <v>45907</v>
      </c>
      <c r="I3656" s="115" t="str">
        <f>IFERROR(__xludf.DUMMYFUNCTION("""COMPUTED_VALUE"""),"14")</f>
        <v>14</v>
      </c>
      <c r="J3656" s="115" t="str">
        <f>IFERROR(__xludf.DUMMYFUNCTION("""COMPUTED_VALUE"""),"Ashish Ranjan2025-09-0714")</f>
        <v>Ashish Ranjan2025-09-0714</v>
      </c>
      <c r="K3656" s="115">
        <f>IFERROR(__xludf.DUMMYFUNCTION("""COMPUTED_VALUE"""),620602.0)</f>
        <v>620602</v>
      </c>
    </row>
    <row r="3657">
      <c r="A3657" s="115" t="str">
        <f>IFERROR(__xludf.DUMMYFUNCTION("""COMPUTED_VALUE"""),"EAST")</f>
        <v>EAST</v>
      </c>
      <c r="B3657" s="115" t="str">
        <f>IFERROR(__xludf.DUMMYFUNCTION("""COMPUTED_VALUE"""),"Ashish Ranjan")</f>
        <v>Ashish Ranjan</v>
      </c>
      <c r="C3657" s="115" t="str">
        <f>IFERROR(__xludf.DUMMYFUNCTION("""COMPUTED_VALUE"""),"MYNTRA")</f>
        <v>MYNTRA</v>
      </c>
      <c r="D3657" s="115">
        <f>IFERROR(__xludf.DUMMYFUNCTION("""COMPUTED_VALUE"""),62467.0)</f>
        <v>62467</v>
      </c>
      <c r="E3657" s="115">
        <f>IFERROR(__xludf.DUMMYFUNCTION("""COMPUTED_VALUE"""),13842.0)</f>
        <v>13842</v>
      </c>
      <c r="F3657" s="115">
        <f>IFERROR(__xludf.DUMMYFUNCTION("""COMPUTED_VALUE"""),39913.0)</f>
        <v>39913</v>
      </c>
      <c r="G3657" s="115">
        <f>IFERROR(__xludf.DUMMYFUNCTION("""COMPUTED_VALUE"""),4097.0)</f>
        <v>4097</v>
      </c>
      <c r="H3657" s="116">
        <f>IFERROR(__xludf.DUMMYFUNCTION("""COMPUTED_VALUE"""),45907.0)</f>
        <v>45907</v>
      </c>
      <c r="I3657" s="115" t="str">
        <f>IFERROR(__xludf.DUMMYFUNCTION("""COMPUTED_VALUE"""),"14")</f>
        <v>14</v>
      </c>
      <c r="J3657" s="115" t="str">
        <f>IFERROR(__xludf.DUMMYFUNCTION("""COMPUTED_VALUE"""),"Ashish Ranjan2025-09-0714")</f>
        <v>Ashish Ranjan2025-09-0714</v>
      </c>
      <c r="K3657" s="115">
        <f>IFERROR(__xludf.DUMMYFUNCTION("""COMPUTED_VALUE"""),76309.0)</f>
        <v>76309</v>
      </c>
    </row>
    <row r="3658">
      <c r="A3658" s="115" t="str">
        <f>IFERROR(__xludf.DUMMYFUNCTION("""COMPUTED_VALUE"""),"EAST")</f>
        <v>EAST</v>
      </c>
      <c r="B3658" s="115" t="str">
        <f>IFERROR(__xludf.DUMMYFUNCTION("""COMPUTED_VALUE"""),"Girish Chand")</f>
        <v>Girish Chand</v>
      </c>
      <c r="C3658" s="115" t="str">
        <f>IFERROR(__xludf.DUMMYFUNCTION("""COMPUTED_VALUE"""),"EXTERNAL")</f>
        <v>EXTERNAL</v>
      </c>
      <c r="D3658" s="115">
        <f>IFERROR(__xludf.DUMMYFUNCTION("""COMPUTED_VALUE"""),23024.0)</f>
        <v>23024</v>
      </c>
      <c r="E3658" s="115">
        <f>IFERROR(__xludf.DUMMYFUNCTION("""COMPUTED_VALUE"""),2081.0)</f>
        <v>2081</v>
      </c>
      <c r="F3658" s="115">
        <f>IFERROR(__xludf.DUMMYFUNCTION("""COMPUTED_VALUE"""),6459.0)</f>
        <v>6459</v>
      </c>
      <c r="G3658" s="115">
        <f>IFERROR(__xludf.DUMMYFUNCTION("""COMPUTED_VALUE"""),165.0)</f>
        <v>165</v>
      </c>
      <c r="H3658" s="116">
        <f>IFERROR(__xludf.DUMMYFUNCTION("""COMPUTED_VALUE"""),45907.0)</f>
        <v>45907</v>
      </c>
      <c r="I3658" s="115" t="str">
        <f>IFERROR(__xludf.DUMMYFUNCTION("""COMPUTED_VALUE"""),"14")</f>
        <v>14</v>
      </c>
      <c r="J3658" s="115" t="str">
        <f>IFERROR(__xludf.DUMMYFUNCTION("""COMPUTED_VALUE"""),"Girish Chand2025-09-0714")</f>
        <v>Girish Chand2025-09-0714</v>
      </c>
      <c r="K3658" s="115">
        <f>IFERROR(__xludf.DUMMYFUNCTION("""COMPUTED_VALUE"""),25105.0)</f>
        <v>25105</v>
      </c>
    </row>
    <row r="3659">
      <c r="A3659" s="115" t="str">
        <f>IFERROR(__xludf.DUMMYFUNCTION("""COMPUTED_VALUE"""),"EAST")</f>
        <v>EAST</v>
      </c>
      <c r="B3659" s="115" t="str">
        <f>IFERROR(__xludf.DUMMYFUNCTION("""COMPUTED_VALUE"""),"Girish Chand")</f>
        <v>Girish Chand</v>
      </c>
      <c r="C3659" s="115" t="str">
        <f>IFERROR(__xludf.DUMMYFUNCTION("""COMPUTED_VALUE"""),"FLIPKART")</f>
        <v>FLIPKART</v>
      </c>
      <c r="D3659" s="115">
        <f>IFERROR(__xludf.DUMMYFUNCTION("""COMPUTED_VALUE"""),398799.0)</f>
        <v>398799</v>
      </c>
      <c r="E3659" s="115">
        <f>IFERROR(__xludf.DUMMYFUNCTION("""COMPUTED_VALUE"""),39417.0)</f>
        <v>39417</v>
      </c>
      <c r="F3659" s="115">
        <f>IFERROR(__xludf.DUMMYFUNCTION("""COMPUTED_VALUE"""),195389.0)</f>
        <v>195389</v>
      </c>
      <c r="G3659" s="115">
        <f>IFERROR(__xludf.DUMMYFUNCTION("""COMPUTED_VALUE"""),7168.0)</f>
        <v>7168</v>
      </c>
      <c r="H3659" s="116">
        <f>IFERROR(__xludf.DUMMYFUNCTION("""COMPUTED_VALUE"""),45907.0)</f>
        <v>45907</v>
      </c>
      <c r="I3659" s="115" t="str">
        <f>IFERROR(__xludf.DUMMYFUNCTION("""COMPUTED_VALUE"""),"14")</f>
        <v>14</v>
      </c>
      <c r="J3659" s="115" t="str">
        <f>IFERROR(__xludf.DUMMYFUNCTION("""COMPUTED_VALUE"""),"Girish Chand2025-09-0714")</f>
        <v>Girish Chand2025-09-0714</v>
      </c>
      <c r="K3659" s="115">
        <f>IFERROR(__xludf.DUMMYFUNCTION("""COMPUTED_VALUE"""),438216.0)</f>
        <v>438216</v>
      </c>
    </row>
    <row r="3660">
      <c r="A3660" s="115" t="str">
        <f>IFERROR(__xludf.DUMMYFUNCTION("""COMPUTED_VALUE"""),"EAST")</f>
        <v>EAST</v>
      </c>
      <c r="B3660" s="115" t="str">
        <f>IFERROR(__xludf.DUMMYFUNCTION("""COMPUTED_VALUE"""),"Girish Chand")</f>
        <v>Girish Chand</v>
      </c>
      <c r="C3660" s="115" t="str">
        <f>IFERROR(__xludf.DUMMYFUNCTION("""COMPUTED_VALUE"""),"MYNTRA")</f>
        <v>MYNTRA</v>
      </c>
      <c r="D3660" s="115">
        <f>IFERROR(__xludf.DUMMYFUNCTION("""COMPUTED_VALUE"""),35786.0)</f>
        <v>35786</v>
      </c>
      <c r="E3660" s="115">
        <f>IFERROR(__xludf.DUMMYFUNCTION("""COMPUTED_VALUE"""),7228.0)</f>
        <v>7228</v>
      </c>
      <c r="F3660" s="115">
        <f>IFERROR(__xludf.DUMMYFUNCTION("""COMPUTED_VALUE"""),19354.0)</f>
        <v>19354</v>
      </c>
      <c r="G3660" s="115">
        <f>IFERROR(__xludf.DUMMYFUNCTION("""COMPUTED_VALUE"""),1660.0)</f>
        <v>1660</v>
      </c>
      <c r="H3660" s="116">
        <f>IFERROR(__xludf.DUMMYFUNCTION("""COMPUTED_VALUE"""),45907.0)</f>
        <v>45907</v>
      </c>
      <c r="I3660" s="115" t="str">
        <f>IFERROR(__xludf.DUMMYFUNCTION("""COMPUTED_VALUE"""),"14")</f>
        <v>14</v>
      </c>
      <c r="J3660" s="115" t="str">
        <f>IFERROR(__xludf.DUMMYFUNCTION("""COMPUTED_VALUE"""),"Girish Chand2025-09-0714")</f>
        <v>Girish Chand2025-09-0714</v>
      </c>
      <c r="K3660" s="115">
        <f>IFERROR(__xludf.DUMMYFUNCTION("""COMPUTED_VALUE"""),43014.0)</f>
        <v>43014</v>
      </c>
    </row>
    <row r="3661">
      <c r="A3661" s="115" t="str">
        <f>IFERROR(__xludf.DUMMYFUNCTION("""COMPUTED_VALUE"""),"EAST")</f>
        <v>EAST</v>
      </c>
      <c r="B3661" s="115" t="str">
        <f>IFERROR(__xludf.DUMMYFUNCTION("""COMPUTED_VALUE"""),"Parag Kashyap")</f>
        <v>Parag Kashyap</v>
      </c>
      <c r="C3661" s="115" t="str">
        <f>IFERROR(__xludf.DUMMYFUNCTION("""COMPUTED_VALUE"""),"EXTERNAL")</f>
        <v>EXTERNAL</v>
      </c>
      <c r="D3661" s="115">
        <f>IFERROR(__xludf.DUMMYFUNCTION("""COMPUTED_VALUE"""),12788.0)</f>
        <v>12788</v>
      </c>
      <c r="E3661" s="115">
        <f>IFERROR(__xludf.DUMMYFUNCTION("""COMPUTED_VALUE"""),658.0)</f>
        <v>658</v>
      </c>
      <c r="F3661" s="115">
        <f>IFERROR(__xludf.DUMMYFUNCTION("""COMPUTED_VALUE"""),2810.0)</f>
        <v>2810</v>
      </c>
      <c r="G3661" s="115">
        <f>IFERROR(__xludf.DUMMYFUNCTION("""COMPUTED_VALUE"""),42.0)</f>
        <v>42</v>
      </c>
      <c r="H3661" s="116">
        <f>IFERROR(__xludf.DUMMYFUNCTION("""COMPUTED_VALUE"""),45907.0)</f>
        <v>45907</v>
      </c>
      <c r="I3661" s="115" t="str">
        <f>IFERROR(__xludf.DUMMYFUNCTION("""COMPUTED_VALUE"""),"14")</f>
        <v>14</v>
      </c>
      <c r="J3661" s="115" t="str">
        <f>IFERROR(__xludf.DUMMYFUNCTION("""COMPUTED_VALUE"""),"Parag Kashyap2025-09-0714")</f>
        <v>Parag Kashyap2025-09-0714</v>
      </c>
      <c r="K3661" s="115">
        <f>IFERROR(__xludf.DUMMYFUNCTION("""COMPUTED_VALUE"""),13446.0)</f>
        <v>13446</v>
      </c>
    </row>
    <row r="3662">
      <c r="A3662" s="115" t="str">
        <f>IFERROR(__xludf.DUMMYFUNCTION("""COMPUTED_VALUE"""),"EAST")</f>
        <v>EAST</v>
      </c>
      <c r="B3662" s="115" t="str">
        <f>IFERROR(__xludf.DUMMYFUNCTION("""COMPUTED_VALUE"""),"Parag Kashyap")</f>
        <v>Parag Kashyap</v>
      </c>
      <c r="C3662" s="115" t="str">
        <f>IFERROR(__xludf.DUMMYFUNCTION("""COMPUTED_VALUE"""),"FLIPKART")</f>
        <v>FLIPKART</v>
      </c>
      <c r="D3662" s="115">
        <f>IFERROR(__xludf.DUMMYFUNCTION("""COMPUTED_VALUE"""),227324.0)</f>
        <v>227324</v>
      </c>
      <c r="E3662" s="115">
        <f>IFERROR(__xludf.DUMMYFUNCTION("""COMPUTED_VALUE"""),14158.0)</f>
        <v>14158</v>
      </c>
      <c r="F3662" s="115">
        <f>IFERROR(__xludf.DUMMYFUNCTION("""COMPUTED_VALUE"""),96898.0)</f>
        <v>96898</v>
      </c>
      <c r="G3662" s="115">
        <f>IFERROR(__xludf.DUMMYFUNCTION("""COMPUTED_VALUE"""),1558.0)</f>
        <v>1558</v>
      </c>
      <c r="H3662" s="116">
        <f>IFERROR(__xludf.DUMMYFUNCTION("""COMPUTED_VALUE"""),45907.0)</f>
        <v>45907</v>
      </c>
      <c r="I3662" s="115" t="str">
        <f>IFERROR(__xludf.DUMMYFUNCTION("""COMPUTED_VALUE"""),"14")</f>
        <v>14</v>
      </c>
      <c r="J3662" s="115" t="str">
        <f>IFERROR(__xludf.DUMMYFUNCTION("""COMPUTED_VALUE"""),"Parag Kashyap2025-09-0714")</f>
        <v>Parag Kashyap2025-09-0714</v>
      </c>
      <c r="K3662" s="115">
        <f>IFERROR(__xludf.DUMMYFUNCTION("""COMPUTED_VALUE"""),241482.0)</f>
        <v>241482</v>
      </c>
    </row>
    <row r="3663">
      <c r="A3663" s="115" t="str">
        <f>IFERROR(__xludf.DUMMYFUNCTION("""COMPUTED_VALUE"""),"EAST")</f>
        <v>EAST</v>
      </c>
      <c r="B3663" s="115" t="str">
        <f>IFERROR(__xludf.DUMMYFUNCTION("""COMPUTED_VALUE"""),"Parag Kashyap")</f>
        <v>Parag Kashyap</v>
      </c>
      <c r="C3663" s="115" t="str">
        <f>IFERROR(__xludf.DUMMYFUNCTION("""COMPUTED_VALUE"""),"MYNTRA")</f>
        <v>MYNTRA</v>
      </c>
      <c r="D3663" s="115">
        <f>IFERROR(__xludf.DUMMYFUNCTION("""COMPUTED_VALUE"""),26469.0)</f>
        <v>26469</v>
      </c>
      <c r="E3663" s="115">
        <f>IFERROR(__xludf.DUMMYFUNCTION("""COMPUTED_VALUE"""),3580.0)</f>
        <v>3580</v>
      </c>
      <c r="F3663" s="115">
        <f>IFERROR(__xludf.DUMMYFUNCTION("""COMPUTED_VALUE"""),12180.0)</f>
        <v>12180</v>
      </c>
      <c r="G3663" s="115">
        <f>IFERROR(__xludf.DUMMYFUNCTION("""COMPUTED_VALUE"""),366.0)</f>
        <v>366</v>
      </c>
      <c r="H3663" s="116">
        <f>IFERROR(__xludf.DUMMYFUNCTION("""COMPUTED_VALUE"""),45907.0)</f>
        <v>45907</v>
      </c>
      <c r="I3663" s="115" t="str">
        <f>IFERROR(__xludf.DUMMYFUNCTION("""COMPUTED_VALUE"""),"14")</f>
        <v>14</v>
      </c>
      <c r="J3663" s="115" t="str">
        <f>IFERROR(__xludf.DUMMYFUNCTION("""COMPUTED_VALUE"""),"Parag Kashyap2025-09-0714")</f>
        <v>Parag Kashyap2025-09-0714</v>
      </c>
      <c r="K3663" s="115">
        <f>IFERROR(__xludf.DUMMYFUNCTION("""COMPUTED_VALUE"""),30049.0)</f>
        <v>30049</v>
      </c>
    </row>
    <row r="3664">
      <c r="A3664" s="115" t="str">
        <f>IFERROR(__xludf.DUMMYFUNCTION("""COMPUTED_VALUE"""),"NORTH")</f>
        <v>NORTH</v>
      </c>
      <c r="B3664" s="115" t="str">
        <f>IFERROR(__xludf.DUMMYFUNCTION("""COMPUTED_VALUE"""),"Amit Kumar Pathak")</f>
        <v>Amit Kumar Pathak</v>
      </c>
      <c r="C3664" s="115" t="str">
        <f>IFERROR(__xludf.DUMMYFUNCTION("""COMPUTED_VALUE"""),"EXTERNAL")</f>
        <v>EXTERNAL</v>
      </c>
      <c r="D3664" s="115">
        <f>IFERROR(__xludf.DUMMYFUNCTION("""COMPUTED_VALUE"""),24948.0)</f>
        <v>24948</v>
      </c>
      <c r="E3664" s="115">
        <f>IFERROR(__xludf.DUMMYFUNCTION("""COMPUTED_VALUE"""),2819.0)</f>
        <v>2819</v>
      </c>
      <c r="F3664" s="115">
        <f>IFERROR(__xludf.DUMMYFUNCTION("""COMPUTED_VALUE"""),5987.0)</f>
        <v>5987</v>
      </c>
      <c r="G3664" s="115">
        <f>IFERROR(__xludf.DUMMYFUNCTION("""COMPUTED_VALUE"""),550.0)</f>
        <v>550</v>
      </c>
      <c r="H3664" s="116">
        <f>IFERROR(__xludf.DUMMYFUNCTION("""COMPUTED_VALUE"""),45907.0)</f>
        <v>45907</v>
      </c>
      <c r="I3664" s="115" t="str">
        <f>IFERROR(__xludf.DUMMYFUNCTION("""COMPUTED_VALUE"""),"14")</f>
        <v>14</v>
      </c>
      <c r="J3664" s="115" t="str">
        <f>IFERROR(__xludf.DUMMYFUNCTION("""COMPUTED_VALUE"""),"Amit Kumar Pathak2025-09-0714")</f>
        <v>Amit Kumar Pathak2025-09-0714</v>
      </c>
      <c r="K3664" s="115">
        <f>IFERROR(__xludf.DUMMYFUNCTION("""COMPUTED_VALUE"""),27767.0)</f>
        <v>27767</v>
      </c>
    </row>
    <row r="3665">
      <c r="A3665" s="115" t="str">
        <f>IFERROR(__xludf.DUMMYFUNCTION("""COMPUTED_VALUE"""),"NORTH")</f>
        <v>NORTH</v>
      </c>
      <c r="B3665" s="115" t="str">
        <f>IFERROR(__xludf.DUMMYFUNCTION("""COMPUTED_VALUE"""),"Amit Kumar Pathak")</f>
        <v>Amit Kumar Pathak</v>
      </c>
      <c r="C3665" s="115" t="str">
        <f>IFERROR(__xludf.DUMMYFUNCTION("""COMPUTED_VALUE"""),"FLIPKART")</f>
        <v>FLIPKART</v>
      </c>
      <c r="D3665" s="115">
        <f>IFERROR(__xludf.DUMMYFUNCTION("""COMPUTED_VALUE"""),141564.0)</f>
        <v>141564</v>
      </c>
      <c r="E3665" s="115">
        <f>IFERROR(__xludf.DUMMYFUNCTION("""COMPUTED_VALUE"""),19161.0)</f>
        <v>19161</v>
      </c>
      <c r="F3665" s="115">
        <f>IFERROR(__xludf.DUMMYFUNCTION("""COMPUTED_VALUE"""),63479.0)</f>
        <v>63479</v>
      </c>
      <c r="G3665" s="115">
        <f>IFERROR(__xludf.DUMMYFUNCTION("""COMPUTED_VALUE"""),5399.0)</f>
        <v>5399</v>
      </c>
      <c r="H3665" s="116">
        <f>IFERROR(__xludf.DUMMYFUNCTION("""COMPUTED_VALUE"""),45907.0)</f>
        <v>45907</v>
      </c>
      <c r="I3665" s="115" t="str">
        <f>IFERROR(__xludf.DUMMYFUNCTION("""COMPUTED_VALUE"""),"14")</f>
        <v>14</v>
      </c>
      <c r="J3665" s="115" t="str">
        <f>IFERROR(__xludf.DUMMYFUNCTION("""COMPUTED_VALUE"""),"Amit Kumar Pathak2025-09-0714")</f>
        <v>Amit Kumar Pathak2025-09-0714</v>
      </c>
      <c r="K3665" s="115">
        <f>IFERROR(__xludf.DUMMYFUNCTION("""COMPUTED_VALUE"""),160725.0)</f>
        <v>160725</v>
      </c>
    </row>
    <row r="3666">
      <c r="A3666" s="115" t="str">
        <f>IFERROR(__xludf.DUMMYFUNCTION("""COMPUTED_VALUE"""),"NORTH")</f>
        <v>NORTH</v>
      </c>
      <c r="B3666" s="115" t="str">
        <f>IFERROR(__xludf.DUMMYFUNCTION("""COMPUTED_VALUE"""),"Amit Kumar Pathak")</f>
        <v>Amit Kumar Pathak</v>
      </c>
      <c r="C3666" s="115" t="str">
        <f>IFERROR(__xludf.DUMMYFUNCTION("""COMPUTED_VALUE"""),"MYNTRA")</f>
        <v>MYNTRA</v>
      </c>
      <c r="D3666" s="115">
        <f>IFERROR(__xludf.DUMMYFUNCTION("""COMPUTED_VALUE"""),16326.0)</f>
        <v>16326</v>
      </c>
      <c r="E3666" s="115">
        <f>IFERROR(__xludf.DUMMYFUNCTION("""COMPUTED_VALUE"""),4883.0)</f>
        <v>4883</v>
      </c>
      <c r="F3666" s="115">
        <f>IFERROR(__xludf.DUMMYFUNCTION("""COMPUTED_VALUE"""),9142.0)</f>
        <v>9142</v>
      </c>
      <c r="G3666" s="115">
        <f>IFERROR(__xludf.DUMMYFUNCTION("""COMPUTED_VALUE"""),1705.0)</f>
        <v>1705</v>
      </c>
      <c r="H3666" s="116">
        <f>IFERROR(__xludf.DUMMYFUNCTION("""COMPUTED_VALUE"""),45907.0)</f>
        <v>45907</v>
      </c>
      <c r="I3666" s="115" t="str">
        <f>IFERROR(__xludf.DUMMYFUNCTION("""COMPUTED_VALUE"""),"14")</f>
        <v>14</v>
      </c>
      <c r="J3666" s="115" t="str">
        <f>IFERROR(__xludf.DUMMYFUNCTION("""COMPUTED_VALUE"""),"Amit Kumar Pathak2025-09-0714")</f>
        <v>Amit Kumar Pathak2025-09-0714</v>
      </c>
      <c r="K3666" s="115">
        <f>IFERROR(__xludf.DUMMYFUNCTION("""COMPUTED_VALUE"""),21209.0)</f>
        <v>21209</v>
      </c>
    </row>
    <row r="3667">
      <c r="A3667" s="115" t="str">
        <f>IFERROR(__xludf.DUMMYFUNCTION("""COMPUTED_VALUE"""),"NORTH")</f>
        <v>NORTH</v>
      </c>
      <c r="B3667" s="115" t="str">
        <f>IFERROR(__xludf.DUMMYFUNCTION("""COMPUTED_VALUE"""),"Loveleen Singh")</f>
        <v>Loveleen Singh</v>
      </c>
      <c r="C3667" s="115" t="str">
        <f>IFERROR(__xludf.DUMMYFUNCTION("""COMPUTED_VALUE"""),"EXTERNAL")</f>
        <v>EXTERNAL</v>
      </c>
      <c r="D3667" s="115">
        <f>IFERROR(__xludf.DUMMYFUNCTION("""COMPUTED_VALUE"""),28680.0)</f>
        <v>28680</v>
      </c>
      <c r="E3667" s="115">
        <f>IFERROR(__xludf.DUMMYFUNCTION("""COMPUTED_VALUE"""),2011.0)</f>
        <v>2011</v>
      </c>
      <c r="F3667" s="115">
        <f>IFERROR(__xludf.DUMMYFUNCTION("""COMPUTED_VALUE"""),6495.0)</f>
        <v>6495</v>
      </c>
      <c r="G3667" s="115">
        <f>IFERROR(__xludf.DUMMYFUNCTION("""COMPUTED_VALUE"""),244.0)</f>
        <v>244</v>
      </c>
      <c r="H3667" s="116">
        <f>IFERROR(__xludf.DUMMYFUNCTION("""COMPUTED_VALUE"""),45907.0)</f>
        <v>45907</v>
      </c>
      <c r="I3667" s="115" t="str">
        <f>IFERROR(__xludf.DUMMYFUNCTION("""COMPUTED_VALUE"""),"14")</f>
        <v>14</v>
      </c>
      <c r="J3667" s="115" t="str">
        <f>IFERROR(__xludf.DUMMYFUNCTION("""COMPUTED_VALUE"""),"Loveleen Singh2025-09-0714")</f>
        <v>Loveleen Singh2025-09-0714</v>
      </c>
      <c r="K3667" s="115">
        <f>IFERROR(__xludf.DUMMYFUNCTION("""COMPUTED_VALUE"""),30691.0)</f>
        <v>30691</v>
      </c>
    </row>
    <row r="3668">
      <c r="A3668" s="115" t="str">
        <f>IFERROR(__xludf.DUMMYFUNCTION("""COMPUTED_VALUE"""),"NORTH")</f>
        <v>NORTH</v>
      </c>
      <c r="B3668" s="115" t="str">
        <f>IFERROR(__xludf.DUMMYFUNCTION("""COMPUTED_VALUE"""),"Loveleen Singh")</f>
        <v>Loveleen Singh</v>
      </c>
      <c r="C3668" s="115" t="str">
        <f>IFERROR(__xludf.DUMMYFUNCTION("""COMPUTED_VALUE"""),"FLIPKART")</f>
        <v>FLIPKART</v>
      </c>
      <c r="D3668" s="115">
        <f>IFERROR(__xludf.DUMMYFUNCTION("""COMPUTED_VALUE"""),141777.0)</f>
        <v>141777</v>
      </c>
      <c r="E3668" s="115">
        <f>IFERROR(__xludf.DUMMYFUNCTION("""COMPUTED_VALUE"""),14160.0)</f>
        <v>14160</v>
      </c>
      <c r="F3668" s="115">
        <f>IFERROR(__xludf.DUMMYFUNCTION("""COMPUTED_VALUE"""),64292.0)</f>
        <v>64292</v>
      </c>
      <c r="G3668" s="115">
        <f>IFERROR(__xludf.DUMMYFUNCTION("""COMPUTED_VALUE"""),3241.0)</f>
        <v>3241</v>
      </c>
      <c r="H3668" s="116">
        <f>IFERROR(__xludf.DUMMYFUNCTION("""COMPUTED_VALUE"""),45907.0)</f>
        <v>45907</v>
      </c>
      <c r="I3668" s="115" t="str">
        <f>IFERROR(__xludf.DUMMYFUNCTION("""COMPUTED_VALUE"""),"14")</f>
        <v>14</v>
      </c>
      <c r="J3668" s="115" t="str">
        <f>IFERROR(__xludf.DUMMYFUNCTION("""COMPUTED_VALUE"""),"Loveleen Singh2025-09-0714")</f>
        <v>Loveleen Singh2025-09-0714</v>
      </c>
      <c r="K3668" s="115">
        <f>IFERROR(__xludf.DUMMYFUNCTION("""COMPUTED_VALUE"""),155937.0)</f>
        <v>155937</v>
      </c>
    </row>
    <row r="3669">
      <c r="A3669" s="115" t="str">
        <f>IFERROR(__xludf.DUMMYFUNCTION("""COMPUTED_VALUE"""),"NORTH")</f>
        <v>NORTH</v>
      </c>
      <c r="B3669" s="115" t="str">
        <f>IFERROR(__xludf.DUMMYFUNCTION("""COMPUTED_VALUE"""),"Loveleen Singh")</f>
        <v>Loveleen Singh</v>
      </c>
      <c r="C3669" s="115" t="str">
        <f>IFERROR(__xludf.DUMMYFUNCTION("""COMPUTED_VALUE"""),"MYNTRA")</f>
        <v>MYNTRA</v>
      </c>
      <c r="D3669" s="115">
        <f>IFERROR(__xludf.DUMMYFUNCTION("""COMPUTED_VALUE"""),23800.0)</f>
        <v>23800</v>
      </c>
      <c r="E3669" s="115">
        <f>IFERROR(__xludf.DUMMYFUNCTION("""COMPUTED_VALUE"""),5508.0)</f>
        <v>5508</v>
      </c>
      <c r="F3669" s="115">
        <f>IFERROR(__xludf.DUMMYFUNCTION("""COMPUTED_VALUE"""),12587.0)</f>
        <v>12587</v>
      </c>
      <c r="G3669" s="115">
        <f>IFERROR(__xludf.DUMMYFUNCTION("""COMPUTED_VALUE"""),1403.0)</f>
        <v>1403</v>
      </c>
      <c r="H3669" s="116">
        <f>IFERROR(__xludf.DUMMYFUNCTION("""COMPUTED_VALUE"""),45907.0)</f>
        <v>45907</v>
      </c>
      <c r="I3669" s="115" t="str">
        <f>IFERROR(__xludf.DUMMYFUNCTION("""COMPUTED_VALUE"""),"14")</f>
        <v>14</v>
      </c>
      <c r="J3669" s="115" t="str">
        <f>IFERROR(__xludf.DUMMYFUNCTION("""COMPUTED_VALUE"""),"Loveleen Singh2025-09-0714")</f>
        <v>Loveleen Singh2025-09-0714</v>
      </c>
      <c r="K3669" s="115">
        <f>IFERROR(__xludf.DUMMYFUNCTION("""COMPUTED_VALUE"""),29308.0)</f>
        <v>29308</v>
      </c>
    </row>
    <row r="3670">
      <c r="A3670" s="115" t="str">
        <f>IFERROR(__xludf.DUMMYFUNCTION("""COMPUTED_VALUE"""),"NORTH")</f>
        <v>NORTH</v>
      </c>
      <c r="B3670" s="115" t="str">
        <f>IFERROR(__xludf.DUMMYFUNCTION("""COMPUTED_VALUE"""),"Manoj Harsh")</f>
        <v>Manoj Harsh</v>
      </c>
      <c r="C3670" s="115" t="str">
        <f>IFERROR(__xludf.DUMMYFUNCTION("""COMPUTED_VALUE"""),"EXTERNAL")</f>
        <v>EXTERNAL</v>
      </c>
      <c r="D3670" s="115">
        <f>IFERROR(__xludf.DUMMYFUNCTION("""COMPUTED_VALUE"""),36239.0)</f>
        <v>36239</v>
      </c>
      <c r="E3670" s="115">
        <f>IFERROR(__xludf.DUMMYFUNCTION("""COMPUTED_VALUE"""),2793.0)</f>
        <v>2793</v>
      </c>
      <c r="F3670" s="115">
        <f>IFERROR(__xludf.DUMMYFUNCTION("""COMPUTED_VALUE"""),9387.0)</f>
        <v>9387</v>
      </c>
      <c r="G3670" s="115">
        <f>IFERROR(__xludf.DUMMYFUNCTION("""COMPUTED_VALUE"""),264.0)</f>
        <v>264</v>
      </c>
      <c r="H3670" s="116">
        <f>IFERROR(__xludf.DUMMYFUNCTION("""COMPUTED_VALUE"""),45907.0)</f>
        <v>45907</v>
      </c>
      <c r="I3670" s="115" t="str">
        <f>IFERROR(__xludf.DUMMYFUNCTION("""COMPUTED_VALUE"""),"14")</f>
        <v>14</v>
      </c>
      <c r="J3670" s="115" t="str">
        <f>IFERROR(__xludf.DUMMYFUNCTION("""COMPUTED_VALUE"""),"Manoj Harsh2025-09-0714")</f>
        <v>Manoj Harsh2025-09-0714</v>
      </c>
      <c r="K3670" s="115">
        <f>IFERROR(__xludf.DUMMYFUNCTION("""COMPUTED_VALUE"""),39032.0)</f>
        <v>39032</v>
      </c>
    </row>
    <row r="3671">
      <c r="A3671" s="115" t="str">
        <f>IFERROR(__xludf.DUMMYFUNCTION("""COMPUTED_VALUE"""),"NORTH")</f>
        <v>NORTH</v>
      </c>
      <c r="B3671" s="115" t="str">
        <f>IFERROR(__xludf.DUMMYFUNCTION("""COMPUTED_VALUE"""),"Manoj Harsh")</f>
        <v>Manoj Harsh</v>
      </c>
      <c r="C3671" s="115" t="str">
        <f>IFERROR(__xludf.DUMMYFUNCTION("""COMPUTED_VALUE"""),"FLIPKART")</f>
        <v>FLIPKART</v>
      </c>
      <c r="D3671" s="115">
        <f>IFERROR(__xludf.DUMMYFUNCTION("""COMPUTED_VALUE"""),384468.0)</f>
        <v>384468</v>
      </c>
      <c r="E3671" s="115">
        <f>IFERROR(__xludf.DUMMYFUNCTION("""COMPUTED_VALUE"""),39611.0)</f>
        <v>39611</v>
      </c>
      <c r="F3671" s="115">
        <f>IFERROR(__xludf.DUMMYFUNCTION("""COMPUTED_VALUE"""),166541.0)</f>
        <v>166541</v>
      </c>
      <c r="G3671" s="115">
        <f>IFERROR(__xludf.DUMMYFUNCTION("""COMPUTED_VALUE"""),6700.0)</f>
        <v>6700</v>
      </c>
      <c r="H3671" s="116">
        <f>IFERROR(__xludf.DUMMYFUNCTION("""COMPUTED_VALUE"""),45907.0)</f>
        <v>45907</v>
      </c>
      <c r="I3671" s="115" t="str">
        <f>IFERROR(__xludf.DUMMYFUNCTION("""COMPUTED_VALUE"""),"14")</f>
        <v>14</v>
      </c>
      <c r="J3671" s="115" t="str">
        <f>IFERROR(__xludf.DUMMYFUNCTION("""COMPUTED_VALUE"""),"Manoj Harsh2025-09-0714")</f>
        <v>Manoj Harsh2025-09-0714</v>
      </c>
      <c r="K3671" s="115">
        <f>IFERROR(__xludf.DUMMYFUNCTION("""COMPUTED_VALUE"""),424079.0)</f>
        <v>424079</v>
      </c>
    </row>
    <row r="3672">
      <c r="A3672" s="115" t="str">
        <f>IFERROR(__xludf.DUMMYFUNCTION("""COMPUTED_VALUE"""),"NORTH")</f>
        <v>NORTH</v>
      </c>
      <c r="B3672" s="115" t="str">
        <f>IFERROR(__xludf.DUMMYFUNCTION("""COMPUTED_VALUE"""),"Manoj Harsh")</f>
        <v>Manoj Harsh</v>
      </c>
      <c r="C3672" s="115" t="str">
        <f>IFERROR(__xludf.DUMMYFUNCTION("""COMPUTED_VALUE"""),"MYNTRA")</f>
        <v>MYNTRA</v>
      </c>
      <c r="D3672" s="115">
        <f>IFERROR(__xludf.DUMMYFUNCTION("""COMPUTED_VALUE"""),37326.0)</f>
        <v>37326</v>
      </c>
      <c r="E3672" s="115">
        <f>IFERROR(__xludf.DUMMYFUNCTION("""COMPUTED_VALUE"""),7736.0)</f>
        <v>7736</v>
      </c>
      <c r="F3672" s="115">
        <f>IFERROR(__xludf.DUMMYFUNCTION("""COMPUTED_VALUE"""),19406.0)</f>
        <v>19406</v>
      </c>
      <c r="G3672" s="115">
        <f>IFERROR(__xludf.DUMMYFUNCTION("""COMPUTED_VALUE"""),1709.0)</f>
        <v>1709</v>
      </c>
      <c r="H3672" s="116">
        <f>IFERROR(__xludf.DUMMYFUNCTION("""COMPUTED_VALUE"""),45907.0)</f>
        <v>45907</v>
      </c>
      <c r="I3672" s="115" t="str">
        <f>IFERROR(__xludf.DUMMYFUNCTION("""COMPUTED_VALUE"""),"14")</f>
        <v>14</v>
      </c>
      <c r="J3672" s="115" t="str">
        <f>IFERROR(__xludf.DUMMYFUNCTION("""COMPUTED_VALUE"""),"Manoj Harsh2025-09-0714")</f>
        <v>Manoj Harsh2025-09-0714</v>
      </c>
      <c r="K3672" s="115">
        <f>IFERROR(__xludf.DUMMYFUNCTION("""COMPUTED_VALUE"""),45062.0)</f>
        <v>45062</v>
      </c>
    </row>
    <row r="3673">
      <c r="A3673" s="115" t="str">
        <f>IFERROR(__xludf.DUMMYFUNCTION("""COMPUTED_VALUE"""),"NORTH")</f>
        <v>NORTH</v>
      </c>
      <c r="B3673" s="115" t="str">
        <f>IFERROR(__xludf.DUMMYFUNCTION("""COMPUTED_VALUE"""),"Pradeep Kothari")</f>
        <v>Pradeep Kothari</v>
      </c>
      <c r="C3673" s="115" t="str">
        <f>IFERROR(__xludf.DUMMYFUNCTION("""COMPUTED_VALUE"""),"EXTERNAL")</f>
        <v>EXTERNAL</v>
      </c>
      <c r="D3673" s="115">
        <f>IFERROR(__xludf.DUMMYFUNCTION("""COMPUTED_VALUE"""),19425.0)</f>
        <v>19425</v>
      </c>
      <c r="E3673" s="115">
        <f>IFERROR(__xludf.DUMMYFUNCTION("""COMPUTED_VALUE"""),1619.0)</f>
        <v>1619</v>
      </c>
      <c r="F3673" s="115">
        <f>IFERROR(__xludf.DUMMYFUNCTION("""COMPUTED_VALUE"""),5307.0)</f>
        <v>5307</v>
      </c>
      <c r="G3673" s="115">
        <f>IFERROR(__xludf.DUMMYFUNCTION("""COMPUTED_VALUE"""),322.0)</f>
        <v>322</v>
      </c>
      <c r="H3673" s="116">
        <f>IFERROR(__xludf.DUMMYFUNCTION("""COMPUTED_VALUE"""),45907.0)</f>
        <v>45907</v>
      </c>
      <c r="I3673" s="115" t="str">
        <f>IFERROR(__xludf.DUMMYFUNCTION("""COMPUTED_VALUE"""),"14")</f>
        <v>14</v>
      </c>
      <c r="J3673" s="115" t="str">
        <f>IFERROR(__xludf.DUMMYFUNCTION("""COMPUTED_VALUE"""),"Pradeep Kothari2025-09-0714")</f>
        <v>Pradeep Kothari2025-09-0714</v>
      </c>
      <c r="K3673" s="115">
        <f>IFERROR(__xludf.DUMMYFUNCTION("""COMPUTED_VALUE"""),21044.0)</f>
        <v>21044</v>
      </c>
    </row>
    <row r="3674">
      <c r="A3674" s="115" t="str">
        <f>IFERROR(__xludf.DUMMYFUNCTION("""COMPUTED_VALUE"""),"NORTH")</f>
        <v>NORTH</v>
      </c>
      <c r="B3674" s="115" t="str">
        <f>IFERROR(__xludf.DUMMYFUNCTION("""COMPUTED_VALUE"""),"Pradeep Kothari")</f>
        <v>Pradeep Kothari</v>
      </c>
      <c r="C3674" s="115" t="str">
        <f>IFERROR(__xludf.DUMMYFUNCTION("""COMPUTED_VALUE"""),"FLIPKART")</f>
        <v>FLIPKART</v>
      </c>
      <c r="D3674" s="115">
        <f>IFERROR(__xludf.DUMMYFUNCTION("""COMPUTED_VALUE"""),130128.0)</f>
        <v>130128</v>
      </c>
      <c r="E3674" s="115">
        <f>IFERROR(__xludf.DUMMYFUNCTION("""COMPUTED_VALUE"""),15636.0)</f>
        <v>15636</v>
      </c>
      <c r="F3674" s="115">
        <f>IFERROR(__xludf.DUMMYFUNCTION("""COMPUTED_VALUE"""),67009.0)</f>
        <v>67009</v>
      </c>
      <c r="G3674" s="115">
        <f>IFERROR(__xludf.DUMMYFUNCTION("""COMPUTED_VALUE"""),4419.0)</f>
        <v>4419</v>
      </c>
      <c r="H3674" s="116">
        <f>IFERROR(__xludf.DUMMYFUNCTION("""COMPUTED_VALUE"""),45907.0)</f>
        <v>45907</v>
      </c>
      <c r="I3674" s="115" t="str">
        <f>IFERROR(__xludf.DUMMYFUNCTION("""COMPUTED_VALUE"""),"14")</f>
        <v>14</v>
      </c>
      <c r="J3674" s="115" t="str">
        <f>IFERROR(__xludf.DUMMYFUNCTION("""COMPUTED_VALUE"""),"Pradeep Kothari2025-09-0714")</f>
        <v>Pradeep Kothari2025-09-0714</v>
      </c>
      <c r="K3674" s="115">
        <f>IFERROR(__xludf.DUMMYFUNCTION("""COMPUTED_VALUE"""),145764.0)</f>
        <v>145764</v>
      </c>
    </row>
    <row r="3675">
      <c r="A3675" s="115" t="str">
        <f>IFERROR(__xludf.DUMMYFUNCTION("""COMPUTED_VALUE"""),"NORTH")</f>
        <v>NORTH</v>
      </c>
      <c r="B3675" s="115" t="str">
        <f>IFERROR(__xludf.DUMMYFUNCTION("""COMPUTED_VALUE"""),"Pradeep Kothari")</f>
        <v>Pradeep Kothari</v>
      </c>
      <c r="C3675" s="115" t="str">
        <f>IFERROR(__xludf.DUMMYFUNCTION("""COMPUTED_VALUE"""),"MYNTRA")</f>
        <v>MYNTRA</v>
      </c>
      <c r="D3675" s="115">
        <f>IFERROR(__xludf.DUMMYFUNCTION("""COMPUTED_VALUE"""),24958.0)</f>
        <v>24958</v>
      </c>
      <c r="E3675" s="115">
        <f>IFERROR(__xludf.DUMMYFUNCTION("""COMPUTED_VALUE"""),6015.0)</f>
        <v>6015</v>
      </c>
      <c r="F3675" s="115">
        <f>IFERROR(__xludf.DUMMYFUNCTION("""COMPUTED_VALUE"""),15410.0)</f>
        <v>15410</v>
      </c>
      <c r="G3675" s="115">
        <f>IFERROR(__xludf.DUMMYFUNCTION("""COMPUTED_VALUE"""),2012.0)</f>
        <v>2012</v>
      </c>
      <c r="H3675" s="116">
        <f>IFERROR(__xludf.DUMMYFUNCTION("""COMPUTED_VALUE"""),45907.0)</f>
        <v>45907</v>
      </c>
      <c r="I3675" s="115" t="str">
        <f>IFERROR(__xludf.DUMMYFUNCTION("""COMPUTED_VALUE"""),"14")</f>
        <v>14</v>
      </c>
      <c r="J3675" s="115" t="str">
        <f>IFERROR(__xludf.DUMMYFUNCTION("""COMPUTED_VALUE"""),"Pradeep Kothari2025-09-0714")</f>
        <v>Pradeep Kothari2025-09-0714</v>
      </c>
      <c r="K3675" s="115">
        <f>IFERROR(__xludf.DUMMYFUNCTION("""COMPUTED_VALUE"""),30973.0)</f>
        <v>30973</v>
      </c>
    </row>
    <row r="3676">
      <c r="A3676" s="115" t="str">
        <f>IFERROR(__xludf.DUMMYFUNCTION("""COMPUTED_VALUE"""),"SOUTH")</f>
        <v>SOUTH</v>
      </c>
      <c r="B3676" s="115" t="str">
        <f>IFERROR(__xludf.DUMMYFUNCTION("""COMPUTED_VALUE"""),"Kandula Sampath")</f>
        <v>Kandula Sampath</v>
      </c>
      <c r="C3676" s="115" t="str">
        <f>IFERROR(__xludf.DUMMYFUNCTION("""COMPUTED_VALUE"""),"EXTERNAL")</f>
        <v>EXTERNAL</v>
      </c>
      <c r="D3676" s="115">
        <f>IFERROR(__xludf.DUMMYFUNCTION("""COMPUTED_VALUE"""),32572.0)</f>
        <v>32572</v>
      </c>
      <c r="E3676" s="115">
        <f>IFERROR(__xludf.DUMMYFUNCTION("""COMPUTED_VALUE"""),3154.0)</f>
        <v>3154</v>
      </c>
      <c r="F3676" s="115">
        <f>IFERROR(__xludf.DUMMYFUNCTION("""COMPUTED_VALUE"""),8791.0)</f>
        <v>8791</v>
      </c>
      <c r="G3676" s="115">
        <f>IFERROR(__xludf.DUMMYFUNCTION("""COMPUTED_VALUE"""),303.0)</f>
        <v>303</v>
      </c>
      <c r="H3676" s="116">
        <f>IFERROR(__xludf.DUMMYFUNCTION("""COMPUTED_VALUE"""),45907.0)</f>
        <v>45907</v>
      </c>
      <c r="I3676" s="115" t="str">
        <f>IFERROR(__xludf.DUMMYFUNCTION("""COMPUTED_VALUE"""),"14")</f>
        <v>14</v>
      </c>
      <c r="J3676" s="115" t="str">
        <f>IFERROR(__xludf.DUMMYFUNCTION("""COMPUTED_VALUE"""),"Kandula Sampath2025-09-0714")</f>
        <v>Kandula Sampath2025-09-0714</v>
      </c>
      <c r="K3676" s="115">
        <f>IFERROR(__xludf.DUMMYFUNCTION("""COMPUTED_VALUE"""),35726.0)</f>
        <v>35726</v>
      </c>
    </row>
    <row r="3677">
      <c r="A3677" s="115" t="str">
        <f>IFERROR(__xludf.DUMMYFUNCTION("""COMPUTED_VALUE"""),"SOUTH")</f>
        <v>SOUTH</v>
      </c>
      <c r="B3677" s="115" t="str">
        <f>IFERROR(__xludf.DUMMYFUNCTION("""COMPUTED_VALUE"""),"Kandula Sampath")</f>
        <v>Kandula Sampath</v>
      </c>
      <c r="C3677" s="115" t="str">
        <f>IFERROR(__xludf.DUMMYFUNCTION("""COMPUTED_VALUE"""),"FLIPKART")</f>
        <v>FLIPKART</v>
      </c>
      <c r="D3677" s="115">
        <f>IFERROR(__xludf.DUMMYFUNCTION("""COMPUTED_VALUE"""),309078.0)</f>
        <v>309078</v>
      </c>
      <c r="E3677" s="115">
        <f>IFERROR(__xludf.DUMMYFUNCTION("""COMPUTED_VALUE"""),25303.0)</f>
        <v>25303</v>
      </c>
      <c r="F3677" s="115">
        <f>IFERROR(__xludf.DUMMYFUNCTION("""COMPUTED_VALUE"""),144054.0)</f>
        <v>144054</v>
      </c>
      <c r="G3677" s="115">
        <f>IFERROR(__xludf.DUMMYFUNCTION("""COMPUTED_VALUE"""),4242.0)</f>
        <v>4242</v>
      </c>
      <c r="H3677" s="116">
        <f>IFERROR(__xludf.DUMMYFUNCTION("""COMPUTED_VALUE"""),45907.0)</f>
        <v>45907</v>
      </c>
      <c r="I3677" s="115" t="str">
        <f>IFERROR(__xludf.DUMMYFUNCTION("""COMPUTED_VALUE"""),"14")</f>
        <v>14</v>
      </c>
      <c r="J3677" s="115" t="str">
        <f>IFERROR(__xludf.DUMMYFUNCTION("""COMPUTED_VALUE"""),"Kandula Sampath2025-09-0714")</f>
        <v>Kandula Sampath2025-09-0714</v>
      </c>
      <c r="K3677" s="115">
        <f>IFERROR(__xludf.DUMMYFUNCTION("""COMPUTED_VALUE"""),334381.0)</f>
        <v>334381</v>
      </c>
    </row>
    <row r="3678">
      <c r="A3678" s="115" t="str">
        <f>IFERROR(__xludf.DUMMYFUNCTION("""COMPUTED_VALUE"""),"SOUTH")</f>
        <v>SOUTH</v>
      </c>
      <c r="B3678" s="115" t="str">
        <f>IFERROR(__xludf.DUMMYFUNCTION("""COMPUTED_VALUE"""),"Kandula Sampath")</f>
        <v>Kandula Sampath</v>
      </c>
      <c r="C3678" s="115" t="str">
        <f>IFERROR(__xludf.DUMMYFUNCTION("""COMPUTED_VALUE"""),"MYNTRA")</f>
        <v>MYNTRA</v>
      </c>
      <c r="D3678" s="115">
        <f>IFERROR(__xludf.DUMMYFUNCTION("""COMPUTED_VALUE"""),36495.0)</f>
        <v>36495</v>
      </c>
      <c r="E3678" s="115">
        <f>IFERROR(__xludf.DUMMYFUNCTION("""COMPUTED_VALUE"""),7010.0)</f>
        <v>7010</v>
      </c>
      <c r="F3678" s="115">
        <f>IFERROR(__xludf.DUMMYFUNCTION("""COMPUTED_VALUE"""),19642.0)</f>
        <v>19642</v>
      </c>
      <c r="G3678" s="115">
        <f>IFERROR(__xludf.DUMMYFUNCTION("""COMPUTED_VALUE"""),1253.0)</f>
        <v>1253</v>
      </c>
      <c r="H3678" s="116">
        <f>IFERROR(__xludf.DUMMYFUNCTION("""COMPUTED_VALUE"""),45907.0)</f>
        <v>45907</v>
      </c>
      <c r="I3678" s="115" t="str">
        <f>IFERROR(__xludf.DUMMYFUNCTION("""COMPUTED_VALUE"""),"14")</f>
        <v>14</v>
      </c>
      <c r="J3678" s="115" t="str">
        <f>IFERROR(__xludf.DUMMYFUNCTION("""COMPUTED_VALUE"""),"Kandula Sampath2025-09-0714")</f>
        <v>Kandula Sampath2025-09-0714</v>
      </c>
      <c r="K3678" s="115">
        <f>IFERROR(__xludf.DUMMYFUNCTION("""COMPUTED_VALUE"""),43505.0)</f>
        <v>43505</v>
      </c>
    </row>
    <row r="3679">
      <c r="A3679" s="115" t="str">
        <f>IFERROR(__xludf.DUMMYFUNCTION("""COMPUTED_VALUE"""),"SOUTH")</f>
        <v>SOUTH</v>
      </c>
      <c r="B3679" s="115" t="str">
        <f>IFERROR(__xludf.DUMMYFUNCTION("""COMPUTED_VALUE"""),"Martin A")</f>
        <v>Martin A</v>
      </c>
      <c r="C3679" s="115" t="str">
        <f>IFERROR(__xludf.DUMMYFUNCTION("""COMPUTED_VALUE"""),"EXTERNAL")</f>
        <v>EXTERNAL</v>
      </c>
      <c r="D3679" s="115">
        <f>IFERROR(__xludf.DUMMYFUNCTION("""COMPUTED_VALUE"""),30486.0)</f>
        <v>30486</v>
      </c>
      <c r="E3679" s="115">
        <f>IFERROR(__xludf.DUMMYFUNCTION("""COMPUTED_VALUE"""),3440.0)</f>
        <v>3440</v>
      </c>
      <c r="F3679" s="115">
        <f>IFERROR(__xludf.DUMMYFUNCTION("""COMPUTED_VALUE"""),8639.0)</f>
        <v>8639</v>
      </c>
      <c r="G3679" s="115">
        <f>IFERROR(__xludf.DUMMYFUNCTION("""COMPUTED_VALUE"""),655.0)</f>
        <v>655</v>
      </c>
      <c r="H3679" s="116">
        <f>IFERROR(__xludf.DUMMYFUNCTION("""COMPUTED_VALUE"""),45907.0)</f>
        <v>45907</v>
      </c>
      <c r="I3679" s="115" t="str">
        <f>IFERROR(__xludf.DUMMYFUNCTION("""COMPUTED_VALUE"""),"14")</f>
        <v>14</v>
      </c>
      <c r="J3679" s="115" t="str">
        <f>IFERROR(__xludf.DUMMYFUNCTION("""COMPUTED_VALUE"""),"Martin A2025-09-0714")</f>
        <v>Martin A2025-09-0714</v>
      </c>
      <c r="K3679" s="115">
        <f>IFERROR(__xludf.DUMMYFUNCTION("""COMPUTED_VALUE"""),33926.0)</f>
        <v>33926</v>
      </c>
    </row>
    <row r="3680">
      <c r="A3680" s="115" t="str">
        <f>IFERROR(__xludf.DUMMYFUNCTION("""COMPUTED_VALUE"""),"SOUTH")</f>
        <v>SOUTH</v>
      </c>
      <c r="B3680" s="115" t="str">
        <f>IFERROR(__xludf.DUMMYFUNCTION("""COMPUTED_VALUE"""),"Martin A")</f>
        <v>Martin A</v>
      </c>
      <c r="C3680" s="115" t="str">
        <f>IFERROR(__xludf.DUMMYFUNCTION("""COMPUTED_VALUE"""),"FLIPKART")</f>
        <v>FLIPKART</v>
      </c>
      <c r="D3680" s="115">
        <f>IFERROR(__xludf.DUMMYFUNCTION("""COMPUTED_VALUE"""),255029.0)</f>
        <v>255029</v>
      </c>
      <c r="E3680" s="115">
        <f>IFERROR(__xludf.DUMMYFUNCTION("""COMPUTED_VALUE"""),23940.0)</f>
        <v>23940</v>
      </c>
      <c r="F3680" s="115">
        <f>IFERROR(__xludf.DUMMYFUNCTION("""COMPUTED_VALUE"""),125222.0)</f>
        <v>125222</v>
      </c>
      <c r="G3680" s="115">
        <f>IFERROR(__xludf.DUMMYFUNCTION("""COMPUTED_VALUE"""),5176.0)</f>
        <v>5176</v>
      </c>
      <c r="H3680" s="116">
        <f>IFERROR(__xludf.DUMMYFUNCTION("""COMPUTED_VALUE"""),45907.0)</f>
        <v>45907</v>
      </c>
      <c r="I3680" s="115" t="str">
        <f>IFERROR(__xludf.DUMMYFUNCTION("""COMPUTED_VALUE"""),"14")</f>
        <v>14</v>
      </c>
      <c r="J3680" s="115" t="str">
        <f>IFERROR(__xludf.DUMMYFUNCTION("""COMPUTED_VALUE"""),"Martin A2025-09-0714")</f>
        <v>Martin A2025-09-0714</v>
      </c>
      <c r="K3680" s="115">
        <f>IFERROR(__xludf.DUMMYFUNCTION("""COMPUTED_VALUE"""),278969.0)</f>
        <v>278969</v>
      </c>
    </row>
    <row r="3681">
      <c r="A3681" s="115" t="str">
        <f>IFERROR(__xludf.DUMMYFUNCTION("""COMPUTED_VALUE"""),"SOUTH")</f>
        <v>SOUTH</v>
      </c>
      <c r="B3681" s="115" t="str">
        <f>IFERROR(__xludf.DUMMYFUNCTION("""COMPUTED_VALUE"""),"Martin A")</f>
        <v>Martin A</v>
      </c>
      <c r="C3681" s="115" t="str">
        <f>IFERROR(__xludf.DUMMYFUNCTION("""COMPUTED_VALUE"""),"MYNTRA")</f>
        <v>MYNTRA</v>
      </c>
      <c r="D3681" s="115">
        <f>IFERROR(__xludf.DUMMYFUNCTION("""COMPUTED_VALUE"""),25727.0)</f>
        <v>25727</v>
      </c>
      <c r="E3681" s="115">
        <f>IFERROR(__xludf.DUMMYFUNCTION("""COMPUTED_VALUE"""),6111.0)</f>
        <v>6111</v>
      </c>
      <c r="F3681" s="115">
        <f>IFERROR(__xludf.DUMMYFUNCTION("""COMPUTED_VALUE"""),14793.0)</f>
        <v>14793</v>
      </c>
      <c r="G3681" s="115">
        <f>IFERROR(__xludf.DUMMYFUNCTION("""COMPUTED_VALUE"""),1537.0)</f>
        <v>1537</v>
      </c>
      <c r="H3681" s="116">
        <f>IFERROR(__xludf.DUMMYFUNCTION("""COMPUTED_VALUE"""),45907.0)</f>
        <v>45907</v>
      </c>
      <c r="I3681" s="115" t="str">
        <f>IFERROR(__xludf.DUMMYFUNCTION("""COMPUTED_VALUE"""),"14")</f>
        <v>14</v>
      </c>
      <c r="J3681" s="115" t="str">
        <f>IFERROR(__xludf.DUMMYFUNCTION("""COMPUTED_VALUE"""),"Martin A2025-09-0714")</f>
        <v>Martin A2025-09-0714</v>
      </c>
      <c r="K3681" s="115">
        <f>IFERROR(__xludf.DUMMYFUNCTION("""COMPUTED_VALUE"""),31838.0)</f>
        <v>31838</v>
      </c>
    </row>
    <row r="3682">
      <c r="A3682" s="115" t="str">
        <f>IFERROR(__xludf.DUMMYFUNCTION("""COMPUTED_VALUE"""),"SOUTH")</f>
        <v>SOUTH</v>
      </c>
      <c r="B3682" s="115" t="str">
        <f>IFERROR(__xludf.DUMMYFUNCTION("""COMPUTED_VALUE"""),"Premkumar M")</f>
        <v>Premkumar M</v>
      </c>
      <c r="C3682" s="115" t="str">
        <f>IFERROR(__xludf.DUMMYFUNCTION("""COMPUTED_VALUE"""),"EXTERNAL")</f>
        <v>EXTERNAL</v>
      </c>
      <c r="D3682" s="115">
        <f>IFERROR(__xludf.DUMMYFUNCTION("""COMPUTED_VALUE"""),25230.0)</f>
        <v>25230</v>
      </c>
      <c r="E3682" s="115">
        <f>IFERROR(__xludf.DUMMYFUNCTION("""COMPUTED_VALUE"""),1537.0)</f>
        <v>1537</v>
      </c>
      <c r="F3682" s="115">
        <f>IFERROR(__xludf.DUMMYFUNCTION("""COMPUTED_VALUE"""),5826.0)</f>
        <v>5826</v>
      </c>
      <c r="G3682" s="115">
        <f>IFERROR(__xludf.DUMMYFUNCTION("""COMPUTED_VALUE"""),82.0)</f>
        <v>82</v>
      </c>
      <c r="H3682" s="116">
        <f>IFERROR(__xludf.DUMMYFUNCTION("""COMPUTED_VALUE"""),45907.0)</f>
        <v>45907</v>
      </c>
      <c r="I3682" s="115" t="str">
        <f>IFERROR(__xludf.DUMMYFUNCTION("""COMPUTED_VALUE"""),"14")</f>
        <v>14</v>
      </c>
      <c r="J3682" s="115" t="str">
        <f>IFERROR(__xludf.DUMMYFUNCTION("""COMPUTED_VALUE"""),"Premkumar M2025-09-0714")</f>
        <v>Premkumar M2025-09-0714</v>
      </c>
      <c r="K3682" s="115">
        <f>IFERROR(__xludf.DUMMYFUNCTION("""COMPUTED_VALUE"""),26767.0)</f>
        <v>26767</v>
      </c>
    </row>
    <row r="3683">
      <c r="A3683" s="115" t="str">
        <f>IFERROR(__xludf.DUMMYFUNCTION("""COMPUTED_VALUE"""),"SOUTH")</f>
        <v>SOUTH</v>
      </c>
      <c r="B3683" s="115" t="str">
        <f>IFERROR(__xludf.DUMMYFUNCTION("""COMPUTED_VALUE"""),"Premkumar M")</f>
        <v>Premkumar M</v>
      </c>
      <c r="C3683" s="115" t="str">
        <f>IFERROR(__xludf.DUMMYFUNCTION("""COMPUTED_VALUE"""),"FLIPKART")</f>
        <v>FLIPKART</v>
      </c>
      <c r="D3683" s="115">
        <f>IFERROR(__xludf.DUMMYFUNCTION("""COMPUTED_VALUE"""),249987.0)</f>
        <v>249987</v>
      </c>
      <c r="E3683" s="115">
        <f>IFERROR(__xludf.DUMMYFUNCTION("""COMPUTED_VALUE"""),15462.0)</f>
        <v>15462</v>
      </c>
      <c r="F3683" s="115">
        <f>IFERROR(__xludf.DUMMYFUNCTION("""COMPUTED_VALUE"""),93246.0)</f>
        <v>93246</v>
      </c>
      <c r="G3683" s="115">
        <f>IFERROR(__xludf.DUMMYFUNCTION("""COMPUTED_VALUE"""),1107.0)</f>
        <v>1107</v>
      </c>
      <c r="H3683" s="116">
        <f>IFERROR(__xludf.DUMMYFUNCTION("""COMPUTED_VALUE"""),45907.0)</f>
        <v>45907</v>
      </c>
      <c r="I3683" s="115" t="str">
        <f>IFERROR(__xludf.DUMMYFUNCTION("""COMPUTED_VALUE"""),"14")</f>
        <v>14</v>
      </c>
      <c r="J3683" s="115" t="str">
        <f>IFERROR(__xludf.DUMMYFUNCTION("""COMPUTED_VALUE"""),"Premkumar M2025-09-0714")</f>
        <v>Premkumar M2025-09-0714</v>
      </c>
      <c r="K3683" s="115">
        <f>IFERROR(__xludf.DUMMYFUNCTION("""COMPUTED_VALUE"""),265449.0)</f>
        <v>265449</v>
      </c>
    </row>
    <row r="3684">
      <c r="A3684" s="115" t="str">
        <f>IFERROR(__xludf.DUMMYFUNCTION("""COMPUTED_VALUE"""),"SOUTH")</f>
        <v>SOUTH</v>
      </c>
      <c r="B3684" s="115" t="str">
        <f>IFERROR(__xludf.DUMMYFUNCTION("""COMPUTED_VALUE"""),"Premkumar M")</f>
        <v>Premkumar M</v>
      </c>
      <c r="C3684" s="115" t="str">
        <f>IFERROR(__xludf.DUMMYFUNCTION("""COMPUTED_VALUE"""),"MYNTRA")</f>
        <v>MYNTRA</v>
      </c>
      <c r="D3684" s="115">
        <f>IFERROR(__xludf.DUMMYFUNCTION("""COMPUTED_VALUE"""),14290.0)</f>
        <v>14290</v>
      </c>
      <c r="E3684" s="115">
        <f>IFERROR(__xludf.DUMMYFUNCTION("""COMPUTED_VALUE"""),2512.0)</f>
        <v>2512</v>
      </c>
      <c r="F3684" s="115">
        <f>IFERROR(__xludf.DUMMYFUNCTION("""COMPUTED_VALUE"""),6240.0)</f>
        <v>6240</v>
      </c>
      <c r="G3684" s="115">
        <f>IFERROR(__xludf.DUMMYFUNCTION("""COMPUTED_VALUE"""),227.0)</f>
        <v>227</v>
      </c>
      <c r="H3684" s="116">
        <f>IFERROR(__xludf.DUMMYFUNCTION("""COMPUTED_VALUE"""),45907.0)</f>
        <v>45907</v>
      </c>
      <c r="I3684" s="115" t="str">
        <f>IFERROR(__xludf.DUMMYFUNCTION("""COMPUTED_VALUE"""),"14")</f>
        <v>14</v>
      </c>
      <c r="J3684" s="115" t="str">
        <f>IFERROR(__xludf.DUMMYFUNCTION("""COMPUTED_VALUE"""),"Premkumar M2025-09-0714")</f>
        <v>Premkumar M2025-09-0714</v>
      </c>
      <c r="K3684" s="115">
        <f>IFERROR(__xludf.DUMMYFUNCTION("""COMPUTED_VALUE"""),16802.0)</f>
        <v>16802</v>
      </c>
    </row>
    <row r="3685">
      <c r="A3685" s="115" t="str">
        <f>IFERROR(__xludf.DUMMYFUNCTION("""COMPUTED_VALUE"""),"SOUTH")</f>
        <v>SOUTH</v>
      </c>
      <c r="B3685" s="115" t="str">
        <f>IFERROR(__xludf.DUMMYFUNCTION("""COMPUTED_VALUE"""),"Vineeth V")</f>
        <v>Vineeth V</v>
      </c>
      <c r="C3685" s="115" t="str">
        <f>IFERROR(__xludf.DUMMYFUNCTION("""COMPUTED_VALUE"""),"EXTERNAL")</f>
        <v>EXTERNAL</v>
      </c>
      <c r="D3685" s="115">
        <f>IFERROR(__xludf.DUMMYFUNCTION("""COMPUTED_VALUE"""),17375.0)</f>
        <v>17375</v>
      </c>
      <c r="E3685" s="115">
        <f>IFERROR(__xludf.DUMMYFUNCTION("""COMPUTED_VALUE"""),574.0)</f>
        <v>574</v>
      </c>
      <c r="F3685" s="115">
        <f>IFERROR(__xludf.DUMMYFUNCTION("""COMPUTED_VALUE"""),3383.0)</f>
        <v>3383</v>
      </c>
      <c r="G3685" s="115">
        <f>IFERROR(__xludf.DUMMYFUNCTION("""COMPUTED_VALUE"""),42.0)</f>
        <v>42</v>
      </c>
      <c r="H3685" s="116">
        <f>IFERROR(__xludf.DUMMYFUNCTION("""COMPUTED_VALUE"""),45907.0)</f>
        <v>45907</v>
      </c>
      <c r="I3685" s="115" t="str">
        <f>IFERROR(__xludf.DUMMYFUNCTION("""COMPUTED_VALUE"""),"14")</f>
        <v>14</v>
      </c>
      <c r="J3685" s="115" t="str">
        <f>IFERROR(__xludf.DUMMYFUNCTION("""COMPUTED_VALUE"""),"Vineeth V2025-09-0714")</f>
        <v>Vineeth V2025-09-0714</v>
      </c>
      <c r="K3685" s="115">
        <f>IFERROR(__xludf.DUMMYFUNCTION("""COMPUTED_VALUE"""),17949.0)</f>
        <v>17949</v>
      </c>
    </row>
    <row r="3686">
      <c r="A3686" s="115" t="str">
        <f>IFERROR(__xludf.DUMMYFUNCTION("""COMPUTED_VALUE"""),"SOUTH")</f>
        <v>SOUTH</v>
      </c>
      <c r="B3686" s="115" t="str">
        <f>IFERROR(__xludf.DUMMYFUNCTION("""COMPUTED_VALUE"""),"Vineeth V")</f>
        <v>Vineeth V</v>
      </c>
      <c r="C3686" s="115" t="str">
        <f>IFERROR(__xludf.DUMMYFUNCTION("""COMPUTED_VALUE"""),"FLIPKART")</f>
        <v>FLIPKART</v>
      </c>
      <c r="D3686" s="115">
        <f>IFERROR(__xludf.DUMMYFUNCTION("""COMPUTED_VALUE"""),217094.0)</f>
        <v>217094</v>
      </c>
      <c r="E3686" s="115">
        <f>IFERROR(__xludf.DUMMYFUNCTION("""COMPUTED_VALUE"""),13633.0)</f>
        <v>13633</v>
      </c>
      <c r="F3686" s="115">
        <f>IFERROR(__xludf.DUMMYFUNCTION("""COMPUTED_VALUE"""),66758.0)</f>
        <v>66758</v>
      </c>
      <c r="G3686" s="115">
        <f>IFERROR(__xludf.DUMMYFUNCTION("""COMPUTED_VALUE"""),535.0)</f>
        <v>535</v>
      </c>
      <c r="H3686" s="116">
        <f>IFERROR(__xludf.DUMMYFUNCTION("""COMPUTED_VALUE"""),45907.0)</f>
        <v>45907</v>
      </c>
      <c r="I3686" s="115" t="str">
        <f>IFERROR(__xludf.DUMMYFUNCTION("""COMPUTED_VALUE"""),"14")</f>
        <v>14</v>
      </c>
      <c r="J3686" s="115" t="str">
        <f>IFERROR(__xludf.DUMMYFUNCTION("""COMPUTED_VALUE"""),"Vineeth V2025-09-0714")</f>
        <v>Vineeth V2025-09-0714</v>
      </c>
      <c r="K3686" s="115">
        <f>IFERROR(__xludf.DUMMYFUNCTION("""COMPUTED_VALUE"""),230727.0)</f>
        <v>230727</v>
      </c>
    </row>
    <row r="3687">
      <c r="A3687" s="115" t="str">
        <f>IFERROR(__xludf.DUMMYFUNCTION("""COMPUTED_VALUE"""),"SOUTH")</f>
        <v>SOUTH</v>
      </c>
      <c r="B3687" s="115" t="str">
        <f>IFERROR(__xludf.DUMMYFUNCTION("""COMPUTED_VALUE"""),"Vineeth V")</f>
        <v>Vineeth V</v>
      </c>
      <c r="C3687" s="115" t="str">
        <f>IFERROR(__xludf.DUMMYFUNCTION("""COMPUTED_VALUE"""),"MYNTRA")</f>
        <v>MYNTRA</v>
      </c>
      <c r="D3687" s="115">
        <f>IFERROR(__xludf.DUMMYFUNCTION("""COMPUTED_VALUE"""),17212.0)</f>
        <v>17212</v>
      </c>
      <c r="E3687" s="115">
        <f>IFERROR(__xludf.DUMMYFUNCTION("""COMPUTED_VALUE"""),3958.0)</f>
        <v>3958</v>
      </c>
      <c r="F3687" s="115">
        <f>IFERROR(__xludf.DUMMYFUNCTION("""COMPUTED_VALUE"""),6138.0)</f>
        <v>6138</v>
      </c>
      <c r="G3687" s="115">
        <f>IFERROR(__xludf.DUMMYFUNCTION("""COMPUTED_VALUE"""),168.0)</f>
        <v>168</v>
      </c>
      <c r="H3687" s="116">
        <f>IFERROR(__xludf.DUMMYFUNCTION("""COMPUTED_VALUE"""),45907.0)</f>
        <v>45907</v>
      </c>
      <c r="I3687" s="115" t="str">
        <f>IFERROR(__xludf.DUMMYFUNCTION("""COMPUTED_VALUE"""),"14")</f>
        <v>14</v>
      </c>
      <c r="J3687" s="115" t="str">
        <f>IFERROR(__xludf.DUMMYFUNCTION("""COMPUTED_VALUE"""),"Vineeth V2025-09-0714")</f>
        <v>Vineeth V2025-09-0714</v>
      </c>
      <c r="K3687" s="115">
        <f>IFERROR(__xludf.DUMMYFUNCTION("""COMPUTED_VALUE"""),21170.0)</f>
        <v>21170</v>
      </c>
    </row>
    <row r="3688">
      <c r="A3688" s="115" t="str">
        <f>IFERROR(__xludf.DUMMYFUNCTION("""COMPUTED_VALUE"""),"WEST")</f>
        <v>WEST</v>
      </c>
      <c r="B3688" s="115" t="str">
        <f>IFERROR(__xludf.DUMMYFUNCTION("""COMPUTED_VALUE"""),"Ashish Jakar")</f>
        <v>Ashish Jakar</v>
      </c>
      <c r="C3688" s="115" t="str">
        <f>IFERROR(__xludf.DUMMYFUNCTION("""COMPUTED_VALUE"""),"EXTERNAL")</f>
        <v>EXTERNAL</v>
      </c>
      <c r="D3688" s="115">
        <f>IFERROR(__xludf.DUMMYFUNCTION("""COMPUTED_VALUE"""),51730.0)</f>
        <v>51730</v>
      </c>
      <c r="E3688" s="115">
        <f>IFERROR(__xludf.DUMMYFUNCTION("""COMPUTED_VALUE"""),5740.0)</f>
        <v>5740</v>
      </c>
      <c r="F3688" s="115">
        <f>IFERROR(__xludf.DUMMYFUNCTION("""COMPUTED_VALUE"""),12113.0)</f>
        <v>12113</v>
      </c>
      <c r="G3688" s="115">
        <f>IFERROR(__xludf.DUMMYFUNCTION("""COMPUTED_VALUE"""),925.0)</f>
        <v>925</v>
      </c>
      <c r="H3688" s="116">
        <f>IFERROR(__xludf.DUMMYFUNCTION("""COMPUTED_VALUE"""),45907.0)</f>
        <v>45907</v>
      </c>
      <c r="I3688" s="115" t="str">
        <f>IFERROR(__xludf.DUMMYFUNCTION("""COMPUTED_VALUE"""),"14")</f>
        <v>14</v>
      </c>
      <c r="J3688" s="115" t="str">
        <f>IFERROR(__xludf.DUMMYFUNCTION("""COMPUTED_VALUE"""),"Ashish Jakar2025-09-0714")</f>
        <v>Ashish Jakar2025-09-0714</v>
      </c>
      <c r="K3688" s="115">
        <f>IFERROR(__xludf.DUMMYFUNCTION("""COMPUTED_VALUE"""),57470.0)</f>
        <v>57470</v>
      </c>
    </row>
    <row r="3689">
      <c r="A3689" s="115" t="str">
        <f>IFERROR(__xludf.DUMMYFUNCTION("""COMPUTED_VALUE"""),"WEST")</f>
        <v>WEST</v>
      </c>
      <c r="B3689" s="115" t="str">
        <f>IFERROR(__xludf.DUMMYFUNCTION("""COMPUTED_VALUE"""),"Ashish Jakar")</f>
        <v>Ashish Jakar</v>
      </c>
      <c r="C3689" s="115" t="str">
        <f>IFERROR(__xludf.DUMMYFUNCTION("""COMPUTED_VALUE"""),"FLIPKART")</f>
        <v>FLIPKART</v>
      </c>
      <c r="D3689" s="115">
        <f>IFERROR(__xludf.DUMMYFUNCTION("""COMPUTED_VALUE"""),319388.0)</f>
        <v>319388</v>
      </c>
      <c r="E3689" s="115">
        <f>IFERROR(__xludf.DUMMYFUNCTION("""COMPUTED_VALUE"""),26177.0)</f>
        <v>26177</v>
      </c>
      <c r="F3689" s="115">
        <f>IFERROR(__xludf.DUMMYFUNCTION("""COMPUTED_VALUE"""),136205.0)</f>
        <v>136205</v>
      </c>
      <c r="G3689" s="115">
        <f>IFERROR(__xludf.DUMMYFUNCTION("""COMPUTED_VALUE"""),5008.0)</f>
        <v>5008</v>
      </c>
      <c r="H3689" s="116">
        <f>IFERROR(__xludf.DUMMYFUNCTION("""COMPUTED_VALUE"""),45907.0)</f>
        <v>45907</v>
      </c>
      <c r="I3689" s="115" t="str">
        <f>IFERROR(__xludf.DUMMYFUNCTION("""COMPUTED_VALUE"""),"14")</f>
        <v>14</v>
      </c>
      <c r="J3689" s="115" t="str">
        <f>IFERROR(__xludf.DUMMYFUNCTION("""COMPUTED_VALUE"""),"Ashish Jakar2025-09-0714")</f>
        <v>Ashish Jakar2025-09-0714</v>
      </c>
      <c r="K3689" s="115">
        <f>IFERROR(__xludf.DUMMYFUNCTION("""COMPUTED_VALUE"""),345565.0)</f>
        <v>345565</v>
      </c>
    </row>
    <row r="3690">
      <c r="A3690" s="115" t="str">
        <f>IFERROR(__xludf.DUMMYFUNCTION("""COMPUTED_VALUE"""),"WEST")</f>
        <v>WEST</v>
      </c>
      <c r="B3690" s="115" t="str">
        <f>IFERROR(__xludf.DUMMYFUNCTION("""COMPUTED_VALUE"""),"Ashish Jakar")</f>
        <v>Ashish Jakar</v>
      </c>
      <c r="C3690" s="115" t="str">
        <f>IFERROR(__xludf.DUMMYFUNCTION("""COMPUTED_VALUE"""),"MYNTRA")</f>
        <v>MYNTRA</v>
      </c>
      <c r="D3690" s="115">
        <f>IFERROR(__xludf.DUMMYFUNCTION("""COMPUTED_VALUE"""),40265.0)</f>
        <v>40265</v>
      </c>
      <c r="E3690" s="115">
        <f>IFERROR(__xludf.DUMMYFUNCTION("""COMPUTED_VALUE"""),9373.0)</f>
        <v>9373</v>
      </c>
      <c r="F3690" s="115">
        <f>IFERROR(__xludf.DUMMYFUNCTION("""COMPUTED_VALUE"""),20556.0)</f>
        <v>20556</v>
      </c>
      <c r="G3690" s="115">
        <f>IFERROR(__xludf.DUMMYFUNCTION("""COMPUTED_VALUE"""),2083.0)</f>
        <v>2083</v>
      </c>
      <c r="H3690" s="116">
        <f>IFERROR(__xludf.DUMMYFUNCTION("""COMPUTED_VALUE"""),45907.0)</f>
        <v>45907</v>
      </c>
      <c r="I3690" s="115" t="str">
        <f>IFERROR(__xludf.DUMMYFUNCTION("""COMPUTED_VALUE"""),"14")</f>
        <v>14</v>
      </c>
      <c r="J3690" s="115" t="str">
        <f>IFERROR(__xludf.DUMMYFUNCTION("""COMPUTED_VALUE"""),"Ashish Jakar2025-09-0714")</f>
        <v>Ashish Jakar2025-09-0714</v>
      </c>
      <c r="K3690" s="115">
        <f>IFERROR(__xludf.DUMMYFUNCTION("""COMPUTED_VALUE"""),49638.0)</f>
        <v>49638</v>
      </c>
    </row>
    <row r="3691">
      <c r="A3691" s="115" t="str">
        <f>IFERROR(__xludf.DUMMYFUNCTION("""COMPUTED_VALUE"""),"WEST")</f>
        <v>WEST</v>
      </c>
      <c r="B3691" s="115" t="str">
        <f>IFERROR(__xludf.DUMMYFUNCTION("""COMPUTED_VALUE"""),"Ashvani Bhatt")</f>
        <v>Ashvani Bhatt</v>
      </c>
      <c r="C3691" s="115" t="str">
        <f>IFERROR(__xludf.DUMMYFUNCTION("""COMPUTED_VALUE"""),"EXTERNAL")</f>
        <v>EXTERNAL</v>
      </c>
      <c r="D3691" s="115">
        <f>IFERROR(__xludf.DUMMYFUNCTION("""COMPUTED_VALUE"""),31347.0)</f>
        <v>31347</v>
      </c>
      <c r="E3691" s="115">
        <f>IFERROR(__xludf.DUMMYFUNCTION("""COMPUTED_VALUE"""),2413.0)</f>
        <v>2413</v>
      </c>
      <c r="F3691" s="115">
        <f>IFERROR(__xludf.DUMMYFUNCTION("""COMPUTED_VALUE"""),8341.0)</f>
        <v>8341</v>
      </c>
      <c r="G3691" s="115">
        <f>IFERROR(__xludf.DUMMYFUNCTION("""COMPUTED_VALUE"""),258.0)</f>
        <v>258</v>
      </c>
      <c r="H3691" s="116">
        <f>IFERROR(__xludf.DUMMYFUNCTION("""COMPUTED_VALUE"""),45907.0)</f>
        <v>45907</v>
      </c>
      <c r="I3691" s="115" t="str">
        <f>IFERROR(__xludf.DUMMYFUNCTION("""COMPUTED_VALUE"""),"14")</f>
        <v>14</v>
      </c>
      <c r="J3691" s="115" t="str">
        <f>IFERROR(__xludf.DUMMYFUNCTION("""COMPUTED_VALUE"""),"Ashvani Bhatt2025-09-0714")</f>
        <v>Ashvani Bhatt2025-09-0714</v>
      </c>
      <c r="K3691" s="115">
        <f>IFERROR(__xludf.DUMMYFUNCTION("""COMPUTED_VALUE"""),33760.0)</f>
        <v>33760</v>
      </c>
    </row>
    <row r="3692">
      <c r="A3692" s="115" t="str">
        <f>IFERROR(__xludf.DUMMYFUNCTION("""COMPUTED_VALUE"""),"WEST")</f>
        <v>WEST</v>
      </c>
      <c r="B3692" s="115" t="str">
        <f>IFERROR(__xludf.DUMMYFUNCTION("""COMPUTED_VALUE"""),"Ashvani Bhatt")</f>
        <v>Ashvani Bhatt</v>
      </c>
      <c r="C3692" s="115" t="str">
        <f>IFERROR(__xludf.DUMMYFUNCTION("""COMPUTED_VALUE"""),"FLIPKART")</f>
        <v>FLIPKART</v>
      </c>
      <c r="D3692" s="115">
        <f>IFERROR(__xludf.DUMMYFUNCTION("""COMPUTED_VALUE"""),230278.0)</f>
        <v>230278</v>
      </c>
      <c r="E3692" s="115">
        <f>IFERROR(__xludf.DUMMYFUNCTION("""COMPUTED_VALUE"""),22419.0)</f>
        <v>22419</v>
      </c>
      <c r="F3692" s="115">
        <f>IFERROR(__xludf.DUMMYFUNCTION("""COMPUTED_VALUE"""),107230.0)</f>
        <v>107230</v>
      </c>
      <c r="G3692" s="115">
        <f>IFERROR(__xludf.DUMMYFUNCTION("""COMPUTED_VALUE"""),4075.0)</f>
        <v>4075</v>
      </c>
      <c r="H3692" s="116">
        <f>IFERROR(__xludf.DUMMYFUNCTION("""COMPUTED_VALUE"""),45907.0)</f>
        <v>45907</v>
      </c>
      <c r="I3692" s="115" t="str">
        <f>IFERROR(__xludf.DUMMYFUNCTION("""COMPUTED_VALUE"""),"14")</f>
        <v>14</v>
      </c>
      <c r="J3692" s="115" t="str">
        <f>IFERROR(__xludf.DUMMYFUNCTION("""COMPUTED_VALUE"""),"Ashvani Bhatt2025-09-0714")</f>
        <v>Ashvani Bhatt2025-09-0714</v>
      </c>
      <c r="K3692" s="115">
        <f>IFERROR(__xludf.DUMMYFUNCTION("""COMPUTED_VALUE"""),252697.0)</f>
        <v>252697</v>
      </c>
    </row>
    <row r="3693">
      <c r="A3693" s="115" t="str">
        <f>IFERROR(__xludf.DUMMYFUNCTION("""COMPUTED_VALUE"""),"WEST")</f>
        <v>WEST</v>
      </c>
      <c r="B3693" s="115" t="str">
        <f>IFERROR(__xludf.DUMMYFUNCTION("""COMPUTED_VALUE"""),"Ashvani Bhatt")</f>
        <v>Ashvani Bhatt</v>
      </c>
      <c r="C3693" s="115" t="str">
        <f>IFERROR(__xludf.DUMMYFUNCTION("""COMPUTED_VALUE"""),"MYNTRA")</f>
        <v>MYNTRA</v>
      </c>
      <c r="D3693" s="115">
        <f>IFERROR(__xludf.DUMMYFUNCTION("""COMPUTED_VALUE"""),30136.0)</f>
        <v>30136</v>
      </c>
      <c r="E3693" s="115">
        <f>IFERROR(__xludf.DUMMYFUNCTION("""COMPUTED_VALUE"""),6686.0)</f>
        <v>6686</v>
      </c>
      <c r="F3693" s="115">
        <f>IFERROR(__xludf.DUMMYFUNCTION("""COMPUTED_VALUE"""),17120.0)</f>
        <v>17120</v>
      </c>
      <c r="G3693" s="115">
        <f>IFERROR(__xludf.DUMMYFUNCTION("""COMPUTED_VALUE"""),1526.0)</f>
        <v>1526</v>
      </c>
      <c r="H3693" s="116">
        <f>IFERROR(__xludf.DUMMYFUNCTION("""COMPUTED_VALUE"""),45907.0)</f>
        <v>45907</v>
      </c>
      <c r="I3693" s="115" t="str">
        <f>IFERROR(__xludf.DUMMYFUNCTION("""COMPUTED_VALUE"""),"14")</f>
        <v>14</v>
      </c>
      <c r="J3693" s="115" t="str">
        <f>IFERROR(__xludf.DUMMYFUNCTION("""COMPUTED_VALUE"""),"Ashvani Bhatt2025-09-0714")</f>
        <v>Ashvani Bhatt2025-09-0714</v>
      </c>
      <c r="K3693" s="115">
        <f>IFERROR(__xludf.DUMMYFUNCTION("""COMPUTED_VALUE"""),36822.0)</f>
        <v>36822</v>
      </c>
    </row>
    <row r="3694">
      <c r="A3694" s="115"/>
      <c r="B3694" s="115"/>
      <c r="C3694" s="115" t="str">
        <f>IFERROR(__xludf.DUMMYFUNCTION("""COMPUTED_VALUE"""),"EXTERNAL")</f>
        <v>EXTERNAL</v>
      </c>
      <c r="D3694" s="115">
        <f>IFERROR(__xludf.DUMMYFUNCTION("""COMPUTED_VALUE"""),893.0)</f>
        <v>893</v>
      </c>
      <c r="E3694" s="115">
        <f>IFERROR(__xludf.DUMMYFUNCTION("""COMPUTED_VALUE"""),110.0)</f>
        <v>110</v>
      </c>
      <c r="F3694" s="115">
        <f>IFERROR(__xludf.DUMMYFUNCTION("""COMPUTED_VALUE"""),215.0)</f>
        <v>215</v>
      </c>
      <c r="G3694" s="115">
        <f>IFERROR(__xludf.DUMMYFUNCTION("""COMPUTED_VALUE"""),45.0)</f>
        <v>45</v>
      </c>
      <c r="H3694" s="116">
        <f>IFERROR(__xludf.DUMMYFUNCTION("""COMPUTED_VALUE"""),45907.0)</f>
        <v>45907</v>
      </c>
      <c r="I3694" s="115" t="str">
        <f>IFERROR(__xludf.DUMMYFUNCTION("""COMPUTED_VALUE"""),"14")</f>
        <v>14</v>
      </c>
      <c r="J3694" s="115" t="str">
        <f>IFERROR(__xludf.DUMMYFUNCTION("""COMPUTED_VALUE"""),"2025-09-0714")</f>
        <v>2025-09-0714</v>
      </c>
      <c r="K3694" s="115">
        <f>IFERROR(__xludf.DUMMYFUNCTION("""COMPUTED_VALUE"""),1003.0)</f>
        <v>1003</v>
      </c>
    </row>
    <row r="3695">
      <c r="A3695" s="115"/>
      <c r="B3695" s="115"/>
      <c r="C3695" s="115" t="str">
        <f>IFERROR(__xludf.DUMMYFUNCTION("""COMPUTED_VALUE"""),"FLIPKART")</f>
        <v>FLIPKART</v>
      </c>
      <c r="D3695" s="115">
        <f>IFERROR(__xludf.DUMMYFUNCTION("""COMPUTED_VALUE"""),5880.0)</f>
        <v>5880</v>
      </c>
      <c r="E3695" s="115">
        <f>IFERROR(__xludf.DUMMYFUNCTION("""COMPUTED_VALUE"""),656.0)</f>
        <v>656</v>
      </c>
      <c r="F3695" s="115">
        <f>IFERROR(__xludf.DUMMYFUNCTION("""COMPUTED_VALUE"""),1838.0)</f>
        <v>1838</v>
      </c>
      <c r="G3695" s="115">
        <f>IFERROR(__xludf.DUMMYFUNCTION("""COMPUTED_VALUE"""),205.0)</f>
        <v>205</v>
      </c>
      <c r="H3695" s="116">
        <f>IFERROR(__xludf.DUMMYFUNCTION("""COMPUTED_VALUE"""),45907.0)</f>
        <v>45907</v>
      </c>
      <c r="I3695" s="115" t="str">
        <f>IFERROR(__xludf.DUMMYFUNCTION("""COMPUTED_VALUE"""),"14")</f>
        <v>14</v>
      </c>
      <c r="J3695" s="115" t="str">
        <f>IFERROR(__xludf.DUMMYFUNCTION("""COMPUTED_VALUE"""),"2025-09-0714")</f>
        <v>2025-09-0714</v>
      </c>
      <c r="K3695" s="115">
        <f>IFERROR(__xludf.DUMMYFUNCTION("""COMPUTED_VALUE"""),6536.0)</f>
        <v>6536</v>
      </c>
    </row>
    <row r="3696">
      <c r="A3696" s="115"/>
      <c r="B3696" s="115"/>
      <c r="C3696" s="115" t="str">
        <f>IFERROR(__xludf.DUMMYFUNCTION("""COMPUTED_VALUE"""),"MYNTRA")</f>
        <v>MYNTRA</v>
      </c>
      <c r="D3696" s="115">
        <f>IFERROR(__xludf.DUMMYFUNCTION("""COMPUTED_VALUE"""),1356.0)</f>
        <v>1356</v>
      </c>
      <c r="E3696" s="115">
        <f>IFERROR(__xludf.DUMMYFUNCTION("""COMPUTED_VALUE"""),347.0)</f>
        <v>347</v>
      </c>
      <c r="F3696" s="115">
        <f>IFERROR(__xludf.DUMMYFUNCTION("""COMPUTED_VALUE"""),604.0)</f>
        <v>604</v>
      </c>
      <c r="G3696" s="115">
        <f>IFERROR(__xludf.DUMMYFUNCTION("""COMPUTED_VALUE"""),92.0)</f>
        <v>92</v>
      </c>
      <c r="H3696" s="116">
        <f>IFERROR(__xludf.DUMMYFUNCTION("""COMPUTED_VALUE"""),45907.0)</f>
        <v>45907</v>
      </c>
      <c r="I3696" s="115" t="str">
        <f>IFERROR(__xludf.DUMMYFUNCTION("""COMPUTED_VALUE"""),"14")</f>
        <v>14</v>
      </c>
      <c r="J3696" s="115" t="str">
        <f>IFERROR(__xludf.DUMMYFUNCTION("""COMPUTED_VALUE"""),"2025-09-0714")</f>
        <v>2025-09-0714</v>
      </c>
      <c r="K3696" s="115">
        <f>IFERROR(__xludf.DUMMYFUNCTION("""COMPUTED_VALUE"""),1703.0)</f>
        <v>1703</v>
      </c>
    </row>
    <row r="3697">
      <c r="A3697" s="115" t="str">
        <f>IFERROR(__xludf.DUMMYFUNCTION("""COMPUTED_VALUE"""),"EAST")</f>
        <v>EAST</v>
      </c>
      <c r="B3697" s="115" t="str">
        <f>IFERROR(__xludf.DUMMYFUNCTION("""COMPUTED_VALUE"""),"Ashish Ranjan")</f>
        <v>Ashish Ranjan</v>
      </c>
      <c r="C3697" s="115" t="str">
        <f>IFERROR(__xludf.DUMMYFUNCTION("""COMPUTED_VALUE"""),"EXTERNAL")</f>
        <v>EXTERNAL</v>
      </c>
      <c r="D3697" s="115">
        <f>IFERROR(__xludf.DUMMYFUNCTION("""COMPUTED_VALUE"""),39446.0)</f>
        <v>39446</v>
      </c>
      <c r="E3697" s="115">
        <f>IFERROR(__xludf.DUMMYFUNCTION("""COMPUTED_VALUE"""),2984.0)</f>
        <v>2984</v>
      </c>
      <c r="F3697" s="115">
        <f>IFERROR(__xludf.DUMMYFUNCTION("""COMPUTED_VALUE"""),17327.0)</f>
        <v>17327</v>
      </c>
      <c r="G3697" s="115">
        <f>IFERROR(__xludf.DUMMYFUNCTION("""COMPUTED_VALUE"""),863.0)</f>
        <v>863</v>
      </c>
      <c r="H3697" s="116">
        <f>IFERROR(__xludf.DUMMYFUNCTION("""COMPUTED_VALUE"""),45907.0)</f>
        <v>45907</v>
      </c>
      <c r="I3697" s="115" t="str">
        <f>IFERROR(__xludf.DUMMYFUNCTION("""COMPUTED_VALUE"""),"15")</f>
        <v>15</v>
      </c>
      <c r="J3697" s="115" t="str">
        <f>IFERROR(__xludf.DUMMYFUNCTION("""COMPUTED_VALUE"""),"Ashish Ranjan2025-09-0715")</f>
        <v>Ashish Ranjan2025-09-0715</v>
      </c>
      <c r="K3697" s="115">
        <f>IFERROR(__xludf.DUMMYFUNCTION("""COMPUTED_VALUE"""),42430.0)</f>
        <v>42430</v>
      </c>
    </row>
    <row r="3698">
      <c r="A3698" s="115" t="str">
        <f>IFERROR(__xludf.DUMMYFUNCTION("""COMPUTED_VALUE"""),"EAST")</f>
        <v>EAST</v>
      </c>
      <c r="B3698" s="115" t="str">
        <f>IFERROR(__xludf.DUMMYFUNCTION("""COMPUTED_VALUE"""),"Ashish Ranjan")</f>
        <v>Ashish Ranjan</v>
      </c>
      <c r="C3698" s="115" t="str">
        <f>IFERROR(__xludf.DUMMYFUNCTION("""COMPUTED_VALUE"""),"FLIPKART")</f>
        <v>FLIPKART</v>
      </c>
      <c r="D3698" s="115">
        <f>IFERROR(__xludf.DUMMYFUNCTION("""COMPUTED_VALUE"""),574120.0)</f>
        <v>574120</v>
      </c>
      <c r="E3698" s="115">
        <f>IFERROR(__xludf.DUMMYFUNCTION("""COMPUTED_VALUE"""),61732.0)</f>
        <v>61732</v>
      </c>
      <c r="F3698" s="115">
        <f>IFERROR(__xludf.DUMMYFUNCTION("""COMPUTED_VALUE"""),397930.0)</f>
        <v>397930</v>
      </c>
      <c r="G3698" s="115">
        <f>IFERROR(__xludf.DUMMYFUNCTION("""COMPUTED_VALUE"""),23571.0)</f>
        <v>23571</v>
      </c>
      <c r="H3698" s="116">
        <f>IFERROR(__xludf.DUMMYFUNCTION("""COMPUTED_VALUE"""),45907.0)</f>
        <v>45907</v>
      </c>
      <c r="I3698" s="115" t="str">
        <f>IFERROR(__xludf.DUMMYFUNCTION("""COMPUTED_VALUE"""),"15")</f>
        <v>15</v>
      </c>
      <c r="J3698" s="115" t="str">
        <f>IFERROR(__xludf.DUMMYFUNCTION("""COMPUTED_VALUE"""),"Ashish Ranjan2025-09-0715")</f>
        <v>Ashish Ranjan2025-09-0715</v>
      </c>
      <c r="K3698" s="115">
        <f>IFERROR(__xludf.DUMMYFUNCTION("""COMPUTED_VALUE"""),635852.0)</f>
        <v>635852</v>
      </c>
    </row>
    <row r="3699">
      <c r="A3699" s="115" t="str">
        <f>IFERROR(__xludf.DUMMYFUNCTION("""COMPUTED_VALUE"""),"EAST")</f>
        <v>EAST</v>
      </c>
      <c r="B3699" s="115" t="str">
        <f>IFERROR(__xludf.DUMMYFUNCTION("""COMPUTED_VALUE"""),"Ashish Ranjan")</f>
        <v>Ashish Ranjan</v>
      </c>
      <c r="C3699" s="115" t="str">
        <f>IFERROR(__xludf.DUMMYFUNCTION("""COMPUTED_VALUE"""),"MYNTRA")</f>
        <v>MYNTRA</v>
      </c>
      <c r="D3699" s="115">
        <f>IFERROR(__xludf.DUMMYFUNCTION("""COMPUTED_VALUE"""),63975.0)</f>
        <v>63975</v>
      </c>
      <c r="E3699" s="115">
        <f>IFERROR(__xludf.DUMMYFUNCTION("""COMPUTED_VALUE"""),14122.0)</f>
        <v>14122</v>
      </c>
      <c r="F3699" s="115">
        <f>IFERROR(__xludf.DUMMYFUNCTION("""COMPUTED_VALUE"""),45548.0)</f>
        <v>45548</v>
      </c>
      <c r="G3699" s="115">
        <f>IFERROR(__xludf.DUMMYFUNCTION("""COMPUTED_VALUE"""),5414.0)</f>
        <v>5414</v>
      </c>
      <c r="H3699" s="116">
        <f>IFERROR(__xludf.DUMMYFUNCTION("""COMPUTED_VALUE"""),45907.0)</f>
        <v>45907</v>
      </c>
      <c r="I3699" s="115" t="str">
        <f>IFERROR(__xludf.DUMMYFUNCTION("""COMPUTED_VALUE"""),"15")</f>
        <v>15</v>
      </c>
      <c r="J3699" s="115" t="str">
        <f>IFERROR(__xludf.DUMMYFUNCTION("""COMPUTED_VALUE"""),"Ashish Ranjan2025-09-0715")</f>
        <v>Ashish Ranjan2025-09-0715</v>
      </c>
      <c r="K3699" s="115">
        <f>IFERROR(__xludf.DUMMYFUNCTION("""COMPUTED_VALUE"""),78097.0)</f>
        <v>78097</v>
      </c>
    </row>
    <row r="3700">
      <c r="A3700" s="115" t="str">
        <f>IFERROR(__xludf.DUMMYFUNCTION("""COMPUTED_VALUE"""),"EAST")</f>
        <v>EAST</v>
      </c>
      <c r="B3700" s="115" t="str">
        <f>IFERROR(__xludf.DUMMYFUNCTION("""COMPUTED_VALUE"""),"Girish Chand")</f>
        <v>Girish Chand</v>
      </c>
      <c r="C3700" s="115" t="str">
        <f>IFERROR(__xludf.DUMMYFUNCTION("""COMPUTED_VALUE"""),"EXTERNAL")</f>
        <v>EXTERNAL</v>
      </c>
      <c r="D3700" s="115">
        <f>IFERROR(__xludf.DUMMYFUNCTION("""COMPUTED_VALUE"""),23311.0)</f>
        <v>23311</v>
      </c>
      <c r="E3700" s="115">
        <f>IFERROR(__xludf.DUMMYFUNCTION("""COMPUTED_VALUE"""),2111.0)</f>
        <v>2111</v>
      </c>
      <c r="F3700" s="115">
        <f>IFERROR(__xludf.DUMMYFUNCTION("""COMPUTED_VALUE"""),7729.0)</f>
        <v>7729</v>
      </c>
      <c r="G3700" s="115">
        <f>IFERROR(__xludf.DUMMYFUNCTION("""COMPUTED_VALUE"""),245.0)</f>
        <v>245</v>
      </c>
      <c r="H3700" s="116">
        <f>IFERROR(__xludf.DUMMYFUNCTION("""COMPUTED_VALUE"""),45907.0)</f>
        <v>45907</v>
      </c>
      <c r="I3700" s="115" t="str">
        <f>IFERROR(__xludf.DUMMYFUNCTION("""COMPUTED_VALUE"""),"15")</f>
        <v>15</v>
      </c>
      <c r="J3700" s="115" t="str">
        <f>IFERROR(__xludf.DUMMYFUNCTION("""COMPUTED_VALUE"""),"Girish Chand2025-09-0715")</f>
        <v>Girish Chand2025-09-0715</v>
      </c>
      <c r="K3700" s="115">
        <f>IFERROR(__xludf.DUMMYFUNCTION("""COMPUTED_VALUE"""),25422.0)</f>
        <v>25422</v>
      </c>
    </row>
    <row r="3701">
      <c r="A3701" s="115" t="str">
        <f>IFERROR(__xludf.DUMMYFUNCTION("""COMPUTED_VALUE"""),"EAST")</f>
        <v>EAST</v>
      </c>
      <c r="B3701" s="115" t="str">
        <f>IFERROR(__xludf.DUMMYFUNCTION("""COMPUTED_VALUE"""),"Girish Chand")</f>
        <v>Girish Chand</v>
      </c>
      <c r="C3701" s="115" t="str">
        <f>IFERROR(__xludf.DUMMYFUNCTION("""COMPUTED_VALUE"""),"FLIPKART")</f>
        <v>FLIPKART</v>
      </c>
      <c r="D3701" s="115">
        <f>IFERROR(__xludf.DUMMYFUNCTION("""COMPUTED_VALUE"""),402202.0)</f>
        <v>402202</v>
      </c>
      <c r="E3701" s="115">
        <f>IFERROR(__xludf.DUMMYFUNCTION("""COMPUTED_VALUE"""),40165.0)</f>
        <v>40165</v>
      </c>
      <c r="F3701" s="115">
        <f>IFERROR(__xludf.DUMMYFUNCTION("""COMPUTED_VALUE"""),230238.0)</f>
        <v>230238</v>
      </c>
      <c r="G3701" s="115">
        <f>IFERROR(__xludf.DUMMYFUNCTION("""COMPUTED_VALUE"""),10590.0)</f>
        <v>10590</v>
      </c>
      <c r="H3701" s="116">
        <f>IFERROR(__xludf.DUMMYFUNCTION("""COMPUTED_VALUE"""),45907.0)</f>
        <v>45907</v>
      </c>
      <c r="I3701" s="115" t="str">
        <f>IFERROR(__xludf.DUMMYFUNCTION("""COMPUTED_VALUE"""),"15")</f>
        <v>15</v>
      </c>
      <c r="J3701" s="115" t="str">
        <f>IFERROR(__xludf.DUMMYFUNCTION("""COMPUTED_VALUE"""),"Girish Chand2025-09-0715")</f>
        <v>Girish Chand2025-09-0715</v>
      </c>
      <c r="K3701" s="115">
        <f>IFERROR(__xludf.DUMMYFUNCTION("""COMPUTED_VALUE"""),442367.0)</f>
        <v>442367</v>
      </c>
    </row>
    <row r="3702">
      <c r="A3702" s="115" t="str">
        <f>IFERROR(__xludf.DUMMYFUNCTION("""COMPUTED_VALUE"""),"EAST")</f>
        <v>EAST</v>
      </c>
      <c r="B3702" s="115" t="str">
        <f>IFERROR(__xludf.DUMMYFUNCTION("""COMPUTED_VALUE"""),"Girish Chand")</f>
        <v>Girish Chand</v>
      </c>
      <c r="C3702" s="115" t="str">
        <f>IFERROR(__xludf.DUMMYFUNCTION("""COMPUTED_VALUE"""),"MYNTRA")</f>
        <v>MYNTRA</v>
      </c>
      <c r="D3702" s="115">
        <f>IFERROR(__xludf.DUMMYFUNCTION("""COMPUTED_VALUE"""),36049.0)</f>
        <v>36049</v>
      </c>
      <c r="E3702" s="115">
        <f>IFERROR(__xludf.DUMMYFUNCTION("""COMPUTED_VALUE"""),7329.0)</f>
        <v>7329</v>
      </c>
      <c r="F3702" s="115">
        <f>IFERROR(__xludf.DUMMYFUNCTION("""COMPUTED_VALUE"""),22328.0)</f>
        <v>22328</v>
      </c>
      <c r="G3702" s="115">
        <f>IFERROR(__xludf.DUMMYFUNCTION("""COMPUTED_VALUE"""),2259.0)</f>
        <v>2259</v>
      </c>
      <c r="H3702" s="116">
        <f>IFERROR(__xludf.DUMMYFUNCTION("""COMPUTED_VALUE"""),45907.0)</f>
        <v>45907</v>
      </c>
      <c r="I3702" s="115" t="str">
        <f>IFERROR(__xludf.DUMMYFUNCTION("""COMPUTED_VALUE"""),"15")</f>
        <v>15</v>
      </c>
      <c r="J3702" s="115" t="str">
        <f>IFERROR(__xludf.DUMMYFUNCTION("""COMPUTED_VALUE"""),"Girish Chand2025-09-0715")</f>
        <v>Girish Chand2025-09-0715</v>
      </c>
      <c r="K3702" s="115">
        <f>IFERROR(__xludf.DUMMYFUNCTION("""COMPUTED_VALUE"""),43378.0)</f>
        <v>43378</v>
      </c>
    </row>
    <row r="3703">
      <c r="A3703" s="115" t="str">
        <f>IFERROR(__xludf.DUMMYFUNCTION("""COMPUTED_VALUE"""),"EAST")</f>
        <v>EAST</v>
      </c>
      <c r="B3703" s="115" t="str">
        <f>IFERROR(__xludf.DUMMYFUNCTION("""COMPUTED_VALUE"""),"Parag Kashyap")</f>
        <v>Parag Kashyap</v>
      </c>
      <c r="C3703" s="115" t="str">
        <f>IFERROR(__xludf.DUMMYFUNCTION("""COMPUTED_VALUE"""),"EXTERNAL")</f>
        <v>EXTERNAL</v>
      </c>
      <c r="D3703" s="115">
        <f>IFERROR(__xludf.DUMMYFUNCTION("""COMPUTED_VALUE"""),13046.0)</f>
        <v>13046</v>
      </c>
      <c r="E3703" s="115">
        <f>IFERROR(__xludf.DUMMYFUNCTION("""COMPUTED_VALUE"""),671.0)</f>
        <v>671</v>
      </c>
      <c r="F3703" s="115">
        <f>IFERROR(__xludf.DUMMYFUNCTION("""COMPUTED_VALUE"""),3577.0)</f>
        <v>3577</v>
      </c>
      <c r="G3703" s="115">
        <f>IFERROR(__xludf.DUMMYFUNCTION("""COMPUTED_VALUE"""),63.0)</f>
        <v>63</v>
      </c>
      <c r="H3703" s="116">
        <f>IFERROR(__xludf.DUMMYFUNCTION("""COMPUTED_VALUE"""),45907.0)</f>
        <v>45907</v>
      </c>
      <c r="I3703" s="115" t="str">
        <f>IFERROR(__xludf.DUMMYFUNCTION("""COMPUTED_VALUE"""),"15")</f>
        <v>15</v>
      </c>
      <c r="J3703" s="115" t="str">
        <f>IFERROR(__xludf.DUMMYFUNCTION("""COMPUTED_VALUE"""),"Parag Kashyap2025-09-0715")</f>
        <v>Parag Kashyap2025-09-0715</v>
      </c>
      <c r="K3703" s="115">
        <f>IFERROR(__xludf.DUMMYFUNCTION("""COMPUTED_VALUE"""),13717.0)</f>
        <v>13717</v>
      </c>
    </row>
    <row r="3704">
      <c r="A3704" s="115" t="str">
        <f>IFERROR(__xludf.DUMMYFUNCTION("""COMPUTED_VALUE"""),"EAST")</f>
        <v>EAST</v>
      </c>
      <c r="B3704" s="115" t="str">
        <f>IFERROR(__xludf.DUMMYFUNCTION("""COMPUTED_VALUE"""),"Parag Kashyap")</f>
        <v>Parag Kashyap</v>
      </c>
      <c r="C3704" s="115" t="str">
        <f>IFERROR(__xludf.DUMMYFUNCTION("""COMPUTED_VALUE"""),"FLIPKART")</f>
        <v>FLIPKART</v>
      </c>
      <c r="D3704" s="115">
        <f>IFERROR(__xludf.DUMMYFUNCTION("""COMPUTED_VALUE"""),229941.0)</f>
        <v>229941</v>
      </c>
      <c r="E3704" s="115">
        <f>IFERROR(__xludf.DUMMYFUNCTION("""COMPUTED_VALUE"""),14658.0)</f>
        <v>14658</v>
      </c>
      <c r="F3704" s="115">
        <f>IFERROR(__xludf.DUMMYFUNCTION("""COMPUTED_VALUE"""),119565.0)</f>
        <v>119565</v>
      </c>
      <c r="G3704" s="115">
        <f>IFERROR(__xludf.DUMMYFUNCTION("""COMPUTED_VALUE"""),2523.0)</f>
        <v>2523</v>
      </c>
      <c r="H3704" s="116">
        <f>IFERROR(__xludf.DUMMYFUNCTION("""COMPUTED_VALUE"""),45907.0)</f>
        <v>45907</v>
      </c>
      <c r="I3704" s="115" t="str">
        <f>IFERROR(__xludf.DUMMYFUNCTION("""COMPUTED_VALUE"""),"15")</f>
        <v>15</v>
      </c>
      <c r="J3704" s="115" t="str">
        <f>IFERROR(__xludf.DUMMYFUNCTION("""COMPUTED_VALUE"""),"Parag Kashyap2025-09-0715")</f>
        <v>Parag Kashyap2025-09-0715</v>
      </c>
      <c r="K3704" s="115">
        <f>IFERROR(__xludf.DUMMYFUNCTION("""COMPUTED_VALUE"""),244599.0)</f>
        <v>244599</v>
      </c>
    </row>
    <row r="3705">
      <c r="A3705" s="115" t="str">
        <f>IFERROR(__xludf.DUMMYFUNCTION("""COMPUTED_VALUE"""),"EAST")</f>
        <v>EAST</v>
      </c>
      <c r="B3705" s="115" t="str">
        <f>IFERROR(__xludf.DUMMYFUNCTION("""COMPUTED_VALUE"""),"Parag Kashyap")</f>
        <v>Parag Kashyap</v>
      </c>
      <c r="C3705" s="115" t="str">
        <f>IFERROR(__xludf.DUMMYFUNCTION("""COMPUTED_VALUE"""),"MYNTRA")</f>
        <v>MYNTRA</v>
      </c>
      <c r="D3705" s="115">
        <f>IFERROR(__xludf.DUMMYFUNCTION("""COMPUTED_VALUE"""),26753.0)</f>
        <v>26753</v>
      </c>
      <c r="E3705" s="115">
        <f>IFERROR(__xludf.DUMMYFUNCTION("""COMPUTED_VALUE"""),3719.0)</f>
        <v>3719</v>
      </c>
      <c r="F3705" s="115">
        <f>IFERROR(__xludf.DUMMYFUNCTION("""COMPUTED_VALUE"""),14782.0)</f>
        <v>14782</v>
      </c>
      <c r="G3705" s="115">
        <f>IFERROR(__xludf.DUMMYFUNCTION("""COMPUTED_VALUE"""),628.0)</f>
        <v>628</v>
      </c>
      <c r="H3705" s="116">
        <f>IFERROR(__xludf.DUMMYFUNCTION("""COMPUTED_VALUE"""),45907.0)</f>
        <v>45907</v>
      </c>
      <c r="I3705" s="115" t="str">
        <f>IFERROR(__xludf.DUMMYFUNCTION("""COMPUTED_VALUE"""),"15")</f>
        <v>15</v>
      </c>
      <c r="J3705" s="115" t="str">
        <f>IFERROR(__xludf.DUMMYFUNCTION("""COMPUTED_VALUE"""),"Parag Kashyap2025-09-0715")</f>
        <v>Parag Kashyap2025-09-0715</v>
      </c>
      <c r="K3705" s="115">
        <f>IFERROR(__xludf.DUMMYFUNCTION("""COMPUTED_VALUE"""),30472.0)</f>
        <v>30472</v>
      </c>
    </row>
    <row r="3706">
      <c r="A3706" s="115" t="str">
        <f>IFERROR(__xludf.DUMMYFUNCTION("""COMPUTED_VALUE"""),"NORTH")</f>
        <v>NORTH</v>
      </c>
      <c r="B3706" s="115" t="str">
        <f>IFERROR(__xludf.DUMMYFUNCTION("""COMPUTED_VALUE"""),"Amit Kumar Pathak")</f>
        <v>Amit Kumar Pathak</v>
      </c>
      <c r="C3706" s="115" t="str">
        <f>IFERROR(__xludf.DUMMYFUNCTION("""COMPUTED_VALUE"""),"EXTERNAL")</f>
        <v>EXTERNAL</v>
      </c>
      <c r="D3706" s="115">
        <f>IFERROR(__xludf.DUMMYFUNCTION("""COMPUTED_VALUE"""),26582.0)</f>
        <v>26582</v>
      </c>
      <c r="E3706" s="115">
        <f>IFERROR(__xludf.DUMMYFUNCTION("""COMPUTED_VALUE"""),2891.0)</f>
        <v>2891</v>
      </c>
      <c r="F3706" s="115">
        <f>IFERROR(__xludf.DUMMYFUNCTION("""COMPUTED_VALUE"""),7215.0)</f>
        <v>7215</v>
      </c>
      <c r="G3706" s="115">
        <f>IFERROR(__xludf.DUMMYFUNCTION("""COMPUTED_VALUE"""),688.0)</f>
        <v>688</v>
      </c>
      <c r="H3706" s="116">
        <f>IFERROR(__xludf.DUMMYFUNCTION("""COMPUTED_VALUE"""),45907.0)</f>
        <v>45907</v>
      </c>
      <c r="I3706" s="115" t="str">
        <f>IFERROR(__xludf.DUMMYFUNCTION("""COMPUTED_VALUE"""),"15")</f>
        <v>15</v>
      </c>
      <c r="J3706" s="115" t="str">
        <f>IFERROR(__xludf.DUMMYFUNCTION("""COMPUTED_VALUE"""),"Amit Kumar Pathak2025-09-0715")</f>
        <v>Amit Kumar Pathak2025-09-0715</v>
      </c>
      <c r="K3706" s="115">
        <f>IFERROR(__xludf.DUMMYFUNCTION("""COMPUTED_VALUE"""),29473.0)</f>
        <v>29473</v>
      </c>
    </row>
    <row r="3707">
      <c r="A3707" s="115" t="str">
        <f>IFERROR(__xludf.DUMMYFUNCTION("""COMPUTED_VALUE"""),"NORTH")</f>
        <v>NORTH</v>
      </c>
      <c r="B3707" s="115" t="str">
        <f>IFERROR(__xludf.DUMMYFUNCTION("""COMPUTED_VALUE"""),"Amit Kumar Pathak")</f>
        <v>Amit Kumar Pathak</v>
      </c>
      <c r="C3707" s="115" t="str">
        <f>IFERROR(__xludf.DUMMYFUNCTION("""COMPUTED_VALUE"""),"FLIPKART")</f>
        <v>FLIPKART</v>
      </c>
      <c r="D3707" s="115">
        <f>IFERROR(__xludf.DUMMYFUNCTION("""COMPUTED_VALUE"""),151597.0)</f>
        <v>151597</v>
      </c>
      <c r="E3707" s="115">
        <f>IFERROR(__xludf.DUMMYFUNCTION("""COMPUTED_VALUE"""),19836.0)</f>
        <v>19836</v>
      </c>
      <c r="F3707" s="115">
        <f>IFERROR(__xludf.DUMMYFUNCTION("""COMPUTED_VALUE"""),75523.0)</f>
        <v>75523</v>
      </c>
      <c r="G3707" s="115">
        <f>IFERROR(__xludf.DUMMYFUNCTION("""COMPUTED_VALUE"""),6892.0)</f>
        <v>6892</v>
      </c>
      <c r="H3707" s="116">
        <f>IFERROR(__xludf.DUMMYFUNCTION("""COMPUTED_VALUE"""),45907.0)</f>
        <v>45907</v>
      </c>
      <c r="I3707" s="115" t="str">
        <f>IFERROR(__xludf.DUMMYFUNCTION("""COMPUTED_VALUE"""),"15")</f>
        <v>15</v>
      </c>
      <c r="J3707" s="115" t="str">
        <f>IFERROR(__xludf.DUMMYFUNCTION("""COMPUTED_VALUE"""),"Amit Kumar Pathak2025-09-0715")</f>
        <v>Amit Kumar Pathak2025-09-0715</v>
      </c>
      <c r="K3707" s="115">
        <f>IFERROR(__xludf.DUMMYFUNCTION("""COMPUTED_VALUE"""),171433.0)</f>
        <v>171433</v>
      </c>
    </row>
    <row r="3708">
      <c r="A3708" s="115" t="str">
        <f>IFERROR(__xludf.DUMMYFUNCTION("""COMPUTED_VALUE"""),"NORTH")</f>
        <v>NORTH</v>
      </c>
      <c r="B3708" s="115" t="str">
        <f>IFERROR(__xludf.DUMMYFUNCTION("""COMPUTED_VALUE"""),"Amit Kumar Pathak")</f>
        <v>Amit Kumar Pathak</v>
      </c>
      <c r="C3708" s="115" t="str">
        <f>IFERROR(__xludf.DUMMYFUNCTION("""COMPUTED_VALUE"""),"MYNTRA")</f>
        <v>MYNTRA</v>
      </c>
      <c r="D3708" s="115">
        <f>IFERROR(__xludf.DUMMYFUNCTION("""COMPUTED_VALUE"""),17632.0)</f>
        <v>17632</v>
      </c>
      <c r="E3708" s="115">
        <f>IFERROR(__xludf.DUMMYFUNCTION("""COMPUTED_VALUE"""),5078.0)</f>
        <v>5078</v>
      </c>
      <c r="F3708" s="115">
        <f>IFERROR(__xludf.DUMMYFUNCTION("""COMPUTED_VALUE"""),10669.0)</f>
        <v>10669</v>
      </c>
      <c r="G3708" s="115">
        <f>IFERROR(__xludf.DUMMYFUNCTION("""COMPUTED_VALUE"""),2079.0)</f>
        <v>2079</v>
      </c>
      <c r="H3708" s="116">
        <f>IFERROR(__xludf.DUMMYFUNCTION("""COMPUTED_VALUE"""),45907.0)</f>
        <v>45907</v>
      </c>
      <c r="I3708" s="115" t="str">
        <f>IFERROR(__xludf.DUMMYFUNCTION("""COMPUTED_VALUE"""),"15")</f>
        <v>15</v>
      </c>
      <c r="J3708" s="115" t="str">
        <f>IFERROR(__xludf.DUMMYFUNCTION("""COMPUTED_VALUE"""),"Amit Kumar Pathak2025-09-0715")</f>
        <v>Amit Kumar Pathak2025-09-0715</v>
      </c>
      <c r="K3708" s="115">
        <f>IFERROR(__xludf.DUMMYFUNCTION("""COMPUTED_VALUE"""),22710.0)</f>
        <v>22710</v>
      </c>
    </row>
    <row r="3709">
      <c r="A3709" s="115" t="str">
        <f>IFERROR(__xludf.DUMMYFUNCTION("""COMPUTED_VALUE"""),"NORTH")</f>
        <v>NORTH</v>
      </c>
      <c r="B3709" s="115" t="str">
        <f>IFERROR(__xludf.DUMMYFUNCTION("""COMPUTED_VALUE"""),"Loveleen Singh")</f>
        <v>Loveleen Singh</v>
      </c>
      <c r="C3709" s="115" t="str">
        <f>IFERROR(__xludf.DUMMYFUNCTION("""COMPUTED_VALUE"""),"EXTERNAL")</f>
        <v>EXTERNAL</v>
      </c>
      <c r="D3709" s="115">
        <f>IFERROR(__xludf.DUMMYFUNCTION("""COMPUTED_VALUE"""),29236.0)</f>
        <v>29236</v>
      </c>
      <c r="E3709" s="115">
        <f>IFERROR(__xludf.DUMMYFUNCTION("""COMPUTED_VALUE"""),2044.0)</f>
        <v>2044</v>
      </c>
      <c r="F3709" s="115">
        <f>IFERROR(__xludf.DUMMYFUNCTION("""COMPUTED_VALUE"""),7914.0)</f>
        <v>7914</v>
      </c>
      <c r="G3709" s="115">
        <f>IFERROR(__xludf.DUMMYFUNCTION("""COMPUTED_VALUE"""),327.0)</f>
        <v>327</v>
      </c>
      <c r="H3709" s="116">
        <f>IFERROR(__xludf.DUMMYFUNCTION("""COMPUTED_VALUE"""),45907.0)</f>
        <v>45907</v>
      </c>
      <c r="I3709" s="115" t="str">
        <f>IFERROR(__xludf.DUMMYFUNCTION("""COMPUTED_VALUE"""),"15")</f>
        <v>15</v>
      </c>
      <c r="J3709" s="115" t="str">
        <f>IFERROR(__xludf.DUMMYFUNCTION("""COMPUTED_VALUE"""),"Loveleen Singh2025-09-0715")</f>
        <v>Loveleen Singh2025-09-0715</v>
      </c>
      <c r="K3709" s="115">
        <f>IFERROR(__xludf.DUMMYFUNCTION("""COMPUTED_VALUE"""),31280.0)</f>
        <v>31280</v>
      </c>
    </row>
    <row r="3710">
      <c r="A3710" s="115" t="str">
        <f>IFERROR(__xludf.DUMMYFUNCTION("""COMPUTED_VALUE"""),"NORTH")</f>
        <v>NORTH</v>
      </c>
      <c r="B3710" s="115" t="str">
        <f>IFERROR(__xludf.DUMMYFUNCTION("""COMPUTED_VALUE"""),"Loveleen Singh")</f>
        <v>Loveleen Singh</v>
      </c>
      <c r="C3710" s="115" t="str">
        <f>IFERROR(__xludf.DUMMYFUNCTION("""COMPUTED_VALUE"""),"FLIPKART")</f>
        <v>FLIPKART</v>
      </c>
      <c r="D3710" s="115">
        <f>IFERROR(__xludf.DUMMYFUNCTION("""COMPUTED_VALUE"""),143613.0)</f>
        <v>143613</v>
      </c>
      <c r="E3710" s="115">
        <f>IFERROR(__xludf.DUMMYFUNCTION("""COMPUTED_VALUE"""),14399.0)</f>
        <v>14399</v>
      </c>
      <c r="F3710" s="115">
        <f>IFERROR(__xludf.DUMMYFUNCTION("""COMPUTED_VALUE"""),77498.0)</f>
        <v>77498</v>
      </c>
      <c r="G3710" s="115">
        <f>IFERROR(__xludf.DUMMYFUNCTION("""COMPUTED_VALUE"""),4236.0)</f>
        <v>4236</v>
      </c>
      <c r="H3710" s="116">
        <f>IFERROR(__xludf.DUMMYFUNCTION("""COMPUTED_VALUE"""),45907.0)</f>
        <v>45907</v>
      </c>
      <c r="I3710" s="115" t="str">
        <f>IFERROR(__xludf.DUMMYFUNCTION("""COMPUTED_VALUE"""),"15")</f>
        <v>15</v>
      </c>
      <c r="J3710" s="115" t="str">
        <f>IFERROR(__xludf.DUMMYFUNCTION("""COMPUTED_VALUE"""),"Loveleen Singh2025-09-0715")</f>
        <v>Loveleen Singh2025-09-0715</v>
      </c>
      <c r="K3710" s="115">
        <f>IFERROR(__xludf.DUMMYFUNCTION("""COMPUTED_VALUE"""),158012.0)</f>
        <v>158012</v>
      </c>
    </row>
    <row r="3711">
      <c r="A3711" s="115" t="str">
        <f>IFERROR(__xludf.DUMMYFUNCTION("""COMPUTED_VALUE"""),"NORTH")</f>
        <v>NORTH</v>
      </c>
      <c r="B3711" s="115" t="str">
        <f>IFERROR(__xludf.DUMMYFUNCTION("""COMPUTED_VALUE"""),"Loveleen Singh")</f>
        <v>Loveleen Singh</v>
      </c>
      <c r="C3711" s="115" t="str">
        <f>IFERROR(__xludf.DUMMYFUNCTION("""COMPUTED_VALUE"""),"MYNTRA")</f>
        <v>MYNTRA</v>
      </c>
      <c r="D3711" s="115">
        <f>IFERROR(__xludf.DUMMYFUNCTION("""COMPUTED_VALUE"""),24156.0)</f>
        <v>24156</v>
      </c>
      <c r="E3711" s="115">
        <f>IFERROR(__xludf.DUMMYFUNCTION("""COMPUTED_VALUE"""),5618.0)</f>
        <v>5618</v>
      </c>
      <c r="F3711" s="115">
        <f>IFERROR(__xludf.DUMMYFUNCTION("""COMPUTED_VALUE"""),14932.0)</f>
        <v>14932</v>
      </c>
      <c r="G3711" s="115">
        <f>IFERROR(__xludf.DUMMYFUNCTION("""COMPUTED_VALUE"""),1926.0)</f>
        <v>1926</v>
      </c>
      <c r="H3711" s="116">
        <f>IFERROR(__xludf.DUMMYFUNCTION("""COMPUTED_VALUE"""),45907.0)</f>
        <v>45907</v>
      </c>
      <c r="I3711" s="115" t="str">
        <f>IFERROR(__xludf.DUMMYFUNCTION("""COMPUTED_VALUE"""),"15")</f>
        <v>15</v>
      </c>
      <c r="J3711" s="115" t="str">
        <f>IFERROR(__xludf.DUMMYFUNCTION("""COMPUTED_VALUE"""),"Loveleen Singh2025-09-0715")</f>
        <v>Loveleen Singh2025-09-0715</v>
      </c>
      <c r="K3711" s="115">
        <f>IFERROR(__xludf.DUMMYFUNCTION("""COMPUTED_VALUE"""),29774.0)</f>
        <v>29774</v>
      </c>
    </row>
    <row r="3712">
      <c r="A3712" s="115" t="str">
        <f>IFERROR(__xludf.DUMMYFUNCTION("""COMPUTED_VALUE"""),"NORTH")</f>
        <v>NORTH</v>
      </c>
      <c r="B3712" s="115" t="str">
        <f>IFERROR(__xludf.DUMMYFUNCTION("""COMPUTED_VALUE"""),"Manoj Harsh")</f>
        <v>Manoj Harsh</v>
      </c>
      <c r="C3712" s="115" t="str">
        <f>IFERROR(__xludf.DUMMYFUNCTION("""COMPUTED_VALUE"""),"EXTERNAL")</f>
        <v>EXTERNAL</v>
      </c>
      <c r="D3712" s="115">
        <f>IFERROR(__xludf.DUMMYFUNCTION("""COMPUTED_VALUE"""),36786.0)</f>
        <v>36786</v>
      </c>
      <c r="E3712" s="115">
        <f>IFERROR(__xludf.DUMMYFUNCTION("""COMPUTED_VALUE"""),2860.0)</f>
        <v>2860</v>
      </c>
      <c r="F3712" s="115">
        <f>IFERROR(__xludf.DUMMYFUNCTION("""COMPUTED_VALUE"""),11452.0)</f>
        <v>11452</v>
      </c>
      <c r="G3712" s="115">
        <f>IFERROR(__xludf.DUMMYFUNCTION("""COMPUTED_VALUE"""),402.0)</f>
        <v>402</v>
      </c>
      <c r="H3712" s="116">
        <f>IFERROR(__xludf.DUMMYFUNCTION("""COMPUTED_VALUE"""),45907.0)</f>
        <v>45907</v>
      </c>
      <c r="I3712" s="115" t="str">
        <f>IFERROR(__xludf.DUMMYFUNCTION("""COMPUTED_VALUE"""),"15")</f>
        <v>15</v>
      </c>
      <c r="J3712" s="115" t="str">
        <f>IFERROR(__xludf.DUMMYFUNCTION("""COMPUTED_VALUE"""),"Manoj Harsh2025-09-0715")</f>
        <v>Manoj Harsh2025-09-0715</v>
      </c>
      <c r="K3712" s="115">
        <f>IFERROR(__xludf.DUMMYFUNCTION("""COMPUTED_VALUE"""),39646.0)</f>
        <v>39646</v>
      </c>
    </row>
    <row r="3713">
      <c r="A3713" s="115" t="str">
        <f>IFERROR(__xludf.DUMMYFUNCTION("""COMPUTED_VALUE"""),"NORTH")</f>
        <v>NORTH</v>
      </c>
      <c r="B3713" s="115" t="str">
        <f>IFERROR(__xludf.DUMMYFUNCTION("""COMPUTED_VALUE"""),"Manoj Harsh")</f>
        <v>Manoj Harsh</v>
      </c>
      <c r="C3713" s="115" t="str">
        <f>IFERROR(__xludf.DUMMYFUNCTION("""COMPUTED_VALUE"""),"FLIPKART")</f>
        <v>FLIPKART</v>
      </c>
      <c r="D3713" s="115">
        <f>IFERROR(__xludf.DUMMYFUNCTION("""COMPUTED_VALUE"""),389105.0)</f>
        <v>389105</v>
      </c>
      <c r="E3713" s="115">
        <f>IFERROR(__xludf.DUMMYFUNCTION("""COMPUTED_VALUE"""),40694.0)</f>
        <v>40694</v>
      </c>
      <c r="F3713" s="115">
        <f>IFERROR(__xludf.DUMMYFUNCTION("""COMPUTED_VALUE"""),202601.0)</f>
        <v>202601</v>
      </c>
      <c r="G3713" s="115">
        <f>IFERROR(__xludf.DUMMYFUNCTION("""COMPUTED_VALUE"""),10030.0)</f>
        <v>10030</v>
      </c>
      <c r="H3713" s="116">
        <f>IFERROR(__xludf.DUMMYFUNCTION("""COMPUTED_VALUE"""),45907.0)</f>
        <v>45907</v>
      </c>
      <c r="I3713" s="115" t="str">
        <f>IFERROR(__xludf.DUMMYFUNCTION("""COMPUTED_VALUE"""),"15")</f>
        <v>15</v>
      </c>
      <c r="J3713" s="115" t="str">
        <f>IFERROR(__xludf.DUMMYFUNCTION("""COMPUTED_VALUE"""),"Manoj Harsh2025-09-0715")</f>
        <v>Manoj Harsh2025-09-0715</v>
      </c>
      <c r="K3713" s="115">
        <f>IFERROR(__xludf.DUMMYFUNCTION("""COMPUTED_VALUE"""),429799.0)</f>
        <v>429799</v>
      </c>
    </row>
    <row r="3714">
      <c r="A3714" s="115" t="str">
        <f>IFERROR(__xludf.DUMMYFUNCTION("""COMPUTED_VALUE"""),"NORTH")</f>
        <v>NORTH</v>
      </c>
      <c r="B3714" s="115" t="str">
        <f>IFERROR(__xludf.DUMMYFUNCTION("""COMPUTED_VALUE"""),"Manoj Harsh")</f>
        <v>Manoj Harsh</v>
      </c>
      <c r="C3714" s="115" t="str">
        <f>IFERROR(__xludf.DUMMYFUNCTION("""COMPUTED_VALUE"""),"MYNTRA")</f>
        <v>MYNTRA</v>
      </c>
      <c r="D3714" s="115">
        <f>IFERROR(__xludf.DUMMYFUNCTION("""COMPUTED_VALUE"""),37608.0)</f>
        <v>37608</v>
      </c>
      <c r="E3714" s="115">
        <f>IFERROR(__xludf.DUMMYFUNCTION("""COMPUTED_VALUE"""),7953.0)</f>
        <v>7953</v>
      </c>
      <c r="F3714" s="115">
        <f>IFERROR(__xludf.DUMMYFUNCTION("""COMPUTED_VALUE"""),22780.0)</f>
        <v>22780</v>
      </c>
      <c r="G3714" s="115">
        <f>IFERROR(__xludf.DUMMYFUNCTION("""COMPUTED_VALUE"""),2441.0)</f>
        <v>2441</v>
      </c>
      <c r="H3714" s="116">
        <f>IFERROR(__xludf.DUMMYFUNCTION("""COMPUTED_VALUE"""),45907.0)</f>
        <v>45907</v>
      </c>
      <c r="I3714" s="115" t="str">
        <f>IFERROR(__xludf.DUMMYFUNCTION("""COMPUTED_VALUE"""),"15")</f>
        <v>15</v>
      </c>
      <c r="J3714" s="115" t="str">
        <f>IFERROR(__xludf.DUMMYFUNCTION("""COMPUTED_VALUE"""),"Manoj Harsh2025-09-0715")</f>
        <v>Manoj Harsh2025-09-0715</v>
      </c>
      <c r="K3714" s="115">
        <f>IFERROR(__xludf.DUMMYFUNCTION("""COMPUTED_VALUE"""),45561.0)</f>
        <v>45561</v>
      </c>
    </row>
    <row r="3715">
      <c r="A3715" s="115" t="str">
        <f>IFERROR(__xludf.DUMMYFUNCTION("""COMPUTED_VALUE"""),"NORTH")</f>
        <v>NORTH</v>
      </c>
      <c r="B3715" s="115" t="str">
        <f>IFERROR(__xludf.DUMMYFUNCTION("""COMPUTED_VALUE"""),"Pradeep Kothari")</f>
        <v>Pradeep Kothari</v>
      </c>
      <c r="C3715" s="115" t="str">
        <f>IFERROR(__xludf.DUMMYFUNCTION("""COMPUTED_VALUE"""),"EXTERNAL")</f>
        <v>EXTERNAL</v>
      </c>
      <c r="D3715" s="115">
        <f>IFERROR(__xludf.DUMMYFUNCTION("""COMPUTED_VALUE"""),19696.0)</f>
        <v>19696</v>
      </c>
      <c r="E3715" s="115">
        <f>IFERROR(__xludf.DUMMYFUNCTION("""COMPUTED_VALUE"""),1640.0)</f>
        <v>1640</v>
      </c>
      <c r="F3715" s="115">
        <f>IFERROR(__xludf.DUMMYFUNCTION("""COMPUTED_VALUE"""),6249.0)</f>
        <v>6249</v>
      </c>
      <c r="G3715" s="115">
        <f>IFERROR(__xludf.DUMMYFUNCTION("""COMPUTED_VALUE"""),407.0)</f>
        <v>407</v>
      </c>
      <c r="H3715" s="116">
        <f>IFERROR(__xludf.DUMMYFUNCTION("""COMPUTED_VALUE"""),45907.0)</f>
        <v>45907</v>
      </c>
      <c r="I3715" s="115" t="str">
        <f>IFERROR(__xludf.DUMMYFUNCTION("""COMPUTED_VALUE"""),"15")</f>
        <v>15</v>
      </c>
      <c r="J3715" s="115" t="str">
        <f>IFERROR(__xludf.DUMMYFUNCTION("""COMPUTED_VALUE"""),"Pradeep Kothari2025-09-0715")</f>
        <v>Pradeep Kothari2025-09-0715</v>
      </c>
      <c r="K3715" s="115">
        <f>IFERROR(__xludf.DUMMYFUNCTION("""COMPUTED_VALUE"""),21336.0)</f>
        <v>21336</v>
      </c>
    </row>
    <row r="3716">
      <c r="A3716" s="115" t="str">
        <f>IFERROR(__xludf.DUMMYFUNCTION("""COMPUTED_VALUE"""),"NORTH")</f>
        <v>NORTH</v>
      </c>
      <c r="B3716" s="115" t="str">
        <f>IFERROR(__xludf.DUMMYFUNCTION("""COMPUTED_VALUE"""),"Pradeep Kothari")</f>
        <v>Pradeep Kothari</v>
      </c>
      <c r="C3716" s="115" t="str">
        <f>IFERROR(__xludf.DUMMYFUNCTION("""COMPUTED_VALUE"""),"FLIPKART")</f>
        <v>FLIPKART</v>
      </c>
      <c r="D3716" s="115">
        <f>IFERROR(__xludf.DUMMYFUNCTION("""COMPUTED_VALUE"""),131652.0)</f>
        <v>131652</v>
      </c>
      <c r="E3716" s="115">
        <f>IFERROR(__xludf.DUMMYFUNCTION("""COMPUTED_VALUE"""),15892.0)</f>
        <v>15892</v>
      </c>
      <c r="F3716" s="115">
        <f>IFERROR(__xludf.DUMMYFUNCTION("""COMPUTED_VALUE"""),78045.0)</f>
        <v>78045</v>
      </c>
      <c r="G3716" s="115">
        <f>IFERROR(__xludf.DUMMYFUNCTION("""COMPUTED_VALUE"""),5956.0)</f>
        <v>5956</v>
      </c>
      <c r="H3716" s="116">
        <f>IFERROR(__xludf.DUMMYFUNCTION("""COMPUTED_VALUE"""),45907.0)</f>
        <v>45907</v>
      </c>
      <c r="I3716" s="115" t="str">
        <f>IFERROR(__xludf.DUMMYFUNCTION("""COMPUTED_VALUE"""),"15")</f>
        <v>15</v>
      </c>
      <c r="J3716" s="115" t="str">
        <f>IFERROR(__xludf.DUMMYFUNCTION("""COMPUTED_VALUE"""),"Pradeep Kothari2025-09-0715")</f>
        <v>Pradeep Kothari2025-09-0715</v>
      </c>
      <c r="K3716" s="115">
        <f>IFERROR(__xludf.DUMMYFUNCTION("""COMPUTED_VALUE"""),147544.0)</f>
        <v>147544</v>
      </c>
    </row>
    <row r="3717">
      <c r="A3717" s="115" t="str">
        <f>IFERROR(__xludf.DUMMYFUNCTION("""COMPUTED_VALUE"""),"NORTH")</f>
        <v>NORTH</v>
      </c>
      <c r="B3717" s="115" t="str">
        <f>IFERROR(__xludf.DUMMYFUNCTION("""COMPUTED_VALUE"""),"Pradeep Kothari")</f>
        <v>Pradeep Kothari</v>
      </c>
      <c r="C3717" s="115" t="str">
        <f>IFERROR(__xludf.DUMMYFUNCTION("""COMPUTED_VALUE"""),"MYNTRA")</f>
        <v>MYNTRA</v>
      </c>
      <c r="D3717" s="115">
        <f>IFERROR(__xludf.DUMMYFUNCTION("""COMPUTED_VALUE"""),25190.0)</f>
        <v>25190</v>
      </c>
      <c r="E3717" s="115">
        <f>IFERROR(__xludf.DUMMYFUNCTION("""COMPUTED_VALUE"""),6139.0)</f>
        <v>6139</v>
      </c>
      <c r="F3717" s="115">
        <f>IFERROR(__xludf.DUMMYFUNCTION("""COMPUTED_VALUE"""),17404.0)</f>
        <v>17404</v>
      </c>
      <c r="G3717" s="115">
        <f>IFERROR(__xludf.DUMMYFUNCTION("""COMPUTED_VALUE"""),2625.0)</f>
        <v>2625</v>
      </c>
      <c r="H3717" s="116">
        <f>IFERROR(__xludf.DUMMYFUNCTION("""COMPUTED_VALUE"""),45907.0)</f>
        <v>45907</v>
      </c>
      <c r="I3717" s="115" t="str">
        <f>IFERROR(__xludf.DUMMYFUNCTION("""COMPUTED_VALUE"""),"15")</f>
        <v>15</v>
      </c>
      <c r="J3717" s="115" t="str">
        <f>IFERROR(__xludf.DUMMYFUNCTION("""COMPUTED_VALUE"""),"Pradeep Kothari2025-09-0715")</f>
        <v>Pradeep Kothari2025-09-0715</v>
      </c>
      <c r="K3717" s="115">
        <f>IFERROR(__xludf.DUMMYFUNCTION("""COMPUTED_VALUE"""),31329.0)</f>
        <v>31329</v>
      </c>
    </row>
    <row r="3718">
      <c r="A3718" s="115" t="str">
        <f>IFERROR(__xludf.DUMMYFUNCTION("""COMPUTED_VALUE"""),"SOUTH")</f>
        <v>SOUTH</v>
      </c>
      <c r="B3718" s="115" t="str">
        <f>IFERROR(__xludf.DUMMYFUNCTION("""COMPUTED_VALUE"""),"Kandula Sampath")</f>
        <v>Kandula Sampath</v>
      </c>
      <c r="C3718" s="115" t="str">
        <f>IFERROR(__xludf.DUMMYFUNCTION("""COMPUTED_VALUE"""),"EXTERNAL")</f>
        <v>EXTERNAL</v>
      </c>
      <c r="D3718" s="115">
        <f>IFERROR(__xludf.DUMMYFUNCTION("""COMPUTED_VALUE"""),33444.0)</f>
        <v>33444</v>
      </c>
      <c r="E3718" s="115">
        <f>IFERROR(__xludf.DUMMYFUNCTION("""COMPUTED_VALUE"""),3205.0)</f>
        <v>3205</v>
      </c>
      <c r="F3718" s="115">
        <f>IFERROR(__xludf.DUMMYFUNCTION("""COMPUTED_VALUE"""),10156.0)</f>
        <v>10156</v>
      </c>
      <c r="G3718" s="115">
        <f>IFERROR(__xludf.DUMMYFUNCTION("""COMPUTED_VALUE"""),414.0)</f>
        <v>414</v>
      </c>
      <c r="H3718" s="116">
        <f>IFERROR(__xludf.DUMMYFUNCTION("""COMPUTED_VALUE"""),45907.0)</f>
        <v>45907</v>
      </c>
      <c r="I3718" s="115" t="str">
        <f>IFERROR(__xludf.DUMMYFUNCTION("""COMPUTED_VALUE"""),"15")</f>
        <v>15</v>
      </c>
      <c r="J3718" s="115" t="str">
        <f>IFERROR(__xludf.DUMMYFUNCTION("""COMPUTED_VALUE"""),"Kandula Sampath2025-09-0715")</f>
        <v>Kandula Sampath2025-09-0715</v>
      </c>
      <c r="K3718" s="115">
        <f>IFERROR(__xludf.DUMMYFUNCTION("""COMPUTED_VALUE"""),36649.0)</f>
        <v>36649</v>
      </c>
    </row>
    <row r="3719">
      <c r="A3719" s="115" t="str">
        <f>IFERROR(__xludf.DUMMYFUNCTION("""COMPUTED_VALUE"""),"SOUTH")</f>
        <v>SOUTH</v>
      </c>
      <c r="B3719" s="115" t="str">
        <f>IFERROR(__xludf.DUMMYFUNCTION("""COMPUTED_VALUE"""),"Kandula Sampath")</f>
        <v>Kandula Sampath</v>
      </c>
      <c r="C3719" s="115" t="str">
        <f>IFERROR(__xludf.DUMMYFUNCTION("""COMPUTED_VALUE"""),"FLIPKART")</f>
        <v>FLIPKART</v>
      </c>
      <c r="D3719" s="115">
        <f>IFERROR(__xludf.DUMMYFUNCTION("""COMPUTED_VALUE"""),312890.0)</f>
        <v>312890</v>
      </c>
      <c r="E3719" s="115">
        <f>IFERROR(__xludf.DUMMYFUNCTION("""COMPUTED_VALUE"""),25750.0)</f>
        <v>25750</v>
      </c>
      <c r="F3719" s="115">
        <f>IFERROR(__xludf.DUMMYFUNCTION("""COMPUTED_VALUE"""),163873.0)</f>
        <v>163873</v>
      </c>
      <c r="G3719" s="115">
        <f>IFERROR(__xludf.DUMMYFUNCTION("""COMPUTED_VALUE"""),5730.0)</f>
        <v>5730</v>
      </c>
      <c r="H3719" s="116">
        <f>IFERROR(__xludf.DUMMYFUNCTION("""COMPUTED_VALUE"""),45907.0)</f>
        <v>45907</v>
      </c>
      <c r="I3719" s="115" t="str">
        <f>IFERROR(__xludf.DUMMYFUNCTION("""COMPUTED_VALUE"""),"15")</f>
        <v>15</v>
      </c>
      <c r="J3719" s="115" t="str">
        <f>IFERROR(__xludf.DUMMYFUNCTION("""COMPUTED_VALUE"""),"Kandula Sampath2025-09-0715")</f>
        <v>Kandula Sampath2025-09-0715</v>
      </c>
      <c r="K3719" s="115">
        <f>IFERROR(__xludf.DUMMYFUNCTION("""COMPUTED_VALUE"""),338640.0)</f>
        <v>338640</v>
      </c>
    </row>
    <row r="3720">
      <c r="A3720" s="115" t="str">
        <f>IFERROR(__xludf.DUMMYFUNCTION("""COMPUTED_VALUE"""),"SOUTH")</f>
        <v>SOUTH</v>
      </c>
      <c r="B3720" s="115" t="str">
        <f>IFERROR(__xludf.DUMMYFUNCTION("""COMPUTED_VALUE"""),"Kandula Sampath")</f>
        <v>Kandula Sampath</v>
      </c>
      <c r="C3720" s="115" t="str">
        <f>IFERROR(__xludf.DUMMYFUNCTION("""COMPUTED_VALUE"""),"MYNTRA")</f>
        <v>MYNTRA</v>
      </c>
      <c r="D3720" s="115">
        <f>IFERROR(__xludf.DUMMYFUNCTION("""COMPUTED_VALUE"""),36851.0)</f>
        <v>36851</v>
      </c>
      <c r="E3720" s="115">
        <f>IFERROR(__xludf.DUMMYFUNCTION("""COMPUTED_VALUE"""),7167.0)</f>
        <v>7167</v>
      </c>
      <c r="F3720" s="115">
        <f>IFERROR(__xludf.DUMMYFUNCTION("""COMPUTED_VALUE"""),22004.0)</f>
        <v>22004</v>
      </c>
      <c r="G3720" s="115">
        <f>IFERROR(__xludf.DUMMYFUNCTION("""COMPUTED_VALUE"""),1695.0)</f>
        <v>1695</v>
      </c>
      <c r="H3720" s="116">
        <f>IFERROR(__xludf.DUMMYFUNCTION("""COMPUTED_VALUE"""),45907.0)</f>
        <v>45907</v>
      </c>
      <c r="I3720" s="115" t="str">
        <f>IFERROR(__xludf.DUMMYFUNCTION("""COMPUTED_VALUE"""),"15")</f>
        <v>15</v>
      </c>
      <c r="J3720" s="115" t="str">
        <f>IFERROR(__xludf.DUMMYFUNCTION("""COMPUTED_VALUE"""),"Kandula Sampath2025-09-0715")</f>
        <v>Kandula Sampath2025-09-0715</v>
      </c>
      <c r="K3720" s="115">
        <f>IFERROR(__xludf.DUMMYFUNCTION("""COMPUTED_VALUE"""),44018.0)</f>
        <v>44018</v>
      </c>
    </row>
    <row r="3721">
      <c r="A3721" s="115" t="str">
        <f>IFERROR(__xludf.DUMMYFUNCTION("""COMPUTED_VALUE"""),"SOUTH")</f>
        <v>SOUTH</v>
      </c>
      <c r="B3721" s="115" t="str">
        <f>IFERROR(__xludf.DUMMYFUNCTION("""COMPUTED_VALUE"""),"Martin A")</f>
        <v>Martin A</v>
      </c>
      <c r="C3721" s="115" t="str">
        <f>IFERROR(__xludf.DUMMYFUNCTION("""COMPUTED_VALUE"""),"EXTERNAL")</f>
        <v>EXTERNAL</v>
      </c>
      <c r="D3721" s="115">
        <f>IFERROR(__xludf.DUMMYFUNCTION("""COMPUTED_VALUE"""),31051.0)</f>
        <v>31051</v>
      </c>
      <c r="E3721" s="115">
        <f>IFERROR(__xludf.DUMMYFUNCTION("""COMPUTED_VALUE"""),3463.0)</f>
        <v>3463</v>
      </c>
      <c r="F3721" s="115">
        <f>IFERROR(__xludf.DUMMYFUNCTION("""COMPUTED_VALUE"""),10163.0)</f>
        <v>10163</v>
      </c>
      <c r="G3721" s="115">
        <f>IFERROR(__xludf.DUMMYFUNCTION("""COMPUTED_VALUE"""),899.0)</f>
        <v>899</v>
      </c>
      <c r="H3721" s="116">
        <f>IFERROR(__xludf.DUMMYFUNCTION("""COMPUTED_VALUE"""),45907.0)</f>
        <v>45907</v>
      </c>
      <c r="I3721" s="115" t="str">
        <f>IFERROR(__xludf.DUMMYFUNCTION("""COMPUTED_VALUE"""),"15")</f>
        <v>15</v>
      </c>
      <c r="J3721" s="115" t="str">
        <f>IFERROR(__xludf.DUMMYFUNCTION("""COMPUTED_VALUE"""),"Martin A2025-09-0715")</f>
        <v>Martin A2025-09-0715</v>
      </c>
      <c r="K3721" s="115">
        <f>IFERROR(__xludf.DUMMYFUNCTION("""COMPUTED_VALUE"""),34514.0)</f>
        <v>34514</v>
      </c>
    </row>
    <row r="3722">
      <c r="A3722" s="115" t="str">
        <f>IFERROR(__xludf.DUMMYFUNCTION("""COMPUTED_VALUE"""),"SOUTH")</f>
        <v>SOUTH</v>
      </c>
      <c r="B3722" s="115" t="str">
        <f>IFERROR(__xludf.DUMMYFUNCTION("""COMPUTED_VALUE"""),"Martin A")</f>
        <v>Martin A</v>
      </c>
      <c r="C3722" s="115" t="str">
        <f>IFERROR(__xludf.DUMMYFUNCTION("""COMPUTED_VALUE"""),"FLIPKART")</f>
        <v>FLIPKART</v>
      </c>
      <c r="D3722" s="115">
        <f>IFERROR(__xludf.DUMMYFUNCTION("""COMPUTED_VALUE"""),258899.0)</f>
        <v>258899</v>
      </c>
      <c r="E3722" s="115">
        <f>IFERROR(__xludf.DUMMYFUNCTION("""COMPUTED_VALUE"""),24364.0)</f>
        <v>24364</v>
      </c>
      <c r="F3722" s="115">
        <f>IFERROR(__xludf.DUMMYFUNCTION("""COMPUTED_VALUE"""),145020.0)</f>
        <v>145020</v>
      </c>
      <c r="G3722" s="115">
        <f>IFERROR(__xludf.DUMMYFUNCTION("""COMPUTED_VALUE"""),7048.0)</f>
        <v>7048</v>
      </c>
      <c r="H3722" s="116">
        <f>IFERROR(__xludf.DUMMYFUNCTION("""COMPUTED_VALUE"""),45907.0)</f>
        <v>45907</v>
      </c>
      <c r="I3722" s="115" t="str">
        <f>IFERROR(__xludf.DUMMYFUNCTION("""COMPUTED_VALUE"""),"15")</f>
        <v>15</v>
      </c>
      <c r="J3722" s="115" t="str">
        <f>IFERROR(__xludf.DUMMYFUNCTION("""COMPUTED_VALUE"""),"Martin A2025-09-0715")</f>
        <v>Martin A2025-09-0715</v>
      </c>
      <c r="K3722" s="115">
        <f>IFERROR(__xludf.DUMMYFUNCTION("""COMPUTED_VALUE"""),283263.0)</f>
        <v>283263</v>
      </c>
    </row>
    <row r="3723">
      <c r="A3723" s="115" t="str">
        <f>IFERROR(__xludf.DUMMYFUNCTION("""COMPUTED_VALUE"""),"SOUTH")</f>
        <v>SOUTH</v>
      </c>
      <c r="B3723" s="115" t="str">
        <f>IFERROR(__xludf.DUMMYFUNCTION("""COMPUTED_VALUE"""),"Martin A")</f>
        <v>Martin A</v>
      </c>
      <c r="C3723" s="115" t="str">
        <f>IFERROR(__xludf.DUMMYFUNCTION("""COMPUTED_VALUE"""),"MYNTRA")</f>
        <v>MYNTRA</v>
      </c>
      <c r="D3723" s="115">
        <f>IFERROR(__xludf.DUMMYFUNCTION("""COMPUTED_VALUE"""),26136.0)</f>
        <v>26136</v>
      </c>
      <c r="E3723" s="115">
        <f>IFERROR(__xludf.DUMMYFUNCTION("""COMPUTED_VALUE"""),6180.0)</f>
        <v>6180</v>
      </c>
      <c r="F3723" s="115">
        <f>IFERROR(__xludf.DUMMYFUNCTION("""COMPUTED_VALUE"""),16962.0)</f>
        <v>16962</v>
      </c>
      <c r="G3723" s="115">
        <f>IFERROR(__xludf.DUMMYFUNCTION("""COMPUTED_VALUE"""),2014.0)</f>
        <v>2014</v>
      </c>
      <c r="H3723" s="116">
        <f>IFERROR(__xludf.DUMMYFUNCTION("""COMPUTED_VALUE"""),45907.0)</f>
        <v>45907</v>
      </c>
      <c r="I3723" s="115" t="str">
        <f>IFERROR(__xludf.DUMMYFUNCTION("""COMPUTED_VALUE"""),"15")</f>
        <v>15</v>
      </c>
      <c r="J3723" s="115" t="str">
        <f>IFERROR(__xludf.DUMMYFUNCTION("""COMPUTED_VALUE"""),"Martin A2025-09-0715")</f>
        <v>Martin A2025-09-0715</v>
      </c>
      <c r="K3723" s="115">
        <f>IFERROR(__xludf.DUMMYFUNCTION("""COMPUTED_VALUE"""),32316.0)</f>
        <v>32316</v>
      </c>
    </row>
    <row r="3724">
      <c r="A3724" s="115" t="str">
        <f>IFERROR(__xludf.DUMMYFUNCTION("""COMPUTED_VALUE"""),"SOUTH")</f>
        <v>SOUTH</v>
      </c>
      <c r="B3724" s="115" t="str">
        <f>IFERROR(__xludf.DUMMYFUNCTION("""COMPUTED_VALUE"""),"Premkumar M")</f>
        <v>Premkumar M</v>
      </c>
      <c r="C3724" s="115" t="str">
        <f>IFERROR(__xludf.DUMMYFUNCTION("""COMPUTED_VALUE"""),"EXTERNAL")</f>
        <v>EXTERNAL</v>
      </c>
      <c r="D3724" s="115">
        <f>IFERROR(__xludf.DUMMYFUNCTION("""COMPUTED_VALUE"""),26011.0)</f>
        <v>26011</v>
      </c>
      <c r="E3724" s="115">
        <f>IFERROR(__xludf.DUMMYFUNCTION("""COMPUTED_VALUE"""),1597.0)</f>
        <v>1597</v>
      </c>
      <c r="F3724" s="115">
        <f>IFERROR(__xludf.DUMMYFUNCTION("""COMPUTED_VALUE"""),7389.0)</f>
        <v>7389</v>
      </c>
      <c r="G3724" s="115">
        <f>IFERROR(__xludf.DUMMYFUNCTION("""COMPUTED_VALUE"""),116.0)</f>
        <v>116</v>
      </c>
      <c r="H3724" s="116">
        <f>IFERROR(__xludf.DUMMYFUNCTION("""COMPUTED_VALUE"""),45907.0)</f>
        <v>45907</v>
      </c>
      <c r="I3724" s="115" t="str">
        <f>IFERROR(__xludf.DUMMYFUNCTION("""COMPUTED_VALUE"""),"15")</f>
        <v>15</v>
      </c>
      <c r="J3724" s="115" t="str">
        <f>IFERROR(__xludf.DUMMYFUNCTION("""COMPUTED_VALUE"""),"Premkumar M2025-09-0715")</f>
        <v>Premkumar M2025-09-0715</v>
      </c>
      <c r="K3724" s="115">
        <f>IFERROR(__xludf.DUMMYFUNCTION("""COMPUTED_VALUE"""),27608.0)</f>
        <v>27608</v>
      </c>
    </row>
    <row r="3725">
      <c r="A3725" s="115" t="str">
        <f>IFERROR(__xludf.DUMMYFUNCTION("""COMPUTED_VALUE"""),"SOUTH")</f>
        <v>SOUTH</v>
      </c>
      <c r="B3725" s="115" t="str">
        <f>IFERROR(__xludf.DUMMYFUNCTION("""COMPUTED_VALUE"""),"Premkumar M")</f>
        <v>Premkumar M</v>
      </c>
      <c r="C3725" s="115" t="str">
        <f>IFERROR(__xludf.DUMMYFUNCTION("""COMPUTED_VALUE"""),"FLIPKART")</f>
        <v>FLIPKART</v>
      </c>
      <c r="D3725" s="115">
        <f>IFERROR(__xludf.DUMMYFUNCTION("""COMPUTED_VALUE"""),256343.0)</f>
        <v>256343</v>
      </c>
      <c r="E3725" s="115">
        <f>IFERROR(__xludf.DUMMYFUNCTION("""COMPUTED_VALUE"""),16023.0)</f>
        <v>16023</v>
      </c>
      <c r="F3725" s="115">
        <f>IFERROR(__xludf.DUMMYFUNCTION("""COMPUTED_VALUE"""),117378.0)</f>
        <v>117378</v>
      </c>
      <c r="G3725" s="115">
        <f>IFERROR(__xludf.DUMMYFUNCTION("""COMPUTED_VALUE"""),1861.0)</f>
        <v>1861</v>
      </c>
      <c r="H3725" s="116">
        <f>IFERROR(__xludf.DUMMYFUNCTION("""COMPUTED_VALUE"""),45907.0)</f>
        <v>45907</v>
      </c>
      <c r="I3725" s="115" t="str">
        <f>IFERROR(__xludf.DUMMYFUNCTION("""COMPUTED_VALUE"""),"15")</f>
        <v>15</v>
      </c>
      <c r="J3725" s="115" t="str">
        <f>IFERROR(__xludf.DUMMYFUNCTION("""COMPUTED_VALUE"""),"Premkumar M2025-09-0715")</f>
        <v>Premkumar M2025-09-0715</v>
      </c>
      <c r="K3725" s="115">
        <f>IFERROR(__xludf.DUMMYFUNCTION("""COMPUTED_VALUE"""),272366.0)</f>
        <v>272366</v>
      </c>
    </row>
    <row r="3726">
      <c r="A3726" s="115" t="str">
        <f>IFERROR(__xludf.DUMMYFUNCTION("""COMPUTED_VALUE"""),"SOUTH")</f>
        <v>SOUTH</v>
      </c>
      <c r="B3726" s="115" t="str">
        <f>IFERROR(__xludf.DUMMYFUNCTION("""COMPUTED_VALUE"""),"Premkumar M")</f>
        <v>Premkumar M</v>
      </c>
      <c r="C3726" s="115" t="str">
        <f>IFERROR(__xludf.DUMMYFUNCTION("""COMPUTED_VALUE"""),"MYNTRA")</f>
        <v>MYNTRA</v>
      </c>
      <c r="D3726" s="115">
        <f>IFERROR(__xludf.DUMMYFUNCTION("""COMPUTED_VALUE"""),14590.0)</f>
        <v>14590</v>
      </c>
      <c r="E3726" s="115">
        <f>IFERROR(__xludf.DUMMYFUNCTION("""COMPUTED_VALUE"""),2585.0)</f>
        <v>2585</v>
      </c>
      <c r="F3726" s="115">
        <f>IFERROR(__xludf.DUMMYFUNCTION("""COMPUTED_VALUE"""),7731.0)</f>
        <v>7731</v>
      </c>
      <c r="G3726" s="115">
        <f>IFERROR(__xludf.DUMMYFUNCTION("""COMPUTED_VALUE"""),344.0)</f>
        <v>344</v>
      </c>
      <c r="H3726" s="116">
        <f>IFERROR(__xludf.DUMMYFUNCTION("""COMPUTED_VALUE"""),45907.0)</f>
        <v>45907</v>
      </c>
      <c r="I3726" s="115" t="str">
        <f>IFERROR(__xludf.DUMMYFUNCTION("""COMPUTED_VALUE"""),"15")</f>
        <v>15</v>
      </c>
      <c r="J3726" s="115" t="str">
        <f>IFERROR(__xludf.DUMMYFUNCTION("""COMPUTED_VALUE"""),"Premkumar M2025-09-0715")</f>
        <v>Premkumar M2025-09-0715</v>
      </c>
      <c r="K3726" s="115">
        <f>IFERROR(__xludf.DUMMYFUNCTION("""COMPUTED_VALUE"""),17175.0)</f>
        <v>17175</v>
      </c>
    </row>
    <row r="3727">
      <c r="A3727" s="115" t="str">
        <f>IFERROR(__xludf.DUMMYFUNCTION("""COMPUTED_VALUE"""),"SOUTH")</f>
        <v>SOUTH</v>
      </c>
      <c r="B3727" s="115" t="str">
        <f>IFERROR(__xludf.DUMMYFUNCTION("""COMPUTED_VALUE"""),"Vineeth V")</f>
        <v>Vineeth V</v>
      </c>
      <c r="C3727" s="115" t="str">
        <f>IFERROR(__xludf.DUMMYFUNCTION("""COMPUTED_VALUE"""),"EXTERNAL")</f>
        <v>EXTERNAL</v>
      </c>
      <c r="D3727" s="115">
        <f>IFERROR(__xludf.DUMMYFUNCTION("""COMPUTED_VALUE"""),17895.0)</f>
        <v>17895</v>
      </c>
      <c r="E3727" s="115">
        <f>IFERROR(__xludf.DUMMYFUNCTION("""COMPUTED_VALUE"""),604.0)</f>
        <v>604</v>
      </c>
      <c r="F3727" s="115">
        <f>IFERROR(__xludf.DUMMYFUNCTION("""COMPUTED_VALUE"""),4700.0)</f>
        <v>4700</v>
      </c>
      <c r="G3727" s="115">
        <f>IFERROR(__xludf.DUMMYFUNCTION("""COMPUTED_VALUE"""),60.0)</f>
        <v>60</v>
      </c>
      <c r="H3727" s="116">
        <f>IFERROR(__xludf.DUMMYFUNCTION("""COMPUTED_VALUE"""),45907.0)</f>
        <v>45907</v>
      </c>
      <c r="I3727" s="115" t="str">
        <f>IFERROR(__xludf.DUMMYFUNCTION("""COMPUTED_VALUE"""),"15")</f>
        <v>15</v>
      </c>
      <c r="J3727" s="115" t="str">
        <f>IFERROR(__xludf.DUMMYFUNCTION("""COMPUTED_VALUE"""),"Vineeth V2025-09-0715")</f>
        <v>Vineeth V2025-09-0715</v>
      </c>
      <c r="K3727" s="115">
        <f>IFERROR(__xludf.DUMMYFUNCTION("""COMPUTED_VALUE"""),18499.0)</f>
        <v>18499</v>
      </c>
    </row>
    <row r="3728">
      <c r="A3728" s="115" t="str">
        <f>IFERROR(__xludf.DUMMYFUNCTION("""COMPUTED_VALUE"""),"SOUTH")</f>
        <v>SOUTH</v>
      </c>
      <c r="B3728" s="115" t="str">
        <f>IFERROR(__xludf.DUMMYFUNCTION("""COMPUTED_VALUE"""),"Vineeth V")</f>
        <v>Vineeth V</v>
      </c>
      <c r="C3728" s="115" t="str">
        <f>IFERROR(__xludf.DUMMYFUNCTION("""COMPUTED_VALUE"""),"FLIPKART")</f>
        <v>FLIPKART</v>
      </c>
      <c r="D3728" s="115">
        <f>IFERROR(__xludf.DUMMYFUNCTION("""COMPUTED_VALUE"""),222388.0)</f>
        <v>222388</v>
      </c>
      <c r="E3728" s="115">
        <f>IFERROR(__xludf.DUMMYFUNCTION("""COMPUTED_VALUE"""),14146.0)</f>
        <v>14146</v>
      </c>
      <c r="F3728" s="115">
        <f>IFERROR(__xludf.DUMMYFUNCTION("""COMPUTED_VALUE"""),92278.0)</f>
        <v>92278</v>
      </c>
      <c r="G3728" s="115">
        <f>IFERROR(__xludf.DUMMYFUNCTION("""COMPUTED_VALUE"""),911.0)</f>
        <v>911</v>
      </c>
      <c r="H3728" s="116">
        <f>IFERROR(__xludf.DUMMYFUNCTION("""COMPUTED_VALUE"""),45907.0)</f>
        <v>45907</v>
      </c>
      <c r="I3728" s="115" t="str">
        <f>IFERROR(__xludf.DUMMYFUNCTION("""COMPUTED_VALUE"""),"15")</f>
        <v>15</v>
      </c>
      <c r="J3728" s="115" t="str">
        <f>IFERROR(__xludf.DUMMYFUNCTION("""COMPUTED_VALUE"""),"Vineeth V2025-09-0715")</f>
        <v>Vineeth V2025-09-0715</v>
      </c>
      <c r="K3728" s="115">
        <f>IFERROR(__xludf.DUMMYFUNCTION("""COMPUTED_VALUE"""),236534.0)</f>
        <v>236534</v>
      </c>
    </row>
    <row r="3729">
      <c r="A3729" s="115" t="str">
        <f>IFERROR(__xludf.DUMMYFUNCTION("""COMPUTED_VALUE"""),"SOUTH")</f>
        <v>SOUTH</v>
      </c>
      <c r="B3729" s="115" t="str">
        <f>IFERROR(__xludf.DUMMYFUNCTION("""COMPUTED_VALUE"""),"Vineeth V")</f>
        <v>Vineeth V</v>
      </c>
      <c r="C3729" s="115" t="str">
        <f>IFERROR(__xludf.DUMMYFUNCTION("""COMPUTED_VALUE"""),"MYNTRA")</f>
        <v>MYNTRA</v>
      </c>
      <c r="D3729" s="115">
        <f>IFERROR(__xludf.DUMMYFUNCTION("""COMPUTED_VALUE"""),17641.0)</f>
        <v>17641</v>
      </c>
      <c r="E3729" s="115">
        <f>IFERROR(__xludf.DUMMYFUNCTION("""COMPUTED_VALUE"""),4126.0)</f>
        <v>4126</v>
      </c>
      <c r="F3729" s="115">
        <f>IFERROR(__xludf.DUMMYFUNCTION("""COMPUTED_VALUE"""),8274.0)</f>
        <v>8274</v>
      </c>
      <c r="G3729" s="115">
        <f>IFERROR(__xludf.DUMMYFUNCTION("""COMPUTED_VALUE"""),299.0)</f>
        <v>299</v>
      </c>
      <c r="H3729" s="116">
        <f>IFERROR(__xludf.DUMMYFUNCTION("""COMPUTED_VALUE"""),45907.0)</f>
        <v>45907</v>
      </c>
      <c r="I3729" s="115" t="str">
        <f>IFERROR(__xludf.DUMMYFUNCTION("""COMPUTED_VALUE"""),"15")</f>
        <v>15</v>
      </c>
      <c r="J3729" s="115" t="str">
        <f>IFERROR(__xludf.DUMMYFUNCTION("""COMPUTED_VALUE"""),"Vineeth V2025-09-0715")</f>
        <v>Vineeth V2025-09-0715</v>
      </c>
      <c r="K3729" s="115">
        <f>IFERROR(__xludf.DUMMYFUNCTION("""COMPUTED_VALUE"""),21767.0)</f>
        <v>21767</v>
      </c>
    </row>
    <row r="3730">
      <c r="A3730" s="115" t="str">
        <f>IFERROR(__xludf.DUMMYFUNCTION("""COMPUTED_VALUE"""),"WEST")</f>
        <v>WEST</v>
      </c>
      <c r="B3730" s="115" t="str">
        <f>IFERROR(__xludf.DUMMYFUNCTION("""COMPUTED_VALUE"""),"Ashish Jakar")</f>
        <v>Ashish Jakar</v>
      </c>
      <c r="C3730" s="115" t="str">
        <f>IFERROR(__xludf.DUMMYFUNCTION("""COMPUTED_VALUE"""),"EXTERNAL")</f>
        <v>EXTERNAL</v>
      </c>
      <c r="D3730" s="115">
        <f>IFERROR(__xludf.DUMMYFUNCTION("""COMPUTED_VALUE"""),53830.0)</f>
        <v>53830</v>
      </c>
      <c r="E3730" s="115">
        <f>IFERROR(__xludf.DUMMYFUNCTION("""COMPUTED_VALUE"""),5858.0)</f>
        <v>5858</v>
      </c>
      <c r="F3730" s="115">
        <f>IFERROR(__xludf.DUMMYFUNCTION("""COMPUTED_VALUE"""),15286.0)</f>
        <v>15286</v>
      </c>
      <c r="G3730" s="115">
        <f>IFERROR(__xludf.DUMMYFUNCTION("""COMPUTED_VALUE"""),1242.0)</f>
        <v>1242</v>
      </c>
      <c r="H3730" s="116">
        <f>IFERROR(__xludf.DUMMYFUNCTION("""COMPUTED_VALUE"""),45907.0)</f>
        <v>45907</v>
      </c>
      <c r="I3730" s="115" t="str">
        <f>IFERROR(__xludf.DUMMYFUNCTION("""COMPUTED_VALUE"""),"15")</f>
        <v>15</v>
      </c>
      <c r="J3730" s="115" t="str">
        <f>IFERROR(__xludf.DUMMYFUNCTION("""COMPUTED_VALUE"""),"Ashish Jakar2025-09-0715")</f>
        <v>Ashish Jakar2025-09-0715</v>
      </c>
      <c r="K3730" s="115">
        <f>IFERROR(__xludf.DUMMYFUNCTION("""COMPUTED_VALUE"""),59688.0)</f>
        <v>59688</v>
      </c>
    </row>
    <row r="3731">
      <c r="A3731" s="115" t="str">
        <f>IFERROR(__xludf.DUMMYFUNCTION("""COMPUTED_VALUE"""),"WEST")</f>
        <v>WEST</v>
      </c>
      <c r="B3731" s="115" t="str">
        <f>IFERROR(__xludf.DUMMYFUNCTION("""COMPUTED_VALUE"""),"Ashish Jakar")</f>
        <v>Ashish Jakar</v>
      </c>
      <c r="C3731" s="115" t="str">
        <f>IFERROR(__xludf.DUMMYFUNCTION("""COMPUTED_VALUE"""),"FLIPKART")</f>
        <v>FLIPKART</v>
      </c>
      <c r="D3731" s="115">
        <f>IFERROR(__xludf.DUMMYFUNCTION("""COMPUTED_VALUE"""),327815.0)</f>
        <v>327815</v>
      </c>
      <c r="E3731" s="115">
        <f>IFERROR(__xludf.DUMMYFUNCTION("""COMPUTED_VALUE"""),26854.0)</f>
        <v>26854</v>
      </c>
      <c r="F3731" s="115">
        <f>IFERROR(__xludf.DUMMYFUNCTION("""COMPUTED_VALUE"""),166225.0)</f>
        <v>166225</v>
      </c>
      <c r="G3731" s="115">
        <f>IFERROR(__xludf.DUMMYFUNCTION("""COMPUTED_VALUE"""),7090.0)</f>
        <v>7090</v>
      </c>
      <c r="H3731" s="116">
        <f>IFERROR(__xludf.DUMMYFUNCTION("""COMPUTED_VALUE"""),45907.0)</f>
        <v>45907</v>
      </c>
      <c r="I3731" s="115" t="str">
        <f>IFERROR(__xludf.DUMMYFUNCTION("""COMPUTED_VALUE"""),"15")</f>
        <v>15</v>
      </c>
      <c r="J3731" s="115" t="str">
        <f>IFERROR(__xludf.DUMMYFUNCTION("""COMPUTED_VALUE"""),"Ashish Jakar2025-09-0715")</f>
        <v>Ashish Jakar2025-09-0715</v>
      </c>
      <c r="K3731" s="115">
        <f>IFERROR(__xludf.DUMMYFUNCTION("""COMPUTED_VALUE"""),354669.0)</f>
        <v>354669</v>
      </c>
    </row>
    <row r="3732">
      <c r="A3732" s="115" t="str">
        <f>IFERROR(__xludf.DUMMYFUNCTION("""COMPUTED_VALUE"""),"WEST")</f>
        <v>WEST</v>
      </c>
      <c r="B3732" s="115" t="str">
        <f>IFERROR(__xludf.DUMMYFUNCTION("""COMPUTED_VALUE"""),"Ashish Jakar")</f>
        <v>Ashish Jakar</v>
      </c>
      <c r="C3732" s="115" t="str">
        <f>IFERROR(__xludf.DUMMYFUNCTION("""COMPUTED_VALUE"""),"MYNTRA")</f>
        <v>MYNTRA</v>
      </c>
      <c r="D3732" s="115">
        <f>IFERROR(__xludf.DUMMYFUNCTION("""COMPUTED_VALUE"""),41422.0)</f>
        <v>41422</v>
      </c>
      <c r="E3732" s="115">
        <f>IFERROR(__xludf.DUMMYFUNCTION("""COMPUTED_VALUE"""),9667.0)</f>
        <v>9667</v>
      </c>
      <c r="F3732" s="115">
        <f>IFERROR(__xludf.DUMMYFUNCTION("""COMPUTED_VALUE"""),24582.0)</f>
        <v>24582</v>
      </c>
      <c r="G3732" s="115">
        <f>IFERROR(__xludf.DUMMYFUNCTION("""COMPUTED_VALUE"""),2895.0)</f>
        <v>2895</v>
      </c>
      <c r="H3732" s="116">
        <f>IFERROR(__xludf.DUMMYFUNCTION("""COMPUTED_VALUE"""),45907.0)</f>
        <v>45907</v>
      </c>
      <c r="I3732" s="115" t="str">
        <f>IFERROR(__xludf.DUMMYFUNCTION("""COMPUTED_VALUE"""),"15")</f>
        <v>15</v>
      </c>
      <c r="J3732" s="115" t="str">
        <f>IFERROR(__xludf.DUMMYFUNCTION("""COMPUTED_VALUE"""),"Ashish Jakar2025-09-0715")</f>
        <v>Ashish Jakar2025-09-0715</v>
      </c>
      <c r="K3732" s="115">
        <f>IFERROR(__xludf.DUMMYFUNCTION("""COMPUTED_VALUE"""),51089.0)</f>
        <v>51089</v>
      </c>
    </row>
    <row r="3733">
      <c r="A3733" s="115" t="str">
        <f>IFERROR(__xludf.DUMMYFUNCTION("""COMPUTED_VALUE"""),"WEST")</f>
        <v>WEST</v>
      </c>
      <c r="B3733" s="115" t="str">
        <f>IFERROR(__xludf.DUMMYFUNCTION("""COMPUTED_VALUE"""),"Ashvani Bhatt")</f>
        <v>Ashvani Bhatt</v>
      </c>
      <c r="C3733" s="115" t="str">
        <f>IFERROR(__xludf.DUMMYFUNCTION("""COMPUTED_VALUE"""),"EXTERNAL")</f>
        <v>EXTERNAL</v>
      </c>
      <c r="D3733" s="115">
        <f>IFERROR(__xludf.DUMMYFUNCTION("""COMPUTED_VALUE"""),32610.0)</f>
        <v>32610</v>
      </c>
      <c r="E3733" s="115">
        <f>IFERROR(__xludf.DUMMYFUNCTION("""COMPUTED_VALUE"""),2514.0)</f>
        <v>2514</v>
      </c>
      <c r="F3733" s="115">
        <f>IFERROR(__xludf.DUMMYFUNCTION("""COMPUTED_VALUE"""),10097.0)</f>
        <v>10097</v>
      </c>
      <c r="G3733" s="115">
        <f>IFERROR(__xludf.DUMMYFUNCTION("""COMPUTED_VALUE"""),403.0)</f>
        <v>403</v>
      </c>
      <c r="H3733" s="116">
        <f>IFERROR(__xludf.DUMMYFUNCTION("""COMPUTED_VALUE"""),45907.0)</f>
        <v>45907</v>
      </c>
      <c r="I3733" s="115" t="str">
        <f>IFERROR(__xludf.DUMMYFUNCTION("""COMPUTED_VALUE"""),"15")</f>
        <v>15</v>
      </c>
      <c r="J3733" s="115" t="str">
        <f>IFERROR(__xludf.DUMMYFUNCTION("""COMPUTED_VALUE"""),"Ashvani Bhatt2025-09-0715")</f>
        <v>Ashvani Bhatt2025-09-0715</v>
      </c>
      <c r="K3733" s="115">
        <f>IFERROR(__xludf.DUMMYFUNCTION("""COMPUTED_VALUE"""),35124.0)</f>
        <v>35124</v>
      </c>
    </row>
    <row r="3734">
      <c r="A3734" s="115" t="str">
        <f>IFERROR(__xludf.DUMMYFUNCTION("""COMPUTED_VALUE"""),"WEST")</f>
        <v>WEST</v>
      </c>
      <c r="B3734" s="115" t="str">
        <f>IFERROR(__xludf.DUMMYFUNCTION("""COMPUTED_VALUE"""),"Ashvani Bhatt")</f>
        <v>Ashvani Bhatt</v>
      </c>
      <c r="C3734" s="115" t="str">
        <f>IFERROR(__xludf.DUMMYFUNCTION("""COMPUTED_VALUE"""),"FLIPKART")</f>
        <v>FLIPKART</v>
      </c>
      <c r="D3734" s="115">
        <f>IFERROR(__xludf.DUMMYFUNCTION("""COMPUTED_VALUE"""),235668.0)</f>
        <v>235668</v>
      </c>
      <c r="E3734" s="115">
        <f>IFERROR(__xludf.DUMMYFUNCTION("""COMPUTED_VALUE"""),23271.0)</f>
        <v>23271</v>
      </c>
      <c r="F3734" s="115">
        <f>IFERROR(__xludf.DUMMYFUNCTION("""COMPUTED_VALUE"""),128156.0)</f>
        <v>128156</v>
      </c>
      <c r="G3734" s="115">
        <f>IFERROR(__xludf.DUMMYFUNCTION("""COMPUTED_VALUE"""),6140.0)</f>
        <v>6140</v>
      </c>
      <c r="H3734" s="116">
        <f>IFERROR(__xludf.DUMMYFUNCTION("""COMPUTED_VALUE"""),45907.0)</f>
        <v>45907</v>
      </c>
      <c r="I3734" s="115" t="str">
        <f>IFERROR(__xludf.DUMMYFUNCTION("""COMPUTED_VALUE"""),"15")</f>
        <v>15</v>
      </c>
      <c r="J3734" s="115" t="str">
        <f>IFERROR(__xludf.DUMMYFUNCTION("""COMPUTED_VALUE"""),"Ashvani Bhatt2025-09-0715")</f>
        <v>Ashvani Bhatt2025-09-0715</v>
      </c>
      <c r="K3734" s="115">
        <f>IFERROR(__xludf.DUMMYFUNCTION("""COMPUTED_VALUE"""),258939.0)</f>
        <v>258939</v>
      </c>
    </row>
    <row r="3735">
      <c r="A3735" s="115" t="str">
        <f>IFERROR(__xludf.DUMMYFUNCTION("""COMPUTED_VALUE"""),"WEST")</f>
        <v>WEST</v>
      </c>
      <c r="B3735" s="115" t="str">
        <f>IFERROR(__xludf.DUMMYFUNCTION("""COMPUTED_VALUE"""),"Ashvani Bhatt")</f>
        <v>Ashvani Bhatt</v>
      </c>
      <c r="C3735" s="115" t="str">
        <f>IFERROR(__xludf.DUMMYFUNCTION("""COMPUTED_VALUE"""),"MYNTRA")</f>
        <v>MYNTRA</v>
      </c>
      <c r="D3735" s="115">
        <f>IFERROR(__xludf.DUMMYFUNCTION("""COMPUTED_VALUE"""),30609.0)</f>
        <v>30609</v>
      </c>
      <c r="E3735" s="115">
        <f>IFERROR(__xludf.DUMMYFUNCTION("""COMPUTED_VALUE"""),6920.0)</f>
        <v>6920</v>
      </c>
      <c r="F3735" s="115">
        <f>IFERROR(__xludf.DUMMYFUNCTION("""COMPUTED_VALUE"""),20030.0)</f>
        <v>20030</v>
      </c>
      <c r="G3735" s="115">
        <f>IFERROR(__xludf.DUMMYFUNCTION("""COMPUTED_VALUE"""),2219.0)</f>
        <v>2219</v>
      </c>
      <c r="H3735" s="116">
        <f>IFERROR(__xludf.DUMMYFUNCTION("""COMPUTED_VALUE"""),45907.0)</f>
        <v>45907</v>
      </c>
      <c r="I3735" s="115" t="str">
        <f>IFERROR(__xludf.DUMMYFUNCTION("""COMPUTED_VALUE"""),"15")</f>
        <v>15</v>
      </c>
      <c r="J3735" s="115" t="str">
        <f>IFERROR(__xludf.DUMMYFUNCTION("""COMPUTED_VALUE"""),"Ashvani Bhatt2025-09-0715")</f>
        <v>Ashvani Bhatt2025-09-0715</v>
      </c>
      <c r="K3735" s="115">
        <f>IFERROR(__xludf.DUMMYFUNCTION("""COMPUTED_VALUE"""),37529.0)</f>
        <v>37529</v>
      </c>
    </row>
    <row r="3736">
      <c r="A3736" s="115"/>
      <c r="B3736" s="115"/>
      <c r="C3736" s="115" t="str">
        <f>IFERROR(__xludf.DUMMYFUNCTION("""COMPUTED_VALUE"""),"EXTERNAL")</f>
        <v>EXTERNAL</v>
      </c>
      <c r="D3736" s="115">
        <f>IFERROR(__xludf.DUMMYFUNCTION("""COMPUTED_VALUE"""),1005.0)</f>
        <v>1005</v>
      </c>
      <c r="E3736" s="115">
        <f>IFERROR(__xludf.DUMMYFUNCTION("""COMPUTED_VALUE"""),110.0)</f>
        <v>110</v>
      </c>
      <c r="F3736" s="115">
        <f>IFERROR(__xludf.DUMMYFUNCTION("""COMPUTED_VALUE"""),269.0)</f>
        <v>269</v>
      </c>
      <c r="G3736" s="115">
        <f>IFERROR(__xludf.DUMMYFUNCTION("""COMPUTED_VALUE"""),58.0)</f>
        <v>58</v>
      </c>
      <c r="H3736" s="116">
        <f>IFERROR(__xludf.DUMMYFUNCTION("""COMPUTED_VALUE"""),45907.0)</f>
        <v>45907</v>
      </c>
      <c r="I3736" s="115" t="str">
        <f>IFERROR(__xludf.DUMMYFUNCTION("""COMPUTED_VALUE"""),"15")</f>
        <v>15</v>
      </c>
      <c r="J3736" s="115" t="str">
        <f>IFERROR(__xludf.DUMMYFUNCTION("""COMPUTED_VALUE"""),"2025-09-0715")</f>
        <v>2025-09-0715</v>
      </c>
      <c r="K3736" s="115">
        <f>IFERROR(__xludf.DUMMYFUNCTION("""COMPUTED_VALUE"""),1115.0)</f>
        <v>1115</v>
      </c>
    </row>
    <row r="3737">
      <c r="A3737" s="115"/>
      <c r="B3737" s="115"/>
      <c r="C3737" s="115" t="str">
        <f>IFERROR(__xludf.DUMMYFUNCTION("""COMPUTED_VALUE"""),"FLIPKART")</f>
        <v>FLIPKART</v>
      </c>
      <c r="D3737" s="115">
        <f>IFERROR(__xludf.DUMMYFUNCTION("""COMPUTED_VALUE"""),6387.0)</f>
        <v>6387</v>
      </c>
      <c r="E3737" s="115">
        <f>IFERROR(__xludf.DUMMYFUNCTION("""COMPUTED_VALUE"""),656.0)</f>
        <v>656</v>
      </c>
      <c r="F3737" s="115">
        <f>IFERROR(__xludf.DUMMYFUNCTION("""COMPUTED_VALUE"""),2507.0)</f>
        <v>2507</v>
      </c>
      <c r="G3737" s="115">
        <f>IFERROR(__xludf.DUMMYFUNCTION("""COMPUTED_VALUE"""),262.0)</f>
        <v>262</v>
      </c>
      <c r="H3737" s="116">
        <f>IFERROR(__xludf.DUMMYFUNCTION("""COMPUTED_VALUE"""),45907.0)</f>
        <v>45907</v>
      </c>
      <c r="I3737" s="115" t="str">
        <f>IFERROR(__xludf.DUMMYFUNCTION("""COMPUTED_VALUE"""),"15")</f>
        <v>15</v>
      </c>
      <c r="J3737" s="115" t="str">
        <f>IFERROR(__xludf.DUMMYFUNCTION("""COMPUTED_VALUE"""),"2025-09-0715")</f>
        <v>2025-09-0715</v>
      </c>
      <c r="K3737" s="115">
        <f>IFERROR(__xludf.DUMMYFUNCTION("""COMPUTED_VALUE"""),7043.0)</f>
        <v>7043</v>
      </c>
    </row>
    <row r="3738">
      <c r="A3738" s="115"/>
      <c r="B3738" s="115"/>
      <c r="C3738" s="115" t="str">
        <f>IFERROR(__xludf.DUMMYFUNCTION("""COMPUTED_VALUE"""),"MYNTRA")</f>
        <v>MYNTRA</v>
      </c>
      <c r="D3738" s="115">
        <f>IFERROR(__xludf.DUMMYFUNCTION("""COMPUTED_VALUE"""),1478.0)</f>
        <v>1478</v>
      </c>
      <c r="E3738" s="115">
        <f>IFERROR(__xludf.DUMMYFUNCTION("""COMPUTED_VALUE"""),351.0)</f>
        <v>351</v>
      </c>
      <c r="F3738" s="115">
        <f>IFERROR(__xludf.DUMMYFUNCTION("""COMPUTED_VALUE"""),762.0)</f>
        <v>762</v>
      </c>
      <c r="G3738" s="115">
        <f>IFERROR(__xludf.DUMMYFUNCTION("""COMPUTED_VALUE"""),130.0)</f>
        <v>130</v>
      </c>
      <c r="H3738" s="116">
        <f>IFERROR(__xludf.DUMMYFUNCTION("""COMPUTED_VALUE"""),45907.0)</f>
        <v>45907</v>
      </c>
      <c r="I3738" s="115" t="str">
        <f>IFERROR(__xludf.DUMMYFUNCTION("""COMPUTED_VALUE"""),"15")</f>
        <v>15</v>
      </c>
      <c r="J3738" s="115" t="str">
        <f>IFERROR(__xludf.DUMMYFUNCTION("""COMPUTED_VALUE"""),"2025-09-0715")</f>
        <v>2025-09-0715</v>
      </c>
      <c r="K3738" s="115">
        <f>IFERROR(__xludf.DUMMYFUNCTION("""COMPUTED_VALUE"""),1829.0)</f>
        <v>1829</v>
      </c>
    </row>
    <row r="3739">
      <c r="A3739" s="115" t="str">
        <f>IFERROR(__xludf.DUMMYFUNCTION("""COMPUTED_VALUE"""),"EAST")</f>
        <v>EAST</v>
      </c>
      <c r="B3739" s="115" t="str">
        <f>IFERROR(__xludf.DUMMYFUNCTION("""COMPUTED_VALUE"""),"Ashish Ranjan")</f>
        <v>Ashish Ranjan</v>
      </c>
      <c r="C3739" s="115" t="str">
        <f>IFERROR(__xludf.DUMMYFUNCTION("""COMPUTED_VALUE"""),"EXTERNAL")</f>
        <v>EXTERNAL</v>
      </c>
      <c r="D3739" s="115">
        <f>IFERROR(__xludf.DUMMYFUNCTION("""COMPUTED_VALUE"""),4222.0)</f>
        <v>4222</v>
      </c>
      <c r="E3739" s="115">
        <f>IFERROR(__xludf.DUMMYFUNCTION("""COMPUTED_VALUE"""),211.0)</f>
        <v>211</v>
      </c>
      <c r="F3739" s="115">
        <f>IFERROR(__xludf.DUMMYFUNCTION("""COMPUTED_VALUE"""),27.0)</f>
        <v>27</v>
      </c>
      <c r="G3739" s="115">
        <f>IFERROR(__xludf.DUMMYFUNCTION("""COMPUTED_VALUE"""),13.0)</f>
        <v>13</v>
      </c>
      <c r="H3739" s="116">
        <f>IFERROR(__xludf.DUMMYFUNCTION("""COMPUTED_VALUE"""),45908.0)</f>
        <v>45908</v>
      </c>
      <c r="I3739" s="115" t="str">
        <f>IFERROR(__xludf.DUMMYFUNCTION("""COMPUTED_VALUE"""),"08")</f>
        <v>08</v>
      </c>
      <c r="J3739" s="115" t="str">
        <f>IFERROR(__xludf.DUMMYFUNCTION("""COMPUTED_VALUE"""),"Ashish Ranjan2025-09-0808")</f>
        <v>Ashish Ranjan2025-09-0808</v>
      </c>
      <c r="K3739" s="115">
        <f>IFERROR(__xludf.DUMMYFUNCTION("""COMPUTED_VALUE"""),4433.0)</f>
        <v>4433</v>
      </c>
    </row>
    <row r="3740">
      <c r="A3740" s="115" t="str">
        <f>IFERROR(__xludf.DUMMYFUNCTION("""COMPUTED_VALUE"""),"EAST")</f>
        <v>EAST</v>
      </c>
      <c r="B3740" s="115" t="str">
        <f>IFERROR(__xludf.DUMMYFUNCTION("""COMPUTED_VALUE"""),"Ashish Ranjan")</f>
        <v>Ashish Ranjan</v>
      </c>
      <c r="C3740" s="115" t="str">
        <f>IFERROR(__xludf.DUMMYFUNCTION("""COMPUTED_VALUE"""),"FLIPKART")</f>
        <v>FLIPKART</v>
      </c>
      <c r="D3740" s="115">
        <f>IFERROR(__xludf.DUMMYFUNCTION("""COMPUTED_VALUE"""),70938.0)</f>
        <v>70938</v>
      </c>
      <c r="E3740" s="115">
        <f>IFERROR(__xludf.DUMMYFUNCTION("""COMPUTED_VALUE"""),5651.0)</f>
        <v>5651</v>
      </c>
      <c r="F3740" s="115">
        <f>IFERROR(__xludf.DUMMYFUNCTION("""COMPUTED_VALUE"""),693.0)</f>
        <v>693</v>
      </c>
      <c r="G3740" s="115">
        <f>IFERROR(__xludf.DUMMYFUNCTION("""COMPUTED_VALUE"""),62.0)</f>
        <v>62</v>
      </c>
      <c r="H3740" s="116">
        <f>IFERROR(__xludf.DUMMYFUNCTION("""COMPUTED_VALUE"""),45908.0)</f>
        <v>45908</v>
      </c>
      <c r="I3740" s="115" t="str">
        <f>IFERROR(__xludf.DUMMYFUNCTION("""COMPUTED_VALUE"""),"08")</f>
        <v>08</v>
      </c>
      <c r="J3740" s="115" t="str">
        <f>IFERROR(__xludf.DUMMYFUNCTION("""COMPUTED_VALUE"""),"Ashish Ranjan2025-09-0808")</f>
        <v>Ashish Ranjan2025-09-0808</v>
      </c>
      <c r="K3740" s="115">
        <f>IFERROR(__xludf.DUMMYFUNCTION("""COMPUTED_VALUE"""),76589.0)</f>
        <v>76589</v>
      </c>
    </row>
    <row r="3741">
      <c r="A3741" s="115" t="str">
        <f>IFERROR(__xludf.DUMMYFUNCTION("""COMPUTED_VALUE"""),"EAST")</f>
        <v>EAST</v>
      </c>
      <c r="B3741" s="115" t="str">
        <f>IFERROR(__xludf.DUMMYFUNCTION("""COMPUTED_VALUE"""),"Ashish Ranjan")</f>
        <v>Ashish Ranjan</v>
      </c>
      <c r="C3741" s="115" t="str">
        <f>IFERROR(__xludf.DUMMYFUNCTION("""COMPUTED_VALUE"""),"MYNTRA")</f>
        <v>MYNTRA</v>
      </c>
      <c r="D3741" s="115">
        <f>IFERROR(__xludf.DUMMYFUNCTION("""COMPUTED_VALUE"""),7407.0)</f>
        <v>7407</v>
      </c>
      <c r="E3741" s="115">
        <f>IFERROR(__xludf.DUMMYFUNCTION("""COMPUTED_VALUE"""),1394.0)</f>
        <v>1394</v>
      </c>
      <c r="F3741" s="115">
        <f>IFERROR(__xludf.DUMMYFUNCTION("""COMPUTED_VALUE"""),166.0)</f>
        <v>166</v>
      </c>
      <c r="G3741" s="115">
        <f>IFERROR(__xludf.DUMMYFUNCTION("""COMPUTED_VALUE"""),3.0)</f>
        <v>3</v>
      </c>
      <c r="H3741" s="116">
        <f>IFERROR(__xludf.DUMMYFUNCTION("""COMPUTED_VALUE"""),45908.0)</f>
        <v>45908</v>
      </c>
      <c r="I3741" s="115" t="str">
        <f>IFERROR(__xludf.DUMMYFUNCTION("""COMPUTED_VALUE"""),"08")</f>
        <v>08</v>
      </c>
      <c r="J3741" s="115" t="str">
        <f>IFERROR(__xludf.DUMMYFUNCTION("""COMPUTED_VALUE"""),"Ashish Ranjan2025-09-0808")</f>
        <v>Ashish Ranjan2025-09-0808</v>
      </c>
      <c r="K3741" s="115">
        <f>IFERROR(__xludf.DUMMYFUNCTION("""COMPUTED_VALUE"""),8801.0)</f>
        <v>8801</v>
      </c>
    </row>
    <row r="3742">
      <c r="A3742" s="115" t="str">
        <f>IFERROR(__xludf.DUMMYFUNCTION("""COMPUTED_VALUE"""),"EAST")</f>
        <v>EAST</v>
      </c>
      <c r="B3742" s="115" t="str">
        <f>IFERROR(__xludf.DUMMYFUNCTION("""COMPUTED_VALUE"""),"Girish Chand")</f>
        <v>Girish Chand</v>
      </c>
      <c r="C3742" s="115" t="str">
        <f>IFERROR(__xludf.DUMMYFUNCTION("""COMPUTED_VALUE"""),"EXTERNAL")</f>
        <v>EXTERNAL</v>
      </c>
      <c r="D3742" s="115">
        <f>IFERROR(__xludf.DUMMYFUNCTION("""COMPUTED_VALUE"""),2455.0)</f>
        <v>2455</v>
      </c>
      <c r="E3742" s="115">
        <f>IFERROR(__xludf.DUMMYFUNCTION("""COMPUTED_VALUE"""),164.0)</f>
        <v>164</v>
      </c>
      <c r="F3742" s="115">
        <f>IFERROR(__xludf.DUMMYFUNCTION("""COMPUTED_VALUE"""),14.0)</f>
        <v>14</v>
      </c>
      <c r="G3742" s="115">
        <f>IFERROR(__xludf.DUMMYFUNCTION("""COMPUTED_VALUE"""),0.0)</f>
        <v>0</v>
      </c>
      <c r="H3742" s="116">
        <f>IFERROR(__xludf.DUMMYFUNCTION("""COMPUTED_VALUE"""),45908.0)</f>
        <v>45908</v>
      </c>
      <c r="I3742" s="115" t="str">
        <f>IFERROR(__xludf.DUMMYFUNCTION("""COMPUTED_VALUE"""),"08")</f>
        <v>08</v>
      </c>
      <c r="J3742" s="115" t="str">
        <f>IFERROR(__xludf.DUMMYFUNCTION("""COMPUTED_VALUE"""),"Girish Chand2025-09-0808")</f>
        <v>Girish Chand2025-09-0808</v>
      </c>
      <c r="K3742" s="115">
        <f>IFERROR(__xludf.DUMMYFUNCTION("""COMPUTED_VALUE"""),2619.0)</f>
        <v>2619</v>
      </c>
    </row>
    <row r="3743">
      <c r="A3743" s="115" t="str">
        <f>IFERROR(__xludf.DUMMYFUNCTION("""COMPUTED_VALUE"""),"EAST")</f>
        <v>EAST</v>
      </c>
      <c r="B3743" s="115" t="str">
        <f>IFERROR(__xludf.DUMMYFUNCTION("""COMPUTED_VALUE"""),"Girish Chand")</f>
        <v>Girish Chand</v>
      </c>
      <c r="C3743" s="115" t="str">
        <f>IFERROR(__xludf.DUMMYFUNCTION("""COMPUTED_VALUE"""),"FLIPKART")</f>
        <v>FLIPKART</v>
      </c>
      <c r="D3743" s="115">
        <f>IFERROR(__xludf.DUMMYFUNCTION("""COMPUTED_VALUE"""),44157.0)</f>
        <v>44157</v>
      </c>
      <c r="E3743" s="115">
        <f>IFERROR(__xludf.DUMMYFUNCTION("""COMPUTED_VALUE"""),3882.0)</f>
        <v>3882</v>
      </c>
      <c r="F3743" s="115">
        <f>IFERROR(__xludf.DUMMYFUNCTION("""COMPUTED_VALUE"""),358.0)</f>
        <v>358</v>
      </c>
      <c r="G3743" s="115">
        <f>IFERROR(__xludf.DUMMYFUNCTION("""COMPUTED_VALUE"""),54.0)</f>
        <v>54</v>
      </c>
      <c r="H3743" s="116">
        <f>IFERROR(__xludf.DUMMYFUNCTION("""COMPUTED_VALUE"""),45908.0)</f>
        <v>45908</v>
      </c>
      <c r="I3743" s="115" t="str">
        <f>IFERROR(__xludf.DUMMYFUNCTION("""COMPUTED_VALUE"""),"08")</f>
        <v>08</v>
      </c>
      <c r="J3743" s="115" t="str">
        <f>IFERROR(__xludf.DUMMYFUNCTION("""COMPUTED_VALUE"""),"Girish Chand2025-09-0808")</f>
        <v>Girish Chand2025-09-0808</v>
      </c>
      <c r="K3743" s="115">
        <f>IFERROR(__xludf.DUMMYFUNCTION("""COMPUTED_VALUE"""),48039.0)</f>
        <v>48039</v>
      </c>
    </row>
    <row r="3744">
      <c r="A3744" s="115" t="str">
        <f>IFERROR(__xludf.DUMMYFUNCTION("""COMPUTED_VALUE"""),"EAST")</f>
        <v>EAST</v>
      </c>
      <c r="B3744" s="115" t="str">
        <f>IFERROR(__xludf.DUMMYFUNCTION("""COMPUTED_VALUE"""),"Girish Chand")</f>
        <v>Girish Chand</v>
      </c>
      <c r="C3744" s="115" t="str">
        <f>IFERROR(__xludf.DUMMYFUNCTION("""COMPUTED_VALUE"""),"MYNTRA")</f>
        <v>MYNTRA</v>
      </c>
      <c r="D3744" s="115">
        <f>IFERROR(__xludf.DUMMYFUNCTION("""COMPUTED_VALUE"""),4601.0)</f>
        <v>4601</v>
      </c>
      <c r="E3744" s="115">
        <f>IFERROR(__xludf.DUMMYFUNCTION("""COMPUTED_VALUE"""),820.0)</f>
        <v>820</v>
      </c>
      <c r="F3744" s="115">
        <f>IFERROR(__xludf.DUMMYFUNCTION("""COMPUTED_VALUE"""),39.0)</f>
        <v>39</v>
      </c>
      <c r="G3744" s="115">
        <f>IFERROR(__xludf.DUMMYFUNCTION("""COMPUTED_VALUE"""),9.0)</f>
        <v>9</v>
      </c>
      <c r="H3744" s="116">
        <f>IFERROR(__xludf.DUMMYFUNCTION("""COMPUTED_VALUE"""),45908.0)</f>
        <v>45908</v>
      </c>
      <c r="I3744" s="115" t="str">
        <f>IFERROR(__xludf.DUMMYFUNCTION("""COMPUTED_VALUE"""),"08")</f>
        <v>08</v>
      </c>
      <c r="J3744" s="115" t="str">
        <f>IFERROR(__xludf.DUMMYFUNCTION("""COMPUTED_VALUE"""),"Girish Chand2025-09-0808")</f>
        <v>Girish Chand2025-09-0808</v>
      </c>
      <c r="K3744" s="115">
        <f>IFERROR(__xludf.DUMMYFUNCTION("""COMPUTED_VALUE"""),5421.0)</f>
        <v>5421</v>
      </c>
    </row>
    <row r="3745">
      <c r="A3745" s="115" t="str">
        <f>IFERROR(__xludf.DUMMYFUNCTION("""COMPUTED_VALUE"""),"EAST")</f>
        <v>EAST</v>
      </c>
      <c r="B3745" s="115" t="str">
        <f>IFERROR(__xludf.DUMMYFUNCTION("""COMPUTED_VALUE"""),"Parag Kashyap")</f>
        <v>Parag Kashyap</v>
      </c>
      <c r="C3745" s="115" t="str">
        <f>IFERROR(__xludf.DUMMYFUNCTION("""COMPUTED_VALUE"""),"EXTERNAL")</f>
        <v>EXTERNAL</v>
      </c>
      <c r="D3745" s="115">
        <f>IFERROR(__xludf.DUMMYFUNCTION("""COMPUTED_VALUE"""),1516.0)</f>
        <v>1516</v>
      </c>
      <c r="E3745" s="115">
        <f>IFERROR(__xludf.DUMMYFUNCTION("""COMPUTED_VALUE"""),44.0)</f>
        <v>44</v>
      </c>
      <c r="F3745" s="115">
        <f>IFERROR(__xludf.DUMMYFUNCTION("""COMPUTED_VALUE"""),12.0)</f>
        <v>12</v>
      </c>
      <c r="G3745" s="115">
        <f>IFERROR(__xludf.DUMMYFUNCTION("""COMPUTED_VALUE"""),0.0)</f>
        <v>0</v>
      </c>
      <c r="H3745" s="116">
        <f>IFERROR(__xludf.DUMMYFUNCTION("""COMPUTED_VALUE"""),45908.0)</f>
        <v>45908</v>
      </c>
      <c r="I3745" s="115" t="str">
        <f>IFERROR(__xludf.DUMMYFUNCTION("""COMPUTED_VALUE"""),"08")</f>
        <v>08</v>
      </c>
      <c r="J3745" s="115" t="str">
        <f>IFERROR(__xludf.DUMMYFUNCTION("""COMPUTED_VALUE"""),"Parag Kashyap2025-09-0808")</f>
        <v>Parag Kashyap2025-09-0808</v>
      </c>
      <c r="K3745" s="115">
        <f>IFERROR(__xludf.DUMMYFUNCTION("""COMPUTED_VALUE"""),1560.0)</f>
        <v>1560</v>
      </c>
    </row>
    <row r="3746">
      <c r="A3746" s="115" t="str">
        <f>IFERROR(__xludf.DUMMYFUNCTION("""COMPUTED_VALUE"""),"EAST")</f>
        <v>EAST</v>
      </c>
      <c r="B3746" s="115" t="str">
        <f>IFERROR(__xludf.DUMMYFUNCTION("""COMPUTED_VALUE"""),"Parag Kashyap")</f>
        <v>Parag Kashyap</v>
      </c>
      <c r="C3746" s="115" t="str">
        <f>IFERROR(__xludf.DUMMYFUNCTION("""COMPUTED_VALUE"""),"FLIPKART")</f>
        <v>FLIPKART</v>
      </c>
      <c r="D3746" s="115">
        <f>IFERROR(__xludf.DUMMYFUNCTION("""COMPUTED_VALUE"""),30813.0)</f>
        <v>30813</v>
      </c>
      <c r="E3746" s="115">
        <f>IFERROR(__xludf.DUMMYFUNCTION("""COMPUTED_VALUE"""),1455.0)</f>
        <v>1455</v>
      </c>
      <c r="F3746" s="115">
        <f>IFERROR(__xludf.DUMMYFUNCTION("""COMPUTED_VALUE"""),217.0)</f>
        <v>217</v>
      </c>
      <c r="G3746" s="115">
        <f>IFERROR(__xludf.DUMMYFUNCTION("""COMPUTED_VALUE"""),23.0)</f>
        <v>23</v>
      </c>
      <c r="H3746" s="116">
        <f>IFERROR(__xludf.DUMMYFUNCTION("""COMPUTED_VALUE"""),45908.0)</f>
        <v>45908</v>
      </c>
      <c r="I3746" s="115" t="str">
        <f>IFERROR(__xludf.DUMMYFUNCTION("""COMPUTED_VALUE"""),"08")</f>
        <v>08</v>
      </c>
      <c r="J3746" s="115" t="str">
        <f>IFERROR(__xludf.DUMMYFUNCTION("""COMPUTED_VALUE"""),"Parag Kashyap2025-09-0808")</f>
        <v>Parag Kashyap2025-09-0808</v>
      </c>
      <c r="K3746" s="115">
        <f>IFERROR(__xludf.DUMMYFUNCTION("""COMPUTED_VALUE"""),32268.0)</f>
        <v>32268</v>
      </c>
    </row>
    <row r="3747">
      <c r="A3747" s="115" t="str">
        <f>IFERROR(__xludf.DUMMYFUNCTION("""COMPUTED_VALUE"""),"EAST")</f>
        <v>EAST</v>
      </c>
      <c r="B3747" s="115" t="str">
        <f>IFERROR(__xludf.DUMMYFUNCTION("""COMPUTED_VALUE"""),"Parag Kashyap")</f>
        <v>Parag Kashyap</v>
      </c>
      <c r="C3747" s="115" t="str">
        <f>IFERROR(__xludf.DUMMYFUNCTION("""COMPUTED_VALUE"""),"MYNTRA")</f>
        <v>MYNTRA</v>
      </c>
      <c r="D3747" s="115">
        <f>IFERROR(__xludf.DUMMYFUNCTION("""COMPUTED_VALUE"""),4097.0)</f>
        <v>4097</v>
      </c>
      <c r="E3747" s="115">
        <f>IFERROR(__xludf.DUMMYFUNCTION("""COMPUTED_VALUE"""),447.0)</f>
        <v>447</v>
      </c>
      <c r="F3747" s="115">
        <f>IFERROR(__xludf.DUMMYFUNCTION("""COMPUTED_VALUE"""),40.0)</f>
        <v>40</v>
      </c>
      <c r="G3747" s="115">
        <f>IFERROR(__xludf.DUMMYFUNCTION("""COMPUTED_VALUE"""),2.0)</f>
        <v>2</v>
      </c>
      <c r="H3747" s="116">
        <f>IFERROR(__xludf.DUMMYFUNCTION("""COMPUTED_VALUE"""),45908.0)</f>
        <v>45908</v>
      </c>
      <c r="I3747" s="115" t="str">
        <f>IFERROR(__xludf.DUMMYFUNCTION("""COMPUTED_VALUE"""),"08")</f>
        <v>08</v>
      </c>
      <c r="J3747" s="115" t="str">
        <f>IFERROR(__xludf.DUMMYFUNCTION("""COMPUTED_VALUE"""),"Parag Kashyap2025-09-0808")</f>
        <v>Parag Kashyap2025-09-0808</v>
      </c>
      <c r="K3747" s="115">
        <f>IFERROR(__xludf.DUMMYFUNCTION("""COMPUTED_VALUE"""),4544.0)</f>
        <v>4544</v>
      </c>
    </row>
    <row r="3748">
      <c r="A3748" s="115" t="str">
        <f>IFERROR(__xludf.DUMMYFUNCTION("""COMPUTED_VALUE"""),"NORTH")</f>
        <v>NORTH</v>
      </c>
      <c r="B3748" s="115" t="str">
        <f>IFERROR(__xludf.DUMMYFUNCTION("""COMPUTED_VALUE"""),"Amit Kumar Pathak")</f>
        <v>Amit Kumar Pathak</v>
      </c>
      <c r="C3748" s="115" t="str">
        <f>IFERROR(__xludf.DUMMYFUNCTION("""COMPUTED_VALUE"""),"EXTERNAL")</f>
        <v>EXTERNAL</v>
      </c>
      <c r="D3748" s="115">
        <f>IFERROR(__xludf.DUMMYFUNCTION("""COMPUTED_VALUE"""),7032.0)</f>
        <v>7032</v>
      </c>
      <c r="E3748" s="115">
        <f>IFERROR(__xludf.DUMMYFUNCTION("""COMPUTED_VALUE"""),708.0)</f>
        <v>708</v>
      </c>
      <c r="F3748" s="115">
        <f>IFERROR(__xludf.DUMMYFUNCTION("""COMPUTED_VALUE"""),14.0)</f>
        <v>14</v>
      </c>
      <c r="G3748" s="115">
        <f>IFERROR(__xludf.DUMMYFUNCTION("""COMPUTED_VALUE"""),1.0)</f>
        <v>1</v>
      </c>
      <c r="H3748" s="116">
        <f>IFERROR(__xludf.DUMMYFUNCTION("""COMPUTED_VALUE"""),45908.0)</f>
        <v>45908</v>
      </c>
      <c r="I3748" s="115" t="str">
        <f>IFERROR(__xludf.DUMMYFUNCTION("""COMPUTED_VALUE"""),"08")</f>
        <v>08</v>
      </c>
      <c r="J3748" s="115" t="str">
        <f>IFERROR(__xludf.DUMMYFUNCTION("""COMPUTED_VALUE"""),"Amit Kumar Pathak2025-09-0808")</f>
        <v>Amit Kumar Pathak2025-09-0808</v>
      </c>
      <c r="K3748" s="115">
        <f>IFERROR(__xludf.DUMMYFUNCTION("""COMPUTED_VALUE"""),7740.0)</f>
        <v>7740</v>
      </c>
    </row>
    <row r="3749">
      <c r="A3749" s="115" t="str">
        <f>IFERROR(__xludf.DUMMYFUNCTION("""COMPUTED_VALUE"""),"NORTH")</f>
        <v>NORTH</v>
      </c>
      <c r="B3749" s="115" t="str">
        <f>IFERROR(__xludf.DUMMYFUNCTION("""COMPUTED_VALUE"""),"Amit Kumar Pathak")</f>
        <v>Amit Kumar Pathak</v>
      </c>
      <c r="C3749" s="115" t="str">
        <f>IFERROR(__xludf.DUMMYFUNCTION("""COMPUTED_VALUE"""),"FLIPKART")</f>
        <v>FLIPKART</v>
      </c>
      <c r="D3749" s="115">
        <f>IFERROR(__xludf.DUMMYFUNCTION("""COMPUTED_VALUE"""),43689.0)</f>
        <v>43689</v>
      </c>
      <c r="E3749" s="115">
        <f>IFERROR(__xludf.DUMMYFUNCTION("""COMPUTED_VALUE"""),4978.0)</f>
        <v>4978</v>
      </c>
      <c r="F3749" s="115">
        <f>IFERROR(__xludf.DUMMYFUNCTION("""COMPUTED_VALUE"""),479.0)</f>
        <v>479</v>
      </c>
      <c r="G3749" s="115">
        <f>IFERROR(__xludf.DUMMYFUNCTION("""COMPUTED_VALUE"""),26.0)</f>
        <v>26</v>
      </c>
      <c r="H3749" s="116">
        <f>IFERROR(__xludf.DUMMYFUNCTION("""COMPUTED_VALUE"""),45908.0)</f>
        <v>45908</v>
      </c>
      <c r="I3749" s="115" t="str">
        <f>IFERROR(__xludf.DUMMYFUNCTION("""COMPUTED_VALUE"""),"08")</f>
        <v>08</v>
      </c>
      <c r="J3749" s="115" t="str">
        <f>IFERROR(__xludf.DUMMYFUNCTION("""COMPUTED_VALUE"""),"Amit Kumar Pathak2025-09-0808")</f>
        <v>Amit Kumar Pathak2025-09-0808</v>
      </c>
      <c r="K3749" s="115">
        <f>IFERROR(__xludf.DUMMYFUNCTION("""COMPUTED_VALUE"""),48667.0)</f>
        <v>48667</v>
      </c>
    </row>
    <row r="3750">
      <c r="A3750" s="115" t="str">
        <f>IFERROR(__xludf.DUMMYFUNCTION("""COMPUTED_VALUE"""),"NORTH")</f>
        <v>NORTH</v>
      </c>
      <c r="B3750" s="115" t="str">
        <f>IFERROR(__xludf.DUMMYFUNCTION("""COMPUTED_VALUE"""),"Amit Kumar Pathak")</f>
        <v>Amit Kumar Pathak</v>
      </c>
      <c r="C3750" s="115" t="str">
        <f>IFERROR(__xludf.DUMMYFUNCTION("""COMPUTED_VALUE"""),"MYNTRA")</f>
        <v>MYNTRA</v>
      </c>
      <c r="D3750" s="115">
        <f>IFERROR(__xludf.DUMMYFUNCTION("""COMPUTED_VALUE"""),4625.0)</f>
        <v>4625</v>
      </c>
      <c r="E3750" s="115">
        <f>IFERROR(__xludf.DUMMYFUNCTION("""COMPUTED_VALUE"""),1562.0)</f>
        <v>1562</v>
      </c>
      <c r="F3750" s="115">
        <f>IFERROR(__xludf.DUMMYFUNCTION("""COMPUTED_VALUE"""),24.0)</f>
        <v>24</v>
      </c>
      <c r="G3750" s="115">
        <f>IFERROR(__xludf.DUMMYFUNCTION("""COMPUTED_VALUE"""),3.0)</f>
        <v>3</v>
      </c>
      <c r="H3750" s="116">
        <f>IFERROR(__xludf.DUMMYFUNCTION("""COMPUTED_VALUE"""),45908.0)</f>
        <v>45908</v>
      </c>
      <c r="I3750" s="115" t="str">
        <f>IFERROR(__xludf.DUMMYFUNCTION("""COMPUTED_VALUE"""),"08")</f>
        <v>08</v>
      </c>
      <c r="J3750" s="115" t="str">
        <f>IFERROR(__xludf.DUMMYFUNCTION("""COMPUTED_VALUE"""),"Amit Kumar Pathak2025-09-0808")</f>
        <v>Amit Kumar Pathak2025-09-0808</v>
      </c>
      <c r="K3750" s="115">
        <f>IFERROR(__xludf.DUMMYFUNCTION("""COMPUTED_VALUE"""),6187.0)</f>
        <v>6187</v>
      </c>
    </row>
    <row r="3751">
      <c r="A3751" s="115" t="str">
        <f>IFERROR(__xludf.DUMMYFUNCTION("""COMPUTED_VALUE"""),"NORTH")</f>
        <v>NORTH</v>
      </c>
      <c r="B3751" s="115" t="str">
        <f>IFERROR(__xludf.DUMMYFUNCTION("""COMPUTED_VALUE"""),"Loveleen Singh")</f>
        <v>Loveleen Singh</v>
      </c>
      <c r="C3751" s="115" t="str">
        <f>IFERROR(__xludf.DUMMYFUNCTION("""COMPUTED_VALUE"""),"EXTERNAL")</f>
        <v>EXTERNAL</v>
      </c>
      <c r="D3751" s="115">
        <f>IFERROR(__xludf.DUMMYFUNCTION("""COMPUTED_VALUE"""),1624.0)</f>
        <v>1624</v>
      </c>
      <c r="E3751" s="115">
        <f>IFERROR(__xludf.DUMMYFUNCTION("""COMPUTED_VALUE"""),92.0)</f>
        <v>92</v>
      </c>
      <c r="F3751" s="115">
        <f>IFERROR(__xludf.DUMMYFUNCTION("""COMPUTED_VALUE"""),14.0)</f>
        <v>14</v>
      </c>
      <c r="G3751" s="115">
        <f>IFERROR(__xludf.DUMMYFUNCTION("""COMPUTED_VALUE"""),5.0)</f>
        <v>5</v>
      </c>
      <c r="H3751" s="116">
        <f>IFERROR(__xludf.DUMMYFUNCTION("""COMPUTED_VALUE"""),45908.0)</f>
        <v>45908</v>
      </c>
      <c r="I3751" s="115" t="str">
        <f>IFERROR(__xludf.DUMMYFUNCTION("""COMPUTED_VALUE"""),"08")</f>
        <v>08</v>
      </c>
      <c r="J3751" s="115" t="str">
        <f>IFERROR(__xludf.DUMMYFUNCTION("""COMPUTED_VALUE"""),"Loveleen Singh2025-09-0808")</f>
        <v>Loveleen Singh2025-09-0808</v>
      </c>
      <c r="K3751" s="115">
        <f>IFERROR(__xludf.DUMMYFUNCTION("""COMPUTED_VALUE"""),1716.0)</f>
        <v>1716</v>
      </c>
    </row>
    <row r="3752">
      <c r="A3752" s="115" t="str">
        <f>IFERROR(__xludf.DUMMYFUNCTION("""COMPUTED_VALUE"""),"NORTH")</f>
        <v>NORTH</v>
      </c>
      <c r="B3752" s="115" t="str">
        <f>IFERROR(__xludf.DUMMYFUNCTION("""COMPUTED_VALUE"""),"Loveleen Singh")</f>
        <v>Loveleen Singh</v>
      </c>
      <c r="C3752" s="115" t="str">
        <f>IFERROR(__xludf.DUMMYFUNCTION("""COMPUTED_VALUE"""),"FLIPKART")</f>
        <v>FLIPKART</v>
      </c>
      <c r="D3752" s="115">
        <f>IFERROR(__xludf.DUMMYFUNCTION("""COMPUTED_VALUE"""),9990.0)</f>
        <v>9990</v>
      </c>
      <c r="E3752" s="115">
        <f>IFERROR(__xludf.DUMMYFUNCTION("""COMPUTED_VALUE"""),857.0)</f>
        <v>857</v>
      </c>
      <c r="F3752" s="115">
        <f>IFERROR(__xludf.DUMMYFUNCTION("""COMPUTED_VALUE"""),167.0)</f>
        <v>167</v>
      </c>
      <c r="G3752" s="115">
        <f>IFERROR(__xludf.DUMMYFUNCTION("""COMPUTED_VALUE"""),17.0)</f>
        <v>17</v>
      </c>
      <c r="H3752" s="116">
        <f>IFERROR(__xludf.DUMMYFUNCTION("""COMPUTED_VALUE"""),45908.0)</f>
        <v>45908</v>
      </c>
      <c r="I3752" s="115" t="str">
        <f>IFERROR(__xludf.DUMMYFUNCTION("""COMPUTED_VALUE"""),"08")</f>
        <v>08</v>
      </c>
      <c r="J3752" s="115" t="str">
        <f>IFERROR(__xludf.DUMMYFUNCTION("""COMPUTED_VALUE"""),"Loveleen Singh2025-09-0808")</f>
        <v>Loveleen Singh2025-09-0808</v>
      </c>
      <c r="K3752" s="115">
        <f>IFERROR(__xludf.DUMMYFUNCTION("""COMPUTED_VALUE"""),10847.0)</f>
        <v>10847</v>
      </c>
    </row>
    <row r="3753">
      <c r="A3753" s="115" t="str">
        <f>IFERROR(__xludf.DUMMYFUNCTION("""COMPUTED_VALUE"""),"NORTH")</f>
        <v>NORTH</v>
      </c>
      <c r="B3753" s="115" t="str">
        <f>IFERROR(__xludf.DUMMYFUNCTION("""COMPUTED_VALUE"""),"Loveleen Singh")</f>
        <v>Loveleen Singh</v>
      </c>
      <c r="C3753" s="115" t="str">
        <f>IFERROR(__xludf.DUMMYFUNCTION("""COMPUTED_VALUE"""),"MYNTRA")</f>
        <v>MYNTRA</v>
      </c>
      <c r="D3753" s="115">
        <f>IFERROR(__xludf.DUMMYFUNCTION("""COMPUTED_VALUE"""),2096.0)</f>
        <v>2096</v>
      </c>
      <c r="E3753" s="115">
        <f>IFERROR(__xludf.DUMMYFUNCTION("""COMPUTED_VALUE"""),411.0)</f>
        <v>411</v>
      </c>
      <c r="F3753" s="115">
        <f>IFERROR(__xludf.DUMMYFUNCTION("""COMPUTED_VALUE"""),43.0)</f>
        <v>43</v>
      </c>
      <c r="G3753" s="115">
        <f>IFERROR(__xludf.DUMMYFUNCTION("""COMPUTED_VALUE"""),4.0)</f>
        <v>4</v>
      </c>
      <c r="H3753" s="116">
        <f>IFERROR(__xludf.DUMMYFUNCTION("""COMPUTED_VALUE"""),45908.0)</f>
        <v>45908</v>
      </c>
      <c r="I3753" s="115" t="str">
        <f>IFERROR(__xludf.DUMMYFUNCTION("""COMPUTED_VALUE"""),"08")</f>
        <v>08</v>
      </c>
      <c r="J3753" s="115" t="str">
        <f>IFERROR(__xludf.DUMMYFUNCTION("""COMPUTED_VALUE"""),"Loveleen Singh2025-09-0808")</f>
        <v>Loveleen Singh2025-09-0808</v>
      </c>
      <c r="K3753" s="115">
        <f>IFERROR(__xludf.DUMMYFUNCTION("""COMPUTED_VALUE"""),2507.0)</f>
        <v>2507</v>
      </c>
    </row>
    <row r="3754">
      <c r="A3754" s="115" t="str">
        <f>IFERROR(__xludf.DUMMYFUNCTION("""COMPUTED_VALUE"""),"NORTH")</f>
        <v>NORTH</v>
      </c>
      <c r="B3754" s="115" t="str">
        <f>IFERROR(__xludf.DUMMYFUNCTION("""COMPUTED_VALUE"""),"Manoj Harsh")</f>
        <v>Manoj Harsh</v>
      </c>
      <c r="C3754" s="115" t="str">
        <f>IFERROR(__xludf.DUMMYFUNCTION("""COMPUTED_VALUE"""),"EXTERNAL")</f>
        <v>EXTERNAL</v>
      </c>
      <c r="D3754" s="115">
        <f>IFERROR(__xludf.DUMMYFUNCTION("""COMPUTED_VALUE"""),2410.0)</f>
        <v>2410</v>
      </c>
      <c r="E3754" s="115">
        <f>IFERROR(__xludf.DUMMYFUNCTION("""COMPUTED_VALUE"""),231.0)</f>
        <v>231</v>
      </c>
      <c r="F3754" s="115">
        <f>IFERROR(__xludf.DUMMYFUNCTION("""COMPUTED_VALUE"""),4.0)</f>
        <v>4</v>
      </c>
      <c r="G3754" s="115">
        <f>IFERROR(__xludf.DUMMYFUNCTION("""COMPUTED_VALUE"""),3.0)</f>
        <v>3</v>
      </c>
      <c r="H3754" s="116">
        <f>IFERROR(__xludf.DUMMYFUNCTION("""COMPUTED_VALUE"""),45908.0)</f>
        <v>45908</v>
      </c>
      <c r="I3754" s="115" t="str">
        <f>IFERROR(__xludf.DUMMYFUNCTION("""COMPUTED_VALUE"""),"08")</f>
        <v>08</v>
      </c>
      <c r="J3754" s="115" t="str">
        <f>IFERROR(__xludf.DUMMYFUNCTION("""COMPUTED_VALUE"""),"Manoj Harsh2025-09-0808")</f>
        <v>Manoj Harsh2025-09-0808</v>
      </c>
      <c r="K3754" s="115">
        <f>IFERROR(__xludf.DUMMYFUNCTION("""COMPUTED_VALUE"""),2641.0)</f>
        <v>2641</v>
      </c>
    </row>
    <row r="3755">
      <c r="A3755" s="115" t="str">
        <f>IFERROR(__xludf.DUMMYFUNCTION("""COMPUTED_VALUE"""),"NORTH")</f>
        <v>NORTH</v>
      </c>
      <c r="B3755" s="115" t="str">
        <f>IFERROR(__xludf.DUMMYFUNCTION("""COMPUTED_VALUE"""),"Manoj Harsh")</f>
        <v>Manoj Harsh</v>
      </c>
      <c r="C3755" s="115" t="str">
        <f>IFERROR(__xludf.DUMMYFUNCTION("""COMPUTED_VALUE"""),"FLIPKART")</f>
        <v>FLIPKART</v>
      </c>
      <c r="D3755" s="115">
        <f>IFERROR(__xludf.DUMMYFUNCTION("""COMPUTED_VALUE"""),27777.0)</f>
        <v>27777</v>
      </c>
      <c r="E3755" s="115">
        <f>IFERROR(__xludf.DUMMYFUNCTION("""COMPUTED_VALUE"""),4003.0)</f>
        <v>4003</v>
      </c>
      <c r="F3755" s="115">
        <f>IFERROR(__xludf.DUMMYFUNCTION("""COMPUTED_VALUE"""),190.0)</f>
        <v>190</v>
      </c>
      <c r="G3755" s="115">
        <f>IFERROR(__xludf.DUMMYFUNCTION("""COMPUTED_VALUE"""),30.0)</f>
        <v>30</v>
      </c>
      <c r="H3755" s="116">
        <f>IFERROR(__xludf.DUMMYFUNCTION("""COMPUTED_VALUE"""),45908.0)</f>
        <v>45908</v>
      </c>
      <c r="I3755" s="115" t="str">
        <f>IFERROR(__xludf.DUMMYFUNCTION("""COMPUTED_VALUE"""),"08")</f>
        <v>08</v>
      </c>
      <c r="J3755" s="115" t="str">
        <f>IFERROR(__xludf.DUMMYFUNCTION("""COMPUTED_VALUE"""),"Manoj Harsh2025-09-0808")</f>
        <v>Manoj Harsh2025-09-0808</v>
      </c>
      <c r="K3755" s="115">
        <f>IFERROR(__xludf.DUMMYFUNCTION("""COMPUTED_VALUE"""),31780.0)</f>
        <v>31780</v>
      </c>
    </row>
    <row r="3756">
      <c r="A3756" s="115" t="str">
        <f>IFERROR(__xludf.DUMMYFUNCTION("""COMPUTED_VALUE"""),"NORTH")</f>
        <v>NORTH</v>
      </c>
      <c r="B3756" s="115" t="str">
        <f>IFERROR(__xludf.DUMMYFUNCTION("""COMPUTED_VALUE"""),"Manoj Harsh")</f>
        <v>Manoj Harsh</v>
      </c>
      <c r="C3756" s="115" t="str">
        <f>IFERROR(__xludf.DUMMYFUNCTION("""COMPUTED_VALUE"""),"MYNTRA")</f>
        <v>MYNTRA</v>
      </c>
      <c r="D3756" s="115">
        <f>IFERROR(__xludf.DUMMYFUNCTION("""COMPUTED_VALUE"""),3284.0)</f>
        <v>3284</v>
      </c>
      <c r="E3756" s="115">
        <f>IFERROR(__xludf.DUMMYFUNCTION("""COMPUTED_VALUE"""),859.0)</f>
        <v>859</v>
      </c>
      <c r="F3756" s="115">
        <f>IFERROR(__xludf.DUMMYFUNCTION("""COMPUTED_VALUE"""),82.0)</f>
        <v>82</v>
      </c>
      <c r="G3756" s="115">
        <f>IFERROR(__xludf.DUMMYFUNCTION("""COMPUTED_VALUE"""),2.0)</f>
        <v>2</v>
      </c>
      <c r="H3756" s="116">
        <f>IFERROR(__xludf.DUMMYFUNCTION("""COMPUTED_VALUE"""),45908.0)</f>
        <v>45908</v>
      </c>
      <c r="I3756" s="115" t="str">
        <f>IFERROR(__xludf.DUMMYFUNCTION("""COMPUTED_VALUE"""),"08")</f>
        <v>08</v>
      </c>
      <c r="J3756" s="115" t="str">
        <f>IFERROR(__xludf.DUMMYFUNCTION("""COMPUTED_VALUE"""),"Manoj Harsh2025-09-0808")</f>
        <v>Manoj Harsh2025-09-0808</v>
      </c>
      <c r="K3756" s="115">
        <f>IFERROR(__xludf.DUMMYFUNCTION("""COMPUTED_VALUE"""),4143.0)</f>
        <v>4143</v>
      </c>
    </row>
    <row r="3757">
      <c r="A3757" s="115" t="str">
        <f>IFERROR(__xludf.DUMMYFUNCTION("""COMPUTED_VALUE"""),"NORTH")</f>
        <v>NORTH</v>
      </c>
      <c r="B3757" s="115" t="str">
        <f>IFERROR(__xludf.DUMMYFUNCTION("""COMPUTED_VALUE"""),"Pradeep Kothari")</f>
        <v>Pradeep Kothari</v>
      </c>
      <c r="C3757" s="115" t="str">
        <f>IFERROR(__xludf.DUMMYFUNCTION("""COMPUTED_VALUE"""),"EXTERNAL")</f>
        <v>EXTERNAL</v>
      </c>
      <c r="D3757" s="115">
        <f>IFERROR(__xludf.DUMMYFUNCTION("""COMPUTED_VALUE"""),1149.0)</f>
        <v>1149</v>
      </c>
      <c r="E3757" s="115">
        <f>IFERROR(__xludf.DUMMYFUNCTION("""COMPUTED_VALUE"""),168.0)</f>
        <v>168</v>
      </c>
      <c r="F3757" s="115">
        <f>IFERROR(__xludf.DUMMYFUNCTION("""COMPUTED_VALUE"""),10.0)</f>
        <v>10</v>
      </c>
      <c r="G3757" s="115">
        <f>IFERROR(__xludf.DUMMYFUNCTION("""COMPUTED_VALUE"""),0.0)</f>
        <v>0</v>
      </c>
      <c r="H3757" s="116">
        <f>IFERROR(__xludf.DUMMYFUNCTION("""COMPUTED_VALUE"""),45908.0)</f>
        <v>45908</v>
      </c>
      <c r="I3757" s="115" t="str">
        <f>IFERROR(__xludf.DUMMYFUNCTION("""COMPUTED_VALUE"""),"08")</f>
        <v>08</v>
      </c>
      <c r="J3757" s="115" t="str">
        <f>IFERROR(__xludf.DUMMYFUNCTION("""COMPUTED_VALUE"""),"Pradeep Kothari2025-09-0808")</f>
        <v>Pradeep Kothari2025-09-0808</v>
      </c>
      <c r="K3757" s="115">
        <f>IFERROR(__xludf.DUMMYFUNCTION("""COMPUTED_VALUE"""),1317.0)</f>
        <v>1317</v>
      </c>
    </row>
    <row r="3758">
      <c r="A3758" s="115" t="str">
        <f>IFERROR(__xludf.DUMMYFUNCTION("""COMPUTED_VALUE"""),"NORTH")</f>
        <v>NORTH</v>
      </c>
      <c r="B3758" s="115" t="str">
        <f>IFERROR(__xludf.DUMMYFUNCTION("""COMPUTED_VALUE"""),"Pradeep Kothari")</f>
        <v>Pradeep Kothari</v>
      </c>
      <c r="C3758" s="115" t="str">
        <f>IFERROR(__xludf.DUMMYFUNCTION("""COMPUTED_VALUE"""),"FLIPKART")</f>
        <v>FLIPKART</v>
      </c>
      <c r="D3758" s="115">
        <f>IFERROR(__xludf.DUMMYFUNCTION("""COMPUTED_VALUE"""),9071.0)</f>
        <v>9071</v>
      </c>
      <c r="E3758" s="115">
        <f>IFERROR(__xludf.DUMMYFUNCTION("""COMPUTED_VALUE"""),1520.0)</f>
        <v>1520</v>
      </c>
      <c r="F3758" s="115">
        <f>IFERROR(__xludf.DUMMYFUNCTION("""COMPUTED_VALUE"""),167.0)</f>
        <v>167</v>
      </c>
      <c r="G3758" s="115">
        <f>IFERROR(__xludf.DUMMYFUNCTION("""COMPUTED_VALUE"""),19.0)</f>
        <v>19</v>
      </c>
      <c r="H3758" s="116">
        <f>IFERROR(__xludf.DUMMYFUNCTION("""COMPUTED_VALUE"""),45908.0)</f>
        <v>45908</v>
      </c>
      <c r="I3758" s="115" t="str">
        <f>IFERROR(__xludf.DUMMYFUNCTION("""COMPUTED_VALUE"""),"08")</f>
        <v>08</v>
      </c>
      <c r="J3758" s="115" t="str">
        <f>IFERROR(__xludf.DUMMYFUNCTION("""COMPUTED_VALUE"""),"Pradeep Kothari2025-09-0808")</f>
        <v>Pradeep Kothari2025-09-0808</v>
      </c>
      <c r="K3758" s="115">
        <f>IFERROR(__xludf.DUMMYFUNCTION("""COMPUTED_VALUE"""),10591.0)</f>
        <v>10591</v>
      </c>
    </row>
    <row r="3759">
      <c r="A3759" s="115" t="str">
        <f>IFERROR(__xludf.DUMMYFUNCTION("""COMPUTED_VALUE"""),"NORTH")</f>
        <v>NORTH</v>
      </c>
      <c r="B3759" s="115" t="str">
        <f>IFERROR(__xludf.DUMMYFUNCTION("""COMPUTED_VALUE"""),"Pradeep Kothari")</f>
        <v>Pradeep Kothari</v>
      </c>
      <c r="C3759" s="115" t="str">
        <f>IFERROR(__xludf.DUMMYFUNCTION("""COMPUTED_VALUE"""),"MYNTRA")</f>
        <v>MYNTRA</v>
      </c>
      <c r="D3759" s="115">
        <f>IFERROR(__xludf.DUMMYFUNCTION("""COMPUTED_VALUE"""),2227.0)</f>
        <v>2227</v>
      </c>
      <c r="E3759" s="115">
        <f>IFERROR(__xludf.DUMMYFUNCTION("""COMPUTED_VALUE"""),453.0)</f>
        <v>453</v>
      </c>
      <c r="F3759" s="115">
        <f>IFERROR(__xludf.DUMMYFUNCTION("""COMPUTED_VALUE"""),96.0)</f>
        <v>96</v>
      </c>
      <c r="G3759" s="115">
        <f>IFERROR(__xludf.DUMMYFUNCTION("""COMPUTED_VALUE"""),11.0)</f>
        <v>11</v>
      </c>
      <c r="H3759" s="116">
        <f>IFERROR(__xludf.DUMMYFUNCTION("""COMPUTED_VALUE"""),45908.0)</f>
        <v>45908</v>
      </c>
      <c r="I3759" s="115" t="str">
        <f>IFERROR(__xludf.DUMMYFUNCTION("""COMPUTED_VALUE"""),"08")</f>
        <v>08</v>
      </c>
      <c r="J3759" s="115" t="str">
        <f>IFERROR(__xludf.DUMMYFUNCTION("""COMPUTED_VALUE"""),"Pradeep Kothari2025-09-0808")</f>
        <v>Pradeep Kothari2025-09-0808</v>
      </c>
      <c r="K3759" s="115">
        <f>IFERROR(__xludf.DUMMYFUNCTION("""COMPUTED_VALUE"""),2680.0)</f>
        <v>2680</v>
      </c>
    </row>
    <row r="3760">
      <c r="A3760" s="115" t="str">
        <f>IFERROR(__xludf.DUMMYFUNCTION("""COMPUTED_VALUE"""),"SOUTH")</f>
        <v>SOUTH</v>
      </c>
      <c r="B3760" s="115" t="str">
        <f>IFERROR(__xludf.DUMMYFUNCTION("""COMPUTED_VALUE"""),"Kandula Sampath")</f>
        <v>Kandula Sampath</v>
      </c>
      <c r="C3760" s="115" t="str">
        <f>IFERROR(__xludf.DUMMYFUNCTION("""COMPUTED_VALUE"""),"EXTERNAL")</f>
        <v>EXTERNAL</v>
      </c>
      <c r="D3760" s="115">
        <f>IFERROR(__xludf.DUMMYFUNCTION("""COMPUTED_VALUE"""),5647.0)</f>
        <v>5647</v>
      </c>
      <c r="E3760" s="115">
        <f>IFERROR(__xludf.DUMMYFUNCTION("""COMPUTED_VALUE"""),410.0)</f>
        <v>410</v>
      </c>
      <c r="F3760" s="115">
        <f>IFERROR(__xludf.DUMMYFUNCTION("""COMPUTED_VALUE"""),95.0)</f>
        <v>95</v>
      </c>
      <c r="G3760" s="115">
        <f>IFERROR(__xludf.DUMMYFUNCTION("""COMPUTED_VALUE"""),1.0)</f>
        <v>1</v>
      </c>
      <c r="H3760" s="116">
        <f>IFERROR(__xludf.DUMMYFUNCTION("""COMPUTED_VALUE"""),45908.0)</f>
        <v>45908</v>
      </c>
      <c r="I3760" s="115" t="str">
        <f>IFERROR(__xludf.DUMMYFUNCTION("""COMPUTED_VALUE"""),"08")</f>
        <v>08</v>
      </c>
      <c r="J3760" s="115" t="str">
        <f>IFERROR(__xludf.DUMMYFUNCTION("""COMPUTED_VALUE"""),"Kandula Sampath2025-09-0808")</f>
        <v>Kandula Sampath2025-09-0808</v>
      </c>
      <c r="K3760" s="115">
        <f>IFERROR(__xludf.DUMMYFUNCTION("""COMPUTED_VALUE"""),6057.0)</f>
        <v>6057</v>
      </c>
    </row>
    <row r="3761">
      <c r="A3761" s="115" t="str">
        <f>IFERROR(__xludf.DUMMYFUNCTION("""COMPUTED_VALUE"""),"SOUTH")</f>
        <v>SOUTH</v>
      </c>
      <c r="B3761" s="115" t="str">
        <f>IFERROR(__xludf.DUMMYFUNCTION("""COMPUTED_VALUE"""),"Kandula Sampath")</f>
        <v>Kandula Sampath</v>
      </c>
      <c r="C3761" s="115" t="str">
        <f>IFERROR(__xludf.DUMMYFUNCTION("""COMPUTED_VALUE"""),"FLIPKART")</f>
        <v>FLIPKART</v>
      </c>
      <c r="D3761" s="115">
        <f>IFERROR(__xludf.DUMMYFUNCTION("""COMPUTED_VALUE"""),64199.0)</f>
        <v>64199</v>
      </c>
      <c r="E3761" s="115">
        <f>IFERROR(__xludf.DUMMYFUNCTION("""COMPUTED_VALUE"""),4441.0)</f>
        <v>4441</v>
      </c>
      <c r="F3761" s="115">
        <f>IFERROR(__xludf.DUMMYFUNCTION("""COMPUTED_VALUE"""),2289.0)</f>
        <v>2289</v>
      </c>
      <c r="G3761" s="115">
        <f>IFERROR(__xludf.DUMMYFUNCTION("""COMPUTED_VALUE"""),23.0)</f>
        <v>23</v>
      </c>
      <c r="H3761" s="116">
        <f>IFERROR(__xludf.DUMMYFUNCTION("""COMPUTED_VALUE"""),45908.0)</f>
        <v>45908</v>
      </c>
      <c r="I3761" s="115" t="str">
        <f>IFERROR(__xludf.DUMMYFUNCTION("""COMPUTED_VALUE"""),"08")</f>
        <v>08</v>
      </c>
      <c r="J3761" s="115" t="str">
        <f>IFERROR(__xludf.DUMMYFUNCTION("""COMPUTED_VALUE"""),"Kandula Sampath2025-09-0808")</f>
        <v>Kandula Sampath2025-09-0808</v>
      </c>
      <c r="K3761" s="115">
        <f>IFERROR(__xludf.DUMMYFUNCTION("""COMPUTED_VALUE"""),68640.0)</f>
        <v>68640</v>
      </c>
    </row>
    <row r="3762">
      <c r="A3762" s="115" t="str">
        <f>IFERROR(__xludf.DUMMYFUNCTION("""COMPUTED_VALUE"""),"SOUTH")</f>
        <v>SOUTH</v>
      </c>
      <c r="B3762" s="115" t="str">
        <f>IFERROR(__xludf.DUMMYFUNCTION("""COMPUTED_VALUE"""),"Kandula Sampath")</f>
        <v>Kandula Sampath</v>
      </c>
      <c r="C3762" s="115" t="str">
        <f>IFERROR(__xludf.DUMMYFUNCTION("""COMPUTED_VALUE"""),"MYNTRA")</f>
        <v>MYNTRA</v>
      </c>
      <c r="D3762" s="115">
        <f>IFERROR(__xludf.DUMMYFUNCTION("""COMPUTED_VALUE"""),7888.0)</f>
        <v>7888</v>
      </c>
      <c r="E3762" s="115">
        <f>IFERROR(__xludf.DUMMYFUNCTION("""COMPUTED_VALUE"""),1340.0)</f>
        <v>1340</v>
      </c>
      <c r="F3762" s="115">
        <f>IFERROR(__xludf.DUMMYFUNCTION("""COMPUTED_VALUE"""),360.0)</f>
        <v>360</v>
      </c>
      <c r="G3762" s="115">
        <f>IFERROR(__xludf.DUMMYFUNCTION("""COMPUTED_VALUE"""),11.0)</f>
        <v>11</v>
      </c>
      <c r="H3762" s="116">
        <f>IFERROR(__xludf.DUMMYFUNCTION("""COMPUTED_VALUE"""),45908.0)</f>
        <v>45908</v>
      </c>
      <c r="I3762" s="115" t="str">
        <f>IFERROR(__xludf.DUMMYFUNCTION("""COMPUTED_VALUE"""),"08")</f>
        <v>08</v>
      </c>
      <c r="J3762" s="115" t="str">
        <f>IFERROR(__xludf.DUMMYFUNCTION("""COMPUTED_VALUE"""),"Kandula Sampath2025-09-0808")</f>
        <v>Kandula Sampath2025-09-0808</v>
      </c>
      <c r="K3762" s="115">
        <f>IFERROR(__xludf.DUMMYFUNCTION("""COMPUTED_VALUE"""),9228.0)</f>
        <v>9228</v>
      </c>
    </row>
    <row r="3763">
      <c r="A3763" s="115" t="str">
        <f>IFERROR(__xludf.DUMMYFUNCTION("""COMPUTED_VALUE"""),"SOUTH")</f>
        <v>SOUTH</v>
      </c>
      <c r="B3763" s="115" t="str">
        <f>IFERROR(__xludf.DUMMYFUNCTION("""COMPUTED_VALUE"""),"Martin A")</f>
        <v>Martin A</v>
      </c>
      <c r="C3763" s="115" t="str">
        <f>IFERROR(__xludf.DUMMYFUNCTION("""COMPUTED_VALUE"""),"EXTERNAL")</f>
        <v>EXTERNAL</v>
      </c>
      <c r="D3763" s="115">
        <f>IFERROR(__xludf.DUMMYFUNCTION("""COMPUTED_VALUE"""),5338.0)</f>
        <v>5338</v>
      </c>
      <c r="E3763" s="115">
        <f>IFERROR(__xludf.DUMMYFUNCTION("""COMPUTED_VALUE"""),602.0)</f>
        <v>602</v>
      </c>
      <c r="F3763" s="115">
        <f>IFERROR(__xludf.DUMMYFUNCTION("""COMPUTED_VALUE"""),36.0)</f>
        <v>36</v>
      </c>
      <c r="G3763" s="115">
        <f>IFERROR(__xludf.DUMMYFUNCTION("""COMPUTED_VALUE"""),0.0)</f>
        <v>0</v>
      </c>
      <c r="H3763" s="116">
        <f>IFERROR(__xludf.DUMMYFUNCTION("""COMPUTED_VALUE"""),45908.0)</f>
        <v>45908</v>
      </c>
      <c r="I3763" s="115" t="str">
        <f>IFERROR(__xludf.DUMMYFUNCTION("""COMPUTED_VALUE"""),"08")</f>
        <v>08</v>
      </c>
      <c r="J3763" s="115" t="str">
        <f>IFERROR(__xludf.DUMMYFUNCTION("""COMPUTED_VALUE"""),"Martin A2025-09-0808")</f>
        <v>Martin A2025-09-0808</v>
      </c>
      <c r="K3763" s="115">
        <f>IFERROR(__xludf.DUMMYFUNCTION("""COMPUTED_VALUE"""),5940.0)</f>
        <v>5940</v>
      </c>
    </row>
    <row r="3764">
      <c r="A3764" s="115" t="str">
        <f>IFERROR(__xludf.DUMMYFUNCTION("""COMPUTED_VALUE"""),"SOUTH")</f>
        <v>SOUTH</v>
      </c>
      <c r="B3764" s="115" t="str">
        <f>IFERROR(__xludf.DUMMYFUNCTION("""COMPUTED_VALUE"""),"Martin A")</f>
        <v>Martin A</v>
      </c>
      <c r="C3764" s="115" t="str">
        <f>IFERROR(__xludf.DUMMYFUNCTION("""COMPUTED_VALUE"""),"FLIPKART")</f>
        <v>FLIPKART</v>
      </c>
      <c r="D3764" s="115">
        <f>IFERROR(__xludf.DUMMYFUNCTION("""COMPUTED_VALUE"""),46380.0)</f>
        <v>46380</v>
      </c>
      <c r="E3764" s="115">
        <f>IFERROR(__xludf.DUMMYFUNCTION("""COMPUTED_VALUE"""),4069.0)</f>
        <v>4069</v>
      </c>
      <c r="F3764" s="115">
        <f>IFERROR(__xludf.DUMMYFUNCTION("""COMPUTED_VALUE"""),414.0)</f>
        <v>414</v>
      </c>
      <c r="G3764" s="115">
        <f>IFERROR(__xludf.DUMMYFUNCTION("""COMPUTED_VALUE"""),20.0)</f>
        <v>20</v>
      </c>
      <c r="H3764" s="116">
        <f>IFERROR(__xludf.DUMMYFUNCTION("""COMPUTED_VALUE"""),45908.0)</f>
        <v>45908</v>
      </c>
      <c r="I3764" s="115" t="str">
        <f>IFERROR(__xludf.DUMMYFUNCTION("""COMPUTED_VALUE"""),"08")</f>
        <v>08</v>
      </c>
      <c r="J3764" s="115" t="str">
        <f>IFERROR(__xludf.DUMMYFUNCTION("""COMPUTED_VALUE"""),"Martin A2025-09-0808")</f>
        <v>Martin A2025-09-0808</v>
      </c>
      <c r="K3764" s="115">
        <f>IFERROR(__xludf.DUMMYFUNCTION("""COMPUTED_VALUE"""),50449.0)</f>
        <v>50449</v>
      </c>
    </row>
    <row r="3765">
      <c r="A3765" s="115" t="str">
        <f>IFERROR(__xludf.DUMMYFUNCTION("""COMPUTED_VALUE"""),"SOUTH")</f>
        <v>SOUTH</v>
      </c>
      <c r="B3765" s="115" t="str">
        <f>IFERROR(__xludf.DUMMYFUNCTION("""COMPUTED_VALUE"""),"Martin A")</f>
        <v>Martin A</v>
      </c>
      <c r="C3765" s="115" t="str">
        <f>IFERROR(__xludf.DUMMYFUNCTION("""COMPUTED_VALUE"""),"MYNTRA")</f>
        <v>MYNTRA</v>
      </c>
      <c r="D3765" s="115">
        <f>IFERROR(__xludf.DUMMYFUNCTION("""COMPUTED_VALUE"""),5244.0)</f>
        <v>5244</v>
      </c>
      <c r="E3765" s="115">
        <f>IFERROR(__xludf.DUMMYFUNCTION("""COMPUTED_VALUE"""),1181.0)</f>
        <v>1181</v>
      </c>
      <c r="F3765" s="115">
        <f>IFERROR(__xludf.DUMMYFUNCTION("""COMPUTED_VALUE"""),49.0)</f>
        <v>49</v>
      </c>
      <c r="G3765" s="115">
        <f>IFERROR(__xludf.DUMMYFUNCTION("""COMPUTED_VALUE"""),6.0)</f>
        <v>6</v>
      </c>
      <c r="H3765" s="116">
        <f>IFERROR(__xludf.DUMMYFUNCTION("""COMPUTED_VALUE"""),45908.0)</f>
        <v>45908</v>
      </c>
      <c r="I3765" s="115" t="str">
        <f>IFERROR(__xludf.DUMMYFUNCTION("""COMPUTED_VALUE"""),"08")</f>
        <v>08</v>
      </c>
      <c r="J3765" s="115" t="str">
        <f>IFERROR(__xludf.DUMMYFUNCTION("""COMPUTED_VALUE"""),"Martin A2025-09-0808")</f>
        <v>Martin A2025-09-0808</v>
      </c>
      <c r="K3765" s="115">
        <f>IFERROR(__xludf.DUMMYFUNCTION("""COMPUTED_VALUE"""),6425.0)</f>
        <v>6425</v>
      </c>
    </row>
    <row r="3766">
      <c r="A3766" s="115" t="str">
        <f>IFERROR(__xludf.DUMMYFUNCTION("""COMPUTED_VALUE"""),"SOUTH")</f>
        <v>SOUTH</v>
      </c>
      <c r="B3766" s="115" t="str">
        <f>IFERROR(__xludf.DUMMYFUNCTION("""COMPUTED_VALUE"""),"Premkumar M")</f>
        <v>Premkumar M</v>
      </c>
      <c r="C3766" s="115" t="str">
        <f>IFERROR(__xludf.DUMMYFUNCTION("""COMPUTED_VALUE"""),"EXTERNAL")</f>
        <v>EXTERNAL</v>
      </c>
      <c r="D3766" s="115">
        <f>IFERROR(__xludf.DUMMYFUNCTION("""COMPUTED_VALUE"""),973.0)</f>
        <v>973</v>
      </c>
      <c r="E3766" s="115">
        <f>IFERROR(__xludf.DUMMYFUNCTION("""COMPUTED_VALUE"""),36.0)</f>
        <v>36</v>
      </c>
      <c r="F3766" s="115">
        <f>IFERROR(__xludf.DUMMYFUNCTION("""COMPUTED_VALUE"""),16.0)</f>
        <v>16</v>
      </c>
      <c r="G3766" s="115">
        <f>IFERROR(__xludf.DUMMYFUNCTION("""COMPUTED_VALUE"""),2.0)</f>
        <v>2</v>
      </c>
      <c r="H3766" s="116">
        <f>IFERROR(__xludf.DUMMYFUNCTION("""COMPUTED_VALUE"""),45908.0)</f>
        <v>45908</v>
      </c>
      <c r="I3766" s="115" t="str">
        <f>IFERROR(__xludf.DUMMYFUNCTION("""COMPUTED_VALUE"""),"08")</f>
        <v>08</v>
      </c>
      <c r="J3766" s="115" t="str">
        <f>IFERROR(__xludf.DUMMYFUNCTION("""COMPUTED_VALUE"""),"Premkumar M2025-09-0808")</f>
        <v>Premkumar M2025-09-0808</v>
      </c>
      <c r="K3766" s="115">
        <f>IFERROR(__xludf.DUMMYFUNCTION("""COMPUTED_VALUE"""),1009.0)</f>
        <v>1009</v>
      </c>
    </row>
    <row r="3767">
      <c r="A3767" s="115" t="str">
        <f>IFERROR(__xludf.DUMMYFUNCTION("""COMPUTED_VALUE"""),"SOUTH")</f>
        <v>SOUTH</v>
      </c>
      <c r="B3767" s="115" t="str">
        <f>IFERROR(__xludf.DUMMYFUNCTION("""COMPUTED_VALUE"""),"Premkumar M")</f>
        <v>Premkumar M</v>
      </c>
      <c r="C3767" s="115" t="str">
        <f>IFERROR(__xludf.DUMMYFUNCTION("""COMPUTED_VALUE"""),"FLIPKART")</f>
        <v>FLIPKART</v>
      </c>
      <c r="D3767" s="115">
        <f>IFERROR(__xludf.DUMMYFUNCTION("""COMPUTED_VALUE"""),9426.0)</f>
        <v>9426</v>
      </c>
      <c r="E3767" s="115">
        <f>IFERROR(__xludf.DUMMYFUNCTION("""COMPUTED_VALUE"""),659.0)</f>
        <v>659</v>
      </c>
      <c r="F3767" s="115">
        <f>IFERROR(__xludf.DUMMYFUNCTION("""COMPUTED_VALUE"""),232.0)</f>
        <v>232</v>
      </c>
      <c r="G3767" s="115">
        <f>IFERROR(__xludf.DUMMYFUNCTION("""COMPUTED_VALUE"""),15.0)</f>
        <v>15</v>
      </c>
      <c r="H3767" s="116">
        <f>IFERROR(__xludf.DUMMYFUNCTION("""COMPUTED_VALUE"""),45908.0)</f>
        <v>45908</v>
      </c>
      <c r="I3767" s="115" t="str">
        <f>IFERROR(__xludf.DUMMYFUNCTION("""COMPUTED_VALUE"""),"08")</f>
        <v>08</v>
      </c>
      <c r="J3767" s="115" t="str">
        <f>IFERROR(__xludf.DUMMYFUNCTION("""COMPUTED_VALUE"""),"Premkumar M2025-09-0808")</f>
        <v>Premkumar M2025-09-0808</v>
      </c>
      <c r="K3767" s="115">
        <f>IFERROR(__xludf.DUMMYFUNCTION("""COMPUTED_VALUE"""),10085.0)</f>
        <v>10085</v>
      </c>
    </row>
    <row r="3768">
      <c r="A3768" s="115" t="str">
        <f>IFERROR(__xludf.DUMMYFUNCTION("""COMPUTED_VALUE"""),"SOUTH")</f>
        <v>SOUTH</v>
      </c>
      <c r="B3768" s="115" t="str">
        <f>IFERROR(__xludf.DUMMYFUNCTION("""COMPUTED_VALUE"""),"Premkumar M")</f>
        <v>Premkumar M</v>
      </c>
      <c r="C3768" s="115" t="str">
        <f>IFERROR(__xludf.DUMMYFUNCTION("""COMPUTED_VALUE"""),"MYNTRA")</f>
        <v>MYNTRA</v>
      </c>
      <c r="D3768" s="115">
        <f>IFERROR(__xludf.DUMMYFUNCTION("""COMPUTED_VALUE"""),511.0)</f>
        <v>511</v>
      </c>
      <c r="E3768" s="115">
        <f>IFERROR(__xludf.DUMMYFUNCTION("""COMPUTED_VALUE"""),137.0)</f>
        <v>137</v>
      </c>
      <c r="F3768" s="115">
        <f>IFERROR(__xludf.DUMMYFUNCTION("""COMPUTED_VALUE"""),6.0)</f>
        <v>6</v>
      </c>
      <c r="G3768" s="115">
        <f>IFERROR(__xludf.DUMMYFUNCTION("""COMPUTED_VALUE"""),1.0)</f>
        <v>1</v>
      </c>
      <c r="H3768" s="116">
        <f>IFERROR(__xludf.DUMMYFUNCTION("""COMPUTED_VALUE"""),45908.0)</f>
        <v>45908</v>
      </c>
      <c r="I3768" s="115" t="str">
        <f>IFERROR(__xludf.DUMMYFUNCTION("""COMPUTED_VALUE"""),"08")</f>
        <v>08</v>
      </c>
      <c r="J3768" s="115" t="str">
        <f>IFERROR(__xludf.DUMMYFUNCTION("""COMPUTED_VALUE"""),"Premkumar M2025-09-0808")</f>
        <v>Premkumar M2025-09-0808</v>
      </c>
      <c r="K3768" s="115">
        <f>IFERROR(__xludf.DUMMYFUNCTION("""COMPUTED_VALUE"""),648.0)</f>
        <v>648</v>
      </c>
    </row>
    <row r="3769">
      <c r="A3769" s="115" t="str">
        <f>IFERROR(__xludf.DUMMYFUNCTION("""COMPUTED_VALUE"""),"SOUTH")</f>
        <v>SOUTH</v>
      </c>
      <c r="B3769" s="115" t="str">
        <f>IFERROR(__xludf.DUMMYFUNCTION("""COMPUTED_VALUE"""),"Vineeth V")</f>
        <v>Vineeth V</v>
      </c>
      <c r="C3769" s="115" t="str">
        <f>IFERROR(__xludf.DUMMYFUNCTION("""COMPUTED_VALUE"""),"EXTERNAL")</f>
        <v>EXTERNAL</v>
      </c>
      <c r="D3769" s="115">
        <f>IFERROR(__xludf.DUMMYFUNCTION("""COMPUTED_VALUE"""),366.0)</f>
        <v>366</v>
      </c>
      <c r="E3769" s="115">
        <f>IFERROR(__xludf.DUMMYFUNCTION("""COMPUTED_VALUE"""),7.0)</f>
        <v>7</v>
      </c>
      <c r="F3769" s="115">
        <f>IFERROR(__xludf.DUMMYFUNCTION("""COMPUTED_VALUE"""),5.0)</f>
        <v>5</v>
      </c>
      <c r="G3769" s="115">
        <f>IFERROR(__xludf.DUMMYFUNCTION("""COMPUTED_VALUE"""),0.0)</f>
        <v>0</v>
      </c>
      <c r="H3769" s="116">
        <f>IFERROR(__xludf.DUMMYFUNCTION("""COMPUTED_VALUE"""),45908.0)</f>
        <v>45908</v>
      </c>
      <c r="I3769" s="115" t="str">
        <f>IFERROR(__xludf.DUMMYFUNCTION("""COMPUTED_VALUE"""),"08")</f>
        <v>08</v>
      </c>
      <c r="J3769" s="115" t="str">
        <f>IFERROR(__xludf.DUMMYFUNCTION("""COMPUTED_VALUE"""),"Vineeth V2025-09-0808")</f>
        <v>Vineeth V2025-09-0808</v>
      </c>
      <c r="K3769" s="115">
        <f>IFERROR(__xludf.DUMMYFUNCTION("""COMPUTED_VALUE"""),373.0)</f>
        <v>373</v>
      </c>
    </row>
    <row r="3770">
      <c r="A3770" s="115" t="str">
        <f>IFERROR(__xludf.DUMMYFUNCTION("""COMPUTED_VALUE"""),"SOUTH")</f>
        <v>SOUTH</v>
      </c>
      <c r="B3770" s="115" t="str">
        <f>IFERROR(__xludf.DUMMYFUNCTION("""COMPUTED_VALUE"""),"Vineeth V")</f>
        <v>Vineeth V</v>
      </c>
      <c r="C3770" s="115" t="str">
        <f>IFERROR(__xludf.DUMMYFUNCTION("""COMPUTED_VALUE"""),"FLIPKART")</f>
        <v>FLIPKART</v>
      </c>
      <c r="D3770" s="115">
        <f>IFERROR(__xludf.DUMMYFUNCTION("""COMPUTED_VALUE"""),3936.0)</f>
        <v>3936</v>
      </c>
      <c r="E3770" s="115">
        <f>IFERROR(__xludf.DUMMYFUNCTION("""COMPUTED_VALUE"""),245.0)</f>
        <v>245</v>
      </c>
      <c r="F3770" s="115">
        <f>IFERROR(__xludf.DUMMYFUNCTION("""COMPUTED_VALUE"""),40.0)</f>
        <v>40</v>
      </c>
      <c r="G3770" s="115">
        <f>IFERROR(__xludf.DUMMYFUNCTION("""COMPUTED_VALUE"""),6.0)</f>
        <v>6</v>
      </c>
      <c r="H3770" s="116">
        <f>IFERROR(__xludf.DUMMYFUNCTION("""COMPUTED_VALUE"""),45908.0)</f>
        <v>45908</v>
      </c>
      <c r="I3770" s="115" t="str">
        <f>IFERROR(__xludf.DUMMYFUNCTION("""COMPUTED_VALUE"""),"08")</f>
        <v>08</v>
      </c>
      <c r="J3770" s="115" t="str">
        <f>IFERROR(__xludf.DUMMYFUNCTION("""COMPUTED_VALUE"""),"Vineeth V2025-09-0808")</f>
        <v>Vineeth V2025-09-0808</v>
      </c>
      <c r="K3770" s="115">
        <f>IFERROR(__xludf.DUMMYFUNCTION("""COMPUTED_VALUE"""),4181.0)</f>
        <v>4181</v>
      </c>
    </row>
    <row r="3771">
      <c r="A3771" s="115" t="str">
        <f>IFERROR(__xludf.DUMMYFUNCTION("""COMPUTED_VALUE"""),"SOUTH")</f>
        <v>SOUTH</v>
      </c>
      <c r="B3771" s="115" t="str">
        <f>IFERROR(__xludf.DUMMYFUNCTION("""COMPUTED_VALUE"""),"Vineeth V")</f>
        <v>Vineeth V</v>
      </c>
      <c r="C3771" s="115" t="str">
        <f>IFERROR(__xludf.DUMMYFUNCTION("""COMPUTED_VALUE"""),"MYNTRA")</f>
        <v>MYNTRA</v>
      </c>
      <c r="D3771" s="115">
        <f>IFERROR(__xludf.DUMMYFUNCTION("""COMPUTED_VALUE"""),388.0)</f>
        <v>388</v>
      </c>
      <c r="E3771" s="115">
        <f>IFERROR(__xludf.DUMMYFUNCTION("""COMPUTED_VALUE"""),67.0)</f>
        <v>67</v>
      </c>
      <c r="F3771" s="115">
        <f>IFERROR(__xludf.DUMMYFUNCTION("""COMPUTED_VALUE"""),9.0)</f>
        <v>9</v>
      </c>
      <c r="G3771" s="115">
        <f>IFERROR(__xludf.DUMMYFUNCTION("""COMPUTED_VALUE"""),3.0)</f>
        <v>3</v>
      </c>
      <c r="H3771" s="116">
        <f>IFERROR(__xludf.DUMMYFUNCTION("""COMPUTED_VALUE"""),45908.0)</f>
        <v>45908</v>
      </c>
      <c r="I3771" s="115" t="str">
        <f>IFERROR(__xludf.DUMMYFUNCTION("""COMPUTED_VALUE"""),"08")</f>
        <v>08</v>
      </c>
      <c r="J3771" s="115" t="str">
        <f>IFERROR(__xludf.DUMMYFUNCTION("""COMPUTED_VALUE"""),"Vineeth V2025-09-0808")</f>
        <v>Vineeth V2025-09-0808</v>
      </c>
      <c r="K3771" s="115">
        <f>IFERROR(__xludf.DUMMYFUNCTION("""COMPUTED_VALUE"""),455.0)</f>
        <v>455</v>
      </c>
    </row>
    <row r="3772">
      <c r="A3772" s="115" t="str">
        <f>IFERROR(__xludf.DUMMYFUNCTION("""COMPUTED_VALUE"""),"WEST")</f>
        <v>WEST</v>
      </c>
      <c r="B3772" s="115" t="str">
        <f>IFERROR(__xludf.DUMMYFUNCTION("""COMPUTED_VALUE"""),"Ashish Jakar")</f>
        <v>Ashish Jakar</v>
      </c>
      <c r="C3772" s="115" t="str">
        <f>IFERROR(__xludf.DUMMYFUNCTION("""COMPUTED_VALUE"""),"EXTERNAL")</f>
        <v>EXTERNAL</v>
      </c>
      <c r="D3772" s="115">
        <f>IFERROR(__xludf.DUMMYFUNCTION("""COMPUTED_VALUE"""),2863.0)</f>
        <v>2863</v>
      </c>
      <c r="E3772" s="115">
        <f>IFERROR(__xludf.DUMMYFUNCTION("""COMPUTED_VALUE"""),674.0)</f>
        <v>674</v>
      </c>
      <c r="F3772" s="115">
        <f>IFERROR(__xludf.DUMMYFUNCTION("""COMPUTED_VALUE"""),13.0)</f>
        <v>13</v>
      </c>
      <c r="G3772" s="115">
        <f>IFERROR(__xludf.DUMMYFUNCTION("""COMPUTED_VALUE"""),0.0)</f>
        <v>0</v>
      </c>
      <c r="H3772" s="116">
        <f>IFERROR(__xludf.DUMMYFUNCTION("""COMPUTED_VALUE"""),45908.0)</f>
        <v>45908</v>
      </c>
      <c r="I3772" s="115" t="str">
        <f>IFERROR(__xludf.DUMMYFUNCTION("""COMPUTED_VALUE"""),"08")</f>
        <v>08</v>
      </c>
      <c r="J3772" s="115" t="str">
        <f>IFERROR(__xludf.DUMMYFUNCTION("""COMPUTED_VALUE"""),"Ashish Jakar2025-09-0808")</f>
        <v>Ashish Jakar2025-09-0808</v>
      </c>
      <c r="K3772" s="115">
        <f>IFERROR(__xludf.DUMMYFUNCTION("""COMPUTED_VALUE"""),3537.0)</f>
        <v>3537</v>
      </c>
    </row>
    <row r="3773">
      <c r="A3773" s="115" t="str">
        <f>IFERROR(__xludf.DUMMYFUNCTION("""COMPUTED_VALUE"""),"WEST")</f>
        <v>WEST</v>
      </c>
      <c r="B3773" s="115" t="str">
        <f>IFERROR(__xludf.DUMMYFUNCTION("""COMPUTED_VALUE"""),"Ashish Jakar")</f>
        <v>Ashish Jakar</v>
      </c>
      <c r="C3773" s="115" t="str">
        <f>IFERROR(__xludf.DUMMYFUNCTION("""COMPUTED_VALUE"""),"FLIPKART")</f>
        <v>FLIPKART</v>
      </c>
      <c r="D3773" s="115">
        <f>IFERROR(__xludf.DUMMYFUNCTION("""COMPUTED_VALUE"""),19810.0)</f>
        <v>19810</v>
      </c>
      <c r="E3773" s="115">
        <f>IFERROR(__xludf.DUMMYFUNCTION("""COMPUTED_VALUE"""),2753.0)</f>
        <v>2753</v>
      </c>
      <c r="F3773" s="115">
        <f>IFERROR(__xludf.DUMMYFUNCTION("""COMPUTED_VALUE"""),146.0)</f>
        <v>146</v>
      </c>
      <c r="G3773" s="115">
        <f>IFERROR(__xludf.DUMMYFUNCTION("""COMPUTED_VALUE"""),4.0)</f>
        <v>4</v>
      </c>
      <c r="H3773" s="116">
        <f>IFERROR(__xludf.DUMMYFUNCTION("""COMPUTED_VALUE"""),45908.0)</f>
        <v>45908</v>
      </c>
      <c r="I3773" s="115" t="str">
        <f>IFERROR(__xludf.DUMMYFUNCTION("""COMPUTED_VALUE"""),"08")</f>
        <v>08</v>
      </c>
      <c r="J3773" s="115" t="str">
        <f>IFERROR(__xludf.DUMMYFUNCTION("""COMPUTED_VALUE"""),"Ashish Jakar2025-09-0808")</f>
        <v>Ashish Jakar2025-09-0808</v>
      </c>
      <c r="K3773" s="115">
        <f>IFERROR(__xludf.DUMMYFUNCTION("""COMPUTED_VALUE"""),22563.0)</f>
        <v>22563</v>
      </c>
    </row>
    <row r="3774">
      <c r="A3774" s="115" t="str">
        <f>IFERROR(__xludf.DUMMYFUNCTION("""COMPUTED_VALUE"""),"WEST")</f>
        <v>WEST</v>
      </c>
      <c r="B3774" s="115" t="str">
        <f>IFERROR(__xludf.DUMMYFUNCTION("""COMPUTED_VALUE"""),"Ashish Jakar")</f>
        <v>Ashish Jakar</v>
      </c>
      <c r="C3774" s="115" t="str">
        <f>IFERROR(__xludf.DUMMYFUNCTION("""COMPUTED_VALUE"""),"MYNTRA")</f>
        <v>MYNTRA</v>
      </c>
      <c r="D3774" s="115">
        <f>IFERROR(__xludf.DUMMYFUNCTION("""COMPUTED_VALUE"""),2419.0)</f>
        <v>2419</v>
      </c>
      <c r="E3774" s="115">
        <f>IFERROR(__xludf.DUMMYFUNCTION("""COMPUTED_VALUE"""),968.0)</f>
        <v>968</v>
      </c>
      <c r="F3774" s="115">
        <f>IFERROR(__xludf.DUMMYFUNCTION("""COMPUTED_VALUE"""),29.0)</f>
        <v>29</v>
      </c>
      <c r="G3774" s="115">
        <f>IFERROR(__xludf.DUMMYFUNCTION("""COMPUTED_VALUE"""),1.0)</f>
        <v>1</v>
      </c>
      <c r="H3774" s="116">
        <f>IFERROR(__xludf.DUMMYFUNCTION("""COMPUTED_VALUE"""),45908.0)</f>
        <v>45908</v>
      </c>
      <c r="I3774" s="115" t="str">
        <f>IFERROR(__xludf.DUMMYFUNCTION("""COMPUTED_VALUE"""),"08")</f>
        <v>08</v>
      </c>
      <c r="J3774" s="115" t="str">
        <f>IFERROR(__xludf.DUMMYFUNCTION("""COMPUTED_VALUE"""),"Ashish Jakar2025-09-0808")</f>
        <v>Ashish Jakar2025-09-0808</v>
      </c>
      <c r="K3774" s="115">
        <f>IFERROR(__xludf.DUMMYFUNCTION("""COMPUTED_VALUE"""),3387.0)</f>
        <v>3387</v>
      </c>
    </row>
    <row r="3775">
      <c r="A3775" s="115" t="str">
        <f>IFERROR(__xludf.DUMMYFUNCTION("""COMPUTED_VALUE"""),"WEST")</f>
        <v>WEST</v>
      </c>
      <c r="B3775" s="115" t="str">
        <f>IFERROR(__xludf.DUMMYFUNCTION("""COMPUTED_VALUE"""),"Ashvani Bhatt")</f>
        <v>Ashvani Bhatt</v>
      </c>
      <c r="C3775" s="115" t="str">
        <f>IFERROR(__xludf.DUMMYFUNCTION("""COMPUTED_VALUE"""),"EXTERNAL")</f>
        <v>EXTERNAL</v>
      </c>
      <c r="D3775" s="115">
        <f>IFERROR(__xludf.DUMMYFUNCTION("""COMPUTED_VALUE"""),2860.0)</f>
        <v>2860</v>
      </c>
      <c r="E3775" s="115">
        <f>IFERROR(__xludf.DUMMYFUNCTION("""COMPUTED_VALUE"""),130.0)</f>
        <v>130</v>
      </c>
      <c r="F3775" s="115">
        <f>IFERROR(__xludf.DUMMYFUNCTION("""COMPUTED_VALUE"""),14.0)</f>
        <v>14</v>
      </c>
      <c r="G3775" s="115">
        <f>IFERROR(__xludf.DUMMYFUNCTION("""COMPUTED_VALUE"""),0.0)</f>
        <v>0</v>
      </c>
      <c r="H3775" s="116">
        <f>IFERROR(__xludf.DUMMYFUNCTION("""COMPUTED_VALUE"""),45908.0)</f>
        <v>45908</v>
      </c>
      <c r="I3775" s="115" t="str">
        <f>IFERROR(__xludf.DUMMYFUNCTION("""COMPUTED_VALUE"""),"08")</f>
        <v>08</v>
      </c>
      <c r="J3775" s="115" t="str">
        <f>IFERROR(__xludf.DUMMYFUNCTION("""COMPUTED_VALUE"""),"Ashvani Bhatt2025-09-0808")</f>
        <v>Ashvani Bhatt2025-09-0808</v>
      </c>
      <c r="K3775" s="115">
        <f>IFERROR(__xludf.DUMMYFUNCTION("""COMPUTED_VALUE"""),2990.0)</f>
        <v>2990</v>
      </c>
    </row>
    <row r="3776">
      <c r="A3776" s="115" t="str">
        <f>IFERROR(__xludf.DUMMYFUNCTION("""COMPUTED_VALUE"""),"WEST")</f>
        <v>WEST</v>
      </c>
      <c r="B3776" s="115" t="str">
        <f>IFERROR(__xludf.DUMMYFUNCTION("""COMPUTED_VALUE"""),"Ashvani Bhatt")</f>
        <v>Ashvani Bhatt</v>
      </c>
      <c r="C3776" s="115" t="str">
        <f>IFERROR(__xludf.DUMMYFUNCTION("""COMPUTED_VALUE"""),"FLIPKART")</f>
        <v>FLIPKART</v>
      </c>
      <c r="D3776" s="115">
        <f>IFERROR(__xludf.DUMMYFUNCTION("""COMPUTED_VALUE"""),23647.0)</f>
        <v>23647</v>
      </c>
      <c r="E3776" s="115">
        <f>IFERROR(__xludf.DUMMYFUNCTION("""COMPUTED_VALUE"""),1706.0)</f>
        <v>1706</v>
      </c>
      <c r="F3776" s="115">
        <f>IFERROR(__xludf.DUMMYFUNCTION("""COMPUTED_VALUE"""),323.0)</f>
        <v>323</v>
      </c>
      <c r="G3776" s="115">
        <f>IFERROR(__xludf.DUMMYFUNCTION("""COMPUTED_VALUE"""),4.0)</f>
        <v>4</v>
      </c>
      <c r="H3776" s="116">
        <f>IFERROR(__xludf.DUMMYFUNCTION("""COMPUTED_VALUE"""),45908.0)</f>
        <v>45908</v>
      </c>
      <c r="I3776" s="115" t="str">
        <f>IFERROR(__xludf.DUMMYFUNCTION("""COMPUTED_VALUE"""),"08")</f>
        <v>08</v>
      </c>
      <c r="J3776" s="115" t="str">
        <f>IFERROR(__xludf.DUMMYFUNCTION("""COMPUTED_VALUE"""),"Ashvani Bhatt2025-09-0808")</f>
        <v>Ashvani Bhatt2025-09-0808</v>
      </c>
      <c r="K3776" s="115">
        <f>IFERROR(__xludf.DUMMYFUNCTION("""COMPUTED_VALUE"""),25353.0)</f>
        <v>25353</v>
      </c>
    </row>
    <row r="3777">
      <c r="A3777" s="115" t="str">
        <f>IFERROR(__xludf.DUMMYFUNCTION("""COMPUTED_VALUE"""),"WEST")</f>
        <v>WEST</v>
      </c>
      <c r="B3777" s="115" t="str">
        <f>IFERROR(__xludf.DUMMYFUNCTION("""COMPUTED_VALUE"""),"Ashvani Bhatt")</f>
        <v>Ashvani Bhatt</v>
      </c>
      <c r="C3777" s="115" t="str">
        <f>IFERROR(__xludf.DUMMYFUNCTION("""COMPUTED_VALUE"""),"MYNTRA")</f>
        <v>MYNTRA</v>
      </c>
      <c r="D3777" s="115">
        <f>IFERROR(__xludf.DUMMYFUNCTION("""COMPUTED_VALUE"""),3968.0)</f>
        <v>3968</v>
      </c>
      <c r="E3777" s="115">
        <f>IFERROR(__xludf.DUMMYFUNCTION("""COMPUTED_VALUE"""),668.0)</f>
        <v>668</v>
      </c>
      <c r="F3777" s="115">
        <f>IFERROR(__xludf.DUMMYFUNCTION("""COMPUTED_VALUE"""),55.0)</f>
        <v>55</v>
      </c>
      <c r="G3777" s="115">
        <f>IFERROR(__xludf.DUMMYFUNCTION("""COMPUTED_VALUE"""),2.0)</f>
        <v>2</v>
      </c>
      <c r="H3777" s="116">
        <f>IFERROR(__xludf.DUMMYFUNCTION("""COMPUTED_VALUE"""),45908.0)</f>
        <v>45908</v>
      </c>
      <c r="I3777" s="115" t="str">
        <f>IFERROR(__xludf.DUMMYFUNCTION("""COMPUTED_VALUE"""),"08")</f>
        <v>08</v>
      </c>
      <c r="J3777" s="115" t="str">
        <f>IFERROR(__xludf.DUMMYFUNCTION("""COMPUTED_VALUE"""),"Ashvani Bhatt2025-09-0808")</f>
        <v>Ashvani Bhatt2025-09-0808</v>
      </c>
      <c r="K3777" s="115">
        <f>IFERROR(__xludf.DUMMYFUNCTION("""COMPUTED_VALUE"""),4636.0)</f>
        <v>4636</v>
      </c>
    </row>
    <row r="3778">
      <c r="A3778" s="115"/>
      <c r="B3778" s="115"/>
      <c r="C3778" s="115" t="str">
        <f>IFERROR(__xludf.DUMMYFUNCTION("""COMPUTED_VALUE"""),"EXTERNAL")</f>
        <v>EXTERNAL</v>
      </c>
      <c r="D3778" s="115">
        <f>IFERROR(__xludf.DUMMYFUNCTION("""COMPUTED_VALUE"""),22.0)</f>
        <v>22</v>
      </c>
      <c r="E3778" s="115">
        <f>IFERROR(__xludf.DUMMYFUNCTION("""COMPUTED_VALUE"""),31.0)</f>
        <v>31</v>
      </c>
      <c r="F3778" s="115">
        <f>IFERROR(__xludf.DUMMYFUNCTION("""COMPUTED_VALUE"""),0.0)</f>
        <v>0</v>
      </c>
      <c r="G3778" s="115">
        <f>IFERROR(__xludf.DUMMYFUNCTION("""COMPUTED_VALUE"""),3.0)</f>
        <v>3</v>
      </c>
      <c r="H3778" s="116">
        <f>IFERROR(__xludf.DUMMYFUNCTION("""COMPUTED_VALUE"""),45908.0)</f>
        <v>45908</v>
      </c>
      <c r="I3778" s="115" t="str">
        <f>IFERROR(__xludf.DUMMYFUNCTION("""COMPUTED_VALUE"""),"08")</f>
        <v>08</v>
      </c>
      <c r="J3778" s="115" t="str">
        <f>IFERROR(__xludf.DUMMYFUNCTION("""COMPUTED_VALUE"""),"2025-09-0808")</f>
        <v>2025-09-0808</v>
      </c>
      <c r="K3778" s="115">
        <f>IFERROR(__xludf.DUMMYFUNCTION("""COMPUTED_VALUE"""),53.0)</f>
        <v>53</v>
      </c>
    </row>
    <row r="3779">
      <c r="A3779" s="115"/>
      <c r="B3779" s="115"/>
      <c r="C3779" s="115" t="str">
        <f>IFERROR(__xludf.DUMMYFUNCTION("""COMPUTED_VALUE"""),"FLIPKART")</f>
        <v>FLIPKART</v>
      </c>
      <c r="D3779" s="115">
        <f>IFERROR(__xludf.DUMMYFUNCTION("""COMPUTED_VALUE"""),384.0)</f>
        <v>384</v>
      </c>
      <c r="E3779" s="115">
        <f>IFERROR(__xludf.DUMMYFUNCTION("""COMPUTED_VALUE"""),69.0)</f>
        <v>69</v>
      </c>
      <c r="F3779" s="115">
        <f>IFERROR(__xludf.DUMMYFUNCTION("""COMPUTED_VALUE"""),1.0)</f>
        <v>1</v>
      </c>
      <c r="G3779" s="115">
        <f>IFERROR(__xludf.DUMMYFUNCTION("""COMPUTED_VALUE"""),6.0)</f>
        <v>6</v>
      </c>
      <c r="H3779" s="116">
        <f>IFERROR(__xludf.DUMMYFUNCTION("""COMPUTED_VALUE"""),45908.0)</f>
        <v>45908</v>
      </c>
      <c r="I3779" s="115" t="str">
        <f>IFERROR(__xludf.DUMMYFUNCTION("""COMPUTED_VALUE"""),"08")</f>
        <v>08</v>
      </c>
      <c r="J3779" s="115" t="str">
        <f>IFERROR(__xludf.DUMMYFUNCTION("""COMPUTED_VALUE"""),"2025-09-0808")</f>
        <v>2025-09-0808</v>
      </c>
      <c r="K3779" s="115">
        <f>IFERROR(__xludf.DUMMYFUNCTION("""COMPUTED_VALUE"""),453.0)</f>
        <v>453</v>
      </c>
    </row>
    <row r="3780">
      <c r="A3780" s="115"/>
      <c r="B3780" s="115"/>
      <c r="C3780" s="115" t="str">
        <f>IFERROR(__xludf.DUMMYFUNCTION("""COMPUTED_VALUE"""),"MYNTRA")</f>
        <v>MYNTRA</v>
      </c>
      <c r="D3780" s="115">
        <f>IFERROR(__xludf.DUMMYFUNCTION("""COMPUTED_VALUE"""),23.0)</f>
        <v>23</v>
      </c>
      <c r="E3780" s="115">
        <f>IFERROR(__xludf.DUMMYFUNCTION("""COMPUTED_VALUE"""),32.0)</f>
        <v>32</v>
      </c>
      <c r="F3780" s="115">
        <f>IFERROR(__xludf.DUMMYFUNCTION("""COMPUTED_VALUE"""),1.0)</f>
        <v>1</v>
      </c>
      <c r="G3780" s="115">
        <f>IFERROR(__xludf.DUMMYFUNCTION("""COMPUTED_VALUE"""),1.0)</f>
        <v>1</v>
      </c>
      <c r="H3780" s="116">
        <f>IFERROR(__xludf.DUMMYFUNCTION("""COMPUTED_VALUE"""),45908.0)</f>
        <v>45908</v>
      </c>
      <c r="I3780" s="115" t="str">
        <f>IFERROR(__xludf.DUMMYFUNCTION("""COMPUTED_VALUE"""),"08")</f>
        <v>08</v>
      </c>
      <c r="J3780" s="115" t="str">
        <f>IFERROR(__xludf.DUMMYFUNCTION("""COMPUTED_VALUE"""),"2025-09-0808")</f>
        <v>2025-09-0808</v>
      </c>
      <c r="K3780" s="115">
        <f>IFERROR(__xludf.DUMMYFUNCTION("""COMPUTED_VALUE"""),55.0)</f>
        <v>55</v>
      </c>
    </row>
    <row r="3781">
      <c r="A3781" s="115" t="str">
        <f>IFERROR(__xludf.DUMMYFUNCTION("""COMPUTED_VALUE"""),"EAST")</f>
        <v>EAST</v>
      </c>
      <c r="B3781" s="115" t="str">
        <f>IFERROR(__xludf.DUMMYFUNCTION("""COMPUTED_VALUE"""),"Ashish Ranjan")</f>
        <v>Ashish Ranjan</v>
      </c>
      <c r="C3781" s="115" t="str">
        <f>IFERROR(__xludf.DUMMYFUNCTION("""COMPUTED_VALUE"""),"EXTERNAL")</f>
        <v>EXTERNAL</v>
      </c>
      <c r="D3781" s="115">
        <f>IFERROR(__xludf.DUMMYFUNCTION("""COMPUTED_VALUE"""),14899.0)</f>
        <v>14899</v>
      </c>
      <c r="E3781" s="115">
        <f>IFERROR(__xludf.DUMMYFUNCTION("""COMPUTED_VALUE"""),871.0)</f>
        <v>871</v>
      </c>
      <c r="F3781" s="115">
        <f>IFERROR(__xludf.DUMMYFUNCTION("""COMPUTED_VALUE"""),301.0)</f>
        <v>301</v>
      </c>
      <c r="G3781" s="115">
        <f>IFERROR(__xludf.DUMMYFUNCTION("""COMPUTED_VALUE"""),22.0)</f>
        <v>22</v>
      </c>
      <c r="H3781" s="116">
        <f>IFERROR(__xludf.DUMMYFUNCTION("""COMPUTED_VALUE"""),45908.0)</f>
        <v>45908</v>
      </c>
      <c r="I3781" s="115" t="str">
        <f>IFERROR(__xludf.DUMMYFUNCTION("""COMPUTED_VALUE"""),"09")</f>
        <v>09</v>
      </c>
      <c r="J3781" s="115" t="str">
        <f>IFERROR(__xludf.DUMMYFUNCTION("""COMPUTED_VALUE"""),"Ashish Ranjan2025-09-0809")</f>
        <v>Ashish Ranjan2025-09-0809</v>
      </c>
      <c r="K3781" s="115">
        <f>IFERROR(__xludf.DUMMYFUNCTION("""COMPUTED_VALUE"""),15770.0)</f>
        <v>15770</v>
      </c>
    </row>
    <row r="3782">
      <c r="A3782" s="115" t="str">
        <f>IFERROR(__xludf.DUMMYFUNCTION("""COMPUTED_VALUE"""),"EAST")</f>
        <v>EAST</v>
      </c>
      <c r="B3782" s="115" t="str">
        <f>IFERROR(__xludf.DUMMYFUNCTION("""COMPUTED_VALUE"""),"Ashish Ranjan")</f>
        <v>Ashish Ranjan</v>
      </c>
      <c r="C3782" s="115" t="str">
        <f>IFERROR(__xludf.DUMMYFUNCTION("""COMPUTED_VALUE"""),"FLIPKART")</f>
        <v>FLIPKART</v>
      </c>
      <c r="D3782" s="115">
        <f>IFERROR(__xludf.DUMMYFUNCTION("""COMPUTED_VALUE"""),240315.0)</f>
        <v>240315</v>
      </c>
      <c r="E3782" s="115">
        <f>IFERROR(__xludf.DUMMYFUNCTION("""COMPUTED_VALUE"""),18084.0)</f>
        <v>18084</v>
      </c>
      <c r="F3782" s="115">
        <f>IFERROR(__xludf.DUMMYFUNCTION("""COMPUTED_VALUE"""),7574.0)</f>
        <v>7574</v>
      </c>
      <c r="G3782" s="115">
        <f>IFERROR(__xludf.DUMMYFUNCTION("""COMPUTED_VALUE"""),225.0)</f>
        <v>225</v>
      </c>
      <c r="H3782" s="116">
        <f>IFERROR(__xludf.DUMMYFUNCTION("""COMPUTED_VALUE"""),45908.0)</f>
        <v>45908</v>
      </c>
      <c r="I3782" s="115" t="str">
        <f>IFERROR(__xludf.DUMMYFUNCTION("""COMPUTED_VALUE"""),"09")</f>
        <v>09</v>
      </c>
      <c r="J3782" s="115" t="str">
        <f>IFERROR(__xludf.DUMMYFUNCTION("""COMPUTED_VALUE"""),"Ashish Ranjan2025-09-0809")</f>
        <v>Ashish Ranjan2025-09-0809</v>
      </c>
      <c r="K3782" s="115">
        <f>IFERROR(__xludf.DUMMYFUNCTION("""COMPUTED_VALUE"""),258399.0)</f>
        <v>258399</v>
      </c>
    </row>
    <row r="3783">
      <c r="A3783" s="115" t="str">
        <f>IFERROR(__xludf.DUMMYFUNCTION("""COMPUTED_VALUE"""),"EAST")</f>
        <v>EAST</v>
      </c>
      <c r="B3783" s="115" t="str">
        <f>IFERROR(__xludf.DUMMYFUNCTION("""COMPUTED_VALUE"""),"Ashish Ranjan")</f>
        <v>Ashish Ranjan</v>
      </c>
      <c r="C3783" s="115" t="str">
        <f>IFERROR(__xludf.DUMMYFUNCTION("""COMPUTED_VALUE"""),"MYNTRA")</f>
        <v>MYNTRA</v>
      </c>
      <c r="D3783" s="115">
        <f>IFERROR(__xludf.DUMMYFUNCTION("""COMPUTED_VALUE"""),25806.0)</f>
        <v>25806</v>
      </c>
      <c r="E3783" s="115">
        <f>IFERROR(__xludf.DUMMYFUNCTION("""COMPUTED_VALUE"""),4246.0)</f>
        <v>4246</v>
      </c>
      <c r="F3783" s="115">
        <f>IFERROR(__xludf.DUMMYFUNCTION("""COMPUTED_VALUE"""),1063.0)</f>
        <v>1063</v>
      </c>
      <c r="G3783" s="115">
        <f>IFERROR(__xludf.DUMMYFUNCTION("""COMPUTED_VALUE"""),33.0)</f>
        <v>33</v>
      </c>
      <c r="H3783" s="116">
        <f>IFERROR(__xludf.DUMMYFUNCTION("""COMPUTED_VALUE"""),45908.0)</f>
        <v>45908</v>
      </c>
      <c r="I3783" s="115" t="str">
        <f>IFERROR(__xludf.DUMMYFUNCTION("""COMPUTED_VALUE"""),"09")</f>
        <v>09</v>
      </c>
      <c r="J3783" s="115" t="str">
        <f>IFERROR(__xludf.DUMMYFUNCTION("""COMPUTED_VALUE"""),"Ashish Ranjan2025-09-0809")</f>
        <v>Ashish Ranjan2025-09-0809</v>
      </c>
      <c r="K3783" s="115">
        <f>IFERROR(__xludf.DUMMYFUNCTION("""COMPUTED_VALUE"""),30052.0)</f>
        <v>30052</v>
      </c>
    </row>
    <row r="3784">
      <c r="A3784" s="115" t="str">
        <f>IFERROR(__xludf.DUMMYFUNCTION("""COMPUTED_VALUE"""),"EAST")</f>
        <v>EAST</v>
      </c>
      <c r="B3784" s="115" t="str">
        <f>IFERROR(__xludf.DUMMYFUNCTION("""COMPUTED_VALUE"""),"Girish Chand")</f>
        <v>Girish Chand</v>
      </c>
      <c r="C3784" s="115" t="str">
        <f>IFERROR(__xludf.DUMMYFUNCTION("""COMPUTED_VALUE"""),"EXTERNAL")</f>
        <v>EXTERNAL</v>
      </c>
      <c r="D3784" s="115">
        <f>IFERROR(__xludf.DUMMYFUNCTION("""COMPUTED_VALUE"""),8680.0)</f>
        <v>8680</v>
      </c>
      <c r="E3784" s="115">
        <f>IFERROR(__xludf.DUMMYFUNCTION("""COMPUTED_VALUE"""),505.0)</f>
        <v>505</v>
      </c>
      <c r="F3784" s="115">
        <f>IFERROR(__xludf.DUMMYFUNCTION("""COMPUTED_VALUE"""),141.0)</f>
        <v>141</v>
      </c>
      <c r="G3784" s="115">
        <f>IFERROR(__xludf.DUMMYFUNCTION("""COMPUTED_VALUE"""),4.0)</f>
        <v>4</v>
      </c>
      <c r="H3784" s="116">
        <f>IFERROR(__xludf.DUMMYFUNCTION("""COMPUTED_VALUE"""),45908.0)</f>
        <v>45908</v>
      </c>
      <c r="I3784" s="115" t="str">
        <f>IFERROR(__xludf.DUMMYFUNCTION("""COMPUTED_VALUE"""),"09")</f>
        <v>09</v>
      </c>
      <c r="J3784" s="115" t="str">
        <f>IFERROR(__xludf.DUMMYFUNCTION("""COMPUTED_VALUE"""),"Girish Chand2025-09-0809")</f>
        <v>Girish Chand2025-09-0809</v>
      </c>
      <c r="K3784" s="115">
        <f>IFERROR(__xludf.DUMMYFUNCTION("""COMPUTED_VALUE"""),9185.0)</f>
        <v>9185</v>
      </c>
    </row>
    <row r="3785">
      <c r="A3785" s="115" t="str">
        <f>IFERROR(__xludf.DUMMYFUNCTION("""COMPUTED_VALUE"""),"EAST")</f>
        <v>EAST</v>
      </c>
      <c r="B3785" s="115" t="str">
        <f>IFERROR(__xludf.DUMMYFUNCTION("""COMPUTED_VALUE"""),"Girish Chand")</f>
        <v>Girish Chand</v>
      </c>
      <c r="C3785" s="115" t="str">
        <f>IFERROR(__xludf.DUMMYFUNCTION("""COMPUTED_VALUE"""),"FLIPKART")</f>
        <v>FLIPKART</v>
      </c>
      <c r="D3785" s="115">
        <f>IFERROR(__xludf.DUMMYFUNCTION("""COMPUTED_VALUE"""),144643.0)</f>
        <v>144643</v>
      </c>
      <c r="E3785" s="115">
        <f>IFERROR(__xludf.DUMMYFUNCTION("""COMPUTED_VALUE"""),10582.0)</f>
        <v>10582</v>
      </c>
      <c r="F3785" s="115">
        <f>IFERROR(__xludf.DUMMYFUNCTION("""COMPUTED_VALUE"""),3828.0)</f>
        <v>3828</v>
      </c>
      <c r="G3785" s="115">
        <f>IFERROR(__xludf.DUMMYFUNCTION("""COMPUTED_VALUE"""),196.0)</f>
        <v>196</v>
      </c>
      <c r="H3785" s="116">
        <f>IFERROR(__xludf.DUMMYFUNCTION("""COMPUTED_VALUE"""),45908.0)</f>
        <v>45908</v>
      </c>
      <c r="I3785" s="115" t="str">
        <f>IFERROR(__xludf.DUMMYFUNCTION("""COMPUTED_VALUE"""),"09")</f>
        <v>09</v>
      </c>
      <c r="J3785" s="115" t="str">
        <f>IFERROR(__xludf.DUMMYFUNCTION("""COMPUTED_VALUE"""),"Girish Chand2025-09-0809")</f>
        <v>Girish Chand2025-09-0809</v>
      </c>
      <c r="K3785" s="115">
        <f>IFERROR(__xludf.DUMMYFUNCTION("""COMPUTED_VALUE"""),155225.0)</f>
        <v>155225</v>
      </c>
    </row>
    <row r="3786">
      <c r="A3786" s="115" t="str">
        <f>IFERROR(__xludf.DUMMYFUNCTION("""COMPUTED_VALUE"""),"EAST")</f>
        <v>EAST</v>
      </c>
      <c r="B3786" s="115" t="str">
        <f>IFERROR(__xludf.DUMMYFUNCTION("""COMPUTED_VALUE"""),"Girish Chand")</f>
        <v>Girish Chand</v>
      </c>
      <c r="C3786" s="115" t="str">
        <f>IFERROR(__xludf.DUMMYFUNCTION("""COMPUTED_VALUE"""),"MYNTRA")</f>
        <v>MYNTRA</v>
      </c>
      <c r="D3786" s="115">
        <f>IFERROR(__xludf.DUMMYFUNCTION("""COMPUTED_VALUE"""),14786.0)</f>
        <v>14786</v>
      </c>
      <c r="E3786" s="115">
        <f>IFERROR(__xludf.DUMMYFUNCTION("""COMPUTED_VALUE"""),2036.0)</f>
        <v>2036</v>
      </c>
      <c r="F3786" s="115">
        <f>IFERROR(__xludf.DUMMYFUNCTION("""COMPUTED_VALUE"""),519.0)</f>
        <v>519</v>
      </c>
      <c r="G3786" s="115">
        <f>IFERROR(__xludf.DUMMYFUNCTION("""COMPUTED_VALUE"""),28.0)</f>
        <v>28</v>
      </c>
      <c r="H3786" s="116">
        <f>IFERROR(__xludf.DUMMYFUNCTION("""COMPUTED_VALUE"""),45908.0)</f>
        <v>45908</v>
      </c>
      <c r="I3786" s="115" t="str">
        <f>IFERROR(__xludf.DUMMYFUNCTION("""COMPUTED_VALUE"""),"09")</f>
        <v>09</v>
      </c>
      <c r="J3786" s="115" t="str">
        <f>IFERROR(__xludf.DUMMYFUNCTION("""COMPUTED_VALUE"""),"Girish Chand2025-09-0809")</f>
        <v>Girish Chand2025-09-0809</v>
      </c>
      <c r="K3786" s="115">
        <f>IFERROR(__xludf.DUMMYFUNCTION("""COMPUTED_VALUE"""),16822.0)</f>
        <v>16822</v>
      </c>
    </row>
    <row r="3787">
      <c r="A3787" s="115" t="str">
        <f>IFERROR(__xludf.DUMMYFUNCTION("""COMPUTED_VALUE"""),"EAST")</f>
        <v>EAST</v>
      </c>
      <c r="B3787" s="115" t="str">
        <f>IFERROR(__xludf.DUMMYFUNCTION("""COMPUTED_VALUE"""),"Parag Kashyap")</f>
        <v>Parag Kashyap</v>
      </c>
      <c r="C3787" s="115" t="str">
        <f>IFERROR(__xludf.DUMMYFUNCTION("""COMPUTED_VALUE"""),"EXTERNAL")</f>
        <v>EXTERNAL</v>
      </c>
      <c r="D3787" s="115">
        <f>IFERROR(__xludf.DUMMYFUNCTION("""COMPUTED_VALUE"""),4669.0)</f>
        <v>4669</v>
      </c>
      <c r="E3787" s="115">
        <f>IFERROR(__xludf.DUMMYFUNCTION("""COMPUTED_VALUE"""),188.0)</f>
        <v>188</v>
      </c>
      <c r="F3787" s="115">
        <f>IFERROR(__xludf.DUMMYFUNCTION("""COMPUTED_VALUE"""),53.0)</f>
        <v>53</v>
      </c>
      <c r="G3787" s="115">
        <f>IFERROR(__xludf.DUMMYFUNCTION("""COMPUTED_VALUE"""),0.0)</f>
        <v>0</v>
      </c>
      <c r="H3787" s="116">
        <f>IFERROR(__xludf.DUMMYFUNCTION("""COMPUTED_VALUE"""),45908.0)</f>
        <v>45908</v>
      </c>
      <c r="I3787" s="115" t="str">
        <f>IFERROR(__xludf.DUMMYFUNCTION("""COMPUTED_VALUE"""),"09")</f>
        <v>09</v>
      </c>
      <c r="J3787" s="115" t="str">
        <f>IFERROR(__xludf.DUMMYFUNCTION("""COMPUTED_VALUE"""),"Parag Kashyap2025-09-0809")</f>
        <v>Parag Kashyap2025-09-0809</v>
      </c>
      <c r="K3787" s="115">
        <f>IFERROR(__xludf.DUMMYFUNCTION("""COMPUTED_VALUE"""),4857.0)</f>
        <v>4857</v>
      </c>
    </row>
    <row r="3788">
      <c r="A3788" s="115" t="str">
        <f>IFERROR(__xludf.DUMMYFUNCTION("""COMPUTED_VALUE"""),"EAST")</f>
        <v>EAST</v>
      </c>
      <c r="B3788" s="115" t="str">
        <f>IFERROR(__xludf.DUMMYFUNCTION("""COMPUTED_VALUE"""),"Parag Kashyap")</f>
        <v>Parag Kashyap</v>
      </c>
      <c r="C3788" s="115" t="str">
        <f>IFERROR(__xludf.DUMMYFUNCTION("""COMPUTED_VALUE"""),"FLIPKART")</f>
        <v>FLIPKART</v>
      </c>
      <c r="D3788" s="115">
        <f>IFERROR(__xludf.DUMMYFUNCTION("""COMPUTED_VALUE"""),89181.0)</f>
        <v>89181</v>
      </c>
      <c r="E3788" s="115">
        <f>IFERROR(__xludf.DUMMYFUNCTION("""COMPUTED_VALUE"""),3934.0)</f>
        <v>3934</v>
      </c>
      <c r="F3788" s="115">
        <f>IFERROR(__xludf.DUMMYFUNCTION("""COMPUTED_VALUE"""),1578.0)</f>
        <v>1578</v>
      </c>
      <c r="G3788" s="115">
        <f>IFERROR(__xludf.DUMMYFUNCTION("""COMPUTED_VALUE"""),64.0)</f>
        <v>64</v>
      </c>
      <c r="H3788" s="116">
        <f>IFERROR(__xludf.DUMMYFUNCTION("""COMPUTED_VALUE"""),45908.0)</f>
        <v>45908</v>
      </c>
      <c r="I3788" s="115" t="str">
        <f>IFERROR(__xludf.DUMMYFUNCTION("""COMPUTED_VALUE"""),"09")</f>
        <v>09</v>
      </c>
      <c r="J3788" s="115" t="str">
        <f>IFERROR(__xludf.DUMMYFUNCTION("""COMPUTED_VALUE"""),"Parag Kashyap2025-09-0809")</f>
        <v>Parag Kashyap2025-09-0809</v>
      </c>
      <c r="K3788" s="115">
        <f>IFERROR(__xludf.DUMMYFUNCTION("""COMPUTED_VALUE"""),93115.0)</f>
        <v>93115</v>
      </c>
    </row>
    <row r="3789">
      <c r="A3789" s="115" t="str">
        <f>IFERROR(__xludf.DUMMYFUNCTION("""COMPUTED_VALUE"""),"EAST")</f>
        <v>EAST</v>
      </c>
      <c r="B3789" s="115" t="str">
        <f>IFERROR(__xludf.DUMMYFUNCTION("""COMPUTED_VALUE"""),"Parag Kashyap")</f>
        <v>Parag Kashyap</v>
      </c>
      <c r="C3789" s="115" t="str">
        <f>IFERROR(__xludf.DUMMYFUNCTION("""COMPUTED_VALUE"""),"MYNTRA")</f>
        <v>MYNTRA</v>
      </c>
      <c r="D3789" s="115">
        <f>IFERROR(__xludf.DUMMYFUNCTION("""COMPUTED_VALUE"""),11137.0)</f>
        <v>11137</v>
      </c>
      <c r="E3789" s="115">
        <f>IFERROR(__xludf.DUMMYFUNCTION("""COMPUTED_VALUE"""),1200.0)</f>
        <v>1200</v>
      </c>
      <c r="F3789" s="115">
        <f>IFERROR(__xludf.DUMMYFUNCTION("""COMPUTED_VALUE"""),259.0)</f>
        <v>259</v>
      </c>
      <c r="G3789" s="115">
        <f>IFERROR(__xludf.DUMMYFUNCTION("""COMPUTED_VALUE"""),8.0)</f>
        <v>8</v>
      </c>
      <c r="H3789" s="116">
        <f>IFERROR(__xludf.DUMMYFUNCTION("""COMPUTED_VALUE"""),45908.0)</f>
        <v>45908</v>
      </c>
      <c r="I3789" s="115" t="str">
        <f>IFERROR(__xludf.DUMMYFUNCTION("""COMPUTED_VALUE"""),"09")</f>
        <v>09</v>
      </c>
      <c r="J3789" s="115" t="str">
        <f>IFERROR(__xludf.DUMMYFUNCTION("""COMPUTED_VALUE"""),"Parag Kashyap2025-09-0809")</f>
        <v>Parag Kashyap2025-09-0809</v>
      </c>
      <c r="K3789" s="115">
        <f>IFERROR(__xludf.DUMMYFUNCTION("""COMPUTED_VALUE"""),12337.0)</f>
        <v>12337</v>
      </c>
    </row>
    <row r="3790">
      <c r="A3790" s="115" t="str">
        <f>IFERROR(__xludf.DUMMYFUNCTION("""COMPUTED_VALUE"""),"NORTH")</f>
        <v>NORTH</v>
      </c>
      <c r="B3790" s="115" t="str">
        <f>IFERROR(__xludf.DUMMYFUNCTION("""COMPUTED_VALUE"""),"Amit Kumar Pathak")</f>
        <v>Amit Kumar Pathak</v>
      </c>
      <c r="C3790" s="115" t="str">
        <f>IFERROR(__xludf.DUMMYFUNCTION("""COMPUTED_VALUE"""),"EXTERNAL")</f>
        <v>EXTERNAL</v>
      </c>
      <c r="D3790" s="115">
        <f>IFERROR(__xludf.DUMMYFUNCTION("""COMPUTED_VALUE"""),13240.0)</f>
        <v>13240</v>
      </c>
      <c r="E3790" s="115">
        <f>IFERROR(__xludf.DUMMYFUNCTION("""COMPUTED_VALUE"""),1330.0)</f>
        <v>1330</v>
      </c>
      <c r="F3790" s="115">
        <f>IFERROR(__xludf.DUMMYFUNCTION("""COMPUTED_VALUE"""),171.0)</f>
        <v>171</v>
      </c>
      <c r="G3790" s="115">
        <f>IFERROR(__xludf.DUMMYFUNCTION("""COMPUTED_VALUE"""),18.0)</f>
        <v>18</v>
      </c>
      <c r="H3790" s="116">
        <f>IFERROR(__xludf.DUMMYFUNCTION("""COMPUTED_VALUE"""),45908.0)</f>
        <v>45908</v>
      </c>
      <c r="I3790" s="115" t="str">
        <f>IFERROR(__xludf.DUMMYFUNCTION("""COMPUTED_VALUE"""),"09")</f>
        <v>09</v>
      </c>
      <c r="J3790" s="115" t="str">
        <f>IFERROR(__xludf.DUMMYFUNCTION("""COMPUTED_VALUE"""),"Amit Kumar Pathak2025-09-0809")</f>
        <v>Amit Kumar Pathak2025-09-0809</v>
      </c>
      <c r="K3790" s="115">
        <f>IFERROR(__xludf.DUMMYFUNCTION("""COMPUTED_VALUE"""),14570.0)</f>
        <v>14570</v>
      </c>
    </row>
    <row r="3791">
      <c r="A3791" s="115" t="str">
        <f>IFERROR(__xludf.DUMMYFUNCTION("""COMPUTED_VALUE"""),"NORTH")</f>
        <v>NORTH</v>
      </c>
      <c r="B3791" s="115" t="str">
        <f>IFERROR(__xludf.DUMMYFUNCTION("""COMPUTED_VALUE"""),"Amit Kumar Pathak")</f>
        <v>Amit Kumar Pathak</v>
      </c>
      <c r="C3791" s="115" t="str">
        <f>IFERROR(__xludf.DUMMYFUNCTION("""COMPUTED_VALUE"""),"FLIPKART")</f>
        <v>FLIPKART</v>
      </c>
      <c r="D3791" s="115">
        <f>IFERROR(__xludf.DUMMYFUNCTION("""COMPUTED_VALUE"""),76382.0)</f>
        <v>76382</v>
      </c>
      <c r="E3791" s="115">
        <f>IFERROR(__xludf.DUMMYFUNCTION("""COMPUTED_VALUE"""),9696.0)</f>
        <v>9696</v>
      </c>
      <c r="F3791" s="115">
        <f>IFERROR(__xludf.DUMMYFUNCTION("""COMPUTED_VALUE"""),2418.0)</f>
        <v>2418</v>
      </c>
      <c r="G3791" s="115">
        <f>IFERROR(__xludf.DUMMYFUNCTION("""COMPUTED_VALUE"""),150.0)</f>
        <v>150</v>
      </c>
      <c r="H3791" s="116">
        <f>IFERROR(__xludf.DUMMYFUNCTION("""COMPUTED_VALUE"""),45908.0)</f>
        <v>45908</v>
      </c>
      <c r="I3791" s="115" t="str">
        <f>IFERROR(__xludf.DUMMYFUNCTION("""COMPUTED_VALUE"""),"09")</f>
        <v>09</v>
      </c>
      <c r="J3791" s="115" t="str">
        <f>IFERROR(__xludf.DUMMYFUNCTION("""COMPUTED_VALUE"""),"Amit Kumar Pathak2025-09-0809")</f>
        <v>Amit Kumar Pathak2025-09-0809</v>
      </c>
      <c r="K3791" s="115">
        <f>IFERROR(__xludf.DUMMYFUNCTION("""COMPUTED_VALUE"""),86078.0)</f>
        <v>86078</v>
      </c>
    </row>
    <row r="3792">
      <c r="A3792" s="115" t="str">
        <f>IFERROR(__xludf.DUMMYFUNCTION("""COMPUTED_VALUE"""),"NORTH")</f>
        <v>NORTH</v>
      </c>
      <c r="B3792" s="115" t="str">
        <f>IFERROR(__xludf.DUMMYFUNCTION("""COMPUTED_VALUE"""),"Amit Kumar Pathak")</f>
        <v>Amit Kumar Pathak</v>
      </c>
      <c r="C3792" s="115" t="str">
        <f>IFERROR(__xludf.DUMMYFUNCTION("""COMPUTED_VALUE"""),"MYNTRA")</f>
        <v>MYNTRA</v>
      </c>
      <c r="D3792" s="115">
        <f>IFERROR(__xludf.DUMMYFUNCTION("""COMPUTED_VALUE"""),8333.0)</f>
        <v>8333</v>
      </c>
      <c r="E3792" s="115">
        <f>IFERROR(__xludf.DUMMYFUNCTION("""COMPUTED_VALUE"""),2902.0)</f>
        <v>2902</v>
      </c>
      <c r="F3792" s="115">
        <f>IFERROR(__xludf.DUMMYFUNCTION("""COMPUTED_VALUE"""),302.0)</f>
        <v>302</v>
      </c>
      <c r="G3792" s="115">
        <f>IFERROR(__xludf.DUMMYFUNCTION("""COMPUTED_VALUE"""),54.0)</f>
        <v>54</v>
      </c>
      <c r="H3792" s="116">
        <f>IFERROR(__xludf.DUMMYFUNCTION("""COMPUTED_VALUE"""),45908.0)</f>
        <v>45908</v>
      </c>
      <c r="I3792" s="115" t="str">
        <f>IFERROR(__xludf.DUMMYFUNCTION("""COMPUTED_VALUE"""),"09")</f>
        <v>09</v>
      </c>
      <c r="J3792" s="115" t="str">
        <f>IFERROR(__xludf.DUMMYFUNCTION("""COMPUTED_VALUE"""),"Amit Kumar Pathak2025-09-0809")</f>
        <v>Amit Kumar Pathak2025-09-0809</v>
      </c>
      <c r="K3792" s="115">
        <f>IFERROR(__xludf.DUMMYFUNCTION("""COMPUTED_VALUE"""),11235.0)</f>
        <v>11235</v>
      </c>
    </row>
    <row r="3793">
      <c r="A3793" s="115" t="str">
        <f>IFERROR(__xludf.DUMMYFUNCTION("""COMPUTED_VALUE"""),"NORTH")</f>
        <v>NORTH</v>
      </c>
      <c r="B3793" s="115" t="str">
        <f>IFERROR(__xludf.DUMMYFUNCTION("""COMPUTED_VALUE"""),"Loveleen Singh")</f>
        <v>Loveleen Singh</v>
      </c>
      <c r="C3793" s="115" t="str">
        <f>IFERROR(__xludf.DUMMYFUNCTION("""COMPUTED_VALUE"""),"EXTERNAL")</f>
        <v>EXTERNAL</v>
      </c>
      <c r="D3793" s="115">
        <f>IFERROR(__xludf.DUMMYFUNCTION("""COMPUTED_VALUE"""),6986.0)</f>
        <v>6986</v>
      </c>
      <c r="E3793" s="115">
        <f>IFERROR(__xludf.DUMMYFUNCTION("""COMPUTED_VALUE"""),373.0)</f>
        <v>373</v>
      </c>
      <c r="F3793" s="115">
        <f>IFERROR(__xludf.DUMMYFUNCTION("""COMPUTED_VALUE"""),119.0)</f>
        <v>119</v>
      </c>
      <c r="G3793" s="115">
        <f>IFERROR(__xludf.DUMMYFUNCTION("""COMPUTED_VALUE"""),9.0)</f>
        <v>9</v>
      </c>
      <c r="H3793" s="116">
        <f>IFERROR(__xludf.DUMMYFUNCTION("""COMPUTED_VALUE"""),45908.0)</f>
        <v>45908</v>
      </c>
      <c r="I3793" s="115" t="str">
        <f>IFERROR(__xludf.DUMMYFUNCTION("""COMPUTED_VALUE"""),"09")</f>
        <v>09</v>
      </c>
      <c r="J3793" s="115" t="str">
        <f>IFERROR(__xludf.DUMMYFUNCTION("""COMPUTED_VALUE"""),"Loveleen Singh2025-09-0809")</f>
        <v>Loveleen Singh2025-09-0809</v>
      </c>
      <c r="K3793" s="115">
        <f>IFERROR(__xludf.DUMMYFUNCTION("""COMPUTED_VALUE"""),7359.0)</f>
        <v>7359</v>
      </c>
    </row>
    <row r="3794">
      <c r="A3794" s="115" t="str">
        <f>IFERROR(__xludf.DUMMYFUNCTION("""COMPUTED_VALUE"""),"NORTH")</f>
        <v>NORTH</v>
      </c>
      <c r="B3794" s="115" t="str">
        <f>IFERROR(__xludf.DUMMYFUNCTION("""COMPUTED_VALUE"""),"Loveleen Singh")</f>
        <v>Loveleen Singh</v>
      </c>
      <c r="C3794" s="115" t="str">
        <f>IFERROR(__xludf.DUMMYFUNCTION("""COMPUTED_VALUE"""),"FLIPKART")</f>
        <v>FLIPKART</v>
      </c>
      <c r="D3794" s="115">
        <f>IFERROR(__xludf.DUMMYFUNCTION("""COMPUTED_VALUE"""),38714.0)</f>
        <v>38714</v>
      </c>
      <c r="E3794" s="115">
        <f>IFERROR(__xludf.DUMMYFUNCTION("""COMPUTED_VALUE"""),2559.0)</f>
        <v>2559</v>
      </c>
      <c r="F3794" s="115">
        <f>IFERROR(__xludf.DUMMYFUNCTION("""COMPUTED_VALUE"""),1433.0)</f>
        <v>1433</v>
      </c>
      <c r="G3794" s="115">
        <f>IFERROR(__xludf.DUMMYFUNCTION("""COMPUTED_VALUE"""),56.0)</f>
        <v>56</v>
      </c>
      <c r="H3794" s="116">
        <f>IFERROR(__xludf.DUMMYFUNCTION("""COMPUTED_VALUE"""),45908.0)</f>
        <v>45908</v>
      </c>
      <c r="I3794" s="115" t="str">
        <f>IFERROR(__xludf.DUMMYFUNCTION("""COMPUTED_VALUE"""),"09")</f>
        <v>09</v>
      </c>
      <c r="J3794" s="115" t="str">
        <f>IFERROR(__xludf.DUMMYFUNCTION("""COMPUTED_VALUE"""),"Loveleen Singh2025-09-0809")</f>
        <v>Loveleen Singh2025-09-0809</v>
      </c>
      <c r="K3794" s="115">
        <f>IFERROR(__xludf.DUMMYFUNCTION("""COMPUTED_VALUE"""),41273.0)</f>
        <v>41273</v>
      </c>
    </row>
    <row r="3795">
      <c r="A3795" s="115" t="str">
        <f>IFERROR(__xludf.DUMMYFUNCTION("""COMPUTED_VALUE"""),"NORTH")</f>
        <v>NORTH</v>
      </c>
      <c r="B3795" s="115" t="str">
        <f>IFERROR(__xludf.DUMMYFUNCTION("""COMPUTED_VALUE"""),"Loveleen Singh")</f>
        <v>Loveleen Singh</v>
      </c>
      <c r="C3795" s="115" t="str">
        <f>IFERROR(__xludf.DUMMYFUNCTION("""COMPUTED_VALUE"""),"MYNTRA")</f>
        <v>MYNTRA</v>
      </c>
      <c r="D3795" s="115">
        <f>IFERROR(__xludf.DUMMYFUNCTION("""COMPUTED_VALUE"""),8065.0)</f>
        <v>8065</v>
      </c>
      <c r="E3795" s="115">
        <f>IFERROR(__xludf.DUMMYFUNCTION("""COMPUTED_VALUE"""),1185.0)</f>
        <v>1185</v>
      </c>
      <c r="F3795" s="115">
        <f>IFERROR(__xludf.DUMMYFUNCTION("""COMPUTED_VALUE"""),328.0)</f>
        <v>328</v>
      </c>
      <c r="G3795" s="115">
        <f>IFERROR(__xludf.DUMMYFUNCTION("""COMPUTED_VALUE"""),23.0)</f>
        <v>23</v>
      </c>
      <c r="H3795" s="116">
        <f>IFERROR(__xludf.DUMMYFUNCTION("""COMPUTED_VALUE"""),45908.0)</f>
        <v>45908</v>
      </c>
      <c r="I3795" s="115" t="str">
        <f>IFERROR(__xludf.DUMMYFUNCTION("""COMPUTED_VALUE"""),"09")</f>
        <v>09</v>
      </c>
      <c r="J3795" s="115" t="str">
        <f>IFERROR(__xludf.DUMMYFUNCTION("""COMPUTED_VALUE"""),"Loveleen Singh2025-09-0809")</f>
        <v>Loveleen Singh2025-09-0809</v>
      </c>
      <c r="K3795" s="115">
        <f>IFERROR(__xludf.DUMMYFUNCTION("""COMPUTED_VALUE"""),9250.0)</f>
        <v>9250</v>
      </c>
    </row>
    <row r="3796">
      <c r="A3796" s="115" t="str">
        <f>IFERROR(__xludf.DUMMYFUNCTION("""COMPUTED_VALUE"""),"NORTH")</f>
        <v>NORTH</v>
      </c>
      <c r="B3796" s="115" t="str">
        <f>IFERROR(__xludf.DUMMYFUNCTION("""COMPUTED_VALUE"""),"Manoj Harsh")</f>
        <v>Manoj Harsh</v>
      </c>
      <c r="C3796" s="115" t="str">
        <f>IFERROR(__xludf.DUMMYFUNCTION("""COMPUTED_VALUE"""),"EXTERNAL")</f>
        <v>EXTERNAL</v>
      </c>
      <c r="D3796" s="115">
        <f>IFERROR(__xludf.DUMMYFUNCTION("""COMPUTED_VALUE"""),9057.0)</f>
        <v>9057</v>
      </c>
      <c r="E3796" s="115">
        <f>IFERROR(__xludf.DUMMYFUNCTION("""COMPUTED_VALUE"""),714.0)</f>
        <v>714</v>
      </c>
      <c r="F3796" s="115">
        <f>IFERROR(__xludf.DUMMYFUNCTION("""COMPUTED_VALUE"""),117.0)</f>
        <v>117</v>
      </c>
      <c r="G3796" s="115">
        <f>IFERROR(__xludf.DUMMYFUNCTION("""COMPUTED_VALUE"""),7.0)</f>
        <v>7</v>
      </c>
      <c r="H3796" s="116">
        <f>IFERROR(__xludf.DUMMYFUNCTION("""COMPUTED_VALUE"""),45908.0)</f>
        <v>45908</v>
      </c>
      <c r="I3796" s="115" t="str">
        <f>IFERROR(__xludf.DUMMYFUNCTION("""COMPUTED_VALUE"""),"09")</f>
        <v>09</v>
      </c>
      <c r="J3796" s="115" t="str">
        <f>IFERROR(__xludf.DUMMYFUNCTION("""COMPUTED_VALUE"""),"Manoj Harsh2025-09-0809")</f>
        <v>Manoj Harsh2025-09-0809</v>
      </c>
      <c r="K3796" s="115">
        <f>IFERROR(__xludf.DUMMYFUNCTION("""COMPUTED_VALUE"""),9771.0)</f>
        <v>9771</v>
      </c>
    </row>
    <row r="3797">
      <c r="A3797" s="115" t="str">
        <f>IFERROR(__xludf.DUMMYFUNCTION("""COMPUTED_VALUE"""),"NORTH")</f>
        <v>NORTH</v>
      </c>
      <c r="B3797" s="115" t="str">
        <f>IFERROR(__xludf.DUMMYFUNCTION("""COMPUTED_VALUE"""),"Manoj Harsh")</f>
        <v>Manoj Harsh</v>
      </c>
      <c r="C3797" s="115" t="str">
        <f>IFERROR(__xludf.DUMMYFUNCTION("""COMPUTED_VALUE"""),"FLIPKART")</f>
        <v>FLIPKART</v>
      </c>
      <c r="D3797" s="115">
        <f>IFERROR(__xludf.DUMMYFUNCTION("""COMPUTED_VALUE"""),104057.0)</f>
        <v>104057</v>
      </c>
      <c r="E3797" s="115">
        <f>IFERROR(__xludf.DUMMYFUNCTION("""COMPUTED_VALUE"""),10058.0)</f>
        <v>10058</v>
      </c>
      <c r="F3797" s="115">
        <f>IFERROR(__xludf.DUMMYFUNCTION("""COMPUTED_VALUE"""),2376.0)</f>
        <v>2376</v>
      </c>
      <c r="G3797" s="115">
        <f>IFERROR(__xludf.DUMMYFUNCTION("""COMPUTED_VALUE"""),186.0)</f>
        <v>186</v>
      </c>
      <c r="H3797" s="116">
        <f>IFERROR(__xludf.DUMMYFUNCTION("""COMPUTED_VALUE"""),45908.0)</f>
        <v>45908</v>
      </c>
      <c r="I3797" s="115" t="str">
        <f>IFERROR(__xludf.DUMMYFUNCTION("""COMPUTED_VALUE"""),"09")</f>
        <v>09</v>
      </c>
      <c r="J3797" s="115" t="str">
        <f>IFERROR(__xludf.DUMMYFUNCTION("""COMPUTED_VALUE"""),"Manoj Harsh2025-09-0809")</f>
        <v>Manoj Harsh2025-09-0809</v>
      </c>
      <c r="K3797" s="115">
        <f>IFERROR(__xludf.DUMMYFUNCTION("""COMPUTED_VALUE"""),114115.0)</f>
        <v>114115</v>
      </c>
    </row>
    <row r="3798">
      <c r="A3798" s="115" t="str">
        <f>IFERROR(__xludf.DUMMYFUNCTION("""COMPUTED_VALUE"""),"NORTH")</f>
        <v>NORTH</v>
      </c>
      <c r="B3798" s="115" t="str">
        <f>IFERROR(__xludf.DUMMYFUNCTION("""COMPUTED_VALUE"""),"Manoj Harsh")</f>
        <v>Manoj Harsh</v>
      </c>
      <c r="C3798" s="115" t="str">
        <f>IFERROR(__xludf.DUMMYFUNCTION("""COMPUTED_VALUE"""),"MYNTRA")</f>
        <v>MYNTRA</v>
      </c>
      <c r="D3798" s="115">
        <f>IFERROR(__xludf.DUMMYFUNCTION("""COMPUTED_VALUE"""),11865.0)</f>
        <v>11865</v>
      </c>
      <c r="E3798" s="115">
        <f>IFERROR(__xludf.DUMMYFUNCTION("""COMPUTED_VALUE"""),2084.0)</f>
        <v>2084</v>
      </c>
      <c r="F3798" s="115">
        <f>IFERROR(__xludf.DUMMYFUNCTION("""COMPUTED_VALUE"""),359.0)</f>
        <v>359</v>
      </c>
      <c r="G3798" s="115">
        <f>IFERROR(__xludf.DUMMYFUNCTION("""COMPUTED_VALUE"""),32.0)</f>
        <v>32</v>
      </c>
      <c r="H3798" s="116">
        <f>IFERROR(__xludf.DUMMYFUNCTION("""COMPUTED_VALUE"""),45908.0)</f>
        <v>45908</v>
      </c>
      <c r="I3798" s="115" t="str">
        <f>IFERROR(__xludf.DUMMYFUNCTION("""COMPUTED_VALUE"""),"09")</f>
        <v>09</v>
      </c>
      <c r="J3798" s="115" t="str">
        <f>IFERROR(__xludf.DUMMYFUNCTION("""COMPUTED_VALUE"""),"Manoj Harsh2025-09-0809")</f>
        <v>Manoj Harsh2025-09-0809</v>
      </c>
      <c r="K3798" s="115">
        <f>IFERROR(__xludf.DUMMYFUNCTION("""COMPUTED_VALUE"""),13949.0)</f>
        <v>13949</v>
      </c>
    </row>
    <row r="3799">
      <c r="A3799" s="115" t="str">
        <f>IFERROR(__xludf.DUMMYFUNCTION("""COMPUTED_VALUE"""),"NORTH")</f>
        <v>NORTH</v>
      </c>
      <c r="B3799" s="115" t="str">
        <f>IFERROR(__xludf.DUMMYFUNCTION("""COMPUTED_VALUE"""),"Pradeep Kothari")</f>
        <v>Pradeep Kothari</v>
      </c>
      <c r="C3799" s="115" t="str">
        <f>IFERROR(__xludf.DUMMYFUNCTION("""COMPUTED_VALUE"""),"EXTERNAL")</f>
        <v>EXTERNAL</v>
      </c>
      <c r="D3799" s="115">
        <f>IFERROR(__xludf.DUMMYFUNCTION("""COMPUTED_VALUE"""),5820.0)</f>
        <v>5820</v>
      </c>
      <c r="E3799" s="115">
        <f>IFERROR(__xludf.DUMMYFUNCTION("""COMPUTED_VALUE"""),478.0)</f>
        <v>478</v>
      </c>
      <c r="F3799" s="115">
        <f>IFERROR(__xludf.DUMMYFUNCTION("""COMPUTED_VALUE"""),89.0)</f>
        <v>89</v>
      </c>
      <c r="G3799" s="115">
        <f>IFERROR(__xludf.DUMMYFUNCTION("""COMPUTED_VALUE"""),4.0)</f>
        <v>4</v>
      </c>
      <c r="H3799" s="116">
        <f>IFERROR(__xludf.DUMMYFUNCTION("""COMPUTED_VALUE"""),45908.0)</f>
        <v>45908</v>
      </c>
      <c r="I3799" s="115" t="str">
        <f>IFERROR(__xludf.DUMMYFUNCTION("""COMPUTED_VALUE"""),"09")</f>
        <v>09</v>
      </c>
      <c r="J3799" s="115" t="str">
        <f>IFERROR(__xludf.DUMMYFUNCTION("""COMPUTED_VALUE"""),"Pradeep Kothari2025-09-0809")</f>
        <v>Pradeep Kothari2025-09-0809</v>
      </c>
      <c r="K3799" s="115">
        <f>IFERROR(__xludf.DUMMYFUNCTION("""COMPUTED_VALUE"""),6298.0)</f>
        <v>6298</v>
      </c>
    </row>
    <row r="3800">
      <c r="A3800" s="115" t="str">
        <f>IFERROR(__xludf.DUMMYFUNCTION("""COMPUTED_VALUE"""),"NORTH")</f>
        <v>NORTH</v>
      </c>
      <c r="B3800" s="115" t="str">
        <f>IFERROR(__xludf.DUMMYFUNCTION("""COMPUTED_VALUE"""),"Pradeep Kothari")</f>
        <v>Pradeep Kothari</v>
      </c>
      <c r="C3800" s="115" t="str">
        <f>IFERROR(__xludf.DUMMYFUNCTION("""COMPUTED_VALUE"""),"FLIPKART")</f>
        <v>FLIPKART</v>
      </c>
      <c r="D3800" s="115">
        <f>IFERROR(__xludf.DUMMYFUNCTION("""COMPUTED_VALUE"""),40762.0)</f>
        <v>40762</v>
      </c>
      <c r="E3800" s="115">
        <f>IFERROR(__xludf.DUMMYFUNCTION("""COMPUTED_VALUE"""),4292.0)</f>
        <v>4292</v>
      </c>
      <c r="F3800" s="115">
        <f>IFERROR(__xludf.DUMMYFUNCTION("""COMPUTED_VALUE"""),1460.0)</f>
        <v>1460</v>
      </c>
      <c r="G3800" s="115">
        <f>IFERROR(__xludf.DUMMYFUNCTION("""COMPUTED_VALUE"""),110.0)</f>
        <v>110</v>
      </c>
      <c r="H3800" s="116">
        <f>IFERROR(__xludf.DUMMYFUNCTION("""COMPUTED_VALUE"""),45908.0)</f>
        <v>45908</v>
      </c>
      <c r="I3800" s="115" t="str">
        <f>IFERROR(__xludf.DUMMYFUNCTION("""COMPUTED_VALUE"""),"09")</f>
        <v>09</v>
      </c>
      <c r="J3800" s="115" t="str">
        <f>IFERROR(__xludf.DUMMYFUNCTION("""COMPUTED_VALUE"""),"Pradeep Kothari2025-09-0809")</f>
        <v>Pradeep Kothari2025-09-0809</v>
      </c>
      <c r="K3800" s="115">
        <f>IFERROR(__xludf.DUMMYFUNCTION("""COMPUTED_VALUE"""),45054.0)</f>
        <v>45054</v>
      </c>
    </row>
    <row r="3801">
      <c r="A3801" s="115" t="str">
        <f>IFERROR(__xludf.DUMMYFUNCTION("""COMPUTED_VALUE"""),"NORTH")</f>
        <v>NORTH</v>
      </c>
      <c r="B3801" s="115" t="str">
        <f>IFERROR(__xludf.DUMMYFUNCTION("""COMPUTED_VALUE"""),"Pradeep Kothari")</f>
        <v>Pradeep Kothari</v>
      </c>
      <c r="C3801" s="115" t="str">
        <f>IFERROR(__xludf.DUMMYFUNCTION("""COMPUTED_VALUE"""),"MYNTRA")</f>
        <v>MYNTRA</v>
      </c>
      <c r="D3801" s="115">
        <f>IFERROR(__xludf.DUMMYFUNCTION("""COMPUTED_VALUE"""),9199.0)</f>
        <v>9199</v>
      </c>
      <c r="E3801" s="115">
        <f>IFERROR(__xludf.DUMMYFUNCTION("""COMPUTED_VALUE"""),1547.0)</f>
        <v>1547</v>
      </c>
      <c r="F3801" s="115">
        <f>IFERROR(__xludf.DUMMYFUNCTION("""COMPUTED_VALUE"""),506.0)</f>
        <v>506</v>
      </c>
      <c r="G3801" s="115">
        <f>IFERROR(__xludf.DUMMYFUNCTION("""COMPUTED_VALUE"""),46.0)</f>
        <v>46</v>
      </c>
      <c r="H3801" s="116">
        <f>IFERROR(__xludf.DUMMYFUNCTION("""COMPUTED_VALUE"""),45908.0)</f>
        <v>45908</v>
      </c>
      <c r="I3801" s="115" t="str">
        <f>IFERROR(__xludf.DUMMYFUNCTION("""COMPUTED_VALUE"""),"09")</f>
        <v>09</v>
      </c>
      <c r="J3801" s="115" t="str">
        <f>IFERROR(__xludf.DUMMYFUNCTION("""COMPUTED_VALUE"""),"Pradeep Kothari2025-09-0809")</f>
        <v>Pradeep Kothari2025-09-0809</v>
      </c>
      <c r="K3801" s="115">
        <f>IFERROR(__xludf.DUMMYFUNCTION("""COMPUTED_VALUE"""),10746.0)</f>
        <v>10746</v>
      </c>
    </row>
    <row r="3802">
      <c r="A3802" s="115" t="str">
        <f>IFERROR(__xludf.DUMMYFUNCTION("""COMPUTED_VALUE"""),"SOUTH")</f>
        <v>SOUTH</v>
      </c>
      <c r="B3802" s="115" t="str">
        <f>IFERROR(__xludf.DUMMYFUNCTION("""COMPUTED_VALUE"""),"Kandula Sampath")</f>
        <v>Kandula Sampath</v>
      </c>
      <c r="C3802" s="115" t="str">
        <f>IFERROR(__xludf.DUMMYFUNCTION("""COMPUTED_VALUE"""),"EXTERNAL")</f>
        <v>EXTERNAL</v>
      </c>
      <c r="D3802" s="115">
        <f>IFERROR(__xludf.DUMMYFUNCTION("""COMPUTED_VALUE"""),15020.0)</f>
        <v>15020</v>
      </c>
      <c r="E3802" s="115">
        <f>IFERROR(__xludf.DUMMYFUNCTION("""COMPUTED_VALUE"""),1106.0)</f>
        <v>1106</v>
      </c>
      <c r="F3802" s="115">
        <f>IFERROR(__xludf.DUMMYFUNCTION("""COMPUTED_VALUE"""),462.0)</f>
        <v>462</v>
      </c>
      <c r="G3802" s="115">
        <f>IFERROR(__xludf.DUMMYFUNCTION("""COMPUTED_VALUE"""),10.0)</f>
        <v>10</v>
      </c>
      <c r="H3802" s="116">
        <f>IFERROR(__xludf.DUMMYFUNCTION("""COMPUTED_VALUE"""),45908.0)</f>
        <v>45908</v>
      </c>
      <c r="I3802" s="115" t="str">
        <f>IFERROR(__xludf.DUMMYFUNCTION("""COMPUTED_VALUE"""),"09")</f>
        <v>09</v>
      </c>
      <c r="J3802" s="115" t="str">
        <f>IFERROR(__xludf.DUMMYFUNCTION("""COMPUTED_VALUE"""),"Kandula Sampath2025-09-0809")</f>
        <v>Kandula Sampath2025-09-0809</v>
      </c>
      <c r="K3802" s="115">
        <f>IFERROR(__xludf.DUMMYFUNCTION("""COMPUTED_VALUE"""),16126.0)</f>
        <v>16126</v>
      </c>
    </row>
    <row r="3803">
      <c r="A3803" s="115" t="str">
        <f>IFERROR(__xludf.DUMMYFUNCTION("""COMPUTED_VALUE"""),"SOUTH")</f>
        <v>SOUTH</v>
      </c>
      <c r="B3803" s="115" t="str">
        <f>IFERROR(__xludf.DUMMYFUNCTION("""COMPUTED_VALUE"""),"Kandula Sampath")</f>
        <v>Kandula Sampath</v>
      </c>
      <c r="C3803" s="115" t="str">
        <f>IFERROR(__xludf.DUMMYFUNCTION("""COMPUTED_VALUE"""),"FLIPKART")</f>
        <v>FLIPKART</v>
      </c>
      <c r="D3803" s="115">
        <f>IFERROR(__xludf.DUMMYFUNCTION("""COMPUTED_VALUE"""),156524.0)</f>
        <v>156524</v>
      </c>
      <c r="E3803" s="115">
        <f>IFERROR(__xludf.DUMMYFUNCTION("""COMPUTED_VALUE"""),10684.0)</f>
        <v>10684</v>
      </c>
      <c r="F3803" s="115">
        <f>IFERROR(__xludf.DUMMYFUNCTION("""COMPUTED_VALUE"""),9721.0)</f>
        <v>9721</v>
      </c>
      <c r="G3803" s="115">
        <f>IFERROR(__xludf.DUMMYFUNCTION("""COMPUTED_VALUE"""),131.0)</f>
        <v>131</v>
      </c>
      <c r="H3803" s="116">
        <f>IFERROR(__xludf.DUMMYFUNCTION("""COMPUTED_VALUE"""),45908.0)</f>
        <v>45908</v>
      </c>
      <c r="I3803" s="115" t="str">
        <f>IFERROR(__xludf.DUMMYFUNCTION("""COMPUTED_VALUE"""),"09")</f>
        <v>09</v>
      </c>
      <c r="J3803" s="115" t="str">
        <f>IFERROR(__xludf.DUMMYFUNCTION("""COMPUTED_VALUE"""),"Kandula Sampath2025-09-0809")</f>
        <v>Kandula Sampath2025-09-0809</v>
      </c>
      <c r="K3803" s="115">
        <f>IFERROR(__xludf.DUMMYFUNCTION("""COMPUTED_VALUE"""),167208.0)</f>
        <v>167208</v>
      </c>
    </row>
    <row r="3804">
      <c r="A3804" s="115" t="str">
        <f>IFERROR(__xludf.DUMMYFUNCTION("""COMPUTED_VALUE"""),"SOUTH")</f>
        <v>SOUTH</v>
      </c>
      <c r="B3804" s="115" t="str">
        <f>IFERROR(__xludf.DUMMYFUNCTION("""COMPUTED_VALUE"""),"Kandula Sampath")</f>
        <v>Kandula Sampath</v>
      </c>
      <c r="C3804" s="115" t="str">
        <f>IFERROR(__xludf.DUMMYFUNCTION("""COMPUTED_VALUE"""),"MYNTRA")</f>
        <v>MYNTRA</v>
      </c>
      <c r="D3804" s="115">
        <f>IFERROR(__xludf.DUMMYFUNCTION("""COMPUTED_VALUE"""),18695.0)</f>
        <v>18695</v>
      </c>
      <c r="E3804" s="115">
        <f>IFERROR(__xludf.DUMMYFUNCTION("""COMPUTED_VALUE"""),3114.0)</f>
        <v>3114</v>
      </c>
      <c r="F3804" s="115">
        <f>IFERROR(__xludf.DUMMYFUNCTION("""COMPUTED_VALUE"""),1471.0)</f>
        <v>1471</v>
      </c>
      <c r="G3804" s="115">
        <f>IFERROR(__xludf.DUMMYFUNCTION("""COMPUTED_VALUE"""),53.0)</f>
        <v>53</v>
      </c>
      <c r="H3804" s="116">
        <f>IFERROR(__xludf.DUMMYFUNCTION("""COMPUTED_VALUE"""),45908.0)</f>
        <v>45908</v>
      </c>
      <c r="I3804" s="115" t="str">
        <f>IFERROR(__xludf.DUMMYFUNCTION("""COMPUTED_VALUE"""),"09")</f>
        <v>09</v>
      </c>
      <c r="J3804" s="115" t="str">
        <f>IFERROR(__xludf.DUMMYFUNCTION("""COMPUTED_VALUE"""),"Kandula Sampath2025-09-0809")</f>
        <v>Kandula Sampath2025-09-0809</v>
      </c>
      <c r="K3804" s="115">
        <f>IFERROR(__xludf.DUMMYFUNCTION("""COMPUTED_VALUE"""),21809.0)</f>
        <v>21809</v>
      </c>
    </row>
    <row r="3805">
      <c r="A3805" s="115" t="str">
        <f>IFERROR(__xludf.DUMMYFUNCTION("""COMPUTED_VALUE"""),"SOUTH")</f>
        <v>SOUTH</v>
      </c>
      <c r="B3805" s="115" t="str">
        <f>IFERROR(__xludf.DUMMYFUNCTION("""COMPUTED_VALUE"""),"Martin A")</f>
        <v>Martin A</v>
      </c>
      <c r="C3805" s="115" t="str">
        <f>IFERROR(__xludf.DUMMYFUNCTION("""COMPUTED_VALUE"""),"EXTERNAL")</f>
        <v>EXTERNAL</v>
      </c>
      <c r="D3805" s="115">
        <f>IFERROR(__xludf.DUMMYFUNCTION("""COMPUTED_VALUE"""),14113.0)</f>
        <v>14113</v>
      </c>
      <c r="E3805" s="115">
        <f>IFERROR(__xludf.DUMMYFUNCTION("""COMPUTED_VALUE"""),1625.0)</f>
        <v>1625</v>
      </c>
      <c r="F3805" s="115">
        <f>IFERROR(__xludf.DUMMYFUNCTION("""COMPUTED_VALUE"""),297.0)</f>
        <v>297</v>
      </c>
      <c r="G3805" s="115">
        <f>IFERROR(__xludf.DUMMYFUNCTION("""COMPUTED_VALUE"""),12.0)</f>
        <v>12</v>
      </c>
      <c r="H3805" s="116">
        <f>IFERROR(__xludf.DUMMYFUNCTION("""COMPUTED_VALUE"""),45908.0)</f>
        <v>45908</v>
      </c>
      <c r="I3805" s="115" t="str">
        <f>IFERROR(__xludf.DUMMYFUNCTION("""COMPUTED_VALUE"""),"09")</f>
        <v>09</v>
      </c>
      <c r="J3805" s="115" t="str">
        <f>IFERROR(__xludf.DUMMYFUNCTION("""COMPUTED_VALUE"""),"Martin A2025-09-0809")</f>
        <v>Martin A2025-09-0809</v>
      </c>
      <c r="K3805" s="115">
        <f>IFERROR(__xludf.DUMMYFUNCTION("""COMPUTED_VALUE"""),15738.0)</f>
        <v>15738</v>
      </c>
    </row>
    <row r="3806">
      <c r="A3806" s="115" t="str">
        <f>IFERROR(__xludf.DUMMYFUNCTION("""COMPUTED_VALUE"""),"SOUTH")</f>
        <v>SOUTH</v>
      </c>
      <c r="B3806" s="115" t="str">
        <f>IFERROR(__xludf.DUMMYFUNCTION("""COMPUTED_VALUE"""),"Martin A")</f>
        <v>Martin A</v>
      </c>
      <c r="C3806" s="115" t="str">
        <f>IFERROR(__xludf.DUMMYFUNCTION("""COMPUTED_VALUE"""),"FLIPKART")</f>
        <v>FLIPKART</v>
      </c>
      <c r="D3806" s="115">
        <f>IFERROR(__xludf.DUMMYFUNCTION("""COMPUTED_VALUE"""),121787.0)</f>
        <v>121787</v>
      </c>
      <c r="E3806" s="115">
        <f>IFERROR(__xludf.DUMMYFUNCTION("""COMPUTED_VALUE"""),10588.0)</f>
        <v>10588</v>
      </c>
      <c r="F3806" s="115">
        <f>IFERROR(__xludf.DUMMYFUNCTION("""COMPUTED_VALUE"""),4687.0)</f>
        <v>4687</v>
      </c>
      <c r="G3806" s="115">
        <f>IFERROR(__xludf.DUMMYFUNCTION("""COMPUTED_VALUE"""),126.0)</f>
        <v>126</v>
      </c>
      <c r="H3806" s="116">
        <f>IFERROR(__xludf.DUMMYFUNCTION("""COMPUTED_VALUE"""),45908.0)</f>
        <v>45908</v>
      </c>
      <c r="I3806" s="115" t="str">
        <f>IFERROR(__xludf.DUMMYFUNCTION("""COMPUTED_VALUE"""),"09")</f>
        <v>09</v>
      </c>
      <c r="J3806" s="115" t="str">
        <f>IFERROR(__xludf.DUMMYFUNCTION("""COMPUTED_VALUE"""),"Martin A2025-09-0809")</f>
        <v>Martin A2025-09-0809</v>
      </c>
      <c r="K3806" s="115">
        <f>IFERROR(__xludf.DUMMYFUNCTION("""COMPUTED_VALUE"""),132375.0)</f>
        <v>132375</v>
      </c>
    </row>
    <row r="3807">
      <c r="A3807" s="115" t="str">
        <f>IFERROR(__xludf.DUMMYFUNCTION("""COMPUTED_VALUE"""),"SOUTH")</f>
        <v>SOUTH</v>
      </c>
      <c r="B3807" s="115" t="str">
        <f>IFERROR(__xludf.DUMMYFUNCTION("""COMPUTED_VALUE"""),"Martin A")</f>
        <v>Martin A</v>
      </c>
      <c r="C3807" s="115" t="str">
        <f>IFERROR(__xludf.DUMMYFUNCTION("""COMPUTED_VALUE"""),"MYNTRA")</f>
        <v>MYNTRA</v>
      </c>
      <c r="D3807" s="115">
        <f>IFERROR(__xludf.DUMMYFUNCTION("""COMPUTED_VALUE"""),13107.0)</f>
        <v>13107</v>
      </c>
      <c r="E3807" s="115">
        <f>IFERROR(__xludf.DUMMYFUNCTION("""COMPUTED_VALUE"""),2993.0)</f>
        <v>2993</v>
      </c>
      <c r="F3807" s="115">
        <f>IFERROR(__xludf.DUMMYFUNCTION("""COMPUTED_VALUE"""),610.0)</f>
        <v>610</v>
      </c>
      <c r="G3807" s="115">
        <f>IFERROR(__xludf.DUMMYFUNCTION("""COMPUTED_VALUE"""),41.0)</f>
        <v>41</v>
      </c>
      <c r="H3807" s="116">
        <f>IFERROR(__xludf.DUMMYFUNCTION("""COMPUTED_VALUE"""),45908.0)</f>
        <v>45908</v>
      </c>
      <c r="I3807" s="115" t="str">
        <f>IFERROR(__xludf.DUMMYFUNCTION("""COMPUTED_VALUE"""),"09")</f>
        <v>09</v>
      </c>
      <c r="J3807" s="115" t="str">
        <f>IFERROR(__xludf.DUMMYFUNCTION("""COMPUTED_VALUE"""),"Martin A2025-09-0809")</f>
        <v>Martin A2025-09-0809</v>
      </c>
      <c r="K3807" s="115">
        <f>IFERROR(__xludf.DUMMYFUNCTION("""COMPUTED_VALUE"""),16100.0)</f>
        <v>16100</v>
      </c>
    </row>
    <row r="3808">
      <c r="A3808" s="115" t="str">
        <f>IFERROR(__xludf.DUMMYFUNCTION("""COMPUTED_VALUE"""),"SOUTH")</f>
        <v>SOUTH</v>
      </c>
      <c r="B3808" s="115" t="str">
        <f>IFERROR(__xludf.DUMMYFUNCTION("""COMPUTED_VALUE"""),"Premkumar M")</f>
        <v>Premkumar M</v>
      </c>
      <c r="C3808" s="115" t="str">
        <f>IFERROR(__xludf.DUMMYFUNCTION("""COMPUTED_VALUE"""),"EXTERNAL")</f>
        <v>EXTERNAL</v>
      </c>
      <c r="D3808" s="115">
        <f>IFERROR(__xludf.DUMMYFUNCTION("""COMPUTED_VALUE"""),4578.0)</f>
        <v>4578</v>
      </c>
      <c r="E3808" s="115">
        <f>IFERROR(__xludf.DUMMYFUNCTION("""COMPUTED_VALUE"""),163.0)</f>
        <v>163</v>
      </c>
      <c r="F3808" s="115">
        <f>IFERROR(__xludf.DUMMYFUNCTION("""COMPUTED_VALUE"""),91.0)</f>
        <v>91</v>
      </c>
      <c r="G3808" s="115">
        <f>IFERROR(__xludf.DUMMYFUNCTION("""COMPUTED_VALUE"""),2.0)</f>
        <v>2</v>
      </c>
      <c r="H3808" s="116">
        <f>IFERROR(__xludf.DUMMYFUNCTION("""COMPUTED_VALUE"""),45908.0)</f>
        <v>45908</v>
      </c>
      <c r="I3808" s="115" t="str">
        <f>IFERROR(__xludf.DUMMYFUNCTION("""COMPUTED_VALUE"""),"09")</f>
        <v>09</v>
      </c>
      <c r="J3808" s="115" t="str">
        <f>IFERROR(__xludf.DUMMYFUNCTION("""COMPUTED_VALUE"""),"Premkumar M2025-09-0809")</f>
        <v>Premkumar M2025-09-0809</v>
      </c>
      <c r="K3808" s="115">
        <f>IFERROR(__xludf.DUMMYFUNCTION("""COMPUTED_VALUE"""),4741.0)</f>
        <v>4741</v>
      </c>
    </row>
    <row r="3809">
      <c r="A3809" s="115" t="str">
        <f>IFERROR(__xludf.DUMMYFUNCTION("""COMPUTED_VALUE"""),"SOUTH")</f>
        <v>SOUTH</v>
      </c>
      <c r="B3809" s="115" t="str">
        <f>IFERROR(__xludf.DUMMYFUNCTION("""COMPUTED_VALUE"""),"Premkumar M")</f>
        <v>Premkumar M</v>
      </c>
      <c r="C3809" s="115" t="str">
        <f>IFERROR(__xludf.DUMMYFUNCTION("""COMPUTED_VALUE"""),"FLIPKART")</f>
        <v>FLIPKART</v>
      </c>
      <c r="D3809" s="115">
        <f>IFERROR(__xludf.DUMMYFUNCTION("""COMPUTED_VALUE"""),45819.0)</f>
        <v>45819</v>
      </c>
      <c r="E3809" s="115">
        <f>IFERROR(__xludf.DUMMYFUNCTION("""COMPUTED_VALUE"""),2419.0)</f>
        <v>2419</v>
      </c>
      <c r="F3809" s="115">
        <f>IFERROR(__xludf.DUMMYFUNCTION("""COMPUTED_VALUE"""),1267.0)</f>
        <v>1267</v>
      </c>
      <c r="G3809" s="115">
        <f>IFERROR(__xludf.DUMMYFUNCTION("""COMPUTED_VALUE"""),48.0)</f>
        <v>48</v>
      </c>
      <c r="H3809" s="116">
        <f>IFERROR(__xludf.DUMMYFUNCTION("""COMPUTED_VALUE"""),45908.0)</f>
        <v>45908</v>
      </c>
      <c r="I3809" s="115" t="str">
        <f>IFERROR(__xludf.DUMMYFUNCTION("""COMPUTED_VALUE"""),"09")</f>
        <v>09</v>
      </c>
      <c r="J3809" s="115" t="str">
        <f>IFERROR(__xludf.DUMMYFUNCTION("""COMPUTED_VALUE"""),"Premkumar M2025-09-0809")</f>
        <v>Premkumar M2025-09-0809</v>
      </c>
      <c r="K3809" s="115">
        <f>IFERROR(__xludf.DUMMYFUNCTION("""COMPUTED_VALUE"""),48238.0)</f>
        <v>48238</v>
      </c>
    </row>
    <row r="3810">
      <c r="A3810" s="115" t="str">
        <f>IFERROR(__xludf.DUMMYFUNCTION("""COMPUTED_VALUE"""),"SOUTH")</f>
        <v>SOUTH</v>
      </c>
      <c r="B3810" s="115" t="str">
        <f>IFERROR(__xludf.DUMMYFUNCTION("""COMPUTED_VALUE"""),"Premkumar M")</f>
        <v>Premkumar M</v>
      </c>
      <c r="C3810" s="115" t="str">
        <f>IFERROR(__xludf.DUMMYFUNCTION("""COMPUTED_VALUE"""),"MYNTRA")</f>
        <v>MYNTRA</v>
      </c>
      <c r="D3810" s="115">
        <f>IFERROR(__xludf.DUMMYFUNCTION("""COMPUTED_VALUE"""),3000.0)</f>
        <v>3000</v>
      </c>
      <c r="E3810" s="115">
        <f>IFERROR(__xludf.DUMMYFUNCTION("""COMPUTED_VALUE"""),494.0)</f>
        <v>494</v>
      </c>
      <c r="F3810" s="115">
        <f>IFERROR(__xludf.DUMMYFUNCTION("""COMPUTED_VALUE"""),83.0)</f>
        <v>83</v>
      </c>
      <c r="G3810" s="115">
        <f>IFERROR(__xludf.DUMMYFUNCTION("""COMPUTED_VALUE"""),1.0)</f>
        <v>1</v>
      </c>
      <c r="H3810" s="116">
        <f>IFERROR(__xludf.DUMMYFUNCTION("""COMPUTED_VALUE"""),45908.0)</f>
        <v>45908</v>
      </c>
      <c r="I3810" s="115" t="str">
        <f>IFERROR(__xludf.DUMMYFUNCTION("""COMPUTED_VALUE"""),"09")</f>
        <v>09</v>
      </c>
      <c r="J3810" s="115" t="str">
        <f>IFERROR(__xludf.DUMMYFUNCTION("""COMPUTED_VALUE"""),"Premkumar M2025-09-0809")</f>
        <v>Premkumar M2025-09-0809</v>
      </c>
      <c r="K3810" s="115">
        <f>IFERROR(__xludf.DUMMYFUNCTION("""COMPUTED_VALUE"""),3494.0)</f>
        <v>3494</v>
      </c>
    </row>
    <row r="3811">
      <c r="A3811" s="115" t="str">
        <f>IFERROR(__xludf.DUMMYFUNCTION("""COMPUTED_VALUE"""),"SOUTH")</f>
        <v>SOUTH</v>
      </c>
      <c r="B3811" s="115" t="str">
        <f>IFERROR(__xludf.DUMMYFUNCTION("""COMPUTED_VALUE"""),"Vineeth V")</f>
        <v>Vineeth V</v>
      </c>
      <c r="C3811" s="115" t="str">
        <f>IFERROR(__xludf.DUMMYFUNCTION("""COMPUTED_VALUE"""),"EXTERNAL")</f>
        <v>EXTERNAL</v>
      </c>
      <c r="D3811" s="115">
        <f>IFERROR(__xludf.DUMMYFUNCTION("""COMPUTED_VALUE"""),1807.0)</f>
        <v>1807</v>
      </c>
      <c r="E3811" s="115">
        <f>IFERROR(__xludf.DUMMYFUNCTION("""COMPUTED_VALUE"""),38.0)</f>
        <v>38</v>
      </c>
      <c r="F3811" s="115">
        <f>IFERROR(__xludf.DUMMYFUNCTION("""COMPUTED_VALUE"""),16.0)</f>
        <v>16</v>
      </c>
      <c r="G3811" s="115">
        <f>IFERROR(__xludf.DUMMYFUNCTION("""COMPUTED_VALUE"""),0.0)</f>
        <v>0</v>
      </c>
      <c r="H3811" s="116">
        <f>IFERROR(__xludf.DUMMYFUNCTION("""COMPUTED_VALUE"""),45908.0)</f>
        <v>45908</v>
      </c>
      <c r="I3811" s="115" t="str">
        <f>IFERROR(__xludf.DUMMYFUNCTION("""COMPUTED_VALUE"""),"09")</f>
        <v>09</v>
      </c>
      <c r="J3811" s="115" t="str">
        <f>IFERROR(__xludf.DUMMYFUNCTION("""COMPUTED_VALUE"""),"Vineeth V2025-09-0809")</f>
        <v>Vineeth V2025-09-0809</v>
      </c>
      <c r="K3811" s="115">
        <f>IFERROR(__xludf.DUMMYFUNCTION("""COMPUTED_VALUE"""),1845.0)</f>
        <v>1845</v>
      </c>
    </row>
    <row r="3812">
      <c r="A3812" s="115" t="str">
        <f>IFERROR(__xludf.DUMMYFUNCTION("""COMPUTED_VALUE"""),"SOUTH")</f>
        <v>SOUTH</v>
      </c>
      <c r="B3812" s="115" t="str">
        <f>IFERROR(__xludf.DUMMYFUNCTION("""COMPUTED_VALUE"""),"Vineeth V")</f>
        <v>Vineeth V</v>
      </c>
      <c r="C3812" s="115" t="str">
        <f>IFERROR(__xludf.DUMMYFUNCTION("""COMPUTED_VALUE"""),"FLIPKART")</f>
        <v>FLIPKART</v>
      </c>
      <c r="D3812" s="115">
        <f>IFERROR(__xludf.DUMMYFUNCTION("""COMPUTED_VALUE"""),19448.0)</f>
        <v>19448</v>
      </c>
      <c r="E3812" s="115">
        <f>IFERROR(__xludf.DUMMYFUNCTION("""COMPUTED_VALUE"""),1066.0)</f>
        <v>1066</v>
      </c>
      <c r="F3812" s="115">
        <f>IFERROR(__xludf.DUMMYFUNCTION("""COMPUTED_VALUE"""),311.0)</f>
        <v>311</v>
      </c>
      <c r="G3812" s="115">
        <f>IFERROR(__xludf.DUMMYFUNCTION("""COMPUTED_VALUE"""),20.0)</f>
        <v>20</v>
      </c>
      <c r="H3812" s="116">
        <f>IFERROR(__xludf.DUMMYFUNCTION("""COMPUTED_VALUE"""),45908.0)</f>
        <v>45908</v>
      </c>
      <c r="I3812" s="115" t="str">
        <f>IFERROR(__xludf.DUMMYFUNCTION("""COMPUTED_VALUE"""),"09")</f>
        <v>09</v>
      </c>
      <c r="J3812" s="115" t="str">
        <f>IFERROR(__xludf.DUMMYFUNCTION("""COMPUTED_VALUE"""),"Vineeth V2025-09-0809")</f>
        <v>Vineeth V2025-09-0809</v>
      </c>
      <c r="K3812" s="115">
        <f>IFERROR(__xludf.DUMMYFUNCTION("""COMPUTED_VALUE"""),20514.0)</f>
        <v>20514</v>
      </c>
    </row>
    <row r="3813">
      <c r="A3813" s="115" t="str">
        <f>IFERROR(__xludf.DUMMYFUNCTION("""COMPUTED_VALUE"""),"SOUTH")</f>
        <v>SOUTH</v>
      </c>
      <c r="B3813" s="115" t="str">
        <f>IFERROR(__xludf.DUMMYFUNCTION("""COMPUTED_VALUE"""),"Vineeth V")</f>
        <v>Vineeth V</v>
      </c>
      <c r="C3813" s="115" t="str">
        <f>IFERROR(__xludf.DUMMYFUNCTION("""COMPUTED_VALUE"""),"MYNTRA")</f>
        <v>MYNTRA</v>
      </c>
      <c r="D3813" s="115">
        <f>IFERROR(__xludf.DUMMYFUNCTION("""COMPUTED_VALUE"""),1741.0)</f>
        <v>1741</v>
      </c>
      <c r="E3813" s="115">
        <f>IFERROR(__xludf.DUMMYFUNCTION("""COMPUTED_VALUE"""),287.0)</f>
        <v>287</v>
      </c>
      <c r="F3813" s="115">
        <f>IFERROR(__xludf.DUMMYFUNCTION("""COMPUTED_VALUE"""),48.0)</f>
        <v>48</v>
      </c>
      <c r="G3813" s="115">
        <f>IFERROR(__xludf.DUMMYFUNCTION("""COMPUTED_VALUE"""),4.0)</f>
        <v>4</v>
      </c>
      <c r="H3813" s="116">
        <f>IFERROR(__xludf.DUMMYFUNCTION("""COMPUTED_VALUE"""),45908.0)</f>
        <v>45908</v>
      </c>
      <c r="I3813" s="115" t="str">
        <f>IFERROR(__xludf.DUMMYFUNCTION("""COMPUTED_VALUE"""),"09")</f>
        <v>09</v>
      </c>
      <c r="J3813" s="115" t="str">
        <f>IFERROR(__xludf.DUMMYFUNCTION("""COMPUTED_VALUE"""),"Vineeth V2025-09-0809")</f>
        <v>Vineeth V2025-09-0809</v>
      </c>
      <c r="K3813" s="115">
        <f>IFERROR(__xludf.DUMMYFUNCTION("""COMPUTED_VALUE"""),2028.0)</f>
        <v>2028</v>
      </c>
    </row>
    <row r="3814">
      <c r="A3814" s="115" t="str">
        <f>IFERROR(__xludf.DUMMYFUNCTION("""COMPUTED_VALUE"""),"WEST")</f>
        <v>WEST</v>
      </c>
      <c r="B3814" s="115" t="str">
        <f>IFERROR(__xludf.DUMMYFUNCTION("""COMPUTED_VALUE"""),"Ashish Jakar")</f>
        <v>Ashish Jakar</v>
      </c>
      <c r="C3814" s="115" t="str">
        <f>IFERROR(__xludf.DUMMYFUNCTION("""COMPUTED_VALUE"""),"EXTERNAL")</f>
        <v>EXTERNAL</v>
      </c>
      <c r="D3814" s="115">
        <f>IFERROR(__xludf.DUMMYFUNCTION("""COMPUTED_VALUE"""),14309.0)</f>
        <v>14309</v>
      </c>
      <c r="E3814" s="115">
        <f>IFERROR(__xludf.DUMMYFUNCTION("""COMPUTED_VALUE"""),1753.0)</f>
        <v>1753</v>
      </c>
      <c r="F3814" s="115">
        <f>IFERROR(__xludf.DUMMYFUNCTION("""COMPUTED_VALUE"""),187.0)</f>
        <v>187</v>
      </c>
      <c r="G3814" s="115">
        <f>IFERROR(__xludf.DUMMYFUNCTION("""COMPUTED_VALUE"""),8.0)</f>
        <v>8</v>
      </c>
      <c r="H3814" s="116">
        <f>IFERROR(__xludf.DUMMYFUNCTION("""COMPUTED_VALUE"""),45908.0)</f>
        <v>45908</v>
      </c>
      <c r="I3814" s="115" t="str">
        <f>IFERROR(__xludf.DUMMYFUNCTION("""COMPUTED_VALUE"""),"09")</f>
        <v>09</v>
      </c>
      <c r="J3814" s="115" t="str">
        <f>IFERROR(__xludf.DUMMYFUNCTION("""COMPUTED_VALUE"""),"Ashish Jakar2025-09-0809")</f>
        <v>Ashish Jakar2025-09-0809</v>
      </c>
      <c r="K3814" s="115">
        <f>IFERROR(__xludf.DUMMYFUNCTION("""COMPUTED_VALUE"""),16062.0)</f>
        <v>16062</v>
      </c>
    </row>
    <row r="3815">
      <c r="A3815" s="115" t="str">
        <f>IFERROR(__xludf.DUMMYFUNCTION("""COMPUTED_VALUE"""),"WEST")</f>
        <v>WEST</v>
      </c>
      <c r="B3815" s="115" t="str">
        <f>IFERROR(__xludf.DUMMYFUNCTION("""COMPUTED_VALUE"""),"Ashish Jakar")</f>
        <v>Ashish Jakar</v>
      </c>
      <c r="C3815" s="115" t="str">
        <f>IFERROR(__xludf.DUMMYFUNCTION("""COMPUTED_VALUE"""),"FLIPKART")</f>
        <v>FLIPKART</v>
      </c>
      <c r="D3815" s="115">
        <f>IFERROR(__xludf.DUMMYFUNCTION("""COMPUTED_VALUE"""),93241.0)</f>
        <v>93241</v>
      </c>
      <c r="E3815" s="115">
        <f>IFERROR(__xludf.DUMMYFUNCTION("""COMPUTED_VALUE"""),8397.0)</f>
        <v>8397</v>
      </c>
      <c r="F3815" s="115">
        <f>IFERROR(__xludf.DUMMYFUNCTION("""COMPUTED_VALUE"""),2102.0)</f>
        <v>2102</v>
      </c>
      <c r="G3815" s="115">
        <f>IFERROR(__xludf.DUMMYFUNCTION("""COMPUTED_VALUE"""),98.0)</f>
        <v>98</v>
      </c>
      <c r="H3815" s="116">
        <f>IFERROR(__xludf.DUMMYFUNCTION("""COMPUTED_VALUE"""),45908.0)</f>
        <v>45908</v>
      </c>
      <c r="I3815" s="115" t="str">
        <f>IFERROR(__xludf.DUMMYFUNCTION("""COMPUTED_VALUE"""),"09")</f>
        <v>09</v>
      </c>
      <c r="J3815" s="115" t="str">
        <f>IFERROR(__xludf.DUMMYFUNCTION("""COMPUTED_VALUE"""),"Ashish Jakar2025-09-0809")</f>
        <v>Ashish Jakar2025-09-0809</v>
      </c>
      <c r="K3815" s="115">
        <f>IFERROR(__xludf.DUMMYFUNCTION("""COMPUTED_VALUE"""),101638.0)</f>
        <v>101638</v>
      </c>
    </row>
    <row r="3816">
      <c r="A3816" s="115" t="str">
        <f>IFERROR(__xludf.DUMMYFUNCTION("""COMPUTED_VALUE"""),"WEST")</f>
        <v>WEST</v>
      </c>
      <c r="B3816" s="115" t="str">
        <f>IFERROR(__xludf.DUMMYFUNCTION("""COMPUTED_VALUE"""),"Ashish Jakar")</f>
        <v>Ashish Jakar</v>
      </c>
      <c r="C3816" s="115" t="str">
        <f>IFERROR(__xludf.DUMMYFUNCTION("""COMPUTED_VALUE"""),"MYNTRA")</f>
        <v>MYNTRA</v>
      </c>
      <c r="D3816" s="115">
        <f>IFERROR(__xludf.DUMMYFUNCTION("""COMPUTED_VALUE"""),11805.0)</f>
        <v>11805</v>
      </c>
      <c r="E3816" s="115">
        <f>IFERROR(__xludf.DUMMYFUNCTION("""COMPUTED_VALUE"""),3110.0)</f>
        <v>3110</v>
      </c>
      <c r="F3816" s="115">
        <f>IFERROR(__xludf.DUMMYFUNCTION("""COMPUTED_VALUE"""),372.0)</f>
        <v>372</v>
      </c>
      <c r="G3816" s="115">
        <f>IFERROR(__xludf.DUMMYFUNCTION("""COMPUTED_VALUE"""),30.0)</f>
        <v>30</v>
      </c>
      <c r="H3816" s="116">
        <f>IFERROR(__xludf.DUMMYFUNCTION("""COMPUTED_VALUE"""),45908.0)</f>
        <v>45908</v>
      </c>
      <c r="I3816" s="115" t="str">
        <f>IFERROR(__xludf.DUMMYFUNCTION("""COMPUTED_VALUE"""),"09")</f>
        <v>09</v>
      </c>
      <c r="J3816" s="115" t="str">
        <f>IFERROR(__xludf.DUMMYFUNCTION("""COMPUTED_VALUE"""),"Ashish Jakar2025-09-0809")</f>
        <v>Ashish Jakar2025-09-0809</v>
      </c>
      <c r="K3816" s="115">
        <f>IFERROR(__xludf.DUMMYFUNCTION("""COMPUTED_VALUE"""),14915.0)</f>
        <v>14915</v>
      </c>
    </row>
    <row r="3817">
      <c r="A3817" s="115" t="str">
        <f>IFERROR(__xludf.DUMMYFUNCTION("""COMPUTED_VALUE"""),"WEST")</f>
        <v>WEST</v>
      </c>
      <c r="B3817" s="115" t="str">
        <f>IFERROR(__xludf.DUMMYFUNCTION("""COMPUTED_VALUE"""),"Ashvani Bhatt")</f>
        <v>Ashvani Bhatt</v>
      </c>
      <c r="C3817" s="115" t="str">
        <f>IFERROR(__xludf.DUMMYFUNCTION("""COMPUTED_VALUE"""),"EXTERNAL")</f>
        <v>EXTERNAL</v>
      </c>
      <c r="D3817" s="115">
        <f>IFERROR(__xludf.DUMMYFUNCTION("""COMPUTED_VALUE"""),10717.0)</f>
        <v>10717</v>
      </c>
      <c r="E3817" s="115">
        <f>IFERROR(__xludf.DUMMYFUNCTION("""COMPUTED_VALUE"""),544.0)</f>
        <v>544</v>
      </c>
      <c r="F3817" s="115">
        <f>IFERROR(__xludf.DUMMYFUNCTION("""COMPUTED_VALUE"""),156.0)</f>
        <v>156</v>
      </c>
      <c r="G3817" s="115">
        <f>IFERROR(__xludf.DUMMYFUNCTION("""COMPUTED_VALUE"""),4.0)</f>
        <v>4</v>
      </c>
      <c r="H3817" s="116">
        <f>IFERROR(__xludf.DUMMYFUNCTION("""COMPUTED_VALUE"""),45908.0)</f>
        <v>45908</v>
      </c>
      <c r="I3817" s="115" t="str">
        <f>IFERROR(__xludf.DUMMYFUNCTION("""COMPUTED_VALUE"""),"09")</f>
        <v>09</v>
      </c>
      <c r="J3817" s="115" t="str">
        <f>IFERROR(__xludf.DUMMYFUNCTION("""COMPUTED_VALUE"""),"Ashvani Bhatt2025-09-0809")</f>
        <v>Ashvani Bhatt2025-09-0809</v>
      </c>
      <c r="K3817" s="115">
        <f>IFERROR(__xludf.DUMMYFUNCTION("""COMPUTED_VALUE"""),11261.0)</f>
        <v>11261</v>
      </c>
    </row>
    <row r="3818">
      <c r="A3818" s="115" t="str">
        <f>IFERROR(__xludf.DUMMYFUNCTION("""COMPUTED_VALUE"""),"WEST")</f>
        <v>WEST</v>
      </c>
      <c r="B3818" s="115" t="str">
        <f>IFERROR(__xludf.DUMMYFUNCTION("""COMPUTED_VALUE"""),"Ashvani Bhatt")</f>
        <v>Ashvani Bhatt</v>
      </c>
      <c r="C3818" s="115" t="str">
        <f>IFERROR(__xludf.DUMMYFUNCTION("""COMPUTED_VALUE"""),"FLIPKART")</f>
        <v>FLIPKART</v>
      </c>
      <c r="D3818" s="115">
        <f>IFERROR(__xludf.DUMMYFUNCTION("""COMPUTED_VALUE"""),83909.0)</f>
        <v>83909</v>
      </c>
      <c r="E3818" s="115">
        <f>IFERROR(__xludf.DUMMYFUNCTION("""COMPUTED_VALUE"""),5864.0)</f>
        <v>5864</v>
      </c>
      <c r="F3818" s="115">
        <f>IFERROR(__xludf.DUMMYFUNCTION("""COMPUTED_VALUE"""),2661.0)</f>
        <v>2661</v>
      </c>
      <c r="G3818" s="115">
        <f>IFERROR(__xludf.DUMMYFUNCTION("""COMPUTED_VALUE"""),77.0)</f>
        <v>77</v>
      </c>
      <c r="H3818" s="116">
        <f>IFERROR(__xludf.DUMMYFUNCTION("""COMPUTED_VALUE"""),45908.0)</f>
        <v>45908</v>
      </c>
      <c r="I3818" s="115" t="str">
        <f>IFERROR(__xludf.DUMMYFUNCTION("""COMPUTED_VALUE"""),"09")</f>
        <v>09</v>
      </c>
      <c r="J3818" s="115" t="str">
        <f>IFERROR(__xludf.DUMMYFUNCTION("""COMPUTED_VALUE"""),"Ashvani Bhatt2025-09-0809")</f>
        <v>Ashvani Bhatt2025-09-0809</v>
      </c>
      <c r="K3818" s="115">
        <f>IFERROR(__xludf.DUMMYFUNCTION("""COMPUTED_VALUE"""),89773.0)</f>
        <v>89773</v>
      </c>
    </row>
    <row r="3819">
      <c r="A3819" s="115" t="str">
        <f>IFERROR(__xludf.DUMMYFUNCTION("""COMPUTED_VALUE"""),"WEST")</f>
        <v>WEST</v>
      </c>
      <c r="B3819" s="115" t="str">
        <f>IFERROR(__xludf.DUMMYFUNCTION("""COMPUTED_VALUE"""),"Ashvani Bhatt")</f>
        <v>Ashvani Bhatt</v>
      </c>
      <c r="C3819" s="115" t="str">
        <f>IFERROR(__xludf.DUMMYFUNCTION("""COMPUTED_VALUE"""),"MYNTRA")</f>
        <v>MYNTRA</v>
      </c>
      <c r="D3819" s="115">
        <f>IFERROR(__xludf.DUMMYFUNCTION("""COMPUTED_VALUE"""),12465.0)</f>
        <v>12465</v>
      </c>
      <c r="E3819" s="115">
        <f>IFERROR(__xludf.DUMMYFUNCTION("""COMPUTED_VALUE"""),2046.0)</f>
        <v>2046</v>
      </c>
      <c r="F3819" s="115">
        <f>IFERROR(__xludf.DUMMYFUNCTION("""COMPUTED_VALUE"""),511.0)</f>
        <v>511</v>
      </c>
      <c r="G3819" s="115">
        <f>IFERROR(__xludf.DUMMYFUNCTION("""COMPUTED_VALUE"""),18.0)</f>
        <v>18</v>
      </c>
      <c r="H3819" s="116">
        <f>IFERROR(__xludf.DUMMYFUNCTION("""COMPUTED_VALUE"""),45908.0)</f>
        <v>45908</v>
      </c>
      <c r="I3819" s="115" t="str">
        <f>IFERROR(__xludf.DUMMYFUNCTION("""COMPUTED_VALUE"""),"09")</f>
        <v>09</v>
      </c>
      <c r="J3819" s="115" t="str">
        <f>IFERROR(__xludf.DUMMYFUNCTION("""COMPUTED_VALUE"""),"Ashvani Bhatt2025-09-0809")</f>
        <v>Ashvani Bhatt2025-09-0809</v>
      </c>
      <c r="K3819" s="115">
        <f>IFERROR(__xludf.DUMMYFUNCTION("""COMPUTED_VALUE"""),14511.0)</f>
        <v>14511</v>
      </c>
    </row>
    <row r="3820">
      <c r="A3820" s="115"/>
      <c r="B3820" s="115"/>
      <c r="C3820" s="115" t="str">
        <f>IFERROR(__xludf.DUMMYFUNCTION("""COMPUTED_VALUE"""),"EXTERNAL")</f>
        <v>EXTERNAL</v>
      </c>
      <c r="D3820" s="115">
        <f>IFERROR(__xludf.DUMMYFUNCTION("""COMPUTED_VALUE"""),86.0)</f>
        <v>86</v>
      </c>
      <c r="E3820" s="115">
        <f>IFERROR(__xludf.DUMMYFUNCTION("""COMPUTED_VALUE"""),41.0)</f>
        <v>41</v>
      </c>
      <c r="F3820" s="115">
        <f>IFERROR(__xludf.DUMMYFUNCTION("""COMPUTED_VALUE"""),2.0)</f>
        <v>2</v>
      </c>
      <c r="G3820" s="115">
        <f>IFERROR(__xludf.DUMMYFUNCTION("""COMPUTED_VALUE"""),7.0)</f>
        <v>7</v>
      </c>
      <c r="H3820" s="116">
        <f>IFERROR(__xludf.DUMMYFUNCTION("""COMPUTED_VALUE"""),45908.0)</f>
        <v>45908</v>
      </c>
      <c r="I3820" s="115" t="str">
        <f>IFERROR(__xludf.DUMMYFUNCTION("""COMPUTED_VALUE"""),"09")</f>
        <v>09</v>
      </c>
      <c r="J3820" s="115" t="str">
        <f>IFERROR(__xludf.DUMMYFUNCTION("""COMPUTED_VALUE"""),"2025-09-0809")</f>
        <v>2025-09-0809</v>
      </c>
      <c r="K3820" s="115">
        <f>IFERROR(__xludf.DUMMYFUNCTION("""COMPUTED_VALUE"""),127.0)</f>
        <v>127</v>
      </c>
    </row>
    <row r="3821">
      <c r="A3821" s="115"/>
      <c r="B3821" s="115"/>
      <c r="C3821" s="115" t="str">
        <f>IFERROR(__xludf.DUMMYFUNCTION("""COMPUTED_VALUE"""),"FLIPKART")</f>
        <v>FLIPKART</v>
      </c>
      <c r="D3821" s="115">
        <f>IFERROR(__xludf.DUMMYFUNCTION("""COMPUTED_VALUE"""),819.0)</f>
        <v>819</v>
      </c>
      <c r="E3821" s="115">
        <f>IFERROR(__xludf.DUMMYFUNCTION("""COMPUTED_VALUE"""),112.0)</f>
        <v>112</v>
      </c>
      <c r="F3821" s="115">
        <f>IFERROR(__xludf.DUMMYFUNCTION("""COMPUTED_VALUE"""),17.0)</f>
        <v>17</v>
      </c>
      <c r="G3821" s="115">
        <f>IFERROR(__xludf.DUMMYFUNCTION("""COMPUTED_VALUE"""),12.0)</f>
        <v>12</v>
      </c>
      <c r="H3821" s="116">
        <f>IFERROR(__xludf.DUMMYFUNCTION("""COMPUTED_VALUE"""),45908.0)</f>
        <v>45908</v>
      </c>
      <c r="I3821" s="115" t="str">
        <f>IFERROR(__xludf.DUMMYFUNCTION("""COMPUTED_VALUE"""),"09")</f>
        <v>09</v>
      </c>
      <c r="J3821" s="115" t="str">
        <f>IFERROR(__xludf.DUMMYFUNCTION("""COMPUTED_VALUE"""),"2025-09-0809")</f>
        <v>2025-09-0809</v>
      </c>
      <c r="K3821" s="115">
        <f>IFERROR(__xludf.DUMMYFUNCTION("""COMPUTED_VALUE"""),931.0)</f>
        <v>931</v>
      </c>
    </row>
    <row r="3822">
      <c r="A3822" s="115"/>
      <c r="B3822" s="115"/>
      <c r="C3822" s="115" t="str">
        <f>IFERROR(__xludf.DUMMYFUNCTION("""COMPUTED_VALUE"""),"MYNTRA")</f>
        <v>MYNTRA</v>
      </c>
      <c r="D3822" s="115">
        <f>IFERROR(__xludf.DUMMYFUNCTION("""COMPUTED_VALUE"""),129.0)</f>
        <v>129</v>
      </c>
      <c r="E3822" s="115">
        <f>IFERROR(__xludf.DUMMYFUNCTION("""COMPUTED_VALUE"""),56.0)</f>
        <v>56</v>
      </c>
      <c r="F3822" s="115">
        <f>IFERROR(__xludf.DUMMYFUNCTION("""COMPUTED_VALUE"""),8.0)</f>
        <v>8</v>
      </c>
      <c r="G3822" s="115">
        <f>IFERROR(__xludf.DUMMYFUNCTION("""COMPUTED_VALUE"""),7.0)</f>
        <v>7</v>
      </c>
      <c r="H3822" s="116">
        <f>IFERROR(__xludf.DUMMYFUNCTION("""COMPUTED_VALUE"""),45908.0)</f>
        <v>45908</v>
      </c>
      <c r="I3822" s="115" t="str">
        <f>IFERROR(__xludf.DUMMYFUNCTION("""COMPUTED_VALUE"""),"09")</f>
        <v>09</v>
      </c>
      <c r="J3822" s="115" t="str">
        <f>IFERROR(__xludf.DUMMYFUNCTION("""COMPUTED_VALUE"""),"2025-09-0809")</f>
        <v>2025-09-0809</v>
      </c>
      <c r="K3822" s="115">
        <f>IFERROR(__xludf.DUMMYFUNCTION("""COMPUTED_VALUE"""),185.0)</f>
        <v>185</v>
      </c>
    </row>
    <row r="3823">
      <c r="A3823" s="115" t="str">
        <f>IFERROR(__xludf.DUMMYFUNCTION("""COMPUTED_VALUE"""),"EAST")</f>
        <v>EAST</v>
      </c>
      <c r="B3823" s="115" t="str">
        <f>IFERROR(__xludf.DUMMYFUNCTION("""COMPUTED_VALUE"""),"Ashish Ranjan")</f>
        <v>Ashish Ranjan</v>
      </c>
      <c r="C3823" s="115" t="str">
        <f>IFERROR(__xludf.DUMMYFUNCTION("""COMPUTED_VALUE"""),"EXTERNAL")</f>
        <v>EXTERNAL</v>
      </c>
      <c r="D3823" s="115">
        <f>IFERROR(__xludf.DUMMYFUNCTION("""COMPUTED_VALUE"""),27425.0)</f>
        <v>27425</v>
      </c>
      <c r="E3823" s="115">
        <f>IFERROR(__xludf.DUMMYFUNCTION("""COMPUTED_VALUE"""),1807.0)</f>
        <v>1807</v>
      </c>
      <c r="F3823" s="115">
        <f>IFERROR(__xludf.DUMMYFUNCTION("""COMPUTED_VALUE"""),1598.0)</f>
        <v>1598</v>
      </c>
      <c r="G3823" s="115">
        <f>IFERROR(__xludf.DUMMYFUNCTION("""COMPUTED_VALUE"""),43.0)</f>
        <v>43</v>
      </c>
      <c r="H3823" s="116">
        <f>IFERROR(__xludf.DUMMYFUNCTION("""COMPUTED_VALUE"""),45908.0)</f>
        <v>45908</v>
      </c>
      <c r="I3823" s="115" t="str">
        <f>IFERROR(__xludf.DUMMYFUNCTION("""COMPUTED_VALUE"""),"10")</f>
        <v>10</v>
      </c>
      <c r="J3823" s="115" t="str">
        <f>IFERROR(__xludf.DUMMYFUNCTION("""COMPUTED_VALUE"""),"Ashish Ranjan2025-09-0810")</f>
        <v>Ashish Ranjan2025-09-0810</v>
      </c>
      <c r="K3823" s="115">
        <f>IFERROR(__xludf.DUMMYFUNCTION("""COMPUTED_VALUE"""),29232.0)</f>
        <v>29232</v>
      </c>
    </row>
    <row r="3824">
      <c r="A3824" s="115" t="str">
        <f>IFERROR(__xludf.DUMMYFUNCTION("""COMPUTED_VALUE"""),"EAST")</f>
        <v>EAST</v>
      </c>
      <c r="B3824" s="115" t="str">
        <f>IFERROR(__xludf.DUMMYFUNCTION("""COMPUTED_VALUE"""),"Ashish Ranjan")</f>
        <v>Ashish Ranjan</v>
      </c>
      <c r="C3824" s="115" t="str">
        <f>IFERROR(__xludf.DUMMYFUNCTION("""COMPUTED_VALUE"""),"FLIPKART")</f>
        <v>FLIPKART</v>
      </c>
      <c r="D3824" s="115">
        <f>IFERROR(__xludf.DUMMYFUNCTION("""COMPUTED_VALUE"""),428839.0)</f>
        <v>428839</v>
      </c>
      <c r="E3824" s="115">
        <f>IFERROR(__xludf.DUMMYFUNCTION("""COMPUTED_VALUE"""),33788.0)</f>
        <v>33788</v>
      </c>
      <c r="F3824" s="115">
        <f>IFERROR(__xludf.DUMMYFUNCTION("""COMPUTED_VALUE"""),41001.0)</f>
        <v>41001</v>
      </c>
      <c r="G3824" s="115">
        <f>IFERROR(__xludf.DUMMYFUNCTION("""COMPUTED_VALUE"""),982.0)</f>
        <v>982</v>
      </c>
      <c r="H3824" s="116">
        <f>IFERROR(__xludf.DUMMYFUNCTION("""COMPUTED_VALUE"""),45908.0)</f>
        <v>45908</v>
      </c>
      <c r="I3824" s="115" t="str">
        <f>IFERROR(__xludf.DUMMYFUNCTION("""COMPUTED_VALUE"""),"10")</f>
        <v>10</v>
      </c>
      <c r="J3824" s="115" t="str">
        <f>IFERROR(__xludf.DUMMYFUNCTION("""COMPUTED_VALUE"""),"Ashish Ranjan2025-09-0810")</f>
        <v>Ashish Ranjan2025-09-0810</v>
      </c>
      <c r="K3824" s="115">
        <f>IFERROR(__xludf.DUMMYFUNCTION("""COMPUTED_VALUE"""),462627.0)</f>
        <v>462627</v>
      </c>
    </row>
    <row r="3825">
      <c r="A3825" s="115" t="str">
        <f>IFERROR(__xludf.DUMMYFUNCTION("""COMPUTED_VALUE"""),"EAST")</f>
        <v>EAST</v>
      </c>
      <c r="B3825" s="115" t="str">
        <f>IFERROR(__xludf.DUMMYFUNCTION("""COMPUTED_VALUE"""),"Ashish Ranjan")</f>
        <v>Ashish Ranjan</v>
      </c>
      <c r="C3825" s="115" t="str">
        <f>IFERROR(__xludf.DUMMYFUNCTION("""COMPUTED_VALUE"""),"MYNTRA")</f>
        <v>MYNTRA</v>
      </c>
      <c r="D3825" s="115">
        <f>IFERROR(__xludf.DUMMYFUNCTION("""COMPUTED_VALUE"""),46755.0)</f>
        <v>46755</v>
      </c>
      <c r="E3825" s="115">
        <f>IFERROR(__xludf.DUMMYFUNCTION("""COMPUTED_VALUE"""),7811.0)</f>
        <v>7811</v>
      </c>
      <c r="F3825" s="115">
        <f>IFERROR(__xludf.DUMMYFUNCTION("""COMPUTED_VALUE"""),4895.0)</f>
        <v>4895</v>
      </c>
      <c r="G3825" s="115">
        <f>IFERROR(__xludf.DUMMYFUNCTION("""COMPUTED_VALUE"""),174.0)</f>
        <v>174</v>
      </c>
      <c r="H3825" s="116">
        <f>IFERROR(__xludf.DUMMYFUNCTION("""COMPUTED_VALUE"""),45908.0)</f>
        <v>45908</v>
      </c>
      <c r="I3825" s="115" t="str">
        <f>IFERROR(__xludf.DUMMYFUNCTION("""COMPUTED_VALUE"""),"10")</f>
        <v>10</v>
      </c>
      <c r="J3825" s="115" t="str">
        <f>IFERROR(__xludf.DUMMYFUNCTION("""COMPUTED_VALUE"""),"Ashish Ranjan2025-09-0810")</f>
        <v>Ashish Ranjan2025-09-0810</v>
      </c>
      <c r="K3825" s="115">
        <f>IFERROR(__xludf.DUMMYFUNCTION("""COMPUTED_VALUE"""),54566.0)</f>
        <v>54566</v>
      </c>
    </row>
    <row r="3826">
      <c r="A3826" s="115" t="str">
        <f>IFERROR(__xludf.DUMMYFUNCTION("""COMPUTED_VALUE"""),"EAST")</f>
        <v>EAST</v>
      </c>
      <c r="B3826" s="115" t="str">
        <f>IFERROR(__xludf.DUMMYFUNCTION("""COMPUTED_VALUE"""),"Girish Chand")</f>
        <v>Girish Chand</v>
      </c>
      <c r="C3826" s="115" t="str">
        <f>IFERROR(__xludf.DUMMYFUNCTION("""COMPUTED_VALUE"""),"EXTERNAL")</f>
        <v>EXTERNAL</v>
      </c>
      <c r="D3826" s="115">
        <f>IFERROR(__xludf.DUMMYFUNCTION("""COMPUTED_VALUE"""),16105.0)</f>
        <v>16105</v>
      </c>
      <c r="E3826" s="115">
        <f>IFERROR(__xludf.DUMMYFUNCTION("""COMPUTED_VALUE"""),1124.0)</f>
        <v>1124</v>
      </c>
      <c r="F3826" s="115">
        <f>IFERROR(__xludf.DUMMYFUNCTION("""COMPUTED_VALUE"""),653.0)</f>
        <v>653</v>
      </c>
      <c r="G3826" s="115">
        <f>IFERROR(__xludf.DUMMYFUNCTION("""COMPUTED_VALUE"""),12.0)</f>
        <v>12</v>
      </c>
      <c r="H3826" s="116">
        <f>IFERROR(__xludf.DUMMYFUNCTION("""COMPUTED_VALUE"""),45908.0)</f>
        <v>45908</v>
      </c>
      <c r="I3826" s="115" t="str">
        <f>IFERROR(__xludf.DUMMYFUNCTION("""COMPUTED_VALUE"""),"10")</f>
        <v>10</v>
      </c>
      <c r="J3826" s="115" t="str">
        <f>IFERROR(__xludf.DUMMYFUNCTION("""COMPUTED_VALUE"""),"Girish Chand2025-09-0810")</f>
        <v>Girish Chand2025-09-0810</v>
      </c>
      <c r="K3826" s="115">
        <f>IFERROR(__xludf.DUMMYFUNCTION("""COMPUTED_VALUE"""),17229.0)</f>
        <v>17229</v>
      </c>
    </row>
    <row r="3827">
      <c r="A3827" s="115" t="str">
        <f>IFERROR(__xludf.DUMMYFUNCTION("""COMPUTED_VALUE"""),"EAST")</f>
        <v>EAST</v>
      </c>
      <c r="B3827" s="115" t="str">
        <f>IFERROR(__xludf.DUMMYFUNCTION("""COMPUTED_VALUE"""),"Girish Chand")</f>
        <v>Girish Chand</v>
      </c>
      <c r="C3827" s="115" t="str">
        <f>IFERROR(__xludf.DUMMYFUNCTION("""COMPUTED_VALUE"""),"FLIPKART")</f>
        <v>FLIPKART</v>
      </c>
      <c r="D3827" s="115">
        <f>IFERROR(__xludf.DUMMYFUNCTION("""COMPUTED_VALUE"""),267259.0)</f>
        <v>267259</v>
      </c>
      <c r="E3827" s="115">
        <f>IFERROR(__xludf.DUMMYFUNCTION("""COMPUTED_VALUE"""),20466.0)</f>
        <v>20466</v>
      </c>
      <c r="F3827" s="115">
        <f>IFERROR(__xludf.DUMMYFUNCTION("""COMPUTED_VALUE"""),18453.0)</f>
        <v>18453</v>
      </c>
      <c r="G3827" s="115">
        <f>IFERROR(__xludf.DUMMYFUNCTION("""COMPUTED_VALUE"""),474.0)</f>
        <v>474</v>
      </c>
      <c r="H3827" s="116">
        <f>IFERROR(__xludf.DUMMYFUNCTION("""COMPUTED_VALUE"""),45908.0)</f>
        <v>45908</v>
      </c>
      <c r="I3827" s="115" t="str">
        <f>IFERROR(__xludf.DUMMYFUNCTION("""COMPUTED_VALUE"""),"10")</f>
        <v>10</v>
      </c>
      <c r="J3827" s="115" t="str">
        <f>IFERROR(__xludf.DUMMYFUNCTION("""COMPUTED_VALUE"""),"Girish Chand2025-09-0810")</f>
        <v>Girish Chand2025-09-0810</v>
      </c>
      <c r="K3827" s="115">
        <f>IFERROR(__xludf.DUMMYFUNCTION("""COMPUTED_VALUE"""),287725.0)</f>
        <v>287725</v>
      </c>
    </row>
    <row r="3828">
      <c r="A3828" s="115" t="str">
        <f>IFERROR(__xludf.DUMMYFUNCTION("""COMPUTED_VALUE"""),"EAST")</f>
        <v>EAST</v>
      </c>
      <c r="B3828" s="115" t="str">
        <f>IFERROR(__xludf.DUMMYFUNCTION("""COMPUTED_VALUE"""),"Girish Chand")</f>
        <v>Girish Chand</v>
      </c>
      <c r="C3828" s="115" t="str">
        <f>IFERROR(__xludf.DUMMYFUNCTION("""COMPUTED_VALUE"""),"MYNTRA")</f>
        <v>MYNTRA</v>
      </c>
      <c r="D3828" s="115">
        <f>IFERROR(__xludf.DUMMYFUNCTION("""COMPUTED_VALUE"""),26366.0)</f>
        <v>26366</v>
      </c>
      <c r="E3828" s="115">
        <f>IFERROR(__xludf.DUMMYFUNCTION("""COMPUTED_VALUE"""),3918.0)</f>
        <v>3918</v>
      </c>
      <c r="F3828" s="115">
        <f>IFERROR(__xludf.DUMMYFUNCTION("""COMPUTED_VALUE"""),2260.0)</f>
        <v>2260</v>
      </c>
      <c r="G3828" s="115">
        <f>IFERROR(__xludf.DUMMYFUNCTION("""COMPUTED_VALUE"""),133.0)</f>
        <v>133</v>
      </c>
      <c r="H3828" s="116">
        <f>IFERROR(__xludf.DUMMYFUNCTION("""COMPUTED_VALUE"""),45908.0)</f>
        <v>45908</v>
      </c>
      <c r="I3828" s="115" t="str">
        <f>IFERROR(__xludf.DUMMYFUNCTION("""COMPUTED_VALUE"""),"10")</f>
        <v>10</v>
      </c>
      <c r="J3828" s="115" t="str">
        <f>IFERROR(__xludf.DUMMYFUNCTION("""COMPUTED_VALUE"""),"Girish Chand2025-09-0810")</f>
        <v>Girish Chand2025-09-0810</v>
      </c>
      <c r="K3828" s="115">
        <f>IFERROR(__xludf.DUMMYFUNCTION("""COMPUTED_VALUE"""),30284.0)</f>
        <v>30284</v>
      </c>
    </row>
    <row r="3829">
      <c r="A3829" s="115" t="str">
        <f>IFERROR(__xludf.DUMMYFUNCTION("""COMPUTED_VALUE"""),"EAST")</f>
        <v>EAST</v>
      </c>
      <c r="B3829" s="115" t="str">
        <f>IFERROR(__xludf.DUMMYFUNCTION("""COMPUTED_VALUE"""),"Parag Kashyap")</f>
        <v>Parag Kashyap</v>
      </c>
      <c r="C3829" s="115" t="str">
        <f>IFERROR(__xludf.DUMMYFUNCTION("""COMPUTED_VALUE"""),"EXTERNAL")</f>
        <v>EXTERNAL</v>
      </c>
      <c r="D3829" s="115">
        <f>IFERROR(__xludf.DUMMYFUNCTION("""COMPUTED_VALUE"""),10077.0)</f>
        <v>10077</v>
      </c>
      <c r="E3829" s="115">
        <f>IFERROR(__xludf.DUMMYFUNCTION("""COMPUTED_VALUE"""),399.0)</f>
        <v>399</v>
      </c>
      <c r="F3829" s="115">
        <f>IFERROR(__xludf.DUMMYFUNCTION("""COMPUTED_VALUE"""),254.0)</f>
        <v>254</v>
      </c>
      <c r="G3829" s="115">
        <f>IFERROR(__xludf.DUMMYFUNCTION("""COMPUTED_VALUE"""),1.0)</f>
        <v>1</v>
      </c>
      <c r="H3829" s="116">
        <f>IFERROR(__xludf.DUMMYFUNCTION("""COMPUTED_VALUE"""),45908.0)</f>
        <v>45908</v>
      </c>
      <c r="I3829" s="115" t="str">
        <f>IFERROR(__xludf.DUMMYFUNCTION("""COMPUTED_VALUE"""),"10")</f>
        <v>10</v>
      </c>
      <c r="J3829" s="115" t="str">
        <f>IFERROR(__xludf.DUMMYFUNCTION("""COMPUTED_VALUE"""),"Parag Kashyap2025-09-0810")</f>
        <v>Parag Kashyap2025-09-0810</v>
      </c>
      <c r="K3829" s="115">
        <f>IFERROR(__xludf.DUMMYFUNCTION("""COMPUTED_VALUE"""),10476.0)</f>
        <v>10476</v>
      </c>
    </row>
    <row r="3830">
      <c r="A3830" s="115" t="str">
        <f>IFERROR(__xludf.DUMMYFUNCTION("""COMPUTED_VALUE"""),"EAST")</f>
        <v>EAST</v>
      </c>
      <c r="B3830" s="115" t="str">
        <f>IFERROR(__xludf.DUMMYFUNCTION("""COMPUTED_VALUE"""),"Parag Kashyap")</f>
        <v>Parag Kashyap</v>
      </c>
      <c r="C3830" s="115" t="str">
        <f>IFERROR(__xludf.DUMMYFUNCTION("""COMPUTED_VALUE"""),"FLIPKART")</f>
        <v>FLIPKART</v>
      </c>
      <c r="D3830" s="115">
        <f>IFERROR(__xludf.DUMMYFUNCTION("""COMPUTED_VALUE"""),182698.0)</f>
        <v>182698</v>
      </c>
      <c r="E3830" s="115">
        <f>IFERROR(__xludf.DUMMYFUNCTION("""COMPUTED_VALUE"""),7826.0)</f>
        <v>7826</v>
      </c>
      <c r="F3830" s="115">
        <f>IFERROR(__xludf.DUMMYFUNCTION("""COMPUTED_VALUE"""),7720.0)</f>
        <v>7720</v>
      </c>
      <c r="G3830" s="115">
        <f>IFERROR(__xludf.DUMMYFUNCTION("""COMPUTED_VALUE"""),149.0)</f>
        <v>149</v>
      </c>
      <c r="H3830" s="116">
        <f>IFERROR(__xludf.DUMMYFUNCTION("""COMPUTED_VALUE"""),45908.0)</f>
        <v>45908</v>
      </c>
      <c r="I3830" s="115" t="str">
        <f>IFERROR(__xludf.DUMMYFUNCTION("""COMPUTED_VALUE"""),"10")</f>
        <v>10</v>
      </c>
      <c r="J3830" s="115" t="str">
        <f>IFERROR(__xludf.DUMMYFUNCTION("""COMPUTED_VALUE"""),"Parag Kashyap2025-09-0810")</f>
        <v>Parag Kashyap2025-09-0810</v>
      </c>
      <c r="K3830" s="115">
        <f>IFERROR(__xludf.DUMMYFUNCTION("""COMPUTED_VALUE"""),190524.0)</f>
        <v>190524</v>
      </c>
    </row>
    <row r="3831">
      <c r="A3831" s="115" t="str">
        <f>IFERROR(__xludf.DUMMYFUNCTION("""COMPUTED_VALUE"""),"EAST")</f>
        <v>EAST</v>
      </c>
      <c r="B3831" s="115" t="str">
        <f>IFERROR(__xludf.DUMMYFUNCTION("""COMPUTED_VALUE"""),"Parag Kashyap")</f>
        <v>Parag Kashyap</v>
      </c>
      <c r="C3831" s="115" t="str">
        <f>IFERROR(__xludf.DUMMYFUNCTION("""COMPUTED_VALUE"""),"MYNTRA")</f>
        <v>MYNTRA</v>
      </c>
      <c r="D3831" s="115">
        <f>IFERROR(__xludf.DUMMYFUNCTION("""COMPUTED_VALUE"""),22341.0)</f>
        <v>22341</v>
      </c>
      <c r="E3831" s="115">
        <f>IFERROR(__xludf.DUMMYFUNCTION("""COMPUTED_VALUE"""),2271.0)</f>
        <v>2271</v>
      </c>
      <c r="F3831" s="115">
        <f>IFERROR(__xludf.DUMMYFUNCTION("""COMPUTED_VALUE"""),1096.0)</f>
        <v>1096</v>
      </c>
      <c r="G3831" s="115">
        <f>IFERROR(__xludf.DUMMYFUNCTION("""COMPUTED_VALUE"""),15.0)</f>
        <v>15</v>
      </c>
      <c r="H3831" s="116">
        <f>IFERROR(__xludf.DUMMYFUNCTION("""COMPUTED_VALUE"""),45908.0)</f>
        <v>45908</v>
      </c>
      <c r="I3831" s="115" t="str">
        <f>IFERROR(__xludf.DUMMYFUNCTION("""COMPUTED_VALUE"""),"10")</f>
        <v>10</v>
      </c>
      <c r="J3831" s="115" t="str">
        <f>IFERROR(__xludf.DUMMYFUNCTION("""COMPUTED_VALUE"""),"Parag Kashyap2025-09-0810")</f>
        <v>Parag Kashyap2025-09-0810</v>
      </c>
      <c r="K3831" s="115">
        <f>IFERROR(__xludf.DUMMYFUNCTION("""COMPUTED_VALUE"""),24612.0)</f>
        <v>24612</v>
      </c>
    </row>
    <row r="3832">
      <c r="A3832" s="115" t="str">
        <f>IFERROR(__xludf.DUMMYFUNCTION("""COMPUTED_VALUE"""),"NORTH")</f>
        <v>NORTH</v>
      </c>
      <c r="B3832" s="115" t="str">
        <f>IFERROR(__xludf.DUMMYFUNCTION("""COMPUTED_VALUE"""),"Amit Kumar Pathak")</f>
        <v>Amit Kumar Pathak</v>
      </c>
      <c r="C3832" s="115" t="str">
        <f>IFERROR(__xludf.DUMMYFUNCTION("""COMPUTED_VALUE"""),"EXTERNAL")</f>
        <v>EXTERNAL</v>
      </c>
      <c r="D3832" s="115">
        <f>IFERROR(__xludf.DUMMYFUNCTION("""COMPUTED_VALUE"""),19312.0)</f>
        <v>19312</v>
      </c>
      <c r="E3832" s="115">
        <f>IFERROR(__xludf.DUMMYFUNCTION("""COMPUTED_VALUE"""),2267.0)</f>
        <v>2267</v>
      </c>
      <c r="F3832" s="115">
        <f>IFERROR(__xludf.DUMMYFUNCTION("""COMPUTED_VALUE"""),777.0)</f>
        <v>777</v>
      </c>
      <c r="G3832" s="115">
        <f>IFERROR(__xludf.DUMMYFUNCTION("""COMPUTED_VALUE"""),76.0)</f>
        <v>76</v>
      </c>
      <c r="H3832" s="116">
        <f>IFERROR(__xludf.DUMMYFUNCTION("""COMPUTED_VALUE"""),45908.0)</f>
        <v>45908</v>
      </c>
      <c r="I3832" s="115" t="str">
        <f>IFERROR(__xludf.DUMMYFUNCTION("""COMPUTED_VALUE"""),"10")</f>
        <v>10</v>
      </c>
      <c r="J3832" s="115" t="str">
        <f>IFERROR(__xludf.DUMMYFUNCTION("""COMPUTED_VALUE"""),"Amit Kumar Pathak2025-09-0810")</f>
        <v>Amit Kumar Pathak2025-09-0810</v>
      </c>
      <c r="K3832" s="115">
        <f>IFERROR(__xludf.DUMMYFUNCTION("""COMPUTED_VALUE"""),21579.0)</f>
        <v>21579</v>
      </c>
    </row>
    <row r="3833">
      <c r="A3833" s="115" t="str">
        <f>IFERROR(__xludf.DUMMYFUNCTION("""COMPUTED_VALUE"""),"NORTH")</f>
        <v>NORTH</v>
      </c>
      <c r="B3833" s="115" t="str">
        <f>IFERROR(__xludf.DUMMYFUNCTION("""COMPUTED_VALUE"""),"Amit Kumar Pathak")</f>
        <v>Amit Kumar Pathak</v>
      </c>
      <c r="C3833" s="115" t="str">
        <f>IFERROR(__xludf.DUMMYFUNCTION("""COMPUTED_VALUE"""),"FLIPKART")</f>
        <v>FLIPKART</v>
      </c>
      <c r="D3833" s="115">
        <f>IFERROR(__xludf.DUMMYFUNCTION("""COMPUTED_VALUE"""),109656.0)</f>
        <v>109656</v>
      </c>
      <c r="E3833" s="115">
        <f>IFERROR(__xludf.DUMMYFUNCTION("""COMPUTED_VALUE"""),14755.0)</f>
        <v>14755</v>
      </c>
      <c r="F3833" s="115">
        <f>IFERROR(__xludf.DUMMYFUNCTION("""COMPUTED_VALUE"""),9272.0)</f>
        <v>9272</v>
      </c>
      <c r="G3833" s="115">
        <f>IFERROR(__xludf.DUMMYFUNCTION("""COMPUTED_VALUE"""),608.0)</f>
        <v>608</v>
      </c>
      <c r="H3833" s="116">
        <f>IFERROR(__xludf.DUMMYFUNCTION("""COMPUTED_VALUE"""),45908.0)</f>
        <v>45908</v>
      </c>
      <c r="I3833" s="115" t="str">
        <f>IFERROR(__xludf.DUMMYFUNCTION("""COMPUTED_VALUE"""),"10")</f>
        <v>10</v>
      </c>
      <c r="J3833" s="115" t="str">
        <f>IFERROR(__xludf.DUMMYFUNCTION("""COMPUTED_VALUE"""),"Amit Kumar Pathak2025-09-0810")</f>
        <v>Amit Kumar Pathak2025-09-0810</v>
      </c>
      <c r="K3833" s="115">
        <f>IFERROR(__xludf.DUMMYFUNCTION("""COMPUTED_VALUE"""),124411.0)</f>
        <v>124411</v>
      </c>
    </row>
    <row r="3834">
      <c r="A3834" s="115" t="str">
        <f>IFERROR(__xludf.DUMMYFUNCTION("""COMPUTED_VALUE"""),"NORTH")</f>
        <v>NORTH</v>
      </c>
      <c r="B3834" s="115" t="str">
        <f>IFERROR(__xludf.DUMMYFUNCTION("""COMPUTED_VALUE"""),"Amit Kumar Pathak")</f>
        <v>Amit Kumar Pathak</v>
      </c>
      <c r="C3834" s="115" t="str">
        <f>IFERROR(__xludf.DUMMYFUNCTION("""COMPUTED_VALUE"""),"MYNTRA")</f>
        <v>MYNTRA</v>
      </c>
      <c r="D3834" s="115">
        <f>IFERROR(__xludf.DUMMYFUNCTION("""COMPUTED_VALUE"""),11598.0)</f>
        <v>11598</v>
      </c>
      <c r="E3834" s="115">
        <f>IFERROR(__xludf.DUMMYFUNCTION("""COMPUTED_VALUE"""),4089.0)</f>
        <v>4089</v>
      </c>
      <c r="F3834" s="115">
        <f>IFERROR(__xludf.DUMMYFUNCTION("""COMPUTED_VALUE"""),1218.0)</f>
        <v>1218</v>
      </c>
      <c r="G3834" s="115">
        <f>IFERROR(__xludf.DUMMYFUNCTION("""COMPUTED_VALUE"""),221.0)</f>
        <v>221</v>
      </c>
      <c r="H3834" s="116">
        <f>IFERROR(__xludf.DUMMYFUNCTION("""COMPUTED_VALUE"""),45908.0)</f>
        <v>45908</v>
      </c>
      <c r="I3834" s="115" t="str">
        <f>IFERROR(__xludf.DUMMYFUNCTION("""COMPUTED_VALUE"""),"10")</f>
        <v>10</v>
      </c>
      <c r="J3834" s="115" t="str">
        <f>IFERROR(__xludf.DUMMYFUNCTION("""COMPUTED_VALUE"""),"Amit Kumar Pathak2025-09-0810")</f>
        <v>Amit Kumar Pathak2025-09-0810</v>
      </c>
      <c r="K3834" s="115">
        <f>IFERROR(__xludf.DUMMYFUNCTION("""COMPUTED_VALUE"""),15687.0)</f>
        <v>15687</v>
      </c>
    </row>
    <row r="3835">
      <c r="A3835" s="115" t="str">
        <f>IFERROR(__xludf.DUMMYFUNCTION("""COMPUTED_VALUE"""),"NORTH")</f>
        <v>NORTH</v>
      </c>
      <c r="B3835" s="115" t="str">
        <f>IFERROR(__xludf.DUMMYFUNCTION("""COMPUTED_VALUE"""),"Loveleen Singh")</f>
        <v>Loveleen Singh</v>
      </c>
      <c r="C3835" s="115" t="str">
        <f>IFERROR(__xludf.DUMMYFUNCTION("""COMPUTED_VALUE"""),"EXTERNAL")</f>
        <v>EXTERNAL</v>
      </c>
      <c r="D3835" s="115">
        <f>IFERROR(__xludf.DUMMYFUNCTION("""COMPUTED_VALUE"""),16753.0)</f>
        <v>16753</v>
      </c>
      <c r="E3835" s="115">
        <f>IFERROR(__xludf.DUMMYFUNCTION("""COMPUTED_VALUE"""),847.0)</f>
        <v>847</v>
      </c>
      <c r="F3835" s="115">
        <f>IFERROR(__xludf.DUMMYFUNCTION("""COMPUTED_VALUE"""),556.0)</f>
        <v>556</v>
      </c>
      <c r="G3835" s="115">
        <f>IFERROR(__xludf.DUMMYFUNCTION("""COMPUTED_VALUE"""),23.0)</f>
        <v>23</v>
      </c>
      <c r="H3835" s="116">
        <f>IFERROR(__xludf.DUMMYFUNCTION("""COMPUTED_VALUE"""),45908.0)</f>
        <v>45908</v>
      </c>
      <c r="I3835" s="115" t="str">
        <f>IFERROR(__xludf.DUMMYFUNCTION("""COMPUTED_VALUE"""),"10")</f>
        <v>10</v>
      </c>
      <c r="J3835" s="115" t="str">
        <f>IFERROR(__xludf.DUMMYFUNCTION("""COMPUTED_VALUE"""),"Loveleen Singh2025-09-0810")</f>
        <v>Loveleen Singh2025-09-0810</v>
      </c>
      <c r="K3835" s="115">
        <f>IFERROR(__xludf.DUMMYFUNCTION("""COMPUTED_VALUE"""),17600.0)</f>
        <v>17600</v>
      </c>
    </row>
    <row r="3836">
      <c r="A3836" s="115" t="str">
        <f>IFERROR(__xludf.DUMMYFUNCTION("""COMPUTED_VALUE"""),"NORTH")</f>
        <v>NORTH</v>
      </c>
      <c r="B3836" s="115" t="str">
        <f>IFERROR(__xludf.DUMMYFUNCTION("""COMPUTED_VALUE"""),"Loveleen Singh")</f>
        <v>Loveleen Singh</v>
      </c>
      <c r="C3836" s="115" t="str">
        <f>IFERROR(__xludf.DUMMYFUNCTION("""COMPUTED_VALUE"""),"FLIPKART")</f>
        <v>FLIPKART</v>
      </c>
      <c r="D3836" s="115">
        <f>IFERROR(__xludf.DUMMYFUNCTION("""COMPUTED_VALUE"""),88372.0)</f>
        <v>88372</v>
      </c>
      <c r="E3836" s="115">
        <f>IFERROR(__xludf.DUMMYFUNCTION("""COMPUTED_VALUE"""),5800.0)</f>
        <v>5800</v>
      </c>
      <c r="F3836" s="115">
        <f>IFERROR(__xludf.DUMMYFUNCTION("""COMPUTED_VALUE"""),5713.0)</f>
        <v>5713</v>
      </c>
      <c r="G3836" s="115">
        <f>IFERROR(__xludf.DUMMYFUNCTION("""COMPUTED_VALUE"""),178.0)</f>
        <v>178</v>
      </c>
      <c r="H3836" s="116">
        <f>IFERROR(__xludf.DUMMYFUNCTION("""COMPUTED_VALUE"""),45908.0)</f>
        <v>45908</v>
      </c>
      <c r="I3836" s="115" t="str">
        <f>IFERROR(__xludf.DUMMYFUNCTION("""COMPUTED_VALUE"""),"10")</f>
        <v>10</v>
      </c>
      <c r="J3836" s="115" t="str">
        <f>IFERROR(__xludf.DUMMYFUNCTION("""COMPUTED_VALUE"""),"Loveleen Singh2025-09-0810")</f>
        <v>Loveleen Singh2025-09-0810</v>
      </c>
      <c r="K3836" s="115">
        <f>IFERROR(__xludf.DUMMYFUNCTION("""COMPUTED_VALUE"""),94172.0)</f>
        <v>94172</v>
      </c>
    </row>
    <row r="3837">
      <c r="A3837" s="115" t="str">
        <f>IFERROR(__xludf.DUMMYFUNCTION("""COMPUTED_VALUE"""),"NORTH")</f>
        <v>NORTH</v>
      </c>
      <c r="B3837" s="115" t="str">
        <f>IFERROR(__xludf.DUMMYFUNCTION("""COMPUTED_VALUE"""),"Loveleen Singh")</f>
        <v>Loveleen Singh</v>
      </c>
      <c r="C3837" s="115" t="str">
        <f>IFERROR(__xludf.DUMMYFUNCTION("""COMPUTED_VALUE"""),"MYNTRA")</f>
        <v>MYNTRA</v>
      </c>
      <c r="D3837" s="115">
        <f>IFERROR(__xludf.DUMMYFUNCTION("""COMPUTED_VALUE"""),16714.0)</f>
        <v>16714</v>
      </c>
      <c r="E3837" s="115">
        <f>IFERROR(__xludf.DUMMYFUNCTION("""COMPUTED_VALUE"""),2609.0)</f>
        <v>2609</v>
      </c>
      <c r="F3837" s="115">
        <f>IFERROR(__xludf.DUMMYFUNCTION("""COMPUTED_VALUE"""),1530.0)</f>
        <v>1530</v>
      </c>
      <c r="G3837" s="115">
        <f>IFERROR(__xludf.DUMMYFUNCTION("""COMPUTED_VALUE"""),79.0)</f>
        <v>79</v>
      </c>
      <c r="H3837" s="116">
        <f>IFERROR(__xludf.DUMMYFUNCTION("""COMPUTED_VALUE"""),45908.0)</f>
        <v>45908</v>
      </c>
      <c r="I3837" s="115" t="str">
        <f>IFERROR(__xludf.DUMMYFUNCTION("""COMPUTED_VALUE"""),"10")</f>
        <v>10</v>
      </c>
      <c r="J3837" s="115" t="str">
        <f>IFERROR(__xludf.DUMMYFUNCTION("""COMPUTED_VALUE"""),"Loveleen Singh2025-09-0810")</f>
        <v>Loveleen Singh2025-09-0810</v>
      </c>
      <c r="K3837" s="115">
        <f>IFERROR(__xludf.DUMMYFUNCTION("""COMPUTED_VALUE"""),19323.0)</f>
        <v>19323</v>
      </c>
    </row>
    <row r="3838">
      <c r="A3838" s="115" t="str">
        <f>IFERROR(__xludf.DUMMYFUNCTION("""COMPUTED_VALUE"""),"NORTH")</f>
        <v>NORTH</v>
      </c>
      <c r="B3838" s="115" t="str">
        <f>IFERROR(__xludf.DUMMYFUNCTION("""COMPUTED_VALUE"""),"Manoj Harsh")</f>
        <v>Manoj Harsh</v>
      </c>
      <c r="C3838" s="115" t="str">
        <f>IFERROR(__xludf.DUMMYFUNCTION("""COMPUTED_VALUE"""),"EXTERNAL")</f>
        <v>EXTERNAL</v>
      </c>
      <c r="D3838" s="115">
        <f>IFERROR(__xludf.DUMMYFUNCTION("""COMPUTED_VALUE"""),20228.0)</f>
        <v>20228</v>
      </c>
      <c r="E3838" s="115">
        <f>IFERROR(__xludf.DUMMYFUNCTION("""COMPUTED_VALUE"""),1377.0)</f>
        <v>1377</v>
      </c>
      <c r="F3838" s="115">
        <f>IFERROR(__xludf.DUMMYFUNCTION("""COMPUTED_VALUE"""),612.0)</f>
        <v>612</v>
      </c>
      <c r="G3838" s="115">
        <f>IFERROR(__xludf.DUMMYFUNCTION("""COMPUTED_VALUE"""),18.0)</f>
        <v>18</v>
      </c>
      <c r="H3838" s="116">
        <f>IFERROR(__xludf.DUMMYFUNCTION("""COMPUTED_VALUE"""),45908.0)</f>
        <v>45908</v>
      </c>
      <c r="I3838" s="115" t="str">
        <f>IFERROR(__xludf.DUMMYFUNCTION("""COMPUTED_VALUE"""),"10")</f>
        <v>10</v>
      </c>
      <c r="J3838" s="115" t="str">
        <f>IFERROR(__xludf.DUMMYFUNCTION("""COMPUTED_VALUE"""),"Manoj Harsh2025-09-0810")</f>
        <v>Manoj Harsh2025-09-0810</v>
      </c>
      <c r="K3838" s="115">
        <f>IFERROR(__xludf.DUMMYFUNCTION("""COMPUTED_VALUE"""),21605.0)</f>
        <v>21605</v>
      </c>
    </row>
    <row r="3839">
      <c r="A3839" s="115" t="str">
        <f>IFERROR(__xludf.DUMMYFUNCTION("""COMPUTED_VALUE"""),"NORTH")</f>
        <v>NORTH</v>
      </c>
      <c r="B3839" s="115" t="str">
        <f>IFERROR(__xludf.DUMMYFUNCTION("""COMPUTED_VALUE"""),"Manoj Harsh")</f>
        <v>Manoj Harsh</v>
      </c>
      <c r="C3839" s="115" t="str">
        <f>IFERROR(__xludf.DUMMYFUNCTION("""COMPUTED_VALUE"""),"FLIPKART")</f>
        <v>FLIPKART</v>
      </c>
      <c r="D3839" s="115">
        <f>IFERROR(__xludf.DUMMYFUNCTION("""COMPUTED_VALUE"""),224339.0)</f>
        <v>224339</v>
      </c>
      <c r="E3839" s="115">
        <f>IFERROR(__xludf.DUMMYFUNCTION("""COMPUTED_VALUE"""),19058.0)</f>
        <v>19058</v>
      </c>
      <c r="F3839" s="115">
        <f>IFERROR(__xludf.DUMMYFUNCTION("""COMPUTED_VALUE"""),12636.0)</f>
        <v>12636</v>
      </c>
      <c r="G3839" s="115">
        <f>IFERROR(__xludf.DUMMYFUNCTION("""COMPUTED_VALUE"""),511.0)</f>
        <v>511</v>
      </c>
      <c r="H3839" s="116">
        <f>IFERROR(__xludf.DUMMYFUNCTION("""COMPUTED_VALUE"""),45908.0)</f>
        <v>45908</v>
      </c>
      <c r="I3839" s="115" t="str">
        <f>IFERROR(__xludf.DUMMYFUNCTION("""COMPUTED_VALUE"""),"10")</f>
        <v>10</v>
      </c>
      <c r="J3839" s="115" t="str">
        <f>IFERROR(__xludf.DUMMYFUNCTION("""COMPUTED_VALUE"""),"Manoj Harsh2025-09-0810")</f>
        <v>Manoj Harsh2025-09-0810</v>
      </c>
      <c r="K3839" s="115">
        <f>IFERROR(__xludf.DUMMYFUNCTION("""COMPUTED_VALUE"""),243397.0)</f>
        <v>243397</v>
      </c>
    </row>
    <row r="3840">
      <c r="A3840" s="115" t="str">
        <f>IFERROR(__xludf.DUMMYFUNCTION("""COMPUTED_VALUE"""),"NORTH")</f>
        <v>NORTH</v>
      </c>
      <c r="B3840" s="115" t="str">
        <f>IFERROR(__xludf.DUMMYFUNCTION("""COMPUTED_VALUE"""),"Manoj Harsh")</f>
        <v>Manoj Harsh</v>
      </c>
      <c r="C3840" s="115" t="str">
        <f>IFERROR(__xludf.DUMMYFUNCTION("""COMPUTED_VALUE"""),"MYNTRA")</f>
        <v>MYNTRA</v>
      </c>
      <c r="D3840" s="115">
        <f>IFERROR(__xludf.DUMMYFUNCTION("""COMPUTED_VALUE"""),23976.0)</f>
        <v>23976</v>
      </c>
      <c r="E3840" s="115">
        <f>IFERROR(__xludf.DUMMYFUNCTION("""COMPUTED_VALUE"""),3774.0)</f>
        <v>3774</v>
      </c>
      <c r="F3840" s="115">
        <f>IFERROR(__xludf.DUMMYFUNCTION("""COMPUTED_VALUE"""),1673.0)</f>
        <v>1673</v>
      </c>
      <c r="G3840" s="115">
        <f>IFERROR(__xludf.DUMMYFUNCTION("""COMPUTED_VALUE"""),101.0)</f>
        <v>101</v>
      </c>
      <c r="H3840" s="116">
        <f>IFERROR(__xludf.DUMMYFUNCTION("""COMPUTED_VALUE"""),45908.0)</f>
        <v>45908</v>
      </c>
      <c r="I3840" s="115" t="str">
        <f>IFERROR(__xludf.DUMMYFUNCTION("""COMPUTED_VALUE"""),"10")</f>
        <v>10</v>
      </c>
      <c r="J3840" s="115" t="str">
        <f>IFERROR(__xludf.DUMMYFUNCTION("""COMPUTED_VALUE"""),"Manoj Harsh2025-09-0810")</f>
        <v>Manoj Harsh2025-09-0810</v>
      </c>
      <c r="K3840" s="115">
        <f>IFERROR(__xludf.DUMMYFUNCTION("""COMPUTED_VALUE"""),27750.0)</f>
        <v>27750</v>
      </c>
    </row>
    <row r="3841">
      <c r="A3841" s="115" t="str">
        <f>IFERROR(__xludf.DUMMYFUNCTION("""COMPUTED_VALUE"""),"NORTH")</f>
        <v>NORTH</v>
      </c>
      <c r="B3841" s="115" t="str">
        <f>IFERROR(__xludf.DUMMYFUNCTION("""COMPUTED_VALUE"""),"Pradeep Kothari")</f>
        <v>Pradeep Kothari</v>
      </c>
      <c r="C3841" s="115" t="str">
        <f>IFERROR(__xludf.DUMMYFUNCTION("""COMPUTED_VALUE"""),"EXTERNAL")</f>
        <v>EXTERNAL</v>
      </c>
      <c r="D3841" s="115">
        <f>IFERROR(__xludf.DUMMYFUNCTION("""COMPUTED_VALUE"""),12999.0)</f>
        <v>12999</v>
      </c>
      <c r="E3841" s="115">
        <f>IFERROR(__xludf.DUMMYFUNCTION("""COMPUTED_VALUE"""),1044.0)</f>
        <v>1044</v>
      </c>
      <c r="F3841" s="115">
        <f>IFERROR(__xludf.DUMMYFUNCTION("""COMPUTED_VALUE"""),561.0)</f>
        <v>561</v>
      </c>
      <c r="G3841" s="115">
        <f>IFERROR(__xludf.DUMMYFUNCTION("""COMPUTED_VALUE"""),15.0)</f>
        <v>15</v>
      </c>
      <c r="H3841" s="116">
        <f>IFERROR(__xludf.DUMMYFUNCTION("""COMPUTED_VALUE"""),45908.0)</f>
        <v>45908</v>
      </c>
      <c r="I3841" s="115" t="str">
        <f>IFERROR(__xludf.DUMMYFUNCTION("""COMPUTED_VALUE"""),"10")</f>
        <v>10</v>
      </c>
      <c r="J3841" s="115" t="str">
        <f>IFERROR(__xludf.DUMMYFUNCTION("""COMPUTED_VALUE"""),"Pradeep Kothari2025-09-0810")</f>
        <v>Pradeep Kothari2025-09-0810</v>
      </c>
      <c r="K3841" s="115">
        <f>IFERROR(__xludf.DUMMYFUNCTION("""COMPUTED_VALUE"""),14043.0)</f>
        <v>14043</v>
      </c>
    </row>
    <row r="3842">
      <c r="A3842" s="115" t="str">
        <f>IFERROR(__xludf.DUMMYFUNCTION("""COMPUTED_VALUE"""),"NORTH")</f>
        <v>NORTH</v>
      </c>
      <c r="B3842" s="115" t="str">
        <f>IFERROR(__xludf.DUMMYFUNCTION("""COMPUTED_VALUE"""),"Pradeep Kothari")</f>
        <v>Pradeep Kothari</v>
      </c>
      <c r="C3842" s="115" t="str">
        <f>IFERROR(__xludf.DUMMYFUNCTION("""COMPUTED_VALUE"""),"FLIPKART")</f>
        <v>FLIPKART</v>
      </c>
      <c r="D3842" s="115">
        <f>IFERROR(__xludf.DUMMYFUNCTION("""COMPUTED_VALUE"""),88841.0)</f>
        <v>88841</v>
      </c>
      <c r="E3842" s="115">
        <f>IFERROR(__xludf.DUMMYFUNCTION("""COMPUTED_VALUE"""),9082.0)</f>
        <v>9082</v>
      </c>
      <c r="F3842" s="115">
        <f>IFERROR(__xludf.DUMMYFUNCTION("""COMPUTED_VALUE"""),7261.0)</f>
        <v>7261</v>
      </c>
      <c r="G3842" s="115">
        <f>IFERROR(__xludf.DUMMYFUNCTION("""COMPUTED_VALUE"""),332.0)</f>
        <v>332</v>
      </c>
      <c r="H3842" s="116">
        <f>IFERROR(__xludf.DUMMYFUNCTION("""COMPUTED_VALUE"""),45908.0)</f>
        <v>45908</v>
      </c>
      <c r="I3842" s="115" t="str">
        <f>IFERROR(__xludf.DUMMYFUNCTION("""COMPUTED_VALUE"""),"10")</f>
        <v>10</v>
      </c>
      <c r="J3842" s="115" t="str">
        <f>IFERROR(__xludf.DUMMYFUNCTION("""COMPUTED_VALUE"""),"Pradeep Kothari2025-09-0810")</f>
        <v>Pradeep Kothari2025-09-0810</v>
      </c>
      <c r="K3842" s="115">
        <f>IFERROR(__xludf.DUMMYFUNCTION("""COMPUTED_VALUE"""),97923.0)</f>
        <v>97923</v>
      </c>
    </row>
    <row r="3843">
      <c r="A3843" s="115" t="str">
        <f>IFERROR(__xludf.DUMMYFUNCTION("""COMPUTED_VALUE"""),"NORTH")</f>
        <v>NORTH</v>
      </c>
      <c r="B3843" s="115" t="str">
        <f>IFERROR(__xludf.DUMMYFUNCTION("""COMPUTED_VALUE"""),"Pradeep Kothari")</f>
        <v>Pradeep Kothari</v>
      </c>
      <c r="C3843" s="115" t="str">
        <f>IFERROR(__xludf.DUMMYFUNCTION("""COMPUTED_VALUE"""),"MYNTRA")</f>
        <v>MYNTRA</v>
      </c>
      <c r="D3843" s="115">
        <f>IFERROR(__xludf.DUMMYFUNCTION("""COMPUTED_VALUE"""),18736.0)</f>
        <v>18736</v>
      </c>
      <c r="E3843" s="115">
        <f>IFERROR(__xludf.DUMMYFUNCTION("""COMPUTED_VALUE"""),3410.0)</f>
        <v>3410</v>
      </c>
      <c r="F3843" s="115">
        <f>IFERROR(__xludf.DUMMYFUNCTION("""COMPUTED_VALUE"""),2736.0)</f>
        <v>2736</v>
      </c>
      <c r="G3843" s="115">
        <f>IFERROR(__xludf.DUMMYFUNCTION("""COMPUTED_VALUE"""),167.0)</f>
        <v>167</v>
      </c>
      <c r="H3843" s="116">
        <f>IFERROR(__xludf.DUMMYFUNCTION("""COMPUTED_VALUE"""),45908.0)</f>
        <v>45908</v>
      </c>
      <c r="I3843" s="115" t="str">
        <f>IFERROR(__xludf.DUMMYFUNCTION("""COMPUTED_VALUE"""),"10")</f>
        <v>10</v>
      </c>
      <c r="J3843" s="115" t="str">
        <f>IFERROR(__xludf.DUMMYFUNCTION("""COMPUTED_VALUE"""),"Pradeep Kothari2025-09-0810")</f>
        <v>Pradeep Kothari2025-09-0810</v>
      </c>
      <c r="K3843" s="115">
        <f>IFERROR(__xludf.DUMMYFUNCTION("""COMPUTED_VALUE"""),22146.0)</f>
        <v>22146</v>
      </c>
    </row>
    <row r="3844">
      <c r="A3844" s="115" t="str">
        <f>IFERROR(__xludf.DUMMYFUNCTION("""COMPUTED_VALUE"""),"SOUTH")</f>
        <v>SOUTH</v>
      </c>
      <c r="B3844" s="115" t="str">
        <f>IFERROR(__xludf.DUMMYFUNCTION("""COMPUTED_VALUE"""),"Kandula Sampath")</f>
        <v>Kandula Sampath</v>
      </c>
      <c r="C3844" s="115" t="str">
        <f>IFERROR(__xludf.DUMMYFUNCTION("""COMPUTED_VALUE"""),"EXTERNAL")</f>
        <v>EXTERNAL</v>
      </c>
      <c r="D3844" s="115">
        <f>IFERROR(__xludf.DUMMYFUNCTION("""COMPUTED_VALUE"""),25450.0)</f>
        <v>25450</v>
      </c>
      <c r="E3844" s="115">
        <f>IFERROR(__xludf.DUMMYFUNCTION("""COMPUTED_VALUE"""),2034.0)</f>
        <v>2034</v>
      </c>
      <c r="F3844" s="115">
        <f>IFERROR(__xludf.DUMMYFUNCTION("""COMPUTED_VALUE"""),1501.0)</f>
        <v>1501</v>
      </c>
      <c r="G3844" s="115">
        <f>IFERROR(__xludf.DUMMYFUNCTION("""COMPUTED_VALUE"""),36.0)</f>
        <v>36</v>
      </c>
      <c r="H3844" s="116">
        <f>IFERROR(__xludf.DUMMYFUNCTION("""COMPUTED_VALUE"""),45908.0)</f>
        <v>45908</v>
      </c>
      <c r="I3844" s="115" t="str">
        <f>IFERROR(__xludf.DUMMYFUNCTION("""COMPUTED_VALUE"""),"10")</f>
        <v>10</v>
      </c>
      <c r="J3844" s="115" t="str">
        <f>IFERROR(__xludf.DUMMYFUNCTION("""COMPUTED_VALUE"""),"Kandula Sampath2025-09-0810")</f>
        <v>Kandula Sampath2025-09-0810</v>
      </c>
      <c r="K3844" s="115">
        <f>IFERROR(__xludf.DUMMYFUNCTION("""COMPUTED_VALUE"""),27484.0)</f>
        <v>27484</v>
      </c>
    </row>
    <row r="3845">
      <c r="A3845" s="115" t="str">
        <f>IFERROR(__xludf.DUMMYFUNCTION("""COMPUTED_VALUE"""),"SOUTH")</f>
        <v>SOUTH</v>
      </c>
      <c r="B3845" s="115" t="str">
        <f>IFERROR(__xludf.DUMMYFUNCTION("""COMPUTED_VALUE"""),"Kandula Sampath")</f>
        <v>Kandula Sampath</v>
      </c>
      <c r="C3845" s="115" t="str">
        <f>IFERROR(__xludf.DUMMYFUNCTION("""COMPUTED_VALUE"""),"FLIPKART")</f>
        <v>FLIPKART</v>
      </c>
      <c r="D3845" s="115">
        <f>IFERROR(__xludf.DUMMYFUNCTION("""COMPUTED_VALUE"""),250871.0)</f>
        <v>250871</v>
      </c>
      <c r="E3845" s="115">
        <f>IFERROR(__xludf.DUMMYFUNCTION("""COMPUTED_VALUE"""),18133.0)</f>
        <v>18133</v>
      </c>
      <c r="F3845" s="115">
        <f>IFERROR(__xludf.DUMMYFUNCTION("""COMPUTED_VALUE"""),28307.0)</f>
        <v>28307</v>
      </c>
      <c r="G3845" s="115">
        <f>IFERROR(__xludf.DUMMYFUNCTION("""COMPUTED_VALUE"""),388.0)</f>
        <v>388</v>
      </c>
      <c r="H3845" s="116">
        <f>IFERROR(__xludf.DUMMYFUNCTION("""COMPUTED_VALUE"""),45908.0)</f>
        <v>45908</v>
      </c>
      <c r="I3845" s="115" t="str">
        <f>IFERROR(__xludf.DUMMYFUNCTION("""COMPUTED_VALUE"""),"10")</f>
        <v>10</v>
      </c>
      <c r="J3845" s="115" t="str">
        <f>IFERROR(__xludf.DUMMYFUNCTION("""COMPUTED_VALUE"""),"Kandula Sampath2025-09-0810")</f>
        <v>Kandula Sampath2025-09-0810</v>
      </c>
      <c r="K3845" s="115">
        <f>IFERROR(__xludf.DUMMYFUNCTION("""COMPUTED_VALUE"""),269004.0)</f>
        <v>269004</v>
      </c>
    </row>
    <row r="3846">
      <c r="A3846" s="115" t="str">
        <f>IFERROR(__xludf.DUMMYFUNCTION("""COMPUTED_VALUE"""),"SOUTH")</f>
        <v>SOUTH</v>
      </c>
      <c r="B3846" s="115" t="str">
        <f>IFERROR(__xludf.DUMMYFUNCTION("""COMPUTED_VALUE"""),"Kandula Sampath")</f>
        <v>Kandula Sampath</v>
      </c>
      <c r="C3846" s="115" t="str">
        <f>IFERROR(__xludf.DUMMYFUNCTION("""COMPUTED_VALUE"""),"MYNTRA")</f>
        <v>MYNTRA</v>
      </c>
      <c r="D3846" s="115">
        <f>IFERROR(__xludf.DUMMYFUNCTION("""COMPUTED_VALUE"""),30331.0)</f>
        <v>30331</v>
      </c>
      <c r="E3846" s="115">
        <f>IFERROR(__xludf.DUMMYFUNCTION("""COMPUTED_VALUE"""),5186.0)</f>
        <v>5186</v>
      </c>
      <c r="F3846" s="115">
        <f>IFERROR(__xludf.DUMMYFUNCTION("""COMPUTED_VALUE"""),4117.0)</f>
        <v>4117</v>
      </c>
      <c r="G3846" s="115">
        <f>IFERROR(__xludf.DUMMYFUNCTION("""COMPUTED_VALUE"""),153.0)</f>
        <v>153</v>
      </c>
      <c r="H3846" s="116">
        <f>IFERROR(__xludf.DUMMYFUNCTION("""COMPUTED_VALUE"""),45908.0)</f>
        <v>45908</v>
      </c>
      <c r="I3846" s="115" t="str">
        <f>IFERROR(__xludf.DUMMYFUNCTION("""COMPUTED_VALUE"""),"10")</f>
        <v>10</v>
      </c>
      <c r="J3846" s="115" t="str">
        <f>IFERROR(__xludf.DUMMYFUNCTION("""COMPUTED_VALUE"""),"Kandula Sampath2025-09-0810")</f>
        <v>Kandula Sampath2025-09-0810</v>
      </c>
      <c r="K3846" s="115">
        <f>IFERROR(__xludf.DUMMYFUNCTION("""COMPUTED_VALUE"""),35517.0)</f>
        <v>35517</v>
      </c>
    </row>
    <row r="3847">
      <c r="A3847" s="115" t="str">
        <f>IFERROR(__xludf.DUMMYFUNCTION("""COMPUTED_VALUE"""),"SOUTH")</f>
        <v>SOUTH</v>
      </c>
      <c r="B3847" s="115" t="str">
        <f>IFERROR(__xludf.DUMMYFUNCTION("""COMPUTED_VALUE"""),"Martin A")</f>
        <v>Martin A</v>
      </c>
      <c r="C3847" s="115" t="str">
        <f>IFERROR(__xludf.DUMMYFUNCTION("""COMPUTED_VALUE"""),"EXTERNAL")</f>
        <v>EXTERNAL</v>
      </c>
      <c r="D3847" s="115">
        <f>IFERROR(__xludf.DUMMYFUNCTION("""COMPUTED_VALUE"""),22086.0)</f>
        <v>22086</v>
      </c>
      <c r="E3847" s="115">
        <f>IFERROR(__xludf.DUMMYFUNCTION("""COMPUTED_VALUE"""),2542.0)</f>
        <v>2542</v>
      </c>
      <c r="F3847" s="115">
        <f>IFERROR(__xludf.DUMMYFUNCTION("""COMPUTED_VALUE"""),1206.0)</f>
        <v>1206</v>
      </c>
      <c r="G3847" s="115">
        <f>IFERROR(__xludf.DUMMYFUNCTION("""COMPUTED_VALUE"""),66.0)</f>
        <v>66</v>
      </c>
      <c r="H3847" s="116">
        <f>IFERROR(__xludf.DUMMYFUNCTION("""COMPUTED_VALUE"""),45908.0)</f>
        <v>45908</v>
      </c>
      <c r="I3847" s="115" t="str">
        <f>IFERROR(__xludf.DUMMYFUNCTION("""COMPUTED_VALUE"""),"10")</f>
        <v>10</v>
      </c>
      <c r="J3847" s="115" t="str">
        <f>IFERROR(__xludf.DUMMYFUNCTION("""COMPUTED_VALUE"""),"Martin A2025-09-0810")</f>
        <v>Martin A2025-09-0810</v>
      </c>
      <c r="K3847" s="115">
        <f>IFERROR(__xludf.DUMMYFUNCTION("""COMPUTED_VALUE"""),24628.0)</f>
        <v>24628</v>
      </c>
    </row>
    <row r="3848">
      <c r="A3848" s="115" t="str">
        <f>IFERROR(__xludf.DUMMYFUNCTION("""COMPUTED_VALUE"""),"SOUTH")</f>
        <v>SOUTH</v>
      </c>
      <c r="B3848" s="115" t="str">
        <f>IFERROR(__xludf.DUMMYFUNCTION("""COMPUTED_VALUE"""),"Martin A")</f>
        <v>Martin A</v>
      </c>
      <c r="C3848" s="115" t="str">
        <f>IFERROR(__xludf.DUMMYFUNCTION("""COMPUTED_VALUE"""),"FLIPKART")</f>
        <v>FLIPKART</v>
      </c>
      <c r="D3848" s="115">
        <f>IFERROR(__xludf.DUMMYFUNCTION("""COMPUTED_VALUE"""),189774.0)</f>
        <v>189774</v>
      </c>
      <c r="E3848" s="115">
        <f>IFERROR(__xludf.DUMMYFUNCTION("""COMPUTED_VALUE"""),16927.0)</f>
        <v>16927</v>
      </c>
      <c r="F3848" s="115">
        <f>IFERROR(__xludf.DUMMYFUNCTION("""COMPUTED_VALUE"""),17654.0)</f>
        <v>17654</v>
      </c>
      <c r="G3848" s="115">
        <f>IFERROR(__xludf.DUMMYFUNCTION("""COMPUTED_VALUE"""),458.0)</f>
        <v>458</v>
      </c>
      <c r="H3848" s="116">
        <f>IFERROR(__xludf.DUMMYFUNCTION("""COMPUTED_VALUE"""),45908.0)</f>
        <v>45908</v>
      </c>
      <c r="I3848" s="115" t="str">
        <f>IFERROR(__xludf.DUMMYFUNCTION("""COMPUTED_VALUE"""),"10")</f>
        <v>10</v>
      </c>
      <c r="J3848" s="115" t="str">
        <f>IFERROR(__xludf.DUMMYFUNCTION("""COMPUTED_VALUE"""),"Martin A2025-09-0810")</f>
        <v>Martin A2025-09-0810</v>
      </c>
      <c r="K3848" s="115">
        <f>IFERROR(__xludf.DUMMYFUNCTION("""COMPUTED_VALUE"""),206701.0)</f>
        <v>206701</v>
      </c>
    </row>
    <row r="3849">
      <c r="A3849" s="115" t="str">
        <f>IFERROR(__xludf.DUMMYFUNCTION("""COMPUTED_VALUE"""),"SOUTH")</f>
        <v>SOUTH</v>
      </c>
      <c r="B3849" s="115" t="str">
        <f>IFERROR(__xludf.DUMMYFUNCTION("""COMPUTED_VALUE"""),"Martin A")</f>
        <v>Martin A</v>
      </c>
      <c r="C3849" s="115" t="str">
        <f>IFERROR(__xludf.DUMMYFUNCTION("""COMPUTED_VALUE"""),"MYNTRA")</f>
        <v>MYNTRA</v>
      </c>
      <c r="D3849" s="115">
        <f>IFERROR(__xludf.DUMMYFUNCTION("""COMPUTED_VALUE"""),20156.0)</f>
        <v>20156</v>
      </c>
      <c r="E3849" s="115">
        <f>IFERROR(__xludf.DUMMYFUNCTION("""COMPUTED_VALUE"""),4721.0)</f>
        <v>4721</v>
      </c>
      <c r="F3849" s="115">
        <f>IFERROR(__xludf.DUMMYFUNCTION("""COMPUTED_VALUE"""),2255.0)</f>
        <v>2255</v>
      </c>
      <c r="G3849" s="115">
        <f>IFERROR(__xludf.DUMMYFUNCTION("""COMPUTED_VALUE"""),154.0)</f>
        <v>154</v>
      </c>
      <c r="H3849" s="116">
        <f>IFERROR(__xludf.DUMMYFUNCTION("""COMPUTED_VALUE"""),45908.0)</f>
        <v>45908</v>
      </c>
      <c r="I3849" s="115" t="str">
        <f>IFERROR(__xludf.DUMMYFUNCTION("""COMPUTED_VALUE"""),"10")</f>
        <v>10</v>
      </c>
      <c r="J3849" s="115" t="str">
        <f>IFERROR(__xludf.DUMMYFUNCTION("""COMPUTED_VALUE"""),"Martin A2025-09-0810")</f>
        <v>Martin A2025-09-0810</v>
      </c>
      <c r="K3849" s="115">
        <f>IFERROR(__xludf.DUMMYFUNCTION("""COMPUTED_VALUE"""),24877.0)</f>
        <v>24877</v>
      </c>
    </row>
    <row r="3850">
      <c r="A3850" s="115" t="str">
        <f>IFERROR(__xludf.DUMMYFUNCTION("""COMPUTED_VALUE"""),"SOUTH")</f>
        <v>SOUTH</v>
      </c>
      <c r="B3850" s="115" t="str">
        <f>IFERROR(__xludf.DUMMYFUNCTION("""COMPUTED_VALUE"""),"Premkumar M")</f>
        <v>Premkumar M</v>
      </c>
      <c r="C3850" s="115" t="str">
        <f>IFERROR(__xludf.DUMMYFUNCTION("""COMPUTED_VALUE"""),"EXTERNAL")</f>
        <v>EXTERNAL</v>
      </c>
      <c r="D3850" s="115">
        <f>IFERROR(__xludf.DUMMYFUNCTION("""COMPUTED_VALUE"""),11375.0)</f>
        <v>11375</v>
      </c>
      <c r="E3850" s="115">
        <f>IFERROR(__xludf.DUMMYFUNCTION("""COMPUTED_VALUE"""),418.0)</f>
        <v>418</v>
      </c>
      <c r="F3850" s="115">
        <f>IFERROR(__xludf.DUMMYFUNCTION("""COMPUTED_VALUE"""),348.0)</f>
        <v>348</v>
      </c>
      <c r="G3850" s="115">
        <f>IFERROR(__xludf.DUMMYFUNCTION("""COMPUTED_VALUE"""),3.0)</f>
        <v>3</v>
      </c>
      <c r="H3850" s="116">
        <f>IFERROR(__xludf.DUMMYFUNCTION("""COMPUTED_VALUE"""),45908.0)</f>
        <v>45908</v>
      </c>
      <c r="I3850" s="115" t="str">
        <f>IFERROR(__xludf.DUMMYFUNCTION("""COMPUTED_VALUE"""),"10")</f>
        <v>10</v>
      </c>
      <c r="J3850" s="115" t="str">
        <f>IFERROR(__xludf.DUMMYFUNCTION("""COMPUTED_VALUE"""),"Premkumar M2025-09-0810")</f>
        <v>Premkumar M2025-09-0810</v>
      </c>
      <c r="K3850" s="115">
        <f>IFERROR(__xludf.DUMMYFUNCTION("""COMPUTED_VALUE"""),11793.0)</f>
        <v>11793</v>
      </c>
    </row>
    <row r="3851">
      <c r="A3851" s="115" t="str">
        <f>IFERROR(__xludf.DUMMYFUNCTION("""COMPUTED_VALUE"""),"SOUTH")</f>
        <v>SOUTH</v>
      </c>
      <c r="B3851" s="115" t="str">
        <f>IFERROR(__xludf.DUMMYFUNCTION("""COMPUTED_VALUE"""),"Premkumar M")</f>
        <v>Premkumar M</v>
      </c>
      <c r="C3851" s="115" t="str">
        <f>IFERROR(__xludf.DUMMYFUNCTION("""COMPUTED_VALUE"""),"FLIPKART")</f>
        <v>FLIPKART</v>
      </c>
      <c r="D3851" s="115">
        <f>IFERROR(__xludf.DUMMYFUNCTION("""COMPUTED_VALUE"""),111693.0)</f>
        <v>111693</v>
      </c>
      <c r="E3851" s="115">
        <f>IFERROR(__xludf.DUMMYFUNCTION("""COMPUTED_VALUE"""),5515.0)</f>
        <v>5515</v>
      </c>
      <c r="F3851" s="115">
        <f>IFERROR(__xludf.DUMMYFUNCTION("""COMPUTED_VALUE"""),5863.0)</f>
        <v>5863</v>
      </c>
      <c r="G3851" s="115">
        <f>IFERROR(__xludf.DUMMYFUNCTION("""COMPUTED_VALUE"""),117.0)</f>
        <v>117</v>
      </c>
      <c r="H3851" s="116">
        <f>IFERROR(__xludf.DUMMYFUNCTION("""COMPUTED_VALUE"""),45908.0)</f>
        <v>45908</v>
      </c>
      <c r="I3851" s="115" t="str">
        <f>IFERROR(__xludf.DUMMYFUNCTION("""COMPUTED_VALUE"""),"10")</f>
        <v>10</v>
      </c>
      <c r="J3851" s="115" t="str">
        <f>IFERROR(__xludf.DUMMYFUNCTION("""COMPUTED_VALUE"""),"Premkumar M2025-09-0810")</f>
        <v>Premkumar M2025-09-0810</v>
      </c>
      <c r="K3851" s="115">
        <f>IFERROR(__xludf.DUMMYFUNCTION("""COMPUTED_VALUE"""),117208.0)</f>
        <v>117208</v>
      </c>
    </row>
    <row r="3852">
      <c r="A3852" s="115" t="str">
        <f>IFERROR(__xludf.DUMMYFUNCTION("""COMPUTED_VALUE"""),"SOUTH")</f>
        <v>SOUTH</v>
      </c>
      <c r="B3852" s="115" t="str">
        <f>IFERROR(__xludf.DUMMYFUNCTION("""COMPUTED_VALUE"""),"Premkumar M")</f>
        <v>Premkumar M</v>
      </c>
      <c r="C3852" s="115" t="str">
        <f>IFERROR(__xludf.DUMMYFUNCTION("""COMPUTED_VALUE"""),"MYNTRA")</f>
        <v>MYNTRA</v>
      </c>
      <c r="D3852" s="115">
        <f>IFERROR(__xludf.DUMMYFUNCTION("""COMPUTED_VALUE"""),6640.0)</f>
        <v>6640</v>
      </c>
      <c r="E3852" s="115">
        <f>IFERROR(__xludf.DUMMYFUNCTION("""COMPUTED_VALUE"""),973.0)</f>
        <v>973</v>
      </c>
      <c r="F3852" s="115">
        <f>IFERROR(__xludf.DUMMYFUNCTION("""COMPUTED_VALUE"""),377.0)</f>
        <v>377</v>
      </c>
      <c r="G3852" s="115">
        <f>IFERROR(__xludf.DUMMYFUNCTION("""COMPUTED_VALUE"""),6.0)</f>
        <v>6</v>
      </c>
      <c r="H3852" s="116">
        <f>IFERROR(__xludf.DUMMYFUNCTION("""COMPUTED_VALUE"""),45908.0)</f>
        <v>45908</v>
      </c>
      <c r="I3852" s="115" t="str">
        <f>IFERROR(__xludf.DUMMYFUNCTION("""COMPUTED_VALUE"""),"10")</f>
        <v>10</v>
      </c>
      <c r="J3852" s="115" t="str">
        <f>IFERROR(__xludf.DUMMYFUNCTION("""COMPUTED_VALUE"""),"Premkumar M2025-09-0810")</f>
        <v>Premkumar M2025-09-0810</v>
      </c>
      <c r="K3852" s="115">
        <f>IFERROR(__xludf.DUMMYFUNCTION("""COMPUTED_VALUE"""),7613.0)</f>
        <v>7613</v>
      </c>
    </row>
    <row r="3853">
      <c r="A3853" s="115" t="str">
        <f>IFERROR(__xludf.DUMMYFUNCTION("""COMPUTED_VALUE"""),"SOUTH")</f>
        <v>SOUTH</v>
      </c>
      <c r="B3853" s="115" t="str">
        <f>IFERROR(__xludf.DUMMYFUNCTION("""COMPUTED_VALUE"""),"Vineeth V")</f>
        <v>Vineeth V</v>
      </c>
      <c r="C3853" s="115" t="str">
        <f>IFERROR(__xludf.DUMMYFUNCTION("""COMPUTED_VALUE"""),"EXTERNAL")</f>
        <v>EXTERNAL</v>
      </c>
      <c r="D3853" s="115">
        <f>IFERROR(__xludf.DUMMYFUNCTION("""COMPUTED_VALUE"""),6126.0)</f>
        <v>6126</v>
      </c>
      <c r="E3853" s="115">
        <f>IFERROR(__xludf.DUMMYFUNCTION("""COMPUTED_VALUE"""),126.0)</f>
        <v>126</v>
      </c>
      <c r="F3853" s="115">
        <f>IFERROR(__xludf.DUMMYFUNCTION("""COMPUTED_VALUE"""),107.0)</f>
        <v>107</v>
      </c>
      <c r="G3853" s="115">
        <f>IFERROR(__xludf.DUMMYFUNCTION("""COMPUTED_VALUE"""),0.0)</f>
        <v>0</v>
      </c>
      <c r="H3853" s="116">
        <f>IFERROR(__xludf.DUMMYFUNCTION("""COMPUTED_VALUE"""),45908.0)</f>
        <v>45908</v>
      </c>
      <c r="I3853" s="115" t="str">
        <f>IFERROR(__xludf.DUMMYFUNCTION("""COMPUTED_VALUE"""),"10")</f>
        <v>10</v>
      </c>
      <c r="J3853" s="115" t="str">
        <f>IFERROR(__xludf.DUMMYFUNCTION("""COMPUTED_VALUE"""),"Vineeth V2025-09-0810")</f>
        <v>Vineeth V2025-09-0810</v>
      </c>
      <c r="K3853" s="115">
        <f>IFERROR(__xludf.DUMMYFUNCTION("""COMPUTED_VALUE"""),6252.0)</f>
        <v>6252</v>
      </c>
    </row>
    <row r="3854">
      <c r="A3854" s="115" t="str">
        <f>IFERROR(__xludf.DUMMYFUNCTION("""COMPUTED_VALUE"""),"SOUTH")</f>
        <v>SOUTH</v>
      </c>
      <c r="B3854" s="115" t="str">
        <f>IFERROR(__xludf.DUMMYFUNCTION("""COMPUTED_VALUE"""),"Vineeth V")</f>
        <v>Vineeth V</v>
      </c>
      <c r="C3854" s="115" t="str">
        <f>IFERROR(__xludf.DUMMYFUNCTION("""COMPUTED_VALUE"""),"FLIPKART")</f>
        <v>FLIPKART</v>
      </c>
      <c r="D3854" s="115">
        <f>IFERROR(__xludf.DUMMYFUNCTION("""COMPUTED_VALUE"""),68726.0)</f>
        <v>68726</v>
      </c>
      <c r="E3854" s="115">
        <f>IFERROR(__xludf.DUMMYFUNCTION("""COMPUTED_VALUE"""),3011.0)</f>
        <v>3011</v>
      </c>
      <c r="F3854" s="115">
        <f>IFERROR(__xludf.DUMMYFUNCTION("""COMPUTED_VALUE"""),1736.0)</f>
        <v>1736</v>
      </c>
      <c r="G3854" s="115">
        <f>IFERROR(__xludf.DUMMYFUNCTION("""COMPUTED_VALUE"""),40.0)</f>
        <v>40</v>
      </c>
      <c r="H3854" s="116">
        <f>IFERROR(__xludf.DUMMYFUNCTION("""COMPUTED_VALUE"""),45908.0)</f>
        <v>45908</v>
      </c>
      <c r="I3854" s="115" t="str">
        <f>IFERROR(__xludf.DUMMYFUNCTION("""COMPUTED_VALUE"""),"10")</f>
        <v>10</v>
      </c>
      <c r="J3854" s="115" t="str">
        <f>IFERROR(__xludf.DUMMYFUNCTION("""COMPUTED_VALUE"""),"Vineeth V2025-09-0810")</f>
        <v>Vineeth V2025-09-0810</v>
      </c>
      <c r="K3854" s="115">
        <f>IFERROR(__xludf.DUMMYFUNCTION("""COMPUTED_VALUE"""),71737.0)</f>
        <v>71737</v>
      </c>
    </row>
    <row r="3855">
      <c r="A3855" s="115" t="str">
        <f>IFERROR(__xludf.DUMMYFUNCTION("""COMPUTED_VALUE"""),"SOUTH")</f>
        <v>SOUTH</v>
      </c>
      <c r="B3855" s="115" t="str">
        <f>IFERROR(__xludf.DUMMYFUNCTION("""COMPUTED_VALUE"""),"Vineeth V")</f>
        <v>Vineeth V</v>
      </c>
      <c r="C3855" s="115" t="str">
        <f>IFERROR(__xludf.DUMMYFUNCTION("""COMPUTED_VALUE"""),"MYNTRA")</f>
        <v>MYNTRA</v>
      </c>
      <c r="D3855" s="115">
        <f>IFERROR(__xludf.DUMMYFUNCTION("""COMPUTED_VALUE"""),5730.0)</f>
        <v>5730</v>
      </c>
      <c r="E3855" s="115">
        <f>IFERROR(__xludf.DUMMYFUNCTION("""COMPUTED_VALUE"""),812.0)</f>
        <v>812</v>
      </c>
      <c r="F3855" s="115">
        <f>IFERROR(__xludf.DUMMYFUNCTION("""COMPUTED_VALUE"""),204.0)</f>
        <v>204</v>
      </c>
      <c r="G3855" s="115">
        <f>IFERROR(__xludf.DUMMYFUNCTION("""COMPUTED_VALUE"""),9.0)</f>
        <v>9</v>
      </c>
      <c r="H3855" s="116">
        <f>IFERROR(__xludf.DUMMYFUNCTION("""COMPUTED_VALUE"""),45908.0)</f>
        <v>45908</v>
      </c>
      <c r="I3855" s="115" t="str">
        <f>IFERROR(__xludf.DUMMYFUNCTION("""COMPUTED_VALUE"""),"10")</f>
        <v>10</v>
      </c>
      <c r="J3855" s="115" t="str">
        <f>IFERROR(__xludf.DUMMYFUNCTION("""COMPUTED_VALUE"""),"Vineeth V2025-09-0810")</f>
        <v>Vineeth V2025-09-0810</v>
      </c>
      <c r="K3855" s="115">
        <f>IFERROR(__xludf.DUMMYFUNCTION("""COMPUTED_VALUE"""),6542.0)</f>
        <v>6542</v>
      </c>
    </row>
    <row r="3856">
      <c r="A3856" s="115" t="str">
        <f>IFERROR(__xludf.DUMMYFUNCTION("""COMPUTED_VALUE"""),"WEST")</f>
        <v>WEST</v>
      </c>
      <c r="B3856" s="115" t="str">
        <f>IFERROR(__xludf.DUMMYFUNCTION("""COMPUTED_VALUE"""),"Ashish Jakar")</f>
        <v>Ashish Jakar</v>
      </c>
      <c r="C3856" s="115" t="str">
        <f>IFERROR(__xludf.DUMMYFUNCTION("""COMPUTED_VALUE"""),"EXTERNAL")</f>
        <v>EXTERNAL</v>
      </c>
      <c r="D3856" s="115">
        <f>IFERROR(__xludf.DUMMYFUNCTION("""COMPUTED_VALUE"""),31731.0)</f>
        <v>31731</v>
      </c>
      <c r="E3856" s="115">
        <f>IFERROR(__xludf.DUMMYFUNCTION("""COMPUTED_VALUE"""),3834.0)</f>
        <v>3834</v>
      </c>
      <c r="F3856" s="115">
        <f>IFERROR(__xludf.DUMMYFUNCTION("""COMPUTED_VALUE"""),1039.0)</f>
        <v>1039</v>
      </c>
      <c r="G3856" s="115">
        <f>IFERROR(__xludf.DUMMYFUNCTION("""COMPUTED_VALUE"""),70.0)</f>
        <v>70</v>
      </c>
      <c r="H3856" s="116">
        <f>IFERROR(__xludf.DUMMYFUNCTION("""COMPUTED_VALUE"""),45908.0)</f>
        <v>45908</v>
      </c>
      <c r="I3856" s="115" t="str">
        <f>IFERROR(__xludf.DUMMYFUNCTION("""COMPUTED_VALUE"""),"10")</f>
        <v>10</v>
      </c>
      <c r="J3856" s="115" t="str">
        <f>IFERROR(__xludf.DUMMYFUNCTION("""COMPUTED_VALUE"""),"Ashish Jakar2025-09-0810")</f>
        <v>Ashish Jakar2025-09-0810</v>
      </c>
      <c r="K3856" s="115">
        <f>IFERROR(__xludf.DUMMYFUNCTION("""COMPUTED_VALUE"""),35565.0)</f>
        <v>35565</v>
      </c>
    </row>
    <row r="3857">
      <c r="A3857" s="115" t="str">
        <f>IFERROR(__xludf.DUMMYFUNCTION("""COMPUTED_VALUE"""),"WEST")</f>
        <v>WEST</v>
      </c>
      <c r="B3857" s="115" t="str">
        <f>IFERROR(__xludf.DUMMYFUNCTION("""COMPUTED_VALUE"""),"Ashish Jakar")</f>
        <v>Ashish Jakar</v>
      </c>
      <c r="C3857" s="115" t="str">
        <f>IFERROR(__xludf.DUMMYFUNCTION("""COMPUTED_VALUE"""),"FLIPKART")</f>
        <v>FLIPKART</v>
      </c>
      <c r="D3857" s="115">
        <f>IFERROR(__xludf.DUMMYFUNCTION("""COMPUTED_VALUE"""),198272.0)</f>
        <v>198272</v>
      </c>
      <c r="E3857" s="115">
        <f>IFERROR(__xludf.DUMMYFUNCTION("""COMPUTED_VALUE"""),17156.0)</f>
        <v>17156</v>
      </c>
      <c r="F3857" s="115">
        <f>IFERROR(__xludf.DUMMYFUNCTION("""COMPUTED_VALUE"""),12116.0)</f>
        <v>12116</v>
      </c>
      <c r="G3857" s="115">
        <f>IFERROR(__xludf.DUMMYFUNCTION("""COMPUTED_VALUE"""),437.0)</f>
        <v>437</v>
      </c>
      <c r="H3857" s="116">
        <f>IFERROR(__xludf.DUMMYFUNCTION("""COMPUTED_VALUE"""),45908.0)</f>
        <v>45908</v>
      </c>
      <c r="I3857" s="115" t="str">
        <f>IFERROR(__xludf.DUMMYFUNCTION("""COMPUTED_VALUE"""),"10")</f>
        <v>10</v>
      </c>
      <c r="J3857" s="115" t="str">
        <f>IFERROR(__xludf.DUMMYFUNCTION("""COMPUTED_VALUE"""),"Ashish Jakar2025-09-0810")</f>
        <v>Ashish Jakar2025-09-0810</v>
      </c>
      <c r="K3857" s="115">
        <f>IFERROR(__xludf.DUMMYFUNCTION("""COMPUTED_VALUE"""),215428.0)</f>
        <v>215428</v>
      </c>
    </row>
    <row r="3858">
      <c r="A3858" s="115" t="str">
        <f>IFERROR(__xludf.DUMMYFUNCTION("""COMPUTED_VALUE"""),"WEST")</f>
        <v>WEST</v>
      </c>
      <c r="B3858" s="115" t="str">
        <f>IFERROR(__xludf.DUMMYFUNCTION("""COMPUTED_VALUE"""),"Ashish Jakar")</f>
        <v>Ashish Jakar</v>
      </c>
      <c r="C3858" s="115" t="str">
        <f>IFERROR(__xludf.DUMMYFUNCTION("""COMPUTED_VALUE"""),"MYNTRA")</f>
        <v>MYNTRA</v>
      </c>
      <c r="D3858" s="115">
        <f>IFERROR(__xludf.DUMMYFUNCTION("""COMPUTED_VALUE"""),25691.0)</f>
        <v>25691</v>
      </c>
      <c r="E3858" s="115">
        <f>IFERROR(__xludf.DUMMYFUNCTION("""COMPUTED_VALUE"""),6204.0)</f>
        <v>6204</v>
      </c>
      <c r="F3858" s="115">
        <f>IFERROR(__xludf.DUMMYFUNCTION("""COMPUTED_VALUE"""),1983.0)</f>
        <v>1983</v>
      </c>
      <c r="G3858" s="115">
        <f>IFERROR(__xludf.DUMMYFUNCTION("""COMPUTED_VALUE"""),144.0)</f>
        <v>144</v>
      </c>
      <c r="H3858" s="116">
        <f>IFERROR(__xludf.DUMMYFUNCTION("""COMPUTED_VALUE"""),45908.0)</f>
        <v>45908</v>
      </c>
      <c r="I3858" s="115" t="str">
        <f>IFERROR(__xludf.DUMMYFUNCTION("""COMPUTED_VALUE"""),"10")</f>
        <v>10</v>
      </c>
      <c r="J3858" s="115" t="str">
        <f>IFERROR(__xludf.DUMMYFUNCTION("""COMPUTED_VALUE"""),"Ashish Jakar2025-09-0810")</f>
        <v>Ashish Jakar2025-09-0810</v>
      </c>
      <c r="K3858" s="115">
        <f>IFERROR(__xludf.DUMMYFUNCTION("""COMPUTED_VALUE"""),31895.0)</f>
        <v>31895</v>
      </c>
    </row>
    <row r="3859">
      <c r="A3859" s="115" t="str">
        <f>IFERROR(__xludf.DUMMYFUNCTION("""COMPUTED_VALUE"""),"WEST")</f>
        <v>WEST</v>
      </c>
      <c r="B3859" s="115" t="str">
        <f>IFERROR(__xludf.DUMMYFUNCTION("""COMPUTED_VALUE"""),"Ashvani Bhatt")</f>
        <v>Ashvani Bhatt</v>
      </c>
      <c r="C3859" s="115" t="str">
        <f>IFERROR(__xludf.DUMMYFUNCTION("""COMPUTED_VALUE"""),"EXTERNAL")</f>
        <v>EXTERNAL</v>
      </c>
      <c r="D3859" s="115">
        <f>IFERROR(__xludf.DUMMYFUNCTION("""COMPUTED_VALUE"""),20129.0)</f>
        <v>20129</v>
      </c>
      <c r="E3859" s="115">
        <f>IFERROR(__xludf.DUMMYFUNCTION("""COMPUTED_VALUE"""),1341.0)</f>
        <v>1341</v>
      </c>
      <c r="F3859" s="115">
        <f>IFERROR(__xludf.DUMMYFUNCTION("""COMPUTED_VALUE"""),924.0)</f>
        <v>924</v>
      </c>
      <c r="G3859" s="115">
        <f>IFERROR(__xludf.DUMMYFUNCTION("""COMPUTED_VALUE"""),33.0)</f>
        <v>33</v>
      </c>
      <c r="H3859" s="116">
        <f>IFERROR(__xludf.DUMMYFUNCTION("""COMPUTED_VALUE"""),45908.0)</f>
        <v>45908</v>
      </c>
      <c r="I3859" s="115" t="str">
        <f>IFERROR(__xludf.DUMMYFUNCTION("""COMPUTED_VALUE"""),"10")</f>
        <v>10</v>
      </c>
      <c r="J3859" s="115" t="str">
        <f>IFERROR(__xludf.DUMMYFUNCTION("""COMPUTED_VALUE"""),"Ashvani Bhatt2025-09-0810")</f>
        <v>Ashvani Bhatt2025-09-0810</v>
      </c>
      <c r="K3859" s="115">
        <f>IFERROR(__xludf.DUMMYFUNCTION("""COMPUTED_VALUE"""),21470.0)</f>
        <v>21470</v>
      </c>
    </row>
    <row r="3860">
      <c r="A3860" s="115" t="str">
        <f>IFERROR(__xludf.DUMMYFUNCTION("""COMPUTED_VALUE"""),"WEST")</f>
        <v>WEST</v>
      </c>
      <c r="B3860" s="115" t="str">
        <f>IFERROR(__xludf.DUMMYFUNCTION("""COMPUTED_VALUE"""),"Ashvani Bhatt")</f>
        <v>Ashvani Bhatt</v>
      </c>
      <c r="C3860" s="115" t="str">
        <f>IFERROR(__xludf.DUMMYFUNCTION("""COMPUTED_VALUE"""),"FLIPKART")</f>
        <v>FLIPKART</v>
      </c>
      <c r="D3860" s="115">
        <f>IFERROR(__xludf.DUMMYFUNCTION("""COMPUTED_VALUE"""),146643.0)</f>
        <v>146643</v>
      </c>
      <c r="E3860" s="115">
        <f>IFERROR(__xludf.DUMMYFUNCTION("""COMPUTED_VALUE"""),12929.0)</f>
        <v>12929</v>
      </c>
      <c r="F3860" s="115">
        <f>IFERROR(__xludf.DUMMYFUNCTION("""COMPUTED_VALUE"""),13570.0)</f>
        <v>13570</v>
      </c>
      <c r="G3860" s="115">
        <f>IFERROR(__xludf.DUMMYFUNCTION("""COMPUTED_VALUE"""),306.0)</f>
        <v>306</v>
      </c>
      <c r="H3860" s="116">
        <f>IFERROR(__xludf.DUMMYFUNCTION("""COMPUTED_VALUE"""),45908.0)</f>
        <v>45908</v>
      </c>
      <c r="I3860" s="115" t="str">
        <f>IFERROR(__xludf.DUMMYFUNCTION("""COMPUTED_VALUE"""),"10")</f>
        <v>10</v>
      </c>
      <c r="J3860" s="115" t="str">
        <f>IFERROR(__xludf.DUMMYFUNCTION("""COMPUTED_VALUE"""),"Ashvani Bhatt2025-09-0810")</f>
        <v>Ashvani Bhatt2025-09-0810</v>
      </c>
      <c r="K3860" s="115">
        <f>IFERROR(__xludf.DUMMYFUNCTION("""COMPUTED_VALUE"""),159572.0)</f>
        <v>159572</v>
      </c>
    </row>
    <row r="3861">
      <c r="A3861" s="115" t="str">
        <f>IFERROR(__xludf.DUMMYFUNCTION("""COMPUTED_VALUE"""),"WEST")</f>
        <v>WEST</v>
      </c>
      <c r="B3861" s="115" t="str">
        <f>IFERROR(__xludf.DUMMYFUNCTION("""COMPUTED_VALUE"""),"Ashvani Bhatt")</f>
        <v>Ashvani Bhatt</v>
      </c>
      <c r="C3861" s="115" t="str">
        <f>IFERROR(__xludf.DUMMYFUNCTION("""COMPUTED_VALUE"""),"MYNTRA")</f>
        <v>MYNTRA</v>
      </c>
      <c r="D3861" s="115">
        <f>IFERROR(__xludf.DUMMYFUNCTION("""COMPUTED_VALUE"""),21066.0)</f>
        <v>21066</v>
      </c>
      <c r="E3861" s="115">
        <f>IFERROR(__xludf.DUMMYFUNCTION("""COMPUTED_VALUE"""),4155.0)</f>
        <v>4155</v>
      </c>
      <c r="F3861" s="115">
        <f>IFERROR(__xludf.DUMMYFUNCTION("""COMPUTED_VALUE"""),2532.0)</f>
        <v>2532</v>
      </c>
      <c r="G3861" s="115">
        <f>IFERROR(__xludf.DUMMYFUNCTION("""COMPUTED_VALUE"""),130.0)</f>
        <v>130</v>
      </c>
      <c r="H3861" s="116">
        <f>IFERROR(__xludf.DUMMYFUNCTION("""COMPUTED_VALUE"""),45908.0)</f>
        <v>45908</v>
      </c>
      <c r="I3861" s="115" t="str">
        <f>IFERROR(__xludf.DUMMYFUNCTION("""COMPUTED_VALUE"""),"10")</f>
        <v>10</v>
      </c>
      <c r="J3861" s="115" t="str">
        <f>IFERROR(__xludf.DUMMYFUNCTION("""COMPUTED_VALUE"""),"Ashvani Bhatt2025-09-0810")</f>
        <v>Ashvani Bhatt2025-09-0810</v>
      </c>
      <c r="K3861" s="115">
        <f>IFERROR(__xludf.DUMMYFUNCTION("""COMPUTED_VALUE"""),25221.0)</f>
        <v>25221</v>
      </c>
    </row>
    <row r="3862">
      <c r="A3862" s="115"/>
      <c r="B3862" s="115"/>
      <c r="C3862" s="115" t="str">
        <f>IFERROR(__xludf.DUMMYFUNCTION("""COMPUTED_VALUE"""),"EXTERNAL")</f>
        <v>EXTERNAL</v>
      </c>
      <c r="D3862" s="115">
        <f>IFERROR(__xludf.DUMMYFUNCTION("""COMPUTED_VALUE"""),234.0)</f>
        <v>234</v>
      </c>
      <c r="E3862" s="115">
        <f>IFERROR(__xludf.DUMMYFUNCTION("""COMPUTED_VALUE"""),70.0)</f>
        <v>70</v>
      </c>
      <c r="F3862" s="115">
        <f>IFERROR(__xludf.DUMMYFUNCTION("""COMPUTED_VALUE"""),8.0)</f>
        <v>8</v>
      </c>
      <c r="G3862" s="115">
        <f>IFERROR(__xludf.DUMMYFUNCTION("""COMPUTED_VALUE"""),14.0)</f>
        <v>14</v>
      </c>
      <c r="H3862" s="116">
        <f>IFERROR(__xludf.DUMMYFUNCTION("""COMPUTED_VALUE"""),45908.0)</f>
        <v>45908</v>
      </c>
      <c r="I3862" s="115" t="str">
        <f>IFERROR(__xludf.DUMMYFUNCTION("""COMPUTED_VALUE"""),"10")</f>
        <v>10</v>
      </c>
      <c r="J3862" s="115" t="str">
        <f>IFERROR(__xludf.DUMMYFUNCTION("""COMPUTED_VALUE"""),"2025-09-0810")</f>
        <v>2025-09-0810</v>
      </c>
      <c r="K3862" s="115">
        <f>IFERROR(__xludf.DUMMYFUNCTION("""COMPUTED_VALUE"""),304.0)</f>
        <v>304</v>
      </c>
    </row>
    <row r="3863">
      <c r="A3863" s="115"/>
      <c r="B3863" s="115"/>
      <c r="C3863" s="115" t="str">
        <f>IFERROR(__xludf.DUMMYFUNCTION("""COMPUTED_VALUE"""),"FLIPKART")</f>
        <v>FLIPKART</v>
      </c>
      <c r="D3863" s="115">
        <f>IFERROR(__xludf.DUMMYFUNCTION("""COMPUTED_VALUE"""),2234.0)</f>
        <v>2234</v>
      </c>
      <c r="E3863" s="115">
        <f>IFERROR(__xludf.DUMMYFUNCTION("""COMPUTED_VALUE"""),186.0)</f>
        <v>186</v>
      </c>
      <c r="F3863" s="115">
        <f>IFERROR(__xludf.DUMMYFUNCTION("""COMPUTED_VALUE"""),86.0)</f>
        <v>86</v>
      </c>
      <c r="G3863" s="115">
        <f>IFERROR(__xludf.DUMMYFUNCTION("""COMPUTED_VALUE"""),21.0)</f>
        <v>21</v>
      </c>
      <c r="H3863" s="116">
        <f>IFERROR(__xludf.DUMMYFUNCTION("""COMPUTED_VALUE"""),45908.0)</f>
        <v>45908</v>
      </c>
      <c r="I3863" s="115" t="str">
        <f>IFERROR(__xludf.DUMMYFUNCTION("""COMPUTED_VALUE"""),"10")</f>
        <v>10</v>
      </c>
      <c r="J3863" s="115" t="str">
        <f>IFERROR(__xludf.DUMMYFUNCTION("""COMPUTED_VALUE"""),"2025-09-0810")</f>
        <v>2025-09-0810</v>
      </c>
      <c r="K3863" s="115">
        <f>IFERROR(__xludf.DUMMYFUNCTION("""COMPUTED_VALUE"""),2420.0)</f>
        <v>2420</v>
      </c>
    </row>
    <row r="3864">
      <c r="A3864" s="115"/>
      <c r="B3864" s="115"/>
      <c r="C3864" s="115" t="str">
        <f>IFERROR(__xludf.DUMMYFUNCTION("""COMPUTED_VALUE"""),"MYNTRA")</f>
        <v>MYNTRA</v>
      </c>
      <c r="D3864" s="115">
        <f>IFERROR(__xludf.DUMMYFUNCTION("""COMPUTED_VALUE"""),303.0)</f>
        <v>303</v>
      </c>
      <c r="E3864" s="115">
        <f>IFERROR(__xludf.DUMMYFUNCTION("""COMPUTED_VALUE"""),96.0)</f>
        <v>96</v>
      </c>
      <c r="F3864" s="115">
        <f>IFERROR(__xludf.DUMMYFUNCTION("""COMPUTED_VALUE"""),32.0)</f>
        <v>32</v>
      </c>
      <c r="G3864" s="115">
        <f>IFERROR(__xludf.DUMMYFUNCTION("""COMPUTED_VALUE"""),13.0)</f>
        <v>13</v>
      </c>
      <c r="H3864" s="116">
        <f>IFERROR(__xludf.DUMMYFUNCTION("""COMPUTED_VALUE"""),45908.0)</f>
        <v>45908</v>
      </c>
      <c r="I3864" s="115" t="str">
        <f>IFERROR(__xludf.DUMMYFUNCTION("""COMPUTED_VALUE"""),"10")</f>
        <v>10</v>
      </c>
      <c r="J3864" s="115" t="str">
        <f>IFERROR(__xludf.DUMMYFUNCTION("""COMPUTED_VALUE"""),"2025-09-0810")</f>
        <v>2025-09-0810</v>
      </c>
      <c r="K3864" s="115">
        <f>IFERROR(__xludf.DUMMYFUNCTION("""COMPUTED_VALUE"""),399.0)</f>
        <v>399</v>
      </c>
    </row>
    <row r="3865">
      <c r="A3865" s="115" t="str">
        <f>IFERROR(__xludf.DUMMYFUNCTION("""COMPUTED_VALUE"""),"EAST")</f>
        <v>EAST</v>
      </c>
      <c r="B3865" s="115" t="str">
        <f>IFERROR(__xludf.DUMMYFUNCTION("""COMPUTED_VALUE"""),"Ashish Ranjan")</f>
        <v>Ashish Ranjan</v>
      </c>
      <c r="C3865" s="115" t="str">
        <f>IFERROR(__xludf.DUMMYFUNCTION("""COMPUTED_VALUE"""),"EXTERNAL")</f>
        <v>EXTERNAL</v>
      </c>
      <c r="D3865" s="115">
        <f>IFERROR(__xludf.DUMMYFUNCTION("""COMPUTED_VALUE"""),36175.0)</f>
        <v>36175</v>
      </c>
      <c r="E3865" s="115">
        <f>IFERROR(__xludf.DUMMYFUNCTION("""COMPUTED_VALUE"""),2683.0)</f>
        <v>2683</v>
      </c>
      <c r="F3865" s="115">
        <f>IFERROR(__xludf.DUMMYFUNCTION("""COMPUTED_VALUE"""),4516.0)</f>
        <v>4516</v>
      </c>
      <c r="G3865" s="115">
        <f>IFERROR(__xludf.DUMMYFUNCTION("""COMPUTED_VALUE"""),112.0)</f>
        <v>112</v>
      </c>
      <c r="H3865" s="116">
        <f>IFERROR(__xludf.DUMMYFUNCTION("""COMPUTED_VALUE"""),45908.0)</f>
        <v>45908</v>
      </c>
      <c r="I3865" s="115" t="str">
        <f>IFERROR(__xludf.DUMMYFUNCTION("""COMPUTED_VALUE"""),"11")</f>
        <v>11</v>
      </c>
      <c r="J3865" s="115" t="str">
        <f>IFERROR(__xludf.DUMMYFUNCTION("""COMPUTED_VALUE"""),"Ashish Ranjan2025-09-0811")</f>
        <v>Ashish Ranjan2025-09-0811</v>
      </c>
      <c r="K3865" s="115">
        <f>IFERROR(__xludf.DUMMYFUNCTION("""COMPUTED_VALUE"""),38858.0)</f>
        <v>38858</v>
      </c>
    </row>
    <row r="3866">
      <c r="A3866" s="115" t="str">
        <f>IFERROR(__xludf.DUMMYFUNCTION("""COMPUTED_VALUE"""),"EAST")</f>
        <v>EAST</v>
      </c>
      <c r="B3866" s="115" t="str">
        <f>IFERROR(__xludf.DUMMYFUNCTION("""COMPUTED_VALUE"""),"Ashish Ranjan")</f>
        <v>Ashish Ranjan</v>
      </c>
      <c r="C3866" s="115" t="str">
        <f>IFERROR(__xludf.DUMMYFUNCTION("""COMPUTED_VALUE"""),"FLIPKART")</f>
        <v>FLIPKART</v>
      </c>
      <c r="D3866" s="115">
        <f>IFERROR(__xludf.DUMMYFUNCTION("""COMPUTED_VALUE"""),550220.0)</f>
        <v>550220</v>
      </c>
      <c r="E3866" s="115">
        <f>IFERROR(__xludf.DUMMYFUNCTION("""COMPUTED_VALUE"""),47289.0)</f>
        <v>47289</v>
      </c>
      <c r="F3866" s="115">
        <f>IFERROR(__xludf.DUMMYFUNCTION("""COMPUTED_VALUE"""),111516.0)</f>
        <v>111516</v>
      </c>
      <c r="G3866" s="115">
        <f>IFERROR(__xludf.DUMMYFUNCTION("""COMPUTED_VALUE"""),2645.0)</f>
        <v>2645</v>
      </c>
      <c r="H3866" s="116">
        <f>IFERROR(__xludf.DUMMYFUNCTION("""COMPUTED_VALUE"""),45908.0)</f>
        <v>45908</v>
      </c>
      <c r="I3866" s="115" t="str">
        <f>IFERROR(__xludf.DUMMYFUNCTION("""COMPUTED_VALUE"""),"11")</f>
        <v>11</v>
      </c>
      <c r="J3866" s="115" t="str">
        <f>IFERROR(__xludf.DUMMYFUNCTION("""COMPUTED_VALUE"""),"Ashish Ranjan2025-09-0811")</f>
        <v>Ashish Ranjan2025-09-0811</v>
      </c>
      <c r="K3866" s="115">
        <f>IFERROR(__xludf.DUMMYFUNCTION("""COMPUTED_VALUE"""),597509.0)</f>
        <v>597509</v>
      </c>
    </row>
    <row r="3867">
      <c r="A3867" s="115" t="str">
        <f>IFERROR(__xludf.DUMMYFUNCTION("""COMPUTED_VALUE"""),"EAST")</f>
        <v>EAST</v>
      </c>
      <c r="B3867" s="115" t="str">
        <f>IFERROR(__xludf.DUMMYFUNCTION("""COMPUTED_VALUE"""),"Ashish Ranjan")</f>
        <v>Ashish Ranjan</v>
      </c>
      <c r="C3867" s="115" t="str">
        <f>IFERROR(__xludf.DUMMYFUNCTION("""COMPUTED_VALUE"""),"MYNTRA")</f>
        <v>MYNTRA</v>
      </c>
      <c r="D3867" s="115">
        <f>IFERROR(__xludf.DUMMYFUNCTION("""COMPUTED_VALUE"""),61289.0)</f>
        <v>61289</v>
      </c>
      <c r="E3867" s="115">
        <f>IFERROR(__xludf.DUMMYFUNCTION("""COMPUTED_VALUE"""),11096.0)</f>
        <v>11096</v>
      </c>
      <c r="F3867" s="115">
        <f>IFERROR(__xludf.DUMMYFUNCTION("""COMPUTED_VALUE"""),13075.0)</f>
        <v>13075</v>
      </c>
      <c r="G3867" s="115">
        <f>IFERROR(__xludf.DUMMYFUNCTION("""COMPUTED_VALUE"""),614.0)</f>
        <v>614</v>
      </c>
      <c r="H3867" s="116">
        <f>IFERROR(__xludf.DUMMYFUNCTION("""COMPUTED_VALUE"""),45908.0)</f>
        <v>45908</v>
      </c>
      <c r="I3867" s="115" t="str">
        <f>IFERROR(__xludf.DUMMYFUNCTION("""COMPUTED_VALUE"""),"11")</f>
        <v>11</v>
      </c>
      <c r="J3867" s="115" t="str">
        <f>IFERROR(__xludf.DUMMYFUNCTION("""COMPUTED_VALUE"""),"Ashish Ranjan2025-09-0811")</f>
        <v>Ashish Ranjan2025-09-0811</v>
      </c>
      <c r="K3867" s="115">
        <f>IFERROR(__xludf.DUMMYFUNCTION("""COMPUTED_VALUE"""),72385.0)</f>
        <v>72385</v>
      </c>
    </row>
    <row r="3868">
      <c r="A3868" s="115" t="str">
        <f>IFERROR(__xludf.DUMMYFUNCTION("""COMPUTED_VALUE"""),"EAST")</f>
        <v>EAST</v>
      </c>
      <c r="B3868" s="115" t="str">
        <f>IFERROR(__xludf.DUMMYFUNCTION("""COMPUTED_VALUE"""),"Girish Chand")</f>
        <v>Girish Chand</v>
      </c>
      <c r="C3868" s="115" t="str">
        <f>IFERROR(__xludf.DUMMYFUNCTION("""COMPUTED_VALUE"""),"EXTERNAL")</f>
        <v>EXTERNAL</v>
      </c>
      <c r="D3868" s="115">
        <f>IFERROR(__xludf.DUMMYFUNCTION("""COMPUTED_VALUE"""),21022.0)</f>
        <v>21022</v>
      </c>
      <c r="E3868" s="115">
        <f>IFERROR(__xludf.DUMMYFUNCTION("""COMPUTED_VALUE"""),1709.0)</f>
        <v>1709</v>
      </c>
      <c r="F3868" s="115">
        <f>IFERROR(__xludf.DUMMYFUNCTION("""COMPUTED_VALUE"""),1817.0)</f>
        <v>1817</v>
      </c>
      <c r="G3868" s="115">
        <f>IFERROR(__xludf.DUMMYFUNCTION("""COMPUTED_VALUE"""),31.0)</f>
        <v>31</v>
      </c>
      <c r="H3868" s="116">
        <f>IFERROR(__xludf.DUMMYFUNCTION("""COMPUTED_VALUE"""),45908.0)</f>
        <v>45908</v>
      </c>
      <c r="I3868" s="115" t="str">
        <f>IFERROR(__xludf.DUMMYFUNCTION("""COMPUTED_VALUE"""),"11")</f>
        <v>11</v>
      </c>
      <c r="J3868" s="115" t="str">
        <f>IFERROR(__xludf.DUMMYFUNCTION("""COMPUTED_VALUE"""),"Girish Chand2025-09-0811")</f>
        <v>Girish Chand2025-09-0811</v>
      </c>
      <c r="K3868" s="115">
        <f>IFERROR(__xludf.DUMMYFUNCTION("""COMPUTED_VALUE"""),22731.0)</f>
        <v>22731</v>
      </c>
    </row>
    <row r="3869">
      <c r="A3869" s="115" t="str">
        <f>IFERROR(__xludf.DUMMYFUNCTION("""COMPUTED_VALUE"""),"EAST")</f>
        <v>EAST</v>
      </c>
      <c r="B3869" s="115" t="str">
        <f>IFERROR(__xludf.DUMMYFUNCTION("""COMPUTED_VALUE"""),"Girish Chand")</f>
        <v>Girish Chand</v>
      </c>
      <c r="C3869" s="115" t="str">
        <f>IFERROR(__xludf.DUMMYFUNCTION("""COMPUTED_VALUE"""),"FLIPKART")</f>
        <v>FLIPKART</v>
      </c>
      <c r="D3869" s="115">
        <f>IFERROR(__xludf.DUMMYFUNCTION("""COMPUTED_VALUE"""),344905.0)</f>
        <v>344905</v>
      </c>
      <c r="E3869" s="115">
        <f>IFERROR(__xludf.DUMMYFUNCTION("""COMPUTED_VALUE"""),29389.0)</f>
        <v>29389</v>
      </c>
      <c r="F3869" s="115">
        <f>IFERROR(__xludf.DUMMYFUNCTION("""COMPUTED_VALUE"""),50599.0)</f>
        <v>50599</v>
      </c>
      <c r="G3869" s="115">
        <f>IFERROR(__xludf.DUMMYFUNCTION("""COMPUTED_VALUE"""),993.0)</f>
        <v>993</v>
      </c>
      <c r="H3869" s="116">
        <f>IFERROR(__xludf.DUMMYFUNCTION("""COMPUTED_VALUE"""),45908.0)</f>
        <v>45908</v>
      </c>
      <c r="I3869" s="115" t="str">
        <f>IFERROR(__xludf.DUMMYFUNCTION("""COMPUTED_VALUE"""),"11")</f>
        <v>11</v>
      </c>
      <c r="J3869" s="115" t="str">
        <f>IFERROR(__xludf.DUMMYFUNCTION("""COMPUTED_VALUE"""),"Girish Chand2025-09-0811")</f>
        <v>Girish Chand2025-09-0811</v>
      </c>
      <c r="K3869" s="115">
        <f>IFERROR(__xludf.DUMMYFUNCTION("""COMPUTED_VALUE"""),374294.0)</f>
        <v>374294</v>
      </c>
    </row>
    <row r="3870">
      <c r="A3870" s="115" t="str">
        <f>IFERROR(__xludf.DUMMYFUNCTION("""COMPUTED_VALUE"""),"EAST")</f>
        <v>EAST</v>
      </c>
      <c r="B3870" s="115" t="str">
        <f>IFERROR(__xludf.DUMMYFUNCTION("""COMPUTED_VALUE"""),"Girish Chand")</f>
        <v>Girish Chand</v>
      </c>
      <c r="C3870" s="115" t="str">
        <f>IFERROR(__xludf.DUMMYFUNCTION("""COMPUTED_VALUE"""),"MYNTRA")</f>
        <v>MYNTRA</v>
      </c>
      <c r="D3870" s="115">
        <f>IFERROR(__xludf.DUMMYFUNCTION("""COMPUTED_VALUE"""),33756.0)</f>
        <v>33756</v>
      </c>
      <c r="E3870" s="115">
        <f>IFERROR(__xludf.DUMMYFUNCTION("""COMPUTED_VALUE"""),5779.0)</f>
        <v>5779</v>
      </c>
      <c r="F3870" s="115">
        <f>IFERROR(__xludf.DUMMYFUNCTION("""COMPUTED_VALUE"""),5925.0)</f>
        <v>5925</v>
      </c>
      <c r="G3870" s="115">
        <f>IFERROR(__xludf.DUMMYFUNCTION("""COMPUTED_VALUE"""),356.0)</f>
        <v>356</v>
      </c>
      <c r="H3870" s="116">
        <f>IFERROR(__xludf.DUMMYFUNCTION("""COMPUTED_VALUE"""),45908.0)</f>
        <v>45908</v>
      </c>
      <c r="I3870" s="115" t="str">
        <f>IFERROR(__xludf.DUMMYFUNCTION("""COMPUTED_VALUE"""),"11")</f>
        <v>11</v>
      </c>
      <c r="J3870" s="115" t="str">
        <f>IFERROR(__xludf.DUMMYFUNCTION("""COMPUTED_VALUE"""),"Girish Chand2025-09-0811")</f>
        <v>Girish Chand2025-09-0811</v>
      </c>
      <c r="K3870" s="115">
        <f>IFERROR(__xludf.DUMMYFUNCTION("""COMPUTED_VALUE"""),39535.0)</f>
        <v>39535</v>
      </c>
    </row>
    <row r="3871">
      <c r="A3871" s="115" t="str">
        <f>IFERROR(__xludf.DUMMYFUNCTION("""COMPUTED_VALUE"""),"EAST")</f>
        <v>EAST</v>
      </c>
      <c r="B3871" s="115" t="str">
        <f>IFERROR(__xludf.DUMMYFUNCTION("""COMPUTED_VALUE"""),"Parag Kashyap")</f>
        <v>Parag Kashyap</v>
      </c>
      <c r="C3871" s="115" t="str">
        <f>IFERROR(__xludf.DUMMYFUNCTION("""COMPUTED_VALUE"""),"EXTERNAL")</f>
        <v>EXTERNAL</v>
      </c>
      <c r="D3871" s="115">
        <f>IFERROR(__xludf.DUMMYFUNCTION("""COMPUTED_VALUE"""),14475.0)</f>
        <v>14475</v>
      </c>
      <c r="E3871" s="115">
        <f>IFERROR(__xludf.DUMMYFUNCTION("""COMPUTED_VALUE"""),685.0)</f>
        <v>685</v>
      </c>
      <c r="F3871" s="115">
        <f>IFERROR(__xludf.DUMMYFUNCTION("""COMPUTED_VALUE"""),811.0)</f>
        <v>811</v>
      </c>
      <c r="G3871" s="115">
        <f>IFERROR(__xludf.DUMMYFUNCTION("""COMPUTED_VALUE"""),10.0)</f>
        <v>10</v>
      </c>
      <c r="H3871" s="116">
        <f>IFERROR(__xludf.DUMMYFUNCTION("""COMPUTED_VALUE"""),45908.0)</f>
        <v>45908</v>
      </c>
      <c r="I3871" s="115" t="str">
        <f>IFERROR(__xludf.DUMMYFUNCTION("""COMPUTED_VALUE"""),"11")</f>
        <v>11</v>
      </c>
      <c r="J3871" s="115" t="str">
        <f>IFERROR(__xludf.DUMMYFUNCTION("""COMPUTED_VALUE"""),"Parag Kashyap2025-09-0811")</f>
        <v>Parag Kashyap2025-09-0811</v>
      </c>
      <c r="K3871" s="115">
        <f>IFERROR(__xludf.DUMMYFUNCTION("""COMPUTED_VALUE"""),15160.0)</f>
        <v>15160</v>
      </c>
    </row>
    <row r="3872">
      <c r="A3872" s="115" t="str">
        <f>IFERROR(__xludf.DUMMYFUNCTION("""COMPUTED_VALUE"""),"EAST")</f>
        <v>EAST</v>
      </c>
      <c r="B3872" s="115" t="str">
        <f>IFERROR(__xludf.DUMMYFUNCTION("""COMPUTED_VALUE"""),"Parag Kashyap")</f>
        <v>Parag Kashyap</v>
      </c>
      <c r="C3872" s="115" t="str">
        <f>IFERROR(__xludf.DUMMYFUNCTION("""COMPUTED_VALUE"""),"FLIPKART")</f>
        <v>FLIPKART</v>
      </c>
      <c r="D3872" s="115">
        <f>IFERROR(__xludf.DUMMYFUNCTION("""COMPUTED_VALUE"""),255949.0)</f>
        <v>255949</v>
      </c>
      <c r="E3872" s="115">
        <f>IFERROR(__xludf.DUMMYFUNCTION("""COMPUTED_VALUE"""),12145.0)</f>
        <v>12145</v>
      </c>
      <c r="F3872" s="115">
        <f>IFERROR(__xludf.DUMMYFUNCTION("""COMPUTED_VALUE"""),25324.0)</f>
        <v>25324</v>
      </c>
      <c r="G3872" s="115">
        <f>IFERROR(__xludf.DUMMYFUNCTION("""COMPUTED_VALUE"""),284.0)</f>
        <v>284</v>
      </c>
      <c r="H3872" s="116">
        <f>IFERROR(__xludf.DUMMYFUNCTION("""COMPUTED_VALUE"""),45908.0)</f>
        <v>45908</v>
      </c>
      <c r="I3872" s="115" t="str">
        <f>IFERROR(__xludf.DUMMYFUNCTION("""COMPUTED_VALUE"""),"11")</f>
        <v>11</v>
      </c>
      <c r="J3872" s="115" t="str">
        <f>IFERROR(__xludf.DUMMYFUNCTION("""COMPUTED_VALUE"""),"Parag Kashyap2025-09-0811")</f>
        <v>Parag Kashyap2025-09-0811</v>
      </c>
      <c r="K3872" s="115">
        <f>IFERROR(__xludf.DUMMYFUNCTION("""COMPUTED_VALUE"""),268094.0)</f>
        <v>268094</v>
      </c>
    </row>
    <row r="3873">
      <c r="A3873" s="115" t="str">
        <f>IFERROR(__xludf.DUMMYFUNCTION("""COMPUTED_VALUE"""),"EAST")</f>
        <v>EAST</v>
      </c>
      <c r="B3873" s="115" t="str">
        <f>IFERROR(__xludf.DUMMYFUNCTION("""COMPUTED_VALUE"""),"Parag Kashyap")</f>
        <v>Parag Kashyap</v>
      </c>
      <c r="C3873" s="115" t="str">
        <f>IFERROR(__xludf.DUMMYFUNCTION("""COMPUTED_VALUE"""),"MYNTRA")</f>
        <v>MYNTRA</v>
      </c>
      <c r="D3873" s="115">
        <f>IFERROR(__xludf.DUMMYFUNCTION("""COMPUTED_VALUE"""),31977.0)</f>
        <v>31977</v>
      </c>
      <c r="E3873" s="115">
        <f>IFERROR(__xludf.DUMMYFUNCTION("""COMPUTED_VALUE"""),3364.0)</f>
        <v>3364</v>
      </c>
      <c r="F3873" s="115">
        <f>IFERROR(__xludf.DUMMYFUNCTION("""COMPUTED_VALUE"""),3647.0)</f>
        <v>3647</v>
      </c>
      <c r="G3873" s="115">
        <f>IFERROR(__xludf.DUMMYFUNCTION("""COMPUTED_VALUE"""),49.0)</f>
        <v>49</v>
      </c>
      <c r="H3873" s="116">
        <f>IFERROR(__xludf.DUMMYFUNCTION("""COMPUTED_VALUE"""),45908.0)</f>
        <v>45908</v>
      </c>
      <c r="I3873" s="115" t="str">
        <f>IFERROR(__xludf.DUMMYFUNCTION("""COMPUTED_VALUE"""),"11")</f>
        <v>11</v>
      </c>
      <c r="J3873" s="115" t="str">
        <f>IFERROR(__xludf.DUMMYFUNCTION("""COMPUTED_VALUE"""),"Parag Kashyap2025-09-0811")</f>
        <v>Parag Kashyap2025-09-0811</v>
      </c>
      <c r="K3873" s="115">
        <f>IFERROR(__xludf.DUMMYFUNCTION("""COMPUTED_VALUE"""),35341.0)</f>
        <v>35341</v>
      </c>
    </row>
    <row r="3874">
      <c r="A3874" s="115" t="str">
        <f>IFERROR(__xludf.DUMMYFUNCTION("""COMPUTED_VALUE"""),"NORTH")</f>
        <v>NORTH</v>
      </c>
      <c r="B3874" s="115" t="str">
        <f>IFERROR(__xludf.DUMMYFUNCTION("""COMPUTED_VALUE"""),"Amit Kumar Pathak")</f>
        <v>Amit Kumar Pathak</v>
      </c>
      <c r="C3874" s="115" t="str">
        <f>IFERROR(__xludf.DUMMYFUNCTION("""COMPUTED_VALUE"""),"EXTERNAL")</f>
        <v>EXTERNAL</v>
      </c>
      <c r="D3874" s="115">
        <f>IFERROR(__xludf.DUMMYFUNCTION("""COMPUTED_VALUE"""),23725.0)</f>
        <v>23725</v>
      </c>
      <c r="E3874" s="115">
        <f>IFERROR(__xludf.DUMMYFUNCTION("""COMPUTED_VALUE"""),3048.0)</f>
        <v>3048</v>
      </c>
      <c r="F3874" s="115">
        <f>IFERROR(__xludf.DUMMYFUNCTION("""COMPUTED_VALUE"""),1908.0)</f>
        <v>1908</v>
      </c>
      <c r="G3874" s="115">
        <f>IFERROR(__xludf.DUMMYFUNCTION("""COMPUTED_VALUE"""),182.0)</f>
        <v>182</v>
      </c>
      <c r="H3874" s="116">
        <f>IFERROR(__xludf.DUMMYFUNCTION("""COMPUTED_VALUE"""),45908.0)</f>
        <v>45908</v>
      </c>
      <c r="I3874" s="115" t="str">
        <f>IFERROR(__xludf.DUMMYFUNCTION("""COMPUTED_VALUE"""),"11")</f>
        <v>11</v>
      </c>
      <c r="J3874" s="115" t="str">
        <f>IFERROR(__xludf.DUMMYFUNCTION("""COMPUTED_VALUE"""),"Amit Kumar Pathak2025-09-0811")</f>
        <v>Amit Kumar Pathak2025-09-0811</v>
      </c>
      <c r="K3874" s="115">
        <f>IFERROR(__xludf.DUMMYFUNCTION("""COMPUTED_VALUE"""),26773.0)</f>
        <v>26773</v>
      </c>
    </row>
    <row r="3875">
      <c r="A3875" s="115" t="str">
        <f>IFERROR(__xludf.DUMMYFUNCTION("""COMPUTED_VALUE"""),"NORTH")</f>
        <v>NORTH</v>
      </c>
      <c r="B3875" s="115" t="str">
        <f>IFERROR(__xludf.DUMMYFUNCTION("""COMPUTED_VALUE"""),"Amit Kumar Pathak")</f>
        <v>Amit Kumar Pathak</v>
      </c>
      <c r="C3875" s="115" t="str">
        <f>IFERROR(__xludf.DUMMYFUNCTION("""COMPUTED_VALUE"""),"FLIPKART")</f>
        <v>FLIPKART</v>
      </c>
      <c r="D3875" s="115">
        <f>IFERROR(__xludf.DUMMYFUNCTION("""COMPUTED_VALUE"""),134329.0)</f>
        <v>134329</v>
      </c>
      <c r="E3875" s="115">
        <f>IFERROR(__xludf.DUMMYFUNCTION("""COMPUTED_VALUE"""),18992.0)</f>
        <v>18992</v>
      </c>
      <c r="F3875" s="115">
        <f>IFERROR(__xludf.DUMMYFUNCTION("""COMPUTED_VALUE"""),21959.0)</f>
        <v>21959</v>
      </c>
      <c r="G3875" s="115">
        <f>IFERROR(__xludf.DUMMYFUNCTION("""COMPUTED_VALUE"""),1514.0)</f>
        <v>1514</v>
      </c>
      <c r="H3875" s="116">
        <f>IFERROR(__xludf.DUMMYFUNCTION("""COMPUTED_VALUE"""),45908.0)</f>
        <v>45908</v>
      </c>
      <c r="I3875" s="115" t="str">
        <f>IFERROR(__xludf.DUMMYFUNCTION("""COMPUTED_VALUE"""),"11")</f>
        <v>11</v>
      </c>
      <c r="J3875" s="115" t="str">
        <f>IFERROR(__xludf.DUMMYFUNCTION("""COMPUTED_VALUE"""),"Amit Kumar Pathak2025-09-0811")</f>
        <v>Amit Kumar Pathak2025-09-0811</v>
      </c>
      <c r="K3875" s="115">
        <f>IFERROR(__xludf.DUMMYFUNCTION("""COMPUTED_VALUE"""),153321.0)</f>
        <v>153321</v>
      </c>
    </row>
    <row r="3876">
      <c r="A3876" s="115" t="str">
        <f>IFERROR(__xludf.DUMMYFUNCTION("""COMPUTED_VALUE"""),"NORTH")</f>
        <v>NORTH</v>
      </c>
      <c r="B3876" s="115" t="str">
        <f>IFERROR(__xludf.DUMMYFUNCTION("""COMPUTED_VALUE"""),"Amit Kumar Pathak")</f>
        <v>Amit Kumar Pathak</v>
      </c>
      <c r="C3876" s="115" t="str">
        <f>IFERROR(__xludf.DUMMYFUNCTION("""COMPUTED_VALUE"""),"MYNTRA")</f>
        <v>MYNTRA</v>
      </c>
      <c r="D3876" s="115">
        <f>IFERROR(__xludf.DUMMYFUNCTION("""COMPUTED_VALUE"""),13878.0)</f>
        <v>13878</v>
      </c>
      <c r="E3876" s="115">
        <f>IFERROR(__xludf.DUMMYFUNCTION("""COMPUTED_VALUE"""),5078.0)</f>
        <v>5078</v>
      </c>
      <c r="F3876" s="115">
        <f>IFERROR(__xludf.DUMMYFUNCTION("""COMPUTED_VALUE"""),2891.0)</f>
        <v>2891</v>
      </c>
      <c r="G3876" s="115">
        <f>IFERROR(__xludf.DUMMYFUNCTION("""COMPUTED_VALUE"""),562.0)</f>
        <v>562</v>
      </c>
      <c r="H3876" s="116">
        <f>IFERROR(__xludf.DUMMYFUNCTION("""COMPUTED_VALUE"""),45908.0)</f>
        <v>45908</v>
      </c>
      <c r="I3876" s="115" t="str">
        <f>IFERROR(__xludf.DUMMYFUNCTION("""COMPUTED_VALUE"""),"11")</f>
        <v>11</v>
      </c>
      <c r="J3876" s="115" t="str">
        <f>IFERROR(__xludf.DUMMYFUNCTION("""COMPUTED_VALUE"""),"Amit Kumar Pathak2025-09-0811")</f>
        <v>Amit Kumar Pathak2025-09-0811</v>
      </c>
      <c r="K3876" s="115">
        <f>IFERROR(__xludf.DUMMYFUNCTION("""COMPUTED_VALUE"""),18956.0)</f>
        <v>18956</v>
      </c>
    </row>
    <row r="3877">
      <c r="A3877" s="115" t="str">
        <f>IFERROR(__xludf.DUMMYFUNCTION("""COMPUTED_VALUE"""),"NORTH")</f>
        <v>NORTH</v>
      </c>
      <c r="B3877" s="115" t="str">
        <f>IFERROR(__xludf.DUMMYFUNCTION("""COMPUTED_VALUE"""),"Loveleen Singh")</f>
        <v>Loveleen Singh</v>
      </c>
      <c r="C3877" s="115" t="str">
        <f>IFERROR(__xludf.DUMMYFUNCTION("""COMPUTED_VALUE"""),"EXTERNAL")</f>
        <v>EXTERNAL</v>
      </c>
      <c r="D3877" s="115">
        <f>IFERROR(__xludf.DUMMYFUNCTION("""COMPUTED_VALUE"""),26332.0)</f>
        <v>26332</v>
      </c>
      <c r="E3877" s="115">
        <f>IFERROR(__xludf.DUMMYFUNCTION("""COMPUTED_VALUE"""),1663.0)</f>
        <v>1663</v>
      </c>
      <c r="F3877" s="115">
        <f>IFERROR(__xludf.DUMMYFUNCTION("""COMPUTED_VALUE"""),1649.0)</f>
        <v>1649</v>
      </c>
      <c r="G3877" s="115">
        <f>IFERROR(__xludf.DUMMYFUNCTION("""COMPUTED_VALUE"""),49.0)</f>
        <v>49</v>
      </c>
      <c r="H3877" s="116">
        <f>IFERROR(__xludf.DUMMYFUNCTION("""COMPUTED_VALUE"""),45908.0)</f>
        <v>45908</v>
      </c>
      <c r="I3877" s="115" t="str">
        <f>IFERROR(__xludf.DUMMYFUNCTION("""COMPUTED_VALUE"""),"11")</f>
        <v>11</v>
      </c>
      <c r="J3877" s="115" t="str">
        <f>IFERROR(__xludf.DUMMYFUNCTION("""COMPUTED_VALUE"""),"Loveleen Singh2025-09-0811")</f>
        <v>Loveleen Singh2025-09-0811</v>
      </c>
      <c r="K3877" s="115">
        <f>IFERROR(__xludf.DUMMYFUNCTION("""COMPUTED_VALUE"""),27995.0)</f>
        <v>27995</v>
      </c>
    </row>
    <row r="3878">
      <c r="A3878" s="115" t="str">
        <f>IFERROR(__xludf.DUMMYFUNCTION("""COMPUTED_VALUE"""),"NORTH")</f>
        <v>NORTH</v>
      </c>
      <c r="B3878" s="115" t="str">
        <f>IFERROR(__xludf.DUMMYFUNCTION("""COMPUTED_VALUE"""),"Loveleen Singh")</f>
        <v>Loveleen Singh</v>
      </c>
      <c r="C3878" s="115" t="str">
        <f>IFERROR(__xludf.DUMMYFUNCTION("""COMPUTED_VALUE"""),"FLIPKART")</f>
        <v>FLIPKART</v>
      </c>
      <c r="D3878" s="115">
        <f>IFERROR(__xludf.DUMMYFUNCTION("""COMPUTED_VALUE"""),133319.0)</f>
        <v>133319</v>
      </c>
      <c r="E3878" s="115">
        <f>IFERROR(__xludf.DUMMYFUNCTION("""COMPUTED_VALUE"""),9779.0)</f>
        <v>9779</v>
      </c>
      <c r="F3878" s="115">
        <f>IFERROR(__xludf.DUMMYFUNCTION("""COMPUTED_VALUE"""),16870.0)</f>
        <v>16870</v>
      </c>
      <c r="G3878" s="115">
        <f>IFERROR(__xludf.DUMMYFUNCTION("""COMPUTED_VALUE"""),417.0)</f>
        <v>417</v>
      </c>
      <c r="H3878" s="116">
        <f>IFERROR(__xludf.DUMMYFUNCTION("""COMPUTED_VALUE"""),45908.0)</f>
        <v>45908</v>
      </c>
      <c r="I3878" s="115" t="str">
        <f>IFERROR(__xludf.DUMMYFUNCTION("""COMPUTED_VALUE"""),"11")</f>
        <v>11</v>
      </c>
      <c r="J3878" s="115" t="str">
        <f>IFERROR(__xludf.DUMMYFUNCTION("""COMPUTED_VALUE"""),"Loveleen Singh2025-09-0811")</f>
        <v>Loveleen Singh2025-09-0811</v>
      </c>
      <c r="K3878" s="115">
        <f>IFERROR(__xludf.DUMMYFUNCTION("""COMPUTED_VALUE"""),143098.0)</f>
        <v>143098</v>
      </c>
    </row>
    <row r="3879">
      <c r="A3879" s="115" t="str">
        <f>IFERROR(__xludf.DUMMYFUNCTION("""COMPUTED_VALUE"""),"NORTH")</f>
        <v>NORTH</v>
      </c>
      <c r="B3879" s="115" t="str">
        <f>IFERROR(__xludf.DUMMYFUNCTION("""COMPUTED_VALUE"""),"Loveleen Singh")</f>
        <v>Loveleen Singh</v>
      </c>
      <c r="C3879" s="115" t="str">
        <f>IFERROR(__xludf.DUMMYFUNCTION("""COMPUTED_VALUE"""),"MYNTRA")</f>
        <v>MYNTRA</v>
      </c>
      <c r="D3879" s="115">
        <f>IFERROR(__xludf.DUMMYFUNCTION("""COMPUTED_VALUE"""),24731.0)</f>
        <v>24731</v>
      </c>
      <c r="E3879" s="115">
        <f>IFERROR(__xludf.DUMMYFUNCTION("""COMPUTED_VALUE"""),4239.0)</f>
        <v>4239</v>
      </c>
      <c r="F3879" s="115">
        <f>IFERROR(__xludf.DUMMYFUNCTION("""COMPUTED_VALUE"""),4114.0)</f>
        <v>4114</v>
      </c>
      <c r="G3879" s="115">
        <f>IFERROR(__xludf.DUMMYFUNCTION("""COMPUTED_VALUE"""),189.0)</f>
        <v>189</v>
      </c>
      <c r="H3879" s="116">
        <f>IFERROR(__xludf.DUMMYFUNCTION("""COMPUTED_VALUE"""),45908.0)</f>
        <v>45908</v>
      </c>
      <c r="I3879" s="115" t="str">
        <f>IFERROR(__xludf.DUMMYFUNCTION("""COMPUTED_VALUE"""),"11")</f>
        <v>11</v>
      </c>
      <c r="J3879" s="115" t="str">
        <f>IFERROR(__xludf.DUMMYFUNCTION("""COMPUTED_VALUE"""),"Loveleen Singh2025-09-0811")</f>
        <v>Loveleen Singh2025-09-0811</v>
      </c>
      <c r="K3879" s="115">
        <f>IFERROR(__xludf.DUMMYFUNCTION("""COMPUTED_VALUE"""),28970.0)</f>
        <v>28970</v>
      </c>
    </row>
    <row r="3880">
      <c r="A3880" s="115" t="str">
        <f>IFERROR(__xludf.DUMMYFUNCTION("""COMPUTED_VALUE"""),"NORTH")</f>
        <v>NORTH</v>
      </c>
      <c r="B3880" s="115" t="str">
        <f>IFERROR(__xludf.DUMMYFUNCTION("""COMPUTED_VALUE"""),"Manoj Harsh")</f>
        <v>Manoj Harsh</v>
      </c>
      <c r="C3880" s="115" t="str">
        <f>IFERROR(__xludf.DUMMYFUNCTION("""COMPUTED_VALUE"""),"EXTERNAL")</f>
        <v>EXTERNAL</v>
      </c>
      <c r="D3880" s="115">
        <f>IFERROR(__xludf.DUMMYFUNCTION("""COMPUTED_VALUE"""),29385.0)</f>
        <v>29385</v>
      </c>
      <c r="E3880" s="115">
        <f>IFERROR(__xludf.DUMMYFUNCTION("""COMPUTED_VALUE"""),2081.0)</f>
        <v>2081</v>
      </c>
      <c r="F3880" s="115">
        <f>IFERROR(__xludf.DUMMYFUNCTION("""COMPUTED_VALUE"""),2029.0)</f>
        <v>2029</v>
      </c>
      <c r="G3880" s="115">
        <f>IFERROR(__xludf.DUMMYFUNCTION("""COMPUTED_VALUE"""),54.0)</f>
        <v>54</v>
      </c>
      <c r="H3880" s="116">
        <f>IFERROR(__xludf.DUMMYFUNCTION("""COMPUTED_VALUE"""),45908.0)</f>
        <v>45908</v>
      </c>
      <c r="I3880" s="115" t="str">
        <f>IFERROR(__xludf.DUMMYFUNCTION("""COMPUTED_VALUE"""),"11")</f>
        <v>11</v>
      </c>
      <c r="J3880" s="115" t="str">
        <f>IFERROR(__xludf.DUMMYFUNCTION("""COMPUTED_VALUE"""),"Manoj Harsh2025-09-0811")</f>
        <v>Manoj Harsh2025-09-0811</v>
      </c>
      <c r="K3880" s="115">
        <f>IFERROR(__xludf.DUMMYFUNCTION("""COMPUTED_VALUE"""),31466.0)</f>
        <v>31466</v>
      </c>
    </row>
    <row r="3881">
      <c r="A3881" s="115" t="str">
        <f>IFERROR(__xludf.DUMMYFUNCTION("""COMPUTED_VALUE"""),"NORTH")</f>
        <v>NORTH</v>
      </c>
      <c r="B3881" s="115" t="str">
        <f>IFERROR(__xludf.DUMMYFUNCTION("""COMPUTED_VALUE"""),"Manoj Harsh")</f>
        <v>Manoj Harsh</v>
      </c>
      <c r="C3881" s="115" t="str">
        <f>IFERROR(__xludf.DUMMYFUNCTION("""COMPUTED_VALUE"""),"FLIPKART")</f>
        <v>FLIPKART</v>
      </c>
      <c r="D3881" s="115">
        <f>IFERROR(__xludf.DUMMYFUNCTION("""COMPUTED_VALUE"""),316003.0)</f>
        <v>316003</v>
      </c>
      <c r="E3881" s="115">
        <f>IFERROR(__xludf.DUMMYFUNCTION("""COMPUTED_VALUE"""),28599.0)</f>
        <v>28599</v>
      </c>
      <c r="F3881" s="115">
        <f>IFERROR(__xludf.DUMMYFUNCTION("""COMPUTED_VALUE"""),38178.0)</f>
        <v>38178</v>
      </c>
      <c r="G3881" s="115">
        <f>IFERROR(__xludf.DUMMYFUNCTION("""COMPUTED_VALUE"""),1192.0)</f>
        <v>1192</v>
      </c>
      <c r="H3881" s="116">
        <f>IFERROR(__xludf.DUMMYFUNCTION("""COMPUTED_VALUE"""),45908.0)</f>
        <v>45908</v>
      </c>
      <c r="I3881" s="115" t="str">
        <f>IFERROR(__xludf.DUMMYFUNCTION("""COMPUTED_VALUE"""),"11")</f>
        <v>11</v>
      </c>
      <c r="J3881" s="115" t="str">
        <f>IFERROR(__xludf.DUMMYFUNCTION("""COMPUTED_VALUE"""),"Manoj Harsh2025-09-0811")</f>
        <v>Manoj Harsh2025-09-0811</v>
      </c>
      <c r="K3881" s="115">
        <f>IFERROR(__xludf.DUMMYFUNCTION("""COMPUTED_VALUE"""),344602.0)</f>
        <v>344602</v>
      </c>
    </row>
    <row r="3882">
      <c r="A3882" s="115" t="str">
        <f>IFERROR(__xludf.DUMMYFUNCTION("""COMPUTED_VALUE"""),"NORTH")</f>
        <v>NORTH</v>
      </c>
      <c r="B3882" s="115" t="str">
        <f>IFERROR(__xludf.DUMMYFUNCTION("""COMPUTED_VALUE"""),"Manoj Harsh")</f>
        <v>Manoj Harsh</v>
      </c>
      <c r="C3882" s="115" t="str">
        <f>IFERROR(__xludf.DUMMYFUNCTION("""COMPUTED_VALUE"""),"MYNTRA")</f>
        <v>MYNTRA</v>
      </c>
      <c r="D3882" s="115">
        <f>IFERROR(__xludf.DUMMYFUNCTION("""COMPUTED_VALUE"""),33047.0)</f>
        <v>33047</v>
      </c>
      <c r="E3882" s="115">
        <f>IFERROR(__xludf.DUMMYFUNCTION("""COMPUTED_VALUE"""),5561.0)</f>
        <v>5561</v>
      </c>
      <c r="F3882" s="115">
        <f>IFERROR(__xludf.DUMMYFUNCTION("""COMPUTED_VALUE"""),5066.0)</f>
        <v>5066</v>
      </c>
      <c r="G3882" s="115">
        <f>IFERROR(__xludf.DUMMYFUNCTION("""COMPUTED_VALUE"""),257.0)</f>
        <v>257</v>
      </c>
      <c r="H3882" s="116">
        <f>IFERROR(__xludf.DUMMYFUNCTION("""COMPUTED_VALUE"""),45908.0)</f>
        <v>45908</v>
      </c>
      <c r="I3882" s="115" t="str">
        <f>IFERROR(__xludf.DUMMYFUNCTION("""COMPUTED_VALUE"""),"11")</f>
        <v>11</v>
      </c>
      <c r="J3882" s="115" t="str">
        <f>IFERROR(__xludf.DUMMYFUNCTION("""COMPUTED_VALUE"""),"Manoj Harsh2025-09-0811")</f>
        <v>Manoj Harsh2025-09-0811</v>
      </c>
      <c r="K3882" s="115">
        <f>IFERROR(__xludf.DUMMYFUNCTION("""COMPUTED_VALUE"""),38608.0)</f>
        <v>38608</v>
      </c>
    </row>
    <row r="3883">
      <c r="A3883" s="115" t="str">
        <f>IFERROR(__xludf.DUMMYFUNCTION("""COMPUTED_VALUE"""),"NORTH")</f>
        <v>NORTH</v>
      </c>
      <c r="B3883" s="115" t="str">
        <f>IFERROR(__xludf.DUMMYFUNCTION("""COMPUTED_VALUE"""),"Pradeep Kothari")</f>
        <v>Pradeep Kothari</v>
      </c>
      <c r="C3883" s="115" t="str">
        <f>IFERROR(__xludf.DUMMYFUNCTION("""COMPUTED_VALUE"""),"EXTERNAL")</f>
        <v>EXTERNAL</v>
      </c>
      <c r="D3883" s="115">
        <f>IFERROR(__xludf.DUMMYFUNCTION("""COMPUTED_VALUE"""),17565.0)</f>
        <v>17565</v>
      </c>
      <c r="E3883" s="115">
        <f>IFERROR(__xludf.DUMMYFUNCTION("""COMPUTED_VALUE"""),1532.0)</f>
        <v>1532</v>
      </c>
      <c r="F3883" s="115">
        <f>IFERROR(__xludf.DUMMYFUNCTION("""COMPUTED_VALUE"""),1676.0)</f>
        <v>1676</v>
      </c>
      <c r="G3883" s="115">
        <f>IFERROR(__xludf.DUMMYFUNCTION("""COMPUTED_VALUE"""),40.0)</f>
        <v>40</v>
      </c>
      <c r="H3883" s="116">
        <f>IFERROR(__xludf.DUMMYFUNCTION("""COMPUTED_VALUE"""),45908.0)</f>
        <v>45908</v>
      </c>
      <c r="I3883" s="115" t="str">
        <f>IFERROR(__xludf.DUMMYFUNCTION("""COMPUTED_VALUE"""),"11")</f>
        <v>11</v>
      </c>
      <c r="J3883" s="115" t="str">
        <f>IFERROR(__xludf.DUMMYFUNCTION("""COMPUTED_VALUE"""),"Pradeep Kothari2025-09-0811")</f>
        <v>Pradeep Kothari2025-09-0811</v>
      </c>
      <c r="K3883" s="115">
        <f>IFERROR(__xludf.DUMMYFUNCTION("""COMPUTED_VALUE"""),19097.0)</f>
        <v>19097</v>
      </c>
    </row>
    <row r="3884">
      <c r="A3884" s="115" t="str">
        <f>IFERROR(__xludf.DUMMYFUNCTION("""COMPUTED_VALUE"""),"NORTH")</f>
        <v>NORTH</v>
      </c>
      <c r="B3884" s="115" t="str">
        <f>IFERROR(__xludf.DUMMYFUNCTION("""COMPUTED_VALUE"""),"Pradeep Kothari")</f>
        <v>Pradeep Kothari</v>
      </c>
      <c r="C3884" s="115" t="str">
        <f>IFERROR(__xludf.DUMMYFUNCTION("""COMPUTED_VALUE"""),"FLIPKART")</f>
        <v>FLIPKART</v>
      </c>
      <c r="D3884" s="115">
        <f>IFERROR(__xludf.DUMMYFUNCTION("""COMPUTED_VALUE"""),118873.0)</f>
        <v>118873</v>
      </c>
      <c r="E3884" s="115">
        <f>IFERROR(__xludf.DUMMYFUNCTION("""COMPUTED_VALUE"""),13161.0)</f>
        <v>13161</v>
      </c>
      <c r="F3884" s="115">
        <f>IFERROR(__xludf.DUMMYFUNCTION("""COMPUTED_VALUE"""),20888.0)</f>
        <v>20888</v>
      </c>
      <c r="G3884" s="115">
        <f>IFERROR(__xludf.DUMMYFUNCTION("""COMPUTED_VALUE"""),879.0)</f>
        <v>879</v>
      </c>
      <c r="H3884" s="116">
        <f>IFERROR(__xludf.DUMMYFUNCTION("""COMPUTED_VALUE"""),45908.0)</f>
        <v>45908</v>
      </c>
      <c r="I3884" s="115" t="str">
        <f>IFERROR(__xludf.DUMMYFUNCTION("""COMPUTED_VALUE"""),"11")</f>
        <v>11</v>
      </c>
      <c r="J3884" s="115" t="str">
        <f>IFERROR(__xludf.DUMMYFUNCTION("""COMPUTED_VALUE"""),"Pradeep Kothari2025-09-0811")</f>
        <v>Pradeep Kothari2025-09-0811</v>
      </c>
      <c r="K3884" s="115">
        <f>IFERROR(__xludf.DUMMYFUNCTION("""COMPUTED_VALUE"""),132034.0)</f>
        <v>132034</v>
      </c>
    </row>
    <row r="3885">
      <c r="A3885" s="115" t="str">
        <f>IFERROR(__xludf.DUMMYFUNCTION("""COMPUTED_VALUE"""),"NORTH")</f>
        <v>NORTH</v>
      </c>
      <c r="B3885" s="115" t="str">
        <f>IFERROR(__xludf.DUMMYFUNCTION("""COMPUTED_VALUE"""),"Pradeep Kothari")</f>
        <v>Pradeep Kothari</v>
      </c>
      <c r="C3885" s="115" t="str">
        <f>IFERROR(__xludf.DUMMYFUNCTION("""COMPUTED_VALUE"""),"MYNTRA")</f>
        <v>MYNTRA</v>
      </c>
      <c r="D3885" s="115">
        <f>IFERROR(__xludf.DUMMYFUNCTION("""COMPUTED_VALUE"""),24389.0)</f>
        <v>24389</v>
      </c>
      <c r="E3885" s="115">
        <f>IFERROR(__xludf.DUMMYFUNCTION("""COMPUTED_VALUE"""),4901.0)</f>
        <v>4901</v>
      </c>
      <c r="F3885" s="115">
        <f>IFERROR(__xludf.DUMMYFUNCTION("""COMPUTED_VALUE"""),6408.0)</f>
        <v>6408</v>
      </c>
      <c r="G3885" s="115">
        <f>IFERROR(__xludf.DUMMYFUNCTION("""COMPUTED_VALUE"""),457.0)</f>
        <v>457</v>
      </c>
      <c r="H3885" s="116">
        <f>IFERROR(__xludf.DUMMYFUNCTION("""COMPUTED_VALUE"""),45908.0)</f>
        <v>45908</v>
      </c>
      <c r="I3885" s="115" t="str">
        <f>IFERROR(__xludf.DUMMYFUNCTION("""COMPUTED_VALUE"""),"11")</f>
        <v>11</v>
      </c>
      <c r="J3885" s="115" t="str">
        <f>IFERROR(__xludf.DUMMYFUNCTION("""COMPUTED_VALUE"""),"Pradeep Kothari2025-09-0811")</f>
        <v>Pradeep Kothari2025-09-0811</v>
      </c>
      <c r="K3885" s="115">
        <f>IFERROR(__xludf.DUMMYFUNCTION("""COMPUTED_VALUE"""),29290.0)</f>
        <v>29290</v>
      </c>
    </row>
    <row r="3886">
      <c r="A3886" s="115" t="str">
        <f>IFERROR(__xludf.DUMMYFUNCTION("""COMPUTED_VALUE"""),"SOUTH")</f>
        <v>SOUTH</v>
      </c>
      <c r="B3886" s="115" t="str">
        <f>IFERROR(__xludf.DUMMYFUNCTION("""COMPUTED_VALUE"""),"Kandula Sampath")</f>
        <v>Kandula Sampath</v>
      </c>
      <c r="C3886" s="115" t="str">
        <f>IFERROR(__xludf.DUMMYFUNCTION("""COMPUTED_VALUE"""),"EXTERNAL")</f>
        <v>EXTERNAL</v>
      </c>
      <c r="D3886" s="115">
        <f>IFERROR(__xludf.DUMMYFUNCTION("""COMPUTED_VALUE"""),31988.0)</f>
        <v>31988</v>
      </c>
      <c r="E3886" s="115">
        <f>IFERROR(__xludf.DUMMYFUNCTION("""COMPUTED_VALUE"""),3077.0)</f>
        <v>3077</v>
      </c>
      <c r="F3886" s="115">
        <f>IFERROR(__xludf.DUMMYFUNCTION("""COMPUTED_VALUE"""),3382.0)</f>
        <v>3382</v>
      </c>
      <c r="G3886" s="115">
        <f>IFERROR(__xludf.DUMMYFUNCTION("""COMPUTED_VALUE"""),90.0)</f>
        <v>90</v>
      </c>
      <c r="H3886" s="116">
        <f>IFERROR(__xludf.DUMMYFUNCTION("""COMPUTED_VALUE"""),45908.0)</f>
        <v>45908</v>
      </c>
      <c r="I3886" s="115" t="str">
        <f>IFERROR(__xludf.DUMMYFUNCTION("""COMPUTED_VALUE"""),"11")</f>
        <v>11</v>
      </c>
      <c r="J3886" s="115" t="str">
        <f>IFERROR(__xludf.DUMMYFUNCTION("""COMPUTED_VALUE"""),"Kandula Sampath2025-09-0811")</f>
        <v>Kandula Sampath2025-09-0811</v>
      </c>
      <c r="K3886" s="115">
        <f>IFERROR(__xludf.DUMMYFUNCTION("""COMPUTED_VALUE"""),35065.0)</f>
        <v>35065</v>
      </c>
    </row>
    <row r="3887">
      <c r="A3887" s="115" t="str">
        <f>IFERROR(__xludf.DUMMYFUNCTION("""COMPUTED_VALUE"""),"SOUTH")</f>
        <v>SOUTH</v>
      </c>
      <c r="B3887" s="115" t="str">
        <f>IFERROR(__xludf.DUMMYFUNCTION("""COMPUTED_VALUE"""),"Kandula Sampath")</f>
        <v>Kandula Sampath</v>
      </c>
      <c r="C3887" s="115" t="str">
        <f>IFERROR(__xludf.DUMMYFUNCTION("""COMPUTED_VALUE"""),"FLIPKART")</f>
        <v>FLIPKART</v>
      </c>
      <c r="D3887" s="115">
        <f>IFERROR(__xludf.DUMMYFUNCTION("""COMPUTED_VALUE"""),307647.0)</f>
        <v>307647</v>
      </c>
      <c r="E3887" s="115">
        <f>IFERROR(__xludf.DUMMYFUNCTION("""COMPUTED_VALUE"""),25060.0)</f>
        <v>25060</v>
      </c>
      <c r="F3887" s="115">
        <f>IFERROR(__xludf.DUMMYFUNCTION("""COMPUTED_VALUE"""),60360.0)</f>
        <v>60360</v>
      </c>
      <c r="G3887" s="115">
        <f>IFERROR(__xludf.DUMMYFUNCTION("""COMPUTED_VALUE"""),1004.0)</f>
        <v>1004</v>
      </c>
      <c r="H3887" s="116">
        <f>IFERROR(__xludf.DUMMYFUNCTION("""COMPUTED_VALUE"""),45908.0)</f>
        <v>45908</v>
      </c>
      <c r="I3887" s="115" t="str">
        <f>IFERROR(__xludf.DUMMYFUNCTION("""COMPUTED_VALUE"""),"11")</f>
        <v>11</v>
      </c>
      <c r="J3887" s="115" t="str">
        <f>IFERROR(__xludf.DUMMYFUNCTION("""COMPUTED_VALUE"""),"Kandula Sampath2025-09-0811")</f>
        <v>Kandula Sampath2025-09-0811</v>
      </c>
      <c r="K3887" s="115">
        <f>IFERROR(__xludf.DUMMYFUNCTION("""COMPUTED_VALUE"""),332707.0)</f>
        <v>332707</v>
      </c>
    </row>
    <row r="3888">
      <c r="A3888" s="115" t="str">
        <f>IFERROR(__xludf.DUMMYFUNCTION("""COMPUTED_VALUE"""),"SOUTH")</f>
        <v>SOUTH</v>
      </c>
      <c r="B3888" s="115" t="str">
        <f>IFERROR(__xludf.DUMMYFUNCTION("""COMPUTED_VALUE"""),"Kandula Sampath")</f>
        <v>Kandula Sampath</v>
      </c>
      <c r="C3888" s="115" t="str">
        <f>IFERROR(__xludf.DUMMYFUNCTION("""COMPUTED_VALUE"""),"MYNTRA")</f>
        <v>MYNTRA</v>
      </c>
      <c r="D3888" s="115">
        <f>IFERROR(__xludf.DUMMYFUNCTION("""COMPUTED_VALUE"""),36894.0)</f>
        <v>36894</v>
      </c>
      <c r="E3888" s="115">
        <f>IFERROR(__xludf.DUMMYFUNCTION("""COMPUTED_VALUE"""),7217.0)</f>
        <v>7217</v>
      </c>
      <c r="F3888" s="115">
        <f>IFERROR(__xludf.DUMMYFUNCTION("""COMPUTED_VALUE"""),8429.0)</f>
        <v>8429</v>
      </c>
      <c r="G3888" s="115">
        <f>IFERROR(__xludf.DUMMYFUNCTION("""COMPUTED_VALUE"""),327.0)</f>
        <v>327</v>
      </c>
      <c r="H3888" s="116">
        <f>IFERROR(__xludf.DUMMYFUNCTION("""COMPUTED_VALUE"""),45908.0)</f>
        <v>45908</v>
      </c>
      <c r="I3888" s="115" t="str">
        <f>IFERROR(__xludf.DUMMYFUNCTION("""COMPUTED_VALUE"""),"11")</f>
        <v>11</v>
      </c>
      <c r="J3888" s="115" t="str">
        <f>IFERROR(__xludf.DUMMYFUNCTION("""COMPUTED_VALUE"""),"Kandula Sampath2025-09-0811")</f>
        <v>Kandula Sampath2025-09-0811</v>
      </c>
      <c r="K3888" s="115">
        <f>IFERROR(__xludf.DUMMYFUNCTION("""COMPUTED_VALUE"""),44111.0)</f>
        <v>44111</v>
      </c>
    </row>
    <row r="3889">
      <c r="A3889" s="115" t="str">
        <f>IFERROR(__xludf.DUMMYFUNCTION("""COMPUTED_VALUE"""),"SOUTH")</f>
        <v>SOUTH</v>
      </c>
      <c r="B3889" s="115" t="str">
        <f>IFERROR(__xludf.DUMMYFUNCTION("""COMPUTED_VALUE"""),"Martin A")</f>
        <v>Martin A</v>
      </c>
      <c r="C3889" s="115" t="str">
        <f>IFERROR(__xludf.DUMMYFUNCTION("""COMPUTED_VALUE"""),"EXTERNAL")</f>
        <v>EXTERNAL</v>
      </c>
      <c r="D3889" s="115">
        <f>IFERROR(__xludf.DUMMYFUNCTION("""COMPUTED_VALUE"""),27973.0)</f>
        <v>27973</v>
      </c>
      <c r="E3889" s="115">
        <f>IFERROR(__xludf.DUMMYFUNCTION("""COMPUTED_VALUE"""),3277.0)</f>
        <v>3277</v>
      </c>
      <c r="F3889" s="115">
        <f>IFERROR(__xludf.DUMMYFUNCTION("""COMPUTED_VALUE"""),2861.0)</f>
        <v>2861</v>
      </c>
      <c r="G3889" s="115">
        <f>IFERROR(__xludf.DUMMYFUNCTION("""COMPUTED_VALUE"""),191.0)</f>
        <v>191</v>
      </c>
      <c r="H3889" s="116">
        <f>IFERROR(__xludf.DUMMYFUNCTION("""COMPUTED_VALUE"""),45908.0)</f>
        <v>45908</v>
      </c>
      <c r="I3889" s="115" t="str">
        <f>IFERROR(__xludf.DUMMYFUNCTION("""COMPUTED_VALUE"""),"11")</f>
        <v>11</v>
      </c>
      <c r="J3889" s="115" t="str">
        <f>IFERROR(__xludf.DUMMYFUNCTION("""COMPUTED_VALUE"""),"Martin A2025-09-0811")</f>
        <v>Martin A2025-09-0811</v>
      </c>
      <c r="K3889" s="115">
        <f>IFERROR(__xludf.DUMMYFUNCTION("""COMPUTED_VALUE"""),31250.0)</f>
        <v>31250</v>
      </c>
    </row>
    <row r="3890">
      <c r="A3890" s="115" t="str">
        <f>IFERROR(__xludf.DUMMYFUNCTION("""COMPUTED_VALUE"""),"SOUTH")</f>
        <v>SOUTH</v>
      </c>
      <c r="B3890" s="115" t="str">
        <f>IFERROR(__xludf.DUMMYFUNCTION("""COMPUTED_VALUE"""),"Martin A")</f>
        <v>Martin A</v>
      </c>
      <c r="C3890" s="115" t="str">
        <f>IFERROR(__xludf.DUMMYFUNCTION("""COMPUTED_VALUE"""),"FLIPKART")</f>
        <v>FLIPKART</v>
      </c>
      <c r="D3890" s="115">
        <f>IFERROR(__xludf.DUMMYFUNCTION("""COMPUTED_VALUE"""),235246.0)</f>
        <v>235246</v>
      </c>
      <c r="E3890" s="115">
        <f>IFERROR(__xludf.DUMMYFUNCTION("""COMPUTED_VALUE"""),21582.0)</f>
        <v>21582</v>
      </c>
      <c r="F3890" s="115">
        <f>IFERROR(__xludf.DUMMYFUNCTION("""COMPUTED_VALUE"""),42570.0)</f>
        <v>42570</v>
      </c>
      <c r="G3890" s="115">
        <f>IFERROR(__xludf.DUMMYFUNCTION("""COMPUTED_VALUE"""),1127.0)</f>
        <v>1127</v>
      </c>
      <c r="H3890" s="116">
        <f>IFERROR(__xludf.DUMMYFUNCTION("""COMPUTED_VALUE"""),45908.0)</f>
        <v>45908</v>
      </c>
      <c r="I3890" s="115" t="str">
        <f>IFERROR(__xludf.DUMMYFUNCTION("""COMPUTED_VALUE"""),"11")</f>
        <v>11</v>
      </c>
      <c r="J3890" s="115" t="str">
        <f>IFERROR(__xludf.DUMMYFUNCTION("""COMPUTED_VALUE"""),"Martin A2025-09-0811")</f>
        <v>Martin A2025-09-0811</v>
      </c>
      <c r="K3890" s="115">
        <f>IFERROR(__xludf.DUMMYFUNCTION("""COMPUTED_VALUE"""),256828.0)</f>
        <v>256828</v>
      </c>
    </row>
    <row r="3891">
      <c r="A3891" s="115" t="str">
        <f>IFERROR(__xludf.DUMMYFUNCTION("""COMPUTED_VALUE"""),"SOUTH")</f>
        <v>SOUTH</v>
      </c>
      <c r="B3891" s="115" t="str">
        <f>IFERROR(__xludf.DUMMYFUNCTION("""COMPUTED_VALUE"""),"Martin A")</f>
        <v>Martin A</v>
      </c>
      <c r="C3891" s="115" t="str">
        <f>IFERROR(__xludf.DUMMYFUNCTION("""COMPUTED_VALUE"""),"MYNTRA")</f>
        <v>MYNTRA</v>
      </c>
      <c r="D3891" s="115">
        <f>IFERROR(__xludf.DUMMYFUNCTION("""COMPUTED_VALUE"""),24169.0)</f>
        <v>24169</v>
      </c>
      <c r="E3891" s="115">
        <f>IFERROR(__xludf.DUMMYFUNCTION("""COMPUTED_VALUE"""),5903.0)</f>
        <v>5903</v>
      </c>
      <c r="F3891" s="115">
        <f>IFERROR(__xludf.DUMMYFUNCTION("""COMPUTED_VALUE"""),5334.0)</f>
        <v>5334</v>
      </c>
      <c r="G3891" s="115">
        <f>IFERROR(__xludf.DUMMYFUNCTION("""COMPUTED_VALUE"""),354.0)</f>
        <v>354</v>
      </c>
      <c r="H3891" s="116">
        <f>IFERROR(__xludf.DUMMYFUNCTION("""COMPUTED_VALUE"""),45908.0)</f>
        <v>45908</v>
      </c>
      <c r="I3891" s="115" t="str">
        <f>IFERROR(__xludf.DUMMYFUNCTION("""COMPUTED_VALUE"""),"11")</f>
        <v>11</v>
      </c>
      <c r="J3891" s="115" t="str">
        <f>IFERROR(__xludf.DUMMYFUNCTION("""COMPUTED_VALUE"""),"Martin A2025-09-0811")</f>
        <v>Martin A2025-09-0811</v>
      </c>
      <c r="K3891" s="115">
        <f>IFERROR(__xludf.DUMMYFUNCTION("""COMPUTED_VALUE"""),30072.0)</f>
        <v>30072</v>
      </c>
    </row>
    <row r="3892">
      <c r="A3892" s="115" t="str">
        <f>IFERROR(__xludf.DUMMYFUNCTION("""COMPUTED_VALUE"""),"SOUTH")</f>
        <v>SOUTH</v>
      </c>
      <c r="B3892" s="115" t="str">
        <f>IFERROR(__xludf.DUMMYFUNCTION("""COMPUTED_VALUE"""),"Premkumar M")</f>
        <v>Premkumar M</v>
      </c>
      <c r="C3892" s="115" t="str">
        <f>IFERROR(__xludf.DUMMYFUNCTION("""COMPUTED_VALUE"""),"EXTERNAL")</f>
        <v>EXTERNAL</v>
      </c>
      <c r="D3892" s="115">
        <f>IFERROR(__xludf.DUMMYFUNCTION("""COMPUTED_VALUE"""),19738.0)</f>
        <v>19738</v>
      </c>
      <c r="E3892" s="115">
        <f>IFERROR(__xludf.DUMMYFUNCTION("""COMPUTED_VALUE"""),845.0)</f>
        <v>845</v>
      </c>
      <c r="F3892" s="115">
        <f>IFERROR(__xludf.DUMMYFUNCTION("""COMPUTED_VALUE"""),1291.0)</f>
        <v>1291</v>
      </c>
      <c r="G3892" s="115">
        <f>IFERROR(__xludf.DUMMYFUNCTION("""COMPUTED_VALUE"""),6.0)</f>
        <v>6</v>
      </c>
      <c r="H3892" s="116">
        <f>IFERROR(__xludf.DUMMYFUNCTION("""COMPUTED_VALUE"""),45908.0)</f>
        <v>45908</v>
      </c>
      <c r="I3892" s="115" t="str">
        <f>IFERROR(__xludf.DUMMYFUNCTION("""COMPUTED_VALUE"""),"11")</f>
        <v>11</v>
      </c>
      <c r="J3892" s="115" t="str">
        <f>IFERROR(__xludf.DUMMYFUNCTION("""COMPUTED_VALUE"""),"Premkumar M2025-09-0811")</f>
        <v>Premkumar M2025-09-0811</v>
      </c>
      <c r="K3892" s="115">
        <f>IFERROR(__xludf.DUMMYFUNCTION("""COMPUTED_VALUE"""),20583.0)</f>
        <v>20583</v>
      </c>
    </row>
    <row r="3893">
      <c r="A3893" s="115" t="str">
        <f>IFERROR(__xludf.DUMMYFUNCTION("""COMPUTED_VALUE"""),"SOUTH")</f>
        <v>SOUTH</v>
      </c>
      <c r="B3893" s="115" t="str">
        <f>IFERROR(__xludf.DUMMYFUNCTION("""COMPUTED_VALUE"""),"Premkumar M")</f>
        <v>Premkumar M</v>
      </c>
      <c r="C3893" s="115" t="str">
        <f>IFERROR(__xludf.DUMMYFUNCTION("""COMPUTED_VALUE"""),"FLIPKART")</f>
        <v>FLIPKART</v>
      </c>
      <c r="D3893" s="115">
        <f>IFERROR(__xludf.DUMMYFUNCTION("""COMPUTED_VALUE"""),188997.0)</f>
        <v>188997</v>
      </c>
      <c r="E3893" s="115">
        <f>IFERROR(__xludf.DUMMYFUNCTION("""COMPUTED_VALUE"""),9909.0)</f>
        <v>9909</v>
      </c>
      <c r="F3893" s="115">
        <f>IFERROR(__xludf.DUMMYFUNCTION("""COMPUTED_VALUE"""),18922.0)</f>
        <v>18922</v>
      </c>
      <c r="G3893" s="115">
        <f>IFERROR(__xludf.DUMMYFUNCTION("""COMPUTED_VALUE"""),204.0)</f>
        <v>204</v>
      </c>
      <c r="H3893" s="116">
        <f>IFERROR(__xludf.DUMMYFUNCTION("""COMPUTED_VALUE"""),45908.0)</f>
        <v>45908</v>
      </c>
      <c r="I3893" s="115" t="str">
        <f>IFERROR(__xludf.DUMMYFUNCTION("""COMPUTED_VALUE"""),"11")</f>
        <v>11</v>
      </c>
      <c r="J3893" s="115" t="str">
        <f>IFERROR(__xludf.DUMMYFUNCTION("""COMPUTED_VALUE"""),"Premkumar M2025-09-0811")</f>
        <v>Premkumar M2025-09-0811</v>
      </c>
      <c r="K3893" s="115">
        <f>IFERROR(__xludf.DUMMYFUNCTION("""COMPUTED_VALUE"""),198906.0)</f>
        <v>198906</v>
      </c>
    </row>
    <row r="3894">
      <c r="A3894" s="115" t="str">
        <f>IFERROR(__xludf.DUMMYFUNCTION("""COMPUTED_VALUE"""),"SOUTH")</f>
        <v>SOUTH</v>
      </c>
      <c r="B3894" s="115" t="str">
        <f>IFERROR(__xludf.DUMMYFUNCTION("""COMPUTED_VALUE"""),"Premkumar M")</f>
        <v>Premkumar M</v>
      </c>
      <c r="C3894" s="115" t="str">
        <f>IFERROR(__xludf.DUMMYFUNCTION("""COMPUTED_VALUE"""),"MYNTRA")</f>
        <v>MYNTRA</v>
      </c>
      <c r="D3894" s="115">
        <f>IFERROR(__xludf.DUMMYFUNCTION("""COMPUTED_VALUE"""),11010.0)</f>
        <v>11010</v>
      </c>
      <c r="E3894" s="115">
        <f>IFERROR(__xludf.DUMMYFUNCTION("""COMPUTED_VALUE"""),1687.0)</f>
        <v>1687</v>
      </c>
      <c r="F3894" s="115">
        <f>IFERROR(__xludf.DUMMYFUNCTION("""COMPUTED_VALUE"""),1316.0)</f>
        <v>1316</v>
      </c>
      <c r="G3894" s="115">
        <f>IFERROR(__xludf.DUMMYFUNCTION("""COMPUTED_VALUE"""),21.0)</f>
        <v>21</v>
      </c>
      <c r="H3894" s="116">
        <f>IFERROR(__xludf.DUMMYFUNCTION("""COMPUTED_VALUE"""),45908.0)</f>
        <v>45908</v>
      </c>
      <c r="I3894" s="115" t="str">
        <f>IFERROR(__xludf.DUMMYFUNCTION("""COMPUTED_VALUE"""),"11")</f>
        <v>11</v>
      </c>
      <c r="J3894" s="115" t="str">
        <f>IFERROR(__xludf.DUMMYFUNCTION("""COMPUTED_VALUE"""),"Premkumar M2025-09-0811")</f>
        <v>Premkumar M2025-09-0811</v>
      </c>
      <c r="K3894" s="115">
        <f>IFERROR(__xludf.DUMMYFUNCTION("""COMPUTED_VALUE"""),12697.0)</f>
        <v>12697</v>
      </c>
    </row>
    <row r="3895">
      <c r="A3895" s="115" t="str">
        <f>IFERROR(__xludf.DUMMYFUNCTION("""COMPUTED_VALUE"""),"SOUTH")</f>
        <v>SOUTH</v>
      </c>
      <c r="B3895" s="115" t="str">
        <f>IFERROR(__xludf.DUMMYFUNCTION("""COMPUTED_VALUE"""),"Vineeth V")</f>
        <v>Vineeth V</v>
      </c>
      <c r="C3895" s="115" t="str">
        <f>IFERROR(__xludf.DUMMYFUNCTION("""COMPUTED_VALUE"""),"EXTERNAL")</f>
        <v>EXTERNAL</v>
      </c>
      <c r="D3895" s="115">
        <f>IFERROR(__xludf.DUMMYFUNCTION("""COMPUTED_VALUE"""),13192.0)</f>
        <v>13192</v>
      </c>
      <c r="E3895" s="115">
        <f>IFERROR(__xludf.DUMMYFUNCTION("""COMPUTED_VALUE"""),269.0)</f>
        <v>269</v>
      </c>
      <c r="F3895" s="115">
        <f>IFERROR(__xludf.DUMMYFUNCTION("""COMPUTED_VALUE"""),441.0)</f>
        <v>441</v>
      </c>
      <c r="G3895" s="115">
        <f>IFERROR(__xludf.DUMMYFUNCTION("""COMPUTED_VALUE"""),3.0)</f>
        <v>3</v>
      </c>
      <c r="H3895" s="116">
        <f>IFERROR(__xludf.DUMMYFUNCTION("""COMPUTED_VALUE"""),45908.0)</f>
        <v>45908</v>
      </c>
      <c r="I3895" s="115" t="str">
        <f>IFERROR(__xludf.DUMMYFUNCTION("""COMPUTED_VALUE"""),"11")</f>
        <v>11</v>
      </c>
      <c r="J3895" s="115" t="str">
        <f>IFERROR(__xludf.DUMMYFUNCTION("""COMPUTED_VALUE"""),"Vineeth V2025-09-0811")</f>
        <v>Vineeth V2025-09-0811</v>
      </c>
      <c r="K3895" s="115">
        <f>IFERROR(__xludf.DUMMYFUNCTION("""COMPUTED_VALUE"""),13461.0)</f>
        <v>13461</v>
      </c>
    </row>
    <row r="3896">
      <c r="A3896" s="115" t="str">
        <f>IFERROR(__xludf.DUMMYFUNCTION("""COMPUTED_VALUE"""),"SOUTH")</f>
        <v>SOUTH</v>
      </c>
      <c r="B3896" s="115" t="str">
        <f>IFERROR(__xludf.DUMMYFUNCTION("""COMPUTED_VALUE"""),"Vineeth V")</f>
        <v>Vineeth V</v>
      </c>
      <c r="C3896" s="115" t="str">
        <f>IFERROR(__xludf.DUMMYFUNCTION("""COMPUTED_VALUE"""),"FLIPKART")</f>
        <v>FLIPKART</v>
      </c>
      <c r="D3896" s="115">
        <f>IFERROR(__xludf.DUMMYFUNCTION("""COMPUTED_VALUE"""),147933.0)</f>
        <v>147933</v>
      </c>
      <c r="E3896" s="115">
        <f>IFERROR(__xludf.DUMMYFUNCTION("""COMPUTED_VALUE"""),7277.0)</f>
        <v>7277</v>
      </c>
      <c r="F3896" s="115">
        <f>IFERROR(__xludf.DUMMYFUNCTION("""COMPUTED_VALUE"""),8116.0)</f>
        <v>8116</v>
      </c>
      <c r="G3896" s="115">
        <f>IFERROR(__xludf.DUMMYFUNCTION("""COMPUTED_VALUE"""),80.0)</f>
        <v>80</v>
      </c>
      <c r="H3896" s="116">
        <f>IFERROR(__xludf.DUMMYFUNCTION("""COMPUTED_VALUE"""),45908.0)</f>
        <v>45908</v>
      </c>
      <c r="I3896" s="115" t="str">
        <f>IFERROR(__xludf.DUMMYFUNCTION("""COMPUTED_VALUE"""),"11")</f>
        <v>11</v>
      </c>
      <c r="J3896" s="115" t="str">
        <f>IFERROR(__xludf.DUMMYFUNCTION("""COMPUTED_VALUE"""),"Vineeth V2025-09-0811")</f>
        <v>Vineeth V2025-09-0811</v>
      </c>
      <c r="K3896" s="115">
        <f>IFERROR(__xludf.DUMMYFUNCTION("""COMPUTED_VALUE"""),155210.0)</f>
        <v>155210</v>
      </c>
    </row>
    <row r="3897">
      <c r="A3897" s="115" t="str">
        <f>IFERROR(__xludf.DUMMYFUNCTION("""COMPUTED_VALUE"""),"SOUTH")</f>
        <v>SOUTH</v>
      </c>
      <c r="B3897" s="115" t="str">
        <f>IFERROR(__xludf.DUMMYFUNCTION("""COMPUTED_VALUE"""),"Vineeth V")</f>
        <v>Vineeth V</v>
      </c>
      <c r="C3897" s="115" t="str">
        <f>IFERROR(__xludf.DUMMYFUNCTION("""COMPUTED_VALUE"""),"MYNTRA")</f>
        <v>MYNTRA</v>
      </c>
      <c r="D3897" s="115">
        <f>IFERROR(__xludf.DUMMYFUNCTION("""COMPUTED_VALUE"""),11768.0)</f>
        <v>11768</v>
      </c>
      <c r="E3897" s="115">
        <f>IFERROR(__xludf.DUMMYFUNCTION("""COMPUTED_VALUE"""),2024.0)</f>
        <v>2024</v>
      </c>
      <c r="F3897" s="115">
        <f>IFERROR(__xludf.DUMMYFUNCTION("""COMPUTED_VALUE"""),877.0)</f>
        <v>877</v>
      </c>
      <c r="G3897" s="115">
        <f>IFERROR(__xludf.DUMMYFUNCTION("""COMPUTED_VALUE"""),19.0)</f>
        <v>19</v>
      </c>
      <c r="H3897" s="116">
        <f>IFERROR(__xludf.DUMMYFUNCTION("""COMPUTED_VALUE"""),45908.0)</f>
        <v>45908</v>
      </c>
      <c r="I3897" s="115" t="str">
        <f>IFERROR(__xludf.DUMMYFUNCTION("""COMPUTED_VALUE"""),"11")</f>
        <v>11</v>
      </c>
      <c r="J3897" s="115" t="str">
        <f>IFERROR(__xludf.DUMMYFUNCTION("""COMPUTED_VALUE"""),"Vineeth V2025-09-0811")</f>
        <v>Vineeth V2025-09-0811</v>
      </c>
      <c r="K3897" s="115">
        <f>IFERROR(__xludf.DUMMYFUNCTION("""COMPUTED_VALUE"""),13792.0)</f>
        <v>13792</v>
      </c>
    </row>
    <row r="3898">
      <c r="A3898" s="115" t="str">
        <f>IFERROR(__xludf.DUMMYFUNCTION("""COMPUTED_VALUE"""),"WEST")</f>
        <v>WEST</v>
      </c>
      <c r="B3898" s="115" t="str">
        <f>IFERROR(__xludf.DUMMYFUNCTION("""COMPUTED_VALUE"""),"Ashish Jakar")</f>
        <v>Ashish Jakar</v>
      </c>
      <c r="C3898" s="115" t="str">
        <f>IFERROR(__xludf.DUMMYFUNCTION("""COMPUTED_VALUE"""),"EXTERNAL")</f>
        <v>EXTERNAL</v>
      </c>
      <c r="D3898" s="115">
        <f>IFERROR(__xludf.DUMMYFUNCTION("""COMPUTED_VALUE"""),44567.0)</f>
        <v>44567</v>
      </c>
      <c r="E3898" s="115">
        <f>IFERROR(__xludf.DUMMYFUNCTION("""COMPUTED_VALUE"""),5715.0)</f>
        <v>5715</v>
      </c>
      <c r="F3898" s="115">
        <f>IFERROR(__xludf.DUMMYFUNCTION("""COMPUTED_VALUE"""),3022.0)</f>
        <v>3022</v>
      </c>
      <c r="G3898" s="115">
        <f>IFERROR(__xludf.DUMMYFUNCTION("""COMPUTED_VALUE"""),220.0)</f>
        <v>220</v>
      </c>
      <c r="H3898" s="116">
        <f>IFERROR(__xludf.DUMMYFUNCTION("""COMPUTED_VALUE"""),45908.0)</f>
        <v>45908</v>
      </c>
      <c r="I3898" s="115" t="str">
        <f>IFERROR(__xludf.DUMMYFUNCTION("""COMPUTED_VALUE"""),"11")</f>
        <v>11</v>
      </c>
      <c r="J3898" s="115" t="str">
        <f>IFERROR(__xludf.DUMMYFUNCTION("""COMPUTED_VALUE"""),"Ashish Jakar2025-09-0811")</f>
        <v>Ashish Jakar2025-09-0811</v>
      </c>
      <c r="K3898" s="115">
        <f>IFERROR(__xludf.DUMMYFUNCTION("""COMPUTED_VALUE"""),50282.0)</f>
        <v>50282</v>
      </c>
    </row>
    <row r="3899">
      <c r="A3899" s="115" t="str">
        <f>IFERROR(__xludf.DUMMYFUNCTION("""COMPUTED_VALUE"""),"WEST")</f>
        <v>WEST</v>
      </c>
      <c r="B3899" s="115" t="str">
        <f>IFERROR(__xludf.DUMMYFUNCTION("""COMPUTED_VALUE"""),"Ashish Jakar")</f>
        <v>Ashish Jakar</v>
      </c>
      <c r="C3899" s="115" t="str">
        <f>IFERROR(__xludf.DUMMYFUNCTION("""COMPUTED_VALUE"""),"FLIPKART")</f>
        <v>FLIPKART</v>
      </c>
      <c r="D3899" s="115">
        <f>IFERROR(__xludf.DUMMYFUNCTION("""COMPUTED_VALUE"""),271622.0)</f>
        <v>271622</v>
      </c>
      <c r="E3899" s="115">
        <f>IFERROR(__xludf.DUMMYFUNCTION("""COMPUTED_VALUE"""),24799.0)</f>
        <v>24799</v>
      </c>
      <c r="F3899" s="115">
        <f>IFERROR(__xludf.DUMMYFUNCTION("""COMPUTED_VALUE"""),35978.0)</f>
        <v>35978</v>
      </c>
      <c r="G3899" s="115">
        <f>IFERROR(__xludf.DUMMYFUNCTION("""COMPUTED_VALUE"""),1220.0)</f>
        <v>1220</v>
      </c>
      <c r="H3899" s="116">
        <f>IFERROR(__xludf.DUMMYFUNCTION("""COMPUTED_VALUE"""),45908.0)</f>
        <v>45908</v>
      </c>
      <c r="I3899" s="115" t="str">
        <f>IFERROR(__xludf.DUMMYFUNCTION("""COMPUTED_VALUE"""),"11")</f>
        <v>11</v>
      </c>
      <c r="J3899" s="115" t="str">
        <f>IFERROR(__xludf.DUMMYFUNCTION("""COMPUTED_VALUE"""),"Ashish Jakar2025-09-0811")</f>
        <v>Ashish Jakar2025-09-0811</v>
      </c>
      <c r="K3899" s="115">
        <f>IFERROR(__xludf.DUMMYFUNCTION("""COMPUTED_VALUE"""),296421.0)</f>
        <v>296421</v>
      </c>
    </row>
    <row r="3900">
      <c r="A3900" s="115" t="str">
        <f>IFERROR(__xludf.DUMMYFUNCTION("""COMPUTED_VALUE"""),"WEST")</f>
        <v>WEST</v>
      </c>
      <c r="B3900" s="115" t="str">
        <f>IFERROR(__xludf.DUMMYFUNCTION("""COMPUTED_VALUE"""),"Ashish Jakar")</f>
        <v>Ashish Jakar</v>
      </c>
      <c r="C3900" s="115" t="str">
        <f>IFERROR(__xludf.DUMMYFUNCTION("""COMPUTED_VALUE"""),"MYNTRA")</f>
        <v>MYNTRA</v>
      </c>
      <c r="D3900" s="115">
        <f>IFERROR(__xludf.DUMMYFUNCTION("""COMPUTED_VALUE"""),34413.0)</f>
        <v>34413</v>
      </c>
      <c r="E3900" s="115">
        <f>IFERROR(__xludf.DUMMYFUNCTION("""COMPUTED_VALUE"""),8902.0)</f>
        <v>8902</v>
      </c>
      <c r="F3900" s="115">
        <f>IFERROR(__xludf.DUMMYFUNCTION("""COMPUTED_VALUE"""),5599.0)</f>
        <v>5599</v>
      </c>
      <c r="G3900" s="115">
        <f>IFERROR(__xludf.DUMMYFUNCTION("""COMPUTED_VALUE"""),471.0)</f>
        <v>471</v>
      </c>
      <c r="H3900" s="116">
        <f>IFERROR(__xludf.DUMMYFUNCTION("""COMPUTED_VALUE"""),45908.0)</f>
        <v>45908</v>
      </c>
      <c r="I3900" s="115" t="str">
        <f>IFERROR(__xludf.DUMMYFUNCTION("""COMPUTED_VALUE"""),"11")</f>
        <v>11</v>
      </c>
      <c r="J3900" s="115" t="str">
        <f>IFERROR(__xludf.DUMMYFUNCTION("""COMPUTED_VALUE"""),"Ashish Jakar2025-09-0811")</f>
        <v>Ashish Jakar2025-09-0811</v>
      </c>
      <c r="K3900" s="115">
        <f>IFERROR(__xludf.DUMMYFUNCTION("""COMPUTED_VALUE"""),43315.0)</f>
        <v>43315</v>
      </c>
    </row>
    <row r="3901">
      <c r="A3901" s="115" t="str">
        <f>IFERROR(__xludf.DUMMYFUNCTION("""COMPUTED_VALUE"""),"WEST")</f>
        <v>WEST</v>
      </c>
      <c r="B3901" s="115" t="str">
        <f>IFERROR(__xludf.DUMMYFUNCTION("""COMPUTED_VALUE"""),"Ashvani Bhatt")</f>
        <v>Ashvani Bhatt</v>
      </c>
      <c r="C3901" s="115" t="str">
        <f>IFERROR(__xludf.DUMMYFUNCTION("""COMPUTED_VALUE"""),"EXTERNAL")</f>
        <v>EXTERNAL</v>
      </c>
      <c r="D3901" s="115">
        <f>IFERROR(__xludf.DUMMYFUNCTION("""COMPUTED_VALUE"""),29390.0)</f>
        <v>29390</v>
      </c>
      <c r="E3901" s="115">
        <f>IFERROR(__xludf.DUMMYFUNCTION("""COMPUTED_VALUE"""),2114.0)</f>
        <v>2114</v>
      </c>
      <c r="F3901" s="115">
        <f>IFERROR(__xludf.DUMMYFUNCTION("""COMPUTED_VALUE"""),2575.0)</f>
        <v>2575</v>
      </c>
      <c r="G3901" s="115">
        <f>IFERROR(__xludf.DUMMYFUNCTION("""COMPUTED_VALUE"""),62.0)</f>
        <v>62</v>
      </c>
      <c r="H3901" s="116">
        <f>IFERROR(__xludf.DUMMYFUNCTION("""COMPUTED_VALUE"""),45908.0)</f>
        <v>45908</v>
      </c>
      <c r="I3901" s="115" t="str">
        <f>IFERROR(__xludf.DUMMYFUNCTION("""COMPUTED_VALUE"""),"11")</f>
        <v>11</v>
      </c>
      <c r="J3901" s="115" t="str">
        <f>IFERROR(__xludf.DUMMYFUNCTION("""COMPUTED_VALUE"""),"Ashvani Bhatt2025-09-0811")</f>
        <v>Ashvani Bhatt2025-09-0811</v>
      </c>
      <c r="K3901" s="115">
        <f>IFERROR(__xludf.DUMMYFUNCTION("""COMPUTED_VALUE"""),31504.0)</f>
        <v>31504</v>
      </c>
    </row>
    <row r="3902">
      <c r="A3902" s="115" t="str">
        <f>IFERROR(__xludf.DUMMYFUNCTION("""COMPUTED_VALUE"""),"WEST")</f>
        <v>WEST</v>
      </c>
      <c r="B3902" s="115" t="str">
        <f>IFERROR(__xludf.DUMMYFUNCTION("""COMPUTED_VALUE"""),"Ashvani Bhatt")</f>
        <v>Ashvani Bhatt</v>
      </c>
      <c r="C3902" s="115" t="str">
        <f>IFERROR(__xludf.DUMMYFUNCTION("""COMPUTED_VALUE"""),"FLIPKART")</f>
        <v>FLIPKART</v>
      </c>
      <c r="D3902" s="115">
        <f>IFERROR(__xludf.DUMMYFUNCTION("""COMPUTED_VALUE"""),203024.0)</f>
        <v>203024</v>
      </c>
      <c r="E3902" s="115">
        <f>IFERROR(__xludf.DUMMYFUNCTION("""COMPUTED_VALUE"""),18879.0)</f>
        <v>18879</v>
      </c>
      <c r="F3902" s="115">
        <f>IFERROR(__xludf.DUMMYFUNCTION("""COMPUTED_VALUE"""),35862.0)</f>
        <v>35862</v>
      </c>
      <c r="G3902" s="115">
        <f>IFERROR(__xludf.DUMMYFUNCTION("""COMPUTED_VALUE"""),815.0)</f>
        <v>815</v>
      </c>
      <c r="H3902" s="116">
        <f>IFERROR(__xludf.DUMMYFUNCTION("""COMPUTED_VALUE"""),45908.0)</f>
        <v>45908</v>
      </c>
      <c r="I3902" s="115" t="str">
        <f>IFERROR(__xludf.DUMMYFUNCTION("""COMPUTED_VALUE"""),"11")</f>
        <v>11</v>
      </c>
      <c r="J3902" s="115" t="str">
        <f>IFERROR(__xludf.DUMMYFUNCTION("""COMPUTED_VALUE"""),"Ashvani Bhatt2025-09-0811")</f>
        <v>Ashvani Bhatt2025-09-0811</v>
      </c>
      <c r="K3902" s="115">
        <f>IFERROR(__xludf.DUMMYFUNCTION("""COMPUTED_VALUE"""),221903.0)</f>
        <v>221903</v>
      </c>
    </row>
    <row r="3903">
      <c r="A3903" s="115" t="str">
        <f>IFERROR(__xludf.DUMMYFUNCTION("""COMPUTED_VALUE"""),"WEST")</f>
        <v>WEST</v>
      </c>
      <c r="B3903" s="115" t="str">
        <f>IFERROR(__xludf.DUMMYFUNCTION("""COMPUTED_VALUE"""),"Ashvani Bhatt")</f>
        <v>Ashvani Bhatt</v>
      </c>
      <c r="C3903" s="115" t="str">
        <f>IFERROR(__xludf.DUMMYFUNCTION("""COMPUTED_VALUE"""),"MYNTRA")</f>
        <v>MYNTRA</v>
      </c>
      <c r="D3903" s="115">
        <f>IFERROR(__xludf.DUMMYFUNCTION("""COMPUTED_VALUE"""),28737.0)</f>
        <v>28737</v>
      </c>
      <c r="E3903" s="115">
        <f>IFERROR(__xludf.DUMMYFUNCTION("""COMPUTED_VALUE"""),6027.0)</f>
        <v>6027</v>
      </c>
      <c r="F3903" s="115">
        <f>IFERROR(__xludf.DUMMYFUNCTION("""COMPUTED_VALUE"""),6559.0)</f>
        <v>6559</v>
      </c>
      <c r="G3903" s="115">
        <f>IFERROR(__xludf.DUMMYFUNCTION("""COMPUTED_VALUE"""),378.0)</f>
        <v>378</v>
      </c>
      <c r="H3903" s="116">
        <f>IFERROR(__xludf.DUMMYFUNCTION("""COMPUTED_VALUE"""),45908.0)</f>
        <v>45908</v>
      </c>
      <c r="I3903" s="115" t="str">
        <f>IFERROR(__xludf.DUMMYFUNCTION("""COMPUTED_VALUE"""),"11")</f>
        <v>11</v>
      </c>
      <c r="J3903" s="115" t="str">
        <f>IFERROR(__xludf.DUMMYFUNCTION("""COMPUTED_VALUE"""),"Ashvani Bhatt2025-09-0811")</f>
        <v>Ashvani Bhatt2025-09-0811</v>
      </c>
      <c r="K3903" s="115">
        <f>IFERROR(__xludf.DUMMYFUNCTION("""COMPUTED_VALUE"""),34764.0)</f>
        <v>34764</v>
      </c>
    </row>
    <row r="3904">
      <c r="A3904" s="115"/>
      <c r="B3904" s="115"/>
      <c r="C3904" s="115" t="str">
        <f>IFERROR(__xludf.DUMMYFUNCTION("""COMPUTED_VALUE"""),"EXTERNAL")</f>
        <v>EXTERNAL</v>
      </c>
      <c r="D3904" s="115">
        <f>IFERROR(__xludf.DUMMYFUNCTION("""COMPUTED_VALUE"""),317.0)</f>
        <v>317</v>
      </c>
      <c r="E3904" s="115">
        <f>IFERROR(__xludf.DUMMYFUNCTION("""COMPUTED_VALUE"""),85.0)</f>
        <v>85</v>
      </c>
      <c r="F3904" s="115">
        <f>IFERROR(__xludf.DUMMYFUNCTION("""COMPUTED_VALUE"""),23.0)</f>
        <v>23</v>
      </c>
      <c r="G3904" s="115">
        <f>IFERROR(__xludf.DUMMYFUNCTION("""COMPUTED_VALUE"""),22.0)</f>
        <v>22</v>
      </c>
      <c r="H3904" s="116">
        <f>IFERROR(__xludf.DUMMYFUNCTION("""COMPUTED_VALUE"""),45908.0)</f>
        <v>45908</v>
      </c>
      <c r="I3904" s="115" t="str">
        <f>IFERROR(__xludf.DUMMYFUNCTION("""COMPUTED_VALUE"""),"11")</f>
        <v>11</v>
      </c>
      <c r="J3904" s="115" t="str">
        <f>IFERROR(__xludf.DUMMYFUNCTION("""COMPUTED_VALUE"""),"2025-09-0811")</f>
        <v>2025-09-0811</v>
      </c>
      <c r="K3904" s="115">
        <f>IFERROR(__xludf.DUMMYFUNCTION("""COMPUTED_VALUE"""),402.0)</f>
        <v>402</v>
      </c>
    </row>
    <row r="3905">
      <c r="A3905" s="115"/>
      <c r="B3905" s="115"/>
      <c r="C3905" s="115" t="str">
        <f>IFERROR(__xludf.DUMMYFUNCTION("""COMPUTED_VALUE"""),"FLIPKART")</f>
        <v>FLIPKART</v>
      </c>
      <c r="D3905" s="115">
        <f>IFERROR(__xludf.DUMMYFUNCTION("""COMPUTED_VALUE"""),2998.0)</f>
        <v>2998</v>
      </c>
      <c r="E3905" s="115">
        <f>IFERROR(__xludf.DUMMYFUNCTION("""COMPUTED_VALUE"""),287.0)</f>
        <v>287</v>
      </c>
      <c r="F3905" s="115">
        <f>IFERROR(__xludf.DUMMYFUNCTION("""COMPUTED_VALUE"""),220.0)</f>
        <v>220</v>
      </c>
      <c r="G3905" s="115">
        <f>IFERROR(__xludf.DUMMYFUNCTION("""COMPUTED_VALUE"""),45.0)</f>
        <v>45</v>
      </c>
      <c r="H3905" s="116">
        <f>IFERROR(__xludf.DUMMYFUNCTION("""COMPUTED_VALUE"""),45908.0)</f>
        <v>45908</v>
      </c>
      <c r="I3905" s="115" t="str">
        <f>IFERROR(__xludf.DUMMYFUNCTION("""COMPUTED_VALUE"""),"11")</f>
        <v>11</v>
      </c>
      <c r="J3905" s="115" t="str">
        <f>IFERROR(__xludf.DUMMYFUNCTION("""COMPUTED_VALUE"""),"2025-09-0811")</f>
        <v>2025-09-0811</v>
      </c>
      <c r="K3905" s="115">
        <f>IFERROR(__xludf.DUMMYFUNCTION("""COMPUTED_VALUE"""),3285.0)</f>
        <v>3285</v>
      </c>
    </row>
    <row r="3906">
      <c r="A3906" s="115"/>
      <c r="B3906" s="115"/>
      <c r="C3906" s="115" t="str">
        <f>IFERROR(__xludf.DUMMYFUNCTION("""COMPUTED_VALUE"""),"MYNTRA")</f>
        <v>MYNTRA</v>
      </c>
      <c r="D3906" s="115">
        <f>IFERROR(__xludf.DUMMYFUNCTION("""COMPUTED_VALUE"""),401.0)</f>
        <v>401</v>
      </c>
      <c r="E3906" s="115">
        <f>IFERROR(__xludf.DUMMYFUNCTION("""COMPUTED_VALUE"""),152.0)</f>
        <v>152</v>
      </c>
      <c r="F3906" s="115">
        <f>IFERROR(__xludf.DUMMYFUNCTION("""COMPUTED_VALUE"""),55.0)</f>
        <v>55</v>
      </c>
      <c r="G3906" s="115">
        <f>IFERROR(__xludf.DUMMYFUNCTION("""COMPUTED_VALUE"""),23.0)</f>
        <v>23</v>
      </c>
      <c r="H3906" s="116">
        <f>IFERROR(__xludf.DUMMYFUNCTION("""COMPUTED_VALUE"""),45908.0)</f>
        <v>45908</v>
      </c>
      <c r="I3906" s="115" t="str">
        <f>IFERROR(__xludf.DUMMYFUNCTION("""COMPUTED_VALUE"""),"11")</f>
        <v>11</v>
      </c>
      <c r="J3906" s="115" t="str">
        <f>IFERROR(__xludf.DUMMYFUNCTION("""COMPUTED_VALUE"""),"2025-09-0811")</f>
        <v>2025-09-0811</v>
      </c>
      <c r="K3906" s="115">
        <f>IFERROR(__xludf.DUMMYFUNCTION("""COMPUTED_VALUE"""),553.0)</f>
        <v>553</v>
      </c>
    </row>
    <row r="3907">
      <c r="A3907" s="115" t="str">
        <f>IFERROR(__xludf.DUMMYFUNCTION("""COMPUTED_VALUE"""),"EAST")</f>
        <v>EAST</v>
      </c>
      <c r="B3907" s="115" t="str">
        <f>IFERROR(__xludf.DUMMYFUNCTION("""COMPUTED_VALUE"""),"Ashish Ranjan")</f>
        <v>Ashish Ranjan</v>
      </c>
      <c r="C3907" s="115" t="str">
        <f>IFERROR(__xludf.DUMMYFUNCTION("""COMPUTED_VALUE"""),"EXTERNAL")</f>
        <v>EXTERNAL</v>
      </c>
      <c r="D3907" s="115">
        <f>IFERROR(__xludf.DUMMYFUNCTION("""COMPUTED_VALUE"""),40050.0)</f>
        <v>40050</v>
      </c>
      <c r="E3907" s="115">
        <f>IFERROR(__xludf.DUMMYFUNCTION("""COMPUTED_VALUE"""),3212.0)</f>
        <v>3212</v>
      </c>
      <c r="F3907" s="115">
        <f>IFERROR(__xludf.DUMMYFUNCTION("""COMPUTED_VALUE"""),8284.0)</f>
        <v>8284</v>
      </c>
      <c r="G3907" s="115">
        <f>IFERROR(__xludf.DUMMYFUNCTION("""COMPUTED_VALUE"""),245.0)</f>
        <v>245</v>
      </c>
      <c r="H3907" s="116">
        <f>IFERROR(__xludf.DUMMYFUNCTION("""COMPUTED_VALUE"""),45908.0)</f>
        <v>45908</v>
      </c>
      <c r="I3907" s="115" t="str">
        <f>IFERROR(__xludf.DUMMYFUNCTION("""COMPUTED_VALUE"""),"12")</f>
        <v>12</v>
      </c>
      <c r="J3907" s="115" t="str">
        <f>IFERROR(__xludf.DUMMYFUNCTION("""COMPUTED_VALUE"""),"Ashish Ranjan2025-09-0812")</f>
        <v>Ashish Ranjan2025-09-0812</v>
      </c>
      <c r="K3907" s="115">
        <f>IFERROR(__xludf.DUMMYFUNCTION("""COMPUTED_VALUE"""),43262.0)</f>
        <v>43262</v>
      </c>
    </row>
    <row r="3908">
      <c r="A3908" s="115" t="str">
        <f>IFERROR(__xludf.DUMMYFUNCTION("""COMPUTED_VALUE"""),"EAST")</f>
        <v>EAST</v>
      </c>
      <c r="B3908" s="115" t="str">
        <f>IFERROR(__xludf.DUMMYFUNCTION("""COMPUTED_VALUE"""),"Ashish Ranjan")</f>
        <v>Ashish Ranjan</v>
      </c>
      <c r="C3908" s="115" t="str">
        <f>IFERROR(__xludf.DUMMYFUNCTION("""COMPUTED_VALUE"""),"FLIPKART")</f>
        <v>FLIPKART</v>
      </c>
      <c r="D3908" s="115">
        <f>IFERROR(__xludf.DUMMYFUNCTION("""COMPUTED_VALUE"""),606091.0)</f>
        <v>606091</v>
      </c>
      <c r="E3908" s="115">
        <f>IFERROR(__xludf.DUMMYFUNCTION("""COMPUTED_VALUE"""),54656.0)</f>
        <v>54656</v>
      </c>
      <c r="F3908" s="115">
        <f>IFERROR(__xludf.DUMMYFUNCTION("""COMPUTED_VALUE"""),203622.0)</f>
        <v>203622</v>
      </c>
      <c r="G3908" s="115">
        <f>IFERROR(__xludf.DUMMYFUNCTION("""COMPUTED_VALUE"""),5296.0)</f>
        <v>5296</v>
      </c>
      <c r="H3908" s="116">
        <f>IFERROR(__xludf.DUMMYFUNCTION("""COMPUTED_VALUE"""),45908.0)</f>
        <v>45908</v>
      </c>
      <c r="I3908" s="115" t="str">
        <f>IFERROR(__xludf.DUMMYFUNCTION("""COMPUTED_VALUE"""),"12")</f>
        <v>12</v>
      </c>
      <c r="J3908" s="115" t="str">
        <f>IFERROR(__xludf.DUMMYFUNCTION("""COMPUTED_VALUE"""),"Ashish Ranjan2025-09-0812")</f>
        <v>Ashish Ranjan2025-09-0812</v>
      </c>
      <c r="K3908" s="115">
        <f>IFERROR(__xludf.DUMMYFUNCTION("""COMPUTED_VALUE"""),660747.0)</f>
        <v>660747</v>
      </c>
    </row>
    <row r="3909">
      <c r="A3909" s="115" t="str">
        <f>IFERROR(__xludf.DUMMYFUNCTION("""COMPUTED_VALUE"""),"EAST")</f>
        <v>EAST</v>
      </c>
      <c r="B3909" s="115" t="str">
        <f>IFERROR(__xludf.DUMMYFUNCTION("""COMPUTED_VALUE"""),"Ashish Ranjan")</f>
        <v>Ashish Ranjan</v>
      </c>
      <c r="C3909" s="115" t="str">
        <f>IFERROR(__xludf.DUMMYFUNCTION("""COMPUTED_VALUE"""),"MYNTRA")</f>
        <v>MYNTRA</v>
      </c>
      <c r="D3909" s="115">
        <f>IFERROR(__xludf.DUMMYFUNCTION("""COMPUTED_VALUE"""),68243.0)</f>
        <v>68243</v>
      </c>
      <c r="E3909" s="115">
        <f>IFERROR(__xludf.DUMMYFUNCTION("""COMPUTED_VALUE"""),12784.0)</f>
        <v>12784</v>
      </c>
      <c r="F3909" s="115">
        <f>IFERROR(__xludf.DUMMYFUNCTION("""COMPUTED_VALUE"""),23697.0)</f>
        <v>23697</v>
      </c>
      <c r="G3909" s="115">
        <f>IFERROR(__xludf.DUMMYFUNCTION("""COMPUTED_VALUE"""),1332.0)</f>
        <v>1332</v>
      </c>
      <c r="H3909" s="116">
        <f>IFERROR(__xludf.DUMMYFUNCTION("""COMPUTED_VALUE"""),45908.0)</f>
        <v>45908</v>
      </c>
      <c r="I3909" s="115" t="str">
        <f>IFERROR(__xludf.DUMMYFUNCTION("""COMPUTED_VALUE"""),"12")</f>
        <v>12</v>
      </c>
      <c r="J3909" s="115" t="str">
        <f>IFERROR(__xludf.DUMMYFUNCTION("""COMPUTED_VALUE"""),"Ashish Ranjan2025-09-0812")</f>
        <v>Ashish Ranjan2025-09-0812</v>
      </c>
      <c r="K3909" s="115">
        <f>IFERROR(__xludf.DUMMYFUNCTION("""COMPUTED_VALUE"""),81027.0)</f>
        <v>81027</v>
      </c>
    </row>
    <row r="3910">
      <c r="A3910" s="115" t="str">
        <f>IFERROR(__xludf.DUMMYFUNCTION("""COMPUTED_VALUE"""),"EAST")</f>
        <v>EAST</v>
      </c>
      <c r="B3910" s="115" t="str">
        <f>IFERROR(__xludf.DUMMYFUNCTION("""COMPUTED_VALUE"""),"Girish Chand")</f>
        <v>Girish Chand</v>
      </c>
      <c r="C3910" s="115" t="str">
        <f>IFERROR(__xludf.DUMMYFUNCTION("""COMPUTED_VALUE"""),"EXTERNAL")</f>
        <v>EXTERNAL</v>
      </c>
      <c r="D3910" s="115">
        <f>IFERROR(__xludf.DUMMYFUNCTION("""COMPUTED_VALUE"""),22884.0)</f>
        <v>22884</v>
      </c>
      <c r="E3910" s="115">
        <f>IFERROR(__xludf.DUMMYFUNCTION("""COMPUTED_VALUE"""),2113.0)</f>
        <v>2113</v>
      </c>
      <c r="F3910" s="115">
        <f>IFERROR(__xludf.DUMMYFUNCTION("""COMPUTED_VALUE"""),3398.0)</f>
        <v>3398</v>
      </c>
      <c r="G3910" s="115">
        <f>IFERROR(__xludf.DUMMYFUNCTION("""COMPUTED_VALUE"""),65.0)</f>
        <v>65</v>
      </c>
      <c r="H3910" s="116">
        <f>IFERROR(__xludf.DUMMYFUNCTION("""COMPUTED_VALUE"""),45908.0)</f>
        <v>45908</v>
      </c>
      <c r="I3910" s="115" t="str">
        <f>IFERROR(__xludf.DUMMYFUNCTION("""COMPUTED_VALUE"""),"12")</f>
        <v>12</v>
      </c>
      <c r="J3910" s="115" t="str">
        <f>IFERROR(__xludf.DUMMYFUNCTION("""COMPUTED_VALUE"""),"Girish Chand2025-09-0812")</f>
        <v>Girish Chand2025-09-0812</v>
      </c>
      <c r="K3910" s="115">
        <f>IFERROR(__xludf.DUMMYFUNCTION("""COMPUTED_VALUE"""),24997.0)</f>
        <v>24997</v>
      </c>
    </row>
    <row r="3911">
      <c r="A3911" s="115" t="str">
        <f>IFERROR(__xludf.DUMMYFUNCTION("""COMPUTED_VALUE"""),"EAST")</f>
        <v>EAST</v>
      </c>
      <c r="B3911" s="115" t="str">
        <f>IFERROR(__xludf.DUMMYFUNCTION("""COMPUTED_VALUE"""),"Girish Chand")</f>
        <v>Girish Chand</v>
      </c>
      <c r="C3911" s="115" t="str">
        <f>IFERROR(__xludf.DUMMYFUNCTION("""COMPUTED_VALUE"""),"FLIPKART")</f>
        <v>FLIPKART</v>
      </c>
      <c r="D3911" s="115">
        <f>IFERROR(__xludf.DUMMYFUNCTION("""COMPUTED_VALUE"""),373301.0)</f>
        <v>373301</v>
      </c>
      <c r="E3911" s="115">
        <f>IFERROR(__xludf.DUMMYFUNCTION("""COMPUTED_VALUE"""),34946.0)</f>
        <v>34946</v>
      </c>
      <c r="F3911" s="115">
        <f>IFERROR(__xludf.DUMMYFUNCTION("""COMPUTED_VALUE"""),95884.0)</f>
        <v>95884</v>
      </c>
      <c r="G3911" s="115">
        <f>IFERROR(__xludf.DUMMYFUNCTION("""COMPUTED_VALUE"""),2079.0)</f>
        <v>2079</v>
      </c>
      <c r="H3911" s="116">
        <f>IFERROR(__xludf.DUMMYFUNCTION("""COMPUTED_VALUE"""),45908.0)</f>
        <v>45908</v>
      </c>
      <c r="I3911" s="115" t="str">
        <f>IFERROR(__xludf.DUMMYFUNCTION("""COMPUTED_VALUE"""),"12")</f>
        <v>12</v>
      </c>
      <c r="J3911" s="115" t="str">
        <f>IFERROR(__xludf.DUMMYFUNCTION("""COMPUTED_VALUE"""),"Girish Chand2025-09-0812")</f>
        <v>Girish Chand2025-09-0812</v>
      </c>
      <c r="K3911" s="115">
        <f>IFERROR(__xludf.DUMMYFUNCTION("""COMPUTED_VALUE"""),408247.0)</f>
        <v>408247</v>
      </c>
    </row>
    <row r="3912">
      <c r="A3912" s="115" t="str">
        <f>IFERROR(__xludf.DUMMYFUNCTION("""COMPUTED_VALUE"""),"EAST")</f>
        <v>EAST</v>
      </c>
      <c r="B3912" s="115" t="str">
        <f>IFERROR(__xludf.DUMMYFUNCTION("""COMPUTED_VALUE"""),"Girish Chand")</f>
        <v>Girish Chand</v>
      </c>
      <c r="C3912" s="115" t="str">
        <f>IFERROR(__xludf.DUMMYFUNCTION("""COMPUTED_VALUE"""),"MYNTRA")</f>
        <v>MYNTRA</v>
      </c>
      <c r="D3912" s="115">
        <f>IFERROR(__xludf.DUMMYFUNCTION("""COMPUTED_VALUE"""),36759.0)</f>
        <v>36759</v>
      </c>
      <c r="E3912" s="115">
        <f>IFERROR(__xludf.DUMMYFUNCTION("""COMPUTED_VALUE"""),6710.0)</f>
        <v>6710</v>
      </c>
      <c r="F3912" s="115">
        <f>IFERROR(__xludf.DUMMYFUNCTION("""COMPUTED_VALUE"""),10783.0)</f>
        <v>10783</v>
      </c>
      <c r="G3912" s="115">
        <f>IFERROR(__xludf.DUMMYFUNCTION("""COMPUTED_VALUE"""),580.0)</f>
        <v>580</v>
      </c>
      <c r="H3912" s="116">
        <f>IFERROR(__xludf.DUMMYFUNCTION("""COMPUTED_VALUE"""),45908.0)</f>
        <v>45908</v>
      </c>
      <c r="I3912" s="115" t="str">
        <f>IFERROR(__xludf.DUMMYFUNCTION("""COMPUTED_VALUE"""),"12")</f>
        <v>12</v>
      </c>
      <c r="J3912" s="115" t="str">
        <f>IFERROR(__xludf.DUMMYFUNCTION("""COMPUTED_VALUE"""),"Girish Chand2025-09-0812")</f>
        <v>Girish Chand2025-09-0812</v>
      </c>
      <c r="K3912" s="115">
        <f>IFERROR(__xludf.DUMMYFUNCTION("""COMPUTED_VALUE"""),43469.0)</f>
        <v>43469</v>
      </c>
    </row>
    <row r="3913">
      <c r="A3913" s="115" t="str">
        <f>IFERROR(__xludf.DUMMYFUNCTION("""COMPUTED_VALUE"""),"EAST")</f>
        <v>EAST</v>
      </c>
      <c r="B3913" s="115" t="str">
        <f>IFERROR(__xludf.DUMMYFUNCTION("""COMPUTED_VALUE"""),"Parag Kashyap")</f>
        <v>Parag Kashyap</v>
      </c>
      <c r="C3913" s="115" t="str">
        <f>IFERROR(__xludf.DUMMYFUNCTION("""COMPUTED_VALUE"""),"EXTERNAL")</f>
        <v>EXTERNAL</v>
      </c>
      <c r="D3913" s="115">
        <f>IFERROR(__xludf.DUMMYFUNCTION("""COMPUTED_VALUE"""),17386.0)</f>
        <v>17386</v>
      </c>
      <c r="E3913" s="115">
        <f>IFERROR(__xludf.DUMMYFUNCTION("""COMPUTED_VALUE"""),915.0)</f>
        <v>915</v>
      </c>
      <c r="F3913" s="115">
        <f>IFERROR(__xludf.DUMMYFUNCTION("""COMPUTED_VALUE"""),1778.0)</f>
        <v>1778</v>
      </c>
      <c r="G3913" s="115">
        <f>IFERROR(__xludf.DUMMYFUNCTION("""COMPUTED_VALUE"""),17.0)</f>
        <v>17</v>
      </c>
      <c r="H3913" s="116">
        <f>IFERROR(__xludf.DUMMYFUNCTION("""COMPUTED_VALUE"""),45908.0)</f>
        <v>45908</v>
      </c>
      <c r="I3913" s="115" t="str">
        <f>IFERROR(__xludf.DUMMYFUNCTION("""COMPUTED_VALUE"""),"12")</f>
        <v>12</v>
      </c>
      <c r="J3913" s="115" t="str">
        <f>IFERROR(__xludf.DUMMYFUNCTION("""COMPUTED_VALUE"""),"Parag Kashyap2025-09-0812")</f>
        <v>Parag Kashyap2025-09-0812</v>
      </c>
      <c r="K3913" s="115">
        <f>IFERROR(__xludf.DUMMYFUNCTION("""COMPUTED_VALUE"""),18301.0)</f>
        <v>18301</v>
      </c>
    </row>
    <row r="3914">
      <c r="A3914" s="115" t="str">
        <f>IFERROR(__xludf.DUMMYFUNCTION("""COMPUTED_VALUE"""),"EAST")</f>
        <v>EAST</v>
      </c>
      <c r="B3914" s="115" t="str">
        <f>IFERROR(__xludf.DUMMYFUNCTION("""COMPUTED_VALUE"""),"Parag Kashyap")</f>
        <v>Parag Kashyap</v>
      </c>
      <c r="C3914" s="115" t="str">
        <f>IFERROR(__xludf.DUMMYFUNCTION("""COMPUTED_VALUE"""),"FLIPKART")</f>
        <v>FLIPKART</v>
      </c>
      <c r="D3914" s="115">
        <f>IFERROR(__xludf.DUMMYFUNCTION("""COMPUTED_VALUE"""),302494.0)</f>
        <v>302494</v>
      </c>
      <c r="E3914" s="115">
        <f>IFERROR(__xludf.DUMMYFUNCTION("""COMPUTED_VALUE"""),15197.0)</f>
        <v>15197</v>
      </c>
      <c r="F3914" s="115">
        <f>IFERROR(__xludf.DUMMYFUNCTION("""COMPUTED_VALUE"""),55099.0)</f>
        <v>55099</v>
      </c>
      <c r="G3914" s="115">
        <f>IFERROR(__xludf.DUMMYFUNCTION("""COMPUTED_VALUE"""),470.0)</f>
        <v>470</v>
      </c>
      <c r="H3914" s="116">
        <f>IFERROR(__xludf.DUMMYFUNCTION("""COMPUTED_VALUE"""),45908.0)</f>
        <v>45908</v>
      </c>
      <c r="I3914" s="115" t="str">
        <f>IFERROR(__xludf.DUMMYFUNCTION("""COMPUTED_VALUE"""),"12")</f>
        <v>12</v>
      </c>
      <c r="J3914" s="115" t="str">
        <f>IFERROR(__xludf.DUMMYFUNCTION("""COMPUTED_VALUE"""),"Parag Kashyap2025-09-0812")</f>
        <v>Parag Kashyap2025-09-0812</v>
      </c>
      <c r="K3914" s="115">
        <f>IFERROR(__xludf.DUMMYFUNCTION("""COMPUTED_VALUE"""),317691.0)</f>
        <v>317691</v>
      </c>
    </row>
    <row r="3915">
      <c r="A3915" s="115" t="str">
        <f>IFERROR(__xludf.DUMMYFUNCTION("""COMPUTED_VALUE"""),"EAST")</f>
        <v>EAST</v>
      </c>
      <c r="B3915" s="115" t="str">
        <f>IFERROR(__xludf.DUMMYFUNCTION("""COMPUTED_VALUE"""),"Parag Kashyap")</f>
        <v>Parag Kashyap</v>
      </c>
      <c r="C3915" s="115" t="str">
        <f>IFERROR(__xludf.DUMMYFUNCTION("""COMPUTED_VALUE"""),"MYNTRA")</f>
        <v>MYNTRA</v>
      </c>
      <c r="D3915" s="115">
        <f>IFERROR(__xludf.DUMMYFUNCTION("""COMPUTED_VALUE"""),38489.0)</f>
        <v>38489</v>
      </c>
      <c r="E3915" s="115">
        <f>IFERROR(__xludf.DUMMYFUNCTION("""COMPUTED_VALUE"""),4167.0)</f>
        <v>4167</v>
      </c>
      <c r="F3915" s="115">
        <f>IFERROR(__xludf.DUMMYFUNCTION("""COMPUTED_VALUE"""),7818.0)</f>
        <v>7818</v>
      </c>
      <c r="G3915" s="115">
        <f>IFERROR(__xludf.DUMMYFUNCTION("""COMPUTED_VALUE"""),104.0)</f>
        <v>104</v>
      </c>
      <c r="H3915" s="116">
        <f>IFERROR(__xludf.DUMMYFUNCTION("""COMPUTED_VALUE"""),45908.0)</f>
        <v>45908</v>
      </c>
      <c r="I3915" s="115" t="str">
        <f>IFERROR(__xludf.DUMMYFUNCTION("""COMPUTED_VALUE"""),"12")</f>
        <v>12</v>
      </c>
      <c r="J3915" s="115" t="str">
        <f>IFERROR(__xludf.DUMMYFUNCTION("""COMPUTED_VALUE"""),"Parag Kashyap2025-09-0812")</f>
        <v>Parag Kashyap2025-09-0812</v>
      </c>
      <c r="K3915" s="115">
        <f>IFERROR(__xludf.DUMMYFUNCTION("""COMPUTED_VALUE"""),42656.0)</f>
        <v>42656</v>
      </c>
    </row>
    <row r="3916">
      <c r="A3916" s="115" t="str">
        <f>IFERROR(__xludf.DUMMYFUNCTION("""COMPUTED_VALUE"""),"NORTH")</f>
        <v>NORTH</v>
      </c>
      <c r="B3916" s="115" t="str">
        <f>IFERROR(__xludf.DUMMYFUNCTION("""COMPUTED_VALUE"""),"Amit Kumar Pathak")</f>
        <v>Amit Kumar Pathak</v>
      </c>
      <c r="C3916" s="115" t="str">
        <f>IFERROR(__xludf.DUMMYFUNCTION("""COMPUTED_VALUE"""),"EXTERNAL")</f>
        <v>EXTERNAL</v>
      </c>
      <c r="D3916" s="115">
        <f>IFERROR(__xludf.DUMMYFUNCTION("""COMPUTED_VALUE"""),25992.0)</f>
        <v>25992</v>
      </c>
      <c r="E3916" s="115">
        <f>IFERROR(__xludf.DUMMYFUNCTION("""COMPUTED_VALUE"""),3334.0)</f>
        <v>3334</v>
      </c>
      <c r="F3916" s="115">
        <f>IFERROR(__xludf.DUMMYFUNCTION("""COMPUTED_VALUE"""),3414.0)</f>
        <v>3414</v>
      </c>
      <c r="G3916" s="115">
        <f>IFERROR(__xludf.DUMMYFUNCTION("""COMPUTED_VALUE"""),368.0)</f>
        <v>368</v>
      </c>
      <c r="H3916" s="116">
        <f>IFERROR(__xludf.DUMMYFUNCTION("""COMPUTED_VALUE"""),45908.0)</f>
        <v>45908</v>
      </c>
      <c r="I3916" s="115" t="str">
        <f>IFERROR(__xludf.DUMMYFUNCTION("""COMPUTED_VALUE"""),"12")</f>
        <v>12</v>
      </c>
      <c r="J3916" s="115" t="str">
        <f>IFERROR(__xludf.DUMMYFUNCTION("""COMPUTED_VALUE"""),"Amit Kumar Pathak2025-09-0812")</f>
        <v>Amit Kumar Pathak2025-09-0812</v>
      </c>
      <c r="K3916" s="115">
        <f>IFERROR(__xludf.DUMMYFUNCTION("""COMPUTED_VALUE"""),29326.0)</f>
        <v>29326</v>
      </c>
    </row>
    <row r="3917">
      <c r="A3917" s="115" t="str">
        <f>IFERROR(__xludf.DUMMYFUNCTION("""COMPUTED_VALUE"""),"NORTH")</f>
        <v>NORTH</v>
      </c>
      <c r="B3917" s="115" t="str">
        <f>IFERROR(__xludf.DUMMYFUNCTION("""COMPUTED_VALUE"""),"Amit Kumar Pathak")</f>
        <v>Amit Kumar Pathak</v>
      </c>
      <c r="C3917" s="115" t="str">
        <f>IFERROR(__xludf.DUMMYFUNCTION("""COMPUTED_VALUE"""),"FLIPKART")</f>
        <v>FLIPKART</v>
      </c>
      <c r="D3917" s="115">
        <f>IFERROR(__xludf.DUMMYFUNCTION("""COMPUTED_VALUE"""),146343.0)</f>
        <v>146343</v>
      </c>
      <c r="E3917" s="115">
        <f>IFERROR(__xludf.DUMMYFUNCTION("""COMPUTED_VALUE"""),20901.0)</f>
        <v>20901</v>
      </c>
      <c r="F3917" s="115">
        <f>IFERROR(__xludf.DUMMYFUNCTION("""COMPUTED_VALUE"""),38278.0)</f>
        <v>38278</v>
      </c>
      <c r="G3917" s="115">
        <f>IFERROR(__xludf.DUMMYFUNCTION("""COMPUTED_VALUE"""),2893.0)</f>
        <v>2893</v>
      </c>
      <c r="H3917" s="116">
        <f>IFERROR(__xludf.DUMMYFUNCTION("""COMPUTED_VALUE"""),45908.0)</f>
        <v>45908</v>
      </c>
      <c r="I3917" s="115" t="str">
        <f>IFERROR(__xludf.DUMMYFUNCTION("""COMPUTED_VALUE"""),"12")</f>
        <v>12</v>
      </c>
      <c r="J3917" s="115" t="str">
        <f>IFERROR(__xludf.DUMMYFUNCTION("""COMPUTED_VALUE"""),"Amit Kumar Pathak2025-09-0812")</f>
        <v>Amit Kumar Pathak2025-09-0812</v>
      </c>
      <c r="K3917" s="115">
        <f>IFERROR(__xludf.DUMMYFUNCTION("""COMPUTED_VALUE"""),167244.0)</f>
        <v>167244</v>
      </c>
    </row>
    <row r="3918">
      <c r="A3918" s="115" t="str">
        <f>IFERROR(__xludf.DUMMYFUNCTION("""COMPUTED_VALUE"""),"NORTH")</f>
        <v>NORTH</v>
      </c>
      <c r="B3918" s="115" t="str">
        <f>IFERROR(__xludf.DUMMYFUNCTION("""COMPUTED_VALUE"""),"Amit Kumar Pathak")</f>
        <v>Amit Kumar Pathak</v>
      </c>
      <c r="C3918" s="115" t="str">
        <f>IFERROR(__xludf.DUMMYFUNCTION("""COMPUTED_VALUE"""),"MYNTRA")</f>
        <v>MYNTRA</v>
      </c>
      <c r="D3918" s="115">
        <f>IFERROR(__xludf.DUMMYFUNCTION("""COMPUTED_VALUE"""),15060.0)</f>
        <v>15060</v>
      </c>
      <c r="E3918" s="115">
        <f>IFERROR(__xludf.DUMMYFUNCTION("""COMPUTED_VALUE"""),5550.0)</f>
        <v>5550</v>
      </c>
      <c r="F3918" s="115">
        <f>IFERROR(__xludf.DUMMYFUNCTION("""COMPUTED_VALUE"""),4919.0)</f>
        <v>4919</v>
      </c>
      <c r="G3918" s="115">
        <f>IFERROR(__xludf.DUMMYFUNCTION("""COMPUTED_VALUE"""),1063.0)</f>
        <v>1063</v>
      </c>
      <c r="H3918" s="116">
        <f>IFERROR(__xludf.DUMMYFUNCTION("""COMPUTED_VALUE"""),45908.0)</f>
        <v>45908</v>
      </c>
      <c r="I3918" s="115" t="str">
        <f>IFERROR(__xludf.DUMMYFUNCTION("""COMPUTED_VALUE"""),"12")</f>
        <v>12</v>
      </c>
      <c r="J3918" s="115" t="str">
        <f>IFERROR(__xludf.DUMMYFUNCTION("""COMPUTED_VALUE"""),"Amit Kumar Pathak2025-09-0812")</f>
        <v>Amit Kumar Pathak2025-09-0812</v>
      </c>
      <c r="K3918" s="115">
        <f>IFERROR(__xludf.DUMMYFUNCTION("""COMPUTED_VALUE"""),20610.0)</f>
        <v>20610</v>
      </c>
    </row>
    <row r="3919">
      <c r="A3919" s="115" t="str">
        <f>IFERROR(__xludf.DUMMYFUNCTION("""COMPUTED_VALUE"""),"NORTH")</f>
        <v>NORTH</v>
      </c>
      <c r="B3919" s="115" t="str">
        <f>IFERROR(__xludf.DUMMYFUNCTION("""COMPUTED_VALUE"""),"Loveleen Singh")</f>
        <v>Loveleen Singh</v>
      </c>
      <c r="C3919" s="115" t="str">
        <f>IFERROR(__xludf.DUMMYFUNCTION("""COMPUTED_VALUE"""),"EXTERNAL")</f>
        <v>EXTERNAL</v>
      </c>
      <c r="D3919" s="115">
        <f>IFERROR(__xludf.DUMMYFUNCTION("""COMPUTED_VALUE"""),32497.0)</f>
        <v>32497</v>
      </c>
      <c r="E3919" s="115">
        <f>IFERROR(__xludf.DUMMYFUNCTION("""COMPUTED_VALUE"""),2146.0)</f>
        <v>2146</v>
      </c>
      <c r="F3919" s="115">
        <f>IFERROR(__xludf.DUMMYFUNCTION("""COMPUTED_VALUE"""),3611.0)</f>
        <v>3611</v>
      </c>
      <c r="G3919" s="115">
        <f>IFERROR(__xludf.DUMMYFUNCTION("""COMPUTED_VALUE"""),88.0)</f>
        <v>88</v>
      </c>
      <c r="H3919" s="116">
        <f>IFERROR(__xludf.DUMMYFUNCTION("""COMPUTED_VALUE"""),45908.0)</f>
        <v>45908</v>
      </c>
      <c r="I3919" s="115" t="str">
        <f>IFERROR(__xludf.DUMMYFUNCTION("""COMPUTED_VALUE"""),"12")</f>
        <v>12</v>
      </c>
      <c r="J3919" s="115" t="str">
        <f>IFERROR(__xludf.DUMMYFUNCTION("""COMPUTED_VALUE"""),"Loveleen Singh2025-09-0812")</f>
        <v>Loveleen Singh2025-09-0812</v>
      </c>
      <c r="K3919" s="115">
        <f>IFERROR(__xludf.DUMMYFUNCTION("""COMPUTED_VALUE"""),34643.0)</f>
        <v>34643</v>
      </c>
    </row>
    <row r="3920">
      <c r="A3920" s="115" t="str">
        <f>IFERROR(__xludf.DUMMYFUNCTION("""COMPUTED_VALUE"""),"NORTH")</f>
        <v>NORTH</v>
      </c>
      <c r="B3920" s="115" t="str">
        <f>IFERROR(__xludf.DUMMYFUNCTION("""COMPUTED_VALUE"""),"Loveleen Singh")</f>
        <v>Loveleen Singh</v>
      </c>
      <c r="C3920" s="115" t="str">
        <f>IFERROR(__xludf.DUMMYFUNCTION("""COMPUTED_VALUE"""),"FLIPKART")</f>
        <v>FLIPKART</v>
      </c>
      <c r="D3920" s="115">
        <f>IFERROR(__xludf.DUMMYFUNCTION("""COMPUTED_VALUE"""),160355.0)</f>
        <v>160355</v>
      </c>
      <c r="E3920" s="115">
        <f>IFERROR(__xludf.DUMMYFUNCTION("""COMPUTED_VALUE"""),12603.0)</f>
        <v>12603</v>
      </c>
      <c r="F3920" s="115">
        <f>IFERROR(__xludf.DUMMYFUNCTION("""COMPUTED_VALUE"""),34676.0)</f>
        <v>34676</v>
      </c>
      <c r="G3920" s="115">
        <f>IFERROR(__xludf.DUMMYFUNCTION("""COMPUTED_VALUE"""),899.0)</f>
        <v>899</v>
      </c>
      <c r="H3920" s="116">
        <f>IFERROR(__xludf.DUMMYFUNCTION("""COMPUTED_VALUE"""),45908.0)</f>
        <v>45908</v>
      </c>
      <c r="I3920" s="115" t="str">
        <f>IFERROR(__xludf.DUMMYFUNCTION("""COMPUTED_VALUE"""),"12")</f>
        <v>12</v>
      </c>
      <c r="J3920" s="115" t="str">
        <f>IFERROR(__xludf.DUMMYFUNCTION("""COMPUTED_VALUE"""),"Loveleen Singh2025-09-0812")</f>
        <v>Loveleen Singh2025-09-0812</v>
      </c>
      <c r="K3920" s="115">
        <f>IFERROR(__xludf.DUMMYFUNCTION("""COMPUTED_VALUE"""),172958.0)</f>
        <v>172958</v>
      </c>
    </row>
    <row r="3921">
      <c r="A3921" s="115" t="str">
        <f>IFERROR(__xludf.DUMMYFUNCTION("""COMPUTED_VALUE"""),"NORTH")</f>
        <v>NORTH</v>
      </c>
      <c r="B3921" s="115" t="str">
        <f>IFERROR(__xludf.DUMMYFUNCTION("""COMPUTED_VALUE"""),"Loveleen Singh")</f>
        <v>Loveleen Singh</v>
      </c>
      <c r="C3921" s="115" t="str">
        <f>IFERROR(__xludf.DUMMYFUNCTION("""COMPUTED_VALUE"""),"MYNTRA")</f>
        <v>MYNTRA</v>
      </c>
      <c r="D3921" s="115">
        <f>IFERROR(__xludf.DUMMYFUNCTION("""COMPUTED_VALUE"""),29859.0)</f>
        <v>29859</v>
      </c>
      <c r="E3921" s="115">
        <f>IFERROR(__xludf.DUMMYFUNCTION("""COMPUTED_VALUE"""),5245.0)</f>
        <v>5245</v>
      </c>
      <c r="F3921" s="115">
        <f>IFERROR(__xludf.DUMMYFUNCTION("""COMPUTED_VALUE"""),7890.0)</f>
        <v>7890</v>
      </c>
      <c r="G3921" s="115">
        <f>IFERROR(__xludf.DUMMYFUNCTION("""COMPUTED_VALUE"""),421.0)</f>
        <v>421</v>
      </c>
      <c r="H3921" s="116">
        <f>IFERROR(__xludf.DUMMYFUNCTION("""COMPUTED_VALUE"""),45908.0)</f>
        <v>45908</v>
      </c>
      <c r="I3921" s="115" t="str">
        <f>IFERROR(__xludf.DUMMYFUNCTION("""COMPUTED_VALUE"""),"12")</f>
        <v>12</v>
      </c>
      <c r="J3921" s="115" t="str">
        <f>IFERROR(__xludf.DUMMYFUNCTION("""COMPUTED_VALUE"""),"Loveleen Singh2025-09-0812")</f>
        <v>Loveleen Singh2025-09-0812</v>
      </c>
      <c r="K3921" s="115">
        <f>IFERROR(__xludf.DUMMYFUNCTION("""COMPUTED_VALUE"""),35104.0)</f>
        <v>35104</v>
      </c>
    </row>
    <row r="3922">
      <c r="A3922" s="115" t="str">
        <f>IFERROR(__xludf.DUMMYFUNCTION("""COMPUTED_VALUE"""),"NORTH")</f>
        <v>NORTH</v>
      </c>
      <c r="B3922" s="115" t="str">
        <f>IFERROR(__xludf.DUMMYFUNCTION("""COMPUTED_VALUE"""),"Manoj Harsh")</f>
        <v>Manoj Harsh</v>
      </c>
      <c r="C3922" s="115" t="str">
        <f>IFERROR(__xludf.DUMMYFUNCTION("""COMPUTED_VALUE"""),"EXTERNAL")</f>
        <v>EXTERNAL</v>
      </c>
      <c r="D3922" s="115">
        <f>IFERROR(__xludf.DUMMYFUNCTION("""COMPUTED_VALUE"""),34289.0)</f>
        <v>34289</v>
      </c>
      <c r="E3922" s="115">
        <f>IFERROR(__xludf.DUMMYFUNCTION("""COMPUTED_VALUE"""),2596.0)</f>
        <v>2596</v>
      </c>
      <c r="F3922" s="115">
        <f>IFERROR(__xludf.DUMMYFUNCTION("""COMPUTED_VALUE"""),4138.0)</f>
        <v>4138</v>
      </c>
      <c r="G3922" s="115">
        <f>IFERROR(__xludf.DUMMYFUNCTION("""COMPUTED_VALUE"""),89.0)</f>
        <v>89</v>
      </c>
      <c r="H3922" s="116">
        <f>IFERROR(__xludf.DUMMYFUNCTION("""COMPUTED_VALUE"""),45908.0)</f>
        <v>45908</v>
      </c>
      <c r="I3922" s="115" t="str">
        <f>IFERROR(__xludf.DUMMYFUNCTION("""COMPUTED_VALUE"""),"12")</f>
        <v>12</v>
      </c>
      <c r="J3922" s="115" t="str">
        <f>IFERROR(__xludf.DUMMYFUNCTION("""COMPUTED_VALUE"""),"Manoj Harsh2025-09-0812")</f>
        <v>Manoj Harsh2025-09-0812</v>
      </c>
      <c r="K3922" s="115">
        <f>IFERROR(__xludf.DUMMYFUNCTION("""COMPUTED_VALUE"""),36885.0)</f>
        <v>36885</v>
      </c>
    </row>
    <row r="3923">
      <c r="A3923" s="115" t="str">
        <f>IFERROR(__xludf.DUMMYFUNCTION("""COMPUTED_VALUE"""),"NORTH")</f>
        <v>NORTH</v>
      </c>
      <c r="B3923" s="115" t="str">
        <f>IFERROR(__xludf.DUMMYFUNCTION("""COMPUTED_VALUE"""),"Manoj Harsh")</f>
        <v>Manoj Harsh</v>
      </c>
      <c r="C3923" s="115" t="str">
        <f>IFERROR(__xludf.DUMMYFUNCTION("""COMPUTED_VALUE"""),"FLIPKART")</f>
        <v>FLIPKART</v>
      </c>
      <c r="D3923" s="115">
        <f>IFERROR(__xludf.DUMMYFUNCTION("""COMPUTED_VALUE"""),355991.0)</f>
        <v>355991</v>
      </c>
      <c r="E3923" s="115">
        <f>IFERROR(__xludf.DUMMYFUNCTION("""COMPUTED_VALUE"""),34526.0)</f>
        <v>34526</v>
      </c>
      <c r="F3923" s="115">
        <f>IFERROR(__xludf.DUMMYFUNCTION("""COMPUTED_VALUE"""),77066.0)</f>
        <v>77066</v>
      </c>
      <c r="G3923" s="115">
        <f>IFERROR(__xludf.DUMMYFUNCTION("""COMPUTED_VALUE"""),2164.0)</f>
        <v>2164</v>
      </c>
      <c r="H3923" s="116">
        <f>IFERROR(__xludf.DUMMYFUNCTION("""COMPUTED_VALUE"""),45908.0)</f>
        <v>45908</v>
      </c>
      <c r="I3923" s="115" t="str">
        <f>IFERROR(__xludf.DUMMYFUNCTION("""COMPUTED_VALUE"""),"12")</f>
        <v>12</v>
      </c>
      <c r="J3923" s="115" t="str">
        <f>IFERROR(__xludf.DUMMYFUNCTION("""COMPUTED_VALUE"""),"Manoj Harsh2025-09-0812")</f>
        <v>Manoj Harsh2025-09-0812</v>
      </c>
      <c r="K3923" s="115">
        <f>IFERROR(__xludf.DUMMYFUNCTION("""COMPUTED_VALUE"""),390517.0)</f>
        <v>390517</v>
      </c>
    </row>
    <row r="3924">
      <c r="A3924" s="115" t="str">
        <f>IFERROR(__xludf.DUMMYFUNCTION("""COMPUTED_VALUE"""),"NORTH")</f>
        <v>NORTH</v>
      </c>
      <c r="B3924" s="115" t="str">
        <f>IFERROR(__xludf.DUMMYFUNCTION("""COMPUTED_VALUE"""),"Manoj Harsh")</f>
        <v>Manoj Harsh</v>
      </c>
      <c r="C3924" s="115" t="str">
        <f>IFERROR(__xludf.DUMMYFUNCTION("""COMPUTED_VALUE"""),"MYNTRA")</f>
        <v>MYNTRA</v>
      </c>
      <c r="D3924" s="115">
        <f>IFERROR(__xludf.DUMMYFUNCTION("""COMPUTED_VALUE"""),36751.0)</f>
        <v>36751</v>
      </c>
      <c r="E3924" s="115">
        <f>IFERROR(__xludf.DUMMYFUNCTION("""COMPUTED_VALUE"""),6662.0)</f>
        <v>6662</v>
      </c>
      <c r="F3924" s="115">
        <f>IFERROR(__xludf.DUMMYFUNCTION("""COMPUTED_VALUE"""),9684.0)</f>
        <v>9684</v>
      </c>
      <c r="G3924" s="115">
        <f>IFERROR(__xludf.DUMMYFUNCTION("""COMPUTED_VALUE"""),494.0)</f>
        <v>494</v>
      </c>
      <c r="H3924" s="116">
        <f>IFERROR(__xludf.DUMMYFUNCTION("""COMPUTED_VALUE"""),45908.0)</f>
        <v>45908</v>
      </c>
      <c r="I3924" s="115" t="str">
        <f>IFERROR(__xludf.DUMMYFUNCTION("""COMPUTED_VALUE"""),"12")</f>
        <v>12</v>
      </c>
      <c r="J3924" s="115" t="str">
        <f>IFERROR(__xludf.DUMMYFUNCTION("""COMPUTED_VALUE"""),"Manoj Harsh2025-09-0812")</f>
        <v>Manoj Harsh2025-09-0812</v>
      </c>
      <c r="K3924" s="115">
        <f>IFERROR(__xludf.DUMMYFUNCTION("""COMPUTED_VALUE"""),43413.0)</f>
        <v>43413</v>
      </c>
    </row>
    <row r="3925">
      <c r="A3925" s="115" t="str">
        <f>IFERROR(__xludf.DUMMYFUNCTION("""COMPUTED_VALUE"""),"NORTH")</f>
        <v>NORTH</v>
      </c>
      <c r="B3925" s="115" t="str">
        <f>IFERROR(__xludf.DUMMYFUNCTION("""COMPUTED_VALUE"""),"Pradeep Kothari")</f>
        <v>Pradeep Kothari</v>
      </c>
      <c r="C3925" s="115" t="str">
        <f>IFERROR(__xludf.DUMMYFUNCTION("""COMPUTED_VALUE"""),"EXTERNAL")</f>
        <v>EXTERNAL</v>
      </c>
      <c r="D3925" s="115">
        <f>IFERROR(__xludf.DUMMYFUNCTION("""COMPUTED_VALUE"""),19632.0)</f>
        <v>19632</v>
      </c>
      <c r="E3925" s="115">
        <f>IFERROR(__xludf.DUMMYFUNCTION("""COMPUTED_VALUE"""),1884.0)</f>
        <v>1884</v>
      </c>
      <c r="F3925" s="115">
        <f>IFERROR(__xludf.DUMMYFUNCTION("""COMPUTED_VALUE"""),3090.0)</f>
        <v>3090</v>
      </c>
      <c r="G3925" s="115">
        <f>IFERROR(__xludf.DUMMYFUNCTION("""COMPUTED_VALUE"""),127.0)</f>
        <v>127</v>
      </c>
      <c r="H3925" s="116">
        <f>IFERROR(__xludf.DUMMYFUNCTION("""COMPUTED_VALUE"""),45908.0)</f>
        <v>45908</v>
      </c>
      <c r="I3925" s="115" t="str">
        <f>IFERROR(__xludf.DUMMYFUNCTION("""COMPUTED_VALUE"""),"12")</f>
        <v>12</v>
      </c>
      <c r="J3925" s="115" t="str">
        <f>IFERROR(__xludf.DUMMYFUNCTION("""COMPUTED_VALUE"""),"Pradeep Kothari2025-09-0812")</f>
        <v>Pradeep Kothari2025-09-0812</v>
      </c>
      <c r="K3925" s="115">
        <f>IFERROR(__xludf.DUMMYFUNCTION("""COMPUTED_VALUE"""),21516.0)</f>
        <v>21516</v>
      </c>
    </row>
    <row r="3926">
      <c r="A3926" s="115" t="str">
        <f>IFERROR(__xludf.DUMMYFUNCTION("""COMPUTED_VALUE"""),"NORTH")</f>
        <v>NORTH</v>
      </c>
      <c r="B3926" s="115" t="str">
        <f>IFERROR(__xludf.DUMMYFUNCTION("""COMPUTED_VALUE"""),"Pradeep Kothari")</f>
        <v>Pradeep Kothari</v>
      </c>
      <c r="C3926" s="115" t="str">
        <f>IFERROR(__xludf.DUMMYFUNCTION("""COMPUTED_VALUE"""),"FLIPKART")</f>
        <v>FLIPKART</v>
      </c>
      <c r="D3926" s="115">
        <f>IFERROR(__xludf.DUMMYFUNCTION("""COMPUTED_VALUE"""),130836.0)</f>
        <v>130836</v>
      </c>
      <c r="E3926" s="115">
        <f>IFERROR(__xludf.DUMMYFUNCTION("""COMPUTED_VALUE"""),15858.0)</f>
        <v>15858</v>
      </c>
      <c r="F3926" s="115">
        <f>IFERROR(__xludf.DUMMYFUNCTION("""COMPUTED_VALUE"""),39117.0)</f>
        <v>39117</v>
      </c>
      <c r="G3926" s="115">
        <f>IFERROR(__xludf.DUMMYFUNCTION("""COMPUTED_VALUE"""),1768.0)</f>
        <v>1768</v>
      </c>
      <c r="H3926" s="116">
        <f>IFERROR(__xludf.DUMMYFUNCTION("""COMPUTED_VALUE"""),45908.0)</f>
        <v>45908</v>
      </c>
      <c r="I3926" s="115" t="str">
        <f>IFERROR(__xludf.DUMMYFUNCTION("""COMPUTED_VALUE"""),"12")</f>
        <v>12</v>
      </c>
      <c r="J3926" s="115" t="str">
        <f>IFERROR(__xludf.DUMMYFUNCTION("""COMPUTED_VALUE"""),"Pradeep Kothari2025-09-0812")</f>
        <v>Pradeep Kothari2025-09-0812</v>
      </c>
      <c r="K3926" s="115">
        <f>IFERROR(__xludf.DUMMYFUNCTION("""COMPUTED_VALUE"""),146694.0)</f>
        <v>146694</v>
      </c>
    </row>
    <row r="3927">
      <c r="A3927" s="115" t="str">
        <f>IFERROR(__xludf.DUMMYFUNCTION("""COMPUTED_VALUE"""),"NORTH")</f>
        <v>NORTH</v>
      </c>
      <c r="B3927" s="115" t="str">
        <f>IFERROR(__xludf.DUMMYFUNCTION("""COMPUTED_VALUE"""),"Pradeep Kothari")</f>
        <v>Pradeep Kothari</v>
      </c>
      <c r="C3927" s="115" t="str">
        <f>IFERROR(__xludf.DUMMYFUNCTION("""COMPUTED_VALUE"""),"MYNTRA")</f>
        <v>MYNTRA</v>
      </c>
      <c r="D3927" s="115">
        <f>IFERROR(__xludf.DUMMYFUNCTION("""COMPUTED_VALUE"""),26548.0)</f>
        <v>26548</v>
      </c>
      <c r="E3927" s="115">
        <f>IFERROR(__xludf.DUMMYFUNCTION("""COMPUTED_VALUE"""),6029.0)</f>
        <v>6029</v>
      </c>
      <c r="F3927" s="115">
        <f>IFERROR(__xludf.DUMMYFUNCTION("""COMPUTED_VALUE"""),10635.0)</f>
        <v>10635</v>
      </c>
      <c r="G3927" s="115">
        <f>IFERROR(__xludf.DUMMYFUNCTION("""COMPUTED_VALUE"""),924.0)</f>
        <v>924</v>
      </c>
      <c r="H3927" s="116">
        <f>IFERROR(__xludf.DUMMYFUNCTION("""COMPUTED_VALUE"""),45908.0)</f>
        <v>45908</v>
      </c>
      <c r="I3927" s="115" t="str">
        <f>IFERROR(__xludf.DUMMYFUNCTION("""COMPUTED_VALUE"""),"12")</f>
        <v>12</v>
      </c>
      <c r="J3927" s="115" t="str">
        <f>IFERROR(__xludf.DUMMYFUNCTION("""COMPUTED_VALUE"""),"Pradeep Kothari2025-09-0812")</f>
        <v>Pradeep Kothari2025-09-0812</v>
      </c>
      <c r="K3927" s="115">
        <f>IFERROR(__xludf.DUMMYFUNCTION("""COMPUTED_VALUE"""),32577.0)</f>
        <v>32577</v>
      </c>
    </row>
    <row r="3928">
      <c r="A3928" s="115" t="str">
        <f>IFERROR(__xludf.DUMMYFUNCTION("""COMPUTED_VALUE"""),"SOUTH")</f>
        <v>SOUTH</v>
      </c>
      <c r="B3928" s="115" t="str">
        <f>IFERROR(__xludf.DUMMYFUNCTION("""COMPUTED_VALUE"""),"Kandula Sampath")</f>
        <v>Kandula Sampath</v>
      </c>
      <c r="C3928" s="115" t="str">
        <f>IFERROR(__xludf.DUMMYFUNCTION("""COMPUTED_VALUE"""),"EXTERNAL")</f>
        <v>EXTERNAL</v>
      </c>
      <c r="D3928" s="115">
        <f>IFERROR(__xludf.DUMMYFUNCTION("""COMPUTED_VALUE"""),34864.0)</f>
        <v>34864</v>
      </c>
      <c r="E3928" s="115">
        <f>IFERROR(__xludf.DUMMYFUNCTION("""COMPUTED_VALUE"""),3626.0)</f>
        <v>3626</v>
      </c>
      <c r="F3928" s="115">
        <f>IFERROR(__xludf.DUMMYFUNCTION("""COMPUTED_VALUE"""),5855.0)</f>
        <v>5855</v>
      </c>
      <c r="G3928" s="115">
        <f>IFERROR(__xludf.DUMMYFUNCTION("""COMPUTED_VALUE"""),160.0)</f>
        <v>160</v>
      </c>
      <c r="H3928" s="116">
        <f>IFERROR(__xludf.DUMMYFUNCTION("""COMPUTED_VALUE"""),45908.0)</f>
        <v>45908</v>
      </c>
      <c r="I3928" s="115" t="str">
        <f>IFERROR(__xludf.DUMMYFUNCTION("""COMPUTED_VALUE"""),"12")</f>
        <v>12</v>
      </c>
      <c r="J3928" s="115" t="str">
        <f>IFERROR(__xludf.DUMMYFUNCTION("""COMPUTED_VALUE"""),"Kandula Sampath2025-09-0812")</f>
        <v>Kandula Sampath2025-09-0812</v>
      </c>
      <c r="K3928" s="115">
        <f>IFERROR(__xludf.DUMMYFUNCTION("""COMPUTED_VALUE"""),38490.0)</f>
        <v>38490</v>
      </c>
    </row>
    <row r="3929">
      <c r="A3929" s="115" t="str">
        <f>IFERROR(__xludf.DUMMYFUNCTION("""COMPUTED_VALUE"""),"SOUTH")</f>
        <v>SOUTH</v>
      </c>
      <c r="B3929" s="115" t="str">
        <f>IFERROR(__xludf.DUMMYFUNCTION("""COMPUTED_VALUE"""),"Kandula Sampath")</f>
        <v>Kandula Sampath</v>
      </c>
      <c r="C3929" s="115" t="str">
        <f>IFERROR(__xludf.DUMMYFUNCTION("""COMPUTED_VALUE"""),"FLIPKART")</f>
        <v>FLIPKART</v>
      </c>
      <c r="D3929" s="115">
        <f>IFERROR(__xludf.DUMMYFUNCTION("""COMPUTED_VALUE"""),330630.0)</f>
        <v>330630</v>
      </c>
      <c r="E3929" s="115">
        <f>IFERROR(__xludf.DUMMYFUNCTION("""COMPUTED_VALUE"""),29016.0)</f>
        <v>29016</v>
      </c>
      <c r="F3929" s="115">
        <f>IFERROR(__xludf.DUMMYFUNCTION("""COMPUTED_VALUE"""),97525.0)</f>
        <v>97525</v>
      </c>
      <c r="G3929" s="115">
        <f>IFERROR(__xludf.DUMMYFUNCTION("""COMPUTED_VALUE"""),2008.0)</f>
        <v>2008</v>
      </c>
      <c r="H3929" s="116">
        <f>IFERROR(__xludf.DUMMYFUNCTION("""COMPUTED_VALUE"""),45908.0)</f>
        <v>45908</v>
      </c>
      <c r="I3929" s="115" t="str">
        <f>IFERROR(__xludf.DUMMYFUNCTION("""COMPUTED_VALUE"""),"12")</f>
        <v>12</v>
      </c>
      <c r="J3929" s="115" t="str">
        <f>IFERROR(__xludf.DUMMYFUNCTION("""COMPUTED_VALUE"""),"Kandula Sampath2025-09-0812")</f>
        <v>Kandula Sampath2025-09-0812</v>
      </c>
      <c r="K3929" s="115">
        <f>IFERROR(__xludf.DUMMYFUNCTION("""COMPUTED_VALUE"""),359646.0)</f>
        <v>359646</v>
      </c>
    </row>
    <row r="3930">
      <c r="A3930" s="115" t="str">
        <f>IFERROR(__xludf.DUMMYFUNCTION("""COMPUTED_VALUE"""),"SOUTH")</f>
        <v>SOUTH</v>
      </c>
      <c r="B3930" s="115" t="str">
        <f>IFERROR(__xludf.DUMMYFUNCTION("""COMPUTED_VALUE"""),"Kandula Sampath")</f>
        <v>Kandula Sampath</v>
      </c>
      <c r="C3930" s="115" t="str">
        <f>IFERROR(__xludf.DUMMYFUNCTION("""COMPUTED_VALUE"""),"MYNTRA")</f>
        <v>MYNTRA</v>
      </c>
      <c r="D3930" s="115">
        <f>IFERROR(__xludf.DUMMYFUNCTION("""COMPUTED_VALUE"""),39217.0)</f>
        <v>39217</v>
      </c>
      <c r="E3930" s="115">
        <f>IFERROR(__xludf.DUMMYFUNCTION("""COMPUTED_VALUE"""),8298.0)</f>
        <v>8298</v>
      </c>
      <c r="F3930" s="115">
        <f>IFERROR(__xludf.DUMMYFUNCTION("""COMPUTED_VALUE"""),13437.0)</f>
        <v>13437</v>
      </c>
      <c r="G3930" s="115">
        <f>IFERROR(__xludf.DUMMYFUNCTION("""COMPUTED_VALUE"""),678.0)</f>
        <v>678</v>
      </c>
      <c r="H3930" s="116">
        <f>IFERROR(__xludf.DUMMYFUNCTION("""COMPUTED_VALUE"""),45908.0)</f>
        <v>45908</v>
      </c>
      <c r="I3930" s="115" t="str">
        <f>IFERROR(__xludf.DUMMYFUNCTION("""COMPUTED_VALUE"""),"12")</f>
        <v>12</v>
      </c>
      <c r="J3930" s="115" t="str">
        <f>IFERROR(__xludf.DUMMYFUNCTION("""COMPUTED_VALUE"""),"Kandula Sampath2025-09-0812")</f>
        <v>Kandula Sampath2025-09-0812</v>
      </c>
      <c r="K3930" s="115">
        <f>IFERROR(__xludf.DUMMYFUNCTION("""COMPUTED_VALUE"""),47515.0)</f>
        <v>47515</v>
      </c>
    </row>
    <row r="3931">
      <c r="A3931" s="115" t="str">
        <f>IFERROR(__xludf.DUMMYFUNCTION("""COMPUTED_VALUE"""),"SOUTH")</f>
        <v>SOUTH</v>
      </c>
      <c r="B3931" s="115" t="str">
        <f>IFERROR(__xludf.DUMMYFUNCTION("""COMPUTED_VALUE"""),"Martin A")</f>
        <v>Martin A</v>
      </c>
      <c r="C3931" s="115" t="str">
        <f>IFERROR(__xludf.DUMMYFUNCTION("""COMPUTED_VALUE"""),"EXTERNAL")</f>
        <v>EXTERNAL</v>
      </c>
      <c r="D3931" s="115">
        <f>IFERROR(__xludf.DUMMYFUNCTION("""COMPUTED_VALUE"""),31431.0)</f>
        <v>31431</v>
      </c>
      <c r="E3931" s="115">
        <f>IFERROR(__xludf.DUMMYFUNCTION("""COMPUTED_VALUE"""),3746.0)</f>
        <v>3746</v>
      </c>
      <c r="F3931" s="115">
        <f>IFERROR(__xludf.DUMMYFUNCTION("""COMPUTED_VALUE"""),5149.0)</f>
        <v>5149</v>
      </c>
      <c r="G3931" s="115">
        <f>IFERROR(__xludf.DUMMYFUNCTION("""COMPUTED_VALUE"""),370.0)</f>
        <v>370</v>
      </c>
      <c r="H3931" s="116">
        <f>IFERROR(__xludf.DUMMYFUNCTION("""COMPUTED_VALUE"""),45908.0)</f>
        <v>45908</v>
      </c>
      <c r="I3931" s="115" t="str">
        <f>IFERROR(__xludf.DUMMYFUNCTION("""COMPUTED_VALUE"""),"12")</f>
        <v>12</v>
      </c>
      <c r="J3931" s="115" t="str">
        <f>IFERROR(__xludf.DUMMYFUNCTION("""COMPUTED_VALUE"""),"Martin A2025-09-0812")</f>
        <v>Martin A2025-09-0812</v>
      </c>
      <c r="K3931" s="115">
        <f>IFERROR(__xludf.DUMMYFUNCTION("""COMPUTED_VALUE"""),35177.0)</f>
        <v>35177</v>
      </c>
    </row>
    <row r="3932">
      <c r="A3932" s="115" t="str">
        <f>IFERROR(__xludf.DUMMYFUNCTION("""COMPUTED_VALUE"""),"SOUTH")</f>
        <v>SOUTH</v>
      </c>
      <c r="B3932" s="115" t="str">
        <f>IFERROR(__xludf.DUMMYFUNCTION("""COMPUTED_VALUE"""),"Martin A")</f>
        <v>Martin A</v>
      </c>
      <c r="C3932" s="115" t="str">
        <f>IFERROR(__xludf.DUMMYFUNCTION("""COMPUTED_VALUE"""),"FLIPKART")</f>
        <v>FLIPKART</v>
      </c>
      <c r="D3932" s="115">
        <f>IFERROR(__xludf.DUMMYFUNCTION("""COMPUTED_VALUE"""),260011.0)</f>
        <v>260011</v>
      </c>
      <c r="E3932" s="115">
        <f>IFERROR(__xludf.DUMMYFUNCTION("""COMPUTED_VALUE"""),24446.0)</f>
        <v>24446</v>
      </c>
      <c r="F3932" s="115">
        <f>IFERROR(__xludf.DUMMYFUNCTION("""COMPUTED_VALUE"""),74333.0)</f>
        <v>74333</v>
      </c>
      <c r="G3932" s="115">
        <f>IFERROR(__xludf.DUMMYFUNCTION("""COMPUTED_VALUE"""),2206.0)</f>
        <v>2206</v>
      </c>
      <c r="H3932" s="116">
        <f>IFERROR(__xludf.DUMMYFUNCTION("""COMPUTED_VALUE"""),45908.0)</f>
        <v>45908</v>
      </c>
      <c r="I3932" s="115" t="str">
        <f>IFERROR(__xludf.DUMMYFUNCTION("""COMPUTED_VALUE"""),"12")</f>
        <v>12</v>
      </c>
      <c r="J3932" s="115" t="str">
        <f>IFERROR(__xludf.DUMMYFUNCTION("""COMPUTED_VALUE"""),"Martin A2025-09-0812")</f>
        <v>Martin A2025-09-0812</v>
      </c>
      <c r="K3932" s="115">
        <f>IFERROR(__xludf.DUMMYFUNCTION("""COMPUTED_VALUE"""),284457.0)</f>
        <v>284457</v>
      </c>
    </row>
    <row r="3933">
      <c r="A3933" s="115" t="str">
        <f>IFERROR(__xludf.DUMMYFUNCTION("""COMPUTED_VALUE"""),"SOUTH")</f>
        <v>SOUTH</v>
      </c>
      <c r="B3933" s="115" t="str">
        <f>IFERROR(__xludf.DUMMYFUNCTION("""COMPUTED_VALUE"""),"Martin A")</f>
        <v>Martin A</v>
      </c>
      <c r="C3933" s="115" t="str">
        <f>IFERROR(__xludf.DUMMYFUNCTION("""COMPUTED_VALUE"""),"MYNTRA")</f>
        <v>MYNTRA</v>
      </c>
      <c r="D3933" s="115">
        <f>IFERROR(__xludf.DUMMYFUNCTION("""COMPUTED_VALUE"""),26162.0)</f>
        <v>26162</v>
      </c>
      <c r="E3933" s="115">
        <f>IFERROR(__xludf.DUMMYFUNCTION("""COMPUTED_VALUE"""),6670.0)</f>
        <v>6670</v>
      </c>
      <c r="F3933" s="115">
        <f>IFERROR(__xludf.DUMMYFUNCTION("""COMPUTED_VALUE"""),9055.0)</f>
        <v>9055</v>
      </c>
      <c r="G3933" s="115">
        <f>IFERROR(__xludf.DUMMYFUNCTION("""COMPUTED_VALUE"""),676.0)</f>
        <v>676</v>
      </c>
      <c r="H3933" s="116">
        <f>IFERROR(__xludf.DUMMYFUNCTION("""COMPUTED_VALUE"""),45908.0)</f>
        <v>45908</v>
      </c>
      <c r="I3933" s="115" t="str">
        <f>IFERROR(__xludf.DUMMYFUNCTION("""COMPUTED_VALUE"""),"12")</f>
        <v>12</v>
      </c>
      <c r="J3933" s="115" t="str">
        <f>IFERROR(__xludf.DUMMYFUNCTION("""COMPUTED_VALUE"""),"Martin A2025-09-0812")</f>
        <v>Martin A2025-09-0812</v>
      </c>
      <c r="K3933" s="115">
        <f>IFERROR(__xludf.DUMMYFUNCTION("""COMPUTED_VALUE"""),32832.0)</f>
        <v>32832</v>
      </c>
    </row>
    <row r="3934">
      <c r="A3934" s="115" t="str">
        <f>IFERROR(__xludf.DUMMYFUNCTION("""COMPUTED_VALUE"""),"SOUTH")</f>
        <v>SOUTH</v>
      </c>
      <c r="B3934" s="115" t="str">
        <f>IFERROR(__xludf.DUMMYFUNCTION("""COMPUTED_VALUE"""),"Premkumar M")</f>
        <v>Premkumar M</v>
      </c>
      <c r="C3934" s="115" t="str">
        <f>IFERROR(__xludf.DUMMYFUNCTION("""COMPUTED_VALUE"""),"EXTERNAL")</f>
        <v>EXTERNAL</v>
      </c>
      <c r="D3934" s="115">
        <f>IFERROR(__xludf.DUMMYFUNCTION("""COMPUTED_VALUE"""),25978.0)</f>
        <v>25978</v>
      </c>
      <c r="E3934" s="115">
        <f>IFERROR(__xludf.DUMMYFUNCTION("""COMPUTED_VALUE"""),1372.0)</f>
        <v>1372</v>
      </c>
      <c r="F3934" s="115">
        <f>IFERROR(__xludf.DUMMYFUNCTION("""COMPUTED_VALUE"""),2907.0)</f>
        <v>2907</v>
      </c>
      <c r="G3934" s="115">
        <f>IFERROR(__xludf.DUMMYFUNCTION("""COMPUTED_VALUE"""),19.0)</f>
        <v>19</v>
      </c>
      <c r="H3934" s="116">
        <f>IFERROR(__xludf.DUMMYFUNCTION("""COMPUTED_VALUE"""),45908.0)</f>
        <v>45908</v>
      </c>
      <c r="I3934" s="115" t="str">
        <f>IFERROR(__xludf.DUMMYFUNCTION("""COMPUTED_VALUE"""),"12")</f>
        <v>12</v>
      </c>
      <c r="J3934" s="115" t="str">
        <f>IFERROR(__xludf.DUMMYFUNCTION("""COMPUTED_VALUE"""),"Premkumar M2025-09-0812")</f>
        <v>Premkumar M2025-09-0812</v>
      </c>
      <c r="K3934" s="115">
        <f>IFERROR(__xludf.DUMMYFUNCTION("""COMPUTED_VALUE"""),27350.0)</f>
        <v>27350</v>
      </c>
    </row>
    <row r="3935">
      <c r="A3935" s="115" t="str">
        <f>IFERROR(__xludf.DUMMYFUNCTION("""COMPUTED_VALUE"""),"SOUTH")</f>
        <v>SOUTH</v>
      </c>
      <c r="B3935" s="115" t="str">
        <f>IFERROR(__xludf.DUMMYFUNCTION("""COMPUTED_VALUE"""),"Premkumar M")</f>
        <v>Premkumar M</v>
      </c>
      <c r="C3935" s="115" t="str">
        <f>IFERROR(__xludf.DUMMYFUNCTION("""COMPUTED_VALUE"""),"FLIPKART")</f>
        <v>FLIPKART</v>
      </c>
      <c r="D3935" s="115">
        <f>IFERROR(__xludf.DUMMYFUNCTION("""COMPUTED_VALUE"""),243638.0)</f>
        <v>243638</v>
      </c>
      <c r="E3935" s="115">
        <f>IFERROR(__xludf.DUMMYFUNCTION("""COMPUTED_VALUE"""),14254.0)</f>
        <v>14254</v>
      </c>
      <c r="F3935" s="115">
        <f>IFERROR(__xludf.DUMMYFUNCTION("""COMPUTED_VALUE"""),42209.0)</f>
        <v>42209</v>
      </c>
      <c r="G3935" s="115">
        <f>IFERROR(__xludf.DUMMYFUNCTION("""COMPUTED_VALUE"""),379.0)</f>
        <v>379</v>
      </c>
      <c r="H3935" s="116">
        <f>IFERROR(__xludf.DUMMYFUNCTION("""COMPUTED_VALUE"""),45908.0)</f>
        <v>45908</v>
      </c>
      <c r="I3935" s="115" t="str">
        <f>IFERROR(__xludf.DUMMYFUNCTION("""COMPUTED_VALUE"""),"12")</f>
        <v>12</v>
      </c>
      <c r="J3935" s="115" t="str">
        <f>IFERROR(__xludf.DUMMYFUNCTION("""COMPUTED_VALUE"""),"Premkumar M2025-09-0812")</f>
        <v>Premkumar M2025-09-0812</v>
      </c>
      <c r="K3935" s="115">
        <f>IFERROR(__xludf.DUMMYFUNCTION("""COMPUTED_VALUE"""),257892.0)</f>
        <v>257892</v>
      </c>
    </row>
    <row r="3936">
      <c r="A3936" s="115" t="str">
        <f>IFERROR(__xludf.DUMMYFUNCTION("""COMPUTED_VALUE"""),"SOUTH")</f>
        <v>SOUTH</v>
      </c>
      <c r="B3936" s="115" t="str">
        <f>IFERROR(__xludf.DUMMYFUNCTION("""COMPUTED_VALUE"""),"Premkumar M")</f>
        <v>Premkumar M</v>
      </c>
      <c r="C3936" s="115" t="str">
        <f>IFERROR(__xludf.DUMMYFUNCTION("""COMPUTED_VALUE"""),"MYNTRA")</f>
        <v>MYNTRA</v>
      </c>
      <c r="D3936" s="115">
        <f>IFERROR(__xludf.DUMMYFUNCTION("""COMPUTED_VALUE"""),13816.0)</f>
        <v>13816</v>
      </c>
      <c r="E3936" s="115">
        <f>IFERROR(__xludf.DUMMYFUNCTION("""COMPUTED_VALUE"""),2375.0)</f>
        <v>2375</v>
      </c>
      <c r="F3936" s="115">
        <f>IFERROR(__xludf.DUMMYFUNCTION("""COMPUTED_VALUE"""),2839.0)</f>
        <v>2839</v>
      </c>
      <c r="G3936" s="115">
        <f>IFERROR(__xludf.DUMMYFUNCTION("""COMPUTED_VALUE"""),57.0)</f>
        <v>57</v>
      </c>
      <c r="H3936" s="116">
        <f>IFERROR(__xludf.DUMMYFUNCTION("""COMPUTED_VALUE"""),45908.0)</f>
        <v>45908</v>
      </c>
      <c r="I3936" s="115" t="str">
        <f>IFERROR(__xludf.DUMMYFUNCTION("""COMPUTED_VALUE"""),"12")</f>
        <v>12</v>
      </c>
      <c r="J3936" s="115" t="str">
        <f>IFERROR(__xludf.DUMMYFUNCTION("""COMPUTED_VALUE"""),"Premkumar M2025-09-0812")</f>
        <v>Premkumar M2025-09-0812</v>
      </c>
      <c r="K3936" s="115">
        <f>IFERROR(__xludf.DUMMYFUNCTION("""COMPUTED_VALUE"""),16191.0)</f>
        <v>16191</v>
      </c>
    </row>
    <row r="3937">
      <c r="A3937" s="115" t="str">
        <f>IFERROR(__xludf.DUMMYFUNCTION("""COMPUTED_VALUE"""),"SOUTH")</f>
        <v>SOUTH</v>
      </c>
      <c r="B3937" s="115" t="str">
        <f>IFERROR(__xludf.DUMMYFUNCTION("""COMPUTED_VALUE"""),"Vineeth V")</f>
        <v>Vineeth V</v>
      </c>
      <c r="C3937" s="115" t="str">
        <f>IFERROR(__xludf.DUMMYFUNCTION("""COMPUTED_VALUE"""),"EXTERNAL")</f>
        <v>EXTERNAL</v>
      </c>
      <c r="D3937" s="115">
        <f>IFERROR(__xludf.DUMMYFUNCTION("""COMPUTED_VALUE"""),18909.0)</f>
        <v>18909</v>
      </c>
      <c r="E3937" s="115">
        <f>IFERROR(__xludf.DUMMYFUNCTION("""COMPUTED_VALUE"""),520.0)</f>
        <v>520</v>
      </c>
      <c r="F3937" s="115">
        <f>IFERROR(__xludf.DUMMYFUNCTION("""COMPUTED_VALUE"""),1393.0)</f>
        <v>1393</v>
      </c>
      <c r="G3937" s="115">
        <f>IFERROR(__xludf.DUMMYFUNCTION("""COMPUTED_VALUE"""),4.0)</f>
        <v>4</v>
      </c>
      <c r="H3937" s="116">
        <f>IFERROR(__xludf.DUMMYFUNCTION("""COMPUTED_VALUE"""),45908.0)</f>
        <v>45908</v>
      </c>
      <c r="I3937" s="115" t="str">
        <f>IFERROR(__xludf.DUMMYFUNCTION("""COMPUTED_VALUE"""),"12")</f>
        <v>12</v>
      </c>
      <c r="J3937" s="115" t="str">
        <f>IFERROR(__xludf.DUMMYFUNCTION("""COMPUTED_VALUE"""),"Vineeth V2025-09-0812")</f>
        <v>Vineeth V2025-09-0812</v>
      </c>
      <c r="K3937" s="115">
        <f>IFERROR(__xludf.DUMMYFUNCTION("""COMPUTED_VALUE"""),19429.0)</f>
        <v>19429</v>
      </c>
    </row>
    <row r="3938">
      <c r="A3938" s="115" t="str">
        <f>IFERROR(__xludf.DUMMYFUNCTION("""COMPUTED_VALUE"""),"SOUTH")</f>
        <v>SOUTH</v>
      </c>
      <c r="B3938" s="115" t="str">
        <f>IFERROR(__xludf.DUMMYFUNCTION("""COMPUTED_VALUE"""),"Vineeth V")</f>
        <v>Vineeth V</v>
      </c>
      <c r="C3938" s="115" t="str">
        <f>IFERROR(__xludf.DUMMYFUNCTION("""COMPUTED_VALUE"""),"FLIPKART")</f>
        <v>FLIPKART</v>
      </c>
      <c r="D3938" s="115">
        <f>IFERROR(__xludf.DUMMYFUNCTION("""COMPUTED_VALUE"""),213106.0)</f>
        <v>213106</v>
      </c>
      <c r="E3938" s="115">
        <f>IFERROR(__xludf.DUMMYFUNCTION("""COMPUTED_VALUE"""),12568.0)</f>
        <v>12568</v>
      </c>
      <c r="F3938" s="115">
        <f>IFERROR(__xludf.DUMMYFUNCTION("""COMPUTED_VALUE"""),23705.0)</f>
        <v>23705</v>
      </c>
      <c r="G3938" s="115">
        <f>IFERROR(__xludf.DUMMYFUNCTION("""COMPUTED_VALUE"""),183.0)</f>
        <v>183</v>
      </c>
      <c r="H3938" s="116">
        <f>IFERROR(__xludf.DUMMYFUNCTION("""COMPUTED_VALUE"""),45908.0)</f>
        <v>45908</v>
      </c>
      <c r="I3938" s="115" t="str">
        <f>IFERROR(__xludf.DUMMYFUNCTION("""COMPUTED_VALUE"""),"12")</f>
        <v>12</v>
      </c>
      <c r="J3938" s="115" t="str">
        <f>IFERROR(__xludf.DUMMYFUNCTION("""COMPUTED_VALUE"""),"Vineeth V2025-09-0812")</f>
        <v>Vineeth V2025-09-0812</v>
      </c>
      <c r="K3938" s="115">
        <f>IFERROR(__xludf.DUMMYFUNCTION("""COMPUTED_VALUE"""),225674.0)</f>
        <v>225674</v>
      </c>
    </row>
    <row r="3939">
      <c r="A3939" s="115" t="str">
        <f>IFERROR(__xludf.DUMMYFUNCTION("""COMPUTED_VALUE"""),"SOUTH")</f>
        <v>SOUTH</v>
      </c>
      <c r="B3939" s="115" t="str">
        <f>IFERROR(__xludf.DUMMYFUNCTION("""COMPUTED_VALUE"""),"Vineeth V")</f>
        <v>Vineeth V</v>
      </c>
      <c r="C3939" s="115" t="str">
        <f>IFERROR(__xludf.DUMMYFUNCTION("""COMPUTED_VALUE"""),"MYNTRA")</f>
        <v>MYNTRA</v>
      </c>
      <c r="D3939" s="115">
        <f>IFERROR(__xludf.DUMMYFUNCTION("""COMPUTED_VALUE"""),16476.0)</f>
        <v>16476</v>
      </c>
      <c r="E3939" s="115">
        <f>IFERROR(__xludf.DUMMYFUNCTION("""COMPUTED_VALUE"""),3443.0)</f>
        <v>3443</v>
      </c>
      <c r="F3939" s="115">
        <f>IFERROR(__xludf.DUMMYFUNCTION("""COMPUTED_VALUE"""),2431.0)</f>
        <v>2431</v>
      </c>
      <c r="G3939" s="115">
        <f>IFERROR(__xludf.DUMMYFUNCTION("""COMPUTED_VALUE"""),41.0)</f>
        <v>41</v>
      </c>
      <c r="H3939" s="116">
        <f>IFERROR(__xludf.DUMMYFUNCTION("""COMPUTED_VALUE"""),45908.0)</f>
        <v>45908</v>
      </c>
      <c r="I3939" s="115" t="str">
        <f>IFERROR(__xludf.DUMMYFUNCTION("""COMPUTED_VALUE"""),"12")</f>
        <v>12</v>
      </c>
      <c r="J3939" s="115" t="str">
        <f>IFERROR(__xludf.DUMMYFUNCTION("""COMPUTED_VALUE"""),"Vineeth V2025-09-0812")</f>
        <v>Vineeth V2025-09-0812</v>
      </c>
      <c r="K3939" s="115">
        <f>IFERROR(__xludf.DUMMYFUNCTION("""COMPUTED_VALUE"""),19919.0)</f>
        <v>19919</v>
      </c>
    </row>
    <row r="3940">
      <c r="A3940" s="115" t="str">
        <f>IFERROR(__xludf.DUMMYFUNCTION("""COMPUTED_VALUE"""),"WEST")</f>
        <v>WEST</v>
      </c>
      <c r="B3940" s="115" t="str">
        <f>IFERROR(__xludf.DUMMYFUNCTION("""COMPUTED_VALUE"""),"Ashish Jakar")</f>
        <v>Ashish Jakar</v>
      </c>
      <c r="C3940" s="115" t="str">
        <f>IFERROR(__xludf.DUMMYFUNCTION("""COMPUTED_VALUE"""),"EXTERNAL")</f>
        <v>EXTERNAL</v>
      </c>
      <c r="D3940" s="115">
        <f>IFERROR(__xludf.DUMMYFUNCTION("""COMPUTED_VALUE"""),53024.0)</f>
        <v>53024</v>
      </c>
      <c r="E3940" s="115">
        <f>IFERROR(__xludf.DUMMYFUNCTION("""COMPUTED_VALUE"""),6711.0)</f>
        <v>6711</v>
      </c>
      <c r="F3940" s="115">
        <f>IFERROR(__xludf.DUMMYFUNCTION("""COMPUTED_VALUE"""),6241.0)</f>
        <v>6241</v>
      </c>
      <c r="G3940" s="115">
        <f>IFERROR(__xludf.DUMMYFUNCTION("""COMPUTED_VALUE"""),451.0)</f>
        <v>451</v>
      </c>
      <c r="H3940" s="116">
        <f>IFERROR(__xludf.DUMMYFUNCTION("""COMPUTED_VALUE"""),45908.0)</f>
        <v>45908</v>
      </c>
      <c r="I3940" s="115" t="str">
        <f>IFERROR(__xludf.DUMMYFUNCTION("""COMPUTED_VALUE"""),"12")</f>
        <v>12</v>
      </c>
      <c r="J3940" s="115" t="str">
        <f>IFERROR(__xludf.DUMMYFUNCTION("""COMPUTED_VALUE"""),"Ashish Jakar2025-09-0812")</f>
        <v>Ashish Jakar2025-09-0812</v>
      </c>
      <c r="K3940" s="115">
        <f>IFERROR(__xludf.DUMMYFUNCTION("""COMPUTED_VALUE"""),59735.0)</f>
        <v>59735</v>
      </c>
    </row>
    <row r="3941">
      <c r="A3941" s="115" t="str">
        <f>IFERROR(__xludf.DUMMYFUNCTION("""COMPUTED_VALUE"""),"WEST")</f>
        <v>WEST</v>
      </c>
      <c r="B3941" s="115" t="str">
        <f>IFERROR(__xludf.DUMMYFUNCTION("""COMPUTED_VALUE"""),"Ashish Jakar")</f>
        <v>Ashish Jakar</v>
      </c>
      <c r="C3941" s="115" t="str">
        <f>IFERROR(__xludf.DUMMYFUNCTION("""COMPUTED_VALUE"""),"FLIPKART")</f>
        <v>FLIPKART</v>
      </c>
      <c r="D3941" s="115">
        <f>IFERROR(__xludf.DUMMYFUNCTION("""COMPUTED_VALUE"""),315274.0)</f>
        <v>315274</v>
      </c>
      <c r="E3941" s="115">
        <f>IFERROR(__xludf.DUMMYFUNCTION("""COMPUTED_VALUE"""),29194.0)</f>
        <v>29194</v>
      </c>
      <c r="F3941" s="115">
        <f>IFERROR(__xludf.DUMMYFUNCTION("""COMPUTED_VALUE"""),70825.0)</f>
        <v>70825</v>
      </c>
      <c r="G3941" s="115">
        <f>IFERROR(__xludf.DUMMYFUNCTION("""COMPUTED_VALUE"""),2524.0)</f>
        <v>2524</v>
      </c>
      <c r="H3941" s="116">
        <f>IFERROR(__xludf.DUMMYFUNCTION("""COMPUTED_VALUE"""),45908.0)</f>
        <v>45908</v>
      </c>
      <c r="I3941" s="115" t="str">
        <f>IFERROR(__xludf.DUMMYFUNCTION("""COMPUTED_VALUE"""),"12")</f>
        <v>12</v>
      </c>
      <c r="J3941" s="115" t="str">
        <f>IFERROR(__xludf.DUMMYFUNCTION("""COMPUTED_VALUE"""),"Ashish Jakar2025-09-0812")</f>
        <v>Ashish Jakar2025-09-0812</v>
      </c>
      <c r="K3941" s="115">
        <f>IFERROR(__xludf.DUMMYFUNCTION("""COMPUTED_VALUE"""),344468.0)</f>
        <v>344468</v>
      </c>
    </row>
    <row r="3942">
      <c r="A3942" s="115" t="str">
        <f>IFERROR(__xludf.DUMMYFUNCTION("""COMPUTED_VALUE"""),"WEST")</f>
        <v>WEST</v>
      </c>
      <c r="B3942" s="115" t="str">
        <f>IFERROR(__xludf.DUMMYFUNCTION("""COMPUTED_VALUE"""),"Ashish Jakar")</f>
        <v>Ashish Jakar</v>
      </c>
      <c r="C3942" s="115" t="str">
        <f>IFERROR(__xludf.DUMMYFUNCTION("""COMPUTED_VALUE"""),"MYNTRA")</f>
        <v>MYNTRA</v>
      </c>
      <c r="D3942" s="115">
        <f>IFERROR(__xludf.DUMMYFUNCTION("""COMPUTED_VALUE"""),39781.0)</f>
        <v>39781</v>
      </c>
      <c r="E3942" s="115">
        <f>IFERROR(__xludf.DUMMYFUNCTION("""COMPUTED_VALUE"""),10322.0)</f>
        <v>10322</v>
      </c>
      <c r="F3942" s="115">
        <f>IFERROR(__xludf.DUMMYFUNCTION("""COMPUTED_VALUE"""),10750.0)</f>
        <v>10750</v>
      </c>
      <c r="G3942" s="115">
        <f>IFERROR(__xludf.DUMMYFUNCTION("""COMPUTED_VALUE"""),1027.0)</f>
        <v>1027</v>
      </c>
      <c r="H3942" s="116">
        <f>IFERROR(__xludf.DUMMYFUNCTION("""COMPUTED_VALUE"""),45908.0)</f>
        <v>45908</v>
      </c>
      <c r="I3942" s="115" t="str">
        <f>IFERROR(__xludf.DUMMYFUNCTION("""COMPUTED_VALUE"""),"12")</f>
        <v>12</v>
      </c>
      <c r="J3942" s="115" t="str">
        <f>IFERROR(__xludf.DUMMYFUNCTION("""COMPUTED_VALUE"""),"Ashish Jakar2025-09-0812")</f>
        <v>Ashish Jakar2025-09-0812</v>
      </c>
      <c r="K3942" s="115">
        <f>IFERROR(__xludf.DUMMYFUNCTION("""COMPUTED_VALUE"""),50103.0)</f>
        <v>50103</v>
      </c>
    </row>
    <row r="3943">
      <c r="A3943" s="115" t="str">
        <f>IFERROR(__xludf.DUMMYFUNCTION("""COMPUTED_VALUE"""),"WEST")</f>
        <v>WEST</v>
      </c>
      <c r="B3943" s="115" t="str">
        <f>IFERROR(__xludf.DUMMYFUNCTION("""COMPUTED_VALUE"""),"Ashvani Bhatt")</f>
        <v>Ashvani Bhatt</v>
      </c>
      <c r="C3943" s="115" t="str">
        <f>IFERROR(__xludf.DUMMYFUNCTION("""COMPUTED_VALUE"""),"EXTERNAL")</f>
        <v>EXTERNAL</v>
      </c>
      <c r="D3943" s="115">
        <f>IFERROR(__xludf.DUMMYFUNCTION("""COMPUTED_VALUE"""),34842.0)</f>
        <v>34842</v>
      </c>
      <c r="E3943" s="115">
        <f>IFERROR(__xludf.DUMMYFUNCTION("""COMPUTED_VALUE"""),2910.0)</f>
        <v>2910</v>
      </c>
      <c r="F3943" s="115">
        <f>IFERROR(__xludf.DUMMYFUNCTION("""COMPUTED_VALUE"""),5001.0)</f>
        <v>5001</v>
      </c>
      <c r="G3943" s="115">
        <f>IFERROR(__xludf.DUMMYFUNCTION("""COMPUTED_VALUE"""),135.0)</f>
        <v>135</v>
      </c>
      <c r="H3943" s="116">
        <f>IFERROR(__xludf.DUMMYFUNCTION("""COMPUTED_VALUE"""),45908.0)</f>
        <v>45908</v>
      </c>
      <c r="I3943" s="115" t="str">
        <f>IFERROR(__xludf.DUMMYFUNCTION("""COMPUTED_VALUE"""),"12")</f>
        <v>12</v>
      </c>
      <c r="J3943" s="115" t="str">
        <f>IFERROR(__xludf.DUMMYFUNCTION("""COMPUTED_VALUE"""),"Ashvani Bhatt2025-09-0812")</f>
        <v>Ashvani Bhatt2025-09-0812</v>
      </c>
      <c r="K3943" s="115">
        <f>IFERROR(__xludf.DUMMYFUNCTION("""COMPUTED_VALUE"""),37752.0)</f>
        <v>37752</v>
      </c>
    </row>
    <row r="3944">
      <c r="A3944" s="115" t="str">
        <f>IFERROR(__xludf.DUMMYFUNCTION("""COMPUTED_VALUE"""),"WEST")</f>
        <v>WEST</v>
      </c>
      <c r="B3944" s="115" t="str">
        <f>IFERROR(__xludf.DUMMYFUNCTION("""COMPUTED_VALUE"""),"Ashvani Bhatt")</f>
        <v>Ashvani Bhatt</v>
      </c>
      <c r="C3944" s="115" t="str">
        <f>IFERROR(__xludf.DUMMYFUNCTION("""COMPUTED_VALUE"""),"FLIPKART")</f>
        <v>FLIPKART</v>
      </c>
      <c r="D3944" s="115">
        <f>IFERROR(__xludf.DUMMYFUNCTION("""COMPUTED_VALUE"""),235754.0)</f>
        <v>235754</v>
      </c>
      <c r="E3944" s="115">
        <f>IFERROR(__xludf.DUMMYFUNCTION("""COMPUTED_VALUE"""),24078.0)</f>
        <v>24078</v>
      </c>
      <c r="F3944" s="115">
        <f>IFERROR(__xludf.DUMMYFUNCTION("""COMPUTED_VALUE"""),65415.0)</f>
        <v>65415</v>
      </c>
      <c r="G3944" s="115">
        <f>IFERROR(__xludf.DUMMYFUNCTION("""COMPUTED_VALUE"""),1815.0)</f>
        <v>1815</v>
      </c>
      <c r="H3944" s="116">
        <f>IFERROR(__xludf.DUMMYFUNCTION("""COMPUTED_VALUE"""),45908.0)</f>
        <v>45908</v>
      </c>
      <c r="I3944" s="115" t="str">
        <f>IFERROR(__xludf.DUMMYFUNCTION("""COMPUTED_VALUE"""),"12")</f>
        <v>12</v>
      </c>
      <c r="J3944" s="115" t="str">
        <f>IFERROR(__xludf.DUMMYFUNCTION("""COMPUTED_VALUE"""),"Ashvani Bhatt2025-09-0812")</f>
        <v>Ashvani Bhatt2025-09-0812</v>
      </c>
      <c r="K3944" s="115">
        <f>IFERROR(__xludf.DUMMYFUNCTION("""COMPUTED_VALUE"""),259832.0)</f>
        <v>259832</v>
      </c>
    </row>
    <row r="3945">
      <c r="A3945" s="115" t="str">
        <f>IFERROR(__xludf.DUMMYFUNCTION("""COMPUTED_VALUE"""),"WEST")</f>
        <v>WEST</v>
      </c>
      <c r="B3945" s="115" t="str">
        <f>IFERROR(__xludf.DUMMYFUNCTION("""COMPUTED_VALUE"""),"Ashvani Bhatt")</f>
        <v>Ashvani Bhatt</v>
      </c>
      <c r="C3945" s="115" t="str">
        <f>IFERROR(__xludf.DUMMYFUNCTION("""COMPUTED_VALUE"""),"MYNTRA")</f>
        <v>MYNTRA</v>
      </c>
      <c r="D3945" s="115">
        <f>IFERROR(__xludf.DUMMYFUNCTION("""COMPUTED_VALUE"""),32350.0)</f>
        <v>32350</v>
      </c>
      <c r="E3945" s="115">
        <f>IFERROR(__xludf.DUMMYFUNCTION("""COMPUTED_VALUE"""),7469.0)</f>
        <v>7469</v>
      </c>
      <c r="F3945" s="115">
        <f>IFERROR(__xludf.DUMMYFUNCTION("""COMPUTED_VALUE"""),11539.0)</f>
        <v>11539</v>
      </c>
      <c r="G3945" s="115">
        <f>IFERROR(__xludf.DUMMYFUNCTION("""COMPUTED_VALUE"""),776.0)</f>
        <v>776</v>
      </c>
      <c r="H3945" s="116">
        <f>IFERROR(__xludf.DUMMYFUNCTION("""COMPUTED_VALUE"""),45908.0)</f>
        <v>45908</v>
      </c>
      <c r="I3945" s="115" t="str">
        <f>IFERROR(__xludf.DUMMYFUNCTION("""COMPUTED_VALUE"""),"12")</f>
        <v>12</v>
      </c>
      <c r="J3945" s="115" t="str">
        <f>IFERROR(__xludf.DUMMYFUNCTION("""COMPUTED_VALUE"""),"Ashvani Bhatt2025-09-0812")</f>
        <v>Ashvani Bhatt2025-09-0812</v>
      </c>
      <c r="K3945" s="115">
        <f>IFERROR(__xludf.DUMMYFUNCTION("""COMPUTED_VALUE"""),39819.0)</f>
        <v>39819</v>
      </c>
    </row>
    <row r="3946">
      <c r="A3946" s="115"/>
      <c r="B3946" s="115"/>
      <c r="C3946" s="115" t="str">
        <f>IFERROR(__xludf.DUMMYFUNCTION("""COMPUTED_VALUE"""),"EXTERNAL")</f>
        <v>EXTERNAL</v>
      </c>
      <c r="D3946" s="115">
        <f>IFERROR(__xludf.DUMMYFUNCTION("""COMPUTED_VALUE"""),399.0)</f>
        <v>399</v>
      </c>
      <c r="E3946" s="115">
        <f>IFERROR(__xludf.DUMMYFUNCTION("""COMPUTED_VALUE"""),93.0)</f>
        <v>93</v>
      </c>
      <c r="F3946" s="115">
        <f>IFERROR(__xludf.DUMMYFUNCTION("""COMPUTED_VALUE"""),50.0)</f>
        <v>50</v>
      </c>
      <c r="G3946" s="115">
        <f>IFERROR(__xludf.DUMMYFUNCTION("""COMPUTED_VALUE"""),40.0)</f>
        <v>40</v>
      </c>
      <c r="H3946" s="116">
        <f>IFERROR(__xludf.DUMMYFUNCTION("""COMPUTED_VALUE"""),45908.0)</f>
        <v>45908</v>
      </c>
      <c r="I3946" s="115" t="str">
        <f>IFERROR(__xludf.DUMMYFUNCTION("""COMPUTED_VALUE"""),"12")</f>
        <v>12</v>
      </c>
      <c r="J3946" s="115" t="str">
        <f>IFERROR(__xludf.DUMMYFUNCTION("""COMPUTED_VALUE"""),"2025-09-0812")</f>
        <v>2025-09-0812</v>
      </c>
      <c r="K3946" s="115">
        <f>IFERROR(__xludf.DUMMYFUNCTION("""COMPUTED_VALUE"""),492.0)</f>
        <v>492</v>
      </c>
    </row>
    <row r="3947">
      <c r="A3947" s="115"/>
      <c r="B3947" s="115"/>
      <c r="C3947" s="115" t="str">
        <f>IFERROR(__xludf.DUMMYFUNCTION("""COMPUTED_VALUE"""),"FLIPKART")</f>
        <v>FLIPKART</v>
      </c>
      <c r="D3947" s="115">
        <f>IFERROR(__xludf.DUMMYFUNCTION("""COMPUTED_VALUE"""),3609.0)</f>
        <v>3609</v>
      </c>
      <c r="E3947" s="115">
        <f>IFERROR(__xludf.DUMMYFUNCTION("""COMPUTED_VALUE"""),419.0)</f>
        <v>419</v>
      </c>
      <c r="F3947" s="115">
        <f>IFERROR(__xludf.DUMMYFUNCTION("""COMPUTED_VALUE"""),529.0)</f>
        <v>529</v>
      </c>
      <c r="G3947" s="115">
        <f>IFERROR(__xludf.DUMMYFUNCTION("""COMPUTED_VALUE"""),64.0)</f>
        <v>64</v>
      </c>
      <c r="H3947" s="116">
        <f>IFERROR(__xludf.DUMMYFUNCTION("""COMPUTED_VALUE"""),45908.0)</f>
        <v>45908</v>
      </c>
      <c r="I3947" s="115" t="str">
        <f>IFERROR(__xludf.DUMMYFUNCTION("""COMPUTED_VALUE"""),"12")</f>
        <v>12</v>
      </c>
      <c r="J3947" s="115" t="str">
        <f>IFERROR(__xludf.DUMMYFUNCTION("""COMPUTED_VALUE"""),"2025-09-0812")</f>
        <v>2025-09-0812</v>
      </c>
      <c r="K3947" s="115">
        <f>IFERROR(__xludf.DUMMYFUNCTION("""COMPUTED_VALUE"""),4028.0)</f>
        <v>4028</v>
      </c>
    </row>
    <row r="3948">
      <c r="A3948" s="115"/>
      <c r="B3948" s="115"/>
      <c r="C3948" s="115" t="str">
        <f>IFERROR(__xludf.DUMMYFUNCTION("""COMPUTED_VALUE"""),"MYNTRA")</f>
        <v>MYNTRA</v>
      </c>
      <c r="D3948" s="115">
        <f>IFERROR(__xludf.DUMMYFUNCTION("""COMPUTED_VALUE"""),470.0)</f>
        <v>470</v>
      </c>
      <c r="E3948" s="115">
        <f>IFERROR(__xludf.DUMMYFUNCTION("""COMPUTED_VALUE"""),175.0)</f>
        <v>175</v>
      </c>
      <c r="F3948" s="115">
        <f>IFERROR(__xludf.DUMMYFUNCTION("""COMPUTED_VALUE"""),123.0)</f>
        <v>123</v>
      </c>
      <c r="G3948" s="115">
        <f>IFERROR(__xludf.DUMMYFUNCTION("""COMPUTED_VALUE"""),36.0)</f>
        <v>36</v>
      </c>
      <c r="H3948" s="116">
        <f>IFERROR(__xludf.DUMMYFUNCTION("""COMPUTED_VALUE"""),45908.0)</f>
        <v>45908</v>
      </c>
      <c r="I3948" s="115" t="str">
        <f>IFERROR(__xludf.DUMMYFUNCTION("""COMPUTED_VALUE"""),"12")</f>
        <v>12</v>
      </c>
      <c r="J3948" s="115" t="str">
        <f>IFERROR(__xludf.DUMMYFUNCTION("""COMPUTED_VALUE"""),"2025-09-0812")</f>
        <v>2025-09-0812</v>
      </c>
      <c r="K3948" s="115">
        <f>IFERROR(__xludf.DUMMYFUNCTION("""COMPUTED_VALUE"""),645.0)</f>
        <v>645</v>
      </c>
    </row>
    <row r="3949">
      <c r="A3949" s="115" t="str">
        <f>IFERROR(__xludf.DUMMYFUNCTION("""COMPUTED_VALUE"""),"EAST")</f>
        <v>EAST</v>
      </c>
      <c r="B3949" s="115" t="str">
        <f>IFERROR(__xludf.DUMMYFUNCTION("""COMPUTED_VALUE"""),"Ashish Ranjan")</f>
        <v>Ashish Ranjan</v>
      </c>
      <c r="C3949" s="115" t="str">
        <f>IFERROR(__xludf.DUMMYFUNCTION("""COMPUTED_VALUE"""),"EXTERNAL")</f>
        <v>EXTERNAL</v>
      </c>
      <c r="D3949" s="115">
        <f>IFERROR(__xludf.DUMMYFUNCTION("""COMPUTED_VALUE"""),41979.0)</f>
        <v>41979</v>
      </c>
      <c r="E3949" s="115">
        <f>IFERROR(__xludf.DUMMYFUNCTION("""COMPUTED_VALUE"""),3498.0)</f>
        <v>3498</v>
      </c>
      <c r="F3949" s="115">
        <f>IFERROR(__xludf.DUMMYFUNCTION("""COMPUTED_VALUE"""),12231.0)</f>
        <v>12231</v>
      </c>
      <c r="G3949" s="115">
        <f>IFERROR(__xludf.DUMMYFUNCTION("""COMPUTED_VALUE"""),420.0)</f>
        <v>420</v>
      </c>
      <c r="H3949" s="116">
        <f>IFERROR(__xludf.DUMMYFUNCTION("""COMPUTED_VALUE"""),45908.0)</f>
        <v>45908</v>
      </c>
      <c r="I3949" s="115" t="str">
        <f>IFERROR(__xludf.DUMMYFUNCTION("""COMPUTED_VALUE"""),"13")</f>
        <v>13</v>
      </c>
      <c r="J3949" s="115" t="str">
        <f>IFERROR(__xludf.DUMMYFUNCTION("""COMPUTED_VALUE"""),"Ashish Ranjan2025-09-0813")</f>
        <v>Ashish Ranjan2025-09-0813</v>
      </c>
      <c r="K3949" s="115">
        <f>IFERROR(__xludf.DUMMYFUNCTION("""COMPUTED_VALUE"""),45477.0)</f>
        <v>45477</v>
      </c>
    </row>
    <row r="3950">
      <c r="A3950" s="115" t="str">
        <f>IFERROR(__xludf.DUMMYFUNCTION("""COMPUTED_VALUE"""),"EAST")</f>
        <v>EAST</v>
      </c>
      <c r="B3950" s="115" t="str">
        <f>IFERROR(__xludf.DUMMYFUNCTION("""COMPUTED_VALUE"""),"Ashish Ranjan")</f>
        <v>Ashish Ranjan</v>
      </c>
      <c r="C3950" s="115" t="str">
        <f>IFERROR(__xludf.DUMMYFUNCTION("""COMPUTED_VALUE"""),"FLIPKART")</f>
        <v>FLIPKART</v>
      </c>
      <c r="D3950" s="115">
        <f>IFERROR(__xludf.DUMMYFUNCTION("""COMPUTED_VALUE"""),630283.0)</f>
        <v>630283</v>
      </c>
      <c r="E3950" s="115">
        <f>IFERROR(__xludf.DUMMYFUNCTION("""COMPUTED_VALUE"""),58628.0)</f>
        <v>58628</v>
      </c>
      <c r="F3950" s="115">
        <f>IFERROR(__xludf.DUMMYFUNCTION("""COMPUTED_VALUE"""),294760.0)</f>
        <v>294760</v>
      </c>
      <c r="G3950" s="115">
        <f>IFERROR(__xludf.DUMMYFUNCTION("""COMPUTED_VALUE"""),9204.0)</f>
        <v>9204</v>
      </c>
      <c r="H3950" s="116">
        <f>IFERROR(__xludf.DUMMYFUNCTION("""COMPUTED_VALUE"""),45908.0)</f>
        <v>45908</v>
      </c>
      <c r="I3950" s="115" t="str">
        <f>IFERROR(__xludf.DUMMYFUNCTION("""COMPUTED_VALUE"""),"13")</f>
        <v>13</v>
      </c>
      <c r="J3950" s="115" t="str">
        <f>IFERROR(__xludf.DUMMYFUNCTION("""COMPUTED_VALUE"""),"Ashish Ranjan2025-09-0813")</f>
        <v>Ashish Ranjan2025-09-0813</v>
      </c>
      <c r="K3950" s="115">
        <f>IFERROR(__xludf.DUMMYFUNCTION("""COMPUTED_VALUE"""),688911.0)</f>
        <v>688911</v>
      </c>
    </row>
    <row r="3951">
      <c r="A3951" s="115" t="str">
        <f>IFERROR(__xludf.DUMMYFUNCTION("""COMPUTED_VALUE"""),"EAST")</f>
        <v>EAST</v>
      </c>
      <c r="B3951" s="115" t="str">
        <f>IFERROR(__xludf.DUMMYFUNCTION("""COMPUTED_VALUE"""),"Ashish Ranjan")</f>
        <v>Ashish Ranjan</v>
      </c>
      <c r="C3951" s="115" t="str">
        <f>IFERROR(__xludf.DUMMYFUNCTION("""COMPUTED_VALUE"""),"MYNTRA")</f>
        <v>MYNTRA</v>
      </c>
      <c r="D3951" s="115">
        <f>IFERROR(__xludf.DUMMYFUNCTION("""COMPUTED_VALUE"""),71737.0)</f>
        <v>71737</v>
      </c>
      <c r="E3951" s="115">
        <f>IFERROR(__xludf.DUMMYFUNCTION("""COMPUTED_VALUE"""),13948.0)</f>
        <v>13948</v>
      </c>
      <c r="F3951" s="115">
        <f>IFERROR(__xludf.DUMMYFUNCTION("""COMPUTED_VALUE"""),34392.0)</f>
        <v>34392</v>
      </c>
      <c r="G3951" s="115">
        <f>IFERROR(__xludf.DUMMYFUNCTION("""COMPUTED_VALUE"""),2317.0)</f>
        <v>2317</v>
      </c>
      <c r="H3951" s="116">
        <f>IFERROR(__xludf.DUMMYFUNCTION("""COMPUTED_VALUE"""),45908.0)</f>
        <v>45908</v>
      </c>
      <c r="I3951" s="115" t="str">
        <f>IFERROR(__xludf.DUMMYFUNCTION("""COMPUTED_VALUE"""),"13")</f>
        <v>13</v>
      </c>
      <c r="J3951" s="115" t="str">
        <f>IFERROR(__xludf.DUMMYFUNCTION("""COMPUTED_VALUE"""),"Ashish Ranjan2025-09-0813")</f>
        <v>Ashish Ranjan2025-09-0813</v>
      </c>
      <c r="K3951" s="115">
        <f>IFERROR(__xludf.DUMMYFUNCTION("""COMPUTED_VALUE"""),85685.0)</f>
        <v>85685</v>
      </c>
    </row>
    <row r="3952">
      <c r="A3952" s="115" t="str">
        <f>IFERROR(__xludf.DUMMYFUNCTION("""COMPUTED_VALUE"""),"EAST")</f>
        <v>EAST</v>
      </c>
      <c r="B3952" s="115" t="str">
        <f>IFERROR(__xludf.DUMMYFUNCTION("""COMPUTED_VALUE"""),"Girish Chand")</f>
        <v>Girish Chand</v>
      </c>
      <c r="C3952" s="115" t="str">
        <f>IFERROR(__xludf.DUMMYFUNCTION("""COMPUTED_VALUE"""),"EXTERNAL")</f>
        <v>EXTERNAL</v>
      </c>
      <c r="D3952" s="115">
        <f>IFERROR(__xludf.DUMMYFUNCTION("""COMPUTED_VALUE"""),23729.0)</f>
        <v>23729</v>
      </c>
      <c r="E3952" s="115">
        <f>IFERROR(__xludf.DUMMYFUNCTION("""COMPUTED_VALUE"""),2312.0)</f>
        <v>2312</v>
      </c>
      <c r="F3952" s="115">
        <f>IFERROR(__xludf.DUMMYFUNCTION("""COMPUTED_VALUE"""),5171.0)</f>
        <v>5171</v>
      </c>
      <c r="G3952" s="115">
        <f>IFERROR(__xludf.DUMMYFUNCTION("""COMPUTED_VALUE"""),120.0)</f>
        <v>120</v>
      </c>
      <c r="H3952" s="116">
        <f>IFERROR(__xludf.DUMMYFUNCTION("""COMPUTED_VALUE"""),45908.0)</f>
        <v>45908</v>
      </c>
      <c r="I3952" s="115" t="str">
        <f>IFERROR(__xludf.DUMMYFUNCTION("""COMPUTED_VALUE"""),"13")</f>
        <v>13</v>
      </c>
      <c r="J3952" s="115" t="str">
        <f>IFERROR(__xludf.DUMMYFUNCTION("""COMPUTED_VALUE"""),"Girish Chand2025-09-0813")</f>
        <v>Girish Chand2025-09-0813</v>
      </c>
      <c r="K3952" s="115">
        <f>IFERROR(__xludf.DUMMYFUNCTION("""COMPUTED_VALUE"""),26041.0)</f>
        <v>26041</v>
      </c>
    </row>
    <row r="3953">
      <c r="A3953" s="115" t="str">
        <f>IFERROR(__xludf.DUMMYFUNCTION("""COMPUTED_VALUE"""),"EAST")</f>
        <v>EAST</v>
      </c>
      <c r="B3953" s="115" t="str">
        <f>IFERROR(__xludf.DUMMYFUNCTION("""COMPUTED_VALUE"""),"Girish Chand")</f>
        <v>Girish Chand</v>
      </c>
      <c r="C3953" s="115" t="str">
        <f>IFERROR(__xludf.DUMMYFUNCTION("""COMPUTED_VALUE"""),"FLIPKART")</f>
        <v>FLIPKART</v>
      </c>
      <c r="D3953" s="115">
        <f>IFERROR(__xludf.DUMMYFUNCTION("""COMPUTED_VALUE"""),384059.0)</f>
        <v>384059</v>
      </c>
      <c r="E3953" s="115">
        <f>IFERROR(__xludf.DUMMYFUNCTION("""COMPUTED_VALUE"""),37353.0)</f>
        <v>37353</v>
      </c>
      <c r="F3953" s="115">
        <f>IFERROR(__xludf.DUMMYFUNCTION("""COMPUTED_VALUE"""),142376.0)</f>
        <v>142376</v>
      </c>
      <c r="G3953" s="115">
        <f>IFERROR(__xludf.DUMMYFUNCTION("""COMPUTED_VALUE"""),3826.0)</f>
        <v>3826</v>
      </c>
      <c r="H3953" s="116">
        <f>IFERROR(__xludf.DUMMYFUNCTION("""COMPUTED_VALUE"""),45908.0)</f>
        <v>45908</v>
      </c>
      <c r="I3953" s="115" t="str">
        <f>IFERROR(__xludf.DUMMYFUNCTION("""COMPUTED_VALUE"""),"13")</f>
        <v>13</v>
      </c>
      <c r="J3953" s="115" t="str">
        <f>IFERROR(__xludf.DUMMYFUNCTION("""COMPUTED_VALUE"""),"Girish Chand2025-09-0813")</f>
        <v>Girish Chand2025-09-0813</v>
      </c>
      <c r="K3953" s="115">
        <f>IFERROR(__xludf.DUMMYFUNCTION("""COMPUTED_VALUE"""),421412.0)</f>
        <v>421412</v>
      </c>
    </row>
    <row r="3954">
      <c r="A3954" s="115" t="str">
        <f>IFERROR(__xludf.DUMMYFUNCTION("""COMPUTED_VALUE"""),"EAST")</f>
        <v>EAST</v>
      </c>
      <c r="B3954" s="115" t="str">
        <f>IFERROR(__xludf.DUMMYFUNCTION("""COMPUTED_VALUE"""),"Girish Chand")</f>
        <v>Girish Chand</v>
      </c>
      <c r="C3954" s="115" t="str">
        <f>IFERROR(__xludf.DUMMYFUNCTION("""COMPUTED_VALUE"""),"MYNTRA")</f>
        <v>MYNTRA</v>
      </c>
      <c r="D3954" s="115">
        <f>IFERROR(__xludf.DUMMYFUNCTION("""COMPUTED_VALUE"""),37797.0)</f>
        <v>37797</v>
      </c>
      <c r="E3954" s="115">
        <f>IFERROR(__xludf.DUMMYFUNCTION("""COMPUTED_VALUE"""),7130.0)</f>
        <v>7130</v>
      </c>
      <c r="F3954" s="115">
        <f>IFERROR(__xludf.DUMMYFUNCTION("""COMPUTED_VALUE"""),15751.0)</f>
        <v>15751</v>
      </c>
      <c r="G3954" s="115">
        <f>IFERROR(__xludf.DUMMYFUNCTION("""COMPUTED_VALUE"""),959.0)</f>
        <v>959</v>
      </c>
      <c r="H3954" s="116">
        <f>IFERROR(__xludf.DUMMYFUNCTION("""COMPUTED_VALUE"""),45908.0)</f>
        <v>45908</v>
      </c>
      <c r="I3954" s="115" t="str">
        <f>IFERROR(__xludf.DUMMYFUNCTION("""COMPUTED_VALUE"""),"13")</f>
        <v>13</v>
      </c>
      <c r="J3954" s="115" t="str">
        <f>IFERROR(__xludf.DUMMYFUNCTION("""COMPUTED_VALUE"""),"Girish Chand2025-09-0813")</f>
        <v>Girish Chand2025-09-0813</v>
      </c>
      <c r="K3954" s="115">
        <f>IFERROR(__xludf.DUMMYFUNCTION("""COMPUTED_VALUE"""),44927.0)</f>
        <v>44927</v>
      </c>
    </row>
    <row r="3955">
      <c r="A3955" s="115" t="str">
        <f>IFERROR(__xludf.DUMMYFUNCTION("""COMPUTED_VALUE"""),"EAST")</f>
        <v>EAST</v>
      </c>
      <c r="B3955" s="115" t="str">
        <f>IFERROR(__xludf.DUMMYFUNCTION("""COMPUTED_VALUE"""),"Parag Kashyap")</f>
        <v>Parag Kashyap</v>
      </c>
      <c r="C3955" s="115" t="str">
        <f>IFERROR(__xludf.DUMMYFUNCTION("""COMPUTED_VALUE"""),"EXTERNAL")</f>
        <v>EXTERNAL</v>
      </c>
      <c r="D3955" s="115">
        <f>IFERROR(__xludf.DUMMYFUNCTION("""COMPUTED_VALUE"""),18941.0)</f>
        <v>18941</v>
      </c>
      <c r="E3955" s="115">
        <f>IFERROR(__xludf.DUMMYFUNCTION("""COMPUTED_VALUE"""),1080.0)</f>
        <v>1080</v>
      </c>
      <c r="F3955" s="115">
        <f>IFERROR(__xludf.DUMMYFUNCTION("""COMPUTED_VALUE"""),2994.0)</f>
        <v>2994</v>
      </c>
      <c r="G3955" s="115">
        <f>IFERROR(__xludf.DUMMYFUNCTION("""COMPUTED_VALUE"""),38.0)</f>
        <v>38</v>
      </c>
      <c r="H3955" s="116">
        <f>IFERROR(__xludf.DUMMYFUNCTION("""COMPUTED_VALUE"""),45908.0)</f>
        <v>45908</v>
      </c>
      <c r="I3955" s="115" t="str">
        <f>IFERROR(__xludf.DUMMYFUNCTION("""COMPUTED_VALUE"""),"13")</f>
        <v>13</v>
      </c>
      <c r="J3955" s="115" t="str">
        <f>IFERROR(__xludf.DUMMYFUNCTION("""COMPUTED_VALUE"""),"Parag Kashyap2025-09-0813")</f>
        <v>Parag Kashyap2025-09-0813</v>
      </c>
      <c r="K3955" s="115">
        <f>IFERROR(__xludf.DUMMYFUNCTION("""COMPUTED_VALUE"""),20021.0)</f>
        <v>20021</v>
      </c>
    </row>
    <row r="3956">
      <c r="A3956" s="115" t="str">
        <f>IFERROR(__xludf.DUMMYFUNCTION("""COMPUTED_VALUE"""),"EAST")</f>
        <v>EAST</v>
      </c>
      <c r="B3956" s="115" t="str">
        <f>IFERROR(__xludf.DUMMYFUNCTION("""COMPUTED_VALUE"""),"Parag Kashyap")</f>
        <v>Parag Kashyap</v>
      </c>
      <c r="C3956" s="115" t="str">
        <f>IFERROR(__xludf.DUMMYFUNCTION("""COMPUTED_VALUE"""),"FLIPKART")</f>
        <v>FLIPKART</v>
      </c>
      <c r="D3956" s="115">
        <f>IFERROR(__xludf.DUMMYFUNCTION("""COMPUTED_VALUE"""),324451.0)</f>
        <v>324451</v>
      </c>
      <c r="E3956" s="115">
        <f>IFERROR(__xludf.DUMMYFUNCTION("""COMPUTED_VALUE"""),17475.0)</f>
        <v>17475</v>
      </c>
      <c r="F3956" s="115">
        <f>IFERROR(__xludf.DUMMYFUNCTION("""COMPUTED_VALUE"""),92056.0)</f>
        <v>92056</v>
      </c>
      <c r="G3956" s="115">
        <f>IFERROR(__xludf.DUMMYFUNCTION("""COMPUTED_VALUE"""),791.0)</f>
        <v>791</v>
      </c>
      <c r="H3956" s="116">
        <f>IFERROR(__xludf.DUMMYFUNCTION("""COMPUTED_VALUE"""),45908.0)</f>
        <v>45908</v>
      </c>
      <c r="I3956" s="115" t="str">
        <f>IFERROR(__xludf.DUMMYFUNCTION("""COMPUTED_VALUE"""),"13")</f>
        <v>13</v>
      </c>
      <c r="J3956" s="115" t="str">
        <f>IFERROR(__xludf.DUMMYFUNCTION("""COMPUTED_VALUE"""),"Parag Kashyap2025-09-0813")</f>
        <v>Parag Kashyap2025-09-0813</v>
      </c>
      <c r="K3956" s="115">
        <f>IFERROR(__xludf.DUMMYFUNCTION("""COMPUTED_VALUE"""),341926.0)</f>
        <v>341926</v>
      </c>
    </row>
    <row r="3957">
      <c r="A3957" s="115" t="str">
        <f>IFERROR(__xludf.DUMMYFUNCTION("""COMPUTED_VALUE"""),"EAST")</f>
        <v>EAST</v>
      </c>
      <c r="B3957" s="115" t="str">
        <f>IFERROR(__xludf.DUMMYFUNCTION("""COMPUTED_VALUE"""),"Parag Kashyap")</f>
        <v>Parag Kashyap</v>
      </c>
      <c r="C3957" s="115" t="str">
        <f>IFERROR(__xludf.DUMMYFUNCTION("""COMPUTED_VALUE"""),"MYNTRA")</f>
        <v>MYNTRA</v>
      </c>
      <c r="D3957" s="115">
        <f>IFERROR(__xludf.DUMMYFUNCTION("""COMPUTED_VALUE"""),41790.0)</f>
        <v>41790</v>
      </c>
      <c r="E3957" s="115">
        <f>IFERROR(__xludf.DUMMYFUNCTION("""COMPUTED_VALUE"""),4836.0)</f>
        <v>4836</v>
      </c>
      <c r="F3957" s="115">
        <f>IFERROR(__xludf.DUMMYFUNCTION("""COMPUTED_VALUE"""),12696.0)</f>
        <v>12696</v>
      </c>
      <c r="G3957" s="115">
        <f>IFERROR(__xludf.DUMMYFUNCTION("""COMPUTED_VALUE"""),195.0)</f>
        <v>195</v>
      </c>
      <c r="H3957" s="116">
        <f>IFERROR(__xludf.DUMMYFUNCTION("""COMPUTED_VALUE"""),45908.0)</f>
        <v>45908</v>
      </c>
      <c r="I3957" s="115" t="str">
        <f>IFERROR(__xludf.DUMMYFUNCTION("""COMPUTED_VALUE"""),"13")</f>
        <v>13</v>
      </c>
      <c r="J3957" s="115" t="str">
        <f>IFERROR(__xludf.DUMMYFUNCTION("""COMPUTED_VALUE"""),"Parag Kashyap2025-09-0813")</f>
        <v>Parag Kashyap2025-09-0813</v>
      </c>
      <c r="K3957" s="115">
        <f>IFERROR(__xludf.DUMMYFUNCTION("""COMPUTED_VALUE"""),46626.0)</f>
        <v>46626</v>
      </c>
    </row>
    <row r="3958">
      <c r="A3958" s="115" t="str">
        <f>IFERROR(__xludf.DUMMYFUNCTION("""COMPUTED_VALUE"""),"NORTH")</f>
        <v>NORTH</v>
      </c>
      <c r="B3958" s="115" t="str">
        <f>IFERROR(__xludf.DUMMYFUNCTION("""COMPUTED_VALUE"""),"Amit Kumar Pathak")</f>
        <v>Amit Kumar Pathak</v>
      </c>
      <c r="C3958" s="115" t="str">
        <f>IFERROR(__xludf.DUMMYFUNCTION("""COMPUTED_VALUE"""),"EXTERNAL")</f>
        <v>EXTERNAL</v>
      </c>
      <c r="D3958" s="115">
        <f>IFERROR(__xludf.DUMMYFUNCTION("""COMPUTED_VALUE"""),27008.0)</f>
        <v>27008</v>
      </c>
      <c r="E3958" s="115">
        <f>IFERROR(__xludf.DUMMYFUNCTION("""COMPUTED_VALUE"""),3467.0)</f>
        <v>3467</v>
      </c>
      <c r="F3958" s="115">
        <f>IFERROR(__xludf.DUMMYFUNCTION("""COMPUTED_VALUE"""),4887.0)</f>
        <v>4887</v>
      </c>
      <c r="G3958" s="115">
        <f>IFERROR(__xludf.DUMMYFUNCTION("""COMPUTED_VALUE"""),523.0)</f>
        <v>523</v>
      </c>
      <c r="H3958" s="116">
        <f>IFERROR(__xludf.DUMMYFUNCTION("""COMPUTED_VALUE"""),45908.0)</f>
        <v>45908</v>
      </c>
      <c r="I3958" s="115" t="str">
        <f>IFERROR(__xludf.DUMMYFUNCTION("""COMPUTED_VALUE"""),"13")</f>
        <v>13</v>
      </c>
      <c r="J3958" s="115" t="str">
        <f>IFERROR(__xludf.DUMMYFUNCTION("""COMPUTED_VALUE"""),"Amit Kumar Pathak2025-09-0813")</f>
        <v>Amit Kumar Pathak2025-09-0813</v>
      </c>
      <c r="K3958" s="115">
        <f>IFERROR(__xludf.DUMMYFUNCTION("""COMPUTED_VALUE"""),30475.0)</f>
        <v>30475</v>
      </c>
    </row>
    <row r="3959">
      <c r="A3959" s="115" t="str">
        <f>IFERROR(__xludf.DUMMYFUNCTION("""COMPUTED_VALUE"""),"NORTH")</f>
        <v>NORTH</v>
      </c>
      <c r="B3959" s="115" t="str">
        <f>IFERROR(__xludf.DUMMYFUNCTION("""COMPUTED_VALUE"""),"Amit Kumar Pathak")</f>
        <v>Amit Kumar Pathak</v>
      </c>
      <c r="C3959" s="115" t="str">
        <f>IFERROR(__xludf.DUMMYFUNCTION("""COMPUTED_VALUE"""),"FLIPKART")</f>
        <v>FLIPKART</v>
      </c>
      <c r="D3959" s="115">
        <f>IFERROR(__xludf.DUMMYFUNCTION("""COMPUTED_VALUE"""),151222.0)</f>
        <v>151222</v>
      </c>
      <c r="E3959" s="115">
        <f>IFERROR(__xludf.DUMMYFUNCTION("""COMPUTED_VALUE"""),21895.0)</f>
        <v>21895</v>
      </c>
      <c r="F3959" s="115">
        <f>IFERROR(__xludf.DUMMYFUNCTION("""COMPUTED_VALUE"""),54264.0)</f>
        <v>54264</v>
      </c>
      <c r="G3959" s="115">
        <f>IFERROR(__xludf.DUMMYFUNCTION("""COMPUTED_VALUE"""),4466.0)</f>
        <v>4466</v>
      </c>
      <c r="H3959" s="116">
        <f>IFERROR(__xludf.DUMMYFUNCTION("""COMPUTED_VALUE"""),45908.0)</f>
        <v>45908</v>
      </c>
      <c r="I3959" s="115" t="str">
        <f>IFERROR(__xludf.DUMMYFUNCTION("""COMPUTED_VALUE"""),"13")</f>
        <v>13</v>
      </c>
      <c r="J3959" s="115" t="str">
        <f>IFERROR(__xludf.DUMMYFUNCTION("""COMPUTED_VALUE"""),"Amit Kumar Pathak2025-09-0813")</f>
        <v>Amit Kumar Pathak2025-09-0813</v>
      </c>
      <c r="K3959" s="115">
        <f>IFERROR(__xludf.DUMMYFUNCTION("""COMPUTED_VALUE"""),173117.0)</f>
        <v>173117</v>
      </c>
    </row>
    <row r="3960">
      <c r="A3960" s="115" t="str">
        <f>IFERROR(__xludf.DUMMYFUNCTION("""COMPUTED_VALUE"""),"NORTH")</f>
        <v>NORTH</v>
      </c>
      <c r="B3960" s="115" t="str">
        <f>IFERROR(__xludf.DUMMYFUNCTION("""COMPUTED_VALUE"""),"Amit Kumar Pathak")</f>
        <v>Amit Kumar Pathak</v>
      </c>
      <c r="C3960" s="115" t="str">
        <f>IFERROR(__xludf.DUMMYFUNCTION("""COMPUTED_VALUE"""),"MYNTRA")</f>
        <v>MYNTRA</v>
      </c>
      <c r="D3960" s="115">
        <f>IFERROR(__xludf.DUMMYFUNCTION("""COMPUTED_VALUE"""),15538.0)</f>
        <v>15538</v>
      </c>
      <c r="E3960" s="115">
        <f>IFERROR(__xludf.DUMMYFUNCTION("""COMPUTED_VALUE"""),5757.0)</f>
        <v>5757</v>
      </c>
      <c r="F3960" s="115">
        <f>IFERROR(__xludf.DUMMYFUNCTION("""COMPUTED_VALUE"""),6940.0)</f>
        <v>6940</v>
      </c>
      <c r="G3960" s="115">
        <f>IFERROR(__xludf.DUMMYFUNCTION("""COMPUTED_VALUE"""),1533.0)</f>
        <v>1533</v>
      </c>
      <c r="H3960" s="116">
        <f>IFERROR(__xludf.DUMMYFUNCTION("""COMPUTED_VALUE"""),45908.0)</f>
        <v>45908</v>
      </c>
      <c r="I3960" s="115" t="str">
        <f>IFERROR(__xludf.DUMMYFUNCTION("""COMPUTED_VALUE"""),"13")</f>
        <v>13</v>
      </c>
      <c r="J3960" s="115" t="str">
        <f>IFERROR(__xludf.DUMMYFUNCTION("""COMPUTED_VALUE"""),"Amit Kumar Pathak2025-09-0813")</f>
        <v>Amit Kumar Pathak2025-09-0813</v>
      </c>
      <c r="K3960" s="115">
        <f>IFERROR(__xludf.DUMMYFUNCTION("""COMPUTED_VALUE"""),21295.0)</f>
        <v>21295</v>
      </c>
    </row>
    <row r="3961">
      <c r="A3961" s="115" t="str">
        <f>IFERROR(__xludf.DUMMYFUNCTION("""COMPUTED_VALUE"""),"NORTH")</f>
        <v>NORTH</v>
      </c>
      <c r="B3961" s="115" t="str">
        <f>IFERROR(__xludf.DUMMYFUNCTION("""COMPUTED_VALUE"""),"Loveleen Singh")</f>
        <v>Loveleen Singh</v>
      </c>
      <c r="C3961" s="115" t="str">
        <f>IFERROR(__xludf.DUMMYFUNCTION("""COMPUTED_VALUE"""),"EXTERNAL")</f>
        <v>EXTERNAL</v>
      </c>
      <c r="D3961" s="115">
        <f>IFERROR(__xludf.DUMMYFUNCTION("""COMPUTED_VALUE"""),34991.0)</f>
        <v>34991</v>
      </c>
      <c r="E3961" s="115">
        <f>IFERROR(__xludf.DUMMYFUNCTION("""COMPUTED_VALUE"""),2559.0)</f>
        <v>2559</v>
      </c>
      <c r="F3961" s="115">
        <f>IFERROR(__xludf.DUMMYFUNCTION("""COMPUTED_VALUE"""),5807.0)</f>
        <v>5807</v>
      </c>
      <c r="G3961" s="115">
        <f>IFERROR(__xludf.DUMMYFUNCTION("""COMPUTED_VALUE"""),131.0)</f>
        <v>131</v>
      </c>
      <c r="H3961" s="116">
        <f>IFERROR(__xludf.DUMMYFUNCTION("""COMPUTED_VALUE"""),45908.0)</f>
        <v>45908</v>
      </c>
      <c r="I3961" s="115" t="str">
        <f>IFERROR(__xludf.DUMMYFUNCTION("""COMPUTED_VALUE"""),"13")</f>
        <v>13</v>
      </c>
      <c r="J3961" s="115" t="str">
        <f>IFERROR(__xludf.DUMMYFUNCTION("""COMPUTED_VALUE"""),"Loveleen Singh2025-09-0813")</f>
        <v>Loveleen Singh2025-09-0813</v>
      </c>
      <c r="K3961" s="115">
        <f>IFERROR(__xludf.DUMMYFUNCTION("""COMPUTED_VALUE"""),37550.0)</f>
        <v>37550</v>
      </c>
    </row>
    <row r="3962">
      <c r="A3962" s="115" t="str">
        <f>IFERROR(__xludf.DUMMYFUNCTION("""COMPUTED_VALUE"""),"NORTH")</f>
        <v>NORTH</v>
      </c>
      <c r="B3962" s="115" t="str">
        <f>IFERROR(__xludf.DUMMYFUNCTION("""COMPUTED_VALUE"""),"Loveleen Singh")</f>
        <v>Loveleen Singh</v>
      </c>
      <c r="C3962" s="115" t="str">
        <f>IFERROR(__xludf.DUMMYFUNCTION("""COMPUTED_VALUE"""),"FLIPKART")</f>
        <v>FLIPKART</v>
      </c>
      <c r="D3962" s="115">
        <f>IFERROR(__xludf.DUMMYFUNCTION("""COMPUTED_VALUE"""),169555.0)</f>
        <v>169555</v>
      </c>
      <c r="E3962" s="115">
        <f>IFERROR(__xludf.DUMMYFUNCTION("""COMPUTED_VALUE"""),14203.0)</f>
        <v>14203</v>
      </c>
      <c r="F3962" s="115">
        <f>IFERROR(__xludf.DUMMYFUNCTION("""COMPUTED_VALUE"""),55180.0)</f>
        <v>55180</v>
      </c>
      <c r="G3962" s="115">
        <f>IFERROR(__xludf.DUMMYFUNCTION("""COMPUTED_VALUE"""),1637.0)</f>
        <v>1637</v>
      </c>
      <c r="H3962" s="116">
        <f>IFERROR(__xludf.DUMMYFUNCTION("""COMPUTED_VALUE"""),45908.0)</f>
        <v>45908</v>
      </c>
      <c r="I3962" s="115" t="str">
        <f>IFERROR(__xludf.DUMMYFUNCTION("""COMPUTED_VALUE"""),"13")</f>
        <v>13</v>
      </c>
      <c r="J3962" s="115" t="str">
        <f>IFERROR(__xludf.DUMMYFUNCTION("""COMPUTED_VALUE"""),"Loveleen Singh2025-09-0813")</f>
        <v>Loveleen Singh2025-09-0813</v>
      </c>
      <c r="K3962" s="115">
        <f>IFERROR(__xludf.DUMMYFUNCTION("""COMPUTED_VALUE"""),183758.0)</f>
        <v>183758</v>
      </c>
    </row>
    <row r="3963">
      <c r="A3963" s="115" t="str">
        <f>IFERROR(__xludf.DUMMYFUNCTION("""COMPUTED_VALUE"""),"NORTH")</f>
        <v>NORTH</v>
      </c>
      <c r="B3963" s="115" t="str">
        <f>IFERROR(__xludf.DUMMYFUNCTION("""COMPUTED_VALUE"""),"Loveleen Singh")</f>
        <v>Loveleen Singh</v>
      </c>
      <c r="C3963" s="115" t="str">
        <f>IFERROR(__xludf.DUMMYFUNCTION("""COMPUTED_VALUE"""),"MYNTRA")</f>
        <v>MYNTRA</v>
      </c>
      <c r="D3963" s="115">
        <f>IFERROR(__xludf.DUMMYFUNCTION("""COMPUTED_VALUE"""),31231.0)</f>
        <v>31231</v>
      </c>
      <c r="E3963" s="115">
        <f>IFERROR(__xludf.DUMMYFUNCTION("""COMPUTED_VALUE"""),5896.0)</f>
        <v>5896</v>
      </c>
      <c r="F3963" s="115">
        <f>IFERROR(__xludf.DUMMYFUNCTION("""COMPUTED_VALUE"""),12212.0)</f>
        <v>12212</v>
      </c>
      <c r="G3963" s="115">
        <f>IFERROR(__xludf.DUMMYFUNCTION("""COMPUTED_VALUE"""),811.0)</f>
        <v>811</v>
      </c>
      <c r="H3963" s="116">
        <f>IFERROR(__xludf.DUMMYFUNCTION("""COMPUTED_VALUE"""),45908.0)</f>
        <v>45908</v>
      </c>
      <c r="I3963" s="115" t="str">
        <f>IFERROR(__xludf.DUMMYFUNCTION("""COMPUTED_VALUE"""),"13")</f>
        <v>13</v>
      </c>
      <c r="J3963" s="115" t="str">
        <f>IFERROR(__xludf.DUMMYFUNCTION("""COMPUTED_VALUE"""),"Loveleen Singh2025-09-0813")</f>
        <v>Loveleen Singh2025-09-0813</v>
      </c>
      <c r="K3963" s="115">
        <f>IFERROR(__xludf.DUMMYFUNCTION("""COMPUTED_VALUE"""),37127.0)</f>
        <v>37127</v>
      </c>
    </row>
    <row r="3964">
      <c r="A3964" s="115" t="str">
        <f>IFERROR(__xludf.DUMMYFUNCTION("""COMPUTED_VALUE"""),"NORTH")</f>
        <v>NORTH</v>
      </c>
      <c r="B3964" s="115" t="str">
        <f>IFERROR(__xludf.DUMMYFUNCTION("""COMPUTED_VALUE"""),"Manoj Harsh")</f>
        <v>Manoj Harsh</v>
      </c>
      <c r="C3964" s="115" t="str">
        <f>IFERROR(__xludf.DUMMYFUNCTION("""COMPUTED_VALUE"""),"EXTERNAL")</f>
        <v>EXTERNAL</v>
      </c>
      <c r="D3964" s="115">
        <f>IFERROR(__xludf.DUMMYFUNCTION("""COMPUTED_VALUE"""),36500.0)</f>
        <v>36500</v>
      </c>
      <c r="E3964" s="115">
        <f>IFERROR(__xludf.DUMMYFUNCTION("""COMPUTED_VALUE"""),2904.0)</f>
        <v>2904</v>
      </c>
      <c r="F3964" s="115">
        <f>IFERROR(__xludf.DUMMYFUNCTION("""COMPUTED_VALUE"""),6481.0)</f>
        <v>6481</v>
      </c>
      <c r="G3964" s="115">
        <f>IFERROR(__xludf.DUMMYFUNCTION("""COMPUTED_VALUE"""),158.0)</f>
        <v>158</v>
      </c>
      <c r="H3964" s="116">
        <f>IFERROR(__xludf.DUMMYFUNCTION("""COMPUTED_VALUE"""),45908.0)</f>
        <v>45908</v>
      </c>
      <c r="I3964" s="115" t="str">
        <f>IFERROR(__xludf.DUMMYFUNCTION("""COMPUTED_VALUE"""),"13")</f>
        <v>13</v>
      </c>
      <c r="J3964" s="115" t="str">
        <f>IFERROR(__xludf.DUMMYFUNCTION("""COMPUTED_VALUE"""),"Manoj Harsh2025-09-0813")</f>
        <v>Manoj Harsh2025-09-0813</v>
      </c>
      <c r="K3964" s="115">
        <f>IFERROR(__xludf.DUMMYFUNCTION("""COMPUTED_VALUE"""),39404.0)</f>
        <v>39404</v>
      </c>
    </row>
    <row r="3965">
      <c r="A3965" s="115" t="str">
        <f>IFERROR(__xludf.DUMMYFUNCTION("""COMPUTED_VALUE"""),"NORTH")</f>
        <v>NORTH</v>
      </c>
      <c r="B3965" s="115" t="str">
        <f>IFERROR(__xludf.DUMMYFUNCTION("""COMPUTED_VALUE"""),"Manoj Harsh")</f>
        <v>Manoj Harsh</v>
      </c>
      <c r="C3965" s="115" t="str">
        <f>IFERROR(__xludf.DUMMYFUNCTION("""COMPUTED_VALUE"""),"FLIPKART")</f>
        <v>FLIPKART</v>
      </c>
      <c r="D3965" s="115">
        <f>IFERROR(__xludf.DUMMYFUNCTION("""COMPUTED_VALUE"""),373434.0)</f>
        <v>373434</v>
      </c>
      <c r="E3965" s="115">
        <f>IFERROR(__xludf.DUMMYFUNCTION("""COMPUTED_VALUE"""),38065.0)</f>
        <v>38065</v>
      </c>
      <c r="F3965" s="115">
        <f>IFERROR(__xludf.DUMMYFUNCTION("""COMPUTED_VALUE"""),117713.0)</f>
        <v>117713</v>
      </c>
      <c r="G3965" s="115">
        <f>IFERROR(__xludf.DUMMYFUNCTION("""COMPUTED_VALUE"""),3692.0)</f>
        <v>3692</v>
      </c>
      <c r="H3965" s="116">
        <f>IFERROR(__xludf.DUMMYFUNCTION("""COMPUTED_VALUE"""),45908.0)</f>
        <v>45908</v>
      </c>
      <c r="I3965" s="115" t="str">
        <f>IFERROR(__xludf.DUMMYFUNCTION("""COMPUTED_VALUE"""),"13")</f>
        <v>13</v>
      </c>
      <c r="J3965" s="115" t="str">
        <f>IFERROR(__xludf.DUMMYFUNCTION("""COMPUTED_VALUE"""),"Manoj Harsh2025-09-0813")</f>
        <v>Manoj Harsh2025-09-0813</v>
      </c>
      <c r="K3965" s="115">
        <f>IFERROR(__xludf.DUMMYFUNCTION("""COMPUTED_VALUE"""),411499.0)</f>
        <v>411499</v>
      </c>
    </row>
    <row r="3966">
      <c r="A3966" s="115" t="str">
        <f>IFERROR(__xludf.DUMMYFUNCTION("""COMPUTED_VALUE"""),"NORTH")</f>
        <v>NORTH</v>
      </c>
      <c r="B3966" s="115" t="str">
        <f>IFERROR(__xludf.DUMMYFUNCTION("""COMPUTED_VALUE"""),"Manoj Harsh")</f>
        <v>Manoj Harsh</v>
      </c>
      <c r="C3966" s="115" t="str">
        <f>IFERROR(__xludf.DUMMYFUNCTION("""COMPUTED_VALUE"""),"MYNTRA")</f>
        <v>MYNTRA</v>
      </c>
      <c r="D3966" s="115">
        <f>IFERROR(__xludf.DUMMYFUNCTION("""COMPUTED_VALUE"""),38171.0)</f>
        <v>38171</v>
      </c>
      <c r="E3966" s="115">
        <f>IFERROR(__xludf.DUMMYFUNCTION("""COMPUTED_VALUE"""),7292.0)</f>
        <v>7292</v>
      </c>
      <c r="F3966" s="115">
        <f>IFERROR(__xludf.DUMMYFUNCTION("""COMPUTED_VALUE"""),14473.0)</f>
        <v>14473</v>
      </c>
      <c r="G3966" s="115">
        <f>IFERROR(__xludf.DUMMYFUNCTION("""COMPUTED_VALUE"""),828.0)</f>
        <v>828</v>
      </c>
      <c r="H3966" s="116">
        <f>IFERROR(__xludf.DUMMYFUNCTION("""COMPUTED_VALUE"""),45908.0)</f>
        <v>45908</v>
      </c>
      <c r="I3966" s="115" t="str">
        <f>IFERROR(__xludf.DUMMYFUNCTION("""COMPUTED_VALUE"""),"13")</f>
        <v>13</v>
      </c>
      <c r="J3966" s="115" t="str">
        <f>IFERROR(__xludf.DUMMYFUNCTION("""COMPUTED_VALUE"""),"Manoj Harsh2025-09-0813")</f>
        <v>Manoj Harsh2025-09-0813</v>
      </c>
      <c r="K3966" s="115">
        <f>IFERROR(__xludf.DUMMYFUNCTION("""COMPUTED_VALUE"""),45463.0)</f>
        <v>45463</v>
      </c>
    </row>
    <row r="3967">
      <c r="A3967" s="115" t="str">
        <f>IFERROR(__xludf.DUMMYFUNCTION("""COMPUTED_VALUE"""),"NORTH")</f>
        <v>NORTH</v>
      </c>
      <c r="B3967" s="115" t="str">
        <f>IFERROR(__xludf.DUMMYFUNCTION("""COMPUTED_VALUE"""),"Pradeep Kothari")</f>
        <v>Pradeep Kothari</v>
      </c>
      <c r="C3967" s="115" t="str">
        <f>IFERROR(__xludf.DUMMYFUNCTION("""COMPUTED_VALUE"""),"EXTERNAL")</f>
        <v>EXTERNAL</v>
      </c>
      <c r="D3967" s="115">
        <f>IFERROR(__xludf.DUMMYFUNCTION("""COMPUTED_VALUE"""),20341.0)</f>
        <v>20341</v>
      </c>
      <c r="E3967" s="115">
        <f>IFERROR(__xludf.DUMMYFUNCTION("""COMPUTED_VALUE"""),2010.0)</f>
        <v>2010</v>
      </c>
      <c r="F3967" s="115">
        <f>IFERROR(__xludf.DUMMYFUNCTION("""COMPUTED_VALUE"""),4462.0)</f>
        <v>4462</v>
      </c>
      <c r="G3967" s="115">
        <f>IFERROR(__xludf.DUMMYFUNCTION("""COMPUTED_VALUE"""),228.0)</f>
        <v>228</v>
      </c>
      <c r="H3967" s="116">
        <f>IFERROR(__xludf.DUMMYFUNCTION("""COMPUTED_VALUE"""),45908.0)</f>
        <v>45908</v>
      </c>
      <c r="I3967" s="115" t="str">
        <f>IFERROR(__xludf.DUMMYFUNCTION("""COMPUTED_VALUE"""),"13")</f>
        <v>13</v>
      </c>
      <c r="J3967" s="115" t="str">
        <f>IFERROR(__xludf.DUMMYFUNCTION("""COMPUTED_VALUE"""),"Pradeep Kothari2025-09-0813")</f>
        <v>Pradeep Kothari2025-09-0813</v>
      </c>
      <c r="K3967" s="115">
        <f>IFERROR(__xludf.DUMMYFUNCTION("""COMPUTED_VALUE"""),22351.0)</f>
        <v>22351</v>
      </c>
    </row>
    <row r="3968">
      <c r="A3968" s="115" t="str">
        <f>IFERROR(__xludf.DUMMYFUNCTION("""COMPUTED_VALUE"""),"NORTH")</f>
        <v>NORTH</v>
      </c>
      <c r="B3968" s="115" t="str">
        <f>IFERROR(__xludf.DUMMYFUNCTION("""COMPUTED_VALUE"""),"Pradeep Kothari")</f>
        <v>Pradeep Kothari</v>
      </c>
      <c r="C3968" s="115" t="str">
        <f>IFERROR(__xludf.DUMMYFUNCTION("""COMPUTED_VALUE"""),"FLIPKART")</f>
        <v>FLIPKART</v>
      </c>
      <c r="D3968" s="115">
        <f>IFERROR(__xludf.DUMMYFUNCTION("""COMPUTED_VALUE"""),135305.0)</f>
        <v>135305</v>
      </c>
      <c r="E3968" s="115">
        <f>IFERROR(__xludf.DUMMYFUNCTION("""COMPUTED_VALUE"""),16895.0)</f>
        <v>16895</v>
      </c>
      <c r="F3968" s="115">
        <f>IFERROR(__xludf.DUMMYFUNCTION("""COMPUTED_VALUE"""),55927.0)</f>
        <v>55927</v>
      </c>
      <c r="G3968" s="115">
        <f>IFERROR(__xludf.DUMMYFUNCTION("""COMPUTED_VALUE"""),3100.0)</f>
        <v>3100</v>
      </c>
      <c r="H3968" s="116">
        <f>IFERROR(__xludf.DUMMYFUNCTION("""COMPUTED_VALUE"""),45908.0)</f>
        <v>45908</v>
      </c>
      <c r="I3968" s="115" t="str">
        <f>IFERROR(__xludf.DUMMYFUNCTION("""COMPUTED_VALUE"""),"13")</f>
        <v>13</v>
      </c>
      <c r="J3968" s="115" t="str">
        <f>IFERROR(__xludf.DUMMYFUNCTION("""COMPUTED_VALUE"""),"Pradeep Kothari2025-09-0813")</f>
        <v>Pradeep Kothari2025-09-0813</v>
      </c>
      <c r="K3968" s="115">
        <f>IFERROR(__xludf.DUMMYFUNCTION("""COMPUTED_VALUE"""),152200.0)</f>
        <v>152200</v>
      </c>
    </row>
    <row r="3969">
      <c r="A3969" s="115" t="str">
        <f>IFERROR(__xludf.DUMMYFUNCTION("""COMPUTED_VALUE"""),"NORTH")</f>
        <v>NORTH</v>
      </c>
      <c r="B3969" s="115" t="str">
        <f>IFERROR(__xludf.DUMMYFUNCTION("""COMPUTED_VALUE"""),"Pradeep Kothari")</f>
        <v>Pradeep Kothari</v>
      </c>
      <c r="C3969" s="115" t="str">
        <f>IFERROR(__xludf.DUMMYFUNCTION("""COMPUTED_VALUE"""),"MYNTRA")</f>
        <v>MYNTRA</v>
      </c>
      <c r="D3969" s="115">
        <f>IFERROR(__xludf.DUMMYFUNCTION("""COMPUTED_VALUE"""),27307.0)</f>
        <v>27307</v>
      </c>
      <c r="E3969" s="115">
        <f>IFERROR(__xludf.DUMMYFUNCTION("""COMPUTED_VALUE"""),6530.0)</f>
        <v>6530</v>
      </c>
      <c r="F3969" s="115">
        <f>IFERROR(__xludf.DUMMYFUNCTION("""COMPUTED_VALUE"""),14280.0)</f>
        <v>14280</v>
      </c>
      <c r="G3969" s="115">
        <f>IFERROR(__xludf.DUMMYFUNCTION("""COMPUTED_VALUE"""),1580.0)</f>
        <v>1580</v>
      </c>
      <c r="H3969" s="116">
        <f>IFERROR(__xludf.DUMMYFUNCTION("""COMPUTED_VALUE"""),45908.0)</f>
        <v>45908</v>
      </c>
      <c r="I3969" s="115" t="str">
        <f>IFERROR(__xludf.DUMMYFUNCTION("""COMPUTED_VALUE"""),"13")</f>
        <v>13</v>
      </c>
      <c r="J3969" s="115" t="str">
        <f>IFERROR(__xludf.DUMMYFUNCTION("""COMPUTED_VALUE"""),"Pradeep Kothari2025-09-0813")</f>
        <v>Pradeep Kothari2025-09-0813</v>
      </c>
      <c r="K3969" s="115">
        <f>IFERROR(__xludf.DUMMYFUNCTION("""COMPUTED_VALUE"""),33837.0)</f>
        <v>33837</v>
      </c>
    </row>
    <row r="3970">
      <c r="A3970" s="115" t="str">
        <f>IFERROR(__xludf.DUMMYFUNCTION("""COMPUTED_VALUE"""),"SOUTH")</f>
        <v>SOUTH</v>
      </c>
      <c r="B3970" s="115" t="str">
        <f>IFERROR(__xludf.DUMMYFUNCTION("""COMPUTED_VALUE"""),"0")</f>
        <v>0</v>
      </c>
      <c r="C3970" s="115" t="str">
        <f>IFERROR(__xludf.DUMMYFUNCTION("""COMPUTED_VALUE"""),"EXTERNAL")</f>
        <v>EXTERNAL</v>
      </c>
      <c r="D3970" s="115">
        <f>IFERROR(__xludf.DUMMYFUNCTION("""COMPUTED_VALUE"""),1.0)</f>
        <v>1</v>
      </c>
      <c r="E3970" s="115">
        <f>IFERROR(__xludf.DUMMYFUNCTION("""COMPUTED_VALUE"""),0.0)</f>
        <v>0</v>
      </c>
      <c r="F3970" s="115">
        <f>IFERROR(__xludf.DUMMYFUNCTION("""COMPUTED_VALUE"""),0.0)</f>
        <v>0</v>
      </c>
      <c r="G3970" s="115">
        <f>IFERROR(__xludf.DUMMYFUNCTION("""COMPUTED_VALUE"""),0.0)</f>
        <v>0</v>
      </c>
      <c r="H3970" s="116">
        <f>IFERROR(__xludf.DUMMYFUNCTION("""COMPUTED_VALUE"""),45908.0)</f>
        <v>45908</v>
      </c>
      <c r="I3970" s="115" t="str">
        <f>IFERROR(__xludf.DUMMYFUNCTION("""COMPUTED_VALUE"""),"13")</f>
        <v>13</v>
      </c>
      <c r="J3970" s="115" t="str">
        <f>IFERROR(__xludf.DUMMYFUNCTION("""COMPUTED_VALUE"""),"02025-09-0813")</f>
        <v>02025-09-0813</v>
      </c>
      <c r="K3970" s="115">
        <f>IFERROR(__xludf.DUMMYFUNCTION("""COMPUTED_VALUE"""),1.0)</f>
        <v>1</v>
      </c>
    </row>
    <row r="3971">
      <c r="A3971" s="115" t="str">
        <f>IFERROR(__xludf.DUMMYFUNCTION("""COMPUTED_VALUE"""),"SOUTH")</f>
        <v>SOUTH</v>
      </c>
      <c r="B3971" s="115" t="str">
        <f>IFERROR(__xludf.DUMMYFUNCTION("""COMPUTED_VALUE"""),"0")</f>
        <v>0</v>
      </c>
      <c r="C3971" s="115" t="str">
        <f>IFERROR(__xludf.DUMMYFUNCTION("""COMPUTED_VALUE"""),"FLIPKART")</f>
        <v>FLIPKART</v>
      </c>
      <c r="D3971" s="115">
        <f>IFERROR(__xludf.DUMMYFUNCTION("""COMPUTED_VALUE"""),37.0)</f>
        <v>37</v>
      </c>
      <c r="E3971" s="115">
        <f>IFERROR(__xludf.DUMMYFUNCTION("""COMPUTED_VALUE"""),0.0)</f>
        <v>0</v>
      </c>
      <c r="F3971" s="115">
        <f>IFERROR(__xludf.DUMMYFUNCTION("""COMPUTED_VALUE"""),0.0)</f>
        <v>0</v>
      </c>
      <c r="G3971" s="115">
        <f>IFERROR(__xludf.DUMMYFUNCTION("""COMPUTED_VALUE"""),0.0)</f>
        <v>0</v>
      </c>
      <c r="H3971" s="116">
        <f>IFERROR(__xludf.DUMMYFUNCTION("""COMPUTED_VALUE"""),45908.0)</f>
        <v>45908</v>
      </c>
      <c r="I3971" s="115" t="str">
        <f>IFERROR(__xludf.DUMMYFUNCTION("""COMPUTED_VALUE"""),"13")</f>
        <v>13</v>
      </c>
      <c r="J3971" s="115" t="str">
        <f>IFERROR(__xludf.DUMMYFUNCTION("""COMPUTED_VALUE"""),"02025-09-0813")</f>
        <v>02025-09-0813</v>
      </c>
      <c r="K3971" s="115">
        <f>IFERROR(__xludf.DUMMYFUNCTION("""COMPUTED_VALUE"""),37.0)</f>
        <v>37</v>
      </c>
    </row>
    <row r="3972">
      <c r="A3972" s="115" t="str">
        <f>IFERROR(__xludf.DUMMYFUNCTION("""COMPUTED_VALUE"""),"SOUTH")</f>
        <v>SOUTH</v>
      </c>
      <c r="B3972" s="115" t="str">
        <f>IFERROR(__xludf.DUMMYFUNCTION("""COMPUTED_VALUE"""),"0")</f>
        <v>0</v>
      </c>
      <c r="C3972" s="115" t="str">
        <f>IFERROR(__xludf.DUMMYFUNCTION("""COMPUTED_VALUE"""),"MYNTRA")</f>
        <v>MYNTRA</v>
      </c>
      <c r="D3972" s="115">
        <f>IFERROR(__xludf.DUMMYFUNCTION("""COMPUTED_VALUE"""),1.0)</f>
        <v>1</v>
      </c>
      <c r="E3972" s="115">
        <f>IFERROR(__xludf.DUMMYFUNCTION("""COMPUTED_VALUE"""),9.0)</f>
        <v>9</v>
      </c>
      <c r="F3972" s="115">
        <f>IFERROR(__xludf.DUMMYFUNCTION("""COMPUTED_VALUE"""),0.0)</f>
        <v>0</v>
      </c>
      <c r="G3972" s="115">
        <f>IFERROR(__xludf.DUMMYFUNCTION("""COMPUTED_VALUE"""),0.0)</f>
        <v>0</v>
      </c>
      <c r="H3972" s="116">
        <f>IFERROR(__xludf.DUMMYFUNCTION("""COMPUTED_VALUE"""),45908.0)</f>
        <v>45908</v>
      </c>
      <c r="I3972" s="115" t="str">
        <f>IFERROR(__xludf.DUMMYFUNCTION("""COMPUTED_VALUE"""),"13")</f>
        <v>13</v>
      </c>
      <c r="J3972" s="115" t="str">
        <f>IFERROR(__xludf.DUMMYFUNCTION("""COMPUTED_VALUE"""),"02025-09-0813")</f>
        <v>02025-09-0813</v>
      </c>
      <c r="K3972" s="115">
        <f>IFERROR(__xludf.DUMMYFUNCTION("""COMPUTED_VALUE"""),10.0)</f>
        <v>10</v>
      </c>
    </row>
    <row r="3973">
      <c r="A3973" s="115" t="str">
        <f>IFERROR(__xludf.DUMMYFUNCTION("""COMPUTED_VALUE"""),"SOUTH")</f>
        <v>SOUTH</v>
      </c>
      <c r="B3973" s="115" t="str">
        <f>IFERROR(__xludf.DUMMYFUNCTION("""COMPUTED_VALUE"""),"Kandula Sampath")</f>
        <v>Kandula Sampath</v>
      </c>
      <c r="C3973" s="115" t="str">
        <f>IFERROR(__xludf.DUMMYFUNCTION("""COMPUTED_VALUE"""),"EXTERNAL")</f>
        <v>EXTERNAL</v>
      </c>
      <c r="D3973" s="115">
        <f>IFERROR(__xludf.DUMMYFUNCTION("""COMPUTED_VALUE"""),35921.0)</f>
        <v>35921</v>
      </c>
      <c r="E3973" s="115">
        <f>IFERROR(__xludf.DUMMYFUNCTION("""COMPUTED_VALUE"""),3870.0)</f>
        <v>3870</v>
      </c>
      <c r="F3973" s="115">
        <f>IFERROR(__xludf.DUMMYFUNCTION("""COMPUTED_VALUE"""),8283.0)</f>
        <v>8283</v>
      </c>
      <c r="G3973" s="115">
        <f>IFERROR(__xludf.DUMMYFUNCTION("""COMPUTED_VALUE"""),265.0)</f>
        <v>265</v>
      </c>
      <c r="H3973" s="116">
        <f>IFERROR(__xludf.DUMMYFUNCTION("""COMPUTED_VALUE"""),45908.0)</f>
        <v>45908</v>
      </c>
      <c r="I3973" s="115" t="str">
        <f>IFERROR(__xludf.DUMMYFUNCTION("""COMPUTED_VALUE"""),"13")</f>
        <v>13</v>
      </c>
      <c r="J3973" s="115" t="str">
        <f>IFERROR(__xludf.DUMMYFUNCTION("""COMPUTED_VALUE"""),"Kandula Sampath2025-09-0813")</f>
        <v>Kandula Sampath2025-09-0813</v>
      </c>
      <c r="K3973" s="115">
        <f>IFERROR(__xludf.DUMMYFUNCTION("""COMPUTED_VALUE"""),39791.0)</f>
        <v>39791</v>
      </c>
    </row>
    <row r="3974">
      <c r="A3974" s="115" t="str">
        <f>IFERROR(__xludf.DUMMYFUNCTION("""COMPUTED_VALUE"""),"SOUTH")</f>
        <v>SOUTH</v>
      </c>
      <c r="B3974" s="115" t="str">
        <f>IFERROR(__xludf.DUMMYFUNCTION("""COMPUTED_VALUE"""),"Kandula Sampath")</f>
        <v>Kandula Sampath</v>
      </c>
      <c r="C3974" s="115" t="str">
        <f>IFERROR(__xludf.DUMMYFUNCTION("""COMPUTED_VALUE"""),"FLIPKART")</f>
        <v>FLIPKART</v>
      </c>
      <c r="D3974" s="115">
        <f>IFERROR(__xludf.DUMMYFUNCTION("""COMPUTED_VALUE"""),337945.0)</f>
        <v>337945</v>
      </c>
      <c r="E3974" s="115">
        <f>IFERROR(__xludf.DUMMYFUNCTION("""COMPUTED_VALUE"""),30892.0)</f>
        <v>30892</v>
      </c>
      <c r="F3974" s="115">
        <f>IFERROR(__xludf.DUMMYFUNCTION("""COMPUTED_VALUE"""),132648.0)</f>
        <v>132648</v>
      </c>
      <c r="G3974" s="115">
        <f>IFERROR(__xludf.DUMMYFUNCTION("""COMPUTED_VALUE"""),3370.0)</f>
        <v>3370</v>
      </c>
      <c r="H3974" s="116">
        <f>IFERROR(__xludf.DUMMYFUNCTION("""COMPUTED_VALUE"""),45908.0)</f>
        <v>45908</v>
      </c>
      <c r="I3974" s="115" t="str">
        <f>IFERROR(__xludf.DUMMYFUNCTION("""COMPUTED_VALUE"""),"13")</f>
        <v>13</v>
      </c>
      <c r="J3974" s="115" t="str">
        <f>IFERROR(__xludf.DUMMYFUNCTION("""COMPUTED_VALUE"""),"Kandula Sampath2025-09-0813")</f>
        <v>Kandula Sampath2025-09-0813</v>
      </c>
      <c r="K3974" s="115">
        <f>IFERROR(__xludf.DUMMYFUNCTION("""COMPUTED_VALUE"""),368837.0)</f>
        <v>368837</v>
      </c>
    </row>
    <row r="3975">
      <c r="A3975" s="115" t="str">
        <f>IFERROR(__xludf.DUMMYFUNCTION("""COMPUTED_VALUE"""),"SOUTH")</f>
        <v>SOUTH</v>
      </c>
      <c r="B3975" s="115" t="str">
        <f>IFERROR(__xludf.DUMMYFUNCTION("""COMPUTED_VALUE"""),"Kandula Sampath")</f>
        <v>Kandula Sampath</v>
      </c>
      <c r="C3975" s="115" t="str">
        <f>IFERROR(__xludf.DUMMYFUNCTION("""COMPUTED_VALUE"""),"MYNTRA")</f>
        <v>MYNTRA</v>
      </c>
      <c r="D3975" s="115">
        <f>IFERROR(__xludf.DUMMYFUNCTION("""COMPUTED_VALUE"""),39895.0)</f>
        <v>39895</v>
      </c>
      <c r="E3975" s="115">
        <f>IFERROR(__xludf.DUMMYFUNCTION("""COMPUTED_VALUE"""),8678.0)</f>
        <v>8678</v>
      </c>
      <c r="F3975" s="115">
        <f>IFERROR(__xludf.DUMMYFUNCTION("""COMPUTED_VALUE"""),18192.0)</f>
        <v>18192</v>
      </c>
      <c r="G3975" s="115">
        <f>IFERROR(__xludf.DUMMYFUNCTION("""COMPUTED_VALUE"""),1098.0)</f>
        <v>1098</v>
      </c>
      <c r="H3975" s="116">
        <f>IFERROR(__xludf.DUMMYFUNCTION("""COMPUTED_VALUE"""),45908.0)</f>
        <v>45908</v>
      </c>
      <c r="I3975" s="115" t="str">
        <f>IFERROR(__xludf.DUMMYFUNCTION("""COMPUTED_VALUE"""),"13")</f>
        <v>13</v>
      </c>
      <c r="J3975" s="115" t="str">
        <f>IFERROR(__xludf.DUMMYFUNCTION("""COMPUTED_VALUE"""),"Kandula Sampath2025-09-0813")</f>
        <v>Kandula Sampath2025-09-0813</v>
      </c>
      <c r="K3975" s="115">
        <f>IFERROR(__xludf.DUMMYFUNCTION("""COMPUTED_VALUE"""),48573.0)</f>
        <v>48573</v>
      </c>
    </row>
    <row r="3976">
      <c r="A3976" s="115" t="str">
        <f>IFERROR(__xludf.DUMMYFUNCTION("""COMPUTED_VALUE"""),"SOUTH")</f>
        <v>SOUTH</v>
      </c>
      <c r="B3976" s="115" t="str">
        <f>IFERROR(__xludf.DUMMYFUNCTION("""COMPUTED_VALUE"""),"Martin A")</f>
        <v>Martin A</v>
      </c>
      <c r="C3976" s="115" t="str">
        <f>IFERROR(__xludf.DUMMYFUNCTION("""COMPUTED_VALUE"""),"EXTERNAL")</f>
        <v>EXTERNAL</v>
      </c>
      <c r="D3976" s="115">
        <f>IFERROR(__xludf.DUMMYFUNCTION("""COMPUTED_VALUE"""),33156.0)</f>
        <v>33156</v>
      </c>
      <c r="E3976" s="115">
        <f>IFERROR(__xludf.DUMMYFUNCTION("""COMPUTED_VALUE"""),4055.0)</f>
        <v>4055</v>
      </c>
      <c r="F3976" s="115">
        <f>IFERROR(__xludf.DUMMYFUNCTION("""COMPUTED_VALUE"""),7502.0)</f>
        <v>7502</v>
      </c>
      <c r="G3976" s="115">
        <f>IFERROR(__xludf.DUMMYFUNCTION("""COMPUTED_VALUE"""),607.0)</f>
        <v>607</v>
      </c>
      <c r="H3976" s="116">
        <f>IFERROR(__xludf.DUMMYFUNCTION("""COMPUTED_VALUE"""),45908.0)</f>
        <v>45908</v>
      </c>
      <c r="I3976" s="115" t="str">
        <f>IFERROR(__xludf.DUMMYFUNCTION("""COMPUTED_VALUE"""),"13")</f>
        <v>13</v>
      </c>
      <c r="J3976" s="115" t="str">
        <f>IFERROR(__xludf.DUMMYFUNCTION("""COMPUTED_VALUE"""),"Martin A2025-09-0813")</f>
        <v>Martin A2025-09-0813</v>
      </c>
      <c r="K3976" s="115">
        <f>IFERROR(__xludf.DUMMYFUNCTION("""COMPUTED_VALUE"""),37211.0)</f>
        <v>37211</v>
      </c>
    </row>
    <row r="3977">
      <c r="A3977" s="115" t="str">
        <f>IFERROR(__xludf.DUMMYFUNCTION("""COMPUTED_VALUE"""),"SOUTH")</f>
        <v>SOUTH</v>
      </c>
      <c r="B3977" s="115" t="str">
        <f>IFERROR(__xludf.DUMMYFUNCTION("""COMPUTED_VALUE"""),"Martin A")</f>
        <v>Martin A</v>
      </c>
      <c r="C3977" s="115" t="str">
        <f>IFERROR(__xludf.DUMMYFUNCTION("""COMPUTED_VALUE"""),"FLIPKART")</f>
        <v>FLIPKART</v>
      </c>
      <c r="D3977" s="115">
        <f>IFERROR(__xludf.DUMMYFUNCTION("""COMPUTED_VALUE"""),270268.0)</f>
        <v>270268</v>
      </c>
      <c r="E3977" s="115">
        <f>IFERROR(__xludf.DUMMYFUNCTION("""COMPUTED_VALUE"""),26313.0)</f>
        <v>26313</v>
      </c>
      <c r="F3977" s="115">
        <f>IFERROR(__xludf.DUMMYFUNCTION("""COMPUTED_VALUE"""),106273.0)</f>
        <v>106273</v>
      </c>
      <c r="G3977" s="115">
        <f>IFERROR(__xludf.DUMMYFUNCTION("""COMPUTED_VALUE"""),3684.0)</f>
        <v>3684</v>
      </c>
      <c r="H3977" s="116">
        <f>IFERROR(__xludf.DUMMYFUNCTION("""COMPUTED_VALUE"""),45908.0)</f>
        <v>45908</v>
      </c>
      <c r="I3977" s="115" t="str">
        <f>IFERROR(__xludf.DUMMYFUNCTION("""COMPUTED_VALUE"""),"13")</f>
        <v>13</v>
      </c>
      <c r="J3977" s="115" t="str">
        <f>IFERROR(__xludf.DUMMYFUNCTION("""COMPUTED_VALUE"""),"Martin A2025-09-0813")</f>
        <v>Martin A2025-09-0813</v>
      </c>
      <c r="K3977" s="115">
        <f>IFERROR(__xludf.DUMMYFUNCTION("""COMPUTED_VALUE"""),296581.0)</f>
        <v>296581</v>
      </c>
    </row>
    <row r="3978">
      <c r="A3978" s="115" t="str">
        <f>IFERROR(__xludf.DUMMYFUNCTION("""COMPUTED_VALUE"""),"SOUTH")</f>
        <v>SOUTH</v>
      </c>
      <c r="B3978" s="115" t="str">
        <f>IFERROR(__xludf.DUMMYFUNCTION("""COMPUTED_VALUE"""),"Martin A")</f>
        <v>Martin A</v>
      </c>
      <c r="C3978" s="115" t="str">
        <f>IFERROR(__xludf.DUMMYFUNCTION("""COMPUTED_VALUE"""),"MYNTRA")</f>
        <v>MYNTRA</v>
      </c>
      <c r="D3978" s="115">
        <f>IFERROR(__xludf.DUMMYFUNCTION("""COMPUTED_VALUE"""),27046.0)</f>
        <v>27046</v>
      </c>
      <c r="E3978" s="115">
        <f>IFERROR(__xludf.DUMMYFUNCTION("""COMPUTED_VALUE"""),7188.0)</f>
        <v>7188</v>
      </c>
      <c r="F3978" s="115">
        <f>IFERROR(__xludf.DUMMYFUNCTION("""COMPUTED_VALUE"""),12664.0)</f>
        <v>12664</v>
      </c>
      <c r="G3978" s="115">
        <f>IFERROR(__xludf.DUMMYFUNCTION("""COMPUTED_VALUE"""),1156.0)</f>
        <v>1156</v>
      </c>
      <c r="H3978" s="116">
        <f>IFERROR(__xludf.DUMMYFUNCTION("""COMPUTED_VALUE"""),45908.0)</f>
        <v>45908</v>
      </c>
      <c r="I3978" s="115" t="str">
        <f>IFERROR(__xludf.DUMMYFUNCTION("""COMPUTED_VALUE"""),"13")</f>
        <v>13</v>
      </c>
      <c r="J3978" s="115" t="str">
        <f>IFERROR(__xludf.DUMMYFUNCTION("""COMPUTED_VALUE"""),"Martin A2025-09-0813")</f>
        <v>Martin A2025-09-0813</v>
      </c>
      <c r="K3978" s="115">
        <f>IFERROR(__xludf.DUMMYFUNCTION("""COMPUTED_VALUE"""),34234.0)</f>
        <v>34234</v>
      </c>
    </row>
    <row r="3979">
      <c r="A3979" s="115" t="str">
        <f>IFERROR(__xludf.DUMMYFUNCTION("""COMPUTED_VALUE"""),"SOUTH")</f>
        <v>SOUTH</v>
      </c>
      <c r="B3979" s="115" t="str">
        <f>IFERROR(__xludf.DUMMYFUNCTION("""COMPUTED_VALUE"""),"Premkumar M")</f>
        <v>Premkumar M</v>
      </c>
      <c r="C3979" s="115" t="str">
        <f>IFERROR(__xludf.DUMMYFUNCTION("""COMPUTED_VALUE"""),"EXTERNAL")</f>
        <v>EXTERNAL</v>
      </c>
      <c r="D3979" s="115">
        <f>IFERROR(__xludf.DUMMYFUNCTION("""COMPUTED_VALUE"""),29333.0)</f>
        <v>29333</v>
      </c>
      <c r="E3979" s="115">
        <f>IFERROR(__xludf.DUMMYFUNCTION("""COMPUTED_VALUE"""),1658.0)</f>
        <v>1658</v>
      </c>
      <c r="F3979" s="115">
        <f>IFERROR(__xludf.DUMMYFUNCTION("""COMPUTED_VALUE"""),4947.0)</f>
        <v>4947</v>
      </c>
      <c r="G3979" s="115">
        <f>IFERROR(__xludf.DUMMYFUNCTION("""COMPUTED_VALUE"""),36.0)</f>
        <v>36</v>
      </c>
      <c r="H3979" s="116">
        <f>IFERROR(__xludf.DUMMYFUNCTION("""COMPUTED_VALUE"""),45908.0)</f>
        <v>45908</v>
      </c>
      <c r="I3979" s="115" t="str">
        <f>IFERROR(__xludf.DUMMYFUNCTION("""COMPUTED_VALUE"""),"13")</f>
        <v>13</v>
      </c>
      <c r="J3979" s="115" t="str">
        <f>IFERROR(__xludf.DUMMYFUNCTION("""COMPUTED_VALUE"""),"Premkumar M2025-09-0813")</f>
        <v>Premkumar M2025-09-0813</v>
      </c>
      <c r="K3979" s="115">
        <f>IFERROR(__xludf.DUMMYFUNCTION("""COMPUTED_VALUE"""),30991.0)</f>
        <v>30991</v>
      </c>
    </row>
    <row r="3980">
      <c r="A3980" s="115" t="str">
        <f>IFERROR(__xludf.DUMMYFUNCTION("""COMPUTED_VALUE"""),"SOUTH")</f>
        <v>SOUTH</v>
      </c>
      <c r="B3980" s="115" t="str">
        <f>IFERROR(__xludf.DUMMYFUNCTION("""COMPUTED_VALUE"""),"Premkumar M")</f>
        <v>Premkumar M</v>
      </c>
      <c r="C3980" s="115" t="str">
        <f>IFERROR(__xludf.DUMMYFUNCTION("""COMPUTED_VALUE"""),"FLIPKART")</f>
        <v>FLIPKART</v>
      </c>
      <c r="D3980" s="115">
        <f>IFERROR(__xludf.DUMMYFUNCTION("""COMPUTED_VALUE"""),271842.0)</f>
        <v>271842</v>
      </c>
      <c r="E3980" s="115">
        <f>IFERROR(__xludf.DUMMYFUNCTION("""COMPUTED_VALUE"""),16917.0)</f>
        <v>16917</v>
      </c>
      <c r="F3980" s="115">
        <f>IFERROR(__xludf.DUMMYFUNCTION("""COMPUTED_VALUE"""),71049.0)</f>
        <v>71049</v>
      </c>
      <c r="G3980" s="115">
        <f>IFERROR(__xludf.DUMMYFUNCTION("""COMPUTED_VALUE"""),689.0)</f>
        <v>689</v>
      </c>
      <c r="H3980" s="116">
        <f>IFERROR(__xludf.DUMMYFUNCTION("""COMPUTED_VALUE"""),45908.0)</f>
        <v>45908</v>
      </c>
      <c r="I3980" s="115" t="str">
        <f>IFERROR(__xludf.DUMMYFUNCTION("""COMPUTED_VALUE"""),"13")</f>
        <v>13</v>
      </c>
      <c r="J3980" s="115" t="str">
        <f>IFERROR(__xludf.DUMMYFUNCTION("""COMPUTED_VALUE"""),"Premkumar M2025-09-0813")</f>
        <v>Premkumar M2025-09-0813</v>
      </c>
      <c r="K3980" s="115">
        <f>IFERROR(__xludf.DUMMYFUNCTION("""COMPUTED_VALUE"""),288759.0)</f>
        <v>288759</v>
      </c>
    </row>
    <row r="3981">
      <c r="A3981" s="115" t="str">
        <f>IFERROR(__xludf.DUMMYFUNCTION("""COMPUTED_VALUE"""),"SOUTH")</f>
        <v>SOUTH</v>
      </c>
      <c r="B3981" s="115" t="str">
        <f>IFERROR(__xludf.DUMMYFUNCTION("""COMPUTED_VALUE"""),"Premkumar M")</f>
        <v>Premkumar M</v>
      </c>
      <c r="C3981" s="115" t="str">
        <f>IFERROR(__xludf.DUMMYFUNCTION("""COMPUTED_VALUE"""),"MYNTRA")</f>
        <v>MYNTRA</v>
      </c>
      <c r="D3981" s="115">
        <f>IFERROR(__xludf.DUMMYFUNCTION("""COMPUTED_VALUE"""),15399.0)</f>
        <v>15399</v>
      </c>
      <c r="E3981" s="115">
        <f>IFERROR(__xludf.DUMMYFUNCTION("""COMPUTED_VALUE"""),2749.0)</f>
        <v>2749</v>
      </c>
      <c r="F3981" s="115">
        <f>IFERROR(__xludf.DUMMYFUNCTION("""COMPUTED_VALUE"""),4743.0)</f>
        <v>4743</v>
      </c>
      <c r="G3981" s="115">
        <f>IFERROR(__xludf.DUMMYFUNCTION("""COMPUTED_VALUE"""),120.0)</f>
        <v>120</v>
      </c>
      <c r="H3981" s="116">
        <f>IFERROR(__xludf.DUMMYFUNCTION("""COMPUTED_VALUE"""),45908.0)</f>
        <v>45908</v>
      </c>
      <c r="I3981" s="115" t="str">
        <f>IFERROR(__xludf.DUMMYFUNCTION("""COMPUTED_VALUE"""),"13")</f>
        <v>13</v>
      </c>
      <c r="J3981" s="115" t="str">
        <f>IFERROR(__xludf.DUMMYFUNCTION("""COMPUTED_VALUE"""),"Premkumar M2025-09-0813")</f>
        <v>Premkumar M2025-09-0813</v>
      </c>
      <c r="K3981" s="115">
        <f>IFERROR(__xludf.DUMMYFUNCTION("""COMPUTED_VALUE"""),18148.0)</f>
        <v>18148</v>
      </c>
    </row>
    <row r="3982">
      <c r="A3982" s="115" t="str">
        <f>IFERROR(__xludf.DUMMYFUNCTION("""COMPUTED_VALUE"""),"SOUTH")</f>
        <v>SOUTH</v>
      </c>
      <c r="B3982" s="115" t="str">
        <f>IFERROR(__xludf.DUMMYFUNCTION("""COMPUTED_VALUE"""),"Vineeth V")</f>
        <v>Vineeth V</v>
      </c>
      <c r="C3982" s="115" t="str">
        <f>IFERROR(__xludf.DUMMYFUNCTION("""COMPUTED_VALUE"""),"EXTERNAL")</f>
        <v>EXTERNAL</v>
      </c>
      <c r="D3982" s="115">
        <f>IFERROR(__xludf.DUMMYFUNCTION("""COMPUTED_VALUE"""),21689.0)</f>
        <v>21689</v>
      </c>
      <c r="E3982" s="115">
        <f>IFERROR(__xludf.DUMMYFUNCTION("""COMPUTED_VALUE"""),639.0)</f>
        <v>639</v>
      </c>
      <c r="F3982" s="115">
        <f>IFERROR(__xludf.DUMMYFUNCTION("""COMPUTED_VALUE"""),2977.0)</f>
        <v>2977</v>
      </c>
      <c r="G3982" s="115">
        <f>IFERROR(__xludf.DUMMYFUNCTION("""COMPUTED_VALUE"""),16.0)</f>
        <v>16</v>
      </c>
      <c r="H3982" s="116">
        <f>IFERROR(__xludf.DUMMYFUNCTION("""COMPUTED_VALUE"""),45908.0)</f>
        <v>45908</v>
      </c>
      <c r="I3982" s="115" t="str">
        <f>IFERROR(__xludf.DUMMYFUNCTION("""COMPUTED_VALUE"""),"13")</f>
        <v>13</v>
      </c>
      <c r="J3982" s="115" t="str">
        <f>IFERROR(__xludf.DUMMYFUNCTION("""COMPUTED_VALUE"""),"Vineeth V2025-09-0813")</f>
        <v>Vineeth V2025-09-0813</v>
      </c>
      <c r="K3982" s="115">
        <f>IFERROR(__xludf.DUMMYFUNCTION("""COMPUTED_VALUE"""),22328.0)</f>
        <v>22328</v>
      </c>
    </row>
    <row r="3983">
      <c r="A3983" s="115" t="str">
        <f>IFERROR(__xludf.DUMMYFUNCTION("""COMPUTED_VALUE"""),"SOUTH")</f>
        <v>SOUTH</v>
      </c>
      <c r="B3983" s="115" t="str">
        <f>IFERROR(__xludf.DUMMYFUNCTION("""COMPUTED_VALUE"""),"Vineeth V")</f>
        <v>Vineeth V</v>
      </c>
      <c r="C3983" s="115" t="str">
        <f>IFERROR(__xludf.DUMMYFUNCTION("""COMPUTED_VALUE"""),"FLIPKART")</f>
        <v>FLIPKART</v>
      </c>
      <c r="D3983" s="115">
        <f>IFERROR(__xludf.DUMMYFUNCTION("""COMPUTED_VALUE"""),243074.0)</f>
        <v>243074</v>
      </c>
      <c r="E3983" s="115">
        <f>IFERROR(__xludf.DUMMYFUNCTION("""COMPUTED_VALUE"""),15677.0)</f>
        <v>15677</v>
      </c>
      <c r="F3983" s="115">
        <f>IFERROR(__xludf.DUMMYFUNCTION("""COMPUTED_VALUE"""),49999.0)</f>
        <v>49999</v>
      </c>
      <c r="G3983" s="115">
        <f>IFERROR(__xludf.DUMMYFUNCTION("""COMPUTED_VALUE"""),329.0)</f>
        <v>329</v>
      </c>
      <c r="H3983" s="116">
        <f>IFERROR(__xludf.DUMMYFUNCTION("""COMPUTED_VALUE"""),45908.0)</f>
        <v>45908</v>
      </c>
      <c r="I3983" s="115" t="str">
        <f>IFERROR(__xludf.DUMMYFUNCTION("""COMPUTED_VALUE"""),"13")</f>
        <v>13</v>
      </c>
      <c r="J3983" s="115" t="str">
        <f>IFERROR(__xludf.DUMMYFUNCTION("""COMPUTED_VALUE"""),"Vineeth V2025-09-0813")</f>
        <v>Vineeth V2025-09-0813</v>
      </c>
      <c r="K3983" s="115">
        <f>IFERROR(__xludf.DUMMYFUNCTION("""COMPUTED_VALUE"""),258751.0)</f>
        <v>258751</v>
      </c>
    </row>
    <row r="3984">
      <c r="A3984" s="115" t="str">
        <f>IFERROR(__xludf.DUMMYFUNCTION("""COMPUTED_VALUE"""),"SOUTH")</f>
        <v>SOUTH</v>
      </c>
      <c r="B3984" s="115" t="str">
        <f>IFERROR(__xludf.DUMMYFUNCTION("""COMPUTED_VALUE"""),"Vineeth V")</f>
        <v>Vineeth V</v>
      </c>
      <c r="C3984" s="115" t="str">
        <f>IFERROR(__xludf.DUMMYFUNCTION("""COMPUTED_VALUE"""),"MYNTRA")</f>
        <v>MYNTRA</v>
      </c>
      <c r="D3984" s="115">
        <f>IFERROR(__xludf.DUMMYFUNCTION("""COMPUTED_VALUE"""),18565.0)</f>
        <v>18565</v>
      </c>
      <c r="E3984" s="115">
        <f>IFERROR(__xludf.DUMMYFUNCTION("""COMPUTED_VALUE"""),4213.0)</f>
        <v>4213</v>
      </c>
      <c r="F3984" s="115">
        <f>IFERROR(__xludf.DUMMYFUNCTION("""COMPUTED_VALUE"""),4623.0)</f>
        <v>4623</v>
      </c>
      <c r="G3984" s="115">
        <f>IFERROR(__xludf.DUMMYFUNCTION("""COMPUTED_VALUE"""),77.0)</f>
        <v>77</v>
      </c>
      <c r="H3984" s="116">
        <f>IFERROR(__xludf.DUMMYFUNCTION("""COMPUTED_VALUE"""),45908.0)</f>
        <v>45908</v>
      </c>
      <c r="I3984" s="115" t="str">
        <f>IFERROR(__xludf.DUMMYFUNCTION("""COMPUTED_VALUE"""),"13")</f>
        <v>13</v>
      </c>
      <c r="J3984" s="115" t="str">
        <f>IFERROR(__xludf.DUMMYFUNCTION("""COMPUTED_VALUE"""),"Vineeth V2025-09-0813")</f>
        <v>Vineeth V2025-09-0813</v>
      </c>
      <c r="K3984" s="115">
        <f>IFERROR(__xludf.DUMMYFUNCTION("""COMPUTED_VALUE"""),22778.0)</f>
        <v>22778</v>
      </c>
    </row>
    <row r="3985">
      <c r="A3985" s="115" t="str">
        <f>IFERROR(__xludf.DUMMYFUNCTION("""COMPUTED_VALUE"""),"WEST")</f>
        <v>WEST</v>
      </c>
      <c r="B3985" s="115" t="str">
        <f>IFERROR(__xludf.DUMMYFUNCTION("""COMPUTED_VALUE"""),"Ashish Jakar")</f>
        <v>Ashish Jakar</v>
      </c>
      <c r="C3985" s="115" t="str">
        <f>IFERROR(__xludf.DUMMYFUNCTION("""COMPUTED_VALUE"""),"EXTERNAL")</f>
        <v>EXTERNAL</v>
      </c>
      <c r="D3985" s="115">
        <f>IFERROR(__xludf.DUMMYFUNCTION("""COMPUTED_VALUE"""),56892.0)</f>
        <v>56892</v>
      </c>
      <c r="E3985" s="115">
        <f>IFERROR(__xludf.DUMMYFUNCTION("""COMPUTED_VALUE"""),7343.0)</f>
        <v>7343</v>
      </c>
      <c r="F3985" s="115">
        <f>IFERROR(__xludf.DUMMYFUNCTION("""COMPUTED_VALUE"""),9839.0)</f>
        <v>9839</v>
      </c>
      <c r="G3985" s="115">
        <f>IFERROR(__xludf.DUMMYFUNCTION("""COMPUTED_VALUE"""),754.0)</f>
        <v>754</v>
      </c>
      <c r="H3985" s="116">
        <f>IFERROR(__xludf.DUMMYFUNCTION("""COMPUTED_VALUE"""),45908.0)</f>
        <v>45908</v>
      </c>
      <c r="I3985" s="115" t="str">
        <f>IFERROR(__xludf.DUMMYFUNCTION("""COMPUTED_VALUE"""),"13")</f>
        <v>13</v>
      </c>
      <c r="J3985" s="115" t="str">
        <f>IFERROR(__xludf.DUMMYFUNCTION("""COMPUTED_VALUE"""),"Ashish Jakar2025-09-0813")</f>
        <v>Ashish Jakar2025-09-0813</v>
      </c>
      <c r="K3985" s="115">
        <f>IFERROR(__xludf.DUMMYFUNCTION("""COMPUTED_VALUE"""),64235.0)</f>
        <v>64235</v>
      </c>
    </row>
    <row r="3986">
      <c r="A3986" s="115" t="str">
        <f>IFERROR(__xludf.DUMMYFUNCTION("""COMPUTED_VALUE"""),"WEST")</f>
        <v>WEST</v>
      </c>
      <c r="B3986" s="115" t="str">
        <f>IFERROR(__xludf.DUMMYFUNCTION("""COMPUTED_VALUE"""),"Ashish Jakar")</f>
        <v>Ashish Jakar</v>
      </c>
      <c r="C3986" s="115" t="str">
        <f>IFERROR(__xludf.DUMMYFUNCTION("""COMPUTED_VALUE"""),"FLIPKART")</f>
        <v>FLIPKART</v>
      </c>
      <c r="D3986" s="115">
        <f>IFERROR(__xludf.DUMMYFUNCTION("""COMPUTED_VALUE"""),334910.0)</f>
        <v>334910</v>
      </c>
      <c r="E3986" s="115">
        <f>IFERROR(__xludf.DUMMYFUNCTION("""COMPUTED_VALUE"""),31629.0)</f>
        <v>31629</v>
      </c>
      <c r="F3986" s="115">
        <f>IFERROR(__xludf.DUMMYFUNCTION("""COMPUTED_VALUE"""),108305.0)</f>
        <v>108305</v>
      </c>
      <c r="G3986" s="115">
        <f>IFERROR(__xludf.DUMMYFUNCTION("""COMPUTED_VALUE"""),4386.0)</f>
        <v>4386</v>
      </c>
      <c r="H3986" s="116">
        <f>IFERROR(__xludf.DUMMYFUNCTION("""COMPUTED_VALUE"""),45908.0)</f>
        <v>45908</v>
      </c>
      <c r="I3986" s="115" t="str">
        <f>IFERROR(__xludf.DUMMYFUNCTION("""COMPUTED_VALUE"""),"13")</f>
        <v>13</v>
      </c>
      <c r="J3986" s="115" t="str">
        <f>IFERROR(__xludf.DUMMYFUNCTION("""COMPUTED_VALUE"""),"Ashish Jakar2025-09-0813")</f>
        <v>Ashish Jakar2025-09-0813</v>
      </c>
      <c r="K3986" s="115">
        <f>IFERROR(__xludf.DUMMYFUNCTION("""COMPUTED_VALUE"""),366539.0)</f>
        <v>366539</v>
      </c>
    </row>
    <row r="3987">
      <c r="A3987" s="115" t="str">
        <f>IFERROR(__xludf.DUMMYFUNCTION("""COMPUTED_VALUE"""),"WEST")</f>
        <v>WEST</v>
      </c>
      <c r="B3987" s="115" t="str">
        <f>IFERROR(__xludf.DUMMYFUNCTION("""COMPUTED_VALUE"""),"Ashish Jakar")</f>
        <v>Ashish Jakar</v>
      </c>
      <c r="C3987" s="115" t="str">
        <f>IFERROR(__xludf.DUMMYFUNCTION("""COMPUTED_VALUE"""),"MYNTRA")</f>
        <v>MYNTRA</v>
      </c>
      <c r="D3987" s="115">
        <f>IFERROR(__xludf.DUMMYFUNCTION("""COMPUTED_VALUE"""),42059.0)</f>
        <v>42059</v>
      </c>
      <c r="E3987" s="115">
        <f>IFERROR(__xludf.DUMMYFUNCTION("""COMPUTED_VALUE"""),11082.0)</f>
        <v>11082</v>
      </c>
      <c r="F3987" s="115">
        <f>IFERROR(__xludf.DUMMYFUNCTION("""COMPUTED_VALUE"""),16482.0)</f>
        <v>16482</v>
      </c>
      <c r="G3987" s="115">
        <f>IFERROR(__xludf.DUMMYFUNCTION("""COMPUTED_VALUE"""),1781.0)</f>
        <v>1781</v>
      </c>
      <c r="H3987" s="116">
        <f>IFERROR(__xludf.DUMMYFUNCTION("""COMPUTED_VALUE"""),45908.0)</f>
        <v>45908</v>
      </c>
      <c r="I3987" s="115" t="str">
        <f>IFERROR(__xludf.DUMMYFUNCTION("""COMPUTED_VALUE"""),"13")</f>
        <v>13</v>
      </c>
      <c r="J3987" s="115" t="str">
        <f>IFERROR(__xludf.DUMMYFUNCTION("""COMPUTED_VALUE"""),"Ashish Jakar2025-09-0813")</f>
        <v>Ashish Jakar2025-09-0813</v>
      </c>
      <c r="K3987" s="115">
        <f>IFERROR(__xludf.DUMMYFUNCTION("""COMPUTED_VALUE"""),53141.0)</f>
        <v>53141</v>
      </c>
    </row>
    <row r="3988">
      <c r="A3988" s="115" t="str">
        <f>IFERROR(__xludf.DUMMYFUNCTION("""COMPUTED_VALUE"""),"WEST")</f>
        <v>WEST</v>
      </c>
      <c r="B3988" s="115" t="str">
        <f>IFERROR(__xludf.DUMMYFUNCTION("""COMPUTED_VALUE"""),"Ashvani Bhatt")</f>
        <v>Ashvani Bhatt</v>
      </c>
      <c r="C3988" s="115" t="str">
        <f>IFERROR(__xludf.DUMMYFUNCTION("""COMPUTED_VALUE"""),"EXTERNAL")</f>
        <v>EXTERNAL</v>
      </c>
      <c r="D3988" s="115">
        <f>IFERROR(__xludf.DUMMYFUNCTION("""COMPUTED_VALUE"""),37902.0)</f>
        <v>37902</v>
      </c>
      <c r="E3988" s="115">
        <f>IFERROR(__xludf.DUMMYFUNCTION("""COMPUTED_VALUE"""),3366.0)</f>
        <v>3366</v>
      </c>
      <c r="F3988" s="115">
        <f>IFERROR(__xludf.DUMMYFUNCTION("""COMPUTED_VALUE"""),7758.0)</f>
        <v>7758</v>
      </c>
      <c r="G3988" s="115">
        <f>IFERROR(__xludf.DUMMYFUNCTION("""COMPUTED_VALUE"""),232.0)</f>
        <v>232</v>
      </c>
      <c r="H3988" s="116">
        <f>IFERROR(__xludf.DUMMYFUNCTION("""COMPUTED_VALUE"""),45908.0)</f>
        <v>45908</v>
      </c>
      <c r="I3988" s="115" t="str">
        <f>IFERROR(__xludf.DUMMYFUNCTION("""COMPUTED_VALUE"""),"13")</f>
        <v>13</v>
      </c>
      <c r="J3988" s="115" t="str">
        <f>IFERROR(__xludf.DUMMYFUNCTION("""COMPUTED_VALUE"""),"Ashvani Bhatt2025-09-0813")</f>
        <v>Ashvani Bhatt2025-09-0813</v>
      </c>
      <c r="K3988" s="115">
        <f>IFERROR(__xludf.DUMMYFUNCTION("""COMPUTED_VALUE"""),41268.0)</f>
        <v>41268</v>
      </c>
    </row>
    <row r="3989">
      <c r="A3989" s="115" t="str">
        <f>IFERROR(__xludf.DUMMYFUNCTION("""COMPUTED_VALUE"""),"WEST")</f>
        <v>WEST</v>
      </c>
      <c r="B3989" s="115" t="str">
        <f>IFERROR(__xludf.DUMMYFUNCTION("""COMPUTED_VALUE"""),"Ashvani Bhatt")</f>
        <v>Ashvani Bhatt</v>
      </c>
      <c r="C3989" s="115" t="str">
        <f>IFERROR(__xludf.DUMMYFUNCTION("""COMPUTED_VALUE"""),"FLIPKART")</f>
        <v>FLIPKART</v>
      </c>
      <c r="D3989" s="115">
        <f>IFERROR(__xludf.DUMMYFUNCTION("""COMPUTED_VALUE"""),252104.0)</f>
        <v>252104</v>
      </c>
      <c r="E3989" s="115">
        <f>IFERROR(__xludf.DUMMYFUNCTION("""COMPUTED_VALUE"""),26687.0)</f>
        <v>26687</v>
      </c>
      <c r="F3989" s="115">
        <f>IFERROR(__xludf.DUMMYFUNCTION("""COMPUTED_VALUE"""),95808.0)</f>
        <v>95808</v>
      </c>
      <c r="G3989" s="115">
        <f>IFERROR(__xludf.DUMMYFUNCTION("""COMPUTED_VALUE"""),3305.0)</f>
        <v>3305</v>
      </c>
      <c r="H3989" s="116">
        <f>IFERROR(__xludf.DUMMYFUNCTION("""COMPUTED_VALUE"""),45908.0)</f>
        <v>45908</v>
      </c>
      <c r="I3989" s="115" t="str">
        <f>IFERROR(__xludf.DUMMYFUNCTION("""COMPUTED_VALUE"""),"13")</f>
        <v>13</v>
      </c>
      <c r="J3989" s="115" t="str">
        <f>IFERROR(__xludf.DUMMYFUNCTION("""COMPUTED_VALUE"""),"Ashvani Bhatt2025-09-0813")</f>
        <v>Ashvani Bhatt2025-09-0813</v>
      </c>
      <c r="K3989" s="115">
        <f>IFERROR(__xludf.DUMMYFUNCTION("""COMPUTED_VALUE"""),278791.0)</f>
        <v>278791</v>
      </c>
    </row>
    <row r="3990">
      <c r="A3990" s="115" t="str">
        <f>IFERROR(__xludf.DUMMYFUNCTION("""COMPUTED_VALUE"""),"WEST")</f>
        <v>WEST</v>
      </c>
      <c r="B3990" s="115" t="str">
        <f>IFERROR(__xludf.DUMMYFUNCTION("""COMPUTED_VALUE"""),"Ashvani Bhatt")</f>
        <v>Ashvani Bhatt</v>
      </c>
      <c r="C3990" s="115" t="str">
        <f>IFERROR(__xludf.DUMMYFUNCTION("""COMPUTED_VALUE"""),"MYNTRA")</f>
        <v>MYNTRA</v>
      </c>
      <c r="D3990" s="115">
        <f>IFERROR(__xludf.DUMMYFUNCTION("""COMPUTED_VALUE"""),34278.0)</f>
        <v>34278</v>
      </c>
      <c r="E3990" s="115">
        <f>IFERROR(__xludf.DUMMYFUNCTION("""COMPUTED_VALUE"""),8274.0)</f>
        <v>8274</v>
      </c>
      <c r="F3990" s="115">
        <f>IFERROR(__xludf.DUMMYFUNCTION("""COMPUTED_VALUE"""),16534.0)</f>
        <v>16534</v>
      </c>
      <c r="G3990" s="115">
        <f>IFERROR(__xludf.DUMMYFUNCTION("""COMPUTED_VALUE"""),1404.0)</f>
        <v>1404</v>
      </c>
      <c r="H3990" s="116">
        <f>IFERROR(__xludf.DUMMYFUNCTION("""COMPUTED_VALUE"""),45908.0)</f>
        <v>45908</v>
      </c>
      <c r="I3990" s="115" t="str">
        <f>IFERROR(__xludf.DUMMYFUNCTION("""COMPUTED_VALUE"""),"13")</f>
        <v>13</v>
      </c>
      <c r="J3990" s="115" t="str">
        <f>IFERROR(__xludf.DUMMYFUNCTION("""COMPUTED_VALUE"""),"Ashvani Bhatt2025-09-0813")</f>
        <v>Ashvani Bhatt2025-09-0813</v>
      </c>
      <c r="K3990" s="115">
        <f>IFERROR(__xludf.DUMMYFUNCTION("""COMPUTED_VALUE"""),42552.0)</f>
        <v>42552</v>
      </c>
    </row>
    <row r="3991">
      <c r="A3991" s="115"/>
      <c r="B3991" s="115"/>
      <c r="C3991" s="115" t="str">
        <f>IFERROR(__xludf.DUMMYFUNCTION("""COMPUTED_VALUE"""),"EXTERNAL")</f>
        <v>EXTERNAL</v>
      </c>
      <c r="D3991" s="115">
        <f>IFERROR(__xludf.DUMMYFUNCTION("""COMPUTED_VALUE"""),464.0)</f>
        <v>464</v>
      </c>
      <c r="E3991" s="115">
        <f>IFERROR(__xludf.DUMMYFUNCTION("""COMPUTED_VALUE"""),93.0)</f>
        <v>93</v>
      </c>
      <c r="F3991" s="115">
        <f>IFERROR(__xludf.DUMMYFUNCTION("""COMPUTED_VALUE"""),93.0)</f>
        <v>93</v>
      </c>
      <c r="G3991" s="115">
        <f>IFERROR(__xludf.DUMMYFUNCTION("""COMPUTED_VALUE"""),49.0)</f>
        <v>49</v>
      </c>
      <c r="H3991" s="116">
        <f>IFERROR(__xludf.DUMMYFUNCTION("""COMPUTED_VALUE"""),45908.0)</f>
        <v>45908</v>
      </c>
      <c r="I3991" s="115" t="str">
        <f>IFERROR(__xludf.DUMMYFUNCTION("""COMPUTED_VALUE"""),"13")</f>
        <v>13</v>
      </c>
      <c r="J3991" s="115" t="str">
        <f>IFERROR(__xludf.DUMMYFUNCTION("""COMPUTED_VALUE"""),"2025-09-0813")</f>
        <v>2025-09-0813</v>
      </c>
      <c r="K3991" s="115">
        <f>IFERROR(__xludf.DUMMYFUNCTION("""COMPUTED_VALUE"""),557.0)</f>
        <v>557</v>
      </c>
    </row>
    <row r="3992">
      <c r="A3992" s="115"/>
      <c r="B3992" s="115"/>
      <c r="C3992" s="115" t="str">
        <f>IFERROR(__xludf.DUMMYFUNCTION("""COMPUTED_VALUE"""),"FLIPKART")</f>
        <v>FLIPKART</v>
      </c>
      <c r="D3992" s="115">
        <f>IFERROR(__xludf.DUMMYFUNCTION("""COMPUTED_VALUE"""),4157.0)</f>
        <v>4157</v>
      </c>
      <c r="E3992" s="115">
        <f>IFERROR(__xludf.DUMMYFUNCTION("""COMPUTED_VALUE"""),455.0)</f>
        <v>455</v>
      </c>
      <c r="F3992" s="115">
        <f>IFERROR(__xludf.DUMMYFUNCTION("""COMPUTED_VALUE"""),926.0)</f>
        <v>926</v>
      </c>
      <c r="G3992" s="115">
        <f>IFERROR(__xludf.DUMMYFUNCTION("""COMPUTED_VALUE"""),104.0)</f>
        <v>104</v>
      </c>
      <c r="H3992" s="116">
        <f>IFERROR(__xludf.DUMMYFUNCTION("""COMPUTED_VALUE"""),45908.0)</f>
        <v>45908</v>
      </c>
      <c r="I3992" s="115" t="str">
        <f>IFERROR(__xludf.DUMMYFUNCTION("""COMPUTED_VALUE"""),"13")</f>
        <v>13</v>
      </c>
      <c r="J3992" s="115" t="str">
        <f>IFERROR(__xludf.DUMMYFUNCTION("""COMPUTED_VALUE"""),"2025-09-0813")</f>
        <v>2025-09-0813</v>
      </c>
      <c r="K3992" s="115">
        <f>IFERROR(__xludf.DUMMYFUNCTION("""COMPUTED_VALUE"""),4612.0)</f>
        <v>4612</v>
      </c>
    </row>
    <row r="3993">
      <c r="A3993" s="115"/>
      <c r="B3993" s="115"/>
      <c r="C3993" s="115" t="str">
        <f>IFERROR(__xludf.DUMMYFUNCTION("""COMPUTED_VALUE"""),"MYNTRA")</f>
        <v>MYNTRA</v>
      </c>
      <c r="D3993" s="115">
        <f>IFERROR(__xludf.DUMMYFUNCTION("""COMPUTED_VALUE"""),526.0)</f>
        <v>526</v>
      </c>
      <c r="E3993" s="115">
        <f>IFERROR(__xludf.DUMMYFUNCTION("""COMPUTED_VALUE"""),182.0)</f>
        <v>182</v>
      </c>
      <c r="F3993" s="115">
        <f>IFERROR(__xludf.DUMMYFUNCTION("""COMPUTED_VALUE"""),209.0)</f>
        <v>209</v>
      </c>
      <c r="G3993" s="115">
        <f>IFERROR(__xludf.DUMMYFUNCTION("""COMPUTED_VALUE"""),54.0)</f>
        <v>54</v>
      </c>
      <c r="H3993" s="116">
        <f>IFERROR(__xludf.DUMMYFUNCTION("""COMPUTED_VALUE"""),45908.0)</f>
        <v>45908</v>
      </c>
      <c r="I3993" s="115" t="str">
        <f>IFERROR(__xludf.DUMMYFUNCTION("""COMPUTED_VALUE"""),"13")</f>
        <v>13</v>
      </c>
      <c r="J3993" s="115" t="str">
        <f>IFERROR(__xludf.DUMMYFUNCTION("""COMPUTED_VALUE"""),"2025-09-0813")</f>
        <v>2025-09-0813</v>
      </c>
      <c r="K3993" s="115">
        <f>IFERROR(__xludf.DUMMYFUNCTION("""COMPUTED_VALUE"""),708.0)</f>
        <v>708</v>
      </c>
    </row>
    <row r="3994">
      <c r="A3994" s="115" t="str">
        <f>IFERROR(__xludf.DUMMYFUNCTION("""COMPUTED_VALUE"""),"EAST")</f>
        <v>EAST</v>
      </c>
      <c r="B3994" s="115" t="str">
        <f>IFERROR(__xludf.DUMMYFUNCTION("""COMPUTED_VALUE"""),"Ashish Ranjan")</f>
        <v>Ashish Ranjan</v>
      </c>
      <c r="C3994" s="115" t="str">
        <f>IFERROR(__xludf.DUMMYFUNCTION("""COMPUTED_VALUE"""),"EXTERNAL")</f>
        <v>EXTERNAL</v>
      </c>
      <c r="D3994" s="115">
        <f>IFERROR(__xludf.DUMMYFUNCTION("""COMPUTED_VALUE"""),44195.0)</f>
        <v>44195</v>
      </c>
      <c r="E3994" s="115">
        <f>IFERROR(__xludf.DUMMYFUNCTION("""COMPUTED_VALUE"""),3690.0)</f>
        <v>3690</v>
      </c>
      <c r="F3994" s="115">
        <f>IFERROR(__xludf.DUMMYFUNCTION("""COMPUTED_VALUE"""),18233.0)</f>
        <v>18233</v>
      </c>
      <c r="G3994" s="115">
        <f>IFERROR(__xludf.DUMMYFUNCTION("""COMPUTED_VALUE"""),804.0)</f>
        <v>804</v>
      </c>
      <c r="H3994" s="116">
        <f>IFERROR(__xludf.DUMMYFUNCTION("""COMPUTED_VALUE"""),45908.0)</f>
        <v>45908</v>
      </c>
      <c r="I3994" s="115" t="str">
        <f>IFERROR(__xludf.DUMMYFUNCTION("""COMPUTED_VALUE"""),"15")</f>
        <v>15</v>
      </c>
      <c r="J3994" s="115" t="str">
        <f>IFERROR(__xludf.DUMMYFUNCTION("""COMPUTED_VALUE"""),"Ashish Ranjan2025-09-0815")</f>
        <v>Ashish Ranjan2025-09-0815</v>
      </c>
      <c r="K3994" s="115">
        <f>IFERROR(__xludf.DUMMYFUNCTION("""COMPUTED_VALUE"""),47885.0)</f>
        <v>47885</v>
      </c>
    </row>
    <row r="3995">
      <c r="A3995" s="115" t="str">
        <f>IFERROR(__xludf.DUMMYFUNCTION("""COMPUTED_VALUE"""),"EAST")</f>
        <v>EAST</v>
      </c>
      <c r="B3995" s="115" t="str">
        <f>IFERROR(__xludf.DUMMYFUNCTION("""COMPUTED_VALUE"""),"Ashish Ranjan")</f>
        <v>Ashish Ranjan</v>
      </c>
      <c r="C3995" s="115" t="str">
        <f>IFERROR(__xludf.DUMMYFUNCTION("""COMPUTED_VALUE"""),"FLIPKART")</f>
        <v>FLIPKART</v>
      </c>
      <c r="D3995" s="115">
        <f>IFERROR(__xludf.DUMMYFUNCTION("""COMPUTED_VALUE"""),659398.0)</f>
        <v>659398</v>
      </c>
      <c r="E3995" s="115">
        <f>IFERROR(__xludf.DUMMYFUNCTION("""COMPUTED_VALUE"""),62415.0)</f>
        <v>62415</v>
      </c>
      <c r="F3995" s="115">
        <f>IFERROR(__xludf.DUMMYFUNCTION("""COMPUTED_VALUE"""),434241.0)</f>
        <v>434241</v>
      </c>
      <c r="G3995" s="115">
        <f>IFERROR(__xludf.DUMMYFUNCTION("""COMPUTED_VALUE"""),19927.0)</f>
        <v>19927</v>
      </c>
      <c r="H3995" s="116">
        <f>IFERROR(__xludf.DUMMYFUNCTION("""COMPUTED_VALUE"""),45908.0)</f>
        <v>45908</v>
      </c>
      <c r="I3995" s="115" t="str">
        <f>IFERROR(__xludf.DUMMYFUNCTION("""COMPUTED_VALUE"""),"15")</f>
        <v>15</v>
      </c>
      <c r="J3995" s="115" t="str">
        <f>IFERROR(__xludf.DUMMYFUNCTION("""COMPUTED_VALUE"""),"Ashish Ranjan2025-09-0815")</f>
        <v>Ashish Ranjan2025-09-0815</v>
      </c>
      <c r="K3995" s="115">
        <f>IFERROR(__xludf.DUMMYFUNCTION("""COMPUTED_VALUE"""),721813.0)</f>
        <v>721813</v>
      </c>
    </row>
    <row r="3996">
      <c r="A3996" s="115" t="str">
        <f>IFERROR(__xludf.DUMMYFUNCTION("""COMPUTED_VALUE"""),"EAST")</f>
        <v>EAST</v>
      </c>
      <c r="B3996" s="115" t="str">
        <f>IFERROR(__xludf.DUMMYFUNCTION("""COMPUTED_VALUE"""),"Ashish Ranjan")</f>
        <v>Ashish Ranjan</v>
      </c>
      <c r="C3996" s="115" t="str">
        <f>IFERROR(__xludf.DUMMYFUNCTION("""COMPUTED_VALUE"""),"MYNTRA")</f>
        <v>MYNTRA</v>
      </c>
      <c r="D3996" s="115">
        <f>IFERROR(__xludf.DUMMYFUNCTION("""COMPUTED_VALUE"""),75936.0)</f>
        <v>75936</v>
      </c>
      <c r="E3996" s="115">
        <f>IFERROR(__xludf.DUMMYFUNCTION("""COMPUTED_VALUE"""),14970.0)</f>
        <v>14970</v>
      </c>
      <c r="F3996" s="115">
        <f>IFERROR(__xludf.DUMMYFUNCTION("""COMPUTED_VALUE"""),51019.0)</f>
        <v>51019</v>
      </c>
      <c r="G3996" s="115">
        <f>IFERROR(__xludf.DUMMYFUNCTION("""COMPUTED_VALUE"""),4789.0)</f>
        <v>4789</v>
      </c>
      <c r="H3996" s="116">
        <f>IFERROR(__xludf.DUMMYFUNCTION("""COMPUTED_VALUE"""),45908.0)</f>
        <v>45908</v>
      </c>
      <c r="I3996" s="115" t="str">
        <f>IFERROR(__xludf.DUMMYFUNCTION("""COMPUTED_VALUE"""),"15")</f>
        <v>15</v>
      </c>
      <c r="J3996" s="115" t="str">
        <f>IFERROR(__xludf.DUMMYFUNCTION("""COMPUTED_VALUE"""),"Ashish Ranjan2025-09-0815")</f>
        <v>Ashish Ranjan2025-09-0815</v>
      </c>
      <c r="K3996" s="115">
        <f>IFERROR(__xludf.DUMMYFUNCTION("""COMPUTED_VALUE"""),90906.0)</f>
        <v>90906</v>
      </c>
    </row>
    <row r="3997">
      <c r="A3997" s="115" t="str">
        <f>IFERROR(__xludf.DUMMYFUNCTION("""COMPUTED_VALUE"""),"EAST")</f>
        <v>EAST</v>
      </c>
      <c r="B3997" s="115" t="str">
        <f>IFERROR(__xludf.DUMMYFUNCTION("""COMPUTED_VALUE"""),"Girish Chand")</f>
        <v>Girish Chand</v>
      </c>
      <c r="C3997" s="115" t="str">
        <f>IFERROR(__xludf.DUMMYFUNCTION("""COMPUTED_VALUE"""),"EXTERNAL")</f>
        <v>EXTERNAL</v>
      </c>
      <c r="D3997" s="115">
        <f>IFERROR(__xludf.DUMMYFUNCTION("""COMPUTED_VALUE"""),24488.0)</f>
        <v>24488</v>
      </c>
      <c r="E3997" s="115">
        <f>IFERROR(__xludf.DUMMYFUNCTION("""COMPUTED_VALUE"""),2411.0)</f>
        <v>2411</v>
      </c>
      <c r="F3997" s="115">
        <f>IFERROR(__xludf.DUMMYFUNCTION("""COMPUTED_VALUE"""),7992.0)</f>
        <v>7992</v>
      </c>
      <c r="G3997" s="115">
        <f>IFERROR(__xludf.DUMMYFUNCTION("""COMPUTED_VALUE"""),249.0)</f>
        <v>249</v>
      </c>
      <c r="H3997" s="116">
        <f>IFERROR(__xludf.DUMMYFUNCTION("""COMPUTED_VALUE"""),45908.0)</f>
        <v>45908</v>
      </c>
      <c r="I3997" s="115" t="str">
        <f>IFERROR(__xludf.DUMMYFUNCTION("""COMPUTED_VALUE"""),"15")</f>
        <v>15</v>
      </c>
      <c r="J3997" s="115" t="str">
        <f>IFERROR(__xludf.DUMMYFUNCTION("""COMPUTED_VALUE"""),"Girish Chand2025-09-0815")</f>
        <v>Girish Chand2025-09-0815</v>
      </c>
      <c r="K3997" s="115">
        <f>IFERROR(__xludf.DUMMYFUNCTION("""COMPUTED_VALUE"""),26899.0)</f>
        <v>26899</v>
      </c>
    </row>
    <row r="3998">
      <c r="A3998" s="115" t="str">
        <f>IFERROR(__xludf.DUMMYFUNCTION("""COMPUTED_VALUE"""),"EAST")</f>
        <v>EAST</v>
      </c>
      <c r="B3998" s="115" t="str">
        <f>IFERROR(__xludf.DUMMYFUNCTION("""COMPUTED_VALUE"""),"Girish Chand")</f>
        <v>Girish Chand</v>
      </c>
      <c r="C3998" s="115" t="str">
        <f>IFERROR(__xludf.DUMMYFUNCTION("""COMPUTED_VALUE"""),"FLIPKART")</f>
        <v>FLIPKART</v>
      </c>
      <c r="D3998" s="115">
        <f>IFERROR(__xludf.DUMMYFUNCTION("""COMPUTED_VALUE"""),392229.0)</f>
        <v>392229</v>
      </c>
      <c r="E3998" s="115">
        <f>IFERROR(__xludf.DUMMYFUNCTION("""COMPUTED_VALUE"""),38947.0)</f>
        <v>38947</v>
      </c>
      <c r="F3998" s="115">
        <f>IFERROR(__xludf.DUMMYFUNCTION("""COMPUTED_VALUE"""),217378.0)</f>
        <v>217378</v>
      </c>
      <c r="G3998" s="115">
        <f>IFERROR(__xludf.DUMMYFUNCTION("""COMPUTED_VALUE"""),9330.0)</f>
        <v>9330</v>
      </c>
      <c r="H3998" s="116">
        <f>IFERROR(__xludf.DUMMYFUNCTION("""COMPUTED_VALUE"""),45908.0)</f>
        <v>45908</v>
      </c>
      <c r="I3998" s="115" t="str">
        <f>IFERROR(__xludf.DUMMYFUNCTION("""COMPUTED_VALUE"""),"15")</f>
        <v>15</v>
      </c>
      <c r="J3998" s="115" t="str">
        <f>IFERROR(__xludf.DUMMYFUNCTION("""COMPUTED_VALUE"""),"Girish Chand2025-09-0815")</f>
        <v>Girish Chand2025-09-0815</v>
      </c>
      <c r="K3998" s="115">
        <f>IFERROR(__xludf.DUMMYFUNCTION("""COMPUTED_VALUE"""),431176.0)</f>
        <v>431176</v>
      </c>
    </row>
    <row r="3999">
      <c r="A3999" s="115" t="str">
        <f>IFERROR(__xludf.DUMMYFUNCTION("""COMPUTED_VALUE"""),"EAST")</f>
        <v>EAST</v>
      </c>
      <c r="B3999" s="115" t="str">
        <f>IFERROR(__xludf.DUMMYFUNCTION("""COMPUTED_VALUE"""),"Girish Chand")</f>
        <v>Girish Chand</v>
      </c>
      <c r="C3999" s="115" t="str">
        <f>IFERROR(__xludf.DUMMYFUNCTION("""COMPUTED_VALUE"""),"MYNTRA")</f>
        <v>MYNTRA</v>
      </c>
      <c r="D3999" s="115">
        <f>IFERROR(__xludf.DUMMYFUNCTION("""COMPUTED_VALUE"""),38551.0)</f>
        <v>38551</v>
      </c>
      <c r="E3999" s="115">
        <f>IFERROR(__xludf.DUMMYFUNCTION("""COMPUTED_VALUE"""),7404.0)</f>
        <v>7404</v>
      </c>
      <c r="F3999" s="115">
        <f>IFERROR(__xludf.DUMMYFUNCTION("""COMPUTED_VALUE"""),23334.0)</f>
        <v>23334</v>
      </c>
      <c r="G3999" s="115">
        <f>IFERROR(__xludf.DUMMYFUNCTION("""COMPUTED_VALUE"""),2084.0)</f>
        <v>2084</v>
      </c>
      <c r="H3999" s="116">
        <f>IFERROR(__xludf.DUMMYFUNCTION("""COMPUTED_VALUE"""),45908.0)</f>
        <v>45908</v>
      </c>
      <c r="I3999" s="115" t="str">
        <f>IFERROR(__xludf.DUMMYFUNCTION("""COMPUTED_VALUE"""),"15")</f>
        <v>15</v>
      </c>
      <c r="J3999" s="115" t="str">
        <f>IFERROR(__xludf.DUMMYFUNCTION("""COMPUTED_VALUE"""),"Girish Chand2025-09-0815")</f>
        <v>Girish Chand2025-09-0815</v>
      </c>
      <c r="K3999" s="115">
        <f>IFERROR(__xludf.DUMMYFUNCTION("""COMPUTED_VALUE"""),45955.0)</f>
        <v>45955</v>
      </c>
    </row>
    <row r="4000">
      <c r="A4000" s="115" t="str">
        <f>IFERROR(__xludf.DUMMYFUNCTION("""COMPUTED_VALUE"""),"EAST")</f>
        <v>EAST</v>
      </c>
      <c r="B4000" s="115" t="str">
        <f>IFERROR(__xludf.DUMMYFUNCTION("""COMPUTED_VALUE"""),"Parag Kashyap")</f>
        <v>Parag Kashyap</v>
      </c>
      <c r="C4000" s="115" t="str">
        <f>IFERROR(__xludf.DUMMYFUNCTION("""COMPUTED_VALUE"""),"EXTERNAL")</f>
        <v>EXTERNAL</v>
      </c>
      <c r="D4000" s="115">
        <f>IFERROR(__xludf.DUMMYFUNCTION("""COMPUTED_VALUE"""),19905.0)</f>
        <v>19905</v>
      </c>
      <c r="E4000" s="115">
        <f>IFERROR(__xludf.DUMMYFUNCTION("""COMPUTED_VALUE"""),1209.0)</f>
        <v>1209</v>
      </c>
      <c r="F4000" s="115">
        <f>IFERROR(__xludf.DUMMYFUNCTION("""COMPUTED_VALUE"""),5581.0)</f>
        <v>5581</v>
      </c>
      <c r="G4000" s="115">
        <f>IFERROR(__xludf.DUMMYFUNCTION("""COMPUTED_VALUE"""),84.0)</f>
        <v>84</v>
      </c>
      <c r="H4000" s="116">
        <f>IFERROR(__xludf.DUMMYFUNCTION("""COMPUTED_VALUE"""),45908.0)</f>
        <v>45908</v>
      </c>
      <c r="I4000" s="115" t="str">
        <f>IFERROR(__xludf.DUMMYFUNCTION("""COMPUTED_VALUE"""),"15")</f>
        <v>15</v>
      </c>
      <c r="J4000" s="115" t="str">
        <f>IFERROR(__xludf.DUMMYFUNCTION("""COMPUTED_VALUE"""),"Parag Kashyap2025-09-0815")</f>
        <v>Parag Kashyap2025-09-0815</v>
      </c>
      <c r="K4000" s="115">
        <f>IFERROR(__xludf.DUMMYFUNCTION("""COMPUTED_VALUE"""),21114.0)</f>
        <v>21114</v>
      </c>
    </row>
    <row r="4001">
      <c r="A4001" s="115" t="str">
        <f>IFERROR(__xludf.DUMMYFUNCTION("""COMPUTED_VALUE"""),"EAST")</f>
        <v>EAST</v>
      </c>
      <c r="B4001" s="115" t="str">
        <f>IFERROR(__xludf.DUMMYFUNCTION("""COMPUTED_VALUE"""),"Parag Kashyap")</f>
        <v>Parag Kashyap</v>
      </c>
      <c r="C4001" s="115" t="str">
        <f>IFERROR(__xludf.DUMMYFUNCTION("""COMPUTED_VALUE"""),"FLIPKART")</f>
        <v>FLIPKART</v>
      </c>
      <c r="D4001" s="115">
        <f>IFERROR(__xludf.DUMMYFUNCTION("""COMPUTED_VALUE"""),336354.0)</f>
        <v>336354</v>
      </c>
      <c r="E4001" s="115">
        <f>IFERROR(__xludf.DUMMYFUNCTION("""COMPUTED_VALUE"""),19627.0)</f>
        <v>19627</v>
      </c>
      <c r="F4001" s="115">
        <f>IFERROR(__xludf.DUMMYFUNCTION("""COMPUTED_VALUE"""),163339.0)</f>
        <v>163339</v>
      </c>
      <c r="G4001" s="115">
        <f>IFERROR(__xludf.DUMMYFUNCTION("""COMPUTED_VALUE"""),2571.0)</f>
        <v>2571</v>
      </c>
      <c r="H4001" s="116">
        <f>IFERROR(__xludf.DUMMYFUNCTION("""COMPUTED_VALUE"""),45908.0)</f>
        <v>45908</v>
      </c>
      <c r="I4001" s="115" t="str">
        <f>IFERROR(__xludf.DUMMYFUNCTION("""COMPUTED_VALUE"""),"15")</f>
        <v>15</v>
      </c>
      <c r="J4001" s="115" t="str">
        <f>IFERROR(__xludf.DUMMYFUNCTION("""COMPUTED_VALUE"""),"Parag Kashyap2025-09-0815")</f>
        <v>Parag Kashyap2025-09-0815</v>
      </c>
      <c r="K4001" s="115">
        <f>IFERROR(__xludf.DUMMYFUNCTION("""COMPUTED_VALUE"""),355981.0)</f>
        <v>355981</v>
      </c>
    </row>
    <row r="4002">
      <c r="A4002" s="115" t="str">
        <f>IFERROR(__xludf.DUMMYFUNCTION("""COMPUTED_VALUE"""),"EAST")</f>
        <v>EAST</v>
      </c>
      <c r="B4002" s="115" t="str">
        <f>IFERROR(__xludf.DUMMYFUNCTION("""COMPUTED_VALUE"""),"Parag Kashyap")</f>
        <v>Parag Kashyap</v>
      </c>
      <c r="C4002" s="115" t="str">
        <f>IFERROR(__xludf.DUMMYFUNCTION("""COMPUTED_VALUE"""),"MYNTRA")</f>
        <v>MYNTRA</v>
      </c>
      <c r="D4002" s="115">
        <f>IFERROR(__xludf.DUMMYFUNCTION("""COMPUTED_VALUE"""),43584.0)</f>
        <v>43584</v>
      </c>
      <c r="E4002" s="115">
        <f>IFERROR(__xludf.DUMMYFUNCTION("""COMPUTED_VALUE"""),5496.0)</f>
        <v>5496</v>
      </c>
      <c r="F4002" s="115">
        <f>IFERROR(__xludf.DUMMYFUNCTION("""COMPUTED_VALUE"""),22257.0)</f>
        <v>22257</v>
      </c>
      <c r="G4002" s="115">
        <f>IFERROR(__xludf.DUMMYFUNCTION("""COMPUTED_VALUE"""),705.0)</f>
        <v>705</v>
      </c>
      <c r="H4002" s="116">
        <f>IFERROR(__xludf.DUMMYFUNCTION("""COMPUTED_VALUE"""),45908.0)</f>
        <v>45908</v>
      </c>
      <c r="I4002" s="115" t="str">
        <f>IFERROR(__xludf.DUMMYFUNCTION("""COMPUTED_VALUE"""),"15")</f>
        <v>15</v>
      </c>
      <c r="J4002" s="115" t="str">
        <f>IFERROR(__xludf.DUMMYFUNCTION("""COMPUTED_VALUE"""),"Parag Kashyap2025-09-0815")</f>
        <v>Parag Kashyap2025-09-0815</v>
      </c>
      <c r="K4002" s="115">
        <f>IFERROR(__xludf.DUMMYFUNCTION("""COMPUTED_VALUE"""),49080.0)</f>
        <v>49080</v>
      </c>
    </row>
    <row r="4003">
      <c r="A4003" s="115" t="str">
        <f>IFERROR(__xludf.DUMMYFUNCTION("""COMPUTED_VALUE"""),"NORTH")</f>
        <v>NORTH</v>
      </c>
      <c r="B4003" s="115" t="str">
        <f>IFERROR(__xludf.DUMMYFUNCTION("""COMPUTED_VALUE"""),"Amit Kumar Pathak")</f>
        <v>Amit Kumar Pathak</v>
      </c>
      <c r="C4003" s="115" t="str">
        <f>IFERROR(__xludf.DUMMYFUNCTION("""COMPUTED_VALUE"""),"EXTERNAL")</f>
        <v>EXTERNAL</v>
      </c>
      <c r="D4003" s="115">
        <f>IFERROR(__xludf.DUMMYFUNCTION("""COMPUTED_VALUE"""),29526.0)</f>
        <v>29526</v>
      </c>
      <c r="E4003" s="115">
        <f>IFERROR(__xludf.DUMMYFUNCTION("""COMPUTED_VALUE"""),3716.0)</f>
        <v>3716</v>
      </c>
      <c r="F4003" s="115">
        <f>IFERROR(__xludf.DUMMYFUNCTION("""COMPUTED_VALUE"""),7463.0)</f>
        <v>7463</v>
      </c>
      <c r="G4003" s="115">
        <f>IFERROR(__xludf.DUMMYFUNCTION("""COMPUTED_VALUE"""),858.0)</f>
        <v>858</v>
      </c>
      <c r="H4003" s="116">
        <f>IFERROR(__xludf.DUMMYFUNCTION("""COMPUTED_VALUE"""),45908.0)</f>
        <v>45908</v>
      </c>
      <c r="I4003" s="115" t="str">
        <f>IFERROR(__xludf.DUMMYFUNCTION("""COMPUTED_VALUE"""),"15")</f>
        <v>15</v>
      </c>
      <c r="J4003" s="115" t="str">
        <f>IFERROR(__xludf.DUMMYFUNCTION("""COMPUTED_VALUE"""),"Amit Kumar Pathak2025-09-0815")</f>
        <v>Amit Kumar Pathak2025-09-0815</v>
      </c>
      <c r="K4003" s="115">
        <f>IFERROR(__xludf.DUMMYFUNCTION("""COMPUTED_VALUE"""),33242.0)</f>
        <v>33242</v>
      </c>
    </row>
    <row r="4004">
      <c r="A4004" s="115" t="str">
        <f>IFERROR(__xludf.DUMMYFUNCTION("""COMPUTED_VALUE"""),"NORTH")</f>
        <v>NORTH</v>
      </c>
      <c r="B4004" s="115" t="str">
        <f>IFERROR(__xludf.DUMMYFUNCTION("""COMPUTED_VALUE"""),"Amit Kumar Pathak")</f>
        <v>Amit Kumar Pathak</v>
      </c>
      <c r="C4004" s="115" t="str">
        <f>IFERROR(__xludf.DUMMYFUNCTION("""COMPUTED_VALUE"""),"FLIPKART")</f>
        <v>FLIPKART</v>
      </c>
      <c r="D4004" s="115">
        <f>IFERROR(__xludf.DUMMYFUNCTION("""COMPUTED_VALUE"""),168212.0)</f>
        <v>168212</v>
      </c>
      <c r="E4004" s="115">
        <f>IFERROR(__xludf.DUMMYFUNCTION("""COMPUTED_VALUE"""),23554.0)</f>
        <v>23554</v>
      </c>
      <c r="F4004" s="115">
        <f>IFERROR(__xludf.DUMMYFUNCTION("""COMPUTED_VALUE"""),82363.0)</f>
        <v>82363</v>
      </c>
      <c r="G4004" s="115">
        <f>IFERROR(__xludf.DUMMYFUNCTION("""COMPUTED_VALUE"""),7516.0)</f>
        <v>7516</v>
      </c>
      <c r="H4004" s="116">
        <f>IFERROR(__xludf.DUMMYFUNCTION("""COMPUTED_VALUE"""),45908.0)</f>
        <v>45908</v>
      </c>
      <c r="I4004" s="115" t="str">
        <f>IFERROR(__xludf.DUMMYFUNCTION("""COMPUTED_VALUE"""),"15")</f>
        <v>15</v>
      </c>
      <c r="J4004" s="115" t="str">
        <f>IFERROR(__xludf.DUMMYFUNCTION("""COMPUTED_VALUE"""),"Amit Kumar Pathak2025-09-0815")</f>
        <v>Amit Kumar Pathak2025-09-0815</v>
      </c>
      <c r="K4004" s="115">
        <f>IFERROR(__xludf.DUMMYFUNCTION("""COMPUTED_VALUE"""),191766.0)</f>
        <v>191766</v>
      </c>
    </row>
    <row r="4005">
      <c r="A4005" s="115" t="str">
        <f>IFERROR(__xludf.DUMMYFUNCTION("""COMPUTED_VALUE"""),"NORTH")</f>
        <v>NORTH</v>
      </c>
      <c r="B4005" s="115" t="str">
        <f>IFERROR(__xludf.DUMMYFUNCTION("""COMPUTED_VALUE"""),"Amit Kumar Pathak")</f>
        <v>Amit Kumar Pathak</v>
      </c>
      <c r="C4005" s="115" t="str">
        <f>IFERROR(__xludf.DUMMYFUNCTION("""COMPUTED_VALUE"""),"MYNTRA")</f>
        <v>MYNTRA</v>
      </c>
      <c r="D4005" s="115">
        <f>IFERROR(__xludf.DUMMYFUNCTION("""COMPUTED_VALUE"""),17150.0)</f>
        <v>17150</v>
      </c>
      <c r="E4005" s="115">
        <f>IFERROR(__xludf.DUMMYFUNCTION("""COMPUTED_VALUE"""),6262.0)</f>
        <v>6262</v>
      </c>
      <c r="F4005" s="115">
        <f>IFERROR(__xludf.DUMMYFUNCTION("""COMPUTED_VALUE"""),10242.0)</f>
        <v>10242</v>
      </c>
      <c r="G4005" s="115">
        <f>IFERROR(__xludf.DUMMYFUNCTION("""COMPUTED_VALUE"""),2395.0)</f>
        <v>2395</v>
      </c>
      <c r="H4005" s="116">
        <f>IFERROR(__xludf.DUMMYFUNCTION("""COMPUTED_VALUE"""),45908.0)</f>
        <v>45908</v>
      </c>
      <c r="I4005" s="115" t="str">
        <f>IFERROR(__xludf.DUMMYFUNCTION("""COMPUTED_VALUE"""),"15")</f>
        <v>15</v>
      </c>
      <c r="J4005" s="115" t="str">
        <f>IFERROR(__xludf.DUMMYFUNCTION("""COMPUTED_VALUE"""),"Amit Kumar Pathak2025-09-0815")</f>
        <v>Amit Kumar Pathak2025-09-0815</v>
      </c>
      <c r="K4005" s="115">
        <f>IFERROR(__xludf.DUMMYFUNCTION("""COMPUTED_VALUE"""),23412.0)</f>
        <v>23412</v>
      </c>
    </row>
    <row r="4006">
      <c r="A4006" s="115" t="str">
        <f>IFERROR(__xludf.DUMMYFUNCTION("""COMPUTED_VALUE"""),"NORTH")</f>
        <v>NORTH</v>
      </c>
      <c r="B4006" s="115" t="str">
        <f>IFERROR(__xludf.DUMMYFUNCTION("""COMPUTED_VALUE"""),"Loveleen Singh")</f>
        <v>Loveleen Singh</v>
      </c>
      <c r="C4006" s="115" t="str">
        <f>IFERROR(__xludf.DUMMYFUNCTION("""COMPUTED_VALUE"""),"EXTERNAL")</f>
        <v>EXTERNAL</v>
      </c>
      <c r="D4006" s="115">
        <f>IFERROR(__xludf.DUMMYFUNCTION("""COMPUTED_VALUE"""),36786.0)</f>
        <v>36786</v>
      </c>
      <c r="E4006" s="115">
        <f>IFERROR(__xludf.DUMMYFUNCTION("""COMPUTED_VALUE"""),2760.0)</f>
        <v>2760</v>
      </c>
      <c r="F4006" s="115">
        <f>IFERROR(__xludf.DUMMYFUNCTION("""COMPUTED_VALUE"""),10127.0)</f>
        <v>10127</v>
      </c>
      <c r="G4006" s="115">
        <f>IFERROR(__xludf.DUMMYFUNCTION("""COMPUTED_VALUE"""),291.0)</f>
        <v>291</v>
      </c>
      <c r="H4006" s="116">
        <f>IFERROR(__xludf.DUMMYFUNCTION("""COMPUTED_VALUE"""),45908.0)</f>
        <v>45908</v>
      </c>
      <c r="I4006" s="115" t="str">
        <f>IFERROR(__xludf.DUMMYFUNCTION("""COMPUTED_VALUE"""),"15")</f>
        <v>15</v>
      </c>
      <c r="J4006" s="115" t="str">
        <f>IFERROR(__xludf.DUMMYFUNCTION("""COMPUTED_VALUE"""),"Loveleen Singh2025-09-0815")</f>
        <v>Loveleen Singh2025-09-0815</v>
      </c>
      <c r="K4006" s="115">
        <f>IFERROR(__xludf.DUMMYFUNCTION("""COMPUTED_VALUE"""),39546.0)</f>
        <v>39546</v>
      </c>
    </row>
    <row r="4007">
      <c r="A4007" s="115" t="str">
        <f>IFERROR(__xludf.DUMMYFUNCTION("""COMPUTED_VALUE"""),"NORTH")</f>
        <v>NORTH</v>
      </c>
      <c r="B4007" s="115" t="str">
        <f>IFERROR(__xludf.DUMMYFUNCTION("""COMPUTED_VALUE"""),"Loveleen Singh")</f>
        <v>Loveleen Singh</v>
      </c>
      <c r="C4007" s="115" t="str">
        <f>IFERROR(__xludf.DUMMYFUNCTION("""COMPUTED_VALUE"""),"FLIPKART")</f>
        <v>FLIPKART</v>
      </c>
      <c r="D4007" s="115">
        <f>IFERROR(__xludf.DUMMYFUNCTION("""COMPUTED_VALUE"""),175659.0)</f>
        <v>175659</v>
      </c>
      <c r="E4007" s="115">
        <f>IFERROR(__xludf.DUMMYFUNCTION("""COMPUTED_VALUE"""),15411.0)</f>
        <v>15411</v>
      </c>
      <c r="F4007" s="115">
        <f>IFERROR(__xludf.DUMMYFUNCTION("""COMPUTED_VALUE"""),91757.0)</f>
        <v>91757</v>
      </c>
      <c r="G4007" s="115">
        <f>IFERROR(__xludf.DUMMYFUNCTION("""COMPUTED_VALUE"""),3681.0)</f>
        <v>3681</v>
      </c>
      <c r="H4007" s="116">
        <f>IFERROR(__xludf.DUMMYFUNCTION("""COMPUTED_VALUE"""),45908.0)</f>
        <v>45908</v>
      </c>
      <c r="I4007" s="115" t="str">
        <f>IFERROR(__xludf.DUMMYFUNCTION("""COMPUTED_VALUE"""),"15")</f>
        <v>15</v>
      </c>
      <c r="J4007" s="115" t="str">
        <f>IFERROR(__xludf.DUMMYFUNCTION("""COMPUTED_VALUE"""),"Loveleen Singh2025-09-0815")</f>
        <v>Loveleen Singh2025-09-0815</v>
      </c>
      <c r="K4007" s="115">
        <f>IFERROR(__xludf.DUMMYFUNCTION("""COMPUTED_VALUE"""),191070.0)</f>
        <v>191070</v>
      </c>
    </row>
    <row r="4008">
      <c r="A4008" s="115" t="str">
        <f>IFERROR(__xludf.DUMMYFUNCTION("""COMPUTED_VALUE"""),"NORTH")</f>
        <v>NORTH</v>
      </c>
      <c r="B4008" s="115" t="str">
        <f>IFERROR(__xludf.DUMMYFUNCTION("""COMPUTED_VALUE"""),"Loveleen Singh")</f>
        <v>Loveleen Singh</v>
      </c>
      <c r="C4008" s="115" t="str">
        <f>IFERROR(__xludf.DUMMYFUNCTION("""COMPUTED_VALUE"""),"MYNTRA")</f>
        <v>MYNTRA</v>
      </c>
      <c r="D4008" s="115">
        <f>IFERROR(__xludf.DUMMYFUNCTION("""COMPUTED_VALUE"""),32291.0)</f>
        <v>32291</v>
      </c>
      <c r="E4008" s="115">
        <f>IFERROR(__xludf.DUMMYFUNCTION("""COMPUTED_VALUE"""),6323.0)</f>
        <v>6323</v>
      </c>
      <c r="F4008" s="115">
        <f>IFERROR(__xludf.DUMMYFUNCTION("""COMPUTED_VALUE"""),19380.0)</f>
        <v>19380</v>
      </c>
      <c r="G4008" s="115">
        <f>IFERROR(__xludf.DUMMYFUNCTION("""COMPUTED_VALUE"""),1817.0)</f>
        <v>1817</v>
      </c>
      <c r="H4008" s="116">
        <f>IFERROR(__xludf.DUMMYFUNCTION("""COMPUTED_VALUE"""),45908.0)</f>
        <v>45908</v>
      </c>
      <c r="I4008" s="115" t="str">
        <f>IFERROR(__xludf.DUMMYFUNCTION("""COMPUTED_VALUE"""),"15")</f>
        <v>15</v>
      </c>
      <c r="J4008" s="115" t="str">
        <f>IFERROR(__xludf.DUMMYFUNCTION("""COMPUTED_VALUE"""),"Loveleen Singh2025-09-0815")</f>
        <v>Loveleen Singh2025-09-0815</v>
      </c>
      <c r="K4008" s="115">
        <f>IFERROR(__xludf.DUMMYFUNCTION("""COMPUTED_VALUE"""),38614.0)</f>
        <v>38614</v>
      </c>
    </row>
    <row r="4009">
      <c r="A4009" s="115" t="str">
        <f>IFERROR(__xludf.DUMMYFUNCTION("""COMPUTED_VALUE"""),"NORTH")</f>
        <v>NORTH</v>
      </c>
      <c r="B4009" s="115" t="str">
        <f>IFERROR(__xludf.DUMMYFUNCTION("""COMPUTED_VALUE"""),"Manoj Harsh")</f>
        <v>Manoj Harsh</v>
      </c>
      <c r="C4009" s="115" t="str">
        <f>IFERROR(__xludf.DUMMYFUNCTION("""COMPUTED_VALUE"""),"EXTERNAL")</f>
        <v>EXTERNAL</v>
      </c>
      <c r="D4009" s="115">
        <f>IFERROR(__xludf.DUMMYFUNCTION("""COMPUTED_VALUE"""),38902.0)</f>
        <v>38902</v>
      </c>
      <c r="E4009" s="115">
        <f>IFERROR(__xludf.DUMMYFUNCTION("""COMPUTED_VALUE"""),3130.0)</f>
        <v>3130</v>
      </c>
      <c r="F4009" s="115">
        <f>IFERROR(__xludf.DUMMYFUNCTION("""COMPUTED_VALUE"""),11072.0)</f>
        <v>11072</v>
      </c>
      <c r="G4009" s="115">
        <f>IFERROR(__xludf.DUMMYFUNCTION("""COMPUTED_VALUE"""),387.0)</f>
        <v>387</v>
      </c>
      <c r="H4009" s="116">
        <f>IFERROR(__xludf.DUMMYFUNCTION("""COMPUTED_VALUE"""),45908.0)</f>
        <v>45908</v>
      </c>
      <c r="I4009" s="115" t="str">
        <f>IFERROR(__xludf.DUMMYFUNCTION("""COMPUTED_VALUE"""),"15")</f>
        <v>15</v>
      </c>
      <c r="J4009" s="115" t="str">
        <f>IFERROR(__xludf.DUMMYFUNCTION("""COMPUTED_VALUE"""),"Manoj Harsh2025-09-0815")</f>
        <v>Manoj Harsh2025-09-0815</v>
      </c>
      <c r="K4009" s="115">
        <f>IFERROR(__xludf.DUMMYFUNCTION("""COMPUTED_VALUE"""),42032.0)</f>
        <v>42032</v>
      </c>
    </row>
    <row r="4010">
      <c r="A4010" s="115" t="str">
        <f>IFERROR(__xludf.DUMMYFUNCTION("""COMPUTED_VALUE"""),"NORTH")</f>
        <v>NORTH</v>
      </c>
      <c r="B4010" s="115" t="str">
        <f>IFERROR(__xludf.DUMMYFUNCTION("""COMPUTED_VALUE"""),"Manoj Harsh")</f>
        <v>Manoj Harsh</v>
      </c>
      <c r="C4010" s="115" t="str">
        <f>IFERROR(__xludf.DUMMYFUNCTION("""COMPUTED_VALUE"""),"FLIPKART")</f>
        <v>FLIPKART</v>
      </c>
      <c r="D4010" s="115">
        <f>IFERROR(__xludf.DUMMYFUNCTION("""COMPUTED_VALUE"""),391649.0)</f>
        <v>391649</v>
      </c>
      <c r="E4010" s="115">
        <f>IFERROR(__xludf.DUMMYFUNCTION("""COMPUTED_VALUE"""),41172.0)</f>
        <v>41172</v>
      </c>
      <c r="F4010" s="115">
        <f>IFERROR(__xludf.DUMMYFUNCTION("""COMPUTED_VALUE"""),193103.0)</f>
        <v>193103</v>
      </c>
      <c r="G4010" s="115">
        <f>IFERROR(__xludf.DUMMYFUNCTION("""COMPUTED_VALUE"""),8856.0)</f>
        <v>8856</v>
      </c>
      <c r="H4010" s="116">
        <f>IFERROR(__xludf.DUMMYFUNCTION("""COMPUTED_VALUE"""),45908.0)</f>
        <v>45908</v>
      </c>
      <c r="I4010" s="115" t="str">
        <f>IFERROR(__xludf.DUMMYFUNCTION("""COMPUTED_VALUE"""),"15")</f>
        <v>15</v>
      </c>
      <c r="J4010" s="115" t="str">
        <f>IFERROR(__xludf.DUMMYFUNCTION("""COMPUTED_VALUE"""),"Manoj Harsh2025-09-0815")</f>
        <v>Manoj Harsh2025-09-0815</v>
      </c>
      <c r="K4010" s="115">
        <f>IFERROR(__xludf.DUMMYFUNCTION("""COMPUTED_VALUE"""),432821.0)</f>
        <v>432821</v>
      </c>
    </row>
    <row r="4011">
      <c r="A4011" s="115" t="str">
        <f>IFERROR(__xludf.DUMMYFUNCTION("""COMPUTED_VALUE"""),"NORTH")</f>
        <v>NORTH</v>
      </c>
      <c r="B4011" s="115" t="str">
        <f>IFERROR(__xludf.DUMMYFUNCTION("""COMPUTED_VALUE"""),"Manoj Harsh")</f>
        <v>Manoj Harsh</v>
      </c>
      <c r="C4011" s="115" t="str">
        <f>IFERROR(__xludf.DUMMYFUNCTION("""COMPUTED_VALUE"""),"MYNTRA")</f>
        <v>MYNTRA</v>
      </c>
      <c r="D4011" s="115">
        <f>IFERROR(__xludf.DUMMYFUNCTION("""COMPUTED_VALUE"""),39779.0)</f>
        <v>39779</v>
      </c>
      <c r="E4011" s="115">
        <f>IFERROR(__xludf.DUMMYFUNCTION("""COMPUTED_VALUE"""),7845.0)</f>
        <v>7845</v>
      </c>
      <c r="F4011" s="115">
        <f>IFERROR(__xludf.DUMMYFUNCTION("""COMPUTED_VALUE"""),22767.0)</f>
        <v>22767</v>
      </c>
      <c r="G4011" s="115">
        <f>IFERROR(__xludf.DUMMYFUNCTION("""COMPUTED_VALUE"""),2111.0)</f>
        <v>2111</v>
      </c>
      <c r="H4011" s="116">
        <f>IFERROR(__xludf.DUMMYFUNCTION("""COMPUTED_VALUE"""),45908.0)</f>
        <v>45908</v>
      </c>
      <c r="I4011" s="115" t="str">
        <f>IFERROR(__xludf.DUMMYFUNCTION("""COMPUTED_VALUE"""),"15")</f>
        <v>15</v>
      </c>
      <c r="J4011" s="115" t="str">
        <f>IFERROR(__xludf.DUMMYFUNCTION("""COMPUTED_VALUE"""),"Manoj Harsh2025-09-0815")</f>
        <v>Manoj Harsh2025-09-0815</v>
      </c>
      <c r="K4011" s="115">
        <f>IFERROR(__xludf.DUMMYFUNCTION("""COMPUTED_VALUE"""),47624.0)</f>
        <v>47624</v>
      </c>
    </row>
    <row r="4012">
      <c r="A4012" s="115" t="str">
        <f>IFERROR(__xludf.DUMMYFUNCTION("""COMPUTED_VALUE"""),"NORTH")</f>
        <v>NORTH</v>
      </c>
      <c r="B4012" s="115" t="str">
        <f>IFERROR(__xludf.DUMMYFUNCTION("""COMPUTED_VALUE"""),"Pradeep Kothari")</f>
        <v>Pradeep Kothari</v>
      </c>
      <c r="C4012" s="115" t="str">
        <f>IFERROR(__xludf.DUMMYFUNCTION("""COMPUTED_VALUE"""),"EXTERNAL")</f>
        <v>EXTERNAL</v>
      </c>
      <c r="D4012" s="115">
        <f>IFERROR(__xludf.DUMMYFUNCTION("""COMPUTED_VALUE"""),21036.0)</f>
        <v>21036</v>
      </c>
      <c r="E4012" s="115">
        <f>IFERROR(__xludf.DUMMYFUNCTION("""COMPUTED_VALUE"""),2068.0)</f>
        <v>2068</v>
      </c>
      <c r="F4012" s="115">
        <f>IFERROR(__xludf.DUMMYFUNCTION("""COMPUTED_VALUE"""),6600.0)</f>
        <v>6600</v>
      </c>
      <c r="G4012" s="115">
        <f>IFERROR(__xludf.DUMMYFUNCTION("""COMPUTED_VALUE"""),441.0)</f>
        <v>441</v>
      </c>
      <c r="H4012" s="116">
        <f>IFERROR(__xludf.DUMMYFUNCTION("""COMPUTED_VALUE"""),45908.0)</f>
        <v>45908</v>
      </c>
      <c r="I4012" s="115" t="str">
        <f>IFERROR(__xludf.DUMMYFUNCTION("""COMPUTED_VALUE"""),"15")</f>
        <v>15</v>
      </c>
      <c r="J4012" s="115" t="str">
        <f>IFERROR(__xludf.DUMMYFUNCTION("""COMPUTED_VALUE"""),"Pradeep Kothari2025-09-0815")</f>
        <v>Pradeep Kothari2025-09-0815</v>
      </c>
      <c r="K4012" s="115">
        <f>IFERROR(__xludf.DUMMYFUNCTION("""COMPUTED_VALUE"""),23104.0)</f>
        <v>23104</v>
      </c>
    </row>
    <row r="4013">
      <c r="A4013" s="115" t="str">
        <f>IFERROR(__xludf.DUMMYFUNCTION("""COMPUTED_VALUE"""),"NORTH")</f>
        <v>NORTH</v>
      </c>
      <c r="B4013" s="115" t="str">
        <f>IFERROR(__xludf.DUMMYFUNCTION("""COMPUTED_VALUE"""),"Pradeep Kothari")</f>
        <v>Pradeep Kothari</v>
      </c>
      <c r="C4013" s="115" t="str">
        <f>IFERROR(__xludf.DUMMYFUNCTION("""COMPUTED_VALUE"""),"FLIPKART")</f>
        <v>FLIPKART</v>
      </c>
      <c r="D4013" s="115">
        <f>IFERROR(__xludf.DUMMYFUNCTION("""COMPUTED_VALUE"""),138851.0)</f>
        <v>138851</v>
      </c>
      <c r="E4013" s="115">
        <f>IFERROR(__xludf.DUMMYFUNCTION("""COMPUTED_VALUE"""),17660.0)</f>
        <v>17660</v>
      </c>
      <c r="F4013" s="115">
        <f>IFERROR(__xludf.DUMMYFUNCTION("""COMPUTED_VALUE"""),81802.0)</f>
        <v>81802</v>
      </c>
      <c r="G4013" s="115">
        <f>IFERROR(__xludf.DUMMYFUNCTION("""COMPUTED_VALUE"""),6050.0)</f>
        <v>6050</v>
      </c>
      <c r="H4013" s="116">
        <f>IFERROR(__xludf.DUMMYFUNCTION("""COMPUTED_VALUE"""),45908.0)</f>
        <v>45908</v>
      </c>
      <c r="I4013" s="115" t="str">
        <f>IFERROR(__xludf.DUMMYFUNCTION("""COMPUTED_VALUE"""),"15")</f>
        <v>15</v>
      </c>
      <c r="J4013" s="115" t="str">
        <f>IFERROR(__xludf.DUMMYFUNCTION("""COMPUTED_VALUE"""),"Pradeep Kothari2025-09-0815")</f>
        <v>Pradeep Kothari2025-09-0815</v>
      </c>
      <c r="K4013" s="115">
        <f>IFERROR(__xludf.DUMMYFUNCTION("""COMPUTED_VALUE"""),156511.0)</f>
        <v>156511</v>
      </c>
    </row>
    <row r="4014">
      <c r="A4014" s="115" t="str">
        <f>IFERROR(__xludf.DUMMYFUNCTION("""COMPUTED_VALUE"""),"NORTH")</f>
        <v>NORTH</v>
      </c>
      <c r="B4014" s="115" t="str">
        <f>IFERROR(__xludf.DUMMYFUNCTION("""COMPUTED_VALUE"""),"Pradeep Kothari")</f>
        <v>Pradeep Kothari</v>
      </c>
      <c r="C4014" s="115" t="str">
        <f>IFERROR(__xludf.DUMMYFUNCTION("""COMPUTED_VALUE"""),"MYNTRA")</f>
        <v>MYNTRA</v>
      </c>
      <c r="D4014" s="115">
        <f>IFERROR(__xludf.DUMMYFUNCTION("""COMPUTED_VALUE"""),28136.0)</f>
        <v>28136</v>
      </c>
      <c r="E4014" s="115">
        <f>IFERROR(__xludf.DUMMYFUNCTION("""COMPUTED_VALUE"""),6871.0)</f>
        <v>6871</v>
      </c>
      <c r="F4014" s="115">
        <f>IFERROR(__xludf.DUMMYFUNCTION("""COMPUTED_VALUE"""),19391.0)</f>
        <v>19391</v>
      </c>
      <c r="G4014" s="115">
        <f>IFERROR(__xludf.DUMMYFUNCTION("""COMPUTED_VALUE"""),2818.0)</f>
        <v>2818</v>
      </c>
      <c r="H4014" s="116">
        <f>IFERROR(__xludf.DUMMYFUNCTION("""COMPUTED_VALUE"""),45908.0)</f>
        <v>45908</v>
      </c>
      <c r="I4014" s="115" t="str">
        <f>IFERROR(__xludf.DUMMYFUNCTION("""COMPUTED_VALUE"""),"15")</f>
        <v>15</v>
      </c>
      <c r="J4014" s="115" t="str">
        <f>IFERROR(__xludf.DUMMYFUNCTION("""COMPUTED_VALUE"""),"Pradeep Kothari2025-09-0815")</f>
        <v>Pradeep Kothari2025-09-0815</v>
      </c>
      <c r="K4014" s="115">
        <f>IFERROR(__xludf.DUMMYFUNCTION("""COMPUTED_VALUE"""),35007.0)</f>
        <v>35007</v>
      </c>
    </row>
    <row r="4015">
      <c r="A4015" s="115" t="str">
        <f>IFERROR(__xludf.DUMMYFUNCTION("""COMPUTED_VALUE"""),"SOUTH")</f>
        <v>SOUTH</v>
      </c>
      <c r="B4015" s="115" t="str">
        <f>IFERROR(__xludf.DUMMYFUNCTION("""COMPUTED_VALUE"""),"0")</f>
        <v>0</v>
      </c>
      <c r="C4015" s="115" t="str">
        <f>IFERROR(__xludf.DUMMYFUNCTION("""COMPUTED_VALUE"""),"EXTERNAL")</f>
        <v>EXTERNAL</v>
      </c>
      <c r="D4015" s="115">
        <f>IFERROR(__xludf.DUMMYFUNCTION("""COMPUTED_VALUE"""),1.0)</f>
        <v>1</v>
      </c>
      <c r="E4015" s="115">
        <f>IFERROR(__xludf.DUMMYFUNCTION("""COMPUTED_VALUE"""),0.0)</f>
        <v>0</v>
      </c>
      <c r="F4015" s="115">
        <f>IFERROR(__xludf.DUMMYFUNCTION("""COMPUTED_VALUE"""),0.0)</f>
        <v>0</v>
      </c>
      <c r="G4015" s="115">
        <f>IFERROR(__xludf.DUMMYFUNCTION("""COMPUTED_VALUE"""),0.0)</f>
        <v>0</v>
      </c>
      <c r="H4015" s="116">
        <f>IFERROR(__xludf.DUMMYFUNCTION("""COMPUTED_VALUE"""),45908.0)</f>
        <v>45908</v>
      </c>
      <c r="I4015" s="115" t="str">
        <f>IFERROR(__xludf.DUMMYFUNCTION("""COMPUTED_VALUE"""),"15")</f>
        <v>15</v>
      </c>
      <c r="J4015" s="115" t="str">
        <f>IFERROR(__xludf.DUMMYFUNCTION("""COMPUTED_VALUE"""),"02025-09-0815")</f>
        <v>02025-09-0815</v>
      </c>
      <c r="K4015" s="115">
        <f>IFERROR(__xludf.DUMMYFUNCTION("""COMPUTED_VALUE"""),1.0)</f>
        <v>1</v>
      </c>
    </row>
    <row r="4016">
      <c r="A4016" s="115" t="str">
        <f>IFERROR(__xludf.DUMMYFUNCTION("""COMPUTED_VALUE"""),"SOUTH")</f>
        <v>SOUTH</v>
      </c>
      <c r="B4016" s="115" t="str">
        <f>IFERROR(__xludf.DUMMYFUNCTION("""COMPUTED_VALUE"""),"0")</f>
        <v>0</v>
      </c>
      <c r="C4016" s="115" t="str">
        <f>IFERROR(__xludf.DUMMYFUNCTION("""COMPUTED_VALUE"""),"FLIPKART")</f>
        <v>FLIPKART</v>
      </c>
      <c r="D4016" s="115">
        <f>IFERROR(__xludf.DUMMYFUNCTION("""COMPUTED_VALUE"""),37.0)</f>
        <v>37</v>
      </c>
      <c r="E4016" s="115">
        <f>IFERROR(__xludf.DUMMYFUNCTION("""COMPUTED_VALUE"""),72.0)</f>
        <v>72</v>
      </c>
      <c r="F4016" s="115">
        <f>IFERROR(__xludf.DUMMYFUNCTION("""COMPUTED_VALUE"""),14.0)</f>
        <v>14</v>
      </c>
      <c r="G4016" s="115">
        <f>IFERROR(__xludf.DUMMYFUNCTION("""COMPUTED_VALUE"""),0.0)</f>
        <v>0</v>
      </c>
      <c r="H4016" s="116">
        <f>IFERROR(__xludf.DUMMYFUNCTION("""COMPUTED_VALUE"""),45908.0)</f>
        <v>45908</v>
      </c>
      <c r="I4016" s="115" t="str">
        <f>IFERROR(__xludf.DUMMYFUNCTION("""COMPUTED_VALUE"""),"15")</f>
        <v>15</v>
      </c>
      <c r="J4016" s="115" t="str">
        <f>IFERROR(__xludf.DUMMYFUNCTION("""COMPUTED_VALUE"""),"02025-09-0815")</f>
        <v>02025-09-0815</v>
      </c>
      <c r="K4016" s="115">
        <f>IFERROR(__xludf.DUMMYFUNCTION("""COMPUTED_VALUE"""),109.0)</f>
        <v>109</v>
      </c>
    </row>
    <row r="4017">
      <c r="A4017" s="115" t="str">
        <f>IFERROR(__xludf.DUMMYFUNCTION("""COMPUTED_VALUE"""),"SOUTH")</f>
        <v>SOUTH</v>
      </c>
      <c r="B4017" s="115" t="str">
        <f>IFERROR(__xludf.DUMMYFUNCTION("""COMPUTED_VALUE"""),"0")</f>
        <v>0</v>
      </c>
      <c r="C4017" s="115" t="str">
        <f>IFERROR(__xludf.DUMMYFUNCTION("""COMPUTED_VALUE"""),"MYNTRA")</f>
        <v>MYNTRA</v>
      </c>
      <c r="D4017" s="115">
        <f>IFERROR(__xludf.DUMMYFUNCTION("""COMPUTED_VALUE"""),7.0)</f>
        <v>7</v>
      </c>
      <c r="E4017" s="115">
        <f>IFERROR(__xludf.DUMMYFUNCTION("""COMPUTED_VALUE"""),24.0)</f>
        <v>24</v>
      </c>
      <c r="F4017" s="115">
        <f>IFERROR(__xludf.DUMMYFUNCTION("""COMPUTED_VALUE"""),0.0)</f>
        <v>0</v>
      </c>
      <c r="G4017" s="115">
        <f>IFERROR(__xludf.DUMMYFUNCTION("""COMPUTED_VALUE"""),0.0)</f>
        <v>0</v>
      </c>
      <c r="H4017" s="116">
        <f>IFERROR(__xludf.DUMMYFUNCTION("""COMPUTED_VALUE"""),45908.0)</f>
        <v>45908</v>
      </c>
      <c r="I4017" s="115" t="str">
        <f>IFERROR(__xludf.DUMMYFUNCTION("""COMPUTED_VALUE"""),"15")</f>
        <v>15</v>
      </c>
      <c r="J4017" s="115" t="str">
        <f>IFERROR(__xludf.DUMMYFUNCTION("""COMPUTED_VALUE"""),"02025-09-0815")</f>
        <v>02025-09-0815</v>
      </c>
      <c r="K4017" s="115">
        <f>IFERROR(__xludf.DUMMYFUNCTION("""COMPUTED_VALUE"""),31.0)</f>
        <v>31</v>
      </c>
    </row>
    <row r="4018">
      <c r="A4018" s="115" t="str">
        <f>IFERROR(__xludf.DUMMYFUNCTION("""COMPUTED_VALUE"""),"SOUTH")</f>
        <v>SOUTH</v>
      </c>
      <c r="B4018" s="115" t="str">
        <f>IFERROR(__xludf.DUMMYFUNCTION("""COMPUTED_VALUE"""),"Kandula Sampath")</f>
        <v>Kandula Sampath</v>
      </c>
      <c r="C4018" s="115" t="str">
        <f>IFERROR(__xludf.DUMMYFUNCTION("""COMPUTED_VALUE"""),"EXTERNAL")</f>
        <v>EXTERNAL</v>
      </c>
      <c r="D4018" s="115">
        <f>IFERROR(__xludf.DUMMYFUNCTION("""COMPUTED_VALUE"""),37338.0)</f>
        <v>37338</v>
      </c>
      <c r="E4018" s="115">
        <f>IFERROR(__xludf.DUMMYFUNCTION("""COMPUTED_VALUE"""),4115.0)</f>
        <v>4115</v>
      </c>
      <c r="F4018" s="115">
        <f>IFERROR(__xludf.DUMMYFUNCTION("""COMPUTED_VALUE"""),11621.0)</f>
        <v>11621</v>
      </c>
      <c r="G4018" s="115">
        <f>IFERROR(__xludf.DUMMYFUNCTION("""COMPUTED_VALUE"""),552.0)</f>
        <v>552</v>
      </c>
      <c r="H4018" s="116">
        <f>IFERROR(__xludf.DUMMYFUNCTION("""COMPUTED_VALUE"""),45908.0)</f>
        <v>45908</v>
      </c>
      <c r="I4018" s="115" t="str">
        <f>IFERROR(__xludf.DUMMYFUNCTION("""COMPUTED_VALUE"""),"15")</f>
        <v>15</v>
      </c>
      <c r="J4018" s="115" t="str">
        <f>IFERROR(__xludf.DUMMYFUNCTION("""COMPUTED_VALUE"""),"Kandula Sampath2025-09-0815")</f>
        <v>Kandula Sampath2025-09-0815</v>
      </c>
      <c r="K4018" s="115">
        <f>IFERROR(__xludf.DUMMYFUNCTION("""COMPUTED_VALUE"""),41453.0)</f>
        <v>41453</v>
      </c>
    </row>
    <row r="4019">
      <c r="A4019" s="115" t="str">
        <f>IFERROR(__xludf.DUMMYFUNCTION("""COMPUTED_VALUE"""),"SOUTH")</f>
        <v>SOUTH</v>
      </c>
      <c r="B4019" s="115" t="str">
        <f>IFERROR(__xludf.DUMMYFUNCTION("""COMPUTED_VALUE"""),"Kandula Sampath")</f>
        <v>Kandula Sampath</v>
      </c>
      <c r="C4019" s="115" t="str">
        <f>IFERROR(__xludf.DUMMYFUNCTION("""COMPUTED_VALUE"""),"FLIPKART")</f>
        <v>FLIPKART</v>
      </c>
      <c r="D4019" s="115">
        <f>IFERROR(__xludf.DUMMYFUNCTION("""COMPUTED_VALUE"""),345603.0)</f>
        <v>345603</v>
      </c>
      <c r="E4019" s="115">
        <f>IFERROR(__xludf.DUMMYFUNCTION("""COMPUTED_VALUE"""),32869.0)</f>
        <v>32869</v>
      </c>
      <c r="F4019" s="115">
        <f>IFERROR(__xludf.DUMMYFUNCTION("""COMPUTED_VALUE"""),182467.0)</f>
        <v>182467</v>
      </c>
      <c r="G4019" s="115">
        <f>IFERROR(__xludf.DUMMYFUNCTION("""COMPUTED_VALUE"""),7255.0)</f>
        <v>7255</v>
      </c>
      <c r="H4019" s="116">
        <f>IFERROR(__xludf.DUMMYFUNCTION("""COMPUTED_VALUE"""),45908.0)</f>
        <v>45908</v>
      </c>
      <c r="I4019" s="115" t="str">
        <f>IFERROR(__xludf.DUMMYFUNCTION("""COMPUTED_VALUE"""),"15")</f>
        <v>15</v>
      </c>
      <c r="J4019" s="115" t="str">
        <f>IFERROR(__xludf.DUMMYFUNCTION("""COMPUTED_VALUE"""),"Kandula Sampath2025-09-0815")</f>
        <v>Kandula Sampath2025-09-0815</v>
      </c>
      <c r="K4019" s="115">
        <f>IFERROR(__xludf.DUMMYFUNCTION("""COMPUTED_VALUE"""),378472.0)</f>
        <v>378472</v>
      </c>
    </row>
    <row r="4020">
      <c r="A4020" s="115" t="str">
        <f>IFERROR(__xludf.DUMMYFUNCTION("""COMPUTED_VALUE"""),"SOUTH")</f>
        <v>SOUTH</v>
      </c>
      <c r="B4020" s="115" t="str">
        <f>IFERROR(__xludf.DUMMYFUNCTION("""COMPUTED_VALUE"""),"Kandula Sampath")</f>
        <v>Kandula Sampath</v>
      </c>
      <c r="C4020" s="115" t="str">
        <f>IFERROR(__xludf.DUMMYFUNCTION("""COMPUTED_VALUE"""),"MYNTRA")</f>
        <v>MYNTRA</v>
      </c>
      <c r="D4020" s="115">
        <f>IFERROR(__xludf.DUMMYFUNCTION("""COMPUTED_VALUE"""),40738.0)</f>
        <v>40738</v>
      </c>
      <c r="E4020" s="115">
        <f>IFERROR(__xludf.DUMMYFUNCTION("""COMPUTED_VALUE"""),9119.0)</f>
        <v>9119</v>
      </c>
      <c r="F4020" s="115">
        <f>IFERROR(__xludf.DUMMYFUNCTION("""COMPUTED_VALUE"""),24327.0)</f>
        <v>24327</v>
      </c>
      <c r="G4020" s="115">
        <f>IFERROR(__xludf.DUMMYFUNCTION("""COMPUTED_VALUE"""),2149.0)</f>
        <v>2149</v>
      </c>
      <c r="H4020" s="116">
        <f>IFERROR(__xludf.DUMMYFUNCTION("""COMPUTED_VALUE"""),45908.0)</f>
        <v>45908</v>
      </c>
      <c r="I4020" s="115" t="str">
        <f>IFERROR(__xludf.DUMMYFUNCTION("""COMPUTED_VALUE"""),"15")</f>
        <v>15</v>
      </c>
      <c r="J4020" s="115" t="str">
        <f>IFERROR(__xludf.DUMMYFUNCTION("""COMPUTED_VALUE"""),"Kandula Sampath2025-09-0815")</f>
        <v>Kandula Sampath2025-09-0815</v>
      </c>
      <c r="K4020" s="115">
        <f>IFERROR(__xludf.DUMMYFUNCTION("""COMPUTED_VALUE"""),49857.0)</f>
        <v>49857</v>
      </c>
    </row>
    <row r="4021">
      <c r="A4021" s="115" t="str">
        <f>IFERROR(__xludf.DUMMYFUNCTION("""COMPUTED_VALUE"""),"SOUTH")</f>
        <v>SOUTH</v>
      </c>
      <c r="B4021" s="115" t="str">
        <f>IFERROR(__xludf.DUMMYFUNCTION("""COMPUTED_VALUE"""),"Martin A")</f>
        <v>Martin A</v>
      </c>
      <c r="C4021" s="115" t="str">
        <f>IFERROR(__xludf.DUMMYFUNCTION("""COMPUTED_VALUE"""),"EXTERNAL")</f>
        <v>EXTERNAL</v>
      </c>
      <c r="D4021" s="115">
        <f>IFERROR(__xludf.DUMMYFUNCTION("""COMPUTED_VALUE"""),34641.0)</f>
        <v>34641</v>
      </c>
      <c r="E4021" s="115">
        <f>IFERROR(__xludf.DUMMYFUNCTION("""COMPUTED_VALUE"""),4291.0)</f>
        <v>4291</v>
      </c>
      <c r="F4021" s="115">
        <f>IFERROR(__xludf.DUMMYFUNCTION("""COMPUTED_VALUE"""),11167.0)</f>
        <v>11167</v>
      </c>
      <c r="G4021" s="115">
        <f>IFERROR(__xludf.DUMMYFUNCTION("""COMPUTED_VALUE"""),1077.0)</f>
        <v>1077</v>
      </c>
      <c r="H4021" s="116">
        <f>IFERROR(__xludf.DUMMYFUNCTION("""COMPUTED_VALUE"""),45908.0)</f>
        <v>45908</v>
      </c>
      <c r="I4021" s="115" t="str">
        <f>IFERROR(__xludf.DUMMYFUNCTION("""COMPUTED_VALUE"""),"15")</f>
        <v>15</v>
      </c>
      <c r="J4021" s="115" t="str">
        <f>IFERROR(__xludf.DUMMYFUNCTION("""COMPUTED_VALUE"""),"Martin A2025-09-0815")</f>
        <v>Martin A2025-09-0815</v>
      </c>
      <c r="K4021" s="115">
        <f>IFERROR(__xludf.DUMMYFUNCTION("""COMPUTED_VALUE"""),38932.0)</f>
        <v>38932</v>
      </c>
    </row>
    <row r="4022">
      <c r="A4022" s="115" t="str">
        <f>IFERROR(__xludf.DUMMYFUNCTION("""COMPUTED_VALUE"""),"SOUTH")</f>
        <v>SOUTH</v>
      </c>
      <c r="B4022" s="115" t="str">
        <f>IFERROR(__xludf.DUMMYFUNCTION("""COMPUTED_VALUE"""),"Martin A")</f>
        <v>Martin A</v>
      </c>
      <c r="C4022" s="115" t="str">
        <f>IFERROR(__xludf.DUMMYFUNCTION("""COMPUTED_VALUE"""),"FLIPKART")</f>
        <v>FLIPKART</v>
      </c>
      <c r="D4022" s="115">
        <f>IFERROR(__xludf.DUMMYFUNCTION("""COMPUTED_VALUE"""),280317.0)</f>
        <v>280317</v>
      </c>
      <c r="E4022" s="115">
        <f>IFERROR(__xludf.DUMMYFUNCTION("""COMPUTED_VALUE"""),27800.0)</f>
        <v>27800</v>
      </c>
      <c r="F4022" s="115">
        <f>IFERROR(__xludf.DUMMYFUNCTION("""COMPUTED_VALUE"""),155419.0)</f>
        <v>155419</v>
      </c>
      <c r="G4022" s="115">
        <f>IFERROR(__xludf.DUMMYFUNCTION("""COMPUTED_VALUE"""),7492.0)</f>
        <v>7492</v>
      </c>
      <c r="H4022" s="116">
        <f>IFERROR(__xludf.DUMMYFUNCTION("""COMPUTED_VALUE"""),45908.0)</f>
        <v>45908</v>
      </c>
      <c r="I4022" s="115" t="str">
        <f>IFERROR(__xludf.DUMMYFUNCTION("""COMPUTED_VALUE"""),"15")</f>
        <v>15</v>
      </c>
      <c r="J4022" s="115" t="str">
        <f>IFERROR(__xludf.DUMMYFUNCTION("""COMPUTED_VALUE"""),"Martin A2025-09-0815")</f>
        <v>Martin A2025-09-0815</v>
      </c>
      <c r="K4022" s="115">
        <f>IFERROR(__xludf.DUMMYFUNCTION("""COMPUTED_VALUE"""),308117.0)</f>
        <v>308117</v>
      </c>
    </row>
    <row r="4023">
      <c r="A4023" s="115" t="str">
        <f>IFERROR(__xludf.DUMMYFUNCTION("""COMPUTED_VALUE"""),"SOUTH")</f>
        <v>SOUTH</v>
      </c>
      <c r="B4023" s="115" t="str">
        <f>IFERROR(__xludf.DUMMYFUNCTION("""COMPUTED_VALUE"""),"Martin A")</f>
        <v>Martin A</v>
      </c>
      <c r="C4023" s="115" t="str">
        <f>IFERROR(__xludf.DUMMYFUNCTION("""COMPUTED_VALUE"""),"MYNTRA")</f>
        <v>MYNTRA</v>
      </c>
      <c r="D4023" s="115">
        <f>IFERROR(__xludf.DUMMYFUNCTION("""COMPUTED_VALUE"""),27950.0)</f>
        <v>27950</v>
      </c>
      <c r="E4023" s="115">
        <f>IFERROR(__xludf.DUMMYFUNCTION("""COMPUTED_VALUE"""),7589.0)</f>
        <v>7589</v>
      </c>
      <c r="F4023" s="115">
        <f>IFERROR(__xludf.DUMMYFUNCTION("""COMPUTED_VALUE"""),17992.0)</f>
        <v>17992</v>
      </c>
      <c r="G4023" s="115">
        <f>IFERROR(__xludf.DUMMYFUNCTION("""COMPUTED_VALUE"""),2256.0)</f>
        <v>2256</v>
      </c>
      <c r="H4023" s="116">
        <f>IFERROR(__xludf.DUMMYFUNCTION("""COMPUTED_VALUE"""),45908.0)</f>
        <v>45908</v>
      </c>
      <c r="I4023" s="115" t="str">
        <f>IFERROR(__xludf.DUMMYFUNCTION("""COMPUTED_VALUE"""),"15")</f>
        <v>15</v>
      </c>
      <c r="J4023" s="115" t="str">
        <f>IFERROR(__xludf.DUMMYFUNCTION("""COMPUTED_VALUE"""),"Martin A2025-09-0815")</f>
        <v>Martin A2025-09-0815</v>
      </c>
      <c r="K4023" s="115">
        <f>IFERROR(__xludf.DUMMYFUNCTION("""COMPUTED_VALUE"""),35539.0)</f>
        <v>35539</v>
      </c>
    </row>
    <row r="4024">
      <c r="A4024" s="115" t="str">
        <f>IFERROR(__xludf.DUMMYFUNCTION("""COMPUTED_VALUE"""),"SOUTH")</f>
        <v>SOUTH</v>
      </c>
      <c r="B4024" s="115" t="str">
        <f>IFERROR(__xludf.DUMMYFUNCTION("""COMPUTED_VALUE"""),"Premkumar M")</f>
        <v>Premkumar M</v>
      </c>
      <c r="C4024" s="115" t="str">
        <f>IFERROR(__xludf.DUMMYFUNCTION("""COMPUTED_VALUE"""),"EXTERNAL")</f>
        <v>EXTERNAL</v>
      </c>
      <c r="D4024" s="115">
        <f>IFERROR(__xludf.DUMMYFUNCTION("""COMPUTED_VALUE"""),32087.0)</f>
        <v>32087</v>
      </c>
      <c r="E4024" s="115">
        <f>IFERROR(__xludf.DUMMYFUNCTION("""COMPUTED_VALUE"""),1954.0)</f>
        <v>1954</v>
      </c>
      <c r="F4024" s="115">
        <f>IFERROR(__xludf.DUMMYFUNCTION("""COMPUTED_VALUE"""),9076.0)</f>
        <v>9076</v>
      </c>
      <c r="G4024" s="115">
        <f>IFERROR(__xludf.DUMMYFUNCTION("""COMPUTED_VALUE"""),108.0)</f>
        <v>108</v>
      </c>
      <c r="H4024" s="116">
        <f>IFERROR(__xludf.DUMMYFUNCTION("""COMPUTED_VALUE"""),45908.0)</f>
        <v>45908</v>
      </c>
      <c r="I4024" s="115" t="str">
        <f>IFERROR(__xludf.DUMMYFUNCTION("""COMPUTED_VALUE"""),"15")</f>
        <v>15</v>
      </c>
      <c r="J4024" s="115" t="str">
        <f>IFERROR(__xludf.DUMMYFUNCTION("""COMPUTED_VALUE"""),"Premkumar M2025-09-0815")</f>
        <v>Premkumar M2025-09-0815</v>
      </c>
      <c r="K4024" s="115">
        <f>IFERROR(__xludf.DUMMYFUNCTION("""COMPUTED_VALUE"""),34041.0)</f>
        <v>34041</v>
      </c>
    </row>
    <row r="4025">
      <c r="A4025" s="115" t="str">
        <f>IFERROR(__xludf.DUMMYFUNCTION("""COMPUTED_VALUE"""),"SOUTH")</f>
        <v>SOUTH</v>
      </c>
      <c r="B4025" s="115" t="str">
        <f>IFERROR(__xludf.DUMMYFUNCTION("""COMPUTED_VALUE"""),"Premkumar M")</f>
        <v>Premkumar M</v>
      </c>
      <c r="C4025" s="115" t="str">
        <f>IFERROR(__xludf.DUMMYFUNCTION("""COMPUTED_VALUE"""),"FLIPKART")</f>
        <v>FLIPKART</v>
      </c>
      <c r="D4025" s="115">
        <f>IFERROR(__xludf.DUMMYFUNCTION("""COMPUTED_VALUE"""),293447.0)</f>
        <v>293447</v>
      </c>
      <c r="E4025" s="115">
        <f>IFERROR(__xludf.DUMMYFUNCTION("""COMPUTED_VALUE"""),19269.0)</f>
        <v>19269</v>
      </c>
      <c r="F4025" s="115">
        <f>IFERROR(__xludf.DUMMYFUNCTION("""COMPUTED_VALUE"""),128221.0)</f>
        <v>128221</v>
      </c>
      <c r="G4025" s="115">
        <f>IFERROR(__xludf.DUMMYFUNCTION("""COMPUTED_VALUE"""),1828.0)</f>
        <v>1828</v>
      </c>
      <c r="H4025" s="116">
        <f>IFERROR(__xludf.DUMMYFUNCTION("""COMPUTED_VALUE"""),45908.0)</f>
        <v>45908</v>
      </c>
      <c r="I4025" s="115" t="str">
        <f>IFERROR(__xludf.DUMMYFUNCTION("""COMPUTED_VALUE"""),"15")</f>
        <v>15</v>
      </c>
      <c r="J4025" s="115" t="str">
        <f>IFERROR(__xludf.DUMMYFUNCTION("""COMPUTED_VALUE"""),"Premkumar M2025-09-0815")</f>
        <v>Premkumar M2025-09-0815</v>
      </c>
      <c r="K4025" s="115">
        <f>IFERROR(__xludf.DUMMYFUNCTION("""COMPUTED_VALUE"""),312716.0)</f>
        <v>312716</v>
      </c>
    </row>
    <row r="4026">
      <c r="A4026" s="115" t="str">
        <f>IFERROR(__xludf.DUMMYFUNCTION("""COMPUTED_VALUE"""),"SOUTH")</f>
        <v>SOUTH</v>
      </c>
      <c r="B4026" s="115" t="str">
        <f>IFERROR(__xludf.DUMMYFUNCTION("""COMPUTED_VALUE"""),"Premkumar M")</f>
        <v>Premkumar M</v>
      </c>
      <c r="C4026" s="115" t="str">
        <f>IFERROR(__xludf.DUMMYFUNCTION("""COMPUTED_VALUE"""),"MYNTRA")</f>
        <v>MYNTRA</v>
      </c>
      <c r="D4026" s="115">
        <f>IFERROR(__xludf.DUMMYFUNCTION("""COMPUTED_VALUE"""),16531.0)</f>
        <v>16531</v>
      </c>
      <c r="E4026" s="115">
        <f>IFERROR(__xludf.DUMMYFUNCTION("""COMPUTED_VALUE"""),3018.0)</f>
        <v>3018</v>
      </c>
      <c r="F4026" s="115">
        <f>IFERROR(__xludf.DUMMYFUNCTION("""COMPUTED_VALUE"""),8420.0)</f>
        <v>8420</v>
      </c>
      <c r="G4026" s="115">
        <f>IFERROR(__xludf.DUMMYFUNCTION("""COMPUTED_VALUE"""),352.0)</f>
        <v>352</v>
      </c>
      <c r="H4026" s="116">
        <f>IFERROR(__xludf.DUMMYFUNCTION("""COMPUTED_VALUE"""),45908.0)</f>
        <v>45908</v>
      </c>
      <c r="I4026" s="115" t="str">
        <f>IFERROR(__xludf.DUMMYFUNCTION("""COMPUTED_VALUE"""),"15")</f>
        <v>15</v>
      </c>
      <c r="J4026" s="115" t="str">
        <f>IFERROR(__xludf.DUMMYFUNCTION("""COMPUTED_VALUE"""),"Premkumar M2025-09-0815")</f>
        <v>Premkumar M2025-09-0815</v>
      </c>
      <c r="K4026" s="115">
        <f>IFERROR(__xludf.DUMMYFUNCTION("""COMPUTED_VALUE"""),19549.0)</f>
        <v>19549</v>
      </c>
    </row>
    <row r="4027">
      <c r="A4027" s="115" t="str">
        <f>IFERROR(__xludf.DUMMYFUNCTION("""COMPUTED_VALUE"""),"SOUTH")</f>
        <v>SOUTH</v>
      </c>
      <c r="B4027" s="115" t="str">
        <f>IFERROR(__xludf.DUMMYFUNCTION("""COMPUTED_VALUE"""),"Vineeth V")</f>
        <v>Vineeth V</v>
      </c>
      <c r="C4027" s="115" t="str">
        <f>IFERROR(__xludf.DUMMYFUNCTION("""COMPUTED_VALUE"""),"EXTERNAL")</f>
        <v>EXTERNAL</v>
      </c>
      <c r="D4027" s="115">
        <f>IFERROR(__xludf.DUMMYFUNCTION("""COMPUTED_VALUE"""),23955.0)</f>
        <v>23955</v>
      </c>
      <c r="E4027" s="115">
        <f>IFERROR(__xludf.DUMMYFUNCTION("""COMPUTED_VALUE"""),736.0)</f>
        <v>736</v>
      </c>
      <c r="F4027" s="115">
        <f>IFERROR(__xludf.DUMMYFUNCTION("""COMPUTED_VALUE"""),6552.0)</f>
        <v>6552</v>
      </c>
      <c r="G4027" s="115">
        <f>IFERROR(__xludf.DUMMYFUNCTION("""COMPUTED_VALUE"""),51.0)</f>
        <v>51</v>
      </c>
      <c r="H4027" s="116">
        <f>IFERROR(__xludf.DUMMYFUNCTION("""COMPUTED_VALUE"""),45908.0)</f>
        <v>45908</v>
      </c>
      <c r="I4027" s="115" t="str">
        <f>IFERROR(__xludf.DUMMYFUNCTION("""COMPUTED_VALUE"""),"15")</f>
        <v>15</v>
      </c>
      <c r="J4027" s="115" t="str">
        <f>IFERROR(__xludf.DUMMYFUNCTION("""COMPUTED_VALUE"""),"Vineeth V2025-09-0815")</f>
        <v>Vineeth V2025-09-0815</v>
      </c>
      <c r="K4027" s="115">
        <f>IFERROR(__xludf.DUMMYFUNCTION("""COMPUTED_VALUE"""),24691.0)</f>
        <v>24691</v>
      </c>
    </row>
    <row r="4028">
      <c r="A4028" s="115" t="str">
        <f>IFERROR(__xludf.DUMMYFUNCTION("""COMPUTED_VALUE"""),"SOUTH")</f>
        <v>SOUTH</v>
      </c>
      <c r="B4028" s="115" t="str">
        <f>IFERROR(__xludf.DUMMYFUNCTION("""COMPUTED_VALUE"""),"Vineeth V")</f>
        <v>Vineeth V</v>
      </c>
      <c r="C4028" s="115" t="str">
        <f>IFERROR(__xludf.DUMMYFUNCTION("""COMPUTED_VALUE"""),"FLIPKART")</f>
        <v>FLIPKART</v>
      </c>
      <c r="D4028" s="115">
        <f>IFERROR(__xludf.DUMMYFUNCTION("""COMPUTED_VALUE"""),265710.0)</f>
        <v>265710</v>
      </c>
      <c r="E4028" s="115">
        <f>IFERROR(__xludf.DUMMYFUNCTION("""COMPUTED_VALUE"""),17721.0)</f>
        <v>17721</v>
      </c>
      <c r="F4028" s="115">
        <f>IFERROR(__xludf.DUMMYFUNCTION("""COMPUTED_VALUE"""),111762.0)</f>
        <v>111762</v>
      </c>
      <c r="G4028" s="115">
        <f>IFERROR(__xludf.DUMMYFUNCTION("""COMPUTED_VALUE"""),1171.0)</f>
        <v>1171</v>
      </c>
      <c r="H4028" s="116">
        <f>IFERROR(__xludf.DUMMYFUNCTION("""COMPUTED_VALUE"""),45908.0)</f>
        <v>45908</v>
      </c>
      <c r="I4028" s="115" t="str">
        <f>IFERROR(__xludf.DUMMYFUNCTION("""COMPUTED_VALUE"""),"15")</f>
        <v>15</v>
      </c>
      <c r="J4028" s="115" t="str">
        <f>IFERROR(__xludf.DUMMYFUNCTION("""COMPUTED_VALUE"""),"Vineeth V2025-09-0815")</f>
        <v>Vineeth V2025-09-0815</v>
      </c>
      <c r="K4028" s="115">
        <f>IFERROR(__xludf.DUMMYFUNCTION("""COMPUTED_VALUE"""),283431.0)</f>
        <v>283431</v>
      </c>
    </row>
    <row r="4029">
      <c r="A4029" s="115" t="str">
        <f>IFERROR(__xludf.DUMMYFUNCTION("""COMPUTED_VALUE"""),"SOUTH")</f>
        <v>SOUTH</v>
      </c>
      <c r="B4029" s="115" t="str">
        <f>IFERROR(__xludf.DUMMYFUNCTION("""COMPUTED_VALUE"""),"Vineeth V")</f>
        <v>Vineeth V</v>
      </c>
      <c r="C4029" s="115" t="str">
        <f>IFERROR(__xludf.DUMMYFUNCTION("""COMPUTED_VALUE"""),"MYNTRA")</f>
        <v>MYNTRA</v>
      </c>
      <c r="D4029" s="115">
        <f>IFERROR(__xludf.DUMMYFUNCTION("""COMPUTED_VALUE"""),20137.0)</f>
        <v>20137</v>
      </c>
      <c r="E4029" s="115">
        <f>IFERROR(__xludf.DUMMYFUNCTION("""COMPUTED_VALUE"""),4746.0)</f>
        <v>4746</v>
      </c>
      <c r="F4029" s="115">
        <f>IFERROR(__xludf.DUMMYFUNCTION("""COMPUTED_VALUE"""),9443.0)</f>
        <v>9443</v>
      </c>
      <c r="G4029" s="115">
        <f>IFERROR(__xludf.DUMMYFUNCTION("""COMPUTED_VALUE"""),303.0)</f>
        <v>303</v>
      </c>
      <c r="H4029" s="116">
        <f>IFERROR(__xludf.DUMMYFUNCTION("""COMPUTED_VALUE"""),45908.0)</f>
        <v>45908</v>
      </c>
      <c r="I4029" s="115" t="str">
        <f>IFERROR(__xludf.DUMMYFUNCTION("""COMPUTED_VALUE"""),"15")</f>
        <v>15</v>
      </c>
      <c r="J4029" s="115" t="str">
        <f>IFERROR(__xludf.DUMMYFUNCTION("""COMPUTED_VALUE"""),"Vineeth V2025-09-0815")</f>
        <v>Vineeth V2025-09-0815</v>
      </c>
      <c r="K4029" s="115">
        <f>IFERROR(__xludf.DUMMYFUNCTION("""COMPUTED_VALUE"""),24883.0)</f>
        <v>24883</v>
      </c>
    </row>
    <row r="4030">
      <c r="A4030" s="115" t="str">
        <f>IFERROR(__xludf.DUMMYFUNCTION("""COMPUTED_VALUE"""),"WEST")</f>
        <v>WEST</v>
      </c>
      <c r="B4030" s="115" t="str">
        <f>IFERROR(__xludf.DUMMYFUNCTION("""COMPUTED_VALUE"""),"Ashish Jakar")</f>
        <v>Ashish Jakar</v>
      </c>
      <c r="C4030" s="115" t="str">
        <f>IFERROR(__xludf.DUMMYFUNCTION("""COMPUTED_VALUE"""),"EXTERNAL")</f>
        <v>EXTERNAL</v>
      </c>
      <c r="D4030" s="115">
        <f>IFERROR(__xludf.DUMMYFUNCTION("""COMPUTED_VALUE"""),60970.0)</f>
        <v>60970</v>
      </c>
      <c r="E4030" s="115">
        <f>IFERROR(__xludf.DUMMYFUNCTION("""COMPUTED_VALUE"""),7745.0)</f>
        <v>7745</v>
      </c>
      <c r="F4030" s="115">
        <f>IFERROR(__xludf.DUMMYFUNCTION("""COMPUTED_VALUE"""),16648.0)</f>
        <v>16648</v>
      </c>
      <c r="G4030" s="115">
        <f>IFERROR(__xludf.DUMMYFUNCTION("""COMPUTED_VALUE"""),1494.0)</f>
        <v>1494</v>
      </c>
      <c r="H4030" s="116">
        <f>IFERROR(__xludf.DUMMYFUNCTION("""COMPUTED_VALUE"""),45908.0)</f>
        <v>45908</v>
      </c>
      <c r="I4030" s="115" t="str">
        <f>IFERROR(__xludf.DUMMYFUNCTION("""COMPUTED_VALUE"""),"15")</f>
        <v>15</v>
      </c>
      <c r="J4030" s="115" t="str">
        <f>IFERROR(__xludf.DUMMYFUNCTION("""COMPUTED_VALUE"""),"Ashish Jakar2025-09-0815")</f>
        <v>Ashish Jakar2025-09-0815</v>
      </c>
      <c r="K4030" s="115">
        <f>IFERROR(__xludf.DUMMYFUNCTION("""COMPUTED_VALUE"""),68715.0)</f>
        <v>68715</v>
      </c>
    </row>
    <row r="4031">
      <c r="A4031" s="115" t="str">
        <f>IFERROR(__xludf.DUMMYFUNCTION("""COMPUTED_VALUE"""),"WEST")</f>
        <v>WEST</v>
      </c>
      <c r="B4031" s="115" t="str">
        <f>IFERROR(__xludf.DUMMYFUNCTION("""COMPUTED_VALUE"""),"Ashish Jakar")</f>
        <v>Ashish Jakar</v>
      </c>
      <c r="C4031" s="115" t="str">
        <f>IFERROR(__xludf.DUMMYFUNCTION("""COMPUTED_VALUE"""),"FLIPKART")</f>
        <v>FLIPKART</v>
      </c>
      <c r="D4031" s="115">
        <f>IFERROR(__xludf.DUMMYFUNCTION("""COMPUTED_VALUE"""),356454.0)</f>
        <v>356454</v>
      </c>
      <c r="E4031" s="115">
        <f>IFERROR(__xludf.DUMMYFUNCTION("""COMPUTED_VALUE"""),33603.0)</f>
        <v>33603</v>
      </c>
      <c r="F4031" s="115">
        <f>IFERROR(__xludf.DUMMYFUNCTION("""COMPUTED_VALUE"""),175553.0)</f>
        <v>175553</v>
      </c>
      <c r="G4031" s="115">
        <f>IFERROR(__xludf.DUMMYFUNCTION("""COMPUTED_VALUE"""),8996.0)</f>
        <v>8996</v>
      </c>
      <c r="H4031" s="116">
        <f>IFERROR(__xludf.DUMMYFUNCTION("""COMPUTED_VALUE"""),45908.0)</f>
        <v>45908</v>
      </c>
      <c r="I4031" s="115" t="str">
        <f>IFERROR(__xludf.DUMMYFUNCTION("""COMPUTED_VALUE"""),"15")</f>
        <v>15</v>
      </c>
      <c r="J4031" s="115" t="str">
        <f>IFERROR(__xludf.DUMMYFUNCTION("""COMPUTED_VALUE"""),"Ashish Jakar2025-09-0815")</f>
        <v>Ashish Jakar2025-09-0815</v>
      </c>
      <c r="K4031" s="115">
        <f>IFERROR(__xludf.DUMMYFUNCTION("""COMPUTED_VALUE"""),390057.0)</f>
        <v>390057</v>
      </c>
    </row>
    <row r="4032">
      <c r="A4032" s="115" t="str">
        <f>IFERROR(__xludf.DUMMYFUNCTION("""COMPUTED_VALUE"""),"WEST")</f>
        <v>WEST</v>
      </c>
      <c r="B4032" s="115" t="str">
        <f>IFERROR(__xludf.DUMMYFUNCTION("""COMPUTED_VALUE"""),"Ashish Jakar")</f>
        <v>Ashish Jakar</v>
      </c>
      <c r="C4032" s="115" t="str">
        <f>IFERROR(__xludf.DUMMYFUNCTION("""COMPUTED_VALUE"""),"MYNTRA")</f>
        <v>MYNTRA</v>
      </c>
      <c r="D4032" s="115">
        <f>IFERROR(__xludf.DUMMYFUNCTION("""COMPUTED_VALUE"""),44928.0)</f>
        <v>44928</v>
      </c>
      <c r="E4032" s="115">
        <f>IFERROR(__xludf.DUMMYFUNCTION("""COMPUTED_VALUE"""),11674.0)</f>
        <v>11674</v>
      </c>
      <c r="F4032" s="115">
        <f>IFERROR(__xludf.DUMMYFUNCTION("""COMPUTED_VALUE"""),26325.0)</f>
        <v>26325</v>
      </c>
      <c r="G4032" s="115">
        <f>IFERROR(__xludf.DUMMYFUNCTION("""COMPUTED_VALUE"""),3705.0)</f>
        <v>3705</v>
      </c>
      <c r="H4032" s="116">
        <f>IFERROR(__xludf.DUMMYFUNCTION("""COMPUTED_VALUE"""),45908.0)</f>
        <v>45908</v>
      </c>
      <c r="I4032" s="115" t="str">
        <f>IFERROR(__xludf.DUMMYFUNCTION("""COMPUTED_VALUE"""),"15")</f>
        <v>15</v>
      </c>
      <c r="J4032" s="115" t="str">
        <f>IFERROR(__xludf.DUMMYFUNCTION("""COMPUTED_VALUE"""),"Ashish Jakar2025-09-0815")</f>
        <v>Ashish Jakar2025-09-0815</v>
      </c>
      <c r="K4032" s="115">
        <f>IFERROR(__xludf.DUMMYFUNCTION("""COMPUTED_VALUE"""),56602.0)</f>
        <v>56602</v>
      </c>
    </row>
    <row r="4033">
      <c r="A4033" s="115" t="str">
        <f>IFERROR(__xludf.DUMMYFUNCTION("""COMPUTED_VALUE"""),"WEST")</f>
        <v>WEST</v>
      </c>
      <c r="B4033" s="115" t="str">
        <f>IFERROR(__xludf.DUMMYFUNCTION("""COMPUTED_VALUE"""),"Ashvani Bhatt")</f>
        <v>Ashvani Bhatt</v>
      </c>
      <c r="C4033" s="115" t="str">
        <f>IFERROR(__xludf.DUMMYFUNCTION("""COMPUTED_VALUE"""),"EXTERNAL")</f>
        <v>EXTERNAL</v>
      </c>
      <c r="D4033" s="115">
        <f>IFERROR(__xludf.DUMMYFUNCTION("""COMPUTED_VALUE"""),41125.0)</f>
        <v>41125</v>
      </c>
      <c r="E4033" s="115">
        <f>IFERROR(__xludf.DUMMYFUNCTION("""COMPUTED_VALUE"""),3659.0)</f>
        <v>3659</v>
      </c>
      <c r="F4033" s="115">
        <f>IFERROR(__xludf.DUMMYFUNCTION("""COMPUTED_VALUE"""),12810.0)</f>
        <v>12810</v>
      </c>
      <c r="G4033" s="115">
        <f>IFERROR(__xludf.DUMMYFUNCTION("""COMPUTED_VALUE"""),564.0)</f>
        <v>564</v>
      </c>
      <c r="H4033" s="116">
        <f>IFERROR(__xludf.DUMMYFUNCTION("""COMPUTED_VALUE"""),45908.0)</f>
        <v>45908</v>
      </c>
      <c r="I4033" s="115" t="str">
        <f>IFERROR(__xludf.DUMMYFUNCTION("""COMPUTED_VALUE"""),"15")</f>
        <v>15</v>
      </c>
      <c r="J4033" s="115" t="str">
        <f>IFERROR(__xludf.DUMMYFUNCTION("""COMPUTED_VALUE"""),"Ashvani Bhatt2025-09-0815")</f>
        <v>Ashvani Bhatt2025-09-0815</v>
      </c>
      <c r="K4033" s="115">
        <f>IFERROR(__xludf.DUMMYFUNCTION("""COMPUTED_VALUE"""),44784.0)</f>
        <v>44784</v>
      </c>
    </row>
    <row r="4034">
      <c r="A4034" s="115" t="str">
        <f>IFERROR(__xludf.DUMMYFUNCTION("""COMPUTED_VALUE"""),"WEST")</f>
        <v>WEST</v>
      </c>
      <c r="B4034" s="115" t="str">
        <f>IFERROR(__xludf.DUMMYFUNCTION("""COMPUTED_VALUE"""),"Ashvani Bhatt")</f>
        <v>Ashvani Bhatt</v>
      </c>
      <c r="C4034" s="115" t="str">
        <f>IFERROR(__xludf.DUMMYFUNCTION("""COMPUTED_VALUE"""),"FLIPKART")</f>
        <v>FLIPKART</v>
      </c>
      <c r="D4034" s="115">
        <f>IFERROR(__xludf.DUMMYFUNCTION("""COMPUTED_VALUE"""),270126.0)</f>
        <v>270126</v>
      </c>
      <c r="E4034" s="115">
        <f>IFERROR(__xludf.DUMMYFUNCTION("""COMPUTED_VALUE"""),28760.0)</f>
        <v>28760</v>
      </c>
      <c r="F4034" s="115">
        <f>IFERROR(__xludf.DUMMYFUNCTION("""COMPUTED_VALUE"""),147210.0)</f>
        <v>147210</v>
      </c>
      <c r="G4034" s="115">
        <f>IFERROR(__xludf.DUMMYFUNCTION("""COMPUTED_VALUE"""),7669.0)</f>
        <v>7669</v>
      </c>
      <c r="H4034" s="116">
        <f>IFERROR(__xludf.DUMMYFUNCTION("""COMPUTED_VALUE"""),45908.0)</f>
        <v>45908</v>
      </c>
      <c r="I4034" s="115" t="str">
        <f>IFERROR(__xludf.DUMMYFUNCTION("""COMPUTED_VALUE"""),"15")</f>
        <v>15</v>
      </c>
      <c r="J4034" s="115" t="str">
        <f>IFERROR(__xludf.DUMMYFUNCTION("""COMPUTED_VALUE"""),"Ashvani Bhatt2025-09-0815")</f>
        <v>Ashvani Bhatt2025-09-0815</v>
      </c>
      <c r="K4034" s="115">
        <f>IFERROR(__xludf.DUMMYFUNCTION("""COMPUTED_VALUE"""),298886.0)</f>
        <v>298886</v>
      </c>
    </row>
    <row r="4035">
      <c r="A4035" s="115" t="str">
        <f>IFERROR(__xludf.DUMMYFUNCTION("""COMPUTED_VALUE"""),"WEST")</f>
        <v>WEST</v>
      </c>
      <c r="B4035" s="115" t="str">
        <f>IFERROR(__xludf.DUMMYFUNCTION("""COMPUTED_VALUE"""),"Ashvani Bhatt")</f>
        <v>Ashvani Bhatt</v>
      </c>
      <c r="C4035" s="115" t="str">
        <f>IFERROR(__xludf.DUMMYFUNCTION("""COMPUTED_VALUE"""),"MYNTRA")</f>
        <v>MYNTRA</v>
      </c>
      <c r="D4035" s="115">
        <f>IFERROR(__xludf.DUMMYFUNCTION("""COMPUTED_VALUE"""),36284.0)</f>
        <v>36284</v>
      </c>
      <c r="E4035" s="115">
        <f>IFERROR(__xludf.DUMMYFUNCTION("""COMPUTED_VALUE"""),8857.0)</f>
        <v>8857</v>
      </c>
      <c r="F4035" s="115">
        <f>IFERROR(__xludf.DUMMYFUNCTION("""COMPUTED_VALUE"""),24076.0)</f>
        <v>24076</v>
      </c>
      <c r="G4035" s="115">
        <f>IFERROR(__xludf.DUMMYFUNCTION("""COMPUTED_VALUE"""),3058.0)</f>
        <v>3058</v>
      </c>
      <c r="H4035" s="116">
        <f>IFERROR(__xludf.DUMMYFUNCTION("""COMPUTED_VALUE"""),45908.0)</f>
        <v>45908</v>
      </c>
      <c r="I4035" s="115" t="str">
        <f>IFERROR(__xludf.DUMMYFUNCTION("""COMPUTED_VALUE"""),"15")</f>
        <v>15</v>
      </c>
      <c r="J4035" s="115" t="str">
        <f>IFERROR(__xludf.DUMMYFUNCTION("""COMPUTED_VALUE"""),"Ashvani Bhatt2025-09-0815")</f>
        <v>Ashvani Bhatt2025-09-0815</v>
      </c>
      <c r="K4035" s="115">
        <f>IFERROR(__xludf.DUMMYFUNCTION("""COMPUTED_VALUE"""),45141.0)</f>
        <v>45141</v>
      </c>
    </row>
    <row r="4036">
      <c r="A4036" s="115"/>
      <c r="B4036" s="115"/>
      <c r="C4036" s="115" t="str">
        <f>IFERROR(__xludf.DUMMYFUNCTION("""COMPUTED_VALUE"""),"EXTERNAL")</f>
        <v>EXTERNAL</v>
      </c>
      <c r="D4036" s="115">
        <f>IFERROR(__xludf.DUMMYFUNCTION("""COMPUTED_VALUE"""),503.0)</f>
        <v>503</v>
      </c>
      <c r="E4036" s="115">
        <f>IFERROR(__xludf.DUMMYFUNCTION("""COMPUTED_VALUE"""),93.0)</f>
        <v>93</v>
      </c>
      <c r="F4036" s="115">
        <f>IFERROR(__xludf.DUMMYFUNCTION("""COMPUTED_VALUE"""),164.0)</f>
        <v>164</v>
      </c>
      <c r="G4036" s="115">
        <f>IFERROR(__xludf.DUMMYFUNCTION("""COMPUTED_VALUE"""),59.0)</f>
        <v>59</v>
      </c>
      <c r="H4036" s="116">
        <f>IFERROR(__xludf.DUMMYFUNCTION("""COMPUTED_VALUE"""),45908.0)</f>
        <v>45908</v>
      </c>
      <c r="I4036" s="115" t="str">
        <f>IFERROR(__xludf.DUMMYFUNCTION("""COMPUTED_VALUE"""),"15")</f>
        <v>15</v>
      </c>
      <c r="J4036" s="115" t="str">
        <f>IFERROR(__xludf.DUMMYFUNCTION("""COMPUTED_VALUE"""),"2025-09-0815")</f>
        <v>2025-09-0815</v>
      </c>
      <c r="K4036" s="115">
        <f>IFERROR(__xludf.DUMMYFUNCTION("""COMPUTED_VALUE"""),596.0)</f>
        <v>596</v>
      </c>
    </row>
    <row r="4037">
      <c r="A4037" s="115"/>
      <c r="B4037" s="115"/>
      <c r="C4037" s="115" t="str">
        <f>IFERROR(__xludf.DUMMYFUNCTION("""COMPUTED_VALUE"""),"FLIPKART")</f>
        <v>FLIPKART</v>
      </c>
      <c r="D4037" s="115">
        <f>IFERROR(__xludf.DUMMYFUNCTION("""COMPUTED_VALUE"""),4833.0)</f>
        <v>4833</v>
      </c>
      <c r="E4037" s="115">
        <f>IFERROR(__xludf.DUMMYFUNCTION("""COMPUTED_VALUE"""),463.0)</f>
        <v>463</v>
      </c>
      <c r="F4037" s="115">
        <f>IFERROR(__xludf.DUMMYFUNCTION("""COMPUTED_VALUE"""),2000.0)</f>
        <v>2000</v>
      </c>
      <c r="G4037" s="115">
        <f>IFERROR(__xludf.DUMMYFUNCTION("""COMPUTED_VALUE"""),173.0)</f>
        <v>173</v>
      </c>
      <c r="H4037" s="116">
        <f>IFERROR(__xludf.DUMMYFUNCTION("""COMPUTED_VALUE"""),45908.0)</f>
        <v>45908</v>
      </c>
      <c r="I4037" s="115" t="str">
        <f>IFERROR(__xludf.DUMMYFUNCTION("""COMPUTED_VALUE"""),"15")</f>
        <v>15</v>
      </c>
      <c r="J4037" s="115" t="str">
        <f>IFERROR(__xludf.DUMMYFUNCTION("""COMPUTED_VALUE"""),"2025-09-0815")</f>
        <v>2025-09-0815</v>
      </c>
      <c r="K4037" s="115">
        <f>IFERROR(__xludf.DUMMYFUNCTION("""COMPUTED_VALUE"""),5296.0)</f>
        <v>5296</v>
      </c>
    </row>
    <row r="4038">
      <c r="A4038" s="115"/>
      <c r="B4038" s="115"/>
      <c r="C4038" s="115" t="str">
        <f>IFERROR(__xludf.DUMMYFUNCTION("""COMPUTED_VALUE"""),"MYNTRA")</f>
        <v>MYNTRA</v>
      </c>
      <c r="D4038" s="115">
        <f>IFERROR(__xludf.DUMMYFUNCTION("""COMPUTED_VALUE"""),556.0)</f>
        <v>556</v>
      </c>
      <c r="E4038" s="115">
        <f>IFERROR(__xludf.DUMMYFUNCTION("""COMPUTED_VALUE"""),184.0)</f>
        <v>184</v>
      </c>
      <c r="F4038" s="115">
        <f>IFERROR(__xludf.DUMMYFUNCTION("""COMPUTED_VALUE"""),347.0)</f>
        <v>347</v>
      </c>
      <c r="G4038" s="115">
        <f>IFERROR(__xludf.DUMMYFUNCTION("""COMPUTED_VALUE"""),100.0)</f>
        <v>100</v>
      </c>
      <c r="H4038" s="116">
        <f>IFERROR(__xludf.DUMMYFUNCTION("""COMPUTED_VALUE"""),45908.0)</f>
        <v>45908</v>
      </c>
      <c r="I4038" s="115" t="str">
        <f>IFERROR(__xludf.DUMMYFUNCTION("""COMPUTED_VALUE"""),"15")</f>
        <v>15</v>
      </c>
      <c r="J4038" s="115" t="str">
        <f>IFERROR(__xludf.DUMMYFUNCTION("""COMPUTED_VALUE"""),"2025-09-0815")</f>
        <v>2025-09-0815</v>
      </c>
      <c r="K4038" s="115">
        <f>IFERROR(__xludf.DUMMYFUNCTION("""COMPUTED_VALUE"""),740.0)</f>
        <v>740</v>
      </c>
    </row>
    <row r="4039">
      <c r="A4039" s="115" t="str">
        <f>IFERROR(__xludf.DUMMYFUNCTION("""COMPUTED_VALUE"""),"EAST")</f>
        <v>EAST</v>
      </c>
      <c r="B4039" s="115" t="str">
        <f>IFERROR(__xludf.DUMMYFUNCTION("""COMPUTED_VALUE"""),"Ashish Ranjan")</f>
        <v>Ashish Ranjan</v>
      </c>
      <c r="C4039" s="115" t="str">
        <f>IFERROR(__xludf.DUMMYFUNCTION("""COMPUTED_VALUE"""),"EXTERNAL")</f>
        <v>EXTERNAL</v>
      </c>
      <c r="D4039" s="115">
        <f>IFERROR(__xludf.DUMMYFUNCTION("""COMPUTED_VALUE"""),45329.0)</f>
        <v>45329</v>
      </c>
      <c r="E4039" s="115">
        <f>IFERROR(__xludf.DUMMYFUNCTION("""COMPUTED_VALUE"""),3742.0)</f>
        <v>3742</v>
      </c>
      <c r="F4039" s="115">
        <f>IFERROR(__xludf.DUMMYFUNCTION("""COMPUTED_VALUE"""),20424.0)</f>
        <v>20424</v>
      </c>
      <c r="G4039" s="115">
        <f>IFERROR(__xludf.DUMMYFUNCTION("""COMPUTED_VALUE"""),1002.0)</f>
        <v>1002</v>
      </c>
      <c r="H4039" s="116">
        <f>IFERROR(__xludf.DUMMYFUNCTION("""COMPUTED_VALUE"""),45908.0)</f>
        <v>45908</v>
      </c>
      <c r="I4039" s="115" t="str">
        <f>IFERROR(__xludf.DUMMYFUNCTION("""COMPUTED_VALUE"""),"16")</f>
        <v>16</v>
      </c>
      <c r="J4039" s="115" t="str">
        <f>IFERROR(__xludf.DUMMYFUNCTION("""COMPUTED_VALUE"""),"Ashish Ranjan2025-09-0816")</f>
        <v>Ashish Ranjan2025-09-0816</v>
      </c>
      <c r="K4039" s="115">
        <f>IFERROR(__xludf.DUMMYFUNCTION("""COMPUTED_VALUE"""),49071.0)</f>
        <v>49071</v>
      </c>
    </row>
    <row r="4040">
      <c r="A4040" s="115" t="str">
        <f>IFERROR(__xludf.DUMMYFUNCTION("""COMPUTED_VALUE"""),"EAST")</f>
        <v>EAST</v>
      </c>
      <c r="B4040" s="115" t="str">
        <f>IFERROR(__xludf.DUMMYFUNCTION("""COMPUTED_VALUE"""),"Ashish Ranjan")</f>
        <v>Ashish Ranjan</v>
      </c>
      <c r="C4040" s="115" t="str">
        <f>IFERROR(__xludf.DUMMYFUNCTION("""COMPUTED_VALUE"""),"FLIPKART")</f>
        <v>FLIPKART</v>
      </c>
      <c r="D4040" s="115">
        <f>IFERROR(__xludf.DUMMYFUNCTION("""COMPUTED_VALUE"""),674433.0)</f>
        <v>674433</v>
      </c>
      <c r="E4040" s="115">
        <f>IFERROR(__xludf.DUMMYFUNCTION("""COMPUTED_VALUE"""),63745.0)</f>
        <v>63745</v>
      </c>
      <c r="F4040" s="115">
        <f>IFERROR(__xludf.DUMMYFUNCTION("""COMPUTED_VALUE"""),482974.0)</f>
        <v>482974</v>
      </c>
      <c r="G4040" s="115">
        <f>IFERROR(__xludf.DUMMYFUNCTION("""COMPUTED_VALUE"""),25704.0)</f>
        <v>25704</v>
      </c>
      <c r="H4040" s="116">
        <f>IFERROR(__xludf.DUMMYFUNCTION("""COMPUTED_VALUE"""),45908.0)</f>
        <v>45908</v>
      </c>
      <c r="I4040" s="115" t="str">
        <f>IFERROR(__xludf.DUMMYFUNCTION("""COMPUTED_VALUE"""),"16")</f>
        <v>16</v>
      </c>
      <c r="J4040" s="115" t="str">
        <f>IFERROR(__xludf.DUMMYFUNCTION("""COMPUTED_VALUE"""),"Ashish Ranjan2025-09-0816")</f>
        <v>Ashish Ranjan2025-09-0816</v>
      </c>
      <c r="K4040" s="115">
        <f>IFERROR(__xludf.DUMMYFUNCTION("""COMPUTED_VALUE"""),738178.0)</f>
        <v>738178</v>
      </c>
    </row>
    <row r="4041">
      <c r="A4041" s="115" t="str">
        <f>IFERROR(__xludf.DUMMYFUNCTION("""COMPUTED_VALUE"""),"EAST")</f>
        <v>EAST</v>
      </c>
      <c r="B4041" s="115" t="str">
        <f>IFERROR(__xludf.DUMMYFUNCTION("""COMPUTED_VALUE"""),"Ashish Ranjan")</f>
        <v>Ashish Ranjan</v>
      </c>
      <c r="C4041" s="115" t="str">
        <f>IFERROR(__xludf.DUMMYFUNCTION("""COMPUTED_VALUE"""),"MYNTRA")</f>
        <v>MYNTRA</v>
      </c>
      <c r="D4041" s="115">
        <f>IFERROR(__xludf.DUMMYFUNCTION("""COMPUTED_VALUE"""),78020.0)</f>
        <v>78020</v>
      </c>
      <c r="E4041" s="115">
        <f>IFERROR(__xludf.DUMMYFUNCTION("""COMPUTED_VALUE"""),15172.0)</f>
        <v>15172</v>
      </c>
      <c r="F4041" s="115">
        <f>IFERROR(__xludf.DUMMYFUNCTION("""COMPUTED_VALUE"""),57089.0)</f>
        <v>57089</v>
      </c>
      <c r="G4041" s="115">
        <f>IFERROR(__xludf.DUMMYFUNCTION("""COMPUTED_VALUE"""),6183.0)</f>
        <v>6183</v>
      </c>
      <c r="H4041" s="116">
        <f>IFERROR(__xludf.DUMMYFUNCTION("""COMPUTED_VALUE"""),45908.0)</f>
        <v>45908</v>
      </c>
      <c r="I4041" s="115" t="str">
        <f>IFERROR(__xludf.DUMMYFUNCTION("""COMPUTED_VALUE"""),"16")</f>
        <v>16</v>
      </c>
      <c r="J4041" s="115" t="str">
        <f>IFERROR(__xludf.DUMMYFUNCTION("""COMPUTED_VALUE"""),"Ashish Ranjan2025-09-0816")</f>
        <v>Ashish Ranjan2025-09-0816</v>
      </c>
      <c r="K4041" s="115">
        <f>IFERROR(__xludf.DUMMYFUNCTION("""COMPUTED_VALUE"""),93192.0)</f>
        <v>93192</v>
      </c>
    </row>
    <row r="4042">
      <c r="A4042" s="115" t="str">
        <f>IFERROR(__xludf.DUMMYFUNCTION("""COMPUTED_VALUE"""),"EAST")</f>
        <v>EAST</v>
      </c>
      <c r="B4042" s="115" t="str">
        <f>IFERROR(__xludf.DUMMYFUNCTION("""COMPUTED_VALUE"""),"Girish Chand")</f>
        <v>Girish Chand</v>
      </c>
      <c r="C4042" s="115" t="str">
        <f>IFERROR(__xludf.DUMMYFUNCTION("""COMPUTED_VALUE"""),"EXTERNAL")</f>
        <v>EXTERNAL</v>
      </c>
      <c r="D4042" s="115">
        <f>IFERROR(__xludf.DUMMYFUNCTION("""COMPUTED_VALUE"""),24653.0)</f>
        <v>24653</v>
      </c>
      <c r="E4042" s="115">
        <f>IFERROR(__xludf.DUMMYFUNCTION("""COMPUTED_VALUE"""),2432.0)</f>
        <v>2432</v>
      </c>
      <c r="F4042" s="115">
        <f>IFERROR(__xludf.DUMMYFUNCTION("""COMPUTED_VALUE"""),9080.0)</f>
        <v>9080</v>
      </c>
      <c r="G4042" s="115">
        <f>IFERROR(__xludf.DUMMYFUNCTION("""COMPUTED_VALUE"""),326.0)</f>
        <v>326</v>
      </c>
      <c r="H4042" s="116">
        <f>IFERROR(__xludf.DUMMYFUNCTION("""COMPUTED_VALUE"""),45908.0)</f>
        <v>45908</v>
      </c>
      <c r="I4042" s="115" t="str">
        <f>IFERROR(__xludf.DUMMYFUNCTION("""COMPUTED_VALUE"""),"16")</f>
        <v>16</v>
      </c>
      <c r="J4042" s="115" t="str">
        <f>IFERROR(__xludf.DUMMYFUNCTION("""COMPUTED_VALUE"""),"Girish Chand2025-09-0816")</f>
        <v>Girish Chand2025-09-0816</v>
      </c>
      <c r="K4042" s="115">
        <f>IFERROR(__xludf.DUMMYFUNCTION("""COMPUTED_VALUE"""),27085.0)</f>
        <v>27085</v>
      </c>
    </row>
    <row r="4043">
      <c r="A4043" s="115" t="str">
        <f>IFERROR(__xludf.DUMMYFUNCTION("""COMPUTED_VALUE"""),"EAST")</f>
        <v>EAST</v>
      </c>
      <c r="B4043" s="115" t="str">
        <f>IFERROR(__xludf.DUMMYFUNCTION("""COMPUTED_VALUE"""),"Girish Chand")</f>
        <v>Girish Chand</v>
      </c>
      <c r="C4043" s="115" t="str">
        <f>IFERROR(__xludf.DUMMYFUNCTION("""COMPUTED_VALUE"""),"FLIPKART")</f>
        <v>FLIPKART</v>
      </c>
      <c r="D4043" s="115">
        <f>IFERROR(__xludf.DUMMYFUNCTION("""COMPUTED_VALUE"""),394179.0)</f>
        <v>394179</v>
      </c>
      <c r="E4043" s="115">
        <f>IFERROR(__xludf.DUMMYFUNCTION("""COMPUTED_VALUE"""),39282.0)</f>
        <v>39282</v>
      </c>
      <c r="F4043" s="115">
        <f>IFERROR(__xludf.DUMMYFUNCTION("""COMPUTED_VALUE"""),244441.0)</f>
        <v>244441</v>
      </c>
      <c r="G4043" s="115">
        <f>IFERROR(__xludf.DUMMYFUNCTION("""COMPUTED_VALUE"""),12955.0)</f>
        <v>12955</v>
      </c>
      <c r="H4043" s="116">
        <f>IFERROR(__xludf.DUMMYFUNCTION("""COMPUTED_VALUE"""),45908.0)</f>
        <v>45908</v>
      </c>
      <c r="I4043" s="115" t="str">
        <f>IFERROR(__xludf.DUMMYFUNCTION("""COMPUTED_VALUE"""),"16")</f>
        <v>16</v>
      </c>
      <c r="J4043" s="115" t="str">
        <f>IFERROR(__xludf.DUMMYFUNCTION("""COMPUTED_VALUE"""),"Girish Chand2025-09-0816")</f>
        <v>Girish Chand2025-09-0816</v>
      </c>
      <c r="K4043" s="115">
        <f>IFERROR(__xludf.DUMMYFUNCTION("""COMPUTED_VALUE"""),433461.0)</f>
        <v>433461</v>
      </c>
    </row>
    <row r="4044">
      <c r="A4044" s="115" t="str">
        <f>IFERROR(__xludf.DUMMYFUNCTION("""COMPUTED_VALUE"""),"EAST")</f>
        <v>EAST</v>
      </c>
      <c r="B4044" s="115" t="str">
        <f>IFERROR(__xludf.DUMMYFUNCTION("""COMPUTED_VALUE"""),"Girish Chand")</f>
        <v>Girish Chand</v>
      </c>
      <c r="C4044" s="115" t="str">
        <f>IFERROR(__xludf.DUMMYFUNCTION("""COMPUTED_VALUE"""),"MYNTRA")</f>
        <v>MYNTRA</v>
      </c>
      <c r="D4044" s="115">
        <f>IFERROR(__xludf.DUMMYFUNCTION("""COMPUTED_VALUE"""),38687.0)</f>
        <v>38687</v>
      </c>
      <c r="E4044" s="115">
        <f>IFERROR(__xludf.DUMMYFUNCTION("""COMPUTED_VALUE"""),7454.0)</f>
        <v>7454</v>
      </c>
      <c r="F4044" s="115">
        <f>IFERROR(__xludf.DUMMYFUNCTION("""COMPUTED_VALUE"""),26033.0)</f>
        <v>26033</v>
      </c>
      <c r="G4044" s="115">
        <f>IFERROR(__xludf.DUMMYFUNCTION("""COMPUTED_VALUE"""),2774.0)</f>
        <v>2774</v>
      </c>
      <c r="H4044" s="116">
        <f>IFERROR(__xludf.DUMMYFUNCTION("""COMPUTED_VALUE"""),45908.0)</f>
        <v>45908</v>
      </c>
      <c r="I4044" s="115" t="str">
        <f>IFERROR(__xludf.DUMMYFUNCTION("""COMPUTED_VALUE"""),"16")</f>
        <v>16</v>
      </c>
      <c r="J4044" s="115" t="str">
        <f>IFERROR(__xludf.DUMMYFUNCTION("""COMPUTED_VALUE"""),"Girish Chand2025-09-0816")</f>
        <v>Girish Chand2025-09-0816</v>
      </c>
      <c r="K4044" s="115">
        <f>IFERROR(__xludf.DUMMYFUNCTION("""COMPUTED_VALUE"""),46141.0)</f>
        <v>46141</v>
      </c>
    </row>
    <row r="4045">
      <c r="A4045" s="115" t="str">
        <f>IFERROR(__xludf.DUMMYFUNCTION("""COMPUTED_VALUE"""),"EAST")</f>
        <v>EAST</v>
      </c>
      <c r="B4045" s="115" t="str">
        <f>IFERROR(__xludf.DUMMYFUNCTION("""COMPUTED_VALUE"""),"Parag Kashyap")</f>
        <v>Parag Kashyap</v>
      </c>
      <c r="C4045" s="115" t="str">
        <f>IFERROR(__xludf.DUMMYFUNCTION("""COMPUTED_VALUE"""),"EXTERNAL")</f>
        <v>EXTERNAL</v>
      </c>
      <c r="D4045" s="115">
        <f>IFERROR(__xludf.DUMMYFUNCTION("""COMPUTED_VALUE"""),20130.0)</f>
        <v>20130</v>
      </c>
      <c r="E4045" s="115">
        <f>IFERROR(__xludf.DUMMYFUNCTION("""COMPUTED_VALUE"""),1228.0)</f>
        <v>1228</v>
      </c>
      <c r="F4045" s="115">
        <f>IFERROR(__xludf.DUMMYFUNCTION("""COMPUTED_VALUE"""),6768.0)</f>
        <v>6768</v>
      </c>
      <c r="G4045" s="115">
        <f>IFERROR(__xludf.DUMMYFUNCTION("""COMPUTED_VALUE"""),124.0)</f>
        <v>124</v>
      </c>
      <c r="H4045" s="116">
        <f>IFERROR(__xludf.DUMMYFUNCTION("""COMPUTED_VALUE"""),45908.0)</f>
        <v>45908</v>
      </c>
      <c r="I4045" s="115" t="str">
        <f>IFERROR(__xludf.DUMMYFUNCTION("""COMPUTED_VALUE"""),"16")</f>
        <v>16</v>
      </c>
      <c r="J4045" s="115" t="str">
        <f>IFERROR(__xludf.DUMMYFUNCTION("""COMPUTED_VALUE"""),"Parag Kashyap2025-09-0816")</f>
        <v>Parag Kashyap2025-09-0816</v>
      </c>
      <c r="K4045" s="115">
        <f>IFERROR(__xludf.DUMMYFUNCTION("""COMPUTED_VALUE"""),21358.0)</f>
        <v>21358</v>
      </c>
    </row>
    <row r="4046">
      <c r="A4046" s="115" t="str">
        <f>IFERROR(__xludf.DUMMYFUNCTION("""COMPUTED_VALUE"""),"EAST")</f>
        <v>EAST</v>
      </c>
      <c r="B4046" s="115" t="str">
        <f>IFERROR(__xludf.DUMMYFUNCTION("""COMPUTED_VALUE"""),"Parag Kashyap")</f>
        <v>Parag Kashyap</v>
      </c>
      <c r="C4046" s="115" t="str">
        <f>IFERROR(__xludf.DUMMYFUNCTION("""COMPUTED_VALUE"""),"FLIPKART")</f>
        <v>FLIPKART</v>
      </c>
      <c r="D4046" s="115">
        <f>IFERROR(__xludf.DUMMYFUNCTION("""COMPUTED_VALUE"""),338029.0)</f>
        <v>338029</v>
      </c>
      <c r="E4046" s="115">
        <f>IFERROR(__xludf.DUMMYFUNCTION("""COMPUTED_VALUE"""),20063.0)</f>
        <v>20063</v>
      </c>
      <c r="F4046" s="115">
        <f>IFERROR(__xludf.DUMMYFUNCTION("""COMPUTED_VALUE"""),194063.0)</f>
        <v>194063</v>
      </c>
      <c r="G4046" s="115">
        <f>IFERROR(__xludf.DUMMYFUNCTION("""COMPUTED_VALUE"""),3880.0)</f>
        <v>3880</v>
      </c>
      <c r="H4046" s="116">
        <f>IFERROR(__xludf.DUMMYFUNCTION("""COMPUTED_VALUE"""),45908.0)</f>
        <v>45908</v>
      </c>
      <c r="I4046" s="115" t="str">
        <f>IFERROR(__xludf.DUMMYFUNCTION("""COMPUTED_VALUE"""),"16")</f>
        <v>16</v>
      </c>
      <c r="J4046" s="115" t="str">
        <f>IFERROR(__xludf.DUMMYFUNCTION("""COMPUTED_VALUE"""),"Parag Kashyap2025-09-0816")</f>
        <v>Parag Kashyap2025-09-0816</v>
      </c>
      <c r="K4046" s="115">
        <f>IFERROR(__xludf.DUMMYFUNCTION("""COMPUTED_VALUE"""),358092.0)</f>
        <v>358092</v>
      </c>
    </row>
    <row r="4047">
      <c r="A4047" s="115" t="str">
        <f>IFERROR(__xludf.DUMMYFUNCTION("""COMPUTED_VALUE"""),"EAST")</f>
        <v>EAST</v>
      </c>
      <c r="B4047" s="115" t="str">
        <f>IFERROR(__xludf.DUMMYFUNCTION("""COMPUTED_VALUE"""),"Parag Kashyap")</f>
        <v>Parag Kashyap</v>
      </c>
      <c r="C4047" s="115" t="str">
        <f>IFERROR(__xludf.DUMMYFUNCTION("""COMPUTED_VALUE"""),"MYNTRA")</f>
        <v>MYNTRA</v>
      </c>
      <c r="D4047" s="115">
        <f>IFERROR(__xludf.DUMMYFUNCTION("""COMPUTED_VALUE"""),43818.0)</f>
        <v>43818</v>
      </c>
      <c r="E4047" s="115">
        <f>IFERROR(__xludf.DUMMYFUNCTION("""COMPUTED_VALUE"""),5624.0)</f>
        <v>5624</v>
      </c>
      <c r="F4047" s="115">
        <f>IFERROR(__xludf.DUMMYFUNCTION("""COMPUTED_VALUE"""),26446.0)</f>
        <v>26446</v>
      </c>
      <c r="G4047" s="115">
        <f>IFERROR(__xludf.DUMMYFUNCTION("""COMPUTED_VALUE"""),1095.0)</f>
        <v>1095</v>
      </c>
      <c r="H4047" s="116">
        <f>IFERROR(__xludf.DUMMYFUNCTION("""COMPUTED_VALUE"""),45908.0)</f>
        <v>45908</v>
      </c>
      <c r="I4047" s="115" t="str">
        <f>IFERROR(__xludf.DUMMYFUNCTION("""COMPUTED_VALUE"""),"16")</f>
        <v>16</v>
      </c>
      <c r="J4047" s="115" t="str">
        <f>IFERROR(__xludf.DUMMYFUNCTION("""COMPUTED_VALUE"""),"Parag Kashyap2025-09-0816")</f>
        <v>Parag Kashyap2025-09-0816</v>
      </c>
      <c r="K4047" s="115">
        <f>IFERROR(__xludf.DUMMYFUNCTION("""COMPUTED_VALUE"""),49442.0)</f>
        <v>49442</v>
      </c>
    </row>
    <row r="4048">
      <c r="A4048" s="115" t="str">
        <f>IFERROR(__xludf.DUMMYFUNCTION("""COMPUTED_VALUE"""),"NORTH")</f>
        <v>NORTH</v>
      </c>
      <c r="B4048" s="115" t="str">
        <f>IFERROR(__xludf.DUMMYFUNCTION("""COMPUTED_VALUE"""),"Amit Kumar Pathak")</f>
        <v>Amit Kumar Pathak</v>
      </c>
      <c r="C4048" s="115" t="str">
        <f>IFERROR(__xludf.DUMMYFUNCTION("""COMPUTED_VALUE"""),"EXTERNAL")</f>
        <v>EXTERNAL</v>
      </c>
      <c r="D4048" s="115">
        <f>IFERROR(__xludf.DUMMYFUNCTION("""COMPUTED_VALUE"""),30960.0)</f>
        <v>30960</v>
      </c>
      <c r="E4048" s="115">
        <f>IFERROR(__xludf.DUMMYFUNCTION("""COMPUTED_VALUE"""),3773.0)</f>
        <v>3773</v>
      </c>
      <c r="F4048" s="115">
        <f>IFERROR(__xludf.DUMMYFUNCTION("""COMPUTED_VALUE"""),8759.0)</f>
        <v>8759</v>
      </c>
      <c r="G4048" s="115">
        <f>IFERROR(__xludf.DUMMYFUNCTION("""COMPUTED_VALUE"""),1068.0)</f>
        <v>1068</v>
      </c>
      <c r="H4048" s="116">
        <f>IFERROR(__xludf.DUMMYFUNCTION("""COMPUTED_VALUE"""),45908.0)</f>
        <v>45908</v>
      </c>
      <c r="I4048" s="115" t="str">
        <f>IFERROR(__xludf.DUMMYFUNCTION("""COMPUTED_VALUE"""),"16")</f>
        <v>16</v>
      </c>
      <c r="J4048" s="115" t="str">
        <f>IFERROR(__xludf.DUMMYFUNCTION("""COMPUTED_VALUE"""),"Amit Kumar Pathak2025-09-0816")</f>
        <v>Amit Kumar Pathak2025-09-0816</v>
      </c>
      <c r="K4048" s="115">
        <f>IFERROR(__xludf.DUMMYFUNCTION("""COMPUTED_VALUE"""),34733.0)</f>
        <v>34733</v>
      </c>
    </row>
    <row r="4049">
      <c r="A4049" s="115" t="str">
        <f>IFERROR(__xludf.DUMMYFUNCTION("""COMPUTED_VALUE"""),"NORTH")</f>
        <v>NORTH</v>
      </c>
      <c r="B4049" s="115" t="str">
        <f>IFERROR(__xludf.DUMMYFUNCTION("""COMPUTED_VALUE"""),"Amit Kumar Pathak")</f>
        <v>Amit Kumar Pathak</v>
      </c>
      <c r="C4049" s="115" t="str">
        <f>IFERROR(__xludf.DUMMYFUNCTION("""COMPUTED_VALUE"""),"FLIPKART")</f>
        <v>FLIPKART</v>
      </c>
      <c r="D4049" s="115">
        <f>IFERROR(__xludf.DUMMYFUNCTION("""COMPUTED_VALUE"""),177814.0)</f>
        <v>177814</v>
      </c>
      <c r="E4049" s="115">
        <f>IFERROR(__xludf.DUMMYFUNCTION("""COMPUTED_VALUE"""),24078.0)</f>
        <v>24078</v>
      </c>
      <c r="F4049" s="115">
        <f>IFERROR(__xludf.DUMMYFUNCTION("""COMPUTED_VALUE"""),96814.0)</f>
        <v>96814</v>
      </c>
      <c r="G4049" s="115">
        <f>IFERROR(__xludf.DUMMYFUNCTION("""COMPUTED_VALUE"""),9166.0)</f>
        <v>9166</v>
      </c>
      <c r="H4049" s="116">
        <f>IFERROR(__xludf.DUMMYFUNCTION("""COMPUTED_VALUE"""),45908.0)</f>
        <v>45908</v>
      </c>
      <c r="I4049" s="115" t="str">
        <f>IFERROR(__xludf.DUMMYFUNCTION("""COMPUTED_VALUE"""),"16")</f>
        <v>16</v>
      </c>
      <c r="J4049" s="115" t="str">
        <f>IFERROR(__xludf.DUMMYFUNCTION("""COMPUTED_VALUE"""),"Amit Kumar Pathak2025-09-0816")</f>
        <v>Amit Kumar Pathak2025-09-0816</v>
      </c>
      <c r="K4049" s="115">
        <f>IFERROR(__xludf.DUMMYFUNCTION("""COMPUTED_VALUE"""),201892.0)</f>
        <v>201892</v>
      </c>
    </row>
    <row r="4050">
      <c r="A4050" s="115" t="str">
        <f>IFERROR(__xludf.DUMMYFUNCTION("""COMPUTED_VALUE"""),"NORTH")</f>
        <v>NORTH</v>
      </c>
      <c r="B4050" s="115" t="str">
        <f>IFERROR(__xludf.DUMMYFUNCTION("""COMPUTED_VALUE"""),"Amit Kumar Pathak")</f>
        <v>Amit Kumar Pathak</v>
      </c>
      <c r="C4050" s="115" t="str">
        <f>IFERROR(__xludf.DUMMYFUNCTION("""COMPUTED_VALUE"""),"MYNTRA")</f>
        <v>MYNTRA</v>
      </c>
      <c r="D4050" s="115">
        <f>IFERROR(__xludf.DUMMYFUNCTION("""COMPUTED_VALUE"""),18022.0)</f>
        <v>18022</v>
      </c>
      <c r="E4050" s="115">
        <f>IFERROR(__xludf.DUMMYFUNCTION("""COMPUTED_VALUE"""),6394.0)</f>
        <v>6394</v>
      </c>
      <c r="F4050" s="115">
        <f>IFERROR(__xludf.DUMMYFUNCTION("""COMPUTED_VALUE"""),11775.0)</f>
        <v>11775</v>
      </c>
      <c r="G4050" s="115">
        <f>IFERROR(__xludf.DUMMYFUNCTION("""COMPUTED_VALUE"""),2844.0)</f>
        <v>2844</v>
      </c>
      <c r="H4050" s="116">
        <f>IFERROR(__xludf.DUMMYFUNCTION("""COMPUTED_VALUE"""),45908.0)</f>
        <v>45908</v>
      </c>
      <c r="I4050" s="115" t="str">
        <f>IFERROR(__xludf.DUMMYFUNCTION("""COMPUTED_VALUE"""),"16")</f>
        <v>16</v>
      </c>
      <c r="J4050" s="115" t="str">
        <f>IFERROR(__xludf.DUMMYFUNCTION("""COMPUTED_VALUE"""),"Amit Kumar Pathak2025-09-0816")</f>
        <v>Amit Kumar Pathak2025-09-0816</v>
      </c>
      <c r="K4050" s="115">
        <f>IFERROR(__xludf.DUMMYFUNCTION("""COMPUTED_VALUE"""),24416.0)</f>
        <v>24416</v>
      </c>
    </row>
    <row r="4051">
      <c r="A4051" s="115" t="str">
        <f>IFERROR(__xludf.DUMMYFUNCTION("""COMPUTED_VALUE"""),"NORTH")</f>
        <v>NORTH</v>
      </c>
      <c r="B4051" s="115" t="str">
        <f>IFERROR(__xludf.DUMMYFUNCTION("""COMPUTED_VALUE"""),"Loveleen Singh")</f>
        <v>Loveleen Singh</v>
      </c>
      <c r="C4051" s="115" t="str">
        <f>IFERROR(__xludf.DUMMYFUNCTION("""COMPUTED_VALUE"""),"EXTERNAL")</f>
        <v>EXTERNAL</v>
      </c>
      <c r="D4051" s="115">
        <f>IFERROR(__xludf.DUMMYFUNCTION("""COMPUTED_VALUE"""),37075.0)</f>
        <v>37075</v>
      </c>
      <c r="E4051" s="115">
        <f>IFERROR(__xludf.DUMMYFUNCTION("""COMPUTED_VALUE"""),2784.0)</f>
        <v>2784</v>
      </c>
      <c r="F4051" s="115">
        <f>IFERROR(__xludf.DUMMYFUNCTION("""COMPUTED_VALUE"""),11871.0)</f>
        <v>11871</v>
      </c>
      <c r="G4051" s="115">
        <f>IFERROR(__xludf.DUMMYFUNCTION("""COMPUTED_VALUE"""),401.0)</f>
        <v>401</v>
      </c>
      <c r="H4051" s="116">
        <f>IFERROR(__xludf.DUMMYFUNCTION("""COMPUTED_VALUE"""),45908.0)</f>
        <v>45908</v>
      </c>
      <c r="I4051" s="115" t="str">
        <f>IFERROR(__xludf.DUMMYFUNCTION("""COMPUTED_VALUE"""),"16")</f>
        <v>16</v>
      </c>
      <c r="J4051" s="115" t="str">
        <f>IFERROR(__xludf.DUMMYFUNCTION("""COMPUTED_VALUE"""),"Loveleen Singh2025-09-0816")</f>
        <v>Loveleen Singh2025-09-0816</v>
      </c>
      <c r="K4051" s="115">
        <f>IFERROR(__xludf.DUMMYFUNCTION("""COMPUTED_VALUE"""),39859.0)</f>
        <v>39859</v>
      </c>
    </row>
    <row r="4052">
      <c r="A4052" s="115" t="str">
        <f>IFERROR(__xludf.DUMMYFUNCTION("""COMPUTED_VALUE"""),"NORTH")</f>
        <v>NORTH</v>
      </c>
      <c r="B4052" s="115" t="str">
        <f>IFERROR(__xludf.DUMMYFUNCTION("""COMPUTED_VALUE"""),"Loveleen Singh")</f>
        <v>Loveleen Singh</v>
      </c>
      <c r="C4052" s="115" t="str">
        <f>IFERROR(__xludf.DUMMYFUNCTION("""COMPUTED_VALUE"""),"FLIPKART")</f>
        <v>FLIPKART</v>
      </c>
      <c r="D4052" s="115">
        <f>IFERROR(__xludf.DUMMYFUNCTION("""COMPUTED_VALUE"""),176851.0)</f>
        <v>176851</v>
      </c>
      <c r="E4052" s="115">
        <f>IFERROR(__xludf.DUMMYFUNCTION("""COMPUTED_VALUE"""),15568.0)</f>
        <v>15568</v>
      </c>
      <c r="F4052" s="115">
        <f>IFERROR(__xludf.DUMMYFUNCTION("""COMPUTED_VALUE"""),106313.0)</f>
        <v>106313</v>
      </c>
      <c r="G4052" s="115">
        <f>IFERROR(__xludf.DUMMYFUNCTION("""COMPUTED_VALUE"""),4942.0)</f>
        <v>4942</v>
      </c>
      <c r="H4052" s="116">
        <f>IFERROR(__xludf.DUMMYFUNCTION("""COMPUTED_VALUE"""),45908.0)</f>
        <v>45908</v>
      </c>
      <c r="I4052" s="115" t="str">
        <f>IFERROR(__xludf.DUMMYFUNCTION("""COMPUTED_VALUE"""),"16")</f>
        <v>16</v>
      </c>
      <c r="J4052" s="115" t="str">
        <f>IFERROR(__xludf.DUMMYFUNCTION("""COMPUTED_VALUE"""),"Loveleen Singh2025-09-0816")</f>
        <v>Loveleen Singh2025-09-0816</v>
      </c>
      <c r="K4052" s="115">
        <f>IFERROR(__xludf.DUMMYFUNCTION("""COMPUTED_VALUE"""),192419.0)</f>
        <v>192419</v>
      </c>
    </row>
    <row r="4053">
      <c r="A4053" s="115" t="str">
        <f>IFERROR(__xludf.DUMMYFUNCTION("""COMPUTED_VALUE"""),"NORTH")</f>
        <v>NORTH</v>
      </c>
      <c r="B4053" s="115" t="str">
        <f>IFERROR(__xludf.DUMMYFUNCTION("""COMPUTED_VALUE"""),"Loveleen Singh")</f>
        <v>Loveleen Singh</v>
      </c>
      <c r="C4053" s="115" t="str">
        <f>IFERROR(__xludf.DUMMYFUNCTION("""COMPUTED_VALUE"""),"MYNTRA")</f>
        <v>MYNTRA</v>
      </c>
      <c r="D4053" s="115">
        <f>IFERROR(__xludf.DUMMYFUNCTION("""COMPUTED_VALUE"""),32600.0)</f>
        <v>32600</v>
      </c>
      <c r="E4053" s="115">
        <f>IFERROR(__xludf.DUMMYFUNCTION("""COMPUTED_VALUE"""),6372.0)</f>
        <v>6372</v>
      </c>
      <c r="F4053" s="115">
        <f>IFERROR(__xludf.DUMMYFUNCTION("""COMPUTED_VALUE"""),21963.0)</f>
        <v>21963</v>
      </c>
      <c r="G4053" s="115">
        <f>IFERROR(__xludf.DUMMYFUNCTION("""COMPUTED_VALUE"""),2339.0)</f>
        <v>2339</v>
      </c>
      <c r="H4053" s="116">
        <f>IFERROR(__xludf.DUMMYFUNCTION("""COMPUTED_VALUE"""),45908.0)</f>
        <v>45908</v>
      </c>
      <c r="I4053" s="115" t="str">
        <f>IFERROR(__xludf.DUMMYFUNCTION("""COMPUTED_VALUE"""),"16")</f>
        <v>16</v>
      </c>
      <c r="J4053" s="115" t="str">
        <f>IFERROR(__xludf.DUMMYFUNCTION("""COMPUTED_VALUE"""),"Loveleen Singh2025-09-0816")</f>
        <v>Loveleen Singh2025-09-0816</v>
      </c>
      <c r="K4053" s="115">
        <f>IFERROR(__xludf.DUMMYFUNCTION("""COMPUTED_VALUE"""),38972.0)</f>
        <v>38972</v>
      </c>
    </row>
    <row r="4054">
      <c r="A4054" s="115" t="str">
        <f>IFERROR(__xludf.DUMMYFUNCTION("""COMPUTED_VALUE"""),"NORTH")</f>
        <v>NORTH</v>
      </c>
      <c r="B4054" s="115" t="str">
        <f>IFERROR(__xludf.DUMMYFUNCTION("""COMPUTED_VALUE"""),"Manoj Harsh")</f>
        <v>Manoj Harsh</v>
      </c>
      <c r="C4054" s="115" t="str">
        <f>IFERROR(__xludf.DUMMYFUNCTION("""COMPUTED_VALUE"""),"EXTERNAL")</f>
        <v>EXTERNAL</v>
      </c>
      <c r="D4054" s="115">
        <f>IFERROR(__xludf.DUMMYFUNCTION("""COMPUTED_VALUE"""),39357.0)</f>
        <v>39357</v>
      </c>
      <c r="E4054" s="115">
        <f>IFERROR(__xludf.DUMMYFUNCTION("""COMPUTED_VALUE"""),3177.0)</f>
        <v>3177</v>
      </c>
      <c r="F4054" s="115">
        <f>IFERROR(__xludf.DUMMYFUNCTION("""COMPUTED_VALUE"""),13298.0)</f>
        <v>13298</v>
      </c>
      <c r="G4054" s="115">
        <f>IFERROR(__xludf.DUMMYFUNCTION("""COMPUTED_VALUE"""),544.0)</f>
        <v>544</v>
      </c>
      <c r="H4054" s="116">
        <f>IFERROR(__xludf.DUMMYFUNCTION("""COMPUTED_VALUE"""),45908.0)</f>
        <v>45908</v>
      </c>
      <c r="I4054" s="115" t="str">
        <f>IFERROR(__xludf.DUMMYFUNCTION("""COMPUTED_VALUE"""),"16")</f>
        <v>16</v>
      </c>
      <c r="J4054" s="115" t="str">
        <f>IFERROR(__xludf.DUMMYFUNCTION("""COMPUTED_VALUE"""),"Manoj Harsh2025-09-0816")</f>
        <v>Manoj Harsh2025-09-0816</v>
      </c>
      <c r="K4054" s="115">
        <f>IFERROR(__xludf.DUMMYFUNCTION("""COMPUTED_VALUE"""),42534.0)</f>
        <v>42534</v>
      </c>
    </row>
    <row r="4055">
      <c r="A4055" s="115" t="str">
        <f>IFERROR(__xludf.DUMMYFUNCTION("""COMPUTED_VALUE"""),"NORTH")</f>
        <v>NORTH</v>
      </c>
      <c r="B4055" s="115" t="str">
        <f>IFERROR(__xludf.DUMMYFUNCTION("""COMPUTED_VALUE"""),"Manoj Harsh")</f>
        <v>Manoj Harsh</v>
      </c>
      <c r="C4055" s="115" t="str">
        <f>IFERROR(__xludf.DUMMYFUNCTION("""COMPUTED_VALUE"""),"FLIPKART")</f>
        <v>FLIPKART</v>
      </c>
      <c r="D4055" s="115">
        <f>IFERROR(__xludf.DUMMYFUNCTION("""COMPUTED_VALUE"""),395192.0)</f>
        <v>395192</v>
      </c>
      <c r="E4055" s="115">
        <f>IFERROR(__xludf.DUMMYFUNCTION("""COMPUTED_VALUE"""),41905.0)</f>
        <v>41905</v>
      </c>
      <c r="F4055" s="115">
        <f>IFERROR(__xludf.DUMMYFUNCTION("""COMPUTED_VALUE"""),226379.0)</f>
        <v>226379</v>
      </c>
      <c r="G4055" s="115">
        <f>IFERROR(__xludf.DUMMYFUNCTION("""COMPUTED_VALUE"""),12528.0)</f>
        <v>12528</v>
      </c>
      <c r="H4055" s="116">
        <f>IFERROR(__xludf.DUMMYFUNCTION("""COMPUTED_VALUE"""),45908.0)</f>
        <v>45908</v>
      </c>
      <c r="I4055" s="115" t="str">
        <f>IFERROR(__xludf.DUMMYFUNCTION("""COMPUTED_VALUE"""),"16")</f>
        <v>16</v>
      </c>
      <c r="J4055" s="115" t="str">
        <f>IFERROR(__xludf.DUMMYFUNCTION("""COMPUTED_VALUE"""),"Manoj Harsh2025-09-0816")</f>
        <v>Manoj Harsh2025-09-0816</v>
      </c>
      <c r="K4055" s="115">
        <f>IFERROR(__xludf.DUMMYFUNCTION("""COMPUTED_VALUE"""),437097.0)</f>
        <v>437097</v>
      </c>
    </row>
    <row r="4056">
      <c r="A4056" s="115" t="str">
        <f>IFERROR(__xludf.DUMMYFUNCTION("""COMPUTED_VALUE"""),"NORTH")</f>
        <v>NORTH</v>
      </c>
      <c r="B4056" s="115" t="str">
        <f>IFERROR(__xludf.DUMMYFUNCTION("""COMPUTED_VALUE"""),"Manoj Harsh")</f>
        <v>Manoj Harsh</v>
      </c>
      <c r="C4056" s="115" t="str">
        <f>IFERROR(__xludf.DUMMYFUNCTION("""COMPUTED_VALUE"""),"MYNTRA")</f>
        <v>MYNTRA</v>
      </c>
      <c r="D4056" s="115">
        <f>IFERROR(__xludf.DUMMYFUNCTION("""COMPUTED_VALUE"""),40128.0)</f>
        <v>40128</v>
      </c>
      <c r="E4056" s="115">
        <f>IFERROR(__xludf.DUMMYFUNCTION("""COMPUTED_VALUE"""),7984.0)</f>
        <v>7984</v>
      </c>
      <c r="F4056" s="115">
        <f>IFERROR(__xludf.DUMMYFUNCTION("""COMPUTED_VALUE"""),26137.0)</f>
        <v>26137</v>
      </c>
      <c r="G4056" s="115">
        <f>IFERROR(__xludf.DUMMYFUNCTION("""COMPUTED_VALUE"""),2894.0)</f>
        <v>2894</v>
      </c>
      <c r="H4056" s="116">
        <f>IFERROR(__xludf.DUMMYFUNCTION("""COMPUTED_VALUE"""),45908.0)</f>
        <v>45908</v>
      </c>
      <c r="I4056" s="115" t="str">
        <f>IFERROR(__xludf.DUMMYFUNCTION("""COMPUTED_VALUE"""),"16")</f>
        <v>16</v>
      </c>
      <c r="J4056" s="115" t="str">
        <f>IFERROR(__xludf.DUMMYFUNCTION("""COMPUTED_VALUE"""),"Manoj Harsh2025-09-0816")</f>
        <v>Manoj Harsh2025-09-0816</v>
      </c>
      <c r="K4056" s="115">
        <f>IFERROR(__xludf.DUMMYFUNCTION("""COMPUTED_VALUE"""),48112.0)</f>
        <v>48112</v>
      </c>
    </row>
    <row r="4057">
      <c r="A4057" s="115" t="str">
        <f>IFERROR(__xludf.DUMMYFUNCTION("""COMPUTED_VALUE"""),"NORTH")</f>
        <v>NORTH</v>
      </c>
      <c r="B4057" s="115" t="str">
        <f>IFERROR(__xludf.DUMMYFUNCTION("""COMPUTED_VALUE"""),"Pradeep Kothari")</f>
        <v>Pradeep Kothari</v>
      </c>
      <c r="C4057" s="115" t="str">
        <f>IFERROR(__xludf.DUMMYFUNCTION("""COMPUTED_VALUE"""),"EXTERNAL")</f>
        <v>EXTERNAL</v>
      </c>
      <c r="D4057" s="115">
        <f>IFERROR(__xludf.DUMMYFUNCTION("""COMPUTED_VALUE"""),21327.0)</f>
        <v>21327</v>
      </c>
      <c r="E4057" s="115">
        <f>IFERROR(__xludf.DUMMYFUNCTION("""COMPUTED_VALUE"""),2086.0)</f>
        <v>2086</v>
      </c>
      <c r="F4057" s="115">
        <f>IFERROR(__xludf.DUMMYFUNCTION("""COMPUTED_VALUE"""),7356.0)</f>
        <v>7356</v>
      </c>
      <c r="G4057" s="115">
        <f>IFERROR(__xludf.DUMMYFUNCTION("""COMPUTED_VALUE"""),522.0)</f>
        <v>522</v>
      </c>
      <c r="H4057" s="116">
        <f>IFERROR(__xludf.DUMMYFUNCTION("""COMPUTED_VALUE"""),45908.0)</f>
        <v>45908</v>
      </c>
      <c r="I4057" s="115" t="str">
        <f>IFERROR(__xludf.DUMMYFUNCTION("""COMPUTED_VALUE"""),"16")</f>
        <v>16</v>
      </c>
      <c r="J4057" s="115" t="str">
        <f>IFERROR(__xludf.DUMMYFUNCTION("""COMPUTED_VALUE"""),"Pradeep Kothari2025-09-0816")</f>
        <v>Pradeep Kothari2025-09-0816</v>
      </c>
      <c r="K4057" s="115">
        <f>IFERROR(__xludf.DUMMYFUNCTION("""COMPUTED_VALUE"""),23413.0)</f>
        <v>23413</v>
      </c>
    </row>
    <row r="4058">
      <c r="A4058" s="115" t="str">
        <f>IFERROR(__xludf.DUMMYFUNCTION("""COMPUTED_VALUE"""),"NORTH")</f>
        <v>NORTH</v>
      </c>
      <c r="B4058" s="115" t="str">
        <f>IFERROR(__xludf.DUMMYFUNCTION("""COMPUTED_VALUE"""),"Pradeep Kothari")</f>
        <v>Pradeep Kothari</v>
      </c>
      <c r="C4058" s="115" t="str">
        <f>IFERROR(__xludf.DUMMYFUNCTION("""COMPUTED_VALUE"""),"FLIPKART")</f>
        <v>FLIPKART</v>
      </c>
      <c r="D4058" s="115">
        <f>IFERROR(__xludf.DUMMYFUNCTION("""COMPUTED_VALUE"""),140040.0)</f>
        <v>140040</v>
      </c>
      <c r="E4058" s="115">
        <f>IFERROR(__xludf.DUMMYFUNCTION("""COMPUTED_VALUE"""),17875.0)</f>
        <v>17875</v>
      </c>
      <c r="F4058" s="115">
        <f>IFERROR(__xludf.DUMMYFUNCTION("""COMPUTED_VALUE"""),91087.0)</f>
        <v>91087</v>
      </c>
      <c r="G4058" s="115">
        <f>IFERROR(__xludf.DUMMYFUNCTION("""COMPUTED_VALUE"""),7603.0)</f>
        <v>7603</v>
      </c>
      <c r="H4058" s="116">
        <f>IFERROR(__xludf.DUMMYFUNCTION("""COMPUTED_VALUE"""),45908.0)</f>
        <v>45908</v>
      </c>
      <c r="I4058" s="115" t="str">
        <f>IFERROR(__xludf.DUMMYFUNCTION("""COMPUTED_VALUE"""),"16")</f>
        <v>16</v>
      </c>
      <c r="J4058" s="115" t="str">
        <f>IFERROR(__xludf.DUMMYFUNCTION("""COMPUTED_VALUE"""),"Pradeep Kothari2025-09-0816")</f>
        <v>Pradeep Kothari2025-09-0816</v>
      </c>
      <c r="K4058" s="115">
        <f>IFERROR(__xludf.DUMMYFUNCTION("""COMPUTED_VALUE"""),157915.0)</f>
        <v>157915</v>
      </c>
    </row>
    <row r="4059">
      <c r="A4059" s="115" t="str">
        <f>IFERROR(__xludf.DUMMYFUNCTION("""COMPUTED_VALUE"""),"NORTH")</f>
        <v>NORTH</v>
      </c>
      <c r="B4059" s="115" t="str">
        <f>IFERROR(__xludf.DUMMYFUNCTION("""COMPUTED_VALUE"""),"Pradeep Kothari")</f>
        <v>Pradeep Kothari</v>
      </c>
      <c r="C4059" s="115" t="str">
        <f>IFERROR(__xludf.DUMMYFUNCTION("""COMPUTED_VALUE"""),"MYNTRA")</f>
        <v>MYNTRA</v>
      </c>
      <c r="D4059" s="115">
        <f>IFERROR(__xludf.DUMMYFUNCTION("""COMPUTED_VALUE"""),28376.0)</f>
        <v>28376</v>
      </c>
      <c r="E4059" s="115">
        <f>IFERROR(__xludf.DUMMYFUNCTION("""COMPUTED_VALUE"""),6958.0)</f>
        <v>6958</v>
      </c>
      <c r="F4059" s="115">
        <f>IFERROR(__xludf.DUMMYFUNCTION("""COMPUTED_VALUE"""),21057.0)</f>
        <v>21057</v>
      </c>
      <c r="G4059" s="115">
        <f>IFERROR(__xludf.DUMMYFUNCTION("""COMPUTED_VALUE"""),3477.0)</f>
        <v>3477</v>
      </c>
      <c r="H4059" s="116">
        <f>IFERROR(__xludf.DUMMYFUNCTION("""COMPUTED_VALUE"""),45908.0)</f>
        <v>45908</v>
      </c>
      <c r="I4059" s="115" t="str">
        <f>IFERROR(__xludf.DUMMYFUNCTION("""COMPUTED_VALUE"""),"16")</f>
        <v>16</v>
      </c>
      <c r="J4059" s="115" t="str">
        <f>IFERROR(__xludf.DUMMYFUNCTION("""COMPUTED_VALUE"""),"Pradeep Kothari2025-09-0816")</f>
        <v>Pradeep Kothari2025-09-0816</v>
      </c>
      <c r="K4059" s="115">
        <f>IFERROR(__xludf.DUMMYFUNCTION("""COMPUTED_VALUE"""),35334.0)</f>
        <v>35334</v>
      </c>
    </row>
    <row r="4060">
      <c r="A4060" s="115" t="str">
        <f>IFERROR(__xludf.DUMMYFUNCTION("""COMPUTED_VALUE"""),"SOUTH")</f>
        <v>SOUTH</v>
      </c>
      <c r="B4060" s="115" t="str">
        <f>IFERROR(__xludf.DUMMYFUNCTION("""COMPUTED_VALUE"""),"0")</f>
        <v>0</v>
      </c>
      <c r="C4060" s="115" t="str">
        <f>IFERROR(__xludf.DUMMYFUNCTION("""COMPUTED_VALUE"""),"EXTERNAL")</f>
        <v>EXTERNAL</v>
      </c>
      <c r="D4060" s="115">
        <f>IFERROR(__xludf.DUMMYFUNCTION("""COMPUTED_VALUE"""),1.0)</f>
        <v>1</v>
      </c>
      <c r="E4060" s="115">
        <f>IFERROR(__xludf.DUMMYFUNCTION("""COMPUTED_VALUE"""),0.0)</f>
        <v>0</v>
      </c>
      <c r="F4060" s="115">
        <f>IFERROR(__xludf.DUMMYFUNCTION("""COMPUTED_VALUE"""),0.0)</f>
        <v>0</v>
      </c>
      <c r="G4060" s="115">
        <f>IFERROR(__xludf.DUMMYFUNCTION("""COMPUTED_VALUE"""),0.0)</f>
        <v>0</v>
      </c>
      <c r="H4060" s="116">
        <f>IFERROR(__xludf.DUMMYFUNCTION("""COMPUTED_VALUE"""),45908.0)</f>
        <v>45908</v>
      </c>
      <c r="I4060" s="115" t="str">
        <f>IFERROR(__xludf.DUMMYFUNCTION("""COMPUTED_VALUE"""),"16")</f>
        <v>16</v>
      </c>
      <c r="J4060" s="115" t="str">
        <f>IFERROR(__xludf.DUMMYFUNCTION("""COMPUTED_VALUE"""),"02025-09-0816")</f>
        <v>02025-09-0816</v>
      </c>
      <c r="K4060" s="115">
        <f>IFERROR(__xludf.DUMMYFUNCTION("""COMPUTED_VALUE"""),1.0)</f>
        <v>1</v>
      </c>
    </row>
    <row r="4061">
      <c r="A4061" s="115" t="str">
        <f>IFERROR(__xludf.DUMMYFUNCTION("""COMPUTED_VALUE"""),"SOUTH")</f>
        <v>SOUTH</v>
      </c>
      <c r="B4061" s="115" t="str">
        <f>IFERROR(__xludf.DUMMYFUNCTION("""COMPUTED_VALUE"""),"0")</f>
        <v>0</v>
      </c>
      <c r="C4061" s="115" t="str">
        <f>IFERROR(__xludf.DUMMYFUNCTION("""COMPUTED_VALUE"""),"FLIPKART")</f>
        <v>FLIPKART</v>
      </c>
      <c r="D4061" s="115">
        <f>IFERROR(__xludf.DUMMYFUNCTION("""COMPUTED_VALUE"""),37.0)</f>
        <v>37</v>
      </c>
      <c r="E4061" s="115">
        <f>IFERROR(__xludf.DUMMYFUNCTION("""COMPUTED_VALUE"""),72.0)</f>
        <v>72</v>
      </c>
      <c r="F4061" s="115">
        <f>IFERROR(__xludf.DUMMYFUNCTION("""COMPUTED_VALUE"""),17.0)</f>
        <v>17</v>
      </c>
      <c r="G4061" s="115">
        <f>IFERROR(__xludf.DUMMYFUNCTION("""COMPUTED_VALUE"""),9.0)</f>
        <v>9</v>
      </c>
      <c r="H4061" s="116">
        <f>IFERROR(__xludf.DUMMYFUNCTION("""COMPUTED_VALUE"""),45908.0)</f>
        <v>45908</v>
      </c>
      <c r="I4061" s="115" t="str">
        <f>IFERROR(__xludf.DUMMYFUNCTION("""COMPUTED_VALUE"""),"16")</f>
        <v>16</v>
      </c>
      <c r="J4061" s="115" t="str">
        <f>IFERROR(__xludf.DUMMYFUNCTION("""COMPUTED_VALUE"""),"02025-09-0816")</f>
        <v>02025-09-0816</v>
      </c>
      <c r="K4061" s="115">
        <f>IFERROR(__xludf.DUMMYFUNCTION("""COMPUTED_VALUE"""),109.0)</f>
        <v>109</v>
      </c>
    </row>
    <row r="4062">
      <c r="A4062" s="115" t="str">
        <f>IFERROR(__xludf.DUMMYFUNCTION("""COMPUTED_VALUE"""),"SOUTH")</f>
        <v>SOUTH</v>
      </c>
      <c r="B4062" s="115" t="str">
        <f>IFERROR(__xludf.DUMMYFUNCTION("""COMPUTED_VALUE"""),"0")</f>
        <v>0</v>
      </c>
      <c r="C4062" s="115" t="str">
        <f>IFERROR(__xludf.DUMMYFUNCTION("""COMPUTED_VALUE"""),"MYNTRA")</f>
        <v>MYNTRA</v>
      </c>
      <c r="D4062" s="115">
        <f>IFERROR(__xludf.DUMMYFUNCTION("""COMPUTED_VALUE"""),7.0)</f>
        <v>7</v>
      </c>
      <c r="E4062" s="115">
        <f>IFERROR(__xludf.DUMMYFUNCTION("""COMPUTED_VALUE"""),24.0)</f>
        <v>24</v>
      </c>
      <c r="F4062" s="115">
        <f>IFERROR(__xludf.DUMMYFUNCTION("""COMPUTED_VALUE"""),0.0)</f>
        <v>0</v>
      </c>
      <c r="G4062" s="115">
        <f>IFERROR(__xludf.DUMMYFUNCTION("""COMPUTED_VALUE"""),2.0)</f>
        <v>2</v>
      </c>
      <c r="H4062" s="116">
        <f>IFERROR(__xludf.DUMMYFUNCTION("""COMPUTED_VALUE"""),45908.0)</f>
        <v>45908</v>
      </c>
      <c r="I4062" s="115" t="str">
        <f>IFERROR(__xludf.DUMMYFUNCTION("""COMPUTED_VALUE"""),"16")</f>
        <v>16</v>
      </c>
      <c r="J4062" s="115" t="str">
        <f>IFERROR(__xludf.DUMMYFUNCTION("""COMPUTED_VALUE"""),"02025-09-0816")</f>
        <v>02025-09-0816</v>
      </c>
      <c r="K4062" s="115">
        <f>IFERROR(__xludf.DUMMYFUNCTION("""COMPUTED_VALUE"""),31.0)</f>
        <v>31</v>
      </c>
    </row>
    <row r="4063">
      <c r="A4063" s="115" t="str">
        <f>IFERROR(__xludf.DUMMYFUNCTION("""COMPUTED_VALUE"""),"SOUTH")</f>
        <v>SOUTH</v>
      </c>
      <c r="B4063" s="115" t="str">
        <f>IFERROR(__xludf.DUMMYFUNCTION("""COMPUTED_VALUE"""),"Kandula Sampath")</f>
        <v>Kandula Sampath</v>
      </c>
      <c r="C4063" s="115" t="str">
        <f>IFERROR(__xludf.DUMMYFUNCTION("""COMPUTED_VALUE"""),"EXTERNAL")</f>
        <v>EXTERNAL</v>
      </c>
      <c r="D4063" s="115">
        <f>IFERROR(__xludf.DUMMYFUNCTION("""COMPUTED_VALUE"""),38003.0)</f>
        <v>38003</v>
      </c>
      <c r="E4063" s="115">
        <f>IFERROR(__xludf.DUMMYFUNCTION("""COMPUTED_VALUE"""),4178.0)</f>
        <v>4178</v>
      </c>
      <c r="F4063" s="115">
        <f>IFERROR(__xludf.DUMMYFUNCTION("""COMPUTED_VALUE"""),12996.0)</f>
        <v>12996</v>
      </c>
      <c r="G4063" s="115">
        <f>IFERROR(__xludf.DUMMYFUNCTION("""COMPUTED_VALUE"""),709.0)</f>
        <v>709</v>
      </c>
      <c r="H4063" s="116">
        <f>IFERROR(__xludf.DUMMYFUNCTION("""COMPUTED_VALUE"""),45908.0)</f>
        <v>45908</v>
      </c>
      <c r="I4063" s="115" t="str">
        <f>IFERROR(__xludf.DUMMYFUNCTION("""COMPUTED_VALUE"""),"16")</f>
        <v>16</v>
      </c>
      <c r="J4063" s="115" t="str">
        <f>IFERROR(__xludf.DUMMYFUNCTION("""COMPUTED_VALUE"""),"Kandula Sampath2025-09-0816")</f>
        <v>Kandula Sampath2025-09-0816</v>
      </c>
      <c r="K4063" s="115">
        <f>IFERROR(__xludf.DUMMYFUNCTION("""COMPUTED_VALUE"""),42181.0)</f>
        <v>42181</v>
      </c>
    </row>
    <row r="4064">
      <c r="A4064" s="115" t="str">
        <f>IFERROR(__xludf.DUMMYFUNCTION("""COMPUTED_VALUE"""),"SOUTH")</f>
        <v>SOUTH</v>
      </c>
      <c r="B4064" s="115" t="str">
        <f>IFERROR(__xludf.DUMMYFUNCTION("""COMPUTED_VALUE"""),"Kandula Sampath")</f>
        <v>Kandula Sampath</v>
      </c>
      <c r="C4064" s="115" t="str">
        <f>IFERROR(__xludf.DUMMYFUNCTION("""COMPUTED_VALUE"""),"FLIPKART")</f>
        <v>FLIPKART</v>
      </c>
      <c r="D4064" s="115">
        <f>IFERROR(__xludf.DUMMYFUNCTION("""COMPUTED_VALUE"""),348779.0)</f>
        <v>348779</v>
      </c>
      <c r="E4064" s="115">
        <f>IFERROR(__xludf.DUMMYFUNCTION("""COMPUTED_VALUE"""),33326.0)</f>
        <v>33326</v>
      </c>
      <c r="F4064" s="115">
        <f>IFERROR(__xludf.DUMMYFUNCTION("""COMPUTED_VALUE"""),202247.0)</f>
        <v>202247</v>
      </c>
      <c r="G4064" s="115">
        <f>IFERROR(__xludf.DUMMYFUNCTION("""COMPUTED_VALUE"""),9347.0)</f>
        <v>9347</v>
      </c>
      <c r="H4064" s="116">
        <f>IFERROR(__xludf.DUMMYFUNCTION("""COMPUTED_VALUE"""),45908.0)</f>
        <v>45908</v>
      </c>
      <c r="I4064" s="115" t="str">
        <f>IFERROR(__xludf.DUMMYFUNCTION("""COMPUTED_VALUE"""),"16")</f>
        <v>16</v>
      </c>
      <c r="J4064" s="115" t="str">
        <f>IFERROR(__xludf.DUMMYFUNCTION("""COMPUTED_VALUE"""),"Kandula Sampath2025-09-0816")</f>
        <v>Kandula Sampath2025-09-0816</v>
      </c>
      <c r="K4064" s="115">
        <f>IFERROR(__xludf.DUMMYFUNCTION("""COMPUTED_VALUE"""),382105.0)</f>
        <v>382105</v>
      </c>
    </row>
    <row r="4065">
      <c r="A4065" s="115" t="str">
        <f>IFERROR(__xludf.DUMMYFUNCTION("""COMPUTED_VALUE"""),"SOUTH")</f>
        <v>SOUTH</v>
      </c>
      <c r="B4065" s="115" t="str">
        <f>IFERROR(__xludf.DUMMYFUNCTION("""COMPUTED_VALUE"""),"Kandula Sampath")</f>
        <v>Kandula Sampath</v>
      </c>
      <c r="C4065" s="115" t="str">
        <f>IFERROR(__xludf.DUMMYFUNCTION("""COMPUTED_VALUE"""),"MYNTRA")</f>
        <v>MYNTRA</v>
      </c>
      <c r="D4065" s="115">
        <f>IFERROR(__xludf.DUMMYFUNCTION("""COMPUTED_VALUE"""),41097.0)</f>
        <v>41097</v>
      </c>
      <c r="E4065" s="115">
        <f>IFERROR(__xludf.DUMMYFUNCTION("""COMPUTED_VALUE"""),9264.0)</f>
        <v>9264</v>
      </c>
      <c r="F4065" s="115">
        <f>IFERROR(__xludf.DUMMYFUNCTION("""COMPUTED_VALUE"""),26393.0)</f>
        <v>26393</v>
      </c>
      <c r="G4065" s="115">
        <f>IFERROR(__xludf.DUMMYFUNCTION("""COMPUTED_VALUE"""),2743.0)</f>
        <v>2743</v>
      </c>
      <c r="H4065" s="116">
        <f>IFERROR(__xludf.DUMMYFUNCTION("""COMPUTED_VALUE"""),45908.0)</f>
        <v>45908</v>
      </c>
      <c r="I4065" s="115" t="str">
        <f>IFERROR(__xludf.DUMMYFUNCTION("""COMPUTED_VALUE"""),"16")</f>
        <v>16</v>
      </c>
      <c r="J4065" s="115" t="str">
        <f>IFERROR(__xludf.DUMMYFUNCTION("""COMPUTED_VALUE"""),"Kandula Sampath2025-09-0816")</f>
        <v>Kandula Sampath2025-09-0816</v>
      </c>
      <c r="K4065" s="115">
        <f>IFERROR(__xludf.DUMMYFUNCTION("""COMPUTED_VALUE"""),50361.0)</f>
        <v>50361</v>
      </c>
    </row>
    <row r="4066">
      <c r="A4066" s="115" t="str">
        <f>IFERROR(__xludf.DUMMYFUNCTION("""COMPUTED_VALUE"""),"SOUTH")</f>
        <v>SOUTH</v>
      </c>
      <c r="B4066" s="115" t="str">
        <f>IFERROR(__xludf.DUMMYFUNCTION("""COMPUTED_VALUE"""),"Martin A")</f>
        <v>Martin A</v>
      </c>
      <c r="C4066" s="115" t="str">
        <f>IFERROR(__xludf.DUMMYFUNCTION("""COMPUTED_VALUE"""),"EXTERNAL")</f>
        <v>EXTERNAL</v>
      </c>
      <c r="D4066" s="115">
        <f>IFERROR(__xludf.DUMMYFUNCTION("""COMPUTED_VALUE"""),35369.0)</f>
        <v>35369</v>
      </c>
      <c r="E4066" s="115">
        <f>IFERROR(__xludf.DUMMYFUNCTION("""COMPUTED_VALUE"""),4350.0)</f>
        <v>4350</v>
      </c>
      <c r="F4066" s="115">
        <f>IFERROR(__xludf.DUMMYFUNCTION("""COMPUTED_VALUE"""),12498.0)</f>
        <v>12498</v>
      </c>
      <c r="G4066" s="115">
        <f>IFERROR(__xludf.DUMMYFUNCTION("""COMPUTED_VALUE"""),1351.0)</f>
        <v>1351</v>
      </c>
      <c r="H4066" s="116">
        <f>IFERROR(__xludf.DUMMYFUNCTION("""COMPUTED_VALUE"""),45908.0)</f>
        <v>45908</v>
      </c>
      <c r="I4066" s="115" t="str">
        <f>IFERROR(__xludf.DUMMYFUNCTION("""COMPUTED_VALUE"""),"16")</f>
        <v>16</v>
      </c>
      <c r="J4066" s="115" t="str">
        <f>IFERROR(__xludf.DUMMYFUNCTION("""COMPUTED_VALUE"""),"Martin A2025-09-0816")</f>
        <v>Martin A2025-09-0816</v>
      </c>
      <c r="K4066" s="115">
        <f>IFERROR(__xludf.DUMMYFUNCTION("""COMPUTED_VALUE"""),39719.0)</f>
        <v>39719</v>
      </c>
    </row>
    <row r="4067">
      <c r="A4067" s="115" t="str">
        <f>IFERROR(__xludf.DUMMYFUNCTION("""COMPUTED_VALUE"""),"SOUTH")</f>
        <v>SOUTH</v>
      </c>
      <c r="B4067" s="115" t="str">
        <f>IFERROR(__xludf.DUMMYFUNCTION("""COMPUTED_VALUE"""),"Martin A")</f>
        <v>Martin A</v>
      </c>
      <c r="C4067" s="115" t="str">
        <f>IFERROR(__xludf.DUMMYFUNCTION("""COMPUTED_VALUE"""),"FLIPKART")</f>
        <v>FLIPKART</v>
      </c>
      <c r="D4067" s="115">
        <f>IFERROR(__xludf.DUMMYFUNCTION("""COMPUTED_VALUE"""),287489.0)</f>
        <v>287489</v>
      </c>
      <c r="E4067" s="115">
        <f>IFERROR(__xludf.DUMMYFUNCTION("""COMPUTED_VALUE"""),28371.0)</f>
        <v>28371</v>
      </c>
      <c r="F4067" s="115">
        <f>IFERROR(__xludf.DUMMYFUNCTION("""COMPUTED_VALUE"""),173491.0)</f>
        <v>173491</v>
      </c>
      <c r="G4067" s="115">
        <f>IFERROR(__xludf.DUMMYFUNCTION("""COMPUTED_VALUE"""),9590.0)</f>
        <v>9590</v>
      </c>
      <c r="H4067" s="116">
        <f>IFERROR(__xludf.DUMMYFUNCTION("""COMPUTED_VALUE"""),45908.0)</f>
        <v>45908</v>
      </c>
      <c r="I4067" s="115" t="str">
        <f>IFERROR(__xludf.DUMMYFUNCTION("""COMPUTED_VALUE"""),"16")</f>
        <v>16</v>
      </c>
      <c r="J4067" s="115" t="str">
        <f>IFERROR(__xludf.DUMMYFUNCTION("""COMPUTED_VALUE"""),"Martin A2025-09-0816")</f>
        <v>Martin A2025-09-0816</v>
      </c>
      <c r="K4067" s="115">
        <f>IFERROR(__xludf.DUMMYFUNCTION("""COMPUTED_VALUE"""),315860.0)</f>
        <v>315860</v>
      </c>
    </row>
    <row r="4068">
      <c r="A4068" s="115" t="str">
        <f>IFERROR(__xludf.DUMMYFUNCTION("""COMPUTED_VALUE"""),"SOUTH")</f>
        <v>SOUTH</v>
      </c>
      <c r="B4068" s="115" t="str">
        <f>IFERROR(__xludf.DUMMYFUNCTION("""COMPUTED_VALUE"""),"Martin A")</f>
        <v>Martin A</v>
      </c>
      <c r="C4068" s="115" t="str">
        <f>IFERROR(__xludf.DUMMYFUNCTION("""COMPUTED_VALUE"""),"MYNTRA")</f>
        <v>MYNTRA</v>
      </c>
      <c r="D4068" s="115">
        <f>IFERROR(__xludf.DUMMYFUNCTION("""COMPUTED_VALUE"""),28811.0)</f>
        <v>28811</v>
      </c>
      <c r="E4068" s="115">
        <f>IFERROR(__xludf.DUMMYFUNCTION("""COMPUTED_VALUE"""),7715.0)</f>
        <v>7715</v>
      </c>
      <c r="F4068" s="115">
        <f>IFERROR(__xludf.DUMMYFUNCTION("""COMPUTED_VALUE"""),19883.0)</f>
        <v>19883</v>
      </c>
      <c r="G4068" s="115">
        <f>IFERROR(__xludf.DUMMYFUNCTION("""COMPUTED_VALUE"""),2863.0)</f>
        <v>2863</v>
      </c>
      <c r="H4068" s="116">
        <f>IFERROR(__xludf.DUMMYFUNCTION("""COMPUTED_VALUE"""),45908.0)</f>
        <v>45908</v>
      </c>
      <c r="I4068" s="115" t="str">
        <f>IFERROR(__xludf.DUMMYFUNCTION("""COMPUTED_VALUE"""),"16")</f>
        <v>16</v>
      </c>
      <c r="J4068" s="115" t="str">
        <f>IFERROR(__xludf.DUMMYFUNCTION("""COMPUTED_VALUE"""),"Martin A2025-09-0816")</f>
        <v>Martin A2025-09-0816</v>
      </c>
      <c r="K4068" s="115">
        <f>IFERROR(__xludf.DUMMYFUNCTION("""COMPUTED_VALUE"""),36526.0)</f>
        <v>36526</v>
      </c>
    </row>
    <row r="4069">
      <c r="A4069" s="115" t="str">
        <f>IFERROR(__xludf.DUMMYFUNCTION("""COMPUTED_VALUE"""),"SOUTH")</f>
        <v>SOUTH</v>
      </c>
      <c r="B4069" s="115" t="str">
        <f>IFERROR(__xludf.DUMMYFUNCTION("""COMPUTED_VALUE"""),"Premkumar M")</f>
        <v>Premkumar M</v>
      </c>
      <c r="C4069" s="115" t="str">
        <f>IFERROR(__xludf.DUMMYFUNCTION("""COMPUTED_VALUE"""),"EXTERNAL")</f>
        <v>EXTERNAL</v>
      </c>
      <c r="D4069" s="115">
        <f>IFERROR(__xludf.DUMMYFUNCTION("""COMPUTED_VALUE"""),32850.0)</f>
        <v>32850</v>
      </c>
      <c r="E4069" s="115">
        <f>IFERROR(__xludf.DUMMYFUNCTION("""COMPUTED_VALUE"""),1998.0)</f>
        <v>1998</v>
      </c>
      <c r="F4069" s="115">
        <f>IFERROR(__xludf.DUMMYFUNCTION("""COMPUTED_VALUE"""),10863.0)</f>
        <v>10863</v>
      </c>
      <c r="G4069" s="115">
        <f>IFERROR(__xludf.DUMMYFUNCTION("""COMPUTED_VALUE"""),185.0)</f>
        <v>185</v>
      </c>
      <c r="H4069" s="116">
        <f>IFERROR(__xludf.DUMMYFUNCTION("""COMPUTED_VALUE"""),45908.0)</f>
        <v>45908</v>
      </c>
      <c r="I4069" s="115" t="str">
        <f>IFERROR(__xludf.DUMMYFUNCTION("""COMPUTED_VALUE"""),"16")</f>
        <v>16</v>
      </c>
      <c r="J4069" s="115" t="str">
        <f>IFERROR(__xludf.DUMMYFUNCTION("""COMPUTED_VALUE"""),"Premkumar M2025-09-0816")</f>
        <v>Premkumar M2025-09-0816</v>
      </c>
      <c r="K4069" s="115">
        <f>IFERROR(__xludf.DUMMYFUNCTION("""COMPUTED_VALUE"""),34848.0)</f>
        <v>34848</v>
      </c>
    </row>
    <row r="4070">
      <c r="A4070" s="115" t="str">
        <f>IFERROR(__xludf.DUMMYFUNCTION("""COMPUTED_VALUE"""),"SOUTH")</f>
        <v>SOUTH</v>
      </c>
      <c r="B4070" s="115" t="str">
        <f>IFERROR(__xludf.DUMMYFUNCTION("""COMPUTED_VALUE"""),"Premkumar M")</f>
        <v>Premkumar M</v>
      </c>
      <c r="C4070" s="115" t="str">
        <f>IFERROR(__xludf.DUMMYFUNCTION("""COMPUTED_VALUE"""),"FLIPKART")</f>
        <v>FLIPKART</v>
      </c>
      <c r="D4070" s="115">
        <f>IFERROR(__xludf.DUMMYFUNCTION("""COMPUTED_VALUE"""),299779.0)</f>
        <v>299779</v>
      </c>
      <c r="E4070" s="115">
        <f>IFERROR(__xludf.DUMMYFUNCTION("""COMPUTED_VALUE"""),19652.0)</f>
        <v>19652</v>
      </c>
      <c r="F4070" s="115">
        <f>IFERROR(__xludf.DUMMYFUNCTION("""COMPUTED_VALUE"""),152853.0)</f>
        <v>152853</v>
      </c>
      <c r="G4070" s="115">
        <f>IFERROR(__xludf.DUMMYFUNCTION("""COMPUTED_VALUE"""),2710.0)</f>
        <v>2710</v>
      </c>
      <c r="H4070" s="116">
        <f>IFERROR(__xludf.DUMMYFUNCTION("""COMPUTED_VALUE"""),45908.0)</f>
        <v>45908</v>
      </c>
      <c r="I4070" s="115" t="str">
        <f>IFERROR(__xludf.DUMMYFUNCTION("""COMPUTED_VALUE"""),"16")</f>
        <v>16</v>
      </c>
      <c r="J4070" s="115" t="str">
        <f>IFERROR(__xludf.DUMMYFUNCTION("""COMPUTED_VALUE"""),"Premkumar M2025-09-0816")</f>
        <v>Premkumar M2025-09-0816</v>
      </c>
      <c r="K4070" s="115">
        <f>IFERROR(__xludf.DUMMYFUNCTION("""COMPUTED_VALUE"""),319431.0)</f>
        <v>319431</v>
      </c>
    </row>
    <row r="4071">
      <c r="A4071" s="115" t="str">
        <f>IFERROR(__xludf.DUMMYFUNCTION("""COMPUTED_VALUE"""),"SOUTH")</f>
        <v>SOUTH</v>
      </c>
      <c r="B4071" s="115" t="str">
        <f>IFERROR(__xludf.DUMMYFUNCTION("""COMPUTED_VALUE"""),"Premkumar M")</f>
        <v>Premkumar M</v>
      </c>
      <c r="C4071" s="115" t="str">
        <f>IFERROR(__xludf.DUMMYFUNCTION("""COMPUTED_VALUE"""),"MYNTRA")</f>
        <v>MYNTRA</v>
      </c>
      <c r="D4071" s="115">
        <f>IFERROR(__xludf.DUMMYFUNCTION("""COMPUTED_VALUE"""),16814.0)</f>
        <v>16814</v>
      </c>
      <c r="E4071" s="115">
        <f>IFERROR(__xludf.DUMMYFUNCTION("""COMPUTED_VALUE"""),3078.0)</f>
        <v>3078</v>
      </c>
      <c r="F4071" s="115">
        <f>IFERROR(__xludf.DUMMYFUNCTION("""COMPUTED_VALUE"""),9861.0)</f>
        <v>9861</v>
      </c>
      <c r="G4071" s="115">
        <f>IFERROR(__xludf.DUMMYFUNCTION("""COMPUTED_VALUE"""),496.0)</f>
        <v>496</v>
      </c>
      <c r="H4071" s="116">
        <f>IFERROR(__xludf.DUMMYFUNCTION("""COMPUTED_VALUE"""),45908.0)</f>
        <v>45908</v>
      </c>
      <c r="I4071" s="115" t="str">
        <f>IFERROR(__xludf.DUMMYFUNCTION("""COMPUTED_VALUE"""),"16")</f>
        <v>16</v>
      </c>
      <c r="J4071" s="115" t="str">
        <f>IFERROR(__xludf.DUMMYFUNCTION("""COMPUTED_VALUE"""),"Premkumar M2025-09-0816")</f>
        <v>Premkumar M2025-09-0816</v>
      </c>
      <c r="K4071" s="115">
        <f>IFERROR(__xludf.DUMMYFUNCTION("""COMPUTED_VALUE"""),19892.0)</f>
        <v>19892</v>
      </c>
    </row>
    <row r="4072">
      <c r="A4072" s="115" t="str">
        <f>IFERROR(__xludf.DUMMYFUNCTION("""COMPUTED_VALUE"""),"SOUTH")</f>
        <v>SOUTH</v>
      </c>
      <c r="B4072" s="115" t="str">
        <f>IFERROR(__xludf.DUMMYFUNCTION("""COMPUTED_VALUE"""),"Vineeth V")</f>
        <v>Vineeth V</v>
      </c>
      <c r="C4072" s="115" t="str">
        <f>IFERROR(__xludf.DUMMYFUNCTION("""COMPUTED_VALUE"""),"EXTERNAL")</f>
        <v>EXTERNAL</v>
      </c>
      <c r="D4072" s="115">
        <f>IFERROR(__xludf.DUMMYFUNCTION("""COMPUTED_VALUE"""),24419.0)</f>
        <v>24419</v>
      </c>
      <c r="E4072" s="115">
        <f>IFERROR(__xludf.DUMMYFUNCTION("""COMPUTED_VALUE"""),755.0)</f>
        <v>755</v>
      </c>
      <c r="F4072" s="115">
        <f>IFERROR(__xludf.DUMMYFUNCTION("""COMPUTED_VALUE"""),8406.0)</f>
        <v>8406</v>
      </c>
      <c r="G4072" s="115">
        <f>IFERROR(__xludf.DUMMYFUNCTION("""COMPUTED_VALUE"""),83.0)</f>
        <v>83</v>
      </c>
      <c r="H4072" s="116">
        <f>IFERROR(__xludf.DUMMYFUNCTION("""COMPUTED_VALUE"""),45908.0)</f>
        <v>45908</v>
      </c>
      <c r="I4072" s="115" t="str">
        <f>IFERROR(__xludf.DUMMYFUNCTION("""COMPUTED_VALUE"""),"16")</f>
        <v>16</v>
      </c>
      <c r="J4072" s="115" t="str">
        <f>IFERROR(__xludf.DUMMYFUNCTION("""COMPUTED_VALUE"""),"Vineeth V2025-09-0816")</f>
        <v>Vineeth V2025-09-0816</v>
      </c>
      <c r="K4072" s="115">
        <f>IFERROR(__xludf.DUMMYFUNCTION("""COMPUTED_VALUE"""),25174.0)</f>
        <v>25174</v>
      </c>
    </row>
    <row r="4073">
      <c r="A4073" s="115" t="str">
        <f>IFERROR(__xludf.DUMMYFUNCTION("""COMPUTED_VALUE"""),"SOUTH")</f>
        <v>SOUTH</v>
      </c>
      <c r="B4073" s="115" t="str">
        <f>IFERROR(__xludf.DUMMYFUNCTION("""COMPUTED_VALUE"""),"Vineeth V")</f>
        <v>Vineeth V</v>
      </c>
      <c r="C4073" s="115" t="str">
        <f>IFERROR(__xludf.DUMMYFUNCTION("""COMPUTED_VALUE"""),"FLIPKART")</f>
        <v>FLIPKART</v>
      </c>
      <c r="D4073" s="115">
        <f>IFERROR(__xludf.DUMMYFUNCTION("""COMPUTED_VALUE"""),269597.0)</f>
        <v>269597</v>
      </c>
      <c r="E4073" s="115">
        <f>IFERROR(__xludf.DUMMYFUNCTION("""COMPUTED_VALUE"""),18082.0)</f>
        <v>18082</v>
      </c>
      <c r="F4073" s="115">
        <f>IFERROR(__xludf.DUMMYFUNCTION("""COMPUTED_VALUE"""),142379.0)</f>
        <v>142379</v>
      </c>
      <c r="G4073" s="115">
        <f>IFERROR(__xludf.DUMMYFUNCTION("""COMPUTED_VALUE"""),2007.0)</f>
        <v>2007</v>
      </c>
      <c r="H4073" s="116">
        <f>IFERROR(__xludf.DUMMYFUNCTION("""COMPUTED_VALUE"""),45908.0)</f>
        <v>45908</v>
      </c>
      <c r="I4073" s="115" t="str">
        <f>IFERROR(__xludf.DUMMYFUNCTION("""COMPUTED_VALUE"""),"16")</f>
        <v>16</v>
      </c>
      <c r="J4073" s="115" t="str">
        <f>IFERROR(__xludf.DUMMYFUNCTION("""COMPUTED_VALUE"""),"Vineeth V2025-09-0816")</f>
        <v>Vineeth V2025-09-0816</v>
      </c>
      <c r="K4073" s="115">
        <f>IFERROR(__xludf.DUMMYFUNCTION("""COMPUTED_VALUE"""),287679.0)</f>
        <v>287679</v>
      </c>
    </row>
    <row r="4074">
      <c r="A4074" s="115" t="str">
        <f>IFERROR(__xludf.DUMMYFUNCTION("""COMPUTED_VALUE"""),"SOUTH")</f>
        <v>SOUTH</v>
      </c>
      <c r="B4074" s="115" t="str">
        <f>IFERROR(__xludf.DUMMYFUNCTION("""COMPUTED_VALUE"""),"Vineeth V")</f>
        <v>Vineeth V</v>
      </c>
      <c r="C4074" s="115" t="str">
        <f>IFERROR(__xludf.DUMMYFUNCTION("""COMPUTED_VALUE"""),"MYNTRA")</f>
        <v>MYNTRA</v>
      </c>
      <c r="D4074" s="115">
        <f>IFERROR(__xludf.DUMMYFUNCTION("""COMPUTED_VALUE"""),20458.0)</f>
        <v>20458</v>
      </c>
      <c r="E4074" s="115">
        <f>IFERROR(__xludf.DUMMYFUNCTION("""COMPUTED_VALUE"""),4845.0)</f>
        <v>4845</v>
      </c>
      <c r="F4074" s="115">
        <f>IFERROR(__xludf.DUMMYFUNCTION("""COMPUTED_VALUE"""),11831.0)</f>
        <v>11831</v>
      </c>
      <c r="G4074" s="115">
        <f>IFERROR(__xludf.DUMMYFUNCTION("""COMPUTED_VALUE"""),586.0)</f>
        <v>586</v>
      </c>
      <c r="H4074" s="116">
        <f>IFERROR(__xludf.DUMMYFUNCTION("""COMPUTED_VALUE"""),45908.0)</f>
        <v>45908</v>
      </c>
      <c r="I4074" s="115" t="str">
        <f>IFERROR(__xludf.DUMMYFUNCTION("""COMPUTED_VALUE"""),"16")</f>
        <v>16</v>
      </c>
      <c r="J4074" s="115" t="str">
        <f>IFERROR(__xludf.DUMMYFUNCTION("""COMPUTED_VALUE"""),"Vineeth V2025-09-0816")</f>
        <v>Vineeth V2025-09-0816</v>
      </c>
      <c r="K4074" s="115">
        <f>IFERROR(__xludf.DUMMYFUNCTION("""COMPUTED_VALUE"""),25303.0)</f>
        <v>25303</v>
      </c>
    </row>
    <row r="4075">
      <c r="A4075" s="115" t="str">
        <f>IFERROR(__xludf.DUMMYFUNCTION("""COMPUTED_VALUE"""),"WEST")</f>
        <v>WEST</v>
      </c>
      <c r="B4075" s="115" t="str">
        <f>IFERROR(__xludf.DUMMYFUNCTION("""COMPUTED_VALUE"""),"Ashish Jakar")</f>
        <v>Ashish Jakar</v>
      </c>
      <c r="C4075" s="115" t="str">
        <f>IFERROR(__xludf.DUMMYFUNCTION("""COMPUTED_VALUE"""),"EXTERNAL")</f>
        <v>EXTERNAL</v>
      </c>
      <c r="D4075" s="115">
        <f>IFERROR(__xludf.DUMMYFUNCTION("""COMPUTED_VALUE"""),62417.0)</f>
        <v>62417</v>
      </c>
      <c r="E4075" s="115">
        <f>IFERROR(__xludf.DUMMYFUNCTION("""COMPUTED_VALUE"""),7830.0)</f>
        <v>7830</v>
      </c>
      <c r="F4075" s="115">
        <f>IFERROR(__xludf.DUMMYFUNCTION("""COMPUTED_VALUE"""),19440.0)</f>
        <v>19440</v>
      </c>
      <c r="G4075" s="115">
        <f>IFERROR(__xludf.DUMMYFUNCTION("""COMPUTED_VALUE"""),1903.0)</f>
        <v>1903</v>
      </c>
      <c r="H4075" s="116">
        <f>IFERROR(__xludf.DUMMYFUNCTION("""COMPUTED_VALUE"""),45908.0)</f>
        <v>45908</v>
      </c>
      <c r="I4075" s="115" t="str">
        <f>IFERROR(__xludf.DUMMYFUNCTION("""COMPUTED_VALUE"""),"16")</f>
        <v>16</v>
      </c>
      <c r="J4075" s="115" t="str">
        <f>IFERROR(__xludf.DUMMYFUNCTION("""COMPUTED_VALUE"""),"Ashish Jakar2025-09-0816")</f>
        <v>Ashish Jakar2025-09-0816</v>
      </c>
      <c r="K4075" s="115">
        <f>IFERROR(__xludf.DUMMYFUNCTION("""COMPUTED_VALUE"""),70247.0)</f>
        <v>70247</v>
      </c>
    </row>
    <row r="4076">
      <c r="A4076" s="115" t="str">
        <f>IFERROR(__xludf.DUMMYFUNCTION("""COMPUTED_VALUE"""),"WEST")</f>
        <v>WEST</v>
      </c>
      <c r="B4076" s="115" t="str">
        <f>IFERROR(__xludf.DUMMYFUNCTION("""COMPUTED_VALUE"""),"Ashish Jakar")</f>
        <v>Ashish Jakar</v>
      </c>
      <c r="C4076" s="115" t="str">
        <f>IFERROR(__xludf.DUMMYFUNCTION("""COMPUTED_VALUE"""),"FLIPKART")</f>
        <v>FLIPKART</v>
      </c>
      <c r="D4076" s="115">
        <f>IFERROR(__xludf.DUMMYFUNCTION("""COMPUTED_VALUE"""),363019.0)</f>
        <v>363019</v>
      </c>
      <c r="E4076" s="115">
        <f>IFERROR(__xludf.DUMMYFUNCTION("""COMPUTED_VALUE"""),34010.0)</f>
        <v>34010</v>
      </c>
      <c r="F4076" s="115">
        <f>IFERROR(__xludf.DUMMYFUNCTION("""COMPUTED_VALUE"""),202453.0)</f>
        <v>202453</v>
      </c>
      <c r="G4076" s="115">
        <f>IFERROR(__xludf.DUMMYFUNCTION("""COMPUTED_VALUE"""),11589.0)</f>
        <v>11589</v>
      </c>
      <c r="H4076" s="116">
        <f>IFERROR(__xludf.DUMMYFUNCTION("""COMPUTED_VALUE"""),45908.0)</f>
        <v>45908</v>
      </c>
      <c r="I4076" s="115" t="str">
        <f>IFERROR(__xludf.DUMMYFUNCTION("""COMPUTED_VALUE"""),"16")</f>
        <v>16</v>
      </c>
      <c r="J4076" s="115" t="str">
        <f>IFERROR(__xludf.DUMMYFUNCTION("""COMPUTED_VALUE"""),"Ashish Jakar2025-09-0816")</f>
        <v>Ashish Jakar2025-09-0816</v>
      </c>
      <c r="K4076" s="115">
        <f>IFERROR(__xludf.DUMMYFUNCTION("""COMPUTED_VALUE"""),397029.0)</f>
        <v>397029</v>
      </c>
    </row>
    <row r="4077">
      <c r="A4077" s="115" t="str">
        <f>IFERROR(__xludf.DUMMYFUNCTION("""COMPUTED_VALUE"""),"WEST")</f>
        <v>WEST</v>
      </c>
      <c r="B4077" s="115" t="str">
        <f>IFERROR(__xludf.DUMMYFUNCTION("""COMPUTED_VALUE"""),"Ashish Jakar")</f>
        <v>Ashish Jakar</v>
      </c>
      <c r="C4077" s="115" t="str">
        <f>IFERROR(__xludf.DUMMYFUNCTION("""COMPUTED_VALUE"""),"MYNTRA")</f>
        <v>MYNTRA</v>
      </c>
      <c r="D4077" s="115">
        <f>IFERROR(__xludf.DUMMYFUNCTION("""COMPUTED_VALUE"""),45810.0)</f>
        <v>45810</v>
      </c>
      <c r="E4077" s="115">
        <f>IFERROR(__xludf.DUMMYFUNCTION("""COMPUTED_VALUE"""),11828.0)</f>
        <v>11828</v>
      </c>
      <c r="F4077" s="115">
        <f>IFERROR(__xludf.DUMMYFUNCTION("""COMPUTED_VALUE"""),30016.0)</f>
        <v>30016</v>
      </c>
      <c r="G4077" s="115">
        <f>IFERROR(__xludf.DUMMYFUNCTION("""COMPUTED_VALUE"""),4648.0)</f>
        <v>4648</v>
      </c>
      <c r="H4077" s="116">
        <f>IFERROR(__xludf.DUMMYFUNCTION("""COMPUTED_VALUE"""),45908.0)</f>
        <v>45908</v>
      </c>
      <c r="I4077" s="115" t="str">
        <f>IFERROR(__xludf.DUMMYFUNCTION("""COMPUTED_VALUE"""),"16")</f>
        <v>16</v>
      </c>
      <c r="J4077" s="115" t="str">
        <f>IFERROR(__xludf.DUMMYFUNCTION("""COMPUTED_VALUE"""),"Ashish Jakar2025-09-0816")</f>
        <v>Ashish Jakar2025-09-0816</v>
      </c>
      <c r="K4077" s="115">
        <f>IFERROR(__xludf.DUMMYFUNCTION("""COMPUTED_VALUE"""),57638.0)</f>
        <v>57638</v>
      </c>
    </row>
    <row r="4078">
      <c r="A4078" s="115" t="str">
        <f>IFERROR(__xludf.DUMMYFUNCTION("""COMPUTED_VALUE"""),"WEST")</f>
        <v>WEST</v>
      </c>
      <c r="B4078" s="115" t="str">
        <f>IFERROR(__xludf.DUMMYFUNCTION("""COMPUTED_VALUE"""),"Ashvani Bhatt")</f>
        <v>Ashvani Bhatt</v>
      </c>
      <c r="C4078" s="115" t="str">
        <f>IFERROR(__xludf.DUMMYFUNCTION("""COMPUTED_VALUE"""),"EXTERNAL")</f>
        <v>EXTERNAL</v>
      </c>
      <c r="D4078" s="115">
        <f>IFERROR(__xludf.DUMMYFUNCTION("""COMPUTED_VALUE"""),42065.0)</f>
        <v>42065</v>
      </c>
      <c r="E4078" s="115">
        <f>IFERROR(__xludf.DUMMYFUNCTION("""COMPUTED_VALUE"""),3727.0)</f>
        <v>3727</v>
      </c>
      <c r="F4078" s="115">
        <f>IFERROR(__xludf.DUMMYFUNCTION("""COMPUTED_VALUE"""),14839.0)</f>
        <v>14839</v>
      </c>
      <c r="G4078" s="115">
        <f>IFERROR(__xludf.DUMMYFUNCTION("""COMPUTED_VALUE"""),727.0)</f>
        <v>727</v>
      </c>
      <c r="H4078" s="116">
        <f>IFERROR(__xludf.DUMMYFUNCTION("""COMPUTED_VALUE"""),45908.0)</f>
        <v>45908</v>
      </c>
      <c r="I4078" s="115" t="str">
        <f>IFERROR(__xludf.DUMMYFUNCTION("""COMPUTED_VALUE"""),"16")</f>
        <v>16</v>
      </c>
      <c r="J4078" s="115" t="str">
        <f>IFERROR(__xludf.DUMMYFUNCTION("""COMPUTED_VALUE"""),"Ashvani Bhatt2025-09-0816")</f>
        <v>Ashvani Bhatt2025-09-0816</v>
      </c>
      <c r="K4078" s="115">
        <f>IFERROR(__xludf.DUMMYFUNCTION("""COMPUTED_VALUE"""),45792.0)</f>
        <v>45792</v>
      </c>
    </row>
    <row r="4079">
      <c r="A4079" s="115" t="str">
        <f>IFERROR(__xludf.DUMMYFUNCTION("""COMPUTED_VALUE"""),"WEST")</f>
        <v>WEST</v>
      </c>
      <c r="B4079" s="115" t="str">
        <f>IFERROR(__xludf.DUMMYFUNCTION("""COMPUTED_VALUE"""),"Ashvani Bhatt")</f>
        <v>Ashvani Bhatt</v>
      </c>
      <c r="C4079" s="115" t="str">
        <f>IFERROR(__xludf.DUMMYFUNCTION("""COMPUTED_VALUE"""),"FLIPKART")</f>
        <v>FLIPKART</v>
      </c>
      <c r="D4079" s="115">
        <f>IFERROR(__xludf.DUMMYFUNCTION("""COMPUTED_VALUE"""),274139.0)</f>
        <v>274139</v>
      </c>
      <c r="E4079" s="115">
        <f>IFERROR(__xludf.DUMMYFUNCTION("""COMPUTED_VALUE"""),29297.0)</f>
        <v>29297</v>
      </c>
      <c r="F4079" s="115">
        <f>IFERROR(__xludf.DUMMYFUNCTION("""COMPUTED_VALUE"""),167079.0)</f>
        <v>167079</v>
      </c>
      <c r="G4079" s="115">
        <f>IFERROR(__xludf.DUMMYFUNCTION("""COMPUTED_VALUE"""),10380.0)</f>
        <v>10380</v>
      </c>
      <c r="H4079" s="116">
        <f>IFERROR(__xludf.DUMMYFUNCTION("""COMPUTED_VALUE"""),45908.0)</f>
        <v>45908</v>
      </c>
      <c r="I4079" s="115" t="str">
        <f>IFERROR(__xludf.DUMMYFUNCTION("""COMPUTED_VALUE"""),"16")</f>
        <v>16</v>
      </c>
      <c r="J4079" s="115" t="str">
        <f>IFERROR(__xludf.DUMMYFUNCTION("""COMPUTED_VALUE"""),"Ashvani Bhatt2025-09-0816")</f>
        <v>Ashvani Bhatt2025-09-0816</v>
      </c>
      <c r="K4079" s="115">
        <f>IFERROR(__xludf.DUMMYFUNCTION("""COMPUTED_VALUE"""),303436.0)</f>
        <v>303436</v>
      </c>
    </row>
    <row r="4080">
      <c r="A4080" s="115" t="str">
        <f>IFERROR(__xludf.DUMMYFUNCTION("""COMPUTED_VALUE"""),"WEST")</f>
        <v>WEST</v>
      </c>
      <c r="B4080" s="115" t="str">
        <f>IFERROR(__xludf.DUMMYFUNCTION("""COMPUTED_VALUE"""),"Ashvani Bhatt")</f>
        <v>Ashvani Bhatt</v>
      </c>
      <c r="C4080" s="115" t="str">
        <f>IFERROR(__xludf.DUMMYFUNCTION("""COMPUTED_VALUE"""),"MYNTRA")</f>
        <v>MYNTRA</v>
      </c>
      <c r="D4080" s="115">
        <f>IFERROR(__xludf.DUMMYFUNCTION("""COMPUTED_VALUE"""),36628.0)</f>
        <v>36628</v>
      </c>
      <c r="E4080" s="115">
        <f>IFERROR(__xludf.DUMMYFUNCTION("""COMPUTED_VALUE"""),9018.0)</f>
        <v>9018</v>
      </c>
      <c r="F4080" s="115">
        <f>IFERROR(__xludf.DUMMYFUNCTION("""COMPUTED_VALUE"""),26588.0)</f>
        <v>26588</v>
      </c>
      <c r="G4080" s="115">
        <f>IFERROR(__xludf.DUMMYFUNCTION("""COMPUTED_VALUE"""),3896.0)</f>
        <v>3896</v>
      </c>
      <c r="H4080" s="116">
        <f>IFERROR(__xludf.DUMMYFUNCTION("""COMPUTED_VALUE"""),45908.0)</f>
        <v>45908</v>
      </c>
      <c r="I4080" s="115" t="str">
        <f>IFERROR(__xludf.DUMMYFUNCTION("""COMPUTED_VALUE"""),"16")</f>
        <v>16</v>
      </c>
      <c r="J4080" s="115" t="str">
        <f>IFERROR(__xludf.DUMMYFUNCTION("""COMPUTED_VALUE"""),"Ashvani Bhatt2025-09-0816")</f>
        <v>Ashvani Bhatt2025-09-0816</v>
      </c>
      <c r="K4080" s="115">
        <f>IFERROR(__xludf.DUMMYFUNCTION("""COMPUTED_VALUE"""),45646.0)</f>
        <v>45646</v>
      </c>
    </row>
    <row r="4081">
      <c r="A4081" s="115"/>
      <c r="B4081" s="115"/>
      <c r="C4081" s="115" t="str">
        <f>IFERROR(__xludf.DUMMYFUNCTION("""COMPUTED_VALUE"""),"EXTERNAL")</f>
        <v>EXTERNAL</v>
      </c>
      <c r="D4081" s="115">
        <f>IFERROR(__xludf.DUMMYFUNCTION("""COMPUTED_VALUE"""),503.0)</f>
        <v>503</v>
      </c>
      <c r="E4081" s="115">
        <f>IFERROR(__xludf.DUMMYFUNCTION("""COMPUTED_VALUE"""),93.0)</f>
        <v>93</v>
      </c>
      <c r="F4081" s="115">
        <f>IFERROR(__xludf.DUMMYFUNCTION("""COMPUTED_VALUE"""),186.0)</f>
        <v>186</v>
      </c>
      <c r="G4081" s="115">
        <f>IFERROR(__xludf.DUMMYFUNCTION("""COMPUTED_VALUE"""),62.0)</f>
        <v>62</v>
      </c>
      <c r="H4081" s="116">
        <f>IFERROR(__xludf.DUMMYFUNCTION("""COMPUTED_VALUE"""),45908.0)</f>
        <v>45908</v>
      </c>
      <c r="I4081" s="115" t="str">
        <f>IFERROR(__xludf.DUMMYFUNCTION("""COMPUTED_VALUE"""),"16")</f>
        <v>16</v>
      </c>
      <c r="J4081" s="115" t="str">
        <f>IFERROR(__xludf.DUMMYFUNCTION("""COMPUTED_VALUE"""),"2025-09-0816")</f>
        <v>2025-09-0816</v>
      </c>
      <c r="K4081" s="115">
        <f>IFERROR(__xludf.DUMMYFUNCTION("""COMPUTED_VALUE"""),596.0)</f>
        <v>596</v>
      </c>
    </row>
    <row r="4082">
      <c r="A4082" s="115"/>
      <c r="B4082" s="115"/>
      <c r="C4082" s="115" t="str">
        <f>IFERROR(__xludf.DUMMYFUNCTION("""COMPUTED_VALUE"""),"FLIPKART")</f>
        <v>FLIPKART</v>
      </c>
      <c r="D4082" s="115">
        <f>IFERROR(__xludf.DUMMYFUNCTION("""COMPUTED_VALUE"""),4842.0)</f>
        <v>4842</v>
      </c>
      <c r="E4082" s="115">
        <f>IFERROR(__xludf.DUMMYFUNCTION("""COMPUTED_VALUE"""),471.0)</f>
        <v>471</v>
      </c>
      <c r="F4082" s="115">
        <f>IFERROR(__xludf.DUMMYFUNCTION("""COMPUTED_VALUE"""),2436.0)</f>
        <v>2436</v>
      </c>
      <c r="G4082" s="115">
        <f>IFERROR(__xludf.DUMMYFUNCTION("""COMPUTED_VALUE"""),194.0)</f>
        <v>194</v>
      </c>
      <c r="H4082" s="116">
        <f>IFERROR(__xludf.DUMMYFUNCTION("""COMPUTED_VALUE"""),45908.0)</f>
        <v>45908</v>
      </c>
      <c r="I4082" s="115" t="str">
        <f>IFERROR(__xludf.DUMMYFUNCTION("""COMPUTED_VALUE"""),"16")</f>
        <v>16</v>
      </c>
      <c r="J4082" s="115" t="str">
        <f>IFERROR(__xludf.DUMMYFUNCTION("""COMPUTED_VALUE"""),"2025-09-0816")</f>
        <v>2025-09-0816</v>
      </c>
      <c r="K4082" s="115">
        <f>IFERROR(__xludf.DUMMYFUNCTION("""COMPUTED_VALUE"""),5313.0)</f>
        <v>5313</v>
      </c>
    </row>
    <row r="4083">
      <c r="A4083" s="115"/>
      <c r="B4083" s="115"/>
      <c r="C4083" s="115" t="str">
        <f>IFERROR(__xludf.DUMMYFUNCTION("""COMPUTED_VALUE"""),"MYNTRA")</f>
        <v>MYNTRA</v>
      </c>
      <c r="D4083" s="115">
        <f>IFERROR(__xludf.DUMMYFUNCTION("""COMPUTED_VALUE"""),556.0)</f>
        <v>556</v>
      </c>
      <c r="E4083" s="115">
        <f>IFERROR(__xludf.DUMMYFUNCTION("""COMPUTED_VALUE"""),185.0)</f>
        <v>185</v>
      </c>
      <c r="F4083" s="115">
        <f>IFERROR(__xludf.DUMMYFUNCTION("""COMPUTED_VALUE"""),391.0)</f>
        <v>391</v>
      </c>
      <c r="G4083" s="115">
        <f>IFERROR(__xludf.DUMMYFUNCTION("""COMPUTED_VALUE"""),107.0)</f>
        <v>107</v>
      </c>
      <c r="H4083" s="116">
        <f>IFERROR(__xludf.DUMMYFUNCTION("""COMPUTED_VALUE"""),45908.0)</f>
        <v>45908</v>
      </c>
      <c r="I4083" s="115" t="str">
        <f>IFERROR(__xludf.DUMMYFUNCTION("""COMPUTED_VALUE"""),"16")</f>
        <v>16</v>
      </c>
      <c r="J4083" s="115" t="str">
        <f>IFERROR(__xludf.DUMMYFUNCTION("""COMPUTED_VALUE"""),"2025-09-0816")</f>
        <v>2025-09-0816</v>
      </c>
      <c r="K4083" s="115">
        <f>IFERROR(__xludf.DUMMYFUNCTION("""COMPUTED_VALUE"""),741.0)</f>
        <v>741</v>
      </c>
    </row>
    <row r="4084">
      <c r="A4084" s="115" t="str">
        <f>IFERROR(__xludf.DUMMYFUNCTION("""COMPUTED_VALUE"""),"EAST")</f>
        <v>EAST</v>
      </c>
      <c r="B4084" s="115" t="str">
        <f>IFERROR(__xludf.DUMMYFUNCTION("""COMPUTED_VALUE"""),"Ashish Ranjan")</f>
        <v>Ashish Ranjan</v>
      </c>
      <c r="C4084" s="115" t="str">
        <f>IFERROR(__xludf.DUMMYFUNCTION("""COMPUTED_VALUE"""),"EXTERNAL")</f>
        <v>EXTERNAL</v>
      </c>
      <c r="D4084" s="115">
        <f>IFERROR(__xludf.DUMMYFUNCTION("""COMPUTED_VALUE"""),46750.0)</f>
        <v>46750</v>
      </c>
      <c r="E4084" s="115">
        <f>IFERROR(__xludf.DUMMYFUNCTION("""COMPUTED_VALUE"""),3809.0)</f>
        <v>3809</v>
      </c>
      <c r="F4084" s="115">
        <f>IFERROR(__xludf.DUMMYFUNCTION("""COMPUTED_VALUE"""),22451.0)</f>
        <v>22451</v>
      </c>
      <c r="G4084" s="115">
        <f>IFERROR(__xludf.DUMMYFUNCTION("""COMPUTED_VALUE"""),1241.0)</f>
        <v>1241</v>
      </c>
      <c r="H4084" s="116">
        <f>IFERROR(__xludf.DUMMYFUNCTION("""COMPUTED_VALUE"""),45908.0)</f>
        <v>45908</v>
      </c>
      <c r="I4084" s="115" t="str">
        <f>IFERROR(__xludf.DUMMYFUNCTION("""COMPUTED_VALUE"""),"17")</f>
        <v>17</v>
      </c>
      <c r="J4084" s="115" t="str">
        <f>IFERROR(__xludf.DUMMYFUNCTION("""COMPUTED_VALUE"""),"Ashish Ranjan2025-09-0817")</f>
        <v>Ashish Ranjan2025-09-0817</v>
      </c>
      <c r="K4084" s="115">
        <f>IFERROR(__xludf.DUMMYFUNCTION("""COMPUTED_VALUE"""),50559.0)</f>
        <v>50559</v>
      </c>
    </row>
    <row r="4085">
      <c r="A4085" s="115" t="str">
        <f>IFERROR(__xludf.DUMMYFUNCTION("""COMPUTED_VALUE"""),"EAST")</f>
        <v>EAST</v>
      </c>
      <c r="B4085" s="115" t="str">
        <f>IFERROR(__xludf.DUMMYFUNCTION("""COMPUTED_VALUE"""),"Ashish Ranjan")</f>
        <v>Ashish Ranjan</v>
      </c>
      <c r="C4085" s="115" t="str">
        <f>IFERROR(__xludf.DUMMYFUNCTION("""COMPUTED_VALUE"""),"FLIPKART")</f>
        <v>FLIPKART</v>
      </c>
      <c r="D4085" s="115">
        <f>IFERROR(__xludf.DUMMYFUNCTION("""COMPUTED_VALUE"""),692854.0)</f>
        <v>692854</v>
      </c>
      <c r="E4085" s="115">
        <f>IFERROR(__xludf.DUMMYFUNCTION("""COMPUTED_VALUE"""),65524.0)</f>
        <v>65524</v>
      </c>
      <c r="F4085" s="115">
        <f>IFERROR(__xludf.DUMMYFUNCTION("""COMPUTED_VALUE"""),526050.0)</f>
        <v>526050</v>
      </c>
      <c r="G4085" s="115">
        <f>IFERROR(__xludf.DUMMYFUNCTION("""COMPUTED_VALUE"""),32038.0)</f>
        <v>32038</v>
      </c>
      <c r="H4085" s="116">
        <f>IFERROR(__xludf.DUMMYFUNCTION("""COMPUTED_VALUE"""),45908.0)</f>
        <v>45908</v>
      </c>
      <c r="I4085" s="115" t="str">
        <f>IFERROR(__xludf.DUMMYFUNCTION("""COMPUTED_VALUE"""),"17")</f>
        <v>17</v>
      </c>
      <c r="J4085" s="115" t="str">
        <f>IFERROR(__xludf.DUMMYFUNCTION("""COMPUTED_VALUE"""),"Ashish Ranjan2025-09-0817")</f>
        <v>Ashish Ranjan2025-09-0817</v>
      </c>
      <c r="K4085" s="115">
        <f>IFERROR(__xludf.DUMMYFUNCTION("""COMPUTED_VALUE"""),758378.0)</f>
        <v>758378</v>
      </c>
    </row>
    <row r="4086">
      <c r="A4086" s="115" t="str">
        <f>IFERROR(__xludf.DUMMYFUNCTION("""COMPUTED_VALUE"""),"EAST")</f>
        <v>EAST</v>
      </c>
      <c r="B4086" s="115" t="str">
        <f>IFERROR(__xludf.DUMMYFUNCTION("""COMPUTED_VALUE"""),"Ashish Ranjan")</f>
        <v>Ashish Ranjan</v>
      </c>
      <c r="C4086" s="115" t="str">
        <f>IFERROR(__xludf.DUMMYFUNCTION("""COMPUTED_VALUE"""),"MYNTRA")</f>
        <v>MYNTRA</v>
      </c>
      <c r="D4086" s="115">
        <f>IFERROR(__xludf.DUMMYFUNCTION("""COMPUTED_VALUE"""),80938.0)</f>
        <v>80938</v>
      </c>
      <c r="E4086" s="115">
        <f>IFERROR(__xludf.DUMMYFUNCTION("""COMPUTED_VALUE"""),15490.0)</f>
        <v>15490</v>
      </c>
      <c r="F4086" s="115">
        <f>IFERROR(__xludf.DUMMYFUNCTION("""COMPUTED_VALUE"""),62279.0)</f>
        <v>62279</v>
      </c>
      <c r="G4086" s="115">
        <f>IFERROR(__xludf.DUMMYFUNCTION("""COMPUTED_VALUE"""),7511.0)</f>
        <v>7511</v>
      </c>
      <c r="H4086" s="116">
        <f>IFERROR(__xludf.DUMMYFUNCTION("""COMPUTED_VALUE"""),45908.0)</f>
        <v>45908</v>
      </c>
      <c r="I4086" s="115" t="str">
        <f>IFERROR(__xludf.DUMMYFUNCTION("""COMPUTED_VALUE"""),"17")</f>
        <v>17</v>
      </c>
      <c r="J4086" s="115" t="str">
        <f>IFERROR(__xludf.DUMMYFUNCTION("""COMPUTED_VALUE"""),"Ashish Ranjan2025-09-0817")</f>
        <v>Ashish Ranjan2025-09-0817</v>
      </c>
      <c r="K4086" s="115">
        <f>IFERROR(__xludf.DUMMYFUNCTION("""COMPUTED_VALUE"""),96428.0)</f>
        <v>96428</v>
      </c>
    </row>
    <row r="4087">
      <c r="A4087" s="115" t="str">
        <f>IFERROR(__xludf.DUMMYFUNCTION("""COMPUTED_VALUE"""),"EAST")</f>
        <v>EAST</v>
      </c>
      <c r="B4087" s="115" t="str">
        <f>IFERROR(__xludf.DUMMYFUNCTION("""COMPUTED_VALUE"""),"Girish Chand")</f>
        <v>Girish Chand</v>
      </c>
      <c r="C4087" s="115" t="str">
        <f>IFERROR(__xludf.DUMMYFUNCTION("""COMPUTED_VALUE"""),"EXTERNAL")</f>
        <v>EXTERNAL</v>
      </c>
      <c r="D4087" s="115">
        <f>IFERROR(__xludf.DUMMYFUNCTION("""COMPUTED_VALUE"""),24781.0)</f>
        <v>24781</v>
      </c>
      <c r="E4087" s="115">
        <f>IFERROR(__xludf.DUMMYFUNCTION("""COMPUTED_VALUE"""),2441.0)</f>
        <v>2441</v>
      </c>
      <c r="F4087" s="115">
        <f>IFERROR(__xludf.DUMMYFUNCTION("""COMPUTED_VALUE"""),9932.0)</f>
        <v>9932</v>
      </c>
      <c r="G4087" s="115">
        <f>IFERROR(__xludf.DUMMYFUNCTION("""COMPUTED_VALUE"""),446.0)</f>
        <v>446</v>
      </c>
      <c r="H4087" s="116">
        <f>IFERROR(__xludf.DUMMYFUNCTION("""COMPUTED_VALUE"""),45908.0)</f>
        <v>45908</v>
      </c>
      <c r="I4087" s="115" t="str">
        <f>IFERROR(__xludf.DUMMYFUNCTION("""COMPUTED_VALUE"""),"17")</f>
        <v>17</v>
      </c>
      <c r="J4087" s="115" t="str">
        <f>IFERROR(__xludf.DUMMYFUNCTION("""COMPUTED_VALUE"""),"Girish Chand2025-09-0817")</f>
        <v>Girish Chand2025-09-0817</v>
      </c>
      <c r="K4087" s="115">
        <f>IFERROR(__xludf.DUMMYFUNCTION("""COMPUTED_VALUE"""),27222.0)</f>
        <v>27222</v>
      </c>
    </row>
    <row r="4088">
      <c r="A4088" s="115" t="str">
        <f>IFERROR(__xludf.DUMMYFUNCTION("""COMPUTED_VALUE"""),"EAST")</f>
        <v>EAST</v>
      </c>
      <c r="B4088" s="115" t="str">
        <f>IFERROR(__xludf.DUMMYFUNCTION("""COMPUTED_VALUE"""),"Girish Chand")</f>
        <v>Girish Chand</v>
      </c>
      <c r="C4088" s="115" t="str">
        <f>IFERROR(__xludf.DUMMYFUNCTION("""COMPUTED_VALUE"""),"FLIPKART")</f>
        <v>FLIPKART</v>
      </c>
      <c r="D4088" s="115">
        <f>IFERROR(__xludf.DUMMYFUNCTION("""COMPUTED_VALUE"""),395778.0)</f>
        <v>395778</v>
      </c>
      <c r="E4088" s="115">
        <f>IFERROR(__xludf.DUMMYFUNCTION("""COMPUTED_VALUE"""),39803.0)</f>
        <v>39803</v>
      </c>
      <c r="F4088" s="115">
        <f>IFERROR(__xludf.DUMMYFUNCTION("""COMPUTED_VALUE"""),265255.0)</f>
        <v>265255</v>
      </c>
      <c r="G4088" s="115">
        <f>IFERROR(__xludf.DUMMYFUNCTION("""COMPUTED_VALUE"""),17076.0)</f>
        <v>17076</v>
      </c>
      <c r="H4088" s="116">
        <f>IFERROR(__xludf.DUMMYFUNCTION("""COMPUTED_VALUE"""),45908.0)</f>
        <v>45908</v>
      </c>
      <c r="I4088" s="115" t="str">
        <f>IFERROR(__xludf.DUMMYFUNCTION("""COMPUTED_VALUE"""),"17")</f>
        <v>17</v>
      </c>
      <c r="J4088" s="115" t="str">
        <f>IFERROR(__xludf.DUMMYFUNCTION("""COMPUTED_VALUE"""),"Girish Chand2025-09-0817")</f>
        <v>Girish Chand2025-09-0817</v>
      </c>
      <c r="K4088" s="115">
        <f>IFERROR(__xludf.DUMMYFUNCTION("""COMPUTED_VALUE"""),435581.0)</f>
        <v>435581</v>
      </c>
    </row>
    <row r="4089">
      <c r="A4089" s="115" t="str">
        <f>IFERROR(__xludf.DUMMYFUNCTION("""COMPUTED_VALUE"""),"EAST")</f>
        <v>EAST</v>
      </c>
      <c r="B4089" s="115" t="str">
        <f>IFERROR(__xludf.DUMMYFUNCTION("""COMPUTED_VALUE"""),"Girish Chand")</f>
        <v>Girish Chand</v>
      </c>
      <c r="C4089" s="115" t="str">
        <f>IFERROR(__xludf.DUMMYFUNCTION("""COMPUTED_VALUE"""),"MYNTRA")</f>
        <v>MYNTRA</v>
      </c>
      <c r="D4089" s="115">
        <f>IFERROR(__xludf.DUMMYFUNCTION("""COMPUTED_VALUE"""),38887.0)</f>
        <v>38887</v>
      </c>
      <c r="E4089" s="115">
        <f>IFERROR(__xludf.DUMMYFUNCTION("""COMPUTED_VALUE"""),7527.0)</f>
        <v>7527</v>
      </c>
      <c r="F4089" s="115">
        <f>IFERROR(__xludf.DUMMYFUNCTION("""COMPUTED_VALUE"""),28009.0)</f>
        <v>28009</v>
      </c>
      <c r="G4089" s="115">
        <f>IFERROR(__xludf.DUMMYFUNCTION("""COMPUTED_VALUE"""),3580.0)</f>
        <v>3580</v>
      </c>
      <c r="H4089" s="116">
        <f>IFERROR(__xludf.DUMMYFUNCTION("""COMPUTED_VALUE"""),45908.0)</f>
        <v>45908</v>
      </c>
      <c r="I4089" s="115" t="str">
        <f>IFERROR(__xludf.DUMMYFUNCTION("""COMPUTED_VALUE"""),"17")</f>
        <v>17</v>
      </c>
      <c r="J4089" s="115" t="str">
        <f>IFERROR(__xludf.DUMMYFUNCTION("""COMPUTED_VALUE"""),"Girish Chand2025-09-0817")</f>
        <v>Girish Chand2025-09-0817</v>
      </c>
      <c r="K4089" s="115">
        <f>IFERROR(__xludf.DUMMYFUNCTION("""COMPUTED_VALUE"""),46414.0)</f>
        <v>46414</v>
      </c>
    </row>
    <row r="4090">
      <c r="A4090" s="115" t="str">
        <f>IFERROR(__xludf.DUMMYFUNCTION("""COMPUTED_VALUE"""),"EAST")</f>
        <v>EAST</v>
      </c>
      <c r="B4090" s="115" t="str">
        <f>IFERROR(__xludf.DUMMYFUNCTION("""COMPUTED_VALUE"""),"Parag Kashyap")</f>
        <v>Parag Kashyap</v>
      </c>
      <c r="C4090" s="115" t="str">
        <f>IFERROR(__xludf.DUMMYFUNCTION("""COMPUTED_VALUE"""),"EXTERNAL")</f>
        <v>EXTERNAL</v>
      </c>
      <c r="D4090" s="115">
        <f>IFERROR(__xludf.DUMMYFUNCTION("""COMPUTED_VALUE"""),20228.0)</f>
        <v>20228</v>
      </c>
      <c r="E4090" s="115">
        <f>IFERROR(__xludf.DUMMYFUNCTION("""COMPUTED_VALUE"""),1246.0)</f>
        <v>1246</v>
      </c>
      <c r="F4090" s="115">
        <f>IFERROR(__xludf.DUMMYFUNCTION("""COMPUTED_VALUE"""),7785.0)</f>
        <v>7785</v>
      </c>
      <c r="G4090" s="115">
        <f>IFERROR(__xludf.DUMMYFUNCTION("""COMPUTED_VALUE"""),175.0)</f>
        <v>175</v>
      </c>
      <c r="H4090" s="116">
        <f>IFERROR(__xludf.DUMMYFUNCTION("""COMPUTED_VALUE"""),45908.0)</f>
        <v>45908</v>
      </c>
      <c r="I4090" s="115" t="str">
        <f>IFERROR(__xludf.DUMMYFUNCTION("""COMPUTED_VALUE"""),"17")</f>
        <v>17</v>
      </c>
      <c r="J4090" s="115" t="str">
        <f>IFERROR(__xludf.DUMMYFUNCTION("""COMPUTED_VALUE"""),"Parag Kashyap2025-09-0817")</f>
        <v>Parag Kashyap2025-09-0817</v>
      </c>
      <c r="K4090" s="115">
        <f>IFERROR(__xludf.DUMMYFUNCTION("""COMPUTED_VALUE"""),21474.0)</f>
        <v>21474</v>
      </c>
    </row>
    <row r="4091">
      <c r="A4091" s="115" t="str">
        <f>IFERROR(__xludf.DUMMYFUNCTION("""COMPUTED_VALUE"""),"EAST")</f>
        <v>EAST</v>
      </c>
      <c r="B4091" s="115" t="str">
        <f>IFERROR(__xludf.DUMMYFUNCTION("""COMPUTED_VALUE"""),"Parag Kashyap")</f>
        <v>Parag Kashyap</v>
      </c>
      <c r="C4091" s="115" t="str">
        <f>IFERROR(__xludf.DUMMYFUNCTION("""COMPUTED_VALUE"""),"FLIPKART")</f>
        <v>FLIPKART</v>
      </c>
      <c r="D4091" s="115">
        <f>IFERROR(__xludf.DUMMYFUNCTION("""COMPUTED_VALUE"""),339004.0)</f>
        <v>339004</v>
      </c>
      <c r="E4091" s="115">
        <f>IFERROR(__xludf.DUMMYFUNCTION("""COMPUTED_VALUE"""),20469.0)</f>
        <v>20469</v>
      </c>
      <c r="F4091" s="115">
        <f>IFERROR(__xludf.DUMMYFUNCTION("""COMPUTED_VALUE"""),219647.0)</f>
        <v>219647</v>
      </c>
      <c r="G4091" s="115">
        <f>IFERROR(__xludf.DUMMYFUNCTION("""COMPUTED_VALUE"""),5810.0)</f>
        <v>5810</v>
      </c>
      <c r="H4091" s="116">
        <f>IFERROR(__xludf.DUMMYFUNCTION("""COMPUTED_VALUE"""),45908.0)</f>
        <v>45908</v>
      </c>
      <c r="I4091" s="115" t="str">
        <f>IFERROR(__xludf.DUMMYFUNCTION("""COMPUTED_VALUE"""),"17")</f>
        <v>17</v>
      </c>
      <c r="J4091" s="115" t="str">
        <f>IFERROR(__xludf.DUMMYFUNCTION("""COMPUTED_VALUE"""),"Parag Kashyap2025-09-0817")</f>
        <v>Parag Kashyap2025-09-0817</v>
      </c>
      <c r="K4091" s="115">
        <f>IFERROR(__xludf.DUMMYFUNCTION("""COMPUTED_VALUE"""),359473.0)</f>
        <v>359473</v>
      </c>
    </row>
    <row r="4092">
      <c r="A4092" s="115" t="str">
        <f>IFERROR(__xludf.DUMMYFUNCTION("""COMPUTED_VALUE"""),"EAST")</f>
        <v>EAST</v>
      </c>
      <c r="B4092" s="115" t="str">
        <f>IFERROR(__xludf.DUMMYFUNCTION("""COMPUTED_VALUE"""),"Parag Kashyap")</f>
        <v>Parag Kashyap</v>
      </c>
      <c r="C4092" s="115" t="str">
        <f>IFERROR(__xludf.DUMMYFUNCTION("""COMPUTED_VALUE"""),"MYNTRA")</f>
        <v>MYNTRA</v>
      </c>
      <c r="D4092" s="115">
        <f>IFERROR(__xludf.DUMMYFUNCTION("""COMPUTED_VALUE"""),43885.0)</f>
        <v>43885</v>
      </c>
      <c r="E4092" s="115">
        <f>IFERROR(__xludf.DUMMYFUNCTION("""COMPUTED_VALUE"""),5698.0)</f>
        <v>5698</v>
      </c>
      <c r="F4092" s="115">
        <f>IFERROR(__xludf.DUMMYFUNCTION("""COMPUTED_VALUE"""),29927.0)</f>
        <v>29927</v>
      </c>
      <c r="G4092" s="115">
        <f>IFERROR(__xludf.DUMMYFUNCTION("""COMPUTED_VALUE"""),1611.0)</f>
        <v>1611</v>
      </c>
      <c r="H4092" s="116">
        <f>IFERROR(__xludf.DUMMYFUNCTION("""COMPUTED_VALUE"""),45908.0)</f>
        <v>45908</v>
      </c>
      <c r="I4092" s="115" t="str">
        <f>IFERROR(__xludf.DUMMYFUNCTION("""COMPUTED_VALUE"""),"17")</f>
        <v>17</v>
      </c>
      <c r="J4092" s="115" t="str">
        <f>IFERROR(__xludf.DUMMYFUNCTION("""COMPUTED_VALUE"""),"Parag Kashyap2025-09-0817")</f>
        <v>Parag Kashyap2025-09-0817</v>
      </c>
      <c r="K4092" s="115">
        <f>IFERROR(__xludf.DUMMYFUNCTION("""COMPUTED_VALUE"""),49583.0)</f>
        <v>49583</v>
      </c>
    </row>
    <row r="4093">
      <c r="A4093" s="115" t="str">
        <f>IFERROR(__xludf.DUMMYFUNCTION("""COMPUTED_VALUE"""),"NORTH")</f>
        <v>NORTH</v>
      </c>
      <c r="B4093" s="115" t="str">
        <f>IFERROR(__xludf.DUMMYFUNCTION("""COMPUTED_VALUE"""),"Amit Kumar Pathak")</f>
        <v>Amit Kumar Pathak</v>
      </c>
      <c r="C4093" s="115" t="str">
        <f>IFERROR(__xludf.DUMMYFUNCTION("""COMPUTED_VALUE"""),"EXTERNAL")</f>
        <v>EXTERNAL</v>
      </c>
      <c r="D4093" s="115">
        <f>IFERROR(__xludf.DUMMYFUNCTION("""COMPUTED_VALUE"""),31379.0)</f>
        <v>31379</v>
      </c>
      <c r="E4093" s="115">
        <f>IFERROR(__xludf.DUMMYFUNCTION("""COMPUTED_VALUE"""),3815.0)</f>
        <v>3815</v>
      </c>
      <c r="F4093" s="115">
        <f>IFERROR(__xludf.DUMMYFUNCTION("""COMPUTED_VALUE"""),9935.0)</f>
        <v>9935</v>
      </c>
      <c r="G4093" s="115">
        <f>IFERROR(__xludf.DUMMYFUNCTION("""COMPUTED_VALUE"""),1240.0)</f>
        <v>1240</v>
      </c>
      <c r="H4093" s="116">
        <f>IFERROR(__xludf.DUMMYFUNCTION("""COMPUTED_VALUE"""),45908.0)</f>
        <v>45908</v>
      </c>
      <c r="I4093" s="115" t="str">
        <f>IFERROR(__xludf.DUMMYFUNCTION("""COMPUTED_VALUE"""),"17")</f>
        <v>17</v>
      </c>
      <c r="J4093" s="115" t="str">
        <f>IFERROR(__xludf.DUMMYFUNCTION("""COMPUTED_VALUE"""),"Amit Kumar Pathak2025-09-0817")</f>
        <v>Amit Kumar Pathak2025-09-0817</v>
      </c>
      <c r="K4093" s="115">
        <f>IFERROR(__xludf.DUMMYFUNCTION("""COMPUTED_VALUE"""),35194.0)</f>
        <v>35194</v>
      </c>
    </row>
    <row r="4094">
      <c r="A4094" s="115" t="str">
        <f>IFERROR(__xludf.DUMMYFUNCTION("""COMPUTED_VALUE"""),"NORTH")</f>
        <v>NORTH</v>
      </c>
      <c r="B4094" s="115" t="str">
        <f>IFERROR(__xludf.DUMMYFUNCTION("""COMPUTED_VALUE"""),"Amit Kumar Pathak")</f>
        <v>Amit Kumar Pathak</v>
      </c>
      <c r="C4094" s="115" t="str">
        <f>IFERROR(__xludf.DUMMYFUNCTION("""COMPUTED_VALUE"""),"FLIPKART")</f>
        <v>FLIPKART</v>
      </c>
      <c r="D4094" s="115">
        <f>IFERROR(__xludf.DUMMYFUNCTION("""COMPUTED_VALUE"""),181192.0)</f>
        <v>181192</v>
      </c>
      <c r="E4094" s="115">
        <f>IFERROR(__xludf.DUMMYFUNCTION("""COMPUTED_VALUE"""),24457.0)</f>
        <v>24457</v>
      </c>
      <c r="F4094" s="115">
        <f>IFERROR(__xludf.DUMMYFUNCTION("""COMPUTED_VALUE"""),110656.0)</f>
        <v>110656</v>
      </c>
      <c r="G4094" s="115">
        <f>IFERROR(__xludf.DUMMYFUNCTION("""COMPUTED_VALUE"""),10830.0)</f>
        <v>10830</v>
      </c>
      <c r="H4094" s="116">
        <f>IFERROR(__xludf.DUMMYFUNCTION("""COMPUTED_VALUE"""),45908.0)</f>
        <v>45908</v>
      </c>
      <c r="I4094" s="115" t="str">
        <f>IFERROR(__xludf.DUMMYFUNCTION("""COMPUTED_VALUE"""),"17")</f>
        <v>17</v>
      </c>
      <c r="J4094" s="115" t="str">
        <f>IFERROR(__xludf.DUMMYFUNCTION("""COMPUTED_VALUE"""),"Amit Kumar Pathak2025-09-0817")</f>
        <v>Amit Kumar Pathak2025-09-0817</v>
      </c>
      <c r="K4094" s="115">
        <f>IFERROR(__xludf.DUMMYFUNCTION("""COMPUTED_VALUE"""),205649.0)</f>
        <v>205649</v>
      </c>
    </row>
    <row r="4095">
      <c r="A4095" s="115" t="str">
        <f>IFERROR(__xludf.DUMMYFUNCTION("""COMPUTED_VALUE"""),"NORTH")</f>
        <v>NORTH</v>
      </c>
      <c r="B4095" s="115" t="str">
        <f>IFERROR(__xludf.DUMMYFUNCTION("""COMPUTED_VALUE"""),"Amit Kumar Pathak")</f>
        <v>Amit Kumar Pathak</v>
      </c>
      <c r="C4095" s="115" t="str">
        <f>IFERROR(__xludf.DUMMYFUNCTION("""COMPUTED_VALUE"""),"MYNTRA")</f>
        <v>MYNTRA</v>
      </c>
      <c r="D4095" s="115">
        <f>IFERROR(__xludf.DUMMYFUNCTION("""COMPUTED_VALUE"""),18337.0)</f>
        <v>18337</v>
      </c>
      <c r="E4095" s="115">
        <f>IFERROR(__xludf.DUMMYFUNCTION("""COMPUTED_VALUE"""),6501.0)</f>
        <v>6501</v>
      </c>
      <c r="F4095" s="115">
        <f>IFERROR(__xludf.DUMMYFUNCTION("""COMPUTED_VALUE"""),13118.0)</f>
        <v>13118</v>
      </c>
      <c r="G4095" s="115">
        <f>IFERROR(__xludf.DUMMYFUNCTION("""COMPUTED_VALUE"""),3261.0)</f>
        <v>3261</v>
      </c>
      <c r="H4095" s="116">
        <f>IFERROR(__xludf.DUMMYFUNCTION("""COMPUTED_VALUE"""),45908.0)</f>
        <v>45908</v>
      </c>
      <c r="I4095" s="115" t="str">
        <f>IFERROR(__xludf.DUMMYFUNCTION("""COMPUTED_VALUE"""),"17")</f>
        <v>17</v>
      </c>
      <c r="J4095" s="115" t="str">
        <f>IFERROR(__xludf.DUMMYFUNCTION("""COMPUTED_VALUE"""),"Amit Kumar Pathak2025-09-0817")</f>
        <v>Amit Kumar Pathak2025-09-0817</v>
      </c>
      <c r="K4095" s="115">
        <f>IFERROR(__xludf.DUMMYFUNCTION("""COMPUTED_VALUE"""),24838.0)</f>
        <v>24838</v>
      </c>
    </row>
    <row r="4096">
      <c r="A4096" s="115" t="str">
        <f>IFERROR(__xludf.DUMMYFUNCTION("""COMPUTED_VALUE"""),"NORTH")</f>
        <v>NORTH</v>
      </c>
      <c r="B4096" s="115" t="str">
        <f>IFERROR(__xludf.DUMMYFUNCTION("""COMPUTED_VALUE"""),"Loveleen Singh")</f>
        <v>Loveleen Singh</v>
      </c>
      <c r="C4096" s="115" t="str">
        <f>IFERROR(__xludf.DUMMYFUNCTION("""COMPUTED_VALUE"""),"EXTERNAL")</f>
        <v>EXTERNAL</v>
      </c>
      <c r="D4096" s="115">
        <f>IFERROR(__xludf.DUMMYFUNCTION("""COMPUTED_VALUE"""),37147.0)</f>
        <v>37147</v>
      </c>
      <c r="E4096" s="115">
        <f>IFERROR(__xludf.DUMMYFUNCTION("""COMPUTED_VALUE"""),2800.0)</f>
        <v>2800</v>
      </c>
      <c r="F4096" s="115">
        <f>IFERROR(__xludf.DUMMYFUNCTION("""COMPUTED_VALUE"""),13267.0)</f>
        <v>13267</v>
      </c>
      <c r="G4096" s="115">
        <f>IFERROR(__xludf.DUMMYFUNCTION("""COMPUTED_VALUE"""),502.0)</f>
        <v>502</v>
      </c>
      <c r="H4096" s="116">
        <f>IFERROR(__xludf.DUMMYFUNCTION("""COMPUTED_VALUE"""),45908.0)</f>
        <v>45908</v>
      </c>
      <c r="I4096" s="115" t="str">
        <f>IFERROR(__xludf.DUMMYFUNCTION("""COMPUTED_VALUE"""),"17")</f>
        <v>17</v>
      </c>
      <c r="J4096" s="115" t="str">
        <f>IFERROR(__xludf.DUMMYFUNCTION("""COMPUTED_VALUE"""),"Loveleen Singh2025-09-0817")</f>
        <v>Loveleen Singh2025-09-0817</v>
      </c>
      <c r="K4096" s="115">
        <f>IFERROR(__xludf.DUMMYFUNCTION("""COMPUTED_VALUE"""),39947.0)</f>
        <v>39947</v>
      </c>
    </row>
    <row r="4097">
      <c r="A4097" s="115" t="str">
        <f>IFERROR(__xludf.DUMMYFUNCTION("""COMPUTED_VALUE"""),"NORTH")</f>
        <v>NORTH</v>
      </c>
      <c r="B4097" s="115" t="str">
        <f>IFERROR(__xludf.DUMMYFUNCTION("""COMPUTED_VALUE"""),"Loveleen Singh")</f>
        <v>Loveleen Singh</v>
      </c>
      <c r="C4097" s="115" t="str">
        <f>IFERROR(__xludf.DUMMYFUNCTION("""COMPUTED_VALUE"""),"FLIPKART")</f>
        <v>FLIPKART</v>
      </c>
      <c r="D4097" s="115">
        <f>IFERROR(__xludf.DUMMYFUNCTION("""COMPUTED_VALUE"""),177413.0)</f>
        <v>177413</v>
      </c>
      <c r="E4097" s="115">
        <f>IFERROR(__xludf.DUMMYFUNCTION("""COMPUTED_VALUE"""),15670.0)</f>
        <v>15670</v>
      </c>
      <c r="F4097" s="115">
        <f>IFERROR(__xludf.DUMMYFUNCTION("""COMPUTED_VALUE"""),117646.0)</f>
        <v>117646</v>
      </c>
      <c r="G4097" s="115">
        <f>IFERROR(__xludf.DUMMYFUNCTION("""COMPUTED_VALUE"""),6261.0)</f>
        <v>6261</v>
      </c>
      <c r="H4097" s="116">
        <f>IFERROR(__xludf.DUMMYFUNCTION("""COMPUTED_VALUE"""),45908.0)</f>
        <v>45908</v>
      </c>
      <c r="I4097" s="115" t="str">
        <f>IFERROR(__xludf.DUMMYFUNCTION("""COMPUTED_VALUE"""),"17")</f>
        <v>17</v>
      </c>
      <c r="J4097" s="115" t="str">
        <f>IFERROR(__xludf.DUMMYFUNCTION("""COMPUTED_VALUE"""),"Loveleen Singh2025-09-0817")</f>
        <v>Loveleen Singh2025-09-0817</v>
      </c>
      <c r="K4097" s="115">
        <f>IFERROR(__xludf.DUMMYFUNCTION("""COMPUTED_VALUE"""),193083.0)</f>
        <v>193083</v>
      </c>
    </row>
    <row r="4098">
      <c r="A4098" s="115" t="str">
        <f>IFERROR(__xludf.DUMMYFUNCTION("""COMPUTED_VALUE"""),"NORTH")</f>
        <v>NORTH</v>
      </c>
      <c r="B4098" s="115" t="str">
        <f>IFERROR(__xludf.DUMMYFUNCTION("""COMPUTED_VALUE"""),"Loveleen Singh")</f>
        <v>Loveleen Singh</v>
      </c>
      <c r="C4098" s="115" t="str">
        <f>IFERROR(__xludf.DUMMYFUNCTION("""COMPUTED_VALUE"""),"MYNTRA")</f>
        <v>MYNTRA</v>
      </c>
      <c r="D4098" s="115">
        <f>IFERROR(__xludf.DUMMYFUNCTION("""COMPUTED_VALUE"""),32649.0)</f>
        <v>32649</v>
      </c>
      <c r="E4098" s="115">
        <f>IFERROR(__xludf.DUMMYFUNCTION("""COMPUTED_VALUE"""),6400.0)</f>
        <v>6400</v>
      </c>
      <c r="F4098" s="115">
        <f>IFERROR(__xludf.DUMMYFUNCTION("""COMPUTED_VALUE"""),23932.0)</f>
        <v>23932</v>
      </c>
      <c r="G4098" s="115">
        <f>IFERROR(__xludf.DUMMYFUNCTION("""COMPUTED_VALUE"""),2946.0)</f>
        <v>2946</v>
      </c>
      <c r="H4098" s="116">
        <f>IFERROR(__xludf.DUMMYFUNCTION("""COMPUTED_VALUE"""),45908.0)</f>
        <v>45908</v>
      </c>
      <c r="I4098" s="115" t="str">
        <f>IFERROR(__xludf.DUMMYFUNCTION("""COMPUTED_VALUE"""),"17")</f>
        <v>17</v>
      </c>
      <c r="J4098" s="115" t="str">
        <f>IFERROR(__xludf.DUMMYFUNCTION("""COMPUTED_VALUE"""),"Loveleen Singh2025-09-0817")</f>
        <v>Loveleen Singh2025-09-0817</v>
      </c>
      <c r="K4098" s="115">
        <f>IFERROR(__xludf.DUMMYFUNCTION("""COMPUTED_VALUE"""),39049.0)</f>
        <v>39049</v>
      </c>
    </row>
    <row r="4099">
      <c r="A4099" s="115" t="str">
        <f>IFERROR(__xludf.DUMMYFUNCTION("""COMPUTED_VALUE"""),"NORTH")</f>
        <v>NORTH</v>
      </c>
      <c r="B4099" s="115" t="str">
        <f>IFERROR(__xludf.DUMMYFUNCTION("""COMPUTED_VALUE"""),"Manoj Harsh")</f>
        <v>Manoj Harsh</v>
      </c>
      <c r="C4099" s="115" t="str">
        <f>IFERROR(__xludf.DUMMYFUNCTION("""COMPUTED_VALUE"""),"EXTERNAL")</f>
        <v>EXTERNAL</v>
      </c>
      <c r="D4099" s="115">
        <f>IFERROR(__xludf.DUMMYFUNCTION("""COMPUTED_VALUE"""),39559.0)</f>
        <v>39559</v>
      </c>
      <c r="E4099" s="115">
        <f>IFERROR(__xludf.DUMMYFUNCTION("""COMPUTED_VALUE"""),3194.0)</f>
        <v>3194</v>
      </c>
      <c r="F4099" s="115">
        <f>IFERROR(__xludf.DUMMYFUNCTION("""COMPUTED_VALUE"""),14943.0)</f>
        <v>14943</v>
      </c>
      <c r="G4099" s="115">
        <f>IFERROR(__xludf.DUMMYFUNCTION("""COMPUTED_VALUE"""),712.0)</f>
        <v>712</v>
      </c>
      <c r="H4099" s="116">
        <f>IFERROR(__xludf.DUMMYFUNCTION("""COMPUTED_VALUE"""),45908.0)</f>
        <v>45908</v>
      </c>
      <c r="I4099" s="115" t="str">
        <f>IFERROR(__xludf.DUMMYFUNCTION("""COMPUTED_VALUE"""),"17")</f>
        <v>17</v>
      </c>
      <c r="J4099" s="115" t="str">
        <f>IFERROR(__xludf.DUMMYFUNCTION("""COMPUTED_VALUE"""),"Manoj Harsh2025-09-0817")</f>
        <v>Manoj Harsh2025-09-0817</v>
      </c>
      <c r="K4099" s="115">
        <f>IFERROR(__xludf.DUMMYFUNCTION("""COMPUTED_VALUE"""),42753.0)</f>
        <v>42753</v>
      </c>
    </row>
    <row r="4100">
      <c r="A4100" s="115" t="str">
        <f>IFERROR(__xludf.DUMMYFUNCTION("""COMPUTED_VALUE"""),"NORTH")</f>
        <v>NORTH</v>
      </c>
      <c r="B4100" s="115" t="str">
        <f>IFERROR(__xludf.DUMMYFUNCTION("""COMPUTED_VALUE"""),"Manoj Harsh")</f>
        <v>Manoj Harsh</v>
      </c>
      <c r="C4100" s="115" t="str">
        <f>IFERROR(__xludf.DUMMYFUNCTION("""COMPUTED_VALUE"""),"FLIPKART")</f>
        <v>FLIPKART</v>
      </c>
      <c r="D4100" s="115">
        <f>IFERROR(__xludf.DUMMYFUNCTION("""COMPUTED_VALUE"""),396954.0)</f>
        <v>396954</v>
      </c>
      <c r="E4100" s="115">
        <f>IFERROR(__xludf.DUMMYFUNCTION("""COMPUTED_VALUE"""),42380.0)</f>
        <v>42380</v>
      </c>
      <c r="F4100" s="115">
        <f>IFERROR(__xludf.DUMMYFUNCTION("""COMPUTED_VALUE"""),253007.0)</f>
        <v>253007</v>
      </c>
      <c r="G4100" s="115">
        <f>IFERROR(__xludf.DUMMYFUNCTION("""COMPUTED_VALUE"""),16763.0)</f>
        <v>16763</v>
      </c>
      <c r="H4100" s="116">
        <f>IFERROR(__xludf.DUMMYFUNCTION("""COMPUTED_VALUE"""),45908.0)</f>
        <v>45908</v>
      </c>
      <c r="I4100" s="115" t="str">
        <f>IFERROR(__xludf.DUMMYFUNCTION("""COMPUTED_VALUE"""),"17")</f>
        <v>17</v>
      </c>
      <c r="J4100" s="115" t="str">
        <f>IFERROR(__xludf.DUMMYFUNCTION("""COMPUTED_VALUE"""),"Manoj Harsh2025-09-0817")</f>
        <v>Manoj Harsh2025-09-0817</v>
      </c>
      <c r="K4100" s="115">
        <f>IFERROR(__xludf.DUMMYFUNCTION("""COMPUTED_VALUE"""),439334.0)</f>
        <v>439334</v>
      </c>
    </row>
    <row r="4101">
      <c r="A4101" s="115" t="str">
        <f>IFERROR(__xludf.DUMMYFUNCTION("""COMPUTED_VALUE"""),"NORTH")</f>
        <v>NORTH</v>
      </c>
      <c r="B4101" s="115" t="str">
        <f>IFERROR(__xludf.DUMMYFUNCTION("""COMPUTED_VALUE"""),"Manoj Harsh")</f>
        <v>Manoj Harsh</v>
      </c>
      <c r="C4101" s="115" t="str">
        <f>IFERROR(__xludf.DUMMYFUNCTION("""COMPUTED_VALUE"""),"MYNTRA")</f>
        <v>MYNTRA</v>
      </c>
      <c r="D4101" s="115">
        <f>IFERROR(__xludf.DUMMYFUNCTION("""COMPUTED_VALUE"""),40244.0)</f>
        <v>40244</v>
      </c>
      <c r="E4101" s="115">
        <f>IFERROR(__xludf.DUMMYFUNCTION("""COMPUTED_VALUE"""),8067.0)</f>
        <v>8067</v>
      </c>
      <c r="F4101" s="115">
        <f>IFERROR(__xludf.DUMMYFUNCTION("""COMPUTED_VALUE"""),28863.0)</f>
        <v>28863</v>
      </c>
      <c r="G4101" s="115">
        <f>IFERROR(__xludf.DUMMYFUNCTION("""COMPUTED_VALUE"""),3677.0)</f>
        <v>3677</v>
      </c>
      <c r="H4101" s="116">
        <f>IFERROR(__xludf.DUMMYFUNCTION("""COMPUTED_VALUE"""),45908.0)</f>
        <v>45908</v>
      </c>
      <c r="I4101" s="115" t="str">
        <f>IFERROR(__xludf.DUMMYFUNCTION("""COMPUTED_VALUE"""),"17")</f>
        <v>17</v>
      </c>
      <c r="J4101" s="115" t="str">
        <f>IFERROR(__xludf.DUMMYFUNCTION("""COMPUTED_VALUE"""),"Manoj Harsh2025-09-0817")</f>
        <v>Manoj Harsh2025-09-0817</v>
      </c>
      <c r="K4101" s="115">
        <f>IFERROR(__xludf.DUMMYFUNCTION("""COMPUTED_VALUE"""),48311.0)</f>
        <v>48311</v>
      </c>
    </row>
    <row r="4102">
      <c r="A4102" s="115" t="str">
        <f>IFERROR(__xludf.DUMMYFUNCTION("""COMPUTED_VALUE"""),"NORTH")</f>
        <v>NORTH</v>
      </c>
      <c r="B4102" s="115" t="str">
        <f>IFERROR(__xludf.DUMMYFUNCTION("""COMPUTED_VALUE"""),"Pradeep Kothari")</f>
        <v>Pradeep Kothari</v>
      </c>
      <c r="C4102" s="115" t="str">
        <f>IFERROR(__xludf.DUMMYFUNCTION("""COMPUTED_VALUE"""),"EXTERNAL")</f>
        <v>EXTERNAL</v>
      </c>
      <c r="D4102" s="115">
        <f>IFERROR(__xludf.DUMMYFUNCTION("""COMPUTED_VALUE"""),21596.0)</f>
        <v>21596</v>
      </c>
      <c r="E4102" s="115">
        <f>IFERROR(__xludf.DUMMYFUNCTION("""COMPUTED_VALUE"""),2098.0)</f>
        <v>2098</v>
      </c>
      <c r="F4102" s="115">
        <f>IFERROR(__xludf.DUMMYFUNCTION("""COMPUTED_VALUE"""),8026.0)</f>
        <v>8026</v>
      </c>
      <c r="G4102" s="115">
        <f>IFERROR(__xludf.DUMMYFUNCTION("""COMPUTED_VALUE"""),621.0)</f>
        <v>621</v>
      </c>
      <c r="H4102" s="116">
        <f>IFERROR(__xludf.DUMMYFUNCTION("""COMPUTED_VALUE"""),45908.0)</f>
        <v>45908</v>
      </c>
      <c r="I4102" s="115" t="str">
        <f>IFERROR(__xludf.DUMMYFUNCTION("""COMPUTED_VALUE"""),"17")</f>
        <v>17</v>
      </c>
      <c r="J4102" s="115" t="str">
        <f>IFERROR(__xludf.DUMMYFUNCTION("""COMPUTED_VALUE"""),"Pradeep Kothari2025-09-0817")</f>
        <v>Pradeep Kothari2025-09-0817</v>
      </c>
      <c r="K4102" s="115">
        <f>IFERROR(__xludf.DUMMYFUNCTION("""COMPUTED_VALUE"""),23694.0)</f>
        <v>23694</v>
      </c>
    </row>
    <row r="4103">
      <c r="A4103" s="115" t="str">
        <f>IFERROR(__xludf.DUMMYFUNCTION("""COMPUTED_VALUE"""),"NORTH")</f>
        <v>NORTH</v>
      </c>
      <c r="B4103" s="115" t="str">
        <f>IFERROR(__xludf.DUMMYFUNCTION("""COMPUTED_VALUE"""),"Pradeep Kothari")</f>
        <v>Pradeep Kothari</v>
      </c>
      <c r="C4103" s="115" t="str">
        <f>IFERROR(__xludf.DUMMYFUNCTION("""COMPUTED_VALUE"""),"FLIPKART")</f>
        <v>FLIPKART</v>
      </c>
      <c r="D4103" s="115">
        <f>IFERROR(__xludf.DUMMYFUNCTION("""COMPUTED_VALUE"""),141054.0)</f>
        <v>141054</v>
      </c>
      <c r="E4103" s="115">
        <f>IFERROR(__xludf.DUMMYFUNCTION("""COMPUTED_VALUE"""),17981.0)</f>
        <v>17981</v>
      </c>
      <c r="F4103" s="115">
        <f>IFERROR(__xludf.DUMMYFUNCTION("""COMPUTED_VALUE"""),97704.0)</f>
        <v>97704</v>
      </c>
      <c r="G4103" s="115">
        <f>IFERROR(__xludf.DUMMYFUNCTION("""COMPUTED_VALUE"""),9000.0)</f>
        <v>9000</v>
      </c>
      <c r="H4103" s="116">
        <f>IFERROR(__xludf.DUMMYFUNCTION("""COMPUTED_VALUE"""),45908.0)</f>
        <v>45908</v>
      </c>
      <c r="I4103" s="115" t="str">
        <f>IFERROR(__xludf.DUMMYFUNCTION("""COMPUTED_VALUE"""),"17")</f>
        <v>17</v>
      </c>
      <c r="J4103" s="115" t="str">
        <f>IFERROR(__xludf.DUMMYFUNCTION("""COMPUTED_VALUE"""),"Pradeep Kothari2025-09-0817")</f>
        <v>Pradeep Kothari2025-09-0817</v>
      </c>
      <c r="K4103" s="115">
        <f>IFERROR(__xludf.DUMMYFUNCTION("""COMPUTED_VALUE"""),159035.0)</f>
        <v>159035</v>
      </c>
    </row>
    <row r="4104">
      <c r="A4104" s="115" t="str">
        <f>IFERROR(__xludf.DUMMYFUNCTION("""COMPUTED_VALUE"""),"NORTH")</f>
        <v>NORTH</v>
      </c>
      <c r="B4104" s="115" t="str">
        <f>IFERROR(__xludf.DUMMYFUNCTION("""COMPUTED_VALUE"""),"Pradeep Kothari")</f>
        <v>Pradeep Kothari</v>
      </c>
      <c r="C4104" s="115" t="str">
        <f>IFERROR(__xludf.DUMMYFUNCTION("""COMPUTED_VALUE"""),"MYNTRA")</f>
        <v>MYNTRA</v>
      </c>
      <c r="D4104" s="115">
        <f>IFERROR(__xludf.DUMMYFUNCTION("""COMPUTED_VALUE"""),28513.0)</f>
        <v>28513</v>
      </c>
      <c r="E4104" s="115">
        <f>IFERROR(__xludf.DUMMYFUNCTION("""COMPUTED_VALUE"""),6986.0)</f>
        <v>6986</v>
      </c>
      <c r="F4104" s="115">
        <f>IFERROR(__xludf.DUMMYFUNCTION("""COMPUTED_VALUE"""),22274.0)</f>
        <v>22274</v>
      </c>
      <c r="G4104" s="115">
        <f>IFERROR(__xludf.DUMMYFUNCTION("""COMPUTED_VALUE"""),4051.0)</f>
        <v>4051</v>
      </c>
      <c r="H4104" s="116">
        <f>IFERROR(__xludf.DUMMYFUNCTION("""COMPUTED_VALUE"""),45908.0)</f>
        <v>45908</v>
      </c>
      <c r="I4104" s="115" t="str">
        <f>IFERROR(__xludf.DUMMYFUNCTION("""COMPUTED_VALUE"""),"17")</f>
        <v>17</v>
      </c>
      <c r="J4104" s="115" t="str">
        <f>IFERROR(__xludf.DUMMYFUNCTION("""COMPUTED_VALUE"""),"Pradeep Kothari2025-09-0817")</f>
        <v>Pradeep Kothari2025-09-0817</v>
      </c>
      <c r="K4104" s="115">
        <f>IFERROR(__xludf.DUMMYFUNCTION("""COMPUTED_VALUE"""),35499.0)</f>
        <v>35499</v>
      </c>
    </row>
    <row r="4105">
      <c r="A4105" s="115" t="str">
        <f>IFERROR(__xludf.DUMMYFUNCTION("""COMPUTED_VALUE"""),"SOUTH")</f>
        <v>SOUTH</v>
      </c>
      <c r="B4105" s="115" t="str">
        <f>IFERROR(__xludf.DUMMYFUNCTION("""COMPUTED_VALUE"""),"0")</f>
        <v>0</v>
      </c>
      <c r="C4105" s="115" t="str">
        <f>IFERROR(__xludf.DUMMYFUNCTION("""COMPUTED_VALUE"""),"EXTERNAL")</f>
        <v>EXTERNAL</v>
      </c>
      <c r="D4105" s="115">
        <f>IFERROR(__xludf.DUMMYFUNCTION("""COMPUTED_VALUE"""),1.0)</f>
        <v>1</v>
      </c>
      <c r="E4105" s="115">
        <f>IFERROR(__xludf.DUMMYFUNCTION("""COMPUTED_VALUE"""),0.0)</f>
        <v>0</v>
      </c>
      <c r="F4105" s="115">
        <f>IFERROR(__xludf.DUMMYFUNCTION("""COMPUTED_VALUE"""),1.0)</f>
        <v>1</v>
      </c>
      <c r="G4105" s="115">
        <f>IFERROR(__xludf.DUMMYFUNCTION("""COMPUTED_VALUE"""),0.0)</f>
        <v>0</v>
      </c>
      <c r="H4105" s="116">
        <f>IFERROR(__xludf.DUMMYFUNCTION("""COMPUTED_VALUE"""),45908.0)</f>
        <v>45908</v>
      </c>
      <c r="I4105" s="115" t="str">
        <f>IFERROR(__xludf.DUMMYFUNCTION("""COMPUTED_VALUE"""),"17")</f>
        <v>17</v>
      </c>
      <c r="J4105" s="115" t="str">
        <f>IFERROR(__xludf.DUMMYFUNCTION("""COMPUTED_VALUE"""),"02025-09-0817")</f>
        <v>02025-09-0817</v>
      </c>
      <c r="K4105" s="115">
        <f>IFERROR(__xludf.DUMMYFUNCTION("""COMPUTED_VALUE"""),1.0)</f>
        <v>1</v>
      </c>
    </row>
    <row r="4106">
      <c r="A4106" s="115" t="str">
        <f>IFERROR(__xludf.DUMMYFUNCTION("""COMPUTED_VALUE"""),"SOUTH")</f>
        <v>SOUTH</v>
      </c>
      <c r="B4106" s="115" t="str">
        <f>IFERROR(__xludf.DUMMYFUNCTION("""COMPUTED_VALUE"""),"0")</f>
        <v>0</v>
      </c>
      <c r="C4106" s="115" t="str">
        <f>IFERROR(__xludf.DUMMYFUNCTION("""COMPUTED_VALUE"""),"FLIPKART")</f>
        <v>FLIPKART</v>
      </c>
      <c r="D4106" s="115">
        <f>IFERROR(__xludf.DUMMYFUNCTION("""COMPUTED_VALUE"""),37.0)</f>
        <v>37</v>
      </c>
      <c r="E4106" s="115">
        <f>IFERROR(__xludf.DUMMYFUNCTION("""COMPUTED_VALUE"""),72.0)</f>
        <v>72</v>
      </c>
      <c r="F4106" s="115">
        <f>IFERROR(__xludf.DUMMYFUNCTION("""COMPUTED_VALUE"""),20.0)</f>
        <v>20</v>
      </c>
      <c r="G4106" s="115">
        <f>IFERROR(__xludf.DUMMYFUNCTION("""COMPUTED_VALUE"""),11.0)</f>
        <v>11</v>
      </c>
      <c r="H4106" s="116">
        <f>IFERROR(__xludf.DUMMYFUNCTION("""COMPUTED_VALUE"""),45908.0)</f>
        <v>45908</v>
      </c>
      <c r="I4106" s="115" t="str">
        <f>IFERROR(__xludf.DUMMYFUNCTION("""COMPUTED_VALUE"""),"17")</f>
        <v>17</v>
      </c>
      <c r="J4106" s="115" t="str">
        <f>IFERROR(__xludf.DUMMYFUNCTION("""COMPUTED_VALUE"""),"02025-09-0817")</f>
        <v>02025-09-0817</v>
      </c>
      <c r="K4106" s="115">
        <f>IFERROR(__xludf.DUMMYFUNCTION("""COMPUTED_VALUE"""),109.0)</f>
        <v>109</v>
      </c>
    </row>
    <row r="4107">
      <c r="A4107" s="115" t="str">
        <f>IFERROR(__xludf.DUMMYFUNCTION("""COMPUTED_VALUE"""),"SOUTH")</f>
        <v>SOUTH</v>
      </c>
      <c r="B4107" s="115" t="str">
        <f>IFERROR(__xludf.DUMMYFUNCTION("""COMPUTED_VALUE"""),"0")</f>
        <v>0</v>
      </c>
      <c r="C4107" s="115" t="str">
        <f>IFERROR(__xludf.DUMMYFUNCTION("""COMPUTED_VALUE"""),"MYNTRA")</f>
        <v>MYNTRA</v>
      </c>
      <c r="D4107" s="115">
        <f>IFERROR(__xludf.DUMMYFUNCTION("""COMPUTED_VALUE"""),7.0)</f>
        <v>7</v>
      </c>
      <c r="E4107" s="115">
        <f>IFERROR(__xludf.DUMMYFUNCTION("""COMPUTED_VALUE"""),24.0)</f>
        <v>24</v>
      </c>
      <c r="F4107" s="115">
        <f>IFERROR(__xludf.DUMMYFUNCTION("""COMPUTED_VALUE"""),1.0)</f>
        <v>1</v>
      </c>
      <c r="G4107" s="115">
        <f>IFERROR(__xludf.DUMMYFUNCTION("""COMPUTED_VALUE"""),3.0)</f>
        <v>3</v>
      </c>
      <c r="H4107" s="116">
        <f>IFERROR(__xludf.DUMMYFUNCTION("""COMPUTED_VALUE"""),45908.0)</f>
        <v>45908</v>
      </c>
      <c r="I4107" s="115" t="str">
        <f>IFERROR(__xludf.DUMMYFUNCTION("""COMPUTED_VALUE"""),"17")</f>
        <v>17</v>
      </c>
      <c r="J4107" s="115" t="str">
        <f>IFERROR(__xludf.DUMMYFUNCTION("""COMPUTED_VALUE"""),"02025-09-0817")</f>
        <v>02025-09-0817</v>
      </c>
      <c r="K4107" s="115">
        <f>IFERROR(__xludf.DUMMYFUNCTION("""COMPUTED_VALUE"""),31.0)</f>
        <v>31</v>
      </c>
    </row>
    <row r="4108">
      <c r="A4108" s="115" t="str">
        <f>IFERROR(__xludf.DUMMYFUNCTION("""COMPUTED_VALUE"""),"SOUTH")</f>
        <v>SOUTH</v>
      </c>
      <c r="B4108" s="115" t="str">
        <f>IFERROR(__xludf.DUMMYFUNCTION("""COMPUTED_VALUE"""),"Kandula Sampath")</f>
        <v>Kandula Sampath</v>
      </c>
      <c r="C4108" s="115" t="str">
        <f>IFERROR(__xludf.DUMMYFUNCTION("""COMPUTED_VALUE"""),"EXTERNAL")</f>
        <v>EXTERNAL</v>
      </c>
      <c r="D4108" s="115">
        <f>IFERROR(__xludf.DUMMYFUNCTION("""COMPUTED_VALUE"""),38257.0)</f>
        <v>38257</v>
      </c>
      <c r="E4108" s="115">
        <f>IFERROR(__xludf.DUMMYFUNCTION("""COMPUTED_VALUE"""),4213.0)</f>
        <v>4213</v>
      </c>
      <c r="F4108" s="115">
        <f>IFERROR(__xludf.DUMMYFUNCTION("""COMPUTED_VALUE"""),14330.0)</f>
        <v>14330</v>
      </c>
      <c r="G4108" s="115">
        <f>IFERROR(__xludf.DUMMYFUNCTION("""COMPUTED_VALUE"""),849.0)</f>
        <v>849</v>
      </c>
      <c r="H4108" s="116">
        <f>IFERROR(__xludf.DUMMYFUNCTION("""COMPUTED_VALUE"""),45908.0)</f>
        <v>45908</v>
      </c>
      <c r="I4108" s="115" t="str">
        <f>IFERROR(__xludf.DUMMYFUNCTION("""COMPUTED_VALUE"""),"17")</f>
        <v>17</v>
      </c>
      <c r="J4108" s="115" t="str">
        <f>IFERROR(__xludf.DUMMYFUNCTION("""COMPUTED_VALUE"""),"Kandula Sampath2025-09-0817")</f>
        <v>Kandula Sampath2025-09-0817</v>
      </c>
      <c r="K4108" s="115">
        <f>IFERROR(__xludf.DUMMYFUNCTION("""COMPUTED_VALUE"""),42470.0)</f>
        <v>42470</v>
      </c>
    </row>
    <row r="4109">
      <c r="A4109" s="115" t="str">
        <f>IFERROR(__xludf.DUMMYFUNCTION("""COMPUTED_VALUE"""),"SOUTH")</f>
        <v>SOUTH</v>
      </c>
      <c r="B4109" s="115" t="str">
        <f>IFERROR(__xludf.DUMMYFUNCTION("""COMPUTED_VALUE"""),"Kandula Sampath")</f>
        <v>Kandula Sampath</v>
      </c>
      <c r="C4109" s="115" t="str">
        <f>IFERROR(__xludf.DUMMYFUNCTION("""COMPUTED_VALUE"""),"FLIPKART")</f>
        <v>FLIPKART</v>
      </c>
      <c r="D4109" s="115">
        <f>IFERROR(__xludf.DUMMYFUNCTION("""COMPUTED_VALUE"""),350126.0)</f>
        <v>350126</v>
      </c>
      <c r="E4109" s="115">
        <f>IFERROR(__xludf.DUMMYFUNCTION("""COMPUTED_VALUE"""),33770.0)</f>
        <v>33770</v>
      </c>
      <c r="F4109" s="115">
        <f>IFERROR(__xludf.DUMMYFUNCTION("""COMPUTED_VALUE"""),220995.0)</f>
        <v>220995</v>
      </c>
      <c r="G4109" s="115">
        <f>IFERROR(__xludf.DUMMYFUNCTION("""COMPUTED_VALUE"""),11383.0)</f>
        <v>11383</v>
      </c>
      <c r="H4109" s="116">
        <f>IFERROR(__xludf.DUMMYFUNCTION("""COMPUTED_VALUE"""),45908.0)</f>
        <v>45908</v>
      </c>
      <c r="I4109" s="115" t="str">
        <f>IFERROR(__xludf.DUMMYFUNCTION("""COMPUTED_VALUE"""),"17")</f>
        <v>17</v>
      </c>
      <c r="J4109" s="115" t="str">
        <f>IFERROR(__xludf.DUMMYFUNCTION("""COMPUTED_VALUE"""),"Kandula Sampath2025-09-0817")</f>
        <v>Kandula Sampath2025-09-0817</v>
      </c>
      <c r="K4109" s="115">
        <f>IFERROR(__xludf.DUMMYFUNCTION("""COMPUTED_VALUE"""),383896.0)</f>
        <v>383896</v>
      </c>
    </row>
    <row r="4110">
      <c r="A4110" s="115" t="str">
        <f>IFERROR(__xludf.DUMMYFUNCTION("""COMPUTED_VALUE"""),"SOUTH")</f>
        <v>SOUTH</v>
      </c>
      <c r="B4110" s="115" t="str">
        <f>IFERROR(__xludf.DUMMYFUNCTION("""COMPUTED_VALUE"""),"Kandula Sampath")</f>
        <v>Kandula Sampath</v>
      </c>
      <c r="C4110" s="115" t="str">
        <f>IFERROR(__xludf.DUMMYFUNCTION("""COMPUTED_VALUE"""),"MYNTRA")</f>
        <v>MYNTRA</v>
      </c>
      <c r="D4110" s="115">
        <f>IFERROR(__xludf.DUMMYFUNCTION("""COMPUTED_VALUE"""),41223.0)</f>
        <v>41223</v>
      </c>
      <c r="E4110" s="115">
        <f>IFERROR(__xludf.DUMMYFUNCTION("""COMPUTED_VALUE"""),9340.0)</f>
        <v>9340</v>
      </c>
      <c r="F4110" s="115">
        <f>IFERROR(__xludf.DUMMYFUNCTION("""COMPUTED_VALUE"""),28641.0)</f>
        <v>28641</v>
      </c>
      <c r="G4110" s="115">
        <f>IFERROR(__xludf.DUMMYFUNCTION("""COMPUTED_VALUE"""),3402.0)</f>
        <v>3402</v>
      </c>
      <c r="H4110" s="116">
        <f>IFERROR(__xludf.DUMMYFUNCTION("""COMPUTED_VALUE"""),45908.0)</f>
        <v>45908</v>
      </c>
      <c r="I4110" s="115" t="str">
        <f>IFERROR(__xludf.DUMMYFUNCTION("""COMPUTED_VALUE"""),"17")</f>
        <v>17</v>
      </c>
      <c r="J4110" s="115" t="str">
        <f>IFERROR(__xludf.DUMMYFUNCTION("""COMPUTED_VALUE"""),"Kandula Sampath2025-09-0817")</f>
        <v>Kandula Sampath2025-09-0817</v>
      </c>
      <c r="K4110" s="115">
        <f>IFERROR(__xludf.DUMMYFUNCTION("""COMPUTED_VALUE"""),50563.0)</f>
        <v>50563</v>
      </c>
    </row>
    <row r="4111">
      <c r="A4111" s="115" t="str">
        <f>IFERROR(__xludf.DUMMYFUNCTION("""COMPUTED_VALUE"""),"SOUTH")</f>
        <v>SOUTH</v>
      </c>
      <c r="B4111" s="115" t="str">
        <f>IFERROR(__xludf.DUMMYFUNCTION("""COMPUTED_VALUE"""),"Martin A")</f>
        <v>Martin A</v>
      </c>
      <c r="C4111" s="115" t="str">
        <f>IFERROR(__xludf.DUMMYFUNCTION("""COMPUTED_VALUE"""),"EXTERNAL")</f>
        <v>EXTERNAL</v>
      </c>
      <c r="D4111" s="115">
        <f>IFERROR(__xludf.DUMMYFUNCTION("""COMPUTED_VALUE"""),36095.0)</f>
        <v>36095</v>
      </c>
      <c r="E4111" s="115">
        <f>IFERROR(__xludf.DUMMYFUNCTION("""COMPUTED_VALUE"""),4404.0)</f>
        <v>4404</v>
      </c>
      <c r="F4111" s="115">
        <f>IFERROR(__xludf.DUMMYFUNCTION("""COMPUTED_VALUE"""),13705.0)</f>
        <v>13705</v>
      </c>
      <c r="G4111" s="115">
        <f>IFERROR(__xludf.DUMMYFUNCTION("""COMPUTED_VALUE"""),1605.0)</f>
        <v>1605</v>
      </c>
      <c r="H4111" s="116">
        <f>IFERROR(__xludf.DUMMYFUNCTION("""COMPUTED_VALUE"""),45908.0)</f>
        <v>45908</v>
      </c>
      <c r="I4111" s="115" t="str">
        <f>IFERROR(__xludf.DUMMYFUNCTION("""COMPUTED_VALUE"""),"17")</f>
        <v>17</v>
      </c>
      <c r="J4111" s="115" t="str">
        <f>IFERROR(__xludf.DUMMYFUNCTION("""COMPUTED_VALUE"""),"Martin A2025-09-0817")</f>
        <v>Martin A2025-09-0817</v>
      </c>
      <c r="K4111" s="115">
        <f>IFERROR(__xludf.DUMMYFUNCTION("""COMPUTED_VALUE"""),40499.0)</f>
        <v>40499</v>
      </c>
    </row>
    <row r="4112">
      <c r="A4112" s="115" t="str">
        <f>IFERROR(__xludf.DUMMYFUNCTION("""COMPUTED_VALUE"""),"SOUTH")</f>
        <v>SOUTH</v>
      </c>
      <c r="B4112" s="115" t="str">
        <f>IFERROR(__xludf.DUMMYFUNCTION("""COMPUTED_VALUE"""),"Martin A")</f>
        <v>Martin A</v>
      </c>
      <c r="C4112" s="115" t="str">
        <f>IFERROR(__xludf.DUMMYFUNCTION("""COMPUTED_VALUE"""),"FLIPKART")</f>
        <v>FLIPKART</v>
      </c>
      <c r="D4112" s="115">
        <f>IFERROR(__xludf.DUMMYFUNCTION("""COMPUTED_VALUE"""),294741.0)</f>
        <v>294741</v>
      </c>
      <c r="E4112" s="115">
        <f>IFERROR(__xludf.DUMMYFUNCTION("""COMPUTED_VALUE"""),28897.0)</f>
        <v>28897</v>
      </c>
      <c r="F4112" s="115">
        <f>IFERROR(__xludf.DUMMYFUNCTION("""COMPUTED_VALUE"""),189373.0)</f>
        <v>189373</v>
      </c>
      <c r="G4112" s="115">
        <f>IFERROR(__xludf.DUMMYFUNCTION("""COMPUTED_VALUE"""),11931.0)</f>
        <v>11931</v>
      </c>
      <c r="H4112" s="116">
        <f>IFERROR(__xludf.DUMMYFUNCTION("""COMPUTED_VALUE"""),45908.0)</f>
        <v>45908</v>
      </c>
      <c r="I4112" s="115" t="str">
        <f>IFERROR(__xludf.DUMMYFUNCTION("""COMPUTED_VALUE"""),"17")</f>
        <v>17</v>
      </c>
      <c r="J4112" s="115" t="str">
        <f>IFERROR(__xludf.DUMMYFUNCTION("""COMPUTED_VALUE"""),"Martin A2025-09-0817")</f>
        <v>Martin A2025-09-0817</v>
      </c>
      <c r="K4112" s="115">
        <f>IFERROR(__xludf.DUMMYFUNCTION("""COMPUTED_VALUE"""),323638.0)</f>
        <v>323638</v>
      </c>
    </row>
    <row r="4113">
      <c r="A4113" s="115" t="str">
        <f>IFERROR(__xludf.DUMMYFUNCTION("""COMPUTED_VALUE"""),"SOUTH")</f>
        <v>SOUTH</v>
      </c>
      <c r="B4113" s="115" t="str">
        <f>IFERROR(__xludf.DUMMYFUNCTION("""COMPUTED_VALUE"""),"Martin A")</f>
        <v>Martin A</v>
      </c>
      <c r="C4113" s="115" t="str">
        <f>IFERROR(__xludf.DUMMYFUNCTION("""COMPUTED_VALUE"""),"MYNTRA")</f>
        <v>MYNTRA</v>
      </c>
      <c r="D4113" s="115">
        <f>IFERROR(__xludf.DUMMYFUNCTION("""COMPUTED_VALUE"""),29534.0)</f>
        <v>29534</v>
      </c>
      <c r="E4113" s="115">
        <f>IFERROR(__xludf.DUMMYFUNCTION("""COMPUTED_VALUE"""),7809.0)</f>
        <v>7809</v>
      </c>
      <c r="F4113" s="115">
        <f>IFERROR(__xludf.DUMMYFUNCTION("""COMPUTED_VALUE"""),21561.0)</f>
        <v>21561</v>
      </c>
      <c r="G4113" s="115">
        <f>IFERROR(__xludf.DUMMYFUNCTION("""COMPUTED_VALUE"""),3472.0)</f>
        <v>3472</v>
      </c>
      <c r="H4113" s="116">
        <f>IFERROR(__xludf.DUMMYFUNCTION("""COMPUTED_VALUE"""),45908.0)</f>
        <v>45908</v>
      </c>
      <c r="I4113" s="115" t="str">
        <f>IFERROR(__xludf.DUMMYFUNCTION("""COMPUTED_VALUE"""),"17")</f>
        <v>17</v>
      </c>
      <c r="J4113" s="115" t="str">
        <f>IFERROR(__xludf.DUMMYFUNCTION("""COMPUTED_VALUE"""),"Martin A2025-09-0817")</f>
        <v>Martin A2025-09-0817</v>
      </c>
      <c r="K4113" s="115">
        <f>IFERROR(__xludf.DUMMYFUNCTION("""COMPUTED_VALUE"""),37343.0)</f>
        <v>37343</v>
      </c>
    </row>
    <row r="4114">
      <c r="A4114" s="115" t="str">
        <f>IFERROR(__xludf.DUMMYFUNCTION("""COMPUTED_VALUE"""),"SOUTH")</f>
        <v>SOUTH</v>
      </c>
      <c r="B4114" s="115" t="str">
        <f>IFERROR(__xludf.DUMMYFUNCTION("""COMPUTED_VALUE"""),"Premkumar M")</f>
        <v>Premkumar M</v>
      </c>
      <c r="C4114" s="115" t="str">
        <f>IFERROR(__xludf.DUMMYFUNCTION("""COMPUTED_VALUE"""),"EXTERNAL")</f>
        <v>EXTERNAL</v>
      </c>
      <c r="D4114" s="115">
        <f>IFERROR(__xludf.DUMMYFUNCTION("""COMPUTED_VALUE"""),33325.0)</f>
        <v>33325</v>
      </c>
      <c r="E4114" s="115">
        <f>IFERROR(__xludf.DUMMYFUNCTION("""COMPUTED_VALUE"""),2021.0)</f>
        <v>2021</v>
      </c>
      <c r="F4114" s="115">
        <f>IFERROR(__xludf.DUMMYFUNCTION("""COMPUTED_VALUE"""),12628.0)</f>
        <v>12628</v>
      </c>
      <c r="G4114" s="115">
        <f>IFERROR(__xludf.DUMMYFUNCTION("""COMPUTED_VALUE"""),250.0)</f>
        <v>250</v>
      </c>
      <c r="H4114" s="116">
        <f>IFERROR(__xludf.DUMMYFUNCTION("""COMPUTED_VALUE"""),45908.0)</f>
        <v>45908</v>
      </c>
      <c r="I4114" s="115" t="str">
        <f>IFERROR(__xludf.DUMMYFUNCTION("""COMPUTED_VALUE"""),"17")</f>
        <v>17</v>
      </c>
      <c r="J4114" s="115" t="str">
        <f>IFERROR(__xludf.DUMMYFUNCTION("""COMPUTED_VALUE"""),"Premkumar M2025-09-0817")</f>
        <v>Premkumar M2025-09-0817</v>
      </c>
      <c r="K4114" s="115">
        <f>IFERROR(__xludf.DUMMYFUNCTION("""COMPUTED_VALUE"""),35346.0)</f>
        <v>35346</v>
      </c>
    </row>
    <row r="4115">
      <c r="A4115" s="115" t="str">
        <f>IFERROR(__xludf.DUMMYFUNCTION("""COMPUTED_VALUE"""),"SOUTH")</f>
        <v>SOUTH</v>
      </c>
      <c r="B4115" s="115" t="str">
        <f>IFERROR(__xludf.DUMMYFUNCTION("""COMPUTED_VALUE"""),"Premkumar M")</f>
        <v>Premkumar M</v>
      </c>
      <c r="C4115" s="115" t="str">
        <f>IFERROR(__xludf.DUMMYFUNCTION("""COMPUTED_VALUE"""),"FLIPKART")</f>
        <v>FLIPKART</v>
      </c>
      <c r="D4115" s="115">
        <f>IFERROR(__xludf.DUMMYFUNCTION("""COMPUTED_VALUE"""),303650.0)</f>
        <v>303650</v>
      </c>
      <c r="E4115" s="115">
        <f>IFERROR(__xludf.DUMMYFUNCTION("""COMPUTED_VALUE"""),19983.0)</f>
        <v>19983</v>
      </c>
      <c r="F4115" s="115">
        <f>IFERROR(__xludf.DUMMYFUNCTION("""COMPUTED_VALUE"""),175642.0)</f>
        <v>175642</v>
      </c>
      <c r="G4115" s="115">
        <f>IFERROR(__xludf.DUMMYFUNCTION("""COMPUTED_VALUE"""),3756.0)</f>
        <v>3756</v>
      </c>
      <c r="H4115" s="116">
        <f>IFERROR(__xludf.DUMMYFUNCTION("""COMPUTED_VALUE"""),45908.0)</f>
        <v>45908</v>
      </c>
      <c r="I4115" s="115" t="str">
        <f>IFERROR(__xludf.DUMMYFUNCTION("""COMPUTED_VALUE"""),"17")</f>
        <v>17</v>
      </c>
      <c r="J4115" s="115" t="str">
        <f>IFERROR(__xludf.DUMMYFUNCTION("""COMPUTED_VALUE"""),"Premkumar M2025-09-0817")</f>
        <v>Premkumar M2025-09-0817</v>
      </c>
      <c r="K4115" s="115">
        <f>IFERROR(__xludf.DUMMYFUNCTION("""COMPUTED_VALUE"""),323633.0)</f>
        <v>323633</v>
      </c>
    </row>
    <row r="4116">
      <c r="A4116" s="115" t="str">
        <f>IFERROR(__xludf.DUMMYFUNCTION("""COMPUTED_VALUE"""),"SOUTH")</f>
        <v>SOUTH</v>
      </c>
      <c r="B4116" s="115" t="str">
        <f>IFERROR(__xludf.DUMMYFUNCTION("""COMPUTED_VALUE"""),"Premkumar M")</f>
        <v>Premkumar M</v>
      </c>
      <c r="C4116" s="115" t="str">
        <f>IFERROR(__xludf.DUMMYFUNCTION("""COMPUTED_VALUE"""),"MYNTRA")</f>
        <v>MYNTRA</v>
      </c>
      <c r="D4116" s="115">
        <f>IFERROR(__xludf.DUMMYFUNCTION("""COMPUTED_VALUE"""),16979.0)</f>
        <v>16979</v>
      </c>
      <c r="E4116" s="115">
        <f>IFERROR(__xludf.DUMMYFUNCTION("""COMPUTED_VALUE"""),3114.0)</f>
        <v>3114</v>
      </c>
      <c r="F4116" s="115">
        <f>IFERROR(__xludf.DUMMYFUNCTION("""COMPUTED_VALUE"""),11227.0)</f>
        <v>11227</v>
      </c>
      <c r="G4116" s="115">
        <f>IFERROR(__xludf.DUMMYFUNCTION("""COMPUTED_VALUE"""),650.0)</f>
        <v>650</v>
      </c>
      <c r="H4116" s="116">
        <f>IFERROR(__xludf.DUMMYFUNCTION("""COMPUTED_VALUE"""),45908.0)</f>
        <v>45908</v>
      </c>
      <c r="I4116" s="115" t="str">
        <f>IFERROR(__xludf.DUMMYFUNCTION("""COMPUTED_VALUE"""),"17")</f>
        <v>17</v>
      </c>
      <c r="J4116" s="115" t="str">
        <f>IFERROR(__xludf.DUMMYFUNCTION("""COMPUTED_VALUE"""),"Premkumar M2025-09-0817")</f>
        <v>Premkumar M2025-09-0817</v>
      </c>
      <c r="K4116" s="115">
        <f>IFERROR(__xludf.DUMMYFUNCTION("""COMPUTED_VALUE"""),20093.0)</f>
        <v>20093</v>
      </c>
    </row>
    <row r="4117">
      <c r="A4117" s="115" t="str">
        <f>IFERROR(__xludf.DUMMYFUNCTION("""COMPUTED_VALUE"""),"SOUTH")</f>
        <v>SOUTH</v>
      </c>
      <c r="B4117" s="115" t="str">
        <f>IFERROR(__xludf.DUMMYFUNCTION("""COMPUTED_VALUE"""),"Vineeth V")</f>
        <v>Vineeth V</v>
      </c>
      <c r="C4117" s="115" t="str">
        <f>IFERROR(__xludf.DUMMYFUNCTION("""COMPUTED_VALUE"""),"EXTERNAL")</f>
        <v>EXTERNAL</v>
      </c>
      <c r="D4117" s="115">
        <f>IFERROR(__xludf.DUMMYFUNCTION("""COMPUTED_VALUE"""),24649.0)</f>
        <v>24649</v>
      </c>
      <c r="E4117" s="115">
        <f>IFERROR(__xludf.DUMMYFUNCTION("""COMPUTED_VALUE"""),763.0)</f>
        <v>763</v>
      </c>
      <c r="F4117" s="115">
        <f>IFERROR(__xludf.DUMMYFUNCTION("""COMPUTED_VALUE"""),9975.0)</f>
        <v>9975</v>
      </c>
      <c r="G4117" s="115">
        <f>IFERROR(__xludf.DUMMYFUNCTION("""COMPUTED_VALUE"""),125.0)</f>
        <v>125</v>
      </c>
      <c r="H4117" s="116">
        <f>IFERROR(__xludf.DUMMYFUNCTION("""COMPUTED_VALUE"""),45908.0)</f>
        <v>45908</v>
      </c>
      <c r="I4117" s="115" t="str">
        <f>IFERROR(__xludf.DUMMYFUNCTION("""COMPUTED_VALUE"""),"17")</f>
        <v>17</v>
      </c>
      <c r="J4117" s="115" t="str">
        <f>IFERROR(__xludf.DUMMYFUNCTION("""COMPUTED_VALUE"""),"Vineeth V2025-09-0817")</f>
        <v>Vineeth V2025-09-0817</v>
      </c>
      <c r="K4117" s="115">
        <f>IFERROR(__xludf.DUMMYFUNCTION("""COMPUTED_VALUE"""),25412.0)</f>
        <v>25412</v>
      </c>
    </row>
    <row r="4118">
      <c r="A4118" s="115" t="str">
        <f>IFERROR(__xludf.DUMMYFUNCTION("""COMPUTED_VALUE"""),"SOUTH")</f>
        <v>SOUTH</v>
      </c>
      <c r="B4118" s="115" t="str">
        <f>IFERROR(__xludf.DUMMYFUNCTION("""COMPUTED_VALUE"""),"Vineeth V")</f>
        <v>Vineeth V</v>
      </c>
      <c r="C4118" s="115" t="str">
        <f>IFERROR(__xludf.DUMMYFUNCTION("""COMPUTED_VALUE"""),"FLIPKART")</f>
        <v>FLIPKART</v>
      </c>
      <c r="D4118" s="115">
        <f>IFERROR(__xludf.DUMMYFUNCTION("""COMPUTED_VALUE"""),271950.0)</f>
        <v>271950</v>
      </c>
      <c r="E4118" s="115">
        <f>IFERROR(__xludf.DUMMYFUNCTION("""COMPUTED_VALUE"""),18258.0)</f>
        <v>18258</v>
      </c>
      <c r="F4118" s="115">
        <f>IFERROR(__xludf.DUMMYFUNCTION("""COMPUTED_VALUE"""),169198.0)</f>
        <v>169198</v>
      </c>
      <c r="G4118" s="115">
        <f>IFERROR(__xludf.DUMMYFUNCTION("""COMPUTED_VALUE"""),3244.0)</f>
        <v>3244</v>
      </c>
      <c r="H4118" s="116">
        <f>IFERROR(__xludf.DUMMYFUNCTION("""COMPUTED_VALUE"""),45908.0)</f>
        <v>45908</v>
      </c>
      <c r="I4118" s="115" t="str">
        <f>IFERROR(__xludf.DUMMYFUNCTION("""COMPUTED_VALUE"""),"17")</f>
        <v>17</v>
      </c>
      <c r="J4118" s="115" t="str">
        <f>IFERROR(__xludf.DUMMYFUNCTION("""COMPUTED_VALUE"""),"Vineeth V2025-09-0817")</f>
        <v>Vineeth V2025-09-0817</v>
      </c>
      <c r="K4118" s="115">
        <f>IFERROR(__xludf.DUMMYFUNCTION("""COMPUTED_VALUE"""),290208.0)</f>
        <v>290208</v>
      </c>
    </row>
    <row r="4119">
      <c r="A4119" s="115" t="str">
        <f>IFERROR(__xludf.DUMMYFUNCTION("""COMPUTED_VALUE"""),"SOUTH")</f>
        <v>SOUTH</v>
      </c>
      <c r="B4119" s="115" t="str">
        <f>IFERROR(__xludf.DUMMYFUNCTION("""COMPUTED_VALUE"""),"Vineeth V")</f>
        <v>Vineeth V</v>
      </c>
      <c r="C4119" s="115" t="str">
        <f>IFERROR(__xludf.DUMMYFUNCTION("""COMPUTED_VALUE"""),"MYNTRA")</f>
        <v>MYNTRA</v>
      </c>
      <c r="D4119" s="115">
        <f>IFERROR(__xludf.DUMMYFUNCTION("""COMPUTED_VALUE"""),20597.0)</f>
        <v>20597</v>
      </c>
      <c r="E4119" s="115">
        <f>IFERROR(__xludf.DUMMYFUNCTION("""COMPUTED_VALUE"""),4880.0)</f>
        <v>4880</v>
      </c>
      <c r="F4119" s="115">
        <f>IFERROR(__xludf.DUMMYFUNCTION("""COMPUTED_VALUE"""),13842.0)</f>
        <v>13842</v>
      </c>
      <c r="G4119" s="115">
        <f>IFERROR(__xludf.DUMMYFUNCTION("""COMPUTED_VALUE"""),938.0)</f>
        <v>938</v>
      </c>
      <c r="H4119" s="116">
        <f>IFERROR(__xludf.DUMMYFUNCTION("""COMPUTED_VALUE"""),45908.0)</f>
        <v>45908</v>
      </c>
      <c r="I4119" s="115" t="str">
        <f>IFERROR(__xludf.DUMMYFUNCTION("""COMPUTED_VALUE"""),"17")</f>
        <v>17</v>
      </c>
      <c r="J4119" s="115" t="str">
        <f>IFERROR(__xludf.DUMMYFUNCTION("""COMPUTED_VALUE"""),"Vineeth V2025-09-0817")</f>
        <v>Vineeth V2025-09-0817</v>
      </c>
      <c r="K4119" s="115">
        <f>IFERROR(__xludf.DUMMYFUNCTION("""COMPUTED_VALUE"""),25477.0)</f>
        <v>25477</v>
      </c>
    </row>
    <row r="4120">
      <c r="A4120" s="115" t="str">
        <f>IFERROR(__xludf.DUMMYFUNCTION("""COMPUTED_VALUE"""),"WEST")</f>
        <v>WEST</v>
      </c>
      <c r="B4120" s="115" t="str">
        <f>IFERROR(__xludf.DUMMYFUNCTION("""COMPUTED_VALUE"""),"Ashish Jakar")</f>
        <v>Ashish Jakar</v>
      </c>
      <c r="C4120" s="115" t="str">
        <f>IFERROR(__xludf.DUMMYFUNCTION("""COMPUTED_VALUE"""),"EXTERNAL")</f>
        <v>EXTERNAL</v>
      </c>
      <c r="D4120" s="115">
        <f>IFERROR(__xludf.DUMMYFUNCTION("""COMPUTED_VALUE"""),63806.0)</f>
        <v>63806</v>
      </c>
      <c r="E4120" s="115">
        <f>IFERROR(__xludf.DUMMYFUNCTION("""COMPUTED_VALUE"""),7956.0)</f>
        <v>7956</v>
      </c>
      <c r="F4120" s="115">
        <f>IFERROR(__xludf.DUMMYFUNCTION("""COMPUTED_VALUE"""),21950.0)</f>
        <v>21950</v>
      </c>
      <c r="G4120" s="115">
        <f>IFERROR(__xludf.DUMMYFUNCTION("""COMPUTED_VALUE"""),2295.0)</f>
        <v>2295</v>
      </c>
      <c r="H4120" s="116">
        <f>IFERROR(__xludf.DUMMYFUNCTION("""COMPUTED_VALUE"""),45908.0)</f>
        <v>45908</v>
      </c>
      <c r="I4120" s="115" t="str">
        <f>IFERROR(__xludf.DUMMYFUNCTION("""COMPUTED_VALUE"""),"17")</f>
        <v>17</v>
      </c>
      <c r="J4120" s="115" t="str">
        <f>IFERROR(__xludf.DUMMYFUNCTION("""COMPUTED_VALUE"""),"Ashish Jakar2025-09-0817")</f>
        <v>Ashish Jakar2025-09-0817</v>
      </c>
      <c r="K4120" s="115">
        <f>IFERROR(__xludf.DUMMYFUNCTION("""COMPUTED_VALUE"""),71762.0)</f>
        <v>71762</v>
      </c>
    </row>
    <row r="4121">
      <c r="A4121" s="115" t="str">
        <f>IFERROR(__xludf.DUMMYFUNCTION("""COMPUTED_VALUE"""),"WEST")</f>
        <v>WEST</v>
      </c>
      <c r="B4121" s="115" t="str">
        <f>IFERROR(__xludf.DUMMYFUNCTION("""COMPUTED_VALUE"""),"Ashish Jakar")</f>
        <v>Ashish Jakar</v>
      </c>
      <c r="C4121" s="115" t="str">
        <f>IFERROR(__xludf.DUMMYFUNCTION("""COMPUTED_VALUE"""),"FLIPKART")</f>
        <v>FLIPKART</v>
      </c>
      <c r="D4121" s="115">
        <f>IFERROR(__xludf.DUMMYFUNCTION("""COMPUTED_VALUE"""),369331.0)</f>
        <v>369331</v>
      </c>
      <c r="E4121" s="115">
        <f>IFERROR(__xludf.DUMMYFUNCTION("""COMPUTED_VALUE"""),34525.0)</f>
        <v>34525</v>
      </c>
      <c r="F4121" s="115">
        <f>IFERROR(__xludf.DUMMYFUNCTION("""COMPUTED_VALUE"""),225021.0)</f>
        <v>225021</v>
      </c>
      <c r="G4121" s="115">
        <f>IFERROR(__xludf.DUMMYFUNCTION("""COMPUTED_VALUE"""),14112.0)</f>
        <v>14112</v>
      </c>
      <c r="H4121" s="116">
        <f>IFERROR(__xludf.DUMMYFUNCTION("""COMPUTED_VALUE"""),45908.0)</f>
        <v>45908</v>
      </c>
      <c r="I4121" s="115" t="str">
        <f>IFERROR(__xludf.DUMMYFUNCTION("""COMPUTED_VALUE"""),"17")</f>
        <v>17</v>
      </c>
      <c r="J4121" s="115" t="str">
        <f>IFERROR(__xludf.DUMMYFUNCTION("""COMPUTED_VALUE"""),"Ashish Jakar2025-09-0817")</f>
        <v>Ashish Jakar2025-09-0817</v>
      </c>
      <c r="K4121" s="115">
        <f>IFERROR(__xludf.DUMMYFUNCTION("""COMPUTED_VALUE"""),403856.0)</f>
        <v>403856</v>
      </c>
    </row>
    <row r="4122">
      <c r="A4122" s="115" t="str">
        <f>IFERROR(__xludf.DUMMYFUNCTION("""COMPUTED_VALUE"""),"WEST")</f>
        <v>WEST</v>
      </c>
      <c r="B4122" s="115" t="str">
        <f>IFERROR(__xludf.DUMMYFUNCTION("""COMPUTED_VALUE"""),"Ashish Jakar")</f>
        <v>Ashish Jakar</v>
      </c>
      <c r="C4122" s="115" t="str">
        <f>IFERROR(__xludf.DUMMYFUNCTION("""COMPUTED_VALUE"""),"MYNTRA")</f>
        <v>MYNTRA</v>
      </c>
      <c r="D4122" s="115">
        <f>IFERROR(__xludf.DUMMYFUNCTION("""COMPUTED_VALUE"""),46595.0)</f>
        <v>46595</v>
      </c>
      <c r="E4122" s="115">
        <f>IFERROR(__xludf.DUMMYFUNCTION("""COMPUTED_VALUE"""),11986.0)</f>
        <v>11986</v>
      </c>
      <c r="F4122" s="115">
        <f>IFERROR(__xludf.DUMMYFUNCTION("""COMPUTED_VALUE"""),33125.0)</f>
        <v>33125</v>
      </c>
      <c r="G4122" s="115">
        <f>IFERROR(__xludf.DUMMYFUNCTION("""COMPUTED_VALUE"""),5599.0)</f>
        <v>5599</v>
      </c>
      <c r="H4122" s="116">
        <f>IFERROR(__xludf.DUMMYFUNCTION("""COMPUTED_VALUE"""),45908.0)</f>
        <v>45908</v>
      </c>
      <c r="I4122" s="115" t="str">
        <f>IFERROR(__xludf.DUMMYFUNCTION("""COMPUTED_VALUE"""),"17")</f>
        <v>17</v>
      </c>
      <c r="J4122" s="115" t="str">
        <f>IFERROR(__xludf.DUMMYFUNCTION("""COMPUTED_VALUE"""),"Ashish Jakar2025-09-0817")</f>
        <v>Ashish Jakar2025-09-0817</v>
      </c>
      <c r="K4122" s="115">
        <f>IFERROR(__xludf.DUMMYFUNCTION("""COMPUTED_VALUE"""),58581.0)</f>
        <v>58581</v>
      </c>
    </row>
    <row r="4123">
      <c r="A4123" s="115" t="str">
        <f>IFERROR(__xludf.DUMMYFUNCTION("""COMPUTED_VALUE"""),"WEST")</f>
        <v>WEST</v>
      </c>
      <c r="B4123" s="115" t="str">
        <f>IFERROR(__xludf.DUMMYFUNCTION("""COMPUTED_VALUE"""),"Ashvani Bhatt")</f>
        <v>Ashvani Bhatt</v>
      </c>
      <c r="C4123" s="115" t="str">
        <f>IFERROR(__xludf.DUMMYFUNCTION("""COMPUTED_VALUE"""),"EXTERNAL")</f>
        <v>EXTERNAL</v>
      </c>
      <c r="D4123" s="115">
        <f>IFERROR(__xludf.DUMMYFUNCTION("""COMPUTED_VALUE"""),42694.0)</f>
        <v>42694</v>
      </c>
      <c r="E4123" s="115">
        <f>IFERROR(__xludf.DUMMYFUNCTION("""COMPUTED_VALUE"""),3775.0)</f>
        <v>3775</v>
      </c>
      <c r="F4123" s="115">
        <f>IFERROR(__xludf.DUMMYFUNCTION("""COMPUTED_VALUE"""),16534.0)</f>
        <v>16534</v>
      </c>
      <c r="G4123" s="115">
        <f>IFERROR(__xludf.DUMMYFUNCTION("""COMPUTED_VALUE"""),891.0)</f>
        <v>891</v>
      </c>
      <c r="H4123" s="116">
        <f>IFERROR(__xludf.DUMMYFUNCTION("""COMPUTED_VALUE"""),45908.0)</f>
        <v>45908</v>
      </c>
      <c r="I4123" s="115" t="str">
        <f>IFERROR(__xludf.DUMMYFUNCTION("""COMPUTED_VALUE"""),"17")</f>
        <v>17</v>
      </c>
      <c r="J4123" s="115" t="str">
        <f>IFERROR(__xludf.DUMMYFUNCTION("""COMPUTED_VALUE"""),"Ashvani Bhatt2025-09-0817")</f>
        <v>Ashvani Bhatt2025-09-0817</v>
      </c>
      <c r="K4123" s="115">
        <f>IFERROR(__xludf.DUMMYFUNCTION("""COMPUTED_VALUE"""),46469.0)</f>
        <v>46469</v>
      </c>
    </row>
    <row r="4124">
      <c r="A4124" s="115" t="str">
        <f>IFERROR(__xludf.DUMMYFUNCTION("""COMPUTED_VALUE"""),"WEST")</f>
        <v>WEST</v>
      </c>
      <c r="B4124" s="115" t="str">
        <f>IFERROR(__xludf.DUMMYFUNCTION("""COMPUTED_VALUE"""),"Ashvani Bhatt")</f>
        <v>Ashvani Bhatt</v>
      </c>
      <c r="C4124" s="115" t="str">
        <f>IFERROR(__xludf.DUMMYFUNCTION("""COMPUTED_VALUE"""),"FLIPKART")</f>
        <v>FLIPKART</v>
      </c>
      <c r="D4124" s="115">
        <f>IFERROR(__xludf.DUMMYFUNCTION("""COMPUTED_VALUE"""),276958.0)</f>
        <v>276958</v>
      </c>
      <c r="E4124" s="115">
        <f>IFERROR(__xludf.DUMMYFUNCTION("""COMPUTED_VALUE"""),29677.0)</f>
        <v>29677</v>
      </c>
      <c r="F4124" s="115">
        <f>IFERROR(__xludf.DUMMYFUNCTION("""COMPUTED_VALUE"""),183096.0)</f>
        <v>183096</v>
      </c>
      <c r="G4124" s="115">
        <f>IFERROR(__xludf.DUMMYFUNCTION("""COMPUTED_VALUE"""),12555.0)</f>
        <v>12555</v>
      </c>
      <c r="H4124" s="116">
        <f>IFERROR(__xludf.DUMMYFUNCTION("""COMPUTED_VALUE"""),45908.0)</f>
        <v>45908</v>
      </c>
      <c r="I4124" s="115" t="str">
        <f>IFERROR(__xludf.DUMMYFUNCTION("""COMPUTED_VALUE"""),"17")</f>
        <v>17</v>
      </c>
      <c r="J4124" s="115" t="str">
        <f>IFERROR(__xludf.DUMMYFUNCTION("""COMPUTED_VALUE"""),"Ashvani Bhatt2025-09-0817")</f>
        <v>Ashvani Bhatt2025-09-0817</v>
      </c>
      <c r="K4124" s="115">
        <f>IFERROR(__xludf.DUMMYFUNCTION("""COMPUTED_VALUE"""),306635.0)</f>
        <v>306635</v>
      </c>
    </row>
    <row r="4125">
      <c r="A4125" s="115" t="str">
        <f>IFERROR(__xludf.DUMMYFUNCTION("""COMPUTED_VALUE"""),"WEST")</f>
        <v>WEST</v>
      </c>
      <c r="B4125" s="115" t="str">
        <f>IFERROR(__xludf.DUMMYFUNCTION("""COMPUTED_VALUE"""),"Ashvani Bhatt")</f>
        <v>Ashvani Bhatt</v>
      </c>
      <c r="C4125" s="115" t="str">
        <f>IFERROR(__xludf.DUMMYFUNCTION("""COMPUTED_VALUE"""),"MYNTRA")</f>
        <v>MYNTRA</v>
      </c>
      <c r="D4125" s="115">
        <f>IFERROR(__xludf.DUMMYFUNCTION("""COMPUTED_VALUE"""),36918.0)</f>
        <v>36918</v>
      </c>
      <c r="E4125" s="115">
        <f>IFERROR(__xludf.DUMMYFUNCTION("""COMPUTED_VALUE"""),9086.0)</f>
        <v>9086</v>
      </c>
      <c r="F4125" s="115">
        <f>IFERROR(__xludf.DUMMYFUNCTION("""COMPUTED_VALUE"""),28527.0)</f>
        <v>28527</v>
      </c>
      <c r="G4125" s="115">
        <f>IFERROR(__xludf.DUMMYFUNCTION("""COMPUTED_VALUE"""),4618.0)</f>
        <v>4618</v>
      </c>
      <c r="H4125" s="116">
        <f>IFERROR(__xludf.DUMMYFUNCTION("""COMPUTED_VALUE"""),45908.0)</f>
        <v>45908</v>
      </c>
      <c r="I4125" s="115" t="str">
        <f>IFERROR(__xludf.DUMMYFUNCTION("""COMPUTED_VALUE"""),"17")</f>
        <v>17</v>
      </c>
      <c r="J4125" s="115" t="str">
        <f>IFERROR(__xludf.DUMMYFUNCTION("""COMPUTED_VALUE"""),"Ashvani Bhatt2025-09-0817")</f>
        <v>Ashvani Bhatt2025-09-0817</v>
      </c>
      <c r="K4125" s="115">
        <f>IFERROR(__xludf.DUMMYFUNCTION("""COMPUTED_VALUE"""),46004.0)</f>
        <v>46004</v>
      </c>
    </row>
    <row r="4126">
      <c r="A4126" s="115"/>
      <c r="B4126" s="115"/>
      <c r="C4126" s="115" t="str">
        <f>IFERROR(__xludf.DUMMYFUNCTION("""COMPUTED_VALUE"""),"EXTERNAL")</f>
        <v>EXTERNAL</v>
      </c>
      <c r="D4126" s="115">
        <f>IFERROR(__xludf.DUMMYFUNCTION("""COMPUTED_VALUE"""),503.0)</f>
        <v>503</v>
      </c>
      <c r="E4126" s="115">
        <f>IFERROR(__xludf.DUMMYFUNCTION("""COMPUTED_VALUE"""),98.0)</f>
        <v>98</v>
      </c>
      <c r="F4126" s="115">
        <f>IFERROR(__xludf.DUMMYFUNCTION("""COMPUTED_VALUE"""),212.0)</f>
        <v>212</v>
      </c>
      <c r="G4126" s="115">
        <f>IFERROR(__xludf.DUMMYFUNCTION("""COMPUTED_VALUE"""),64.0)</f>
        <v>64</v>
      </c>
      <c r="H4126" s="116">
        <f>IFERROR(__xludf.DUMMYFUNCTION("""COMPUTED_VALUE"""),45908.0)</f>
        <v>45908</v>
      </c>
      <c r="I4126" s="115" t="str">
        <f>IFERROR(__xludf.DUMMYFUNCTION("""COMPUTED_VALUE"""),"17")</f>
        <v>17</v>
      </c>
      <c r="J4126" s="115" t="str">
        <f>IFERROR(__xludf.DUMMYFUNCTION("""COMPUTED_VALUE"""),"2025-09-0817")</f>
        <v>2025-09-0817</v>
      </c>
      <c r="K4126" s="115">
        <f>IFERROR(__xludf.DUMMYFUNCTION("""COMPUTED_VALUE"""),601.0)</f>
        <v>601</v>
      </c>
    </row>
    <row r="4127">
      <c r="A4127" s="115"/>
      <c r="B4127" s="115"/>
      <c r="C4127" s="115" t="str">
        <f>IFERROR(__xludf.DUMMYFUNCTION("""COMPUTED_VALUE"""),"FLIPKART")</f>
        <v>FLIPKART</v>
      </c>
      <c r="D4127" s="115">
        <f>IFERROR(__xludf.DUMMYFUNCTION("""COMPUTED_VALUE"""),4847.0)</f>
        <v>4847</v>
      </c>
      <c r="E4127" s="115">
        <f>IFERROR(__xludf.DUMMYFUNCTION("""COMPUTED_VALUE"""),512.0)</f>
        <v>512</v>
      </c>
      <c r="F4127" s="115">
        <f>IFERROR(__xludf.DUMMYFUNCTION("""COMPUTED_VALUE"""),2758.0)</f>
        <v>2758</v>
      </c>
      <c r="G4127" s="115">
        <f>IFERROR(__xludf.DUMMYFUNCTION("""COMPUTED_VALUE"""),222.0)</f>
        <v>222</v>
      </c>
      <c r="H4127" s="116">
        <f>IFERROR(__xludf.DUMMYFUNCTION("""COMPUTED_VALUE"""),45908.0)</f>
        <v>45908</v>
      </c>
      <c r="I4127" s="115" t="str">
        <f>IFERROR(__xludf.DUMMYFUNCTION("""COMPUTED_VALUE"""),"17")</f>
        <v>17</v>
      </c>
      <c r="J4127" s="115" t="str">
        <f>IFERROR(__xludf.DUMMYFUNCTION("""COMPUTED_VALUE"""),"2025-09-0817")</f>
        <v>2025-09-0817</v>
      </c>
      <c r="K4127" s="115">
        <f>IFERROR(__xludf.DUMMYFUNCTION("""COMPUTED_VALUE"""),5359.0)</f>
        <v>5359</v>
      </c>
    </row>
    <row r="4128">
      <c r="A4128" s="115"/>
      <c r="B4128" s="115"/>
      <c r="C4128" s="115" t="str">
        <f>IFERROR(__xludf.DUMMYFUNCTION("""COMPUTED_VALUE"""),"MYNTRA")</f>
        <v>MYNTRA</v>
      </c>
      <c r="D4128" s="115">
        <f>IFERROR(__xludf.DUMMYFUNCTION("""COMPUTED_VALUE"""),556.0)</f>
        <v>556</v>
      </c>
      <c r="E4128" s="115">
        <f>IFERROR(__xludf.DUMMYFUNCTION("""COMPUTED_VALUE"""),189.0)</f>
        <v>189</v>
      </c>
      <c r="F4128" s="115">
        <f>IFERROR(__xludf.DUMMYFUNCTION("""COMPUTED_VALUE"""),418.0)</f>
        <v>418</v>
      </c>
      <c r="G4128" s="115">
        <f>IFERROR(__xludf.DUMMYFUNCTION("""COMPUTED_VALUE"""),126.0)</f>
        <v>126</v>
      </c>
      <c r="H4128" s="116">
        <f>IFERROR(__xludf.DUMMYFUNCTION("""COMPUTED_VALUE"""),45908.0)</f>
        <v>45908</v>
      </c>
      <c r="I4128" s="115" t="str">
        <f>IFERROR(__xludf.DUMMYFUNCTION("""COMPUTED_VALUE"""),"17")</f>
        <v>17</v>
      </c>
      <c r="J4128" s="115" t="str">
        <f>IFERROR(__xludf.DUMMYFUNCTION("""COMPUTED_VALUE"""),"2025-09-0817")</f>
        <v>2025-09-0817</v>
      </c>
      <c r="K4128" s="115">
        <f>IFERROR(__xludf.DUMMYFUNCTION("""COMPUTED_VALUE"""),745.0)</f>
        <v>745</v>
      </c>
    </row>
    <row r="4129">
      <c r="A4129" s="115" t="str">
        <f>IFERROR(__xludf.DUMMYFUNCTION("""COMPUTED_VALUE"""),"EAST")</f>
        <v>EAST</v>
      </c>
      <c r="B4129" s="115" t="str">
        <f>IFERROR(__xludf.DUMMYFUNCTION("""COMPUTED_VALUE"""),"Ashish Ranjan")</f>
        <v>Ashish Ranjan</v>
      </c>
      <c r="C4129" s="115" t="str">
        <f>IFERROR(__xludf.DUMMYFUNCTION("""COMPUTED_VALUE"""),"EXTERNAL")</f>
        <v>EXTERNAL</v>
      </c>
      <c r="D4129" s="115">
        <f>IFERROR(__xludf.DUMMYFUNCTION("""COMPUTED_VALUE"""),47297.0)</f>
        <v>47297</v>
      </c>
      <c r="E4129" s="115">
        <f>IFERROR(__xludf.DUMMYFUNCTION("""COMPUTED_VALUE"""),3838.0)</f>
        <v>3838</v>
      </c>
      <c r="F4129" s="115">
        <f>IFERROR(__xludf.DUMMYFUNCTION("""COMPUTED_VALUE"""),24463.0)</f>
        <v>24463</v>
      </c>
      <c r="G4129" s="115">
        <f>IFERROR(__xludf.DUMMYFUNCTION("""COMPUTED_VALUE"""),1496.0)</f>
        <v>1496</v>
      </c>
      <c r="H4129" s="116">
        <f>IFERROR(__xludf.DUMMYFUNCTION("""COMPUTED_VALUE"""),45908.0)</f>
        <v>45908</v>
      </c>
      <c r="I4129" s="115" t="str">
        <f>IFERROR(__xludf.DUMMYFUNCTION("""COMPUTED_VALUE"""),"18")</f>
        <v>18</v>
      </c>
      <c r="J4129" s="115" t="str">
        <f>IFERROR(__xludf.DUMMYFUNCTION("""COMPUTED_VALUE"""),"Ashish Ranjan2025-09-0818")</f>
        <v>Ashish Ranjan2025-09-0818</v>
      </c>
      <c r="K4129" s="115">
        <f>IFERROR(__xludf.DUMMYFUNCTION("""COMPUTED_VALUE"""),51135.0)</f>
        <v>51135</v>
      </c>
    </row>
    <row r="4130">
      <c r="A4130" s="115" t="str">
        <f>IFERROR(__xludf.DUMMYFUNCTION("""COMPUTED_VALUE"""),"EAST")</f>
        <v>EAST</v>
      </c>
      <c r="B4130" s="115" t="str">
        <f>IFERROR(__xludf.DUMMYFUNCTION("""COMPUTED_VALUE"""),"Ashish Ranjan")</f>
        <v>Ashish Ranjan</v>
      </c>
      <c r="C4130" s="115" t="str">
        <f>IFERROR(__xludf.DUMMYFUNCTION("""COMPUTED_VALUE"""),"FLIPKART")</f>
        <v>FLIPKART</v>
      </c>
      <c r="D4130" s="115">
        <f>IFERROR(__xludf.DUMMYFUNCTION("""COMPUTED_VALUE"""),700014.0)</f>
        <v>700014</v>
      </c>
      <c r="E4130" s="115">
        <f>IFERROR(__xludf.DUMMYFUNCTION("""COMPUTED_VALUE"""),66562.0)</f>
        <v>66562</v>
      </c>
      <c r="F4130" s="115">
        <f>IFERROR(__xludf.DUMMYFUNCTION("""COMPUTED_VALUE"""),566410.0)</f>
        <v>566410</v>
      </c>
      <c r="G4130" s="115">
        <f>IFERROR(__xludf.DUMMYFUNCTION("""COMPUTED_VALUE"""),38874.0)</f>
        <v>38874</v>
      </c>
      <c r="H4130" s="116">
        <f>IFERROR(__xludf.DUMMYFUNCTION("""COMPUTED_VALUE"""),45908.0)</f>
        <v>45908</v>
      </c>
      <c r="I4130" s="115" t="str">
        <f>IFERROR(__xludf.DUMMYFUNCTION("""COMPUTED_VALUE"""),"18")</f>
        <v>18</v>
      </c>
      <c r="J4130" s="115" t="str">
        <f>IFERROR(__xludf.DUMMYFUNCTION("""COMPUTED_VALUE"""),"Ashish Ranjan2025-09-0818")</f>
        <v>Ashish Ranjan2025-09-0818</v>
      </c>
      <c r="K4130" s="115">
        <f>IFERROR(__xludf.DUMMYFUNCTION("""COMPUTED_VALUE"""),766576.0)</f>
        <v>766576</v>
      </c>
    </row>
    <row r="4131">
      <c r="A4131" s="115" t="str">
        <f>IFERROR(__xludf.DUMMYFUNCTION("""COMPUTED_VALUE"""),"EAST")</f>
        <v>EAST</v>
      </c>
      <c r="B4131" s="115" t="str">
        <f>IFERROR(__xludf.DUMMYFUNCTION("""COMPUTED_VALUE"""),"Ashish Ranjan")</f>
        <v>Ashish Ranjan</v>
      </c>
      <c r="C4131" s="115" t="str">
        <f>IFERROR(__xludf.DUMMYFUNCTION("""COMPUTED_VALUE"""),"MYNTRA")</f>
        <v>MYNTRA</v>
      </c>
      <c r="D4131" s="115">
        <f>IFERROR(__xludf.DUMMYFUNCTION("""COMPUTED_VALUE"""),82046.0)</f>
        <v>82046</v>
      </c>
      <c r="E4131" s="115">
        <f>IFERROR(__xludf.DUMMYFUNCTION("""COMPUTED_VALUE"""),15600.0)</f>
        <v>15600</v>
      </c>
      <c r="F4131" s="115">
        <f>IFERROR(__xludf.DUMMYFUNCTION("""COMPUTED_VALUE"""),67266.0)</f>
        <v>67266</v>
      </c>
      <c r="G4131" s="115">
        <f>IFERROR(__xludf.DUMMYFUNCTION("""COMPUTED_VALUE"""),9082.0)</f>
        <v>9082</v>
      </c>
      <c r="H4131" s="116">
        <f>IFERROR(__xludf.DUMMYFUNCTION("""COMPUTED_VALUE"""),45908.0)</f>
        <v>45908</v>
      </c>
      <c r="I4131" s="115" t="str">
        <f>IFERROR(__xludf.DUMMYFUNCTION("""COMPUTED_VALUE"""),"18")</f>
        <v>18</v>
      </c>
      <c r="J4131" s="115" t="str">
        <f>IFERROR(__xludf.DUMMYFUNCTION("""COMPUTED_VALUE"""),"Ashish Ranjan2025-09-0818")</f>
        <v>Ashish Ranjan2025-09-0818</v>
      </c>
      <c r="K4131" s="115">
        <f>IFERROR(__xludf.DUMMYFUNCTION("""COMPUTED_VALUE"""),97646.0)</f>
        <v>97646</v>
      </c>
    </row>
    <row r="4132">
      <c r="A4132" s="115" t="str">
        <f>IFERROR(__xludf.DUMMYFUNCTION("""COMPUTED_VALUE"""),"EAST")</f>
        <v>EAST</v>
      </c>
      <c r="B4132" s="115" t="str">
        <f>IFERROR(__xludf.DUMMYFUNCTION("""COMPUTED_VALUE"""),"Girish Chand")</f>
        <v>Girish Chand</v>
      </c>
      <c r="C4132" s="115" t="str">
        <f>IFERROR(__xludf.DUMMYFUNCTION("""COMPUTED_VALUE"""),"EXTERNAL")</f>
        <v>EXTERNAL</v>
      </c>
      <c r="D4132" s="115">
        <f>IFERROR(__xludf.DUMMYFUNCTION("""COMPUTED_VALUE"""),24836.0)</f>
        <v>24836</v>
      </c>
      <c r="E4132" s="115">
        <f>IFERROR(__xludf.DUMMYFUNCTION("""COMPUTED_VALUE"""),2446.0)</f>
        <v>2446</v>
      </c>
      <c r="F4132" s="115">
        <f>IFERROR(__xludf.DUMMYFUNCTION("""COMPUTED_VALUE"""),10576.0)</f>
        <v>10576</v>
      </c>
      <c r="G4132" s="115">
        <f>IFERROR(__xludf.DUMMYFUNCTION("""COMPUTED_VALUE"""),537.0)</f>
        <v>537</v>
      </c>
      <c r="H4132" s="116">
        <f>IFERROR(__xludf.DUMMYFUNCTION("""COMPUTED_VALUE"""),45908.0)</f>
        <v>45908</v>
      </c>
      <c r="I4132" s="115" t="str">
        <f>IFERROR(__xludf.DUMMYFUNCTION("""COMPUTED_VALUE"""),"18")</f>
        <v>18</v>
      </c>
      <c r="J4132" s="115" t="str">
        <f>IFERROR(__xludf.DUMMYFUNCTION("""COMPUTED_VALUE"""),"Girish Chand2025-09-0818")</f>
        <v>Girish Chand2025-09-0818</v>
      </c>
      <c r="K4132" s="115">
        <f>IFERROR(__xludf.DUMMYFUNCTION("""COMPUTED_VALUE"""),27282.0)</f>
        <v>27282</v>
      </c>
    </row>
    <row r="4133">
      <c r="A4133" s="115" t="str">
        <f>IFERROR(__xludf.DUMMYFUNCTION("""COMPUTED_VALUE"""),"EAST")</f>
        <v>EAST</v>
      </c>
      <c r="B4133" s="115" t="str">
        <f>IFERROR(__xludf.DUMMYFUNCTION("""COMPUTED_VALUE"""),"Girish Chand")</f>
        <v>Girish Chand</v>
      </c>
      <c r="C4133" s="115" t="str">
        <f>IFERROR(__xludf.DUMMYFUNCTION("""COMPUTED_VALUE"""),"FLIPKART")</f>
        <v>FLIPKART</v>
      </c>
      <c r="D4133" s="115">
        <f>IFERROR(__xludf.DUMMYFUNCTION("""COMPUTED_VALUE"""),396515.0)</f>
        <v>396515</v>
      </c>
      <c r="E4133" s="115">
        <f>IFERROR(__xludf.DUMMYFUNCTION("""COMPUTED_VALUE"""),40161.0)</f>
        <v>40161</v>
      </c>
      <c r="F4133" s="115">
        <f>IFERROR(__xludf.DUMMYFUNCTION("""COMPUTED_VALUE"""),280889.0)</f>
        <v>280889</v>
      </c>
      <c r="G4133" s="115">
        <f>IFERROR(__xludf.DUMMYFUNCTION("""COMPUTED_VALUE"""),21551.0)</f>
        <v>21551</v>
      </c>
      <c r="H4133" s="116">
        <f>IFERROR(__xludf.DUMMYFUNCTION("""COMPUTED_VALUE"""),45908.0)</f>
        <v>45908</v>
      </c>
      <c r="I4133" s="115" t="str">
        <f>IFERROR(__xludf.DUMMYFUNCTION("""COMPUTED_VALUE"""),"18")</f>
        <v>18</v>
      </c>
      <c r="J4133" s="115" t="str">
        <f>IFERROR(__xludf.DUMMYFUNCTION("""COMPUTED_VALUE"""),"Girish Chand2025-09-0818")</f>
        <v>Girish Chand2025-09-0818</v>
      </c>
      <c r="K4133" s="115">
        <f>IFERROR(__xludf.DUMMYFUNCTION("""COMPUTED_VALUE"""),436676.0)</f>
        <v>436676</v>
      </c>
    </row>
    <row r="4134">
      <c r="A4134" s="115" t="str">
        <f>IFERROR(__xludf.DUMMYFUNCTION("""COMPUTED_VALUE"""),"EAST")</f>
        <v>EAST</v>
      </c>
      <c r="B4134" s="115" t="str">
        <f>IFERROR(__xludf.DUMMYFUNCTION("""COMPUTED_VALUE"""),"Girish Chand")</f>
        <v>Girish Chand</v>
      </c>
      <c r="C4134" s="115" t="str">
        <f>IFERROR(__xludf.DUMMYFUNCTION("""COMPUTED_VALUE"""),"MYNTRA")</f>
        <v>MYNTRA</v>
      </c>
      <c r="D4134" s="115">
        <f>IFERROR(__xludf.DUMMYFUNCTION("""COMPUTED_VALUE"""),39016.0)</f>
        <v>39016</v>
      </c>
      <c r="E4134" s="115">
        <f>IFERROR(__xludf.DUMMYFUNCTION("""COMPUTED_VALUE"""),7548.0)</f>
        <v>7548</v>
      </c>
      <c r="F4134" s="115">
        <f>IFERROR(__xludf.DUMMYFUNCTION("""COMPUTED_VALUE"""),29537.0)</f>
        <v>29537</v>
      </c>
      <c r="G4134" s="115">
        <f>IFERROR(__xludf.DUMMYFUNCTION("""COMPUTED_VALUE"""),4406.0)</f>
        <v>4406</v>
      </c>
      <c r="H4134" s="116">
        <f>IFERROR(__xludf.DUMMYFUNCTION("""COMPUTED_VALUE"""),45908.0)</f>
        <v>45908</v>
      </c>
      <c r="I4134" s="115" t="str">
        <f>IFERROR(__xludf.DUMMYFUNCTION("""COMPUTED_VALUE"""),"18")</f>
        <v>18</v>
      </c>
      <c r="J4134" s="115" t="str">
        <f>IFERROR(__xludf.DUMMYFUNCTION("""COMPUTED_VALUE"""),"Girish Chand2025-09-0818")</f>
        <v>Girish Chand2025-09-0818</v>
      </c>
      <c r="K4134" s="115">
        <f>IFERROR(__xludf.DUMMYFUNCTION("""COMPUTED_VALUE"""),46564.0)</f>
        <v>46564</v>
      </c>
    </row>
    <row r="4135">
      <c r="A4135" s="115" t="str">
        <f>IFERROR(__xludf.DUMMYFUNCTION("""COMPUTED_VALUE"""),"EAST")</f>
        <v>EAST</v>
      </c>
      <c r="B4135" s="115" t="str">
        <f>IFERROR(__xludf.DUMMYFUNCTION("""COMPUTED_VALUE"""),"Parag Kashyap")</f>
        <v>Parag Kashyap</v>
      </c>
      <c r="C4135" s="115" t="str">
        <f>IFERROR(__xludf.DUMMYFUNCTION("""COMPUTED_VALUE"""),"EXTERNAL")</f>
        <v>EXTERNAL</v>
      </c>
      <c r="D4135" s="115">
        <f>IFERROR(__xludf.DUMMYFUNCTION("""COMPUTED_VALUE"""),20279.0)</f>
        <v>20279</v>
      </c>
      <c r="E4135" s="115">
        <f>IFERROR(__xludf.DUMMYFUNCTION("""COMPUTED_VALUE"""),1261.0)</f>
        <v>1261</v>
      </c>
      <c r="F4135" s="115">
        <f>IFERROR(__xludf.DUMMYFUNCTION("""COMPUTED_VALUE"""),8593.0)</f>
        <v>8593</v>
      </c>
      <c r="G4135" s="115">
        <f>IFERROR(__xludf.DUMMYFUNCTION("""COMPUTED_VALUE"""),238.0)</f>
        <v>238</v>
      </c>
      <c r="H4135" s="116">
        <f>IFERROR(__xludf.DUMMYFUNCTION("""COMPUTED_VALUE"""),45908.0)</f>
        <v>45908</v>
      </c>
      <c r="I4135" s="115" t="str">
        <f>IFERROR(__xludf.DUMMYFUNCTION("""COMPUTED_VALUE"""),"18")</f>
        <v>18</v>
      </c>
      <c r="J4135" s="115" t="str">
        <f>IFERROR(__xludf.DUMMYFUNCTION("""COMPUTED_VALUE"""),"Parag Kashyap2025-09-0818")</f>
        <v>Parag Kashyap2025-09-0818</v>
      </c>
      <c r="K4135" s="115">
        <f>IFERROR(__xludf.DUMMYFUNCTION("""COMPUTED_VALUE"""),21540.0)</f>
        <v>21540</v>
      </c>
    </row>
    <row r="4136">
      <c r="A4136" s="115" t="str">
        <f>IFERROR(__xludf.DUMMYFUNCTION("""COMPUTED_VALUE"""),"EAST")</f>
        <v>EAST</v>
      </c>
      <c r="B4136" s="115" t="str">
        <f>IFERROR(__xludf.DUMMYFUNCTION("""COMPUTED_VALUE"""),"Parag Kashyap")</f>
        <v>Parag Kashyap</v>
      </c>
      <c r="C4136" s="115" t="str">
        <f>IFERROR(__xludf.DUMMYFUNCTION("""COMPUTED_VALUE"""),"FLIPKART")</f>
        <v>FLIPKART</v>
      </c>
      <c r="D4136" s="115">
        <f>IFERROR(__xludf.DUMMYFUNCTION("""COMPUTED_VALUE"""),339555.0)</f>
        <v>339555</v>
      </c>
      <c r="E4136" s="115">
        <f>IFERROR(__xludf.DUMMYFUNCTION("""COMPUTED_VALUE"""),20864.0)</f>
        <v>20864</v>
      </c>
      <c r="F4136" s="115">
        <f>IFERROR(__xludf.DUMMYFUNCTION("""COMPUTED_VALUE"""),241536.0)</f>
        <v>241536</v>
      </c>
      <c r="G4136" s="115">
        <f>IFERROR(__xludf.DUMMYFUNCTION("""COMPUTED_VALUE"""),8128.0)</f>
        <v>8128</v>
      </c>
      <c r="H4136" s="116">
        <f>IFERROR(__xludf.DUMMYFUNCTION("""COMPUTED_VALUE"""),45908.0)</f>
        <v>45908</v>
      </c>
      <c r="I4136" s="115" t="str">
        <f>IFERROR(__xludf.DUMMYFUNCTION("""COMPUTED_VALUE"""),"18")</f>
        <v>18</v>
      </c>
      <c r="J4136" s="115" t="str">
        <f>IFERROR(__xludf.DUMMYFUNCTION("""COMPUTED_VALUE"""),"Parag Kashyap2025-09-0818")</f>
        <v>Parag Kashyap2025-09-0818</v>
      </c>
      <c r="K4136" s="115">
        <f>IFERROR(__xludf.DUMMYFUNCTION("""COMPUTED_VALUE"""),360419.0)</f>
        <v>360419</v>
      </c>
    </row>
    <row r="4137">
      <c r="A4137" s="115" t="str">
        <f>IFERROR(__xludf.DUMMYFUNCTION("""COMPUTED_VALUE"""),"EAST")</f>
        <v>EAST</v>
      </c>
      <c r="B4137" s="115" t="str">
        <f>IFERROR(__xludf.DUMMYFUNCTION("""COMPUTED_VALUE"""),"Parag Kashyap")</f>
        <v>Parag Kashyap</v>
      </c>
      <c r="C4137" s="115" t="str">
        <f>IFERROR(__xludf.DUMMYFUNCTION("""COMPUTED_VALUE"""),"MYNTRA")</f>
        <v>MYNTRA</v>
      </c>
      <c r="D4137" s="115">
        <f>IFERROR(__xludf.DUMMYFUNCTION("""COMPUTED_VALUE"""),43938.0)</f>
        <v>43938</v>
      </c>
      <c r="E4137" s="115">
        <f>IFERROR(__xludf.DUMMYFUNCTION("""COMPUTED_VALUE"""),5772.0)</f>
        <v>5772</v>
      </c>
      <c r="F4137" s="115">
        <f>IFERROR(__xludf.DUMMYFUNCTION("""COMPUTED_VALUE"""),32736.0)</f>
        <v>32736</v>
      </c>
      <c r="G4137" s="115">
        <f>IFERROR(__xludf.DUMMYFUNCTION("""COMPUTED_VALUE"""),2163.0)</f>
        <v>2163</v>
      </c>
      <c r="H4137" s="116">
        <f>IFERROR(__xludf.DUMMYFUNCTION("""COMPUTED_VALUE"""),45908.0)</f>
        <v>45908</v>
      </c>
      <c r="I4137" s="115" t="str">
        <f>IFERROR(__xludf.DUMMYFUNCTION("""COMPUTED_VALUE"""),"18")</f>
        <v>18</v>
      </c>
      <c r="J4137" s="115" t="str">
        <f>IFERROR(__xludf.DUMMYFUNCTION("""COMPUTED_VALUE"""),"Parag Kashyap2025-09-0818")</f>
        <v>Parag Kashyap2025-09-0818</v>
      </c>
      <c r="K4137" s="115">
        <f>IFERROR(__xludf.DUMMYFUNCTION("""COMPUTED_VALUE"""),49710.0)</f>
        <v>49710</v>
      </c>
    </row>
    <row r="4138">
      <c r="A4138" s="115" t="str">
        <f>IFERROR(__xludf.DUMMYFUNCTION("""COMPUTED_VALUE"""),"NORTH")</f>
        <v>NORTH</v>
      </c>
      <c r="B4138" s="115" t="str">
        <f>IFERROR(__xludf.DUMMYFUNCTION("""COMPUTED_VALUE"""),"Amit Kumar Pathak")</f>
        <v>Amit Kumar Pathak</v>
      </c>
      <c r="C4138" s="115" t="str">
        <f>IFERROR(__xludf.DUMMYFUNCTION("""COMPUTED_VALUE"""),"EXTERNAL")</f>
        <v>EXTERNAL</v>
      </c>
      <c r="D4138" s="115">
        <f>IFERROR(__xludf.DUMMYFUNCTION("""COMPUTED_VALUE"""),31545.0)</f>
        <v>31545</v>
      </c>
      <c r="E4138" s="115">
        <f>IFERROR(__xludf.DUMMYFUNCTION("""COMPUTED_VALUE"""),3844.0)</f>
        <v>3844</v>
      </c>
      <c r="F4138" s="115">
        <f>IFERROR(__xludf.DUMMYFUNCTION("""COMPUTED_VALUE"""),10904.0)</f>
        <v>10904</v>
      </c>
      <c r="G4138" s="115">
        <f>IFERROR(__xludf.DUMMYFUNCTION("""COMPUTED_VALUE"""),1431.0)</f>
        <v>1431</v>
      </c>
      <c r="H4138" s="116">
        <f>IFERROR(__xludf.DUMMYFUNCTION("""COMPUTED_VALUE"""),45908.0)</f>
        <v>45908</v>
      </c>
      <c r="I4138" s="115" t="str">
        <f>IFERROR(__xludf.DUMMYFUNCTION("""COMPUTED_VALUE"""),"18")</f>
        <v>18</v>
      </c>
      <c r="J4138" s="115" t="str">
        <f>IFERROR(__xludf.DUMMYFUNCTION("""COMPUTED_VALUE"""),"Amit Kumar Pathak2025-09-0818")</f>
        <v>Amit Kumar Pathak2025-09-0818</v>
      </c>
      <c r="K4138" s="115">
        <f>IFERROR(__xludf.DUMMYFUNCTION("""COMPUTED_VALUE"""),35389.0)</f>
        <v>35389</v>
      </c>
    </row>
    <row r="4139">
      <c r="A4139" s="115" t="str">
        <f>IFERROR(__xludf.DUMMYFUNCTION("""COMPUTED_VALUE"""),"NORTH")</f>
        <v>NORTH</v>
      </c>
      <c r="B4139" s="115" t="str">
        <f>IFERROR(__xludf.DUMMYFUNCTION("""COMPUTED_VALUE"""),"Amit Kumar Pathak")</f>
        <v>Amit Kumar Pathak</v>
      </c>
      <c r="C4139" s="115" t="str">
        <f>IFERROR(__xludf.DUMMYFUNCTION("""COMPUTED_VALUE"""),"FLIPKART")</f>
        <v>FLIPKART</v>
      </c>
      <c r="D4139" s="115">
        <f>IFERROR(__xludf.DUMMYFUNCTION("""COMPUTED_VALUE"""),182422.0)</f>
        <v>182422</v>
      </c>
      <c r="E4139" s="115">
        <f>IFERROR(__xludf.DUMMYFUNCTION("""COMPUTED_VALUE"""),24631.0)</f>
        <v>24631</v>
      </c>
      <c r="F4139" s="115">
        <f>IFERROR(__xludf.DUMMYFUNCTION("""COMPUTED_VALUE"""),122442.0)</f>
        <v>122442</v>
      </c>
      <c r="G4139" s="115">
        <f>IFERROR(__xludf.DUMMYFUNCTION("""COMPUTED_VALUE"""),12539.0)</f>
        <v>12539</v>
      </c>
      <c r="H4139" s="116">
        <f>IFERROR(__xludf.DUMMYFUNCTION("""COMPUTED_VALUE"""),45908.0)</f>
        <v>45908</v>
      </c>
      <c r="I4139" s="115" t="str">
        <f>IFERROR(__xludf.DUMMYFUNCTION("""COMPUTED_VALUE"""),"18")</f>
        <v>18</v>
      </c>
      <c r="J4139" s="115" t="str">
        <f>IFERROR(__xludf.DUMMYFUNCTION("""COMPUTED_VALUE"""),"Amit Kumar Pathak2025-09-0818")</f>
        <v>Amit Kumar Pathak2025-09-0818</v>
      </c>
      <c r="K4139" s="115">
        <f>IFERROR(__xludf.DUMMYFUNCTION("""COMPUTED_VALUE"""),207053.0)</f>
        <v>207053</v>
      </c>
    </row>
    <row r="4140">
      <c r="A4140" s="115" t="str">
        <f>IFERROR(__xludf.DUMMYFUNCTION("""COMPUTED_VALUE"""),"NORTH")</f>
        <v>NORTH</v>
      </c>
      <c r="B4140" s="115" t="str">
        <f>IFERROR(__xludf.DUMMYFUNCTION("""COMPUTED_VALUE"""),"Amit Kumar Pathak")</f>
        <v>Amit Kumar Pathak</v>
      </c>
      <c r="C4140" s="115" t="str">
        <f>IFERROR(__xludf.DUMMYFUNCTION("""COMPUTED_VALUE"""),"MYNTRA")</f>
        <v>MYNTRA</v>
      </c>
      <c r="D4140" s="115">
        <f>IFERROR(__xludf.DUMMYFUNCTION("""COMPUTED_VALUE"""),18407.0)</f>
        <v>18407</v>
      </c>
      <c r="E4140" s="115">
        <f>IFERROR(__xludf.DUMMYFUNCTION("""COMPUTED_VALUE"""),6564.0)</f>
        <v>6564</v>
      </c>
      <c r="F4140" s="115">
        <f>IFERROR(__xludf.DUMMYFUNCTION("""COMPUTED_VALUE"""),14256.0)</f>
        <v>14256</v>
      </c>
      <c r="G4140" s="115">
        <f>IFERROR(__xludf.DUMMYFUNCTION("""COMPUTED_VALUE"""),3700.0)</f>
        <v>3700</v>
      </c>
      <c r="H4140" s="116">
        <f>IFERROR(__xludf.DUMMYFUNCTION("""COMPUTED_VALUE"""),45908.0)</f>
        <v>45908</v>
      </c>
      <c r="I4140" s="115" t="str">
        <f>IFERROR(__xludf.DUMMYFUNCTION("""COMPUTED_VALUE"""),"18")</f>
        <v>18</v>
      </c>
      <c r="J4140" s="115" t="str">
        <f>IFERROR(__xludf.DUMMYFUNCTION("""COMPUTED_VALUE"""),"Amit Kumar Pathak2025-09-0818")</f>
        <v>Amit Kumar Pathak2025-09-0818</v>
      </c>
      <c r="K4140" s="115">
        <f>IFERROR(__xludf.DUMMYFUNCTION("""COMPUTED_VALUE"""),24971.0)</f>
        <v>24971</v>
      </c>
    </row>
    <row r="4141">
      <c r="A4141" s="115" t="str">
        <f>IFERROR(__xludf.DUMMYFUNCTION("""COMPUTED_VALUE"""),"NORTH")</f>
        <v>NORTH</v>
      </c>
      <c r="B4141" s="115" t="str">
        <f>IFERROR(__xludf.DUMMYFUNCTION("""COMPUTED_VALUE"""),"Loveleen Singh")</f>
        <v>Loveleen Singh</v>
      </c>
      <c r="C4141" s="115" t="str">
        <f>IFERROR(__xludf.DUMMYFUNCTION("""COMPUTED_VALUE"""),"EXTERNAL")</f>
        <v>EXTERNAL</v>
      </c>
      <c r="D4141" s="115">
        <f>IFERROR(__xludf.DUMMYFUNCTION("""COMPUTED_VALUE"""),37195.0)</f>
        <v>37195</v>
      </c>
      <c r="E4141" s="115">
        <f>IFERROR(__xludf.DUMMYFUNCTION("""COMPUTED_VALUE"""),2810.0)</f>
        <v>2810</v>
      </c>
      <c r="F4141" s="115">
        <f>IFERROR(__xludf.DUMMYFUNCTION("""COMPUTED_VALUE"""),14242.0)</f>
        <v>14242</v>
      </c>
      <c r="G4141" s="115">
        <f>IFERROR(__xludf.DUMMYFUNCTION("""COMPUTED_VALUE"""),651.0)</f>
        <v>651</v>
      </c>
      <c r="H4141" s="116">
        <f>IFERROR(__xludf.DUMMYFUNCTION("""COMPUTED_VALUE"""),45908.0)</f>
        <v>45908</v>
      </c>
      <c r="I4141" s="115" t="str">
        <f>IFERROR(__xludf.DUMMYFUNCTION("""COMPUTED_VALUE"""),"18")</f>
        <v>18</v>
      </c>
      <c r="J4141" s="115" t="str">
        <f>IFERROR(__xludf.DUMMYFUNCTION("""COMPUTED_VALUE"""),"Loveleen Singh2025-09-0818")</f>
        <v>Loveleen Singh2025-09-0818</v>
      </c>
      <c r="K4141" s="115">
        <f>IFERROR(__xludf.DUMMYFUNCTION("""COMPUTED_VALUE"""),40005.0)</f>
        <v>40005</v>
      </c>
    </row>
    <row r="4142">
      <c r="A4142" s="115" t="str">
        <f>IFERROR(__xludf.DUMMYFUNCTION("""COMPUTED_VALUE"""),"NORTH")</f>
        <v>NORTH</v>
      </c>
      <c r="B4142" s="115" t="str">
        <f>IFERROR(__xludf.DUMMYFUNCTION("""COMPUTED_VALUE"""),"Loveleen Singh")</f>
        <v>Loveleen Singh</v>
      </c>
      <c r="C4142" s="115" t="str">
        <f>IFERROR(__xludf.DUMMYFUNCTION("""COMPUTED_VALUE"""),"FLIPKART")</f>
        <v>FLIPKART</v>
      </c>
      <c r="D4142" s="115">
        <f>IFERROR(__xludf.DUMMYFUNCTION("""COMPUTED_VALUE"""),177750.0)</f>
        <v>177750</v>
      </c>
      <c r="E4142" s="115">
        <f>IFERROR(__xludf.DUMMYFUNCTION("""COMPUTED_VALUE"""),15745.0)</f>
        <v>15745</v>
      </c>
      <c r="F4142" s="115">
        <f>IFERROR(__xludf.DUMMYFUNCTION("""COMPUTED_VALUE"""),126176.0)</f>
        <v>126176</v>
      </c>
      <c r="G4142" s="115">
        <f>IFERROR(__xludf.DUMMYFUNCTION("""COMPUTED_VALUE"""),7633.0)</f>
        <v>7633</v>
      </c>
      <c r="H4142" s="116">
        <f>IFERROR(__xludf.DUMMYFUNCTION("""COMPUTED_VALUE"""),45908.0)</f>
        <v>45908</v>
      </c>
      <c r="I4142" s="115" t="str">
        <f>IFERROR(__xludf.DUMMYFUNCTION("""COMPUTED_VALUE"""),"18")</f>
        <v>18</v>
      </c>
      <c r="J4142" s="115" t="str">
        <f>IFERROR(__xludf.DUMMYFUNCTION("""COMPUTED_VALUE"""),"Loveleen Singh2025-09-0818")</f>
        <v>Loveleen Singh2025-09-0818</v>
      </c>
      <c r="K4142" s="115">
        <f>IFERROR(__xludf.DUMMYFUNCTION("""COMPUTED_VALUE"""),193495.0)</f>
        <v>193495</v>
      </c>
    </row>
    <row r="4143">
      <c r="A4143" s="115" t="str">
        <f>IFERROR(__xludf.DUMMYFUNCTION("""COMPUTED_VALUE"""),"NORTH")</f>
        <v>NORTH</v>
      </c>
      <c r="B4143" s="115" t="str">
        <f>IFERROR(__xludf.DUMMYFUNCTION("""COMPUTED_VALUE"""),"Loveleen Singh")</f>
        <v>Loveleen Singh</v>
      </c>
      <c r="C4143" s="115" t="str">
        <f>IFERROR(__xludf.DUMMYFUNCTION("""COMPUTED_VALUE"""),"MYNTRA")</f>
        <v>MYNTRA</v>
      </c>
      <c r="D4143" s="115">
        <f>IFERROR(__xludf.DUMMYFUNCTION("""COMPUTED_VALUE"""),32695.0)</f>
        <v>32695</v>
      </c>
      <c r="E4143" s="115">
        <f>IFERROR(__xludf.DUMMYFUNCTION("""COMPUTED_VALUE"""),6426.0)</f>
        <v>6426</v>
      </c>
      <c r="F4143" s="115">
        <f>IFERROR(__xludf.DUMMYFUNCTION("""COMPUTED_VALUE"""),25351.0)</f>
        <v>25351</v>
      </c>
      <c r="G4143" s="115">
        <f>IFERROR(__xludf.DUMMYFUNCTION("""COMPUTED_VALUE"""),3562.0)</f>
        <v>3562</v>
      </c>
      <c r="H4143" s="116">
        <f>IFERROR(__xludf.DUMMYFUNCTION("""COMPUTED_VALUE"""),45908.0)</f>
        <v>45908</v>
      </c>
      <c r="I4143" s="115" t="str">
        <f>IFERROR(__xludf.DUMMYFUNCTION("""COMPUTED_VALUE"""),"18")</f>
        <v>18</v>
      </c>
      <c r="J4143" s="115" t="str">
        <f>IFERROR(__xludf.DUMMYFUNCTION("""COMPUTED_VALUE"""),"Loveleen Singh2025-09-0818")</f>
        <v>Loveleen Singh2025-09-0818</v>
      </c>
      <c r="K4143" s="115">
        <f>IFERROR(__xludf.DUMMYFUNCTION("""COMPUTED_VALUE"""),39121.0)</f>
        <v>39121</v>
      </c>
    </row>
    <row r="4144">
      <c r="A4144" s="115" t="str">
        <f>IFERROR(__xludf.DUMMYFUNCTION("""COMPUTED_VALUE"""),"NORTH")</f>
        <v>NORTH</v>
      </c>
      <c r="B4144" s="115" t="str">
        <f>IFERROR(__xludf.DUMMYFUNCTION("""COMPUTED_VALUE"""),"Manoj Harsh")</f>
        <v>Manoj Harsh</v>
      </c>
      <c r="C4144" s="115" t="str">
        <f>IFERROR(__xludf.DUMMYFUNCTION("""COMPUTED_VALUE"""),"EXTERNAL")</f>
        <v>EXTERNAL</v>
      </c>
      <c r="D4144" s="115">
        <f>IFERROR(__xludf.DUMMYFUNCTION("""COMPUTED_VALUE"""),39614.0)</f>
        <v>39614</v>
      </c>
      <c r="E4144" s="115">
        <f>IFERROR(__xludf.DUMMYFUNCTION("""COMPUTED_VALUE"""),3212.0)</f>
        <v>3212</v>
      </c>
      <c r="F4144" s="115">
        <f>IFERROR(__xludf.DUMMYFUNCTION("""COMPUTED_VALUE"""),16229.0)</f>
        <v>16229</v>
      </c>
      <c r="G4144" s="115">
        <f>IFERROR(__xludf.DUMMYFUNCTION("""COMPUTED_VALUE"""),888.0)</f>
        <v>888</v>
      </c>
      <c r="H4144" s="116">
        <f>IFERROR(__xludf.DUMMYFUNCTION("""COMPUTED_VALUE"""),45908.0)</f>
        <v>45908</v>
      </c>
      <c r="I4144" s="115" t="str">
        <f>IFERROR(__xludf.DUMMYFUNCTION("""COMPUTED_VALUE"""),"18")</f>
        <v>18</v>
      </c>
      <c r="J4144" s="115" t="str">
        <f>IFERROR(__xludf.DUMMYFUNCTION("""COMPUTED_VALUE"""),"Manoj Harsh2025-09-0818")</f>
        <v>Manoj Harsh2025-09-0818</v>
      </c>
      <c r="K4144" s="115">
        <f>IFERROR(__xludf.DUMMYFUNCTION("""COMPUTED_VALUE"""),42826.0)</f>
        <v>42826</v>
      </c>
    </row>
    <row r="4145">
      <c r="A4145" s="115" t="str">
        <f>IFERROR(__xludf.DUMMYFUNCTION("""COMPUTED_VALUE"""),"NORTH")</f>
        <v>NORTH</v>
      </c>
      <c r="B4145" s="115" t="str">
        <f>IFERROR(__xludf.DUMMYFUNCTION("""COMPUTED_VALUE"""),"Manoj Harsh")</f>
        <v>Manoj Harsh</v>
      </c>
      <c r="C4145" s="115" t="str">
        <f>IFERROR(__xludf.DUMMYFUNCTION("""COMPUTED_VALUE"""),"FLIPKART")</f>
        <v>FLIPKART</v>
      </c>
      <c r="D4145" s="115">
        <f>IFERROR(__xludf.DUMMYFUNCTION("""COMPUTED_VALUE"""),397535.0)</f>
        <v>397535</v>
      </c>
      <c r="E4145" s="115">
        <f>IFERROR(__xludf.DUMMYFUNCTION("""COMPUTED_VALUE"""),42735.0)</f>
        <v>42735</v>
      </c>
      <c r="F4145" s="115">
        <f>IFERROR(__xludf.DUMMYFUNCTION("""COMPUTED_VALUE"""),273157.0)</f>
        <v>273157</v>
      </c>
      <c r="G4145" s="115">
        <f>IFERROR(__xludf.DUMMYFUNCTION("""COMPUTED_VALUE"""),20992.0)</f>
        <v>20992</v>
      </c>
      <c r="H4145" s="116">
        <f>IFERROR(__xludf.DUMMYFUNCTION("""COMPUTED_VALUE"""),45908.0)</f>
        <v>45908</v>
      </c>
      <c r="I4145" s="115" t="str">
        <f>IFERROR(__xludf.DUMMYFUNCTION("""COMPUTED_VALUE"""),"18")</f>
        <v>18</v>
      </c>
      <c r="J4145" s="115" t="str">
        <f>IFERROR(__xludf.DUMMYFUNCTION("""COMPUTED_VALUE"""),"Manoj Harsh2025-09-0818")</f>
        <v>Manoj Harsh2025-09-0818</v>
      </c>
      <c r="K4145" s="115">
        <f>IFERROR(__xludf.DUMMYFUNCTION("""COMPUTED_VALUE"""),440270.0)</f>
        <v>440270</v>
      </c>
    </row>
    <row r="4146">
      <c r="A4146" s="115" t="str">
        <f>IFERROR(__xludf.DUMMYFUNCTION("""COMPUTED_VALUE"""),"NORTH")</f>
        <v>NORTH</v>
      </c>
      <c r="B4146" s="115" t="str">
        <f>IFERROR(__xludf.DUMMYFUNCTION("""COMPUTED_VALUE"""),"Manoj Harsh")</f>
        <v>Manoj Harsh</v>
      </c>
      <c r="C4146" s="115" t="str">
        <f>IFERROR(__xludf.DUMMYFUNCTION("""COMPUTED_VALUE"""),"MYNTRA")</f>
        <v>MYNTRA</v>
      </c>
      <c r="D4146" s="115">
        <f>IFERROR(__xludf.DUMMYFUNCTION("""COMPUTED_VALUE"""),40265.0)</f>
        <v>40265</v>
      </c>
      <c r="E4146" s="115">
        <f>IFERROR(__xludf.DUMMYFUNCTION("""COMPUTED_VALUE"""),8159.0)</f>
        <v>8159</v>
      </c>
      <c r="F4146" s="115">
        <f>IFERROR(__xludf.DUMMYFUNCTION("""COMPUTED_VALUE"""),30733.0)</f>
        <v>30733</v>
      </c>
      <c r="G4146" s="115">
        <f>IFERROR(__xludf.DUMMYFUNCTION("""COMPUTED_VALUE"""),4558.0)</f>
        <v>4558</v>
      </c>
      <c r="H4146" s="116">
        <f>IFERROR(__xludf.DUMMYFUNCTION("""COMPUTED_VALUE"""),45908.0)</f>
        <v>45908</v>
      </c>
      <c r="I4146" s="115" t="str">
        <f>IFERROR(__xludf.DUMMYFUNCTION("""COMPUTED_VALUE"""),"18")</f>
        <v>18</v>
      </c>
      <c r="J4146" s="115" t="str">
        <f>IFERROR(__xludf.DUMMYFUNCTION("""COMPUTED_VALUE"""),"Manoj Harsh2025-09-0818")</f>
        <v>Manoj Harsh2025-09-0818</v>
      </c>
      <c r="K4146" s="115">
        <f>IFERROR(__xludf.DUMMYFUNCTION("""COMPUTED_VALUE"""),48424.0)</f>
        <v>48424</v>
      </c>
    </row>
    <row r="4147">
      <c r="A4147" s="115" t="str">
        <f>IFERROR(__xludf.DUMMYFUNCTION("""COMPUTED_VALUE"""),"NORTH")</f>
        <v>NORTH</v>
      </c>
      <c r="B4147" s="115" t="str">
        <f>IFERROR(__xludf.DUMMYFUNCTION("""COMPUTED_VALUE"""),"Pradeep Kothari")</f>
        <v>Pradeep Kothari</v>
      </c>
      <c r="C4147" s="115" t="str">
        <f>IFERROR(__xludf.DUMMYFUNCTION("""COMPUTED_VALUE"""),"EXTERNAL")</f>
        <v>EXTERNAL</v>
      </c>
      <c r="D4147" s="115">
        <f>IFERROR(__xludf.DUMMYFUNCTION("""COMPUTED_VALUE"""),21628.0)</f>
        <v>21628</v>
      </c>
      <c r="E4147" s="115">
        <f>IFERROR(__xludf.DUMMYFUNCTION("""COMPUTED_VALUE"""),2106.0)</f>
        <v>2106</v>
      </c>
      <c r="F4147" s="115">
        <f>IFERROR(__xludf.DUMMYFUNCTION("""COMPUTED_VALUE"""),8536.0)</f>
        <v>8536</v>
      </c>
      <c r="G4147" s="115">
        <f>IFERROR(__xludf.DUMMYFUNCTION("""COMPUTED_VALUE"""),717.0)</f>
        <v>717</v>
      </c>
      <c r="H4147" s="116">
        <f>IFERROR(__xludf.DUMMYFUNCTION("""COMPUTED_VALUE"""),45908.0)</f>
        <v>45908</v>
      </c>
      <c r="I4147" s="115" t="str">
        <f>IFERROR(__xludf.DUMMYFUNCTION("""COMPUTED_VALUE"""),"18")</f>
        <v>18</v>
      </c>
      <c r="J4147" s="115" t="str">
        <f>IFERROR(__xludf.DUMMYFUNCTION("""COMPUTED_VALUE"""),"Pradeep Kothari2025-09-0818")</f>
        <v>Pradeep Kothari2025-09-0818</v>
      </c>
      <c r="K4147" s="115">
        <f>IFERROR(__xludf.DUMMYFUNCTION("""COMPUTED_VALUE"""),23734.0)</f>
        <v>23734</v>
      </c>
    </row>
    <row r="4148">
      <c r="A4148" s="115" t="str">
        <f>IFERROR(__xludf.DUMMYFUNCTION("""COMPUTED_VALUE"""),"NORTH")</f>
        <v>NORTH</v>
      </c>
      <c r="B4148" s="115" t="str">
        <f>IFERROR(__xludf.DUMMYFUNCTION("""COMPUTED_VALUE"""),"Pradeep Kothari")</f>
        <v>Pradeep Kothari</v>
      </c>
      <c r="C4148" s="115" t="str">
        <f>IFERROR(__xludf.DUMMYFUNCTION("""COMPUTED_VALUE"""),"FLIPKART")</f>
        <v>FLIPKART</v>
      </c>
      <c r="D4148" s="115">
        <f>IFERROR(__xludf.DUMMYFUNCTION("""COMPUTED_VALUE"""),141317.0)</f>
        <v>141317</v>
      </c>
      <c r="E4148" s="115">
        <f>IFERROR(__xludf.DUMMYFUNCTION("""COMPUTED_VALUE"""),18076.0)</f>
        <v>18076</v>
      </c>
      <c r="F4148" s="115">
        <f>IFERROR(__xludf.DUMMYFUNCTION("""COMPUTED_VALUE"""),102602.0)</f>
        <v>102602</v>
      </c>
      <c r="G4148" s="115">
        <f>IFERROR(__xludf.DUMMYFUNCTION("""COMPUTED_VALUE"""),10147.0)</f>
        <v>10147</v>
      </c>
      <c r="H4148" s="116">
        <f>IFERROR(__xludf.DUMMYFUNCTION("""COMPUTED_VALUE"""),45908.0)</f>
        <v>45908</v>
      </c>
      <c r="I4148" s="115" t="str">
        <f>IFERROR(__xludf.DUMMYFUNCTION("""COMPUTED_VALUE"""),"18")</f>
        <v>18</v>
      </c>
      <c r="J4148" s="115" t="str">
        <f>IFERROR(__xludf.DUMMYFUNCTION("""COMPUTED_VALUE"""),"Pradeep Kothari2025-09-0818")</f>
        <v>Pradeep Kothari2025-09-0818</v>
      </c>
      <c r="K4148" s="115">
        <f>IFERROR(__xludf.DUMMYFUNCTION("""COMPUTED_VALUE"""),159393.0)</f>
        <v>159393</v>
      </c>
    </row>
    <row r="4149">
      <c r="A4149" s="115" t="str">
        <f>IFERROR(__xludf.DUMMYFUNCTION("""COMPUTED_VALUE"""),"NORTH")</f>
        <v>NORTH</v>
      </c>
      <c r="B4149" s="115" t="str">
        <f>IFERROR(__xludf.DUMMYFUNCTION("""COMPUTED_VALUE"""),"Pradeep Kothari")</f>
        <v>Pradeep Kothari</v>
      </c>
      <c r="C4149" s="115" t="str">
        <f>IFERROR(__xludf.DUMMYFUNCTION("""COMPUTED_VALUE"""),"MYNTRA")</f>
        <v>MYNTRA</v>
      </c>
      <c r="D4149" s="115">
        <f>IFERROR(__xludf.DUMMYFUNCTION("""COMPUTED_VALUE"""),28550.0)</f>
        <v>28550</v>
      </c>
      <c r="E4149" s="115">
        <f>IFERROR(__xludf.DUMMYFUNCTION("""COMPUTED_VALUE"""),7014.0)</f>
        <v>7014</v>
      </c>
      <c r="F4149" s="115">
        <f>IFERROR(__xludf.DUMMYFUNCTION("""COMPUTED_VALUE"""),23203.0)</f>
        <v>23203</v>
      </c>
      <c r="G4149" s="115">
        <f>IFERROR(__xludf.DUMMYFUNCTION("""COMPUTED_VALUE"""),4508.0)</f>
        <v>4508</v>
      </c>
      <c r="H4149" s="116">
        <f>IFERROR(__xludf.DUMMYFUNCTION("""COMPUTED_VALUE"""),45908.0)</f>
        <v>45908</v>
      </c>
      <c r="I4149" s="115" t="str">
        <f>IFERROR(__xludf.DUMMYFUNCTION("""COMPUTED_VALUE"""),"18")</f>
        <v>18</v>
      </c>
      <c r="J4149" s="115" t="str">
        <f>IFERROR(__xludf.DUMMYFUNCTION("""COMPUTED_VALUE"""),"Pradeep Kothari2025-09-0818")</f>
        <v>Pradeep Kothari2025-09-0818</v>
      </c>
      <c r="K4149" s="115">
        <f>IFERROR(__xludf.DUMMYFUNCTION("""COMPUTED_VALUE"""),35564.0)</f>
        <v>35564</v>
      </c>
    </row>
    <row r="4150">
      <c r="A4150" s="115" t="str">
        <f>IFERROR(__xludf.DUMMYFUNCTION("""COMPUTED_VALUE"""),"SOUTH")</f>
        <v>SOUTH</v>
      </c>
      <c r="B4150" s="115" t="str">
        <f>IFERROR(__xludf.DUMMYFUNCTION("""COMPUTED_VALUE"""),"0")</f>
        <v>0</v>
      </c>
      <c r="C4150" s="115" t="str">
        <f>IFERROR(__xludf.DUMMYFUNCTION("""COMPUTED_VALUE"""),"EXTERNAL")</f>
        <v>EXTERNAL</v>
      </c>
      <c r="D4150" s="115">
        <f>IFERROR(__xludf.DUMMYFUNCTION("""COMPUTED_VALUE"""),1.0)</f>
        <v>1</v>
      </c>
      <c r="E4150" s="115">
        <f>IFERROR(__xludf.DUMMYFUNCTION("""COMPUTED_VALUE"""),0.0)</f>
        <v>0</v>
      </c>
      <c r="F4150" s="115">
        <f>IFERROR(__xludf.DUMMYFUNCTION("""COMPUTED_VALUE"""),1.0)</f>
        <v>1</v>
      </c>
      <c r="G4150" s="115">
        <f>IFERROR(__xludf.DUMMYFUNCTION("""COMPUTED_VALUE"""),0.0)</f>
        <v>0</v>
      </c>
      <c r="H4150" s="116">
        <f>IFERROR(__xludf.DUMMYFUNCTION("""COMPUTED_VALUE"""),45908.0)</f>
        <v>45908</v>
      </c>
      <c r="I4150" s="115" t="str">
        <f>IFERROR(__xludf.DUMMYFUNCTION("""COMPUTED_VALUE"""),"18")</f>
        <v>18</v>
      </c>
      <c r="J4150" s="115" t="str">
        <f>IFERROR(__xludf.DUMMYFUNCTION("""COMPUTED_VALUE"""),"02025-09-0818")</f>
        <v>02025-09-0818</v>
      </c>
      <c r="K4150" s="115">
        <f>IFERROR(__xludf.DUMMYFUNCTION("""COMPUTED_VALUE"""),1.0)</f>
        <v>1</v>
      </c>
    </row>
    <row r="4151">
      <c r="A4151" s="115" t="str">
        <f>IFERROR(__xludf.DUMMYFUNCTION("""COMPUTED_VALUE"""),"SOUTH")</f>
        <v>SOUTH</v>
      </c>
      <c r="B4151" s="115" t="str">
        <f>IFERROR(__xludf.DUMMYFUNCTION("""COMPUTED_VALUE"""),"0")</f>
        <v>0</v>
      </c>
      <c r="C4151" s="115" t="str">
        <f>IFERROR(__xludf.DUMMYFUNCTION("""COMPUTED_VALUE"""),"FLIPKART")</f>
        <v>FLIPKART</v>
      </c>
      <c r="D4151" s="115">
        <f>IFERROR(__xludf.DUMMYFUNCTION("""COMPUTED_VALUE"""),37.0)</f>
        <v>37</v>
      </c>
      <c r="E4151" s="115">
        <f>IFERROR(__xludf.DUMMYFUNCTION("""COMPUTED_VALUE"""),72.0)</f>
        <v>72</v>
      </c>
      <c r="F4151" s="115">
        <f>IFERROR(__xludf.DUMMYFUNCTION("""COMPUTED_VALUE"""),22.0)</f>
        <v>22</v>
      </c>
      <c r="G4151" s="115">
        <f>IFERROR(__xludf.DUMMYFUNCTION("""COMPUTED_VALUE"""),16.0)</f>
        <v>16</v>
      </c>
      <c r="H4151" s="116">
        <f>IFERROR(__xludf.DUMMYFUNCTION("""COMPUTED_VALUE"""),45908.0)</f>
        <v>45908</v>
      </c>
      <c r="I4151" s="115" t="str">
        <f>IFERROR(__xludf.DUMMYFUNCTION("""COMPUTED_VALUE"""),"18")</f>
        <v>18</v>
      </c>
      <c r="J4151" s="115" t="str">
        <f>IFERROR(__xludf.DUMMYFUNCTION("""COMPUTED_VALUE"""),"02025-09-0818")</f>
        <v>02025-09-0818</v>
      </c>
      <c r="K4151" s="115">
        <f>IFERROR(__xludf.DUMMYFUNCTION("""COMPUTED_VALUE"""),109.0)</f>
        <v>109</v>
      </c>
    </row>
    <row r="4152">
      <c r="A4152" s="115" t="str">
        <f>IFERROR(__xludf.DUMMYFUNCTION("""COMPUTED_VALUE"""),"SOUTH")</f>
        <v>SOUTH</v>
      </c>
      <c r="B4152" s="115" t="str">
        <f>IFERROR(__xludf.DUMMYFUNCTION("""COMPUTED_VALUE"""),"0")</f>
        <v>0</v>
      </c>
      <c r="C4152" s="115" t="str">
        <f>IFERROR(__xludf.DUMMYFUNCTION("""COMPUTED_VALUE"""),"MYNTRA")</f>
        <v>MYNTRA</v>
      </c>
      <c r="D4152" s="115">
        <f>IFERROR(__xludf.DUMMYFUNCTION("""COMPUTED_VALUE"""),7.0)</f>
        <v>7</v>
      </c>
      <c r="E4152" s="115">
        <f>IFERROR(__xludf.DUMMYFUNCTION("""COMPUTED_VALUE"""),24.0)</f>
        <v>24</v>
      </c>
      <c r="F4152" s="115">
        <f>IFERROR(__xludf.DUMMYFUNCTION("""COMPUTED_VALUE"""),1.0)</f>
        <v>1</v>
      </c>
      <c r="G4152" s="115">
        <f>IFERROR(__xludf.DUMMYFUNCTION("""COMPUTED_VALUE"""),3.0)</f>
        <v>3</v>
      </c>
      <c r="H4152" s="116">
        <f>IFERROR(__xludf.DUMMYFUNCTION("""COMPUTED_VALUE"""),45908.0)</f>
        <v>45908</v>
      </c>
      <c r="I4152" s="115" t="str">
        <f>IFERROR(__xludf.DUMMYFUNCTION("""COMPUTED_VALUE"""),"18")</f>
        <v>18</v>
      </c>
      <c r="J4152" s="115" t="str">
        <f>IFERROR(__xludf.DUMMYFUNCTION("""COMPUTED_VALUE"""),"02025-09-0818")</f>
        <v>02025-09-0818</v>
      </c>
      <c r="K4152" s="115">
        <f>IFERROR(__xludf.DUMMYFUNCTION("""COMPUTED_VALUE"""),31.0)</f>
        <v>31</v>
      </c>
    </row>
    <row r="4153">
      <c r="A4153" s="115" t="str">
        <f>IFERROR(__xludf.DUMMYFUNCTION("""COMPUTED_VALUE"""),"SOUTH")</f>
        <v>SOUTH</v>
      </c>
      <c r="B4153" s="115" t="str">
        <f>IFERROR(__xludf.DUMMYFUNCTION("""COMPUTED_VALUE"""),"Kandula Sampath")</f>
        <v>Kandula Sampath</v>
      </c>
      <c r="C4153" s="115" t="str">
        <f>IFERROR(__xludf.DUMMYFUNCTION("""COMPUTED_VALUE"""),"EXTERNAL")</f>
        <v>EXTERNAL</v>
      </c>
      <c r="D4153" s="115">
        <f>IFERROR(__xludf.DUMMYFUNCTION("""COMPUTED_VALUE"""),38311.0)</f>
        <v>38311</v>
      </c>
      <c r="E4153" s="115">
        <f>IFERROR(__xludf.DUMMYFUNCTION("""COMPUTED_VALUE"""),4237.0)</f>
        <v>4237</v>
      </c>
      <c r="F4153" s="115">
        <f>IFERROR(__xludf.DUMMYFUNCTION("""COMPUTED_VALUE"""),15593.0)</f>
        <v>15593</v>
      </c>
      <c r="G4153" s="115">
        <f>IFERROR(__xludf.DUMMYFUNCTION("""COMPUTED_VALUE"""),1050.0)</f>
        <v>1050</v>
      </c>
      <c r="H4153" s="116">
        <f>IFERROR(__xludf.DUMMYFUNCTION("""COMPUTED_VALUE"""),45908.0)</f>
        <v>45908</v>
      </c>
      <c r="I4153" s="115" t="str">
        <f>IFERROR(__xludf.DUMMYFUNCTION("""COMPUTED_VALUE"""),"18")</f>
        <v>18</v>
      </c>
      <c r="J4153" s="115" t="str">
        <f>IFERROR(__xludf.DUMMYFUNCTION("""COMPUTED_VALUE"""),"Kandula Sampath2025-09-0818")</f>
        <v>Kandula Sampath2025-09-0818</v>
      </c>
      <c r="K4153" s="115">
        <f>IFERROR(__xludf.DUMMYFUNCTION("""COMPUTED_VALUE"""),42548.0)</f>
        <v>42548</v>
      </c>
    </row>
    <row r="4154">
      <c r="A4154" s="115" t="str">
        <f>IFERROR(__xludf.DUMMYFUNCTION("""COMPUTED_VALUE"""),"SOUTH")</f>
        <v>SOUTH</v>
      </c>
      <c r="B4154" s="115" t="str">
        <f>IFERROR(__xludf.DUMMYFUNCTION("""COMPUTED_VALUE"""),"Kandula Sampath")</f>
        <v>Kandula Sampath</v>
      </c>
      <c r="C4154" s="115" t="str">
        <f>IFERROR(__xludf.DUMMYFUNCTION("""COMPUTED_VALUE"""),"FLIPKART")</f>
        <v>FLIPKART</v>
      </c>
      <c r="D4154" s="115">
        <f>IFERROR(__xludf.DUMMYFUNCTION("""COMPUTED_VALUE"""),350718.0)</f>
        <v>350718</v>
      </c>
      <c r="E4154" s="115">
        <f>IFERROR(__xludf.DUMMYFUNCTION("""COMPUTED_VALUE"""),34049.0)</f>
        <v>34049</v>
      </c>
      <c r="F4154" s="115">
        <f>IFERROR(__xludf.DUMMYFUNCTION("""COMPUTED_VALUE"""),239451.0)</f>
        <v>239451</v>
      </c>
      <c r="G4154" s="115">
        <f>IFERROR(__xludf.DUMMYFUNCTION("""COMPUTED_VALUE"""),14316.0)</f>
        <v>14316</v>
      </c>
      <c r="H4154" s="116">
        <f>IFERROR(__xludf.DUMMYFUNCTION("""COMPUTED_VALUE"""),45908.0)</f>
        <v>45908</v>
      </c>
      <c r="I4154" s="115" t="str">
        <f>IFERROR(__xludf.DUMMYFUNCTION("""COMPUTED_VALUE"""),"18")</f>
        <v>18</v>
      </c>
      <c r="J4154" s="115" t="str">
        <f>IFERROR(__xludf.DUMMYFUNCTION("""COMPUTED_VALUE"""),"Kandula Sampath2025-09-0818")</f>
        <v>Kandula Sampath2025-09-0818</v>
      </c>
      <c r="K4154" s="115">
        <f>IFERROR(__xludf.DUMMYFUNCTION("""COMPUTED_VALUE"""),384767.0)</f>
        <v>384767</v>
      </c>
    </row>
    <row r="4155">
      <c r="A4155" s="115" t="str">
        <f>IFERROR(__xludf.DUMMYFUNCTION("""COMPUTED_VALUE"""),"SOUTH")</f>
        <v>SOUTH</v>
      </c>
      <c r="B4155" s="115" t="str">
        <f>IFERROR(__xludf.DUMMYFUNCTION("""COMPUTED_VALUE"""),"Kandula Sampath")</f>
        <v>Kandula Sampath</v>
      </c>
      <c r="C4155" s="115" t="str">
        <f>IFERROR(__xludf.DUMMYFUNCTION("""COMPUTED_VALUE"""),"MYNTRA")</f>
        <v>MYNTRA</v>
      </c>
      <c r="D4155" s="115">
        <f>IFERROR(__xludf.DUMMYFUNCTION("""COMPUTED_VALUE"""),41262.0)</f>
        <v>41262</v>
      </c>
      <c r="E4155" s="115">
        <f>IFERROR(__xludf.DUMMYFUNCTION("""COMPUTED_VALUE"""),9449.0)</f>
        <v>9449</v>
      </c>
      <c r="F4155" s="115">
        <f>IFERROR(__xludf.DUMMYFUNCTION("""COMPUTED_VALUE"""),30842.0)</f>
        <v>30842</v>
      </c>
      <c r="G4155" s="115">
        <f>IFERROR(__xludf.DUMMYFUNCTION("""COMPUTED_VALUE"""),4245.0)</f>
        <v>4245</v>
      </c>
      <c r="H4155" s="116">
        <f>IFERROR(__xludf.DUMMYFUNCTION("""COMPUTED_VALUE"""),45908.0)</f>
        <v>45908</v>
      </c>
      <c r="I4155" s="115" t="str">
        <f>IFERROR(__xludf.DUMMYFUNCTION("""COMPUTED_VALUE"""),"18")</f>
        <v>18</v>
      </c>
      <c r="J4155" s="115" t="str">
        <f>IFERROR(__xludf.DUMMYFUNCTION("""COMPUTED_VALUE"""),"Kandula Sampath2025-09-0818")</f>
        <v>Kandula Sampath2025-09-0818</v>
      </c>
      <c r="K4155" s="115">
        <f>IFERROR(__xludf.DUMMYFUNCTION("""COMPUTED_VALUE"""),50711.0)</f>
        <v>50711</v>
      </c>
    </row>
    <row r="4156">
      <c r="A4156" s="115" t="str">
        <f>IFERROR(__xludf.DUMMYFUNCTION("""COMPUTED_VALUE"""),"SOUTH")</f>
        <v>SOUTH</v>
      </c>
      <c r="B4156" s="115" t="str">
        <f>IFERROR(__xludf.DUMMYFUNCTION("""COMPUTED_VALUE"""),"Martin A")</f>
        <v>Martin A</v>
      </c>
      <c r="C4156" s="115" t="str">
        <f>IFERROR(__xludf.DUMMYFUNCTION("""COMPUTED_VALUE"""),"EXTERNAL")</f>
        <v>EXTERNAL</v>
      </c>
      <c r="D4156" s="115">
        <f>IFERROR(__xludf.DUMMYFUNCTION("""COMPUTED_VALUE"""),36868.0)</f>
        <v>36868</v>
      </c>
      <c r="E4156" s="115">
        <f>IFERROR(__xludf.DUMMYFUNCTION("""COMPUTED_VALUE"""),4463.0)</f>
        <v>4463</v>
      </c>
      <c r="F4156" s="115">
        <f>IFERROR(__xludf.DUMMYFUNCTION("""COMPUTED_VALUE"""),14867.0)</f>
        <v>14867</v>
      </c>
      <c r="G4156" s="115">
        <f>IFERROR(__xludf.DUMMYFUNCTION("""COMPUTED_VALUE"""),1839.0)</f>
        <v>1839</v>
      </c>
      <c r="H4156" s="116">
        <f>IFERROR(__xludf.DUMMYFUNCTION("""COMPUTED_VALUE"""),45908.0)</f>
        <v>45908</v>
      </c>
      <c r="I4156" s="115" t="str">
        <f>IFERROR(__xludf.DUMMYFUNCTION("""COMPUTED_VALUE"""),"18")</f>
        <v>18</v>
      </c>
      <c r="J4156" s="115" t="str">
        <f>IFERROR(__xludf.DUMMYFUNCTION("""COMPUTED_VALUE"""),"Martin A2025-09-0818")</f>
        <v>Martin A2025-09-0818</v>
      </c>
      <c r="K4156" s="115">
        <f>IFERROR(__xludf.DUMMYFUNCTION("""COMPUTED_VALUE"""),41331.0)</f>
        <v>41331</v>
      </c>
    </row>
    <row r="4157">
      <c r="A4157" s="115" t="str">
        <f>IFERROR(__xludf.DUMMYFUNCTION("""COMPUTED_VALUE"""),"SOUTH")</f>
        <v>SOUTH</v>
      </c>
      <c r="B4157" s="115" t="str">
        <f>IFERROR(__xludf.DUMMYFUNCTION("""COMPUTED_VALUE"""),"Martin A")</f>
        <v>Martin A</v>
      </c>
      <c r="C4157" s="115" t="str">
        <f>IFERROR(__xludf.DUMMYFUNCTION("""COMPUTED_VALUE"""),"FLIPKART")</f>
        <v>FLIPKART</v>
      </c>
      <c r="D4157" s="115">
        <f>IFERROR(__xludf.DUMMYFUNCTION("""COMPUTED_VALUE"""),301737.0)</f>
        <v>301737</v>
      </c>
      <c r="E4157" s="115">
        <f>IFERROR(__xludf.DUMMYFUNCTION("""COMPUTED_VALUE"""),29439.0)</f>
        <v>29439</v>
      </c>
      <c r="F4157" s="115">
        <f>IFERROR(__xludf.DUMMYFUNCTION("""COMPUTED_VALUE"""),205491.0)</f>
        <v>205491</v>
      </c>
      <c r="G4157" s="115">
        <f>IFERROR(__xludf.DUMMYFUNCTION("""COMPUTED_VALUE"""),14246.0)</f>
        <v>14246</v>
      </c>
      <c r="H4157" s="116">
        <f>IFERROR(__xludf.DUMMYFUNCTION("""COMPUTED_VALUE"""),45908.0)</f>
        <v>45908</v>
      </c>
      <c r="I4157" s="115" t="str">
        <f>IFERROR(__xludf.DUMMYFUNCTION("""COMPUTED_VALUE"""),"18")</f>
        <v>18</v>
      </c>
      <c r="J4157" s="115" t="str">
        <f>IFERROR(__xludf.DUMMYFUNCTION("""COMPUTED_VALUE"""),"Martin A2025-09-0818")</f>
        <v>Martin A2025-09-0818</v>
      </c>
      <c r="K4157" s="115">
        <f>IFERROR(__xludf.DUMMYFUNCTION("""COMPUTED_VALUE"""),331176.0)</f>
        <v>331176</v>
      </c>
    </row>
    <row r="4158">
      <c r="A4158" s="115" t="str">
        <f>IFERROR(__xludf.DUMMYFUNCTION("""COMPUTED_VALUE"""),"SOUTH")</f>
        <v>SOUTH</v>
      </c>
      <c r="B4158" s="115" t="str">
        <f>IFERROR(__xludf.DUMMYFUNCTION("""COMPUTED_VALUE"""),"Martin A")</f>
        <v>Martin A</v>
      </c>
      <c r="C4158" s="115" t="str">
        <f>IFERROR(__xludf.DUMMYFUNCTION("""COMPUTED_VALUE"""),"MYNTRA")</f>
        <v>MYNTRA</v>
      </c>
      <c r="D4158" s="115">
        <f>IFERROR(__xludf.DUMMYFUNCTION("""COMPUTED_VALUE"""),30170.0)</f>
        <v>30170</v>
      </c>
      <c r="E4158" s="115">
        <f>IFERROR(__xludf.DUMMYFUNCTION("""COMPUTED_VALUE"""),7913.0)</f>
        <v>7913</v>
      </c>
      <c r="F4158" s="115">
        <f>IFERROR(__xludf.DUMMYFUNCTION("""COMPUTED_VALUE"""),23328.0)</f>
        <v>23328</v>
      </c>
      <c r="G4158" s="115">
        <f>IFERROR(__xludf.DUMMYFUNCTION("""COMPUTED_VALUE"""),4063.0)</f>
        <v>4063</v>
      </c>
      <c r="H4158" s="116">
        <f>IFERROR(__xludf.DUMMYFUNCTION("""COMPUTED_VALUE"""),45908.0)</f>
        <v>45908</v>
      </c>
      <c r="I4158" s="115" t="str">
        <f>IFERROR(__xludf.DUMMYFUNCTION("""COMPUTED_VALUE"""),"18")</f>
        <v>18</v>
      </c>
      <c r="J4158" s="115" t="str">
        <f>IFERROR(__xludf.DUMMYFUNCTION("""COMPUTED_VALUE"""),"Martin A2025-09-0818")</f>
        <v>Martin A2025-09-0818</v>
      </c>
      <c r="K4158" s="115">
        <f>IFERROR(__xludf.DUMMYFUNCTION("""COMPUTED_VALUE"""),38083.0)</f>
        <v>38083</v>
      </c>
    </row>
    <row r="4159">
      <c r="A4159" s="115" t="str">
        <f>IFERROR(__xludf.DUMMYFUNCTION("""COMPUTED_VALUE"""),"SOUTH")</f>
        <v>SOUTH</v>
      </c>
      <c r="B4159" s="115" t="str">
        <f>IFERROR(__xludf.DUMMYFUNCTION("""COMPUTED_VALUE"""),"Premkumar M")</f>
        <v>Premkumar M</v>
      </c>
      <c r="C4159" s="115" t="str">
        <f>IFERROR(__xludf.DUMMYFUNCTION("""COMPUTED_VALUE"""),"EXTERNAL")</f>
        <v>EXTERNAL</v>
      </c>
      <c r="D4159" s="115">
        <f>IFERROR(__xludf.DUMMYFUNCTION("""COMPUTED_VALUE"""),33709.0)</f>
        <v>33709</v>
      </c>
      <c r="E4159" s="115">
        <f>IFERROR(__xludf.DUMMYFUNCTION("""COMPUTED_VALUE"""),2044.0)</f>
        <v>2044</v>
      </c>
      <c r="F4159" s="115">
        <f>IFERROR(__xludf.DUMMYFUNCTION("""COMPUTED_VALUE"""),14373.0)</f>
        <v>14373</v>
      </c>
      <c r="G4159" s="115">
        <f>IFERROR(__xludf.DUMMYFUNCTION("""COMPUTED_VALUE"""),358.0)</f>
        <v>358</v>
      </c>
      <c r="H4159" s="116">
        <f>IFERROR(__xludf.DUMMYFUNCTION("""COMPUTED_VALUE"""),45908.0)</f>
        <v>45908</v>
      </c>
      <c r="I4159" s="115" t="str">
        <f>IFERROR(__xludf.DUMMYFUNCTION("""COMPUTED_VALUE"""),"18")</f>
        <v>18</v>
      </c>
      <c r="J4159" s="115" t="str">
        <f>IFERROR(__xludf.DUMMYFUNCTION("""COMPUTED_VALUE"""),"Premkumar M2025-09-0818")</f>
        <v>Premkumar M2025-09-0818</v>
      </c>
      <c r="K4159" s="115">
        <f>IFERROR(__xludf.DUMMYFUNCTION("""COMPUTED_VALUE"""),35753.0)</f>
        <v>35753</v>
      </c>
    </row>
    <row r="4160">
      <c r="A4160" s="115" t="str">
        <f>IFERROR(__xludf.DUMMYFUNCTION("""COMPUTED_VALUE"""),"SOUTH")</f>
        <v>SOUTH</v>
      </c>
      <c r="B4160" s="115" t="str">
        <f>IFERROR(__xludf.DUMMYFUNCTION("""COMPUTED_VALUE"""),"Premkumar M")</f>
        <v>Premkumar M</v>
      </c>
      <c r="C4160" s="115" t="str">
        <f>IFERROR(__xludf.DUMMYFUNCTION("""COMPUTED_VALUE"""),"FLIPKART")</f>
        <v>FLIPKART</v>
      </c>
      <c r="D4160" s="115">
        <f>IFERROR(__xludf.DUMMYFUNCTION("""COMPUTED_VALUE"""),306071.0)</f>
        <v>306071</v>
      </c>
      <c r="E4160" s="115">
        <f>IFERROR(__xludf.DUMMYFUNCTION("""COMPUTED_VALUE"""),20184.0)</f>
        <v>20184</v>
      </c>
      <c r="F4160" s="115">
        <f>IFERROR(__xludf.DUMMYFUNCTION("""COMPUTED_VALUE"""),198801.0)</f>
        <v>198801</v>
      </c>
      <c r="G4160" s="115">
        <f>IFERROR(__xludf.DUMMYFUNCTION("""COMPUTED_VALUE"""),5217.0)</f>
        <v>5217</v>
      </c>
      <c r="H4160" s="116">
        <f>IFERROR(__xludf.DUMMYFUNCTION("""COMPUTED_VALUE"""),45908.0)</f>
        <v>45908</v>
      </c>
      <c r="I4160" s="115" t="str">
        <f>IFERROR(__xludf.DUMMYFUNCTION("""COMPUTED_VALUE"""),"18")</f>
        <v>18</v>
      </c>
      <c r="J4160" s="115" t="str">
        <f>IFERROR(__xludf.DUMMYFUNCTION("""COMPUTED_VALUE"""),"Premkumar M2025-09-0818")</f>
        <v>Premkumar M2025-09-0818</v>
      </c>
      <c r="K4160" s="115">
        <f>IFERROR(__xludf.DUMMYFUNCTION("""COMPUTED_VALUE"""),326255.0)</f>
        <v>326255</v>
      </c>
    </row>
    <row r="4161">
      <c r="A4161" s="115" t="str">
        <f>IFERROR(__xludf.DUMMYFUNCTION("""COMPUTED_VALUE"""),"SOUTH")</f>
        <v>SOUTH</v>
      </c>
      <c r="B4161" s="115" t="str">
        <f>IFERROR(__xludf.DUMMYFUNCTION("""COMPUTED_VALUE"""),"Premkumar M")</f>
        <v>Premkumar M</v>
      </c>
      <c r="C4161" s="115" t="str">
        <f>IFERROR(__xludf.DUMMYFUNCTION("""COMPUTED_VALUE"""),"MYNTRA")</f>
        <v>MYNTRA</v>
      </c>
      <c r="D4161" s="115">
        <f>IFERROR(__xludf.DUMMYFUNCTION("""COMPUTED_VALUE"""),17107.0)</f>
        <v>17107</v>
      </c>
      <c r="E4161" s="115">
        <f>IFERROR(__xludf.DUMMYFUNCTION("""COMPUTED_VALUE"""),3130.0)</f>
        <v>3130</v>
      </c>
      <c r="F4161" s="115">
        <f>IFERROR(__xludf.DUMMYFUNCTION("""COMPUTED_VALUE"""),12539.0)</f>
        <v>12539</v>
      </c>
      <c r="G4161" s="115">
        <f>IFERROR(__xludf.DUMMYFUNCTION("""COMPUTED_VALUE"""),889.0)</f>
        <v>889</v>
      </c>
      <c r="H4161" s="116">
        <f>IFERROR(__xludf.DUMMYFUNCTION("""COMPUTED_VALUE"""),45908.0)</f>
        <v>45908</v>
      </c>
      <c r="I4161" s="115" t="str">
        <f>IFERROR(__xludf.DUMMYFUNCTION("""COMPUTED_VALUE"""),"18")</f>
        <v>18</v>
      </c>
      <c r="J4161" s="115" t="str">
        <f>IFERROR(__xludf.DUMMYFUNCTION("""COMPUTED_VALUE"""),"Premkumar M2025-09-0818")</f>
        <v>Premkumar M2025-09-0818</v>
      </c>
      <c r="K4161" s="115">
        <f>IFERROR(__xludf.DUMMYFUNCTION("""COMPUTED_VALUE"""),20237.0)</f>
        <v>20237</v>
      </c>
    </row>
    <row r="4162">
      <c r="A4162" s="115" t="str">
        <f>IFERROR(__xludf.DUMMYFUNCTION("""COMPUTED_VALUE"""),"SOUTH")</f>
        <v>SOUTH</v>
      </c>
      <c r="B4162" s="115" t="str">
        <f>IFERROR(__xludf.DUMMYFUNCTION("""COMPUTED_VALUE"""),"Vineeth V")</f>
        <v>Vineeth V</v>
      </c>
      <c r="C4162" s="115" t="str">
        <f>IFERROR(__xludf.DUMMYFUNCTION("""COMPUTED_VALUE"""),"EXTERNAL")</f>
        <v>EXTERNAL</v>
      </c>
      <c r="D4162" s="115">
        <f>IFERROR(__xludf.DUMMYFUNCTION("""COMPUTED_VALUE"""),24826.0)</f>
        <v>24826</v>
      </c>
      <c r="E4162" s="115">
        <f>IFERROR(__xludf.DUMMYFUNCTION("""COMPUTED_VALUE"""),764.0)</f>
        <v>764</v>
      </c>
      <c r="F4162" s="115">
        <f>IFERROR(__xludf.DUMMYFUNCTION("""COMPUTED_VALUE"""),11316.0)</f>
        <v>11316</v>
      </c>
      <c r="G4162" s="115">
        <f>IFERROR(__xludf.DUMMYFUNCTION("""COMPUTED_VALUE"""),187.0)</f>
        <v>187</v>
      </c>
      <c r="H4162" s="116">
        <f>IFERROR(__xludf.DUMMYFUNCTION("""COMPUTED_VALUE"""),45908.0)</f>
        <v>45908</v>
      </c>
      <c r="I4162" s="115" t="str">
        <f>IFERROR(__xludf.DUMMYFUNCTION("""COMPUTED_VALUE"""),"18")</f>
        <v>18</v>
      </c>
      <c r="J4162" s="115" t="str">
        <f>IFERROR(__xludf.DUMMYFUNCTION("""COMPUTED_VALUE"""),"Vineeth V2025-09-0818")</f>
        <v>Vineeth V2025-09-0818</v>
      </c>
      <c r="K4162" s="115">
        <f>IFERROR(__xludf.DUMMYFUNCTION("""COMPUTED_VALUE"""),25590.0)</f>
        <v>25590</v>
      </c>
    </row>
    <row r="4163">
      <c r="A4163" s="115" t="str">
        <f>IFERROR(__xludf.DUMMYFUNCTION("""COMPUTED_VALUE"""),"SOUTH")</f>
        <v>SOUTH</v>
      </c>
      <c r="B4163" s="115" t="str">
        <f>IFERROR(__xludf.DUMMYFUNCTION("""COMPUTED_VALUE"""),"Vineeth V")</f>
        <v>Vineeth V</v>
      </c>
      <c r="C4163" s="115" t="str">
        <f>IFERROR(__xludf.DUMMYFUNCTION("""COMPUTED_VALUE"""),"FLIPKART")</f>
        <v>FLIPKART</v>
      </c>
      <c r="D4163" s="115">
        <f>IFERROR(__xludf.DUMMYFUNCTION("""COMPUTED_VALUE"""),273352.0)</f>
        <v>273352</v>
      </c>
      <c r="E4163" s="115">
        <f>IFERROR(__xludf.DUMMYFUNCTION("""COMPUTED_VALUE"""),18375.0)</f>
        <v>18375</v>
      </c>
      <c r="F4163" s="115">
        <f>IFERROR(__xludf.DUMMYFUNCTION("""COMPUTED_VALUE"""),192671.0)</f>
        <v>192671</v>
      </c>
      <c r="G4163" s="115">
        <f>IFERROR(__xludf.DUMMYFUNCTION("""COMPUTED_VALUE"""),4875.0)</f>
        <v>4875</v>
      </c>
      <c r="H4163" s="116">
        <f>IFERROR(__xludf.DUMMYFUNCTION("""COMPUTED_VALUE"""),45908.0)</f>
        <v>45908</v>
      </c>
      <c r="I4163" s="115" t="str">
        <f>IFERROR(__xludf.DUMMYFUNCTION("""COMPUTED_VALUE"""),"18")</f>
        <v>18</v>
      </c>
      <c r="J4163" s="115" t="str">
        <f>IFERROR(__xludf.DUMMYFUNCTION("""COMPUTED_VALUE"""),"Vineeth V2025-09-0818")</f>
        <v>Vineeth V2025-09-0818</v>
      </c>
      <c r="K4163" s="115">
        <f>IFERROR(__xludf.DUMMYFUNCTION("""COMPUTED_VALUE"""),291727.0)</f>
        <v>291727</v>
      </c>
    </row>
    <row r="4164">
      <c r="A4164" s="115" t="str">
        <f>IFERROR(__xludf.DUMMYFUNCTION("""COMPUTED_VALUE"""),"SOUTH")</f>
        <v>SOUTH</v>
      </c>
      <c r="B4164" s="115" t="str">
        <f>IFERROR(__xludf.DUMMYFUNCTION("""COMPUTED_VALUE"""),"Vineeth V")</f>
        <v>Vineeth V</v>
      </c>
      <c r="C4164" s="115" t="str">
        <f>IFERROR(__xludf.DUMMYFUNCTION("""COMPUTED_VALUE"""),"MYNTRA")</f>
        <v>MYNTRA</v>
      </c>
      <c r="D4164" s="115">
        <f>IFERROR(__xludf.DUMMYFUNCTION("""COMPUTED_VALUE"""),20690.0)</f>
        <v>20690</v>
      </c>
      <c r="E4164" s="115">
        <f>IFERROR(__xludf.DUMMYFUNCTION("""COMPUTED_VALUE"""),4898.0)</f>
        <v>4898</v>
      </c>
      <c r="F4164" s="115">
        <f>IFERROR(__xludf.DUMMYFUNCTION("""COMPUTED_VALUE"""),15515.0)</f>
        <v>15515</v>
      </c>
      <c r="G4164" s="115">
        <f>IFERROR(__xludf.DUMMYFUNCTION("""COMPUTED_VALUE"""),1386.0)</f>
        <v>1386</v>
      </c>
      <c r="H4164" s="116">
        <f>IFERROR(__xludf.DUMMYFUNCTION("""COMPUTED_VALUE"""),45908.0)</f>
        <v>45908</v>
      </c>
      <c r="I4164" s="115" t="str">
        <f>IFERROR(__xludf.DUMMYFUNCTION("""COMPUTED_VALUE"""),"18")</f>
        <v>18</v>
      </c>
      <c r="J4164" s="115" t="str">
        <f>IFERROR(__xludf.DUMMYFUNCTION("""COMPUTED_VALUE"""),"Vineeth V2025-09-0818")</f>
        <v>Vineeth V2025-09-0818</v>
      </c>
      <c r="K4164" s="115">
        <f>IFERROR(__xludf.DUMMYFUNCTION("""COMPUTED_VALUE"""),25588.0)</f>
        <v>25588</v>
      </c>
    </row>
    <row r="4165">
      <c r="A4165" s="115" t="str">
        <f>IFERROR(__xludf.DUMMYFUNCTION("""COMPUTED_VALUE"""),"WEST")</f>
        <v>WEST</v>
      </c>
      <c r="B4165" s="115" t="str">
        <f>IFERROR(__xludf.DUMMYFUNCTION("""COMPUTED_VALUE"""),"Ashish Jakar")</f>
        <v>Ashish Jakar</v>
      </c>
      <c r="C4165" s="115" t="str">
        <f>IFERROR(__xludf.DUMMYFUNCTION("""COMPUTED_VALUE"""),"EXTERNAL")</f>
        <v>EXTERNAL</v>
      </c>
      <c r="D4165" s="115">
        <f>IFERROR(__xludf.DUMMYFUNCTION("""COMPUTED_VALUE"""),64257.0)</f>
        <v>64257</v>
      </c>
      <c r="E4165" s="115">
        <f>IFERROR(__xludf.DUMMYFUNCTION("""COMPUTED_VALUE"""),7982.0)</f>
        <v>7982</v>
      </c>
      <c r="F4165" s="115">
        <f>IFERROR(__xludf.DUMMYFUNCTION("""COMPUTED_VALUE"""),24073.0)</f>
        <v>24073</v>
      </c>
      <c r="G4165" s="115">
        <f>IFERROR(__xludf.DUMMYFUNCTION("""COMPUTED_VALUE"""),2668.0)</f>
        <v>2668</v>
      </c>
      <c r="H4165" s="116">
        <f>IFERROR(__xludf.DUMMYFUNCTION("""COMPUTED_VALUE"""),45908.0)</f>
        <v>45908</v>
      </c>
      <c r="I4165" s="115" t="str">
        <f>IFERROR(__xludf.DUMMYFUNCTION("""COMPUTED_VALUE"""),"18")</f>
        <v>18</v>
      </c>
      <c r="J4165" s="115" t="str">
        <f>IFERROR(__xludf.DUMMYFUNCTION("""COMPUTED_VALUE"""),"Ashish Jakar2025-09-0818")</f>
        <v>Ashish Jakar2025-09-0818</v>
      </c>
      <c r="K4165" s="115">
        <f>IFERROR(__xludf.DUMMYFUNCTION("""COMPUTED_VALUE"""),72239.0)</f>
        <v>72239</v>
      </c>
    </row>
    <row r="4166">
      <c r="A4166" s="115" t="str">
        <f>IFERROR(__xludf.DUMMYFUNCTION("""COMPUTED_VALUE"""),"WEST")</f>
        <v>WEST</v>
      </c>
      <c r="B4166" s="115" t="str">
        <f>IFERROR(__xludf.DUMMYFUNCTION("""COMPUTED_VALUE"""),"Ashish Jakar")</f>
        <v>Ashish Jakar</v>
      </c>
      <c r="C4166" s="115" t="str">
        <f>IFERROR(__xludf.DUMMYFUNCTION("""COMPUTED_VALUE"""),"FLIPKART")</f>
        <v>FLIPKART</v>
      </c>
      <c r="D4166" s="115">
        <f>IFERROR(__xludf.DUMMYFUNCTION("""COMPUTED_VALUE"""),371454.0)</f>
        <v>371454</v>
      </c>
      <c r="E4166" s="115">
        <f>IFERROR(__xludf.DUMMYFUNCTION("""COMPUTED_VALUE"""),34766.0)</f>
        <v>34766</v>
      </c>
      <c r="F4166" s="115">
        <f>IFERROR(__xludf.DUMMYFUNCTION("""COMPUTED_VALUE"""),244259.0)</f>
        <v>244259</v>
      </c>
      <c r="G4166" s="115">
        <f>IFERROR(__xludf.DUMMYFUNCTION("""COMPUTED_VALUE"""),16773.0)</f>
        <v>16773</v>
      </c>
      <c r="H4166" s="116">
        <f>IFERROR(__xludf.DUMMYFUNCTION("""COMPUTED_VALUE"""),45908.0)</f>
        <v>45908</v>
      </c>
      <c r="I4166" s="115" t="str">
        <f>IFERROR(__xludf.DUMMYFUNCTION("""COMPUTED_VALUE"""),"18")</f>
        <v>18</v>
      </c>
      <c r="J4166" s="115" t="str">
        <f>IFERROR(__xludf.DUMMYFUNCTION("""COMPUTED_VALUE"""),"Ashish Jakar2025-09-0818")</f>
        <v>Ashish Jakar2025-09-0818</v>
      </c>
      <c r="K4166" s="115">
        <f>IFERROR(__xludf.DUMMYFUNCTION("""COMPUTED_VALUE"""),406220.0)</f>
        <v>406220</v>
      </c>
    </row>
    <row r="4167">
      <c r="A4167" s="115" t="str">
        <f>IFERROR(__xludf.DUMMYFUNCTION("""COMPUTED_VALUE"""),"WEST")</f>
        <v>WEST</v>
      </c>
      <c r="B4167" s="115" t="str">
        <f>IFERROR(__xludf.DUMMYFUNCTION("""COMPUTED_VALUE"""),"Ashish Jakar")</f>
        <v>Ashish Jakar</v>
      </c>
      <c r="C4167" s="115" t="str">
        <f>IFERROR(__xludf.DUMMYFUNCTION("""COMPUTED_VALUE"""),"MYNTRA")</f>
        <v>MYNTRA</v>
      </c>
      <c r="D4167" s="115">
        <f>IFERROR(__xludf.DUMMYFUNCTION("""COMPUTED_VALUE"""),46840.0)</f>
        <v>46840</v>
      </c>
      <c r="E4167" s="115">
        <f>IFERROR(__xludf.DUMMYFUNCTION("""COMPUTED_VALUE"""),12040.0)</f>
        <v>12040</v>
      </c>
      <c r="F4167" s="115">
        <f>IFERROR(__xludf.DUMMYFUNCTION("""COMPUTED_VALUE"""),35687.0)</f>
        <v>35687</v>
      </c>
      <c r="G4167" s="115">
        <f>IFERROR(__xludf.DUMMYFUNCTION("""COMPUTED_VALUE"""),6529.0)</f>
        <v>6529</v>
      </c>
      <c r="H4167" s="116">
        <f>IFERROR(__xludf.DUMMYFUNCTION("""COMPUTED_VALUE"""),45908.0)</f>
        <v>45908</v>
      </c>
      <c r="I4167" s="115" t="str">
        <f>IFERROR(__xludf.DUMMYFUNCTION("""COMPUTED_VALUE"""),"18")</f>
        <v>18</v>
      </c>
      <c r="J4167" s="115" t="str">
        <f>IFERROR(__xludf.DUMMYFUNCTION("""COMPUTED_VALUE"""),"Ashish Jakar2025-09-0818")</f>
        <v>Ashish Jakar2025-09-0818</v>
      </c>
      <c r="K4167" s="115">
        <f>IFERROR(__xludf.DUMMYFUNCTION("""COMPUTED_VALUE"""),58880.0)</f>
        <v>58880</v>
      </c>
    </row>
    <row r="4168">
      <c r="A4168" s="115" t="str">
        <f>IFERROR(__xludf.DUMMYFUNCTION("""COMPUTED_VALUE"""),"WEST")</f>
        <v>WEST</v>
      </c>
      <c r="B4168" s="115" t="str">
        <f>IFERROR(__xludf.DUMMYFUNCTION("""COMPUTED_VALUE"""),"Ashvani Bhatt")</f>
        <v>Ashvani Bhatt</v>
      </c>
      <c r="C4168" s="115" t="str">
        <f>IFERROR(__xludf.DUMMYFUNCTION("""COMPUTED_VALUE"""),"EXTERNAL")</f>
        <v>EXTERNAL</v>
      </c>
      <c r="D4168" s="115">
        <f>IFERROR(__xludf.DUMMYFUNCTION("""COMPUTED_VALUE"""),42950.0)</f>
        <v>42950</v>
      </c>
      <c r="E4168" s="115">
        <f>IFERROR(__xludf.DUMMYFUNCTION("""COMPUTED_VALUE"""),3791.0)</f>
        <v>3791</v>
      </c>
      <c r="F4168" s="115">
        <f>IFERROR(__xludf.DUMMYFUNCTION("""COMPUTED_VALUE"""),17947.0)</f>
        <v>17947</v>
      </c>
      <c r="G4168" s="115">
        <f>IFERROR(__xludf.DUMMYFUNCTION("""COMPUTED_VALUE"""),1035.0)</f>
        <v>1035</v>
      </c>
      <c r="H4168" s="116">
        <f>IFERROR(__xludf.DUMMYFUNCTION("""COMPUTED_VALUE"""),45908.0)</f>
        <v>45908</v>
      </c>
      <c r="I4168" s="115" t="str">
        <f>IFERROR(__xludf.DUMMYFUNCTION("""COMPUTED_VALUE"""),"18")</f>
        <v>18</v>
      </c>
      <c r="J4168" s="115" t="str">
        <f>IFERROR(__xludf.DUMMYFUNCTION("""COMPUTED_VALUE"""),"Ashvani Bhatt2025-09-0818")</f>
        <v>Ashvani Bhatt2025-09-0818</v>
      </c>
      <c r="K4168" s="115">
        <f>IFERROR(__xludf.DUMMYFUNCTION("""COMPUTED_VALUE"""),46741.0)</f>
        <v>46741</v>
      </c>
    </row>
    <row r="4169">
      <c r="A4169" s="115" t="str">
        <f>IFERROR(__xludf.DUMMYFUNCTION("""COMPUTED_VALUE"""),"WEST")</f>
        <v>WEST</v>
      </c>
      <c r="B4169" s="115" t="str">
        <f>IFERROR(__xludf.DUMMYFUNCTION("""COMPUTED_VALUE"""),"Ashvani Bhatt")</f>
        <v>Ashvani Bhatt</v>
      </c>
      <c r="C4169" s="115" t="str">
        <f>IFERROR(__xludf.DUMMYFUNCTION("""COMPUTED_VALUE"""),"FLIPKART")</f>
        <v>FLIPKART</v>
      </c>
      <c r="D4169" s="115">
        <f>IFERROR(__xludf.DUMMYFUNCTION("""COMPUTED_VALUE"""),278439.0)</f>
        <v>278439</v>
      </c>
      <c r="E4169" s="115">
        <f>IFERROR(__xludf.DUMMYFUNCTION("""COMPUTED_VALUE"""),29885.0)</f>
        <v>29885</v>
      </c>
      <c r="F4169" s="115">
        <f>IFERROR(__xludf.DUMMYFUNCTION("""COMPUTED_VALUE"""),195752.0)</f>
        <v>195752</v>
      </c>
      <c r="G4169" s="115">
        <f>IFERROR(__xludf.DUMMYFUNCTION("""COMPUTED_VALUE"""),14994.0)</f>
        <v>14994</v>
      </c>
      <c r="H4169" s="116">
        <f>IFERROR(__xludf.DUMMYFUNCTION("""COMPUTED_VALUE"""),45908.0)</f>
        <v>45908</v>
      </c>
      <c r="I4169" s="115" t="str">
        <f>IFERROR(__xludf.DUMMYFUNCTION("""COMPUTED_VALUE"""),"18")</f>
        <v>18</v>
      </c>
      <c r="J4169" s="115" t="str">
        <f>IFERROR(__xludf.DUMMYFUNCTION("""COMPUTED_VALUE"""),"Ashvani Bhatt2025-09-0818")</f>
        <v>Ashvani Bhatt2025-09-0818</v>
      </c>
      <c r="K4169" s="115">
        <f>IFERROR(__xludf.DUMMYFUNCTION("""COMPUTED_VALUE"""),308324.0)</f>
        <v>308324</v>
      </c>
    </row>
    <row r="4170">
      <c r="A4170" s="115" t="str">
        <f>IFERROR(__xludf.DUMMYFUNCTION("""COMPUTED_VALUE"""),"WEST")</f>
        <v>WEST</v>
      </c>
      <c r="B4170" s="115" t="str">
        <f>IFERROR(__xludf.DUMMYFUNCTION("""COMPUTED_VALUE"""),"Ashvani Bhatt")</f>
        <v>Ashvani Bhatt</v>
      </c>
      <c r="C4170" s="115" t="str">
        <f>IFERROR(__xludf.DUMMYFUNCTION("""COMPUTED_VALUE"""),"MYNTRA")</f>
        <v>MYNTRA</v>
      </c>
      <c r="D4170" s="115">
        <f>IFERROR(__xludf.DUMMYFUNCTION("""COMPUTED_VALUE"""),37041.0)</f>
        <v>37041</v>
      </c>
      <c r="E4170" s="115">
        <f>IFERROR(__xludf.DUMMYFUNCTION("""COMPUTED_VALUE"""),9143.0)</f>
        <v>9143</v>
      </c>
      <c r="F4170" s="115">
        <f>IFERROR(__xludf.DUMMYFUNCTION("""COMPUTED_VALUE"""),29962.0)</f>
        <v>29962</v>
      </c>
      <c r="G4170" s="115">
        <f>IFERROR(__xludf.DUMMYFUNCTION("""COMPUTED_VALUE"""),5277.0)</f>
        <v>5277</v>
      </c>
      <c r="H4170" s="116">
        <f>IFERROR(__xludf.DUMMYFUNCTION("""COMPUTED_VALUE"""),45908.0)</f>
        <v>45908</v>
      </c>
      <c r="I4170" s="115" t="str">
        <f>IFERROR(__xludf.DUMMYFUNCTION("""COMPUTED_VALUE"""),"18")</f>
        <v>18</v>
      </c>
      <c r="J4170" s="115" t="str">
        <f>IFERROR(__xludf.DUMMYFUNCTION("""COMPUTED_VALUE"""),"Ashvani Bhatt2025-09-0818")</f>
        <v>Ashvani Bhatt2025-09-0818</v>
      </c>
      <c r="K4170" s="115">
        <f>IFERROR(__xludf.DUMMYFUNCTION("""COMPUTED_VALUE"""),46184.0)</f>
        <v>46184</v>
      </c>
    </row>
    <row r="4171">
      <c r="A4171" s="115"/>
      <c r="B4171" s="115"/>
      <c r="C4171" s="115" t="str">
        <f>IFERROR(__xludf.DUMMYFUNCTION("""COMPUTED_VALUE"""),"EXTERNAL")</f>
        <v>EXTERNAL</v>
      </c>
      <c r="D4171" s="115">
        <f>IFERROR(__xludf.DUMMYFUNCTION("""COMPUTED_VALUE"""),511.0)</f>
        <v>511</v>
      </c>
      <c r="E4171" s="115">
        <f>IFERROR(__xludf.DUMMYFUNCTION("""COMPUTED_VALUE"""),103.0)</f>
        <v>103</v>
      </c>
      <c r="F4171" s="115">
        <f>IFERROR(__xludf.DUMMYFUNCTION("""COMPUTED_VALUE"""),238.0)</f>
        <v>238</v>
      </c>
      <c r="G4171" s="115">
        <f>IFERROR(__xludf.DUMMYFUNCTION("""COMPUTED_VALUE"""),67.0)</f>
        <v>67</v>
      </c>
      <c r="H4171" s="116">
        <f>IFERROR(__xludf.DUMMYFUNCTION("""COMPUTED_VALUE"""),45908.0)</f>
        <v>45908</v>
      </c>
      <c r="I4171" s="115" t="str">
        <f>IFERROR(__xludf.DUMMYFUNCTION("""COMPUTED_VALUE"""),"18")</f>
        <v>18</v>
      </c>
      <c r="J4171" s="115" t="str">
        <f>IFERROR(__xludf.DUMMYFUNCTION("""COMPUTED_VALUE"""),"2025-09-0818")</f>
        <v>2025-09-0818</v>
      </c>
      <c r="K4171" s="115">
        <f>IFERROR(__xludf.DUMMYFUNCTION("""COMPUTED_VALUE"""),614.0)</f>
        <v>614</v>
      </c>
    </row>
    <row r="4172">
      <c r="A4172" s="115"/>
      <c r="B4172" s="115"/>
      <c r="C4172" s="115" t="str">
        <f>IFERROR(__xludf.DUMMYFUNCTION("""COMPUTED_VALUE"""),"FLIPKART")</f>
        <v>FLIPKART</v>
      </c>
      <c r="D4172" s="115">
        <f>IFERROR(__xludf.DUMMYFUNCTION("""COMPUTED_VALUE"""),4896.0)</f>
        <v>4896</v>
      </c>
      <c r="E4172" s="115">
        <f>IFERROR(__xludf.DUMMYFUNCTION("""COMPUTED_VALUE"""),528.0)</f>
        <v>528</v>
      </c>
      <c r="F4172" s="115">
        <f>IFERROR(__xludf.DUMMYFUNCTION("""COMPUTED_VALUE"""),3059.0)</f>
        <v>3059</v>
      </c>
      <c r="G4172" s="115">
        <f>IFERROR(__xludf.DUMMYFUNCTION("""COMPUTED_VALUE"""),268.0)</f>
        <v>268</v>
      </c>
      <c r="H4172" s="116">
        <f>IFERROR(__xludf.DUMMYFUNCTION("""COMPUTED_VALUE"""),45908.0)</f>
        <v>45908</v>
      </c>
      <c r="I4172" s="115" t="str">
        <f>IFERROR(__xludf.DUMMYFUNCTION("""COMPUTED_VALUE"""),"18")</f>
        <v>18</v>
      </c>
      <c r="J4172" s="115" t="str">
        <f>IFERROR(__xludf.DUMMYFUNCTION("""COMPUTED_VALUE"""),"2025-09-0818")</f>
        <v>2025-09-0818</v>
      </c>
      <c r="K4172" s="115">
        <f>IFERROR(__xludf.DUMMYFUNCTION("""COMPUTED_VALUE"""),5424.0)</f>
        <v>5424</v>
      </c>
    </row>
    <row r="4173">
      <c r="A4173" s="115"/>
      <c r="B4173" s="115"/>
      <c r="C4173" s="115" t="str">
        <f>IFERROR(__xludf.DUMMYFUNCTION("""COMPUTED_VALUE"""),"MYNTRA")</f>
        <v>MYNTRA</v>
      </c>
      <c r="D4173" s="115">
        <f>IFERROR(__xludf.DUMMYFUNCTION("""COMPUTED_VALUE"""),575.0)</f>
        <v>575</v>
      </c>
      <c r="E4173" s="115">
        <f>IFERROR(__xludf.DUMMYFUNCTION("""COMPUTED_VALUE"""),194.0)</f>
        <v>194</v>
      </c>
      <c r="F4173" s="115">
        <f>IFERROR(__xludf.DUMMYFUNCTION("""COMPUTED_VALUE"""),444.0)</f>
        <v>444</v>
      </c>
      <c r="G4173" s="115">
        <f>IFERROR(__xludf.DUMMYFUNCTION("""COMPUTED_VALUE"""),136.0)</f>
        <v>136</v>
      </c>
      <c r="H4173" s="116">
        <f>IFERROR(__xludf.DUMMYFUNCTION("""COMPUTED_VALUE"""),45908.0)</f>
        <v>45908</v>
      </c>
      <c r="I4173" s="115" t="str">
        <f>IFERROR(__xludf.DUMMYFUNCTION("""COMPUTED_VALUE"""),"18")</f>
        <v>18</v>
      </c>
      <c r="J4173" s="115" t="str">
        <f>IFERROR(__xludf.DUMMYFUNCTION("""COMPUTED_VALUE"""),"2025-09-0818")</f>
        <v>2025-09-0818</v>
      </c>
      <c r="K4173" s="115">
        <f>IFERROR(__xludf.DUMMYFUNCTION("""COMPUTED_VALUE"""),769.0)</f>
        <v>769</v>
      </c>
    </row>
    <row r="4174">
      <c r="A4174" s="115" t="str">
        <f>IFERROR(__xludf.DUMMYFUNCTION("""COMPUTED_VALUE"""),"EAST")</f>
        <v>EAST</v>
      </c>
      <c r="B4174" s="115" t="str">
        <f>IFERROR(__xludf.DUMMYFUNCTION("""COMPUTED_VALUE"""),"Ashish Ranjan")</f>
        <v>Ashish Ranjan</v>
      </c>
      <c r="C4174" s="115" t="str">
        <f>IFERROR(__xludf.DUMMYFUNCTION("""COMPUTED_VALUE"""),"EXTERNAL")</f>
        <v>EXTERNAL</v>
      </c>
      <c r="D4174" s="115">
        <f>IFERROR(__xludf.DUMMYFUNCTION("""COMPUTED_VALUE"""),47584.0)</f>
        <v>47584</v>
      </c>
      <c r="E4174" s="115">
        <f>IFERROR(__xludf.DUMMYFUNCTION("""COMPUTED_VALUE"""),3859.0)</f>
        <v>3859</v>
      </c>
      <c r="F4174" s="115">
        <f>IFERROR(__xludf.DUMMYFUNCTION("""COMPUTED_VALUE"""),25904.0)</f>
        <v>25904</v>
      </c>
      <c r="G4174" s="115">
        <f>IFERROR(__xludf.DUMMYFUNCTION("""COMPUTED_VALUE"""),1700.0)</f>
        <v>1700</v>
      </c>
      <c r="H4174" s="116">
        <f>IFERROR(__xludf.DUMMYFUNCTION("""COMPUTED_VALUE"""),45908.0)</f>
        <v>45908</v>
      </c>
      <c r="I4174" s="115" t="str">
        <f>IFERROR(__xludf.DUMMYFUNCTION("""COMPUTED_VALUE"""),"19")</f>
        <v>19</v>
      </c>
      <c r="J4174" s="115" t="str">
        <f>IFERROR(__xludf.DUMMYFUNCTION("""COMPUTED_VALUE"""),"Ashish Ranjan2025-09-0819")</f>
        <v>Ashish Ranjan2025-09-0819</v>
      </c>
      <c r="K4174" s="115">
        <f>IFERROR(__xludf.DUMMYFUNCTION("""COMPUTED_VALUE"""),51443.0)</f>
        <v>51443</v>
      </c>
    </row>
    <row r="4175">
      <c r="A4175" s="115" t="str">
        <f>IFERROR(__xludf.DUMMYFUNCTION("""COMPUTED_VALUE"""),"EAST")</f>
        <v>EAST</v>
      </c>
      <c r="B4175" s="115" t="str">
        <f>IFERROR(__xludf.DUMMYFUNCTION("""COMPUTED_VALUE"""),"Ashish Ranjan")</f>
        <v>Ashish Ranjan</v>
      </c>
      <c r="C4175" s="115" t="str">
        <f>IFERROR(__xludf.DUMMYFUNCTION("""COMPUTED_VALUE"""),"FLIPKART")</f>
        <v>FLIPKART</v>
      </c>
      <c r="D4175" s="115">
        <f>IFERROR(__xludf.DUMMYFUNCTION("""COMPUTED_VALUE"""),703274.0)</f>
        <v>703274</v>
      </c>
      <c r="E4175" s="115">
        <f>IFERROR(__xludf.DUMMYFUNCTION("""COMPUTED_VALUE"""),67393.0)</f>
        <v>67393</v>
      </c>
      <c r="F4175" s="115">
        <f>IFERROR(__xludf.DUMMYFUNCTION("""COMPUTED_VALUE"""),595212.0)</f>
        <v>595212</v>
      </c>
      <c r="G4175" s="115">
        <f>IFERROR(__xludf.DUMMYFUNCTION("""COMPUTED_VALUE"""),44908.0)</f>
        <v>44908</v>
      </c>
      <c r="H4175" s="116">
        <f>IFERROR(__xludf.DUMMYFUNCTION("""COMPUTED_VALUE"""),45908.0)</f>
        <v>45908</v>
      </c>
      <c r="I4175" s="115" t="str">
        <f>IFERROR(__xludf.DUMMYFUNCTION("""COMPUTED_VALUE"""),"19")</f>
        <v>19</v>
      </c>
      <c r="J4175" s="115" t="str">
        <f>IFERROR(__xludf.DUMMYFUNCTION("""COMPUTED_VALUE"""),"Ashish Ranjan2025-09-0819")</f>
        <v>Ashish Ranjan2025-09-0819</v>
      </c>
      <c r="K4175" s="115">
        <f>IFERROR(__xludf.DUMMYFUNCTION("""COMPUTED_VALUE"""),770667.0)</f>
        <v>770667</v>
      </c>
    </row>
    <row r="4176">
      <c r="A4176" s="115" t="str">
        <f>IFERROR(__xludf.DUMMYFUNCTION("""COMPUTED_VALUE"""),"EAST")</f>
        <v>EAST</v>
      </c>
      <c r="B4176" s="115" t="str">
        <f>IFERROR(__xludf.DUMMYFUNCTION("""COMPUTED_VALUE"""),"Ashish Ranjan")</f>
        <v>Ashish Ranjan</v>
      </c>
      <c r="C4176" s="115" t="str">
        <f>IFERROR(__xludf.DUMMYFUNCTION("""COMPUTED_VALUE"""),"MYNTRA")</f>
        <v>MYNTRA</v>
      </c>
      <c r="D4176" s="115">
        <f>IFERROR(__xludf.DUMMYFUNCTION("""COMPUTED_VALUE"""),82730.0)</f>
        <v>82730</v>
      </c>
      <c r="E4176" s="115">
        <f>IFERROR(__xludf.DUMMYFUNCTION("""COMPUTED_VALUE"""),15665.0)</f>
        <v>15665</v>
      </c>
      <c r="F4176" s="115">
        <f>IFERROR(__xludf.DUMMYFUNCTION("""COMPUTED_VALUE"""),70912.0)</f>
        <v>70912</v>
      </c>
      <c r="G4176" s="115">
        <f>IFERROR(__xludf.DUMMYFUNCTION("""COMPUTED_VALUE"""),10392.0)</f>
        <v>10392</v>
      </c>
      <c r="H4176" s="116">
        <f>IFERROR(__xludf.DUMMYFUNCTION("""COMPUTED_VALUE"""),45908.0)</f>
        <v>45908</v>
      </c>
      <c r="I4176" s="115" t="str">
        <f>IFERROR(__xludf.DUMMYFUNCTION("""COMPUTED_VALUE"""),"19")</f>
        <v>19</v>
      </c>
      <c r="J4176" s="115" t="str">
        <f>IFERROR(__xludf.DUMMYFUNCTION("""COMPUTED_VALUE"""),"Ashish Ranjan2025-09-0819")</f>
        <v>Ashish Ranjan2025-09-0819</v>
      </c>
      <c r="K4176" s="115">
        <f>IFERROR(__xludf.DUMMYFUNCTION("""COMPUTED_VALUE"""),98395.0)</f>
        <v>98395</v>
      </c>
    </row>
    <row r="4177">
      <c r="A4177" s="115" t="str">
        <f>IFERROR(__xludf.DUMMYFUNCTION("""COMPUTED_VALUE"""),"EAST")</f>
        <v>EAST</v>
      </c>
      <c r="B4177" s="115" t="str">
        <f>IFERROR(__xludf.DUMMYFUNCTION("""COMPUTED_VALUE"""),"Girish Chand")</f>
        <v>Girish Chand</v>
      </c>
      <c r="C4177" s="115" t="str">
        <f>IFERROR(__xludf.DUMMYFUNCTION("""COMPUTED_VALUE"""),"EXTERNAL")</f>
        <v>EXTERNAL</v>
      </c>
      <c r="D4177" s="115">
        <f>IFERROR(__xludf.DUMMYFUNCTION("""COMPUTED_VALUE"""),24887.0)</f>
        <v>24887</v>
      </c>
      <c r="E4177" s="115">
        <f>IFERROR(__xludf.DUMMYFUNCTION("""COMPUTED_VALUE"""),2448.0)</f>
        <v>2448</v>
      </c>
      <c r="F4177" s="115">
        <f>IFERROR(__xludf.DUMMYFUNCTION("""COMPUTED_VALUE"""),10961.0)</f>
        <v>10961</v>
      </c>
      <c r="G4177" s="115">
        <f>IFERROR(__xludf.DUMMYFUNCTION("""COMPUTED_VALUE"""),637.0)</f>
        <v>637</v>
      </c>
      <c r="H4177" s="116">
        <f>IFERROR(__xludf.DUMMYFUNCTION("""COMPUTED_VALUE"""),45908.0)</f>
        <v>45908</v>
      </c>
      <c r="I4177" s="115" t="str">
        <f>IFERROR(__xludf.DUMMYFUNCTION("""COMPUTED_VALUE"""),"19")</f>
        <v>19</v>
      </c>
      <c r="J4177" s="115" t="str">
        <f>IFERROR(__xludf.DUMMYFUNCTION("""COMPUTED_VALUE"""),"Girish Chand2025-09-0819")</f>
        <v>Girish Chand2025-09-0819</v>
      </c>
      <c r="K4177" s="115">
        <f>IFERROR(__xludf.DUMMYFUNCTION("""COMPUTED_VALUE"""),27335.0)</f>
        <v>27335</v>
      </c>
    </row>
    <row r="4178">
      <c r="A4178" s="115" t="str">
        <f>IFERROR(__xludf.DUMMYFUNCTION("""COMPUTED_VALUE"""),"EAST")</f>
        <v>EAST</v>
      </c>
      <c r="B4178" s="115" t="str">
        <f>IFERROR(__xludf.DUMMYFUNCTION("""COMPUTED_VALUE"""),"Girish Chand")</f>
        <v>Girish Chand</v>
      </c>
      <c r="C4178" s="115" t="str">
        <f>IFERROR(__xludf.DUMMYFUNCTION("""COMPUTED_VALUE"""),"FLIPKART")</f>
        <v>FLIPKART</v>
      </c>
      <c r="D4178" s="115">
        <f>IFERROR(__xludf.DUMMYFUNCTION("""COMPUTED_VALUE"""),396879.0)</f>
        <v>396879</v>
      </c>
      <c r="E4178" s="115">
        <f>IFERROR(__xludf.DUMMYFUNCTION("""COMPUTED_VALUE"""),40333.0)</f>
        <v>40333</v>
      </c>
      <c r="F4178" s="115">
        <f>IFERROR(__xludf.DUMMYFUNCTION("""COMPUTED_VALUE"""),289344.0)</f>
        <v>289344</v>
      </c>
      <c r="G4178" s="115">
        <f>IFERROR(__xludf.DUMMYFUNCTION("""COMPUTED_VALUE"""),25085.0)</f>
        <v>25085</v>
      </c>
      <c r="H4178" s="116">
        <f>IFERROR(__xludf.DUMMYFUNCTION("""COMPUTED_VALUE"""),45908.0)</f>
        <v>45908</v>
      </c>
      <c r="I4178" s="115" t="str">
        <f>IFERROR(__xludf.DUMMYFUNCTION("""COMPUTED_VALUE"""),"19")</f>
        <v>19</v>
      </c>
      <c r="J4178" s="115" t="str">
        <f>IFERROR(__xludf.DUMMYFUNCTION("""COMPUTED_VALUE"""),"Girish Chand2025-09-0819")</f>
        <v>Girish Chand2025-09-0819</v>
      </c>
      <c r="K4178" s="115">
        <f>IFERROR(__xludf.DUMMYFUNCTION("""COMPUTED_VALUE"""),437212.0)</f>
        <v>437212</v>
      </c>
    </row>
    <row r="4179">
      <c r="A4179" s="115" t="str">
        <f>IFERROR(__xludf.DUMMYFUNCTION("""COMPUTED_VALUE"""),"EAST")</f>
        <v>EAST</v>
      </c>
      <c r="B4179" s="115" t="str">
        <f>IFERROR(__xludf.DUMMYFUNCTION("""COMPUTED_VALUE"""),"Girish Chand")</f>
        <v>Girish Chand</v>
      </c>
      <c r="C4179" s="115" t="str">
        <f>IFERROR(__xludf.DUMMYFUNCTION("""COMPUTED_VALUE"""),"MYNTRA")</f>
        <v>MYNTRA</v>
      </c>
      <c r="D4179" s="115">
        <f>IFERROR(__xludf.DUMMYFUNCTION("""COMPUTED_VALUE"""),39042.0)</f>
        <v>39042</v>
      </c>
      <c r="E4179" s="115">
        <f>IFERROR(__xludf.DUMMYFUNCTION("""COMPUTED_VALUE"""),7604.0)</f>
        <v>7604</v>
      </c>
      <c r="F4179" s="115">
        <f>IFERROR(__xludf.DUMMYFUNCTION("""COMPUTED_VALUE"""),30417.0)</f>
        <v>30417</v>
      </c>
      <c r="G4179" s="115">
        <f>IFERROR(__xludf.DUMMYFUNCTION("""COMPUTED_VALUE"""),5147.0)</f>
        <v>5147</v>
      </c>
      <c r="H4179" s="116">
        <f>IFERROR(__xludf.DUMMYFUNCTION("""COMPUTED_VALUE"""),45908.0)</f>
        <v>45908</v>
      </c>
      <c r="I4179" s="115" t="str">
        <f>IFERROR(__xludf.DUMMYFUNCTION("""COMPUTED_VALUE"""),"19")</f>
        <v>19</v>
      </c>
      <c r="J4179" s="115" t="str">
        <f>IFERROR(__xludf.DUMMYFUNCTION("""COMPUTED_VALUE"""),"Girish Chand2025-09-0819")</f>
        <v>Girish Chand2025-09-0819</v>
      </c>
      <c r="K4179" s="115">
        <f>IFERROR(__xludf.DUMMYFUNCTION("""COMPUTED_VALUE"""),46646.0)</f>
        <v>46646</v>
      </c>
    </row>
    <row r="4180">
      <c r="A4180" s="115" t="str">
        <f>IFERROR(__xludf.DUMMYFUNCTION("""COMPUTED_VALUE"""),"EAST")</f>
        <v>EAST</v>
      </c>
      <c r="B4180" s="115" t="str">
        <f>IFERROR(__xludf.DUMMYFUNCTION("""COMPUTED_VALUE"""),"Parag Kashyap")</f>
        <v>Parag Kashyap</v>
      </c>
      <c r="C4180" s="115" t="str">
        <f>IFERROR(__xludf.DUMMYFUNCTION("""COMPUTED_VALUE"""),"EXTERNAL")</f>
        <v>EXTERNAL</v>
      </c>
      <c r="D4180" s="115">
        <f>IFERROR(__xludf.DUMMYFUNCTION("""COMPUTED_VALUE"""),20308.0)</f>
        <v>20308</v>
      </c>
      <c r="E4180" s="115">
        <f>IFERROR(__xludf.DUMMYFUNCTION("""COMPUTED_VALUE"""),1263.0)</f>
        <v>1263</v>
      </c>
      <c r="F4180" s="115">
        <f>IFERROR(__xludf.DUMMYFUNCTION("""COMPUTED_VALUE"""),9154.0)</f>
        <v>9154</v>
      </c>
      <c r="G4180" s="115">
        <f>IFERROR(__xludf.DUMMYFUNCTION("""COMPUTED_VALUE"""),310.0)</f>
        <v>310</v>
      </c>
      <c r="H4180" s="116">
        <f>IFERROR(__xludf.DUMMYFUNCTION("""COMPUTED_VALUE"""),45908.0)</f>
        <v>45908</v>
      </c>
      <c r="I4180" s="115" t="str">
        <f>IFERROR(__xludf.DUMMYFUNCTION("""COMPUTED_VALUE"""),"19")</f>
        <v>19</v>
      </c>
      <c r="J4180" s="115" t="str">
        <f>IFERROR(__xludf.DUMMYFUNCTION("""COMPUTED_VALUE"""),"Parag Kashyap2025-09-0819")</f>
        <v>Parag Kashyap2025-09-0819</v>
      </c>
      <c r="K4180" s="115">
        <f>IFERROR(__xludf.DUMMYFUNCTION("""COMPUTED_VALUE"""),21571.0)</f>
        <v>21571</v>
      </c>
    </row>
    <row r="4181">
      <c r="A4181" s="115" t="str">
        <f>IFERROR(__xludf.DUMMYFUNCTION("""COMPUTED_VALUE"""),"EAST")</f>
        <v>EAST</v>
      </c>
      <c r="B4181" s="115" t="str">
        <f>IFERROR(__xludf.DUMMYFUNCTION("""COMPUTED_VALUE"""),"Parag Kashyap")</f>
        <v>Parag Kashyap</v>
      </c>
      <c r="C4181" s="115" t="str">
        <f>IFERROR(__xludf.DUMMYFUNCTION("""COMPUTED_VALUE"""),"FLIPKART")</f>
        <v>FLIPKART</v>
      </c>
      <c r="D4181" s="115">
        <f>IFERROR(__xludf.DUMMYFUNCTION("""COMPUTED_VALUE"""),339881.0)</f>
        <v>339881</v>
      </c>
      <c r="E4181" s="115">
        <f>IFERROR(__xludf.DUMMYFUNCTION("""COMPUTED_VALUE"""),21137.0)</f>
        <v>21137</v>
      </c>
      <c r="F4181" s="115">
        <f>IFERROR(__xludf.DUMMYFUNCTION("""COMPUTED_VALUE"""),255775.0)</f>
        <v>255775</v>
      </c>
      <c r="G4181" s="115">
        <f>IFERROR(__xludf.DUMMYFUNCTION("""COMPUTED_VALUE"""),10806.0)</f>
        <v>10806</v>
      </c>
      <c r="H4181" s="116">
        <f>IFERROR(__xludf.DUMMYFUNCTION("""COMPUTED_VALUE"""),45908.0)</f>
        <v>45908</v>
      </c>
      <c r="I4181" s="115" t="str">
        <f>IFERROR(__xludf.DUMMYFUNCTION("""COMPUTED_VALUE"""),"19")</f>
        <v>19</v>
      </c>
      <c r="J4181" s="115" t="str">
        <f>IFERROR(__xludf.DUMMYFUNCTION("""COMPUTED_VALUE"""),"Parag Kashyap2025-09-0819")</f>
        <v>Parag Kashyap2025-09-0819</v>
      </c>
      <c r="K4181" s="115">
        <f>IFERROR(__xludf.DUMMYFUNCTION("""COMPUTED_VALUE"""),361018.0)</f>
        <v>361018</v>
      </c>
    </row>
    <row r="4182">
      <c r="A4182" s="115" t="str">
        <f>IFERROR(__xludf.DUMMYFUNCTION("""COMPUTED_VALUE"""),"EAST")</f>
        <v>EAST</v>
      </c>
      <c r="B4182" s="115" t="str">
        <f>IFERROR(__xludf.DUMMYFUNCTION("""COMPUTED_VALUE"""),"Parag Kashyap")</f>
        <v>Parag Kashyap</v>
      </c>
      <c r="C4182" s="115" t="str">
        <f>IFERROR(__xludf.DUMMYFUNCTION("""COMPUTED_VALUE"""),"MYNTRA")</f>
        <v>MYNTRA</v>
      </c>
      <c r="D4182" s="115">
        <f>IFERROR(__xludf.DUMMYFUNCTION("""COMPUTED_VALUE"""),43968.0)</f>
        <v>43968</v>
      </c>
      <c r="E4182" s="115">
        <f>IFERROR(__xludf.DUMMYFUNCTION("""COMPUTED_VALUE"""),5796.0)</f>
        <v>5796</v>
      </c>
      <c r="F4182" s="115">
        <f>IFERROR(__xludf.DUMMYFUNCTION("""COMPUTED_VALUE"""),34351.0)</f>
        <v>34351</v>
      </c>
      <c r="G4182" s="115">
        <f>IFERROR(__xludf.DUMMYFUNCTION("""COMPUTED_VALUE"""),2931.0)</f>
        <v>2931</v>
      </c>
      <c r="H4182" s="116">
        <f>IFERROR(__xludf.DUMMYFUNCTION("""COMPUTED_VALUE"""),45908.0)</f>
        <v>45908</v>
      </c>
      <c r="I4182" s="115" t="str">
        <f>IFERROR(__xludf.DUMMYFUNCTION("""COMPUTED_VALUE"""),"19")</f>
        <v>19</v>
      </c>
      <c r="J4182" s="115" t="str">
        <f>IFERROR(__xludf.DUMMYFUNCTION("""COMPUTED_VALUE"""),"Parag Kashyap2025-09-0819")</f>
        <v>Parag Kashyap2025-09-0819</v>
      </c>
      <c r="K4182" s="115">
        <f>IFERROR(__xludf.DUMMYFUNCTION("""COMPUTED_VALUE"""),49764.0)</f>
        <v>49764</v>
      </c>
    </row>
    <row r="4183">
      <c r="A4183" s="115" t="str">
        <f>IFERROR(__xludf.DUMMYFUNCTION("""COMPUTED_VALUE"""),"NORTH")</f>
        <v>NORTH</v>
      </c>
      <c r="B4183" s="115" t="str">
        <f>IFERROR(__xludf.DUMMYFUNCTION("""COMPUTED_VALUE"""),"Amit Kumar Pathak")</f>
        <v>Amit Kumar Pathak</v>
      </c>
      <c r="C4183" s="115" t="str">
        <f>IFERROR(__xludf.DUMMYFUNCTION("""COMPUTED_VALUE"""),"EXTERNAL")</f>
        <v>EXTERNAL</v>
      </c>
      <c r="D4183" s="115">
        <f>IFERROR(__xludf.DUMMYFUNCTION("""COMPUTED_VALUE"""),31608.0)</f>
        <v>31608</v>
      </c>
      <c r="E4183" s="115">
        <f>IFERROR(__xludf.DUMMYFUNCTION("""COMPUTED_VALUE"""),3864.0)</f>
        <v>3864</v>
      </c>
      <c r="F4183" s="115">
        <f>IFERROR(__xludf.DUMMYFUNCTION("""COMPUTED_VALUE"""),11583.0)</f>
        <v>11583</v>
      </c>
      <c r="G4183" s="115">
        <f>IFERROR(__xludf.DUMMYFUNCTION("""COMPUTED_VALUE"""),1616.0)</f>
        <v>1616</v>
      </c>
      <c r="H4183" s="116">
        <f>IFERROR(__xludf.DUMMYFUNCTION("""COMPUTED_VALUE"""),45908.0)</f>
        <v>45908</v>
      </c>
      <c r="I4183" s="115" t="str">
        <f>IFERROR(__xludf.DUMMYFUNCTION("""COMPUTED_VALUE"""),"19")</f>
        <v>19</v>
      </c>
      <c r="J4183" s="115" t="str">
        <f>IFERROR(__xludf.DUMMYFUNCTION("""COMPUTED_VALUE"""),"Amit Kumar Pathak2025-09-0819")</f>
        <v>Amit Kumar Pathak2025-09-0819</v>
      </c>
      <c r="K4183" s="115">
        <f>IFERROR(__xludf.DUMMYFUNCTION("""COMPUTED_VALUE"""),35472.0)</f>
        <v>35472</v>
      </c>
    </row>
    <row r="4184">
      <c r="A4184" s="115" t="str">
        <f>IFERROR(__xludf.DUMMYFUNCTION("""COMPUTED_VALUE"""),"NORTH")</f>
        <v>NORTH</v>
      </c>
      <c r="B4184" s="115" t="str">
        <f>IFERROR(__xludf.DUMMYFUNCTION("""COMPUTED_VALUE"""),"Amit Kumar Pathak")</f>
        <v>Amit Kumar Pathak</v>
      </c>
      <c r="C4184" s="115" t="str">
        <f>IFERROR(__xludf.DUMMYFUNCTION("""COMPUTED_VALUE"""),"FLIPKART")</f>
        <v>FLIPKART</v>
      </c>
      <c r="D4184" s="115">
        <f>IFERROR(__xludf.DUMMYFUNCTION("""COMPUTED_VALUE"""),183484.0)</f>
        <v>183484</v>
      </c>
      <c r="E4184" s="115">
        <f>IFERROR(__xludf.DUMMYFUNCTION("""COMPUTED_VALUE"""),24803.0)</f>
        <v>24803</v>
      </c>
      <c r="F4184" s="115">
        <f>IFERROR(__xludf.DUMMYFUNCTION("""COMPUTED_VALUE"""),130377.0)</f>
        <v>130377</v>
      </c>
      <c r="G4184" s="115">
        <f>IFERROR(__xludf.DUMMYFUNCTION("""COMPUTED_VALUE"""),14120.0)</f>
        <v>14120</v>
      </c>
      <c r="H4184" s="116">
        <f>IFERROR(__xludf.DUMMYFUNCTION("""COMPUTED_VALUE"""),45908.0)</f>
        <v>45908</v>
      </c>
      <c r="I4184" s="115" t="str">
        <f>IFERROR(__xludf.DUMMYFUNCTION("""COMPUTED_VALUE"""),"19")</f>
        <v>19</v>
      </c>
      <c r="J4184" s="115" t="str">
        <f>IFERROR(__xludf.DUMMYFUNCTION("""COMPUTED_VALUE"""),"Amit Kumar Pathak2025-09-0819")</f>
        <v>Amit Kumar Pathak2025-09-0819</v>
      </c>
      <c r="K4184" s="115">
        <f>IFERROR(__xludf.DUMMYFUNCTION("""COMPUTED_VALUE"""),208287.0)</f>
        <v>208287</v>
      </c>
    </row>
    <row r="4185">
      <c r="A4185" s="115" t="str">
        <f>IFERROR(__xludf.DUMMYFUNCTION("""COMPUTED_VALUE"""),"NORTH")</f>
        <v>NORTH</v>
      </c>
      <c r="B4185" s="115" t="str">
        <f>IFERROR(__xludf.DUMMYFUNCTION("""COMPUTED_VALUE"""),"Amit Kumar Pathak")</f>
        <v>Amit Kumar Pathak</v>
      </c>
      <c r="C4185" s="115" t="str">
        <f>IFERROR(__xludf.DUMMYFUNCTION("""COMPUTED_VALUE"""),"MYNTRA")</f>
        <v>MYNTRA</v>
      </c>
      <c r="D4185" s="115">
        <f>IFERROR(__xludf.DUMMYFUNCTION("""COMPUTED_VALUE"""),18429.0)</f>
        <v>18429</v>
      </c>
      <c r="E4185" s="115">
        <f>IFERROR(__xludf.DUMMYFUNCTION("""COMPUTED_VALUE"""),6619.0)</f>
        <v>6619</v>
      </c>
      <c r="F4185" s="115">
        <f>IFERROR(__xludf.DUMMYFUNCTION("""COMPUTED_VALUE"""),15047.0)</f>
        <v>15047</v>
      </c>
      <c r="G4185" s="115">
        <f>IFERROR(__xludf.DUMMYFUNCTION("""COMPUTED_VALUE"""),4134.0)</f>
        <v>4134</v>
      </c>
      <c r="H4185" s="116">
        <f>IFERROR(__xludf.DUMMYFUNCTION("""COMPUTED_VALUE"""),45908.0)</f>
        <v>45908</v>
      </c>
      <c r="I4185" s="115" t="str">
        <f>IFERROR(__xludf.DUMMYFUNCTION("""COMPUTED_VALUE"""),"19")</f>
        <v>19</v>
      </c>
      <c r="J4185" s="115" t="str">
        <f>IFERROR(__xludf.DUMMYFUNCTION("""COMPUTED_VALUE"""),"Amit Kumar Pathak2025-09-0819")</f>
        <v>Amit Kumar Pathak2025-09-0819</v>
      </c>
      <c r="K4185" s="115">
        <f>IFERROR(__xludf.DUMMYFUNCTION("""COMPUTED_VALUE"""),25048.0)</f>
        <v>25048</v>
      </c>
    </row>
    <row r="4186">
      <c r="A4186" s="115" t="str">
        <f>IFERROR(__xludf.DUMMYFUNCTION("""COMPUTED_VALUE"""),"NORTH")</f>
        <v>NORTH</v>
      </c>
      <c r="B4186" s="115" t="str">
        <f>IFERROR(__xludf.DUMMYFUNCTION("""COMPUTED_VALUE"""),"Loveleen Singh")</f>
        <v>Loveleen Singh</v>
      </c>
      <c r="C4186" s="115" t="str">
        <f>IFERROR(__xludf.DUMMYFUNCTION("""COMPUTED_VALUE"""),"EXTERNAL")</f>
        <v>EXTERNAL</v>
      </c>
      <c r="D4186" s="115">
        <f>IFERROR(__xludf.DUMMYFUNCTION("""COMPUTED_VALUE"""),37234.0)</f>
        <v>37234</v>
      </c>
      <c r="E4186" s="115">
        <f>IFERROR(__xludf.DUMMYFUNCTION("""COMPUTED_VALUE"""),2812.0)</f>
        <v>2812</v>
      </c>
      <c r="F4186" s="115">
        <f>IFERROR(__xludf.DUMMYFUNCTION("""COMPUTED_VALUE"""),14819.0)</f>
        <v>14819</v>
      </c>
      <c r="G4186" s="115">
        <f>IFERROR(__xludf.DUMMYFUNCTION("""COMPUTED_VALUE"""),738.0)</f>
        <v>738</v>
      </c>
      <c r="H4186" s="116">
        <f>IFERROR(__xludf.DUMMYFUNCTION("""COMPUTED_VALUE"""),45908.0)</f>
        <v>45908</v>
      </c>
      <c r="I4186" s="115" t="str">
        <f>IFERROR(__xludf.DUMMYFUNCTION("""COMPUTED_VALUE"""),"19")</f>
        <v>19</v>
      </c>
      <c r="J4186" s="115" t="str">
        <f>IFERROR(__xludf.DUMMYFUNCTION("""COMPUTED_VALUE"""),"Loveleen Singh2025-09-0819")</f>
        <v>Loveleen Singh2025-09-0819</v>
      </c>
      <c r="K4186" s="115">
        <f>IFERROR(__xludf.DUMMYFUNCTION("""COMPUTED_VALUE"""),40046.0)</f>
        <v>40046</v>
      </c>
    </row>
    <row r="4187">
      <c r="A4187" s="115" t="str">
        <f>IFERROR(__xludf.DUMMYFUNCTION("""COMPUTED_VALUE"""),"NORTH")</f>
        <v>NORTH</v>
      </c>
      <c r="B4187" s="115" t="str">
        <f>IFERROR(__xludf.DUMMYFUNCTION("""COMPUTED_VALUE"""),"Loveleen Singh")</f>
        <v>Loveleen Singh</v>
      </c>
      <c r="C4187" s="115" t="str">
        <f>IFERROR(__xludf.DUMMYFUNCTION("""COMPUTED_VALUE"""),"FLIPKART")</f>
        <v>FLIPKART</v>
      </c>
      <c r="D4187" s="115">
        <f>IFERROR(__xludf.DUMMYFUNCTION("""COMPUTED_VALUE"""),177952.0)</f>
        <v>177952</v>
      </c>
      <c r="E4187" s="115">
        <f>IFERROR(__xludf.DUMMYFUNCTION("""COMPUTED_VALUE"""),15788.0)</f>
        <v>15788</v>
      </c>
      <c r="F4187" s="115">
        <f>IFERROR(__xludf.DUMMYFUNCTION("""COMPUTED_VALUE"""),130981.0)</f>
        <v>130981</v>
      </c>
      <c r="G4187" s="115">
        <f>IFERROR(__xludf.DUMMYFUNCTION("""COMPUTED_VALUE"""),8579.0)</f>
        <v>8579</v>
      </c>
      <c r="H4187" s="116">
        <f>IFERROR(__xludf.DUMMYFUNCTION("""COMPUTED_VALUE"""),45908.0)</f>
        <v>45908</v>
      </c>
      <c r="I4187" s="115" t="str">
        <f>IFERROR(__xludf.DUMMYFUNCTION("""COMPUTED_VALUE"""),"19")</f>
        <v>19</v>
      </c>
      <c r="J4187" s="115" t="str">
        <f>IFERROR(__xludf.DUMMYFUNCTION("""COMPUTED_VALUE"""),"Loveleen Singh2025-09-0819")</f>
        <v>Loveleen Singh2025-09-0819</v>
      </c>
      <c r="K4187" s="115">
        <f>IFERROR(__xludf.DUMMYFUNCTION("""COMPUTED_VALUE"""),193740.0)</f>
        <v>193740</v>
      </c>
    </row>
    <row r="4188">
      <c r="A4188" s="115" t="str">
        <f>IFERROR(__xludf.DUMMYFUNCTION("""COMPUTED_VALUE"""),"NORTH")</f>
        <v>NORTH</v>
      </c>
      <c r="B4188" s="115" t="str">
        <f>IFERROR(__xludf.DUMMYFUNCTION("""COMPUTED_VALUE"""),"Loveleen Singh")</f>
        <v>Loveleen Singh</v>
      </c>
      <c r="C4188" s="115" t="str">
        <f>IFERROR(__xludf.DUMMYFUNCTION("""COMPUTED_VALUE"""),"MYNTRA")</f>
        <v>MYNTRA</v>
      </c>
      <c r="D4188" s="115">
        <f>IFERROR(__xludf.DUMMYFUNCTION("""COMPUTED_VALUE"""),32730.0)</f>
        <v>32730</v>
      </c>
      <c r="E4188" s="115">
        <f>IFERROR(__xludf.DUMMYFUNCTION("""COMPUTED_VALUE"""),6437.0)</f>
        <v>6437</v>
      </c>
      <c r="F4188" s="115">
        <f>IFERROR(__xludf.DUMMYFUNCTION("""COMPUTED_VALUE"""),26271.0)</f>
        <v>26271</v>
      </c>
      <c r="G4188" s="115">
        <f>IFERROR(__xludf.DUMMYFUNCTION("""COMPUTED_VALUE"""),3944.0)</f>
        <v>3944</v>
      </c>
      <c r="H4188" s="116">
        <f>IFERROR(__xludf.DUMMYFUNCTION("""COMPUTED_VALUE"""),45908.0)</f>
        <v>45908</v>
      </c>
      <c r="I4188" s="115" t="str">
        <f>IFERROR(__xludf.DUMMYFUNCTION("""COMPUTED_VALUE"""),"19")</f>
        <v>19</v>
      </c>
      <c r="J4188" s="115" t="str">
        <f>IFERROR(__xludf.DUMMYFUNCTION("""COMPUTED_VALUE"""),"Loveleen Singh2025-09-0819")</f>
        <v>Loveleen Singh2025-09-0819</v>
      </c>
      <c r="K4188" s="115">
        <f>IFERROR(__xludf.DUMMYFUNCTION("""COMPUTED_VALUE"""),39167.0)</f>
        <v>39167</v>
      </c>
    </row>
    <row r="4189">
      <c r="A4189" s="115" t="str">
        <f>IFERROR(__xludf.DUMMYFUNCTION("""COMPUTED_VALUE"""),"NORTH")</f>
        <v>NORTH</v>
      </c>
      <c r="B4189" s="115" t="str">
        <f>IFERROR(__xludf.DUMMYFUNCTION("""COMPUTED_VALUE"""),"Manoj Harsh")</f>
        <v>Manoj Harsh</v>
      </c>
      <c r="C4189" s="115" t="str">
        <f>IFERROR(__xludf.DUMMYFUNCTION("""COMPUTED_VALUE"""),"EXTERNAL")</f>
        <v>EXTERNAL</v>
      </c>
      <c r="D4189" s="115">
        <f>IFERROR(__xludf.DUMMYFUNCTION("""COMPUTED_VALUE"""),39662.0)</f>
        <v>39662</v>
      </c>
      <c r="E4189" s="115">
        <f>IFERROR(__xludf.DUMMYFUNCTION("""COMPUTED_VALUE"""),3219.0)</f>
        <v>3219</v>
      </c>
      <c r="F4189" s="115">
        <f>IFERROR(__xludf.DUMMYFUNCTION("""COMPUTED_VALUE"""),17067.0)</f>
        <v>17067</v>
      </c>
      <c r="G4189" s="115">
        <f>IFERROR(__xludf.DUMMYFUNCTION("""COMPUTED_VALUE"""),1017.0)</f>
        <v>1017</v>
      </c>
      <c r="H4189" s="116">
        <f>IFERROR(__xludf.DUMMYFUNCTION("""COMPUTED_VALUE"""),45908.0)</f>
        <v>45908</v>
      </c>
      <c r="I4189" s="115" t="str">
        <f>IFERROR(__xludf.DUMMYFUNCTION("""COMPUTED_VALUE"""),"19")</f>
        <v>19</v>
      </c>
      <c r="J4189" s="115" t="str">
        <f>IFERROR(__xludf.DUMMYFUNCTION("""COMPUTED_VALUE"""),"Manoj Harsh2025-09-0819")</f>
        <v>Manoj Harsh2025-09-0819</v>
      </c>
      <c r="K4189" s="115">
        <f>IFERROR(__xludf.DUMMYFUNCTION("""COMPUTED_VALUE"""),42881.0)</f>
        <v>42881</v>
      </c>
    </row>
    <row r="4190">
      <c r="A4190" s="115" t="str">
        <f>IFERROR(__xludf.DUMMYFUNCTION("""COMPUTED_VALUE"""),"NORTH")</f>
        <v>NORTH</v>
      </c>
      <c r="B4190" s="115" t="str">
        <f>IFERROR(__xludf.DUMMYFUNCTION("""COMPUTED_VALUE"""),"Manoj Harsh")</f>
        <v>Manoj Harsh</v>
      </c>
      <c r="C4190" s="115" t="str">
        <f>IFERROR(__xludf.DUMMYFUNCTION("""COMPUTED_VALUE"""),"FLIPKART")</f>
        <v>FLIPKART</v>
      </c>
      <c r="D4190" s="115">
        <f>IFERROR(__xludf.DUMMYFUNCTION("""COMPUTED_VALUE"""),398031.0)</f>
        <v>398031</v>
      </c>
      <c r="E4190" s="115">
        <f>IFERROR(__xludf.DUMMYFUNCTION("""COMPUTED_VALUE"""),42966.0)</f>
        <v>42966</v>
      </c>
      <c r="F4190" s="115">
        <f>IFERROR(__xludf.DUMMYFUNCTION("""COMPUTED_VALUE"""),284485.0)</f>
        <v>284485</v>
      </c>
      <c r="G4190" s="115">
        <f>IFERROR(__xludf.DUMMYFUNCTION("""COMPUTED_VALUE"""),24618.0)</f>
        <v>24618</v>
      </c>
      <c r="H4190" s="116">
        <f>IFERROR(__xludf.DUMMYFUNCTION("""COMPUTED_VALUE"""),45908.0)</f>
        <v>45908</v>
      </c>
      <c r="I4190" s="115" t="str">
        <f>IFERROR(__xludf.DUMMYFUNCTION("""COMPUTED_VALUE"""),"19")</f>
        <v>19</v>
      </c>
      <c r="J4190" s="115" t="str">
        <f>IFERROR(__xludf.DUMMYFUNCTION("""COMPUTED_VALUE"""),"Manoj Harsh2025-09-0819")</f>
        <v>Manoj Harsh2025-09-0819</v>
      </c>
      <c r="K4190" s="115">
        <f>IFERROR(__xludf.DUMMYFUNCTION("""COMPUTED_VALUE"""),440997.0)</f>
        <v>440997</v>
      </c>
    </row>
    <row r="4191">
      <c r="A4191" s="115" t="str">
        <f>IFERROR(__xludf.DUMMYFUNCTION("""COMPUTED_VALUE"""),"NORTH")</f>
        <v>NORTH</v>
      </c>
      <c r="B4191" s="115" t="str">
        <f>IFERROR(__xludf.DUMMYFUNCTION("""COMPUTED_VALUE"""),"Manoj Harsh")</f>
        <v>Manoj Harsh</v>
      </c>
      <c r="C4191" s="115" t="str">
        <f>IFERROR(__xludf.DUMMYFUNCTION("""COMPUTED_VALUE"""),"MYNTRA")</f>
        <v>MYNTRA</v>
      </c>
      <c r="D4191" s="115">
        <f>IFERROR(__xludf.DUMMYFUNCTION("""COMPUTED_VALUE"""),40290.0)</f>
        <v>40290</v>
      </c>
      <c r="E4191" s="115">
        <f>IFERROR(__xludf.DUMMYFUNCTION("""COMPUTED_VALUE"""),8180.0)</f>
        <v>8180</v>
      </c>
      <c r="F4191" s="115">
        <f>IFERROR(__xludf.DUMMYFUNCTION("""COMPUTED_VALUE"""),31721.0)</f>
        <v>31721</v>
      </c>
      <c r="G4191" s="115">
        <f>IFERROR(__xludf.DUMMYFUNCTION("""COMPUTED_VALUE"""),5194.0)</f>
        <v>5194</v>
      </c>
      <c r="H4191" s="116">
        <f>IFERROR(__xludf.DUMMYFUNCTION("""COMPUTED_VALUE"""),45908.0)</f>
        <v>45908</v>
      </c>
      <c r="I4191" s="115" t="str">
        <f>IFERROR(__xludf.DUMMYFUNCTION("""COMPUTED_VALUE"""),"19")</f>
        <v>19</v>
      </c>
      <c r="J4191" s="115" t="str">
        <f>IFERROR(__xludf.DUMMYFUNCTION("""COMPUTED_VALUE"""),"Manoj Harsh2025-09-0819")</f>
        <v>Manoj Harsh2025-09-0819</v>
      </c>
      <c r="K4191" s="115">
        <f>IFERROR(__xludf.DUMMYFUNCTION("""COMPUTED_VALUE"""),48470.0)</f>
        <v>48470</v>
      </c>
    </row>
    <row r="4192">
      <c r="A4192" s="115" t="str">
        <f>IFERROR(__xludf.DUMMYFUNCTION("""COMPUTED_VALUE"""),"NORTH")</f>
        <v>NORTH</v>
      </c>
      <c r="B4192" s="115" t="str">
        <f>IFERROR(__xludf.DUMMYFUNCTION("""COMPUTED_VALUE"""),"Pradeep Kothari")</f>
        <v>Pradeep Kothari</v>
      </c>
      <c r="C4192" s="115" t="str">
        <f>IFERROR(__xludf.DUMMYFUNCTION("""COMPUTED_VALUE"""),"EXTERNAL")</f>
        <v>EXTERNAL</v>
      </c>
      <c r="D4192" s="115">
        <f>IFERROR(__xludf.DUMMYFUNCTION("""COMPUTED_VALUE"""),21661.0)</f>
        <v>21661</v>
      </c>
      <c r="E4192" s="115">
        <f>IFERROR(__xludf.DUMMYFUNCTION("""COMPUTED_VALUE"""),2108.0)</f>
        <v>2108</v>
      </c>
      <c r="F4192" s="115">
        <f>IFERROR(__xludf.DUMMYFUNCTION("""COMPUTED_VALUE"""),8824.0)</f>
        <v>8824</v>
      </c>
      <c r="G4192" s="115">
        <f>IFERROR(__xludf.DUMMYFUNCTION("""COMPUTED_VALUE"""),792.0)</f>
        <v>792</v>
      </c>
      <c r="H4192" s="116">
        <f>IFERROR(__xludf.DUMMYFUNCTION("""COMPUTED_VALUE"""),45908.0)</f>
        <v>45908</v>
      </c>
      <c r="I4192" s="115" t="str">
        <f>IFERROR(__xludf.DUMMYFUNCTION("""COMPUTED_VALUE"""),"19")</f>
        <v>19</v>
      </c>
      <c r="J4192" s="115" t="str">
        <f>IFERROR(__xludf.DUMMYFUNCTION("""COMPUTED_VALUE"""),"Pradeep Kothari2025-09-0819")</f>
        <v>Pradeep Kothari2025-09-0819</v>
      </c>
      <c r="K4192" s="115">
        <f>IFERROR(__xludf.DUMMYFUNCTION("""COMPUTED_VALUE"""),23769.0)</f>
        <v>23769</v>
      </c>
    </row>
    <row r="4193">
      <c r="A4193" s="115" t="str">
        <f>IFERROR(__xludf.DUMMYFUNCTION("""COMPUTED_VALUE"""),"NORTH")</f>
        <v>NORTH</v>
      </c>
      <c r="B4193" s="115" t="str">
        <f>IFERROR(__xludf.DUMMYFUNCTION("""COMPUTED_VALUE"""),"Pradeep Kothari")</f>
        <v>Pradeep Kothari</v>
      </c>
      <c r="C4193" s="115" t="str">
        <f>IFERROR(__xludf.DUMMYFUNCTION("""COMPUTED_VALUE"""),"FLIPKART")</f>
        <v>FLIPKART</v>
      </c>
      <c r="D4193" s="115">
        <f>IFERROR(__xludf.DUMMYFUNCTION("""COMPUTED_VALUE"""),141517.0)</f>
        <v>141517</v>
      </c>
      <c r="E4193" s="115">
        <f>IFERROR(__xludf.DUMMYFUNCTION("""COMPUTED_VALUE"""),18123.0)</f>
        <v>18123</v>
      </c>
      <c r="F4193" s="115">
        <f>IFERROR(__xludf.DUMMYFUNCTION("""COMPUTED_VALUE"""),105499.0)</f>
        <v>105499</v>
      </c>
      <c r="G4193" s="115">
        <f>IFERROR(__xludf.DUMMYFUNCTION("""COMPUTED_VALUE"""),11221.0)</f>
        <v>11221</v>
      </c>
      <c r="H4193" s="116">
        <f>IFERROR(__xludf.DUMMYFUNCTION("""COMPUTED_VALUE"""),45908.0)</f>
        <v>45908</v>
      </c>
      <c r="I4193" s="115" t="str">
        <f>IFERROR(__xludf.DUMMYFUNCTION("""COMPUTED_VALUE"""),"19")</f>
        <v>19</v>
      </c>
      <c r="J4193" s="115" t="str">
        <f>IFERROR(__xludf.DUMMYFUNCTION("""COMPUTED_VALUE"""),"Pradeep Kothari2025-09-0819")</f>
        <v>Pradeep Kothari2025-09-0819</v>
      </c>
      <c r="K4193" s="115">
        <f>IFERROR(__xludf.DUMMYFUNCTION("""COMPUTED_VALUE"""),159640.0)</f>
        <v>159640</v>
      </c>
    </row>
    <row r="4194">
      <c r="A4194" s="115" t="str">
        <f>IFERROR(__xludf.DUMMYFUNCTION("""COMPUTED_VALUE"""),"NORTH")</f>
        <v>NORTH</v>
      </c>
      <c r="B4194" s="115" t="str">
        <f>IFERROR(__xludf.DUMMYFUNCTION("""COMPUTED_VALUE"""),"Pradeep Kothari")</f>
        <v>Pradeep Kothari</v>
      </c>
      <c r="C4194" s="115" t="str">
        <f>IFERROR(__xludf.DUMMYFUNCTION("""COMPUTED_VALUE"""),"MYNTRA")</f>
        <v>MYNTRA</v>
      </c>
      <c r="D4194" s="115">
        <f>IFERROR(__xludf.DUMMYFUNCTION("""COMPUTED_VALUE"""),28577.0)</f>
        <v>28577</v>
      </c>
      <c r="E4194" s="115">
        <f>IFERROR(__xludf.DUMMYFUNCTION("""COMPUTED_VALUE"""),7033.0)</f>
        <v>7033</v>
      </c>
      <c r="F4194" s="115">
        <f>IFERROR(__xludf.DUMMYFUNCTION("""COMPUTED_VALUE"""),23656.0)</f>
        <v>23656</v>
      </c>
      <c r="G4194" s="115">
        <f>IFERROR(__xludf.DUMMYFUNCTION("""COMPUTED_VALUE"""),4889.0)</f>
        <v>4889</v>
      </c>
      <c r="H4194" s="116">
        <f>IFERROR(__xludf.DUMMYFUNCTION("""COMPUTED_VALUE"""),45908.0)</f>
        <v>45908</v>
      </c>
      <c r="I4194" s="115" t="str">
        <f>IFERROR(__xludf.DUMMYFUNCTION("""COMPUTED_VALUE"""),"19")</f>
        <v>19</v>
      </c>
      <c r="J4194" s="115" t="str">
        <f>IFERROR(__xludf.DUMMYFUNCTION("""COMPUTED_VALUE"""),"Pradeep Kothari2025-09-0819")</f>
        <v>Pradeep Kothari2025-09-0819</v>
      </c>
      <c r="K4194" s="115">
        <f>IFERROR(__xludf.DUMMYFUNCTION("""COMPUTED_VALUE"""),35610.0)</f>
        <v>35610</v>
      </c>
    </row>
    <row r="4195">
      <c r="A4195" s="115" t="str">
        <f>IFERROR(__xludf.DUMMYFUNCTION("""COMPUTED_VALUE"""),"SOUTH")</f>
        <v>SOUTH</v>
      </c>
      <c r="B4195" s="115" t="str">
        <f>IFERROR(__xludf.DUMMYFUNCTION("""COMPUTED_VALUE"""),"0")</f>
        <v>0</v>
      </c>
      <c r="C4195" s="115" t="str">
        <f>IFERROR(__xludf.DUMMYFUNCTION("""COMPUTED_VALUE"""),"EXTERNAL")</f>
        <v>EXTERNAL</v>
      </c>
      <c r="D4195" s="115">
        <f>IFERROR(__xludf.DUMMYFUNCTION("""COMPUTED_VALUE"""),1.0)</f>
        <v>1</v>
      </c>
      <c r="E4195" s="115">
        <f>IFERROR(__xludf.DUMMYFUNCTION("""COMPUTED_VALUE"""),0.0)</f>
        <v>0</v>
      </c>
      <c r="F4195" s="115">
        <f>IFERROR(__xludf.DUMMYFUNCTION("""COMPUTED_VALUE"""),1.0)</f>
        <v>1</v>
      </c>
      <c r="G4195" s="115">
        <f>IFERROR(__xludf.DUMMYFUNCTION("""COMPUTED_VALUE"""),0.0)</f>
        <v>0</v>
      </c>
      <c r="H4195" s="116">
        <f>IFERROR(__xludf.DUMMYFUNCTION("""COMPUTED_VALUE"""),45908.0)</f>
        <v>45908</v>
      </c>
      <c r="I4195" s="115" t="str">
        <f>IFERROR(__xludf.DUMMYFUNCTION("""COMPUTED_VALUE"""),"19")</f>
        <v>19</v>
      </c>
      <c r="J4195" s="115" t="str">
        <f>IFERROR(__xludf.DUMMYFUNCTION("""COMPUTED_VALUE"""),"02025-09-0819")</f>
        <v>02025-09-0819</v>
      </c>
      <c r="K4195" s="115">
        <f>IFERROR(__xludf.DUMMYFUNCTION("""COMPUTED_VALUE"""),1.0)</f>
        <v>1</v>
      </c>
    </row>
    <row r="4196">
      <c r="A4196" s="115" t="str">
        <f>IFERROR(__xludf.DUMMYFUNCTION("""COMPUTED_VALUE"""),"SOUTH")</f>
        <v>SOUTH</v>
      </c>
      <c r="B4196" s="115" t="str">
        <f>IFERROR(__xludf.DUMMYFUNCTION("""COMPUTED_VALUE"""),"0")</f>
        <v>0</v>
      </c>
      <c r="C4196" s="115" t="str">
        <f>IFERROR(__xludf.DUMMYFUNCTION("""COMPUTED_VALUE"""),"FLIPKART")</f>
        <v>FLIPKART</v>
      </c>
      <c r="D4196" s="115">
        <f>IFERROR(__xludf.DUMMYFUNCTION("""COMPUTED_VALUE"""),37.0)</f>
        <v>37</v>
      </c>
      <c r="E4196" s="115">
        <f>IFERROR(__xludf.DUMMYFUNCTION("""COMPUTED_VALUE"""),72.0)</f>
        <v>72</v>
      </c>
      <c r="F4196" s="115">
        <f>IFERROR(__xludf.DUMMYFUNCTION("""COMPUTED_VALUE"""),23.0)</f>
        <v>23</v>
      </c>
      <c r="G4196" s="115">
        <f>IFERROR(__xludf.DUMMYFUNCTION("""COMPUTED_VALUE"""),22.0)</f>
        <v>22</v>
      </c>
      <c r="H4196" s="116">
        <f>IFERROR(__xludf.DUMMYFUNCTION("""COMPUTED_VALUE"""),45908.0)</f>
        <v>45908</v>
      </c>
      <c r="I4196" s="115" t="str">
        <f>IFERROR(__xludf.DUMMYFUNCTION("""COMPUTED_VALUE"""),"19")</f>
        <v>19</v>
      </c>
      <c r="J4196" s="115" t="str">
        <f>IFERROR(__xludf.DUMMYFUNCTION("""COMPUTED_VALUE"""),"02025-09-0819")</f>
        <v>02025-09-0819</v>
      </c>
      <c r="K4196" s="115">
        <f>IFERROR(__xludf.DUMMYFUNCTION("""COMPUTED_VALUE"""),109.0)</f>
        <v>109</v>
      </c>
    </row>
    <row r="4197">
      <c r="A4197" s="115" t="str">
        <f>IFERROR(__xludf.DUMMYFUNCTION("""COMPUTED_VALUE"""),"SOUTH")</f>
        <v>SOUTH</v>
      </c>
      <c r="B4197" s="115" t="str">
        <f>IFERROR(__xludf.DUMMYFUNCTION("""COMPUTED_VALUE"""),"0")</f>
        <v>0</v>
      </c>
      <c r="C4197" s="115" t="str">
        <f>IFERROR(__xludf.DUMMYFUNCTION("""COMPUTED_VALUE"""),"MYNTRA")</f>
        <v>MYNTRA</v>
      </c>
      <c r="D4197" s="115">
        <f>IFERROR(__xludf.DUMMYFUNCTION("""COMPUTED_VALUE"""),7.0)</f>
        <v>7</v>
      </c>
      <c r="E4197" s="115">
        <f>IFERROR(__xludf.DUMMYFUNCTION("""COMPUTED_VALUE"""),24.0)</f>
        <v>24</v>
      </c>
      <c r="F4197" s="115">
        <f>IFERROR(__xludf.DUMMYFUNCTION("""COMPUTED_VALUE"""),1.0)</f>
        <v>1</v>
      </c>
      <c r="G4197" s="115">
        <f>IFERROR(__xludf.DUMMYFUNCTION("""COMPUTED_VALUE"""),3.0)</f>
        <v>3</v>
      </c>
      <c r="H4197" s="116">
        <f>IFERROR(__xludf.DUMMYFUNCTION("""COMPUTED_VALUE"""),45908.0)</f>
        <v>45908</v>
      </c>
      <c r="I4197" s="115" t="str">
        <f>IFERROR(__xludf.DUMMYFUNCTION("""COMPUTED_VALUE"""),"19")</f>
        <v>19</v>
      </c>
      <c r="J4197" s="115" t="str">
        <f>IFERROR(__xludf.DUMMYFUNCTION("""COMPUTED_VALUE"""),"02025-09-0819")</f>
        <v>02025-09-0819</v>
      </c>
      <c r="K4197" s="115">
        <f>IFERROR(__xludf.DUMMYFUNCTION("""COMPUTED_VALUE"""),31.0)</f>
        <v>31</v>
      </c>
    </row>
    <row r="4198">
      <c r="A4198" s="115" t="str">
        <f>IFERROR(__xludf.DUMMYFUNCTION("""COMPUTED_VALUE"""),"SOUTH")</f>
        <v>SOUTH</v>
      </c>
      <c r="B4198" s="115" t="str">
        <f>IFERROR(__xludf.DUMMYFUNCTION("""COMPUTED_VALUE"""),"Kandula Sampath")</f>
        <v>Kandula Sampath</v>
      </c>
      <c r="C4198" s="115" t="str">
        <f>IFERROR(__xludf.DUMMYFUNCTION("""COMPUTED_VALUE"""),"EXTERNAL")</f>
        <v>EXTERNAL</v>
      </c>
      <c r="D4198" s="115">
        <f>IFERROR(__xludf.DUMMYFUNCTION("""COMPUTED_VALUE"""),38323.0)</f>
        <v>38323</v>
      </c>
      <c r="E4198" s="115">
        <f>IFERROR(__xludf.DUMMYFUNCTION("""COMPUTED_VALUE"""),4245.0)</f>
        <v>4245</v>
      </c>
      <c r="F4198" s="115">
        <f>IFERROR(__xludf.DUMMYFUNCTION("""COMPUTED_VALUE"""),16493.0)</f>
        <v>16493</v>
      </c>
      <c r="G4198" s="115">
        <f>IFERROR(__xludf.DUMMYFUNCTION("""COMPUTED_VALUE"""),1210.0)</f>
        <v>1210</v>
      </c>
      <c r="H4198" s="116">
        <f>IFERROR(__xludf.DUMMYFUNCTION("""COMPUTED_VALUE"""),45908.0)</f>
        <v>45908</v>
      </c>
      <c r="I4198" s="115" t="str">
        <f>IFERROR(__xludf.DUMMYFUNCTION("""COMPUTED_VALUE"""),"19")</f>
        <v>19</v>
      </c>
      <c r="J4198" s="115" t="str">
        <f>IFERROR(__xludf.DUMMYFUNCTION("""COMPUTED_VALUE"""),"Kandula Sampath2025-09-0819")</f>
        <v>Kandula Sampath2025-09-0819</v>
      </c>
      <c r="K4198" s="115">
        <f>IFERROR(__xludf.DUMMYFUNCTION("""COMPUTED_VALUE"""),42568.0)</f>
        <v>42568</v>
      </c>
    </row>
    <row r="4199">
      <c r="A4199" s="115" t="str">
        <f>IFERROR(__xludf.DUMMYFUNCTION("""COMPUTED_VALUE"""),"SOUTH")</f>
        <v>SOUTH</v>
      </c>
      <c r="B4199" s="115" t="str">
        <f>IFERROR(__xludf.DUMMYFUNCTION("""COMPUTED_VALUE"""),"Kandula Sampath")</f>
        <v>Kandula Sampath</v>
      </c>
      <c r="C4199" s="115" t="str">
        <f>IFERROR(__xludf.DUMMYFUNCTION("""COMPUTED_VALUE"""),"FLIPKART")</f>
        <v>FLIPKART</v>
      </c>
      <c r="D4199" s="115">
        <f>IFERROR(__xludf.DUMMYFUNCTION("""COMPUTED_VALUE"""),350888.0)</f>
        <v>350888</v>
      </c>
      <c r="E4199" s="115">
        <f>IFERROR(__xludf.DUMMYFUNCTION("""COMPUTED_VALUE"""),34270.0)</f>
        <v>34270</v>
      </c>
      <c r="F4199" s="115">
        <f>IFERROR(__xludf.DUMMYFUNCTION("""COMPUTED_VALUE"""),252689.0)</f>
        <v>252689</v>
      </c>
      <c r="G4199" s="115">
        <f>IFERROR(__xludf.DUMMYFUNCTION("""COMPUTED_VALUE"""),17003.0)</f>
        <v>17003</v>
      </c>
      <c r="H4199" s="116">
        <f>IFERROR(__xludf.DUMMYFUNCTION("""COMPUTED_VALUE"""),45908.0)</f>
        <v>45908</v>
      </c>
      <c r="I4199" s="115" t="str">
        <f>IFERROR(__xludf.DUMMYFUNCTION("""COMPUTED_VALUE"""),"19")</f>
        <v>19</v>
      </c>
      <c r="J4199" s="115" t="str">
        <f>IFERROR(__xludf.DUMMYFUNCTION("""COMPUTED_VALUE"""),"Kandula Sampath2025-09-0819")</f>
        <v>Kandula Sampath2025-09-0819</v>
      </c>
      <c r="K4199" s="115">
        <f>IFERROR(__xludf.DUMMYFUNCTION("""COMPUTED_VALUE"""),385158.0)</f>
        <v>385158</v>
      </c>
    </row>
    <row r="4200">
      <c r="A4200" s="115" t="str">
        <f>IFERROR(__xludf.DUMMYFUNCTION("""COMPUTED_VALUE"""),"SOUTH")</f>
        <v>SOUTH</v>
      </c>
      <c r="B4200" s="115" t="str">
        <f>IFERROR(__xludf.DUMMYFUNCTION("""COMPUTED_VALUE"""),"Kandula Sampath")</f>
        <v>Kandula Sampath</v>
      </c>
      <c r="C4200" s="115" t="str">
        <f>IFERROR(__xludf.DUMMYFUNCTION("""COMPUTED_VALUE"""),"MYNTRA")</f>
        <v>MYNTRA</v>
      </c>
      <c r="D4200" s="115">
        <f>IFERROR(__xludf.DUMMYFUNCTION("""COMPUTED_VALUE"""),41280.0)</f>
        <v>41280</v>
      </c>
      <c r="E4200" s="115">
        <f>IFERROR(__xludf.DUMMYFUNCTION("""COMPUTED_VALUE"""),9470.0)</f>
        <v>9470</v>
      </c>
      <c r="F4200" s="115">
        <f>IFERROR(__xludf.DUMMYFUNCTION("""COMPUTED_VALUE"""),32409.0)</f>
        <v>32409</v>
      </c>
      <c r="G4200" s="115">
        <f>IFERROR(__xludf.DUMMYFUNCTION("""COMPUTED_VALUE"""),5047.0)</f>
        <v>5047</v>
      </c>
      <c r="H4200" s="116">
        <f>IFERROR(__xludf.DUMMYFUNCTION("""COMPUTED_VALUE"""),45908.0)</f>
        <v>45908</v>
      </c>
      <c r="I4200" s="115" t="str">
        <f>IFERROR(__xludf.DUMMYFUNCTION("""COMPUTED_VALUE"""),"19")</f>
        <v>19</v>
      </c>
      <c r="J4200" s="115" t="str">
        <f>IFERROR(__xludf.DUMMYFUNCTION("""COMPUTED_VALUE"""),"Kandula Sampath2025-09-0819")</f>
        <v>Kandula Sampath2025-09-0819</v>
      </c>
      <c r="K4200" s="115">
        <f>IFERROR(__xludf.DUMMYFUNCTION("""COMPUTED_VALUE"""),50750.0)</f>
        <v>50750</v>
      </c>
    </row>
    <row r="4201">
      <c r="A4201" s="115" t="str">
        <f>IFERROR(__xludf.DUMMYFUNCTION("""COMPUTED_VALUE"""),"SOUTH")</f>
        <v>SOUTH</v>
      </c>
      <c r="B4201" s="115" t="str">
        <f>IFERROR(__xludf.DUMMYFUNCTION("""COMPUTED_VALUE"""),"Martin A")</f>
        <v>Martin A</v>
      </c>
      <c r="C4201" s="115" t="str">
        <f>IFERROR(__xludf.DUMMYFUNCTION("""COMPUTED_VALUE"""),"EXTERNAL")</f>
        <v>EXTERNAL</v>
      </c>
      <c r="D4201" s="115">
        <f>IFERROR(__xludf.DUMMYFUNCTION("""COMPUTED_VALUE"""),37293.0)</f>
        <v>37293</v>
      </c>
      <c r="E4201" s="115">
        <f>IFERROR(__xludf.DUMMYFUNCTION("""COMPUTED_VALUE"""),4516.0)</f>
        <v>4516</v>
      </c>
      <c r="F4201" s="115">
        <f>IFERROR(__xludf.DUMMYFUNCTION("""COMPUTED_VALUE"""),15760.0)</f>
        <v>15760</v>
      </c>
      <c r="G4201" s="115">
        <f>IFERROR(__xludf.DUMMYFUNCTION("""COMPUTED_VALUE"""),2080.0)</f>
        <v>2080</v>
      </c>
      <c r="H4201" s="116">
        <f>IFERROR(__xludf.DUMMYFUNCTION("""COMPUTED_VALUE"""),45908.0)</f>
        <v>45908</v>
      </c>
      <c r="I4201" s="115" t="str">
        <f>IFERROR(__xludf.DUMMYFUNCTION("""COMPUTED_VALUE"""),"19")</f>
        <v>19</v>
      </c>
      <c r="J4201" s="115" t="str">
        <f>IFERROR(__xludf.DUMMYFUNCTION("""COMPUTED_VALUE"""),"Martin A2025-09-0819")</f>
        <v>Martin A2025-09-0819</v>
      </c>
      <c r="K4201" s="115">
        <f>IFERROR(__xludf.DUMMYFUNCTION("""COMPUTED_VALUE"""),41809.0)</f>
        <v>41809</v>
      </c>
    </row>
    <row r="4202">
      <c r="A4202" s="115" t="str">
        <f>IFERROR(__xludf.DUMMYFUNCTION("""COMPUTED_VALUE"""),"SOUTH")</f>
        <v>SOUTH</v>
      </c>
      <c r="B4202" s="115" t="str">
        <f>IFERROR(__xludf.DUMMYFUNCTION("""COMPUTED_VALUE"""),"Martin A")</f>
        <v>Martin A</v>
      </c>
      <c r="C4202" s="115" t="str">
        <f>IFERROR(__xludf.DUMMYFUNCTION("""COMPUTED_VALUE"""),"FLIPKART")</f>
        <v>FLIPKART</v>
      </c>
      <c r="D4202" s="115">
        <f>IFERROR(__xludf.DUMMYFUNCTION("""COMPUTED_VALUE"""),305503.0)</f>
        <v>305503</v>
      </c>
      <c r="E4202" s="115">
        <f>IFERROR(__xludf.DUMMYFUNCTION("""COMPUTED_VALUE"""),29889.0)</f>
        <v>29889</v>
      </c>
      <c r="F4202" s="115">
        <f>IFERROR(__xludf.DUMMYFUNCTION("""COMPUTED_VALUE"""),218233.0)</f>
        <v>218233</v>
      </c>
      <c r="G4202" s="115">
        <f>IFERROR(__xludf.DUMMYFUNCTION("""COMPUTED_VALUE"""),16579.0)</f>
        <v>16579</v>
      </c>
      <c r="H4202" s="116">
        <f>IFERROR(__xludf.DUMMYFUNCTION("""COMPUTED_VALUE"""),45908.0)</f>
        <v>45908</v>
      </c>
      <c r="I4202" s="115" t="str">
        <f>IFERROR(__xludf.DUMMYFUNCTION("""COMPUTED_VALUE"""),"19")</f>
        <v>19</v>
      </c>
      <c r="J4202" s="115" t="str">
        <f>IFERROR(__xludf.DUMMYFUNCTION("""COMPUTED_VALUE"""),"Martin A2025-09-0819")</f>
        <v>Martin A2025-09-0819</v>
      </c>
      <c r="K4202" s="115">
        <f>IFERROR(__xludf.DUMMYFUNCTION("""COMPUTED_VALUE"""),335392.0)</f>
        <v>335392</v>
      </c>
    </row>
    <row r="4203">
      <c r="A4203" s="115" t="str">
        <f>IFERROR(__xludf.DUMMYFUNCTION("""COMPUTED_VALUE"""),"SOUTH")</f>
        <v>SOUTH</v>
      </c>
      <c r="B4203" s="115" t="str">
        <f>IFERROR(__xludf.DUMMYFUNCTION("""COMPUTED_VALUE"""),"Martin A")</f>
        <v>Martin A</v>
      </c>
      <c r="C4203" s="115" t="str">
        <f>IFERROR(__xludf.DUMMYFUNCTION("""COMPUTED_VALUE"""),"MYNTRA")</f>
        <v>MYNTRA</v>
      </c>
      <c r="D4203" s="115">
        <f>IFERROR(__xludf.DUMMYFUNCTION("""COMPUTED_VALUE"""),30514.0)</f>
        <v>30514</v>
      </c>
      <c r="E4203" s="115">
        <f>IFERROR(__xludf.DUMMYFUNCTION("""COMPUTED_VALUE"""),7969.0)</f>
        <v>7969</v>
      </c>
      <c r="F4203" s="115">
        <f>IFERROR(__xludf.DUMMYFUNCTION("""COMPUTED_VALUE"""),24595.0)</f>
        <v>24595</v>
      </c>
      <c r="G4203" s="115">
        <f>IFERROR(__xludf.DUMMYFUNCTION("""COMPUTED_VALUE"""),4680.0)</f>
        <v>4680</v>
      </c>
      <c r="H4203" s="116">
        <f>IFERROR(__xludf.DUMMYFUNCTION("""COMPUTED_VALUE"""),45908.0)</f>
        <v>45908</v>
      </c>
      <c r="I4203" s="115" t="str">
        <f>IFERROR(__xludf.DUMMYFUNCTION("""COMPUTED_VALUE"""),"19")</f>
        <v>19</v>
      </c>
      <c r="J4203" s="115" t="str">
        <f>IFERROR(__xludf.DUMMYFUNCTION("""COMPUTED_VALUE"""),"Martin A2025-09-0819")</f>
        <v>Martin A2025-09-0819</v>
      </c>
      <c r="K4203" s="115">
        <f>IFERROR(__xludf.DUMMYFUNCTION("""COMPUTED_VALUE"""),38483.0)</f>
        <v>38483</v>
      </c>
    </row>
    <row r="4204">
      <c r="A4204" s="115" t="str">
        <f>IFERROR(__xludf.DUMMYFUNCTION("""COMPUTED_VALUE"""),"SOUTH")</f>
        <v>SOUTH</v>
      </c>
      <c r="B4204" s="115" t="str">
        <f>IFERROR(__xludf.DUMMYFUNCTION("""COMPUTED_VALUE"""),"Premkumar M")</f>
        <v>Premkumar M</v>
      </c>
      <c r="C4204" s="115" t="str">
        <f>IFERROR(__xludf.DUMMYFUNCTION("""COMPUTED_VALUE"""),"EXTERNAL")</f>
        <v>EXTERNAL</v>
      </c>
      <c r="D4204" s="115">
        <f>IFERROR(__xludf.DUMMYFUNCTION("""COMPUTED_VALUE"""),33857.0)</f>
        <v>33857</v>
      </c>
      <c r="E4204" s="115">
        <f>IFERROR(__xludf.DUMMYFUNCTION("""COMPUTED_VALUE"""),2059.0)</f>
        <v>2059</v>
      </c>
      <c r="F4204" s="115">
        <f>IFERROR(__xludf.DUMMYFUNCTION("""COMPUTED_VALUE"""),15788.0)</f>
        <v>15788</v>
      </c>
      <c r="G4204" s="115">
        <f>IFERROR(__xludf.DUMMYFUNCTION("""COMPUTED_VALUE"""),493.0)</f>
        <v>493</v>
      </c>
      <c r="H4204" s="116">
        <f>IFERROR(__xludf.DUMMYFUNCTION("""COMPUTED_VALUE"""),45908.0)</f>
        <v>45908</v>
      </c>
      <c r="I4204" s="115" t="str">
        <f>IFERROR(__xludf.DUMMYFUNCTION("""COMPUTED_VALUE"""),"19")</f>
        <v>19</v>
      </c>
      <c r="J4204" s="115" t="str">
        <f>IFERROR(__xludf.DUMMYFUNCTION("""COMPUTED_VALUE"""),"Premkumar M2025-09-0819")</f>
        <v>Premkumar M2025-09-0819</v>
      </c>
      <c r="K4204" s="115">
        <f>IFERROR(__xludf.DUMMYFUNCTION("""COMPUTED_VALUE"""),35916.0)</f>
        <v>35916</v>
      </c>
    </row>
    <row r="4205">
      <c r="A4205" s="115" t="str">
        <f>IFERROR(__xludf.DUMMYFUNCTION("""COMPUTED_VALUE"""),"SOUTH")</f>
        <v>SOUTH</v>
      </c>
      <c r="B4205" s="115" t="str">
        <f>IFERROR(__xludf.DUMMYFUNCTION("""COMPUTED_VALUE"""),"Premkumar M")</f>
        <v>Premkumar M</v>
      </c>
      <c r="C4205" s="115" t="str">
        <f>IFERROR(__xludf.DUMMYFUNCTION("""COMPUTED_VALUE"""),"FLIPKART")</f>
        <v>FLIPKART</v>
      </c>
      <c r="D4205" s="115">
        <f>IFERROR(__xludf.DUMMYFUNCTION("""COMPUTED_VALUE"""),307483.0)</f>
        <v>307483</v>
      </c>
      <c r="E4205" s="115">
        <f>IFERROR(__xludf.DUMMYFUNCTION("""COMPUTED_VALUE"""),20490.0)</f>
        <v>20490</v>
      </c>
      <c r="F4205" s="115">
        <f>IFERROR(__xludf.DUMMYFUNCTION("""COMPUTED_VALUE"""),216950.0)</f>
        <v>216950</v>
      </c>
      <c r="G4205" s="115">
        <f>IFERROR(__xludf.DUMMYFUNCTION("""COMPUTED_VALUE"""),6959.0)</f>
        <v>6959</v>
      </c>
      <c r="H4205" s="116">
        <f>IFERROR(__xludf.DUMMYFUNCTION("""COMPUTED_VALUE"""),45908.0)</f>
        <v>45908</v>
      </c>
      <c r="I4205" s="115" t="str">
        <f>IFERROR(__xludf.DUMMYFUNCTION("""COMPUTED_VALUE"""),"19")</f>
        <v>19</v>
      </c>
      <c r="J4205" s="115" t="str">
        <f>IFERROR(__xludf.DUMMYFUNCTION("""COMPUTED_VALUE"""),"Premkumar M2025-09-0819")</f>
        <v>Premkumar M2025-09-0819</v>
      </c>
      <c r="K4205" s="115">
        <f>IFERROR(__xludf.DUMMYFUNCTION("""COMPUTED_VALUE"""),327973.0)</f>
        <v>327973</v>
      </c>
    </row>
    <row r="4206">
      <c r="A4206" s="115" t="str">
        <f>IFERROR(__xludf.DUMMYFUNCTION("""COMPUTED_VALUE"""),"SOUTH")</f>
        <v>SOUTH</v>
      </c>
      <c r="B4206" s="115" t="str">
        <f>IFERROR(__xludf.DUMMYFUNCTION("""COMPUTED_VALUE"""),"Premkumar M")</f>
        <v>Premkumar M</v>
      </c>
      <c r="C4206" s="115" t="str">
        <f>IFERROR(__xludf.DUMMYFUNCTION("""COMPUTED_VALUE"""),"MYNTRA")</f>
        <v>MYNTRA</v>
      </c>
      <c r="D4206" s="115">
        <f>IFERROR(__xludf.DUMMYFUNCTION("""COMPUTED_VALUE"""),17144.0)</f>
        <v>17144</v>
      </c>
      <c r="E4206" s="115">
        <f>IFERROR(__xludf.DUMMYFUNCTION("""COMPUTED_VALUE"""),3153.0)</f>
        <v>3153</v>
      </c>
      <c r="F4206" s="115">
        <f>IFERROR(__xludf.DUMMYFUNCTION("""COMPUTED_VALUE"""),13478.0)</f>
        <v>13478</v>
      </c>
      <c r="G4206" s="115">
        <f>IFERROR(__xludf.DUMMYFUNCTION("""COMPUTED_VALUE"""),1189.0)</f>
        <v>1189</v>
      </c>
      <c r="H4206" s="116">
        <f>IFERROR(__xludf.DUMMYFUNCTION("""COMPUTED_VALUE"""),45908.0)</f>
        <v>45908</v>
      </c>
      <c r="I4206" s="115" t="str">
        <f>IFERROR(__xludf.DUMMYFUNCTION("""COMPUTED_VALUE"""),"19")</f>
        <v>19</v>
      </c>
      <c r="J4206" s="115" t="str">
        <f>IFERROR(__xludf.DUMMYFUNCTION("""COMPUTED_VALUE"""),"Premkumar M2025-09-0819")</f>
        <v>Premkumar M2025-09-0819</v>
      </c>
      <c r="K4206" s="115">
        <f>IFERROR(__xludf.DUMMYFUNCTION("""COMPUTED_VALUE"""),20297.0)</f>
        <v>20297</v>
      </c>
    </row>
    <row r="4207">
      <c r="A4207" s="115" t="str">
        <f>IFERROR(__xludf.DUMMYFUNCTION("""COMPUTED_VALUE"""),"SOUTH")</f>
        <v>SOUTH</v>
      </c>
      <c r="B4207" s="115" t="str">
        <f>IFERROR(__xludf.DUMMYFUNCTION("""COMPUTED_VALUE"""),"Vineeth V")</f>
        <v>Vineeth V</v>
      </c>
      <c r="C4207" s="115" t="str">
        <f>IFERROR(__xludf.DUMMYFUNCTION("""COMPUTED_VALUE"""),"EXTERNAL")</f>
        <v>EXTERNAL</v>
      </c>
      <c r="D4207" s="115">
        <f>IFERROR(__xludf.DUMMYFUNCTION("""COMPUTED_VALUE"""),24936.0)</f>
        <v>24936</v>
      </c>
      <c r="E4207" s="115">
        <f>IFERROR(__xludf.DUMMYFUNCTION("""COMPUTED_VALUE"""),766.0)</f>
        <v>766</v>
      </c>
      <c r="F4207" s="115">
        <f>IFERROR(__xludf.DUMMYFUNCTION("""COMPUTED_VALUE"""),12277.0)</f>
        <v>12277</v>
      </c>
      <c r="G4207" s="115">
        <f>IFERROR(__xludf.DUMMYFUNCTION("""COMPUTED_VALUE"""),246.0)</f>
        <v>246</v>
      </c>
      <c r="H4207" s="116">
        <f>IFERROR(__xludf.DUMMYFUNCTION("""COMPUTED_VALUE"""),45908.0)</f>
        <v>45908</v>
      </c>
      <c r="I4207" s="115" t="str">
        <f>IFERROR(__xludf.DUMMYFUNCTION("""COMPUTED_VALUE"""),"19")</f>
        <v>19</v>
      </c>
      <c r="J4207" s="115" t="str">
        <f>IFERROR(__xludf.DUMMYFUNCTION("""COMPUTED_VALUE"""),"Vineeth V2025-09-0819")</f>
        <v>Vineeth V2025-09-0819</v>
      </c>
      <c r="K4207" s="115">
        <f>IFERROR(__xludf.DUMMYFUNCTION("""COMPUTED_VALUE"""),25702.0)</f>
        <v>25702</v>
      </c>
    </row>
    <row r="4208">
      <c r="A4208" s="115" t="str">
        <f>IFERROR(__xludf.DUMMYFUNCTION("""COMPUTED_VALUE"""),"SOUTH")</f>
        <v>SOUTH</v>
      </c>
      <c r="B4208" s="115" t="str">
        <f>IFERROR(__xludf.DUMMYFUNCTION("""COMPUTED_VALUE"""),"Vineeth V")</f>
        <v>Vineeth V</v>
      </c>
      <c r="C4208" s="115" t="str">
        <f>IFERROR(__xludf.DUMMYFUNCTION("""COMPUTED_VALUE"""),"FLIPKART")</f>
        <v>FLIPKART</v>
      </c>
      <c r="D4208" s="115">
        <f>IFERROR(__xludf.DUMMYFUNCTION("""COMPUTED_VALUE"""),274327.0)</f>
        <v>274327</v>
      </c>
      <c r="E4208" s="115">
        <f>IFERROR(__xludf.DUMMYFUNCTION("""COMPUTED_VALUE"""),18459.0)</f>
        <v>18459</v>
      </c>
      <c r="F4208" s="115">
        <f>IFERROR(__xludf.DUMMYFUNCTION("""COMPUTED_VALUE"""),208556.0)</f>
        <v>208556</v>
      </c>
      <c r="G4208" s="115">
        <f>IFERROR(__xludf.DUMMYFUNCTION("""COMPUTED_VALUE"""),6702.0)</f>
        <v>6702</v>
      </c>
      <c r="H4208" s="116">
        <f>IFERROR(__xludf.DUMMYFUNCTION("""COMPUTED_VALUE"""),45908.0)</f>
        <v>45908</v>
      </c>
      <c r="I4208" s="115" t="str">
        <f>IFERROR(__xludf.DUMMYFUNCTION("""COMPUTED_VALUE"""),"19")</f>
        <v>19</v>
      </c>
      <c r="J4208" s="115" t="str">
        <f>IFERROR(__xludf.DUMMYFUNCTION("""COMPUTED_VALUE"""),"Vineeth V2025-09-0819")</f>
        <v>Vineeth V2025-09-0819</v>
      </c>
      <c r="K4208" s="115">
        <f>IFERROR(__xludf.DUMMYFUNCTION("""COMPUTED_VALUE"""),292786.0)</f>
        <v>292786</v>
      </c>
    </row>
    <row r="4209">
      <c r="A4209" s="115" t="str">
        <f>IFERROR(__xludf.DUMMYFUNCTION("""COMPUTED_VALUE"""),"SOUTH")</f>
        <v>SOUTH</v>
      </c>
      <c r="B4209" s="115" t="str">
        <f>IFERROR(__xludf.DUMMYFUNCTION("""COMPUTED_VALUE"""),"Vineeth V")</f>
        <v>Vineeth V</v>
      </c>
      <c r="C4209" s="115" t="str">
        <f>IFERROR(__xludf.DUMMYFUNCTION("""COMPUTED_VALUE"""),"MYNTRA")</f>
        <v>MYNTRA</v>
      </c>
      <c r="D4209" s="115">
        <f>IFERROR(__xludf.DUMMYFUNCTION("""COMPUTED_VALUE"""),20735.0)</f>
        <v>20735</v>
      </c>
      <c r="E4209" s="115">
        <f>IFERROR(__xludf.DUMMYFUNCTION("""COMPUTED_VALUE"""),4918.0)</f>
        <v>4918</v>
      </c>
      <c r="F4209" s="115">
        <f>IFERROR(__xludf.DUMMYFUNCTION("""COMPUTED_VALUE"""),16756.0)</f>
        <v>16756</v>
      </c>
      <c r="G4209" s="115">
        <f>IFERROR(__xludf.DUMMYFUNCTION("""COMPUTED_VALUE"""),1860.0)</f>
        <v>1860</v>
      </c>
      <c r="H4209" s="116">
        <f>IFERROR(__xludf.DUMMYFUNCTION("""COMPUTED_VALUE"""),45908.0)</f>
        <v>45908</v>
      </c>
      <c r="I4209" s="115" t="str">
        <f>IFERROR(__xludf.DUMMYFUNCTION("""COMPUTED_VALUE"""),"19")</f>
        <v>19</v>
      </c>
      <c r="J4209" s="115" t="str">
        <f>IFERROR(__xludf.DUMMYFUNCTION("""COMPUTED_VALUE"""),"Vineeth V2025-09-0819")</f>
        <v>Vineeth V2025-09-0819</v>
      </c>
      <c r="K4209" s="115">
        <f>IFERROR(__xludf.DUMMYFUNCTION("""COMPUTED_VALUE"""),25653.0)</f>
        <v>25653</v>
      </c>
    </row>
    <row r="4210">
      <c r="A4210" s="115" t="str">
        <f>IFERROR(__xludf.DUMMYFUNCTION("""COMPUTED_VALUE"""),"WEST")</f>
        <v>WEST</v>
      </c>
      <c r="B4210" s="115" t="str">
        <f>IFERROR(__xludf.DUMMYFUNCTION("""COMPUTED_VALUE"""),"Ashish Jakar")</f>
        <v>Ashish Jakar</v>
      </c>
      <c r="C4210" s="115" t="str">
        <f>IFERROR(__xludf.DUMMYFUNCTION("""COMPUTED_VALUE"""),"EXTERNAL")</f>
        <v>EXTERNAL</v>
      </c>
      <c r="D4210" s="115">
        <f>IFERROR(__xludf.DUMMYFUNCTION("""COMPUTED_VALUE"""),64434.0)</f>
        <v>64434</v>
      </c>
      <c r="E4210" s="115">
        <f>IFERROR(__xludf.DUMMYFUNCTION("""COMPUTED_VALUE"""),8000.0)</f>
        <v>8000</v>
      </c>
      <c r="F4210" s="115">
        <f>IFERROR(__xludf.DUMMYFUNCTION("""COMPUTED_VALUE"""),25545.0)</f>
        <v>25545</v>
      </c>
      <c r="G4210" s="115">
        <f>IFERROR(__xludf.DUMMYFUNCTION("""COMPUTED_VALUE"""),3018.0)</f>
        <v>3018</v>
      </c>
      <c r="H4210" s="116">
        <f>IFERROR(__xludf.DUMMYFUNCTION("""COMPUTED_VALUE"""),45908.0)</f>
        <v>45908</v>
      </c>
      <c r="I4210" s="115" t="str">
        <f>IFERROR(__xludf.DUMMYFUNCTION("""COMPUTED_VALUE"""),"19")</f>
        <v>19</v>
      </c>
      <c r="J4210" s="115" t="str">
        <f>IFERROR(__xludf.DUMMYFUNCTION("""COMPUTED_VALUE"""),"Ashish Jakar2025-09-0819")</f>
        <v>Ashish Jakar2025-09-0819</v>
      </c>
      <c r="K4210" s="115">
        <f>IFERROR(__xludf.DUMMYFUNCTION("""COMPUTED_VALUE"""),72434.0)</f>
        <v>72434</v>
      </c>
    </row>
    <row r="4211">
      <c r="A4211" s="115" t="str">
        <f>IFERROR(__xludf.DUMMYFUNCTION("""COMPUTED_VALUE"""),"WEST")</f>
        <v>WEST</v>
      </c>
      <c r="B4211" s="115" t="str">
        <f>IFERROR(__xludf.DUMMYFUNCTION("""COMPUTED_VALUE"""),"Ashish Jakar")</f>
        <v>Ashish Jakar</v>
      </c>
      <c r="C4211" s="115" t="str">
        <f>IFERROR(__xludf.DUMMYFUNCTION("""COMPUTED_VALUE"""),"FLIPKART")</f>
        <v>FLIPKART</v>
      </c>
      <c r="D4211" s="115">
        <f>IFERROR(__xludf.DUMMYFUNCTION("""COMPUTED_VALUE"""),372252.0)</f>
        <v>372252</v>
      </c>
      <c r="E4211" s="115">
        <f>IFERROR(__xludf.DUMMYFUNCTION("""COMPUTED_VALUE"""),34943.0)</f>
        <v>34943</v>
      </c>
      <c r="F4211" s="115">
        <f>IFERROR(__xludf.DUMMYFUNCTION("""COMPUTED_VALUE"""),257112.0)</f>
        <v>257112</v>
      </c>
      <c r="G4211" s="115">
        <f>IFERROR(__xludf.DUMMYFUNCTION("""COMPUTED_VALUE"""),19144.0)</f>
        <v>19144</v>
      </c>
      <c r="H4211" s="116">
        <f>IFERROR(__xludf.DUMMYFUNCTION("""COMPUTED_VALUE"""),45908.0)</f>
        <v>45908</v>
      </c>
      <c r="I4211" s="115" t="str">
        <f>IFERROR(__xludf.DUMMYFUNCTION("""COMPUTED_VALUE"""),"19")</f>
        <v>19</v>
      </c>
      <c r="J4211" s="115" t="str">
        <f>IFERROR(__xludf.DUMMYFUNCTION("""COMPUTED_VALUE"""),"Ashish Jakar2025-09-0819")</f>
        <v>Ashish Jakar2025-09-0819</v>
      </c>
      <c r="K4211" s="115">
        <f>IFERROR(__xludf.DUMMYFUNCTION("""COMPUTED_VALUE"""),407195.0)</f>
        <v>407195</v>
      </c>
    </row>
    <row r="4212">
      <c r="A4212" s="115" t="str">
        <f>IFERROR(__xludf.DUMMYFUNCTION("""COMPUTED_VALUE"""),"WEST")</f>
        <v>WEST</v>
      </c>
      <c r="B4212" s="115" t="str">
        <f>IFERROR(__xludf.DUMMYFUNCTION("""COMPUTED_VALUE"""),"Ashish Jakar")</f>
        <v>Ashish Jakar</v>
      </c>
      <c r="C4212" s="115" t="str">
        <f>IFERROR(__xludf.DUMMYFUNCTION("""COMPUTED_VALUE"""),"MYNTRA")</f>
        <v>MYNTRA</v>
      </c>
      <c r="D4212" s="115">
        <f>IFERROR(__xludf.DUMMYFUNCTION("""COMPUTED_VALUE"""),46938.0)</f>
        <v>46938</v>
      </c>
      <c r="E4212" s="115">
        <f>IFERROR(__xludf.DUMMYFUNCTION("""COMPUTED_VALUE"""),12078.0)</f>
        <v>12078</v>
      </c>
      <c r="F4212" s="115">
        <f>IFERROR(__xludf.DUMMYFUNCTION("""COMPUTED_VALUE"""),37303.0)</f>
        <v>37303</v>
      </c>
      <c r="G4212" s="115">
        <f>IFERROR(__xludf.DUMMYFUNCTION("""COMPUTED_VALUE"""),7293.0)</f>
        <v>7293</v>
      </c>
      <c r="H4212" s="116">
        <f>IFERROR(__xludf.DUMMYFUNCTION("""COMPUTED_VALUE"""),45908.0)</f>
        <v>45908</v>
      </c>
      <c r="I4212" s="115" t="str">
        <f>IFERROR(__xludf.DUMMYFUNCTION("""COMPUTED_VALUE"""),"19")</f>
        <v>19</v>
      </c>
      <c r="J4212" s="115" t="str">
        <f>IFERROR(__xludf.DUMMYFUNCTION("""COMPUTED_VALUE"""),"Ashish Jakar2025-09-0819")</f>
        <v>Ashish Jakar2025-09-0819</v>
      </c>
      <c r="K4212" s="115">
        <f>IFERROR(__xludf.DUMMYFUNCTION("""COMPUTED_VALUE"""),59016.0)</f>
        <v>59016</v>
      </c>
    </row>
    <row r="4213">
      <c r="A4213" s="115" t="str">
        <f>IFERROR(__xludf.DUMMYFUNCTION("""COMPUTED_VALUE"""),"WEST")</f>
        <v>WEST</v>
      </c>
      <c r="B4213" s="115" t="str">
        <f>IFERROR(__xludf.DUMMYFUNCTION("""COMPUTED_VALUE"""),"Ashvani Bhatt")</f>
        <v>Ashvani Bhatt</v>
      </c>
      <c r="C4213" s="115" t="str">
        <f>IFERROR(__xludf.DUMMYFUNCTION("""COMPUTED_VALUE"""),"EXTERNAL")</f>
        <v>EXTERNAL</v>
      </c>
      <c r="D4213" s="115">
        <f>IFERROR(__xludf.DUMMYFUNCTION("""COMPUTED_VALUE"""),43114.0)</f>
        <v>43114</v>
      </c>
      <c r="E4213" s="115">
        <f>IFERROR(__xludf.DUMMYFUNCTION("""COMPUTED_VALUE"""),3803.0)</f>
        <v>3803</v>
      </c>
      <c r="F4213" s="115">
        <f>IFERROR(__xludf.DUMMYFUNCTION("""COMPUTED_VALUE"""),18911.0)</f>
        <v>18911</v>
      </c>
      <c r="G4213" s="115">
        <f>IFERROR(__xludf.DUMMYFUNCTION("""COMPUTED_VALUE"""),1201.0)</f>
        <v>1201</v>
      </c>
      <c r="H4213" s="116">
        <f>IFERROR(__xludf.DUMMYFUNCTION("""COMPUTED_VALUE"""),45908.0)</f>
        <v>45908</v>
      </c>
      <c r="I4213" s="115" t="str">
        <f>IFERROR(__xludf.DUMMYFUNCTION("""COMPUTED_VALUE"""),"19")</f>
        <v>19</v>
      </c>
      <c r="J4213" s="115" t="str">
        <f>IFERROR(__xludf.DUMMYFUNCTION("""COMPUTED_VALUE"""),"Ashvani Bhatt2025-09-0819")</f>
        <v>Ashvani Bhatt2025-09-0819</v>
      </c>
      <c r="K4213" s="115">
        <f>IFERROR(__xludf.DUMMYFUNCTION("""COMPUTED_VALUE"""),46917.0)</f>
        <v>46917</v>
      </c>
    </row>
    <row r="4214">
      <c r="A4214" s="115" t="str">
        <f>IFERROR(__xludf.DUMMYFUNCTION("""COMPUTED_VALUE"""),"WEST")</f>
        <v>WEST</v>
      </c>
      <c r="B4214" s="115" t="str">
        <f>IFERROR(__xludf.DUMMYFUNCTION("""COMPUTED_VALUE"""),"Ashvani Bhatt")</f>
        <v>Ashvani Bhatt</v>
      </c>
      <c r="C4214" s="115" t="str">
        <f>IFERROR(__xludf.DUMMYFUNCTION("""COMPUTED_VALUE"""),"FLIPKART")</f>
        <v>FLIPKART</v>
      </c>
      <c r="D4214" s="115">
        <f>IFERROR(__xludf.DUMMYFUNCTION("""COMPUTED_VALUE"""),279333.0)</f>
        <v>279333</v>
      </c>
      <c r="E4214" s="115">
        <f>IFERROR(__xludf.DUMMYFUNCTION("""COMPUTED_VALUE"""),29999.0)</f>
        <v>29999</v>
      </c>
      <c r="F4214" s="115">
        <f>IFERROR(__xludf.DUMMYFUNCTION("""COMPUTED_VALUE"""),204293.0)</f>
        <v>204293</v>
      </c>
      <c r="G4214" s="115">
        <f>IFERROR(__xludf.DUMMYFUNCTION("""COMPUTED_VALUE"""),16982.0)</f>
        <v>16982</v>
      </c>
      <c r="H4214" s="116">
        <f>IFERROR(__xludf.DUMMYFUNCTION("""COMPUTED_VALUE"""),45908.0)</f>
        <v>45908</v>
      </c>
      <c r="I4214" s="115" t="str">
        <f>IFERROR(__xludf.DUMMYFUNCTION("""COMPUTED_VALUE"""),"19")</f>
        <v>19</v>
      </c>
      <c r="J4214" s="115" t="str">
        <f>IFERROR(__xludf.DUMMYFUNCTION("""COMPUTED_VALUE"""),"Ashvani Bhatt2025-09-0819")</f>
        <v>Ashvani Bhatt2025-09-0819</v>
      </c>
      <c r="K4214" s="115">
        <f>IFERROR(__xludf.DUMMYFUNCTION("""COMPUTED_VALUE"""),309332.0)</f>
        <v>309332</v>
      </c>
    </row>
    <row r="4215">
      <c r="A4215" s="115" t="str">
        <f>IFERROR(__xludf.DUMMYFUNCTION("""COMPUTED_VALUE"""),"WEST")</f>
        <v>WEST</v>
      </c>
      <c r="B4215" s="115" t="str">
        <f>IFERROR(__xludf.DUMMYFUNCTION("""COMPUTED_VALUE"""),"Ashvani Bhatt")</f>
        <v>Ashvani Bhatt</v>
      </c>
      <c r="C4215" s="115" t="str">
        <f>IFERROR(__xludf.DUMMYFUNCTION("""COMPUTED_VALUE"""),"MYNTRA")</f>
        <v>MYNTRA</v>
      </c>
      <c r="D4215" s="115">
        <f>IFERROR(__xludf.DUMMYFUNCTION("""COMPUTED_VALUE"""),37117.0)</f>
        <v>37117</v>
      </c>
      <c r="E4215" s="115">
        <f>IFERROR(__xludf.DUMMYFUNCTION("""COMPUTED_VALUE"""),9158.0)</f>
        <v>9158</v>
      </c>
      <c r="F4215" s="115">
        <f>IFERROR(__xludf.DUMMYFUNCTION("""COMPUTED_VALUE"""),30805.0)</f>
        <v>30805</v>
      </c>
      <c r="G4215" s="115">
        <f>IFERROR(__xludf.DUMMYFUNCTION("""COMPUTED_VALUE"""),5849.0)</f>
        <v>5849</v>
      </c>
      <c r="H4215" s="116">
        <f>IFERROR(__xludf.DUMMYFUNCTION("""COMPUTED_VALUE"""),45908.0)</f>
        <v>45908</v>
      </c>
      <c r="I4215" s="115" t="str">
        <f>IFERROR(__xludf.DUMMYFUNCTION("""COMPUTED_VALUE"""),"19")</f>
        <v>19</v>
      </c>
      <c r="J4215" s="115" t="str">
        <f>IFERROR(__xludf.DUMMYFUNCTION("""COMPUTED_VALUE"""),"Ashvani Bhatt2025-09-0819")</f>
        <v>Ashvani Bhatt2025-09-0819</v>
      </c>
      <c r="K4215" s="115">
        <f>IFERROR(__xludf.DUMMYFUNCTION("""COMPUTED_VALUE"""),46275.0)</f>
        <v>46275</v>
      </c>
    </row>
    <row r="4216">
      <c r="A4216" s="115"/>
      <c r="B4216" s="115"/>
      <c r="C4216" s="115" t="str">
        <f>IFERROR(__xludf.DUMMYFUNCTION("""COMPUTED_VALUE"""),"EXTERNAL")</f>
        <v>EXTERNAL</v>
      </c>
      <c r="D4216" s="115">
        <f>IFERROR(__xludf.DUMMYFUNCTION("""COMPUTED_VALUE"""),514.0)</f>
        <v>514</v>
      </c>
      <c r="E4216" s="115">
        <f>IFERROR(__xludf.DUMMYFUNCTION("""COMPUTED_VALUE"""),103.0)</f>
        <v>103</v>
      </c>
      <c r="F4216" s="115">
        <f>IFERROR(__xludf.DUMMYFUNCTION("""COMPUTED_VALUE"""),247.0)</f>
        <v>247</v>
      </c>
      <c r="G4216" s="115">
        <f>IFERROR(__xludf.DUMMYFUNCTION("""COMPUTED_VALUE"""),68.0)</f>
        <v>68</v>
      </c>
      <c r="H4216" s="116">
        <f>IFERROR(__xludf.DUMMYFUNCTION("""COMPUTED_VALUE"""),45908.0)</f>
        <v>45908</v>
      </c>
      <c r="I4216" s="115" t="str">
        <f>IFERROR(__xludf.DUMMYFUNCTION("""COMPUTED_VALUE"""),"19")</f>
        <v>19</v>
      </c>
      <c r="J4216" s="115" t="str">
        <f>IFERROR(__xludf.DUMMYFUNCTION("""COMPUTED_VALUE"""),"2025-09-0819")</f>
        <v>2025-09-0819</v>
      </c>
      <c r="K4216" s="115">
        <f>IFERROR(__xludf.DUMMYFUNCTION("""COMPUTED_VALUE"""),617.0)</f>
        <v>617</v>
      </c>
    </row>
    <row r="4217">
      <c r="A4217" s="115"/>
      <c r="B4217" s="115"/>
      <c r="C4217" s="115" t="str">
        <f>IFERROR(__xludf.DUMMYFUNCTION("""COMPUTED_VALUE"""),"FLIPKART")</f>
        <v>FLIPKART</v>
      </c>
      <c r="D4217" s="115">
        <f>IFERROR(__xludf.DUMMYFUNCTION("""COMPUTED_VALUE"""),4951.0)</f>
        <v>4951</v>
      </c>
      <c r="E4217" s="115">
        <f>IFERROR(__xludf.DUMMYFUNCTION("""COMPUTED_VALUE"""),532.0)</f>
        <v>532</v>
      </c>
      <c r="F4217" s="115">
        <f>IFERROR(__xludf.DUMMYFUNCTION("""COMPUTED_VALUE"""),3331.0)</f>
        <v>3331</v>
      </c>
      <c r="G4217" s="115">
        <f>IFERROR(__xludf.DUMMYFUNCTION("""COMPUTED_VALUE"""),307.0)</f>
        <v>307</v>
      </c>
      <c r="H4217" s="116">
        <f>IFERROR(__xludf.DUMMYFUNCTION("""COMPUTED_VALUE"""),45908.0)</f>
        <v>45908</v>
      </c>
      <c r="I4217" s="115" t="str">
        <f>IFERROR(__xludf.DUMMYFUNCTION("""COMPUTED_VALUE"""),"19")</f>
        <v>19</v>
      </c>
      <c r="J4217" s="115" t="str">
        <f>IFERROR(__xludf.DUMMYFUNCTION("""COMPUTED_VALUE"""),"2025-09-0819")</f>
        <v>2025-09-0819</v>
      </c>
      <c r="K4217" s="115">
        <f>IFERROR(__xludf.DUMMYFUNCTION("""COMPUTED_VALUE"""),5483.0)</f>
        <v>5483</v>
      </c>
    </row>
    <row r="4218">
      <c r="A4218" s="115"/>
      <c r="B4218" s="115"/>
      <c r="C4218" s="115" t="str">
        <f>IFERROR(__xludf.DUMMYFUNCTION("""COMPUTED_VALUE"""),"MYNTRA")</f>
        <v>MYNTRA</v>
      </c>
      <c r="D4218" s="115">
        <f>IFERROR(__xludf.DUMMYFUNCTION("""COMPUTED_VALUE"""),577.0)</f>
        <v>577</v>
      </c>
      <c r="E4218" s="115">
        <f>IFERROR(__xludf.DUMMYFUNCTION("""COMPUTED_VALUE"""),194.0)</f>
        <v>194</v>
      </c>
      <c r="F4218" s="115">
        <f>IFERROR(__xludf.DUMMYFUNCTION("""COMPUTED_VALUE"""),471.0)</f>
        <v>471</v>
      </c>
      <c r="G4218" s="115">
        <f>IFERROR(__xludf.DUMMYFUNCTION("""COMPUTED_VALUE"""),142.0)</f>
        <v>142</v>
      </c>
      <c r="H4218" s="116">
        <f>IFERROR(__xludf.DUMMYFUNCTION("""COMPUTED_VALUE"""),45908.0)</f>
        <v>45908</v>
      </c>
      <c r="I4218" s="115" t="str">
        <f>IFERROR(__xludf.DUMMYFUNCTION("""COMPUTED_VALUE"""),"19")</f>
        <v>19</v>
      </c>
      <c r="J4218" s="115" t="str">
        <f>IFERROR(__xludf.DUMMYFUNCTION("""COMPUTED_VALUE"""),"2025-09-0819")</f>
        <v>2025-09-0819</v>
      </c>
      <c r="K4218" s="115">
        <f>IFERROR(__xludf.DUMMYFUNCTION("""COMPUTED_VALUE"""),771.0)</f>
        <v>771</v>
      </c>
    </row>
    <row r="4219">
      <c r="A4219" s="115" t="str">
        <f>IFERROR(__xludf.DUMMYFUNCTION("""COMPUTED_VALUE"""),"EAST")</f>
        <v>EAST</v>
      </c>
      <c r="B4219" s="115" t="str">
        <f>IFERROR(__xludf.DUMMYFUNCTION("""COMPUTED_VALUE"""),"Ashish Ranjan")</f>
        <v>Ashish Ranjan</v>
      </c>
      <c r="C4219" s="115" t="str">
        <f>IFERROR(__xludf.DUMMYFUNCTION("""COMPUTED_VALUE"""),"EXTERNAL")</f>
        <v>EXTERNAL</v>
      </c>
      <c r="D4219" s="115">
        <f>IFERROR(__xludf.DUMMYFUNCTION("""COMPUTED_VALUE"""),47690.0)</f>
        <v>47690</v>
      </c>
      <c r="E4219" s="115">
        <f>IFERROR(__xludf.DUMMYFUNCTION("""COMPUTED_VALUE"""),3871.0)</f>
        <v>3871</v>
      </c>
      <c r="F4219" s="115">
        <f>IFERROR(__xludf.DUMMYFUNCTION("""COMPUTED_VALUE"""),26911.0)</f>
        <v>26911</v>
      </c>
      <c r="G4219" s="115">
        <f>IFERROR(__xludf.DUMMYFUNCTION("""COMPUTED_VALUE"""),1894.0)</f>
        <v>1894</v>
      </c>
      <c r="H4219" s="116">
        <f>IFERROR(__xludf.DUMMYFUNCTION("""COMPUTED_VALUE"""),45908.0)</f>
        <v>45908</v>
      </c>
      <c r="I4219" s="115" t="str">
        <f>IFERROR(__xludf.DUMMYFUNCTION("""COMPUTED_VALUE"""),"20")</f>
        <v>20</v>
      </c>
      <c r="J4219" s="115" t="str">
        <f>IFERROR(__xludf.DUMMYFUNCTION("""COMPUTED_VALUE"""),"Ashish Ranjan2025-09-0820")</f>
        <v>Ashish Ranjan2025-09-0820</v>
      </c>
      <c r="K4219" s="115">
        <f>IFERROR(__xludf.DUMMYFUNCTION("""COMPUTED_VALUE"""),51561.0)</f>
        <v>51561</v>
      </c>
    </row>
    <row r="4220">
      <c r="A4220" s="115" t="str">
        <f>IFERROR(__xludf.DUMMYFUNCTION("""COMPUTED_VALUE"""),"EAST")</f>
        <v>EAST</v>
      </c>
      <c r="B4220" s="115" t="str">
        <f>IFERROR(__xludf.DUMMYFUNCTION("""COMPUTED_VALUE"""),"Ashish Ranjan")</f>
        <v>Ashish Ranjan</v>
      </c>
      <c r="C4220" s="115" t="str">
        <f>IFERROR(__xludf.DUMMYFUNCTION("""COMPUTED_VALUE"""),"FLIPKART")</f>
        <v>FLIPKART</v>
      </c>
      <c r="D4220" s="115">
        <f>IFERROR(__xludf.DUMMYFUNCTION("""COMPUTED_VALUE"""),704345.0)</f>
        <v>704345</v>
      </c>
      <c r="E4220" s="115">
        <f>IFERROR(__xludf.DUMMYFUNCTION("""COMPUTED_VALUE"""),68021.0)</f>
        <v>68021</v>
      </c>
      <c r="F4220" s="115">
        <f>IFERROR(__xludf.DUMMYFUNCTION("""COMPUTED_VALUE"""),613249.0)</f>
        <v>613249</v>
      </c>
      <c r="G4220" s="115">
        <f>IFERROR(__xludf.DUMMYFUNCTION("""COMPUTED_VALUE"""),50250.0)</f>
        <v>50250</v>
      </c>
      <c r="H4220" s="116">
        <f>IFERROR(__xludf.DUMMYFUNCTION("""COMPUTED_VALUE"""),45908.0)</f>
        <v>45908</v>
      </c>
      <c r="I4220" s="115" t="str">
        <f>IFERROR(__xludf.DUMMYFUNCTION("""COMPUTED_VALUE"""),"20")</f>
        <v>20</v>
      </c>
      <c r="J4220" s="115" t="str">
        <f>IFERROR(__xludf.DUMMYFUNCTION("""COMPUTED_VALUE"""),"Ashish Ranjan2025-09-0820")</f>
        <v>Ashish Ranjan2025-09-0820</v>
      </c>
      <c r="K4220" s="115">
        <f>IFERROR(__xludf.DUMMYFUNCTION("""COMPUTED_VALUE"""),772366.0)</f>
        <v>772366</v>
      </c>
    </row>
    <row r="4221">
      <c r="A4221" s="115" t="str">
        <f>IFERROR(__xludf.DUMMYFUNCTION("""COMPUTED_VALUE"""),"EAST")</f>
        <v>EAST</v>
      </c>
      <c r="B4221" s="115" t="str">
        <f>IFERROR(__xludf.DUMMYFUNCTION("""COMPUTED_VALUE"""),"Ashish Ranjan")</f>
        <v>Ashish Ranjan</v>
      </c>
      <c r="C4221" s="115" t="str">
        <f>IFERROR(__xludf.DUMMYFUNCTION("""COMPUTED_VALUE"""),"MYNTRA")</f>
        <v>MYNTRA</v>
      </c>
      <c r="D4221" s="115">
        <f>IFERROR(__xludf.DUMMYFUNCTION("""COMPUTED_VALUE"""),82997.0)</f>
        <v>82997</v>
      </c>
      <c r="E4221" s="115">
        <f>IFERROR(__xludf.DUMMYFUNCTION("""COMPUTED_VALUE"""),15705.0)</f>
        <v>15705</v>
      </c>
      <c r="F4221" s="115">
        <f>IFERROR(__xludf.DUMMYFUNCTION("""COMPUTED_VALUE"""),73437.0)</f>
        <v>73437</v>
      </c>
      <c r="G4221" s="115">
        <f>IFERROR(__xludf.DUMMYFUNCTION("""COMPUTED_VALUE"""),11545.0)</f>
        <v>11545</v>
      </c>
      <c r="H4221" s="116">
        <f>IFERROR(__xludf.DUMMYFUNCTION("""COMPUTED_VALUE"""),45908.0)</f>
        <v>45908</v>
      </c>
      <c r="I4221" s="115" t="str">
        <f>IFERROR(__xludf.DUMMYFUNCTION("""COMPUTED_VALUE"""),"20")</f>
        <v>20</v>
      </c>
      <c r="J4221" s="115" t="str">
        <f>IFERROR(__xludf.DUMMYFUNCTION("""COMPUTED_VALUE"""),"Ashish Ranjan2025-09-0820")</f>
        <v>Ashish Ranjan2025-09-0820</v>
      </c>
      <c r="K4221" s="115">
        <f>IFERROR(__xludf.DUMMYFUNCTION("""COMPUTED_VALUE"""),98702.0)</f>
        <v>98702</v>
      </c>
    </row>
    <row r="4222">
      <c r="A4222" s="115" t="str">
        <f>IFERROR(__xludf.DUMMYFUNCTION("""COMPUTED_VALUE"""),"EAST")</f>
        <v>EAST</v>
      </c>
      <c r="B4222" s="115" t="str">
        <f>IFERROR(__xludf.DUMMYFUNCTION("""COMPUTED_VALUE"""),"Girish Chand")</f>
        <v>Girish Chand</v>
      </c>
      <c r="C4222" s="115" t="str">
        <f>IFERROR(__xludf.DUMMYFUNCTION("""COMPUTED_VALUE"""),"EXTERNAL")</f>
        <v>EXTERNAL</v>
      </c>
      <c r="D4222" s="115">
        <f>IFERROR(__xludf.DUMMYFUNCTION("""COMPUTED_VALUE"""),24895.0)</f>
        <v>24895</v>
      </c>
      <c r="E4222" s="115">
        <f>IFERROR(__xludf.DUMMYFUNCTION("""COMPUTED_VALUE"""),2450.0)</f>
        <v>2450</v>
      </c>
      <c r="F4222" s="115">
        <f>IFERROR(__xludf.DUMMYFUNCTION("""COMPUTED_VALUE"""),11173.0)</f>
        <v>11173</v>
      </c>
      <c r="G4222" s="115">
        <f>IFERROR(__xludf.DUMMYFUNCTION("""COMPUTED_VALUE"""),734.0)</f>
        <v>734</v>
      </c>
      <c r="H4222" s="116">
        <f>IFERROR(__xludf.DUMMYFUNCTION("""COMPUTED_VALUE"""),45908.0)</f>
        <v>45908</v>
      </c>
      <c r="I4222" s="115" t="str">
        <f>IFERROR(__xludf.DUMMYFUNCTION("""COMPUTED_VALUE"""),"20")</f>
        <v>20</v>
      </c>
      <c r="J4222" s="115" t="str">
        <f>IFERROR(__xludf.DUMMYFUNCTION("""COMPUTED_VALUE"""),"Girish Chand2025-09-0820")</f>
        <v>Girish Chand2025-09-0820</v>
      </c>
      <c r="K4222" s="115">
        <f>IFERROR(__xludf.DUMMYFUNCTION("""COMPUTED_VALUE"""),27345.0)</f>
        <v>27345</v>
      </c>
    </row>
    <row r="4223">
      <c r="A4223" s="115" t="str">
        <f>IFERROR(__xludf.DUMMYFUNCTION("""COMPUTED_VALUE"""),"EAST")</f>
        <v>EAST</v>
      </c>
      <c r="B4223" s="115" t="str">
        <f>IFERROR(__xludf.DUMMYFUNCTION("""COMPUTED_VALUE"""),"Girish Chand")</f>
        <v>Girish Chand</v>
      </c>
      <c r="C4223" s="115" t="str">
        <f>IFERROR(__xludf.DUMMYFUNCTION("""COMPUTED_VALUE"""),"FLIPKART")</f>
        <v>FLIPKART</v>
      </c>
      <c r="D4223" s="115">
        <f>IFERROR(__xludf.DUMMYFUNCTION("""COMPUTED_VALUE"""),396975.0)</f>
        <v>396975</v>
      </c>
      <c r="E4223" s="115">
        <f>IFERROR(__xludf.DUMMYFUNCTION("""COMPUTED_VALUE"""),40463.0)</f>
        <v>40463</v>
      </c>
      <c r="F4223" s="115">
        <f>IFERROR(__xludf.DUMMYFUNCTION("""COMPUTED_VALUE"""),293320.0)</f>
        <v>293320</v>
      </c>
      <c r="G4223" s="115">
        <f>IFERROR(__xludf.DUMMYFUNCTION("""COMPUTED_VALUE"""),27889.0)</f>
        <v>27889</v>
      </c>
      <c r="H4223" s="116">
        <f>IFERROR(__xludf.DUMMYFUNCTION("""COMPUTED_VALUE"""),45908.0)</f>
        <v>45908</v>
      </c>
      <c r="I4223" s="115" t="str">
        <f>IFERROR(__xludf.DUMMYFUNCTION("""COMPUTED_VALUE"""),"20")</f>
        <v>20</v>
      </c>
      <c r="J4223" s="115" t="str">
        <f>IFERROR(__xludf.DUMMYFUNCTION("""COMPUTED_VALUE"""),"Girish Chand2025-09-0820")</f>
        <v>Girish Chand2025-09-0820</v>
      </c>
      <c r="K4223" s="115">
        <f>IFERROR(__xludf.DUMMYFUNCTION("""COMPUTED_VALUE"""),437438.0)</f>
        <v>437438</v>
      </c>
    </row>
    <row r="4224">
      <c r="A4224" s="115" t="str">
        <f>IFERROR(__xludf.DUMMYFUNCTION("""COMPUTED_VALUE"""),"EAST")</f>
        <v>EAST</v>
      </c>
      <c r="B4224" s="115" t="str">
        <f>IFERROR(__xludf.DUMMYFUNCTION("""COMPUTED_VALUE"""),"Girish Chand")</f>
        <v>Girish Chand</v>
      </c>
      <c r="C4224" s="115" t="str">
        <f>IFERROR(__xludf.DUMMYFUNCTION("""COMPUTED_VALUE"""),"MYNTRA")</f>
        <v>MYNTRA</v>
      </c>
      <c r="D4224" s="115">
        <f>IFERROR(__xludf.DUMMYFUNCTION("""COMPUTED_VALUE"""),39042.0)</f>
        <v>39042</v>
      </c>
      <c r="E4224" s="115">
        <f>IFERROR(__xludf.DUMMYFUNCTION("""COMPUTED_VALUE"""),7625.0)</f>
        <v>7625</v>
      </c>
      <c r="F4224" s="115">
        <f>IFERROR(__xludf.DUMMYFUNCTION("""COMPUTED_VALUE"""),30862.0)</f>
        <v>30862</v>
      </c>
      <c r="G4224" s="115">
        <f>IFERROR(__xludf.DUMMYFUNCTION("""COMPUTED_VALUE"""),5648.0)</f>
        <v>5648</v>
      </c>
      <c r="H4224" s="116">
        <f>IFERROR(__xludf.DUMMYFUNCTION("""COMPUTED_VALUE"""),45908.0)</f>
        <v>45908</v>
      </c>
      <c r="I4224" s="115" t="str">
        <f>IFERROR(__xludf.DUMMYFUNCTION("""COMPUTED_VALUE"""),"20")</f>
        <v>20</v>
      </c>
      <c r="J4224" s="115" t="str">
        <f>IFERROR(__xludf.DUMMYFUNCTION("""COMPUTED_VALUE"""),"Girish Chand2025-09-0820")</f>
        <v>Girish Chand2025-09-0820</v>
      </c>
      <c r="K4224" s="115">
        <f>IFERROR(__xludf.DUMMYFUNCTION("""COMPUTED_VALUE"""),46667.0)</f>
        <v>46667</v>
      </c>
    </row>
    <row r="4225">
      <c r="A4225" s="115" t="str">
        <f>IFERROR(__xludf.DUMMYFUNCTION("""COMPUTED_VALUE"""),"EAST")</f>
        <v>EAST</v>
      </c>
      <c r="B4225" s="115" t="str">
        <f>IFERROR(__xludf.DUMMYFUNCTION("""COMPUTED_VALUE"""),"Parag Kashyap")</f>
        <v>Parag Kashyap</v>
      </c>
      <c r="C4225" s="115" t="str">
        <f>IFERROR(__xludf.DUMMYFUNCTION("""COMPUTED_VALUE"""),"EXTERNAL")</f>
        <v>EXTERNAL</v>
      </c>
      <c r="D4225" s="115">
        <f>IFERROR(__xludf.DUMMYFUNCTION("""COMPUTED_VALUE"""),20322.0)</f>
        <v>20322</v>
      </c>
      <c r="E4225" s="115">
        <f>IFERROR(__xludf.DUMMYFUNCTION("""COMPUTED_VALUE"""),1264.0)</f>
        <v>1264</v>
      </c>
      <c r="F4225" s="115">
        <f>IFERROR(__xludf.DUMMYFUNCTION("""COMPUTED_VALUE"""),9519.0)</f>
        <v>9519</v>
      </c>
      <c r="G4225" s="115">
        <f>IFERROR(__xludf.DUMMYFUNCTION("""COMPUTED_VALUE"""),370.0)</f>
        <v>370</v>
      </c>
      <c r="H4225" s="116">
        <f>IFERROR(__xludf.DUMMYFUNCTION("""COMPUTED_VALUE"""),45908.0)</f>
        <v>45908</v>
      </c>
      <c r="I4225" s="115" t="str">
        <f>IFERROR(__xludf.DUMMYFUNCTION("""COMPUTED_VALUE"""),"20")</f>
        <v>20</v>
      </c>
      <c r="J4225" s="115" t="str">
        <f>IFERROR(__xludf.DUMMYFUNCTION("""COMPUTED_VALUE"""),"Parag Kashyap2025-09-0820")</f>
        <v>Parag Kashyap2025-09-0820</v>
      </c>
      <c r="K4225" s="115">
        <f>IFERROR(__xludf.DUMMYFUNCTION("""COMPUTED_VALUE"""),21586.0)</f>
        <v>21586</v>
      </c>
    </row>
    <row r="4226">
      <c r="A4226" s="115" t="str">
        <f>IFERROR(__xludf.DUMMYFUNCTION("""COMPUTED_VALUE"""),"EAST")</f>
        <v>EAST</v>
      </c>
      <c r="B4226" s="115" t="str">
        <f>IFERROR(__xludf.DUMMYFUNCTION("""COMPUTED_VALUE"""),"Parag Kashyap")</f>
        <v>Parag Kashyap</v>
      </c>
      <c r="C4226" s="115" t="str">
        <f>IFERROR(__xludf.DUMMYFUNCTION("""COMPUTED_VALUE"""),"FLIPKART")</f>
        <v>FLIPKART</v>
      </c>
      <c r="D4226" s="115">
        <f>IFERROR(__xludf.DUMMYFUNCTION("""COMPUTED_VALUE"""),339970.0)</f>
        <v>339970</v>
      </c>
      <c r="E4226" s="115">
        <f>IFERROR(__xludf.DUMMYFUNCTION("""COMPUTED_VALUE"""),21393.0)</f>
        <v>21393</v>
      </c>
      <c r="F4226" s="115">
        <f>IFERROR(__xludf.DUMMYFUNCTION("""COMPUTED_VALUE"""),264517.0)</f>
        <v>264517</v>
      </c>
      <c r="G4226" s="115">
        <f>IFERROR(__xludf.DUMMYFUNCTION("""COMPUTED_VALUE"""),13026.0)</f>
        <v>13026</v>
      </c>
      <c r="H4226" s="116">
        <f>IFERROR(__xludf.DUMMYFUNCTION("""COMPUTED_VALUE"""),45908.0)</f>
        <v>45908</v>
      </c>
      <c r="I4226" s="115" t="str">
        <f>IFERROR(__xludf.DUMMYFUNCTION("""COMPUTED_VALUE"""),"20")</f>
        <v>20</v>
      </c>
      <c r="J4226" s="115" t="str">
        <f>IFERROR(__xludf.DUMMYFUNCTION("""COMPUTED_VALUE"""),"Parag Kashyap2025-09-0820")</f>
        <v>Parag Kashyap2025-09-0820</v>
      </c>
      <c r="K4226" s="115">
        <f>IFERROR(__xludf.DUMMYFUNCTION("""COMPUTED_VALUE"""),361363.0)</f>
        <v>361363</v>
      </c>
    </row>
    <row r="4227">
      <c r="A4227" s="115" t="str">
        <f>IFERROR(__xludf.DUMMYFUNCTION("""COMPUTED_VALUE"""),"EAST")</f>
        <v>EAST</v>
      </c>
      <c r="B4227" s="115" t="str">
        <f>IFERROR(__xludf.DUMMYFUNCTION("""COMPUTED_VALUE"""),"Parag Kashyap")</f>
        <v>Parag Kashyap</v>
      </c>
      <c r="C4227" s="115" t="str">
        <f>IFERROR(__xludf.DUMMYFUNCTION("""COMPUTED_VALUE"""),"MYNTRA")</f>
        <v>MYNTRA</v>
      </c>
      <c r="D4227" s="115">
        <f>IFERROR(__xludf.DUMMYFUNCTION("""COMPUTED_VALUE"""),43981.0)</f>
        <v>43981</v>
      </c>
      <c r="E4227" s="115">
        <f>IFERROR(__xludf.DUMMYFUNCTION("""COMPUTED_VALUE"""),5806.0)</f>
        <v>5806</v>
      </c>
      <c r="F4227" s="115">
        <f>IFERROR(__xludf.DUMMYFUNCTION("""COMPUTED_VALUE"""),35428.0)</f>
        <v>35428</v>
      </c>
      <c r="G4227" s="115">
        <f>IFERROR(__xludf.DUMMYFUNCTION("""COMPUTED_VALUE"""),3586.0)</f>
        <v>3586</v>
      </c>
      <c r="H4227" s="116">
        <f>IFERROR(__xludf.DUMMYFUNCTION("""COMPUTED_VALUE"""),45908.0)</f>
        <v>45908</v>
      </c>
      <c r="I4227" s="115" t="str">
        <f>IFERROR(__xludf.DUMMYFUNCTION("""COMPUTED_VALUE"""),"20")</f>
        <v>20</v>
      </c>
      <c r="J4227" s="115" t="str">
        <f>IFERROR(__xludf.DUMMYFUNCTION("""COMPUTED_VALUE"""),"Parag Kashyap2025-09-0820")</f>
        <v>Parag Kashyap2025-09-0820</v>
      </c>
      <c r="K4227" s="115">
        <f>IFERROR(__xludf.DUMMYFUNCTION("""COMPUTED_VALUE"""),49787.0)</f>
        <v>49787</v>
      </c>
    </row>
    <row r="4228">
      <c r="A4228" s="115" t="str">
        <f>IFERROR(__xludf.DUMMYFUNCTION("""COMPUTED_VALUE"""),"NORTH")</f>
        <v>NORTH</v>
      </c>
      <c r="B4228" s="115" t="str">
        <f>IFERROR(__xludf.DUMMYFUNCTION("""COMPUTED_VALUE"""),"Amit Kumar Pathak")</f>
        <v>Amit Kumar Pathak</v>
      </c>
      <c r="C4228" s="115" t="str">
        <f>IFERROR(__xludf.DUMMYFUNCTION("""COMPUTED_VALUE"""),"EXTERNAL")</f>
        <v>EXTERNAL</v>
      </c>
      <c r="D4228" s="115">
        <f>IFERROR(__xludf.DUMMYFUNCTION("""COMPUTED_VALUE"""),31617.0)</f>
        <v>31617</v>
      </c>
      <c r="E4228" s="115">
        <f>IFERROR(__xludf.DUMMYFUNCTION("""COMPUTED_VALUE"""),3873.0)</f>
        <v>3873</v>
      </c>
      <c r="F4228" s="115">
        <f>IFERROR(__xludf.DUMMYFUNCTION("""COMPUTED_VALUE"""),12018.0)</f>
        <v>12018</v>
      </c>
      <c r="G4228" s="115">
        <f>IFERROR(__xludf.DUMMYFUNCTION("""COMPUTED_VALUE"""),1772.0)</f>
        <v>1772</v>
      </c>
      <c r="H4228" s="116">
        <f>IFERROR(__xludf.DUMMYFUNCTION("""COMPUTED_VALUE"""),45908.0)</f>
        <v>45908</v>
      </c>
      <c r="I4228" s="115" t="str">
        <f>IFERROR(__xludf.DUMMYFUNCTION("""COMPUTED_VALUE"""),"20")</f>
        <v>20</v>
      </c>
      <c r="J4228" s="115" t="str">
        <f>IFERROR(__xludf.DUMMYFUNCTION("""COMPUTED_VALUE"""),"Amit Kumar Pathak2025-09-0820")</f>
        <v>Amit Kumar Pathak2025-09-0820</v>
      </c>
      <c r="K4228" s="115">
        <f>IFERROR(__xludf.DUMMYFUNCTION("""COMPUTED_VALUE"""),35490.0)</f>
        <v>35490</v>
      </c>
    </row>
    <row r="4229">
      <c r="A4229" s="115" t="str">
        <f>IFERROR(__xludf.DUMMYFUNCTION("""COMPUTED_VALUE"""),"NORTH")</f>
        <v>NORTH</v>
      </c>
      <c r="B4229" s="115" t="str">
        <f>IFERROR(__xludf.DUMMYFUNCTION("""COMPUTED_VALUE"""),"Amit Kumar Pathak")</f>
        <v>Amit Kumar Pathak</v>
      </c>
      <c r="C4229" s="115" t="str">
        <f>IFERROR(__xludf.DUMMYFUNCTION("""COMPUTED_VALUE"""),"FLIPKART")</f>
        <v>FLIPKART</v>
      </c>
      <c r="D4229" s="115">
        <f>IFERROR(__xludf.DUMMYFUNCTION("""COMPUTED_VALUE"""),183578.0)</f>
        <v>183578</v>
      </c>
      <c r="E4229" s="115">
        <f>IFERROR(__xludf.DUMMYFUNCTION("""COMPUTED_VALUE"""),24860.0)</f>
        <v>24860</v>
      </c>
      <c r="F4229" s="115">
        <f>IFERROR(__xludf.DUMMYFUNCTION("""COMPUTED_VALUE"""),135859.0)</f>
        <v>135859</v>
      </c>
      <c r="G4229" s="115">
        <f>IFERROR(__xludf.DUMMYFUNCTION("""COMPUTED_VALUE"""),15662.0)</f>
        <v>15662</v>
      </c>
      <c r="H4229" s="116">
        <f>IFERROR(__xludf.DUMMYFUNCTION("""COMPUTED_VALUE"""),45908.0)</f>
        <v>45908</v>
      </c>
      <c r="I4229" s="115" t="str">
        <f>IFERROR(__xludf.DUMMYFUNCTION("""COMPUTED_VALUE"""),"20")</f>
        <v>20</v>
      </c>
      <c r="J4229" s="115" t="str">
        <f>IFERROR(__xludf.DUMMYFUNCTION("""COMPUTED_VALUE"""),"Amit Kumar Pathak2025-09-0820")</f>
        <v>Amit Kumar Pathak2025-09-0820</v>
      </c>
      <c r="K4229" s="115">
        <f>IFERROR(__xludf.DUMMYFUNCTION("""COMPUTED_VALUE"""),208438.0)</f>
        <v>208438</v>
      </c>
    </row>
    <row r="4230">
      <c r="A4230" s="115" t="str">
        <f>IFERROR(__xludf.DUMMYFUNCTION("""COMPUTED_VALUE"""),"NORTH")</f>
        <v>NORTH</v>
      </c>
      <c r="B4230" s="115" t="str">
        <f>IFERROR(__xludf.DUMMYFUNCTION("""COMPUTED_VALUE"""),"Amit Kumar Pathak")</f>
        <v>Amit Kumar Pathak</v>
      </c>
      <c r="C4230" s="115" t="str">
        <f>IFERROR(__xludf.DUMMYFUNCTION("""COMPUTED_VALUE"""),"MYNTRA")</f>
        <v>MYNTRA</v>
      </c>
      <c r="D4230" s="115">
        <f>IFERROR(__xludf.DUMMYFUNCTION("""COMPUTED_VALUE"""),18434.0)</f>
        <v>18434</v>
      </c>
      <c r="E4230" s="115">
        <f>IFERROR(__xludf.DUMMYFUNCTION("""COMPUTED_VALUE"""),6622.0)</f>
        <v>6622</v>
      </c>
      <c r="F4230" s="115">
        <f>IFERROR(__xludf.DUMMYFUNCTION("""COMPUTED_VALUE"""),15488.0)</f>
        <v>15488</v>
      </c>
      <c r="G4230" s="115">
        <f>IFERROR(__xludf.DUMMYFUNCTION("""COMPUTED_VALUE"""),4530.0)</f>
        <v>4530</v>
      </c>
      <c r="H4230" s="116">
        <f>IFERROR(__xludf.DUMMYFUNCTION("""COMPUTED_VALUE"""),45908.0)</f>
        <v>45908</v>
      </c>
      <c r="I4230" s="115" t="str">
        <f>IFERROR(__xludf.DUMMYFUNCTION("""COMPUTED_VALUE"""),"20")</f>
        <v>20</v>
      </c>
      <c r="J4230" s="115" t="str">
        <f>IFERROR(__xludf.DUMMYFUNCTION("""COMPUTED_VALUE"""),"Amit Kumar Pathak2025-09-0820")</f>
        <v>Amit Kumar Pathak2025-09-0820</v>
      </c>
      <c r="K4230" s="115">
        <f>IFERROR(__xludf.DUMMYFUNCTION("""COMPUTED_VALUE"""),25056.0)</f>
        <v>25056</v>
      </c>
    </row>
    <row r="4231">
      <c r="A4231" s="115" t="str">
        <f>IFERROR(__xludf.DUMMYFUNCTION("""COMPUTED_VALUE"""),"NORTH")</f>
        <v>NORTH</v>
      </c>
      <c r="B4231" s="115" t="str">
        <f>IFERROR(__xludf.DUMMYFUNCTION("""COMPUTED_VALUE"""),"Loveleen Singh")</f>
        <v>Loveleen Singh</v>
      </c>
      <c r="C4231" s="115" t="str">
        <f>IFERROR(__xludf.DUMMYFUNCTION("""COMPUTED_VALUE"""),"EXTERNAL")</f>
        <v>EXTERNAL</v>
      </c>
      <c r="D4231" s="115">
        <f>IFERROR(__xludf.DUMMYFUNCTION("""COMPUTED_VALUE"""),37242.0)</f>
        <v>37242</v>
      </c>
      <c r="E4231" s="115">
        <f>IFERROR(__xludf.DUMMYFUNCTION("""COMPUTED_VALUE"""),2814.0)</f>
        <v>2814</v>
      </c>
      <c r="F4231" s="115">
        <f>IFERROR(__xludf.DUMMYFUNCTION("""COMPUTED_VALUE"""),15160.0)</f>
        <v>15160</v>
      </c>
      <c r="G4231" s="115">
        <f>IFERROR(__xludf.DUMMYFUNCTION("""COMPUTED_VALUE"""),815.0)</f>
        <v>815</v>
      </c>
      <c r="H4231" s="116">
        <f>IFERROR(__xludf.DUMMYFUNCTION("""COMPUTED_VALUE"""),45908.0)</f>
        <v>45908</v>
      </c>
      <c r="I4231" s="115" t="str">
        <f>IFERROR(__xludf.DUMMYFUNCTION("""COMPUTED_VALUE"""),"20")</f>
        <v>20</v>
      </c>
      <c r="J4231" s="115" t="str">
        <f>IFERROR(__xludf.DUMMYFUNCTION("""COMPUTED_VALUE"""),"Loveleen Singh2025-09-0820")</f>
        <v>Loveleen Singh2025-09-0820</v>
      </c>
      <c r="K4231" s="115">
        <f>IFERROR(__xludf.DUMMYFUNCTION("""COMPUTED_VALUE"""),40056.0)</f>
        <v>40056</v>
      </c>
    </row>
    <row r="4232">
      <c r="A4232" s="115" t="str">
        <f>IFERROR(__xludf.DUMMYFUNCTION("""COMPUTED_VALUE"""),"NORTH")</f>
        <v>NORTH</v>
      </c>
      <c r="B4232" s="115" t="str">
        <f>IFERROR(__xludf.DUMMYFUNCTION("""COMPUTED_VALUE"""),"Loveleen Singh")</f>
        <v>Loveleen Singh</v>
      </c>
      <c r="C4232" s="115" t="str">
        <f>IFERROR(__xludf.DUMMYFUNCTION("""COMPUTED_VALUE"""),"FLIPKART")</f>
        <v>FLIPKART</v>
      </c>
      <c r="D4232" s="115">
        <f>IFERROR(__xludf.DUMMYFUNCTION("""COMPUTED_VALUE"""),178013.0)</f>
        <v>178013</v>
      </c>
      <c r="E4232" s="115">
        <f>IFERROR(__xludf.DUMMYFUNCTION("""COMPUTED_VALUE"""),15805.0)</f>
        <v>15805</v>
      </c>
      <c r="F4232" s="115">
        <f>IFERROR(__xludf.DUMMYFUNCTION("""COMPUTED_VALUE"""),133569.0)</f>
        <v>133569</v>
      </c>
      <c r="G4232" s="115">
        <f>IFERROR(__xludf.DUMMYFUNCTION("""COMPUTED_VALUE"""),9537.0)</f>
        <v>9537</v>
      </c>
      <c r="H4232" s="116">
        <f>IFERROR(__xludf.DUMMYFUNCTION("""COMPUTED_VALUE"""),45908.0)</f>
        <v>45908</v>
      </c>
      <c r="I4232" s="115" t="str">
        <f>IFERROR(__xludf.DUMMYFUNCTION("""COMPUTED_VALUE"""),"20")</f>
        <v>20</v>
      </c>
      <c r="J4232" s="115" t="str">
        <f>IFERROR(__xludf.DUMMYFUNCTION("""COMPUTED_VALUE"""),"Loveleen Singh2025-09-0820")</f>
        <v>Loveleen Singh2025-09-0820</v>
      </c>
      <c r="K4232" s="115">
        <f>IFERROR(__xludf.DUMMYFUNCTION("""COMPUTED_VALUE"""),193818.0)</f>
        <v>193818</v>
      </c>
    </row>
    <row r="4233">
      <c r="A4233" s="115" t="str">
        <f>IFERROR(__xludf.DUMMYFUNCTION("""COMPUTED_VALUE"""),"NORTH")</f>
        <v>NORTH</v>
      </c>
      <c r="B4233" s="115" t="str">
        <f>IFERROR(__xludf.DUMMYFUNCTION("""COMPUTED_VALUE"""),"Loveleen Singh")</f>
        <v>Loveleen Singh</v>
      </c>
      <c r="C4233" s="115" t="str">
        <f>IFERROR(__xludf.DUMMYFUNCTION("""COMPUTED_VALUE"""),"MYNTRA")</f>
        <v>MYNTRA</v>
      </c>
      <c r="D4233" s="115">
        <f>IFERROR(__xludf.DUMMYFUNCTION("""COMPUTED_VALUE"""),32736.0)</f>
        <v>32736</v>
      </c>
      <c r="E4233" s="115">
        <f>IFERROR(__xludf.DUMMYFUNCTION("""COMPUTED_VALUE"""),6442.0)</f>
        <v>6442</v>
      </c>
      <c r="F4233" s="115">
        <f>IFERROR(__xludf.DUMMYFUNCTION("""COMPUTED_VALUE"""),26961.0)</f>
        <v>26961</v>
      </c>
      <c r="G4233" s="115">
        <f>IFERROR(__xludf.DUMMYFUNCTION("""COMPUTED_VALUE"""),4278.0)</f>
        <v>4278</v>
      </c>
      <c r="H4233" s="116">
        <f>IFERROR(__xludf.DUMMYFUNCTION("""COMPUTED_VALUE"""),45908.0)</f>
        <v>45908</v>
      </c>
      <c r="I4233" s="115" t="str">
        <f>IFERROR(__xludf.DUMMYFUNCTION("""COMPUTED_VALUE"""),"20")</f>
        <v>20</v>
      </c>
      <c r="J4233" s="115" t="str">
        <f>IFERROR(__xludf.DUMMYFUNCTION("""COMPUTED_VALUE"""),"Loveleen Singh2025-09-0820")</f>
        <v>Loveleen Singh2025-09-0820</v>
      </c>
      <c r="K4233" s="115">
        <f>IFERROR(__xludf.DUMMYFUNCTION("""COMPUTED_VALUE"""),39178.0)</f>
        <v>39178</v>
      </c>
    </row>
    <row r="4234">
      <c r="A4234" s="115" t="str">
        <f>IFERROR(__xludf.DUMMYFUNCTION("""COMPUTED_VALUE"""),"NORTH")</f>
        <v>NORTH</v>
      </c>
      <c r="B4234" s="115" t="str">
        <f>IFERROR(__xludf.DUMMYFUNCTION("""COMPUTED_VALUE"""),"Manoj Harsh")</f>
        <v>Manoj Harsh</v>
      </c>
      <c r="C4234" s="115" t="str">
        <f>IFERROR(__xludf.DUMMYFUNCTION("""COMPUTED_VALUE"""),"EXTERNAL")</f>
        <v>EXTERNAL</v>
      </c>
      <c r="D4234" s="115">
        <f>IFERROR(__xludf.DUMMYFUNCTION("""COMPUTED_VALUE"""),39689.0)</f>
        <v>39689</v>
      </c>
      <c r="E4234" s="115">
        <f>IFERROR(__xludf.DUMMYFUNCTION("""COMPUTED_VALUE"""),3227.0)</f>
        <v>3227</v>
      </c>
      <c r="F4234" s="115">
        <f>IFERROR(__xludf.DUMMYFUNCTION("""COMPUTED_VALUE"""),17655.0)</f>
        <v>17655</v>
      </c>
      <c r="G4234" s="115">
        <f>IFERROR(__xludf.DUMMYFUNCTION("""COMPUTED_VALUE"""),1148.0)</f>
        <v>1148</v>
      </c>
      <c r="H4234" s="116">
        <f>IFERROR(__xludf.DUMMYFUNCTION("""COMPUTED_VALUE"""),45908.0)</f>
        <v>45908</v>
      </c>
      <c r="I4234" s="115" t="str">
        <f>IFERROR(__xludf.DUMMYFUNCTION("""COMPUTED_VALUE"""),"20")</f>
        <v>20</v>
      </c>
      <c r="J4234" s="115" t="str">
        <f>IFERROR(__xludf.DUMMYFUNCTION("""COMPUTED_VALUE"""),"Manoj Harsh2025-09-0820")</f>
        <v>Manoj Harsh2025-09-0820</v>
      </c>
      <c r="K4234" s="115">
        <f>IFERROR(__xludf.DUMMYFUNCTION("""COMPUTED_VALUE"""),42916.0)</f>
        <v>42916</v>
      </c>
    </row>
    <row r="4235">
      <c r="A4235" s="115" t="str">
        <f>IFERROR(__xludf.DUMMYFUNCTION("""COMPUTED_VALUE"""),"NORTH")</f>
        <v>NORTH</v>
      </c>
      <c r="B4235" s="115" t="str">
        <f>IFERROR(__xludf.DUMMYFUNCTION("""COMPUTED_VALUE"""),"Manoj Harsh")</f>
        <v>Manoj Harsh</v>
      </c>
      <c r="C4235" s="115" t="str">
        <f>IFERROR(__xludf.DUMMYFUNCTION("""COMPUTED_VALUE"""),"FLIPKART")</f>
        <v>FLIPKART</v>
      </c>
      <c r="D4235" s="115">
        <f>IFERROR(__xludf.DUMMYFUNCTION("""COMPUTED_VALUE"""),398195.0)</f>
        <v>398195</v>
      </c>
      <c r="E4235" s="115">
        <f>IFERROR(__xludf.DUMMYFUNCTION("""COMPUTED_VALUE"""),43093.0)</f>
        <v>43093</v>
      </c>
      <c r="F4235" s="115">
        <f>IFERROR(__xludf.DUMMYFUNCTION("""COMPUTED_VALUE"""),290516.0)</f>
        <v>290516</v>
      </c>
      <c r="G4235" s="115">
        <f>IFERROR(__xludf.DUMMYFUNCTION("""COMPUTED_VALUE"""),27384.0)</f>
        <v>27384</v>
      </c>
      <c r="H4235" s="116">
        <f>IFERROR(__xludf.DUMMYFUNCTION("""COMPUTED_VALUE"""),45908.0)</f>
        <v>45908</v>
      </c>
      <c r="I4235" s="115" t="str">
        <f>IFERROR(__xludf.DUMMYFUNCTION("""COMPUTED_VALUE"""),"20")</f>
        <v>20</v>
      </c>
      <c r="J4235" s="115" t="str">
        <f>IFERROR(__xludf.DUMMYFUNCTION("""COMPUTED_VALUE"""),"Manoj Harsh2025-09-0820")</f>
        <v>Manoj Harsh2025-09-0820</v>
      </c>
      <c r="K4235" s="115">
        <f>IFERROR(__xludf.DUMMYFUNCTION("""COMPUTED_VALUE"""),441288.0)</f>
        <v>441288</v>
      </c>
    </row>
    <row r="4236">
      <c r="A4236" s="115" t="str">
        <f>IFERROR(__xludf.DUMMYFUNCTION("""COMPUTED_VALUE"""),"NORTH")</f>
        <v>NORTH</v>
      </c>
      <c r="B4236" s="115" t="str">
        <f>IFERROR(__xludf.DUMMYFUNCTION("""COMPUTED_VALUE"""),"Manoj Harsh")</f>
        <v>Manoj Harsh</v>
      </c>
      <c r="C4236" s="115" t="str">
        <f>IFERROR(__xludf.DUMMYFUNCTION("""COMPUTED_VALUE"""),"MYNTRA")</f>
        <v>MYNTRA</v>
      </c>
      <c r="D4236" s="115">
        <f>IFERROR(__xludf.DUMMYFUNCTION("""COMPUTED_VALUE"""),40332.0)</f>
        <v>40332</v>
      </c>
      <c r="E4236" s="115">
        <f>IFERROR(__xludf.DUMMYFUNCTION("""COMPUTED_VALUE"""),8189.0)</f>
        <v>8189</v>
      </c>
      <c r="F4236" s="115">
        <f>IFERROR(__xludf.DUMMYFUNCTION("""COMPUTED_VALUE"""),32303.0)</f>
        <v>32303</v>
      </c>
      <c r="G4236" s="115">
        <f>IFERROR(__xludf.DUMMYFUNCTION("""COMPUTED_VALUE"""),5676.0)</f>
        <v>5676</v>
      </c>
      <c r="H4236" s="116">
        <f>IFERROR(__xludf.DUMMYFUNCTION("""COMPUTED_VALUE"""),45908.0)</f>
        <v>45908</v>
      </c>
      <c r="I4236" s="115" t="str">
        <f>IFERROR(__xludf.DUMMYFUNCTION("""COMPUTED_VALUE"""),"20")</f>
        <v>20</v>
      </c>
      <c r="J4236" s="115" t="str">
        <f>IFERROR(__xludf.DUMMYFUNCTION("""COMPUTED_VALUE"""),"Manoj Harsh2025-09-0820")</f>
        <v>Manoj Harsh2025-09-0820</v>
      </c>
      <c r="K4236" s="115">
        <f>IFERROR(__xludf.DUMMYFUNCTION("""COMPUTED_VALUE"""),48521.0)</f>
        <v>48521</v>
      </c>
    </row>
    <row r="4237">
      <c r="A4237" s="115" t="str">
        <f>IFERROR(__xludf.DUMMYFUNCTION("""COMPUTED_VALUE"""),"NORTH")</f>
        <v>NORTH</v>
      </c>
      <c r="B4237" s="115" t="str">
        <f>IFERROR(__xludf.DUMMYFUNCTION("""COMPUTED_VALUE"""),"Pradeep Kothari")</f>
        <v>Pradeep Kothari</v>
      </c>
      <c r="C4237" s="115" t="str">
        <f>IFERROR(__xludf.DUMMYFUNCTION("""COMPUTED_VALUE"""),"EXTERNAL")</f>
        <v>EXTERNAL</v>
      </c>
      <c r="D4237" s="115">
        <f>IFERROR(__xludf.DUMMYFUNCTION("""COMPUTED_VALUE"""),21679.0)</f>
        <v>21679</v>
      </c>
      <c r="E4237" s="115">
        <f>IFERROR(__xludf.DUMMYFUNCTION("""COMPUTED_VALUE"""),2108.0)</f>
        <v>2108</v>
      </c>
      <c r="F4237" s="115">
        <f>IFERROR(__xludf.DUMMYFUNCTION("""COMPUTED_VALUE"""),8989.0)</f>
        <v>8989</v>
      </c>
      <c r="G4237" s="115">
        <f>IFERROR(__xludf.DUMMYFUNCTION("""COMPUTED_VALUE"""),892.0)</f>
        <v>892</v>
      </c>
      <c r="H4237" s="116">
        <f>IFERROR(__xludf.DUMMYFUNCTION("""COMPUTED_VALUE"""),45908.0)</f>
        <v>45908</v>
      </c>
      <c r="I4237" s="115" t="str">
        <f>IFERROR(__xludf.DUMMYFUNCTION("""COMPUTED_VALUE"""),"20")</f>
        <v>20</v>
      </c>
      <c r="J4237" s="115" t="str">
        <f>IFERROR(__xludf.DUMMYFUNCTION("""COMPUTED_VALUE"""),"Pradeep Kothari2025-09-0820")</f>
        <v>Pradeep Kothari2025-09-0820</v>
      </c>
      <c r="K4237" s="115">
        <f>IFERROR(__xludf.DUMMYFUNCTION("""COMPUTED_VALUE"""),23787.0)</f>
        <v>23787</v>
      </c>
    </row>
    <row r="4238">
      <c r="A4238" s="115" t="str">
        <f>IFERROR(__xludf.DUMMYFUNCTION("""COMPUTED_VALUE"""),"NORTH")</f>
        <v>NORTH</v>
      </c>
      <c r="B4238" s="115" t="str">
        <f>IFERROR(__xludf.DUMMYFUNCTION("""COMPUTED_VALUE"""),"Pradeep Kothari")</f>
        <v>Pradeep Kothari</v>
      </c>
      <c r="C4238" s="115" t="str">
        <f>IFERROR(__xludf.DUMMYFUNCTION("""COMPUTED_VALUE"""),"FLIPKART")</f>
        <v>FLIPKART</v>
      </c>
      <c r="D4238" s="115">
        <f>IFERROR(__xludf.DUMMYFUNCTION("""COMPUTED_VALUE"""),141562.0)</f>
        <v>141562</v>
      </c>
      <c r="E4238" s="115">
        <f>IFERROR(__xludf.DUMMYFUNCTION("""COMPUTED_VALUE"""),18145.0)</f>
        <v>18145</v>
      </c>
      <c r="F4238" s="115">
        <f>IFERROR(__xludf.DUMMYFUNCTION("""COMPUTED_VALUE"""),106875.0)</f>
        <v>106875</v>
      </c>
      <c r="G4238" s="115">
        <f>IFERROR(__xludf.DUMMYFUNCTION("""COMPUTED_VALUE"""),12006.0)</f>
        <v>12006</v>
      </c>
      <c r="H4238" s="116">
        <f>IFERROR(__xludf.DUMMYFUNCTION("""COMPUTED_VALUE"""),45908.0)</f>
        <v>45908</v>
      </c>
      <c r="I4238" s="115" t="str">
        <f>IFERROR(__xludf.DUMMYFUNCTION("""COMPUTED_VALUE"""),"20")</f>
        <v>20</v>
      </c>
      <c r="J4238" s="115" t="str">
        <f>IFERROR(__xludf.DUMMYFUNCTION("""COMPUTED_VALUE"""),"Pradeep Kothari2025-09-0820")</f>
        <v>Pradeep Kothari2025-09-0820</v>
      </c>
      <c r="K4238" s="115">
        <f>IFERROR(__xludf.DUMMYFUNCTION("""COMPUTED_VALUE"""),159707.0)</f>
        <v>159707</v>
      </c>
    </row>
    <row r="4239">
      <c r="A4239" s="115" t="str">
        <f>IFERROR(__xludf.DUMMYFUNCTION("""COMPUTED_VALUE"""),"NORTH")</f>
        <v>NORTH</v>
      </c>
      <c r="B4239" s="115" t="str">
        <f>IFERROR(__xludf.DUMMYFUNCTION("""COMPUTED_VALUE"""),"Pradeep Kothari")</f>
        <v>Pradeep Kothari</v>
      </c>
      <c r="C4239" s="115" t="str">
        <f>IFERROR(__xludf.DUMMYFUNCTION("""COMPUTED_VALUE"""),"MYNTRA")</f>
        <v>MYNTRA</v>
      </c>
      <c r="D4239" s="115">
        <f>IFERROR(__xludf.DUMMYFUNCTION("""COMPUTED_VALUE"""),28585.0)</f>
        <v>28585</v>
      </c>
      <c r="E4239" s="115">
        <f>IFERROR(__xludf.DUMMYFUNCTION("""COMPUTED_VALUE"""),7037.0)</f>
        <v>7037</v>
      </c>
      <c r="F4239" s="115">
        <f>IFERROR(__xludf.DUMMYFUNCTION("""COMPUTED_VALUE"""),23882.0)</f>
        <v>23882</v>
      </c>
      <c r="G4239" s="115">
        <f>IFERROR(__xludf.DUMMYFUNCTION("""COMPUTED_VALUE"""),5160.0)</f>
        <v>5160</v>
      </c>
      <c r="H4239" s="116">
        <f>IFERROR(__xludf.DUMMYFUNCTION("""COMPUTED_VALUE"""),45908.0)</f>
        <v>45908</v>
      </c>
      <c r="I4239" s="115" t="str">
        <f>IFERROR(__xludf.DUMMYFUNCTION("""COMPUTED_VALUE"""),"20")</f>
        <v>20</v>
      </c>
      <c r="J4239" s="115" t="str">
        <f>IFERROR(__xludf.DUMMYFUNCTION("""COMPUTED_VALUE"""),"Pradeep Kothari2025-09-0820")</f>
        <v>Pradeep Kothari2025-09-0820</v>
      </c>
      <c r="K4239" s="115">
        <f>IFERROR(__xludf.DUMMYFUNCTION("""COMPUTED_VALUE"""),35622.0)</f>
        <v>35622</v>
      </c>
    </row>
    <row r="4240">
      <c r="A4240" s="115" t="str">
        <f>IFERROR(__xludf.DUMMYFUNCTION("""COMPUTED_VALUE"""),"SOUTH")</f>
        <v>SOUTH</v>
      </c>
      <c r="B4240" s="115" t="str">
        <f>IFERROR(__xludf.DUMMYFUNCTION("""COMPUTED_VALUE"""),"0")</f>
        <v>0</v>
      </c>
      <c r="C4240" s="115" t="str">
        <f>IFERROR(__xludf.DUMMYFUNCTION("""COMPUTED_VALUE"""),"EXTERNAL")</f>
        <v>EXTERNAL</v>
      </c>
      <c r="D4240" s="115">
        <f>IFERROR(__xludf.DUMMYFUNCTION("""COMPUTED_VALUE"""),1.0)</f>
        <v>1</v>
      </c>
      <c r="E4240" s="115">
        <f>IFERROR(__xludf.DUMMYFUNCTION("""COMPUTED_VALUE"""),0.0)</f>
        <v>0</v>
      </c>
      <c r="F4240" s="115">
        <f>IFERROR(__xludf.DUMMYFUNCTION("""COMPUTED_VALUE"""),1.0)</f>
        <v>1</v>
      </c>
      <c r="G4240" s="115">
        <f>IFERROR(__xludf.DUMMYFUNCTION("""COMPUTED_VALUE"""),0.0)</f>
        <v>0</v>
      </c>
      <c r="H4240" s="116">
        <f>IFERROR(__xludf.DUMMYFUNCTION("""COMPUTED_VALUE"""),45908.0)</f>
        <v>45908</v>
      </c>
      <c r="I4240" s="115" t="str">
        <f>IFERROR(__xludf.DUMMYFUNCTION("""COMPUTED_VALUE"""),"20")</f>
        <v>20</v>
      </c>
      <c r="J4240" s="115" t="str">
        <f>IFERROR(__xludf.DUMMYFUNCTION("""COMPUTED_VALUE"""),"02025-09-0820")</f>
        <v>02025-09-0820</v>
      </c>
      <c r="K4240" s="115">
        <f>IFERROR(__xludf.DUMMYFUNCTION("""COMPUTED_VALUE"""),1.0)</f>
        <v>1</v>
      </c>
    </row>
    <row r="4241">
      <c r="A4241" s="115" t="str">
        <f>IFERROR(__xludf.DUMMYFUNCTION("""COMPUTED_VALUE"""),"SOUTH")</f>
        <v>SOUTH</v>
      </c>
      <c r="B4241" s="115" t="str">
        <f>IFERROR(__xludf.DUMMYFUNCTION("""COMPUTED_VALUE"""),"0")</f>
        <v>0</v>
      </c>
      <c r="C4241" s="115" t="str">
        <f>IFERROR(__xludf.DUMMYFUNCTION("""COMPUTED_VALUE"""),"FLIPKART")</f>
        <v>FLIPKART</v>
      </c>
      <c r="D4241" s="115">
        <f>IFERROR(__xludf.DUMMYFUNCTION("""COMPUTED_VALUE"""),37.0)</f>
        <v>37</v>
      </c>
      <c r="E4241" s="115">
        <f>IFERROR(__xludf.DUMMYFUNCTION("""COMPUTED_VALUE"""),72.0)</f>
        <v>72</v>
      </c>
      <c r="F4241" s="115">
        <f>IFERROR(__xludf.DUMMYFUNCTION("""COMPUTED_VALUE"""),28.0)</f>
        <v>28</v>
      </c>
      <c r="G4241" s="115">
        <f>IFERROR(__xludf.DUMMYFUNCTION("""COMPUTED_VALUE"""),27.0)</f>
        <v>27</v>
      </c>
      <c r="H4241" s="116">
        <f>IFERROR(__xludf.DUMMYFUNCTION("""COMPUTED_VALUE"""),45908.0)</f>
        <v>45908</v>
      </c>
      <c r="I4241" s="115" t="str">
        <f>IFERROR(__xludf.DUMMYFUNCTION("""COMPUTED_VALUE"""),"20")</f>
        <v>20</v>
      </c>
      <c r="J4241" s="115" t="str">
        <f>IFERROR(__xludf.DUMMYFUNCTION("""COMPUTED_VALUE"""),"02025-09-0820")</f>
        <v>02025-09-0820</v>
      </c>
      <c r="K4241" s="115">
        <f>IFERROR(__xludf.DUMMYFUNCTION("""COMPUTED_VALUE"""),109.0)</f>
        <v>109</v>
      </c>
    </row>
    <row r="4242">
      <c r="A4242" s="115" t="str">
        <f>IFERROR(__xludf.DUMMYFUNCTION("""COMPUTED_VALUE"""),"SOUTH")</f>
        <v>SOUTH</v>
      </c>
      <c r="B4242" s="115" t="str">
        <f>IFERROR(__xludf.DUMMYFUNCTION("""COMPUTED_VALUE"""),"0")</f>
        <v>0</v>
      </c>
      <c r="C4242" s="115" t="str">
        <f>IFERROR(__xludf.DUMMYFUNCTION("""COMPUTED_VALUE"""),"MYNTRA")</f>
        <v>MYNTRA</v>
      </c>
      <c r="D4242" s="115">
        <f>IFERROR(__xludf.DUMMYFUNCTION("""COMPUTED_VALUE"""),7.0)</f>
        <v>7</v>
      </c>
      <c r="E4242" s="115">
        <f>IFERROR(__xludf.DUMMYFUNCTION("""COMPUTED_VALUE"""),24.0)</f>
        <v>24</v>
      </c>
      <c r="F4242" s="115">
        <f>IFERROR(__xludf.DUMMYFUNCTION("""COMPUTED_VALUE"""),1.0)</f>
        <v>1</v>
      </c>
      <c r="G4242" s="115">
        <f>IFERROR(__xludf.DUMMYFUNCTION("""COMPUTED_VALUE"""),5.0)</f>
        <v>5</v>
      </c>
      <c r="H4242" s="116">
        <f>IFERROR(__xludf.DUMMYFUNCTION("""COMPUTED_VALUE"""),45908.0)</f>
        <v>45908</v>
      </c>
      <c r="I4242" s="115" t="str">
        <f>IFERROR(__xludf.DUMMYFUNCTION("""COMPUTED_VALUE"""),"20")</f>
        <v>20</v>
      </c>
      <c r="J4242" s="115" t="str">
        <f>IFERROR(__xludf.DUMMYFUNCTION("""COMPUTED_VALUE"""),"02025-09-0820")</f>
        <v>02025-09-0820</v>
      </c>
      <c r="K4242" s="115">
        <f>IFERROR(__xludf.DUMMYFUNCTION("""COMPUTED_VALUE"""),31.0)</f>
        <v>31</v>
      </c>
    </row>
    <row r="4243">
      <c r="A4243" s="115" t="str">
        <f>IFERROR(__xludf.DUMMYFUNCTION("""COMPUTED_VALUE"""),"SOUTH")</f>
        <v>SOUTH</v>
      </c>
      <c r="B4243" s="115" t="str">
        <f>IFERROR(__xludf.DUMMYFUNCTION("""COMPUTED_VALUE"""),"Kandula Sampath")</f>
        <v>Kandula Sampath</v>
      </c>
      <c r="C4243" s="115" t="str">
        <f>IFERROR(__xludf.DUMMYFUNCTION("""COMPUTED_VALUE"""),"EXTERNAL")</f>
        <v>EXTERNAL</v>
      </c>
      <c r="D4243" s="115">
        <f>IFERROR(__xludf.DUMMYFUNCTION("""COMPUTED_VALUE"""),38353.0)</f>
        <v>38353</v>
      </c>
      <c r="E4243" s="115">
        <f>IFERROR(__xludf.DUMMYFUNCTION("""COMPUTED_VALUE"""),4253.0)</f>
        <v>4253</v>
      </c>
      <c r="F4243" s="115">
        <f>IFERROR(__xludf.DUMMYFUNCTION("""COMPUTED_VALUE"""),17138.0)</f>
        <v>17138</v>
      </c>
      <c r="G4243" s="115">
        <f>IFERROR(__xludf.DUMMYFUNCTION("""COMPUTED_VALUE"""),1390.0)</f>
        <v>1390</v>
      </c>
      <c r="H4243" s="116">
        <f>IFERROR(__xludf.DUMMYFUNCTION("""COMPUTED_VALUE"""),45908.0)</f>
        <v>45908</v>
      </c>
      <c r="I4243" s="115" t="str">
        <f>IFERROR(__xludf.DUMMYFUNCTION("""COMPUTED_VALUE"""),"20")</f>
        <v>20</v>
      </c>
      <c r="J4243" s="115" t="str">
        <f>IFERROR(__xludf.DUMMYFUNCTION("""COMPUTED_VALUE"""),"Kandula Sampath2025-09-0820")</f>
        <v>Kandula Sampath2025-09-0820</v>
      </c>
      <c r="K4243" s="115">
        <f>IFERROR(__xludf.DUMMYFUNCTION("""COMPUTED_VALUE"""),42606.0)</f>
        <v>42606</v>
      </c>
    </row>
    <row r="4244">
      <c r="A4244" s="115" t="str">
        <f>IFERROR(__xludf.DUMMYFUNCTION("""COMPUTED_VALUE"""),"SOUTH")</f>
        <v>SOUTH</v>
      </c>
      <c r="B4244" s="115" t="str">
        <f>IFERROR(__xludf.DUMMYFUNCTION("""COMPUTED_VALUE"""),"Kandula Sampath")</f>
        <v>Kandula Sampath</v>
      </c>
      <c r="C4244" s="115" t="str">
        <f>IFERROR(__xludf.DUMMYFUNCTION("""COMPUTED_VALUE"""),"FLIPKART")</f>
        <v>FLIPKART</v>
      </c>
      <c r="D4244" s="115">
        <f>IFERROR(__xludf.DUMMYFUNCTION("""COMPUTED_VALUE"""),351060.0)</f>
        <v>351060</v>
      </c>
      <c r="E4244" s="115">
        <f>IFERROR(__xludf.DUMMYFUNCTION("""COMPUTED_VALUE"""),34440.0)</f>
        <v>34440</v>
      </c>
      <c r="F4244" s="115">
        <f>IFERROR(__xludf.DUMMYFUNCTION("""COMPUTED_VALUE"""),260983.0)</f>
        <v>260983</v>
      </c>
      <c r="G4244" s="115">
        <f>IFERROR(__xludf.DUMMYFUNCTION("""COMPUTED_VALUE"""),19730.0)</f>
        <v>19730</v>
      </c>
      <c r="H4244" s="116">
        <f>IFERROR(__xludf.DUMMYFUNCTION("""COMPUTED_VALUE"""),45908.0)</f>
        <v>45908</v>
      </c>
      <c r="I4244" s="115" t="str">
        <f>IFERROR(__xludf.DUMMYFUNCTION("""COMPUTED_VALUE"""),"20")</f>
        <v>20</v>
      </c>
      <c r="J4244" s="115" t="str">
        <f>IFERROR(__xludf.DUMMYFUNCTION("""COMPUTED_VALUE"""),"Kandula Sampath2025-09-0820")</f>
        <v>Kandula Sampath2025-09-0820</v>
      </c>
      <c r="K4244" s="115">
        <f>IFERROR(__xludf.DUMMYFUNCTION("""COMPUTED_VALUE"""),385500.0)</f>
        <v>385500</v>
      </c>
    </row>
    <row r="4245">
      <c r="A4245" s="115" t="str">
        <f>IFERROR(__xludf.DUMMYFUNCTION("""COMPUTED_VALUE"""),"SOUTH")</f>
        <v>SOUTH</v>
      </c>
      <c r="B4245" s="115" t="str">
        <f>IFERROR(__xludf.DUMMYFUNCTION("""COMPUTED_VALUE"""),"Kandula Sampath")</f>
        <v>Kandula Sampath</v>
      </c>
      <c r="C4245" s="115" t="str">
        <f>IFERROR(__xludf.DUMMYFUNCTION("""COMPUTED_VALUE"""),"MYNTRA")</f>
        <v>MYNTRA</v>
      </c>
      <c r="D4245" s="115">
        <f>IFERROR(__xludf.DUMMYFUNCTION("""COMPUTED_VALUE"""),41301.0)</f>
        <v>41301</v>
      </c>
      <c r="E4245" s="115">
        <f>IFERROR(__xludf.DUMMYFUNCTION("""COMPUTED_VALUE"""),9484.0)</f>
        <v>9484</v>
      </c>
      <c r="F4245" s="115">
        <f>IFERROR(__xludf.DUMMYFUNCTION("""COMPUTED_VALUE"""),33420.0)</f>
        <v>33420</v>
      </c>
      <c r="G4245" s="115">
        <f>IFERROR(__xludf.DUMMYFUNCTION("""COMPUTED_VALUE"""),5813.0)</f>
        <v>5813</v>
      </c>
      <c r="H4245" s="116">
        <f>IFERROR(__xludf.DUMMYFUNCTION("""COMPUTED_VALUE"""),45908.0)</f>
        <v>45908</v>
      </c>
      <c r="I4245" s="115" t="str">
        <f>IFERROR(__xludf.DUMMYFUNCTION("""COMPUTED_VALUE"""),"20")</f>
        <v>20</v>
      </c>
      <c r="J4245" s="115" t="str">
        <f>IFERROR(__xludf.DUMMYFUNCTION("""COMPUTED_VALUE"""),"Kandula Sampath2025-09-0820")</f>
        <v>Kandula Sampath2025-09-0820</v>
      </c>
      <c r="K4245" s="115">
        <f>IFERROR(__xludf.DUMMYFUNCTION("""COMPUTED_VALUE"""),50785.0)</f>
        <v>50785</v>
      </c>
    </row>
    <row r="4246">
      <c r="A4246" s="115" t="str">
        <f>IFERROR(__xludf.DUMMYFUNCTION("""COMPUTED_VALUE"""),"SOUTH")</f>
        <v>SOUTH</v>
      </c>
      <c r="B4246" s="115" t="str">
        <f>IFERROR(__xludf.DUMMYFUNCTION("""COMPUTED_VALUE"""),"Martin A")</f>
        <v>Martin A</v>
      </c>
      <c r="C4246" s="115" t="str">
        <f>IFERROR(__xludf.DUMMYFUNCTION("""COMPUTED_VALUE"""),"EXTERNAL")</f>
        <v>EXTERNAL</v>
      </c>
      <c r="D4246" s="115">
        <f>IFERROR(__xludf.DUMMYFUNCTION("""COMPUTED_VALUE"""),37402.0)</f>
        <v>37402</v>
      </c>
      <c r="E4246" s="115">
        <f>IFERROR(__xludf.DUMMYFUNCTION("""COMPUTED_VALUE"""),4531.0)</f>
        <v>4531</v>
      </c>
      <c r="F4246" s="115">
        <f>IFERROR(__xludf.DUMMYFUNCTION("""COMPUTED_VALUE"""),16441.0)</f>
        <v>16441</v>
      </c>
      <c r="G4246" s="115">
        <f>IFERROR(__xludf.DUMMYFUNCTION("""COMPUTED_VALUE"""),2332.0)</f>
        <v>2332</v>
      </c>
      <c r="H4246" s="116">
        <f>IFERROR(__xludf.DUMMYFUNCTION("""COMPUTED_VALUE"""),45908.0)</f>
        <v>45908</v>
      </c>
      <c r="I4246" s="115" t="str">
        <f>IFERROR(__xludf.DUMMYFUNCTION("""COMPUTED_VALUE"""),"20")</f>
        <v>20</v>
      </c>
      <c r="J4246" s="115" t="str">
        <f>IFERROR(__xludf.DUMMYFUNCTION("""COMPUTED_VALUE"""),"Martin A2025-09-0820")</f>
        <v>Martin A2025-09-0820</v>
      </c>
      <c r="K4246" s="115">
        <f>IFERROR(__xludf.DUMMYFUNCTION("""COMPUTED_VALUE"""),41933.0)</f>
        <v>41933</v>
      </c>
    </row>
    <row r="4247">
      <c r="A4247" s="115" t="str">
        <f>IFERROR(__xludf.DUMMYFUNCTION("""COMPUTED_VALUE"""),"SOUTH")</f>
        <v>SOUTH</v>
      </c>
      <c r="B4247" s="115" t="str">
        <f>IFERROR(__xludf.DUMMYFUNCTION("""COMPUTED_VALUE"""),"Martin A")</f>
        <v>Martin A</v>
      </c>
      <c r="C4247" s="115" t="str">
        <f>IFERROR(__xludf.DUMMYFUNCTION("""COMPUTED_VALUE"""),"FLIPKART")</f>
        <v>FLIPKART</v>
      </c>
      <c r="D4247" s="115">
        <f>IFERROR(__xludf.DUMMYFUNCTION("""COMPUTED_VALUE"""),306186.0)</f>
        <v>306186</v>
      </c>
      <c r="E4247" s="115">
        <f>IFERROR(__xludf.DUMMYFUNCTION("""COMPUTED_VALUE"""),30070.0)</f>
        <v>30070</v>
      </c>
      <c r="F4247" s="115">
        <f>IFERROR(__xludf.DUMMYFUNCTION("""COMPUTED_VALUE"""),227771.0)</f>
        <v>227771</v>
      </c>
      <c r="G4247" s="115">
        <f>IFERROR(__xludf.DUMMYFUNCTION("""COMPUTED_VALUE"""),18754.0)</f>
        <v>18754</v>
      </c>
      <c r="H4247" s="116">
        <f>IFERROR(__xludf.DUMMYFUNCTION("""COMPUTED_VALUE"""),45908.0)</f>
        <v>45908</v>
      </c>
      <c r="I4247" s="115" t="str">
        <f>IFERROR(__xludf.DUMMYFUNCTION("""COMPUTED_VALUE"""),"20")</f>
        <v>20</v>
      </c>
      <c r="J4247" s="115" t="str">
        <f>IFERROR(__xludf.DUMMYFUNCTION("""COMPUTED_VALUE"""),"Martin A2025-09-0820")</f>
        <v>Martin A2025-09-0820</v>
      </c>
      <c r="K4247" s="115">
        <f>IFERROR(__xludf.DUMMYFUNCTION("""COMPUTED_VALUE"""),336256.0)</f>
        <v>336256</v>
      </c>
    </row>
    <row r="4248">
      <c r="A4248" s="115" t="str">
        <f>IFERROR(__xludf.DUMMYFUNCTION("""COMPUTED_VALUE"""),"SOUTH")</f>
        <v>SOUTH</v>
      </c>
      <c r="B4248" s="115" t="str">
        <f>IFERROR(__xludf.DUMMYFUNCTION("""COMPUTED_VALUE"""),"Martin A")</f>
        <v>Martin A</v>
      </c>
      <c r="C4248" s="115" t="str">
        <f>IFERROR(__xludf.DUMMYFUNCTION("""COMPUTED_VALUE"""),"MYNTRA")</f>
        <v>MYNTRA</v>
      </c>
      <c r="D4248" s="115">
        <f>IFERROR(__xludf.DUMMYFUNCTION("""COMPUTED_VALUE"""),30555.0)</f>
        <v>30555</v>
      </c>
      <c r="E4248" s="115">
        <f>IFERROR(__xludf.DUMMYFUNCTION("""COMPUTED_VALUE"""),7990.0)</f>
        <v>7990</v>
      </c>
      <c r="F4248" s="115">
        <f>IFERROR(__xludf.DUMMYFUNCTION("""COMPUTED_VALUE"""),25464.0)</f>
        <v>25464</v>
      </c>
      <c r="G4248" s="115">
        <f>IFERROR(__xludf.DUMMYFUNCTION("""COMPUTED_VALUE"""),5262.0)</f>
        <v>5262</v>
      </c>
      <c r="H4248" s="116">
        <f>IFERROR(__xludf.DUMMYFUNCTION("""COMPUTED_VALUE"""),45908.0)</f>
        <v>45908</v>
      </c>
      <c r="I4248" s="115" t="str">
        <f>IFERROR(__xludf.DUMMYFUNCTION("""COMPUTED_VALUE"""),"20")</f>
        <v>20</v>
      </c>
      <c r="J4248" s="115" t="str">
        <f>IFERROR(__xludf.DUMMYFUNCTION("""COMPUTED_VALUE"""),"Martin A2025-09-0820")</f>
        <v>Martin A2025-09-0820</v>
      </c>
      <c r="K4248" s="115">
        <f>IFERROR(__xludf.DUMMYFUNCTION("""COMPUTED_VALUE"""),38545.0)</f>
        <v>38545</v>
      </c>
    </row>
    <row r="4249">
      <c r="A4249" s="115" t="str">
        <f>IFERROR(__xludf.DUMMYFUNCTION("""COMPUTED_VALUE"""),"SOUTH")</f>
        <v>SOUTH</v>
      </c>
      <c r="B4249" s="115" t="str">
        <f>IFERROR(__xludf.DUMMYFUNCTION("""COMPUTED_VALUE"""),"Premkumar M")</f>
        <v>Premkumar M</v>
      </c>
      <c r="C4249" s="115" t="str">
        <f>IFERROR(__xludf.DUMMYFUNCTION("""COMPUTED_VALUE"""),"EXTERNAL")</f>
        <v>EXTERNAL</v>
      </c>
      <c r="D4249" s="115">
        <f>IFERROR(__xludf.DUMMYFUNCTION("""COMPUTED_VALUE"""),33944.0)</f>
        <v>33944</v>
      </c>
      <c r="E4249" s="115">
        <f>IFERROR(__xludf.DUMMYFUNCTION("""COMPUTED_VALUE"""),2065.0)</f>
        <v>2065</v>
      </c>
      <c r="F4249" s="115">
        <f>IFERROR(__xludf.DUMMYFUNCTION("""COMPUTED_VALUE"""),16894.0)</f>
        <v>16894</v>
      </c>
      <c r="G4249" s="115">
        <f>IFERROR(__xludf.DUMMYFUNCTION("""COMPUTED_VALUE"""),645.0)</f>
        <v>645</v>
      </c>
      <c r="H4249" s="116">
        <f>IFERROR(__xludf.DUMMYFUNCTION("""COMPUTED_VALUE"""),45908.0)</f>
        <v>45908</v>
      </c>
      <c r="I4249" s="115" t="str">
        <f>IFERROR(__xludf.DUMMYFUNCTION("""COMPUTED_VALUE"""),"20")</f>
        <v>20</v>
      </c>
      <c r="J4249" s="115" t="str">
        <f>IFERROR(__xludf.DUMMYFUNCTION("""COMPUTED_VALUE"""),"Premkumar M2025-09-0820")</f>
        <v>Premkumar M2025-09-0820</v>
      </c>
      <c r="K4249" s="115">
        <f>IFERROR(__xludf.DUMMYFUNCTION("""COMPUTED_VALUE"""),36009.0)</f>
        <v>36009</v>
      </c>
    </row>
    <row r="4250">
      <c r="A4250" s="115" t="str">
        <f>IFERROR(__xludf.DUMMYFUNCTION("""COMPUTED_VALUE"""),"SOUTH")</f>
        <v>SOUTH</v>
      </c>
      <c r="B4250" s="115" t="str">
        <f>IFERROR(__xludf.DUMMYFUNCTION("""COMPUTED_VALUE"""),"Premkumar M")</f>
        <v>Premkumar M</v>
      </c>
      <c r="C4250" s="115" t="str">
        <f>IFERROR(__xludf.DUMMYFUNCTION("""COMPUTED_VALUE"""),"FLIPKART")</f>
        <v>FLIPKART</v>
      </c>
      <c r="D4250" s="115">
        <f>IFERROR(__xludf.DUMMYFUNCTION("""COMPUTED_VALUE"""),307999.0)</f>
        <v>307999</v>
      </c>
      <c r="E4250" s="115">
        <f>IFERROR(__xludf.DUMMYFUNCTION("""COMPUTED_VALUE"""),20606.0)</f>
        <v>20606</v>
      </c>
      <c r="F4250" s="115">
        <f>IFERROR(__xludf.DUMMYFUNCTION("""COMPUTED_VALUE"""),230990.0)</f>
        <v>230990</v>
      </c>
      <c r="G4250" s="115">
        <f>IFERROR(__xludf.DUMMYFUNCTION("""COMPUTED_VALUE"""),8899.0)</f>
        <v>8899</v>
      </c>
      <c r="H4250" s="116">
        <f>IFERROR(__xludf.DUMMYFUNCTION("""COMPUTED_VALUE"""),45908.0)</f>
        <v>45908</v>
      </c>
      <c r="I4250" s="115" t="str">
        <f>IFERROR(__xludf.DUMMYFUNCTION("""COMPUTED_VALUE"""),"20")</f>
        <v>20</v>
      </c>
      <c r="J4250" s="115" t="str">
        <f>IFERROR(__xludf.DUMMYFUNCTION("""COMPUTED_VALUE"""),"Premkumar M2025-09-0820")</f>
        <v>Premkumar M2025-09-0820</v>
      </c>
      <c r="K4250" s="115">
        <f>IFERROR(__xludf.DUMMYFUNCTION("""COMPUTED_VALUE"""),328605.0)</f>
        <v>328605</v>
      </c>
    </row>
    <row r="4251">
      <c r="A4251" s="115" t="str">
        <f>IFERROR(__xludf.DUMMYFUNCTION("""COMPUTED_VALUE"""),"SOUTH")</f>
        <v>SOUTH</v>
      </c>
      <c r="B4251" s="115" t="str">
        <f>IFERROR(__xludf.DUMMYFUNCTION("""COMPUTED_VALUE"""),"Premkumar M")</f>
        <v>Premkumar M</v>
      </c>
      <c r="C4251" s="115" t="str">
        <f>IFERROR(__xludf.DUMMYFUNCTION("""COMPUTED_VALUE"""),"MYNTRA")</f>
        <v>MYNTRA</v>
      </c>
      <c r="D4251" s="115">
        <f>IFERROR(__xludf.DUMMYFUNCTION("""COMPUTED_VALUE"""),17168.0)</f>
        <v>17168</v>
      </c>
      <c r="E4251" s="115">
        <f>IFERROR(__xludf.DUMMYFUNCTION("""COMPUTED_VALUE"""),3163.0)</f>
        <v>3163</v>
      </c>
      <c r="F4251" s="115">
        <f>IFERROR(__xludf.DUMMYFUNCTION("""COMPUTED_VALUE"""),14183.0)</f>
        <v>14183</v>
      </c>
      <c r="G4251" s="115">
        <f>IFERROR(__xludf.DUMMYFUNCTION("""COMPUTED_VALUE"""),1553.0)</f>
        <v>1553</v>
      </c>
      <c r="H4251" s="116">
        <f>IFERROR(__xludf.DUMMYFUNCTION("""COMPUTED_VALUE"""),45908.0)</f>
        <v>45908</v>
      </c>
      <c r="I4251" s="115" t="str">
        <f>IFERROR(__xludf.DUMMYFUNCTION("""COMPUTED_VALUE"""),"20")</f>
        <v>20</v>
      </c>
      <c r="J4251" s="115" t="str">
        <f>IFERROR(__xludf.DUMMYFUNCTION("""COMPUTED_VALUE"""),"Premkumar M2025-09-0820")</f>
        <v>Premkumar M2025-09-0820</v>
      </c>
      <c r="K4251" s="115">
        <f>IFERROR(__xludf.DUMMYFUNCTION("""COMPUTED_VALUE"""),20331.0)</f>
        <v>20331</v>
      </c>
    </row>
    <row r="4252">
      <c r="A4252" s="115" t="str">
        <f>IFERROR(__xludf.DUMMYFUNCTION("""COMPUTED_VALUE"""),"SOUTH")</f>
        <v>SOUTH</v>
      </c>
      <c r="B4252" s="115" t="str">
        <f>IFERROR(__xludf.DUMMYFUNCTION("""COMPUTED_VALUE"""),"Vineeth V")</f>
        <v>Vineeth V</v>
      </c>
      <c r="C4252" s="115" t="str">
        <f>IFERROR(__xludf.DUMMYFUNCTION("""COMPUTED_VALUE"""),"EXTERNAL")</f>
        <v>EXTERNAL</v>
      </c>
      <c r="D4252" s="115">
        <f>IFERROR(__xludf.DUMMYFUNCTION("""COMPUTED_VALUE"""),25001.0)</f>
        <v>25001</v>
      </c>
      <c r="E4252" s="115">
        <f>IFERROR(__xludf.DUMMYFUNCTION("""COMPUTED_VALUE"""),774.0)</f>
        <v>774</v>
      </c>
      <c r="F4252" s="115">
        <f>IFERROR(__xludf.DUMMYFUNCTION("""COMPUTED_VALUE"""),12955.0)</f>
        <v>12955</v>
      </c>
      <c r="G4252" s="115">
        <f>IFERROR(__xludf.DUMMYFUNCTION("""COMPUTED_VALUE"""),321.0)</f>
        <v>321</v>
      </c>
      <c r="H4252" s="116">
        <f>IFERROR(__xludf.DUMMYFUNCTION("""COMPUTED_VALUE"""),45908.0)</f>
        <v>45908</v>
      </c>
      <c r="I4252" s="115" t="str">
        <f>IFERROR(__xludf.DUMMYFUNCTION("""COMPUTED_VALUE"""),"20")</f>
        <v>20</v>
      </c>
      <c r="J4252" s="115" t="str">
        <f>IFERROR(__xludf.DUMMYFUNCTION("""COMPUTED_VALUE"""),"Vineeth V2025-09-0820")</f>
        <v>Vineeth V2025-09-0820</v>
      </c>
      <c r="K4252" s="115">
        <f>IFERROR(__xludf.DUMMYFUNCTION("""COMPUTED_VALUE"""),25775.0)</f>
        <v>25775</v>
      </c>
    </row>
    <row r="4253">
      <c r="A4253" s="115" t="str">
        <f>IFERROR(__xludf.DUMMYFUNCTION("""COMPUTED_VALUE"""),"SOUTH")</f>
        <v>SOUTH</v>
      </c>
      <c r="B4253" s="115" t="str">
        <f>IFERROR(__xludf.DUMMYFUNCTION("""COMPUTED_VALUE"""),"Vineeth V")</f>
        <v>Vineeth V</v>
      </c>
      <c r="C4253" s="115" t="str">
        <f>IFERROR(__xludf.DUMMYFUNCTION("""COMPUTED_VALUE"""),"FLIPKART")</f>
        <v>FLIPKART</v>
      </c>
      <c r="D4253" s="115">
        <f>IFERROR(__xludf.DUMMYFUNCTION("""COMPUTED_VALUE"""),274986.0)</f>
        <v>274986</v>
      </c>
      <c r="E4253" s="115">
        <f>IFERROR(__xludf.DUMMYFUNCTION("""COMPUTED_VALUE"""),18568.0)</f>
        <v>18568</v>
      </c>
      <c r="F4253" s="115">
        <f>IFERROR(__xludf.DUMMYFUNCTION("""COMPUTED_VALUE"""),218490.0)</f>
        <v>218490</v>
      </c>
      <c r="G4253" s="115">
        <f>IFERROR(__xludf.DUMMYFUNCTION("""COMPUTED_VALUE"""),8826.0)</f>
        <v>8826</v>
      </c>
      <c r="H4253" s="116">
        <f>IFERROR(__xludf.DUMMYFUNCTION("""COMPUTED_VALUE"""),45908.0)</f>
        <v>45908</v>
      </c>
      <c r="I4253" s="115" t="str">
        <f>IFERROR(__xludf.DUMMYFUNCTION("""COMPUTED_VALUE"""),"20")</f>
        <v>20</v>
      </c>
      <c r="J4253" s="115" t="str">
        <f>IFERROR(__xludf.DUMMYFUNCTION("""COMPUTED_VALUE"""),"Vineeth V2025-09-0820")</f>
        <v>Vineeth V2025-09-0820</v>
      </c>
      <c r="K4253" s="115">
        <f>IFERROR(__xludf.DUMMYFUNCTION("""COMPUTED_VALUE"""),293554.0)</f>
        <v>293554</v>
      </c>
    </row>
    <row r="4254">
      <c r="A4254" s="115" t="str">
        <f>IFERROR(__xludf.DUMMYFUNCTION("""COMPUTED_VALUE"""),"SOUTH")</f>
        <v>SOUTH</v>
      </c>
      <c r="B4254" s="115" t="str">
        <f>IFERROR(__xludf.DUMMYFUNCTION("""COMPUTED_VALUE"""),"Vineeth V")</f>
        <v>Vineeth V</v>
      </c>
      <c r="C4254" s="115" t="str">
        <f>IFERROR(__xludf.DUMMYFUNCTION("""COMPUTED_VALUE"""),"MYNTRA")</f>
        <v>MYNTRA</v>
      </c>
      <c r="D4254" s="115">
        <f>IFERROR(__xludf.DUMMYFUNCTION("""COMPUTED_VALUE"""),20795.0)</f>
        <v>20795</v>
      </c>
      <c r="E4254" s="115">
        <f>IFERROR(__xludf.DUMMYFUNCTION("""COMPUTED_VALUE"""),4931.0)</f>
        <v>4931</v>
      </c>
      <c r="F4254" s="115">
        <f>IFERROR(__xludf.DUMMYFUNCTION("""COMPUTED_VALUE"""),17487.0)</f>
        <v>17487</v>
      </c>
      <c r="G4254" s="115">
        <f>IFERROR(__xludf.DUMMYFUNCTION("""COMPUTED_VALUE"""),2413.0)</f>
        <v>2413</v>
      </c>
      <c r="H4254" s="116">
        <f>IFERROR(__xludf.DUMMYFUNCTION("""COMPUTED_VALUE"""),45908.0)</f>
        <v>45908</v>
      </c>
      <c r="I4254" s="115" t="str">
        <f>IFERROR(__xludf.DUMMYFUNCTION("""COMPUTED_VALUE"""),"20")</f>
        <v>20</v>
      </c>
      <c r="J4254" s="115" t="str">
        <f>IFERROR(__xludf.DUMMYFUNCTION("""COMPUTED_VALUE"""),"Vineeth V2025-09-0820")</f>
        <v>Vineeth V2025-09-0820</v>
      </c>
      <c r="K4254" s="115">
        <f>IFERROR(__xludf.DUMMYFUNCTION("""COMPUTED_VALUE"""),25726.0)</f>
        <v>25726</v>
      </c>
    </row>
    <row r="4255">
      <c r="A4255" s="115" t="str">
        <f>IFERROR(__xludf.DUMMYFUNCTION("""COMPUTED_VALUE"""),"WEST")</f>
        <v>WEST</v>
      </c>
      <c r="B4255" s="115" t="str">
        <f>IFERROR(__xludf.DUMMYFUNCTION("""COMPUTED_VALUE"""),"Ashish Jakar")</f>
        <v>Ashish Jakar</v>
      </c>
      <c r="C4255" s="115" t="str">
        <f>IFERROR(__xludf.DUMMYFUNCTION("""COMPUTED_VALUE"""),"EXTERNAL")</f>
        <v>EXTERNAL</v>
      </c>
      <c r="D4255" s="115">
        <f>IFERROR(__xludf.DUMMYFUNCTION("""COMPUTED_VALUE"""),64468.0)</f>
        <v>64468</v>
      </c>
      <c r="E4255" s="115">
        <f>IFERROR(__xludf.DUMMYFUNCTION("""COMPUTED_VALUE"""),8013.0)</f>
        <v>8013</v>
      </c>
      <c r="F4255" s="115">
        <f>IFERROR(__xludf.DUMMYFUNCTION("""COMPUTED_VALUE"""),26588.0)</f>
        <v>26588</v>
      </c>
      <c r="G4255" s="115">
        <f>IFERROR(__xludf.DUMMYFUNCTION("""COMPUTED_VALUE"""),3273.0)</f>
        <v>3273</v>
      </c>
      <c r="H4255" s="116">
        <f>IFERROR(__xludf.DUMMYFUNCTION("""COMPUTED_VALUE"""),45908.0)</f>
        <v>45908</v>
      </c>
      <c r="I4255" s="115" t="str">
        <f>IFERROR(__xludf.DUMMYFUNCTION("""COMPUTED_VALUE"""),"20")</f>
        <v>20</v>
      </c>
      <c r="J4255" s="115" t="str">
        <f>IFERROR(__xludf.DUMMYFUNCTION("""COMPUTED_VALUE"""),"Ashish Jakar2025-09-0820")</f>
        <v>Ashish Jakar2025-09-0820</v>
      </c>
      <c r="K4255" s="115">
        <f>IFERROR(__xludf.DUMMYFUNCTION("""COMPUTED_VALUE"""),72481.0)</f>
        <v>72481</v>
      </c>
    </row>
    <row r="4256">
      <c r="A4256" s="115" t="str">
        <f>IFERROR(__xludf.DUMMYFUNCTION("""COMPUTED_VALUE"""),"WEST")</f>
        <v>WEST</v>
      </c>
      <c r="B4256" s="115" t="str">
        <f>IFERROR(__xludf.DUMMYFUNCTION("""COMPUTED_VALUE"""),"Ashish Jakar")</f>
        <v>Ashish Jakar</v>
      </c>
      <c r="C4256" s="115" t="str">
        <f>IFERROR(__xludf.DUMMYFUNCTION("""COMPUTED_VALUE"""),"FLIPKART")</f>
        <v>FLIPKART</v>
      </c>
      <c r="D4256" s="115">
        <f>IFERROR(__xludf.DUMMYFUNCTION("""COMPUTED_VALUE"""),372699.0)</f>
        <v>372699</v>
      </c>
      <c r="E4256" s="115">
        <f>IFERROR(__xludf.DUMMYFUNCTION("""COMPUTED_VALUE"""),35069.0)</f>
        <v>35069</v>
      </c>
      <c r="F4256" s="115">
        <f>IFERROR(__xludf.DUMMYFUNCTION("""COMPUTED_VALUE"""),265797.0)</f>
        <v>265797</v>
      </c>
      <c r="G4256" s="115">
        <f>IFERROR(__xludf.DUMMYFUNCTION("""COMPUTED_VALUE"""),20916.0)</f>
        <v>20916</v>
      </c>
      <c r="H4256" s="116">
        <f>IFERROR(__xludf.DUMMYFUNCTION("""COMPUTED_VALUE"""),45908.0)</f>
        <v>45908</v>
      </c>
      <c r="I4256" s="115" t="str">
        <f>IFERROR(__xludf.DUMMYFUNCTION("""COMPUTED_VALUE"""),"20")</f>
        <v>20</v>
      </c>
      <c r="J4256" s="115" t="str">
        <f>IFERROR(__xludf.DUMMYFUNCTION("""COMPUTED_VALUE"""),"Ashish Jakar2025-09-0820")</f>
        <v>Ashish Jakar2025-09-0820</v>
      </c>
      <c r="K4256" s="115">
        <f>IFERROR(__xludf.DUMMYFUNCTION("""COMPUTED_VALUE"""),407768.0)</f>
        <v>407768</v>
      </c>
    </row>
    <row r="4257">
      <c r="A4257" s="115" t="str">
        <f>IFERROR(__xludf.DUMMYFUNCTION("""COMPUTED_VALUE"""),"WEST")</f>
        <v>WEST</v>
      </c>
      <c r="B4257" s="115" t="str">
        <f>IFERROR(__xludf.DUMMYFUNCTION("""COMPUTED_VALUE"""),"Ashish Jakar")</f>
        <v>Ashish Jakar</v>
      </c>
      <c r="C4257" s="115" t="str">
        <f>IFERROR(__xludf.DUMMYFUNCTION("""COMPUTED_VALUE"""),"MYNTRA")</f>
        <v>MYNTRA</v>
      </c>
      <c r="D4257" s="115">
        <f>IFERROR(__xludf.DUMMYFUNCTION("""COMPUTED_VALUE"""),46966.0)</f>
        <v>46966</v>
      </c>
      <c r="E4257" s="115">
        <f>IFERROR(__xludf.DUMMYFUNCTION("""COMPUTED_VALUE"""),12109.0)</f>
        <v>12109</v>
      </c>
      <c r="F4257" s="115">
        <f>IFERROR(__xludf.DUMMYFUNCTION("""COMPUTED_VALUE"""),38398.0)</f>
        <v>38398</v>
      </c>
      <c r="G4257" s="115">
        <f>IFERROR(__xludf.DUMMYFUNCTION("""COMPUTED_VALUE"""),7813.0)</f>
        <v>7813</v>
      </c>
      <c r="H4257" s="116">
        <f>IFERROR(__xludf.DUMMYFUNCTION("""COMPUTED_VALUE"""),45908.0)</f>
        <v>45908</v>
      </c>
      <c r="I4257" s="115" t="str">
        <f>IFERROR(__xludf.DUMMYFUNCTION("""COMPUTED_VALUE"""),"20")</f>
        <v>20</v>
      </c>
      <c r="J4257" s="115" t="str">
        <f>IFERROR(__xludf.DUMMYFUNCTION("""COMPUTED_VALUE"""),"Ashish Jakar2025-09-0820")</f>
        <v>Ashish Jakar2025-09-0820</v>
      </c>
      <c r="K4257" s="115">
        <f>IFERROR(__xludf.DUMMYFUNCTION("""COMPUTED_VALUE"""),59075.0)</f>
        <v>59075</v>
      </c>
    </row>
    <row r="4258">
      <c r="A4258" s="115" t="str">
        <f>IFERROR(__xludf.DUMMYFUNCTION("""COMPUTED_VALUE"""),"WEST")</f>
        <v>WEST</v>
      </c>
      <c r="B4258" s="115" t="str">
        <f>IFERROR(__xludf.DUMMYFUNCTION("""COMPUTED_VALUE"""),"Ashvani Bhatt")</f>
        <v>Ashvani Bhatt</v>
      </c>
      <c r="C4258" s="115" t="str">
        <f>IFERROR(__xludf.DUMMYFUNCTION("""COMPUTED_VALUE"""),"EXTERNAL")</f>
        <v>EXTERNAL</v>
      </c>
      <c r="D4258" s="115">
        <f>IFERROR(__xludf.DUMMYFUNCTION("""COMPUTED_VALUE"""),43171.0)</f>
        <v>43171</v>
      </c>
      <c r="E4258" s="115">
        <f>IFERROR(__xludf.DUMMYFUNCTION("""COMPUTED_VALUE"""),3804.0)</f>
        <v>3804</v>
      </c>
      <c r="F4258" s="115">
        <f>IFERROR(__xludf.DUMMYFUNCTION("""COMPUTED_VALUE"""),19516.0)</f>
        <v>19516</v>
      </c>
      <c r="G4258" s="115">
        <f>IFERROR(__xludf.DUMMYFUNCTION("""COMPUTED_VALUE"""),1357.0)</f>
        <v>1357</v>
      </c>
      <c r="H4258" s="116">
        <f>IFERROR(__xludf.DUMMYFUNCTION("""COMPUTED_VALUE"""),45908.0)</f>
        <v>45908</v>
      </c>
      <c r="I4258" s="115" t="str">
        <f>IFERROR(__xludf.DUMMYFUNCTION("""COMPUTED_VALUE"""),"20")</f>
        <v>20</v>
      </c>
      <c r="J4258" s="115" t="str">
        <f>IFERROR(__xludf.DUMMYFUNCTION("""COMPUTED_VALUE"""),"Ashvani Bhatt2025-09-0820")</f>
        <v>Ashvani Bhatt2025-09-0820</v>
      </c>
      <c r="K4258" s="115">
        <f>IFERROR(__xludf.DUMMYFUNCTION("""COMPUTED_VALUE"""),46975.0)</f>
        <v>46975</v>
      </c>
    </row>
    <row r="4259">
      <c r="A4259" s="115" t="str">
        <f>IFERROR(__xludf.DUMMYFUNCTION("""COMPUTED_VALUE"""),"WEST")</f>
        <v>WEST</v>
      </c>
      <c r="B4259" s="115" t="str">
        <f>IFERROR(__xludf.DUMMYFUNCTION("""COMPUTED_VALUE"""),"Ashvani Bhatt")</f>
        <v>Ashvani Bhatt</v>
      </c>
      <c r="C4259" s="115" t="str">
        <f>IFERROR(__xludf.DUMMYFUNCTION("""COMPUTED_VALUE"""),"FLIPKART")</f>
        <v>FLIPKART</v>
      </c>
      <c r="D4259" s="115">
        <f>IFERROR(__xludf.DUMMYFUNCTION("""COMPUTED_VALUE"""),279602.0)</f>
        <v>279602</v>
      </c>
      <c r="E4259" s="115">
        <f>IFERROR(__xludf.DUMMYFUNCTION("""COMPUTED_VALUE"""),30083.0)</f>
        <v>30083</v>
      </c>
      <c r="F4259" s="115">
        <f>IFERROR(__xludf.DUMMYFUNCTION("""COMPUTED_VALUE"""),209577.0)</f>
        <v>209577</v>
      </c>
      <c r="G4259" s="115">
        <f>IFERROR(__xludf.DUMMYFUNCTION("""COMPUTED_VALUE"""),18838.0)</f>
        <v>18838</v>
      </c>
      <c r="H4259" s="116">
        <f>IFERROR(__xludf.DUMMYFUNCTION("""COMPUTED_VALUE"""),45908.0)</f>
        <v>45908</v>
      </c>
      <c r="I4259" s="115" t="str">
        <f>IFERROR(__xludf.DUMMYFUNCTION("""COMPUTED_VALUE"""),"20")</f>
        <v>20</v>
      </c>
      <c r="J4259" s="115" t="str">
        <f>IFERROR(__xludf.DUMMYFUNCTION("""COMPUTED_VALUE"""),"Ashvani Bhatt2025-09-0820")</f>
        <v>Ashvani Bhatt2025-09-0820</v>
      </c>
      <c r="K4259" s="115">
        <f>IFERROR(__xludf.DUMMYFUNCTION("""COMPUTED_VALUE"""),309685.0)</f>
        <v>309685</v>
      </c>
    </row>
    <row r="4260">
      <c r="A4260" s="115" t="str">
        <f>IFERROR(__xludf.DUMMYFUNCTION("""COMPUTED_VALUE"""),"WEST")</f>
        <v>WEST</v>
      </c>
      <c r="B4260" s="115" t="str">
        <f>IFERROR(__xludf.DUMMYFUNCTION("""COMPUTED_VALUE"""),"Ashvani Bhatt")</f>
        <v>Ashvani Bhatt</v>
      </c>
      <c r="C4260" s="115" t="str">
        <f>IFERROR(__xludf.DUMMYFUNCTION("""COMPUTED_VALUE"""),"MYNTRA")</f>
        <v>MYNTRA</v>
      </c>
      <c r="D4260" s="115">
        <f>IFERROR(__xludf.DUMMYFUNCTION("""COMPUTED_VALUE"""),37151.0)</f>
        <v>37151</v>
      </c>
      <c r="E4260" s="115">
        <f>IFERROR(__xludf.DUMMYFUNCTION("""COMPUTED_VALUE"""),9172.0)</f>
        <v>9172</v>
      </c>
      <c r="F4260" s="115">
        <f>IFERROR(__xludf.DUMMYFUNCTION("""COMPUTED_VALUE"""),31407.0)</f>
        <v>31407</v>
      </c>
      <c r="G4260" s="115">
        <f>IFERROR(__xludf.DUMMYFUNCTION("""COMPUTED_VALUE"""),6326.0)</f>
        <v>6326</v>
      </c>
      <c r="H4260" s="116">
        <f>IFERROR(__xludf.DUMMYFUNCTION("""COMPUTED_VALUE"""),45908.0)</f>
        <v>45908</v>
      </c>
      <c r="I4260" s="115" t="str">
        <f>IFERROR(__xludf.DUMMYFUNCTION("""COMPUTED_VALUE"""),"20")</f>
        <v>20</v>
      </c>
      <c r="J4260" s="115" t="str">
        <f>IFERROR(__xludf.DUMMYFUNCTION("""COMPUTED_VALUE"""),"Ashvani Bhatt2025-09-0820")</f>
        <v>Ashvani Bhatt2025-09-0820</v>
      </c>
      <c r="K4260" s="115">
        <f>IFERROR(__xludf.DUMMYFUNCTION("""COMPUTED_VALUE"""),46323.0)</f>
        <v>46323</v>
      </c>
    </row>
    <row r="4261">
      <c r="A4261" s="115"/>
      <c r="B4261" s="115"/>
      <c r="C4261" s="115" t="str">
        <f>IFERROR(__xludf.DUMMYFUNCTION("""COMPUTED_VALUE"""),"EXTERNAL")</f>
        <v>EXTERNAL</v>
      </c>
      <c r="D4261" s="115">
        <f>IFERROR(__xludf.DUMMYFUNCTION("""COMPUTED_VALUE"""),516.0)</f>
        <v>516</v>
      </c>
      <c r="E4261" s="115">
        <f>IFERROR(__xludf.DUMMYFUNCTION("""COMPUTED_VALUE"""),103.0)</f>
        <v>103</v>
      </c>
      <c r="F4261" s="115">
        <f>IFERROR(__xludf.DUMMYFUNCTION("""COMPUTED_VALUE"""),257.0)</f>
        <v>257</v>
      </c>
      <c r="G4261" s="115">
        <f>IFERROR(__xludf.DUMMYFUNCTION("""COMPUTED_VALUE"""),69.0)</f>
        <v>69</v>
      </c>
      <c r="H4261" s="116">
        <f>IFERROR(__xludf.DUMMYFUNCTION("""COMPUTED_VALUE"""),45908.0)</f>
        <v>45908</v>
      </c>
      <c r="I4261" s="115" t="str">
        <f>IFERROR(__xludf.DUMMYFUNCTION("""COMPUTED_VALUE"""),"20")</f>
        <v>20</v>
      </c>
      <c r="J4261" s="115" t="str">
        <f>IFERROR(__xludf.DUMMYFUNCTION("""COMPUTED_VALUE"""),"2025-09-0820")</f>
        <v>2025-09-0820</v>
      </c>
      <c r="K4261" s="115">
        <f>IFERROR(__xludf.DUMMYFUNCTION("""COMPUTED_VALUE"""),619.0)</f>
        <v>619</v>
      </c>
    </row>
    <row r="4262">
      <c r="A4262" s="115"/>
      <c r="B4262" s="115"/>
      <c r="C4262" s="115" t="str">
        <f>IFERROR(__xludf.DUMMYFUNCTION("""COMPUTED_VALUE"""),"FLIPKART")</f>
        <v>FLIPKART</v>
      </c>
      <c r="D4262" s="115">
        <f>IFERROR(__xludf.DUMMYFUNCTION("""COMPUTED_VALUE"""),4956.0)</f>
        <v>4956</v>
      </c>
      <c r="E4262" s="115">
        <f>IFERROR(__xludf.DUMMYFUNCTION("""COMPUTED_VALUE"""),532.0)</f>
        <v>532</v>
      </c>
      <c r="F4262" s="115">
        <f>IFERROR(__xludf.DUMMYFUNCTION("""COMPUTED_VALUE"""),3497.0)</f>
        <v>3497</v>
      </c>
      <c r="G4262" s="115">
        <f>IFERROR(__xludf.DUMMYFUNCTION("""COMPUTED_VALUE"""),321.0)</f>
        <v>321</v>
      </c>
      <c r="H4262" s="116">
        <f>IFERROR(__xludf.DUMMYFUNCTION("""COMPUTED_VALUE"""),45908.0)</f>
        <v>45908</v>
      </c>
      <c r="I4262" s="115" t="str">
        <f>IFERROR(__xludf.DUMMYFUNCTION("""COMPUTED_VALUE"""),"20")</f>
        <v>20</v>
      </c>
      <c r="J4262" s="115" t="str">
        <f>IFERROR(__xludf.DUMMYFUNCTION("""COMPUTED_VALUE"""),"2025-09-0820")</f>
        <v>2025-09-0820</v>
      </c>
      <c r="K4262" s="115">
        <f>IFERROR(__xludf.DUMMYFUNCTION("""COMPUTED_VALUE"""),5488.0)</f>
        <v>5488</v>
      </c>
    </row>
    <row r="4263">
      <c r="A4263" s="115"/>
      <c r="B4263" s="115"/>
      <c r="C4263" s="115" t="str">
        <f>IFERROR(__xludf.DUMMYFUNCTION("""COMPUTED_VALUE"""),"MYNTRA")</f>
        <v>MYNTRA</v>
      </c>
      <c r="D4263" s="115">
        <f>IFERROR(__xludf.DUMMYFUNCTION("""COMPUTED_VALUE"""),582.0)</f>
        <v>582</v>
      </c>
      <c r="E4263" s="115">
        <f>IFERROR(__xludf.DUMMYFUNCTION("""COMPUTED_VALUE"""),194.0)</f>
        <v>194</v>
      </c>
      <c r="F4263" s="115">
        <f>IFERROR(__xludf.DUMMYFUNCTION("""COMPUTED_VALUE"""),494.0)</f>
        <v>494</v>
      </c>
      <c r="G4263" s="115">
        <f>IFERROR(__xludf.DUMMYFUNCTION("""COMPUTED_VALUE"""),142.0)</f>
        <v>142</v>
      </c>
      <c r="H4263" s="116">
        <f>IFERROR(__xludf.DUMMYFUNCTION("""COMPUTED_VALUE"""),45908.0)</f>
        <v>45908</v>
      </c>
      <c r="I4263" s="115" t="str">
        <f>IFERROR(__xludf.DUMMYFUNCTION("""COMPUTED_VALUE"""),"20")</f>
        <v>20</v>
      </c>
      <c r="J4263" s="115" t="str">
        <f>IFERROR(__xludf.DUMMYFUNCTION("""COMPUTED_VALUE"""),"2025-09-0820")</f>
        <v>2025-09-0820</v>
      </c>
      <c r="K4263" s="115">
        <f>IFERROR(__xludf.DUMMYFUNCTION("""COMPUTED_VALUE"""),776.0)</f>
        <v>776</v>
      </c>
    </row>
    <row r="4264">
      <c r="A4264" s="115" t="str">
        <f>IFERROR(__xludf.DUMMYFUNCTION("""COMPUTED_VALUE"""),"EAST")</f>
        <v>EAST</v>
      </c>
      <c r="B4264" s="115" t="str">
        <f>IFERROR(__xludf.DUMMYFUNCTION("""COMPUTED_VALUE"""),"Ashish Ranjan")</f>
        <v>Ashish Ranjan</v>
      </c>
      <c r="C4264" s="115" t="str">
        <f>IFERROR(__xludf.DUMMYFUNCTION("""COMPUTED_VALUE"""),"EXTERNAL")</f>
        <v>EXTERNAL</v>
      </c>
      <c r="D4264" s="115">
        <f>IFERROR(__xludf.DUMMYFUNCTION("""COMPUTED_VALUE"""),47725.0)</f>
        <v>47725</v>
      </c>
      <c r="E4264" s="115">
        <f>IFERROR(__xludf.DUMMYFUNCTION("""COMPUTED_VALUE"""),3888.0)</f>
        <v>3888</v>
      </c>
      <c r="F4264" s="115">
        <f>IFERROR(__xludf.DUMMYFUNCTION("""COMPUTED_VALUE"""),27552.0)</f>
        <v>27552</v>
      </c>
      <c r="G4264" s="115">
        <f>IFERROR(__xludf.DUMMYFUNCTION("""COMPUTED_VALUE"""),2026.0)</f>
        <v>2026</v>
      </c>
      <c r="H4264" s="116">
        <f>IFERROR(__xludf.DUMMYFUNCTION("""COMPUTED_VALUE"""),45908.0)</f>
        <v>45908</v>
      </c>
      <c r="I4264" s="115" t="str">
        <f>IFERROR(__xludf.DUMMYFUNCTION("""COMPUTED_VALUE"""),"21")</f>
        <v>21</v>
      </c>
      <c r="J4264" s="115" t="str">
        <f>IFERROR(__xludf.DUMMYFUNCTION("""COMPUTED_VALUE"""),"Ashish Ranjan2025-09-0821")</f>
        <v>Ashish Ranjan2025-09-0821</v>
      </c>
      <c r="K4264" s="115">
        <f>IFERROR(__xludf.DUMMYFUNCTION("""COMPUTED_VALUE"""),51613.0)</f>
        <v>51613</v>
      </c>
    </row>
    <row r="4265">
      <c r="A4265" s="115" t="str">
        <f>IFERROR(__xludf.DUMMYFUNCTION("""COMPUTED_VALUE"""),"EAST")</f>
        <v>EAST</v>
      </c>
      <c r="B4265" s="115" t="str">
        <f>IFERROR(__xludf.DUMMYFUNCTION("""COMPUTED_VALUE"""),"Ashish Ranjan")</f>
        <v>Ashish Ranjan</v>
      </c>
      <c r="C4265" s="115" t="str">
        <f>IFERROR(__xludf.DUMMYFUNCTION("""COMPUTED_VALUE"""),"FLIPKART")</f>
        <v>FLIPKART</v>
      </c>
      <c r="D4265" s="115">
        <f>IFERROR(__xludf.DUMMYFUNCTION("""COMPUTED_VALUE"""),704955.0)</f>
        <v>704955</v>
      </c>
      <c r="E4265" s="115">
        <f>IFERROR(__xludf.DUMMYFUNCTION("""COMPUTED_VALUE"""),68416.0)</f>
        <v>68416</v>
      </c>
      <c r="F4265" s="115">
        <f>IFERROR(__xludf.DUMMYFUNCTION("""COMPUTED_VALUE"""),623154.0)</f>
        <v>623154</v>
      </c>
      <c r="G4265" s="115">
        <f>IFERROR(__xludf.DUMMYFUNCTION("""COMPUTED_VALUE"""),53849.0)</f>
        <v>53849</v>
      </c>
      <c r="H4265" s="116">
        <f>IFERROR(__xludf.DUMMYFUNCTION("""COMPUTED_VALUE"""),45908.0)</f>
        <v>45908</v>
      </c>
      <c r="I4265" s="115" t="str">
        <f>IFERROR(__xludf.DUMMYFUNCTION("""COMPUTED_VALUE"""),"21")</f>
        <v>21</v>
      </c>
      <c r="J4265" s="115" t="str">
        <f>IFERROR(__xludf.DUMMYFUNCTION("""COMPUTED_VALUE"""),"Ashish Ranjan2025-09-0821")</f>
        <v>Ashish Ranjan2025-09-0821</v>
      </c>
      <c r="K4265" s="115">
        <f>IFERROR(__xludf.DUMMYFUNCTION("""COMPUTED_VALUE"""),773371.0)</f>
        <v>773371</v>
      </c>
    </row>
    <row r="4266">
      <c r="A4266" s="115" t="str">
        <f>IFERROR(__xludf.DUMMYFUNCTION("""COMPUTED_VALUE"""),"EAST")</f>
        <v>EAST</v>
      </c>
      <c r="B4266" s="115" t="str">
        <f>IFERROR(__xludf.DUMMYFUNCTION("""COMPUTED_VALUE"""),"Ashish Ranjan")</f>
        <v>Ashish Ranjan</v>
      </c>
      <c r="C4266" s="115" t="str">
        <f>IFERROR(__xludf.DUMMYFUNCTION("""COMPUTED_VALUE"""),"MYNTRA")</f>
        <v>MYNTRA</v>
      </c>
      <c r="D4266" s="115">
        <f>IFERROR(__xludf.DUMMYFUNCTION("""COMPUTED_VALUE"""),83022.0)</f>
        <v>83022</v>
      </c>
      <c r="E4266" s="115">
        <f>IFERROR(__xludf.DUMMYFUNCTION("""COMPUTED_VALUE"""),15728.0)</f>
        <v>15728</v>
      </c>
      <c r="F4266" s="115">
        <f>IFERROR(__xludf.DUMMYFUNCTION("""COMPUTED_VALUE"""),74886.0)</f>
        <v>74886</v>
      </c>
      <c r="G4266" s="115">
        <f>IFERROR(__xludf.DUMMYFUNCTION("""COMPUTED_VALUE"""),12364.0)</f>
        <v>12364</v>
      </c>
      <c r="H4266" s="116">
        <f>IFERROR(__xludf.DUMMYFUNCTION("""COMPUTED_VALUE"""),45908.0)</f>
        <v>45908</v>
      </c>
      <c r="I4266" s="115" t="str">
        <f>IFERROR(__xludf.DUMMYFUNCTION("""COMPUTED_VALUE"""),"21")</f>
        <v>21</v>
      </c>
      <c r="J4266" s="115" t="str">
        <f>IFERROR(__xludf.DUMMYFUNCTION("""COMPUTED_VALUE"""),"Ashish Ranjan2025-09-0821")</f>
        <v>Ashish Ranjan2025-09-0821</v>
      </c>
      <c r="K4266" s="115">
        <f>IFERROR(__xludf.DUMMYFUNCTION("""COMPUTED_VALUE"""),98750.0)</f>
        <v>98750</v>
      </c>
    </row>
    <row r="4267">
      <c r="A4267" s="115" t="str">
        <f>IFERROR(__xludf.DUMMYFUNCTION("""COMPUTED_VALUE"""),"EAST")</f>
        <v>EAST</v>
      </c>
      <c r="B4267" s="115" t="str">
        <f>IFERROR(__xludf.DUMMYFUNCTION("""COMPUTED_VALUE"""),"Girish Chand")</f>
        <v>Girish Chand</v>
      </c>
      <c r="C4267" s="115" t="str">
        <f>IFERROR(__xludf.DUMMYFUNCTION("""COMPUTED_VALUE"""),"EXTERNAL")</f>
        <v>EXTERNAL</v>
      </c>
      <c r="D4267" s="115">
        <f>IFERROR(__xludf.DUMMYFUNCTION("""COMPUTED_VALUE"""),24901.0)</f>
        <v>24901</v>
      </c>
      <c r="E4267" s="115">
        <f>IFERROR(__xludf.DUMMYFUNCTION("""COMPUTED_VALUE"""),2452.0)</f>
        <v>2452</v>
      </c>
      <c r="F4267" s="115">
        <f>IFERROR(__xludf.DUMMYFUNCTION("""COMPUTED_VALUE"""),11278.0)</f>
        <v>11278</v>
      </c>
      <c r="G4267" s="115">
        <f>IFERROR(__xludf.DUMMYFUNCTION("""COMPUTED_VALUE"""),789.0)</f>
        <v>789</v>
      </c>
      <c r="H4267" s="116">
        <f>IFERROR(__xludf.DUMMYFUNCTION("""COMPUTED_VALUE"""),45908.0)</f>
        <v>45908</v>
      </c>
      <c r="I4267" s="115" t="str">
        <f>IFERROR(__xludf.DUMMYFUNCTION("""COMPUTED_VALUE"""),"21")</f>
        <v>21</v>
      </c>
      <c r="J4267" s="115" t="str">
        <f>IFERROR(__xludf.DUMMYFUNCTION("""COMPUTED_VALUE"""),"Girish Chand2025-09-0821")</f>
        <v>Girish Chand2025-09-0821</v>
      </c>
      <c r="K4267" s="115">
        <f>IFERROR(__xludf.DUMMYFUNCTION("""COMPUTED_VALUE"""),27353.0)</f>
        <v>27353</v>
      </c>
    </row>
    <row r="4268">
      <c r="A4268" s="115" t="str">
        <f>IFERROR(__xludf.DUMMYFUNCTION("""COMPUTED_VALUE"""),"EAST")</f>
        <v>EAST</v>
      </c>
      <c r="B4268" s="115" t="str">
        <f>IFERROR(__xludf.DUMMYFUNCTION("""COMPUTED_VALUE"""),"Girish Chand")</f>
        <v>Girish Chand</v>
      </c>
      <c r="C4268" s="115" t="str">
        <f>IFERROR(__xludf.DUMMYFUNCTION("""COMPUTED_VALUE"""),"FLIPKART")</f>
        <v>FLIPKART</v>
      </c>
      <c r="D4268" s="115">
        <f>IFERROR(__xludf.DUMMYFUNCTION("""COMPUTED_VALUE"""),397028.0)</f>
        <v>397028</v>
      </c>
      <c r="E4268" s="115">
        <f>IFERROR(__xludf.DUMMYFUNCTION("""COMPUTED_VALUE"""),40526.0)</f>
        <v>40526</v>
      </c>
      <c r="F4268" s="115">
        <f>IFERROR(__xludf.DUMMYFUNCTION("""COMPUTED_VALUE"""),294917.0)</f>
        <v>294917</v>
      </c>
      <c r="G4268" s="115">
        <f>IFERROR(__xludf.DUMMYFUNCTION("""COMPUTED_VALUE"""),29454.0)</f>
        <v>29454</v>
      </c>
      <c r="H4268" s="116">
        <f>IFERROR(__xludf.DUMMYFUNCTION("""COMPUTED_VALUE"""),45908.0)</f>
        <v>45908</v>
      </c>
      <c r="I4268" s="115" t="str">
        <f>IFERROR(__xludf.DUMMYFUNCTION("""COMPUTED_VALUE"""),"21")</f>
        <v>21</v>
      </c>
      <c r="J4268" s="115" t="str">
        <f>IFERROR(__xludf.DUMMYFUNCTION("""COMPUTED_VALUE"""),"Girish Chand2025-09-0821")</f>
        <v>Girish Chand2025-09-0821</v>
      </c>
      <c r="K4268" s="115">
        <f>IFERROR(__xludf.DUMMYFUNCTION("""COMPUTED_VALUE"""),437554.0)</f>
        <v>437554</v>
      </c>
    </row>
    <row r="4269">
      <c r="A4269" s="115" t="str">
        <f>IFERROR(__xludf.DUMMYFUNCTION("""COMPUTED_VALUE"""),"EAST")</f>
        <v>EAST</v>
      </c>
      <c r="B4269" s="115" t="str">
        <f>IFERROR(__xludf.DUMMYFUNCTION("""COMPUTED_VALUE"""),"Girish Chand")</f>
        <v>Girish Chand</v>
      </c>
      <c r="C4269" s="115" t="str">
        <f>IFERROR(__xludf.DUMMYFUNCTION("""COMPUTED_VALUE"""),"MYNTRA")</f>
        <v>MYNTRA</v>
      </c>
      <c r="D4269" s="115">
        <f>IFERROR(__xludf.DUMMYFUNCTION("""COMPUTED_VALUE"""),39046.0)</f>
        <v>39046</v>
      </c>
      <c r="E4269" s="115">
        <f>IFERROR(__xludf.DUMMYFUNCTION("""COMPUTED_VALUE"""),7632.0)</f>
        <v>7632</v>
      </c>
      <c r="F4269" s="115">
        <f>IFERROR(__xludf.DUMMYFUNCTION("""COMPUTED_VALUE"""),31051.0)</f>
        <v>31051</v>
      </c>
      <c r="G4269" s="115">
        <f>IFERROR(__xludf.DUMMYFUNCTION("""COMPUTED_VALUE"""),5874.0)</f>
        <v>5874</v>
      </c>
      <c r="H4269" s="116">
        <f>IFERROR(__xludf.DUMMYFUNCTION("""COMPUTED_VALUE"""),45908.0)</f>
        <v>45908</v>
      </c>
      <c r="I4269" s="115" t="str">
        <f>IFERROR(__xludf.DUMMYFUNCTION("""COMPUTED_VALUE"""),"21")</f>
        <v>21</v>
      </c>
      <c r="J4269" s="115" t="str">
        <f>IFERROR(__xludf.DUMMYFUNCTION("""COMPUTED_VALUE"""),"Girish Chand2025-09-0821")</f>
        <v>Girish Chand2025-09-0821</v>
      </c>
      <c r="K4269" s="115">
        <f>IFERROR(__xludf.DUMMYFUNCTION("""COMPUTED_VALUE"""),46678.0)</f>
        <v>46678</v>
      </c>
    </row>
    <row r="4270">
      <c r="A4270" s="115" t="str">
        <f>IFERROR(__xludf.DUMMYFUNCTION("""COMPUTED_VALUE"""),"EAST")</f>
        <v>EAST</v>
      </c>
      <c r="B4270" s="115" t="str">
        <f>IFERROR(__xludf.DUMMYFUNCTION("""COMPUTED_VALUE"""),"Parag Kashyap")</f>
        <v>Parag Kashyap</v>
      </c>
      <c r="C4270" s="115" t="str">
        <f>IFERROR(__xludf.DUMMYFUNCTION("""COMPUTED_VALUE"""),"EXTERNAL")</f>
        <v>EXTERNAL</v>
      </c>
      <c r="D4270" s="115">
        <f>IFERROR(__xludf.DUMMYFUNCTION("""COMPUTED_VALUE"""),20326.0)</f>
        <v>20326</v>
      </c>
      <c r="E4270" s="115">
        <f>IFERROR(__xludf.DUMMYFUNCTION("""COMPUTED_VALUE"""),1265.0)</f>
        <v>1265</v>
      </c>
      <c r="F4270" s="115">
        <f>IFERROR(__xludf.DUMMYFUNCTION("""COMPUTED_VALUE"""),9747.0)</f>
        <v>9747</v>
      </c>
      <c r="G4270" s="115">
        <f>IFERROR(__xludf.DUMMYFUNCTION("""COMPUTED_VALUE"""),421.0)</f>
        <v>421</v>
      </c>
      <c r="H4270" s="116">
        <f>IFERROR(__xludf.DUMMYFUNCTION("""COMPUTED_VALUE"""),45908.0)</f>
        <v>45908</v>
      </c>
      <c r="I4270" s="115" t="str">
        <f>IFERROR(__xludf.DUMMYFUNCTION("""COMPUTED_VALUE"""),"21")</f>
        <v>21</v>
      </c>
      <c r="J4270" s="115" t="str">
        <f>IFERROR(__xludf.DUMMYFUNCTION("""COMPUTED_VALUE"""),"Parag Kashyap2025-09-0821")</f>
        <v>Parag Kashyap2025-09-0821</v>
      </c>
      <c r="K4270" s="115">
        <f>IFERROR(__xludf.DUMMYFUNCTION("""COMPUTED_VALUE"""),21591.0)</f>
        <v>21591</v>
      </c>
    </row>
    <row r="4271">
      <c r="A4271" s="115" t="str">
        <f>IFERROR(__xludf.DUMMYFUNCTION("""COMPUTED_VALUE"""),"EAST")</f>
        <v>EAST</v>
      </c>
      <c r="B4271" s="115" t="str">
        <f>IFERROR(__xludf.DUMMYFUNCTION("""COMPUTED_VALUE"""),"Parag Kashyap")</f>
        <v>Parag Kashyap</v>
      </c>
      <c r="C4271" s="115" t="str">
        <f>IFERROR(__xludf.DUMMYFUNCTION("""COMPUTED_VALUE"""),"FLIPKART")</f>
        <v>FLIPKART</v>
      </c>
      <c r="D4271" s="115">
        <f>IFERROR(__xludf.DUMMYFUNCTION("""COMPUTED_VALUE"""),340042.0)</f>
        <v>340042</v>
      </c>
      <c r="E4271" s="115">
        <f>IFERROR(__xludf.DUMMYFUNCTION("""COMPUTED_VALUE"""),21530.0)</f>
        <v>21530</v>
      </c>
      <c r="F4271" s="115">
        <f>IFERROR(__xludf.DUMMYFUNCTION("""COMPUTED_VALUE"""),269348.0)</f>
        <v>269348</v>
      </c>
      <c r="G4271" s="115">
        <f>IFERROR(__xludf.DUMMYFUNCTION("""COMPUTED_VALUE"""),14864.0)</f>
        <v>14864</v>
      </c>
      <c r="H4271" s="116">
        <f>IFERROR(__xludf.DUMMYFUNCTION("""COMPUTED_VALUE"""),45908.0)</f>
        <v>45908</v>
      </c>
      <c r="I4271" s="115" t="str">
        <f>IFERROR(__xludf.DUMMYFUNCTION("""COMPUTED_VALUE"""),"21")</f>
        <v>21</v>
      </c>
      <c r="J4271" s="115" t="str">
        <f>IFERROR(__xludf.DUMMYFUNCTION("""COMPUTED_VALUE"""),"Parag Kashyap2025-09-0821")</f>
        <v>Parag Kashyap2025-09-0821</v>
      </c>
      <c r="K4271" s="115">
        <f>IFERROR(__xludf.DUMMYFUNCTION("""COMPUTED_VALUE"""),361572.0)</f>
        <v>361572</v>
      </c>
    </row>
    <row r="4272">
      <c r="A4272" s="115" t="str">
        <f>IFERROR(__xludf.DUMMYFUNCTION("""COMPUTED_VALUE"""),"EAST")</f>
        <v>EAST</v>
      </c>
      <c r="B4272" s="115" t="str">
        <f>IFERROR(__xludf.DUMMYFUNCTION("""COMPUTED_VALUE"""),"Parag Kashyap")</f>
        <v>Parag Kashyap</v>
      </c>
      <c r="C4272" s="115" t="str">
        <f>IFERROR(__xludf.DUMMYFUNCTION("""COMPUTED_VALUE"""),"MYNTRA")</f>
        <v>MYNTRA</v>
      </c>
      <c r="D4272" s="115">
        <f>IFERROR(__xludf.DUMMYFUNCTION("""COMPUTED_VALUE"""),43984.0)</f>
        <v>43984</v>
      </c>
      <c r="E4272" s="115">
        <f>IFERROR(__xludf.DUMMYFUNCTION("""COMPUTED_VALUE"""),5814.0)</f>
        <v>5814</v>
      </c>
      <c r="F4272" s="115">
        <f>IFERROR(__xludf.DUMMYFUNCTION("""COMPUTED_VALUE"""),36026.0)</f>
        <v>36026</v>
      </c>
      <c r="G4272" s="115">
        <f>IFERROR(__xludf.DUMMYFUNCTION("""COMPUTED_VALUE"""),4049.0)</f>
        <v>4049</v>
      </c>
      <c r="H4272" s="116">
        <f>IFERROR(__xludf.DUMMYFUNCTION("""COMPUTED_VALUE"""),45908.0)</f>
        <v>45908</v>
      </c>
      <c r="I4272" s="115" t="str">
        <f>IFERROR(__xludf.DUMMYFUNCTION("""COMPUTED_VALUE"""),"21")</f>
        <v>21</v>
      </c>
      <c r="J4272" s="115" t="str">
        <f>IFERROR(__xludf.DUMMYFUNCTION("""COMPUTED_VALUE"""),"Parag Kashyap2025-09-0821")</f>
        <v>Parag Kashyap2025-09-0821</v>
      </c>
      <c r="K4272" s="115">
        <f>IFERROR(__xludf.DUMMYFUNCTION("""COMPUTED_VALUE"""),49798.0)</f>
        <v>49798</v>
      </c>
    </row>
    <row r="4273">
      <c r="A4273" s="115" t="str">
        <f>IFERROR(__xludf.DUMMYFUNCTION("""COMPUTED_VALUE"""),"NORTH")</f>
        <v>NORTH</v>
      </c>
      <c r="B4273" s="115" t="str">
        <f>IFERROR(__xludf.DUMMYFUNCTION("""COMPUTED_VALUE"""),"Amit Kumar Pathak")</f>
        <v>Amit Kumar Pathak</v>
      </c>
      <c r="C4273" s="115" t="str">
        <f>IFERROR(__xludf.DUMMYFUNCTION("""COMPUTED_VALUE"""),"EXTERNAL")</f>
        <v>EXTERNAL</v>
      </c>
      <c r="D4273" s="115">
        <f>IFERROR(__xludf.DUMMYFUNCTION("""COMPUTED_VALUE"""),31632.0)</f>
        <v>31632</v>
      </c>
      <c r="E4273" s="115">
        <f>IFERROR(__xludf.DUMMYFUNCTION("""COMPUTED_VALUE"""),3878.0)</f>
        <v>3878</v>
      </c>
      <c r="F4273" s="115">
        <f>IFERROR(__xludf.DUMMYFUNCTION("""COMPUTED_VALUE"""),12207.0)</f>
        <v>12207</v>
      </c>
      <c r="G4273" s="115">
        <f>IFERROR(__xludf.DUMMYFUNCTION("""COMPUTED_VALUE"""),1912.0)</f>
        <v>1912</v>
      </c>
      <c r="H4273" s="116">
        <f>IFERROR(__xludf.DUMMYFUNCTION("""COMPUTED_VALUE"""),45908.0)</f>
        <v>45908</v>
      </c>
      <c r="I4273" s="115" t="str">
        <f>IFERROR(__xludf.DUMMYFUNCTION("""COMPUTED_VALUE"""),"21")</f>
        <v>21</v>
      </c>
      <c r="J4273" s="115" t="str">
        <f>IFERROR(__xludf.DUMMYFUNCTION("""COMPUTED_VALUE"""),"Amit Kumar Pathak2025-09-0821")</f>
        <v>Amit Kumar Pathak2025-09-0821</v>
      </c>
      <c r="K4273" s="115">
        <f>IFERROR(__xludf.DUMMYFUNCTION("""COMPUTED_VALUE"""),35510.0)</f>
        <v>35510</v>
      </c>
    </row>
    <row r="4274">
      <c r="A4274" s="115" t="str">
        <f>IFERROR(__xludf.DUMMYFUNCTION("""COMPUTED_VALUE"""),"NORTH")</f>
        <v>NORTH</v>
      </c>
      <c r="B4274" s="115" t="str">
        <f>IFERROR(__xludf.DUMMYFUNCTION("""COMPUTED_VALUE"""),"Amit Kumar Pathak")</f>
        <v>Amit Kumar Pathak</v>
      </c>
      <c r="C4274" s="115" t="str">
        <f>IFERROR(__xludf.DUMMYFUNCTION("""COMPUTED_VALUE"""),"FLIPKART")</f>
        <v>FLIPKART</v>
      </c>
      <c r="D4274" s="115">
        <f>IFERROR(__xludf.DUMMYFUNCTION("""COMPUTED_VALUE"""),183621.0)</f>
        <v>183621</v>
      </c>
      <c r="E4274" s="115">
        <f>IFERROR(__xludf.DUMMYFUNCTION("""COMPUTED_VALUE"""),24894.0)</f>
        <v>24894</v>
      </c>
      <c r="F4274" s="115">
        <f>IFERROR(__xludf.DUMMYFUNCTION("""COMPUTED_VALUE"""),138990.0)</f>
        <v>138990</v>
      </c>
      <c r="G4274" s="115">
        <f>IFERROR(__xludf.DUMMYFUNCTION("""COMPUTED_VALUE"""),16744.0)</f>
        <v>16744</v>
      </c>
      <c r="H4274" s="116">
        <f>IFERROR(__xludf.DUMMYFUNCTION("""COMPUTED_VALUE"""),45908.0)</f>
        <v>45908</v>
      </c>
      <c r="I4274" s="115" t="str">
        <f>IFERROR(__xludf.DUMMYFUNCTION("""COMPUTED_VALUE"""),"21")</f>
        <v>21</v>
      </c>
      <c r="J4274" s="115" t="str">
        <f>IFERROR(__xludf.DUMMYFUNCTION("""COMPUTED_VALUE"""),"Amit Kumar Pathak2025-09-0821")</f>
        <v>Amit Kumar Pathak2025-09-0821</v>
      </c>
      <c r="K4274" s="115">
        <f>IFERROR(__xludf.DUMMYFUNCTION("""COMPUTED_VALUE"""),208515.0)</f>
        <v>208515</v>
      </c>
    </row>
    <row r="4275">
      <c r="A4275" s="115" t="str">
        <f>IFERROR(__xludf.DUMMYFUNCTION("""COMPUTED_VALUE"""),"NORTH")</f>
        <v>NORTH</v>
      </c>
      <c r="B4275" s="115" t="str">
        <f>IFERROR(__xludf.DUMMYFUNCTION("""COMPUTED_VALUE"""),"Amit Kumar Pathak")</f>
        <v>Amit Kumar Pathak</v>
      </c>
      <c r="C4275" s="115" t="str">
        <f>IFERROR(__xludf.DUMMYFUNCTION("""COMPUTED_VALUE"""),"MYNTRA")</f>
        <v>MYNTRA</v>
      </c>
      <c r="D4275" s="115">
        <f>IFERROR(__xludf.DUMMYFUNCTION("""COMPUTED_VALUE"""),18434.0)</f>
        <v>18434</v>
      </c>
      <c r="E4275" s="115">
        <f>IFERROR(__xludf.DUMMYFUNCTION("""COMPUTED_VALUE"""),6628.0)</f>
        <v>6628</v>
      </c>
      <c r="F4275" s="115">
        <f>IFERROR(__xludf.DUMMYFUNCTION("""COMPUTED_VALUE"""),15745.0)</f>
        <v>15745</v>
      </c>
      <c r="G4275" s="115">
        <f>IFERROR(__xludf.DUMMYFUNCTION("""COMPUTED_VALUE"""),4793.0)</f>
        <v>4793</v>
      </c>
      <c r="H4275" s="116">
        <f>IFERROR(__xludf.DUMMYFUNCTION("""COMPUTED_VALUE"""),45908.0)</f>
        <v>45908</v>
      </c>
      <c r="I4275" s="115" t="str">
        <f>IFERROR(__xludf.DUMMYFUNCTION("""COMPUTED_VALUE"""),"21")</f>
        <v>21</v>
      </c>
      <c r="J4275" s="115" t="str">
        <f>IFERROR(__xludf.DUMMYFUNCTION("""COMPUTED_VALUE"""),"Amit Kumar Pathak2025-09-0821")</f>
        <v>Amit Kumar Pathak2025-09-0821</v>
      </c>
      <c r="K4275" s="115">
        <f>IFERROR(__xludf.DUMMYFUNCTION("""COMPUTED_VALUE"""),25062.0)</f>
        <v>25062</v>
      </c>
    </row>
    <row r="4276">
      <c r="A4276" s="115" t="str">
        <f>IFERROR(__xludf.DUMMYFUNCTION("""COMPUTED_VALUE"""),"NORTH")</f>
        <v>NORTH</v>
      </c>
      <c r="B4276" s="115" t="str">
        <f>IFERROR(__xludf.DUMMYFUNCTION("""COMPUTED_VALUE"""),"Loveleen Singh")</f>
        <v>Loveleen Singh</v>
      </c>
      <c r="C4276" s="115" t="str">
        <f>IFERROR(__xludf.DUMMYFUNCTION("""COMPUTED_VALUE"""),"EXTERNAL")</f>
        <v>EXTERNAL</v>
      </c>
      <c r="D4276" s="115">
        <f>IFERROR(__xludf.DUMMYFUNCTION("""COMPUTED_VALUE"""),37277.0)</f>
        <v>37277</v>
      </c>
      <c r="E4276" s="115">
        <f>IFERROR(__xludf.DUMMYFUNCTION("""COMPUTED_VALUE"""),2816.0)</f>
        <v>2816</v>
      </c>
      <c r="F4276" s="115">
        <f>IFERROR(__xludf.DUMMYFUNCTION("""COMPUTED_VALUE"""),15338.0)</f>
        <v>15338</v>
      </c>
      <c r="G4276" s="115">
        <f>IFERROR(__xludf.DUMMYFUNCTION("""COMPUTED_VALUE"""),884.0)</f>
        <v>884</v>
      </c>
      <c r="H4276" s="116">
        <f>IFERROR(__xludf.DUMMYFUNCTION("""COMPUTED_VALUE"""),45908.0)</f>
        <v>45908</v>
      </c>
      <c r="I4276" s="115" t="str">
        <f>IFERROR(__xludf.DUMMYFUNCTION("""COMPUTED_VALUE"""),"21")</f>
        <v>21</v>
      </c>
      <c r="J4276" s="115" t="str">
        <f>IFERROR(__xludf.DUMMYFUNCTION("""COMPUTED_VALUE"""),"Loveleen Singh2025-09-0821")</f>
        <v>Loveleen Singh2025-09-0821</v>
      </c>
      <c r="K4276" s="115">
        <f>IFERROR(__xludf.DUMMYFUNCTION("""COMPUTED_VALUE"""),40093.0)</f>
        <v>40093</v>
      </c>
    </row>
    <row r="4277">
      <c r="A4277" s="115" t="str">
        <f>IFERROR(__xludf.DUMMYFUNCTION("""COMPUTED_VALUE"""),"NORTH")</f>
        <v>NORTH</v>
      </c>
      <c r="B4277" s="115" t="str">
        <f>IFERROR(__xludf.DUMMYFUNCTION("""COMPUTED_VALUE"""),"Loveleen Singh")</f>
        <v>Loveleen Singh</v>
      </c>
      <c r="C4277" s="115" t="str">
        <f>IFERROR(__xludf.DUMMYFUNCTION("""COMPUTED_VALUE"""),"FLIPKART")</f>
        <v>FLIPKART</v>
      </c>
      <c r="D4277" s="115">
        <f>IFERROR(__xludf.DUMMYFUNCTION("""COMPUTED_VALUE"""),178048.0)</f>
        <v>178048</v>
      </c>
      <c r="E4277" s="115">
        <f>IFERROR(__xludf.DUMMYFUNCTION("""COMPUTED_VALUE"""),15826.0)</f>
        <v>15826</v>
      </c>
      <c r="F4277" s="115">
        <f>IFERROR(__xludf.DUMMYFUNCTION("""COMPUTED_VALUE"""),134646.0)</f>
        <v>134646</v>
      </c>
      <c r="G4277" s="115">
        <f>IFERROR(__xludf.DUMMYFUNCTION("""COMPUTED_VALUE"""),10049.0)</f>
        <v>10049</v>
      </c>
      <c r="H4277" s="116">
        <f>IFERROR(__xludf.DUMMYFUNCTION("""COMPUTED_VALUE"""),45908.0)</f>
        <v>45908</v>
      </c>
      <c r="I4277" s="115" t="str">
        <f>IFERROR(__xludf.DUMMYFUNCTION("""COMPUTED_VALUE"""),"21")</f>
        <v>21</v>
      </c>
      <c r="J4277" s="115" t="str">
        <f>IFERROR(__xludf.DUMMYFUNCTION("""COMPUTED_VALUE"""),"Loveleen Singh2025-09-0821")</f>
        <v>Loveleen Singh2025-09-0821</v>
      </c>
      <c r="K4277" s="115">
        <f>IFERROR(__xludf.DUMMYFUNCTION("""COMPUTED_VALUE"""),193874.0)</f>
        <v>193874</v>
      </c>
    </row>
    <row r="4278">
      <c r="A4278" s="115" t="str">
        <f>IFERROR(__xludf.DUMMYFUNCTION("""COMPUTED_VALUE"""),"NORTH")</f>
        <v>NORTH</v>
      </c>
      <c r="B4278" s="115" t="str">
        <f>IFERROR(__xludf.DUMMYFUNCTION("""COMPUTED_VALUE"""),"Loveleen Singh")</f>
        <v>Loveleen Singh</v>
      </c>
      <c r="C4278" s="115" t="str">
        <f>IFERROR(__xludf.DUMMYFUNCTION("""COMPUTED_VALUE"""),"MYNTRA")</f>
        <v>MYNTRA</v>
      </c>
      <c r="D4278" s="115">
        <f>IFERROR(__xludf.DUMMYFUNCTION("""COMPUTED_VALUE"""),32738.0)</f>
        <v>32738</v>
      </c>
      <c r="E4278" s="115">
        <f>IFERROR(__xludf.DUMMYFUNCTION("""COMPUTED_VALUE"""),6447.0)</f>
        <v>6447</v>
      </c>
      <c r="F4278" s="115">
        <f>IFERROR(__xludf.DUMMYFUNCTION("""COMPUTED_VALUE"""),27400.0)</f>
        <v>27400</v>
      </c>
      <c r="G4278" s="115">
        <f>IFERROR(__xludf.DUMMYFUNCTION("""COMPUTED_VALUE"""),4483.0)</f>
        <v>4483</v>
      </c>
      <c r="H4278" s="116">
        <f>IFERROR(__xludf.DUMMYFUNCTION("""COMPUTED_VALUE"""),45908.0)</f>
        <v>45908</v>
      </c>
      <c r="I4278" s="115" t="str">
        <f>IFERROR(__xludf.DUMMYFUNCTION("""COMPUTED_VALUE"""),"21")</f>
        <v>21</v>
      </c>
      <c r="J4278" s="115" t="str">
        <f>IFERROR(__xludf.DUMMYFUNCTION("""COMPUTED_VALUE"""),"Loveleen Singh2025-09-0821")</f>
        <v>Loveleen Singh2025-09-0821</v>
      </c>
      <c r="K4278" s="115">
        <f>IFERROR(__xludf.DUMMYFUNCTION("""COMPUTED_VALUE"""),39185.0)</f>
        <v>39185</v>
      </c>
    </row>
    <row r="4279">
      <c r="A4279" s="115" t="str">
        <f>IFERROR(__xludf.DUMMYFUNCTION("""COMPUTED_VALUE"""),"NORTH")</f>
        <v>NORTH</v>
      </c>
      <c r="B4279" s="115" t="str">
        <f>IFERROR(__xludf.DUMMYFUNCTION("""COMPUTED_VALUE"""),"Manoj Harsh")</f>
        <v>Manoj Harsh</v>
      </c>
      <c r="C4279" s="115" t="str">
        <f>IFERROR(__xludf.DUMMYFUNCTION("""COMPUTED_VALUE"""),"EXTERNAL")</f>
        <v>EXTERNAL</v>
      </c>
      <c r="D4279" s="115">
        <f>IFERROR(__xludf.DUMMYFUNCTION("""COMPUTED_VALUE"""),39715.0)</f>
        <v>39715</v>
      </c>
      <c r="E4279" s="115">
        <f>IFERROR(__xludf.DUMMYFUNCTION("""COMPUTED_VALUE"""),3232.0)</f>
        <v>3232</v>
      </c>
      <c r="F4279" s="115">
        <f>IFERROR(__xludf.DUMMYFUNCTION("""COMPUTED_VALUE"""),17937.0)</f>
        <v>17937</v>
      </c>
      <c r="G4279" s="115">
        <f>IFERROR(__xludf.DUMMYFUNCTION("""COMPUTED_VALUE"""),1217.0)</f>
        <v>1217</v>
      </c>
      <c r="H4279" s="116">
        <f>IFERROR(__xludf.DUMMYFUNCTION("""COMPUTED_VALUE"""),45908.0)</f>
        <v>45908</v>
      </c>
      <c r="I4279" s="115" t="str">
        <f>IFERROR(__xludf.DUMMYFUNCTION("""COMPUTED_VALUE"""),"21")</f>
        <v>21</v>
      </c>
      <c r="J4279" s="115" t="str">
        <f>IFERROR(__xludf.DUMMYFUNCTION("""COMPUTED_VALUE"""),"Manoj Harsh2025-09-0821")</f>
        <v>Manoj Harsh2025-09-0821</v>
      </c>
      <c r="K4279" s="115">
        <f>IFERROR(__xludf.DUMMYFUNCTION("""COMPUTED_VALUE"""),42947.0)</f>
        <v>42947</v>
      </c>
    </row>
    <row r="4280">
      <c r="A4280" s="115" t="str">
        <f>IFERROR(__xludf.DUMMYFUNCTION("""COMPUTED_VALUE"""),"NORTH")</f>
        <v>NORTH</v>
      </c>
      <c r="B4280" s="115" t="str">
        <f>IFERROR(__xludf.DUMMYFUNCTION("""COMPUTED_VALUE"""),"Manoj Harsh")</f>
        <v>Manoj Harsh</v>
      </c>
      <c r="C4280" s="115" t="str">
        <f>IFERROR(__xludf.DUMMYFUNCTION("""COMPUTED_VALUE"""),"FLIPKART")</f>
        <v>FLIPKART</v>
      </c>
      <c r="D4280" s="115">
        <f>IFERROR(__xludf.DUMMYFUNCTION("""COMPUTED_VALUE"""),398309.0)</f>
        <v>398309</v>
      </c>
      <c r="E4280" s="115">
        <f>IFERROR(__xludf.DUMMYFUNCTION("""COMPUTED_VALUE"""),43142.0)</f>
        <v>43142</v>
      </c>
      <c r="F4280" s="115">
        <f>IFERROR(__xludf.DUMMYFUNCTION("""COMPUTED_VALUE"""),293256.0)</f>
        <v>293256</v>
      </c>
      <c r="G4280" s="115">
        <f>IFERROR(__xludf.DUMMYFUNCTION("""COMPUTED_VALUE"""),28897.0)</f>
        <v>28897</v>
      </c>
      <c r="H4280" s="116">
        <f>IFERROR(__xludf.DUMMYFUNCTION("""COMPUTED_VALUE"""),45908.0)</f>
        <v>45908</v>
      </c>
      <c r="I4280" s="115" t="str">
        <f>IFERROR(__xludf.DUMMYFUNCTION("""COMPUTED_VALUE"""),"21")</f>
        <v>21</v>
      </c>
      <c r="J4280" s="115" t="str">
        <f>IFERROR(__xludf.DUMMYFUNCTION("""COMPUTED_VALUE"""),"Manoj Harsh2025-09-0821")</f>
        <v>Manoj Harsh2025-09-0821</v>
      </c>
      <c r="K4280" s="115">
        <f>IFERROR(__xludf.DUMMYFUNCTION("""COMPUTED_VALUE"""),441451.0)</f>
        <v>441451</v>
      </c>
    </row>
    <row r="4281">
      <c r="A4281" s="115" t="str">
        <f>IFERROR(__xludf.DUMMYFUNCTION("""COMPUTED_VALUE"""),"NORTH")</f>
        <v>NORTH</v>
      </c>
      <c r="B4281" s="115" t="str">
        <f>IFERROR(__xludf.DUMMYFUNCTION("""COMPUTED_VALUE"""),"Manoj Harsh")</f>
        <v>Manoj Harsh</v>
      </c>
      <c r="C4281" s="115" t="str">
        <f>IFERROR(__xludf.DUMMYFUNCTION("""COMPUTED_VALUE"""),"MYNTRA")</f>
        <v>MYNTRA</v>
      </c>
      <c r="D4281" s="115">
        <f>IFERROR(__xludf.DUMMYFUNCTION("""COMPUTED_VALUE"""),40344.0)</f>
        <v>40344</v>
      </c>
      <c r="E4281" s="115">
        <f>IFERROR(__xludf.DUMMYFUNCTION("""COMPUTED_VALUE"""),8200.0)</f>
        <v>8200</v>
      </c>
      <c r="F4281" s="115">
        <f>IFERROR(__xludf.DUMMYFUNCTION("""COMPUTED_VALUE"""),32517.0)</f>
        <v>32517</v>
      </c>
      <c r="G4281" s="115">
        <f>IFERROR(__xludf.DUMMYFUNCTION("""COMPUTED_VALUE"""),5921.0)</f>
        <v>5921</v>
      </c>
      <c r="H4281" s="116">
        <f>IFERROR(__xludf.DUMMYFUNCTION("""COMPUTED_VALUE"""),45908.0)</f>
        <v>45908</v>
      </c>
      <c r="I4281" s="115" t="str">
        <f>IFERROR(__xludf.DUMMYFUNCTION("""COMPUTED_VALUE"""),"21")</f>
        <v>21</v>
      </c>
      <c r="J4281" s="115" t="str">
        <f>IFERROR(__xludf.DUMMYFUNCTION("""COMPUTED_VALUE"""),"Manoj Harsh2025-09-0821")</f>
        <v>Manoj Harsh2025-09-0821</v>
      </c>
      <c r="K4281" s="115">
        <f>IFERROR(__xludf.DUMMYFUNCTION("""COMPUTED_VALUE"""),48544.0)</f>
        <v>48544</v>
      </c>
    </row>
    <row r="4282">
      <c r="A4282" s="115" t="str">
        <f>IFERROR(__xludf.DUMMYFUNCTION("""COMPUTED_VALUE"""),"NORTH")</f>
        <v>NORTH</v>
      </c>
      <c r="B4282" s="115" t="str">
        <f>IFERROR(__xludf.DUMMYFUNCTION("""COMPUTED_VALUE"""),"Pradeep Kothari")</f>
        <v>Pradeep Kothari</v>
      </c>
      <c r="C4282" s="115" t="str">
        <f>IFERROR(__xludf.DUMMYFUNCTION("""COMPUTED_VALUE"""),"EXTERNAL")</f>
        <v>EXTERNAL</v>
      </c>
      <c r="D4282" s="115">
        <f>IFERROR(__xludf.DUMMYFUNCTION("""COMPUTED_VALUE"""),21683.0)</f>
        <v>21683</v>
      </c>
      <c r="E4282" s="115">
        <f>IFERROR(__xludf.DUMMYFUNCTION("""COMPUTED_VALUE"""),2111.0)</f>
        <v>2111</v>
      </c>
      <c r="F4282" s="115">
        <f>IFERROR(__xludf.DUMMYFUNCTION("""COMPUTED_VALUE"""),9081.0)</f>
        <v>9081</v>
      </c>
      <c r="G4282" s="115">
        <f>IFERROR(__xludf.DUMMYFUNCTION("""COMPUTED_VALUE"""),962.0)</f>
        <v>962</v>
      </c>
      <c r="H4282" s="116">
        <f>IFERROR(__xludf.DUMMYFUNCTION("""COMPUTED_VALUE"""),45908.0)</f>
        <v>45908</v>
      </c>
      <c r="I4282" s="115" t="str">
        <f>IFERROR(__xludf.DUMMYFUNCTION("""COMPUTED_VALUE"""),"21")</f>
        <v>21</v>
      </c>
      <c r="J4282" s="115" t="str">
        <f>IFERROR(__xludf.DUMMYFUNCTION("""COMPUTED_VALUE"""),"Pradeep Kothari2025-09-0821")</f>
        <v>Pradeep Kothari2025-09-0821</v>
      </c>
      <c r="K4282" s="115">
        <f>IFERROR(__xludf.DUMMYFUNCTION("""COMPUTED_VALUE"""),23794.0)</f>
        <v>23794</v>
      </c>
    </row>
    <row r="4283">
      <c r="A4283" s="115" t="str">
        <f>IFERROR(__xludf.DUMMYFUNCTION("""COMPUTED_VALUE"""),"NORTH")</f>
        <v>NORTH</v>
      </c>
      <c r="B4283" s="115" t="str">
        <f>IFERROR(__xludf.DUMMYFUNCTION("""COMPUTED_VALUE"""),"Pradeep Kothari")</f>
        <v>Pradeep Kothari</v>
      </c>
      <c r="C4283" s="115" t="str">
        <f>IFERROR(__xludf.DUMMYFUNCTION("""COMPUTED_VALUE"""),"FLIPKART")</f>
        <v>FLIPKART</v>
      </c>
      <c r="D4283" s="115">
        <f>IFERROR(__xludf.DUMMYFUNCTION("""COMPUTED_VALUE"""),141590.0)</f>
        <v>141590</v>
      </c>
      <c r="E4283" s="115">
        <f>IFERROR(__xludf.DUMMYFUNCTION("""COMPUTED_VALUE"""),18159.0)</f>
        <v>18159</v>
      </c>
      <c r="F4283" s="115">
        <f>IFERROR(__xludf.DUMMYFUNCTION("""COMPUTED_VALUE"""),107465.0)</f>
        <v>107465</v>
      </c>
      <c r="G4283" s="115">
        <f>IFERROR(__xludf.DUMMYFUNCTION("""COMPUTED_VALUE"""),12453.0)</f>
        <v>12453</v>
      </c>
      <c r="H4283" s="116">
        <f>IFERROR(__xludf.DUMMYFUNCTION("""COMPUTED_VALUE"""),45908.0)</f>
        <v>45908</v>
      </c>
      <c r="I4283" s="115" t="str">
        <f>IFERROR(__xludf.DUMMYFUNCTION("""COMPUTED_VALUE"""),"21")</f>
        <v>21</v>
      </c>
      <c r="J4283" s="115" t="str">
        <f>IFERROR(__xludf.DUMMYFUNCTION("""COMPUTED_VALUE"""),"Pradeep Kothari2025-09-0821")</f>
        <v>Pradeep Kothari2025-09-0821</v>
      </c>
      <c r="K4283" s="115">
        <f>IFERROR(__xludf.DUMMYFUNCTION("""COMPUTED_VALUE"""),159749.0)</f>
        <v>159749</v>
      </c>
    </row>
    <row r="4284">
      <c r="A4284" s="115" t="str">
        <f>IFERROR(__xludf.DUMMYFUNCTION("""COMPUTED_VALUE"""),"NORTH")</f>
        <v>NORTH</v>
      </c>
      <c r="B4284" s="115" t="str">
        <f>IFERROR(__xludf.DUMMYFUNCTION("""COMPUTED_VALUE"""),"Pradeep Kothari")</f>
        <v>Pradeep Kothari</v>
      </c>
      <c r="C4284" s="115" t="str">
        <f>IFERROR(__xludf.DUMMYFUNCTION("""COMPUTED_VALUE"""),"MYNTRA")</f>
        <v>MYNTRA</v>
      </c>
      <c r="D4284" s="115">
        <f>IFERROR(__xludf.DUMMYFUNCTION("""COMPUTED_VALUE"""),28591.0)</f>
        <v>28591</v>
      </c>
      <c r="E4284" s="115">
        <f>IFERROR(__xludf.DUMMYFUNCTION("""COMPUTED_VALUE"""),7040.0)</f>
        <v>7040</v>
      </c>
      <c r="F4284" s="115">
        <f>IFERROR(__xludf.DUMMYFUNCTION("""COMPUTED_VALUE"""),23992.0)</f>
        <v>23992</v>
      </c>
      <c r="G4284" s="115">
        <f>IFERROR(__xludf.DUMMYFUNCTION("""COMPUTED_VALUE"""),5309.0)</f>
        <v>5309</v>
      </c>
      <c r="H4284" s="116">
        <f>IFERROR(__xludf.DUMMYFUNCTION("""COMPUTED_VALUE"""),45908.0)</f>
        <v>45908</v>
      </c>
      <c r="I4284" s="115" t="str">
        <f>IFERROR(__xludf.DUMMYFUNCTION("""COMPUTED_VALUE"""),"21")</f>
        <v>21</v>
      </c>
      <c r="J4284" s="115" t="str">
        <f>IFERROR(__xludf.DUMMYFUNCTION("""COMPUTED_VALUE"""),"Pradeep Kothari2025-09-0821")</f>
        <v>Pradeep Kothari2025-09-0821</v>
      </c>
      <c r="K4284" s="115">
        <f>IFERROR(__xludf.DUMMYFUNCTION("""COMPUTED_VALUE"""),35631.0)</f>
        <v>35631</v>
      </c>
    </row>
    <row r="4285">
      <c r="A4285" s="115" t="str">
        <f>IFERROR(__xludf.DUMMYFUNCTION("""COMPUTED_VALUE"""),"SOUTH")</f>
        <v>SOUTH</v>
      </c>
      <c r="B4285" s="115" t="str">
        <f>IFERROR(__xludf.DUMMYFUNCTION("""COMPUTED_VALUE"""),"0")</f>
        <v>0</v>
      </c>
      <c r="C4285" s="115" t="str">
        <f>IFERROR(__xludf.DUMMYFUNCTION("""COMPUTED_VALUE"""),"EXTERNAL")</f>
        <v>EXTERNAL</v>
      </c>
      <c r="D4285" s="115">
        <f>IFERROR(__xludf.DUMMYFUNCTION("""COMPUTED_VALUE"""),1.0)</f>
        <v>1</v>
      </c>
      <c r="E4285" s="115">
        <f>IFERROR(__xludf.DUMMYFUNCTION("""COMPUTED_VALUE"""),0.0)</f>
        <v>0</v>
      </c>
      <c r="F4285" s="115">
        <f>IFERROR(__xludf.DUMMYFUNCTION("""COMPUTED_VALUE"""),1.0)</f>
        <v>1</v>
      </c>
      <c r="G4285" s="115">
        <f>IFERROR(__xludf.DUMMYFUNCTION("""COMPUTED_VALUE"""),0.0)</f>
        <v>0</v>
      </c>
      <c r="H4285" s="116">
        <f>IFERROR(__xludf.DUMMYFUNCTION("""COMPUTED_VALUE"""),45908.0)</f>
        <v>45908</v>
      </c>
      <c r="I4285" s="115" t="str">
        <f>IFERROR(__xludf.DUMMYFUNCTION("""COMPUTED_VALUE"""),"21")</f>
        <v>21</v>
      </c>
      <c r="J4285" s="115" t="str">
        <f>IFERROR(__xludf.DUMMYFUNCTION("""COMPUTED_VALUE"""),"02025-09-0821")</f>
        <v>02025-09-0821</v>
      </c>
      <c r="K4285" s="115">
        <f>IFERROR(__xludf.DUMMYFUNCTION("""COMPUTED_VALUE"""),1.0)</f>
        <v>1</v>
      </c>
    </row>
    <row r="4286">
      <c r="A4286" s="115" t="str">
        <f>IFERROR(__xludf.DUMMYFUNCTION("""COMPUTED_VALUE"""),"SOUTH")</f>
        <v>SOUTH</v>
      </c>
      <c r="B4286" s="115" t="str">
        <f>IFERROR(__xludf.DUMMYFUNCTION("""COMPUTED_VALUE"""),"0")</f>
        <v>0</v>
      </c>
      <c r="C4286" s="115" t="str">
        <f>IFERROR(__xludf.DUMMYFUNCTION("""COMPUTED_VALUE"""),"FLIPKART")</f>
        <v>FLIPKART</v>
      </c>
      <c r="D4286" s="115">
        <f>IFERROR(__xludf.DUMMYFUNCTION("""COMPUTED_VALUE"""),37.0)</f>
        <v>37</v>
      </c>
      <c r="E4286" s="115">
        <f>IFERROR(__xludf.DUMMYFUNCTION("""COMPUTED_VALUE"""),72.0)</f>
        <v>72</v>
      </c>
      <c r="F4286" s="115">
        <f>IFERROR(__xludf.DUMMYFUNCTION("""COMPUTED_VALUE"""),29.0)</f>
        <v>29</v>
      </c>
      <c r="G4286" s="115">
        <f>IFERROR(__xludf.DUMMYFUNCTION("""COMPUTED_VALUE"""),32.0)</f>
        <v>32</v>
      </c>
      <c r="H4286" s="116">
        <f>IFERROR(__xludf.DUMMYFUNCTION("""COMPUTED_VALUE"""),45908.0)</f>
        <v>45908</v>
      </c>
      <c r="I4286" s="115" t="str">
        <f>IFERROR(__xludf.DUMMYFUNCTION("""COMPUTED_VALUE"""),"21")</f>
        <v>21</v>
      </c>
      <c r="J4286" s="115" t="str">
        <f>IFERROR(__xludf.DUMMYFUNCTION("""COMPUTED_VALUE"""),"02025-09-0821")</f>
        <v>02025-09-0821</v>
      </c>
      <c r="K4286" s="115">
        <f>IFERROR(__xludf.DUMMYFUNCTION("""COMPUTED_VALUE"""),109.0)</f>
        <v>109</v>
      </c>
    </row>
    <row r="4287">
      <c r="A4287" s="115" t="str">
        <f>IFERROR(__xludf.DUMMYFUNCTION("""COMPUTED_VALUE"""),"SOUTH")</f>
        <v>SOUTH</v>
      </c>
      <c r="B4287" s="115" t="str">
        <f>IFERROR(__xludf.DUMMYFUNCTION("""COMPUTED_VALUE"""),"0")</f>
        <v>0</v>
      </c>
      <c r="C4287" s="115" t="str">
        <f>IFERROR(__xludf.DUMMYFUNCTION("""COMPUTED_VALUE"""),"MYNTRA")</f>
        <v>MYNTRA</v>
      </c>
      <c r="D4287" s="115">
        <f>IFERROR(__xludf.DUMMYFUNCTION("""COMPUTED_VALUE"""),7.0)</f>
        <v>7</v>
      </c>
      <c r="E4287" s="115">
        <f>IFERROR(__xludf.DUMMYFUNCTION("""COMPUTED_VALUE"""),24.0)</f>
        <v>24</v>
      </c>
      <c r="F4287" s="115">
        <f>IFERROR(__xludf.DUMMYFUNCTION("""COMPUTED_VALUE"""),1.0)</f>
        <v>1</v>
      </c>
      <c r="G4287" s="115">
        <f>IFERROR(__xludf.DUMMYFUNCTION("""COMPUTED_VALUE"""),5.0)</f>
        <v>5</v>
      </c>
      <c r="H4287" s="116">
        <f>IFERROR(__xludf.DUMMYFUNCTION("""COMPUTED_VALUE"""),45908.0)</f>
        <v>45908</v>
      </c>
      <c r="I4287" s="115" t="str">
        <f>IFERROR(__xludf.DUMMYFUNCTION("""COMPUTED_VALUE"""),"21")</f>
        <v>21</v>
      </c>
      <c r="J4287" s="115" t="str">
        <f>IFERROR(__xludf.DUMMYFUNCTION("""COMPUTED_VALUE"""),"02025-09-0821")</f>
        <v>02025-09-0821</v>
      </c>
      <c r="K4287" s="115">
        <f>IFERROR(__xludf.DUMMYFUNCTION("""COMPUTED_VALUE"""),31.0)</f>
        <v>31</v>
      </c>
    </row>
    <row r="4288">
      <c r="A4288" s="115" t="str">
        <f>IFERROR(__xludf.DUMMYFUNCTION("""COMPUTED_VALUE"""),"SOUTH")</f>
        <v>SOUTH</v>
      </c>
      <c r="B4288" s="115" t="str">
        <f>IFERROR(__xludf.DUMMYFUNCTION("""COMPUTED_VALUE"""),"Kandula Sampath")</f>
        <v>Kandula Sampath</v>
      </c>
      <c r="C4288" s="115" t="str">
        <f>IFERROR(__xludf.DUMMYFUNCTION("""COMPUTED_VALUE"""),"EXTERNAL")</f>
        <v>EXTERNAL</v>
      </c>
      <c r="D4288" s="115">
        <f>IFERROR(__xludf.DUMMYFUNCTION("""COMPUTED_VALUE"""),38359.0)</f>
        <v>38359</v>
      </c>
      <c r="E4288" s="115">
        <f>IFERROR(__xludf.DUMMYFUNCTION("""COMPUTED_VALUE"""),4259.0)</f>
        <v>4259</v>
      </c>
      <c r="F4288" s="115">
        <f>IFERROR(__xludf.DUMMYFUNCTION("""COMPUTED_VALUE"""),17444.0)</f>
        <v>17444</v>
      </c>
      <c r="G4288" s="115">
        <f>IFERROR(__xludf.DUMMYFUNCTION("""COMPUTED_VALUE"""),1527.0)</f>
        <v>1527</v>
      </c>
      <c r="H4288" s="116">
        <f>IFERROR(__xludf.DUMMYFUNCTION("""COMPUTED_VALUE"""),45908.0)</f>
        <v>45908</v>
      </c>
      <c r="I4288" s="115" t="str">
        <f>IFERROR(__xludf.DUMMYFUNCTION("""COMPUTED_VALUE"""),"21")</f>
        <v>21</v>
      </c>
      <c r="J4288" s="115" t="str">
        <f>IFERROR(__xludf.DUMMYFUNCTION("""COMPUTED_VALUE"""),"Kandula Sampath2025-09-0821")</f>
        <v>Kandula Sampath2025-09-0821</v>
      </c>
      <c r="K4288" s="115">
        <f>IFERROR(__xludf.DUMMYFUNCTION("""COMPUTED_VALUE"""),42618.0)</f>
        <v>42618</v>
      </c>
    </row>
    <row r="4289">
      <c r="A4289" s="115" t="str">
        <f>IFERROR(__xludf.DUMMYFUNCTION("""COMPUTED_VALUE"""),"SOUTH")</f>
        <v>SOUTH</v>
      </c>
      <c r="B4289" s="115" t="str">
        <f>IFERROR(__xludf.DUMMYFUNCTION("""COMPUTED_VALUE"""),"Kandula Sampath")</f>
        <v>Kandula Sampath</v>
      </c>
      <c r="C4289" s="115" t="str">
        <f>IFERROR(__xludf.DUMMYFUNCTION("""COMPUTED_VALUE"""),"FLIPKART")</f>
        <v>FLIPKART</v>
      </c>
      <c r="D4289" s="115">
        <f>IFERROR(__xludf.DUMMYFUNCTION("""COMPUTED_VALUE"""),351114.0)</f>
        <v>351114</v>
      </c>
      <c r="E4289" s="115">
        <f>IFERROR(__xludf.DUMMYFUNCTION("""COMPUTED_VALUE"""),34500.0)</f>
        <v>34500</v>
      </c>
      <c r="F4289" s="115">
        <f>IFERROR(__xludf.DUMMYFUNCTION("""COMPUTED_VALUE"""),265215.0)</f>
        <v>265215</v>
      </c>
      <c r="G4289" s="115">
        <f>IFERROR(__xludf.DUMMYFUNCTION("""COMPUTED_VALUE"""),21733.0)</f>
        <v>21733</v>
      </c>
      <c r="H4289" s="116">
        <f>IFERROR(__xludf.DUMMYFUNCTION("""COMPUTED_VALUE"""),45908.0)</f>
        <v>45908</v>
      </c>
      <c r="I4289" s="115" t="str">
        <f>IFERROR(__xludf.DUMMYFUNCTION("""COMPUTED_VALUE"""),"21")</f>
        <v>21</v>
      </c>
      <c r="J4289" s="115" t="str">
        <f>IFERROR(__xludf.DUMMYFUNCTION("""COMPUTED_VALUE"""),"Kandula Sampath2025-09-0821")</f>
        <v>Kandula Sampath2025-09-0821</v>
      </c>
      <c r="K4289" s="115">
        <f>IFERROR(__xludf.DUMMYFUNCTION("""COMPUTED_VALUE"""),385614.0)</f>
        <v>385614</v>
      </c>
    </row>
    <row r="4290">
      <c r="A4290" s="115" t="str">
        <f>IFERROR(__xludf.DUMMYFUNCTION("""COMPUTED_VALUE"""),"SOUTH")</f>
        <v>SOUTH</v>
      </c>
      <c r="B4290" s="115" t="str">
        <f>IFERROR(__xludf.DUMMYFUNCTION("""COMPUTED_VALUE"""),"Kandula Sampath")</f>
        <v>Kandula Sampath</v>
      </c>
      <c r="C4290" s="115" t="str">
        <f>IFERROR(__xludf.DUMMYFUNCTION("""COMPUTED_VALUE"""),"MYNTRA")</f>
        <v>MYNTRA</v>
      </c>
      <c r="D4290" s="115">
        <f>IFERROR(__xludf.DUMMYFUNCTION("""COMPUTED_VALUE"""),41306.0)</f>
        <v>41306</v>
      </c>
      <c r="E4290" s="115">
        <f>IFERROR(__xludf.DUMMYFUNCTION("""COMPUTED_VALUE"""),9494.0)</f>
        <v>9494</v>
      </c>
      <c r="F4290" s="115">
        <f>IFERROR(__xludf.DUMMYFUNCTION("""COMPUTED_VALUE"""),33881.0)</f>
        <v>33881</v>
      </c>
      <c r="G4290" s="115">
        <f>IFERROR(__xludf.DUMMYFUNCTION("""COMPUTED_VALUE"""),6410.0)</f>
        <v>6410</v>
      </c>
      <c r="H4290" s="116">
        <f>IFERROR(__xludf.DUMMYFUNCTION("""COMPUTED_VALUE"""),45908.0)</f>
        <v>45908</v>
      </c>
      <c r="I4290" s="115" t="str">
        <f>IFERROR(__xludf.DUMMYFUNCTION("""COMPUTED_VALUE"""),"21")</f>
        <v>21</v>
      </c>
      <c r="J4290" s="115" t="str">
        <f>IFERROR(__xludf.DUMMYFUNCTION("""COMPUTED_VALUE"""),"Kandula Sampath2025-09-0821")</f>
        <v>Kandula Sampath2025-09-0821</v>
      </c>
      <c r="K4290" s="115">
        <f>IFERROR(__xludf.DUMMYFUNCTION("""COMPUTED_VALUE"""),50800.0)</f>
        <v>50800</v>
      </c>
    </row>
    <row r="4291">
      <c r="A4291" s="115" t="str">
        <f>IFERROR(__xludf.DUMMYFUNCTION("""COMPUTED_VALUE"""),"SOUTH")</f>
        <v>SOUTH</v>
      </c>
      <c r="B4291" s="115" t="str">
        <f>IFERROR(__xludf.DUMMYFUNCTION("""COMPUTED_VALUE"""),"Martin A")</f>
        <v>Martin A</v>
      </c>
      <c r="C4291" s="115" t="str">
        <f>IFERROR(__xludf.DUMMYFUNCTION("""COMPUTED_VALUE"""),"EXTERNAL")</f>
        <v>EXTERNAL</v>
      </c>
      <c r="D4291" s="115">
        <f>IFERROR(__xludf.DUMMYFUNCTION("""COMPUTED_VALUE"""),37445.0)</f>
        <v>37445</v>
      </c>
      <c r="E4291" s="115">
        <f>IFERROR(__xludf.DUMMYFUNCTION("""COMPUTED_VALUE"""),4536.0)</f>
        <v>4536</v>
      </c>
      <c r="F4291" s="115">
        <f>IFERROR(__xludf.DUMMYFUNCTION("""COMPUTED_VALUE"""),16740.0)</f>
        <v>16740</v>
      </c>
      <c r="G4291" s="115">
        <f>IFERROR(__xludf.DUMMYFUNCTION("""COMPUTED_VALUE"""),2486.0)</f>
        <v>2486</v>
      </c>
      <c r="H4291" s="116">
        <f>IFERROR(__xludf.DUMMYFUNCTION("""COMPUTED_VALUE"""),45908.0)</f>
        <v>45908</v>
      </c>
      <c r="I4291" s="115" t="str">
        <f>IFERROR(__xludf.DUMMYFUNCTION("""COMPUTED_VALUE"""),"21")</f>
        <v>21</v>
      </c>
      <c r="J4291" s="115" t="str">
        <f>IFERROR(__xludf.DUMMYFUNCTION("""COMPUTED_VALUE"""),"Martin A2025-09-0821")</f>
        <v>Martin A2025-09-0821</v>
      </c>
      <c r="K4291" s="115">
        <f>IFERROR(__xludf.DUMMYFUNCTION("""COMPUTED_VALUE"""),41981.0)</f>
        <v>41981</v>
      </c>
    </row>
    <row r="4292">
      <c r="A4292" s="115" t="str">
        <f>IFERROR(__xludf.DUMMYFUNCTION("""COMPUTED_VALUE"""),"SOUTH")</f>
        <v>SOUTH</v>
      </c>
      <c r="B4292" s="115" t="str">
        <f>IFERROR(__xludf.DUMMYFUNCTION("""COMPUTED_VALUE"""),"Martin A")</f>
        <v>Martin A</v>
      </c>
      <c r="C4292" s="115" t="str">
        <f>IFERROR(__xludf.DUMMYFUNCTION("""COMPUTED_VALUE"""),"FLIPKART")</f>
        <v>FLIPKART</v>
      </c>
      <c r="D4292" s="115">
        <f>IFERROR(__xludf.DUMMYFUNCTION("""COMPUTED_VALUE"""),306449.0)</f>
        <v>306449</v>
      </c>
      <c r="E4292" s="115">
        <f>IFERROR(__xludf.DUMMYFUNCTION("""COMPUTED_VALUE"""),30191.0)</f>
        <v>30191</v>
      </c>
      <c r="F4292" s="115">
        <f>IFERROR(__xludf.DUMMYFUNCTION("""COMPUTED_VALUE"""),232628.0)</f>
        <v>232628</v>
      </c>
      <c r="G4292" s="115">
        <f>IFERROR(__xludf.DUMMYFUNCTION("""COMPUTED_VALUE"""),20033.0)</f>
        <v>20033</v>
      </c>
      <c r="H4292" s="116">
        <f>IFERROR(__xludf.DUMMYFUNCTION("""COMPUTED_VALUE"""),45908.0)</f>
        <v>45908</v>
      </c>
      <c r="I4292" s="115" t="str">
        <f>IFERROR(__xludf.DUMMYFUNCTION("""COMPUTED_VALUE"""),"21")</f>
        <v>21</v>
      </c>
      <c r="J4292" s="115" t="str">
        <f>IFERROR(__xludf.DUMMYFUNCTION("""COMPUTED_VALUE"""),"Martin A2025-09-0821")</f>
        <v>Martin A2025-09-0821</v>
      </c>
      <c r="K4292" s="115">
        <f>IFERROR(__xludf.DUMMYFUNCTION("""COMPUTED_VALUE"""),336640.0)</f>
        <v>336640</v>
      </c>
    </row>
    <row r="4293">
      <c r="A4293" s="115" t="str">
        <f>IFERROR(__xludf.DUMMYFUNCTION("""COMPUTED_VALUE"""),"SOUTH")</f>
        <v>SOUTH</v>
      </c>
      <c r="B4293" s="115" t="str">
        <f>IFERROR(__xludf.DUMMYFUNCTION("""COMPUTED_VALUE"""),"Martin A")</f>
        <v>Martin A</v>
      </c>
      <c r="C4293" s="115" t="str">
        <f>IFERROR(__xludf.DUMMYFUNCTION("""COMPUTED_VALUE"""),"MYNTRA")</f>
        <v>MYNTRA</v>
      </c>
      <c r="D4293" s="115">
        <f>IFERROR(__xludf.DUMMYFUNCTION("""COMPUTED_VALUE"""),30587.0)</f>
        <v>30587</v>
      </c>
      <c r="E4293" s="115">
        <f>IFERROR(__xludf.DUMMYFUNCTION("""COMPUTED_VALUE"""),8001.0)</f>
        <v>8001</v>
      </c>
      <c r="F4293" s="115">
        <f>IFERROR(__xludf.DUMMYFUNCTION("""COMPUTED_VALUE"""),25974.0)</f>
        <v>25974</v>
      </c>
      <c r="G4293" s="115">
        <f>IFERROR(__xludf.DUMMYFUNCTION("""COMPUTED_VALUE"""),5559.0)</f>
        <v>5559</v>
      </c>
      <c r="H4293" s="116">
        <f>IFERROR(__xludf.DUMMYFUNCTION("""COMPUTED_VALUE"""),45908.0)</f>
        <v>45908</v>
      </c>
      <c r="I4293" s="115" t="str">
        <f>IFERROR(__xludf.DUMMYFUNCTION("""COMPUTED_VALUE"""),"21")</f>
        <v>21</v>
      </c>
      <c r="J4293" s="115" t="str">
        <f>IFERROR(__xludf.DUMMYFUNCTION("""COMPUTED_VALUE"""),"Martin A2025-09-0821")</f>
        <v>Martin A2025-09-0821</v>
      </c>
      <c r="K4293" s="115">
        <f>IFERROR(__xludf.DUMMYFUNCTION("""COMPUTED_VALUE"""),38588.0)</f>
        <v>38588</v>
      </c>
    </row>
    <row r="4294">
      <c r="A4294" s="115" t="str">
        <f>IFERROR(__xludf.DUMMYFUNCTION("""COMPUTED_VALUE"""),"SOUTH")</f>
        <v>SOUTH</v>
      </c>
      <c r="B4294" s="115" t="str">
        <f>IFERROR(__xludf.DUMMYFUNCTION("""COMPUTED_VALUE"""),"Premkumar M")</f>
        <v>Premkumar M</v>
      </c>
      <c r="C4294" s="115" t="str">
        <f>IFERROR(__xludf.DUMMYFUNCTION("""COMPUTED_VALUE"""),"EXTERNAL")</f>
        <v>EXTERNAL</v>
      </c>
      <c r="D4294" s="115">
        <f>IFERROR(__xludf.DUMMYFUNCTION("""COMPUTED_VALUE"""),33969.0)</f>
        <v>33969</v>
      </c>
      <c r="E4294" s="115">
        <f>IFERROR(__xludf.DUMMYFUNCTION("""COMPUTED_VALUE"""),2068.0)</f>
        <v>2068</v>
      </c>
      <c r="F4294" s="115">
        <f>IFERROR(__xludf.DUMMYFUNCTION("""COMPUTED_VALUE"""),17668.0)</f>
        <v>17668</v>
      </c>
      <c r="G4294" s="115">
        <f>IFERROR(__xludf.DUMMYFUNCTION("""COMPUTED_VALUE"""),839.0)</f>
        <v>839</v>
      </c>
      <c r="H4294" s="116">
        <f>IFERROR(__xludf.DUMMYFUNCTION("""COMPUTED_VALUE"""),45908.0)</f>
        <v>45908</v>
      </c>
      <c r="I4294" s="115" t="str">
        <f>IFERROR(__xludf.DUMMYFUNCTION("""COMPUTED_VALUE"""),"21")</f>
        <v>21</v>
      </c>
      <c r="J4294" s="115" t="str">
        <f>IFERROR(__xludf.DUMMYFUNCTION("""COMPUTED_VALUE"""),"Premkumar M2025-09-0821")</f>
        <v>Premkumar M2025-09-0821</v>
      </c>
      <c r="K4294" s="115">
        <f>IFERROR(__xludf.DUMMYFUNCTION("""COMPUTED_VALUE"""),36037.0)</f>
        <v>36037</v>
      </c>
    </row>
    <row r="4295">
      <c r="A4295" s="115" t="str">
        <f>IFERROR(__xludf.DUMMYFUNCTION("""COMPUTED_VALUE"""),"SOUTH")</f>
        <v>SOUTH</v>
      </c>
      <c r="B4295" s="115" t="str">
        <f>IFERROR(__xludf.DUMMYFUNCTION("""COMPUTED_VALUE"""),"Premkumar M")</f>
        <v>Premkumar M</v>
      </c>
      <c r="C4295" s="115" t="str">
        <f>IFERROR(__xludf.DUMMYFUNCTION("""COMPUTED_VALUE"""),"FLIPKART")</f>
        <v>FLIPKART</v>
      </c>
      <c r="D4295" s="115">
        <f>IFERROR(__xludf.DUMMYFUNCTION("""COMPUTED_VALUE"""),308271.0)</f>
        <v>308271</v>
      </c>
      <c r="E4295" s="115">
        <f>IFERROR(__xludf.DUMMYFUNCTION("""COMPUTED_VALUE"""),20750.0)</f>
        <v>20750</v>
      </c>
      <c r="F4295" s="115">
        <f>IFERROR(__xludf.DUMMYFUNCTION("""COMPUTED_VALUE"""),239746.0)</f>
        <v>239746</v>
      </c>
      <c r="G4295" s="115">
        <f>IFERROR(__xludf.DUMMYFUNCTION("""COMPUTED_VALUE"""),11116.0)</f>
        <v>11116</v>
      </c>
      <c r="H4295" s="116">
        <f>IFERROR(__xludf.DUMMYFUNCTION("""COMPUTED_VALUE"""),45908.0)</f>
        <v>45908</v>
      </c>
      <c r="I4295" s="115" t="str">
        <f>IFERROR(__xludf.DUMMYFUNCTION("""COMPUTED_VALUE"""),"21")</f>
        <v>21</v>
      </c>
      <c r="J4295" s="115" t="str">
        <f>IFERROR(__xludf.DUMMYFUNCTION("""COMPUTED_VALUE"""),"Premkumar M2025-09-0821")</f>
        <v>Premkumar M2025-09-0821</v>
      </c>
      <c r="K4295" s="115">
        <f>IFERROR(__xludf.DUMMYFUNCTION("""COMPUTED_VALUE"""),329021.0)</f>
        <v>329021</v>
      </c>
    </row>
    <row r="4296">
      <c r="A4296" s="115" t="str">
        <f>IFERROR(__xludf.DUMMYFUNCTION("""COMPUTED_VALUE"""),"SOUTH")</f>
        <v>SOUTH</v>
      </c>
      <c r="B4296" s="115" t="str">
        <f>IFERROR(__xludf.DUMMYFUNCTION("""COMPUTED_VALUE"""),"Premkumar M")</f>
        <v>Premkumar M</v>
      </c>
      <c r="C4296" s="115" t="str">
        <f>IFERROR(__xludf.DUMMYFUNCTION("""COMPUTED_VALUE"""),"MYNTRA")</f>
        <v>MYNTRA</v>
      </c>
      <c r="D4296" s="115">
        <f>IFERROR(__xludf.DUMMYFUNCTION("""COMPUTED_VALUE"""),17182.0)</f>
        <v>17182</v>
      </c>
      <c r="E4296" s="115">
        <f>IFERROR(__xludf.DUMMYFUNCTION("""COMPUTED_VALUE"""),3167.0)</f>
        <v>3167</v>
      </c>
      <c r="F4296" s="115">
        <f>IFERROR(__xludf.DUMMYFUNCTION("""COMPUTED_VALUE"""),14602.0)</f>
        <v>14602</v>
      </c>
      <c r="G4296" s="115">
        <f>IFERROR(__xludf.DUMMYFUNCTION("""COMPUTED_VALUE"""),1873.0)</f>
        <v>1873</v>
      </c>
      <c r="H4296" s="116">
        <f>IFERROR(__xludf.DUMMYFUNCTION("""COMPUTED_VALUE"""),45908.0)</f>
        <v>45908</v>
      </c>
      <c r="I4296" s="115" t="str">
        <f>IFERROR(__xludf.DUMMYFUNCTION("""COMPUTED_VALUE"""),"21")</f>
        <v>21</v>
      </c>
      <c r="J4296" s="115" t="str">
        <f>IFERROR(__xludf.DUMMYFUNCTION("""COMPUTED_VALUE"""),"Premkumar M2025-09-0821")</f>
        <v>Premkumar M2025-09-0821</v>
      </c>
      <c r="K4296" s="115">
        <f>IFERROR(__xludf.DUMMYFUNCTION("""COMPUTED_VALUE"""),20349.0)</f>
        <v>20349</v>
      </c>
    </row>
    <row r="4297">
      <c r="A4297" s="115" t="str">
        <f>IFERROR(__xludf.DUMMYFUNCTION("""COMPUTED_VALUE"""),"SOUTH")</f>
        <v>SOUTH</v>
      </c>
      <c r="B4297" s="115" t="str">
        <f>IFERROR(__xludf.DUMMYFUNCTION("""COMPUTED_VALUE"""),"Vineeth V")</f>
        <v>Vineeth V</v>
      </c>
      <c r="C4297" s="115" t="str">
        <f>IFERROR(__xludf.DUMMYFUNCTION("""COMPUTED_VALUE"""),"EXTERNAL")</f>
        <v>EXTERNAL</v>
      </c>
      <c r="D4297" s="115">
        <f>IFERROR(__xludf.DUMMYFUNCTION("""COMPUTED_VALUE"""),25029.0)</f>
        <v>25029</v>
      </c>
      <c r="E4297" s="115">
        <f>IFERROR(__xludf.DUMMYFUNCTION("""COMPUTED_VALUE"""),774.0)</f>
        <v>774</v>
      </c>
      <c r="F4297" s="115">
        <f>IFERROR(__xludf.DUMMYFUNCTION("""COMPUTED_VALUE"""),13353.0)</f>
        <v>13353</v>
      </c>
      <c r="G4297" s="115">
        <f>IFERROR(__xludf.DUMMYFUNCTION("""COMPUTED_VALUE"""),391.0)</f>
        <v>391</v>
      </c>
      <c r="H4297" s="116">
        <f>IFERROR(__xludf.DUMMYFUNCTION("""COMPUTED_VALUE"""),45908.0)</f>
        <v>45908</v>
      </c>
      <c r="I4297" s="115" t="str">
        <f>IFERROR(__xludf.DUMMYFUNCTION("""COMPUTED_VALUE"""),"21")</f>
        <v>21</v>
      </c>
      <c r="J4297" s="115" t="str">
        <f>IFERROR(__xludf.DUMMYFUNCTION("""COMPUTED_VALUE"""),"Vineeth V2025-09-0821")</f>
        <v>Vineeth V2025-09-0821</v>
      </c>
      <c r="K4297" s="115">
        <f>IFERROR(__xludf.DUMMYFUNCTION("""COMPUTED_VALUE"""),25803.0)</f>
        <v>25803</v>
      </c>
    </row>
    <row r="4298">
      <c r="A4298" s="115" t="str">
        <f>IFERROR(__xludf.DUMMYFUNCTION("""COMPUTED_VALUE"""),"SOUTH")</f>
        <v>SOUTH</v>
      </c>
      <c r="B4298" s="115" t="str">
        <f>IFERROR(__xludf.DUMMYFUNCTION("""COMPUTED_VALUE"""),"Vineeth V")</f>
        <v>Vineeth V</v>
      </c>
      <c r="C4298" s="115" t="str">
        <f>IFERROR(__xludf.DUMMYFUNCTION("""COMPUTED_VALUE"""),"FLIPKART")</f>
        <v>FLIPKART</v>
      </c>
      <c r="D4298" s="115">
        <f>IFERROR(__xludf.DUMMYFUNCTION("""COMPUTED_VALUE"""),275262.0)</f>
        <v>275262</v>
      </c>
      <c r="E4298" s="115">
        <f>IFERROR(__xludf.DUMMYFUNCTION("""COMPUTED_VALUE"""),18615.0)</f>
        <v>18615</v>
      </c>
      <c r="F4298" s="115">
        <f>IFERROR(__xludf.DUMMYFUNCTION("""COMPUTED_VALUE"""),224010.0)</f>
        <v>224010</v>
      </c>
      <c r="G4298" s="115">
        <f>IFERROR(__xludf.DUMMYFUNCTION("""COMPUTED_VALUE"""),10386.0)</f>
        <v>10386</v>
      </c>
      <c r="H4298" s="116">
        <f>IFERROR(__xludf.DUMMYFUNCTION("""COMPUTED_VALUE"""),45908.0)</f>
        <v>45908</v>
      </c>
      <c r="I4298" s="115" t="str">
        <f>IFERROR(__xludf.DUMMYFUNCTION("""COMPUTED_VALUE"""),"21")</f>
        <v>21</v>
      </c>
      <c r="J4298" s="115" t="str">
        <f>IFERROR(__xludf.DUMMYFUNCTION("""COMPUTED_VALUE"""),"Vineeth V2025-09-0821")</f>
        <v>Vineeth V2025-09-0821</v>
      </c>
      <c r="K4298" s="115">
        <f>IFERROR(__xludf.DUMMYFUNCTION("""COMPUTED_VALUE"""),293877.0)</f>
        <v>293877</v>
      </c>
    </row>
    <row r="4299">
      <c r="A4299" s="115" t="str">
        <f>IFERROR(__xludf.DUMMYFUNCTION("""COMPUTED_VALUE"""),"SOUTH")</f>
        <v>SOUTH</v>
      </c>
      <c r="B4299" s="115" t="str">
        <f>IFERROR(__xludf.DUMMYFUNCTION("""COMPUTED_VALUE"""),"Vineeth V")</f>
        <v>Vineeth V</v>
      </c>
      <c r="C4299" s="115" t="str">
        <f>IFERROR(__xludf.DUMMYFUNCTION("""COMPUTED_VALUE"""),"MYNTRA")</f>
        <v>MYNTRA</v>
      </c>
      <c r="D4299" s="115">
        <f>IFERROR(__xludf.DUMMYFUNCTION("""COMPUTED_VALUE"""),20823.0)</f>
        <v>20823</v>
      </c>
      <c r="E4299" s="115">
        <f>IFERROR(__xludf.DUMMYFUNCTION("""COMPUTED_VALUE"""),4933.0)</f>
        <v>4933</v>
      </c>
      <c r="F4299" s="115">
        <f>IFERROR(__xludf.DUMMYFUNCTION("""COMPUTED_VALUE"""),17911.0)</f>
        <v>17911</v>
      </c>
      <c r="G4299" s="115">
        <f>IFERROR(__xludf.DUMMYFUNCTION("""COMPUTED_VALUE"""),2877.0)</f>
        <v>2877</v>
      </c>
      <c r="H4299" s="116">
        <f>IFERROR(__xludf.DUMMYFUNCTION("""COMPUTED_VALUE"""),45908.0)</f>
        <v>45908</v>
      </c>
      <c r="I4299" s="115" t="str">
        <f>IFERROR(__xludf.DUMMYFUNCTION("""COMPUTED_VALUE"""),"21")</f>
        <v>21</v>
      </c>
      <c r="J4299" s="115" t="str">
        <f>IFERROR(__xludf.DUMMYFUNCTION("""COMPUTED_VALUE"""),"Vineeth V2025-09-0821")</f>
        <v>Vineeth V2025-09-0821</v>
      </c>
      <c r="K4299" s="115">
        <f>IFERROR(__xludf.DUMMYFUNCTION("""COMPUTED_VALUE"""),25756.0)</f>
        <v>25756</v>
      </c>
    </row>
    <row r="4300">
      <c r="A4300" s="115" t="str">
        <f>IFERROR(__xludf.DUMMYFUNCTION("""COMPUTED_VALUE"""),"WEST")</f>
        <v>WEST</v>
      </c>
      <c r="B4300" s="115" t="str">
        <f>IFERROR(__xludf.DUMMYFUNCTION("""COMPUTED_VALUE"""),"Ashish Jakar")</f>
        <v>Ashish Jakar</v>
      </c>
      <c r="C4300" s="115" t="str">
        <f>IFERROR(__xludf.DUMMYFUNCTION("""COMPUTED_VALUE"""),"EXTERNAL")</f>
        <v>EXTERNAL</v>
      </c>
      <c r="D4300" s="115">
        <f>IFERROR(__xludf.DUMMYFUNCTION("""COMPUTED_VALUE"""),64517.0)</f>
        <v>64517</v>
      </c>
      <c r="E4300" s="115">
        <f>IFERROR(__xludf.DUMMYFUNCTION("""COMPUTED_VALUE"""),8019.0)</f>
        <v>8019</v>
      </c>
      <c r="F4300" s="115">
        <f>IFERROR(__xludf.DUMMYFUNCTION("""COMPUTED_VALUE"""),27097.0)</f>
        <v>27097</v>
      </c>
      <c r="G4300" s="115">
        <f>IFERROR(__xludf.DUMMYFUNCTION("""COMPUTED_VALUE"""),3482.0)</f>
        <v>3482</v>
      </c>
      <c r="H4300" s="116">
        <f>IFERROR(__xludf.DUMMYFUNCTION("""COMPUTED_VALUE"""),45908.0)</f>
        <v>45908</v>
      </c>
      <c r="I4300" s="115" t="str">
        <f>IFERROR(__xludf.DUMMYFUNCTION("""COMPUTED_VALUE"""),"21")</f>
        <v>21</v>
      </c>
      <c r="J4300" s="115" t="str">
        <f>IFERROR(__xludf.DUMMYFUNCTION("""COMPUTED_VALUE"""),"Ashish Jakar2025-09-0821")</f>
        <v>Ashish Jakar2025-09-0821</v>
      </c>
      <c r="K4300" s="115">
        <f>IFERROR(__xludf.DUMMYFUNCTION("""COMPUTED_VALUE"""),72536.0)</f>
        <v>72536</v>
      </c>
    </row>
    <row r="4301">
      <c r="A4301" s="115" t="str">
        <f>IFERROR(__xludf.DUMMYFUNCTION("""COMPUTED_VALUE"""),"WEST")</f>
        <v>WEST</v>
      </c>
      <c r="B4301" s="115" t="str">
        <f>IFERROR(__xludf.DUMMYFUNCTION("""COMPUTED_VALUE"""),"Ashish Jakar")</f>
        <v>Ashish Jakar</v>
      </c>
      <c r="C4301" s="115" t="str">
        <f>IFERROR(__xludf.DUMMYFUNCTION("""COMPUTED_VALUE"""),"FLIPKART")</f>
        <v>FLIPKART</v>
      </c>
      <c r="D4301" s="115">
        <f>IFERROR(__xludf.DUMMYFUNCTION("""COMPUTED_VALUE"""),372886.0)</f>
        <v>372886</v>
      </c>
      <c r="E4301" s="115">
        <f>IFERROR(__xludf.DUMMYFUNCTION("""COMPUTED_VALUE"""),35179.0)</f>
        <v>35179</v>
      </c>
      <c r="F4301" s="115">
        <f>IFERROR(__xludf.DUMMYFUNCTION("""COMPUTED_VALUE"""),270533.0)</f>
        <v>270533</v>
      </c>
      <c r="G4301" s="115">
        <f>IFERROR(__xludf.DUMMYFUNCTION("""COMPUTED_VALUE"""),22399.0)</f>
        <v>22399</v>
      </c>
      <c r="H4301" s="116">
        <f>IFERROR(__xludf.DUMMYFUNCTION("""COMPUTED_VALUE"""),45908.0)</f>
        <v>45908</v>
      </c>
      <c r="I4301" s="115" t="str">
        <f>IFERROR(__xludf.DUMMYFUNCTION("""COMPUTED_VALUE"""),"21")</f>
        <v>21</v>
      </c>
      <c r="J4301" s="115" t="str">
        <f>IFERROR(__xludf.DUMMYFUNCTION("""COMPUTED_VALUE"""),"Ashish Jakar2025-09-0821")</f>
        <v>Ashish Jakar2025-09-0821</v>
      </c>
      <c r="K4301" s="115">
        <f>IFERROR(__xludf.DUMMYFUNCTION("""COMPUTED_VALUE"""),408065.0)</f>
        <v>408065</v>
      </c>
    </row>
    <row r="4302">
      <c r="A4302" s="115" t="str">
        <f>IFERROR(__xludf.DUMMYFUNCTION("""COMPUTED_VALUE"""),"WEST")</f>
        <v>WEST</v>
      </c>
      <c r="B4302" s="115" t="str">
        <f>IFERROR(__xludf.DUMMYFUNCTION("""COMPUTED_VALUE"""),"Ashish Jakar")</f>
        <v>Ashish Jakar</v>
      </c>
      <c r="C4302" s="115" t="str">
        <f>IFERROR(__xludf.DUMMYFUNCTION("""COMPUTED_VALUE"""),"MYNTRA")</f>
        <v>MYNTRA</v>
      </c>
      <c r="D4302" s="115">
        <f>IFERROR(__xludf.DUMMYFUNCTION("""COMPUTED_VALUE"""),46994.0)</f>
        <v>46994</v>
      </c>
      <c r="E4302" s="115">
        <f>IFERROR(__xludf.DUMMYFUNCTION("""COMPUTED_VALUE"""),12127.0)</f>
        <v>12127</v>
      </c>
      <c r="F4302" s="115">
        <f>IFERROR(__xludf.DUMMYFUNCTION("""COMPUTED_VALUE"""),38968.0)</f>
        <v>38968</v>
      </c>
      <c r="G4302" s="115">
        <f>IFERROR(__xludf.DUMMYFUNCTION("""COMPUTED_VALUE"""),8269.0)</f>
        <v>8269</v>
      </c>
      <c r="H4302" s="116">
        <f>IFERROR(__xludf.DUMMYFUNCTION("""COMPUTED_VALUE"""),45908.0)</f>
        <v>45908</v>
      </c>
      <c r="I4302" s="115" t="str">
        <f>IFERROR(__xludf.DUMMYFUNCTION("""COMPUTED_VALUE"""),"21")</f>
        <v>21</v>
      </c>
      <c r="J4302" s="115" t="str">
        <f>IFERROR(__xludf.DUMMYFUNCTION("""COMPUTED_VALUE"""),"Ashish Jakar2025-09-0821")</f>
        <v>Ashish Jakar2025-09-0821</v>
      </c>
      <c r="K4302" s="115">
        <f>IFERROR(__xludf.DUMMYFUNCTION("""COMPUTED_VALUE"""),59121.0)</f>
        <v>59121</v>
      </c>
    </row>
    <row r="4303">
      <c r="A4303" s="115" t="str">
        <f>IFERROR(__xludf.DUMMYFUNCTION("""COMPUTED_VALUE"""),"WEST")</f>
        <v>WEST</v>
      </c>
      <c r="B4303" s="115" t="str">
        <f>IFERROR(__xludf.DUMMYFUNCTION("""COMPUTED_VALUE"""),"Ashvani Bhatt")</f>
        <v>Ashvani Bhatt</v>
      </c>
      <c r="C4303" s="115" t="str">
        <f>IFERROR(__xludf.DUMMYFUNCTION("""COMPUTED_VALUE"""),"EXTERNAL")</f>
        <v>EXTERNAL</v>
      </c>
      <c r="D4303" s="115">
        <f>IFERROR(__xludf.DUMMYFUNCTION("""COMPUTED_VALUE"""),43183.0)</f>
        <v>43183</v>
      </c>
      <c r="E4303" s="115">
        <f>IFERROR(__xludf.DUMMYFUNCTION("""COMPUTED_VALUE"""),3807.0)</f>
        <v>3807</v>
      </c>
      <c r="F4303" s="115">
        <f>IFERROR(__xludf.DUMMYFUNCTION("""COMPUTED_VALUE"""),19813.0)</f>
        <v>19813</v>
      </c>
      <c r="G4303" s="115">
        <f>IFERROR(__xludf.DUMMYFUNCTION("""COMPUTED_VALUE"""),1484.0)</f>
        <v>1484</v>
      </c>
      <c r="H4303" s="116">
        <f>IFERROR(__xludf.DUMMYFUNCTION("""COMPUTED_VALUE"""),45908.0)</f>
        <v>45908</v>
      </c>
      <c r="I4303" s="115" t="str">
        <f>IFERROR(__xludf.DUMMYFUNCTION("""COMPUTED_VALUE"""),"21")</f>
        <v>21</v>
      </c>
      <c r="J4303" s="115" t="str">
        <f>IFERROR(__xludf.DUMMYFUNCTION("""COMPUTED_VALUE"""),"Ashvani Bhatt2025-09-0821")</f>
        <v>Ashvani Bhatt2025-09-0821</v>
      </c>
      <c r="K4303" s="115">
        <f>IFERROR(__xludf.DUMMYFUNCTION("""COMPUTED_VALUE"""),46990.0)</f>
        <v>46990</v>
      </c>
    </row>
    <row r="4304">
      <c r="A4304" s="115" t="str">
        <f>IFERROR(__xludf.DUMMYFUNCTION("""COMPUTED_VALUE"""),"WEST")</f>
        <v>WEST</v>
      </c>
      <c r="B4304" s="115" t="str">
        <f>IFERROR(__xludf.DUMMYFUNCTION("""COMPUTED_VALUE"""),"Ashvani Bhatt")</f>
        <v>Ashvani Bhatt</v>
      </c>
      <c r="C4304" s="115" t="str">
        <f>IFERROR(__xludf.DUMMYFUNCTION("""COMPUTED_VALUE"""),"FLIPKART")</f>
        <v>FLIPKART</v>
      </c>
      <c r="D4304" s="115">
        <f>IFERROR(__xludf.DUMMYFUNCTION("""COMPUTED_VALUE"""),279702.0)</f>
        <v>279702</v>
      </c>
      <c r="E4304" s="115">
        <f>IFERROR(__xludf.DUMMYFUNCTION("""COMPUTED_VALUE"""),30104.0)</f>
        <v>30104</v>
      </c>
      <c r="F4304" s="115">
        <f>IFERROR(__xludf.DUMMYFUNCTION("""COMPUTED_VALUE"""),212227.0)</f>
        <v>212227</v>
      </c>
      <c r="G4304" s="115">
        <f>IFERROR(__xludf.DUMMYFUNCTION("""COMPUTED_VALUE"""),20206.0)</f>
        <v>20206</v>
      </c>
      <c r="H4304" s="116">
        <f>IFERROR(__xludf.DUMMYFUNCTION("""COMPUTED_VALUE"""),45908.0)</f>
        <v>45908</v>
      </c>
      <c r="I4304" s="115" t="str">
        <f>IFERROR(__xludf.DUMMYFUNCTION("""COMPUTED_VALUE"""),"21")</f>
        <v>21</v>
      </c>
      <c r="J4304" s="115" t="str">
        <f>IFERROR(__xludf.DUMMYFUNCTION("""COMPUTED_VALUE"""),"Ashvani Bhatt2025-09-0821")</f>
        <v>Ashvani Bhatt2025-09-0821</v>
      </c>
      <c r="K4304" s="115">
        <f>IFERROR(__xludf.DUMMYFUNCTION("""COMPUTED_VALUE"""),309806.0)</f>
        <v>309806</v>
      </c>
    </row>
    <row r="4305">
      <c r="A4305" s="115" t="str">
        <f>IFERROR(__xludf.DUMMYFUNCTION("""COMPUTED_VALUE"""),"WEST")</f>
        <v>WEST</v>
      </c>
      <c r="B4305" s="115" t="str">
        <f>IFERROR(__xludf.DUMMYFUNCTION("""COMPUTED_VALUE"""),"Ashvani Bhatt")</f>
        <v>Ashvani Bhatt</v>
      </c>
      <c r="C4305" s="115" t="str">
        <f>IFERROR(__xludf.DUMMYFUNCTION("""COMPUTED_VALUE"""),"MYNTRA")</f>
        <v>MYNTRA</v>
      </c>
      <c r="D4305" s="115">
        <f>IFERROR(__xludf.DUMMYFUNCTION("""COMPUTED_VALUE"""),37170.0)</f>
        <v>37170</v>
      </c>
      <c r="E4305" s="115">
        <f>IFERROR(__xludf.DUMMYFUNCTION("""COMPUTED_VALUE"""),9173.0)</f>
        <v>9173</v>
      </c>
      <c r="F4305" s="115">
        <f>IFERROR(__xludf.DUMMYFUNCTION("""COMPUTED_VALUE"""),31700.0)</f>
        <v>31700</v>
      </c>
      <c r="G4305" s="115">
        <f>IFERROR(__xludf.DUMMYFUNCTION("""COMPUTED_VALUE"""),6687.0)</f>
        <v>6687</v>
      </c>
      <c r="H4305" s="116">
        <f>IFERROR(__xludf.DUMMYFUNCTION("""COMPUTED_VALUE"""),45908.0)</f>
        <v>45908</v>
      </c>
      <c r="I4305" s="115" t="str">
        <f>IFERROR(__xludf.DUMMYFUNCTION("""COMPUTED_VALUE"""),"21")</f>
        <v>21</v>
      </c>
      <c r="J4305" s="115" t="str">
        <f>IFERROR(__xludf.DUMMYFUNCTION("""COMPUTED_VALUE"""),"Ashvani Bhatt2025-09-0821")</f>
        <v>Ashvani Bhatt2025-09-0821</v>
      </c>
      <c r="K4305" s="115">
        <f>IFERROR(__xludf.DUMMYFUNCTION("""COMPUTED_VALUE"""),46343.0)</f>
        <v>46343</v>
      </c>
    </row>
    <row r="4306">
      <c r="A4306" s="115"/>
      <c r="B4306" s="115"/>
      <c r="C4306" s="115" t="str">
        <f>IFERROR(__xludf.DUMMYFUNCTION("""COMPUTED_VALUE"""),"EXTERNAL")</f>
        <v>EXTERNAL</v>
      </c>
      <c r="D4306" s="115">
        <f>IFERROR(__xludf.DUMMYFUNCTION("""COMPUTED_VALUE"""),528.0)</f>
        <v>528</v>
      </c>
      <c r="E4306" s="115">
        <f>IFERROR(__xludf.DUMMYFUNCTION("""COMPUTED_VALUE"""),103.0)</f>
        <v>103</v>
      </c>
      <c r="F4306" s="115">
        <f>IFERROR(__xludf.DUMMYFUNCTION("""COMPUTED_VALUE"""),264.0)</f>
        <v>264</v>
      </c>
      <c r="G4306" s="115">
        <f>IFERROR(__xludf.DUMMYFUNCTION("""COMPUTED_VALUE"""),76.0)</f>
        <v>76</v>
      </c>
      <c r="H4306" s="116">
        <f>IFERROR(__xludf.DUMMYFUNCTION("""COMPUTED_VALUE"""),45908.0)</f>
        <v>45908</v>
      </c>
      <c r="I4306" s="115" t="str">
        <f>IFERROR(__xludf.DUMMYFUNCTION("""COMPUTED_VALUE"""),"21")</f>
        <v>21</v>
      </c>
      <c r="J4306" s="115" t="str">
        <f>IFERROR(__xludf.DUMMYFUNCTION("""COMPUTED_VALUE"""),"2025-09-0821")</f>
        <v>2025-09-0821</v>
      </c>
      <c r="K4306" s="115">
        <f>IFERROR(__xludf.DUMMYFUNCTION("""COMPUTED_VALUE"""),631.0)</f>
        <v>631</v>
      </c>
    </row>
    <row r="4307">
      <c r="A4307" s="115"/>
      <c r="B4307" s="115"/>
      <c r="C4307" s="115" t="str">
        <f>IFERROR(__xludf.DUMMYFUNCTION("""COMPUTED_VALUE"""),"FLIPKART")</f>
        <v>FLIPKART</v>
      </c>
      <c r="D4307" s="115">
        <f>IFERROR(__xludf.DUMMYFUNCTION("""COMPUTED_VALUE"""),5074.0)</f>
        <v>5074</v>
      </c>
      <c r="E4307" s="115">
        <f>IFERROR(__xludf.DUMMYFUNCTION("""COMPUTED_VALUE"""),533.0)</f>
        <v>533</v>
      </c>
      <c r="F4307" s="115">
        <f>IFERROR(__xludf.DUMMYFUNCTION("""COMPUTED_VALUE"""),3581.0)</f>
        <v>3581</v>
      </c>
      <c r="G4307" s="115">
        <f>IFERROR(__xludf.DUMMYFUNCTION("""COMPUTED_VALUE"""),345.0)</f>
        <v>345</v>
      </c>
      <c r="H4307" s="116">
        <f>IFERROR(__xludf.DUMMYFUNCTION("""COMPUTED_VALUE"""),45908.0)</f>
        <v>45908</v>
      </c>
      <c r="I4307" s="115" t="str">
        <f>IFERROR(__xludf.DUMMYFUNCTION("""COMPUTED_VALUE"""),"21")</f>
        <v>21</v>
      </c>
      <c r="J4307" s="115" t="str">
        <f>IFERROR(__xludf.DUMMYFUNCTION("""COMPUTED_VALUE"""),"2025-09-0821")</f>
        <v>2025-09-0821</v>
      </c>
      <c r="K4307" s="115">
        <f>IFERROR(__xludf.DUMMYFUNCTION("""COMPUTED_VALUE"""),5607.0)</f>
        <v>5607</v>
      </c>
    </row>
    <row r="4308">
      <c r="A4308" s="115"/>
      <c r="B4308" s="115"/>
      <c r="C4308" s="115" t="str">
        <f>IFERROR(__xludf.DUMMYFUNCTION("""COMPUTED_VALUE"""),"MYNTRA")</f>
        <v>MYNTRA</v>
      </c>
      <c r="D4308" s="115">
        <f>IFERROR(__xludf.DUMMYFUNCTION("""COMPUTED_VALUE"""),585.0)</f>
        <v>585</v>
      </c>
      <c r="E4308" s="115">
        <f>IFERROR(__xludf.DUMMYFUNCTION("""COMPUTED_VALUE"""),194.0)</f>
        <v>194</v>
      </c>
      <c r="F4308" s="115">
        <f>IFERROR(__xludf.DUMMYFUNCTION("""COMPUTED_VALUE"""),513.0)</f>
        <v>513</v>
      </c>
      <c r="G4308" s="115">
        <f>IFERROR(__xludf.DUMMYFUNCTION("""COMPUTED_VALUE"""),147.0)</f>
        <v>147</v>
      </c>
      <c r="H4308" s="116">
        <f>IFERROR(__xludf.DUMMYFUNCTION("""COMPUTED_VALUE"""),45908.0)</f>
        <v>45908</v>
      </c>
      <c r="I4308" s="115" t="str">
        <f>IFERROR(__xludf.DUMMYFUNCTION("""COMPUTED_VALUE"""),"21")</f>
        <v>21</v>
      </c>
      <c r="J4308" s="115" t="str">
        <f>IFERROR(__xludf.DUMMYFUNCTION("""COMPUTED_VALUE"""),"2025-09-0821")</f>
        <v>2025-09-0821</v>
      </c>
      <c r="K4308" s="115">
        <f>IFERROR(__xludf.DUMMYFUNCTION("""COMPUTED_VALUE"""),779.0)</f>
        <v>779</v>
      </c>
    </row>
    <row r="4309">
      <c r="A4309" s="115" t="str">
        <f>IFERROR(__xludf.DUMMYFUNCTION("""COMPUTED_VALUE"""),"EAST")</f>
        <v>EAST</v>
      </c>
      <c r="B4309" s="115" t="str">
        <f>IFERROR(__xludf.DUMMYFUNCTION("""COMPUTED_VALUE"""),"Ashish Ranjan")</f>
        <v>Ashish Ranjan</v>
      </c>
      <c r="C4309" s="115" t="str">
        <f>IFERROR(__xludf.DUMMYFUNCTION("""COMPUTED_VALUE"""),"EXTERNAL")</f>
        <v>EXTERNAL</v>
      </c>
      <c r="D4309" s="115">
        <f>IFERROR(__xludf.DUMMYFUNCTION("""COMPUTED_VALUE"""),47742.0)</f>
        <v>47742</v>
      </c>
      <c r="E4309" s="115">
        <f>IFERROR(__xludf.DUMMYFUNCTION("""COMPUTED_VALUE"""),3896.0)</f>
        <v>3896</v>
      </c>
      <c r="F4309" s="115">
        <f>IFERROR(__xludf.DUMMYFUNCTION("""COMPUTED_VALUE"""),27768.0)</f>
        <v>27768</v>
      </c>
      <c r="G4309" s="115">
        <f>IFERROR(__xludf.DUMMYFUNCTION("""COMPUTED_VALUE"""),2165.0)</f>
        <v>2165</v>
      </c>
      <c r="H4309" s="116">
        <f>IFERROR(__xludf.DUMMYFUNCTION("""COMPUTED_VALUE"""),45908.0)</f>
        <v>45908</v>
      </c>
      <c r="I4309" s="115" t="str">
        <f>IFERROR(__xludf.DUMMYFUNCTION("""COMPUTED_VALUE"""),"22")</f>
        <v>22</v>
      </c>
      <c r="J4309" s="115" t="str">
        <f>IFERROR(__xludf.DUMMYFUNCTION("""COMPUTED_VALUE"""),"Ashish Ranjan2025-09-0822")</f>
        <v>Ashish Ranjan2025-09-0822</v>
      </c>
      <c r="K4309" s="115">
        <f>IFERROR(__xludf.DUMMYFUNCTION("""COMPUTED_VALUE"""),51638.0)</f>
        <v>51638</v>
      </c>
    </row>
    <row r="4310">
      <c r="A4310" s="115" t="str">
        <f>IFERROR(__xludf.DUMMYFUNCTION("""COMPUTED_VALUE"""),"EAST")</f>
        <v>EAST</v>
      </c>
      <c r="B4310" s="115" t="str">
        <f>IFERROR(__xludf.DUMMYFUNCTION("""COMPUTED_VALUE"""),"Ashish Ranjan")</f>
        <v>Ashish Ranjan</v>
      </c>
      <c r="C4310" s="115" t="str">
        <f>IFERROR(__xludf.DUMMYFUNCTION("""COMPUTED_VALUE"""),"FLIPKART")</f>
        <v>FLIPKART</v>
      </c>
      <c r="D4310" s="115">
        <f>IFERROR(__xludf.DUMMYFUNCTION("""COMPUTED_VALUE"""),705166.0)</f>
        <v>705166</v>
      </c>
      <c r="E4310" s="115">
        <f>IFERROR(__xludf.DUMMYFUNCTION("""COMPUTED_VALUE"""),68653.0)</f>
        <v>68653</v>
      </c>
      <c r="F4310" s="115">
        <f>IFERROR(__xludf.DUMMYFUNCTION("""COMPUTED_VALUE"""),627877.0)</f>
        <v>627877</v>
      </c>
      <c r="G4310" s="115">
        <f>IFERROR(__xludf.DUMMYFUNCTION("""COMPUTED_VALUE"""),56462.0)</f>
        <v>56462</v>
      </c>
      <c r="H4310" s="116">
        <f>IFERROR(__xludf.DUMMYFUNCTION("""COMPUTED_VALUE"""),45908.0)</f>
        <v>45908</v>
      </c>
      <c r="I4310" s="115" t="str">
        <f>IFERROR(__xludf.DUMMYFUNCTION("""COMPUTED_VALUE"""),"22")</f>
        <v>22</v>
      </c>
      <c r="J4310" s="115" t="str">
        <f>IFERROR(__xludf.DUMMYFUNCTION("""COMPUTED_VALUE"""),"Ashish Ranjan2025-09-0822")</f>
        <v>Ashish Ranjan2025-09-0822</v>
      </c>
      <c r="K4310" s="115">
        <f>IFERROR(__xludf.DUMMYFUNCTION("""COMPUTED_VALUE"""),773819.0)</f>
        <v>773819</v>
      </c>
    </row>
    <row r="4311">
      <c r="A4311" s="115" t="str">
        <f>IFERROR(__xludf.DUMMYFUNCTION("""COMPUTED_VALUE"""),"EAST")</f>
        <v>EAST</v>
      </c>
      <c r="B4311" s="115" t="str">
        <f>IFERROR(__xludf.DUMMYFUNCTION("""COMPUTED_VALUE"""),"Ashish Ranjan")</f>
        <v>Ashish Ranjan</v>
      </c>
      <c r="C4311" s="115" t="str">
        <f>IFERROR(__xludf.DUMMYFUNCTION("""COMPUTED_VALUE"""),"MYNTRA")</f>
        <v>MYNTRA</v>
      </c>
      <c r="D4311" s="115">
        <f>IFERROR(__xludf.DUMMYFUNCTION("""COMPUTED_VALUE"""),83040.0)</f>
        <v>83040</v>
      </c>
      <c r="E4311" s="115">
        <f>IFERROR(__xludf.DUMMYFUNCTION("""COMPUTED_VALUE"""),15735.0)</f>
        <v>15735</v>
      </c>
      <c r="F4311" s="115">
        <f>IFERROR(__xludf.DUMMYFUNCTION("""COMPUTED_VALUE"""),75483.0)</f>
        <v>75483</v>
      </c>
      <c r="G4311" s="115">
        <f>IFERROR(__xludf.DUMMYFUNCTION("""COMPUTED_VALUE"""),12903.0)</f>
        <v>12903</v>
      </c>
      <c r="H4311" s="116">
        <f>IFERROR(__xludf.DUMMYFUNCTION("""COMPUTED_VALUE"""),45908.0)</f>
        <v>45908</v>
      </c>
      <c r="I4311" s="115" t="str">
        <f>IFERROR(__xludf.DUMMYFUNCTION("""COMPUTED_VALUE"""),"22")</f>
        <v>22</v>
      </c>
      <c r="J4311" s="115" t="str">
        <f>IFERROR(__xludf.DUMMYFUNCTION("""COMPUTED_VALUE"""),"Ashish Ranjan2025-09-0822")</f>
        <v>Ashish Ranjan2025-09-0822</v>
      </c>
      <c r="K4311" s="115">
        <f>IFERROR(__xludf.DUMMYFUNCTION("""COMPUTED_VALUE"""),98775.0)</f>
        <v>98775</v>
      </c>
    </row>
    <row r="4312">
      <c r="A4312" s="115" t="str">
        <f>IFERROR(__xludf.DUMMYFUNCTION("""COMPUTED_VALUE"""),"EAST")</f>
        <v>EAST</v>
      </c>
      <c r="B4312" s="115" t="str">
        <f>IFERROR(__xludf.DUMMYFUNCTION("""COMPUTED_VALUE"""),"Girish Chand")</f>
        <v>Girish Chand</v>
      </c>
      <c r="C4312" s="115" t="str">
        <f>IFERROR(__xludf.DUMMYFUNCTION("""COMPUTED_VALUE"""),"EXTERNAL")</f>
        <v>EXTERNAL</v>
      </c>
      <c r="D4312" s="115">
        <f>IFERROR(__xludf.DUMMYFUNCTION("""COMPUTED_VALUE"""),24902.0)</f>
        <v>24902</v>
      </c>
      <c r="E4312" s="115">
        <f>IFERROR(__xludf.DUMMYFUNCTION("""COMPUTED_VALUE"""),2454.0)</f>
        <v>2454</v>
      </c>
      <c r="F4312" s="115">
        <f>IFERROR(__xludf.DUMMYFUNCTION("""COMPUTED_VALUE"""),11298.0)</f>
        <v>11298</v>
      </c>
      <c r="G4312" s="115">
        <f>IFERROR(__xludf.DUMMYFUNCTION("""COMPUTED_VALUE"""),831.0)</f>
        <v>831</v>
      </c>
      <c r="H4312" s="116">
        <f>IFERROR(__xludf.DUMMYFUNCTION("""COMPUTED_VALUE"""),45908.0)</f>
        <v>45908</v>
      </c>
      <c r="I4312" s="115" t="str">
        <f>IFERROR(__xludf.DUMMYFUNCTION("""COMPUTED_VALUE"""),"22")</f>
        <v>22</v>
      </c>
      <c r="J4312" s="115" t="str">
        <f>IFERROR(__xludf.DUMMYFUNCTION("""COMPUTED_VALUE"""),"Girish Chand2025-09-0822")</f>
        <v>Girish Chand2025-09-0822</v>
      </c>
      <c r="K4312" s="115">
        <f>IFERROR(__xludf.DUMMYFUNCTION("""COMPUTED_VALUE"""),27356.0)</f>
        <v>27356</v>
      </c>
    </row>
    <row r="4313">
      <c r="A4313" s="115" t="str">
        <f>IFERROR(__xludf.DUMMYFUNCTION("""COMPUTED_VALUE"""),"EAST")</f>
        <v>EAST</v>
      </c>
      <c r="B4313" s="115" t="str">
        <f>IFERROR(__xludf.DUMMYFUNCTION("""COMPUTED_VALUE"""),"Girish Chand")</f>
        <v>Girish Chand</v>
      </c>
      <c r="C4313" s="115" t="str">
        <f>IFERROR(__xludf.DUMMYFUNCTION("""COMPUTED_VALUE"""),"FLIPKART")</f>
        <v>FLIPKART</v>
      </c>
      <c r="D4313" s="115">
        <f>IFERROR(__xludf.DUMMYFUNCTION("""COMPUTED_VALUE"""),397058.0)</f>
        <v>397058</v>
      </c>
      <c r="E4313" s="115">
        <f>IFERROR(__xludf.DUMMYFUNCTION("""COMPUTED_VALUE"""),40568.0)</f>
        <v>40568</v>
      </c>
      <c r="F4313" s="115">
        <f>IFERROR(__xludf.DUMMYFUNCTION("""COMPUTED_VALUE"""),295441.0)</f>
        <v>295441</v>
      </c>
      <c r="G4313" s="115">
        <f>IFERROR(__xludf.DUMMYFUNCTION("""COMPUTED_VALUE"""),30445.0)</f>
        <v>30445</v>
      </c>
      <c r="H4313" s="116">
        <f>IFERROR(__xludf.DUMMYFUNCTION("""COMPUTED_VALUE"""),45908.0)</f>
        <v>45908</v>
      </c>
      <c r="I4313" s="115" t="str">
        <f>IFERROR(__xludf.DUMMYFUNCTION("""COMPUTED_VALUE"""),"22")</f>
        <v>22</v>
      </c>
      <c r="J4313" s="115" t="str">
        <f>IFERROR(__xludf.DUMMYFUNCTION("""COMPUTED_VALUE"""),"Girish Chand2025-09-0822")</f>
        <v>Girish Chand2025-09-0822</v>
      </c>
      <c r="K4313" s="115">
        <f>IFERROR(__xludf.DUMMYFUNCTION("""COMPUTED_VALUE"""),437626.0)</f>
        <v>437626</v>
      </c>
    </row>
    <row r="4314">
      <c r="A4314" s="115" t="str">
        <f>IFERROR(__xludf.DUMMYFUNCTION("""COMPUTED_VALUE"""),"EAST")</f>
        <v>EAST</v>
      </c>
      <c r="B4314" s="115" t="str">
        <f>IFERROR(__xludf.DUMMYFUNCTION("""COMPUTED_VALUE"""),"Girish Chand")</f>
        <v>Girish Chand</v>
      </c>
      <c r="C4314" s="115" t="str">
        <f>IFERROR(__xludf.DUMMYFUNCTION("""COMPUTED_VALUE"""),"MYNTRA")</f>
        <v>MYNTRA</v>
      </c>
      <c r="D4314" s="115">
        <f>IFERROR(__xludf.DUMMYFUNCTION("""COMPUTED_VALUE"""),39048.0)</f>
        <v>39048</v>
      </c>
      <c r="E4314" s="115">
        <f>IFERROR(__xludf.DUMMYFUNCTION("""COMPUTED_VALUE"""),7638.0)</f>
        <v>7638</v>
      </c>
      <c r="F4314" s="115">
        <f>IFERROR(__xludf.DUMMYFUNCTION("""COMPUTED_VALUE"""),31092.0)</f>
        <v>31092</v>
      </c>
      <c r="G4314" s="115">
        <f>IFERROR(__xludf.DUMMYFUNCTION("""COMPUTED_VALUE"""),6027.0)</f>
        <v>6027</v>
      </c>
      <c r="H4314" s="116">
        <f>IFERROR(__xludf.DUMMYFUNCTION("""COMPUTED_VALUE"""),45908.0)</f>
        <v>45908</v>
      </c>
      <c r="I4314" s="115" t="str">
        <f>IFERROR(__xludf.DUMMYFUNCTION("""COMPUTED_VALUE"""),"22")</f>
        <v>22</v>
      </c>
      <c r="J4314" s="115" t="str">
        <f>IFERROR(__xludf.DUMMYFUNCTION("""COMPUTED_VALUE"""),"Girish Chand2025-09-0822")</f>
        <v>Girish Chand2025-09-0822</v>
      </c>
      <c r="K4314" s="115">
        <f>IFERROR(__xludf.DUMMYFUNCTION("""COMPUTED_VALUE"""),46686.0)</f>
        <v>46686</v>
      </c>
    </row>
    <row r="4315">
      <c r="A4315" s="115" t="str">
        <f>IFERROR(__xludf.DUMMYFUNCTION("""COMPUTED_VALUE"""),"EAST")</f>
        <v>EAST</v>
      </c>
      <c r="B4315" s="115" t="str">
        <f>IFERROR(__xludf.DUMMYFUNCTION("""COMPUTED_VALUE"""),"Parag Kashyap")</f>
        <v>Parag Kashyap</v>
      </c>
      <c r="C4315" s="115" t="str">
        <f>IFERROR(__xludf.DUMMYFUNCTION("""COMPUTED_VALUE"""),"EXTERNAL")</f>
        <v>EXTERNAL</v>
      </c>
      <c r="D4315" s="115">
        <f>IFERROR(__xludf.DUMMYFUNCTION("""COMPUTED_VALUE"""),20335.0)</f>
        <v>20335</v>
      </c>
      <c r="E4315" s="115">
        <f>IFERROR(__xludf.DUMMYFUNCTION("""COMPUTED_VALUE"""),1265.0)</f>
        <v>1265</v>
      </c>
      <c r="F4315" s="115">
        <f>IFERROR(__xludf.DUMMYFUNCTION("""COMPUTED_VALUE"""),9859.0)</f>
        <v>9859</v>
      </c>
      <c r="G4315" s="115">
        <f>IFERROR(__xludf.DUMMYFUNCTION("""COMPUTED_VALUE"""),458.0)</f>
        <v>458</v>
      </c>
      <c r="H4315" s="116">
        <f>IFERROR(__xludf.DUMMYFUNCTION("""COMPUTED_VALUE"""),45908.0)</f>
        <v>45908</v>
      </c>
      <c r="I4315" s="115" t="str">
        <f>IFERROR(__xludf.DUMMYFUNCTION("""COMPUTED_VALUE"""),"22")</f>
        <v>22</v>
      </c>
      <c r="J4315" s="115" t="str">
        <f>IFERROR(__xludf.DUMMYFUNCTION("""COMPUTED_VALUE"""),"Parag Kashyap2025-09-0822")</f>
        <v>Parag Kashyap2025-09-0822</v>
      </c>
      <c r="K4315" s="115">
        <f>IFERROR(__xludf.DUMMYFUNCTION("""COMPUTED_VALUE"""),21600.0)</f>
        <v>21600</v>
      </c>
    </row>
    <row r="4316">
      <c r="A4316" s="115" t="str">
        <f>IFERROR(__xludf.DUMMYFUNCTION("""COMPUTED_VALUE"""),"EAST")</f>
        <v>EAST</v>
      </c>
      <c r="B4316" s="115" t="str">
        <f>IFERROR(__xludf.DUMMYFUNCTION("""COMPUTED_VALUE"""),"Parag Kashyap")</f>
        <v>Parag Kashyap</v>
      </c>
      <c r="C4316" s="115" t="str">
        <f>IFERROR(__xludf.DUMMYFUNCTION("""COMPUTED_VALUE"""),"FLIPKART")</f>
        <v>FLIPKART</v>
      </c>
      <c r="D4316" s="115">
        <f>IFERROR(__xludf.DUMMYFUNCTION("""COMPUTED_VALUE"""),340091.0)</f>
        <v>340091</v>
      </c>
      <c r="E4316" s="115">
        <f>IFERROR(__xludf.DUMMYFUNCTION("""COMPUTED_VALUE"""),21665.0)</f>
        <v>21665</v>
      </c>
      <c r="F4316" s="115">
        <f>IFERROR(__xludf.DUMMYFUNCTION("""COMPUTED_VALUE"""),271970.0)</f>
        <v>271970</v>
      </c>
      <c r="G4316" s="115">
        <f>IFERROR(__xludf.DUMMYFUNCTION("""COMPUTED_VALUE"""),15978.0)</f>
        <v>15978</v>
      </c>
      <c r="H4316" s="116">
        <f>IFERROR(__xludf.DUMMYFUNCTION("""COMPUTED_VALUE"""),45908.0)</f>
        <v>45908</v>
      </c>
      <c r="I4316" s="115" t="str">
        <f>IFERROR(__xludf.DUMMYFUNCTION("""COMPUTED_VALUE"""),"22")</f>
        <v>22</v>
      </c>
      <c r="J4316" s="115" t="str">
        <f>IFERROR(__xludf.DUMMYFUNCTION("""COMPUTED_VALUE"""),"Parag Kashyap2025-09-0822")</f>
        <v>Parag Kashyap2025-09-0822</v>
      </c>
      <c r="K4316" s="115">
        <f>IFERROR(__xludf.DUMMYFUNCTION("""COMPUTED_VALUE"""),361756.0)</f>
        <v>361756</v>
      </c>
    </row>
    <row r="4317">
      <c r="A4317" s="115" t="str">
        <f>IFERROR(__xludf.DUMMYFUNCTION("""COMPUTED_VALUE"""),"EAST")</f>
        <v>EAST</v>
      </c>
      <c r="B4317" s="115" t="str">
        <f>IFERROR(__xludf.DUMMYFUNCTION("""COMPUTED_VALUE"""),"Parag Kashyap")</f>
        <v>Parag Kashyap</v>
      </c>
      <c r="C4317" s="115" t="str">
        <f>IFERROR(__xludf.DUMMYFUNCTION("""COMPUTED_VALUE"""),"MYNTRA")</f>
        <v>MYNTRA</v>
      </c>
      <c r="D4317" s="115">
        <f>IFERROR(__xludf.DUMMYFUNCTION("""COMPUTED_VALUE"""),43992.0)</f>
        <v>43992</v>
      </c>
      <c r="E4317" s="115">
        <f>IFERROR(__xludf.DUMMYFUNCTION("""COMPUTED_VALUE"""),5815.0)</f>
        <v>5815</v>
      </c>
      <c r="F4317" s="115">
        <f>IFERROR(__xludf.DUMMYFUNCTION("""COMPUTED_VALUE"""),36317.0)</f>
        <v>36317</v>
      </c>
      <c r="G4317" s="115">
        <f>IFERROR(__xludf.DUMMYFUNCTION("""COMPUTED_VALUE"""),4325.0)</f>
        <v>4325</v>
      </c>
      <c r="H4317" s="116">
        <f>IFERROR(__xludf.DUMMYFUNCTION("""COMPUTED_VALUE"""),45908.0)</f>
        <v>45908</v>
      </c>
      <c r="I4317" s="115" t="str">
        <f>IFERROR(__xludf.DUMMYFUNCTION("""COMPUTED_VALUE"""),"22")</f>
        <v>22</v>
      </c>
      <c r="J4317" s="115" t="str">
        <f>IFERROR(__xludf.DUMMYFUNCTION("""COMPUTED_VALUE"""),"Parag Kashyap2025-09-0822")</f>
        <v>Parag Kashyap2025-09-0822</v>
      </c>
      <c r="K4317" s="115">
        <f>IFERROR(__xludf.DUMMYFUNCTION("""COMPUTED_VALUE"""),49807.0)</f>
        <v>49807</v>
      </c>
    </row>
    <row r="4318">
      <c r="A4318" s="115" t="str">
        <f>IFERROR(__xludf.DUMMYFUNCTION("""COMPUTED_VALUE"""),"NORTH")</f>
        <v>NORTH</v>
      </c>
      <c r="B4318" s="115" t="str">
        <f>IFERROR(__xludf.DUMMYFUNCTION("""COMPUTED_VALUE"""),"Amit Kumar Pathak")</f>
        <v>Amit Kumar Pathak</v>
      </c>
      <c r="C4318" s="115" t="str">
        <f>IFERROR(__xludf.DUMMYFUNCTION("""COMPUTED_VALUE"""),"EXTERNAL")</f>
        <v>EXTERNAL</v>
      </c>
      <c r="D4318" s="115">
        <f>IFERROR(__xludf.DUMMYFUNCTION("""COMPUTED_VALUE"""),31637.0)</f>
        <v>31637</v>
      </c>
      <c r="E4318" s="115">
        <f>IFERROR(__xludf.DUMMYFUNCTION("""COMPUTED_VALUE"""),3871.0)</f>
        <v>3871</v>
      </c>
      <c r="F4318" s="115">
        <f>IFERROR(__xludf.DUMMYFUNCTION("""COMPUTED_VALUE"""),12315.0)</f>
        <v>12315</v>
      </c>
      <c r="G4318" s="115">
        <f>IFERROR(__xludf.DUMMYFUNCTION("""COMPUTED_VALUE"""),1994.0)</f>
        <v>1994</v>
      </c>
      <c r="H4318" s="116">
        <f>IFERROR(__xludf.DUMMYFUNCTION("""COMPUTED_VALUE"""),45908.0)</f>
        <v>45908</v>
      </c>
      <c r="I4318" s="115" t="str">
        <f>IFERROR(__xludf.DUMMYFUNCTION("""COMPUTED_VALUE"""),"22")</f>
        <v>22</v>
      </c>
      <c r="J4318" s="115" t="str">
        <f>IFERROR(__xludf.DUMMYFUNCTION("""COMPUTED_VALUE"""),"Amit Kumar Pathak2025-09-0822")</f>
        <v>Amit Kumar Pathak2025-09-0822</v>
      </c>
      <c r="K4318" s="115">
        <f>IFERROR(__xludf.DUMMYFUNCTION("""COMPUTED_VALUE"""),35508.0)</f>
        <v>35508</v>
      </c>
    </row>
    <row r="4319">
      <c r="A4319" s="115" t="str">
        <f>IFERROR(__xludf.DUMMYFUNCTION("""COMPUTED_VALUE"""),"NORTH")</f>
        <v>NORTH</v>
      </c>
      <c r="B4319" s="115" t="str">
        <f>IFERROR(__xludf.DUMMYFUNCTION("""COMPUTED_VALUE"""),"Amit Kumar Pathak")</f>
        <v>Amit Kumar Pathak</v>
      </c>
      <c r="C4319" s="115" t="str">
        <f>IFERROR(__xludf.DUMMYFUNCTION("""COMPUTED_VALUE"""),"FLIPKART")</f>
        <v>FLIPKART</v>
      </c>
      <c r="D4319" s="115">
        <f>IFERROR(__xludf.DUMMYFUNCTION("""COMPUTED_VALUE"""),183628.0)</f>
        <v>183628</v>
      </c>
      <c r="E4319" s="115">
        <f>IFERROR(__xludf.DUMMYFUNCTION("""COMPUTED_VALUE"""),24877.0)</f>
        <v>24877</v>
      </c>
      <c r="F4319" s="115">
        <f>IFERROR(__xludf.DUMMYFUNCTION("""COMPUTED_VALUE"""),140064.0)</f>
        <v>140064</v>
      </c>
      <c r="G4319" s="115">
        <f>IFERROR(__xludf.DUMMYFUNCTION("""COMPUTED_VALUE"""),17461.0)</f>
        <v>17461</v>
      </c>
      <c r="H4319" s="116">
        <f>IFERROR(__xludf.DUMMYFUNCTION("""COMPUTED_VALUE"""),45908.0)</f>
        <v>45908</v>
      </c>
      <c r="I4319" s="115" t="str">
        <f>IFERROR(__xludf.DUMMYFUNCTION("""COMPUTED_VALUE"""),"22")</f>
        <v>22</v>
      </c>
      <c r="J4319" s="115" t="str">
        <f>IFERROR(__xludf.DUMMYFUNCTION("""COMPUTED_VALUE"""),"Amit Kumar Pathak2025-09-0822")</f>
        <v>Amit Kumar Pathak2025-09-0822</v>
      </c>
      <c r="K4319" s="115">
        <f>IFERROR(__xludf.DUMMYFUNCTION("""COMPUTED_VALUE"""),208505.0)</f>
        <v>208505</v>
      </c>
    </row>
    <row r="4320">
      <c r="A4320" s="115" t="str">
        <f>IFERROR(__xludf.DUMMYFUNCTION("""COMPUTED_VALUE"""),"NORTH")</f>
        <v>NORTH</v>
      </c>
      <c r="B4320" s="115" t="str">
        <f>IFERROR(__xludf.DUMMYFUNCTION("""COMPUTED_VALUE"""),"Amit Kumar Pathak")</f>
        <v>Amit Kumar Pathak</v>
      </c>
      <c r="C4320" s="115" t="str">
        <f>IFERROR(__xludf.DUMMYFUNCTION("""COMPUTED_VALUE"""),"MYNTRA")</f>
        <v>MYNTRA</v>
      </c>
      <c r="D4320" s="115">
        <f>IFERROR(__xludf.DUMMYFUNCTION("""COMPUTED_VALUE"""),18435.0)</f>
        <v>18435</v>
      </c>
      <c r="E4320" s="115">
        <f>IFERROR(__xludf.DUMMYFUNCTION("""COMPUTED_VALUE"""),6614.0)</f>
        <v>6614</v>
      </c>
      <c r="F4320" s="115">
        <f>IFERROR(__xludf.DUMMYFUNCTION("""COMPUTED_VALUE"""),15850.0)</f>
        <v>15850</v>
      </c>
      <c r="G4320" s="115">
        <f>IFERROR(__xludf.DUMMYFUNCTION("""COMPUTED_VALUE"""),4947.0)</f>
        <v>4947</v>
      </c>
      <c r="H4320" s="116">
        <f>IFERROR(__xludf.DUMMYFUNCTION("""COMPUTED_VALUE"""),45908.0)</f>
        <v>45908</v>
      </c>
      <c r="I4320" s="115" t="str">
        <f>IFERROR(__xludf.DUMMYFUNCTION("""COMPUTED_VALUE"""),"22")</f>
        <v>22</v>
      </c>
      <c r="J4320" s="115" t="str">
        <f>IFERROR(__xludf.DUMMYFUNCTION("""COMPUTED_VALUE"""),"Amit Kumar Pathak2025-09-0822")</f>
        <v>Amit Kumar Pathak2025-09-0822</v>
      </c>
      <c r="K4320" s="115">
        <f>IFERROR(__xludf.DUMMYFUNCTION("""COMPUTED_VALUE"""),25049.0)</f>
        <v>25049</v>
      </c>
    </row>
    <row r="4321">
      <c r="A4321" s="115" t="str">
        <f>IFERROR(__xludf.DUMMYFUNCTION("""COMPUTED_VALUE"""),"NORTH")</f>
        <v>NORTH</v>
      </c>
      <c r="B4321" s="115" t="str">
        <f>IFERROR(__xludf.DUMMYFUNCTION("""COMPUTED_VALUE"""),"Loveleen Singh")</f>
        <v>Loveleen Singh</v>
      </c>
      <c r="C4321" s="115" t="str">
        <f>IFERROR(__xludf.DUMMYFUNCTION("""COMPUTED_VALUE"""),"EXTERNAL")</f>
        <v>EXTERNAL</v>
      </c>
      <c r="D4321" s="115">
        <f>IFERROR(__xludf.DUMMYFUNCTION("""COMPUTED_VALUE"""),37280.0)</f>
        <v>37280</v>
      </c>
      <c r="E4321" s="115">
        <f>IFERROR(__xludf.DUMMYFUNCTION("""COMPUTED_VALUE"""),2816.0)</f>
        <v>2816</v>
      </c>
      <c r="F4321" s="115">
        <f>IFERROR(__xludf.DUMMYFUNCTION("""COMPUTED_VALUE"""),15396.0)</f>
        <v>15396</v>
      </c>
      <c r="G4321" s="115">
        <f>IFERROR(__xludf.DUMMYFUNCTION("""COMPUTED_VALUE"""),972.0)</f>
        <v>972</v>
      </c>
      <c r="H4321" s="116">
        <f>IFERROR(__xludf.DUMMYFUNCTION("""COMPUTED_VALUE"""),45908.0)</f>
        <v>45908</v>
      </c>
      <c r="I4321" s="115" t="str">
        <f>IFERROR(__xludf.DUMMYFUNCTION("""COMPUTED_VALUE"""),"22")</f>
        <v>22</v>
      </c>
      <c r="J4321" s="115" t="str">
        <f>IFERROR(__xludf.DUMMYFUNCTION("""COMPUTED_VALUE"""),"Loveleen Singh2025-09-0822")</f>
        <v>Loveleen Singh2025-09-0822</v>
      </c>
      <c r="K4321" s="115">
        <f>IFERROR(__xludf.DUMMYFUNCTION("""COMPUTED_VALUE"""),40096.0)</f>
        <v>40096</v>
      </c>
    </row>
    <row r="4322">
      <c r="A4322" s="115" t="str">
        <f>IFERROR(__xludf.DUMMYFUNCTION("""COMPUTED_VALUE"""),"NORTH")</f>
        <v>NORTH</v>
      </c>
      <c r="B4322" s="115" t="str">
        <f>IFERROR(__xludf.DUMMYFUNCTION("""COMPUTED_VALUE"""),"Loveleen Singh")</f>
        <v>Loveleen Singh</v>
      </c>
      <c r="C4322" s="115" t="str">
        <f>IFERROR(__xludf.DUMMYFUNCTION("""COMPUTED_VALUE"""),"FLIPKART")</f>
        <v>FLIPKART</v>
      </c>
      <c r="D4322" s="115">
        <f>IFERROR(__xludf.DUMMYFUNCTION("""COMPUTED_VALUE"""),178067.0)</f>
        <v>178067</v>
      </c>
      <c r="E4322" s="115">
        <f>IFERROR(__xludf.DUMMYFUNCTION("""COMPUTED_VALUE"""),15827.0)</f>
        <v>15827</v>
      </c>
      <c r="F4322" s="115">
        <f>IFERROR(__xludf.DUMMYFUNCTION("""COMPUTED_VALUE"""),135093.0)</f>
        <v>135093</v>
      </c>
      <c r="G4322" s="115">
        <f>IFERROR(__xludf.DUMMYFUNCTION("""COMPUTED_VALUE"""),10381.0)</f>
        <v>10381</v>
      </c>
      <c r="H4322" s="116">
        <f>IFERROR(__xludf.DUMMYFUNCTION("""COMPUTED_VALUE"""),45908.0)</f>
        <v>45908</v>
      </c>
      <c r="I4322" s="115" t="str">
        <f>IFERROR(__xludf.DUMMYFUNCTION("""COMPUTED_VALUE"""),"22")</f>
        <v>22</v>
      </c>
      <c r="J4322" s="115" t="str">
        <f>IFERROR(__xludf.DUMMYFUNCTION("""COMPUTED_VALUE"""),"Loveleen Singh2025-09-0822")</f>
        <v>Loveleen Singh2025-09-0822</v>
      </c>
      <c r="K4322" s="115">
        <f>IFERROR(__xludf.DUMMYFUNCTION("""COMPUTED_VALUE"""),193894.0)</f>
        <v>193894</v>
      </c>
    </row>
    <row r="4323">
      <c r="A4323" s="115" t="str">
        <f>IFERROR(__xludf.DUMMYFUNCTION("""COMPUTED_VALUE"""),"NORTH")</f>
        <v>NORTH</v>
      </c>
      <c r="B4323" s="115" t="str">
        <f>IFERROR(__xludf.DUMMYFUNCTION("""COMPUTED_VALUE"""),"Loveleen Singh")</f>
        <v>Loveleen Singh</v>
      </c>
      <c r="C4323" s="115" t="str">
        <f>IFERROR(__xludf.DUMMYFUNCTION("""COMPUTED_VALUE"""),"MYNTRA")</f>
        <v>MYNTRA</v>
      </c>
      <c r="D4323" s="115">
        <f>IFERROR(__xludf.DUMMYFUNCTION("""COMPUTED_VALUE"""),32749.0)</f>
        <v>32749</v>
      </c>
      <c r="E4323" s="115">
        <f>IFERROR(__xludf.DUMMYFUNCTION("""COMPUTED_VALUE"""),6447.0)</f>
        <v>6447</v>
      </c>
      <c r="F4323" s="115">
        <f>IFERROR(__xludf.DUMMYFUNCTION("""COMPUTED_VALUE"""),27514.0)</f>
        <v>27514</v>
      </c>
      <c r="G4323" s="115">
        <f>IFERROR(__xludf.DUMMYFUNCTION("""COMPUTED_VALUE"""),4586.0)</f>
        <v>4586</v>
      </c>
      <c r="H4323" s="116">
        <f>IFERROR(__xludf.DUMMYFUNCTION("""COMPUTED_VALUE"""),45908.0)</f>
        <v>45908</v>
      </c>
      <c r="I4323" s="115" t="str">
        <f>IFERROR(__xludf.DUMMYFUNCTION("""COMPUTED_VALUE"""),"22")</f>
        <v>22</v>
      </c>
      <c r="J4323" s="115" t="str">
        <f>IFERROR(__xludf.DUMMYFUNCTION("""COMPUTED_VALUE"""),"Loveleen Singh2025-09-0822")</f>
        <v>Loveleen Singh2025-09-0822</v>
      </c>
      <c r="K4323" s="115">
        <f>IFERROR(__xludf.DUMMYFUNCTION("""COMPUTED_VALUE"""),39196.0)</f>
        <v>39196</v>
      </c>
    </row>
    <row r="4324">
      <c r="A4324" s="115" t="str">
        <f>IFERROR(__xludf.DUMMYFUNCTION("""COMPUTED_VALUE"""),"NORTH")</f>
        <v>NORTH</v>
      </c>
      <c r="B4324" s="115" t="str">
        <f>IFERROR(__xludf.DUMMYFUNCTION("""COMPUTED_VALUE"""),"Manoj Harsh")</f>
        <v>Manoj Harsh</v>
      </c>
      <c r="C4324" s="115" t="str">
        <f>IFERROR(__xludf.DUMMYFUNCTION("""COMPUTED_VALUE"""),"EXTERNAL")</f>
        <v>EXTERNAL</v>
      </c>
      <c r="D4324" s="115">
        <f>IFERROR(__xludf.DUMMYFUNCTION("""COMPUTED_VALUE"""),39727.0)</f>
        <v>39727</v>
      </c>
      <c r="E4324" s="115">
        <f>IFERROR(__xludf.DUMMYFUNCTION("""COMPUTED_VALUE"""),3233.0)</f>
        <v>3233</v>
      </c>
      <c r="F4324" s="115">
        <f>IFERROR(__xludf.DUMMYFUNCTION("""COMPUTED_VALUE"""),18125.0)</f>
        <v>18125</v>
      </c>
      <c r="G4324" s="115">
        <f>IFERROR(__xludf.DUMMYFUNCTION("""COMPUTED_VALUE"""),1267.0)</f>
        <v>1267</v>
      </c>
      <c r="H4324" s="116">
        <f>IFERROR(__xludf.DUMMYFUNCTION("""COMPUTED_VALUE"""),45908.0)</f>
        <v>45908</v>
      </c>
      <c r="I4324" s="115" t="str">
        <f>IFERROR(__xludf.DUMMYFUNCTION("""COMPUTED_VALUE"""),"22")</f>
        <v>22</v>
      </c>
      <c r="J4324" s="115" t="str">
        <f>IFERROR(__xludf.DUMMYFUNCTION("""COMPUTED_VALUE"""),"Manoj Harsh2025-09-0822")</f>
        <v>Manoj Harsh2025-09-0822</v>
      </c>
      <c r="K4324" s="115">
        <f>IFERROR(__xludf.DUMMYFUNCTION("""COMPUTED_VALUE"""),42960.0)</f>
        <v>42960</v>
      </c>
    </row>
    <row r="4325">
      <c r="A4325" s="115" t="str">
        <f>IFERROR(__xludf.DUMMYFUNCTION("""COMPUTED_VALUE"""),"NORTH")</f>
        <v>NORTH</v>
      </c>
      <c r="B4325" s="115" t="str">
        <f>IFERROR(__xludf.DUMMYFUNCTION("""COMPUTED_VALUE"""),"Manoj Harsh")</f>
        <v>Manoj Harsh</v>
      </c>
      <c r="C4325" s="115" t="str">
        <f>IFERROR(__xludf.DUMMYFUNCTION("""COMPUTED_VALUE"""),"FLIPKART")</f>
        <v>FLIPKART</v>
      </c>
      <c r="D4325" s="115">
        <f>IFERROR(__xludf.DUMMYFUNCTION("""COMPUTED_VALUE"""),398332.0)</f>
        <v>398332</v>
      </c>
      <c r="E4325" s="115">
        <f>IFERROR(__xludf.DUMMYFUNCTION("""COMPUTED_VALUE"""),43144.0)</f>
        <v>43144</v>
      </c>
      <c r="F4325" s="115">
        <f>IFERROR(__xludf.DUMMYFUNCTION("""COMPUTED_VALUE"""),294228.0)</f>
        <v>294228</v>
      </c>
      <c r="G4325" s="115">
        <f>IFERROR(__xludf.DUMMYFUNCTION("""COMPUTED_VALUE"""),29828.0)</f>
        <v>29828</v>
      </c>
      <c r="H4325" s="116">
        <f>IFERROR(__xludf.DUMMYFUNCTION("""COMPUTED_VALUE"""),45908.0)</f>
        <v>45908</v>
      </c>
      <c r="I4325" s="115" t="str">
        <f>IFERROR(__xludf.DUMMYFUNCTION("""COMPUTED_VALUE"""),"22")</f>
        <v>22</v>
      </c>
      <c r="J4325" s="115" t="str">
        <f>IFERROR(__xludf.DUMMYFUNCTION("""COMPUTED_VALUE"""),"Manoj Harsh2025-09-0822")</f>
        <v>Manoj Harsh2025-09-0822</v>
      </c>
      <c r="K4325" s="115">
        <f>IFERROR(__xludf.DUMMYFUNCTION("""COMPUTED_VALUE"""),441476.0)</f>
        <v>441476</v>
      </c>
    </row>
    <row r="4326">
      <c r="A4326" s="115" t="str">
        <f>IFERROR(__xludf.DUMMYFUNCTION("""COMPUTED_VALUE"""),"NORTH")</f>
        <v>NORTH</v>
      </c>
      <c r="B4326" s="115" t="str">
        <f>IFERROR(__xludf.DUMMYFUNCTION("""COMPUTED_VALUE"""),"Manoj Harsh")</f>
        <v>Manoj Harsh</v>
      </c>
      <c r="C4326" s="115" t="str">
        <f>IFERROR(__xludf.DUMMYFUNCTION("""COMPUTED_VALUE"""),"MYNTRA")</f>
        <v>MYNTRA</v>
      </c>
      <c r="D4326" s="115">
        <f>IFERROR(__xludf.DUMMYFUNCTION("""COMPUTED_VALUE"""),40344.0)</f>
        <v>40344</v>
      </c>
      <c r="E4326" s="115">
        <f>IFERROR(__xludf.DUMMYFUNCTION("""COMPUTED_VALUE"""),8197.0)</f>
        <v>8197</v>
      </c>
      <c r="F4326" s="115">
        <f>IFERROR(__xludf.DUMMYFUNCTION("""COMPUTED_VALUE"""),32637.0)</f>
        <v>32637</v>
      </c>
      <c r="G4326" s="115">
        <f>IFERROR(__xludf.DUMMYFUNCTION("""COMPUTED_VALUE"""),6069.0)</f>
        <v>6069</v>
      </c>
      <c r="H4326" s="116">
        <f>IFERROR(__xludf.DUMMYFUNCTION("""COMPUTED_VALUE"""),45908.0)</f>
        <v>45908</v>
      </c>
      <c r="I4326" s="115" t="str">
        <f>IFERROR(__xludf.DUMMYFUNCTION("""COMPUTED_VALUE"""),"22")</f>
        <v>22</v>
      </c>
      <c r="J4326" s="115" t="str">
        <f>IFERROR(__xludf.DUMMYFUNCTION("""COMPUTED_VALUE"""),"Manoj Harsh2025-09-0822")</f>
        <v>Manoj Harsh2025-09-0822</v>
      </c>
      <c r="K4326" s="115">
        <f>IFERROR(__xludf.DUMMYFUNCTION("""COMPUTED_VALUE"""),48541.0)</f>
        <v>48541</v>
      </c>
    </row>
    <row r="4327">
      <c r="A4327" s="115" t="str">
        <f>IFERROR(__xludf.DUMMYFUNCTION("""COMPUTED_VALUE"""),"NORTH")</f>
        <v>NORTH</v>
      </c>
      <c r="B4327" s="115" t="str">
        <f>IFERROR(__xludf.DUMMYFUNCTION("""COMPUTED_VALUE"""),"Pradeep Kothari")</f>
        <v>Pradeep Kothari</v>
      </c>
      <c r="C4327" s="115" t="str">
        <f>IFERROR(__xludf.DUMMYFUNCTION("""COMPUTED_VALUE"""),"EXTERNAL")</f>
        <v>EXTERNAL</v>
      </c>
      <c r="D4327" s="115">
        <f>IFERROR(__xludf.DUMMYFUNCTION("""COMPUTED_VALUE"""),21697.0)</f>
        <v>21697</v>
      </c>
      <c r="E4327" s="115">
        <f>IFERROR(__xludf.DUMMYFUNCTION("""COMPUTED_VALUE"""),2111.0)</f>
        <v>2111</v>
      </c>
      <c r="F4327" s="115">
        <f>IFERROR(__xludf.DUMMYFUNCTION("""COMPUTED_VALUE"""),9107.0)</f>
        <v>9107</v>
      </c>
      <c r="G4327" s="115">
        <f>IFERROR(__xludf.DUMMYFUNCTION("""COMPUTED_VALUE"""),988.0)</f>
        <v>988</v>
      </c>
      <c r="H4327" s="116">
        <f>IFERROR(__xludf.DUMMYFUNCTION("""COMPUTED_VALUE"""),45908.0)</f>
        <v>45908</v>
      </c>
      <c r="I4327" s="115" t="str">
        <f>IFERROR(__xludf.DUMMYFUNCTION("""COMPUTED_VALUE"""),"22")</f>
        <v>22</v>
      </c>
      <c r="J4327" s="115" t="str">
        <f>IFERROR(__xludf.DUMMYFUNCTION("""COMPUTED_VALUE"""),"Pradeep Kothari2025-09-0822")</f>
        <v>Pradeep Kothari2025-09-0822</v>
      </c>
      <c r="K4327" s="115">
        <f>IFERROR(__xludf.DUMMYFUNCTION("""COMPUTED_VALUE"""),23808.0)</f>
        <v>23808</v>
      </c>
    </row>
    <row r="4328">
      <c r="A4328" s="115" t="str">
        <f>IFERROR(__xludf.DUMMYFUNCTION("""COMPUTED_VALUE"""),"NORTH")</f>
        <v>NORTH</v>
      </c>
      <c r="B4328" s="115" t="str">
        <f>IFERROR(__xludf.DUMMYFUNCTION("""COMPUTED_VALUE"""),"Pradeep Kothari")</f>
        <v>Pradeep Kothari</v>
      </c>
      <c r="C4328" s="115" t="str">
        <f>IFERROR(__xludf.DUMMYFUNCTION("""COMPUTED_VALUE"""),"FLIPKART")</f>
        <v>FLIPKART</v>
      </c>
      <c r="D4328" s="115">
        <f>IFERROR(__xludf.DUMMYFUNCTION("""COMPUTED_VALUE"""),141702.0)</f>
        <v>141702</v>
      </c>
      <c r="E4328" s="115">
        <f>IFERROR(__xludf.DUMMYFUNCTION("""COMPUTED_VALUE"""),18159.0)</f>
        <v>18159</v>
      </c>
      <c r="F4328" s="115">
        <f>IFERROR(__xludf.DUMMYFUNCTION("""COMPUTED_VALUE"""),107684.0)</f>
        <v>107684</v>
      </c>
      <c r="G4328" s="115">
        <f>IFERROR(__xludf.DUMMYFUNCTION("""COMPUTED_VALUE"""),12707.0)</f>
        <v>12707</v>
      </c>
      <c r="H4328" s="116">
        <f>IFERROR(__xludf.DUMMYFUNCTION("""COMPUTED_VALUE"""),45908.0)</f>
        <v>45908</v>
      </c>
      <c r="I4328" s="115" t="str">
        <f>IFERROR(__xludf.DUMMYFUNCTION("""COMPUTED_VALUE"""),"22")</f>
        <v>22</v>
      </c>
      <c r="J4328" s="115" t="str">
        <f>IFERROR(__xludf.DUMMYFUNCTION("""COMPUTED_VALUE"""),"Pradeep Kothari2025-09-0822")</f>
        <v>Pradeep Kothari2025-09-0822</v>
      </c>
      <c r="K4328" s="115">
        <f>IFERROR(__xludf.DUMMYFUNCTION("""COMPUTED_VALUE"""),159861.0)</f>
        <v>159861</v>
      </c>
    </row>
    <row r="4329">
      <c r="A4329" s="115" t="str">
        <f>IFERROR(__xludf.DUMMYFUNCTION("""COMPUTED_VALUE"""),"NORTH")</f>
        <v>NORTH</v>
      </c>
      <c r="B4329" s="115" t="str">
        <f>IFERROR(__xludf.DUMMYFUNCTION("""COMPUTED_VALUE"""),"Pradeep Kothari")</f>
        <v>Pradeep Kothari</v>
      </c>
      <c r="C4329" s="115" t="str">
        <f>IFERROR(__xludf.DUMMYFUNCTION("""COMPUTED_VALUE"""),"MYNTRA")</f>
        <v>MYNTRA</v>
      </c>
      <c r="D4329" s="115">
        <f>IFERROR(__xludf.DUMMYFUNCTION("""COMPUTED_VALUE"""),28597.0)</f>
        <v>28597</v>
      </c>
      <c r="E4329" s="115">
        <f>IFERROR(__xludf.DUMMYFUNCTION("""COMPUTED_VALUE"""),7049.0)</f>
        <v>7049</v>
      </c>
      <c r="F4329" s="115">
        <f>IFERROR(__xludf.DUMMYFUNCTION("""COMPUTED_VALUE"""),24017.0)</f>
        <v>24017</v>
      </c>
      <c r="G4329" s="115">
        <f>IFERROR(__xludf.DUMMYFUNCTION("""COMPUTED_VALUE"""),5428.0)</f>
        <v>5428</v>
      </c>
      <c r="H4329" s="116">
        <f>IFERROR(__xludf.DUMMYFUNCTION("""COMPUTED_VALUE"""),45908.0)</f>
        <v>45908</v>
      </c>
      <c r="I4329" s="115" t="str">
        <f>IFERROR(__xludf.DUMMYFUNCTION("""COMPUTED_VALUE"""),"22")</f>
        <v>22</v>
      </c>
      <c r="J4329" s="115" t="str">
        <f>IFERROR(__xludf.DUMMYFUNCTION("""COMPUTED_VALUE"""),"Pradeep Kothari2025-09-0822")</f>
        <v>Pradeep Kothari2025-09-0822</v>
      </c>
      <c r="K4329" s="115">
        <f>IFERROR(__xludf.DUMMYFUNCTION("""COMPUTED_VALUE"""),35646.0)</f>
        <v>35646</v>
      </c>
    </row>
    <row r="4330">
      <c r="A4330" s="115" t="str">
        <f>IFERROR(__xludf.DUMMYFUNCTION("""COMPUTED_VALUE"""),"SOUTH")</f>
        <v>SOUTH</v>
      </c>
      <c r="B4330" s="115" t="str">
        <f>IFERROR(__xludf.DUMMYFUNCTION("""COMPUTED_VALUE"""),"0")</f>
        <v>0</v>
      </c>
      <c r="C4330" s="115" t="str">
        <f>IFERROR(__xludf.DUMMYFUNCTION("""COMPUTED_VALUE"""),"EXTERNAL")</f>
        <v>EXTERNAL</v>
      </c>
      <c r="D4330" s="115">
        <f>IFERROR(__xludf.DUMMYFUNCTION("""COMPUTED_VALUE"""),1.0)</f>
        <v>1</v>
      </c>
      <c r="E4330" s="115">
        <f>IFERROR(__xludf.DUMMYFUNCTION("""COMPUTED_VALUE"""),0.0)</f>
        <v>0</v>
      </c>
      <c r="F4330" s="115">
        <f>IFERROR(__xludf.DUMMYFUNCTION("""COMPUTED_VALUE"""),1.0)</f>
        <v>1</v>
      </c>
      <c r="G4330" s="115">
        <f>IFERROR(__xludf.DUMMYFUNCTION("""COMPUTED_VALUE"""),0.0)</f>
        <v>0</v>
      </c>
      <c r="H4330" s="116">
        <f>IFERROR(__xludf.DUMMYFUNCTION("""COMPUTED_VALUE"""),45908.0)</f>
        <v>45908</v>
      </c>
      <c r="I4330" s="115" t="str">
        <f>IFERROR(__xludf.DUMMYFUNCTION("""COMPUTED_VALUE"""),"22")</f>
        <v>22</v>
      </c>
      <c r="J4330" s="115" t="str">
        <f>IFERROR(__xludf.DUMMYFUNCTION("""COMPUTED_VALUE"""),"02025-09-0822")</f>
        <v>02025-09-0822</v>
      </c>
      <c r="K4330" s="115">
        <f>IFERROR(__xludf.DUMMYFUNCTION("""COMPUTED_VALUE"""),1.0)</f>
        <v>1</v>
      </c>
    </row>
    <row r="4331">
      <c r="A4331" s="115" t="str">
        <f>IFERROR(__xludf.DUMMYFUNCTION("""COMPUTED_VALUE"""),"SOUTH")</f>
        <v>SOUTH</v>
      </c>
      <c r="B4331" s="115" t="str">
        <f>IFERROR(__xludf.DUMMYFUNCTION("""COMPUTED_VALUE"""),"0")</f>
        <v>0</v>
      </c>
      <c r="C4331" s="115" t="str">
        <f>IFERROR(__xludf.DUMMYFUNCTION("""COMPUTED_VALUE"""),"FLIPKART")</f>
        <v>FLIPKART</v>
      </c>
      <c r="D4331" s="115">
        <f>IFERROR(__xludf.DUMMYFUNCTION("""COMPUTED_VALUE"""),37.0)</f>
        <v>37</v>
      </c>
      <c r="E4331" s="115">
        <f>IFERROR(__xludf.DUMMYFUNCTION("""COMPUTED_VALUE"""),72.0)</f>
        <v>72</v>
      </c>
      <c r="F4331" s="115">
        <f>IFERROR(__xludf.DUMMYFUNCTION("""COMPUTED_VALUE"""),32.0)</f>
        <v>32</v>
      </c>
      <c r="G4331" s="115">
        <f>IFERROR(__xludf.DUMMYFUNCTION("""COMPUTED_VALUE"""),32.0)</f>
        <v>32</v>
      </c>
      <c r="H4331" s="116">
        <f>IFERROR(__xludf.DUMMYFUNCTION("""COMPUTED_VALUE"""),45908.0)</f>
        <v>45908</v>
      </c>
      <c r="I4331" s="115" t="str">
        <f>IFERROR(__xludf.DUMMYFUNCTION("""COMPUTED_VALUE"""),"22")</f>
        <v>22</v>
      </c>
      <c r="J4331" s="115" t="str">
        <f>IFERROR(__xludf.DUMMYFUNCTION("""COMPUTED_VALUE"""),"02025-09-0822")</f>
        <v>02025-09-0822</v>
      </c>
      <c r="K4331" s="115">
        <f>IFERROR(__xludf.DUMMYFUNCTION("""COMPUTED_VALUE"""),109.0)</f>
        <v>109</v>
      </c>
    </row>
    <row r="4332">
      <c r="A4332" s="115" t="str">
        <f>IFERROR(__xludf.DUMMYFUNCTION("""COMPUTED_VALUE"""),"SOUTH")</f>
        <v>SOUTH</v>
      </c>
      <c r="B4332" s="115" t="str">
        <f>IFERROR(__xludf.DUMMYFUNCTION("""COMPUTED_VALUE"""),"0")</f>
        <v>0</v>
      </c>
      <c r="C4332" s="115" t="str">
        <f>IFERROR(__xludf.DUMMYFUNCTION("""COMPUTED_VALUE"""),"MYNTRA")</f>
        <v>MYNTRA</v>
      </c>
      <c r="D4332" s="115">
        <f>IFERROR(__xludf.DUMMYFUNCTION("""COMPUTED_VALUE"""),7.0)</f>
        <v>7</v>
      </c>
      <c r="E4332" s="115">
        <f>IFERROR(__xludf.DUMMYFUNCTION("""COMPUTED_VALUE"""),24.0)</f>
        <v>24</v>
      </c>
      <c r="F4332" s="115">
        <f>IFERROR(__xludf.DUMMYFUNCTION("""COMPUTED_VALUE"""),1.0)</f>
        <v>1</v>
      </c>
      <c r="G4332" s="115">
        <f>IFERROR(__xludf.DUMMYFUNCTION("""COMPUTED_VALUE"""),7.0)</f>
        <v>7</v>
      </c>
      <c r="H4332" s="116">
        <f>IFERROR(__xludf.DUMMYFUNCTION("""COMPUTED_VALUE"""),45908.0)</f>
        <v>45908</v>
      </c>
      <c r="I4332" s="115" t="str">
        <f>IFERROR(__xludf.DUMMYFUNCTION("""COMPUTED_VALUE"""),"22")</f>
        <v>22</v>
      </c>
      <c r="J4332" s="115" t="str">
        <f>IFERROR(__xludf.DUMMYFUNCTION("""COMPUTED_VALUE"""),"02025-09-0822")</f>
        <v>02025-09-0822</v>
      </c>
      <c r="K4332" s="115">
        <f>IFERROR(__xludf.DUMMYFUNCTION("""COMPUTED_VALUE"""),31.0)</f>
        <v>31</v>
      </c>
    </row>
    <row r="4333">
      <c r="A4333" s="115" t="str">
        <f>IFERROR(__xludf.DUMMYFUNCTION("""COMPUTED_VALUE"""),"SOUTH")</f>
        <v>SOUTH</v>
      </c>
      <c r="B4333" s="115" t="str">
        <f>IFERROR(__xludf.DUMMYFUNCTION("""COMPUTED_VALUE"""),"Kandula Sampath")</f>
        <v>Kandula Sampath</v>
      </c>
      <c r="C4333" s="115" t="str">
        <f>IFERROR(__xludf.DUMMYFUNCTION("""COMPUTED_VALUE"""),"EXTERNAL")</f>
        <v>EXTERNAL</v>
      </c>
      <c r="D4333" s="115">
        <f>IFERROR(__xludf.DUMMYFUNCTION("""COMPUTED_VALUE"""),38364.0)</f>
        <v>38364</v>
      </c>
      <c r="E4333" s="115">
        <f>IFERROR(__xludf.DUMMYFUNCTION("""COMPUTED_VALUE"""),4257.0)</f>
        <v>4257</v>
      </c>
      <c r="F4333" s="115">
        <f>IFERROR(__xludf.DUMMYFUNCTION("""COMPUTED_VALUE"""),17566.0)</f>
        <v>17566</v>
      </c>
      <c r="G4333" s="115">
        <f>IFERROR(__xludf.DUMMYFUNCTION("""COMPUTED_VALUE"""),1728.0)</f>
        <v>1728</v>
      </c>
      <c r="H4333" s="116">
        <f>IFERROR(__xludf.DUMMYFUNCTION("""COMPUTED_VALUE"""),45908.0)</f>
        <v>45908</v>
      </c>
      <c r="I4333" s="115" t="str">
        <f>IFERROR(__xludf.DUMMYFUNCTION("""COMPUTED_VALUE"""),"22")</f>
        <v>22</v>
      </c>
      <c r="J4333" s="115" t="str">
        <f>IFERROR(__xludf.DUMMYFUNCTION("""COMPUTED_VALUE"""),"Kandula Sampath2025-09-0822")</f>
        <v>Kandula Sampath2025-09-0822</v>
      </c>
      <c r="K4333" s="115">
        <f>IFERROR(__xludf.DUMMYFUNCTION("""COMPUTED_VALUE"""),42621.0)</f>
        <v>42621</v>
      </c>
    </row>
    <row r="4334">
      <c r="A4334" s="115" t="str">
        <f>IFERROR(__xludf.DUMMYFUNCTION("""COMPUTED_VALUE"""),"SOUTH")</f>
        <v>SOUTH</v>
      </c>
      <c r="B4334" s="115" t="str">
        <f>IFERROR(__xludf.DUMMYFUNCTION("""COMPUTED_VALUE"""),"Kandula Sampath")</f>
        <v>Kandula Sampath</v>
      </c>
      <c r="C4334" s="115" t="str">
        <f>IFERROR(__xludf.DUMMYFUNCTION("""COMPUTED_VALUE"""),"FLIPKART")</f>
        <v>FLIPKART</v>
      </c>
      <c r="D4334" s="115">
        <f>IFERROR(__xludf.DUMMYFUNCTION("""COMPUTED_VALUE"""),351150.0)</f>
        <v>351150</v>
      </c>
      <c r="E4334" s="115">
        <f>IFERROR(__xludf.DUMMYFUNCTION("""COMPUTED_VALUE"""),34542.0)</f>
        <v>34542</v>
      </c>
      <c r="F4334" s="115">
        <f>IFERROR(__xludf.DUMMYFUNCTION("""COMPUTED_VALUE"""),266814.0)</f>
        <v>266814</v>
      </c>
      <c r="G4334" s="115">
        <f>IFERROR(__xludf.DUMMYFUNCTION("""COMPUTED_VALUE"""),23076.0)</f>
        <v>23076</v>
      </c>
      <c r="H4334" s="116">
        <f>IFERROR(__xludf.DUMMYFUNCTION("""COMPUTED_VALUE"""),45908.0)</f>
        <v>45908</v>
      </c>
      <c r="I4334" s="115" t="str">
        <f>IFERROR(__xludf.DUMMYFUNCTION("""COMPUTED_VALUE"""),"22")</f>
        <v>22</v>
      </c>
      <c r="J4334" s="115" t="str">
        <f>IFERROR(__xludf.DUMMYFUNCTION("""COMPUTED_VALUE"""),"Kandula Sampath2025-09-0822")</f>
        <v>Kandula Sampath2025-09-0822</v>
      </c>
      <c r="K4334" s="115">
        <f>IFERROR(__xludf.DUMMYFUNCTION("""COMPUTED_VALUE"""),385692.0)</f>
        <v>385692</v>
      </c>
    </row>
    <row r="4335">
      <c r="A4335" s="115" t="str">
        <f>IFERROR(__xludf.DUMMYFUNCTION("""COMPUTED_VALUE"""),"SOUTH")</f>
        <v>SOUTH</v>
      </c>
      <c r="B4335" s="115" t="str">
        <f>IFERROR(__xludf.DUMMYFUNCTION("""COMPUTED_VALUE"""),"Kandula Sampath")</f>
        <v>Kandula Sampath</v>
      </c>
      <c r="C4335" s="115" t="str">
        <f>IFERROR(__xludf.DUMMYFUNCTION("""COMPUTED_VALUE"""),"MYNTRA")</f>
        <v>MYNTRA</v>
      </c>
      <c r="D4335" s="115">
        <f>IFERROR(__xludf.DUMMYFUNCTION("""COMPUTED_VALUE"""),41312.0)</f>
        <v>41312</v>
      </c>
      <c r="E4335" s="115">
        <f>IFERROR(__xludf.DUMMYFUNCTION("""COMPUTED_VALUE"""),9489.0)</f>
        <v>9489</v>
      </c>
      <c r="F4335" s="115">
        <f>IFERROR(__xludf.DUMMYFUNCTION("""COMPUTED_VALUE"""),34063.0)</f>
        <v>34063</v>
      </c>
      <c r="G4335" s="115">
        <f>IFERROR(__xludf.DUMMYFUNCTION("""COMPUTED_VALUE"""),6748.0)</f>
        <v>6748</v>
      </c>
      <c r="H4335" s="116">
        <f>IFERROR(__xludf.DUMMYFUNCTION("""COMPUTED_VALUE"""),45908.0)</f>
        <v>45908</v>
      </c>
      <c r="I4335" s="115" t="str">
        <f>IFERROR(__xludf.DUMMYFUNCTION("""COMPUTED_VALUE"""),"22")</f>
        <v>22</v>
      </c>
      <c r="J4335" s="115" t="str">
        <f>IFERROR(__xludf.DUMMYFUNCTION("""COMPUTED_VALUE"""),"Kandula Sampath2025-09-0822")</f>
        <v>Kandula Sampath2025-09-0822</v>
      </c>
      <c r="K4335" s="115">
        <f>IFERROR(__xludf.DUMMYFUNCTION("""COMPUTED_VALUE"""),50801.0)</f>
        <v>50801</v>
      </c>
    </row>
    <row r="4336">
      <c r="A4336" s="115" t="str">
        <f>IFERROR(__xludf.DUMMYFUNCTION("""COMPUTED_VALUE"""),"SOUTH")</f>
        <v>SOUTH</v>
      </c>
      <c r="B4336" s="115" t="str">
        <f>IFERROR(__xludf.DUMMYFUNCTION("""COMPUTED_VALUE"""),"Martin A")</f>
        <v>Martin A</v>
      </c>
      <c r="C4336" s="115" t="str">
        <f>IFERROR(__xludf.DUMMYFUNCTION("""COMPUTED_VALUE"""),"EXTERNAL")</f>
        <v>EXTERNAL</v>
      </c>
      <c r="D4336" s="115">
        <f>IFERROR(__xludf.DUMMYFUNCTION("""COMPUTED_VALUE"""),37468.0)</f>
        <v>37468</v>
      </c>
      <c r="E4336" s="115">
        <f>IFERROR(__xludf.DUMMYFUNCTION("""COMPUTED_VALUE"""),4540.0)</f>
        <v>4540</v>
      </c>
      <c r="F4336" s="115">
        <f>IFERROR(__xludf.DUMMYFUNCTION("""COMPUTED_VALUE"""),16887.0)</f>
        <v>16887</v>
      </c>
      <c r="G4336" s="115">
        <f>IFERROR(__xludf.DUMMYFUNCTION("""COMPUTED_VALUE"""),2602.0)</f>
        <v>2602</v>
      </c>
      <c r="H4336" s="116">
        <f>IFERROR(__xludf.DUMMYFUNCTION("""COMPUTED_VALUE"""),45908.0)</f>
        <v>45908</v>
      </c>
      <c r="I4336" s="115" t="str">
        <f>IFERROR(__xludf.DUMMYFUNCTION("""COMPUTED_VALUE"""),"22")</f>
        <v>22</v>
      </c>
      <c r="J4336" s="115" t="str">
        <f>IFERROR(__xludf.DUMMYFUNCTION("""COMPUTED_VALUE"""),"Martin A2025-09-0822")</f>
        <v>Martin A2025-09-0822</v>
      </c>
      <c r="K4336" s="115">
        <f>IFERROR(__xludf.DUMMYFUNCTION("""COMPUTED_VALUE"""),42008.0)</f>
        <v>42008</v>
      </c>
    </row>
    <row r="4337">
      <c r="A4337" s="115" t="str">
        <f>IFERROR(__xludf.DUMMYFUNCTION("""COMPUTED_VALUE"""),"SOUTH")</f>
        <v>SOUTH</v>
      </c>
      <c r="B4337" s="115" t="str">
        <f>IFERROR(__xludf.DUMMYFUNCTION("""COMPUTED_VALUE"""),"Martin A")</f>
        <v>Martin A</v>
      </c>
      <c r="C4337" s="115" t="str">
        <f>IFERROR(__xludf.DUMMYFUNCTION("""COMPUTED_VALUE"""),"FLIPKART")</f>
        <v>FLIPKART</v>
      </c>
      <c r="D4337" s="115">
        <f>IFERROR(__xludf.DUMMYFUNCTION("""COMPUTED_VALUE"""),306534.0)</f>
        <v>306534</v>
      </c>
      <c r="E4337" s="115">
        <f>IFERROR(__xludf.DUMMYFUNCTION("""COMPUTED_VALUE"""),30223.0)</f>
        <v>30223</v>
      </c>
      <c r="F4337" s="115">
        <f>IFERROR(__xludf.DUMMYFUNCTION("""COMPUTED_VALUE"""),234323.0)</f>
        <v>234323</v>
      </c>
      <c r="G4337" s="115">
        <f>IFERROR(__xludf.DUMMYFUNCTION("""COMPUTED_VALUE"""),20828.0)</f>
        <v>20828</v>
      </c>
      <c r="H4337" s="116">
        <f>IFERROR(__xludf.DUMMYFUNCTION("""COMPUTED_VALUE"""),45908.0)</f>
        <v>45908</v>
      </c>
      <c r="I4337" s="115" t="str">
        <f>IFERROR(__xludf.DUMMYFUNCTION("""COMPUTED_VALUE"""),"22")</f>
        <v>22</v>
      </c>
      <c r="J4337" s="115" t="str">
        <f>IFERROR(__xludf.DUMMYFUNCTION("""COMPUTED_VALUE"""),"Martin A2025-09-0822")</f>
        <v>Martin A2025-09-0822</v>
      </c>
      <c r="K4337" s="115">
        <f>IFERROR(__xludf.DUMMYFUNCTION("""COMPUTED_VALUE"""),336757.0)</f>
        <v>336757</v>
      </c>
    </row>
    <row r="4338">
      <c r="A4338" s="115" t="str">
        <f>IFERROR(__xludf.DUMMYFUNCTION("""COMPUTED_VALUE"""),"SOUTH")</f>
        <v>SOUTH</v>
      </c>
      <c r="B4338" s="115" t="str">
        <f>IFERROR(__xludf.DUMMYFUNCTION("""COMPUTED_VALUE"""),"Martin A")</f>
        <v>Martin A</v>
      </c>
      <c r="C4338" s="115" t="str">
        <f>IFERROR(__xludf.DUMMYFUNCTION("""COMPUTED_VALUE"""),"MYNTRA")</f>
        <v>MYNTRA</v>
      </c>
      <c r="D4338" s="115">
        <f>IFERROR(__xludf.DUMMYFUNCTION("""COMPUTED_VALUE"""),30600.0)</f>
        <v>30600</v>
      </c>
      <c r="E4338" s="115">
        <f>IFERROR(__xludf.DUMMYFUNCTION("""COMPUTED_VALUE"""),8011.0)</f>
        <v>8011</v>
      </c>
      <c r="F4338" s="115">
        <f>IFERROR(__xludf.DUMMYFUNCTION("""COMPUTED_VALUE"""),26160.0)</f>
        <v>26160</v>
      </c>
      <c r="G4338" s="115">
        <f>IFERROR(__xludf.DUMMYFUNCTION("""COMPUTED_VALUE"""),5752.0)</f>
        <v>5752</v>
      </c>
      <c r="H4338" s="116">
        <f>IFERROR(__xludf.DUMMYFUNCTION("""COMPUTED_VALUE"""),45908.0)</f>
        <v>45908</v>
      </c>
      <c r="I4338" s="115" t="str">
        <f>IFERROR(__xludf.DUMMYFUNCTION("""COMPUTED_VALUE"""),"22")</f>
        <v>22</v>
      </c>
      <c r="J4338" s="115" t="str">
        <f>IFERROR(__xludf.DUMMYFUNCTION("""COMPUTED_VALUE"""),"Martin A2025-09-0822")</f>
        <v>Martin A2025-09-0822</v>
      </c>
      <c r="K4338" s="115">
        <f>IFERROR(__xludf.DUMMYFUNCTION("""COMPUTED_VALUE"""),38611.0)</f>
        <v>38611</v>
      </c>
    </row>
    <row r="4339">
      <c r="A4339" s="115" t="str">
        <f>IFERROR(__xludf.DUMMYFUNCTION("""COMPUTED_VALUE"""),"SOUTH")</f>
        <v>SOUTH</v>
      </c>
      <c r="B4339" s="115" t="str">
        <f>IFERROR(__xludf.DUMMYFUNCTION("""COMPUTED_VALUE"""),"Premkumar M")</f>
        <v>Premkumar M</v>
      </c>
      <c r="C4339" s="115" t="str">
        <f>IFERROR(__xludf.DUMMYFUNCTION("""COMPUTED_VALUE"""),"EXTERNAL")</f>
        <v>EXTERNAL</v>
      </c>
      <c r="D4339" s="115">
        <f>IFERROR(__xludf.DUMMYFUNCTION("""COMPUTED_VALUE"""),33973.0)</f>
        <v>33973</v>
      </c>
      <c r="E4339" s="115">
        <f>IFERROR(__xludf.DUMMYFUNCTION("""COMPUTED_VALUE"""),2069.0)</f>
        <v>2069</v>
      </c>
      <c r="F4339" s="115">
        <f>IFERROR(__xludf.DUMMYFUNCTION("""COMPUTED_VALUE"""),18073.0)</f>
        <v>18073</v>
      </c>
      <c r="G4339" s="115">
        <f>IFERROR(__xludf.DUMMYFUNCTION("""COMPUTED_VALUE"""),986.0)</f>
        <v>986</v>
      </c>
      <c r="H4339" s="116">
        <f>IFERROR(__xludf.DUMMYFUNCTION("""COMPUTED_VALUE"""),45908.0)</f>
        <v>45908</v>
      </c>
      <c r="I4339" s="115" t="str">
        <f>IFERROR(__xludf.DUMMYFUNCTION("""COMPUTED_VALUE"""),"22")</f>
        <v>22</v>
      </c>
      <c r="J4339" s="115" t="str">
        <f>IFERROR(__xludf.DUMMYFUNCTION("""COMPUTED_VALUE"""),"Premkumar M2025-09-0822")</f>
        <v>Premkumar M2025-09-0822</v>
      </c>
      <c r="K4339" s="115">
        <f>IFERROR(__xludf.DUMMYFUNCTION("""COMPUTED_VALUE"""),36042.0)</f>
        <v>36042</v>
      </c>
    </row>
    <row r="4340">
      <c r="A4340" s="115" t="str">
        <f>IFERROR(__xludf.DUMMYFUNCTION("""COMPUTED_VALUE"""),"SOUTH")</f>
        <v>SOUTH</v>
      </c>
      <c r="B4340" s="115" t="str">
        <f>IFERROR(__xludf.DUMMYFUNCTION("""COMPUTED_VALUE"""),"Premkumar M")</f>
        <v>Premkumar M</v>
      </c>
      <c r="C4340" s="115" t="str">
        <f>IFERROR(__xludf.DUMMYFUNCTION("""COMPUTED_VALUE"""),"FLIPKART")</f>
        <v>FLIPKART</v>
      </c>
      <c r="D4340" s="115">
        <f>IFERROR(__xludf.DUMMYFUNCTION("""COMPUTED_VALUE"""),308422.0)</f>
        <v>308422</v>
      </c>
      <c r="E4340" s="115">
        <f>IFERROR(__xludf.DUMMYFUNCTION("""COMPUTED_VALUE"""),20819.0)</f>
        <v>20819</v>
      </c>
      <c r="F4340" s="115">
        <f>IFERROR(__xludf.DUMMYFUNCTION("""COMPUTED_VALUE"""),244136.0)</f>
        <v>244136</v>
      </c>
      <c r="G4340" s="115">
        <f>IFERROR(__xludf.DUMMYFUNCTION("""COMPUTED_VALUE"""),12823.0)</f>
        <v>12823</v>
      </c>
      <c r="H4340" s="116">
        <f>IFERROR(__xludf.DUMMYFUNCTION("""COMPUTED_VALUE"""),45908.0)</f>
        <v>45908</v>
      </c>
      <c r="I4340" s="115" t="str">
        <f>IFERROR(__xludf.DUMMYFUNCTION("""COMPUTED_VALUE"""),"22")</f>
        <v>22</v>
      </c>
      <c r="J4340" s="115" t="str">
        <f>IFERROR(__xludf.DUMMYFUNCTION("""COMPUTED_VALUE"""),"Premkumar M2025-09-0822")</f>
        <v>Premkumar M2025-09-0822</v>
      </c>
      <c r="K4340" s="115">
        <f>IFERROR(__xludf.DUMMYFUNCTION("""COMPUTED_VALUE"""),329241.0)</f>
        <v>329241</v>
      </c>
    </row>
    <row r="4341">
      <c r="A4341" s="115" t="str">
        <f>IFERROR(__xludf.DUMMYFUNCTION("""COMPUTED_VALUE"""),"SOUTH")</f>
        <v>SOUTH</v>
      </c>
      <c r="B4341" s="115" t="str">
        <f>IFERROR(__xludf.DUMMYFUNCTION("""COMPUTED_VALUE"""),"Premkumar M")</f>
        <v>Premkumar M</v>
      </c>
      <c r="C4341" s="115" t="str">
        <f>IFERROR(__xludf.DUMMYFUNCTION("""COMPUTED_VALUE"""),"MYNTRA")</f>
        <v>MYNTRA</v>
      </c>
      <c r="D4341" s="115">
        <f>IFERROR(__xludf.DUMMYFUNCTION("""COMPUTED_VALUE"""),17186.0)</f>
        <v>17186</v>
      </c>
      <c r="E4341" s="115">
        <f>IFERROR(__xludf.DUMMYFUNCTION("""COMPUTED_VALUE"""),3171.0)</f>
        <v>3171</v>
      </c>
      <c r="F4341" s="115">
        <f>IFERROR(__xludf.DUMMYFUNCTION("""COMPUTED_VALUE"""),14818.0)</f>
        <v>14818</v>
      </c>
      <c r="G4341" s="115">
        <f>IFERROR(__xludf.DUMMYFUNCTION("""COMPUTED_VALUE"""),2067.0)</f>
        <v>2067</v>
      </c>
      <c r="H4341" s="116">
        <f>IFERROR(__xludf.DUMMYFUNCTION("""COMPUTED_VALUE"""),45908.0)</f>
        <v>45908</v>
      </c>
      <c r="I4341" s="115" t="str">
        <f>IFERROR(__xludf.DUMMYFUNCTION("""COMPUTED_VALUE"""),"22")</f>
        <v>22</v>
      </c>
      <c r="J4341" s="115" t="str">
        <f>IFERROR(__xludf.DUMMYFUNCTION("""COMPUTED_VALUE"""),"Premkumar M2025-09-0822")</f>
        <v>Premkumar M2025-09-0822</v>
      </c>
      <c r="K4341" s="115">
        <f>IFERROR(__xludf.DUMMYFUNCTION("""COMPUTED_VALUE"""),20357.0)</f>
        <v>20357</v>
      </c>
    </row>
    <row r="4342">
      <c r="A4342" s="115" t="str">
        <f>IFERROR(__xludf.DUMMYFUNCTION("""COMPUTED_VALUE"""),"SOUTH")</f>
        <v>SOUTH</v>
      </c>
      <c r="B4342" s="115" t="str">
        <f>IFERROR(__xludf.DUMMYFUNCTION("""COMPUTED_VALUE"""),"Vineeth V")</f>
        <v>Vineeth V</v>
      </c>
      <c r="C4342" s="115" t="str">
        <f>IFERROR(__xludf.DUMMYFUNCTION("""COMPUTED_VALUE"""),"EXTERNAL")</f>
        <v>EXTERNAL</v>
      </c>
      <c r="D4342" s="115">
        <f>IFERROR(__xludf.DUMMYFUNCTION("""COMPUTED_VALUE"""),25039.0)</f>
        <v>25039</v>
      </c>
      <c r="E4342" s="115">
        <f>IFERROR(__xludf.DUMMYFUNCTION("""COMPUTED_VALUE"""),774.0)</f>
        <v>774</v>
      </c>
      <c r="F4342" s="115">
        <f>IFERROR(__xludf.DUMMYFUNCTION("""COMPUTED_VALUE"""),13562.0)</f>
        <v>13562</v>
      </c>
      <c r="G4342" s="115">
        <f>IFERROR(__xludf.DUMMYFUNCTION("""COMPUTED_VALUE"""),431.0)</f>
        <v>431</v>
      </c>
      <c r="H4342" s="116">
        <f>IFERROR(__xludf.DUMMYFUNCTION("""COMPUTED_VALUE"""),45908.0)</f>
        <v>45908</v>
      </c>
      <c r="I4342" s="115" t="str">
        <f>IFERROR(__xludf.DUMMYFUNCTION("""COMPUTED_VALUE"""),"22")</f>
        <v>22</v>
      </c>
      <c r="J4342" s="115" t="str">
        <f>IFERROR(__xludf.DUMMYFUNCTION("""COMPUTED_VALUE"""),"Vineeth V2025-09-0822")</f>
        <v>Vineeth V2025-09-0822</v>
      </c>
      <c r="K4342" s="115">
        <f>IFERROR(__xludf.DUMMYFUNCTION("""COMPUTED_VALUE"""),25813.0)</f>
        <v>25813</v>
      </c>
    </row>
    <row r="4343">
      <c r="A4343" s="115" t="str">
        <f>IFERROR(__xludf.DUMMYFUNCTION("""COMPUTED_VALUE"""),"SOUTH")</f>
        <v>SOUTH</v>
      </c>
      <c r="B4343" s="115" t="str">
        <f>IFERROR(__xludf.DUMMYFUNCTION("""COMPUTED_VALUE"""),"Vineeth V")</f>
        <v>Vineeth V</v>
      </c>
      <c r="C4343" s="115" t="str">
        <f>IFERROR(__xludf.DUMMYFUNCTION("""COMPUTED_VALUE"""),"FLIPKART")</f>
        <v>FLIPKART</v>
      </c>
      <c r="D4343" s="115">
        <f>IFERROR(__xludf.DUMMYFUNCTION("""COMPUTED_VALUE"""),275319.0)</f>
        <v>275319</v>
      </c>
      <c r="E4343" s="115">
        <f>IFERROR(__xludf.DUMMYFUNCTION("""COMPUTED_VALUE"""),18652.0)</f>
        <v>18652</v>
      </c>
      <c r="F4343" s="115">
        <f>IFERROR(__xludf.DUMMYFUNCTION("""COMPUTED_VALUE"""),227079.0)</f>
        <v>227079</v>
      </c>
      <c r="G4343" s="115">
        <f>IFERROR(__xludf.DUMMYFUNCTION("""COMPUTED_VALUE"""),11638.0)</f>
        <v>11638</v>
      </c>
      <c r="H4343" s="116">
        <f>IFERROR(__xludf.DUMMYFUNCTION("""COMPUTED_VALUE"""),45908.0)</f>
        <v>45908</v>
      </c>
      <c r="I4343" s="115" t="str">
        <f>IFERROR(__xludf.DUMMYFUNCTION("""COMPUTED_VALUE"""),"22")</f>
        <v>22</v>
      </c>
      <c r="J4343" s="115" t="str">
        <f>IFERROR(__xludf.DUMMYFUNCTION("""COMPUTED_VALUE"""),"Vineeth V2025-09-0822")</f>
        <v>Vineeth V2025-09-0822</v>
      </c>
      <c r="K4343" s="115">
        <f>IFERROR(__xludf.DUMMYFUNCTION("""COMPUTED_VALUE"""),293971.0)</f>
        <v>293971</v>
      </c>
    </row>
    <row r="4344">
      <c r="A4344" s="115" t="str">
        <f>IFERROR(__xludf.DUMMYFUNCTION("""COMPUTED_VALUE"""),"SOUTH")</f>
        <v>SOUTH</v>
      </c>
      <c r="B4344" s="115" t="str">
        <f>IFERROR(__xludf.DUMMYFUNCTION("""COMPUTED_VALUE"""),"Vineeth V")</f>
        <v>Vineeth V</v>
      </c>
      <c r="C4344" s="115" t="str">
        <f>IFERROR(__xludf.DUMMYFUNCTION("""COMPUTED_VALUE"""),"MYNTRA")</f>
        <v>MYNTRA</v>
      </c>
      <c r="D4344" s="115">
        <f>IFERROR(__xludf.DUMMYFUNCTION("""COMPUTED_VALUE"""),20828.0)</f>
        <v>20828</v>
      </c>
      <c r="E4344" s="115">
        <f>IFERROR(__xludf.DUMMYFUNCTION("""COMPUTED_VALUE"""),4938.0)</f>
        <v>4938</v>
      </c>
      <c r="F4344" s="115">
        <f>IFERROR(__xludf.DUMMYFUNCTION("""COMPUTED_VALUE"""),18131.0)</f>
        <v>18131</v>
      </c>
      <c r="G4344" s="115">
        <f>IFERROR(__xludf.DUMMYFUNCTION("""COMPUTED_VALUE"""),3269.0)</f>
        <v>3269</v>
      </c>
      <c r="H4344" s="116">
        <f>IFERROR(__xludf.DUMMYFUNCTION("""COMPUTED_VALUE"""),45908.0)</f>
        <v>45908</v>
      </c>
      <c r="I4344" s="115" t="str">
        <f>IFERROR(__xludf.DUMMYFUNCTION("""COMPUTED_VALUE"""),"22")</f>
        <v>22</v>
      </c>
      <c r="J4344" s="115" t="str">
        <f>IFERROR(__xludf.DUMMYFUNCTION("""COMPUTED_VALUE"""),"Vineeth V2025-09-0822")</f>
        <v>Vineeth V2025-09-0822</v>
      </c>
      <c r="K4344" s="115">
        <f>IFERROR(__xludf.DUMMYFUNCTION("""COMPUTED_VALUE"""),25766.0)</f>
        <v>25766</v>
      </c>
    </row>
    <row r="4345">
      <c r="A4345" s="115" t="str">
        <f>IFERROR(__xludf.DUMMYFUNCTION("""COMPUTED_VALUE"""),"WEST")</f>
        <v>WEST</v>
      </c>
      <c r="B4345" s="115" t="str">
        <f>IFERROR(__xludf.DUMMYFUNCTION("""COMPUTED_VALUE"""),"Ashish Jakar")</f>
        <v>Ashish Jakar</v>
      </c>
      <c r="C4345" s="115" t="str">
        <f>IFERROR(__xludf.DUMMYFUNCTION("""COMPUTED_VALUE"""),"EXTERNAL")</f>
        <v>EXTERNAL</v>
      </c>
      <c r="D4345" s="115">
        <f>IFERROR(__xludf.DUMMYFUNCTION("""COMPUTED_VALUE"""),64528.0)</f>
        <v>64528</v>
      </c>
      <c r="E4345" s="115">
        <f>IFERROR(__xludf.DUMMYFUNCTION("""COMPUTED_VALUE"""),8025.0)</f>
        <v>8025</v>
      </c>
      <c r="F4345" s="115">
        <f>IFERROR(__xludf.DUMMYFUNCTION("""COMPUTED_VALUE"""),27361.0)</f>
        <v>27361</v>
      </c>
      <c r="G4345" s="115">
        <f>IFERROR(__xludf.DUMMYFUNCTION("""COMPUTED_VALUE"""),3601.0)</f>
        <v>3601</v>
      </c>
      <c r="H4345" s="116">
        <f>IFERROR(__xludf.DUMMYFUNCTION("""COMPUTED_VALUE"""),45908.0)</f>
        <v>45908</v>
      </c>
      <c r="I4345" s="115" t="str">
        <f>IFERROR(__xludf.DUMMYFUNCTION("""COMPUTED_VALUE"""),"22")</f>
        <v>22</v>
      </c>
      <c r="J4345" s="115" t="str">
        <f>IFERROR(__xludf.DUMMYFUNCTION("""COMPUTED_VALUE"""),"Ashish Jakar2025-09-0822")</f>
        <v>Ashish Jakar2025-09-0822</v>
      </c>
      <c r="K4345" s="115">
        <f>IFERROR(__xludf.DUMMYFUNCTION("""COMPUTED_VALUE"""),72553.0)</f>
        <v>72553</v>
      </c>
    </row>
    <row r="4346">
      <c r="A4346" s="115" t="str">
        <f>IFERROR(__xludf.DUMMYFUNCTION("""COMPUTED_VALUE"""),"WEST")</f>
        <v>WEST</v>
      </c>
      <c r="B4346" s="115" t="str">
        <f>IFERROR(__xludf.DUMMYFUNCTION("""COMPUTED_VALUE"""),"Ashish Jakar")</f>
        <v>Ashish Jakar</v>
      </c>
      <c r="C4346" s="115" t="str">
        <f>IFERROR(__xludf.DUMMYFUNCTION("""COMPUTED_VALUE"""),"FLIPKART")</f>
        <v>FLIPKART</v>
      </c>
      <c r="D4346" s="115">
        <f>IFERROR(__xludf.DUMMYFUNCTION("""COMPUTED_VALUE"""),372930.0)</f>
        <v>372930</v>
      </c>
      <c r="E4346" s="115">
        <f>IFERROR(__xludf.DUMMYFUNCTION("""COMPUTED_VALUE"""),35222.0)</f>
        <v>35222</v>
      </c>
      <c r="F4346" s="115">
        <f>IFERROR(__xludf.DUMMYFUNCTION("""COMPUTED_VALUE"""),272762.0)</f>
        <v>272762</v>
      </c>
      <c r="G4346" s="115">
        <f>IFERROR(__xludf.DUMMYFUNCTION("""COMPUTED_VALUE"""),23159.0)</f>
        <v>23159</v>
      </c>
      <c r="H4346" s="116">
        <f>IFERROR(__xludf.DUMMYFUNCTION("""COMPUTED_VALUE"""),45908.0)</f>
        <v>45908</v>
      </c>
      <c r="I4346" s="115" t="str">
        <f>IFERROR(__xludf.DUMMYFUNCTION("""COMPUTED_VALUE"""),"22")</f>
        <v>22</v>
      </c>
      <c r="J4346" s="115" t="str">
        <f>IFERROR(__xludf.DUMMYFUNCTION("""COMPUTED_VALUE"""),"Ashish Jakar2025-09-0822")</f>
        <v>Ashish Jakar2025-09-0822</v>
      </c>
      <c r="K4346" s="115">
        <f>IFERROR(__xludf.DUMMYFUNCTION("""COMPUTED_VALUE"""),408152.0)</f>
        <v>408152</v>
      </c>
    </row>
    <row r="4347">
      <c r="A4347" s="115" t="str">
        <f>IFERROR(__xludf.DUMMYFUNCTION("""COMPUTED_VALUE"""),"WEST")</f>
        <v>WEST</v>
      </c>
      <c r="B4347" s="115" t="str">
        <f>IFERROR(__xludf.DUMMYFUNCTION("""COMPUTED_VALUE"""),"Ashish Jakar")</f>
        <v>Ashish Jakar</v>
      </c>
      <c r="C4347" s="115" t="str">
        <f>IFERROR(__xludf.DUMMYFUNCTION("""COMPUTED_VALUE"""),"MYNTRA")</f>
        <v>MYNTRA</v>
      </c>
      <c r="D4347" s="115">
        <f>IFERROR(__xludf.DUMMYFUNCTION("""COMPUTED_VALUE"""),47001.0)</f>
        <v>47001</v>
      </c>
      <c r="E4347" s="115">
        <f>IFERROR(__xludf.DUMMYFUNCTION("""COMPUTED_VALUE"""),12135.0)</f>
        <v>12135</v>
      </c>
      <c r="F4347" s="115">
        <f>IFERROR(__xludf.DUMMYFUNCTION("""COMPUTED_VALUE"""),39201.0)</f>
        <v>39201</v>
      </c>
      <c r="G4347" s="115">
        <f>IFERROR(__xludf.DUMMYFUNCTION("""COMPUTED_VALUE"""),8531.0)</f>
        <v>8531</v>
      </c>
      <c r="H4347" s="116">
        <f>IFERROR(__xludf.DUMMYFUNCTION("""COMPUTED_VALUE"""),45908.0)</f>
        <v>45908</v>
      </c>
      <c r="I4347" s="115" t="str">
        <f>IFERROR(__xludf.DUMMYFUNCTION("""COMPUTED_VALUE"""),"22")</f>
        <v>22</v>
      </c>
      <c r="J4347" s="115" t="str">
        <f>IFERROR(__xludf.DUMMYFUNCTION("""COMPUTED_VALUE"""),"Ashish Jakar2025-09-0822")</f>
        <v>Ashish Jakar2025-09-0822</v>
      </c>
      <c r="K4347" s="115">
        <f>IFERROR(__xludf.DUMMYFUNCTION("""COMPUTED_VALUE"""),59136.0)</f>
        <v>59136</v>
      </c>
    </row>
    <row r="4348">
      <c r="A4348" s="115" t="str">
        <f>IFERROR(__xludf.DUMMYFUNCTION("""COMPUTED_VALUE"""),"WEST")</f>
        <v>WEST</v>
      </c>
      <c r="B4348" s="115" t="str">
        <f>IFERROR(__xludf.DUMMYFUNCTION("""COMPUTED_VALUE"""),"Ashvani Bhatt")</f>
        <v>Ashvani Bhatt</v>
      </c>
      <c r="C4348" s="115" t="str">
        <f>IFERROR(__xludf.DUMMYFUNCTION("""COMPUTED_VALUE"""),"EXTERNAL")</f>
        <v>EXTERNAL</v>
      </c>
      <c r="D4348" s="115">
        <f>IFERROR(__xludf.DUMMYFUNCTION("""COMPUTED_VALUE"""),43186.0)</f>
        <v>43186</v>
      </c>
      <c r="E4348" s="115">
        <f>IFERROR(__xludf.DUMMYFUNCTION("""COMPUTED_VALUE"""),3808.0)</f>
        <v>3808</v>
      </c>
      <c r="F4348" s="115">
        <f>IFERROR(__xludf.DUMMYFUNCTION("""COMPUTED_VALUE"""),19927.0)</f>
        <v>19927</v>
      </c>
      <c r="G4348" s="115">
        <f>IFERROR(__xludf.DUMMYFUNCTION("""COMPUTED_VALUE"""),1577.0)</f>
        <v>1577</v>
      </c>
      <c r="H4348" s="116">
        <f>IFERROR(__xludf.DUMMYFUNCTION("""COMPUTED_VALUE"""),45908.0)</f>
        <v>45908</v>
      </c>
      <c r="I4348" s="115" t="str">
        <f>IFERROR(__xludf.DUMMYFUNCTION("""COMPUTED_VALUE"""),"22")</f>
        <v>22</v>
      </c>
      <c r="J4348" s="115" t="str">
        <f>IFERROR(__xludf.DUMMYFUNCTION("""COMPUTED_VALUE"""),"Ashvani Bhatt2025-09-0822")</f>
        <v>Ashvani Bhatt2025-09-0822</v>
      </c>
      <c r="K4348" s="115">
        <f>IFERROR(__xludf.DUMMYFUNCTION("""COMPUTED_VALUE"""),46994.0)</f>
        <v>46994</v>
      </c>
    </row>
    <row r="4349">
      <c r="A4349" s="115" t="str">
        <f>IFERROR(__xludf.DUMMYFUNCTION("""COMPUTED_VALUE"""),"WEST")</f>
        <v>WEST</v>
      </c>
      <c r="B4349" s="115" t="str">
        <f>IFERROR(__xludf.DUMMYFUNCTION("""COMPUTED_VALUE"""),"Ashvani Bhatt")</f>
        <v>Ashvani Bhatt</v>
      </c>
      <c r="C4349" s="115" t="str">
        <f>IFERROR(__xludf.DUMMYFUNCTION("""COMPUTED_VALUE"""),"FLIPKART")</f>
        <v>FLIPKART</v>
      </c>
      <c r="D4349" s="115">
        <f>IFERROR(__xludf.DUMMYFUNCTION("""COMPUTED_VALUE"""),279740.0)</f>
        <v>279740</v>
      </c>
      <c r="E4349" s="115">
        <f>IFERROR(__xludf.DUMMYFUNCTION("""COMPUTED_VALUE"""),30121.0)</f>
        <v>30121</v>
      </c>
      <c r="F4349" s="115">
        <f>IFERROR(__xludf.DUMMYFUNCTION("""COMPUTED_VALUE"""),213295.0)</f>
        <v>213295</v>
      </c>
      <c r="G4349" s="115">
        <f>IFERROR(__xludf.DUMMYFUNCTION("""COMPUTED_VALUE"""),20976.0)</f>
        <v>20976</v>
      </c>
      <c r="H4349" s="116">
        <f>IFERROR(__xludf.DUMMYFUNCTION("""COMPUTED_VALUE"""),45908.0)</f>
        <v>45908</v>
      </c>
      <c r="I4349" s="115" t="str">
        <f>IFERROR(__xludf.DUMMYFUNCTION("""COMPUTED_VALUE"""),"22")</f>
        <v>22</v>
      </c>
      <c r="J4349" s="115" t="str">
        <f>IFERROR(__xludf.DUMMYFUNCTION("""COMPUTED_VALUE"""),"Ashvani Bhatt2025-09-0822")</f>
        <v>Ashvani Bhatt2025-09-0822</v>
      </c>
      <c r="K4349" s="115">
        <f>IFERROR(__xludf.DUMMYFUNCTION("""COMPUTED_VALUE"""),309861.0)</f>
        <v>309861</v>
      </c>
    </row>
    <row r="4350">
      <c r="A4350" s="115" t="str">
        <f>IFERROR(__xludf.DUMMYFUNCTION("""COMPUTED_VALUE"""),"WEST")</f>
        <v>WEST</v>
      </c>
      <c r="B4350" s="115" t="str">
        <f>IFERROR(__xludf.DUMMYFUNCTION("""COMPUTED_VALUE"""),"Ashvani Bhatt")</f>
        <v>Ashvani Bhatt</v>
      </c>
      <c r="C4350" s="115" t="str">
        <f>IFERROR(__xludf.DUMMYFUNCTION("""COMPUTED_VALUE"""),"MYNTRA")</f>
        <v>MYNTRA</v>
      </c>
      <c r="D4350" s="115">
        <f>IFERROR(__xludf.DUMMYFUNCTION("""COMPUTED_VALUE"""),37173.0)</f>
        <v>37173</v>
      </c>
      <c r="E4350" s="115">
        <f>IFERROR(__xludf.DUMMYFUNCTION("""COMPUTED_VALUE"""),9194.0)</f>
        <v>9194</v>
      </c>
      <c r="F4350" s="115">
        <f>IFERROR(__xludf.DUMMYFUNCTION("""COMPUTED_VALUE"""),31821.0)</f>
        <v>31821</v>
      </c>
      <c r="G4350" s="115">
        <f>IFERROR(__xludf.DUMMYFUNCTION("""COMPUTED_VALUE"""),6947.0)</f>
        <v>6947</v>
      </c>
      <c r="H4350" s="116">
        <f>IFERROR(__xludf.DUMMYFUNCTION("""COMPUTED_VALUE"""),45908.0)</f>
        <v>45908</v>
      </c>
      <c r="I4350" s="115" t="str">
        <f>IFERROR(__xludf.DUMMYFUNCTION("""COMPUTED_VALUE"""),"22")</f>
        <v>22</v>
      </c>
      <c r="J4350" s="115" t="str">
        <f>IFERROR(__xludf.DUMMYFUNCTION("""COMPUTED_VALUE"""),"Ashvani Bhatt2025-09-0822")</f>
        <v>Ashvani Bhatt2025-09-0822</v>
      </c>
      <c r="K4350" s="115">
        <f>IFERROR(__xludf.DUMMYFUNCTION("""COMPUTED_VALUE"""),46367.0)</f>
        <v>46367</v>
      </c>
    </row>
    <row r="4351">
      <c r="A4351" s="115"/>
      <c r="B4351" s="115"/>
      <c r="C4351" s="115" t="str">
        <f>IFERROR(__xludf.DUMMYFUNCTION("""COMPUTED_VALUE"""),"EXTERNAL")</f>
        <v>EXTERNAL</v>
      </c>
      <c r="D4351" s="115">
        <f>IFERROR(__xludf.DUMMYFUNCTION("""COMPUTED_VALUE"""),529.0)</f>
        <v>529</v>
      </c>
      <c r="E4351" s="115">
        <f>IFERROR(__xludf.DUMMYFUNCTION("""COMPUTED_VALUE"""),101.0)</f>
        <v>101</v>
      </c>
      <c r="F4351" s="115">
        <f>IFERROR(__xludf.DUMMYFUNCTION("""COMPUTED_VALUE"""),265.0)</f>
        <v>265</v>
      </c>
      <c r="G4351" s="115">
        <f>IFERROR(__xludf.DUMMYFUNCTION("""COMPUTED_VALUE"""),76.0)</f>
        <v>76</v>
      </c>
      <c r="H4351" s="116">
        <f>IFERROR(__xludf.DUMMYFUNCTION("""COMPUTED_VALUE"""),45908.0)</f>
        <v>45908</v>
      </c>
      <c r="I4351" s="115" t="str">
        <f>IFERROR(__xludf.DUMMYFUNCTION("""COMPUTED_VALUE"""),"22")</f>
        <v>22</v>
      </c>
      <c r="J4351" s="115" t="str">
        <f>IFERROR(__xludf.DUMMYFUNCTION("""COMPUTED_VALUE"""),"2025-09-0822")</f>
        <v>2025-09-0822</v>
      </c>
      <c r="K4351" s="115">
        <f>IFERROR(__xludf.DUMMYFUNCTION("""COMPUTED_VALUE"""),630.0)</f>
        <v>630</v>
      </c>
    </row>
    <row r="4352">
      <c r="A4352" s="115"/>
      <c r="B4352" s="115"/>
      <c r="C4352" s="115" t="str">
        <f>IFERROR(__xludf.DUMMYFUNCTION("""COMPUTED_VALUE"""),"FLIPKART")</f>
        <v>FLIPKART</v>
      </c>
      <c r="D4352" s="115">
        <f>IFERROR(__xludf.DUMMYFUNCTION("""COMPUTED_VALUE"""),5074.0)</f>
        <v>5074</v>
      </c>
      <c r="E4352" s="115">
        <f>IFERROR(__xludf.DUMMYFUNCTION("""COMPUTED_VALUE"""),528.0)</f>
        <v>528</v>
      </c>
      <c r="F4352" s="115">
        <f>IFERROR(__xludf.DUMMYFUNCTION("""COMPUTED_VALUE"""),3612.0)</f>
        <v>3612</v>
      </c>
      <c r="G4352" s="115">
        <f>IFERROR(__xludf.DUMMYFUNCTION("""COMPUTED_VALUE"""),354.0)</f>
        <v>354</v>
      </c>
      <c r="H4352" s="116">
        <f>IFERROR(__xludf.DUMMYFUNCTION("""COMPUTED_VALUE"""),45908.0)</f>
        <v>45908</v>
      </c>
      <c r="I4352" s="115" t="str">
        <f>IFERROR(__xludf.DUMMYFUNCTION("""COMPUTED_VALUE"""),"22")</f>
        <v>22</v>
      </c>
      <c r="J4352" s="115" t="str">
        <f>IFERROR(__xludf.DUMMYFUNCTION("""COMPUTED_VALUE"""),"2025-09-0822")</f>
        <v>2025-09-0822</v>
      </c>
      <c r="K4352" s="115">
        <f>IFERROR(__xludf.DUMMYFUNCTION("""COMPUTED_VALUE"""),5602.0)</f>
        <v>5602</v>
      </c>
    </row>
    <row r="4353">
      <c r="A4353" s="115"/>
      <c r="B4353" s="115"/>
      <c r="C4353" s="115" t="str">
        <f>IFERROR(__xludf.DUMMYFUNCTION("""COMPUTED_VALUE"""),"MYNTRA")</f>
        <v>MYNTRA</v>
      </c>
      <c r="D4353" s="115">
        <f>IFERROR(__xludf.DUMMYFUNCTION("""COMPUTED_VALUE"""),585.0)</f>
        <v>585</v>
      </c>
      <c r="E4353" s="115">
        <f>IFERROR(__xludf.DUMMYFUNCTION("""COMPUTED_VALUE"""),193.0)</f>
        <v>193</v>
      </c>
      <c r="F4353" s="115">
        <f>IFERROR(__xludf.DUMMYFUNCTION("""COMPUTED_VALUE"""),518.0)</f>
        <v>518</v>
      </c>
      <c r="G4353" s="115">
        <f>IFERROR(__xludf.DUMMYFUNCTION("""COMPUTED_VALUE"""),148.0)</f>
        <v>148</v>
      </c>
      <c r="H4353" s="116">
        <f>IFERROR(__xludf.DUMMYFUNCTION("""COMPUTED_VALUE"""),45908.0)</f>
        <v>45908</v>
      </c>
      <c r="I4353" s="115" t="str">
        <f>IFERROR(__xludf.DUMMYFUNCTION("""COMPUTED_VALUE"""),"22")</f>
        <v>22</v>
      </c>
      <c r="J4353" s="115" t="str">
        <f>IFERROR(__xludf.DUMMYFUNCTION("""COMPUTED_VALUE"""),"2025-09-0822")</f>
        <v>2025-09-0822</v>
      </c>
      <c r="K4353" s="115">
        <f>IFERROR(__xludf.DUMMYFUNCTION("""COMPUTED_VALUE"""),778.0)</f>
        <v>778</v>
      </c>
    </row>
    <row r="4354">
      <c r="A4354" s="115" t="str">
        <f>IFERROR(__xludf.DUMMYFUNCTION("""COMPUTED_VALUE"""),"EAST")</f>
        <v>EAST</v>
      </c>
      <c r="B4354" s="115" t="str">
        <f>IFERROR(__xludf.DUMMYFUNCTION("""COMPUTED_VALUE"""),"Ashish Ranjan")</f>
        <v>Ashish Ranjan</v>
      </c>
      <c r="C4354" s="115" t="str">
        <f>IFERROR(__xludf.DUMMYFUNCTION("""COMPUTED_VALUE"""),"EXTERNAL")</f>
        <v>EXTERNAL</v>
      </c>
      <c r="D4354" s="115">
        <f>IFERROR(__xludf.DUMMYFUNCTION("""COMPUTED_VALUE"""),4308.0)</f>
        <v>4308</v>
      </c>
      <c r="E4354" s="115">
        <f>IFERROR(__xludf.DUMMYFUNCTION("""COMPUTED_VALUE"""),300.0)</f>
        <v>300</v>
      </c>
      <c r="F4354" s="115">
        <f>IFERROR(__xludf.DUMMYFUNCTION("""COMPUTED_VALUE"""),23.0)</f>
        <v>23</v>
      </c>
      <c r="G4354" s="115">
        <f>IFERROR(__xludf.DUMMYFUNCTION("""COMPUTED_VALUE"""),1.0)</f>
        <v>1</v>
      </c>
      <c r="H4354" s="116">
        <f>IFERROR(__xludf.DUMMYFUNCTION("""COMPUTED_VALUE"""),45909.0)</f>
        <v>45909</v>
      </c>
      <c r="I4354" s="115" t="str">
        <f>IFERROR(__xludf.DUMMYFUNCTION("""COMPUTED_VALUE"""),"08")</f>
        <v>08</v>
      </c>
      <c r="J4354" s="115" t="str">
        <f>IFERROR(__xludf.DUMMYFUNCTION("""COMPUTED_VALUE"""),"Ashish Ranjan2025-09-0908")</f>
        <v>Ashish Ranjan2025-09-0908</v>
      </c>
      <c r="K4354" s="115">
        <f>IFERROR(__xludf.DUMMYFUNCTION("""COMPUTED_VALUE"""),4608.0)</f>
        <v>4608</v>
      </c>
    </row>
    <row r="4355">
      <c r="A4355" s="115" t="str">
        <f>IFERROR(__xludf.DUMMYFUNCTION("""COMPUTED_VALUE"""),"EAST")</f>
        <v>EAST</v>
      </c>
      <c r="B4355" s="115" t="str">
        <f>IFERROR(__xludf.DUMMYFUNCTION("""COMPUTED_VALUE"""),"Ashish Ranjan")</f>
        <v>Ashish Ranjan</v>
      </c>
      <c r="C4355" s="115" t="str">
        <f>IFERROR(__xludf.DUMMYFUNCTION("""COMPUTED_VALUE"""),"FLIPKART")</f>
        <v>FLIPKART</v>
      </c>
      <c r="D4355" s="115">
        <f>IFERROR(__xludf.DUMMYFUNCTION("""COMPUTED_VALUE"""),76778.0)</f>
        <v>76778</v>
      </c>
      <c r="E4355" s="115">
        <f>IFERROR(__xludf.DUMMYFUNCTION("""COMPUTED_VALUE"""),7238.0)</f>
        <v>7238</v>
      </c>
      <c r="F4355" s="115">
        <f>IFERROR(__xludf.DUMMYFUNCTION("""COMPUTED_VALUE"""),752.0)</f>
        <v>752</v>
      </c>
      <c r="G4355" s="115">
        <f>IFERROR(__xludf.DUMMYFUNCTION("""COMPUTED_VALUE"""),83.0)</f>
        <v>83</v>
      </c>
      <c r="H4355" s="116">
        <f>IFERROR(__xludf.DUMMYFUNCTION("""COMPUTED_VALUE"""),45909.0)</f>
        <v>45909</v>
      </c>
      <c r="I4355" s="115" t="str">
        <f>IFERROR(__xludf.DUMMYFUNCTION("""COMPUTED_VALUE"""),"08")</f>
        <v>08</v>
      </c>
      <c r="J4355" s="115" t="str">
        <f>IFERROR(__xludf.DUMMYFUNCTION("""COMPUTED_VALUE"""),"Ashish Ranjan2025-09-0908")</f>
        <v>Ashish Ranjan2025-09-0908</v>
      </c>
      <c r="K4355" s="115">
        <f>IFERROR(__xludf.DUMMYFUNCTION("""COMPUTED_VALUE"""),84016.0)</f>
        <v>84016</v>
      </c>
    </row>
    <row r="4356">
      <c r="A4356" s="115" t="str">
        <f>IFERROR(__xludf.DUMMYFUNCTION("""COMPUTED_VALUE"""),"EAST")</f>
        <v>EAST</v>
      </c>
      <c r="B4356" s="115" t="str">
        <f>IFERROR(__xludf.DUMMYFUNCTION("""COMPUTED_VALUE"""),"Ashish Ranjan")</f>
        <v>Ashish Ranjan</v>
      </c>
      <c r="C4356" s="115" t="str">
        <f>IFERROR(__xludf.DUMMYFUNCTION("""COMPUTED_VALUE"""),"MYNTRA")</f>
        <v>MYNTRA</v>
      </c>
      <c r="D4356" s="115">
        <f>IFERROR(__xludf.DUMMYFUNCTION("""COMPUTED_VALUE"""),7852.0)</f>
        <v>7852</v>
      </c>
      <c r="E4356" s="115">
        <f>IFERROR(__xludf.DUMMYFUNCTION("""COMPUTED_VALUE"""),1717.0)</f>
        <v>1717</v>
      </c>
      <c r="F4356" s="115">
        <f>IFERROR(__xludf.DUMMYFUNCTION("""COMPUTED_VALUE"""),88.0)</f>
        <v>88</v>
      </c>
      <c r="G4356" s="115">
        <f>IFERROR(__xludf.DUMMYFUNCTION("""COMPUTED_VALUE"""),1.0)</f>
        <v>1</v>
      </c>
      <c r="H4356" s="116">
        <f>IFERROR(__xludf.DUMMYFUNCTION("""COMPUTED_VALUE"""),45909.0)</f>
        <v>45909</v>
      </c>
      <c r="I4356" s="115" t="str">
        <f>IFERROR(__xludf.DUMMYFUNCTION("""COMPUTED_VALUE"""),"08")</f>
        <v>08</v>
      </c>
      <c r="J4356" s="115" t="str">
        <f>IFERROR(__xludf.DUMMYFUNCTION("""COMPUTED_VALUE"""),"Ashish Ranjan2025-09-0908")</f>
        <v>Ashish Ranjan2025-09-0908</v>
      </c>
      <c r="K4356" s="115">
        <f>IFERROR(__xludf.DUMMYFUNCTION("""COMPUTED_VALUE"""),9569.0)</f>
        <v>9569</v>
      </c>
    </row>
    <row r="4357">
      <c r="A4357" s="115" t="str">
        <f>IFERROR(__xludf.DUMMYFUNCTION("""COMPUTED_VALUE"""),"EAST")</f>
        <v>EAST</v>
      </c>
      <c r="B4357" s="115" t="str">
        <f>IFERROR(__xludf.DUMMYFUNCTION("""COMPUTED_VALUE"""),"Girish Chand")</f>
        <v>Girish Chand</v>
      </c>
      <c r="C4357" s="115" t="str">
        <f>IFERROR(__xludf.DUMMYFUNCTION("""COMPUTED_VALUE"""),"EXTERNAL")</f>
        <v>EXTERNAL</v>
      </c>
      <c r="D4357" s="115">
        <f>IFERROR(__xludf.DUMMYFUNCTION("""COMPUTED_VALUE"""),2374.0)</f>
        <v>2374</v>
      </c>
      <c r="E4357" s="115">
        <f>IFERROR(__xludf.DUMMYFUNCTION("""COMPUTED_VALUE"""),143.0)</f>
        <v>143</v>
      </c>
      <c r="F4357" s="115">
        <f>IFERROR(__xludf.DUMMYFUNCTION("""COMPUTED_VALUE"""),12.0)</f>
        <v>12</v>
      </c>
      <c r="G4357" s="115">
        <f>IFERROR(__xludf.DUMMYFUNCTION("""COMPUTED_VALUE"""),0.0)</f>
        <v>0</v>
      </c>
      <c r="H4357" s="116">
        <f>IFERROR(__xludf.DUMMYFUNCTION("""COMPUTED_VALUE"""),45909.0)</f>
        <v>45909</v>
      </c>
      <c r="I4357" s="115" t="str">
        <f>IFERROR(__xludf.DUMMYFUNCTION("""COMPUTED_VALUE"""),"08")</f>
        <v>08</v>
      </c>
      <c r="J4357" s="115" t="str">
        <f>IFERROR(__xludf.DUMMYFUNCTION("""COMPUTED_VALUE"""),"Girish Chand2025-09-0908")</f>
        <v>Girish Chand2025-09-0908</v>
      </c>
      <c r="K4357" s="115">
        <f>IFERROR(__xludf.DUMMYFUNCTION("""COMPUTED_VALUE"""),2517.0)</f>
        <v>2517</v>
      </c>
    </row>
    <row r="4358">
      <c r="A4358" s="115" t="str">
        <f>IFERROR(__xludf.DUMMYFUNCTION("""COMPUTED_VALUE"""),"EAST")</f>
        <v>EAST</v>
      </c>
      <c r="B4358" s="115" t="str">
        <f>IFERROR(__xludf.DUMMYFUNCTION("""COMPUTED_VALUE"""),"Girish Chand")</f>
        <v>Girish Chand</v>
      </c>
      <c r="C4358" s="115" t="str">
        <f>IFERROR(__xludf.DUMMYFUNCTION("""COMPUTED_VALUE"""),"FLIPKART")</f>
        <v>FLIPKART</v>
      </c>
      <c r="D4358" s="115">
        <f>IFERROR(__xludf.DUMMYFUNCTION("""COMPUTED_VALUE"""),42088.0)</f>
        <v>42088</v>
      </c>
      <c r="E4358" s="115">
        <f>IFERROR(__xludf.DUMMYFUNCTION("""COMPUTED_VALUE"""),3599.0)</f>
        <v>3599</v>
      </c>
      <c r="F4358" s="115">
        <f>IFERROR(__xludf.DUMMYFUNCTION("""COMPUTED_VALUE"""),297.0)</f>
        <v>297</v>
      </c>
      <c r="G4358" s="115">
        <f>IFERROR(__xludf.DUMMYFUNCTION("""COMPUTED_VALUE"""),41.0)</f>
        <v>41</v>
      </c>
      <c r="H4358" s="116">
        <f>IFERROR(__xludf.DUMMYFUNCTION("""COMPUTED_VALUE"""),45909.0)</f>
        <v>45909</v>
      </c>
      <c r="I4358" s="115" t="str">
        <f>IFERROR(__xludf.DUMMYFUNCTION("""COMPUTED_VALUE"""),"08")</f>
        <v>08</v>
      </c>
      <c r="J4358" s="115" t="str">
        <f>IFERROR(__xludf.DUMMYFUNCTION("""COMPUTED_VALUE"""),"Girish Chand2025-09-0908")</f>
        <v>Girish Chand2025-09-0908</v>
      </c>
      <c r="K4358" s="115">
        <f>IFERROR(__xludf.DUMMYFUNCTION("""COMPUTED_VALUE"""),45687.0)</f>
        <v>45687</v>
      </c>
    </row>
    <row r="4359">
      <c r="A4359" s="115" t="str">
        <f>IFERROR(__xludf.DUMMYFUNCTION("""COMPUTED_VALUE"""),"EAST")</f>
        <v>EAST</v>
      </c>
      <c r="B4359" s="115" t="str">
        <f>IFERROR(__xludf.DUMMYFUNCTION("""COMPUTED_VALUE"""),"Girish Chand")</f>
        <v>Girish Chand</v>
      </c>
      <c r="C4359" s="115" t="str">
        <f>IFERROR(__xludf.DUMMYFUNCTION("""COMPUTED_VALUE"""),"MYNTRA")</f>
        <v>MYNTRA</v>
      </c>
      <c r="D4359" s="115">
        <f>IFERROR(__xludf.DUMMYFUNCTION("""COMPUTED_VALUE"""),4517.0)</f>
        <v>4517</v>
      </c>
      <c r="E4359" s="115">
        <f>IFERROR(__xludf.DUMMYFUNCTION("""COMPUTED_VALUE"""),801.0)</f>
        <v>801</v>
      </c>
      <c r="F4359" s="115">
        <f>IFERROR(__xludf.DUMMYFUNCTION("""COMPUTED_VALUE"""),53.0)</f>
        <v>53</v>
      </c>
      <c r="G4359" s="115">
        <f>IFERROR(__xludf.DUMMYFUNCTION("""COMPUTED_VALUE"""),3.0)</f>
        <v>3</v>
      </c>
      <c r="H4359" s="116">
        <f>IFERROR(__xludf.DUMMYFUNCTION("""COMPUTED_VALUE"""),45909.0)</f>
        <v>45909</v>
      </c>
      <c r="I4359" s="115" t="str">
        <f>IFERROR(__xludf.DUMMYFUNCTION("""COMPUTED_VALUE"""),"08")</f>
        <v>08</v>
      </c>
      <c r="J4359" s="115" t="str">
        <f>IFERROR(__xludf.DUMMYFUNCTION("""COMPUTED_VALUE"""),"Girish Chand2025-09-0908")</f>
        <v>Girish Chand2025-09-0908</v>
      </c>
      <c r="K4359" s="115">
        <f>IFERROR(__xludf.DUMMYFUNCTION("""COMPUTED_VALUE"""),5318.0)</f>
        <v>5318</v>
      </c>
    </row>
    <row r="4360">
      <c r="A4360" s="115" t="str">
        <f>IFERROR(__xludf.DUMMYFUNCTION("""COMPUTED_VALUE"""),"EAST")</f>
        <v>EAST</v>
      </c>
      <c r="B4360" s="115" t="str">
        <f>IFERROR(__xludf.DUMMYFUNCTION("""COMPUTED_VALUE"""),"Parag Kashyap")</f>
        <v>Parag Kashyap</v>
      </c>
      <c r="C4360" s="115" t="str">
        <f>IFERROR(__xludf.DUMMYFUNCTION("""COMPUTED_VALUE"""),"EXTERNAL")</f>
        <v>EXTERNAL</v>
      </c>
      <c r="D4360" s="115">
        <f>IFERROR(__xludf.DUMMYFUNCTION("""COMPUTED_VALUE"""),1680.0)</f>
        <v>1680</v>
      </c>
      <c r="E4360" s="115">
        <f>IFERROR(__xludf.DUMMYFUNCTION("""COMPUTED_VALUE"""),84.0)</f>
        <v>84</v>
      </c>
      <c r="F4360" s="115">
        <f>IFERROR(__xludf.DUMMYFUNCTION("""COMPUTED_VALUE"""),0.0)</f>
        <v>0</v>
      </c>
      <c r="G4360" s="115">
        <f>IFERROR(__xludf.DUMMYFUNCTION("""COMPUTED_VALUE"""),0.0)</f>
        <v>0</v>
      </c>
      <c r="H4360" s="116">
        <f>IFERROR(__xludf.DUMMYFUNCTION("""COMPUTED_VALUE"""),45909.0)</f>
        <v>45909</v>
      </c>
      <c r="I4360" s="115" t="str">
        <f>IFERROR(__xludf.DUMMYFUNCTION("""COMPUTED_VALUE"""),"08")</f>
        <v>08</v>
      </c>
      <c r="J4360" s="115" t="str">
        <f>IFERROR(__xludf.DUMMYFUNCTION("""COMPUTED_VALUE"""),"Parag Kashyap2025-09-0908")</f>
        <v>Parag Kashyap2025-09-0908</v>
      </c>
      <c r="K4360" s="115">
        <f>IFERROR(__xludf.DUMMYFUNCTION("""COMPUTED_VALUE"""),1764.0)</f>
        <v>1764</v>
      </c>
    </row>
    <row r="4361">
      <c r="A4361" s="115" t="str">
        <f>IFERROR(__xludf.DUMMYFUNCTION("""COMPUTED_VALUE"""),"EAST")</f>
        <v>EAST</v>
      </c>
      <c r="B4361" s="115" t="str">
        <f>IFERROR(__xludf.DUMMYFUNCTION("""COMPUTED_VALUE"""),"Parag Kashyap")</f>
        <v>Parag Kashyap</v>
      </c>
      <c r="C4361" s="115" t="str">
        <f>IFERROR(__xludf.DUMMYFUNCTION("""COMPUTED_VALUE"""),"FLIPKART")</f>
        <v>FLIPKART</v>
      </c>
      <c r="D4361" s="115">
        <f>IFERROR(__xludf.DUMMYFUNCTION("""COMPUTED_VALUE"""),35146.0)</f>
        <v>35146</v>
      </c>
      <c r="E4361" s="115">
        <f>IFERROR(__xludf.DUMMYFUNCTION("""COMPUTED_VALUE"""),1598.0)</f>
        <v>1598</v>
      </c>
      <c r="F4361" s="115">
        <f>IFERROR(__xludf.DUMMYFUNCTION("""COMPUTED_VALUE"""),181.0)</f>
        <v>181</v>
      </c>
      <c r="G4361" s="115">
        <f>IFERROR(__xludf.DUMMYFUNCTION("""COMPUTED_VALUE"""),32.0)</f>
        <v>32</v>
      </c>
      <c r="H4361" s="116">
        <f>IFERROR(__xludf.DUMMYFUNCTION("""COMPUTED_VALUE"""),45909.0)</f>
        <v>45909</v>
      </c>
      <c r="I4361" s="115" t="str">
        <f>IFERROR(__xludf.DUMMYFUNCTION("""COMPUTED_VALUE"""),"08")</f>
        <v>08</v>
      </c>
      <c r="J4361" s="115" t="str">
        <f>IFERROR(__xludf.DUMMYFUNCTION("""COMPUTED_VALUE"""),"Parag Kashyap2025-09-0908")</f>
        <v>Parag Kashyap2025-09-0908</v>
      </c>
      <c r="K4361" s="115">
        <f>IFERROR(__xludf.DUMMYFUNCTION("""COMPUTED_VALUE"""),36744.0)</f>
        <v>36744</v>
      </c>
    </row>
    <row r="4362">
      <c r="A4362" s="115" t="str">
        <f>IFERROR(__xludf.DUMMYFUNCTION("""COMPUTED_VALUE"""),"EAST")</f>
        <v>EAST</v>
      </c>
      <c r="B4362" s="115" t="str">
        <f>IFERROR(__xludf.DUMMYFUNCTION("""COMPUTED_VALUE"""),"Parag Kashyap")</f>
        <v>Parag Kashyap</v>
      </c>
      <c r="C4362" s="115" t="str">
        <f>IFERROR(__xludf.DUMMYFUNCTION("""COMPUTED_VALUE"""),"MYNTRA")</f>
        <v>MYNTRA</v>
      </c>
      <c r="D4362" s="115">
        <f>IFERROR(__xludf.DUMMYFUNCTION("""COMPUTED_VALUE"""),4835.0)</f>
        <v>4835</v>
      </c>
      <c r="E4362" s="115">
        <f>IFERROR(__xludf.DUMMYFUNCTION("""COMPUTED_VALUE"""),583.0)</f>
        <v>583</v>
      </c>
      <c r="F4362" s="115">
        <f>IFERROR(__xludf.DUMMYFUNCTION("""COMPUTED_VALUE"""),33.0)</f>
        <v>33</v>
      </c>
      <c r="G4362" s="115">
        <f>IFERROR(__xludf.DUMMYFUNCTION("""COMPUTED_VALUE"""),1.0)</f>
        <v>1</v>
      </c>
      <c r="H4362" s="116">
        <f>IFERROR(__xludf.DUMMYFUNCTION("""COMPUTED_VALUE"""),45909.0)</f>
        <v>45909</v>
      </c>
      <c r="I4362" s="115" t="str">
        <f>IFERROR(__xludf.DUMMYFUNCTION("""COMPUTED_VALUE"""),"08")</f>
        <v>08</v>
      </c>
      <c r="J4362" s="115" t="str">
        <f>IFERROR(__xludf.DUMMYFUNCTION("""COMPUTED_VALUE"""),"Parag Kashyap2025-09-0908")</f>
        <v>Parag Kashyap2025-09-0908</v>
      </c>
      <c r="K4362" s="115">
        <f>IFERROR(__xludf.DUMMYFUNCTION("""COMPUTED_VALUE"""),5418.0)</f>
        <v>5418</v>
      </c>
    </row>
    <row r="4363">
      <c r="A4363" s="115" t="str">
        <f>IFERROR(__xludf.DUMMYFUNCTION("""COMPUTED_VALUE"""),"NORTH")</f>
        <v>NORTH</v>
      </c>
      <c r="B4363" s="115" t="str">
        <f>IFERROR(__xludf.DUMMYFUNCTION("""COMPUTED_VALUE"""),"Amit Kumar Pathak")</f>
        <v>Amit Kumar Pathak</v>
      </c>
      <c r="C4363" s="115" t="str">
        <f>IFERROR(__xludf.DUMMYFUNCTION("""COMPUTED_VALUE"""),"EXTERNAL")</f>
        <v>EXTERNAL</v>
      </c>
      <c r="D4363" s="115">
        <f>IFERROR(__xludf.DUMMYFUNCTION("""COMPUTED_VALUE"""),7253.0)</f>
        <v>7253</v>
      </c>
      <c r="E4363" s="115">
        <f>IFERROR(__xludf.DUMMYFUNCTION("""COMPUTED_VALUE"""),570.0)</f>
        <v>570</v>
      </c>
      <c r="F4363" s="115">
        <f>IFERROR(__xludf.DUMMYFUNCTION("""COMPUTED_VALUE"""),17.0)</f>
        <v>17</v>
      </c>
      <c r="G4363" s="115">
        <f>IFERROR(__xludf.DUMMYFUNCTION("""COMPUTED_VALUE"""),2.0)</f>
        <v>2</v>
      </c>
      <c r="H4363" s="116">
        <f>IFERROR(__xludf.DUMMYFUNCTION("""COMPUTED_VALUE"""),45909.0)</f>
        <v>45909</v>
      </c>
      <c r="I4363" s="115" t="str">
        <f>IFERROR(__xludf.DUMMYFUNCTION("""COMPUTED_VALUE"""),"08")</f>
        <v>08</v>
      </c>
      <c r="J4363" s="115" t="str">
        <f>IFERROR(__xludf.DUMMYFUNCTION("""COMPUTED_VALUE"""),"Amit Kumar Pathak2025-09-0908")</f>
        <v>Amit Kumar Pathak2025-09-0908</v>
      </c>
      <c r="K4363" s="115">
        <f>IFERROR(__xludf.DUMMYFUNCTION("""COMPUTED_VALUE"""),7823.0)</f>
        <v>7823</v>
      </c>
    </row>
    <row r="4364">
      <c r="A4364" s="115" t="str">
        <f>IFERROR(__xludf.DUMMYFUNCTION("""COMPUTED_VALUE"""),"NORTH")</f>
        <v>NORTH</v>
      </c>
      <c r="B4364" s="115" t="str">
        <f>IFERROR(__xludf.DUMMYFUNCTION("""COMPUTED_VALUE"""),"Amit Kumar Pathak")</f>
        <v>Amit Kumar Pathak</v>
      </c>
      <c r="C4364" s="115" t="str">
        <f>IFERROR(__xludf.DUMMYFUNCTION("""COMPUTED_VALUE"""),"FLIPKART")</f>
        <v>FLIPKART</v>
      </c>
      <c r="D4364" s="115">
        <f>IFERROR(__xludf.DUMMYFUNCTION("""COMPUTED_VALUE"""),44166.0)</f>
        <v>44166</v>
      </c>
      <c r="E4364" s="115">
        <f>IFERROR(__xludf.DUMMYFUNCTION("""COMPUTED_VALUE"""),5169.0)</f>
        <v>5169</v>
      </c>
      <c r="F4364" s="115">
        <f>IFERROR(__xludf.DUMMYFUNCTION("""COMPUTED_VALUE"""),182.0)</f>
        <v>182</v>
      </c>
      <c r="G4364" s="115">
        <f>IFERROR(__xludf.DUMMYFUNCTION("""COMPUTED_VALUE"""),30.0)</f>
        <v>30</v>
      </c>
      <c r="H4364" s="116">
        <f>IFERROR(__xludf.DUMMYFUNCTION("""COMPUTED_VALUE"""),45909.0)</f>
        <v>45909</v>
      </c>
      <c r="I4364" s="115" t="str">
        <f>IFERROR(__xludf.DUMMYFUNCTION("""COMPUTED_VALUE"""),"08")</f>
        <v>08</v>
      </c>
      <c r="J4364" s="115" t="str">
        <f>IFERROR(__xludf.DUMMYFUNCTION("""COMPUTED_VALUE"""),"Amit Kumar Pathak2025-09-0908")</f>
        <v>Amit Kumar Pathak2025-09-0908</v>
      </c>
      <c r="K4364" s="115">
        <f>IFERROR(__xludf.DUMMYFUNCTION("""COMPUTED_VALUE"""),49335.0)</f>
        <v>49335</v>
      </c>
    </row>
    <row r="4365">
      <c r="A4365" s="115" t="str">
        <f>IFERROR(__xludf.DUMMYFUNCTION("""COMPUTED_VALUE"""),"NORTH")</f>
        <v>NORTH</v>
      </c>
      <c r="B4365" s="115" t="str">
        <f>IFERROR(__xludf.DUMMYFUNCTION("""COMPUTED_VALUE"""),"Amit Kumar Pathak")</f>
        <v>Amit Kumar Pathak</v>
      </c>
      <c r="C4365" s="115" t="str">
        <f>IFERROR(__xludf.DUMMYFUNCTION("""COMPUTED_VALUE"""),"MYNTRA")</f>
        <v>MYNTRA</v>
      </c>
      <c r="D4365" s="115">
        <f>IFERROR(__xludf.DUMMYFUNCTION("""COMPUTED_VALUE"""),4503.0)</f>
        <v>4503</v>
      </c>
      <c r="E4365" s="115">
        <f>IFERROR(__xludf.DUMMYFUNCTION("""COMPUTED_VALUE"""),1466.0)</f>
        <v>1466</v>
      </c>
      <c r="F4365" s="115">
        <f>IFERROR(__xludf.DUMMYFUNCTION("""COMPUTED_VALUE"""),26.0)</f>
        <v>26</v>
      </c>
      <c r="G4365" s="115">
        <f>IFERROR(__xludf.DUMMYFUNCTION("""COMPUTED_VALUE"""),6.0)</f>
        <v>6</v>
      </c>
      <c r="H4365" s="116">
        <f>IFERROR(__xludf.DUMMYFUNCTION("""COMPUTED_VALUE"""),45909.0)</f>
        <v>45909</v>
      </c>
      <c r="I4365" s="115" t="str">
        <f>IFERROR(__xludf.DUMMYFUNCTION("""COMPUTED_VALUE"""),"08")</f>
        <v>08</v>
      </c>
      <c r="J4365" s="115" t="str">
        <f>IFERROR(__xludf.DUMMYFUNCTION("""COMPUTED_VALUE"""),"Amit Kumar Pathak2025-09-0908")</f>
        <v>Amit Kumar Pathak2025-09-0908</v>
      </c>
      <c r="K4365" s="115">
        <f>IFERROR(__xludf.DUMMYFUNCTION("""COMPUTED_VALUE"""),5969.0)</f>
        <v>5969</v>
      </c>
    </row>
    <row r="4366">
      <c r="A4366" s="115" t="str">
        <f>IFERROR(__xludf.DUMMYFUNCTION("""COMPUTED_VALUE"""),"NORTH")</f>
        <v>NORTH</v>
      </c>
      <c r="B4366" s="115" t="str">
        <f>IFERROR(__xludf.DUMMYFUNCTION("""COMPUTED_VALUE"""),"Loveleen Singh")</f>
        <v>Loveleen Singh</v>
      </c>
      <c r="C4366" s="115" t="str">
        <f>IFERROR(__xludf.DUMMYFUNCTION("""COMPUTED_VALUE"""),"EXTERNAL")</f>
        <v>EXTERNAL</v>
      </c>
      <c r="D4366" s="115">
        <f>IFERROR(__xludf.DUMMYFUNCTION("""COMPUTED_VALUE"""),1694.0)</f>
        <v>1694</v>
      </c>
      <c r="E4366" s="115">
        <f>IFERROR(__xludf.DUMMYFUNCTION("""COMPUTED_VALUE"""),125.0)</f>
        <v>125</v>
      </c>
      <c r="F4366" s="115">
        <f>IFERROR(__xludf.DUMMYFUNCTION("""COMPUTED_VALUE"""),17.0)</f>
        <v>17</v>
      </c>
      <c r="G4366" s="115">
        <f>IFERROR(__xludf.DUMMYFUNCTION("""COMPUTED_VALUE"""),2.0)</f>
        <v>2</v>
      </c>
      <c r="H4366" s="116">
        <f>IFERROR(__xludf.DUMMYFUNCTION("""COMPUTED_VALUE"""),45909.0)</f>
        <v>45909</v>
      </c>
      <c r="I4366" s="115" t="str">
        <f>IFERROR(__xludf.DUMMYFUNCTION("""COMPUTED_VALUE"""),"08")</f>
        <v>08</v>
      </c>
      <c r="J4366" s="115" t="str">
        <f>IFERROR(__xludf.DUMMYFUNCTION("""COMPUTED_VALUE"""),"Loveleen Singh2025-09-0908")</f>
        <v>Loveleen Singh2025-09-0908</v>
      </c>
      <c r="K4366" s="115">
        <f>IFERROR(__xludf.DUMMYFUNCTION("""COMPUTED_VALUE"""),1819.0)</f>
        <v>1819</v>
      </c>
    </row>
    <row r="4367">
      <c r="A4367" s="115" t="str">
        <f>IFERROR(__xludf.DUMMYFUNCTION("""COMPUTED_VALUE"""),"NORTH")</f>
        <v>NORTH</v>
      </c>
      <c r="B4367" s="115" t="str">
        <f>IFERROR(__xludf.DUMMYFUNCTION("""COMPUTED_VALUE"""),"Loveleen Singh")</f>
        <v>Loveleen Singh</v>
      </c>
      <c r="C4367" s="115" t="str">
        <f>IFERROR(__xludf.DUMMYFUNCTION("""COMPUTED_VALUE"""),"FLIPKART")</f>
        <v>FLIPKART</v>
      </c>
      <c r="D4367" s="115">
        <f>IFERROR(__xludf.DUMMYFUNCTION("""COMPUTED_VALUE"""),11835.0)</f>
        <v>11835</v>
      </c>
      <c r="E4367" s="115">
        <f>IFERROR(__xludf.DUMMYFUNCTION("""COMPUTED_VALUE"""),1024.0)</f>
        <v>1024</v>
      </c>
      <c r="F4367" s="115">
        <f>IFERROR(__xludf.DUMMYFUNCTION("""COMPUTED_VALUE"""),198.0)</f>
        <v>198</v>
      </c>
      <c r="G4367" s="115">
        <f>IFERROR(__xludf.DUMMYFUNCTION("""COMPUTED_VALUE"""),11.0)</f>
        <v>11</v>
      </c>
      <c r="H4367" s="116">
        <f>IFERROR(__xludf.DUMMYFUNCTION("""COMPUTED_VALUE"""),45909.0)</f>
        <v>45909</v>
      </c>
      <c r="I4367" s="115" t="str">
        <f>IFERROR(__xludf.DUMMYFUNCTION("""COMPUTED_VALUE"""),"08")</f>
        <v>08</v>
      </c>
      <c r="J4367" s="115" t="str">
        <f>IFERROR(__xludf.DUMMYFUNCTION("""COMPUTED_VALUE"""),"Loveleen Singh2025-09-0908")</f>
        <v>Loveleen Singh2025-09-0908</v>
      </c>
      <c r="K4367" s="115">
        <f>IFERROR(__xludf.DUMMYFUNCTION("""COMPUTED_VALUE"""),12859.0)</f>
        <v>12859</v>
      </c>
    </row>
    <row r="4368">
      <c r="A4368" s="115" t="str">
        <f>IFERROR(__xludf.DUMMYFUNCTION("""COMPUTED_VALUE"""),"NORTH")</f>
        <v>NORTH</v>
      </c>
      <c r="B4368" s="115" t="str">
        <f>IFERROR(__xludf.DUMMYFUNCTION("""COMPUTED_VALUE"""),"Loveleen Singh")</f>
        <v>Loveleen Singh</v>
      </c>
      <c r="C4368" s="115" t="str">
        <f>IFERROR(__xludf.DUMMYFUNCTION("""COMPUTED_VALUE"""),"MYNTRA")</f>
        <v>MYNTRA</v>
      </c>
      <c r="D4368" s="115">
        <f>IFERROR(__xludf.DUMMYFUNCTION("""COMPUTED_VALUE"""),2573.0)</f>
        <v>2573</v>
      </c>
      <c r="E4368" s="115">
        <f>IFERROR(__xludf.DUMMYFUNCTION("""COMPUTED_VALUE"""),557.0)</f>
        <v>557</v>
      </c>
      <c r="F4368" s="115">
        <f>IFERROR(__xludf.DUMMYFUNCTION("""COMPUTED_VALUE"""),44.0)</f>
        <v>44</v>
      </c>
      <c r="G4368" s="115">
        <f>IFERROR(__xludf.DUMMYFUNCTION("""COMPUTED_VALUE"""),1.0)</f>
        <v>1</v>
      </c>
      <c r="H4368" s="116">
        <f>IFERROR(__xludf.DUMMYFUNCTION("""COMPUTED_VALUE"""),45909.0)</f>
        <v>45909</v>
      </c>
      <c r="I4368" s="115" t="str">
        <f>IFERROR(__xludf.DUMMYFUNCTION("""COMPUTED_VALUE"""),"08")</f>
        <v>08</v>
      </c>
      <c r="J4368" s="115" t="str">
        <f>IFERROR(__xludf.DUMMYFUNCTION("""COMPUTED_VALUE"""),"Loveleen Singh2025-09-0908")</f>
        <v>Loveleen Singh2025-09-0908</v>
      </c>
      <c r="K4368" s="115">
        <f>IFERROR(__xludf.DUMMYFUNCTION("""COMPUTED_VALUE"""),3130.0)</f>
        <v>3130</v>
      </c>
    </row>
    <row r="4369">
      <c r="A4369" s="115" t="str">
        <f>IFERROR(__xludf.DUMMYFUNCTION("""COMPUTED_VALUE"""),"NORTH")</f>
        <v>NORTH</v>
      </c>
      <c r="B4369" s="115" t="str">
        <f>IFERROR(__xludf.DUMMYFUNCTION("""COMPUTED_VALUE"""),"Manoj Harsh")</f>
        <v>Manoj Harsh</v>
      </c>
      <c r="C4369" s="115" t="str">
        <f>IFERROR(__xludf.DUMMYFUNCTION("""COMPUTED_VALUE"""),"EXTERNAL")</f>
        <v>EXTERNAL</v>
      </c>
      <c r="D4369" s="115">
        <f>IFERROR(__xludf.DUMMYFUNCTION("""COMPUTED_VALUE"""),2352.0)</f>
        <v>2352</v>
      </c>
      <c r="E4369" s="115">
        <f>IFERROR(__xludf.DUMMYFUNCTION("""COMPUTED_VALUE"""),343.0)</f>
        <v>343</v>
      </c>
      <c r="F4369" s="115">
        <f>IFERROR(__xludf.DUMMYFUNCTION("""COMPUTED_VALUE"""),17.0)</f>
        <v>17</v>
      </c>
      <c r="G4369" s="115">
        <f>IFERROR(__xludf.DUMMYFUNCTION("""COMPUTED_VALUE"""),0.0)</f>
        <v>0</v>
      </c>
      <c r="H4369" s="116">
        <f>IFERROR(__xludf.DUMMYFUNCTION("""COMPUTED_VALUE"""),45909.0)</f>
        <v>45909</v>
      </c>
      <c r="I4369" s="115" t="str">
        <f>IFERROR(__xludf.DUMMYFUNCTION("""COMPUTED_VALUE"""),"08")</f>
        <v>08</v>
      </c>
      <c r="J4369" s="115" t="str">
        <f>IFERROR(__xludf.DUMMYFUNCTION("""COMPUTED_VALUE"""),"Manoj Harsh2025-09-0908")</f>
        <v>Manoj Harsh2025-09-0908</v>
      </c>
      <c r="K4369" s="115">
        <f>IFERROR(__xludf.DUMMYFUNCTION("""COMPUTED_VALUE"""),2695.0)</f>
        <v>2695</v>
      </c>
    </row>
    <row r="4370">
      <c r="A4370" s="115" t="str">
        <f>IFERROR(__xludf.DUMMYFUNCTION("""COMPUTED_VALUE"""),"NORTH")</f>
        <v>NORTH</v>
      </c>
      <c r="B4370" s="115" t="str">
        <f>IFERROR(__xludf.DUMMYFUNCTION("""COMPUTED_VALUE"""),"Manoj Harsh")</f>
        <v>Manoj Harsh</v>
      </c>
      <c r="C4370" s="115" t="str">
        <f>IFERROR(__xludf.DUMMYFUNCTION("""COMPUTED_VALUE"""),"FLIPKART")</f>
        <v>FLIPKART</v>
      </c>
      <c r="D4370" s="115">
        <f>IFERROR(__xludf.DUMMYFUNCTION("""COMPUTED_VALUE"""),29684.0)</f>
        <v>29684</v>
      </c>
      <c r="E4370" s="115">
        <f>IFERROR(__xludf.DUMMYFUNCTION("""COMPUTED_VALUE"""),4819.0)</f>
        <v>4819</v>
      </c>
      <c r="F4370" s="115">
        <f>IFERROR(__xludf.DUMMYFUNCTION("""COMPUTED_VALUE"""),238.0)</f>
        <v>238</v>
      </c>
      <c r="G4370" s="115">
        <f>IFERROR(__xludf.DUMMYFUNCTION("""COMPUTED_VALUE"""),50.0)</f>
        <v>50</v>
      </c>
      <c r="H4370" s="116">
        <f>IFERROR(__xludf.DUMMYFUNCTION("""COMPUTED_VALUE"""),45909.0)</f>
        <v>45909</v>
      </c>
      <c r="I4370" s="115" t="str">
        <f>IFERROR(__xludf.DUMMYFUNCTION("""COMPUTED_VALUE"""),"08")</f>
        <v>08</v>
      </c>
      <c r="J4370" s="115" t="str">
        <f>IFERROR(__xludf.DUMMYFUNCTION("""COMPUTED_VALUE"""),"Manoj Harsh2025-09-0908")</f>
        <v>Manoj Harsh2025-09-0908</v>
      </c>
      <c r="K4370" s="115">
        <f>IFERROR(__xludf.DUMMYFUNCTION("""COMPUTED_VALUE"""),34503.0)</f>
        <v>34503</v>
      </c>
    </row>
    <row r="4371">
      <c r="A4371" s="115" t="str">
        <f>IFERROR(__xludf.DUMMYFUNCTION("""COMPUTED_VALUE"""),"NORTH")</f>
        <v>NORTH</v>
      </c>
      <c r="B4371" s="115" t="str">
        <f>IFERROR(__xludf.DUMMYFUNCTION("""COMPUTED_VALUE"""),"Manoj Harsh")</f>
        <v>Manoj Harsh</v>
      </c>
      <c r="C4371" s="115" t="str">
        <f>IFERROR(__xludf.DUMMYFUNCTION("""COMPUTED_VALUE"""),"MYNTRA")</f>
        <v>MYNTRA</v>
      </c>
      <c r="D4371" s="115">
        <f>IFERROR(__xludf.DUMMYFUNCTION("""COMPUTED_VALUE"""),3731.0)</f>
        <v>3731</v>
      </c>
      <c r="E4371" s="115">
        <f>IFERROR(__xludf.DUMMYFUNCTION("""COMPUTED_VALUE"""),1020.0)</f>
        <v>1020</v>
      </c>
      <c r="F4371" s="115">
        <f>IFERROR(__xludf.DUMMYFUNCTION("""COMPUTED_VALUE"""),46.0)</f>
        <v>46</v>
      </c>
      <c r="G4371" s="115">
        <f>IFERROR(__xludf.DUMMYFUNCTION("""COMPUTED_VALUE"""),0.0)</f>
        <v>0</v>
      </c>
      <c r="H4371" s="116">
        <f>IFERROR(__xludf.DUMMYFUNCTION("""COMPUTED_VALUE"""),45909.0)</f>
        <v>45909</v>
      </c>
      <c r="I4371" s="115" t="str">
        <f>IFERROR(__xludf.DUMMYFUNCTION("""COMPUTED_VALUE"""),"08")</f>
        <v>08</v>
      </c>
      <c r="J4371" s="115" t="str">
        <f>IFERROR(__xludf.DUMMYFUNCTION("""COMPUTED_VALUE"""),"Manoj Harsh2025-09-0908")</f>
        <v>Manoj Harsh2025-09-0908</v>
      </c>
      <c r="K4371" s="115">
        <f>IFERROR(__xludf.DUMMYFUNCTION("""COMPUTED_VALUE"""),4751.0)</f>
        <v>4751</v>
      </c>
    </row>
    <row r="4372">
      <c r="A4372" s="115" t="str">
        <f>IFERROR(__xludf.DUMMYFUNCTION("""COMPUTED_VALUE"""),"NORTH")</f>
        <v>NORTH</v>
      </c>
      <c r="B4372" s="115" t="str">
        <f>IFERROR(__xludf.DUMMYFUNCTION("""COMPUTED_VALUE"""),"Pradeep Kothari")</f>
        <v>Pradeep Kothari</v>
      </c>
      <c r="C4372" s="115" t="str">
        <f>IFERROR(__xludf.DUMMYFUNCTION("""COMPUTED_VALUE"""),"EXTERNAL")</f>
        <v>EXTERNAL</v>
      </c>
      <c r="D4372" s="115">
        <f>IFERROR(__xludf.DUMMYFUNCTION("""COMPUTED_VALUE"""),1086.0)</f>
        <v>1086</v>
      </c>
      <c r="E4372" s="115">
        <f>IFERROR(__xludf.DUMMYFUNCTION("""COMPUTED_VALUE"""),150.0)</f>
        <v>150</v>
      </c>
      <c r="F4372" s="115">
        <f>IFERROR(__xludf.DUMMYFUNCTION("""COMPUTED_VALUE"""),9.0)</f>
        <v>9</v>
      </c>
      <c r="G4372" s="115">
        <f>IFERROR(__xludf.DUMMYFUNCTION("""COMPUTED_VALUE"""),3.0)</f>
        <v>3</v>
      </c>
      <c r="H4372" s="116">
        <f>IFERROR(__xludf.DUMMYFUNCTION("""COMPUTED_VALUE"""),45909.0)</f>
        <v>45909</v>
      </c>
      <c r="I4372" s="115" t="str">
        <f>IFERROR(__xludf.DUMMYFUNCTION("""COMPUTED_VALUE"""),"08")</f>
        <v>08</v>
      </c>
      <c r="J4372" s="115" t="str">
        <f>IFERROR(__xludf.DUMMYFUNCTION("""COMPUTED_VALUE"""),"Pradeep Kothari2025-09-0908")</f>
        <v>Pradeep Kothari2025-09-0908</v>
      </c>
      <c r="K4372" s="115">
        <f>IFERROR(__xludf.DUMMYFUNCTION("""COMPUTED_VALUE"""),1236.0)</f>
        <v>1236</v>
      </c>
    </row>
    <row r="4373">
      <c r="A4373" s="115" t="str">
        <f>IFERROR(__xludf.DUMMYFUNCTION("""COMPUTED_VALUE"""),"NORTH")</f>
        <v>NORTH</v>
      </c>
      <c r="B4373" s="115" t="str">
        <f>IFERROR(__xludf.DUMMYFUNCTION("""COMPUTED_VALUE"""),"Pradeep Kothari")</f>
        <v>Pradeep Kothari</v>
      </c>
      <c r="C4373" s="115" t="str">
        <f>IFERROR(__xludf.DUMMYFUNCTION("""COMPUTED_VALUE"""),"FLIPKART")</f>
        <v>FLIPKART</v>
      </c>
      <c r="D4373" s="115">
        <f>IFERROR(__xludf.DUMMYFUNCTION("""COMPUTED_VALUE"""),9849.0)</f>
        <v>9849</v>
      </c>
      <c r="E4373" s="115">
        <f>IFERROR(__xludf.DUMMYFUNCTION("""COMPUTED_VALUE"""),1535.0)</f>
        <v>1535</v>
      </c>
      <c r="F4373" s="115">
        <f>IFERROR(__xludf.DUMMYFUNCTION("""COMPUTED_VALUE"""),213.0)</f>
        <v>213</v>
      </c>
      <c r="G4373" s="115">
        <f>IFERROR(__xludf.DUMMYFUNCTION("""COMPUTED_VALUE"""),22.0)</f>
        <v>22</v>
      </c>
      <c r="H4373" s="116">
        <f>IFERROR(__xludf.DUMMYFUNCTION("""COMPUTED_VALUE"""),45909.0)</f>
        <v>45909</v>
      </c>
      <c r="I4373" s="115" t="str">
        <f>IFERROR(__xludf.DUMMYFUNCTION("""COMPUTED_VALUE"""),"08")</f>
        <v>08</v>
      </c>
      <c r="J4373" s="115" t="str">
        <f>IFERROR(__xludf.DUMMYFUNCTION("""COMPUTED_VALUE"""),"Pradeep Kothari2025-09-0908")</f>
        <v>Pradeep Kothari2025-09-0908</v>
      </c>
      <c r="K4373" s="115">
        <f>IFERROR(__xludf.DUMMYFUNCTION("""COMPUTED_VALUE"""),11384.0)</f>
        <v>11384</v>
      </c>
    </row>
    <row r="4374">
      <c r="A4374" s="115" t="str">
        <f>IFERROR(__xludf.DUMMYFUNCTION("""COMPUTED_VALUE"""),"NORTH")</f>
        <v>NORTH</v>
      </c>
      <c r="B4374" s="115" t="str">
        <f>IFERROR(__xludf.DUMMYFUNCTION("""COMPUTED_VALUE"""),"Pradeep Kothari")</f>
        <v>Pradeep Kothari</v>
      </c>
      <c r="C4374" s="115" t="str">
        <f>IFERROR(__xludf.DUMMYFUNCTION("""COMPUTED_VALUE"""),"MYNTRA")</f>
        <v>MYNTRA</v>
      </c>
      <c r="D4374" s="115">
        <f>IFERROR(__xludf.DUMMYFUNCTION("""COMPUTED_VALUE"""),1894.0)</f>
        <v>1894</v>
      </c>
      <c r="E4374" s="115">
        <f>IFERROR(__xludf.DUMMYFUNCTION("""COMPUTED_VALUE"""),551.0)</f>
        <v>551</v>
      </c>
      <c r="F4374" s="115">
        <f>IFERROR(__xludf.DUMMYFUNCTION("""COMPUTED_VALUE"""),62.0)</f>
        <v>62</v>
      </c>
      <c r="G4374" s="115">
        <f>IFERROR(__xludf.DUMMYFUNCTION("""COMPUTED_VALUE"""),8.0)</f>
        <v>8</v>
      </c>
      <c r="H4374" s="116">
        <f>IFERROR(__xludf.DUMMYFUNCTION("""COMPUTED_VALUE"""),45909.0)</f>
        <v>45909</v>
      </c>
      <c r="I4374" s="115" t="str">
        <f>IFERROR(__xludf.DUMMYFUNCTION("""COMPUTED_VALUE"""),"08")</f>
        <v>08</v>
      </c>
      <c r="J4374" s="115" t="str">
        <f>IFERROR(__xludf.DUMMYFUNCTION("""COMPUTED_VALUE"""),"Pradeep Kothari2025-09-0908")</f>
        <v>Pradeep Kothari2025-09-0908</v>
      </c>
      <c r="K4374" s="115">
        <f>IFERROR(__xludf.DUMMYFUNCTION("""COMPUTED_VALUE"""),2445.0)</f>
        <v>2445</v>
      </c>
    </row>
    <row r="4375">
      <c r="A4375" s="115" t="str">
        <f>IFERROR(__xludf.DUMMYFUNCTION("""COMPUTED_VALUE"""),"SOUTH")</f>
        <v>SOUTH</v>
      </c>
      <c r="B4375" s="115" t="str">
        <f>IFERROR(__xludf.DUMMYFUNCTION("""COMPUTED_VALUE"""),"Kandula Sampath")</f>
        <v>Kandula Sampath</v>
      </c>
      <c r="C4375" s="115" t="str">
        <f>IFERROR(__xludf.DUMMYFUNCTION("""COMPUTED_VALUE"""),"EXTERNAL")</f>
        <v>EXTERNAL</v>
      </c>
      <c r="D4375" s="115">
        <f>IFERROR(__xludf.DUMMYFUNCTION("""COMPUTED_VALUE"""),6175.0)</f>
        <v>6175</v>
      </c>
      <c r="E4375" s="115">
        <f>IFERROR(__xludf.DUMMYFUNCTION("""COMPUTED_VALUE"""),511.0)</f>
        <v>511</v>
      </c>
      <c r="F4375" s="115">
        <f>IFERROR(__xludf.DUMMYFUNCTION("""COMPUTED_VALUE"""),104.0)</f>
        <v>104</v>
      </c>
      <c r="G4375" s="115">
        <f>IFERROR(__xludf.DUMMYFUNCTION("""COMPUTED_VALUE"""),2.0)</f>
        <v>2</v>
      </c>
      <c r="H4375" s="116">
        <f>IFERROR(__xludf.DUMMYFUNCTION("""COMPUTED_VALUE"""),45909.0)</f>
        <v>45909</v>
      </c>
      <c r="I4375" s="115" t="str">
        <f>IFERROR(__xludf.DUMMYFUNCTION("""COMPUTED_VALUE"""),"08")</f>
        <v>08</v>
      </c>
      <c r="J4375" s="115" t="str">
        <f>IFERROR(__xludf.DUMMYFUNCTION("""COMPUTED_VALUE"""),"Kandula Sampath2025-09-0908")</f>
        <v>Kandula Sampath2025-09-0908</v>
      </c>
      <c r="K4375" s="115">
        <f>IFERROR(__xludf.DUMMYFUNCTION("""COMPUTED_VALUE"""),6686.0)</f>
        <v>6686</v>
      </c>
    </row>
    <row r="4376">
      <c r="A4376" s="115" t="str">
        <f>IFERROR(__xludf.DUMMYFUNCTION("""COMPUTED_VALUE"""),"SOUTH")</f>
        <v>SOUTH</v>
      </c>
      <c r="B4376" s="115" t="str">
        <f>IFERROR(__xludf.DUMMYFUNCTION("""COMPUTED_VALUE"""),"Kandula Sampath")</f>
        <v>Kandula Sampath</v>
      </c>
      <c r="C4376" s="115" t="str">
        <f>IFERROR(__xludf.DUMMYFUNCTION("""COMPUTED_VALUE"""),"FLIPKART")</f>
        <v>FLIPKART</v>
      </c>
      <c r="D4376" s="115">
        <f>IFERROR(__xludf.DUMMYFUNCTION("""COMPUTED_VALUE"""),67734.0)</f>
        <v>67734</v>
      </c>
      <c r="E4376" s="115">
        <f>IFERROR(__xludf.DUMMYFUNCTION("""COMPUTED_VALUE"""),5458.0)</f>
        <v>5458</v>
      </c>
      <c r="F4376" s="115">
        <f>IFERROR(__xludf.DUMMYFUNCTION("""COMPUTED_VALUE"""),2647.0)</f>
        <v>2647</v>
      </c>
      <c r="G4376" s="115">
        <f>IFERROR(__xludf.DUMMYFUNCTION("""COMPUTED_VALUE"""),41.0)</f>
        <v>41</v>
      </c>
      <c r="H4376" s="116">
        <f>IFERROR(__xludf.DUMMYFUNCTION("""COMPUTED_VALUE"""),45909.0)</f>
        <v>45909</v>
      </c>
      <c r="I4376" s="115" t="str">
        <f>IFERROR(__xludf.DUMMYFUNCTION("""COMPUTED_VALUE"""),"08")</f>
        <v>08</v>
      </c>
      <c r="J4376" s="115" t="str">
        <f>IFERROR(__xludf.DUMMYFUNCTION("""COMPUTED_VALUE"""),"Kandula Sampath2025-09-0908")</f>
        <v>Kandula Sampath2025-09-0908</v>
      </c>
      <c r="K4376" s="115">
        <f>IFERROR(__xludf.DUMMYFUNCTION("""COMPUTED_VALUE"""),73192.0)</f>
        <v>73192</v>
      </c>
    </row>
    <row r="4377">
      <c r="A4377" s="115" t="str">
        <f>IFERROR(__xludf.DUMMYFUNCTION("""COMPUTED_VALUE"""),"SOUTH")</f>
        <v>SOUTH</v>
      </c>
      <c r="B4377" s="115" t="str">
        <f>IFERROR(__xludf.DUMMYFUNCTION("""COMPUTED_VALUE"""),"Kandula Sampath")</f>
        <v>Kandula Sampath</v>
      </c>
      <c r="C4377" s="115" t="str">
        <f>IFERROR(__xludf.DUMMYFUNCTION("""COMPUTED_VALUE"""),"MYNTRA")</f>
        <v>MYNTRA</v>
      </c>
      <c r="D4377" s="115">
        <f>IFERROR(__xludf.DUMMYFUNCTION("""COMPUTED_VALUE"""),8755.0)</f>
        <v>8755</v>
      </c>
      <c r="E4377" s="115">
        <f>IFERROR(__xludf.DUMMYFUNCTION("""COMPUTED_VALUE"""),1554.0)</f>
        <v>1554</v>
      </c>
      <c r="F4377" s="115">
        <f>IFERROR(__xludf.DUMMYFUNCTION("""COMPUTED_VALUE"""),439.0)</f>
        <v>439</v>
      </c>
      <c r="G4377" s="115">
        <f>IFERROR(__xludf.DUMMYFUNCTION("""COMPUTED_VALUE"""),11.0)</f>
        <v>11</v>
      </c>
      <c r="H4377" s="116">
        <f>IFERROR(__xludf.DUMMYFUNCTION("""COMPUTED_VALUE"""),45909.0)</f>
        <v>45909</v>
      </c>
      <c r="I4377" s="115" t="str">
        <f>IFERROR(__xludf.DUMMYFUNCTION("""COMPUTED_VALUE"""),"08")</f>
        <v>08</v>
      </c>
      <c r="J4377" s="115" t="str">
        <f>IFERROR(__xludf.DUMMYFUNCTION("""COMPUTED_VALUE"""),"Kandula Sampath2025-09-0908")</f>
        <v>Kandula Sampath2025-09-0908</v>
      </c>
      <c r="K4377" s="115">
        <f>IFERROR(__xludf.DUMMYFUNCTION("""COMPUTED_VALUE"""),10309.0)</f>
        <v>10309</v>
      </c>
    </row>
    <row r="4378">
      <c r="A4378" s="115" t="str">
        <f>IFERROR(__xludf.DUMMYFUNCTION("""COMPUTED_VALUE"""),"SOUTH")</f>
        <v>SOUTH</v>
      </c>
      <c r="B4378" s="115" t="str">
        <f>IFERROR(__xludf.DUMMYFUNCTION("""COMPUTED_VALUE"""),"Martin A")</f>
        <v>Martin A</v>
      </c>
      <c r="C4378" s="115" t="str">
        <f>IFERROR(__xludf.DUMMYFUNCTION("""COMPUTED_VALUE"""),"EXTERNAL")</f>
        <v>EXTERNAL</v>
      </c>
      <c r="D4378" s="115">
        <f>IFERROR(__xludf.DUMMYFUNCTION("""COMPUTED_VALUE"""),5084.0)</f>
        <v>5084</v>
      </c>
      <c r="E4378" s="115">
        <f>IFERROR(__xludf.DUMMYFUNCTION("""COMPUTED_VALUE"""),651.0)</f>
        <v>651</v>
      </c>
      <c r="F4378" s="115">
        <f>IFERROR(__xludf.DUMMYFUNCTION("""COMPUTED_VALUE"""),22.0)</f>
        <v>22</v>
      </c>
      <c r="G4378" s="115">
        <f>IFERROR(__xludf.DUMMYFUNCTION("""COMPUTED_VALUE"""),5.0)</f>
        <v>5</v>
      </c>
      <c r="H4378" s="116">
        <f>IFERROR(__xludf.DUMMYFUNCTION("""COMPUTED_VALUE"""),45909.0)</f>
        <v>45909</v>
      </c>
      <c r="I4378" s="115" t="str">
        <f>IFERROR(__xludf.DUMMYFUNCTION("""COMPUTED_VALUE"""),"08")</f>
        <v>08</v>
      </c>
      <c r="J4378" s="115" t="str">
        <f>IFERROR(__xludf.DUMMYFUNCTION("""COMPUTED_VALUE"""),"Martin A2025-09-0908")</f>
        <v>Martin A2025-09-0908</v>
      </c>
      <c r="K4378" s="115">
        <f>IFERROR(__xludf.DUMMYFUNCTION("""COMPUTED_VALUE"""),5735.0)</f>
        <v>5735</v>
      </c>
    </row>
    <row r="4379">
      <c r="A4379" s="115" t="str">
        <f>IFERROR(__xludf.DUMMYFUNCTION("""COMPUTED_VALUE"""),"SOUTH")</f>
        <v>SOUTH</v>
      </c>
      <c r="B4379" s="115" t="str">
        <f>IFERROR(__xludf.DUMMYFUNCTION("""COMPUTED_VALUE"""),"Martin A")</f>
        <v>Martin A</v>
      </c>
      <c r="C4379" s="115" t="str">
        <f>IFERROR(__xludf.DUMMYFUNCTION("""COMPUTED_VALUE"""),"FLIPKART")</f>
        <v>FLIPKART</v>
      </c>
      <c r="D4379" s="115">
        <f>IFERROR(__xludf.DUMMYFUNCTION("""COMPUTED_VALUE"""),47857.0)</f>
        <v>47857</v>
      </c>
      <c r="E4379" s="115">
        <f>IFERROR(__xludf.DUMMYFUNCTION("""COMPUTED_VALUE"""),4971.0)</f>
        <v>4971</v>
      </c>
      <c r="F4379" s="115">
        <f>IFERROR(__xludf.DUMMYFUNCTION("""COMPUTED_VALUE"""),478.0)</f>
        <v>478</v>
      </c>
      <c r="G4379" s="115">
        <f>IFERROR(__xludf.DUMMYFUNCTION("""COMPUTED_VALUE"""),44.0)</f>
        <v>44</v>
      </c>
      <c r="H4379" s="116">
        <f>IFERROR(__xludf.DUMMYFUNCTION("""COMPUTED_VALUE"""),45909.0)</f>
        <v>45909</v>
      </c>
      <c r="I4379" s="115" t="str">
        <f>IFERROR(__xludf.DUMMYFUNCTION("""COMPUTED_VALUE"""),"08")</f>
        <v>08</v>
      </c>
      <c r="J4379" s="115" t="str">
        <f>IFERROR(__xludf.DUMMYFUNCTION("""COMPUTED_VALUE"""),"Martin A2025-09-0908")</f>
        <v>Martin A2025-09-0908</v>
      </c>
      <c r="K4379" s="115">
        <f>IFERROR(__xludf.DUMMYFUNCTION("""COMPUTED_VALUE"""),52828.0)</f>
        <v>52828</v>
      </c>
    </row>
    <row r="4380">
      <c r="A4380" s="115" t="str">
        <f>IFERROR(__xludf.DUMMYFUNCTION("""COMPUTED_VALUE"""),"SOUTH")</f>
        <v>SOUTH</v>
      </c>
      <c r="B4380" s="115" t="str">
        <f>IFERROR(__xludf.DUMMYFUNCTION("""COMPUTED_VALUE"""),"Martin A")</f>
        <v>Martin A</v>
      </c>
      <c r="C4380" s="115" t="str">
        <f>IFERROR(__xludf.DUMMYFUNCTION("""COMPUTED_VALUE"""),"MYNTRA")</f>
        <v>MYNTRA</v>
      </c>
      <c r="D4380" s="115">
        <f>IFERROR(__xludf.DUMMYFUNCTION("""COMPUTED_VALUE"""),4925.0)</f>
        <v>4925</v>
      </c>
      <c r="E4380" s="115">
        <f>IFERROR(__xludf.DUMMYFUNCTION("""COMPUTED_VALUE"""),1389.0)</f>
        <v>1389</v>
      </c>
      <c r="F4380" s="115">
        <f>IFERROR(__xludf.DUMMYFUNCTION("""COMPUTED_VALUE"""),71.0)</f>
        <v>71</v>
      </c>
      <c r="G4380" s="115">
        <f>IFERROR(__xludf.DUMMYFUNCTION("""COMPUTED_VALUE"""),7.0)</f>
        <v>7</v>
      </c>
      <c r="H4380" s="116">
        <f>IFERROR(__xludf.DUMMYFUNCTION("""COMPUTED_VALUE"""),45909.0)</f>
        <v>45909</v>
      </c>
      <c r="I4380" s="115" t="str">
        <f>IFERROR(__xludf.DUMMYFUNCTION("""COMPUTED_VALUE"""),"08")</f>
        <v>08</v>
      </c>
      <c r="J4380" s="115" t="str">
        <f>IFERROR(__xludf.DUMMYFUNCTION("""COMPUTED_VALUE"""),"Martin A2025-09-0908")</f>
        <v>Martin A2025-09-0908</v>
      </c>
      <c r="K4380" s="115">
        <f>IFERROR(__xludf.DUMMYFUNCTION("""COMPUTED_VALUE"""),6314.0)</f>
        <v>6314</v>
      </c>
    </row>
    <row r="4381">
      <c r="A4381" s="115" t="str">
        <f>IFERROR(__xludf.DUMMYFUNCTION("""COMPUTED_VALUE"""),"SOUTH")</f>
        <v>SOUTH</v>
      </c>
      <c r="B4381" s="115" t="str">
        <f>IFERROR(__xludf.DUMMYFUNCTION("""COMPUTED_VALUE"""),"Premkumar M")</f>
        <v>Premkumar M</v>
      </c>
      <c r="C4381" s="115" t="str">
        <f>IFERROR(__xludf.DUMMYFUNCTION("""COMPUTED_VALUE"""),"EXTERNAL")</f>
        <v>EXTERNAL</v>
      </c>
      <c r="D4381" s="115">
        <f>IFERROR(__xludf.DUMMYFUNCTION("""COMPUTED_VALUE"""),1190.0)</f>
        <v>1190</v>
      </c>
      <c r="E4381" s="115">
        <f>IFERROR(__xludf.DUMMYFUNCTION("""COMPUTED_VALUE"""),44.0)</f>
        <v>44</v>
      </c>
      <c r="F4381" s="115">
        <f>IFERROR(__xludf.DUMMYFUNCTION("""COMPUTED_VALUE"""),13.0)</f>
        <v>13</v>
      </c>
      <c r="G4381" s="115">
        <f>IFERROR(__xludf.DUMMYFUNCTION("""COMPUTED_VALUE"""),1.0)</f>
        <v>1</v>
      </c>
      <c r="H4381" s="116">
        <f>IFERROR(__xludf.DUMMYFUNCTION("""COMPUTED_VALUE"""),45909.0)</f>
        <v>45909</v>
      </c>
      <c r="I4381" s="115" t="str">
        <f>IFERROR(__xludf.DUMMYFUNCTION("""COMPUTED_VALUE"""),"08")</f>
        <v>08</v>
      </c>
      <c r="J4381" s="115" t="str">
        <f>IFERROR(__xludf.DUMMYFUNCTION("""COMPUTED_VALUE"""),"Premkumar M2025-09-0908")</f>
        <v>Premkumar M2025-09-0908</v>
      </c>
      <c r="K4381" s="115">
        <f>IFERROR(__xludf.DUMMYFUNCTION("""COMPUTED_VALUE"""),1234.0)</f>
        <v>1234</v>
      </c>
    </row>
    <row r="4382">
      <c r="A4382" s="115" t="str">
        <f>IFERROR(__xludf.DUMMYFUNCTION("""COMPUTED_VALUE"""),"SOUTH")</f>
        <v>SOUTH</v>
      </c>
      <c r="B4382" s="115" t="str">
        <f>IFERROR(__xludf.DUMMYFUNCTION("""COMPUTED_VALUE"""),"Premkumar M")</f>
        <v>Premkumar M</v>
      </c>
      <c r="C4382" s="115" t="str">
        <f>IFERROR(__xludf.DUMMYFUNCTION("""COMPUTED_VALUE"""),"FLIPKART")</f>
        <v>FLIPKART</v>
      </c>
      <c r="D4382" s="115">
        <f>IFERROR(__xludf.DUMMYFUNCTION("""COMPUTED_VALUE"""),12000.0)</f>
        <v>12000</v>
      </c>
      <c r="E4382" s="115">
        <f>IFERROR(__xludf.DUMMYFUNCTION("""COMPUTED_VALUE"""),766.0)</f>
        <v>766</v>
      </c>
      <c r="F4382" s="115">
        <f>IFERROR(__xludf.DUMMYFUNCTION("""COMPUTED_VALUE"""),246.0)</f>
        <v>246</v>
      </c>
      <c r="G4382" s="115">
        <f>IFERROR(__xludf.DUMMYFUNCTION("""COMPUTED_VALUE"""),33.0)</f>
        <v>33</v>
      </c>
      <c r="H4382" s="116">
        <f>IFERROR(__xludf.DUMMYFUNCTION("""COMPUTED_VALUE"""),45909.0)</f>
        <v>45909</v>
      </c>
      <c r="I4382" s="115" t="str">
        <f>IFERROR(__xludf.DUMMYFUNCTION("""COMPUTED_VALUE"""),"08")</f>
        <v>08</v>
      </c>
      <c r="J4382" s="115" t="str">
        <f>IFERROR(__xludf.DUMMYFUNCTION("""COMPUTED_VALUE"""),"Premkumar M2025-09-0908")</f>
        <v>Premkumar M2025-09-0908</v>
      </c>
      <c r="K4382" s="115">
        <f>IFERROR(__xludf.DUMMYFUNCTION("""COMPUTED_VALUE"""),12766.0)</f>
        <v>12766</v>
      </c>
    </row>
    <row r="4383">
      <c r="A4383" s="115" t="str">
        <f>IFERROR(__xludf.DUMMYFUNCTION("""COMPUTED_VALUE"""),"SOUTH")</f>
        <v>SOUTH</v>
      </c>
      <c r="B4383" s="115" t="str">
        <f>IFERROR(__xludf.DUMMYFUNCTION("""COMPUTED_VALUE"""),"Premkumar M")</f>
        <v>Premkumar M</v>
      </c>
      <c r="C4383" s="115" t="str">
        <f>IFERROR(__xludf.DUMMYFUNCTION("""COMPUTED_VALUE"""),"MYNTRA")</f>
        <v>MYNTRA</v>
      </c>
      <c r="D4383" s="115">
        <f>IFERROR(__xludf.DUMMYFUNCTION("""COMPUTED_VALUE"""),757.0)</f>
        <v>757</v>
      </c>
      <c r="E4383" s="115">
        <f>IFERROR(__xludf.DUMMYFUNCTION("""COMPUTED_VALUE"""),170.0)</f>
        <v>170</v>
      </c>
      <c r="F4383" s="115">
        <f>IFERROR(__xludf.DUMMYFUNCTION("""COMPUTED_VALUE"""),9.0)</f>
        <v>9</v>
      </c>
      <c r="G4383" s="115">
        <f>IFERROR(__xludf.DUMMYFUNCTION("""COMPUTED_VALUE"""),0.0)</f>
        <v>0</v>
      </c>
      <c r="H4383" s="116">
        <f>IFERROR(__xludf.DUMMYFUNCTION("""COMPUTED_VALUE"""),45909.0)</f>
        <v>45909</v>
      </c>
      <c r="I4383" s="115" t="str">
        <f>IFERROR(__xludf.DUMMYFUNCTION("""COMPUTED_VALUE"""),"08")</f>
        <v>08</v>
      </c>
      <c r="J4383" s="115" t="str">
        <f>IFERROR(__xludf.DUMMYFUNCTION("""COMPUTED_VALUE"""),"Premkumar M2025-09-0908")</f>
        <v>Premkumar M2025-09-0908</v>
      </c>
      <c r="K4383" s="115">
        <f>IFERROR(__xludf.DUMMYFUNCTION("""COMPUTED_VALUE"""),927.0)</f>
        <v>927</v>
      </c>
    </row>
    <row r="4384">
      <c r="A4384" s="115" t="str">
        <f>IFERROR(__xludf.DUMMYFUNCTION("""COMPUTED_VALUE"""),"SOUTH")</f>
        <v>SOUTH</v>
      </c>
      <c r="B4384" s="115" t="str">
        <f>IFERROR(__xludf.DUMMYFUNCTION("""COMPUTED_VALUE"""),"Vineeth V")</f>
        <v>Vineeth V</v>
      </c>
      <c r="C4384" s="115" t="str">
        <f>IFERROR(__xludf.DUMMYFUNCTION("""COMPUTED_VALUE"""),"EXTERNAL")</f>
        <v>EXTERNAL</v>
      </c>
      <c r="D4384" s="115">
        <f>IFERROR(__xludf.DUMMYFUNCTION("""COMPUTED_VALUE"""),498.0)</f>
        <v>498</v>
      </c>
      <c r="E4384" s="115">
        <f>IFERROR(__xludf.DUMMYFUNCTION("""COMPUTED_VALUE"""),15.0)</f>
        <v>15</v>
      </c>
      <c r="F4384" s="115">
        <f>IFERROR(__xludf.DUMMYFUNCTION("""COMPUTED_VALUE"""),8.0)</f>
        <v>8</v>
      </c>
      <c r="G4384" s="115">
        <f>IFERROR(__xludf.DUMMYFUNCTION("""COMPUTED_VALUE"""),0.0)</f>
        <v>0</v>
      </c>
      <c r="H4384" s="116">
        <f>IFERROR(__xludf.DUMMYFUNCTION("""COMPUTED_VALUE"""),45909.0)</f>
        <v>45909</v>
      </c>
      <c r="I4384" s="115" t="str">
        <f>IFERROR(__xludf.DUMMYFUNCTION("""COMPUTED_VALUE"""),"08")</f>
        <v>08</v>
      </c>
      <c r="J4384" s="115" t="str">
        <f>IFERROR(__xludf.DUMMYFUNCTION("""COMPUTED_VALUE"""),"Vineeth V2025-09-0908")</f>
        <v>Vineeth V2025-09-0908</v>
      </c>
      <c r="K4384" s="115">
        <f>IFERROR(__xludf.DUMMYFUNCTION("""COMPUTED_VALUE"""),513.0)</f>
        <v>513</v>
      </c>
    </row>
    <row r="4385">
      <c r="A4385" s="115" t="str">
        <f>IFERROR(__xludf.DUMMYFUNCTION("""COMPUTED_VALUE"""),"SOUTH")</f>
        <v>SOUTH</v>
      </c>
      <c r="B4385" s="115" t="str">
        <f>IFERROR(__xludf.DUMMYFUNCTION("""COMPUTED_VALUE"""),"Vineeth V")</f>
        <v>Vineeth V</v>
      </c>
      <c r="C4385" s="115" t="str">
        <f>IFERROR(__xludf.DUMMYFUNCTION("""COMPUTED_VALUE"""),"FLIPKART")</f>
        <v>FLIPKART</v>
      </c>
      <c r="D4385" s="115">
        <f>IFERROR(__xludf.DUMMYFUNCTION("""COMPUTED_VALUE"""),4870.0)</f>
        <v>4870</v>
      </c>
      <c r="E4385" s="115">
        <f>IFERROR(__xludf.DUMMYFUNCTION("""COMPUTED_VALUE"""),324.0)</f>
        <v>324</v>
      </c>
      <c r="F4385" s="115">
        <f>IFERROR(__xludf.DUMMYFUNCTION("""COMPUTED_VALUE"""),221.0)</f>
        <v>221</v>
      </c>
      <c r="G4385" s="115">
        <f>IFERROR(__xludf.DUMMYFUNCTION("""COMPUTED_VALUE"""),6.0)</f>
        <v>6</v>
      </c>
      <c r="H4385" s="116">
        <f>IFERROR(__xludf.DUMMYFUNCTION("""COMPUTED_VALUE"""),45909.0)</f>
        <v>45909</v>
      </c>
      <c r="I4385" s="115" t="str">
        <f>IFERROR(__xludf.DUMMYFUNCTION("""COMPUTED_VALUE"""),"08")</f>
        <v>08</v>
      </c>
      <c r="J4385" s="115" t="str">
        <f>IFERROR(__xludf.DUMMYFUNCTION("""COMPUTED_VALUE"""),"Vineeth V2025-09-0908")</f>
        <v>Vineeth V2025-09-0908</v>
      </c>
      <c r="K4385" s="115">
        <f>IFERROR(__xludf.DUMMYFUNCTION("""COMPUTED_VALUE"""),5194.0)</f>
        <v>5194</v>
      </c>
    </row>
    <row r="4386">
      <c r="A4386" s="115" t="str">
        <f>IFERROR(__xludf.DUMMYFUNCTION("""COMPUTED_VALUE"""),"SOUTH")</f>
        <v>SOUTH</v>
      </c>
      <c r="B4386" s="115" t="str">
        <f>IFERROR(__xludf.DUMMYFUNCTION("""COMPUTED_VALUE"""),"Vineeth V")</f>
        <v>Vineeth V</v>
      </c>
      <c r="C4386" s="115" t="str">
        <f>IFERROR(__xludf.DUMMYFUNCTION("""COMPUTED_VALUE"""),"MYNTRA")</f>
        <v>MYNTRA</v>
      </c>
      <c r="D4386" s="115">
        <f>IFERROR(__xludf.DUMMYFUNCTION("""COMPUTED_VALUE"""),432.0)</f>
        <v>432</v>
      </c>
      <c r="E4386" s="115">
        <f>IFERROR(__xludf.DUMMYFUNCTION("""COMPUTED_VALUE"""),94.0)</f>
        <v>94</v>
      </c>
      <c r="F4386" s="115">
        <f>IFERROR(__xludf.DUMMYFUNCTION("""COMPUTED_VALUE"""),16.0)</f>
        <v>16</v>
      </c>
      <c r="G4386" s="115">
        <f>IFERROR(__xludf.DUMMYFUNCTION("""COMPUTED_VALUE"""),0.0)</f>
        <v>0</v>
      </c>
      <c r="H4386" s="116">
        <f>IFERROR(__xludf.DUMMYFUNCTION("""COMPUTED_VALUE"""),45909.0)</f>
        <v>45909</v>
      </c>
      <c r="I4386" s="115" t="str">
        <f>IFERROR(__xludf.DUMMYFUNCTION("""COMPUTED_VALUE"""),"08")</f>
        <v>08</v>
      </c>
      <c r="J4386" s="115" t="str">
        <f>IFERROR(__xludf.DUMMYFUNCTION("""COMPUTED_VALUE"""),"Vineeth V2025-09-0908")</f>
        <v>Vineeth V2025-09-0908</v>
      </c>
      <c r="K4386" s="115">
        <f>IFERROR(__xludf.DUMMYFUNCTION("""COMPUTED_VALUE"""),526.0)</f>
        <v>526</v>
      </c>
    </row>
    <row r="4387">
      <c r="A4387" s="115" t="str">
        <f>IFERROR(__xludf.DUMMYFUNCTION("""COMPUTED_VALUE"""),"WEST")</f>
        <v>WEST</v>
      </c>
      <c r="B4387" s="115" t="str">
        <f>IFERROR(__xludf.DUMMYFUNCTION("""COMPUTED_VALUE"""),"Ashish Jakar")</f>
        <v>Ashish Jakar</v>
      </c>
      <c r="C4387" s="115" t="str">
        <f>IFERROR(__xludf.DUMMYFUNCTION("""COMPUTED_VALUE"""),"EXTERNAL")</f>
        <v>EXTERNAL</v>
      </c>
      <c r="D4387" s="115">
        <f>IFERROR(__xludf.DUMMYFUNCTION("""COMPUTED_VALUE"""),2862.0)</f>
        <v>2862</v>
      </c>
      <c r="E4387" s="115">
        <f>IFERROR(__xludf.DUMMYFUNCTION("""COMPUTED_VALUE"""),597.0)</f>
        <v>597</v>
      </c>
      <c r="F4387" s="115">
        <f>IFERROR(__xludf.DUMMYFUNCTION("""COMPUTED_VALUE"""),24.0)</f>
        <v>24</v>
      </c>
      <c r="G4387" s="115">
        <f>IFERROR(__xludf.DUMMYFUNCTION("""COMPUTED_VALUE"""),0.0)</f>
        <v>0</v>
      </c>
      <c r="H4387" s="116">
        <f>IFERROR(__xludf.DUMMYFUNCTION("""COMPUTED_VALUE"""),45909.0)</f>
        <v>45909</v>
      </c>
      <c r="I4387" s="115" t="str">
        <f>IFERROR(__xludf.DUMMYFUNCTION("""COMPUTED_VALUE"""),"08")</f>
        <v>08</v>
      </c>
      <c r="J4387" s="115" t="str">
        <f>IFERROR(__xludf.DUMMYFUNCTION("""COMPUTED_VALUE"""),"Ashish Jakar2025-09-0908")</f>
        <v>Ashish Jakar2025-09-0908</v>
      </c>
      <c r="K4387" s="115">
        <f>IFERROR(__xludf.DUMMYFUNCTION("""COMPUTED_VALUE"""),3459.0)</f>
        <v>3459</v>
      </c>
    </row>
    <row r="4388">
      <c r="A4388" s="115" t="str">
        <f>IFERROR(__xludf.DUMMYFUNCTION("""COMPUTED_VALUE"""),"WEST")</f>
        <v>WEST</v>
      </c>
      <c r="B4388" s="115" t="str">
        <f>IFERROR(__xludf.DUMMYFUNCTION("""COMPUTED_VALUE"""),"Ashish Jakar")</f>
        <v>Ashish Jakar</v>
      </c>
      <c r="C4388" s="115" t="str">
        <f>IFERROR(__xludf.DUMMYFUNCTION("""COMPUTED_VALUE"""),"FLIPKART")</f>
        <v>FLIPKART</v>
      </c>
      <c r="D4388" s="115">
        <f>IFERROR(__xludf.DUMMYFUNCTION("""COMPUTED_VALUE"""),20474.0)</f>
        <v>20474</v>
      </c>
      <c r="E4388" s="115">
        <f>IFERROR(__xludf.DUMMYFUNCTION("""COMPUTED_VALUE"""),2681.0)</f>
        <v>2681</v>
      </c>
      <c r="F4388" s="115">
        <f>IFERROR(__xludf.DUMMYFUNCTION("""COMPUTED_VALUE"""),195.0)</f>
        <v>195</v>
      </c>
      <c r="G4388" s="115">
        <f>IFERROR(__xludf.DUMMYFUNCTION("""COMPUTED_VALUE"""),12.0)</f>
        <v>12</v>
      </c>
      <c r="H4388" s="116">
        <f>IFERROR(__xludf.DUMMYFUNCTION("""COMPUTED_VALUE"""),45909.0)</f>
        <v>45909</v>
      </c>
      <c r="I4388" s="115" t="str">
        <f>IFERROR(__xludf.DUMMYFUNCTION("""COMPUTED_VALUE"""),"08")</f>
        <v>08</v>
      </c>
      <c r="J4388" s="115" t="str">
        <f>IFERROR(__xludf.DUMMYFUNCTION("""COMPUTED_VALUE"""),"Ashish Jakar2025-09-0908")</f>
        <v>Ashish Jakar2025-09-0908</v>
      </c>
      <c r="K4388" s="115">
        <f>IFERROR(__xludf.DUMMYFUNCTION("""COMPUTED_VALUE"""),23155.0)</f>
        <v>23155</v>
      </c>
    </row>
    <row r="4389">
      <c r="A4389" s="115" t="str">
        <f>IFERROR(__xludf.DUMMYFUNCTION("""COMPUTED_VALUE"""),"WEST")</f>
        <v>WEST</v>
      </c>
      <c r="B4389" s="115" t="str">
        <f>IFERROR(__xludf.DUMMYFUNCTION("""COMPUTED_VALUE"""),"Ashish Jakar")</f>
        <v>Ashish Jakar</v>
      </c>
      <c r="C4389" s="115" t="str">
        <f>IFERROR(__xludf.DUMMYFUNCTION("""COMPUTED_VALUE"""),"MYNTRA")</f>
        <v>MYNTRA</v>
      </c>
      <c r="D4389" s="115">
        <f>IFERROR(__xludf.DUMMYFUNCTION("""COMPUTED_VALUE"""),2662.0)</f>
        <v>2662</v>
      </c>
      <c r="E4389" s="115">
        <f>IFERROR(__xludf.DUMMYFUNCTION("""COMPUTED_VALUE"""),994.0)</f>
        <v>994</v>
      </c>
      <c r="F4389" s="115">
        <f>IFERROR(__xludf.DUMMYFUNCTION("""COMPUTED_VALUE"""),33.0)</f>
        <v>33</v>
      </c>
      <c r="G4389" s="115">
        <f>IFERROR(__xludf.DUMMYFUNCTION("""COMPUTED_VALUE"""),0.0)</f>
        <v>0</v>
      </c>
      <c r="H4389" s="116">
        <f>IFERROR(__xludf.DUMMYFUNCTION("""COMPUTED_VALUE"""),45909.0)</f>
        <v>45909</v>
      </c>
      <c r="I4389" s="115" t="str">
        <f>IFERROR(__xludf.DUMMYFUNCTION("""COMPUTED_VALUE"""),"08")</f>
        <v>08</v>
      </c>
      <c r="J4389" s="115" t="str">
        <f>IFERROR(__xludf.DUMMYFUNCTION("""COMPUTED_VALUE"""),"Ashish Jakar2025-09-0908")</f>
        <v>Ashish Jakar2025-09-0908</v>
      </c>
      <c r="K4389" s="115">
        <f>IFERROR(__xludf.DUMMYFUNCTION("""COMPUTED_VALUE"""),3656.0)</f>
        <v>3656</v>
      </c>
    </row>
    <row r="4390">
      <c r="A4390" s="115" t="str">
        <f>IFERROR(__xludf.DUMMYFUNCTION("""COMPUTED_VALUE"""),"WEST")</f>
        <v>WEST</v>
      </c>
      <c r="B4390" s="115" t="str">
        <f>IFERROR(__xludf.DUMMYFUNCTION("""COMPUTED_VALUE"""),"Ashvani Bhatt")</f>
        <v>Ashvani Bhatt</v>
      </c>
      <c r="C4390" s="115" t="str">
        <f>IFERROR(__xludf.DUMMYFUNCTION("""COMPUTED_VALUE"""),"EXTERNAL")</f>
        <v>EXTERNAL</v>
      </c>
      <c r="D4390" s="115">
        <f>IFERROR(__xludf.DUMMYFUNCTION("""COMPUTED_VALUE"""),2738.0)</f>
        <v>2738</v>
      </c>
      <c r="E4390" s="115">
        <f>IFERROR(__xludf.DUMMYFUNCTION("""COMPUTED_VALUE"""),181.0)</f>
        <v>181</v>
      </c>
      <c r="F4390" s="115">
        <f>IFERROR(__xludf.DUMMYFUNCTION("""COMPUTED_VALUE"""),16.0)</f>
        <v>16</v>
      </c>
      <c r="G4390" s="115">
        <f>IFERROR(__xludf.DUMMYFUNCTION("""COMPUTED_VALUE"""),2.0)</f>
        <v>2</v>
      </c>
      <c r="H4390" s="116">
        <f>IFERROR(__xludf.DUMMYFUNCTION("""COMPUTED_VALUE"""),45909.0)</f>
        <v>45909</v>
      </c>
      <c r="I4390" s="115" t="str">
        <f>IFERROR(__xludf.DUMMYFUNCTION("""COMPUTED_VALUE"""),"08")</f>
        <v>08</v>
      </c>
      <c r="J4390" s="115" t="str">
        <f>IFERROR(__xludf.DUMMYFUNCTION("""COMPUTED_VALUE"""),"Ashvani Bhatt2025-09-0908")</f>
        <v>Ashvani Bhatt2025-09-0908</v>
      </c>
      <c r="K4390" s="115">
        <f>IFERROR(__xludf.DUMMYFUNCTION("""COMPUTED_VALUE"""),2919.0)</f>
        <v>2919</v>
      </c>
    </row>
    <row r="4391">
      <c r="A4391" s="115" t="str">
        <f>IFERROR(__xludf.DUMMYFUNCTION("""COMPUTED_VALUE"""),"WEST")</f>
        <v>WEST</v>
      </c>
      <c r="B4391" s="115" t="str">
        <f>IFERROR(__xludf.DUMMYFUNCTION("""COMPUTED_VALUE"""),"Ashvani Bhatt")</f>
        <v>Ashvani Bhatt</v>
      </c>
      <c r="C4391" s="115" t="str">
        <f>IFERROR(__xludf.DUMMYFUNCTION("""COMPUTED_VALUE"""),"FLIPKART")</f>
        <v>FLIPKART</v>
      </c>
      <c r="D4391" s="115">
        <f>IFERROR(__xludf.DUMMYFUNCTION("""COMPUTED_VALUE"""),22640.0)</f>
        <v>22640</v>
      </c>
      <c r="E4391" s="115">
        <f>IFERROR(__xludf.DUMMYFUNCTION("""COMPUTED_VALUE"""),1900.0)</f>
        <v>1900</v>
      </c>
      <c r="F4391" s="115">
        <f>IFERROR(__xludf.DUMMYFUNCTION("""COMPUTED_VALUE"""),244.0)</f>
        <v>244</v>
      </c>
      <c r="G4391" s="115">
        <f>IFERROR(__xludf.DUMMYFUNCTION("""COMPUTED_VALUE"""),39.0)</f>
        <v>39</v>
      </c>
      <c r="H4391" s="116">
        <f>IFERROR(__xludf.DUMMYFUNCTION("""COMPUTED_VALUE"""),45909.0)</f>
        <v>45909</v>
      </c>
      <c r="I4391" s="115" t="str">
        <f>IFERROR(__xludf.DUMMYFUNCTION("""COMPUTED_VALUE"""),"08")</f>
        <v>08</v>
      </c>
      <c r="J4391" s="115" t="str">
        <f>IFERROR(__xludf.DUMMYFUNCTION("""COMPUTED_VALUE"""),"Ashvani Bhatt2025-09-0908")</f>
        <v>Ashvani Bhatt2025-09-0908</v>
      </c>
      <c r="K4391" s="115">
        <f>IFERROR(__xludf.DUMMYFUNCTION("""COMPUTED_VALUE"""),24540.0)</f>
        <v>24540</v>
      </c>
    </row>
    <row r="4392">
      <c r="A4392" s="115" t="str">
        <f>IFERROR(__xludf.DUMMYFUNCTION("""COMPUTED_VALUE"""),"WEST")</f>
        <v>WEST</v>
      </c>
      <c r="B4392" s="115" t="str">
        <f>IFERROR(__xludf.DUMMYFUNCTION("""COMPUTED_VALUE"""),"Ashvani Bhatt")</f>
        <v>Ashvani Bhatt</v>
      </c>
      <c r="C4392" s="115" t="str">
        <f>IFERROR(__xludf.DUMMYFUNCTION("""COMPUTED_VALUE"""),"MYNTRA")</f>
        <v>MYNTRA</v>
      </c>
      <c r="D4392" s="115">
        <f>IFERROR(__xludf.DUMMYFUNCTION("""COMPUTED_VALUE"""),3759.0)</f>
        <v>3759</v>
      </c>
      <c r="E4392" s="115">
        <f>IFERROR(__xludf.DUMMYFUNCTION("""COMPUTED_VALUE"""),760.0)</f>
        <v>760</v>
      </c>
      <c r="F4392" s="115">
        <f>IFERROR(__xludf.DUMMYFUNCTION("""COMPUTED_VALUE"""),44.0)</f>
        <v>44</v>
      </c>
      <c r="G4392" s="115">
        <f>IFERROR(__xludf.DUMMYFUNCTION("""COMPUTED_VALUE"""),10.0)</f>
        <v>10</v>
      </c>
      <c r="H4392" s="116">
        <f>IFERROR(__xludf.DUMMYFUNCTION("""COMPUTED_VALUE"""),45909.0)</f>
        <v>45909</v>
      </c>
      <c r="I4392" s="115" t="str">
        <f>IFERROR(__xludf.DUMMYFUNCTION("""COMPUTED_VALUE"""),"08")</f>
        <v>08</v>
      </c>
      <c r="J4392" s="115" t="str">
        <f>IFERROR(__xludf.DUMMYFUNCTION("""COMPUTED_VALUE"""),"Ashvani Bhatt2025-09-0908")</f>
        <v>Ashvani Bhatt2025-09-0908</v>
      </c>
      <c r="K4392" s="115">
        <f>IFERROR(__xludf.DUMMYFUNCTION("""COMPUTED_VALUE"""),4519.0)</f>
        <v>4519</v>
      </c>
    </row>
    <row r="4393">
      <c r="A4393" s="115"/>
      <c r="B4393" s="115"/>
      <c r="C4393" s="115" t="str">
        <f>IFERROR(__xludf.DUMMYFUNCTION("""COMPUTED_VALUE"""),"EXTERNAL")</f>
        <v>EXTERNAL</v>
      </c>
      <c r="D4393" s="115">
        <f>IFERROR(__xludf.DUMMYFUNCTION("""COMPUTED_VALUE"""),25.0)</f>
        <v>25</v>
      </c>
      <c r="E4393" s="115">
        <f>IFERROR(__xludf.DUMMYFUNCTION("""COMPUTED_VALUE"""),8.0)</f>
        <v>8</v>
      </c>
      <c r="F4393" s="115">
        <f>IFERROR(__xludf.DUMMYFUNCTION("""COMPUTED_VALUE"""),0.0)</f>
        <v>0</v>
      </c>
      <c r="G4393" s="115">
        <f>IFERROR(__xludf.DUMMYFUNCTION("""COMPUTED_VALUE"""),0.0)</f>
        <v>0</v>
      </c>
      <c r="H4393" s="116">
        <f>IFERROR(__xludf.DUMMYFUNCTION("""COMPUTED_VALUE"""),45909.0)</f>
        <v>45909</v>
      </c>
      <c r="I4393" s="115" t="str">
        <f>IFERROR(__xludf.DUMMYFUNCTION("""COMPUTED_VALUE"""),"08")</f>
        <v>08</v>
      </c>
      <c r="J4393" s="115" t="str">
        <f>IFERROR(__xludf.DUMMYFUNCTION("""COMPUTED_VALUE"""),"2025-09-0908")</f>
        <v>2025-09-0908</v>
      </c>
      <c r="K4393" s="115">
        <f>IFERROR(__xludf.DUMMYFUNCTION("""COMPUTED_VALUE"""),33.0)</f>
        <v>33</v>
      </c>
    </row>
    <row r="4394">
      <c r="A4394" s="115"/>
      <c r="B4394" s="115"/>
      <c r="C4394" s="115" t="str">
        <f>IFERROR(__xludf.DUMMYFUNCTION("""COMPUTED_VALUE"""),"FLIPKART")</f>
        <v>FLIPKART</v>
      </c>
      <c r="D4394" s="115">
        <f>IFERROR(__xludf.DUMMYFUNCTION("""COMPUTED_VALUE"""),696.0)</f>
        <v>696</v>
      </c>
      <c r="E4394" s="115">
        <f>IFERROR(__xludf.DUMMYFUNCTION("""COMPUTED_VALUE"""),46.0)</f>
        <v>46</v>
      </c>
      <c r="F4394" s="115">
        <f>IFERROR(__xludf.DUMMYFUNCTION("""COMPUTED_VALUE"""),0.0)</f>
        <v>0</v>
      </c>
      <c r="G4394" s="115">
        <f>IFERROR(__xludf.DUMMYFUNCTION("""COMPUTED_VALUE"""),2.0)</f>
        <v>2</v>
      </c>
      <c r="H4394" s="116">
        <f>IFERROR(__xludf.DUMMYFUNCTION("""COMPUTED_VALUE"""),45909.0)</f>
        <v>45909</v>
      </c>
      <c r="I4394" s="115" t="str">
        <f>IFERROR(__xludf.DUMMYFUNCTION("""COMPUTED_VALUE"""),"08")</f>
        <v>08</v>
      </c>
      <c r="J4394" s="115" t="str">
        <f>IFERROR(__xludf.DUMMYFUNCTION("""COMPUTED_VALUE"""),"2025-09-0908")</f>
        <v>2025-09-0908</v>
      </c>
      <c r="K4394" s="115">
        <f>IFERROR(__xludf.DUMMYFUNCTION("""COMPUTED_VALUE"""),742.0)</f>
        <v>742</v>
      </c>
    </row>
    <row r="4395">
      <c r="A4395" s="115"/>
      <c r="B4395" s="115"/>
      <c r="C4395" s="115" t="str">
        <f>IFERROR(__xludf.DUMMYFUNCTION("""COMPUTED_VALUE"""),"MYNTRA")</f>
        <v>MYNTRA</v>
      </c>
      <c r="D4395" s="115">
        <f>IFERROR(__xludf.DUMMYFUNCTION("""COMPUTED_VALUE"""),28.0)</f>
        <v>28</v>
      </c>
      <c r="E4395" s="115">
        <f>IFERROR(__xludf.DUMMYFUNCTION("""COMPUTED_VALUE"""),8.0)</f>
        <v>8</v>
      </c>
      <c r="F4395" s="115">
        <f>IFERROR(__xludf.DUMMYFUNCTION("""COMPUTED_VALUE"""),0.0)</f>
        <v>0</v>
      </c>
      <c r="G4395" s="115">
        <f>IFERROR(__xludf.DUMMYFUNCTION("""COMPUTED_VALUE"""),0.0)</f>
        <v>0</v>
      </c>
      <c r="H4395" s="116">
        <f>IFERROR(__xludf.DUMMYFUNCTION("""COMPUTED_VALUE"""),45909.0)</f>
        <v>45909</v>
      </c>
      <c r="I4395" s="115" t="str">
        <f>IFERROR(__xludf.DUMMYFUNCTION("""COMPUTED_VALUE"""),"08")</f>
        <v>08</v>
      </c>
      <c r="J4395" s="115" t="str">
        <f>IFERROR(__xludf.DUMMYFUNCTION("""COMPUTED_VALUE"""),"2025-09-0908")</f>
        <v>2025-09-0908</v>
      </c>
      <c r="K4395" s="115">
        <f>IFERROR(__xludf.DUMMYFUNCTION("""COMPUTED_VALUE"""),36.0)</f>
        <v>36</v>
      </c>
    </row>
    <row r="4396">
      <c r="A4396" s="115" t="str">
        <f>IFERROR(__xludf.DUMMYFUNCTION("""COMPUTED_VALUE"""),"EAST")</f>
        <v>EAST</v>
      </c>
      <c r="B4396" s="115" t="str">
        <f>IFERROR(__xludf.DUMMYFUNCTION("""COMPUTED_VALUE"""),"Ashish Ranjan")</f>
        <v>Ashish Ranjan</v>
      </c>
      <c r="C4396" s="115" t="str">
        <f>IFERROR(__xludf.DUMMYFUNCTION("""COMPUTED_VALUE"""),"EXTERNAL")</f>
        <v>EXTERNAL</v>
      </c>
      <c r="D4396" s="115">
        <f>IFERROR(__xludf.DUMMYFUNCTION("""COMPUTED_VALUE"""),13881.0)</f>
        <v>13881</v>
      </c>
      <c r="E4396" s="115">
        <f>IFERROR(__xludf.DUMMYFUNCTION("""COMPUTED_VALUE"""),1038.0)</f>
        <v>1038</v>
      </c>
      <c r="F4396" s="115">
        <f>IFERROR(__xludf.DUMMYFUNCTION("""COMPUTED_VALUE"""),311.0)</f>
        <v>311</v>
      </c>
      <c r="G4396" s="115">
        <f>IFERROR(__xludf.DUMMYFUNCTION("""COMPUTED_VALUE"""),5.0)</f>
        <v>5</v>
      </c>
      <c r="H4396" s="116">
        <f>IFERROR(__xludf.DUMMYFUNCTION("""COMPUTED_VALUE"""),45909.0)</f>
        <v>45909</v>
      </c>
      <c r="I4396" s="115" t="str">
        <f>IFERROR(__xludf.DUMMYFUNCTION("""COMPUTED_VALUE"""),"09")</f>
        <v>09</v>
      </c>
      <c r="J4396" s="115" t="str">
        <f>IFERROR(__xludf.DUMMYFUNCTION("""COMPUTED_VALUE"""),"Ashish Ranjan2025-09-0909")</f>
        <v>Ashish Ranjan2025-09-0909</v>
      </c>
      <c r="K4396" s="115">
        <f>IFERROR(__xludf.DUMMYFUNCTION("""COMPUTED_VALUE"""),14919.0)</f>
        <v>14919</v>
      </c>
    </row>
    <row r="4397">
      <c r="A4397" s="115" t="str">
        <f>IFERROR(__xludf.DUMMYFUNCTION("""COMPUTED_VALUE"""),"EAST")</f>
        <v>EAST</v>
      </c>
      <c r="B4397" s="115" t="str">
        <f>IFERROR(__xludf.DUMMYFUNCTION("""COMPUTED_VALUE"""),"Ashish Ranjan")</f>
        <v>Ashish Ranjan</v>
      </c>
      <c r="C4397" s="115" t="str">
        <f>IFERROR(__xludf.DUMMYFUNCTION("""COMPUTED_VALUE"""),"FLIPKART")</f>
        <v>FLIPKART</v>
      </c>
      <c r="D4397" s="115">
        <f>IFERROR(__xludf.DUMMYFUNCTION("""COMPUTED_VALUE"""),235800.0)</f>
        <v>235800</v>
      </c>
      <c r="E4397" s="115">
        <f>IFERROR(__xludf.DUMMYFUNCTION("""COMPUTED_VALUE"""),22914.0)</f>
        <v>22914</v>
      </c>
      <c r="F4397" s="115">
        <f>IFERROR(__xludf.DUMMYFUNCTION("""COMPUTED_VALUE"""),8377.0)</f>
        <v>8377</v>
      </c>
      <c r="G4397" s="115">
        <f>IFERROR(__xludf.DUMMYFUNCTION("""COMPUTED_VALUE"""),349.0)</f>
        <v>349</v>
      </c>
      <c r="H4397" s="116">
        <f>IFERROR(__xludf.DUMMYFUNCTION("""COMPUTED_VALUE"""),45909.0)</f>
        <v>45909</v>
      </c>
      <c r="I4397" s="115" t="str">
        <f>IFERROR(__xludf.DUMMYFUNCTION("""COMPUTED_VALUE"""),"09")</f>
        <v>09</v>
      </c>
      <c r="J4397" s="115" t="str">
        <f>IFERROR(__xludf.DUMMYFUNCTION("""COMPUTED_VALUE"""),"Ashish Ranjan2025-09-0909")</f>
        <v>Ashish Ranjan2025-09-0909</v>
      </c>
      <c r="K4397" s="115">
        <f>IFERROR(__xludf.DUMMYFUNCTION("""COMPUTED_VALUE"""),258714.0)</f>
        <v>258714</v>
      </c>
    </row>
    <row r="4398">
      <c r="A4398" s="115" t="str">
        <f>IFERROR(__xludf.DUMMYFUNCTION("""COMPUTED_VALUE"""),"EAST")</f>
        <v>EAST</v>
      </c>
      <c r="B4398" s="115" t="str">
        <f>IFERROR(__xludf.DUMMYFUNCTION("""COMPUTED_VALUE"""),"Ashish Ranjan")</f>
        <v>Ashish Ranjan</v>
      </c>
      <c r="C4398" s="115" t="str">
        <f>IFERROR(__xludf.DUMMYFUNCTION("""COMPUTED_VALUE"""),"MYNTRA")</f>
        <v>MYNTRA</v>
      </c>
      <c r="D4398" s="115">
        <f>IFERROR(__xludf.DUMMYFUNCTION("""COMPUTED_VALUE"""),24248.0)</f>
        <v>24248</v>
      </c>
      <c r="E4398" s="115">
        <f>IFERROR(__xludf.DUMMYFUNCTION("""COMPUTED_VALUE"""),4950.0)</f>
        <v>4950</v>
      </c>
      <c r="F4398" s="115">
        <f>IFERROR(__xludf.DUMMYFUNCTION("""COMPUTED_VALUE"""),943.0)</f>
        <v>943</v>
      </c>
      <c r="G4398" s="115">
        <f>IFERROR(__xludf.DUMMYFUNCTION("""COMPUTED_VALUE"""),57.0)</f>
        <v>57</v>
      </c>
      <c r="H4398" s="116">
        <f>IFERROR(__xludf.DUMMYFUNCTION("""COMPUTED_VALUE"""),45909.0)</f>
        <v>45909</v>
      </c>
      <c r="I4398" s="115" t="str">
        <f>IFERROR(__xludf.DUMMYFUNCTION("""COMPUTED_VALUE"""),"09")</f>
        <v>09</v>
      </c>
      <c r="J4398" s="115" t="str">
        <f>IFERROR(__xludf.DUMMYFUNCTION("""COMPUTED_VALUE"""),"Ashish Ranjan2025-09-0909")</f>
        <v>Ashish Ranjan2025-09-0909</v>
      </c>
      <c r="K4398" s="115">
        <f>IFERROR(__xludf.DUMMYFUNCTION("""COMPUTED_VALUE"""),29198.0)</f>
        <v>29198</v>
      </c>
    </row>
    <row r="4399">
      <c r="A4399" s="115" t="str">
        <f>IFERROR(__xludf.DUMMYFUNCTION("""COMPUTED_VALUE"""),"EAST")</f>
        <v>EAST</v>
      </c>
      <c r="B4399" s="115" t="str">
        <f>IFERROR(__xludf.DUMMYFUNCTION("""COMPUTED_VALUE"""),"Girish Chand")</f>
        <v>Girish Chand</v>
      </c>
      <c r="C4399" s="115" t="str">
        <f>IFERROR(__xludf.DUMMYFUNCTION("""COMPUTED_VALUE"""),"EXTERNAL")</f>
        <v>EXTERNAL</v>
      </c>
      <c r="D4399" s="115">
        <f>IFERROR(__xludf.DUMMYFUNCTION("""COMPUTED_VALUE"""),8143.0)</f>
        <v>8143</v>
      </c>
      <c r="E4399" s="115">
        <f>IFERROR(__xludf.DUMMYFUNCTION("""COMPUTED_VALUE"""),448.0)</f>
        <v>448</v>
      </c>
      <c r="F4399" s="115">
        <f>IFERROR(__xludf.DUMMYFUNCTION("""COMPUTED_VALUE"""),118.0)</f>
        <v>118</v>
      </c>
      <c r="G4399" s="115">
        <f>IFERROR(__xludf.DUMMYFUNCTION("""COMPUTED_VALUE"""),2.0)</f>
        <v>2</v>
      </c>
      <c r="H4399" s="116">
        <f>IFERROR(__xludf.DUMMYFUNCTION("""COMPUTED_VALUE"""),45909.0)</f>
        <v>45909</v>
      </c>
      <c r="I4399" s="115" t="str">
        <f>IFERROR(__xludf.DUMMYFUNCTION("""COMPUTED_VALUE"""),"09")</f>
        <v>09</v>
      </c>
      <c r="J4399" s="115" t="str">
        <f>IFERROR(__xludf.DUMMYFUNCTION("""COMPUTED_VALUE"""),"Girish Chand2025-09-0909")</f>
        <v>Girish Chand2025-09-0909</v>
      </c>
      <c r="K4399" s="115">
        <f>IFERROR(__xludf.DUMMYFUNCTION("""COMPUTED_VALUE"""),8591.0)</f>
        <v>8591</v>
      </c>
    </row>
    <row r="4400">
      <c r="A4400" s="115" t="str">
        <f>IFERROR(__xludf.DUMMYFUNCTION("""COMPUTED_VALUE"""),"EAST")</f>
        <v>EAST</v>
      </c>
      <c r="B4400" s="115" t="str">
        <f>IFERROR(__xludf.DUMMYFUNCTION("""COMPUTED_VALUE"""),"Girish Chand")</f>
        <v>Girish Chand</v>
      </c>
      <c r="C4400" s="115" t="str">
        <f>IFERROR(__xludf.DUMMYFUNCTION("""COMPUTED_VALUE"""),"FLIPKART")</f>
        <v>FLIPKART</v>
      </c>
      <c r="D4400" s="115">
        <f>IFERROR(__xludf.DUMMYFUNCTION("""COMPUTED_VALUE"""),136532.0)</f>
        <v>136532</v>
      </c>
      <c r="E4400" s="115">
        <f>IFERROR(__xludf.DUMMYFUNCTION("""COMPUTED_VALUE"""),10059.0)</f>
        <v>10059</v>
      </c>
      <c r="F4400" s="115">
        <f>IFERROR(__xludf.DUMMYFUNCTION("""COMPUTED_VALUE"""),3421.0)</f>
        <v>3421</v>
      </c>
      <c r="G4400" s="115">
        <f>IFERROR(__xludf.DUMMYFUNCTION("""COMPUTED_VALUE"""),153.0)</f>
        <v>153</v>
      </c>
      <c r="H4400" s="116">
        <f>IFERROR(__xludf.DUMMYFUNCTION("""COMPUTED_VALUE"""),45909.0)</f>
        <v>45909</v>
      </c>
      <c r="I4400" s="115" t="str">
        <f>IFERROR(__xludf.DUMMYFUNCTION("""COMPUTED_VALUE"""),"09")</f>
        <v>09</v>
      </c>
      <c r="J4400" s="115" t="str">
        <f>IFERROR(__xludf.DUMMYFUNCTION("""COMPUTED_VALUE"""),"Girish Chand2025-09-0909")</f>
        <v>Girish Chand2025-09-0909</v>
      </c>
      <c r="K4400" s="115">
        <f>IFERROR(__xludf.DUMMYFUNCTION("""COMPUTED_VALUE"""),146591.0)</f>
        <v>146591</v>
      </c>
    </row>
    <row r="4401">
      <c r="A4401" s="115" t="str">
        <f>IFERROR(__xludf.DUMMYFUNCTION("""COMPUTED_VALUE"""),"EAST")</f>
        <v>EAST</v>
      </c>
      <c r="B4401" s="115" t="str">
        <f>IFERROR(__xludf.DUMMYFUNCTION("""COMPUTED_VALUE"""),"Girish Chand")</f>
        <v>Girish Chand</v>
      </c>
      <c r="C4401" s="115" t="str">
        <f>IFERROR(__xludf.DUMMYFUNCTION("""COMPUTED_VALUE"""),"MYNTRA")</f>
        <v>MYNTRA</v>
      </c>
      <c r="D4401" s="115">
        <f>IFERROR(__xludf.DUMMYFUNCTION("""COMPUTED_VALUE"""),14180.0)</f>
        <v>14180</v>
      </c>
      <c r="E4401" s="115">
        <f>IFERROR(__xludf.DUMMYFUNCTION("""COMPUTED_VALUE"""),2234.0)</f>
        <v>2234</v>
      </c>
      <c r="F4401" s="115">
        <f>IFERROR(__xludf.DUMMYFUNCTION("""COMPUTED_VALUE"""),498.0)</f>
        <v>498</v>
      </c>
      <c r="G4401" s="115">
        <f>IFERROR(__xludf.DUMMYFUNCTION("""COMPUTED_VALUE"""),25.0)</f>
        <v>25</v>
      </c>
      <c r="H4401" s="116">
        <f>IFERROR(__xludf.DUMMYFUNCTION("""COMPUTED_VALUE"""),45909.0)</f>
        <v>45909</v>
      </c>
      <c r="I4401" s="115" t="str">
        <f>IFERROR(__xludf.DUMMYFUNCTION("""COMPUTED_VALUE"""),"09")</f>
        <v>09</v>
      </c>
      <c r="J4401" s="115" t="str">
        <f>IFERROR(__xludf.DUMMYFUNCTION("""COMPUTED_VALUE"""),"Girish Chand2025-09-0909")</f>
        <v>Girish Chand2025-09-0909</v>
      </c>
      <c r="K4401" s="115">
        <f>IFERROR(__xludf.DUMMYFUNCTION("""COMPUTED_VALUE"""),16414.0)</f>
        <v>16414</v>
      </c>
    </row>
    <row r="4402">
      <c r="A4402" s="115" t="str">
        <f>IFERROR(__xludf.DUMMYFUNCTION("""COMPUTED_VALUE"""),"EAST")</f>
        <v>EAST</v>
      </c>
      <c r="B4402" s="115" t="str">
        <f>IFERROR(__xludf.DUMMYFUNCTION("""COMPUTED_VALUE"""),"Parag Kashyap")</f>
        <v>Parag Kashyap</v>
      </c>
      <c r="C4402" s="115" t="str">
        <f>IFERROR(__xludf.DUMMYFUNCTION("""COMPUTED_VALUE"""),"EXTERNAL")</f>
        <v>EXTERNAL</v>
      </c>
      <c r="D4402" s="115">
        <f>IFERROR(__xludf.DUMMYFUNCTION("""COMPUTED_VALUE"""),4937.0)</f>
        <v>4937</v>
      </c>
      <c r="E4402" s="115">
        <f>IFERROR(__xludf.DUMMYFUNCTION("""COMPUTED_VALUE"""),234.0)</f>
        <v>234</v>
      </c>
      <c r="F4402" s="115">
        <f>IFERROR(__xludf.DUMMYFUNCTION("""COMPUTED_VALUE"""),38.0)</f>
        <v>38</v>
      </c>
      <c r="G4402" s="115">
        <f>IFERROR(__xludf.DUMMYFUNCTION("""COMPUTED_VALUE"""),0.0)</f>
        <v>0</v>
      </c>
      <c r="H4402" s="116">
        <f>IFERROR(__xludf.DUMMYFUNCTION("""COMPUTED_VALUE"""),45909.0)</f>
        <v>45909</v>
      </c>
      <c r="I4402" s="115" t="str">
        <f>IFERROR(__xludf.DUMMYFUNCTION("""COMPUTED_VALUE"""),"09")</f>
        <v>09</v>
      </c>
      <c r="J4402" s="115" t="str">
        <f>IFERROR(__xludf.DUMMYFUNCTION("""COMPUTED_VALUE"""),"Parag Kashyap2025-09-0909")</f>
        <v>Parag Kashyap2025-09-0909</v>
      </c>
      <c r="K4402" s="115">
        <f>IFERROR(__xludf.DUMMYFUNCTION("""COMPUTED_VALUE"""),5171.0)</f>
        <v>5171</v>
      </c>
    </row>
    <row r="4403">
      <c r="A4403" s="115" t="str">
        <f>IFERROR(__xludf.DUMMYFUNCTION("""COMPUTED_VALUE"""),"EAST")</f>
        <v>EAST</v>
      </c>
      <c r="B4403" s="115" t="str">
        <f>IFERROR(__xludf.DUMMYFUNCTION("""COMPUTED_VALUE"""),"Parag Kashyap")</f>
        <v>Parag Kashyap</v>
      </c>
      <c r="C4403" s="115" t="str">
        <f>IFERROR(__xludf.DUMMYFUNCTION("""COMPUTED_VALUE"""),"FLIPKART")</f>
        <v>FLIPKART</v>
      </c>
      <c r="D4403" s="115">
        <f>IFERROR(__xludf.DUMMYFUNCTION("""COMPUTED_VALUE"""),99053.0)</f>
        <v>99053</v>
      </c>
      <c r="E4403" s="115">
        <f>IFERROR(__xludf.DUMMYFUNCTION("""COMPUTED_VALUE"""),4489.0)</f>
        <v>4489</v>
      </c>
      <c r="F4403" s="115">
        <f>IFERROR(__xludf.DUMMYFUNCTION("""COMPUTED_VALUE"""),1630.0)</f>
        <v>1630</v>
      </c>
      <c r="G4403" s="115">
        <f>IFERROR(__xludf.DUMMYFUNCTION("""COMPUTED_VALUE"""),89.0)</f>
        <v>89</v>
      </c>
      <c r="H4403" s="116">
        <f>IFERROR(__xludf.DUMMYFUNCTION("""COMPUTED_VALUE"""),45909.0)</f>
        <v>45909</v>
      </c>
      <c r="I4403" s="115" t="str">
        <f>IFERROR(__xludf.DUMMYFUNCTION("""COMPUTED_VALUE"""),"09")</f>
        <v>09</v>
      </c>
      <c r="J4403" s="115" t="str">
        <f>IFERROR(__xludf.DUMMYFUNCTION("""COMPUTED_VALUE"""),"Parag Kashyap2025-09-0909")</f>
        <v>Parag Kashyap2025-09-0909</v>
      </c>
      <c r="K4403" s="115">
        <f>IFERROR(__xludf.DUMMYFUNCTION("""COMPUTED_VALUE"""),103542.0)</f>
        <v>103542</v>
      </c>
    </row>
    <row r="4404">
      <c r="A4404" s="115" t="str">
        <f>IFERROR(__xludf.DUMMYFUNCTION("""COMPUTED_VALUE"""),"EAST")</f>
        <v>EAST</v>
      </c>
      <c r="B4404" s="115" t="str">
        <f>IFERROR(__xludf.DUMMYFUNCTION("""COMPUTED_VALUE"""),"Parag Kashyap")</f>
        <v>Parag Kashyap</v>
      </c>
      <c r="C4404" s="115" t="str">
        <f>IFERROR(__xludf.DUMMYFUNCTION("""COMPUTED_VALUE"""),"MYNTRA")</f>
        <v>MYNTRA</v>
      </c>
      <c r="D4404" s="115">
        <f>IFERROR(__xludf.DUMMYFUNCTION("""COMPUTED_VALUE"""),13075.0)</f>
        <v>13075</v>
      </c>
      <c r="E4404" s="115">
        <f>IFERROR(__xludf.DUMMYFUNCTION("""COMPUTED_VALUE"""),1543.0)</f>
        <v>1543</v>
      </c>
      <c r="F4404" s="115">
        <f>IFERROR(__xludf.DUMMYFUNCTION("""COMPUTED_VALUE"""),317.0)</f>
        <v>317</v>
      </c>
      <c r="G4404" s="115">
        <f>IFERROR(__xludf.DUMMYFUNCTION("""COMPUTED_VALUE"""),5.0)</f>
        <v>5</v>
      </c>
      <c r="H4404" s="116">
        <f>IFERROR(__xludf.DUMMYFUNCTION("""COMPUTED_VALUE"""),45909.0)</f>
        <v>45909</v>
      </c>
      <c r="I4404" s="115" t="str">
        <f>IFERROR(__xludf.DUMMYFUNCTION("""COMPUTED_VALUE"""),"09")</f>
        <v>09</v>
      </c>
      <c r="J4404" s="115" t="str">
        <f>IFERROR(__xludf.DUMMYFUNCTION("""COMPUTED_VALUE"""),"Parag Kashyap2025-09-0909")</f>
        <v>Parag Kashyap2025-09-0909</v>
      </c>
      <c r="K4404" s="115">
        <f>IFERROR(__xludf.DUMMYFUNCTION("""COMPUTED_VALUE"""),14618.0)</f>
        <v>14618</v>
      </c>
    </row>
    <row r="4405">
      <c r="A4405" s="115" t="str">
        <f>IFERROR(__xludf.DUMMYFUNCTION("""COMPUTED_VALUE"""),"NORTH")</f>
        <v>NORTH</v>
      </c>
      <c r="B4405" s="115" t="str">
        <f>IFERROR(__xludf.DUMMYFUNCTION("""COMPUTED_VALUE"""),"Amit Kumar Pathak")</f>
        <v>Amit Kumar Pathak</v>
      </c>
      <c r="C4405" s="115" t="str">
        <f>IFERROR(__xludf.DUMMYFUNCTION("""COMPUTED_VALUE"""),"EXTERNAL")</f>
        <v>EXTERNAL</v>
      </c>
      <c r="D4405" s="115">
        <f>IFERROR(__xludf.DUMMYFUNCTION("""COMPUTED_VALUE"""),12710.0)</f>
        <v>12710</v>
      </c>
      <c r="E4405" s="115">
        <f>IFERROR(__xludf.DUMMYFUNCTION("""COMPUTED_VALUE"""),1506.0)</f>
        <v>1506</v>
      </c>
      <c r="F4405" s="115">
        <f>IFERROR(__xludf.DUMMYFUNCTION("""COMPUTED_VALUE"""),167.0)</f>
        <v>167</v>
      </c>
      <c r="G4405" s="115">
        <f>IFERROR(__xludf.DUMMYFUNCTION("""COMPUTED_VALUE"""),42.0)</f>
        <v>42</v>
      </c>
      <c r="H4405" s="116">
        <f>IFERROR(__xludf.DUMMYFUNCTION("""COMPUTED_VALUE"""),45909.0)</f>
        <v>45909</v>
      </c>
      <c r="I4405" s="115" t="str">
        <f>IFERROR(__xludf.DUMMYFUNCTION("""COMPUTED_VALUE"""),"09")</f>
        <v>09</v>
      </c>
      <c r="J4405" s="115" t="str">
        <f>IFERROR(__xludf.DUMMYFUNCTION("""COMPUTED_VALUE"""),"Amit Kumar Pathak2025-09-0909")</f>
        <v>Amit Kumar Pathak2025-09-0909</v>
      </c>
      <c r="K4405" s="115">
        <f>IFERROR(__xludf.DUMMYFUNCTION("""COMPUTED_VALUE"""),14216.0)</f>
        <v>14216</v>
      </c>
    </row>
    <row r="4406">
      <c r="A4406" s="115" t="str">
        <f>IFERROR(__xludf.DUMMYFUNCTION("""COMPUTED_VALUE"""),"NORTH")</f>
        <v>NORTH</v>
      </c>
      <c r="B4406" s="115" t="str">
        <f>IFERROR(__xludf.DUMMYFUNCTION("""COMPUTED_VALUE"""),"Amit Kumar Pathak")</f>
        <v>Amit Kumar Pathak</v>
      </c>
      <c r="C4406" s="115" t="str">
        <f>IFERROR(__xludf.DUMMYFUNCTION("""COMPUTED_VALUE"""),"FLIPKART")</f>
        <v>FLIPKART</v>
      </c>
      <c r="D4406" s="115">
        <f>IFERROR(__xludf.DUMMYFUNCTION("""COMPUTED_VALUE"""),76640.0)</f>
        <v>76640</v>
      </c>
      <c r="E4406" s="115">
        <f>IFERROR(__xludf.DUMMYFUNCTION("""COMPUTED_VALUE"""),11131.0)</f>
        <v>11131</v>
      </c>
      <c r="F4406" s="115">
        <f>IFERROR(__xludf.DUMMYFUNCTION("""COMPUTED_VALUE"""),2365.0)</f>
        <v>2365</v>
      </c>
      <c r="G4406" s="115">
        <f>IFERROR(__xludf.DUMMYFUNCTION("""COMPUTED_VALUE"""),280.0)</f>
        <v>280</v>
      </c>
      <c r="H4406" s="116">
        <f>IFERROR(__xludf.DUMMYFUNCTION("""COMPUTED_VALUE"""),45909.0)</f>
        <v>45909</v>
      </c>
      <c r="I4406" s="115" t="str">
        <f>IFERROR(__xludf.DUMMYFUNCTION("""COMPUTED_VALUE"""),"09")</f>
        <v>09</v>
      </c>
      <c r="J4406" s="115" t="str">
        <f>IFERROR(__xludf.DUMMYFUNCTION("""COMPUTED_VALUE"""),"Amit Kumar Pathak2025-09-0909")</f>
        <v>Amit Kumar Pathak2025-09-0909</v>
      </c>
      <c r="K4406" s="115">
        <f>IFERROR(__xludf.DUMMYFUNCTION("""COMPUTED_VALUE"""),87771.0)</f>
        <v>87771</v>
      </c>
    </row>
    <row r="4407">
      <c r="A4407" s="115" t="str">
        <f>IFERROR(__xludf.DUMMYFUNCTION("""COMPUTED_VALUE"""),"NORTH")</f>
        <v>NORTH</v>
      </c>
      <c r="B4407" s="115" t="str">
        <f>IFERROR(__xludf.DUMMYFUNCTION("""COMPUTED_VALUE"""),"Amit Kumar Pathak")</f>
        <v>Amit Kumar Pathak</v>
      </c>
      <c r="C4407" s="115" t="str">
        <f>IFERROR(__xludf.DUMMYFUNCTION("""COMPUTED_VALUE"""),"MYNTRA")</f>
        <v>MYNTRA</v>
      </c>
      <c r="D4407" s="115">
        <f>IFERROR(__xludf.DUMMYFUNCTION("""COMPUTED_VALUE"""),7693.0)</f>
        <v>7693</v>
      </c>
      <c r="E4407" s="115">
        <f>IFERROR(__xludf.DUMMYFUNCTION("""COMPUTED_VALUE"""),2779.0)</f>
        <v>2779</v>
      </c>
      <c r="F4407" s="115">
        <f>IFERROR(__xludf.DUMMYFUNCTION("""COMPUTED_VALUE"""),328.0)</f>
        <v>328</v>
      </c>
      <c r="G4407" s="115">
        <f>IFERROR(__xludf.DUMMYFUNCTION("""COMPUTED_VALUE"""),52.0)</f>
        <v>52</v>
      </c>
      <c r="H4407" s="116">
        <f>IFERROR(__xludf.DUMMYFUNCTION("""COMPUTED_VALUE"""),45909.0)</f>
        <v>45909</v>
      </c>
      <c r="I4407" s="115" t="str">
        <f>IFERROR(__xludf.DUMMYFUNCTION("""COMPUTED_VALUE"""),"09")</f>
        <v>09</v>
      </c>
      <c r="J4407" s="115" t="str">
        <f>IFERROR(__xludf.DUMMYFUNCTION("""COMPUTED_VALUE"""),"Amit Kumar Pathak2025-09-0909")</f>
        <v>Amit Kumar Pathak2025-09-0909</v>
      </c>
      <c r="K4407" s="115">
        <f>IFERROR(__xludf.DUMMYFUNCTION("""COMPUTED_VALUE"""),10472.0)</f>
        <v>10472</v>
      </c>
    </row>
    <row r="4408">
      <c r="A4408" s="115" t="str">
        <f>IFERROR(__xludf.DUMMYFUNCTION("""COMPUTED_VALUE"""),"NORTH")</f>
        <v>NORTH</v>
      </c>
      <c r="B4408" s="115" t="str">
        <f>IFERROR(__xludf.DUMMYFUNCTION("""COMPUTED_VALUE"""),"Loveleen Singh")</f>
        <v>Loveleen Singh</v>
      </c>
      <c r="C4408" s="115" t="str">
        <f>IFERROR(__xludf.DUMMYFUNCTION("""COMPUTED_VALUE"""),"EXTERNAL")</f>
        <v>EXTERNAL</v>
      </c>
      <c r="D4408" s="115">
        <f>IFERROR(__xludf.DUMMYFUNCTION("""COMPUTED_VALUE"""),6242.0)</f>
        <v>6242</v>
      </c>
      <c r="E4408" s="115">
        <f>IFERROR(__xludf.DUMMYFUNCTION("""COMPUTED_VALUE"""),449.0)</f>
        <v>449</v>
      </c>
      <c r="F4408" s="115">
        <f>IFERROR(__xludf.DUMMYFUNCTION("""COMPUTED_VALUE"""),132.0)</f>
        <v>132</v>
      </c>
      <c r="G4408" s="115">
        <f>IFERROR(__xludf.DUMMYFUNCTION("""COMPUTED_VALUE"""),8.0)</f>
        <v>8</v>
      </c>
      <c r="H4408" s="116">
        <f>IFERROR(__xludf.DUMMYFUNCTION("""COMPUTED_VALUE"""),45909.0)</f>
        <v>45909</v>
      </c>
      <c r="I4408" s="115" t="str">
        <f>IFERROR(__xludf.DUMMYFUNCTION("""COMPUTED_VALUE"""),"09")</f>
        <v>09</v>
      </c>
      <c r="J4408" s="115" t="str">
        <f>IFERROR(__xludf.DUMMYFUNCTION("""COMPUTED_VALUE"""),"Loveleen Singh2025-09-0909")</f>
        <v>Loveleen Singh2025-09-0909</v>
      </c>
      <c r="K4408" s="115">
        <f>IFERROR(__xludf.DUMMYFUNCTION("""COMPUTED_VALUE"""),6691.0)</f>
        <v>6691</v>
      </c>
    </row>
    <row r="4409">
      <c r="A4409" s="115" t="str">
        <f>IFERROR(__xludf.DUMMYFUNCTION("""COMPUTED_VALUE"""),"NORTH")</f>
        <v>NORTH</v>
      </c>
      <c r="B4409" s="115" t="str">
        <f>IFERROR(__xludf.DUMMYFUNCTION("""COMPUTED_VALUE"""),"Loveleen Singh")</f>
        <v>Loveleen Singh</v>
      </c>
      <c r="C4409" s="115" t="str">
        <f>IFERROR(__xludf.DUMMYFUNCTION("""COMPUTED_VALUE"""),"FLIPKART")</f>
        <v>FLIPKART</v>
      </c>
      <c r="D4409" s="115">
        <f>IFERROR(__xludf.DUMMYFUNCTION("""COMPUTED_VALUE"""),38319.0)</f>
        <v>38319</v>
      </c>
      <c r="E4409" s="115">
        <f>IFERROR(__xludf.DUMMYFUNCTION("""COMPUTED_VALUE"""),2907.0)</f>
        <v>2907</v>
      </c>
      <c r="F4409" s="115">
        <f>IFERROR(__xludf.DUMMYFUNCTION("""COMPUTED_VALUE"""),1658.0)</f>
        <v>1658</v>
      </c>
      <c r="G4409" s="115">
        <f>IFERROR(__xludf.DUMMYFUNCTION("""COMPUTED_VALUE"""),50.0)</f>
        <v>50</v>
      </c>
      <c r="H4409" s="116">
        <f>IFERROR(__xludf.DUMMYFUNCTION("""COMPUTED_VALUE"""),45909.0)</f>
        <v>45909</v>
      </c>
      <c r="I4409" s="115" t="str">
        <f>IFERROR(__xludf.DUMMYFUNCTION("""COMPUTED_VALUE"""),"09")</f>
        <v>09</v>
      </c>
      <c r="J4409" s="115" t="str">
        <f>IFERROR(__xludf.DUMMYFUNCTION("""COMPUTED_VALUE"""),"Loveleen Singh2025-09-0909")</f>
        <v>Loveleen Singh2025-09-0909</v>
      </c>
      <c r="K4409" s="115">
        <f>IFERROR(__xludf.DUMMYFUNCTION("""COMPUTED_VALUE"""),41226.0)</f>
        <v>41226</v>
      </c>
    </row>
    <row r="4410">
      <c r="A4410" s="115" t="str">
        <f>IFERROR(__xludf.DUMMYFUNCTION("""COMPUTED_VALUE"""),"NORTH")</f>
        <v>NORTH</v>
      </c>
      <c r="B4410" s="115" t="str">
        <f>IFERROR(__xludf.DUMMYFUNCTION("""COMPUTED_VALUE"""),"Loveleen Singh")</f>
        <v>Loveleen Singh</v>
      </c>
      <c r="C4410" s="115" t="str">
        <f>IFERROR(__xludf.DUMMYFUNCTION("""COMPUTED_VALUE"""),"MYNTRA")</f>
        <v>MYNTRA</v>
      </c>
      <c r="D4410" s="115">
        <f>IFERROR(__xludf.DUMMYFUNCTION("""COMPUTED_VALUE"""),7828.0)</f>
        <v>7828</v>
      </c>
      <c r="E4410" s="115">
        <f>IFERROR(__xludf.DUMMYFUNCTION("""COMPUTED_VALUE"""),1383.0)</f>
        <v>1383</v>
      </c>
      <c r="F4410" s="115">
        <f>IFERROR(__xludf.DUMMYFUNCTION("""COMPUTED_VALUE"""),359.0)</f>
        <v>359</v>
      </c>
      <c r="G4410" s="115">
        <f>IFERROR(__xludf.DUMMYFUNCTION("""COMPUTED_VALUE"""),22.0)</f>
        <v>22</v>
      </c>
      <c r="H4410" s="116">
        <f>IFERROR(__xludf.DUMMYFUNCTION("""COMPUTED_VALUE"""),45909.0)</f>
        <v>45909</v>
      </c>
      <c r="I4410" s="115" t="str">
        <f>IFERROR(__xludf.DUMMYFUNCTION("""COMPUTED_VALUE"""),"09")</f>
        <v>09</v>
      </c>
      <c r="J4410" s="115" t="str">
        <f>IFERROR(__xludf.DUMMYFUNCTION("""COMPUTED_VALUE"""),"Loveleen Singh2025-09-0909")</f>
        <v>Loveleen Singh2025-09-0909</v>
      </c>
      <c r="K4410" s="115">
        <f>IFERROR(__xludf.DUMMYFUNCTION("""COMPUTED_VALUE"""),9211.0)</f>
        <v>9211</v>
      </c>
    </row>
    <row r="4411">
      <c r="A4411" s="115" t="str">
        <f>IFERROR(__xludf.DUMMYFUNCTION("""COMPUTED_VALUE"""),"NORTH")</f>
        <v>NORTH</v>
      </c>
      <c r="B4411" s="115" t="str">
        <f>IFERROR(__xludf.DUMMYFUNCTION("""COMPUTED_VALUE"""),"Manoj Harsh")</f>
        <v>Manoj Harsh</v>
      </c>
      <c r="C4411" s="115" t="str">
        <f>IFERROR(__xludf.DUMMYFUNCTION("""COMPUTED_VALUE"""),"EXTERNAL")</f>
        <v>EXTERNAL</v>
      </c>
      <c r="D4411" s="115">
        <f>IFERROR(__xludf.DUMMYFUNCTION("""COMPUTED_VALUE"""),8954.0)</f>
        <v>8954</v>
      </c>
      <c r="E4411" s="115">
        <f>IFERROR(__xludf.DUMMYFUNCTION("""COMPUTED_VALUE"""),843.0)</f>
        <v>843</v>
      </c>
      <c r="F4411" s="115">
        <f>IFERROR(__xludf.DUMMYFUNCTION("""COMPUTED_VALUE"""),133.0)</f>
        <v>133</v>
      </c>
      <c r="G4411" s="115">
        <f>IFERROR(__xludf.DUMMYFUNCTION("""COMPUTED_VALUE"""),4.0)</f>
        <v>4</v>
      </c>
      <c r="H4411" s="116">
        <f>IFERROR(__xludf.DUMMYFUNCTION("""COMPUTED_VALUE"""),45909.0)</f>
        <v>45909</v>
      </c>
      <c r="I4411" s="115" t="str">
        <f>IFERROR(__xludf.DUMMYFUNCTION("""COMPUTED_VALUE"""),"09")</f>
        <v>09</v>
      </c>
      <c r="J4411" s="115" t="str">
        <f>IFERROR(__xludf.DUMMYFUNCTION("""COMPUTED_VALUE"""),"Manoj Harsh2025-09-0909")</f>
        <v>Manoj Harsh2025-09-0909</v>
      </c>
      <c r="K4411" s="115">
        <f>IFERROR(__xludf.DUMMYFUNCTION("""COMPUTED_VALUE"""),9797.0)</f>
        <v>9797</v>
      </c>
    </row>
    <row r="4412">
      <c r="A4412" s="115" t="str">
        <f>IFERROR(__xludf.DUMMYFUNCTION("""COMPUTED_VALUE"""),"NORTH")</f>
        <v>NORTH</v>
      </c>
      <c r="B4412" s="115" t="str">
        <f>IFERROR(__xludf.DUMMYFUNCTION("""COMPUTED_VALUE"""),"Manoj Harsh")</f>
        <v>Manoj Harsh</v>
      </c>
      <c r="C4412" s="115" t="str">
        <f>IFERROR(__xludf.DUMMYFUNCTION("""COMPUTED_VALUE"""),"FLIPKART")</f>
        <v>FLIPKART</v>
      </c>
      <c r="D4412" s="115">
        <f>IFERROR(__xludf.DUMMYFUNCTION("""COMPUTED_VALUE"""),109290.0)</f>
        <v>109290</v>
      </c>
      <c r="E4412" s="115">
        <f>IFERROR(__xludf.DUMMYFUNCTION("""COMPUTED_VALUE"""),10712.0)</f>
        <v>10712</v>
      </c>
      <c r="F4412" s="115">
        <f>IFERROR(__xludf.DUMMYFUNCTION("""COMPUTED_VALUE"""),2475.0)</f>
        <v>2475</v>
      </c>
      <c r="G4412" s="115">
        <f>IFERROR(__xludf.DUMMYFUNCTION("""COMPUTED_VALUE"""),115.0)</f>
        <v>115</v>
      </c>
      <c r="H4412" s="116">
        <f>IFERROR(__xludf.DUMMYFUNCTION("""COMPUTED_VALUE"""),45909.0)</f>
        <v>45909</v>
      </c>
      <c r="I4412" s="115" t="str">
        <f>IFERROR(__xludf.DUMMYFUNCTION("""COMPUTED_VALUE"""),"09")</f>
        <v>09</v>
      </c>
      <c r="J4412" s="115" t="str">
        <f>IFERROR(__xludf.DUMMYFUNCTION("""COMPUTED_VALUE"""),"Manoj Harsh2025-09-0909")</f>
        <v>Manoj Harsh2025-09-0909</v>
      </c>
      <c r="K4412" s="115">
        <f>IFERROR(__xludf.DUMMYFUNCTION("""COMPUTED_VALUE"""),120002.0)</f>
        <v>120002</v>
      </c>
    </row>
    <row r="4413">
      <c r="A4413" s="115" t="str">
        <f>IFERROR(__xludf.DUMMYFUNCTION("""COMPUTED_VALUE"""),"NORTH")</f>
        <v>NORTH</v>
      </c>
      <c r="B4413" s="115" t="str">
        <f>IFERROR(__xludf.DUMMYFUNCTION("""COMPUTED_VALUE"""),"Manoj Harsh")</f>
        <v>Manoj Harsh</v>
      </c>
      <c r="C4413" s="115" t="str">
        <f>IFERROR(__xludf.DUMMYFUNCTION("""COMPUTED_VALUE"""),"MYNTRA")</f>
        <v>MYNTRA</v>
      </c>
      <c r="D4413" s="115">
        <f>IFERROR(__xludf.DUMMYFUNCTION("""COMPUTED_VALUE"""),12990.0)</f>
        <v>12990</v>
      </c>
      <c r="E4413" s="115">
        <f>IFERROR(__xludf.DUMMYFUNCTION("""COMPUTED_VALUE"""),2331.0)</f>
        <v>2331</v>
      </c>
      <c r="F4413" s="115">
        <f>IFERROR(__xludf.DUMMYFUNCTION("""COMPUTED_VALUE"""),358.0)</f>
        <v>358</v>
      </c>
      <c r="G4413" s="115">
        <f>IFERROR(__xludf.DUMMYFUNCTION("""COMPUTED_VALUE"""),23.0)</f>
        <v>23</v>
      </c>
      <c r="H4413" s="116">
        <f>IFERROR(__xludf.DUMMYFUNCTION("""COMPUTED_VALUE"""),45909.0)</f>
        <v>45909</v>
      </c>
      <c r="I4413" s="115" t="str">
        <f>IFERROR(__xludf.DUMMYFUNCTION("""COMPUTED_VALUE"""),"09")</f>
        <v>09</v>
      </c>
      <c r="J4413" s="115" t="str">
        <f>IFERROR(__xludf.DUMMYFUNCTION("""COMPUTED_VALUE"""),"Manoj Harsh2025-09-0909")</f>
        <v>Manoj Harsh2025-09-0909</v>
      </c>
      <c r="K4413" s="115">
        <f>IFERROR(__xludf.DUMMYFUNCTION("""COMPUTED_VALUE"""),15321.0)</f>
        <v>15321</v>
      </c>
    </row>
    <row r="4414">
      <c r="A4414" s="115" t="str">
        <f>IFERROR(__xludf.DUMMYFUNCTION("""COMPUTED_VALUE"""),"NORTH")</f>
        <v>NORTH</v>
      </c>
      <c r="B4414" s="115" t="str">
        <f>IFERROR(__xludf.DUMMYFUNCTION("""COMPUTED_VALUE"""),"Pradeep Kothari")</f>
        <v>Pradeep Kothari</v>
      </c>
      <c r="C4414" s="115" t="str">
        <f>IFERROR(__xludf.DUMMYFUNCTION("""COMPUTED_VALUE"""),"EXTERNAL")</f>
        <v>EXTERNAL</v>
      </c>
      <c r="D4414" s="115">
        <f>IFERROR(__xludf.DUMMYFUNCTION("""COMPUTED_VALUE"""),5354.0)</f>
        <v>5354</v>
      </c>
      <c r="E4414" s="115">
        <f>IFERROR(__xludf.DUMMYFUNCTION("""COMPUTED_VALUE"""),434.0)</f>
        <v>434</v>
      </c>
      <c r="F4414" s="115">
        <f>IFERROR(__xludf.DUMMYFUNCTION("""COMPUTED_VALUE"""),72.0)</f>
        <v>72</v>
      </c>
      <c r="G4414" s="115">
        <f>IFERROR(__xludf.DUMMYFUNCTION("""COMPUTED_VALUE"""),8.0)</f>
        <v>8</v>
      </c>
      <c r="H4414" s="116">
        <f>IFERROR(__xludf.DUMMYFUNCTION("""COMPUTED_VALUE"""),45909.0)</f>
        <v>45909</v>
      </c>
      <c r="I4414" s="115" t="str">
        <f>IFERROR(__xludf.DUMMYFUNCTION("""COMPUTED_VALUE"""),"09")</f>
        <v>09</v>
      </c>
      <c r="J4414" s="115" t="str">
        <f>IFERROR(__xludf.DUMMYFUNCTION("""COMPUTED_VALUE"""),"Pradeep Kothari2025-09-0909")</f>
        <v>Pradeep Kothari2025-09-0909</v>
      </c>
      <c r="K4414" s="115">
        <f>IFERROR(__xludf.DUMMYFUNCTION("""COMPUTED_VALUE"""),5788.0)</f>
        <v>5788</v>
      </c>
    </row>
    <row r="4415">
      <c r="A4415" s="115" t="str">
        <f>IFERROR(__xludf.DUMMYFUNCTION("""COMPUTED_VALUE"""),"NORTH")</f>
        <v>NORTH</v>
      </c>
      <c r="B4415" s="115" t="str">
        <f>IFERROR(__xludf.DUMMYFUNCTION("""COMPUTED_VALUE"""),"Pradeep Kothari")</f>
        <v>Pradeep Kothari</v>
      </c>
      <c r="C4415" s="115" t="str">
        <f>IFERROR(__xludf.DUMMYFUNCTION("""COMPUTED_VALUE"""),"FLIPKART")</f>
        <v>FLIPKART</v>
      </c>
      <c r="D4415" s="115">
        <f>IFERROR(__xludf.DUMMYFUNCTION("""COMPUTED_VALUE"""),43075.0)</f>
        <v>43075</v>
      </c>
      <c r="E4415" s="115">
        <f>IFERROR(__xludf.DUMMYFUNCTION("""COMPUTED_VALUE"""),4340.0)</f>
        <v>4340</v>
      </c>
      <c r="F4415" s="115">
        <f>IFERROR(__xludf.DUMMYFUNCTION("""COMPUTED_VALUE"""),1749.0)</f>
        <v>1749</v>
      </c>
      <c r="G4415" s="115">
        <f>IFERROR(__xludf.DUMMYFUNCTION("""COMPUTED_VALUE"""),84.0)</f>
        <v>84</v>
      </c>
      <c r="H4415" s="116">
        <f>IFERROR(__xludf.DUMMYFUNCTION("""COMPUTED_VALUE"""),45909.0)</f>
        <v>45909</v>
      </c>
      <c r="I4415" s="115" t="str">
        <f>IFERROR(__xludf.DUMMYFUNCTION("""COMPUTED_VALUE"""),"09")</f>
        <v>09</v>
      </c>
      <c r="J4415" s="115" t="str">
        <f>IFERROR(__xludf.DUMMYFUNCTION("""COMPUTED_VALUE"""),"Pradeep Kothari2025-09-0909")</f>
        <v>Pradeep Kothari2025-09-0909</v>
      </c>
      <c r="K4415" s="115">
        <f>IFERROR(__xludf.DUMMYFUNCTION("""COMPUTED_VALUE"""),47415.0)</f>
        <v>47415</v>
      </c>
    </row>
    <row r="4416">
      <c r="A4416" s="115" t="str">
        <f>IFERROR(__xludf.DUMMYFUNCTION("""COMPUTED_VALUE"""),"NORTH")</f>
        <v>NORTH</v>
      </c>
      <c r="B4416" s="115" t="str">
        <f>IFERROR(__xludf.DUMMYFUNCTION("""COMPUTED_VALUE"""),"Pradeep Kothari")</f>
        <v>Pradeep Kothari</v>
      </c>
      <c r="C4416" s="115" t="str">
        <f>IFERROR(__xludf.DUMMYFUNCTION("""COMPUTED_VALUE"""),"MYNTRA")</f>
        <v>MYNTRA</v>
      </c>
      <c r="D4416" s="115">
        <f>IFERROR(__xludf.DUMMYFUNCTION("""COMPUTED_VALUE"""),7838.0)</f>
        <v>7838</v>
      </c>
      <c r="E4416" s="115">
        <f>IFERROR(__xludf.DUMMYFUNCTION("""COMPUTED_VALUE"""),1747.0)</f>
        <v>1747</v>
      </c>
      <c r="F4416" s="115">
        <f>IFERROR(__xludf.DUMMYFUNCTION("""COMPUTED_VALUE"""),397.0)</f>
        <v>397</v>
      </c>
      <c r="G4416" s="115">
        <f>IFERROR(__xludf.DUMMYFUNCTION("""COMPUTED_VALUE"""),61.0)</f>
        <v>61</v>
      </c>
      <c r="H4416" s="116">
        <f>IFERROR(__xludf.DUMMYFUNCTION("""COMPUTED_VALUE"""),45909.0)</f>
        <v>45909</v>
      </c>
      <c r="I4416" s="115" t="str">
        <f>IFERROR(__xludf.DUMMYFUNCTION("""COMPUTED_VALUE"""),"09")</f>
        <v>09</v>
      </c>
      <c r="J4416" s="115" t="str">
        <f>IFERROR(__xludf.DUMMYFUNCTION("""COMPUTED_VALUE"""),"Pradeep Kothari2025-09-0909")</f>
        <v>Pradeep Kothari2025-09-0909</v>
      </c>
      <c r="K4416" s="115">
        <f>IFERROR(__xludf.DUMMYFUNCTION("""COMPUTED_VALUE"""),9585.0)</f>
        <v>9585</v>
      </c>
    </row>
    <row r="4417">
      <c r="A4417" s="115" t="str">
        <f>IFERROR(__xludf.DUMMYFUNCTION("""COMPUTED_VALUE"""),"SOUTH")</f>
        <v>SOUTH</v>
      </c>
      <c r="B4417" s="115" t="str">
        <f>IFERROR(__xludf.DUMMYFUNCTION("""COMPUTED_VALUE"""),"Kandula Sampath")</f>
        <v>Kandula Sampath</v>
      </c>
      <c r="C4417" s="115" t="str">
        <f>IFERROR(__xludf.DUMMYFUNCTION("""COMPUTED_VALUE"""),"EXTERNAL")</f>
        <v>EXTERNAL</v>
      </c>
      <c r="D4417" s="115">
        <f>IFERROR(__xludf.DUMMYFUNCTION("""COMPUTED_VALUE"""),14474.0)</f>
        <v>14474</v>
      </c>
      <c r="E4417" s="115">
        <f>IFERROR(__xludf.DUMMYFUNCTION("""COMPUTED_VALUE"""),1518.0)</f>
        <v>1518</v>
      </c>
      <c r="F4417" s="115">
        <f>IFERROR(__xludf.DUMMYFUNCTION("""COMPUTED_VALUE"""),536.0)</f>
        <v>536</v>
      </c>
      <c r="G4417" s="115">
        <f>IFERROR(__xludf.DUMMYFUNCTION("""COMPUTED_VALUE"""),20.0)</f>
        <v>20</v>
      </c>
      <c r="H4417" s="116">
        <f>IFERROR(__xludf.DUMMYFUNCTION("""COMPUTED_VALUE"""),45909.0)</f>
        <v>45909</v>
      </c>
      <c r="I4417" s="115" t="str">
        <f>IFERROR(__xludf.DUMMYFUNCTION("""COMPUTED_VALUE"""),"09")</f>
        <v>09</v>
      </c>
      <c r="J4417" s="115" t="str">
        <f>IFERROR(__xludf.DUMMYFUNCTION("""COMPUTED_VALUE"""),"Kandula Sampath2025-09-0909")</f>
        <v>Kandula Sampath2025-09-0909</v>
      </c>
      <c r="K4417" s="115">
        <f>IFERROR(__xludf.DUMMYFUNCTION("""COMPUTED_VALUE"""),15992.0)</f>
        <v>15992</v>
      </c>
    </row>
    <row r="4418">
      <c r="A4418" s="115" t="str">
        <f>IFERROR(__xludf.DUMMYFUNCTION("""COMPUTED_VALUE"""),"SOUTH")</f>
        <v>SOUTH</v>
      </c>
      <c r="B4418" s="115" t="str">
        <f>IFERROR(__xludf.DUMMYFUNCTION("""COMPUTED_VALUE"""),"Kandula Sampath")</f>
        <v>Kandula Sampath</v>
      </c>
      <c r="C4418" s="115" t="str">
        <f>IFERROR(__xludf.DUMMYFUNCTION("""COMPUTED_VALUE"""),"FLIPKART")</f>
        <v>FLIPKART</v>
      </c>
      <c r="D4418" s="115">
        <f>IFERROR(__xludf.DUMMYFUNCTION("""COMPUTED_VALUE"""),151379.0)</f>
        <v>151379</v>
      </c>
      <c r="E4418" s="115">
        <f>IFERROR(__xludf.DUMMYFUNCTION("""COMPUTED_VALUE"""),13237.0)</f>
        <v>13237</v>
      </c>
      <c r="F4418" s="115">
        <f>IFERROR(__xludf.DUMMYFUNCTION("""COMPUTED_VALUE"""),11377.0)</f>
        <v>11377</v>
      </c>
      <c r="G4418" s="115">
        <f>IFERROR(__xludf.DUMMYFUNCTION("""COMPUTED_VALUE"""),137.0)</f>
        <v>137</v>
      </c>
      <c r="H4418" s="116">
        <f>IFERROR(__xludf.DUMMYFUNCTION("""COMPUTED_VALUE"""),45909.0)</f>
        <v>45909</v>
      </c>
      <c r="I4418" s="115" t="str">
        <f>IFERROR(__xludf.DUMMYFUNCTION("""COMPUTED_VALUE"""),"09")</f>
        <v>09</v>
      </c>
      <c r="J4418" s="115" t="str">
        <f>IFERROR(__xludf.DUMMYFUNCTION("""COMPUTED_VALUE"""),"Kandula Sampath2025-09-0909")</f>
        <v>Kandula Sampath2025-09-0909</v>
      </c>
      <c r="K4418" s="115">
        <f>IFERROR(__xludf.DUMMYFUNCTION("""COMPUTED_VALUE"""),164616.0)</f>
        <v>164616</v>
      </c>
    </row>
    <row r="4419">
      <c r="A4419" s="115" t="str">
        <f>IFERROR(__xludf.DUMMYFUNCTION("""COMPUTED_VALUE"""),"SOUTH")</f>
        <v>SOUTH</v>
      </c>
      <c r="B4419" s="115" t="str">
        <f>IFERROR(__xludf.DUMMYFUNCTION("""COMPUTED_VALUE"""),"Kandula Sampath")</f>
        <v>Kandula Sampath</v>
      </c>
      <c r="C4419" s="115" t="str">
        <f>IFERROR(__xludf.DUMMYFUNCTION("""COMPUTED_VALUE"""),"MYNTRA")</f>
        <v>MYNTRA</v>
      </c>
      <c r="D4419" s="115">
        <f>IFERROR(__xludf.DUMMYFUNCTION("""COMPUTED_VALUE"""),18863.0)</f>
        <v>18863</v>
      </c>
      <c r="E4419" s="115">
        <f>IFERROR(__xludf.DUMMYFUNCTION("""COMPUTED_VALUE"""),3589.0)</f>
        <v>3589</v>
      </c>
      <c r="F4419" s="115">
        <f>IFERROR(__xludf.DUMMYFUNCTION("""COMPUTED_VALUE"""),1753.0)</f>
        <v>1753</v>
      </c>
      <c r="G4419" s="115">
        <f>IFERROR(__xludf.DUMMYFUNCTION("""COMPUTED_VALUE"""),35.0)</f>
        <v>35</v>
      </c>
      <c r="H4419" s="116">
        <f>IFERROR(__xludf.DUMMYFUNCTION("""COMPUTED_VALUE"""),45909.0)</f>
        <v>45909</v>
      </c>
      <c r="I4419" s="115" t="str">
        <f>IFERROR(__xludf.DUMMYFUNCTION("""COMPUTED_VALUE"""),"09")</f>
        <v>09</v>
      </c>
      <c r="J4419" s="115" t="str">
        <f>IFERROR(__xludf.DUMMYFUNCTION("""COMPUTED_VALUE"""),"Kandula Sampath2025-09-0909")</f>
        <v>Kandula Sampath2025-09-0909</v>
      </c>
      <c r="K4419" s="115">
        <f>IFERROR(__xludf.DUMMYFUNCTION("""COMPUTED_VALUE"""),22452.0)</f>
        <v>22452</v>
      </c>
    </row>
    <row r="4420">
      <c r="A4420" s="115" t="str">
        <f>IFERROR(__xludf.DUMMYFUNCTION("""COMPUTED_VALUE"""),"SOUTH")</f>
        <v>SOUTH</v>
      </c>
      <c r="B4420" s="115" t="str">
        <f>IFERROR(__xludf.DUMMYFUNCTION("""COMPUTED_VALUE"""),"Martin A")</f>
        <v>Martin A</v>
      </c>
      <c r="C4420" s="115" t="str">
        <f>IFERROR(__xludf.DUMMYFUNCTION("""COMPUTED_VALUE"""),"EXTERNAL")</f>
        <v>EXTERNAL</v>
      </c>
      <c r="D4420" s="115">
        <f>IFERROR(__xludf.DUMMYFUNCTION("""COMPUTED_VALUE"""),13439.0)</f>
        <v>13439</v>
      </c>
      <c r="E4420" s="115">
        <f>IFERROR(__xludf.DUMMYFUNCTION("""COMPUTED_VALUE"""),1685.0)</f>
        <v>1685</v>
      </c>
      <c r="F4420" s="115">
        <f>IFERROR(__xludf.DUMMYFUNCTION("""COMPUTED_VALUE"""),316.0)</f>
        <v>316</v>
      </c>
      <c r="G4420" s="115">
        <f>IFERROR(__xludf.DUMMYFUNCTION("""COMPUTED_VALUE"""),20.0)</f>
        <v>20</v>
      </c>
      <c r="H4420" s="116">
        <f>IFERROR(__xludf.DUMMYFUNCTION("""COMPUTED_VALUE"""),45909.0)</f>
        <v>45909</v>
      </c>
      <c r="I4420" s="115" t="str">
        <f>IFERROR(__xludf.DUMMYFUNCTION("""COMPUTED_VALUE"""),"09")</f>
        <v>09</v>
      </c>
      <c r="J4420" s="115" t="str">
        <f>IFERROR(__xludf.DUMMYFUNCTION("""COMPUTED_VALUE"""),"Martin A2025-09-0909")</f>
        <v>Martin A2025-09-0909</v>
      </c>
      <c r="K4420" s="115">
        <f>IFERROR(__xludf.DUMMYFUNCTION("""COMPUTED_VALUE"""),15124.0)</f>
        <v>15124</v>
      </c>
    </row>
    <row r="4421">
      <c r="A4421" s="115" t="str">
        <f>IFERROR(__xludf.DUMMYFUNCTION("""COMPUTED_VALUE"""),"SOUTH")</f>
        <v>SOUTH</v>
      </c>
      <c r="B4421" s="115" t="str">
        <f>IFERROR(__xludf.DUMMYFUNCTION("""COMPUTED_VALUE"""),"Martin A")</f>
        <v>Martin A</v>
      </c>
      <c r="C4421" s="115" t="str">
        <f>IFERROR(__xludf.DUMMYFUNCTION("""COMPUTED_VALUE"""),"FLIPKART")</f>
        <v>FLIPKART</v>
      </c>
      <c r="D4421" s="115">
        <f>IFERROR(__xludf.DUMMYFUNCTION("""COMPUTED_VALUE"""),121775.0)</f>
        <v>121775</v>
      </c>
      <c r="E4421" s="115">
        <f>IFERROR(__xludf.DUMMYFUNCTION("""COMPUTED_VALUE"""),12054.0)</f>
        <v>12054</v>
      </c>
      <c r="F4421" s="115">
        <f>IFERROR(__xludf.DUMMYFUNCTION("""COMPUTED_VALUE"""),5407.0)</f>
        <v>5407</v>
      </c>
      <c r="G4421" s="115">
        <f>IFERROR(__xludf.DUMMYFUNCTION("""COMPUTED_VALUE"""),192.0)</f>
        <v>192</v>
      </c>
      <c r="H4421" s="116">
        <f>IFERROR(__xludf.DUMMYFUNCTION("""COMPUTED_VALUE"""),45909.0)</f>
        <v>45909</v>
      </c>
      <c r="I4421" s="115" t="str">
        <f>IFERROR(__xludf.DUMMYFUNCTION("""COMPUTED_VALUE"""),"09")</f>
        <v>09</v>
      </c>
      <c r="J4421" s="115" t="str">
        <f>IFERROR(__xludf.DUMMYFUNCTION("""COMPUTED_VALUE"""),"Martin A2025-09-0909")</f>
        <v>Martin A2025-09-0909</v>
      </c>
      <c r="K4421" s="115">
        <f>IFERROR(__xludf.DUMMYFUNCTION("""COMPUTED_VALUE"""),133829.0)</f>
        <v>133829</v>
      </c>
    </row>
    <row r="4422">
      <c r="A4422" s="115" t="str">
        <f>IFERROR(__xludf.DUMMYFUNCTION("""COMPUTED_VALUE"""),"SOUTH")</f>
        <v>SOUTH</v>
      </c>
      <c r="B4422" s="115" t="str">
        <f>IFERROR(__xludf.DUMMYFUNCTION("""COMPUTED_VALUE"""),"Martin A")</f>
        <v>Martin A</v>
      </c>
      <c r="C4422" s="115" t="str">
        <f>IFERROR(__xludf.DUMMYFUNCTION("""COMPUTED_VALUE"""),"MYNTRA")</f>
        <v>MYNTRA</v>
      </c>
      <c r="D4422" s="115">
        <f>IFERROR(__xludf.DUMMYFUNCTION("""COMPUTED_VALUE"""),12094.0)</f>
        <v>12094</v>
      </c>
      <c r="E4422" s="115">
        <f>IFERROR(__xludf.DUMMYFUNCTION("""COMPUTED_VALUE"""),3238.0)</f>
        <v>3238</v>
      </c>
      <c r="F4422" s="115">
        <f>IFERROR(__xludf.DUMMYFUNCTION("""COMPUTED_VALUE"""),657.0)</f>
        <v>657</v>
      </c>
      <c r="G4422" s="115">
        <f>IFERROR(__xludf.DUMMYFUNCTION("""COMPUTED_VALUE"""),65.0)</f>
        <v>65</v>
      </c>
      <c r="H4422" s="116">
        <f>IFERROR(__xludf.DUMMYFUNCTION("""COMPUTED_VALUE"""),45909.0)</f>
        <v>45909</v>
      </c>
      <c r="I4422" s="115" t="str">
        <f>IFERROR(__xludf.DUMMYFUNCTION("""COMPUTED_VALUE"""),"09")</f>
        <v>09</v>
      </c>
      <c r="J4422" s="115" t="str">
        <f>IFERROR(__xludf.DUMMYFUNCTION("""COMPUTED_VALUE"""),"Martin A2025-09-0909")</f>
        <v>Martin A2025-09-0909</v>
      </c>
      <c r="K4422" s="115">
        <f>IFERROR(__xludf.DUMMYFUNCTION("""COMPUTED_VALUE"""),15332.0)</f>
        <v>15332</v>
      </c>
    </row>
    <row r="4423">
      <c r="A4423" s="115" t="str">
        <f>IFERROR(__xludf.DUMMYFUNCTION("""COMPUTED_VALUE"""),"SOUTH")</f>
        <v>SOUTH</v>
      </c>
      <c r="B4423" s="115" t="str">
        <f>IFERROR(__xludf.DUMMYFUNCTION("""COMPUTED_VALUE"""),"Premkumar M")</f>
        <v>Premkumar M</v>
      </c>
      <c r="C4423" s="115" t="str">
        <f>IFERROR(__xludf.DUMMYFUNCTION("""COMPUTED_VALUE"""),"EXTERNAL")</f>
        <v>EXTERNAL</v>
      </c>
      <c r="D4423" s="115">
        <f>IFERROR(__xludf.DUMMYFUNCTION("""COMPUTED_VALUE"""),5016.0)</f>
        <v>5016</v>
      </c>
      <c r="E4423" s="115">
        <f>IFERROR(__xludf.DUMMYFUNCTION("""COMPUTED_VALUE"""),245.0)</f>
        <v>245</v>
      </c>
      <c r="F4423" s="115">
        <f>IFERROR(__xludf.DUMMYFUNCTION("""COMPUTED_VALUE"""),91.0)</f>
        <v>91</v>
      </c>
      <c r="G4423" s="115">
        <f>IFERROR(__xludf.DUMMYFUNCTION("""COMPUTED_VALUE"""),2.0)</f>
        <v>2</v>
      </c>
      <c r="H4423" s="116">
        <f>IFERROR(__xludf.DUMMYFUNCTION("""COMPUTED_VALUE"""),45909.0)</f>
        <v>45909</v>
      </c>
      <c r="I4423" s="115" t="str">
        <f>IFERROR(__xludf.DUMMYFUNCTION("""COMPUTED_VALUE"""),"09")</f>
        <v>09</v>
      </c>
      <c r="J4423" s="115" t="str">
        <f>IFERROR(__xludf.DUMMYFUNCTION("""COMPUTED_VALUE"""),"Premkumar M2025-09-0909")</f>
        <v>Premkumar M2025-09-0909</v>
      </c>
      <c r="K4423" s="115">
        <f>IFERROR(__xludf.DUMMYFUNCTION("""COMPUTED_VALUE"""),5261.0)</f>
        <v>5261</v>
      </c>
    </row>
    <row r="4424">
      <c r="A4424" s="115" t="str">
        <f>IFERROR(__xludf.DUMMYFUNCTION("""COMPUTED_VALUE"""),"SOUTH")</f>
        <v>SOUTH</v>
      </c>
      <c r="B4424" s="115" t="str">
        <f>IFERROR(__xludf.DUMMYFUNCTION("""COMPUTED_VALUE"""),"Premkumar M")</f>
        <v>Premkumar M</v>
      </c>
      <c r="C4424" s="115" t="str">
        <f>IFERROR(__xludf.DUMMYFUNCTION("""COMPUTED_VALUE"""),"FLIPKART")</f>
        <v>FLIPKART</v>
      </c>
      <c r="D4424" s="115">
        <f>IFERROR(__xludf.DUMMYFUNCTION("""COMPUTED_VALUE"""),52781.0)</f>
        <v>52781</v>
      </c>
      <c r="E4424" s="115">
        <f>IFERROR(__xludf.DUMMYFUNCTION("""COMPUTED_VALUE"""),3194.0)</f>
        <v>3194</v>
      </c>
      <c r="F4424" s="115">
        <f>IFERROR(__xludf.DUMMYFUNCTION("""COMPUTED_VALUE"""),1785.0)</f>
        <v>1785</v>
      </c>
      <c r="G4424" s="115">
        <f>IFERROR(__xludf.DUMMYFUNCTION("""COMPUTED_VALUE"""),67.0)</f>
        <v>67</v>
      </c>
      <c r="H4424" s="116">
        <f>IFERROR(__xludf.DUMMYFUNCTION("""COMPUTED_VALUE"""),45909.0)</f>
        <v>45909</v>
      </c>
      <c r="I4424" s="115" t="str">
        <f>IFERROR(__xludf.DUMMYFUNCTION("""COMPUTED_VALUE"""),"09")</f>
        <v>09</v>
      </c>
      <c r="J4424" s="115" t="str">
        <f>IFERROR(__xludf.DUMMYFUNCTION("""COMPUTED_VALUE"""),"Premkumar M2025-09-0909")</f>
        <v>Premkumar M2025-09-0909</v>
      </c>
      <c r="K4424" s="115">
        <f>IFERROR(__xludf.DUMMYFUNCTION("""COMPUTED_VALUE"""),55975.0)</f>
        <v>55975</v>
      </c>
    </row>
    <row r="4425">
      <c r="A4425" s="115" t="str">
        <f>IFERROR(__xludf.DUMMYFUNCTION("""COMPUTED_VALUE"""),"SOUTH")</f>
        <v>SOUTH</v>
      </c>
      <c r="B4425" s="115" t="str">
        <f>IFERROR(__xludf.DUMMYFUNCTION("""COMPUTED_VALUE"""),"Premkumar M")</f>
        <v>Premkumar M</v>
      </c>
      <c r="C4425" s="115" t="str">
        <f>IFERROR(__xludf.DUMMYFUNCTION("""COMPUTED_VALUE"""),"MYNTRA")</f>
        <v>MYNTRA</v>
      </c>
      <c r="D4425" s="115">
        <f>IFERROR(__xludf.DUMMYFUNCTION("""COMPUTED_VALUE"""),3466.0)</f>
        <v>3466</v>
      </c>
      <c r="E4425" s="115">
        <f>IFERROR(__xludf.DUMMYFUNCTION("""COMPUTED_VALUE"""),572.0)</f>
        <v>572</v>
      </c>
      <c r="F4425" s="115">
        <f>IFERROR(__xludf.DUMMYFUNCTION("""COMPUTED_VALUE"""),108.0)</f>
        <v>108</v>
      </c>
      <c r="G4425" s="115">
        <f>IFERROR(__xludf.DUMMYFUNCTION("""COMPUTED_VALUE"""),2.0)</f>
        <v>2</v>
      </c>
      <c r="H4425" s="116">
        <f>IFERROR(__xludf.DUMMYFUNCTION("""COMPUTED_VALUE"""),45909.0)</f>
        <v>45909</v>
      </c>
      <c r="I4425" s="115" t="str">
        <f>IFERROR(__xludf.DUMMYFUNCTION("""COMPUTED_VALUE"""),"09")</f>
        <v>09</v>
      </c>
      <c r="J4425" s="115" t="str">
        <f>IFERROR(__xludf.DUMMYFUNCTION("""COMPUTED_VALUE"""),"Premkumar M2025-09-0909")</f>
        <v>Premkumar M2025-09-0909</v>
      </c>
      <c r="K4425" s="115">
        <f>IFERROR(__xludf.DUMMYFUNCTION("""COMPUTED_VALUE"""),4038.0)</f>
        <v>4038</v>
      </c>
    </row>
    <row r="4426">
      <c r="A4426" s="115" t="str">
        <f>IFERROR(__xludf.DUMMYFUNCTION("""COMPUTED_VALUE"""),"SOUTH")</f>
        <v>SOUTH</v>
      </c>
      <c r="B4426" s="115" t="str">
        <f>IFERROR(__xludf.DUMMYFUNCTION("""COMPUTED_VALUE"""),"Vineeth V")</f>
        <v>Vineeth V</v>
      </c>
      <c r="C4426" s="115" t="str">
        <f>IFERROR(__xludf.DUMMYFUNCTION("""COMPUTED_VALUE"""),"EXTERNAL")</f>
        <v>EXTERNAL</v>
      </c>
      <c r="D4426" s="115">
        <f>IFERROR(__xludf.DUMMYFUNCTION("""COMPUTED_VALUE"""),2139.0)</f>
        <v>2139</v>
      </c>
      <c r="E4426" s="115">
        <f>IFERROR(__xludf.DUMMYFUNCTION("""COMPUTED_VALUE"""),54.0)</f>
        <v>54</v>
      </c>
      <c r="F4426" s="115">
        <f>IFERROR(__xludf.DUMMYFUNCTION("""COMPUTED_VALUE"""),31.0)</f>
        <v>31</v>
      </c>
      <c r="G4426" s="115">
        <f>IFERROR(__xludf.DUMMYFUNCTION("""COMPUTED_VALUE"""),0.0)</f>
        <v>0</v>
      </c>
      <c r="H4426" s="116">
        <f>IFERROR(__xludf.DUMMYFUNCTION("""COMPUTED_VALUE"""),45909.0)</f>
        <v>45909</v>
      </c>
      <c r="I4426" s="115" t="str">
        <f>IFERROR(__xludf.DUMMYFUNCTION("""COMPUTED_VALUE"""),"09")</f>
        <v>09</v>
      </c>
      <c r="J4426" s="115" t="str">
        <f>IFERROR(__xludf.DUMMYFUNCTION("""COMPUTED_VALUE"""),"Vineeth V2025-09-0909")</f>
        <v>Vineeth V2025-09-0909</v>
      </c>
      <c r="K4426" s="115">
        <f>IFERROR(__xludf.DUMMYFUNCTION("""COMPUTED_VALUE"""),2193.0)</f>
        <v>2193</v>
      </c>
    </row>
    <row r="4427">
      <c r="A4427" s="115" t="str">
        <f>IFERROR(__xludf.DUMMYFUNCTION("""COMPUTED_VALUE"""),"SOUTH")</f>
        <v>SOUTH</v>
      </c>
      <c r="B4427" s="115" t="str">
        <f>IFERROR(__xludf.DUMMYFUNCTION("""COMPUTED_VALUE"""),"Vineeth V")</f>
        <v>Vineeth V</v>
      </c>
      <c r="C4427" s="115" t="str">
        <f>IFERROR(__xludf.DUMMYFUNCTION("""COMPUTED_VALUE"""),"FLIPKART")</f>
        <v>FLIPKART</v>
      </c>
      <c r="D4427" s="115">
        <f>IFERROR(__xludf.DUMMYFUNCTION("""COMPUTED_VALUE"""),23536.0)</f>
        <v>23536</v>
      </c>
      <c r="E4427" s="115">
        <f>IFERROR(__xludf.DUMMYFUNCTION("""COMPUTED_VALUE"""),1557.0)</f>
        <v>1557</v>
      </c>
      <c r="F4427" s="115">
        <f>IFERROR(__xludf.DUMMYFUNCTION("""COMPUTED_VALUE"""),694.0)</f>
        <v>694</v>
      </c>
      <c r="G4427" s="115">
        <f>IFERROR(__xludf.DUMMYFUNCTION("""COMPUTED_VALUE"""),11.0)</f>
        <v>11</v>
      </c>
      <c r="H4427" s="116">
        <f>IFERROR(__xludf.DUMMYFUNCTION("""COMPUTED_VALUE"""),45909.0)</f>
        <v>45909</v>
      </c>
      <c r="I4427" s="115" t="str">
        <f>IFERROR(__xludf.DUMMYFUNCTION("""COMPUTED_VALUE"""),"09")</f>
        <v>09</v>
      </c>
      <c r="J4427" s="115" t="str">
        <f>IFERROR(__xludf.DUMMYFUNCTION("""COMPUTED_VALUE"""),"Vineeth V2025-09-0909")</f>
        <v>Vineeth V2025-09-0909</v>
      </c>
      <c r="K4427" s="115">
        <f>IFERROR(__xludf.DUMMYFUNCTION("""COMPUTED_VALUE"""),25093.0)</f>
        <v>25093</v>
      </c>
    </row>
    <row r="4428">
      <c r="A4428" s="115" t="str">
        <f>IFERROR(__xludf.DUMMYFUNCTION("""COMPUTED_VALUE"""),"SOUTH")</f>
        <v>SOUTH</v>
      </c>
      <c r="B4428" s="115" t="str">
        <f>IFERROR(__xludf.DUMMYFUNCTION("""COMPUTED_VALUE"""),"Vineeth V")</f>
        <v>Vineeth V</v>
      </c>
      <c r="C4428" s="115" t="str">
        <f>IFERROR(__xludf.DUMMYFUNCTION("""COMPUTED_VALUE"""),"MYNTRA")</f>
        <v>MYNTRA</v>
      </c>
      <c r="D4428" s="115">
        <f>IFERROR(__xludf.DUMMYFUNCTION("""COMPUTED_VALUE"""),2136.0)</f>
        <v>2136</v>
      </c>
      <c r="E4428" s="115">
        <f>IFERROR(__xludf.DUMMYFUNCTION("""COMPUTED_VALUE"""),408.0)</f>
        <v>408</v>
      </c>
      <c r="F4428" s="115">
        <f>IFERROR(__xludf.DUMMYFUNCTION("""COMPUTED_VALUE"""),96.0)</f>
        <v>96</v>
      </c>
      <c r="G4428" s="115">
        <f>IFERROR(__xludf.DUMMYFUNCTION("""COMPUTED_VALUE"""),0.0)</f>
        <v>0</v>
      </c>
      <c r="H4428" s="116">
        <f>IFERROR(__xludf.DUMMYFUNCTION("""COMPUTED_VALUE"""),45909.0)</f>
        <v>45909</v>
      </c>
      <c r="I4428" s="115" t="str">
        <f>IFERROR(__xludf.DUMMYFUNCTION("""COMPUTED_VALUE"""),"09")</f>
        <v>09</v>
      </c>
      <c r="J4428" s="115" t="str">
        <f>IFERROR(__xludf.DUMMYFUNCTION("""COMPUTED_VALUE"""),"Vineeth V2025-09-0909")</f>
        <v>Vineeth V2025-09-0909</v>
      </c>
      <c r="K4428" s="115">
        <f>IFERROR(__xludf.DUMMYFUNCTION("""COMPUTED_VALUE"""),2544.0)</f>
        <v>2544</v>
      </c>
    </row>
    <row r="4429">
      <c r="A4429" s="115" t="str">
        <f>IFERROR(__xludf.DUMMYFUNCTION("""COMPUTED_VALUE"""),"WEST")</f>
        <v>WEST</v>
      </c>
      <c r="B4429" s="115" t="str">
        <f>IFERROR(__xludf.DUMMYFUNCTION("""COMPUTED_VALUE"""),"Ashish Jakar")</f>
        <v>Ashish Jakar</v>
      </c>
      <c r="C4429" s="115" t="str">
        <f>IFERROR(__xludf.DUMMYFUNCTION("""COMPUTED_VALUE"""),"EXTERNAL")</f>
        <v>EXTERNAL</v>
      </c>
      <c r="D4429" s="115">
        <f>IFERROR(__xludf.DUMMYFUNCTION("""COMPUTED_VALUE"""),12869.0)</f>
        <v>12869</v>
      </c>
      <c r="E4429" s="115">
        <f>IFERROR(__xludf.DUMMYFUNCTION("""COMPUTED_VALUE"""),1978.0)</f>
        <v>1978</v>
      </c>
      <c r="F4429" s="115">
        <f>IFERROR(__xludf.DUMMYFUNCTION("""COMPUTED_VALUE"""),175.0)</f>
        <v>175</v>
      </c>
      <c r="G4429" s="115">
        <f>IFERROR(__xludf.DUMMYFUNCTION("""COMPUTED_VALUE"""),21.0)</f>
        <v>21</v>
      </c>
      <c r="H4429" s="116">
        <f>IFERROR(__xludf.DUMMYFUNCTION("""COMPUTED_VALUE"""),45909.0)</f>
        <v>45909</v>
      </c>
      <c r="I4429" s="115" t="str">
        <f>IFERROR(__xludf.DUMMYFUNCTION("""COMPUTED_VALUE"""),"09")</f>
        <v>09</v>
      </c>
      <c r="J4429" s="115" t="str">
        <f>IFERROR(__xludf.DUMMYFUNCTION("""COMPUTED_VALUE"""),"Ashish Jakar2025-09-0909")</f>
        <v>Ashish Jakar2025-09-0909</v>
      </c>
      <c r="K4429" s="115">
        <f>IFERROR(__xludf.DUMMYFUNCTION("""COMPUTED_VALUE"""),14847.0)</f>
        <v>14847</v>
      </c>
    </row>
    <row r="4430">
      <c r="A4430" s="115" t="str">
        <f>IFERROR(__xludf.DUMMYFUNCTION("""COMPUTED_VALUE"""),"WEST")</f>
        <v>WEST</v>
      </c>
      <c r="B4430" s="115" t="str">
        <f>IFERROR(__xludf.DUMMYFUNCTION("""COMPUTED_VALUE"""),"Ashish Jakar")</f>
        <v>Ashish Jakar</v>
      </c>
      <c r="C4430" s="115" t="str">
        <f>IFERROR(__xludf.DUMMYFUNCTION("""COMPUTED_VALUE"""),"FLIPKART")</f>
        <v>FLIPKART</v>
      </c>
      <c r="D4430" s="115">
        <f>IFERROR(__xludf.DUMMYFUNCTION("""COMPUTED_VALUE"""),92067.0)</f>
        <v>92067</v>
      </c>
      <c r="E4430" s="115">
        <f>IFERROR(__xludf.DUMMYFUNCTION("""COMPUTED_VALUE"""),9415.0)</f>
        <v>9415</v>
      </c>
      <c r="F4430" s="115">
        <f>IFERROR(__xludf.DUMMYFUNCTION("""COMPUTED_VALUE"""),2673.0)</f>
        <v>2673</v>
      </c>
      <c r="G4430" s="115">
        <f>IFERROR(__xludf.DUMMYFUNCTION("""COMPUTED_VALUE"""),95.0)</f>
        <v>95</v>
      </c>
      <c r="H4430" s="116">
        <f>IFERROR(__xludf.DUMMYFUNCTION("""COMPUTED_VALUE"""),45909.0)</f>
        <v>45909</v>
      </c>
      <c r="I4430" s="115" t="str">
        <f>IFERROR(__xludf.DUMMYFUNCTION("""COMPUTED_VALUE"""),"09")</f>
        <v>09</v>
      </c>
      <c r="J4430" s="115" t="str">
        <f>IFERROR(__xludf.DUMMYFUNCTION("""COMPUTED_VALUE"""),"Ashish Jakar2025-09-0909")</f>
        <v>Ashish Jakar2025-09-0909</v>
      </c>
      <c r="K4430" s="115">
        <f>IFERROR(__xludf.DUMMYFUNCTION("""COMPUTED_VALUE"""),101482.0)</f>
        <v>101482</v>
      </c>
    </row>
    <row r="4431">
      <c r="A4431" s="115" t="str">
        <f>IFERROR(__xludf.DUMMYFUNCTION("""COMPUTED_VALUE"""),"WEST")</f>
        <v>WEST</v>
      </c>
      <c r="B4431" s="115" t="str">
        <f>IFERROR(__xludf.DUMMYFUNCTION("""COMPUTED_VALUE"""),"Ashish Jakar")</f>
        <v>Ashish Jakar</v>
      </c>
      <c r="C4431" s="115" t="str">
        <f>IFERROR(__xludf.DUMMYFUNCTION("""COMPUTED_VALUE"""),"MYNTRA")</f>
        <v>MYNTRA</v>
      </c>
      <c r="D4431" s="115">
        <f>IFERROR(__xludf.DUMMYFUNCTION("""COMPUTED_VALUE"""),12233.0)</f>
        <v>12233</v>
      </c>
      <c r="E4431" s="115">
        <f>IFERROR(__xludf.DUMMYFUNCTION("""COMPUTED_VALUE"""),3354.0)</f>
        <v>3354</v>
      </c>
      <c r="F4431" s="115">
        <f>IFERROR(__xludf.DUMMYFUNCTION("""COMPUTED_VALUE"""),413.0)</f>
        <v>413</v>
      </c>
      <c r="G4431" s="115">
        <f>IFERROR(__xludf.DUMMYFUNCTION("""COMPUTED_VALUE"""),16.0)</f>
        <v>16</v>
      </c>
      <c r="H4431" s="116">
        <f>IFERROR(__xludf.DUMMYFUNCTION("""COMPUTED_VALUE"""),45909.0)</f>
        <v>45909</v>
      </c>
      <c r="I4431" s="115" t="str">
        <f>IFERROR(__xludf.DUMMYFUNCTION("""COMPUTED_VALUE"""),"09")</f>
        <v>09</v>
      </c>
      <c r="J4431" s="115" t="str">
        <f>IFERROR(__xludf.DUMMYFUNCTION("""COMPUTED_VALUE"""),"Ashish Jakar2025-09-0909")</f>
        <v>Ashish Jakar2025-09-0909</v>
      </c>
      <c r="K4431" s="115">
        <f>IFERROR(__xludf.DUMMYFUNCTION("""COMPUTED_VALUE"""),15587.0)</f>
        <v>15587</v>
      </c>
    </row>
    <row r="4432">
      <c r="A4432" s="115" t="str">
        <f>IFERROR(__xludf.DUMMYFUNCTION("""COMPUTED_VALUE"""),"WEST")</f>
        <v>WEST</v>
      </c>
      <c r="B4432" s="115" t="str">
        <f>IFERROR(__xludf.DUMMYFUNCTION("""COMPUTED_VALUE"""),"Ashvani Bhatt")</f>
        <v>Ashvani Bhatt</v>
      </c>
      <c r="C4432" s="115" t="str">
        <f>IFERROR(__xludf.DUMMYFUNCTION("""COMPUTED_VALUE"""),"EXTERNAL")</f>
        <v>EXTERNAL</v>
      </c>
      <c r="D4432" s="115">
        <f>IFERROR(__xludf.DUMMYFUNCTION("""COMPUTED_VALUE"""),10674.0)</f>
        <v>10674</v>
      </c>
      <c r="E4432" s="115">
        <f>IFERROR(__xludf.DUMMYFUNCTION("""COMPUTED_VALUE"""),772.0)</f>
        <v>772</v>
      </c>
      <c r="F4432" s="115">
        <f>IFERROR(__xludf.DUMMYFUNCTION("""COMPUTED_VALUE"""),158.0)</f>
        <v>158</v>
      </c>
      <c r="G4432" s="115">
        <f>IFERROR(__xludf.DUMMYFUNCTION("""COMPUTED_VALUE"""),2.0)</f>
        <v>2</v>
      </c>
      <c r="H4432" s="116">
        <f>IFERROR(__xludf.DUMMYFUNCTION("""COMPUTED_VALUE"""),45909.0)</f>
        <v>45909</v>
      </c>
      <c r="I4432" s="115" t="str">
        <f>IFERROR(__xludf.DUMMYFUNCTION("""COMPUTED_VALUE"""),"09")</f>
        <v>09</v>
      </c>
      <c r="J4432" s="115" t="str">
        <f>IFERROR(__xludf.DUMMYFUNCTION("""COMPUTED_VALUE"""),"Ashvani Bhatt2025-09-0909")</f>
        <v>Ashvani Bhatt2025-09-0909</v>
      </c>
      <c r="K4432" s="115">
        <f>IFERROR(__xludf.DUMMYFUNCTION("""COMPUTED_VALUE"""),11446.0)</f>
        <v>11446</v>
      </c>
    </row>
    <row r="4433">
      <c r="A4433" s="115" t="str">
        <f>IFERROR(__xludf.DUMMYFUNCTION("""COMPUTED_VALUE"""),"WEST")</f>
        <v>WEST</v>
      </c>
      <c r="B4433" s="115" t="str">
        <f>IFERROR(__xludf.DUMMYFUNCTION("""COMPUTED_VALUE"""),"Ashvani Bhatt")</f>
        <v>Ashvani Bhatt</v>
      </c>
      <c r="C4433" s="115" t="str">
        <f>IFERROR(__xludf.DUMMYFUNCTION("""COMPUTED_VALUE"""),"FLIPKART")</f>
        <v>FLIPKART</v>
      </c>
      <c r="D4433" s="115">
        <f>IFERROR(__xludf.DUMMYFUNCTION("""COMPUTED_VALUE"""),81645.0)</f>
        <v>81645</v>
      </c>
      <c r="E4433" s="115">
        <f>IFERROR(__xludf.DUMMYFUNCTION("""COMPUTED_VALUE"""),6494.0)</f>
        <v>6494</v>
      </c>
      <c r="F4433" s="115">
        <f>IFERROR(__xludf.DUMMYFUNCTION("""COMPUTED_VALUE"""),2839.0)</f>
        <v>2839</v>
      </c>
      <c r="G4433" s="115">
        <f>IFERROR(__xludf.DUMMYFUNCTION("""COMPUTED_VALUE"""),78.0)</f>
        <v>78</v>
      </c>
      <c r="H4433" s="116">
        <f>IFERROR(__xludf.DUMMYFUNCTION("""COMPUTED_VALUE"""),45909.0)</f>
        <v>45909</v>
      </c>
      <c r="I4433" s="115" t="str">
        <f>IFERROR(__xludf.DUMMYFUNCTION("""COMPUTED_VALUE"""),"09")</f>
        <v>09</v>
      </c>
      <c r="J4433" s="115" t="str">
        <f>IFERROR(__xludf.DUMMYFUNCTION("""COMPUTED_VALUE"""),"Ashvani Bhatt2025-09-0909")</f>
        <v>Ashvani Bhatt2025-09-0909</v>
      </c>
      <c r="K4433" s="115">
        <f>IFERROR(__xludf.DUMMYFUNCTION("""COMPUTED_VALUE"""),88139.0)</f>
        <v>88139</v>
      </c>
    </row>
    <row r="4434">
      <c r="A4434" s="115" t="str">
        <f>IFERROR(__xludf.DUMMYFUNCTION("""COMPUTED_VALUE"""),"WEST")</f>
        <v>WEST</v>
      </c>
      <c r="B4434" s="115" t="str">
        <f>IFERROR(__xludf.DUMMYFUNCTION("""COMPUTED_VALUE"""),"Ashvani Bhatt")</f>
        <v>Ashvani Bhatt</v>
      </c>
      <c r="C4434" s="115" t="str">
        <f>IFERROR(__xludf.DUMMYFUNCTION("""COMPUTED_VALUE"""),"MYNTRA")</f>
        <v>MYNTRA</v>
      </c>
      <c r="D4434" s="115">
        <f>IFERROR(__xludf.DUMMYFUNCTION("""COMPUTED_VALUE"""),12186.0)</f>
        <v>12186</v>
      </c>
      <c r="E4434" s="115">
        <f>IFERROR(__xludf.DUMMYFUNCTION("""COMPUTED_VALUE"""),2352.0)</f>
        <v>2352</v>
      </c>
      <c r="F4434" s="115">
        <f>IFERROR(__xludf.DUMMYFUNCTION("""COMPUTED_VALUE"""),567.0)</f>
        <v>567</v>
      </c>
      <c r="G4434" s="115">
        <f>IFERROR(__xludf.DUMMYFUNCTION("""COMPUTED_VALUE"""),24.0)</f>
        <v>24</v>
      </c>
      <c r="H4434" s="116">
        <f>IFERROR(__xludf.DUMMYFUNCTION("""COMPUTED_VALUE"""),45909.0)</f>
        <v>45909</v>
      </c>
      <c r="I4434" s="115" t="str">
        <f>IFERROR(__xludf.DUMMYFUNCTION("""COMPUTED_VALUE"""),"09")</f>
        <v>09</v>
      </c>
      <c r="J4434" s="115" t="str">
        <f>IFERROR(__xludf.DUMMYFUNCTION("""COMPUTED_VALUE"""),"Ashvani Bhatt2025-09-0909")</f>
        <v>Ashvani Bhatt2025-09-0909</v>
      </c>
      <c r="K4434" s="115">
        <f>IFERROR(__xludf.DUMMYFUNCTION("""COMPUTED_VALUE"""),14538.0)</f>
        <v>14538</v>
      </c>
    </row>
    <row r="4435">
      <c r="A4435" s="115"/>
      <c r="B4435" s="115"/>
      <c r="C4435" s="115" t="str">
        <f>IFERROR(__xludf.DUMMYFUNCTION("""COMPUTED_VALUE"""),"EXTERNAL")</f>
        <v>EXTERNAL</v>
      </c>
      <c r="D4435" s="115">
        <f>IFERROR(__xludf.DUMMYFUNCTION("""COMPUTED_VALUE"""),126.0)</f>
        <v>126</v>
      </c>
      <c r="E4435" s="115">
        <f>IFERROR(__xludf.DUMMYFUNCTION("""COMPUTED_VALUE"""),41.0)</f>
        <v>41</v>
      </c>
      <c r="F4435" s="115">
        <f>IFERROR(__xludf.DUMMYFUNCTION("""COMPUTED_VALUE"""),1.0)</f>
        <v>1</v>
      </c>
      <c r="G4435" s="115">
        <f>IFERROR(__xludf.DUMMYFUNCTION("""COMPUTED_VALUE"""),1.0)</f>
        <v>1</v>
      </c>
      <c r="H4435" s="116">
        <f>IFERROR(__xludf.DUMMYFUNCTION("""COMPUTED_VALUE"""),45909.0)</f>
        <v>45909</v>
      </c>
      <c r="I4435" s="115" t="str">
        <f>IFERROR(__xludf.DUMMYFUNCTION("""COMPUTED_VALUE"""),"09")</f>
        <v>09</v>
      </c>
      <c r="J4435" s="115" t="str">
        <f>IFERROR(__xludf.DUMMYFUNCTION("""COMPUTED_VALUE"""),"2025-09-0909")</f>
        <v>2025-09-0909</v>
      </c>
      <c r="K4435" s="115">
        <f>IFERROR(__xludf.DUMMYFUNCTION("""COMPUTED_VALUE"""),167.0)</f>
        <v>167</v>
      </c>
    </row>
    <row r="4436">
      <c r="A4436" s="115"/>
      <c r="B4436" s="115"/>
      <c r="C4436" s="115" t="str">
        <f>IFERROR(__xludf.DUMMYFUNCTION("""COMPUTED_VALUE"""),"FLIPKART")</f>
        <v>FLIPKART</v>
      </c>
      <c r="D4436" s="115">
        <f>IFERROR(__xludf.DUMMYFUNCTION("""COMPUTED_VALUE"""),1602.0)</f>
        <v>1602</v>
      </c>
      <c r="E4436" s="115">
        <f>IFERROR(__xludf.DUMMYFUNCTION("""COMPUTED_VALUE"""),117.0)</f>
        <v>117</v>
      </c>
      <c r="F4436" s="115">
        <f>IFERROR(__xludf.DUMMYFUNCTION("""COMPUTED_VALUE"""),9.0)</f>
        <v>9</v>
      </c>
      <c r="G4436" s="115">
        <f>IFERROR(__xludf.DUMMYFUNCTION("""COMPUTED_VALUE"""),11.0)</f>
        <v>11</v>
      </c>
      <c r="H4436" s="116">
        <f>IFERROR(__xludf.DUMMYFUNCTION("""COMPUTED_VALUE"""),45909.0)</f>
        <v>45909</v>
      </c>
      <c r="I4436" s="115" t="str">
        <f>IFERROR(__xludf.DUMMYFUNCTION("""COMPUTED_VALUE"""),"09")</f>
        <v>09</v>
      </c>
      <c r="J4436" s="115" t="str">
        <f>IFERROR(__xludf.DUMMYFUNCTION("""COMPUTED_VALUE"""),"2025-09-0909")</f>
        <v>2025-09-0909</v>
      </c>
      <c r="K4436" s="115">
        <f>IFERROR(__xludf.DUMMYFUNCTION("""COMPUTED_VALUE"""),1719.0)</f>
        <v>1719</v>
      </c>
    </row>
    <row r="4437">
      <c r="A4437" s="115"/>
      <c r="B4437" s="115"/>
      <c r="C4437" s="115" t="str">
        <f>IFERROR(__xludf.DUMMYFUNCTION("""COMPUTED_VALUE"""),"MYNTRA")</f>
        <v>MYNTRA</v>
      </c>
      <c r="D4437" s="115">
        <f>IFERROR(__xludf.DUMMYFUNCTION("""COMPUTED_VALUE"""),146.0)</f>
        <v>146</v>
      </c>
      <c r="E4437" s="115">
        <f>IFERROR(__xludf.DUMMYFUNCTION("""COMPUTED_VALUE"""),55.0)</f>
        <v>55</v>
      </c>
      <c r="F4437" s="115">
        <f>IFERROR(__xludf.DUMMYFUNCTION("""COMPUTED_VALUE"""),0.0)</f>
        <v>0</v>
      </c>
      <c r="G4437" s="115">
        <f>IFERROR(__xludf.DUMMYFUNCTION("""COMPUTED_VALUE"""),0.0)</f>
        <v>0</v>
      </c>
      <c r="H4437" s="116">
        <f>IFERROR(__xludf.DUMMYFUNCTION("""COMPUTED_VALUE"""),45909.0)</f>
        <v>45909</v>
      </c>
      <c r="I4437" s="115" t="str">
        <f>IFERROR(__xludf.DUMMYFUNCTION("""COMPUTED_VALUE"""),"09")</f>
        <v>09</v>
      </c>
      <c r="J4437" s="115" t="str">
        <f>IFERROR(__xludf.DUMMYFUNCTION("""COMPUTED_VALUE"""),"2025-09-0909")</f>
        <v>2025-09-0909</v>
      </c>
      <c r="K4437" s="115">
        <f>IFERROR(__xludf.DUMMYFUNCTION("""COMPUTED_VALUE"""),201.0)</f>
        <v>201</v>
      </c>
    </row>
    <row r="4438">
      <c r="A4438" s="115" t="str">
        <f>IFERROR(__xludf.DUMMYFUNCTION("""COMPUTED_VALUE"""),"EAST")</f>
        <v>EAST</v>
      </c>
      <c r="B4438" s="115" t="str">
        <f>IFERROR(__xludf.DUMMYFUNCTION("""COMPUTED_VALUE"""),"Ashish Ranjan")</f>
        <v>Ashish Ranjan</v>
      </c>
      <c r="C4438" s="115" t="str">
        <f>IFERROR(__xludf.DUMMYFUNCTION("""COMPUTED_VALUE"""),"EXTERNAL")</f>
        <v>EXTERNAL</v>
      </c>
      <c r="D4438" s="115">
        <f>IFERROR(__xludf.DUMMYFUNCTION("""COMPUTED_VALUE"""),25554.0)</f>
        <v>25554</v>
      </c>
      <c r="E4438" s="115">
        <f>IFERROR(__xludf.DUMMYFUNCTION("""COMPUTED_VALUE"""),2093.0)</f>
        <v>2093</v>
      </c>
      <c r="F4438" s="115">
        <f>IFERROR(__xludf.DUMMYFUNCTION("""COMPUTED_VALUE"""),1585.0)</f>
        <v>1585</v>
      </c>
      <c r="G4438" s="115">
        <f>IFERROR(__xludf.DUMMYFUNCTION("""COMPUTED_VALUE"""),36.0)</f>
        <v>36</v>
      </c>
      <c r="H4438" s="116">
        <f>IFERROR(__xludf.DUMMYFUNCTION("""COMPUTED_VALUE"""),45909.0)</f>
        <v>45909</v>
      </c>
      <c r="I4438" s="115" t="str">
        <f>IFERROR(__xludf.DUMMYFUNCTION("""COMPUTED_VALUE"""),"10")</f>
        <v>10</v>
      </c>
      <c r="J4438" s="115" t="str">
        <f>IFERROR(__xludf.DUMMYFUNCTION("""COMPUTED_VALUE"""),"Ashish Ranjan2025-09-0910")</f>
        <v>Ashish Ranjan2025-09-0910</v>
      </c>
      <c r="K4438" s="115">
        <f>IFERROR(__xludf.DUMMYFUNCTION("""COMPUTED_VALUE"""),27647.0)</f>
        <v>27647</v>
      </c>
    </row>
    <row r="4439">
      <c r="A4439" s="115" t="str">
        <f>IFERROR(__xludf.DUMMYFUNCTION("""COMPUTED_VALUE"""),"EAST")</f>
        <v>EAST</v>
      </c>
      <c r="B4439" s="115" t="str">
        <f>IFERROR(__xludf.DUMMYFUNCTION("""COMPUTED_VALUE"""),"Ashish Ranjan")</f>
        <v>Ashish Ranjan</v>
      </c>
      <c r="C4439" s="115" t="str">
        <f>IFERROR(__xludf.DUMMYFUNCTION("""COMPUTED_VALUE"""),"FLIPKART")</f>
        <v>FLIPKART</v>
      </c>
      <c r="D4439" s="115">
        <f>IFERROR(__xludf.DUMMYFUNCTION("""COMPUTED_VALUE"""),413794.0)</f>
        <v>413794</v>
      </c>
      <c r="E4439" s="115">
        <f>IFERROR(__xludf.DUMMYFUNCTION("""COMPUTED_VALUE"""),40613.0)</f>
        <v>40613</v>
      </c>
      <c r="F4439" s="115">
        <f>IFERROR(__xludf.DUMMYFUNCTION("""COMPUTED_VALUE"""),43873.0)</f>
        <v>43873</v>
      </c>
      <c r="G4439" s="115">
        <f>IFERROR(__xludf.DUMMYFUNCTION("""COMPUTED_VALUE"""),1291.0)</f>
        <v>1291</v>
      </c>
      <c r="H4439" s="116">
        <f>IFERROR(__xludf.DUMMYFUNCTION("""COMPUTED_VALUE"""),45909.0)</f>
        <v>45909</v>
      </c>
      <c r="I4439" s="115" t="str">
        <f>IFERROR(__xludf.DUMMYFUNCTION("""COMPUTED_VALUE"""),"10")</f>
        <v>10</v>
      </c>
      <c r="J4439" s="115" t="str">
        <f>IFERROR(__xludf.DUMMYFUNCTION("""COMPUTED_VALUE"""),"Ashish Ranjan2025-09-0910")</f>
        <v>Ashish Ranjan2025-09-0910</v>
      </c>
      <c r="K4439" s="115">
        <f>IFERROR(__xludf.DUMMYFUNCTION("""COMPUTED_VALUE"""),454407.0)</f>
        <v>454407</v>
      </c>
    </row>
    <row r="4440">
      <c r="A4440" s="115" t="str">
        <f>IFERROR(__xludf.DUMMYFUNCTION("""COMPUTED_VALUE"""),"EAST")</f>
        <v>EAST</v>
      </c>
      <c r="B4440" s="115" t="str">
        <f>IFERROR(__xludf.DUMMYFUNCTION("""COMPUTED_VALUE"""),"Ashish Ranjan")</f>
        <v>Ashish Ranjan</v>
      </c>
      <c r="C4440" s="115" t="str">
        <f>IFERROR(__xludf.DUMMYFUNCTION("""COMPUTED_VALUE"""),"MYNTRA")</f>
        <v>MYNTRA</v>
      </c>
      <c r="D4440" s="115">
        <f>IFERROR(__xludf.DUMMYFUNCTION("""COMPUTED_VALUE"""),45361.0)</f>
        <v>45361</v>
      </c>
      <c r="E4440" s="115">
        <f>IFERROR(__xludf.DUMMYFUNCTION("""COMPUTED_VALUE"""),9045.0)</f>
        <v>9045</v>
      </c>
      <c r="F4440" s="115">
        <f>IFERROR(__xludf.DUMMYFUNCTION("""COMPUTED_VALUE"""),4796.0)</f>
        <v>4796</v>
      </c>
      <c r="G4440" s="115">
        <f>IFERROR(__xludf.DUMMYFUNCTION("""COMPUTED_VALUE"""),271.0)</f>
        <v>271</v>
      </c>
      <c r="H4440" s="116">
        <f>IFERROR(__xludf.DUMMYFUNCTION("""COMPUTED_VALUE"""),45909.0)</f>
        <v>45909</v>
      </c>
      <c r="I4440" s="115" t="str">
        <f>IFERROR(__xludf.DUMMYFUNCTION("""COMPUTED_VALUE"""),"10")</f>
        <v>10</v>
      </c>
      <c r="J4440" s="115" t="str">
        <f>IFERROR(__xludf.DUMMYFUNCTION("""COMPUTED_VALUE"""),"Ashish Ranjan2025-09-0910")</f>
        <v>Ashish Ranjan2025-09-0910</v>
      </c>
      <c r="K4440" s="115">
        <f>IFERROR(__xludf.DUMMYFUNCTION("""COMPUTED_VALUE"""),54406.0)</f>
        <v>54406</v>
      </c>
    </row>
    <row r="4441">
      <c r="A4441" s="115" t="str">
        <f>IFERROR(__xludf.DUMMYFUNCTION("""COMPUTED_VALUE"""),"EAST")</f>
        <v>EAST</v>
      </c>
      <c r="B4441" s="115" t="str">
        <f>IFERROR(__xludf.DUMMYFUNCTION("""COMPUTED_VALUE"""),"Girish Chand")</f>
        <v>Girish Chand</v>
      </c>
      <c r="C4441" s="115" t="str">
        <f>IFERROR(__xludf.DUMMYFUNCTION("""COMPUTED_VALUE"""),"EXTERNAL")</f>
        <v>EXTERNAL</v>
      </c>
      <c r="D4441" s="115">
        <f>IFERROR(__xludf.DUMMYFUNCTION("""COMPUTED_VALUE"""),15389.0)</f>
        <v>15389</v>
      </c>
      <c r="E4441" s="115">
        <f>IFERROR(__xludf.DUMMYFUNCTION("""COMPUTED_VALUE"""),1076.0)</f>
        <v>1076</v>
      </c>
      <c r="F4441" s="115">
        <f>IFERROR(__xludf.DUMMYFUNCTION("""COMPUTED_VALUE"""),567.0)</f>
        <v>567</v>
      </c>
      <c r="G4441" s="115">
        <f>IFERROR(__xludf.DUMMYFUNCTION("""COMPUTED_VALUE"""),8.0)</f>
        <v>8</v>
      </c>
      <c r="H4441" s="116">
        <f>IFERROR(__xludf.DUMMYFUNCTION("""COMPUTED_VALUE"""),45909.0)</f>
        <v>45909</v>
      </c>
      <c r="I4441" s="115" t="str">
        <f>IFERROR(__xludf.DUMMYFUNCTION("""COMPUTED_VALUE"""),"10")</f>
        <v>10</v>
      </c>
      <c r="J4441" s="115" t="str">
        <f>IFERROR(__xludf.DUMMYFUNCTION("""COMPUTED_VALUE"""),"Girish Chand2025-09-0910")</f>
        <v>Girish Chand2025-09-0910</v>
      </c>
      <c r="K4441" s="115">
        <f>IFERROR(__xludf.DUMMYFUNCTION("""COMPUTED_VALUE"""),16465.0)</f>
        <v>16465</v>
      </c>
    </row>
    <row r="4442">
      <c r="A4442" s="115" t="str">
        <f>IFERROR(__xludf.DUMMYFUNCTION("""COMPUTED_VALUE"""),"EAST")</f>
        <v>EAST</v>
      </c>
      <c r="B4442" s="115" t="str">
        <f>IFERROR(__xludf.DUMMYFUNCTION("""COMPUTED_VALUE"""),"Girish Chand")</f>
        <v>Girish Chand</v>
      </c>
      <c r="C4442" s="115" t="str">
        <f>IFERROR(__xludf.DUMMYFUNCTION("""COMPUTED_VALUE"""),"FLIPKART")</f>
        <v>FLIPKART</v>
      </c>
      <c r="D4442" s="115">
        <f>IFERROR(__xludf.DUMMYFUNCTION("""COMPUTED_VALUE"""),255104.0)</f>
        <v>255104</v>
      </c>
      <c r="E4442" s="115">
        <f>IFERROR(__xludf.DUMMYFUNCTION("""COMPUTED_VALUE"""),19959.0)</f>
        <v>19959</v>
      </c>
      <c r="F4442" s="115">
        <f>IFERROR(__xludf.DUMMYFUNCTION("""COMPUTED_VALUE"""),17227.0)</f>
        <v>17227</v>
      </c>
      <c r="G4442" s="115">
        <f>IFERROR(__xludf.DUMMYFUNCTION("""COMPUTED_VALUE"""),463.0)</f>
        <v>463</v>
      </c>
      <c r="H4442" s="116">
        <f>IFERROR(__xludf.DUMMYFUNCTION("""COMPUTED_VALUE"""),45909.0)</f>
        <v>45909</v>
      </c>
      <c r="I4442" s="115" t="str">
        <f>IFERROR(__xludf.DUMMYFUNCTION("""COMPUTED_VALUE"""),"10")</f>
        <v>10</v>
      </c>
      <c r="J4442" s="115" t="str">
        <f>IFERROR(__xludf.DUMMYFUNCTION("""COMPUTED_VALUE"""),"Girish Chand2025-09-0910")</f>
        <v>Girish Chand2025-09-0910</v>
      </c>
      <c r="K4442" s="115">
        <f>IFERROR(__xludf.DUMMYFUNCTION("""COMPUTED_VALUE"""),275063.0)</f>
        <v>275063</v>
      </c>
    </row>
    <row r="4443">
      <c r="A4443" s="115" t="str">
        <f>IFERROR(__xludf.DUMMYFUNCTION("""COMPUTED_VALUE"""),"EAST")</f>
        <v>EAST</v>
      </c>
      <c r="B4443" s="115" t="str">
        <f>IFERROR(__xludf.DUMMYFUNCTION("""COMPUTED_VALUE"""),"Girish Chand")</f>
        <v>Girish Chand</v>
      </c>
      <c r="C4443" s="115" t="str">
        <f>IFERROR(__xludf.DUMMYFUNCTION("""COMPUTED_VALUE"""),"MYNTRA")</f>
        <v>MYNTRA</v>
      </c>
      <c r="D4443" s="115">
        <f>IFERROR(__xludf.DUMMYFUNCTION("""COMPUTED_VALUE"""),25592.0)</f>
        <v>25592</v>
      </c>
      <c r="E4443" s="115">
        <f>IFERROR(__xludf.DUMMYFUNCTION("""COMPUTED_VALUE"""),3923.0)</f>
        <v>3923</v>
      </c>
      <c r="F4443" s="115">
        <f>IFERROR(__xludf.DUMMYFUNCTION("""COMPUTED_VALUE"""),2136.0)</f>
        <v>2136</v>
      </c>
      <c r="G4443" s="115">
        <f>IFERROR(__xludf.DUMMYFUNCTION("""COMPUTED_VALUE"""),93.0)</f>
        <v>93</v>
      </c>
      <c r="H4443" s="116">
        <f>IFERROR(__xludf.DUMMYFUNCTION("""COMPUTED_VALUE"""),45909.0)</f>
        <v>45909</v>
      </c>
      <c r="I4443" s="115" t="str">
        <f>IFERROR(__xludf.DUMMYFUNCTION("""COMPUTED_VALUE"""),"10")</f>
        <v>10</v>
      </c>
      <c r="J4443" s="115" t="str">
        <f>IFERROR(__xludf.DUMMYFUNCTION("""COMPUTED_VALUE"""),"Girish Chand2025-09-0910")</f>
        <v>Girish Chand2025-09-0910</v>
      </c>
      <c r="K4443" s="115">
        <f>IFERROR(__xludf.DUMMYFUNCTION("""COMPUTED_VALUE"""),29515.0)</f>
        <v>29515</v>
      </c>
    </row>
    <row r="4444">
      <c r="A4444" s="115" t="str">
        <f>IFERROR(__xludf.DUMMYFUNCTION("""COMPUTED_VALUE"""),"EAST")</f>
        <v>EAST</v>
      </c>
      <c r="B4444" s="115" t="str">
        <f>IFERROR(__xludf.DUMMYFUNCTION("""COMPUTED_VALUE"""),"Parag Kashyap")</f>
        <v>Parag Kashyap</v>
      </c>
      <c r="C4444" s="115" t="str">
        <f>IFERROR(__xludf.DUMMYFUNCTION("""COMPUTED_VALUE"""),"EXTERNAL")</f>
        <v>EXTERNAL</v>
      </c>
      <c r="D4444" s="115">
        <f>IFERROR(__xludf.DUMMYFUNCTION("""COMPUTED_VALUE"""),9532.0)</f>
        <v>9532</v>
      </c>
      <c r="E4444" s="115">
        <f>IFERROR(__xludf.DUMMYFUNCTION("""COMPUTED_VALUE"""),499.0)</f>
        <v>499</v>
      </c>
      <c r="F4444" s="115">
        <f>IFERROR(__xludf.DUMMYFUNCTION("""COMPUTED_VALUE"""),221.0)</f>
        <v>221</v>
      </c>
      <c r="G4444" s="115">
        <f>IFERROR(__xludf.DUMMYFUNCTION("""COMPUTED_VALUE"""),3.0)</f>
        <v>3</v>
      </c>
      <c r="H4444" s="116">
        <f>IFERROR(__xludf.DUMMYFUNCTION("""COMPUTED_VALUE"""),45909.0)</f>
        <v>45909</v>
      </c>
      <c r="I4444" s="115" t="str">
        <f>IFERROR(__xludf.DUMMYFUNCTION("""COMPUTED_VALUE"""),"10")</f>
        <v>10</v>
      </c>
      <c r="J4444" s="115" t="str">
        <f>IFERROR(__xludf.DUMMYFUNCTION("""COMPUTED_VALUE"""),"Parag Kashyap2025-09-0910")</f>
        <v>Parag Kashyap2025-09-0910</v>
      </c>
      <c r="K4444" s="115">
        <f>IFERROR(__xludf.DUMMYFUNCTION("""COMPUTED_VALUE"""),10031.0)</f>
        <v>10031</v>
      </c>
    </row>
    <row r="4445">
      <c r="A4445" s="115" t="str">
        <f>IFERROR(__xludf.DUMMYFUNCTION("""COMPUTED_VALUE"""),"EAST")</f>
        <v>EAST</v>
      </c>
      <c r="B4445" s="115" t="str">
        <f>IFERROR(__xludf.DUMMYFUNCTION("""COMPUTED_VALUE"""),"Parag Kashyap")</f>
        <v>Parag Kashyap</v>
      </c>
      <c r="C4445" s="115" t="str">
        <f>IFERROR(__xludf.DUMMYFUNCTION("""COMPUTED_VALUE"""),"FLIPKART")</f>
        <v>FLIPKART</v>
      </c>
      <c r="D4445" s="115">
        <f>IFERROR(__xludf.DUMMYFUNCTION("""COMPUTED_VALUE"""),185147.0)</f>
        <v>185147</v>
      </c>
      <c r="E4445" s="115">
        <f>IFERROR(__xludf.DUMMYFUNCTION("""COMPUTED_VALUE"""),8871.0)</f>
        <v>8871</v>
      </c>
      <c r="F4445" s="115">
        <f>IFERROR(__xludf.DUMMYFUNCTION("""COMPUTED_VALUE"""),8848.0)</f>
        <v>8848</v>
      </c>
      <c r="G4445" s="115">
        <f>IFERROR(__xludf.DUMMYFUNCTION("""COMPUTED_VALUE"""),181.0)</f>
        <v>181</v>
      </c>
      <c r="H4445" s="116">
        <f>IFERROR(__xludf.DUMMYFUNCTION("""COMPUTED_VALUE"""),45909.0)</f>
        <v>45909</v>
      </c>
      <c r="I4445" s="115" t="str">
        <f>IFERROR(__xludf.DUMMYFUNCTION("""COMPUTED_VALUE"""),"10")</f>
        <v>10</v>
      </c>
      <c r="J4445" s="115" t="str">
        <f>IFERROR(__xludf.DUMMYFUNCTION("""COMPUTED_VALUE"""),"Parag Kashyap2025-09-0910")</f>
        <v>Parag Kashyap2025-09-0910</v>
      </c>
      <c r="K4445" s="115">
        <f>IFERROR(__xludf.DUMMYFUNCTION("""COMPUTED_VALUE"""),194018.0)</f>
        <v>194018</v>
      </c>
    </row>
    <row r="4446">
      <c r="A4446" s="115" t="str">
        <f>IFERROR(__xludf.DUMMYFUNCTION("""COMPUTED_VALUE"""),"EAST")</f>
        <v>EAST</v>
      </c>
      <c r="B4446" s="115" t="str">
        <f>IFERROR(__xludf.DUMMYFUNCTION("""COMPUTED_VALUE"""),"Parag Kashyap")</f>
        <v>Parag Kashyap</v>
      </c>
      <c r="C4446" s="115" t="str">
        <f>IFERROR(__xludf.DUMMYFUNCTION("""COMPUTED_VALUE"""),"MYNTRA")</f>
        <v>MYNTRA</v>
      </c>
      <c r="D4446" s="115">
        <f>IFERROR(__xludf.DUMMYFUNCTION("""COMPUTED_VALUE"""),23728.0)</f>
        <v>23728</v>
      </c>
      <c r="E4446" s="115">
        <f>IFERROR(__xludf.DUMMYFUNCTION("""COMPUTED_VALUE"""),2805.0)</f>
        <v>2805</v>
      </c>
      <c r="F4446" s="115">
        <f>IFERROR(__xludf.DUMMYFUNCTION("""COMPUTED_VALUE"""),1484.0)</f>
        <v>1484</v>
      </c>
      <c r="G4446" s="115">
        <f>IFERROR(__xludf.DUMMYFUNCTION("""COMPUTED_VALUE"""),19.0)</f>
        <v>19</v>
      </c>
      <c r="H4446" s="116">
        <f>IFERROR(__xludf.DUMMYFUNCTION("""COMPUTED_VALUE"""),45909.0)</f>
        <v>45909</v>
      </c>
      <c r="I4446" s="115" t="str">
        <f>IFERROR(__xludf.DUMMYFUNCTION("""COMPUTED_VALUE"""),"10")</f>
        <v>10</v>
      </c>
      <c r="J4446" s="115" t="str">
        <f>IFERROR(__xludf.DUMMYFUNCTION("""COMPUTED_VALUE"""),"Parag Kashyap2025-09-0910")</f>
        <v>Parag Kashyap2025-09-0910</v>
      </c>
      <c r="K4446" s="115">
        <f>IFERROR(__xludf.DUMMYFUNCTION("""COMPUTED_VALUE"""),26533.0)</f>
        <v>26533</v>
      </c>
    </row>
    <row r="4447">
      <c r="A4447" s="115" t="str">
        <f>IFERROR(__xludf.DUMMYFUNCTION("""COMPUTED_VALUE"""),"NORTH")</f>
        <v>NORTH</v>
      </c>
      <c r="B4447" s="115" t="str">
        <f>IFERROR(__xludf.DUMMYFUNCTION("""COMPUTED_VALUE"""),"Amit Kumar Pathak")</f>
        <v>Amit Kumar Pathak</v>
      </c>
      <c r="C4447" s="115" t="str">
        <f>IFERROR(__xludf.DUMMYFUNCTION("""COMPUTED_VALUE"""),"EXTERNAL")</f>
        <v>EXTERNAL</v>
      </c>
      <c r="D4447" s="115">
        <f>IFERROR(__xludf.DUMMYFUNCTION("""COMPUTED_VALUE"""),17817.0)</f>
        <v>17817</v>
      </c>
      <c r="E4447" s="115">
        <f>IFERROR(__xludf.DUMMYFUNCTION("""COMPUTED_VALUE"""),2483.0)</f>
        <v>2483</v>
      </c>
      <c r="F4447" s="115">
        <f>IFERROR(__xludf.DUMMYFUNCTION("""COMPUTED_VALUE"""),832.0)</f>
        <v>832</v>
      </c>
      <c r="G4447" s="115">
        <f>IFERROR(__xludf.DUMMYFUNCTION("""COMPUTED_VALUE"""),101.0)</f>
        <v>101</v>
      </c>
      <c r="H4447" s="116">
        <f>IFERROR(__xludf.DUMMYFUNCTION("""COMPUTED_VALUE"""),45909.0)</f>
        <v>45909</v>
      </c>
      <c r="I4447" s="115" t="str">
        <f>IFERROR(__xludf.DUMMYFUNCTION("""COMPUTED_VALUE"""),"10")</f>
        <v>10</v>
      </c>
      <c r="J4447" s="115" t="str">
        <f>IFERROR(__xludf.DUMMYFUNCTION("""COMPUTED_VALUE"""),"Amit Kumar Pathak2025-09-0910")</f>
        <v>Amit Kumar Pathak2025-09-0910</v>
      </c>
      <c r="K4447" s="115">
        <f>IFERROR(__xludf.DUMMYFUNCTION("""COMPUTED_VALUE"""),20300.0)</f>
        <v>20300</v>
      </c>
    </row>
    <row r="4448">
      <c r="A4448" s="115" t="str">
        <f>IFERROR(__xludf.DUMMYFUNCTION("""COMPUTED_VALUE"""),"NORTH")</f>
        <v>NORTH</v>
      </c>
      <c r="B4448" s="115" t="str">
        <f>IFERROR(__xludf.DUMMYFUNCTION("""COMPUTED_VALUE"""),"Amit Kumar Pathak")</f>
        <v>Amit Kumar Pathak</v>
      </c>
      <c r="C4448" s="115" t="str">
        <f>IFERROR(__xludf.DUMMYFUNCTION("""COMPUTED_VALUE"""),"FLIPKART")</f>
        <v>FLIPKART</v>
      </c>
      <c r="D4448" s="115">
        <f>IFERROR(__xludf.DUMMYFUNCTION("""COMPUTED_VALUE"""),106992.0)</f>
        <v>106992</v>
      </c>
      <c r="E4448" s="115">
        <f>IFERROR(__xludf.DUMMYFUNCTION("""COMPUTED_VALUE"""),15973.0)</f>
        <v>15973</v>
      </c>
      <c r="F4448" s="115">
        <f>IFERROR(__xludf.DUMMYFUNCTION("""COMPUTED_VALUE"""),9774.0)</f>
        <v>9774</v>
      </c>
      <c r="G4448" s="115">
        <f>IFERROR(__xludf.DUMMYFUNCTION("""COMPUTED_VALUE"""),889.0)</f>
        <v>889</v>
      </c>
      <c r="H4448" s="116">
        <f>IFERROR(__xludf.DUMMYFUNCTION("""COMPUTED_VALUE"""),45909.0)</f>
        <v>45909</v>
      </c>
      <c r="I4448" s="115" t="str">
        <f>IFERROR(__xludf.DUMMYFUNCTION("""COMPUTED_VALUE"""),"10")</f>
        <v>10</v>
      </c>
      <c r="J4448" s="115" t="str">
        <f>IFERROR(__xludf.DUMMYFUNCTION("""COMPUTED_VALUE"""),"Amit Kumar Pathak2025-09-0910")</f>
        <v>Amit Kumar Pathak2025-09-0910</v>
      </c>
      <c r="K4448" s="115">
        <f>IFERROR(__xludf.DUMMYFUNCTION("""COMPUTED_VALUE"""),122965.0)</f>
        <v>122965</v>
      </c>
    </row>
    <row r="4449">
      <c r="A4449" s="115" t="str">
        <f>IFERROR(__xludf.DUMMYFUNCTION("""COMPUTED_VALUE"""),"NORTH")</f>
        <v>NORTH</v>
      </c>
      <c r="B4449" s="115" t="str">
        <f>IFERROR(__xludf.DUMMYFUNCTION("""COMPUTED_VALUE"""),"Amit Kumar Pathak")</f>
        <v>Amit Kumar Pathak</v>
      </c>
      <c r="C4449" s="115" t="str">
        <f>IFERROR(__xludf.DUMMYFUNCTION("""COMPUTED_VALUE"""),"MYNTRA")</f>
        <v>MYNTRA</v>
      </c>
      <c r="D4449" s="115">
        <f>IFERROR(__xludf.DUMMYFUNCTION("""COMPUTED_VALUE"""),10213.0)</f>
        <v>10213</v>
      </c>
      <c r="E4449" s="115">
        <f>IFERROR(__xludf.DUMMYFUNCTION("""COMPUTED_VALUE"""),3905.0)</f>
        <v>3905</v>
      </c>
      <c r="F4449" s="115">
        <f>IFERROR(__xludf.DUMMYFUNCTION("""COMPUTED_VALUE"""),1242.0)</f>
        <v>1242</v>
      </c>
      <c r="G4449" s="115">
        <f>IFERROR(__xludf.DUMMYFUNCTION("""COMPUTED_VALUE"""),264.0)</f>
        <v>264</v>
      </c>
      <c r="H4449" s="116">
        <f>IFERROR(__xludf.DUMMYFUNCTION("""COMPUTED_VALUE"""),45909.0)</f>
        <v>45909</v>
      </c>
      <c r="I4449" s="115" t="str">
        <f>IFERROR(__xludf.DUMMYFUNCTION("""COMPUTED_VALUE"""),"10")</f>
        <v>10</v>
      </c>
      <c r="J4449" s="115" t="str">
        <f>IFERROR(__xludf.DUMMYFUNCTION("""COMPUTED_VALUE"""),"Amit Kumar Pathak2025-09-0910")</f>
        <v>Amit Kumar Pathak2025-09-0910</v>
      </c>
      <c r="K4449" s="115">
        <f>IFERROR(__xludf.DUMMYFUNCTION("""COMPUTED_VALUE"""),14118.0)</f>
        <v>14118</v>
      </c>
    </row>
    <row r="4450">
      <c r="A4450" s="115" t="str">
        <f>IFERROR(__xludf.DUMMYFUNCTION("""COMPUTED_VALUE"""),"NORTH")</f>
        <v>NORTH</v>
      </c>
      <c r="B4450" s="115" t="str">
        <f>IFERROR(__xludf.DUMMYFUNCTION("""COMPUTED_VALUE"""),"Loveleen Singh")</f>
        <v>Loveleen Singh</v>
      </c>
      <c r="C4450" s="115" t="str">
        <f>IFERROR(__xludf.DUMMYFUNCTION("""COMPUTED_VALUE"""),"EXTERNAL")</f>
        <v>EXTERNAL</v>
      </c>
      <c r="D4450" s="115">
        <f>IFERROR(__xludf.DUMMYFUNCTION("""COMPUTED_VALUE"""),15557.0)</f>
        <v>15557</v>
      </c>
      <c r="E4450" s="115">
        <f>IFERROR(__xludf.DUMMYFUNCTION("""COMPUTED_VALUE"""),980.0)</f>
        <v>980</v>
      </c>
      <c r="F4450" s="115">
        <f>IFERROR(__xludf.DUMMYFUNCTION("""COMPUTED_VALUE"""),496.0)</f>
        <v>496</v>
      </c>
      <c r="G4450" s="115">
        <f>IFERROR(__xludf.DUMMYFUNCTION("""COMPUTED_VALUE"""),21.0)</f>
        <v>21</v>
      </c>
      <c r="H4450" s="116">
        <f>IFERROR(__xludf.DUMMYFUNCTION("""COMPUTED_VALUE"""),45909.0)</f>
        <v>45909</v>
      </c>
      <c r="I4450" s="115" t="str">
        <f>IFERROR(__xludf.DUMMYFUNCTION("""COMPUTED_VALUE"""),"10")</f>
        <v>10</v>
      </c>
      <c r="J4450" s="115" t="str">
        <f>IFERROR(__xludf.DUMMYFUNCTION("""COMPUTED_VALUE"""),"Loveleen Singh2025-09-0910")</f>
        <v>Loveleen Singh2025-09-0910</v>
      </c>
      <c r="K4450" s="115">
        <f>IFERROR(__xludf.DUMMYFUNCTION("""COMPUTED_VALUE"""),16537.0)</f>
        <v>16537</v>
      </c>
    </row>
    <row r="4451">
      <c r="A4451" s="115" t="str">
        <f>IFERROR(__xludf.DUMMYFUNCTION("""COMPUTED_VALUE"""),"NORTH")</f>
        <v>NORTH</v>
      </c>
      <c r="B4451" s="115" t="str">
        <f>IFERROR(__xludf.DUMMYFUNCTION("""COMPUTED_VALUE"""),"Loveleen Singh")</f>
        <v>Loveleen Singh</v>
      </c>
      <c r="C4451" s="115" t="str">
        <f>IFERROR(__xludf.DUMMYFUNCTION("""COMPUTED_VALUE"""),"FLIPKART")</f>
        <v>FLIPKART</v>
      </c>
      <c r="D4451" s="115">
        <f>IFERROR(__xludf.DUMMYFUNCTION("""COMPUTED_VALUE"""),90377.0)</f>
        <v>90377</v>
      </c>
      <c r="E4451" s="115">
        <f>IFERROR(__xludf.DUMMYFUNCTION("""COMPUTED_VALUE"""),5972.0)</f>
        <v>5972</v>
      </c>
      <c r="F4451" s="115">
        <f>IFERROR(__xludf.DUMMYFUNCTION("""COMPUTED_VALUE"""),6247.0)</f>
        <v>6247</v>
      </c>
      <c r="G4451" s="115">
        <f>IFERROR(__xludf.DUMMYFUNCTION("""COMPUTED_VALUE"""),172.0)</f>
        <v>172</v>
      </c>
      <c r="H4451" s="116">
        <f>IFERROR(__xludf.DUMMYFUNCTION("""COMPUTED_VALUE"""),45909.0)</f>
        <v>45909</v>
      </c>
      <c r="I4451" s="115" t="str">
        <f>IFERROR(__xludf.DUMMYFUNCTION("""COMPUTED_VALUE"""),"10")</f>
        <v>10</v>
      </c>
      <c r="J4451" s="115" t="str">
        <f>IFERROR(__xludf.DUMMYFUNCTION("""COMPUTED_VALUE"""),"Loveleen Singh2025-09-0910")</f>
        <v>Loveleen Singh2025-09-0910</v>
      </c>
      <c r="K4451" s="115">
        <f>IFERROR(__xludf.DUMMYFUNCTION("""COMPUTED_VALUE"""),96349.0)</f>
        <v>96349</v>
      </c>
    </row>
    <row r="4452">
      <c r="A4452" s="115" t="str">
        <f>IFERROR(__xludf.DUMMYFUNCTION("""COMPUTED_VALUE"""),"NORTH")</f>
        <v>NORTH</v>
      </c>
      <c r="B4452" s="115" t="str">
        <f>IFERROR(__xludf.DUMMYFUNCTION("""COMPUTED_VALUE"""),"Loveleen Singh")</f>
        <v>Loveleen Singh</v>
      </c>
      <c r="C4452" s="115" t="str">
        <f>IFERROR(__xludf.DUMMYFUNCTION("""COMPUTED_VALUE"""),"MYNTRA")</f>
        <v>MYNTRA</v>
      </c>
      <c r="D4452" s="115">
        <f>IFERROR(__xludf.DUMMYFUNCTION("""COMPUTED_VALUE"""),17377.0)</f>
        <v>17377</v>
      </c>
      <c r="E4452" s="115">
        <f>IFERROR(__xludf.DUMMYFUNCTION("""COMPUTED_VALUE"""),2703.0)</f>
        <v>2703</v>
      </c>
      <c r="F4452" s="115">
        <f>IFERROR(__xludf.DUMMYFUNCTION("""COMPUTED_VALUE"""),1412.0)</f>
        <v>1412</v>
      </c>
      <c r="G4452" s="115">
        <f>IFERROR(__xludf.DUMMYFUNCTION("""COMPUTED_VALUE"""),86.0)</f>
        <v>86</v>
      </c>
      <c r="H4452" s="116">
        <f>IFERROR(__xludf.DUMMYFUNCTION("""COMPUTED_VALUE"""),45909.0)</f>
        <v>45909</v>
      </c>
      <c r="I4452" s="115" t="str">
        <f>IFERROR(__xludf.DUMMYFUNCTION("""COMPUTED_VALUE"""),"10")</f>
        <v>10</v>
      </c>
      <c r="J4452" s="115" t="str">
        <f>IFERROR(__xludf.DUMMYFUNCTION("""COMPUTED_VALUE"""),"Loveleen Singh2025-09-0910")</f>
        <v>Loveleen Singh2025-09-0910</v>
      </c>
      <c r="K4452" s="115">
        <f>IFERROR(__xludf.DUMMYFUNCTION("""COMPUTED_VALUE"""),20080.0)</f>
        <v>20080</v>
      </c>
    </row>
    <row r="4453">
      <c r="A4453" s="115" t="str">
        <f>IFERROR(__xludf.DUMMYFUNCTION("""COMPUTED_VALUE"""),"NORTH")</f>
        <v>NORTH</v>
      </c>
      <c r="B4453" s="115" t="str">
        <f>IFERROR(__xludf.DUMMYFUNCTION("""COMPUTED_VALUE"""),"Manoj Harsh")</f>
        <v>Manoj Harsh</v>
      </c>
      <c r="C4453" s="115" t="str">
        <f>IFERROR(__xludf.DUMMYFUNCTION("""COMPUTED_VALUE"""),"EXTERNAL")</f>
        <v>EXTERNAL</v>
      </c>
      <c r="D4453" s="115">
        <f>IFERROR(__xludf.DUMMYFUNCTION("""COMPUTED_VALUE"""),19831.0)</f>
        <v>19831</v>
      </c>
      <c r="E4453" s="115">
        <f>IFERROR(__xludf.DUMMYFUNCTION("""COMPUTED_VALUE"""),1605.0)</f>
        <v>1605</v>
      </c>
      <c r="F4453" s="115">
        <f>IFERROR(__xludf.DUMMYFUNCTION("""COMPUTED_VALUE"""),650.0)</f>
        <v>650</v>
      </c>
      <c r="G4453" s="115">
        <f>IFERROR(__xludf.DUMMYFUNCTION("""COMPUTED_VALUE"""),19.0)</f>
        <v>19</v>
      </c>
      <c r="H4453" s="116">
        <f>IFERROR(__xludf.DUMMYFUNCTION("""COMPUTED_VALUE"""),45909.0)</f>
        <v>45909</v>
      </c>
      <c r="I4453" s="115" t="str">
        <f>IFERROR(__xludf.DUMMYFUNCTION("""COMPUTED_VALUE"""),"10")</f>
        <v>10</v>
      </c>
      <c r="J4453" s="115" t="str">
        <f>IFERROR(__xludf.DUMMYFUNCTION("""COMPUTED_VALUE"""),"Manoj Harsh2025-09-0910")</f>
        <v>Manoj Harsh2025-09-0910</v>
      </c>
      <c r="K4453" s="115">
        <f>IFERROR(__xludf.DUMMYFUNCTION("""COMPUTED_VALUE"""),21436.0)</f>
        <v>21436</v>
      </c>
    </row>
    <row r="4454">
      <c r="A4454" s="115" t="str">
        <f>IFERROR(__xludf.DUMMYFUNCTION("""COMPUTED_VALUE"""),"NORTH")</f>
        <v>NORTH</v>
      </c>
      <c r="B4454" s="115" t="str">
        <f>IFERROR(__xludf.DUMMYFUNCTION("""COMPUTED_VALUE"""),"Manoj Harsh")</f>
        <v>Manoj Harsh</v>
      </c>
      <c r="C4454" s="115" t="str">
        <f>IFERROR(__xludf.DUMMYFUNCTION("""COMPUTED_VALUE"""),"FLIPKART")</f>
        <v>FLIPKART</v>
      </c>
      <c r="D4454" s="115">
        <f>IFERROR(__xludf.DUMMYFUNCTION("""COMPUTED_VALUE"""),236872.0)</f>
        <v>236872</v>
      </c>
      <c r="E4454" s="115">
        <f>IFERROR(__xludf.DUMMYFUNCTION("""COMPUTED_VALUE"""),20391.0)</f>
        <v>20391</v>
      </c>
      <c r="F4454" s="115">
        <f>IFERROR(__xludf.DUMMYFUNCTION("""COMPUTED_VALUE"""),13421.0)</f>
        <v>13421</v>
      </c>
      <c r="G4454" s="115">
        <f>IFERROR(__xludf.DUMMYFUNCTION("""COMPUTED_VALUE"""),415.0)</f>
        <v>415</v>
      </c>
      <c r="H4454" s="116">
        <f>IFERROR(__xludf.DUMMYFUNCTION("""COMPUTED_VALUE"""),45909.0)</f>
        <v>45909</v>
      </c>
      <c r="I4454" s="115" t="str">
        <f>IFERROR(__xludf.DUMMYFUNCTION("""COMPUTED_VALUE"""),"10")</f>
        <v>10</v>
      </c>
      <c r="J4454" s="115" t="str">
        <f>IFERROR(__xludf.DUMMYFUNCTION("""COMPUTED_VALUE"""),"Manoj Harsh2025-09-0910")</f>
        <v>Manoj Harsh2025-09-0910</v>
      </c>
      <c r="K4454" s="115">
        <f>IFERROR(__xludf.DUMMYFUNCTION("""COMPUTED_VALUE"""),257263.0)</f>
        <v>257263</v>
      </c>
    </row>
    <row r="4455">
      <c r="A4455" s="115" t="str">
        <f>IFERROR(__xludf.DUMMYFUNCTION("""COMPUTED_VALUE"""),"NORTH")</f>
        <v>NORTH</v>
      </c>
      <c r="B4455" s="115" t="str">
        <f>IFERROR(__xludf.DUMMYFUNCTION("""COMPUTED_VALUE"""),"Manoj Harsh")</f>
        <v>Manoj Harsh</v>
      </c>
      <c r="C4455" s="115" t="str">
        <f>IFERROR(__xludf.DUMMYFUNCTION("""COMPUTED_VALUE"""),"MYNTRA")</f>
        <v>MYNTRA</v>
      </c>
      <c r="D4455" s="115">
        <f>IFERROR(__xludf.DUMMYFUNCTION("""COMPUTED_VALUE"""),25938.0)</f>
        <v>25938</v>
      </c>
      <c r="E4455" s="115">
        <f>IFERROR(__xludf.DUMMYFUNCTION("""COMPUTED_VALUE"""),4165.0)</f>
        <v>4165</v>
      </c>
      <c r="F4455" s="115">
        <f>IFERROR(__xludf.DUMMYFUNCTION("""COMPUTED_VALUE"""),1808.0)</f>
        <v>1808</v>
      </c>
      <c r="G4455" s="115">
        <f>IFERROR(__xludf.DUMMYFUNCTION("""COMPUTED_VALUE"""),88.0)</f>
        <v>88</v>
      </c>
      <c r="H4455" s="116">
        <f>IFERROR(__xludf.DUMMYFUNCTION("""COMPUTED_VALUE"""),45909.0)</f>
        <v>45909</v>
      </c>
      <c r="I4455" s="115" t="str">
        <f>IFERROR(__xludf.DUMMYFUNCTION("""COMPUTED_VALUE"""),"10")</f>
        <v>10</v>
      </c>
      <c r="J4455" s="115" t="str">
        <f>IFERROR(__xludf.DUMMYFUNCTION("""COMPUTED_VALUE"""),"Manoj Harsh2025-09-0910")</f>
        <v>Manoj Harsh2025-09-0910</v>
      </c>
      <c r="K4455" s="115">
        <f>IFERROR(__xludf.DUMMYFUNCTION("""COMPUTED_VALUE"""),30103.0)</f>
        <v>30103</v>
      </c>
    </row>
    <row r="4456">
      <c r="A4456" s="115" t="str">
        <f>IFERROR(__xludf.DUMMYFUNCTION("""COMPUTED_VALUE"""),"NORTH")</f>
        <v>NORTH</v>
      </c>
      <c r="B4456" s="115" t="str">
        <f>IFERROR(__xludf.DUMMYFUNCTION("""COMPUTED_VALUE"""),"Pradeep Kothari")</f>
        <v>Pradeep Kothari</v>
      </c>
      <c r="C4456" s="115" t="str">
        <f>IFERROR(__xludf.DUMMYFUNCTION("""COMPUTED_VALUE"""),"EXTERNAL")</f>
        <v>EXTERNAL</v>
      </c>
      <c r="D4456" s="115">
        <f>IFERROR(__xludf.DUMMYFUNCTION("""COMPUTED_VALUE"""),12115.0)</f>
        <v>12115</v>
      </c>
      <c r="E4456" s="115">
        <f>IFERROR(__xludf.DUMMYFUNCTION("""COMPUTED_VALUE"""),1025.0)</f>
        <v>1025</v>
      </c>
      <c r="F4456" s="115">
        <f>IFERROR(__xludf.DUMMYFUNCTION("""COMPUTED_VALUE"""),427.0)</f>
        <v>427</v>
      </c>
      <c r="G4456" s="115">
        <f>IFERROR(__xludf.DUMMYFUNCTION("""COMPUTED_VALUE"""),16.0)</f>
        <v>16</v>
      </c>
      <c r="H4456" s="116">
        <f>IFERROR(__xludf.DUMMYFUNCTION("""COMPUTED_VALUE"""),45909.0)</f>
        <v>45909</v>
      </c>
      <c r="I4456" s="115" t="str">
        <f>IFERROR(__xludf.DUMMYFUNCTION("""COMPUTED_VALUE"""),"10")</f>
        <v>10</v>
      </c>
      <c r="J4456" s="115" t="str">
        <f>IFERROR(__xludf.DUMMYFUNCTION("""COMPUTED_VALUE"""),"Pradeep Kothari2025-09-0910")</f>
        <v>Pradeep Kothari2025-09-0910</v>
      </c>
      <c r="K4456" s="115">
        <f>IFERROR(__xludf.DUMMYFUNCTION("""COMPUTED_VALUE"""),13140.0)</f>
        <v>13140</v>
      </c>
    </row>
    <row r="4457">
      <c r="A4457" s="115" t="str">
        <f>IFERROR(__xludf.DUMMYFUNCTION("""COMPUTED_VALUE"""),"NORTH")</f>
        <v>NORTH</v>
      </c>
      <c r="B4457" s="115" t="str">
        <f>IFERROR(__xludf.DUMMYFUNCTION("""COMPUTED_VALUE"""),"Pradeep Kothari")</f>
        <v>Pradeep Kothari</v>
      </c>
      <c r="C4457" s="115" t="str">
        <f>IFERROR(__xludf.DUMMYFUNCTION("""COMPUTED_VALUE"""),"FLIPKART")</f>
        <v>FLIPKART</v>
      </c>
      <c r="D4457" s="115">
        <f>IFERROR(__xludf.DUMMYFUNCTION("""COMPUTED_VALUE"""),91603.0)</f>
        <v>91603</v>
      </c>
      <c r="E4457" s="115">
        <f>IFERROR(__xludf.DUMMYFUNCTION("""COMPUTED_VALUE"""),9063.0)</f>
        <v>9063</v>
      </c>
      <c r="F4457" s="115">
        <f>IFERROR(__xludf.DUMMYFUNCTION("""COMPUTED_VALUE"""),7408.0)</f>
        <v>7408</v>
      </c>
      <c r="G4457" s="115">
        <f>IFERROR(__xludf.DUMMYFUNCTION("""COMPUTED_VALUE"""),321.0)</f>
        <v>321</v>
      </c>
      <c r="H4457" s="116">
        <f>IFERROR(__xludf.DUMMYFUNCTION("""COMPUTED_VALUE"""),45909.0)</f>
        <v>45909</v>
      </c>
      <c r="I4457" s="115" t="str">
        <f>IFERROR(__xludf.DUMMYFUNCTION("""COMPUTED_VALUE"""),"10")</f>
        <v>10</v>
      </c>
      <c r="J4457" s="115" t="str">
        <f>IFERROR(__xludf.DUMMYFUNCTION("""COMPUTED_VALUE"""),"Pradeep Kothari2025-09-0910")</f>
        <v>Pradeep Kothari2025-09-0910</v>
      </c>
      <c r="K4457" s="115">
        <f>IFERROR(__xludf.DUMMYFUNCTION("""COMPUTED_VALUE"""),100666.0)</f>
        <v>100666</v>
      </c>
    </row>
    <row r="4458">
      <c r="A4458" s="115" t="str">
        <f>IFERROR(__xludf.DUMMYFUNCTION("""COMPUTED_VALUE"""),"NORTH")</f>
        <v>NORTH</v>
      </c>
      <c r="B4458" s="115" t="str">
        <f>IFERROR(__xludf.DUMMYFUNCTION("""COMPUTED_VALUE"""),"Pradeep Kothari")</f>
        <v>Pradeep Kothari</v>
      </c>
      <c r="C4458" s="115" t="str">
        <f>IFERROR(__xludf.DUMMYFUNCTION("""COMPUTED_VALUE"""),"MYNTRA")</f>
        <v>MYNTRA</v>
      </c>
      <c r="D4458" s="115">
        <f>IFERROR(__xludf.DUMMYFUNCTION("""COMPUTED_VALUE"""),17403.0)</f>
        <v>17403</v>
      </c>
      <c r="E4458" s="115">
        <f>IFERROR(__xludf.DUMMYFUNCTION("""COMPUTED_VALUE"""),3399.0)</f>
        <v>3399</v>
      </c>
      <c r="F4458" s="115">
        <f>IFERROR(__xludf.DUMMYFUNCTION("""COMPUTED_VALUE"""),1902.0)</f>
        <v>1902</v>
      </c>
      <c r="G4458" s="115">
        <f>IFERROR(__xludf.DUMMYFUNCTION("""COMPUTED_VALUE"""),167.0)</f>
        <v>167</v>
      </c>
      <c r="H4458" s="116">
        <f>IFERROR(__xludf.DUMMYFUNCTION("""COMPUTED_VALUE"""),45909.0)</f>
        <v>45909</v>
      </c>
      <c r="I4458" s="115" t="str">
        <f>IFERROR(__xludf.DUMMYFUNCTION("""COMPUTED_VALUE"""),"10")</f>
        <v>10</v>
      </c>
      <c r="J4458" s="115" t="str">
        <f>IFERROR(__xludf.DUMMYFUNCTION("""COMPUTED_VALUE"""),"Pradeep Kothari2025-09-0910")</f>
        <v>Pradeep Kothari2025-09-0910</v>
      </c>
      <c r="K4458" s="115">
        <f>IFERROR(__xludf.DUMMYFUNCTION("""COMPUTED_VALUE"""),20802.0)</f>
        <v>20802</v>
      </c>
    </row>
    <row r="4459">
      <c r="A4459" s="115" t="str">
        <f>IFERROR(__xludf.DUMMYFUNCTION("""COMPUTED_VALUE"""),"SOUTH")</f>
        <v>SOUTH</v>
      </c>
      <c r="B4459" s="115" t="str">
        <f>IFERROR(__xludf.DUMMYFUNCTION("""COMPUTED_VALUE"""),"Kandula Sampath")</f>
        <v>Kandula Sampath</v>
      </c>
      <c r="C4459" s="115" t="str">
        <f>IFERROR(__xludf.DUMMYFUNCTION("""COMPUTED_VALUE"""),"EXTERNAL")</f>
        <v>EXTERNAL</v>
      </c>
      <c r="D4459" s="115">
        <f>IFERROR(__xludf.DUMMYFUNCTION("""COMPUTED_VALUE"""),23290.0)</f>
        <v>23290</v>
      </c>
      <c r="E4459" s="115">
        <f>IFERROR(__xludf.DUMMYFUNCTION("""COMPUTED_VALUE"""),2626.0)</f>
        <v>2626</v>
      </c>
      <c r="F4459" s="115">
        <f>IFERROR(__xludf.DUMMYFUNCTION("""COMPUTED_VALUE"""),1549.0)</f>
        <v>1549</v>
      </c>
      <c r="G4459" s="115">
        <f>IFERROR(__xludf.DUMMYFUNCTION("""COMPUTED_VALUE"""),58.0)</f>
        <v>58</v>
      </c>
      <c r="H4459" s="116">
        <f>IFERROR(__xludf.DUMMYFUNCTION("""COMPUTED_VALUE"""),45909.0)</f>
        <v>45909</v>
      </c>
      <c r="I4459" s="115" t="str">
        <f>IFERROR(__xludf.DUMMYFUNCTION("""COMPUTED_VALUE"""),"10")</f>
        <v>10</v>
      </c>
      <c r="J4459" s="115" t="str">
        <f>IFERROR(__xludf.DUMMYFUNCTION("""COMPUTED_VALUE"""),"Kandula Sampath2025-09-0910")</f>
        <v>Kandula Sampath2025-09-0910</v>
      </c>
      <c r="K4459" s="115">
        <f>IFERROR(__xludf.DUMMYFUNCTION("""COMPUTED_VALUE"""),25916.0)</f>
        <v>25916</v>
      </c>
    </row>
    <row r="4460">
      <c r="A4460" s="115" t="str">
        <f>IFERROR(__xludf.DUMMYFUNCTION("""COMPUTED_VALUE"""),"SOUTH")</f>
        <v>SOUTH</v>
      </c>
      <c r="B4460" s="115" t="str">
        <f>IFERROR(__xludf.DUMMYFUNCTION("""COMPUTED_VALUE"""),"Kandula Sampath")</f>
        <v>Kandula Sampath</v>
      </c>
      <c r="C4460" s="115" t="str">
        <f>IFERROR(__xludf.DUMMYFUNCTION("""COMPUTED_VALUE"""),"FLIPKART")</f>
        <v>FLIPKART</v>
      </c>
      <c r="D4460" s="115">
        <f>IFERROR(__xludf.DUMMYFUNCTION("""COMPUTED_VALUE"""),235995.0)</f>
        <v>235995</v>
      </c>
      <c r="E4460" s="115">
        <f>IFERROR(__xludf.DUMMYFUNCTION("""COMPUTED_VALUE"""),21512.0)</f>
        <v>21512</v>
      </c>
      <c r="F4460" s="115">
        <f>IFERROR(__xludf.DUMMYFUNCTION("""COMPUTED_VALUE"""),30793.0)</f>
        <v>30793</v>
      </c>
      <c r="G4460" s="115">
        <f>IFERROR(__xludf.DUMMYFUNCTION("""COMPUTED_VALUE"""),474.0)</f>
        <v>474</v>
      </c>
      <c r="H4460" s="116">
        <f>IFERROR(__xludf.DUMMYFUNCTION("""COMPUTED_VALUE"""),45909.0)</f>
        <v>45909</v>
      </c>
      <c r="I4460" s="115" t="str">
        <f>IFERROR(__xludf.DUMMYFUNCTION("""COMPUTED_VALUE"""),"10")</f>
        <v>10</v>
      </c>
      <c r="J4460" s="115" t="str">
        <f>IFERROR(__xludf.DUMMYFUNCTION("""COMPUTED_VALUE"""),"Kandula Sampath2025-09-0910")</f>
        <v>Kandula Sampath2025-09-0910</v>
      </c>
      <c r="K4460" s="115">
        <f>IFERROR(__xludf.DUMMYFUNCTION("""COMPUTED_VALUE"""),257507.0)</f>
        <v>257507</v>
      </c>
    </row>
    <row r="4461">
      <c r="A4461" s="115" t="str">
        <f>IFERROR(__xludf.DUMMYFUNCTION("""COMPUTED_VALUE"""),"SOUTH")</f>
        <v>SOUTH</v>
      </c>
      <c r="B4461" s="115" t="str">
        <f>IFERROR(__xludf.DUMMYFUNCTION("""COMPUTED_VALUE"""),"Kandula Sampath")</f>
        <v>Kandula Sampath</v>
      </c>
      <c r="C4461" s="115" t="str">
        <f>IFERROR(__xludf.DUMMYFUNCTION("""COMPUTED_VALUE"""),"MYNTRA")</f>
        <v>MYNTRA</v>
      </c>
      <c r="D4461" s="115">
        <f>IFERROR(__xludf.DUMMYFUNCTION("""COMPUTED_VALUE"""),29050.0)</f>
        <v>29050</v>
      </c>
      <c r="E4461" s="115">
        <f>IFERROR(__xludf.DUMMYFUNCTION("""COMPUTED_VALUE"""),6049.0)</f>
        <v>6049</v>
      </c>
      <c r="F4461" s="115">
        <f>IFERROR(__xludf.DUMMYFUNCTION("""COMPUTED_VALUE"""),4725.0)</f>
        <v>4725</v>
      </c>
      <c r="G4461" s="115">
        <f>IFERROR(__xludf.DUMMYFUNCTION("""COMPUTED_VALUE"""),138.0)</f>
        <v>138</v>
      </c>
      <c r="H4461" s="116">
        <f>IFERROR(__xludf.DUMMYFUNCTION("""COMPUTED_VALUE"""),45909.0)</f>
        <v>45909</v>
      </c>
      <c r="I4461" s="115" t="str">
        <f>IFERROR(__xludf.DUMMYFUNCTION("""COMPUTED_VALUE"""),"10")</f>
        <v>10</v>
      </c>
      <c r="J4461" s="115" t="str">
        <f>IFERROR(__xludf.DUMMYFUNCTION("""COMPUTED_VALUE"""),"Kandula Sampath2025-09-0910")</f>
        <v>Kandula Sampath2025-09-0910</v>
      </c>
      <c r="K4461" s="115">
        <f>IFERROR(__xludf.DUMMYFUNCTION("""COMPUTED_VALUE"""),35099.0)</f>
        <v>35099</v>
      </c>
    </row>
    <row r="4462">
      <c r="A4462" s="115" t="str">
        <f>IFERROR(__xludf.DUMMYFUNCTION("""COMPUTED_VALUE"""),"SOUTH")</f>
        <v>SOUTH</v>
      </c>
      <c r="B4462" s="115" t="str">
        <f>IFERROR(__xludf.DUMMYFUNCTION("""COMPUTED_VALUE"""),"Martin A")</f>
        <v>Martin A</v>
      </c>
      <c r="C4462" s="115" t="str">
        <f>IFERROR(__xludf.DUMMYFUNCTION("""COMPUTED_VALUE"""),"EXTERNAL")</f>
        <v>EXTERNAL</v>
      </c>
      <c r="D4462" s="115">
        <f>IFERROR(__xludf.DUMMYFUNCTION("""COMPUTED_VALUE"""),19880.0)</f>
        <v>19880</v>
      </c>
      <c r="E4462" s="115">
        <f>IFERROR(__xludf.DUMMYFUNCTION("""COMPUTED_VALUE"""),2745.0)</f>
        <v>2745</v>
      </c>
      <c r="F4462" s="115">
        <f>IFERROR(__xludf.DUMMYFUNCTION("""COMPUTED_VALUE"""),1225.0)</f>
        <v>1225</v>
      </c>
      <c r="G4462" s="115">
        <f>IFERROR(__xludf.DUMMYFUNCTION("""COMPUTED_VALUE"""),90.0)</f>
        <v>90</v>
      </c>
      <c r="H4462" s="116">
        <f>IFERROR(__xludf.DUMMYFUNCTION("""COMPUTED_VALUE"""),45909.0)</f>
        <v>45909</v>
      </c>
      <c r="I4462" s="115" t="str">
        <f>IFERROR(__xludf.DUMMYFUNCTION("""COMPUTED_VALUE"""),"10")</f>
        <v>10</v>
      </c>
      <c r="J4462" s="115" t="str">
        <f>IFERROR(__xludf.DUMMYFUNCTION("""COMPUTED_VALUE"""),"Martin A2025-09-0910")</f>
        <v>Martin A2025-09-0910</v>
      </c>
      <c r="K4462" s="115">
        <f>IFERROR(__xludf.DUMMYFUNCTION("""COMPUTED_VALUE"""),22625.0)</f>
        <v>22625</v>
      </c>
    </row>
    <row r="4463">
      <c r="A4463" s="115" t="str">
        <f>IFERROR(__xludf.DUMMYFUNCTION("""COMPUTED_VALUE"""),"SOUTH")</f>
        <v>SOUTH</v>
      </c>
      <c r="B4463" s="115" t="str">
        <f>IFERROR(__xludf.DUMMYFUNCTION("""COMPUTED_VALUE"""),"Martin A")</f>
        <v>Martin A</v>
      </c>
      <c r="C4463" s="115" t="str">
        <f>IFERROR(__xludf.DUMMYFUNCTION("""COMPUTED_VALUE"""),"FLIPKART")</f>
        <v>FLIPKART</v>
      </c>
      <c r="D4463" s="115">
        <f>IFERROR(__xludf.DUMMYFUNCTION("""COMPUTED_VALUE"""),180352.0)</f>
        <v>180352</v>
      </c>
      <c r="E4463" s="115">
        <f>IFERROR(__xludf.DUMMYFUNCTION("""COMPUTED_VALUE"""),18332.0)</f>
        <v>18332</v>
      </c>
      <c r="F4463" s="115">
        <f>IFERROR(__xludf.DUMMYFUNCTION("""COMPUTED_VALUE"""),19458.0)</f>
        <v>19458</v>
      </c>
      <c r="G4463" s="115">
        <f>IFERROR(__xludf.DUMMYFUNCTION("""COMPUTED_VALUE"""),590.0)</f>
        <v>590</v>
      </c>
      <c r="H4463" s="116">
        <f>IFERROR(__xludf.DUMMYFUNCTION("""COMPUTED_VALUE"""),45909.0)</f>
        <v>45909</v>
      </c>
      <c r="I4463" s="115" t="str">
        <f>IFERROR(__xludf.DUMMYFUNCTION("""COMPUTED_VALUE"""),"10")</f>
        <v>10</v>
      </c>
      <c r="J4463" s="115" t="str">
        <f>IFERROR(__xludf.DUMMYFUNCTION("""COMPUTED_VALUE"""),"Martin A2025-09-0910")</f>
        <v>Martin A2025-09-0910</v>
      </c>
      <c r="K4463" s="115">
        <f>IFERROR(__xludf.DUMMYFUNCTION("""COMPUTED_VALUE"""),198684.0)</f>
        <v>198684</v>
      </c>
    </row>
    <row r="4464">
      <c r="A4464" s="115" t="str">
        <f>IFERROR(__xludf.DUMMYFUNCTION("""COMPUTED_VALUE"""),"SOUTH")</f>
        <v>SOUTH</v>
      </c>
      <c r="B4464" s="115" t="str">
        <f>IFERROR(__xludf.DUMMYFUNCTION("""COMPUTED_VALUE"""),"Martin A")</f>
        <v>Martin A</v>
      </c>
      <c r="C4464" s="115" t="str">
        <f>IFERROR(__xludf.DUMMYFUNCTION("""COMPUTED_VALUE"""),"MYNTRA")</f>
        <v>MYNTRA</v>
      </c>
      <c r="D4464" s="115">
        <f>IFERROR(__xludf.DUMMYFUNCTION("""COMPUTED_VALUE"""),17336.0)</f>
        <v>17336</v>
      </c>
      <c r="E4464" s="115">
        <f>IFERROR(__xludf.DUMMYFUNCTION("""COMPUTED_VALUE"""),4911.0)</f>
        <v>4911</v>
      </c>
      <c r="F4464" s="115">
        <f>IFERROR(__xludf.DUMMYFUNCTION("""COMPUTED_VALUE"""),2271.0)</f>
        <v>2271</v>
      </c>
      <c r="G4464" s="115">
        <f>IFERROR(__xludf.DUMMYFUNCTION("""COMPUTED_VALUE"""),195.0)</f>
        <v>195</v>
      </c>
      <c r="H4464" s="116">
        <f>IFERROR(__xludf.DUMMYFUNCTION("""COMPUTED_VALUE"""),45909.0)</f>
        <v>45909</v>
      </c>
      <c r="I4464" s="115" t="str">
        <f>IFERROR(__xludf.DUMMYFUNCTION("""COMPUTED_VALUE"""),"10")</f>
        <v>10</v>
      </c>
      <c r="J4464" s="115" t="str">
        <f>IFERROR(__xludf.DUMMYFUNCTION("""COMPUTED_VALUE"""),"Martin A2025-09-0910")</f>
        <v>Martin A2025-09-0910</v>
      </c>
      <c r="K4464" s="115">
        <f>IFERROR(__xludf.DUMMYFUNCTION("""COMPUTED_VALUE"""),22247.0)</f>
        <v>22247</v>
      </c>
    </row>
    <row r="4465">
      <c r="A4465" s="115" t="str">
        <f>IFERROR(__xludf.DUMMYFUNCTION("""COMPUTED_VALUE"""),"SOUTH")</f>
        <v>SOUTH</v>
      </c>
      <c r="B4465" s="115" t="str">
        <f>IFERROR(__xludf.DUMMYFUNCTION("""COMPUTED_VALUE"""),"Premkumar M")</f>
        <v>Premkumar M</v>
      </c>
      <c r="C4465" s="115" t="str">
        <f>IFERROR(__xludf.DUMMYFUNCTION("""COMPUTED_VALUE"""),"EXTERNAL")</f>
        <v>EXTERNAL</v>
      </c>
      <c r="D4465" s="115">
        <f>IFERROR(__xludf.DUMMYFUNCTION("""COMPUTED_VALUE"""),10941.0)</f>
        <v>10941</v>
      </c>
      <c r="E4465" s="115">
        <f>IFERROR(__xludf.DUMMYFUNCTION("""COMPUTED_VALUE"""),702.0)</f>
        <v>702</v>
      </c>
      <c r="F4465" s="115">
        <f>IFERROR(__xludf.DUMMYFUNCTION("""COMPUTED_VALUE"""),451.0)</f>
        <v>451</v>
      </c>
      <c r="G4465" s="115">
        <f>IFERROR(__xludf.DUMMYFUNCTION("""COMPUTED_VALUE"""),7.0)</f>
        <v>7</v>
      </c>
      <c r="H4465" s="116">
        <f>IFERROR(__xludf.DUMMYFUNCTION("""COMPUTED_VALUE"""),45909.0)</f>
        <v>45909</v>
      </c>
      <c r="I4465" s="115" t="str">
        <f>IFERROR(__xludf.DUMMYFUNCTION("""COMPUTED_VALUE"""),"10")</f>
        <v>10</v>
      </c>
      <c r="J4465" s="115" t="str">
        <f>IFERROR(__xludf.DUMMYFUNCTION("""COMPUTED_VALUE"""),"Premkumar M2025-09-0910")</f>
        <v>Premkumar M2025-09-0910</v>
      </c>
      <c r="K4465" s="115">
        <f>IFERROR(__xludf.DUMMYFUNCTION("""COMPUTED_VALUE"""),11643.0)</f>
        <v>11643</v>
      </c>
    </row>
    <row r="4466">
      <c r="A4466" s="115" t="str">
        <f>IFERROR(__xludf.DUMMYFUNCTION("""COMPUTED_VALUE"""),"SOUTH")</f>
        <v>SOUTH</v>
      </c>
      <c r="B4466" s="115" t="str">
        <f>IFERROR(__xludf.DUMMYFUNCTION("""COMPUTED_VALUE"""),"Premkumar M")</f>
        <v>Premkumar M</v>
      </c>
      <c r="C4466" s="115" t="str">
        <f>IFERROR(__xludf.DUMMYFUNCTION("""COMPUTED_VALUE"""),"FLIPKART")</f>
        <v>FLIPKART</v>
      </c>
      <c r="D4466" s="115">
        <f>IFERROR(__xludf.DUMMYFUNCTION("""COMPUTED_VALUE"""),113997.0)</f>
        <v>113997</v>
      </c>
      <c r="E4466" s="115">
        <f>IFERROR(__xludf.DUMMYFUNCTION("""COMPUTED_VALUE"""),7468.0)</f>
        <v>7468</v>
      </c>
      <c r="F4466" s="115">
        <f>IFERROR(__xludf.DUMMYFUNCTION("""COMPUTED_VALUE"""),7734.0)</f>
        <v>7734</v>
      </c>
      <c r="G4466" s="115">
        <f>IFERROR(__xludf.DUMMYFUNCTION("""COMPUTED_VALUE"""),122.0)</f>
        <v>122</v>
      </c>
      <c r="H4466" s="116">
        <f>IFERROR(__xludf.DUMMYFUNCTION("""COMPUTED_VALUE"""),45909.0)</f>
        <v>45909</v>
      </c>
      <c r="I4466" s="115" t="str">
        <f>IFERROR(__xludf.DUMMYFUNCTION("""COMPUTED_VALUE"""),"10")</f>
        <v>10</v>
      </c>
      <c r="J4466" s="115" t="str">
        <f>IFERROR(__xludf.DUMMYFUNCTION("""COMPUTED_VALUE"""),"Premkumar M2025-09-0910")</f>
        <v>Premkumar M2025-09-0910</v>
      </c>
      <c r="K4466" s="115">
        <f>IFERROR(__xludf.DUMMYFUNCTION("""COMPUTED_VALUE"""),121465.0)</f>
        <v>121465</v>
      </c>
    </row>
    <row r="4467">
      <c r="A4467" s="115" t="str">
        <f>IFERROR(__xludf.DUMMYFUNCTION("""COMPUTED_VALUE"""),"SOUTH")</f>
        <v>SOUTH</v>
      </c>
      <c r="B4467" s="115" t="str">
        <f>IFERROR(__xludf.DUMMYFUNCTION("""COMPUTED_VALUE"""),"Premkumar M")</f>
        <v>Premkumar M</v>
      </c>
      <c r="C4467" s="115" t="str">
        <f>IFERROR(__xludf.DUMMYFUNCTION("""COMPUTED_VALUE"""),"MYNTRA")</f>
        <v>MYNTRA</v>
      </c>
      <c r="D4467" s="115">
        <f>IFERROR(__xludf.DUMMYFUNCTION("""COMPUTED_VALUE"""),6728.0)</f>
        <v>6728</v>
      </c>
      <c r="E4467" s="115">
        <f>IFERROR(__xludf.DUMMYFUNCTION("""COMPUTED_VALUE"""),1277.0)</f>
        <v>1277</v>
      </c>
      <c r="F4467" s="115">
        <f>IFERROR(__xludf.DUMMYFUNCTION("""COMPUTED_VALUE"""),518.0)</f>
        <v>518</v>
      </c>
      <c r="G4467" s="115">
        <f>IFERROR(__xludf.DUMMYFUNCTION("""COMPUTED_VALUE"""),16.0)</f>
        <v>16</v>
      </c>
      <c r="H4467" s="116">
        <f>IFERROR(__xludf.DUMMYFUNCTION("""COMPUTED_VALUE"""),45909.0)</f>
        <v>45909</v>
      </c>
      <c r="I4467" s="115" t="str">
        <f>IFERROR(__xludf.DUMMYFUNCTION("""COMPUTED_VALUE"""),"10")</f>
        <v>10</v>
      </c>
      <c r="J4467" s="115" t="str">
        <f>IFERROR(__xludf.DUMMYFUNCTION("""COMPUTED_VALUE"""),"Premkumar M2025-09-0910")</f>
        <v>Premkumar M2025-09-0910</v>
      </c>
      <c r="K4467" s="115">
        <f>IFERROR(__xludf.DUMMYFUNCTION("""COMPUTED_VALUE"""),8005.0)</f>
        <v>8005</v>
      </c>
    </row>
    <row r="4468">
      <c r="A4468" s="115" t="str">
        <f>IFERROR(__xludf.DUMMYFUNCTION("""COMPUTED_VALUE"""),"SOUTH")</f>
        <v>SOUTH</v>
      </c>
      <c r="B4468" s="115" t="str">
        <f>IFERROR(__xludf.DUMMYFUNCTION("""COMPUTED_VALUE"""),"Vineeth V")</f>
        <v>Vineeth V</v>
      </c>
      <c r="C4468" s="115" t="str">
        <f>IFERROR(__xludf.DUMMYFUNCTION("""COMPUTED_VALUE"""),"EXTERNAL")</f>
        <v>EXTERNAL</v>
      </c>
      <c r="D4468" s="115">
        <f>IFERROR(__xludf.DUMMYFUNCTION("""COMPUTED_VALUE"""),6704.0)</f>
        <v>6704</v>
      </c>
      <c r="E4468" s="115">
        <f>IFERROR(__xludf.DUMMYFUNCTION("""COMPUTED_VALUE"""),174.0)</f>
        <v>174</v>
      </c>
      <c r="F4468" s="115">
        <f>IFERROR(__xludf.DUMMYFUNCTION("""COMPUTED_VALUE"""),160.0)</f>
        <v>160</v>
      </c>
      <c r="G4468" s="115">
        <f>IFERROR(__xludf.DUMMYFUNCTION("""COMPUTED_VALUE"""),0.0)</f>
        <v>0</v>
      </c>
      <c r="H4468" s="116">
        <f>IFERROR(__xludf.DUMMYFUNCTION("""COMPUTED_VALUE"""),45909.0)</f>
        <v>45909</v>
      </c>
      <c r="I4468" s="115" t="str">
        <f>IFERROR(__xludf.DUMMYFUNCTION("""COMPUTED_VALUE"""),"10")</f>
        <v>10</v>
      </c>
      <c r="J4468" s="115" t="str">
        <f>IFERROR(__xludf.DUMMYFUNCTION("""COMPUTED_VALUE"""),"Vineeth V2025-09-0910")</f>
        <v>Vineeth V2025-09-0910</v>
      </c>
      <c r="K4468" s="115">
        <f>IFERROR(__xludf.DUMMYFUNCTION("""COMPUTED_VALUE"""),6878.0)</f>
        <v>6878</v>
      </c>
    </row>
    <row r="4469">
      <c r="A4469" s="115" t="str">
        <f>IFERROR(__xludf.DUMMYFUNCTION("""COMPUTED_VALUE"""),"SOUTH")</f>
        <v>SOUTH</v>
      </c>
      <c r="B4469" s="115" t="str">
        <f>IFERROR(__xludf.DUMMYFUNCTION("""COMPUTED_VALUE"""),"Vineeth V")</f>
        <v>Vineeth V</v>
      </c>
      <c r="C4469" s="115" t="str">
        <f>IFERROR(__xludf.DUMMYFUNCTION("""COMPUTED_VALUE"""),"FLIPKART")</f>
        <v>FLIPKART</v>
      </c>
      <c r="D4469" s="115">
        <f>IFERROR(__xludf.DUMMYFUNCTION("""COMPUTED_VALUE"""),72403.0)</f>
        <v>72403</v>
      </c>
      <c r="E4469" s="115">
        <f>IFERROR(__xludf.DUMMYFUNCTION("""COMPUTED_VALUE"""),4469.0)</f>
        <v>4469</v>
      </c>
      <c r="F4469" s="115">
        <f>IFERROR(__xludf.DUMMYFUNCTION("""COMPUTED_VALUE"""),3129.0)</f>
        <v>3129</v>
      </c>
      <c r="G4469" s="115">
        <f>IFERROR(__xludf.DUMMYFUNCTION("""COMPUTED_VALUE"""),26.0)</f>
        <v>26</v>
      </c>
      <c r="H4469" s="116">
        <f>IFERROR(__xludf.DUMMYFUNCTION("""COMPUTED_VALUE"""),45909.0)</f>
        <v>45909</v>
      </c>
      <c r="I4469" s="115" t="str">
        <f>IFERROR(__xludf.DUMMYFUNCTION("""COMPUTED_VALUE"""),"10")</f>
        <v>10</v>
      </c>
      <c r="J4469" s="115" t="str">
        <f>IFERROR(__xludf.DUMMYFUNCTION("""COMPUTED_VALUE"""),"Vineeth V2025-09-0910")</f>
        <v>Vineeth V2025-09-0910</v>
      </c>
      <c r="K4469" s="115">
        <f>IFERROR(__xludf.DUMMYFUNCTION("""COMPUTED_VALUE"""),76872.0)</f>
        <v>76872</v>
      </c>
    </row>
    <row r="4470">
      <c r="A4470" s="115" t="str">
        <f>IFERROR(__xludf.DUMMYFUNCTION("""COMPUTED_VALUE"""),"SOUTH")</f>
        <v>SOUTH</v>
      </c>
      <c r="B4470" s="115" t="str">
        <f>IFERROR(__xludf.DUMMYFUNCTION("""COMPUTED_VALUE"""),"Vineeth V")</f>
        <v>Vineeth V</v>
      </c>
      <c r="C4470" s="115" t="str">
        <f>IFERROR(__xludf.DUMMYFUNCTION("""COMPUTED_VALUE"""),"MYNTRA")</f>
        <v>MYNTRA</v>
      </c>
      <c r="D4470" s="115">
        <f>IFERROR(__xludf.DUMMYFUNCTION("""COMPUTED_VALUE"""),6366.0)</f>
        <v>6366</v>
      </c>
      <c r="E4470" s="115">
        <f>IFERROR(__xludf.DUMMYFUNCTION("""COMPUTED_VALUE"""),1160.0)</f>
        <v>1160</v>
      </c>
      <c r="F4470" s="115">
        <f>IFERROR(__xludf.DUMMYFUNCTION("""COMPUTED_VALUE"""),314.0)</f>
        <v>314</v>
      </c>
      <c r="G4470" s="115">
        <f>IFERROR(__xludf.DUMMYFUNCTION("""COMPUTED_VALUE"""),7.0)</f>
        <v>7</v>
      </c>
      <c r="H4470" s="116">
        <f>IFERROR(__xludf.DUMMYFUNCTION("""COMPUTED_VALUE"""),45909.0)</f>
        <v>45909</v>
      </c>
      <c r="I4470" s="115" t="str">
        <f>IFERROR(__xludf.DUMMYFUNCTION("""COMPUTED_VALUE"""),"10")</f>
        <v>10</v>
      </c>
      <c r="J4470" s="115" t="str">
        <f>IFERROR(__xludf.DUMMYFUNCTION("""COMPUTED_VALUE"""),"Vineeth V2025-09-0910")</f>
        <v>Vineeth V2025-09-0910</v>
      </c>
      <c r="K4470" s="115">
        <f>IFERROR(__xludf.DUMMYFUNCTION("""COMPUTED_VALUE"""),7526.0)</f>
        <v>7526</v>
      </c>
    </row>
    <row r="4471">
      <c r="A4471" s="115" t="str">
        <f>IFERROR(__xludf.DUMMYFUNCTION("""COMPUTED_VALUE"""),"WEST")</f>
        <v>WEST</v>
      </c>
      <c r="B4471" s="115" t="str">
        <f>IFERROR(__xludf.DUMMYFUNCTION("""COMPUTED_VALUE"""),"Ashish Jakar")</f>
        <v>Ashish Jakar</v>
      </c>
      <c r="C4471" s="115" t="str">
        <f>IFERROR(__xludf.DUMMYFUNCTION("""COMPUTED_VALUE"""),"EXTERNAL")</f>
        <v>EXTERNAL</v>
      </c>
      <c r="D4471" s="115">
        <f>IFERROR(__xludf.DUMMYFUNCTION("""COMPUTED_VALUE"""),27805.0)</f>
        <v>27805</v>
      </c>
      <c r="E4471" s="115">
        <f>IFERROR(__xludf.DUMMYFUNCTION("""COMPUTED_VALUE"""),4632.0)</f>
        <v>4632</v>
      </c>
      <c r="F4471" s="115">
        <f>IFERROR(__xludf.DUMMYFUNCTION("""COMPUTED_VALUE"""),973.0)</f>
        <v>973</v>
      </c>
      <c r="G4471" s="115">
        <f>IFERROR(__xludf.DUMMYFUNCTION("""COMPUTED_VALUE"""),107.0)</f>
        <v>107</v>
      </c>
      <c r="H4471" s="116">
        <f>IFERROR(__xludf.DUMMYFUNCTION("""COMPUTED_VALUE"""),45909.0)</f>
        <v>45909</v>
      </c>
      <c r="I4471" s="115" t="str">
        <f>IFERROR(__xludf.DUMMYFUNCTION("""COMPUTED_VALUE"""),"10")</f>
        <v>10</v>
      </c>
      <c r="J4471" s="115" t="str">
        <f>IFERROR(__xludf.DUMMYFUNCTION("""COMPUTED_VALUE"""),"Ashish Jakar2025-09-0910")</f>
        <v>Ashish Jakar2025-09-0910</v>
      </c>
      <c r="K4471" s="115">
        <f>IFERROR(__xludf.DUMMYFUNCTION("""COMPUTED_VALUE"""),32437.0)</f>
        <v>32437</v>
      </c>
    </row>
    <row r="4472">
      <c r="A4472" s="115" t="str">
        <f>IFERROR(__xludf.DUMMYFUNCTION("""COMPUTED_VALUE"""),"WEST")</f>
        <v>WEST</v>
      </c>
      <c r="B4472" s="115" t="str">
        <f>IFERROR(__xludf.DUMMYFUNCTION("""COMPUTED_VALUE"""),"Ashish Jakar")</f>
        <v>Ashish Jakar</v>
      </c>
      <c r="C4472" s="115" t="str">
        <f>IFERROR(__xludf.DUMMYFUNCTION("""COMPUTED_VALUE"""),"FLIPKART")</f>
        <v>FLIPKART</v>
      </c>
      <c r="D4472" s="115">
        <f>IFERROR(__xludf.DUMMYFUNCTION("""COMPUTED_VALUE"""),190064.0)</f>
        <v>190064</v>
      </c>
      <c r="E4472" s="115">
        <f>IFERROR(__xludf.DUMMYFUNCTION("""COMPUTED_VALUE"""),20097.0)</f>
        <v>20097</v>
      </c>
      <c r="F4472" s="115">
        <f>IFERROR(__xludf.DUMMYFUNCTION("""COMPUTED_VALUE"""),13955.0)</f>
        <v>13955</v>
      </c>
      <c r="G4472" s="115">
        <f>IFERROR(__xludf.DUMMYFUNCTION("""COMPUTED_VALUE"""),527.0)</f>
        <v>527</v>
      </c>
      <c r="H4472" s="116">
        <f>IFERROR(__xludf.DUMMYFUNCTION("""COMPUTED_VALUE"""),45909.0)</f>
        <v>45909</v>
      </c>
      <c r="I4472" s="115" t="str">
        <f>IFERROR(__xludf.DUMMYFUNCTION("""COMPUTED_VALUE"""),"10")</f>
        <v>10</v>
      </c>
      <c r="J4472" s="115" t="str">
        <f>IFERROR(__xludf.DUMMYFUNCTION("""COMPUTED_VALUE"""),"Ashish Jakar2025-09-0910")</f>
        <v>Ashish Jakar2025-09-0910</v>
      </c>
      <c r="K4472" s="115">
        <f>IFERROR(__xludf.DUMMYFUNCTION("""COMPUTED_VALUE"""),210161.0)</f>
        <v>210161</v>
      </c>
    </row>
    <row r="4473">
      <c r="A4473" s="115" t="str">
        <f>IFERROR(__xludf.DUMMYFUNCTION("""COMPUTED_VALUE"""),"WEST")</f>
        <v>WEST</v>
      </c>
      <c r="B4473" s="115" t="str">
        <f>IFERROR(__xludf.DUMMYFUNCTION("""COMPUTED_VALUE"""),"Ashish Jakar")</f>
        <v>Ashish Jakar</v>
      </c>
      <c r="C4473" s="115" t="str">
        <f>IFERROR(__xludf.DUMMYFUNCTION("""COMPUTED_VALUE"""),"MYNTRA")</f>
        <v>MYNTRA</v>
      </c>
      <c r="D4473" s="115">
        <f>IFERROR(__xludf.DUMMYFUNCTION("""COMPUTED_VALUE"""),23449.0)</f>
        <v>23449</v>
      </c>
      <c r="E4473" s="115">
        <f>IFERROR(__xludf.DUMMYFUNCTION("""COMPUTED_VALUE"""),6940.0)</f>
        <v>6940</v>
      </c>
      <c r="F4473" s="115">
        <f>IFERROR(__xludf.DUMMYFUNCTION("""COMPUTED_VALUE"""),2151.0)</f>
        <v>2151</v>
      </c>
      <c r="G4473" s="115">
        <f>IFERROR(__xludf.DUMMYFUNCTION("""COMPUTED_VALUE"""),140.0)</f>
        <v>140</v>
      </c>
      <c r="H4473" s="116">
        <f>IFERROR(__xludf.DUMMYFUNCTION("""COMPUTED_VALUE"""),45909.0)</f>
        <v>45909</v>
      </c>
      <c r="I4473" s="115" t="str">
        <f>IFERROR(__xludf.DUMMYFUNCTION("""COMPUTED_VALUE"""),"10")</f>
        <v>10</v>
      </c>
      <c r="J4473" s="115" t="str">
        <f>IFERROR(__xludf.DUMMYFUNCTION("""COMPUTED_VALUE"""),"Ashish Jakar2025-09-0910")</f>
        <v>Ashish Jakar2025-09-0910</v>
      </c>
      <c r="K4473" s="115">
        <f>IFERROR(__xludf.DUMMYFUNCTION("""COMPUTED_VALUE"""),30389.0)</f>
        <v>30389</v>
      </c>
    </row>
    <row r="4474">
      <c r="A4474" s="115" t="str">
        <f>IFERROR(__xludf.DUMMYFUNCTION("""COMPUTED_VALUE"""),"WEST")</f>
        <v>WEST</v>
      </c>
      <c r="B4474" s="115" t="str">
        <f>IFERROR(__xludf.DUMMYFUNCTION("""COMPUTED_VALUE"""),"Ashvani Bhatt")</f>
        <v>Ashvani Bhatt</v>
      </c>
      <c r="C4474" s="115" t="str">
        <f>IFERROR(__xludf.DUMMYFUNCTION("""COMPUTED_VALUE"""),"EXTERNAL")</f>
        <v>EXTERNAL</v>
      </c>
      <c r="D4474" s="115">
        <f>IFERROR(__xludf.DUMMYFUNCTION("""COMPUTED_VALUE"""),20093.0)</f>
        <v>20093</v>
      </c>
      <c r="E4474" s="115">
        <f>IFERROR(__xludf.DUMMYFUNCTION("""COMPUTED_VALUE"""),1703.0)</f>
        <v>1703</v>
      </c>
      <c r="F4474" s="115">
        <f>IFERROR(__xludf.DUMMYFUNCTION("""COMPUTED_VALUE"""),961.0)</f>
        <v>961</v>
      </c>
      <c r="G4474" s="115">
        <f>IFERROR(__xludf.DUMMYFUNCTION("""COMPUTED_VALUE"""),24.0)</f>
        <v>24</v>
      </c>
      <c r="H4474" s="116">
        <f>IFERROR(__xludf.DUMMYFUNCTION("""COMPUTED_VALUE"""),45909.0)</f>
        <v>45909</v>
      </c>
      <c r="I4474" s="115" t="str">
        <f>IFERROR(__xludf.DUMMYFUNCTION("""COMPUTED_VALUE"""),"10")</f>
        <v>10</v>
      </c>
      <c r="J4474" s="115" t="str">
        <f>IFERROR(__xludf.DUMMYFUNCTION("""COMPUTED_VALUE"""),"Ashvani Bhatt2025-09-0910")</f>
        <v>Ashvani Bhatt2025-09-0910</v>
      </c>
      <c r="K4474" s="115">
        <f>IFERROR(__xludf.DUMMYFUNCTION("""COMPUTED_VALUE"""),21796.0)</f>
        <v>21796</v>
      </c>
    </row>
    <row r="4475">
      <c r="A4475" s="115" t="str">
        <f>IFERROR(__xludf.DUMMYFUNCTION("""COMPUTED_VALUE"""),"WEST")</f>
        <v>WEST</v>
      </c>
      <c r="B4475" s="115" t="str">
        <f>IFERROR(__xludf.DUMMYFUNCTION("""COMPUTED_VALUE"""),"Ashvani Bhatt")</f>
        <v>Ashvani Bhatt</v>
      </c>
      <c r="C4475" s="115" t="str">
        <f>IFERROR(__xludf.DUMMYFUNCTION("""COMPUTED_VALUE"""),"FLIPKART")</f>
        <v>FLIPKART</v>
      </c>
      <c r="D4475" s="115">
        <f>IFERROR(__xludf.DUMMYFUNCTION("""COMPUTED_VALUE"""),146644.0)</f>
        <v>146644</v>
      </c>
      <c r="E4475" s="115">
        <f>IFERROR(__xludf.DUMMYFUNCTION("""COMPUTED_VALUE"""),14091.0)</f>
        <v>14091</v>
      </c>
      <c r="F4475" s="115">
        <f>IFERROR(__xludf.DUMMYFUNCTION("""COMPUTED_VALUE"""),13571.0)</f>
        <v>13571</v>
      </c>
      <c r="G4475" s="115">
        <f>IFERROR(__xludf.DUMMYFUNCTION("""COMPUTED_VALUE"""),334.0)</f>
        <v>334</v>
      </c>
      <c r="H4475" s="116">
        <f>IFERROR(__xludf.DUMMYFUNCTION("""COMPUTED_VALUE"""),45909.0)</f>
        <v>45909</v>
      </c>
      <c r="I4475" s="115" t="str">
        <f>IFERROR(__xludf.DUMMYFUNCTION("""COMPUTED_VALUE"""),"10")</f>
        <v>10</v>
      </c>
      <c r="J4475" s="115" t="str">
        <f>IFERROR(__xludf.DUMMYFUNCTION("""COMPUTED_VALUE"""),"Ashvani Bhatt2025-09-0910")</f>
        <v>Ashvani Bhatt2025-09-0910</v>
      </c>
      <c r="K4475" s="115">
        <f>IFERROR(__xludf.DUMMYFUNCTION("""COMPUTED_VALUE"""),160735.0)</f>
        <v>160735</v>
      </c>
    </row>
    <row r="4476">
      <c r="A4476" s="115" t="str">
        <f>IFERROR(__xludf.DUMMYFUNCTION("""COMPUTED_VALUE"""),"WEST")</f>
        <v>WEST</v>
      </c>
      <c r="B4476" s="115" t="str">
        <f>IFERROR(__xludf.DUMMYFUNCTION("""COMPUTED_VALUE"""),"Ashvani Bhatt")</f>
        <v>Ashvani Bhatt</v>
      </c>
      <c r="C4476" s="115" t="str">
        <f>IFERROR(__xludf.DUMMYFUNCTION("""COMPUTED_VALUE"""),"MYNTRA")</f>
        <v>MYNTRA</v>
      </c>
      <c r="D4476" s="115">
        <f>IFERROR(__xludf.DUMMYFUNCTION("""COMPUTED_VALUE"""),20941.0)</f>
        <v>20941</v>
      </c>
      <c r="E4476" s="115">
        <f>IFERROR(__xludf.DUMMYFUNCTION("""COMPUTED_VALUE"""),4590.0)</f>
        <v>4590</v>
      </c>
      <c r="F4476" s="115">
        <f>IFERROR(__xludf.DUMMYFUNCTION("""COMPUTED_VALUE"""),2570.0)</f>
        <v>2570</v>
      </c>
      <c r="G4476" s="115">
        <f>IFERROR(__xludf.DUMMYFUNCTION("""COMPUTED_VALUE"""),136.0)</f>
        <v>136</v>
      </c>
      <c r="H4476" s="116">
        <f>IFERROR(__xludf.DUMMYFUNCTION("""COMPUTED_VALUE"""),45909.0)</f>
        <v>45909</v>
      </c>
      <c r="I4476" s="115" t="str">
        <f>IFERROR(__xludf.DUMMYFUNCTION("""COMPUTED_VALUE"""),"10")</f>
        <v>10</v>
      </c>
      <c r="J4476" s="115" t="str">
        <f>IFERROR(__xludf.DUMMYFUNCTION("""COMPUTED_VALUE"""),"Ashvani Bhatt2025-09-0910")</f>
        <v>Ashvani Bhatt2025-09-0910</v>
      </c>
      <c r="K4476" s="115">
        <f>IFERROR(__xludf.DUMMYFUNCTION("""COMPUTED_VALUE"""),25531.0)</f>
        <v>25531</v>
      </c>
    </row>
    <row r="4477">
      <c r="A4477" s="115"/>
      <c r="B4477" s="115"/>
      <c r="C4477" s="115" t="str">
        <f>IFERROR(__xludf.DUMMYFUNCTION("""COMPUTED_VALUE"""),"EXTERNAL")</f>
        <v>EXTERNAL</v>
      </c>
      <c r="D4477" s="115">
        <f>IFERROR(__xludf.DUMMYFUNCTION("""COMPUTED_VALUE"""),191.0)</f>
        <v>191</v>
      </c>
      <c r="E4477" s="115">
        <f>IFERROR(__xludf.DUMMYFUNCTION("""COMPUTED_VALUE"""),53.0)</f>
        <v>53</v>
      </c>
      <c r="F4477" s="115">
        <f>IFERROR(__xludf.DUMMYFUNCTION("""COMPUTED_VALUE"""),7.0)</f>
        <v>7</v>
      </c>
      <c r="G4477" s="115">
        <f>IFERROR(__xludf.DUMMYFUNCTION("""COMPUTED_VALUE"""),2.0)</f>
        <v>2</v>
      </c>
      <c r="H4477" s="116">
        <f>IFERROR(__xludf.DUMMYFUNCTION("""COMPUTED_VALUE"""),45909.0)</f>
        <v>45909</v>
      </c>
      <c r="I4477" s="115" t="str">
        <f>IFERROR(__xludf.DUMMYFUNCTION("""COMPUTED_VALUE"""),"10")</f>
        <v>10</v>
      </c>
      <c r="J4477" s="115" t="str">
        <f>IFERROR(__xludf.DUMMYFUNCTION("""COMPUTED_VALUE"""),"2025-09-0910")</f>
        <v>2025-09-0910</v>
      </c>
      <c r="K4477" s="115">
        <f>IFERROR(__xludf.DUMMYFUNCTION("""COMPUTED_VALUE"""),244.0)</f>
        <v>244</v>
      </c>
    </row>
    <row r="4478">
      <c r="A4478" s="115"/>
      <c r="B4478" s="115"/>
      <c r="C4478" s="115" t="str">
        <f>IFERROR(__xludf.DUMMYFUNCTION("""COMPUTED_VALUE"""),"FLIPKART")</f>
        <v>FLIPKART</v>
      </c>
      <c r="D4478" s="115">
        <f>IFERROR(__xludf.DUMMYFUNCTION("""COMPUTED_VALUE"""),2606.0)</f>
        <v>2606</v>
      </c>
      <c r="E4478" s="115">
        <f>IFERROR(__xludf.DUMMYFUNCTION("""COMPUTED_VALUE"""),268.0)</f>
        <v>268</v>
      </c>
      <c r="F4478" s="115">
        <f>IFERROR(__xludf.DUMMYFUNCTION("""COMPUTED_VALUE"""),38.0)</f>
        <v>38</v>
      </c>
      <c r="G4478" s="115">
        <f>IFERROR(__xludf.DUMMYFUNCTION("""COMPUTED_VALUE"""),14.0)</f>
        <v>14</v>
      </c>
      <c r="H4478" s="116">
        <f>IFERROR(__xludf.DUMMYFUNCTION("""COMPUTED_VALUE"""),45909.0)</f>
        <v>45909</v>
      </c>
      <c r="I4478" s="115" t="str">
        <f>IFERROR(__xludf.DUMMYFUNCTION("""COMPUTED_VALUE"""),"10")</f>
        <v>10</v>
      </c>
      <c r="J4478" s="115" t="str">
        <f>IFERROR(__xludf.DUMMYFUNCTION("""COMPUTED_VALUE"""),"2025-09-0910")</f>
        <v>2025-09-0910</v>
      </c>
      <c r="K4478" s="115">
        <f>IFERROR(__xludf.DUMMYFUNCTION("""COMPUTED_VALUE"""),2874.0)</f>
        <v>2874</v>
      </c>
    </row>
    <row r="4479">
      <c r="A4479" s="115"/>
      <c r="B4479" s="115"/>
      <c r="C4479" s="115" t="str">
        <f>IFERROR(__xludf.DUMMYFUNCTION("""COMPUTED_VALUE"""),"MYNTRA")</f>
        <v>MYNTRA</v>
      </c>
      <c r="D4479" s="115">
        <f>IFERROR(__xludf.DUMMYFUNCTION("""COMPUTED_VALUE"""),260.0)</f>
        <v>260</v>
      </c>
      <c r="E4479" s="115">
        <f>IFERROR(__xludf.DUMMYFUNCTION("""COMPUTED_VALUE"""),82.0)</f>
        <v>82</v>
      </c>
      <c r="F4479" s="115">
        <f>IFERROR(__xludf.DUMMYFUNCTION("""COMPUTED_VALUE"""),4.0)</f>
        <v>4</v>
      </c>
      <c r="G4479" s="115">
        <f>IFERROR(__xludf.DUMMYFUNCTION("""COMPUTED_VALUE"""),4.0)</f>
        <v>4</v>
      </c>
      <c r="H4479" s="116">
        <f>IFERROR(__xludf.DUMMYFUNCTION("""COMPUTED_VALUE"""),45909.0)</f>
        <v>45909</v>
      </c>
      <c r="I4479" s="115" t="str">
        <f>IFERROR(__xludf.DUMMYFUNCTION("""COMPUTED_VALUE"""),"10")</f>
        <v>10</v>
      </c>
      <c r="J4479" s="115" t="str">
        <f>IFERROR(__xludf.DUMMYFUNCTION("""COMPUTED_VALUE"""),"2025-09-0910")</f>
        <v>2025-09-0910</v>
      </c>
      <c r="K4479" s="115">
        <f>IFERROR(__xludf.DUMMYFUNCTION("""COMPUTED_VALUE"""),342.0)</f>
        <v>342</v>
      </c>
    </row>
    <row r="4480">
      <c r="A4480" s="115" t="str">
        <f>IFERROR(__xludf.DUMMYFUNCTION("""COMPUTED_VALUE"""),"EAST")</f>
        <v>EAST</v>
      </c>
      <c r="B4480" s="115" t="str">
        <f>IFERROR(__xludf.DUMMYFUNCTION("""COMPUTED_VALUE"""),"Ashish Ranjan")</f>
        <v>Ashish Ranjan</v>
      </c>
      <c r="C4480" s="115" t="str">
        <f>IFERROR(__xludf.DUMMYFUNCTION("""COMPUTED_VALUE"""),"EXTERNAL")</f>
        <v>EXTERNAL</v>
      </c>
      <c r="D4480" s="115">
        <f>IFERROR(__xludf.DUMMYFUNCTION("""COMPUTED_VALUE"""),32918.0)</f>
        <v>32918</v>
      </c>
      <c r="E4480" s="115">
        <f>IFERROR(__xludf.DUMMYFUNCTION("""COMPUTED_VALUE"""),3028.0)</f>
        <v>3028</v>
      </c>
      <c r="F4480" s="115">
        <f>IFERROR(__xludf.DUMMYFUNCTION("""COMPUTED_VALUE"""),4323.0)</f>
        <v>4323</v>
      </c>
      <c r="G4480" s="115">
        <f>IFERROR(__xludf.DUMMYFUNCTION("""COMPUTED_VALUE"""),130.0)</f>
        <v>130</v>
      </c>
      <c r="H4480" s="116">
        <f>IFERROR(__xludf.DUMMYFUNCTION("""COMPUTED_VALUE"""),45909.0)</f>
        <v>45909</v>
      </c>
      <c r="I4480" s="115" t="str">
        <f>IFERROR(__xludf.DUMMYFUNCTION("""COMPUTED_VALUE"""),"11")</f>
        <v>11</v>
      </c>
      <c r="J4480" s="115" t="str">
        <f>IFERROR(__xludf.DUMMYFUNCTION("""COMPUTED_VALUE"""),"Ashish Ranjan2025-09-0911")</f>
        <v>Ashish Ranjan2025-09-0911</v>
      </c>
      <c r="K4480" s="115">
        <f>IFERROR(__xludf.DUMMYFUNCTION("""COMPUTED_VALUE"""),35946.0)</f>
        <v>35946</v>
      </c>
    </row>
    <row r="4481">
      <c r="A4481" s="115" t="str">
        <f>IFERROR(__xludf.DUMMYFUNCTION("""COMPUTED_VALUE"""),"EAST")</f>
        <v>EAST</v>
      </c>
      <c r="B4481" s="115" t="str">
        <f>IFERROR(__xludf.DUMMYFUNCTION("""COMPUTED_VALUE"""),"Ashish Ranjan")</f>
        <v>Ashish Ranjan</v>
      </c>
      <c r="C4481" s="115" t="str">
        <f>IFERROR(__xludf.DUMMYFUNCTION("""COMPUTED_VALUE"""),"FLIPKART")</f>
        <v>FLIPKART</v>
      </c>
      <c r="D4481" s="115">
        <f>IFERROR(__xludf.DUMMYFUNCTION("""COMPUTED_VALUE"""),520436.0)</f>
        <v>520436</v>
      </c>
      <c r="E4481" s="115">
        <f>IFERROR(__xludf.DUMMYFUNCTION("""COMPUTED_VALUE"""),54411.0)</f>
        <v>54411</v>
      </c>
      <c r="F4481" s="115">
        <f>IFERROR(__xludf.DUMMYFUNCTION("""COMPUTED_VALUE"""),116601.0)</f>
        <v>116601</v>
      </c>
      <c r="G4481" s="115">
        <f>IFERROR(__xludf.DUMMYFUNCTION("""COMPUTED_VALUE"""),3478.0)</f>
        <v>3478</v>
      </c>
      <c r="H4481" s="116">
        <f>IFERROR(__xludf.DUMMYFUNCTION("""COMPUTED_VALUE"""),45909.0)</f>
        <v>45909</v>
      </c>
      <c r="I4481" s="115" t="str">
        <f>IFERROR(__xludf.DUMMYFUNCTION("""COMPUTED_VALUE"""),"11")</f>
        <v>11</v>
      </c>
      <c r="J4481" s="115" t="str">
        <f>IFERROR(__xludf.DUMMYFUNCTION("""COMPUTED_VALUE"""),"Ashish Ranjan2025-09-0911")</f>
        <v>Ashish Ranjan2025-09-0911</v>
      </c>
      <c r="K4481" s="115">
        <f>IFERROR(__xludf.DUMMYFUNCTION("""COMPUTED_VALUE"""),574847.0)</f>
        <v>574847</v>
      </c>
    </row>
    <row r="4482">
      <c r="A4482" s="115" t="str">
        <f>IFERROR(__xludf.DUMMYFUNCTION("""COMPUTED_VALUE"""),"EAST")</f>
        <v>EAST</v>
      </c>
      <c r="B4482" s="115" t="str">
        <f>IFERROR(__xludf.DUMMYFUNCTION("""COMPUTED_VALUE"""),"Ashish Ranjan")</f>
        <v>Ashish Ranjan</v>
      </c>
      <c r="C4482" s="115" t="str">
        <f>IFERROR(__xludf.DUMMYFUNCTION("""COMPUTED_VALUE"""),"MYNTRA")</f>
        <v>MYNTRA</v>
      </c>
      <c r="D4482" s="115">
        <f>IFERROR(__xludf.DUMMYFUNCTION("""COMPUTED_VALUE"""),58936.0)</f>
        <v>58936</v>
      </c>
      <c r="E4482" s="115">
        <f>IFERROR(__xludf.DUMMYFUNCTION("""COMPUTED_VALUE"""),12577.0)</f>
        <v>12577</v>
      </c>
      <c r="F4482" s="115">
        <f>IFERROR(__xludf.DUMMYFUNCTION("""COMPUTED_VALUE"""),12943.0)</f>
        <v>12943</v>
      </c>
      <c r="G4482" s="115">
        <f>IFERROR(__xludf.DUMMYFUNCTION("""COMPUTED_VALUE"""),818.0)</f>
        <v>818</v>
      </c>
      <c r="H4482" s="116">
        <f>IFERROR(__xludf.DUMMYFUNCTION("""COMPUTED_VALUE"""),45909.0)</f>
        <v>45909</v>
      </c>
      <c r="I4482" s="115" t="str">
        <f>IFERROR(__xludf.DUMMYFUNCTION("""COMPUTED_VALUE"""),"11")</f>
        <v>11</v>
      </c>
      <c r="J4482" s="115" t="str">
        <f>IFERROR(__xludf.DUMMYFUNCTION("""COMPUTED_VALUE"""),"Ashish Ranjan2025-09-0911")</f>
        <v>Ashish Ranjan2025-09-0911</v>
      </c>
      <c r="K4482" s="115">
        <f>IFERROR(__xludf.DUMMYFUNCTION("""COMPUTED_VALUE"""),71513.0)</f>
        <v>71513</v>
      </c>
    </row>
    <row r="4483">
      <c r="A4483" s="115" t="str">
        <f>IFERROR(__xludf.DUMMYFUNCTION("""COMPUTED_VALUE"""),"EAST")</f>
        <v>EAST</v>
      </c>
      <c r="B4483" s="115" t="str">
        <f>IFERROR(__xludf.DUMMYFUNCTION("""COMPUTED_VALUE"""),"Girish Chand")</f>
        <v>Girish Chand</v>
      </c>
      <c r="C4483" s="115" t="str">
        <f>IFERROR(__xludf.DUMMYFUNCTION("""COMPUTED_VALUE"""),"EXTERNAL")</f>
        <v>EXTERNAL</v>
      </c>
      <c r="D4483" s="115">
        <f>IFERROR(__xludf.DUMMYFUNCTION("""COMPUTED_VALUE"""),20023.0)</f>
        <v>20023</v>
      </c>
      <c r="E4483" s="115">
        <f>IFERROR(__xludf.DUMMYFUNCTION("""COMPUTED_VALUE"""),1747.0)</f>
        <v>1747</v>
      </c>
      <c r="F4483" s="115">
        <f>IFERROR(__xludf.DUMMYFUNCTION("""COMPUTED_VALUE"""),1689.0)</f>
        <v>1689</v>
      </c>
      <c r="G4483" s="115">
        <f>IFERROR(__xludf.DUMMYFUNCTION("""COMPUTED_VALUE"""),32.0)</f>
        <v>32</v>
      </c>
      <c r="H4483" s="116">
        <f>IFERROR(__xludf.DUMMYFUNCTION("""COMPUTED_VALUE"""),45909.0)</f>
        <v>45909</v>
      </c>
      <c r="I4483" s="115" t="str">
        <f>IFERROR(__xludf.DUMMYFUNCTION("""COMPUTED_VALUE"""),"11")</f>
        <v>11</v>
      </c>
      <c r="J4483" s="115" t="str">
        <f>IFERROR(__xludf.DUMMYFUNCTION("""COMPUTED_VALUE"""),"Girish Chand2025-09-0911")</f>
        <v>Girish Chand2025-09-0911</v>
      </c>
      <c r="K4483" s="115">
        <f>IFERROR(__xludf.DUMMYFUNCTION("""COMPUTED_VALUE"""),21770.0)</f>
        <v>21770</v>
      </c>
    </row>
    <row r="4484">
      <c r="A4484" s="115" t="str">
        <f>IFERROR(__xludf.DUMMYFUNCTION("""COMPUTED_VALUE"""),"EAST")</f>
        <v>EAST</v>
      </c>
      <c r="B4484" s="115" t="str">
        <f>IFERROR(__xludf.DUMMYFUNCTION("""COMPUTED_VALUE"""),"Girish Chand")</f>
        <v>Girish Chand</v>
      </c>
      <c r="C4484" s="115" t="str">
        <f>IFERROR(__xludf.DUMMYFUNCTION("""COMPUTED_VALUE"""),"FLIPKART")</f>
        <v>FLIPKART</v>
      </c>
      <c r="D4484" s="115">
        <f>IFERROR(__xludf.DUMMYFUNCTION("""COMPUTED_VALUE"""),332234.0)</f>
        <v>332234</v>
      </c>
      <c r="E4484" s="115">
        <f>IFERROR(__xludf.DUMMYFUNCTION("""COMPUTED_VALUE"""),29219.0)</f>
        <v>29219</v>
      </c>
      <c r="F4484" s="115">
        <f>IFERROR(__xludf.DUMMYFUNCTION("""COMPUTED_VALUE"""),49188.0)</f>
        <v>49188</v>
      </c>
      <c r="G4484" s="115">
        <f>IFERROR(__xludf.DUMMYFUNCTION("""COMPUTED_VALUE"""),1086.0)</f>
        <v>1086</v>
      </c>
      <c r="H4484" s="116">
        <f>IFERROR(__xludf.DUMMYFUNCTION("""COMPUTED_VALUE"""),45909.0)</f>
        <v>45909</v>
      </c>
      <c r="I4484" s="115" t="str">
        <f>IFERROR(__xludf.DUMMYFUNCTION("""COMPUTED_VALUE"""),"11")</f>
        <v>11</v>
      </c>
      <c r="J4484" s="115" t="str">
        <f>IFERROR(__xludf.DUMMYFUNCTION("""COMPUTED_VALUE"""),"Girish Chand2025-09-0911")</f>
        <v>Girish Chand2025-09-0911</v>
      </c>
      <c r="K4484" s="115">
        <f>IFERROR(__xludf.DUMMYFUNCTION("""COMPUTED_VALUE"""),361453.0)</f>
        <v>361453</v>
      </c>
    </row>
    <row r="4485">
      <c r="A4485" s="115" t="str">
        <f>IFERROR(__xludf.DUMMYFUNCTION("""COMPUTED_VALUE"""),"EAST")</f>
        <v>EAST</v>
      </c>
      <c r="B4485" s="115" t="str">
        <f>IFERROR(__xludf.DUMMYFUNCTION("""COMPUTED_VALUE"""),"Girish Chand")</f>
        <v>Girish Chand</v>
      </c>
      <c r="C4485" s="115" t="str">
        <f>IFERROR(__xludf.DUMMYFUNCTION("""COMPUTED_VALUE"""),"MYNTRA")</f>
        <v>MYNTRA</v>
      </c>
      <c r="D4485" s="115">
        <f>IFERROR(__xludf.DUMMYFUNCTION("""COMPUTED_VALUE"""),33398.0)</f>
        <v>33398</v>
      </c>
      <c r="E4485" s="115">
        <f>IFERROR(__xludf.DUMMYFUNCTION("""COMPUTED_VALUE"""),5577.0)</f>
        <v>5577</v>
      </c>
      <c r="F4485" s="115">
        <f>IFERROR(__xludf.DUMMYFUNCTION("""COMPUTED_VALUE"""),5801.0)</f>
        <v>5801</v>
      </c>
      <c r="G4485" s="115">
        <f>IFERROR(__xludf.DUMMYFUNCTION("""COMPUTED_VALUE"""),313.0)</f>
        <v>313</v>
      </c>
      <c r="H4485" s="116">
        <f>IFERROR(__xludf.DUMMYFUNCTION("""COMPUTED_VALUE"""),45909.0)</f>
        <v>45909</v>
      </c>
      <c r="I4485" s="115" t="str">
        <f>IFERROR(__xludf.DUMMYFUNCTION("""COMPUTED_VALUE"""),"11")</f>
        <v>11</v>
      </c>
      <c r="J4485" s="115" t="str">
        <f>IFERROR(__xludf.DUMMYFUNCTION("""COMPUTED_VALUE"""),"Girish Chand2025-09-0911")</f>
        <v>Girish Chand2025-09-0911</v>
      </c>
      <c r="K4485" s="115">
        <f>IFERROR(__xludf.DUMMYFUNCTION("""COMPUTED_VALUE"""),38975.0)</f>
        <v>38975</v>
      </c>
    </row>
    <row r="4486">
      <c r="A4486" s="115" t="str">
        <f>IFERROR(__xludf.DUMMYFUNCTION("""COMPUTED_VALUE"""),"EAST")</f>
        <v>EAST</v>
      </c>
      <c r="B4486" s="115" t="str">
        <f>IFERROR(__xludf.DUMMYFUNCTION("""COMPUTED_VALUE"""),"Parag Kashyap")</f>
        <v>Parag Kashyap</v>
      </c>
      <c r="C4486" s="115" t="str">
        <f>IFERROR(__xludf.DUMMYFUNCTION("""COMPUTED_VALUE"""),"EXTERNAL")</f>
        <v>EXTERNAL</v>
      </c>
      <c r="D4486" s="115">
        <f>IFERROR(__xludf.DUMMYFUNCTION("""COMPUTED_VALUE"""),13494.0)</f>
        <v>13494</v>
      </c>
      <c r="E4486" s="115">
        <f>IFERROR(__xludf.DUMMYFUNCTION("""COMPUTED_VALUE"""),816.0)</f>
        <v>816</v>
      </c>
      <c r="F4486" s="115">
        <f>IFERROR(__xludf.DUMMYFUNCTION("""COMPUTED_VALUE"""),751.0)</f>
        <v>751</v>
      </c>
      <c r="G4486" s="115">
        <f>IFERROR(__xludf.DUMMYFUNCTION("""COMPUTED_VALUE"""),7.0)</f>
        <v>7</v>
      </c>
      <c r="H4486" s="116">
        <f>IFERROR(__xludf.DUMMYFUNCTION("""COMPUTED_VALUE"""),45909.0)</f>
        <v>45909</v>
      </c>
      <c r="I4486" s="115" t="str">
        <f>IFERROR(__xludf.DUMMYFUNCTION("""COMPUTED_VALUE"""),"11")</f>
        <v>11</v>
      </c>
      <c r="J4486" s="115" t="str">
        <f>IFERROR(__xludf.DUMMYFUNCTION("""COMPUTED_VALUE"""),"Parag Kashyap2025-09-0911")</f>
        <v>Parag Kashyap2025-09-0911</v>
      </c>
      <c r="K4486" s="115">
        <f>IFERROR(__xludf.DUMMYFUNCTION("""COMPUTED_VALUE"""),14310.0)</f>
        <v>14310</v>
      </c>
    </row>
    <row r="4487">
      <c r="A4487" s="115" t="str">
        <f>IFERROR(__xludf.DUMMYFUNCTION("""COMPUTED_VALUE"""),"EAST")</f>
        <v>EAST</v>
      </c>
      <c r="B4487" s="115" t="str">
        <f>IFERROR(__xludf.DUMMYFUNCTION("""COMPUTED_VALUE"""),"Parag Kashyap")</f>
        <v>Parag Kashyap</v>
      </c>
      <c r="C4487" s="115" t="str">
        <f>IFERROR(__xludf.DUMMYFUNCTION("""COMPUTED_VALUE"""),"FLIPKART")</f>
        <v>FLIPKART</v>
      </c>
      <c r="D4487" s="115">
        <f>IFERROR(__xludf.DUMMYFUNCTION("""COMPUTED_VALUE"""),248142.0)</f>
        <v>248142</v>
      </c>
      <c r="E4487" s="115">
        <f>IFERROR(__xludf.DUMMYFUNCTION("""COMPUTED_VALUE"""),13182.0)</f>
        <v>13182</v>
      </c>
      <c r="F4487" s="115">
        <f>IFERROR(__xludf.DUMMYFUNCTION("""COMPUTED_VALUE"""),27689.0)</f>
        <v>27689</v>
      </c>
      <c r="G4487" s="115">
        <f>IFERROR(__xludf.DUMMYFUNCTION("""COMPUTED_VALUE"""),344.0)</f>
        <v>344</v>
      </c>
      <c r="H4487" s="116">
        <f>IFERROR(__xludf.DUMMYFUNCTION("""COMPUTED_VALUE"""),45909.0)</f>
        <v>45909</v>
      </c>
      <c r="I4487" s="115" t="str">
        <f>IFERROR(__xludf.DUMMYFUNCTION("""COMPUTED_VALUE"""),"11")</f>
        <v>11</v>
      </c>
      <c r="J4487" s="115" t="str">
        <f>IFERROR(__xludf.DUMMYFUNCTION("""COMPUTED_VALUE"""),"Parag Kashyap2025-09-0911")</f>
        <v>Parag Kashyap2025-09-0911</v>
      </c>
      <c r="K4487" s="115">
        <f>IFERROR(__xludf.DUMMYFUNCTION("""COMPUTED_VALUE"""),261324.0)</f>
        <v>261324</v>
      </c>
    </row>
    <row r="4488">
      <c r="A4488" s="115" t="str">
        <f>IFERROR(__xludf.DUMMYFUNCTION("""COMPUTED_VALUE"""),"EAST")</f>
        <v>EAST</v>
      </c>
      <c r="B4488" s="115" t="str">
        <f>IFERROR(__xludf.DUMMYFUNCTION("""COMPUTED_VALUE"""),"Parag Kashyap")</f>
        <v>Parag Kashyap</v>
      </c>
      <c r="C4488" s="115" t="str">
        <f>IFERROR(__xludf.DUMMYFUNCTION("""COMPUTED_VALUE"""),"MYNTRA")</f>
        <v>MYNTRA</v>
      </c>
      <c r="D4488" s="115">
        <f>IFERROR(__xludf.DUMMYFUNCTION("""COMPUTED_VALUE"""),31446.0)</f>
        <v>31446</v>
      </c>
      <c r="E4488" s="115">
        <f>IFERROR(__xludf.DUMMYFUNCTION("""COMPUTED_VALUE"""),4064.0)</f>
        <v>4064</v>
      </c>
      <c r="F4488" s="115">
        <f>IFERROR(__xludf.DUMMYFUNCTION("""COMPUTED_VALUE"""),4230.0)</f>
        <v>4230</v>
      </c>
      <c r="G4488" s="115">
        <f>IFERROR(__xludf.DUMMYFUNCTION("""COMPUTED_VALUE"""),71.0)</f>
        <v>71</v>
      </c>
      <c r="H4488" s="116">
        <f>IFERROR(__xludf.DUMMYFUNCTION("""COMPUTED_VALUE"""),45909.0)</f>
        <v>45909</v>
      </c>
      <c r="I4488" s="115" t="str">
        <f>IFERROR(__xludf.DUMMYFUNCTION("""COMPUTED_VALUE"""),"11")</f>
        <v>11</v>
      </c>
      <c r="J4488" s="115" t="str">
        <f>IFERROR(__xludf.DUMMYFUNCTION("""COMPUTED_VALUE"""),"Parag Kashyap2025-09-0911")</f>
        <v>Parag Kashyap2025-09-0911</v>
      </c>
      <c r="K4488" s="115">
        <f>IFERROR(__xludf.DUMMYFUNCTION("""COMPUTED_VALUE"""),35510.0)</f>
        <v>35510</v>
      </c>
    </row>
    <row r="4489">
      <c r="A4489" s="115" t="str">
        <f>IFERROR(__xludf.DUMMYFUNCTION("""COMPUTED_VALUE"""),"NORTH")</f>
        <v>NORTH</v>
      </c>
      <c r="B4489" s="115" t="str">
        <f>IFERROR(__xludf.DUMMYFUNCTION("""COMPUTED_VALUE"""),"Amit Kumar Pathak")</f>
        <v>Amit Kumar Pathak</v>
      </c>
      <c r="C4489" s="115" t="str">
        <f>IFERROR(__xludf.DUMMYFUNCTION("""COMPUTED_VALUE"""),"EXTERNAL")</f>
        <v>EXTERNAL</v>
      </c>
      <c r="D4489" s="115">
        <f>IFERROR(__xludf.DUMMYFUNCTION("""COMPUTED_VALUE"""),21364.0)</f>
        <v>21364</v>
      </c>
      <c r="E4489" s="115">
        <f>IFERROR(__xludf.DUMMYFUNCTION("""COMPUTED_VALUE"""),3169.0)</f>
        <v>3169</v>
      </c>
      <c r="F4489" s="115">
        <f>IFERROR(__xludf.DUMMYFUNCTION("""COMPUTED_VALUE"""),2058.0)</f>
        <v>2058</v>
      </c>
      <c r="G4489" s="115">
        <f>IFERROR(__xludf.DUMMYFUNCTION("""COMPUTED_VALUE"""),228.0)</f>
        <v>228</v>
      </c>
      <c r="H4489" s="116">
        <f>IFERROR(__xludf.DUMMYFUNCTION("""COMPUTED_VALUE"""),45909.0)</f>
        <v>45909</v>
      </c>
      <c r="I4489" s="115" t="str">
        <f>IFERROR(__xludf.DUMMYFUNCTION("""COMPUTED_VALUE"""),"11")</f>
        <v>11</v>
      </c>
      <c r="J4489" s="115" t="str">
        <f>IFERROR(__xludf.DUMMYFUNCTION("""COMPUTED_VALUE"""),"Amit Kumar Pathak2025-09-0911")</f>
        <v>Amit Kumar Pathak2025-09-0911</v>
      </c>
      <c r="K4489" s="115">
        <f>IFERROR(__xludf.DUMMYFUNCTION("""COMPUTED_VALUE"""),24533.0)</f>
        <v>24533</v>
      </c>
    </row>
    <row r="4490">
      <c r="A4490" s="115" t="str">
        <f>IFERROR(__xludf.DUMMYFUNCTION("""COMPUTED_VALUE"""),"NORTH")</f>
        <v>NORTH</v>
      </c>
      <c r="B4490" s="115" t="str">
        <f>IFERROR(__xludf.DUMMYFUNCTION("""COMPUTED_VALUE"""),"Amit Kumar Pathak")</f>
        <v>Amit Kumar Pathak</v>
      </c>
      <c r="C4490" s="115" t="str">
        <f>IFERROR(__xludf.DUMMYFUNCTION("""COMPUTED_VALUE"""),"FLIPKART")</f>
        <v>FLIPKART</v>
      </c>
      <c r="D4490" s="115">
        <f>IFERROR(__xludf.DUMMYFUNCTION("""COMPUTED_VALUE"""),125449.0)</f>
        <v>125449</v>
      </c>
      <c r="E4490" s="115">
        <f>IFERROR(__xludf.DUMMYFUNCTION("""COMPUTED_VALUE"""),19586.0)</f>
        <v>19586</v>
      </c>
      <c r="F4490" s="115">
        <f>IFERROR(__xludf.DUMMYFUNCTION("""COMPUTED_VALUE"""),23244.0)</f>
        <v>23244</v>
      </c>
      <c r="G4490" s="115">
        <f>IFERROR(__xludf.DUMMYFUNCTION("""COMPUTED_VALUE"""),2066.0)</f>
        <v>2066</v>
      </c>
      <c r="H4490" s="116">
        <f>IFERROR(__xludf.DUMMYFUNCTION("""COMPUTED_VALUE"""),45909.0)</f>
        <v>45909</v>
      </c>
      <c r="I4490" s="115" t="str">
        <f>IFERROR(__xludf.DUMMYFUNCTION("""COMPUTED_VALUE"""),"11")</f>
        <v>11</v>
      </c>
      <c r="J4490" s="115" t="str">
        <f>IFERROR(__xludf.DUMMYFUNCTION("""COMPUTED_VALUE"""),"Amit Kumar Pathak2025-09-0911")</f>
        <v>Amit Kumar Pathak2025-09-0911</v>
      </c>
      <c r="K4490" s="115">
        <f>IFERROR(__xludf.DUMMYFUNCTION("""COMPUTED_VALUE"""),145035.0)</f>
        <v>145035</v>
      </c>
    </row>
    <row r="4491">
      <c r="A4491" s="115" t="str">
        <f>IFERROR(__xludf.DUMMYFUNCTION("""COMPUTED_VALUE"""),"NORTH")</f>
        <v>NORTH</v>
      </c>
      <c r="B4491" s="115" t="str">
        <f>IFERROR(__xludf.DUMMYFUNCTION("""COMPUTED_VALUE"""),"Amit Kumar Pathak")</f>
        <v>Amit Kumar Pathak</v>
      </c>
      <c r="C4491" s="115" t="str">
        <f>IFERROR(__xludf.DUMMYFUNCTION("""COMPUTED_VALUE"""),"MYNTRA")</f>
        <v>MYNTRA</v>
      </c>
      <c r="D4491" s="115">
        <f>IFERROR(__xludf.DUMMYFUNCTION("""COMPUTED_VALUE"""),11915.0)</f>
        <v>11915</v>
      </c>
      <c r="E4491" s="115">
        <f>IFERROR(__xludf.DUMMYFUNCTION("""COMPUTED_VALUE"""),4778.0)</f>
        <v>4778</v>
      </c>
      <c r="F4491" s="115">
        <f>IFERROR(__xludf.DUMMYFUNCTION("""COMPUTED_VALUE"""),2922.0)</f>
        <v>2922</v>
      </c>
      <c r="G4491" s="115">
        <f>IFERROR(__xludf.DUMMYFUNCTION("""COMPUTED_VALUE"""),604.0)</f>
        <v>604</v>
      </c>
      <c r="H4491" s="116">
        <f>IFERROR(__xludf.DUMMYFUNCTION("""COMPUTED_VALUE"""),45909.0)</f>
        <v>45909</v>
      </c>
      <c r="I4491" s="115" t="str">
        <f>IFERROR(__xludf.DUMMYFUNCTION("""COMPUTED_VALUE"""),"11")</f>
        <v>11</v>
      </c>
      <c r="J4491" s="115" t="str">
        <f>IFERROR(__xludf.DUMMYFUNCTION("""COMPUTED_VALUE"""),"Amit Kumar Pathak2025-09-0911")</f>
        <v>Amit Kumar Pathak2025-09-0911</v>
      </c>
      <c r="K4491" s="115">
        <f>IFERROR(__xludf.DUMMYFUNCTION("""COMPUTED_VALUE"""),16693.0)</f>
        <v>16693</v>
      </c>
    </row>
    <row r="4492">
      <c r="A4492" s="115" t="str">
        <f>IFERROR(__xludf.DUMMYFUNCTION("""COMPUTED_VALUE"""),"NORTH")</f>
        <v>NORTH</v>
      </c>
      <c r="B4492" s="115" t="str">
        <f>IFERROR(__xludf.DUMMYFUNCTION("""COMPUTED_VALUE"""),"Loveleen Singh")</f>
        <v>Loveleen Singh</v>
      </c>
      <c r="C4492" s="115" t="str">
        <f>IFERROR(__xludf.DUMMYFUNCTION("""COMPUTED_VALUE"""),"EXTERNAL")</f>
        <v>EXTERNAL</v>
      </c>
      <c r="D4492" s="115">
        <f>IFERROR(__xludf.DUMMYFUNCTION("""COMPUTED_VALUE"""),24628.0)</f>
        <v>24628</v>
      </c>
      <c r="E4492" s="115">
        <f>IFERROR(__xludf.DUMMYFUNCTION("""COMPUTED_VALUE"""),1754.0)</f>
        <v>1754</v>
      </c>
      <c r="F4492" s="115">
        <f>IFERROR(__xludf.DUMMYFUNCTION("""COMPUTED_VALUE"""),1620.0)</f>
        <v>1620</v>
      </c>
      <c r="G4492" s="115">
        <f>IFERROR(__xludf.DUMMYFUNCTION("""COMPUTED_VALUE"""),41.0)</f>
        <v>41</v>
      </c>
      <c r="H4492" s="116">
        <f>IFERROR(__xludf.DUMMYFUNCTION("""COMPUTED_VALUE"""),45909.0)</f>
        <v>45909</v>
      </c>
      <c r="I4492" s="115" t="str">
        <f>IFERROR(__xludf.DUMMYFUNCTION("""COMPUTED_VALUE"""),"11")</f>
        <v>11</v>
      </c>
      <c r="J4492" s="115" t="str">
        <f>IFERROR(__xludf.DUMMYFUNCTION("""COMPUTED_VALUE"""),"Loveleen Singh2025-09-0911")</f>
        <v>Loveleen Singh2025-09-0911</v>
      </c>
      <c r="K4492" s="115">
        <f>IFERROR(__xludf.DUMMYFUNCTION("""COMPUTED_VALUE"""),26382.0)</f>
        <v>26382</v>
      </c>
    </row>
    <row r="4493">
      <c r="A4493" s="115" t="str">
        <f>IFERROR(__xludf.DUMMYFUNCTION("""COMPUTED_VALUE"""),"NORTH")</f>
        <v>NORTH</v>
      </c>
      <c r="B4493" s="115" t="str">
        <f>IFERROR(__xludf.DUMMYFUNCTION("""COMPUTED_VALUE"""),"Loveleen Singh")</f>
        <v>Loveleen Singh</v>
      </c>
      <c r="C4493" s="115" t="str">
        <f>IFERROR(__xludf.DUMMYFUNCTION("""COMPUTED_VALUE"""),"FLIPKART")</f>
        <v>FLIPKART</v>
      </c>
      <c r="D4493" s="115">
        <f>IFERROR(__xludf.DUMMYFUNCTION("""COMPUTED_VALUE"""),136901.0)</f>
        <v>136901</v>
      </c>
      <c r="E4493" s="115">
        <f>IFERROR(__xludf.DUMMYFUNCTION("""COMPUTED_VALUE"""),9791.0)</f>
        <v>9791</v>
      </c>
      <c r="F4493" s="115">
        <f>IFERROR(__xludf.DUMMYFUNCTION("""COMPUTED_VALUE"""),18353.0)</f>
        <v>18353</v>
      </c>
      <c r="G4493" s="115">
        <f>IFERROR(__xludf.DUMMYFUNCTION("""COMPUTED_VALUE"""),492.0)</f>
        <v>492</v>
      </c>
      <c r="H4493" s="116">
        <f>IFERROR(__xludf.DUMMYFUNCTION("""COMPUTED_VALUE"""),45909.0)</f>
        <v>45909</v>
      </c>
      <c r="I4493" s="115" t="str">
        <f>IFERROR(__xludf.DUMMYFUNCTION("""COMPUTED_VALUE"""),"11")</f>
        <v>11</v>
      </c>
      <c r="J4493" s="115" t="str">
        <f>IFERROR(__xludf.DUMMYFUNCTION("""COMPUTED_VALUE"""),"Loveleen Singh2025-09-0911")</f>
        <v>Loveleen Singh2025-09-0911</v>
      </c>
      <c r="K4493" s="115">
        <f>IFERROR(__xludf.DUMMYFUNCTION("""COMPUTED_VALUE"""),146692.0)</f>
        <v>146692</v>
      </c>
    </row>
    <row r="4494">
      <c r="A4494" s="115" t="str">
        <f>IFERROR(__xludf.DUMMYFUNCTION("""COMPUTED_VALUE"""),"NORTH")</f>
        <v>NORTH</v>
      </c>
      <c r="B4494" s="115" t="str">
        <f>IFERROR(__xludf.DUMMYFUNCTION("""COMPUTED_VALUE"""),"Loveleen Singh")</f>
        <v>Loveleen Singh</v>
      </c>
      <c r="C4494" s="115" t="str">
        <f>IFERROR(__xludf.DUMMYFUNCTION("""COMPUTED_VALUE"""),"MYNTRA")</f>
        <v>MYNTRA</v>
      </c>
      <c r="D4494" s="115">
        <f>IFERROR(__xludf.DUMMYFUNCTION("""COMPUTED_VALUE"""),25268.0)</f>
        <v>25268</v>
      </c>
      <c r="E4494" s="115">
        <f>IFERROR(__xludf.DUMMYFUNCTION("""COMPUTED_VALUE"""),4348.0)</f>
        <v>4348</v>
      </c>
      <c r="F4494" s="115">
        <f>IFERROR(__xludf.DUMMYFUNCTION("""COMPUTED_VALUE"""),4086.0)</f>
        <v>4086</v>
      </c>
      <c r="G4494" s="115">
        <f>IFERROR(__xludf.DUMMYFUNCTION("""COMPUTED_VALUE"""),256.0)</f>
        <v>256</v>
      </c>
      <c r="H4494" s="116">
        <f>IFERROR(__xludf.DUMMYFUNCTION("""COMPUTED_VALUE"""),45909.0)</f>
        <v>45909</v>
      </c>
      <c r="I4494" s="115" t="str">
        <f>IFERROR(__xludf.DUMMYFUNCTION("""COMPUTED_VALUE"""),"11")</f>
        <v>11</v>
      </c>
      <c r="J4494" s="115" t="str">
        <f>IFERROR(__xludf.DUMMYFUNCTION("""COMPUTED_VALUE"""),"Loveleen Singh2025-09-0911")</f>
        <v>Loveleen Singh2025-09-0911</v>
      </c>
      <c r="K4494" s="115">
        <f>IFERROR(__xludf.DUMMYFUNCTION("""COMPUTED_VALUE"""),29616.0)</f>
        <v>29616</v>
      </c>
    </row>
    <row r="4495">
      <c r="A4495" s="115" t="str">
        <f>IFERROR(__xludf.DUMMYFUNCTION("""COMPUTED_VALUE"""),"NORTH")</f>
        <v>NORTH</v>
      </c>
      <c r="B4495" s="115" t="str">
        <f>IFERROR(__xludf.DUMMYFUNCTION("""COMPUTED_VALUE"""),"Manoj Harsh")</f>
        <v>Manoj Harsh</v>
      </c>
      <c r="C4495" s="115" t="str">
        <f>IFERROR(__xludf.DUMMYFUNCTION("""COMPUTED_VALUE"""),"EXTERNAL")</f>
        <v>EXTERNAL</v>
      </c>
      <c r="D4495" s="115">
        <f>IFERROR(__xludf.DUMMYFUNCTION("""COMPUTED_VALUE"""),28460.0)</f>
        <v>28460</v>
      </c>
      <c r="E4495" s="115">
        <f>IFERROR(__xludf.DUMMYFUNCTION("""COMPUTED_VALUE"""),2479.0)</f>
        <v>2479</v>
      </c>
      <c r="F4495" s="115">
        <f>IFERROR(__xludf.DUMMYFUNCTION("""COMPUTED_VALUE"""),1958.0)</f>
        <v>1958</v>
      </c>
      <c r="G4495" s="115">
        <f>IFERROR(__xludf.DUMMYFUNCTION("""COMPUTED_VALUE"""),43.0)</f>
        <v>43</v>
      </c>
      <c r="H4495" s="116">
        <f>IFERROR(__xludf.DUMMYFUNCTION("""COMPUTED_VALUE"""),45909.0)</f>
        <v>45909</v>
      </c>
      <c r="I4495" s="115" t="str">
        <f>IFERROR(__xludf.DUMMYFUNCTION("""COMPUTED_VALUE"""),"11")</f>
        <v>11</v>
      </c>
      <c r="J4495" s="115" t="str">
        <f>IFERROR(__xludf.DUMMYFUNCTION("""COMPUTED_VALUE"""),"Manoj Harsh2025-09-0911")</f>
        <v>Manoj Harsh2025-09-0911</v>
      </c>
      <c r="K4495" s="115">
        <f>IFERROR(__xludf.DUMMYFUNCTION("""COMPUTED_VALUE"""),30939.0)</f>
        <v>30939</v>
      </c>
    </row>
    <row r="4496">
      <c r="A4496" s="115" t="str">
        <f>IFERROR(__xludf.DUMMYFUNCTION("""COMPUTED_VALUE"""),"NORTH")</f>
        <v>NORTH</v>
      </c>
      <c r="B4496" s="115" t="str">
        <f>IFERROR(__xludf.DUMMYFUNCTION("""COMPUTED_VALUE"""),"Manoj Harsh")</f>
        <v>Manoj Harsh</v>
      </c>
      <c r="C4496" s="115" t="str">
        <f>IFERROR(__xludf.DUMMYFUNCTION("""COMPUTED_VALUE"""),"FLIPKART")</f>
        <v>FLIPKART</v>
      </c>
      <c r="D4496" s="115">
        <f>IFERROR(__xludf.DUMMYFUNCTION("""COMPUTED_VALUE"""),327312.0)</f>
        <v>327312</v>
      </c>
      <c r="E4496" s="115">
        <f>IFERROR(__xludf.DUMMYFUNCTION("""COMPUTED_VALUE"""),30422.0)</f>
        <v>30422</v>
      </c>
      <c r="F4496" s="115">
        <f>IFERROR(__xludf.DUMMYFUNCTION("""COMPUTED_VALUE"""),41337.0)</f>
        <v>41337</v>
      </c>
      <c r="G4496" s="115">
        <f>IFERROR(__xludf.DUMMYFUNCTION("""COMPUTED_VALUE"""),1255.0)</f>
        <v>1255</v>
      </c>
      <c r="H4496" s="116">
        <f>IFERROR(__xludf.DUMMYFUNCTION("""COMPUTED_VALUE"""),45909.0)</f>
        <v>45909</v>
      </c>
      <c r="I4496" s="115" t="str">
        <f>IFERROR(__xludf.DUMMYFUNCTION("""COMPUTED_VALUE"""),"11")</f>
        <v>11</v>
      </c>
      <c r="J4496" s="115" t="str">
        <f>IFERROR(__xludf.DUMMYFUNCTION("""COMPUTED_VALUE"""),"Manoj Harsh2025-09-0911")</f>
        <v>Manoj Harsh2025-09-0911</v>
      </c>
      <c r="K4496" s="115">
        <f>IFERROR(__xludf.DUMMYFUNCTION("""COMPUTED_VALUE"""),357734.0)</f>
        <v>357734</v>
      </c>
    </row>
    <row r="4497">
      <c r="A4497" s="115" t="str">
        <f>IFERROR(__xludf.DUMMYFUNCTION("""COMPUTED_VALUE"""),"NORTH")</f>
        <v>NORTH</v>
      </c>
      <c r="B4497" s="115" t="str">
        <f>IFERROR(__xludf.DUMMYFUNCTION("""COMPUTED_VALUE"""),"Manoj Harsh")</f>
        <v>Manoj Harsh</v>
      </c>
      <c r="C4497" s="115" t="str">
        <f>IFERROR(__xludf.DUMMYFUNCTION("""COMPUTED_VALUE"""),"MYNTRA")</f>
        <v>MYNTRA</v>
      </c>
      <c r="D4497" s="115">
        <f>IFERROR(__xludf.DUMMYFUNCTION("""COMPUTED_VALUE"""),34134.0)</f>
        <v>34134</v>
      </c>
      <c r="E4497" s="115">
        <f>IFERROR(__xludf.DUMMYFUNCTION("""COMPUTED_VALUE"""),6011.0)</f>
        <v>6011</v>
      </c>
      <c r="F4497" s="115">
        <f>IFERROR(__xludf.DUMMYFUNCTION("""COMPUTED_VALUE"""),5645.0)</f>
        <v>5645</v>
      </c>
      <c r="G4497" s="115">
        <f>IFERROR(__xludf.DUMMYFUNCTION("""COMPUTED_VALUE"""),239.0)</f>
        <v>239</v>
      </c>
      <c r="H4497" s="116">
        <f>IFERROR(__xludf.DUMMYFUNCTION("""COMPUTED_VALUE"""),45909.0)</f>
        <v>45909</v>
      </c>
      <c r="I4497" s="115" t="str">
        <f>IFERROR(__xludf.DUMMYFUNCTION("""COMPUTED_VALUE"""),"11")</f>
        <v>11</v>
      </c>
      <c r="J4497" s="115" t="str">
        <f>IFERROR(__xludf.DUMMYFUNCTION("""COMPUTED_VALUE"""),"Manoj Harsh2025-09-0911")</f>
        <v>Manoj Harsh2025-09-0911</v>
      </c>
      <c r="K4497" s="115">
        <f>IFERROR(__xludf.DUMMYFUNCTION("""COMPUTED_VALUE"""),40145.0)</f>
        <v>40145</v>
      </c>
    </row>
    <row r="4498">
      <c r="A4498" s="115" t="str">
        <f>IFERROR(__xludf.DUMMYFUNCTION("""COMPUTED_VALUE"""),"NORTH")</f>
        <v>NORTH</v>
      </c>
      <c r="B4498" s="115" t="str">
        <f>IFERROR(__xludf.DUMMYFUNCTION("""COMPUTED_VALUE"""),"Pradeep Kothari")</f>
        <v>Pradeep Kothari</v>
      </c>
      <c r="C4498" s="115" t="str">
        <f>IFERROR(__xludf.DUMMYFUNCTION("""COMPUTED_VALUE"""),"EXTERNAL")</f>
        <v>EXTERNAL</v>
      </c>
      <c r="D4498" s="115">
        <f>IFERROR(__xludf.DUMMYFUNCTION("""COMPUTED_VALUE"""),16836.0)</f>
        <v>16836</v>
      </c>
      <c r="E4498" s="115">
        <f>IFERROR(__xludf.DUMMYFUNCTION("""COMPUTED_VALUE"""),1571.0)</f>
        <v>1571</v>
      </c>
      <c r="F4498" s="115">
        <f>IFERROR(__xludf.DUMMYFUNCTION("""COMPUTED_VALUE"""),1477.0)</f>
        <v>1477</v>
      </c>
      <c r="G4498" s="115">
        <f>IFERROR(__xludf.DUMMYFUNCTION("""COMPUTED_VALUE"""),61.0)</f>
        <v>61</v>
      </c>
      <c r="H4498" s="116">
        <f>IFERROR(__xludf.DUMMYFUNCTION("""COMPUTED_VALUE"""),45909.0)</f>
        <v>45909</v>
      </c>
      <c r="I4498" s="115" t="str">
        <f>IFERROR(__xludf.DUMMYFUNCTION("""COMPUTED_VALUE"""),"11")</f>
        <v>11</v>
      </c>
      <c r="J4498" s="115" t="str">
        <f>IFERROR(__xludf.DUMMYFUNCTION("""COMPUTED_VALUE"""),"Pradeep Kothari2025-09-0911")</f>
        <v>Pradeep Kothari2025-09-0911</v>
      </c>
      <c r="K4498" s="115">
        <f>IFERROR(__xludf.DUMMYFUNCTION("""COMPUTED_VALUE"""),18407.0)</f>
        <v>18407</v>
      </c>
    </row>
    <row r="4499">
      <c r="A4499" s="115" t="str">
        <f>IFERROR(__xludf.DUMMYFUNCTION("""COMPUTED_VALUE"""),"NORTH")</f>
        <v>NORTH</v>
      </c>
      <c r="B4499" s="115" t="str">
        <f>IFERROR(__xludf.DUMMYFUNCTION("""COMPUTED_VALUE"""),"Pradeep Kothari")</f>
        <v>Pradeep Kothari</v>
      </c>
      <c r="C4499" s="115" t="str">
        <f>IFERROR(__xludf.DUMMYFUNCTION("""COMPUTED_VALUE"""),"FLIPKART")</f>
        <v>FLIPKART</v>
      </c>
      <c r="D4499" s="115">
        <f>IFERROR(__xludf.DUMMYFUNCTION("""COMPUTED_VALUE"""),121964.0)</f>
        <v>121964</v>
      </c>
      <c r="E4499" s="115">
        <f>IFERROR(__xludf.DUMMYFUNCTION("""COMPUTED_VALUE"""),13092.0)</f>
        <v>13092</v>
      </c>
      <c r="F4499" s="115">
        <f>IFERROR(__xludf.DUMMYFUNCTION("""COMPUTED_VALUE"""),21853.0)</f>
        <v>21853</v>
      </c>
      <c r="G4499" s="115">
        <f>IFERROR(__xludf.DUMMYFUNCTION("""COMPUTED_VALUE"""),816.0)</f>
        <v>816</v>
      </c>
      <c r="H4499" s="116">
        <f>IFERROR(__xludf.DUMMYFUNCTION("""COMPUTED_VALUE"""),45909.0)</f>
        <v>45909</v>
      </c>
      <c r="I4499" s="115" t="str">
        <f>IFERROR(__xludf.DUMMYFUNCTION("""COMPUTED_VALUE"""),"11")</f>
        <v>11</v>
      </c>
      <c r="J4499" s="115" t="str">
        <f>IFERROR(__xludf.DUMMYFUNCTION("""COMPUTED_VALUE"""),"Pradeep Kothari2025-09-0911")</f>
        <v>Pradeep Kothari2025-09-0911</v>
      </c>
      <c r="K4499" s="115">
        <f>IFERROR(__xludf.DUMMYFUNCTION("""COMPUTED_VALUE"""),135056.0)</f>
        <v>135056</v>
      </c>
    </row>
    <row r="4500">
      <c r="A4500" s="115" t="str">
        <f>IFERROR(__xludf.DUMMYFUNCTION("""COMPUTED_VALUE"""),"NORTH")</f>
        <v>NORTH</v>
      </c>
      <c r="B4500" s="115" t="str">
        <f>IFERROR(__xludf.DUMMYFUNCTION("""COMPUTED_VALUE"""),"Pradeep Kothari")</f>
        <v>Pradeep Kothari</v>
      </c>
      <c r="C4500" s="115" t="str">
        <f>IFERROR(__xludf.DUMMYFUNCTION("""COMPUTED_VALUE"""),"MYNTRA")</f>
        <v>MYNTRA</v>
      </c>
      <c r="D4500" s="115">
        <f>IFERROR(__xludf.DUMMYFUNCTION("""COMPUTED_VALUE"""),23364.0)</f>
        <v>23364</v>
      </c>
      <c r="E4500" s="115">
        <f>IFERROR(__xludf.DUMMYFUNCTION("""COMPUTED_VALUE"""),5070.0)</f>
        <v>5070</v>
      </c>
      <c r="F4500" s="115">
        <f>IFERROR(__xludf.DUMMYFUNCTION("""COMPUTED_VALUE"""),5365.0)</f>
        <v>5365</v>
      </c>
      <c r="G4500" s="115">
        <f>IFERROR(__xludf.DUMMYFUNCTION("""COMPUTED_VALUE"""),409.0)</f>
        <v>409</v>
      </c>
      <c r="H4500" s="116">
        <f>IFERROR(__xludf.DUMMYFUNCTION("""COMPUTED_VALUE"""),45909.0)</f>
        <v>45909</v>
      </c>
      <c r="I4500" s="115" t="str">
        <f>IFERROR(__xludf.DUMMYFUNCTION("""COMPUTED_VALUE"""),"11")</f>
        <v>11</v>
      </c>
      <c r="J4500" s="115" t="str">
        <f>IFERROR(__xludf.DUMMYFUNCTION("""COMPUTED_VALUE"""),"Pradeep Kothari2025-09-0911")</f>
        <v>Pradeep Kothari2025-09-0911</v>
      </c>
      <c r="K4500" s="115">
        <f>IFERROR(__xludf.DUMMYFUNCTION("""COMPUTED_VALUE"""),28434.0)</f>
        <v>28434</v>
      </c>
    </row>
    <row r="4501">
      <c r="A4501" s="115" t="str">
        <f>IFERROR(__xludf.DUMMYFUNCTION("""COMPUTED_VALUE"""),"SOUTH")</f>
        <v>SOUTH</v>
      </c>
      <c r="B4501" s="115" t="str">
        <f>IFERROR(__xludf.DUMMYFUNCTION("""COMPUTED_VALUE"""),"0")</f>
        <v>0</v>
      </c>
      <c r="C4501" s="115" t="str">
        <f>IFERROR(__xludf.DUMMYFUNCTION("""COMPUTED_VALUE"""),"MYNTRA")</f>
        <v>MYNTRA</v>
      </c>
      <c r="D4501" s="115">
        <f>IFERROR(__xludf.DUMMYFUNCTION("""COMPUTED_VALUE"""),4.0)</f>
        <v>4</v>
      </c>
      <c r="E4501" s="115">
        <f>IFERROR(__xludf.DUMMYFUNCTION("""COMPUTED_VALUE"""),0.0)</f>
        <v>0</v>
      </c>
      <c r="F4501" s="115">
        <f>IFERROR(__xludf.DUMMYFUNCTION("""COMPUTED_VALUE"""),0.0)</f>
        <v>0</v>
      </c>
      <c r="G4501" s="115">
        <f>IFERROR(__xludf.DUMMYFUNCTION("""COMPUTED_VALUE"""),0.0)</f>
        <v>0</v>
      </c>
      <c r="H4501" s="116">
        <f>IFERROR(__xludf.DUMMYFUNCTION("""COMPUTED_VALUE"""),45909.0)</f>
        <v>45909</v>
      </c>
      <c r="I4501" s="115" t="str">
        <f>IFERROR(__xludf.DUMMYFUNCTION("""COMPUTED_VALUE"""),"11")</f>
        <v>11</v>
      </c>
      <c r="J4501" s="115" t="str">
        <f>IFERROR(__xludf.DUMMYFUNCTION("""COMPUTED_VALUE"""),"02025-09-0911")</f>
        <v>02025-09-0911</v>
      </c>
      <c r="K4501" s="115">
        <f>IFERROR(__xludf.DUMMYFUNCTION("""COMPUTED_VALUE"""),4.0)</f>
        <v>4</v>
      </c>
    </row>
    <row r="4502">
      <c r="A4502" s="115" t="str">
        <f>IFERROR(__xludf.DUMMYFUNCTION("""COMPUTED_VALUE"""),"SOUTH")</f>
        <v>SOUTH</v>
      </c>
      <c r="B4502" s="115" t="str">
        <f>IFERROR(__xludf.DUMMYFUNCTION("""COMPUTED_VALUE"""),"Kandula Sampath")</f>
        <v>Kandula Sampath</v>
      </c>
      <c r="C4502" s="115" t="str">
        <f>IFERROR(__xludf.DUMMYFUNCTION("""COMPUTED_VALUE"""),"EXTERNAL")</f>
        <v>EXTERNAL</v>
      </c>
      <c r="D4502" s="115">
        <f>IFERROR(__xludf.DUMMYFUNCTION("""COMPUTED_VALUE"""),28795.0)</f>
        <v>28795</v>
      </c>
      <c r="E4502" s="115">
        <f>IFERROR(__xludf.DUMMYFUNCTION("""COMPUTED_VALUE"""),3583.0)</f>
        <v>3583</v>
      </c>
      <c r="F4502" s="115">
        <f>IFERROR(__xludf.DUMMYFUNCTION("""COMPUTED_VALUE"""),3358.0)</f>
        <v>3358</v>
      </c>
      <c r="G4502" s="115">
        <f>IFERROR(__xludf.DUMMYFUNCTION("""COMPUTED_VALUE"""),115.0)</f>
        <v>115</v>
      </c>
      <c r="H4502" s="116">
        <f>IFERROR(__xludf.DUMMYFUNCTION("""COMPUTED_VALUE"""),45909.0)</f>
        <v>45909</v>
      </c>
      <c r="I4502" s="115" t="str">
        <f>IFERROR(__xludf.DUMMYFUNCTION("""COMPUTED_VALUE"""),"11")</f>
        <v>11</v>
      </c>
      <c r="J4502" s="115" t="str">
        <f>IFERROR(__xludf.DUMMYFUNCTION("""COMPUTED_VALUE"""),"Kandula Sampath2025-09-0911")</f>
        <v>Kandula Sampath2025-09-0911</v>
      </c>
      <c r="K4502" s="115">
        <f>IFERROR(__xludf.DUMMYFUNCTION("""COMPUTED_VALUE"""),32378.0)</f>
        <v>32378</v>
      </c>
    </row>
    <row r="4503">
      <c r="A4503" s="115" t="str">
        <f>IFERROR(__xludf.DUMMYFUNCTION("""COMPUTED_VALUE"""),"SOUTH")</f>
        <v>SOUTH</v>
      </c>
      <c r="B4503" s="115" t="str">
        <f>IFERROR(__xludf.DUMMYFUNCTION("""COMPUTED_VALUE"""),"Kandula Sampath")</f>
        <v>Kandula Sampath</v>
      </c>
      <c r="C4503" s="115" t="str">
        <f>IFERROR(__xludf.DUMMYFUNCTION("""COMPUTED_VALUE"""),"FLIPKART")</f>
        <v>FLIPKART</v>
      </c>
      <c r="D4503" s="115">
        <f>IFERROR(__xludf.DUMMYFUNCTION("""COMPUTED_VALUE"""),282153.0)</f>
        <v>282153</v>
      </c>
      <c r="E4503" s="115">
        <f>IFERROR(__xludf.DUMMYFUNCTION("""COMPUTED_VALUE"""),28065.0)</f>
        <v>28065</v>
      </c>
      <c r="F4503" s="115">
        <f>IFERROR(__xludf.DUMMYFUNCTION("""COMPUTED_VALUE"""),62242.0)</f>
        <v>62242</v>
      </c>
      <c r="G4503" s="115">
        <f>IFERROR(__xludf.DUMMYFUNCTION("""COMPUTED_VALUE"""),1143.0)</f>
        <v>1143</v>
      </c>
      <c r="H4503" s="116">
        <f>IFERROR(__xludf.DUMMYFUNCTION("""COMPUTED_VALUE"""),45909.0)</f>
        <v>45909</v>
      </c>
      <c r="I4503" s="115" t="str">
        <f>IFERROR(__xludf.DUMMYFUNCTION("""COMPUTED_VALUE"""),"11")</f>
        <v>11</v>
      </c>
      <c r="J4503" s="115" t="str">
        <f>IFERROR(__xludf.DUMMYFUNCTION("""COMPUTED_VALUE"""),"Kandula Sampath2025-09-0911")</f>
        <v>Kandula Sampath2025-09-0911</v>
      </c>
      <c r="K4503" s="115">
        <f>IFERROR(__xludf.DUMMYFUNCTION("""COMPUTED_VALUE"""),310218.0)</f>
        <v>310218</v>
      </c>
    </row>
    <row r="4504">
      <c r="A4504" s="115" t="str">
        <f>IFERROR(__xludf.DUMMYFUNCTION("""COMPUTED_VALUE"""),"SOUTH")</f>
        <v>SOUTH</v>
      </c>
      <c r="B4504" s="115" t="str">
        <f>IFERROR(__xludf.DUMMYFUNCTION("""COMPUTED_VALUE"""),"Kandula Sampath")</f>
        <v>Kandula Sampath</v>
      </c>
      <c r="C4504" s="115" t="str">
        <f>IFERROR(__xludf.DUMMYFUNCTION("""COMPUTED_VALUE"""),"MYNTRA")</f>
        <v>MYNTRA</v>
      </c>
      <c r="D4504" s="115">
        <f>IFERROR(__xludf.DUMMYFUNCTION("""COMPUTED_VALUE"""),34257.0)</f>
        <v>34257</v>
      </c>
      <c r="E4504" s="115">
        <f>IFERROR(__xludf.DUMMYFUNCTION("""COMPUTED_VALUE"""),7908.0)</f>
        <v>7908</v>
      </c>
      <c r="F4504" s="115">
        <f>IFERROR(__xludf.DUMMYFUNCTION("""COMPUTED_VALUE"""),9117.0)</f>
        <v>9117</v>
      </c>
      <c r="G4504" s="115">
        <f>IFERROR(__xludf.DUMMYFUNCTION("""COMPUTED_VALUE"""),392.0)</f>
        <v>392</v>
      </c>
      <c r="H4504" s="116">
        <f>IFERROR(__xludf.DUMMYFUNCTION("""COMPUTED_VALUE"""),45909.0)</f>
        <v>45909</v>
      </c>
      <c r="I4504" s="115" t="str">
        <f>IFERROR(__xludf.DUMMYFUNCTION("""COMPUTED_VALUE"""),"11")</f>
        <v>11</v>
      </c>
      <c r="J4504" s="115" t="str">
        <f>IFERROR(__xludf.DUMMYFUNCTION("""COMPUTED_VALUE"""),"Kandula Sampath2025-09-0911")</f>
        <v>Kandula Sampath2025-09-0911</v>
      </c>
      <c r="K4504" s="115">
        <f>IFERROR(__xludf.DUMMYFUNCTION("""COMPUTED_VALUE"""),42165.0)</f>
        <v>42165</v>
      </c>
    </row>
    <row r="4505">
      <c r="A4505" s="115" t="str">
        <f>IFERROR(__xludf.DUMMYFUNCTION("""COMPUTED_VALUE"""),"SOUTH")</f>
        <v>SOUTH</v>
      </c>
      <c r="B4505" s="115" t="str">
        <f>IFERROR(__xludf.DUMMYFUNCTION("""COMPUTED_VALUE"""),"Martin A")</f>
        <v>Martin A</v>
      </c>
      <c r="C4505" s="115" t="str">
        <f>IFERROR(__xludf.DUMMYFUNCTION("""COMPUTED_VALUE"""),"EXTERNAL")</f>
        <v>EXTERNAL</v>
      </c>
      <c r="D4505" s="115">
        <f>IFERROR(__xludf.DUMMYFUNCTION("""COMPUTED_VALUE"""),24548.0)</f>
        <v>24548</v>
      </c>
      <c r="E4505" s="115">
        <f>IFERROR(__xludf.DUMMYFUNCTION("""COMPUTED_VALUE"""),3558.0)</f>
        <v>3558</v>
      </c>
      <c r="F4505" s="115">
        <f>IFERROR(__xludf.DUMMYFUNCTION("""COMPUTED_VALUE"""),2838.0)</f>
        <v>2838</v>
      </c>
      <c r="G4505" s="115">
        <f>IFERROR(__xludf.DUMMYFUNCTION("""COMPUTED_VALUE"""),195.0)</f>
        <v>195</v>
      </c>
      <c r="H4505" s="116">
        <f>IFERROR(__xludf.DUMMYFUNCTION("""COMPUTED_VALUE"""),45909.0)</f>
        <v>45909</v>
      </c>
      <c r="I4505" s="115" t="str">
        <f>IFERROR(__xludf.DUMMYFUNCTION("""COMPUTED_VALUE"""),"11")</f>
        <v>11</v>
      </c>
      <c r="J4505" s="115" t="str">
        <f>IFERROR(__xludf.DUMMYFUNCTION("""COMPUTED_VALUE"""),"Martin A2025-09-0911")</f>
        <v>Martin A2025-09-0911</v>
      </c>
      <c r="K4505" s="115">
        <f>IFERROR(__xludf.DUMMYFUNCTION("""COMPUTED_VALUE"""),28106.0)</f>
        <v>28106</v>
      </c>
    </row>
    <row r="4506">
      <c r="A4506" s="115" t="str">
        <f>IFERROR(__xludf.DUMMYFUNCTION("""COMPUTED_VALUE"""),"SOUTH")</f>
        <v>SOUTH</v>
      </c>
      <c r="B4506" s="115" t="str">
        <f>IFERROR(__xludf.DUMMYFUNCTION("""COMPUTED_VALUE"""),"Martin A")</f>
        <v>Martin A</v>
      </c>
      <c r="C4506" s="115" t="str">
        <f>IFERROR(__xludf.DUMMYFUNCTION("""COMPUTED_VALUE"""),"FLIPKART")</f>
        <v>FLIPKART</v>
      </c>
      <c r="D4506" s="115">
        <f>IFERROR(__xludf.DUMMYFUNCTION("""COMPUTED_VALUE"""),220860.0)</f>
        <v>220860</v>
      </c>
      <c r="E4506" s="115">
        <f>IFERROR(__xludf.DUMMYFUNCTION("""COMPUTED_VALUE"""),22894.0)</f>
        <v>22894</v>
      </c>
      <c r="F4506" s="115">
        <f>IFERROR(__xludf.DUMMYFUNCTION("""COMPUTED_VALUE"""),44448.0)</f>
        <v>44448</v>
      </c>
      <c r="G4506" s="115">
        <f>IFERROR(__xludf.DUMMYFUNCTION("""COMPUTED_VALUE"""),1384.0)</f>
        <v>1384</v>
      </c>
      <c r="H4506" s="116">
        <f>IFERROR(__xludf.DUMMYFUNCTION("""COMPUTED_VALUE"""),45909.0)</f>
        <v>45909</v>
      </c>
      <c r="I4506" s="115" t="str">
        <f>IFERROR(__xludf.DUMMYFUNCTION("""COMPUTED_VALUE"""),"11")</f>
        <v>11</v>
      </c>
      <c r="J4506" s="115" t="str">
        <f>IFERROR(__xludf.DUMMYFUNCTION("""COMPUTED_VALUE"""),"Martin A2025-09-0911")</f>
        <v>Martin A2025-09-0911</v>
      </c>
      <c r="K4506" s="115">
        <f>IFERROR(__xludf.DUMMYFUNCTION("""COMPUTED_VALUE"""),243754.0)</f>
        <v>243754</v>
      </c>
    </row>
    <row r="4507">
      <c r="A4507" s="115" t="str">
        <f>IFERROR(__xludf.DUMMYFUNCTION("""COMPUTED_VALUE"""),"SOUTH")</f>
        <v>SOUTH</v>
      </c>
      <c r="B4507" s="115" t="str">
        <f>IFERROR(__xludf.DUMMYFUNCTION("""COMPUTED_VALUE"""),"Martin A")</f>
        <v>Martin A</v>
      </c>
      <c r="C4507" s="115" t="str">
        <f>IFERROR(__xludf.DUMMYFUNCTION("""COMPUTED_VALUE"""),"MYNTRA")</f>
        <v>MYNTRA</v>
      </c>
      <c r="D4507" s="115">
        <f>IFERROR(__xludf.DUMMYFUNCTION("""COMPUTED_VALUE"""),20435.0)</f>
        <v>20435</v>
      </c>
      <c r="E4507" s="115">
        <f>IFERROR(__xludf.DUMMYFUNCTION("""COMPUTED_VALUE"""),6125.0)</f>
        <v>6125</v>
      </c>
      <c r="F4507" s="115">
        <f>IFERROR(__xludf.DUMMYFUNCTION("""COMPUTED_VALUE"""),5004.0)</f>
        <v>5004</v>
      </c>
      <c r="G4507" s="115">
        <f>IFERROR(__xludf.DUMMYFUNCTION("""COMPUTED_VALUE"""),468.0)</f>
        <v>468</v>
      </c>
      <c r="H4507" s="116">
        <f>IFERROR(__xludf.DUMMYFUNCTION("""COMPUTED_VALUE"""),45909.0)</f>
        <v>45909</v>
      </c>
      <c r="I4507" s="115" t="str">
        <f>IFERROR(__xludf.DUMMYFUNCTION("""COMPUTED_VALUE"""),"11")</f>
        <v>11</v>
      </c>
      <c r="J4507" s="115" t="str">
        <f>IFERROR(__xludf.DUMMYFUNCTION("""COMPUTED_VALUE"""),"Martin A2025-09-0911")</f>
        <v>Martin A2025-09-0911</v>
      </c>
      <c r="K4507" s="115">
        <f>IFERROR(__xludf.DUMMYFUNCTION("""COMPUTED_VALUE"""),26560.0)</f>
        <v>26560</v>
      </c>
    </row>
    <row r="4508">
      <c r="A4508" s="115" t="str">
        <f>IFERROR(__xludf.DUMMYFUNCTION("""COMPUTED_VALUE"""),"SOUTH")</f>
        <v>SOUTH</v>
      </c>
      <c r="B4508" s="115" t="str">
        <f>IFERROR(__xludf.DUMMYFUNCTION("""COMPUTED_VALUE"""),"Premkumar M")</f>
        <v>Premkumar M</v>
      </c>
      <c r="C4508" s="115" t="str">
        <f>IFERROR(__xludf.DUMMYFUNCTION("""COMPUTED_VALUE"""),"EXTERNAL")</f>
        <v>EXTERNAL</v>
      </c>
      <c r="D4508" s="115">
        <f>IFERROR(__xludf.DUMMYFUNCTION("""COMPUTED_VALUE"""),18005.0)</f>
        <v>18005</v>
      </c>
      <c r="E4508" s="115">
        <f>IFERROR(__xludf.DUMMYFUNCTION("""COMPUTED_VALUE"""),1336.0)</f>
        <v>1336</v>
      </c>
      <c r="F4508" s="115">
        <f>IFERROR(__xludf.DUMMYFUNCTION("""COMPUTED_VALUE"""),1412.0)</f>
        <v>1412</v>
      </c>
      <c r="G4508" s="115">
        <f>IFERROR(__xludf.DUMMYFUNCTION("""COMPUTED_VALUE"""),17.0)</f>
        <v>17</v>
      </c>
      <c r="H4508" s="116">
        <f>IFERROR(__xludf.DUMMYFUNCTION("""COMPUTED_VALUE"""),45909.0)</f>
        <v>45909</v>
      </c>
      <c r="I4508" s="115" t="str">
        <f>IFERROR(__xludf.DUMMYFUNCTION("""COMPUTED_VALUE"""),"11")</f>
        <v>11</v>
      </c>
      <c r="J4508" s="115" t="str">
        <f>IFERROR(__xludf.DUMMYFUNCTION("""COMPUTED_VALUE"""),"Premkumar M2025-09-0911")</f>
        <v>Premkumar M2025-09-0911</v>
      </c>
      <c r="K4508" s="115">
        <f>IFERROR(__xludf.DUMMYFUNCTION("""COMPUTED_VALUE"""),19341.0)</f>
        <v>19341</v>
      </c>
    </row>
    <row r="4509">
      <c r="A4509" s="115" t="str">
        <f>IFERROR(__xludf.DUMMYFUNCTION("""COMPUTED_VALUE"""),"SOUTH")</f>
        <v>SOUTH</v>
      </c>
      <c r="B4509" s="115" t="str">
        <f>IFERROR(__xludf.DUMMYFUNCTION("""COMPUTED_VALUE"""),"Premkumar M")</f>
        <v>Premkumar M</v>
      </c>
      <c r="C4509" s="115" t="str">
        <f>IFERROR(__xludf.DUMMYFUNCTION("""COMPUTED_VALUE"""),"FLIPKART")</f>
        <v>FLIPKART</v>
      </c>
      <c r="D4509" s="115">
        <f>IFERROR(__xludf.DUMMYFUNCTION("""COMPUTED_VALUE"""),179649.0)</f>
        <v>179649</v>
      </c>
      <c r="E4509" s="115">
        <f>IFERROR(__xludf.DUMMYFUNCTION("""COMPUTED_VALUE"""),12638.0)</f>
        <v>12638</v>
      </c>
      <c r="F4509" s="115">
        <f>IFERROR(__xludf.DUMMYFUNCTION("""COMPUTED_VALUE"""),22277.0)</f>
        <v>22277</v>
      </c>
      <c r="G4509" s="115">
        <f>IFERROR(__xludf.DUMMYFUNCTION("""COMPUTED_VALUE"""),264.0)</f>
        <v>264</v>
      </c>
      <c r="H4509" s="116">
        <f>IFERROR(__xludf.DUMMYFUNCTION("""COMPUTED_VALUE"""),45909.0)</f>
        <v>45909</v>
      </c>
      <c r="I4509" s="115" t="str">
        <f>IFERROR(__xludf.DUMMYFUNCTION("""COMPUTED_VALUE"""),"11")</f>
        <v>11</v>
      </c>
      <c r="J4509" s="115" t="str">
        <f>IFERROR(__xludf.DUMMYFUNCTION("""COMPUTED_VALUE"""),"Premkumar M2025-09-0911")</f>
        <v>Premkumar M2025-09-0911</v>
      </c>
      <c r="K4509" s="115">
        <f>IFERROR(__xludf.DUMMYFUNCTION("""COMPUTED_VALUE"""),192287.0)</f>
        <v>192287</v>
      </c>
    </row>
    <row r="4510">
      <c r="A4510" s="115" t="str">
        <f>IFERROR(__xludf.DUMMYFUNCTION("""COMPUTED_VALUE"""),"SOUTH")</f>
        <v>SOUTH</v>
      </c>
      <c r="B4510" s="115" t="str">
        <f>IFERROR(__xludf.DUMMYFUNCTION("""COMPUTED_VALUE"""),"Premkumar M")</f>
        <v>Premkumar M</v>
      </c>
      <c r="C4510" s="115" t="str">
        <f>IFERROR(__xludf.DUMMYFUNCTION("""COMPUTED_VALUE"""),"MYNTRA")</f>
        <v>MYNTRA</v>
      </c>
      <c r="D4510" s="115">
        <f>IFERROR(__xludf.DUMMYFUNCTION("""COMPUTED_VALUE"""),10181.0)</f>
        <v>10181</v>
      </c>
      <c r="E4510" s="115">
        <f>IFERROR(__xludf.DUMMYFUNCTION("""COMPUTED_VALUE"""),2092.0)</f>
        <v>2092</v>
      </c>
      <c r="F4510" s="115">
        <f>IFERROR(__xludf.DUMMYFUNCTION("""COMPUTED_VALUE"""),1457.0)</f>
        <v>1457</v>
      </c>
      <c r="G4510" s="115">
        <f>IFERROR(__xludf.DUMMYFUNCTION("""COMPUTED_VALUE"""),44.0)</f>
        <v>44</v>
      </c>
      <c r="H4510" s="116">
        <f>IFERROR(__xludf.DUMMYFUNCTION("""COMPUTED_VALUE"""),45909.0)</f>
        <v>45909</v>
      </c>
      <c r="I4510" s="115" t="str">
        <f>IFERROR(__xludf.DUMMYFUNCTION("""COMPUTED_VALUE"""),"11")</f>
        <v>11</v>
      </c>
      <c r="J4510" s="115" t="str">
        <f>IFERROR(__xludf.DUMMYFUNCTION("""COMPUTED_VALUE"""),"Premkumar M2025-09-0911")</f>
        <v>Premkumar M2025-09-0911</v>
      </c>
      <c r="K4510" s="115">
        <f>IFERROR(__xludf.DUMMYFUNCTION("""COMPUTED_VALUE"""),12273.0)</f>
        <v>12273</v>
      </c>
    </row>
    <row r="4511">
      <c r="A4511" s="115" t="str">
        <f>IFERROR(__xludf.DUMMYFUNCTION("""COMPUTED_VALUE"""),"SOUTH")</f>
        <v>SOUTH</v>
      </c>
      <c r="B4511" s="115" t="str">
        <f>IFERROR(__xludf.DUMMYFUNCTION("""COMPUTED_VALUE"""),"Vineeth V")</f>
        <v>Vineeth V</v>
      </c>
      <c r="C4511" s="115" t="str">
        <f>IFERROR(__xludf.DUMMYFUNCTION("""COMPUTED_VALUE"""),"EXTERNAL")</f>
        <v>EXTERNAL</v>
      </c>
      <c r="D4511" s="115">
        <f>IFERROR(__xludf.DUMMYFUNCTION("""COMPUTED_VALUE"""),13613.0)</f>
        <v>13613</v>
      </c>
      <c r="E4511" s="115">
        <f>IFERROR(__xludf.DUMMYFUNCTION("""COMPUTED_VALUE"""),356.0)</f>
        <v>356</v>
      </c>
      <c r="F4511" s="115">
        <f>IFERROR(__xludf.DUMMYFUNCTION("""COMPUTED_VALUE"""),670.0)</f>
        <v>670</v>
      </c>
      <c r="G4511" s="115">
        <f>IFERROR(__xludf.DUMMYFUNCTION("""COMPUTED_VALUE"""),7.0)</f>
        <v>7</v>
      </c>
      <c r="H4511" s="116">
        <f>IFERROR(__xludf.DUMMYFUNCTION("""COMPUTED_VALUE"""),45909.0)</f>
        <v>45909</v>
      </c>
      <c r="I4511" s="115" t="str">
        <f>IFERROR(__xludf.DUMMYFUNCTION("""COMPUTED_VALUE"""),"11")</f>
        <v>11</v>
      </c>
      <c r="J4511" s="115" t="str">
        <f>IFERROR(__xludf.DUMMYFUNCTION("""COMPUTED_VALUE"""),"Vineeth V2025-09-0911")</f>
        <v>Vineeth V2025-09-0911</v>
      </c>
      <c r="K4511" s="115">
        <f>IFERROR(__xludf.DUMMYFUNCTION("""COMPUTED_VALUE"""),13969.0)</f>
        <v>13969</v>
      </c>
    </row>
    <row r="4512">
      <c r="A4512" s="115" t="str">
        <f>IFERROR(__xludf.DUMMYFUNCTION("""COMPUTED_VALUE"""),"SOUTH")</f>
        <v>SOUTH</v>
      </c>
      <c r="B4512" s="115" t="str">
        <f>IFERROR(__xludf.DUMMYFUNCTION("""COMPUTED_VALUE"""),"Vineeth V")</f>
        <v>Vineeth V</v>
      </c>
      <c r="C4512" s="115" t="str">
        <f>IFERROR(__xludf.DUMMYFUNCTION("""COMPUTED_VALUE"""),"FLIPKART")</f>
        <v>FLIPKART</v>
      </c>
      <c r="D4512" s="115">
        <f>IFERROR(__xludf.DUMMYFUNCTION("""COMPUTED_VALUE"""),143847.0)</f>
        <v>143847</v>
      </c>
      <c r="E4512" s="115">
        <f>IFERROR(__xludf.DUMMYFUNCTION("""COMPUTED_VALUE"""),9332.0)</f>
        <v>9332</v>
      </c>
      <c r="F4512" s="115">
        <f>IFERROR(__xludf.DUMMYFUNCTION("""COMPUTED_VALUE"""),11809.0)</f>
        <v>11809</v>
      </c>
      <c r="G4512" s="115">
        <f>IFERROR(__xludf.DUMMYFUNCTION("""COMPUTED_VALUE"""),102.0)</f>
        <v>102</v>
      </c>
      <c r="H4512" s="116">
        <f>IFERROR(__xludf.DUMMYFUNCTION("""COMPUTED_VALUE"""),45909.0)</f>
        <v>45909</v>
      </c>
      <c r="I4512" s="115" t="str">
        <f>IFERROR(__xludf.DUMMYFUNCTION("""COMPUTED_VALUE"""),"11")</f>
        <v>11</v>
      </c>
      <c r="J4512" s="115" t="str">
        <f>IFERROR(__xludf.DUMMYFUNCTION("""COMPUTED_VALUE"""),"Vineeth V2025-09-0911")</f>
        <v>Vineeth V2025-09-0911</v>
      </c>
      <c r="K4512" s="115">
        <f>IFERROR(__xludf.DUMMYFUNCTION("""COMPUTED_VALUE"""),153179.0)</f>
        <v>153179</v>
      </c>
    </row>
    <row r="4513">
      <c r="A4513" s="115" t="str">
        <f>IFERROR(__xludf.DUMMYFUNCTION("""COMPUTED_VALUE"""),"SOUTH")</f>
        <v>SOUTH</v>
      </c>
      <c r="B4513" s="115" t="str">
        <f>IFERROR(__xludf.DUMMYFUNCTION("""COMPUTED_VALUE"""),"Vineeth V")</f>
        <v>Vineeth V</v>
      </c>
      <c r="C4513" s="115" t="str">
        <f>IFERROR(__xludf.DUMMYFUNCTION("""COMPUTED_VALUE"""),"MYNTRA")</f>
        <v>MYNTRA</v>
      </c>
      <c r="D4513" s="115">
        <f>IFERROR(__xludf.DUMMYFUNCTION("""COMPUTED_VALUE"""),11954.0)</f>
        <v>11954</v>
      </c>
      <c r="E4513" s="115">
        <f>IFERROR(__xludf.DUMMYFUNCTION("""COMPUTED_VALUE"""),2362.0)</f>
        <v>2362</v>
      </c>
      <c r="F4513" s="115">
        <f>IFERROR(__xludf.DUMMYFUNCTION("""COMPUTED_VALUE"""),1128.0)</f>
        <v>1128</v>
      </c>
      <c r="G4513" s="115">
        <f>IFERROR(__xludf.DUMMYFUNCTION("""COMPUTED_VALUE"""),33.0)</f>
        <v>33</v>
      </c>
      <c r="H4513" s="116">
        <f>IFERROR(__xludf.DUMMYFUNCTION("""COMPUTED_VALUE"""),45909.0)</f>
        <v>45909</v>
      </c>
      <c r="I4513" s="115" t="str">
        <f>IFERROR(__xludf.DUMMYFUNCTION("""COMPUTED_VALUE"""),"11")</f>
        <v>11</v>
      </c>
      <c r="J4513" s="115" t="str">
        <f>IFERROR(__xludf.DUMMYFUNCTION("""COMPUTED_VALUE"""),"Vineeth V2025-09-0911")</f>
        <v>Vineeth V2025-09-0911</v>
      </c>
      <c r="K4513" s="115">
        <f>IFERROR(__xludf.DUMMYFUNCTION("""COMPUTED_VALUE"""),14316.0)</f>
        <v>14316</v>
      </c>
    </row>
    <row r="4514">
      <c r="A4514" s="115" t="str">
        <f>IFERROR(__xludf.DUMMYFUNCTION("""COMPUTED_VALUE"""),"WEST")</f>
        <v>WEST</v>
      </c>
      <c r="B4514" s="115" t="str">
        <f>IFERROR(__xludf.DUMMYFUNCTION("""COMPUTED_VALUE"""),"Ashish Jakar")</f>
        <v>Ashish Jakar</v>
      </c>
      <c r="C4514" s="115" t="str">
        <f>IFERROR(__xludf.DUMMYFUNCTION("""COMPUTED_VALUE"""),"EXTERNAL")</f>
        <v>EXTERNAL</v>
      </c>
      <c r="D4514" s="115">
        <f>IFERROR(__xludf.DUMMYFUNCTION("""COMPUTED_VALUE"""),38541.0)</f>
        <v>38541</v>
      </c>
      <c r="E4514" s="115">
        <f>IFERROR(__xludf.DUMMYFUNCTION("""COMPUTED_VALUE"""),6392.0)</f>
        <v>6392</v>
      </c>
      <c r="F4514" s="115">
        <f>IFERROR(__xludf.DUMMYFUNCTION("""COMPUTED_VALUE"""),3015.0)</f>
        <v>3015</v>
      </c>
      <c r="G4514" s="115">
        <f>IFERROR(__xludf.DUMMYFUNCTION("""COMPUTED_VALUE"""),297.0)</f>
        <v>297</v>
      </c>
      <c r="H4514" s="116">
        <f>IFERROR(__xludf.DUMMYFUNCTION("""COMPUTED_VALUE"""),45909.0)</f>
        <v>45909</v>
      </c>
      <c r="I4514" s="115" t="str">
        <f>IFERROR(__xludf.DUMMYFUNCTION("""COMPUTED_VALUE"""),"11")</f>
        <v>11</v>
      </c>
      <c r="J4514" s="115" t="str">
        <f>IFERROR(__xludf.DUMMYFUNCTION("""COMPUTED_VALUE"""),"Ashish Jakar2025-09-0911")</f>
        <v>Ashish Jakar2025-09-0911</v>
      </c>
      <c r="K4514" s="115">
        <f>IFERROR(__xludf.DUMMYFUNCTION("""COMPUTED_VALUE"""),44933.0)</f>
        <v>44933</v>
      </c>
    </row>
    <row r="4515">
      <c r="A4515" s="115" t="str">
        <f>IFERROR(__xludf.DUMMYFUNCTION("""COMPUTED_VALUE"""),"WEST")</f>
        <v>WEST</v>
      </c>
      <c r="B4515" s="115" t="str">
        <f>IFERROR(__xludf.DUMMYFUNCTION("""COMPUTED_VALUE"""),"Ashish Jakar")</f>
        <v>Ashish Jakar</v>
      </c>
      <c r="C4515" s="115" t="str">
        <f>IFERROR(__xludf.DUMMYFUNCTION("""COMPUTED_VALUE"""),"FLIPKART")</f>
        <v>FLIPKART</v>
      </c>
      <c r="D4515" s="115">
        <f>IFERROR(__xludf.DUMMYFUNCTION("""COMPUTED_VALUE"""),259878.0)</f>
        <v>259878</v>
      </c>
      <c r="E4515" s="115">
        <f>IFERROR(__xludf.DUMMYFUNCTION("""COMPUTED_VALUE"""),27182.0)</f>
        <v>27182</v>
      </c>
      <c r="F4515" s="115">
        <f>IFERROR(__xludf.DUMMYFUNCTION("""COMPUTED_VALUE"""),39356.0)</f>
        <v>39356</v>
      </c>
      <c r="G4515" s="115">
        <f>IFERROR(__xludf.DUMMYFUNCTION("""COMPUTED_VALUE"""),1494.0)</f>
        <v>1494</v>
      </c>
      <c r="H4515" s="116">
        <f>IFERROR(__xludf.DUMMYFUNCTION("""COMPUTED_VALUE"""),45909.0)</f>
        <v>45909</v>
      </c>
      <c r="I4515" s="115" t="str">
        <f>IFERROR(__xludf.DUMMYFUNCTION("""COMPUTED_VALUE"""),"11")</f>
        <v>11</v>
      </c>
      <c r="J4515" s="115" t="str">
        <f>IFERROR(__xludf.DUMMYFUNCTION("""COMPUTED_VALUE"""),"Ashish Jakar2025-09-0911")</f>
        <v>Ashish Jakar2025-09-0911</v>
      </c>
      <c r="K4515" s="115">
        <f>IFERROR(__xludf.DUMMYFUNCTION("""COMPUTED_VALUE"""),287060.0)</f>
        <v>287060</v>
      </c>
    </row>
    <row r="4516">
      <c r="A4516" s="115" t="str">
        <f>IFERROR(__xludf.DUMMYFUNCTION("""COMPUTED_VALUE"""),"WEST")</f>
        <v>WEST</v>
      </c>
      <c r="B4516" s="115" t="str">
        <f>IFERROR(__xludf.DUMMYFUNCTION("""COMPUTED_VALUE"""),"Ashish Jakar")</f>
        <v>Ashish Jakar</v>
      </c>
      <c r="C4516" s="115" t="str">
        <f>IFERROR(__xludf.DUMMYFUNCTION("""COMPUTED_VALUE"""),"MYNTRA")</f>
        <v>MYNTRA</v>
      </c>
      <c r="D4516" s="115">
        <f>IFERROR(__xludf.DUMMYFUNCTION("""COMPUTED_VALUE"""),30926.0)</f>
        <v>30926</v>
      </c>
      <c r="E4516" s="115">
        <f>IFERROR(__xludf.DUMMYFUNCTION("""COMPUTED_VALUE"""),9332.0)</f>
        <v>9332</v>
      </c>
      <c r="F4516" s="115">
        <f>IFERROR(__xludf.DUMMYFUNCTION("""COMPUTED_VALUE"""),5958.0)</f>
        <v>5958</v>
      </c>
      <c r="G4516" s="115">
        <f>IFERROR(__xludf.DUMMYFUNCTION("""COMPUTED_VALUE"""),524.0)</f>
        <v>524</v>
      </c>
      <c r="H4516" s="116">
        <f>IFERROR(__xludf.DUMMYFUNCTION("""COMPUTED_VALUE"""),45909.0)</f>
        <v>45909</v>
      </c>
      <c r="I4516" s="115" t="str">
        <f>IFERROR(__xludf.DUMMYFUNCTION("""COMPUTED_VALUE"""),"11")</f>
        <v>11</v>
      </c>
      <c r="J4516" s="115" t="str">
        <f>IFERROR(__xludf.DUMMYFUNCTION("""COMPUTED_VALUE"""),"Ashish Jakar2025-09-0911")</f>
        <v>Ashish Jakar2025-09-0911</v>
      </c>
      <c r="K4516" s="115">
        <f>IFERROR(__xludf.DUMMYFUNCTION("""COMPUTED_VALUE"""),40258.0)</f>
        <v>40258</v>
      </c>
    </row>
    <row r="4517">
      <c r="A4517" s="115" t="str">
        <f>IFERROR(__xludf.DUMMYFUNCTION("""COMPUTED_VALUE"""),"WEST")</f>
        <v>WEST</v>
      </c>
      <c r="B4517" s="115" t="str">
        <f>IFERROR(__xludf.DUMMYFUNCTION("""COMPUTED_VALUE"""),"Ashvani Bhatt")</f>
        <v>Ashvani Bhatt</v>
      </c>
      <c r="C4517" s="115" t="str">
        <f>IFERROR(__xludf.DUMMYFUNCTION("""COMPUTED_VALUE"""),"EXTERNAL")</f>
        <v>EXTERNAL</v>
      </c>
      <c r="D4517" s="115">
        <f>IFERROR(__xludf.DUMMYFUNCTION("""COMPUTED_VALUE"""),28465.0)</f>
        <v>28465</v>
      </c>
      <c r="E4517" s="115">
        <f>IFERROR(__xludf.DUMMYFUNCTION("""COMPUTED_VALUE"""),2574.0)</f>
        <v>2574</v>
      </c>
      <c r="F4517" s="115">
        <f>IFERROR(__xludf.DUMMYFUNCTION("""COMPUTED_VALUE"""),2701.0)</f>
        <v>2701</v>
      </c>
      <c r="G4517" s="115">
        <f>IFERROR(__xludf.DUMMYFUNCTION("""COMPUTED_VALUE"""),84.0)</f>
        <v>84</v>
      </c>
      <c r="H4517" s="116">
        <f>IFERROR(__xludf.DUMMYFUNCTION("""COMPUTED_VALUE"""),45909.0)</f>
        <v>45909</v>
      </c>
      <c r="I4517" s="115" t="str">
        <f>IFERROR(__xludf.DUMMYFUNCTION("""COMPUTED_VALUE"""),"11")</f>
        <v>11</v>
      </c>
      <c r="J4517" s="115" t="str">
        <f>IFERROR(__xludf.DUMMYFUNCTION("""COMPUTED_VALUE"""),"Ashvani Bhatt2025-09-0911")</f>
        <v>Ashvani Bhatt2025-09-0911</v>
      </c>
      <c r="K4517" s="115">
        <f>IFERROR(__xludf.DUMMYFUNCTION("""COMPUTED_VALUE"""),31039.0)</f>
        <v>31039</v>
      </c>
    </row>
    <row r="4518">
      <c r="A4518" s="115" t="str">
        <f>IFERROR(__xludf.DUMMYFUNCTION("""COMPUTED_VALUE"""),"WEST")</f>
        <v>WEST</v>
      </c>
      <c r="B4518" s="115" t="str">
        <f>IFERROR(__xludf.DUMMYFUNCTION("""COMPUTED_VALUE"""),"Ashvani Bhatt")</f>
        <v>Ashvani Bhatt</v>
      </c>
      <c r="C4518" s="115" t="str">
        <f>IFERROR(__xludf.DUMMYFUNCTION("""COMPUTED_VALUE"""),"FLIPKART")</f>
        <v>FLIPKART</v>
      </c>
      <c r="D4518" s="115">
        <f>IFERROR(__xludf.DUMMYFUNCTION("""COMPUTED_VALUE"""),201858.0)</f>
        <v>201858</v>
      </c>
      <c r="E4518" s="115">
        <f>IFERROR(__xludf.DUMMYFUNCTION("""COMPUTED_VALUE"""),20251.0)</f>
        <v>20251</v>
      </c>
      <c r="F4518" s="115">
        <f>IFERROR(__xludf.DUMMYFUNCTION("""COMPUTED_VALUE"""),36582.0)</f>
        <v>36582</v>
      </c>
      <c r="G4518" s="115">
        <f>IFERROR(__xludf.DUMMYFUNCTION("""COMPUTED_VALUE"""),863.0)</f>
        <v>863</v>
      </c>
      <c r="H4518" s="116">
        <f>IFERROR(__xludf.DUMMYFUNCTION("""COMPUTED_VALUE"""),45909.0)</f>
        <v>45909</v>
      </c>
      <c r="I4518" s="115" t="str">
        <f>IFERROR(__xludf.DUMMYFUNCTION("""COMPUTED_VALUE"""),"11")</f>
        <v>11</v>
      </c>
      <c r="J4518" s="115" t="str">
        <f>IFERROR(__xludf.DUMMYFUNCTION("""COMPUTED_VALUE"""),"Ashvani Bhatt2025-09-0911")</f>
        <v>Ashvani Bhatt2025-09-0911</v>
      </c>
      <c r="K4518" s="115">
        <f>IFERROR(__xludf.DUMMYFUNCTION("""COMPUTED_VALUE"""),222109.0)</f>
        <v>222109</v>
      </c>
    </row>
    <row r="4519">
      <c r="A4519" s="115" t="str">
        <f>IFERROR(__xludf.DUMMYFUNCTION("""COMPUTED_VALUE"""),"WEST")</f>
        <v>WEST</v>
      </c>
      <c r="B4519" s="115" t="str">
        <f>IFERROR(__xludf.DUMMYFUNCTION("""COMPUTED_VALUE"""),"Ashvani Bhatt")</f>
        <v>Ashvani Bhatt</v>
      </c>
      <c r="C4519" s="115" t="str">
        <f>IFERROR(__xludf.DUMMYFUNCTION("""COMPUTED_VALUE"""),"MYNTRA")</f>
        <v>MYNTRA</v>
      </c>
      <c r="D4519" s="115">
        <f>IFERROR(__xludf.DUMMYFUNCTION("""COMPUTED_VALUE"""),28102.0)</f>
        <v>28102</v>
      </c>
      <c r="E4519" s="115">
        <f>IFERROR(__xludf.DUMMYFUNCTION("""COMPUTED_VALUE"""),6553.0)</f>
        <v>6553</v>
      </c>
      <c r="F4519" s="115">
        <f>IFERROR(__xludf.DUMMYFUNCTION("""COMPUTED_VALUE"""),6587.0)</f>
        <v>6587</v>
      </c>
      <c r="G4519" s="115">
        <f>IFERROR(__xludf.DUMMYFUNCTION("""COMPUTED_VALUE"""),356.0)</f>
        <v>356</v>
      </c>
      <c r="H4519" s="116">
        <f>IFERROR(__xludf.DUMMYFUNCTION("""COMPUTED_VALUE"""),45909.0)</f>
        <v>45909</v>
      </c>
      <c r="I4519" s="115" t="str">
        <f>IFERROR(__xludf.DUMMYFUNCTION("""COMPUTED_VALUE"""),"11")</f>
        <v>11</v>
      </c>
      <c r="J4519" s="115" t="str">
        <f>IFERROR(__xludf.DUMMYFUNCTION("""COMPUTED_VALUE"""),"Ashvani Bhatt2025-09-0911")</f>
        <v>Ashvani Bhatt2025-09-0911</v>
      </c>
      <c r="K4519" s="115">
        <f>IFERROR(__xludf.DUMMYFUNCTION("""COMPUTED_VALUE"""),34655.0)</f>
        <v>34655</v>
      </c>
    </row>
    <row r="4520">
      <c r="A4520" s="115"/>
      <c r="B4520" s="115"/>
      <c r="C4520" s="115" t="str">
        <f>IFERROR(__xludf.DUMMYFUNCTION("""COMPUTED_VALUE"""),"EXTERNAL")</f>
        <v>EXTERNAL</v>
      </c>
      <c r="D4520" s="115">
        <f>IFERROR(__xludf.DUMMYFUNCTION("""COMPUTED_VALUE"""),279.0)</f>
        <v>279</v>
      </c>
      <c r="E4520" s="115">
        <f>IFERROR(__xludf.DUMMYFUNCTION("""COMPUTED_VALUE"""),56.0)</f>
        <v>56</v>
      </c>
      <c r="F4520" s="115">
        <f>IFERROR(__xludf.DUMMYFUNCTION("""COMPUTED_VALUE"""),14.0)</f>
        <v>14</v>
      </c>
      <c r="G4520" s="115">
        <f>IFERROR(__xludf.DUMMYFUNCTION("""COMPUTED_VALUE"""),8.0)</f>
        <v>8</v>
      </c>
      <c r="H4520" s="116">
        <f>IFERROR(__xludf.DUMMYFUNCTION("""COMPUTED_VALUE"""),45909.0)</f>
        <v>45909</v>
      </c>
      <c r="I4520" s="115" t="str">
        <f>IFERROR(__xludf.DUMMYFUNCTION("""COMPUTED_VALUE"""),"11")</f>
        <v>11</v>
      </c>
      <c r="J4520" s="115" t="str">
        <f>IFERROR(__xludf.DUMMYFUNCTION("""COMPUTED_VALUE"""),"2025-09-0911")</f>
        <v>2025-09-0911</v>
      </c>
      <c r="K4520" s="115">
        <f>IFERROR(__xludf.DUMMYFUNCTION("""COMPUTED_VALUE"""),335.0)</f>
        <v>335</v>
      </c>
    </row>
    <row r="4521">
      <c r="A4521" s="115"/>
      <c r="B4521" s="115"/>
      <c r="C4521" s="115" t="str">
        <f>IFERROR(__xludf.DUMMYFUNCTION("""COMPUTED_VALUE"""),"FLIPKART")</f>
        <v>FLIPKART</v>
      </c>
      <c r="D4521" s="115">
        <f>IFERROR(__xludf.DUMMYFUNCTION("""COMPUTED_VALUE"""),3463.0)</f>
        <v>3463</v>
      </c>
      <c r="E4521" s="115">
        <f>IFERROR(__xludf.DUMMYFUNCTION("""COMPUTED_VALUE"""),297.0)</f>
        <v>297</v>
      </c>
      <c r="F4521" s="115">
        <f>IFERROR(__xludf.DUMMYFUNCTION("""COMPUTED_VALUE"""),194.0)</f>
        <v>194</v>
      </c>
      <c r="G4521" s="115">
        <f>IFERROR(__xludf.DUMMYFUNCTION("""COMPUTED_VALUE"""),38.0)</f>
        <v>38</v>
      </c>
      <c r="H4521" s="116">
        <f>IFERROR(__xludf.DUMMYFUNCTION("""COMPUTED_VALUE"""),45909.0)</f>
        <v>45909</v>
      </c>
      <c r="I4521" s="115" t="str">
        <f>IFERROR(__xludf.DUMMYFUNCTION("""COMPUTED_VALUE"""),"11")</f>
        <v>11</v>
      </c>
      <c r="J4521" s="115" t="str">
        <f>IFERROR(__xludf.DUMMYFUNCTION("""COMPUTED_VALUE"""),"2025-09-0911")</f>
        <v>2025-09-0911</v>
      </c>
      <c r="K4521" s="115">
        <f>IFERROR(__xludf.DUMMYFUNCTION("""COMPUTED_VALUE"""),3760.0)</f>
        <v>3760</v>
      </c>
    </row>
    <row r="4522">
      <c r="A4522" s="115"/>
      <c r="B4522" s="115"/>
      <c r="C4522" s="115" t="str">
        <f>IFERROR(__xludf.DUMMYFUNCTION("""COMPUTED_VALUE"""),"MYNTRA")</f>
        <v>MYNTRA</v>
      </c>
      <c r="D4522" s="115">
        <f>IFERROR(__xludf.DUMMYFUNCTION("""COMPUTED_VALUE"""),336.0)</f>
        <v>336</v>
      </c>
      <c r="E4522" s="115">
        <f>IFERROR(__xludf.DUMMYFUNCTION("""COMPUTED_VALUE"""),106.0)</f>
        <v>106</v>
      </c>
      <c r="F4522" s="115">
        <f>IFERROR(__xludf.DUMMYFUNCTION("""COMPUTED_VALUE"""),31.0)</f>
        <v>31</v>
      </c>
      <c r="G4522" s="115">
        <f>IFERROR(__xludf.DUMMYFUNCTION("""COMPUTED_VALUE"""),7.0)</f>
        <v>7</v>
      </c>
      <c r="H4522" s="116">
        <f>IFERROR(__xludf.DUMMYFUNCTION("""COMPUTED_VALUE"""),45909.0)</f>
        <v>45909</v>
      </c>
      <c r="I4522" s="115" t="str">
        <f>IFERROR(__xludf.DUMMYFUNCTION("""COMPUTED_VALUE"""),"11")</f>
        <v>11</v>
      </c>
      <c r="J4522" s="115" t="str">
        <f>IFERROR(__xludf.DUMMYFUNCTION("""COMPUTED_VALUE"""),"2025-09-0911")</f>
        <v>2025-09-0911</v>
      </c>
      <c r="K4522" s="115">
        <f>IFERROR(__xludf.DUMMYFUNCTION("""COMPUTED_VALUE"""),442.0)</f>
        <v>442</v>
      </c>
    </row>
    <row r="4523">
      <c r="A4523" s="115" t="str">
        <f>IFERROR(__xludf.DUMMYFUNCTION("""COMPUTED_VALUE"""),"EAST")</f>
        <v>EAST</v>
      </c>
      <c r="B4523" s="115" t="str">
        <f>IFERROR(__xludf.DUMMYFUNCTION("""COMPUTED_VALUE"""),"Ashish Ranjan")</f>
        <v>Ashish Ranjan</v>
      </c>
      <c r="C4523" s="115" t="str">
        <f>IFERROR(__xludf.DUMMYFUNCTION("""COMPUTED_VALUE"""),"EXTERNAL")</f>
        <v>EXTERNAL</v>
      </c>
      <c r="D4523" s="115">
        <f>IFERROR(__xludf.DUMMYFUNCTION("""COMPUTED_VALUE"""),35764.0)</f>
        <v>35764</v>
      </c>
      <c r="E4523" s="115">
        <f>IFERROR(__xludf.DUMMYFUNCTION("""COMPUTED_VALUE"""),3598.0)</f>
        <v>3598</v>
      </c>
      <c r="F4523" s="115">
        <f>IFERROR(__xludf.DUMMYFUNCTION("""COMPUTED_VALUE"""),7685.0)</f>
        <v>7685</v>
      </c>
      <c r="G4523" s="115">
        <f>IFERROR(__xludf.DUMMYFUNCTION("""COMPUTED_VALUE"""),302.0)</f>
        <v>302</v>
      </c>
      <c r="H4523" s="116">
        <f>IFERROR(__xludf.DUMMYFUNCTION("""COMPUTED_VALUE"""),45909.0)</f>
        <v>45909</v>
      </c>
      <c r="I4523" s="115" t="str">
        <f>IFERROR(__xludf.DUMMYFUNCTION("""COMPUTED_VALUE"""),"12")</f>
        <v>12</v>
      </c>
      <c r="J4523" s="115" t="str">
        <f>IFERROR(__xludf.DUMMYFUNCTION("""COMPUTED_VALUE"""),"Ashish Ranjan2025-09-0912")</f>
        <v>Ashish Ranjan2025-09-0912</v>
      </c>
      <c r="K4523" s="115">
        <f>IFERROR(__xludf.DUMMYFUNCTION("""COMPUTED_VALUE"""),39362.0)</f>
        <v>39362</v>
      </c>
    </row>
    <row r="4524">
      <c r="A4524" s="115" t="str">
        <f>IFERROR(__xludf.DUMMYFUNCTION("""COMPUTED_VALUE"""),"EAST")</f>
        <v>EAST</v>
      </c>
      <c r="B4524" s="115" t="str">
        <f>IFERROR(__xludf.DUMMYFUNCTION("""COMPUTED_VALUE"""),"Ashish Ranjan")</f>
        <v>Ashish Ranjan</v>
      </c>
      <c r="C4524" s="115" t="str">
        <f>IFERROR(__xludf.DUMMYFUNCTION("""COMPUTED_VALUE"""),"FLIPKART")</f>
        <v>FLIPKART</v>
      </c>
      <c r="D4524" s="115">
        <f>IFERROR(__xludf.DUMMYFUNCTION("""COMPUTED_VALUE"""),560715.0)</f>
        <v>560715</v>
      </c>
      <c r="E4524" s="115">
        <f>IFERROR(__xludf.DUMMYFUNCTION("""COMPUTED_VALUE"""),61235.0)</f>
        <v>61235</v>
      </c>
      <c r="F4524" s="115">
        <f>IFERROR(__xludf.DUMMYFUNCTION("""COMPUTED_VALUE"""),207816.0)</f>
        <v>207816</v>
      </c>
      <c r="G4524" s="115">
        <f>IFERROR(__xludf.DUMMYFUNCTION("""COMPUTED_VALUE"""),7397.0)</f>
        <v>7397</v>
      </c>
      <c r="H4524" s="116">
        <f>IFERROR(__xludf.DUMMYFUNCTION("""COMPUTED_VALUE"""),45909.0)</f>
        <v>45909</v>
      </c>
      <c r="I4524" s="115" t="str">
        <f>IFERROR(__xludf.DUMMYFUNCTION("""COMPUTED_VALUE"""),"12")</f>
        <v>12</v>
      </c>
      <c r="J4524" s="115" t="str">
        <f>IFERROR(__xludf.DUMMYFUNCTION("""COMPUTED_VALUE"""),"Ashish Ranjan2025-09-0912")</f>
        <v>Ashish Ranjan2025-09-0912</v>
      </c>
      <c r="K4524" s="115">
        <f>IFERROR(__xludf.DUMMYFUNCTION("""COMPUTED_VALUE"""),621950.0)</f>
        <v>621950</v>
      </c>
    </row>
    <row r="4525">
      <c r="A4525" s="115" t="str">
        <f>IFERROR(__xludf.DUMMYFUNCTION("""COMPUTED_VALUE"""),"EAST")</f>
        <v>EAST</v>
      </c>
      <c r="B4525" s="115" t="str">
        <f>IFERROR(__xludf.DUMMYFUNCTION("""COMPUTED_VALUE"""),"Ashish Ranjan")</f>
        <v>Ashish Ranjan</v>
      </c>
      <c r="C4525" s="115" t="str">
        <f>IFERROR(__xludf.DUMMYFUNCTION("""COMPUTED_VALUE"""),"MYNTRA")</f>
        <v>MYNTRA</v>
      </c>
      <c r="D4525" s="115">
        <f>IFERROR(__xludf.DUMMYFUNCTION("""COMPUTED_VALUE"""),64066.0)</f>
        <v>64066</v>
      </c>
      <c r="E4525" s="115">
        <f>IFERROR(__xludf.DUMMYFUNCTION("""COMPUTED_VALUE"""),14244.0)</f>
        <v>14244</v>
      </c>
      <c r="F4525" s="115">
        <f>IFERROR(__xludf.DUMMYFUNCTION("""COMPUTED_VALUE"""),23459.0)</f>
        <v>23459</v>
      </c>
      <c r="G4525" s="115">
        <f>IFERROR(__xludf.DUMMYFUNCTION("""COMPUTED_VALUE"""),1762.0)</f>
        <v>1762</v>
      </c>
      <c r="H4525" s="116">
        <f>IFERROR(__xludf.DUMMYFUNCTION("""COMPUTED_VALUE"""),45909.0)</f>
        <v>45909</v>
      </c>
      <c r="I4525" s="115" t="str">
        <f>IFERROR(__xludf.DUMMYFUNCTION("""COMPUTED_VALUE"""),"12")</f>
        <v>12</v>
      </c>
      <c r="J4525" s="115" t="str">
        <f>IFERROR(__xludf.DUMMYFUNCTION("""COMPUTED_VALUE"""),"Ashish Ranjan2025-09-0912")</f>
        <v>Ashish Ranjan2025-09-0912</v>
      </c>
      <c r="K4525" s="115">
        <f>IFERROR(__xludf.DUMMYFUNCTION("""COMPUTED_VALUE"""),78310.0)</f>
        <v>78310</v>
      </c>
    </row>
    <row r="4526">
      <c r="A4526" s="115" t="str">
        <f>IFERROR(__xludf.DUMMYFUNCTION("""COMPUTED_VALUE"""),"EAST")</f>
        <v>EAST</v>
      </c>
      <c r="B4526" s="115" t="str">
        <f>IFERROR(__xludf.DUMMYFUNCTION("""COMPUTED_VALUE"""),"Girish Chand")</f>
        <v>Girish Chand</v>
      </c>
      <c r="C4526" s="115" t="str">
        <f>IFERROR(__xludf.DUMMYFUNCTION("""COMPUTED_VALUE"""),"EXTERNAL")</f>
        <v>EXTERNAL</v>
      </c>
      <c r="D4526" s="115">
        <f>IFERROR(__xludf.DUMMYFUNCTION("""COMPUTED_VALUE"""),22202.0)</f>
        <v>22202</v>
      </c>
      <c r="E4526" s="115">
        <f>IFERROR(__xludf.DUMMYFUNCTION("""COMPUTED_VALUE"""),2181.0)</f>
        <v>2181</v>
      </c>
      <c r="F4526" s="115">
        <f>IFERROR(__xludf.DUMMYFUNCTION("""COMPUTED_VALUE"""),3383.0)</f>
        <v>3383</v>
      </c>
      <c r="G4526" s="115">
        <f>IFERROR(__xludf.DUMMYFUNCTION("""COMPUTED_VALUE"""),66.0)</f>
        <v>66</v>
      </c>
      <c r="H4526" s="116">
        <f>IFERROR(__xludf.DUMMYFUNCTION("""COMPUTED_VALUE"""),45909.0)</f>
        <v>45909</v>
      </c>
      <c r="I4526" s="115" t="str">
        <f>IFERROR(__xludf.DUMMYFUNCTION("""COMPUTED_VALUE"""),"12")</f>
        <v>12</v>
      </c>
      <c r="J4526" s="115" t="str">
        <f>IFERROR(__xludf.DUMMYFUNCTION("""COMPUTED_VALUE"""),"Girish Chand2025-09-0912")</f>
        <v>Girish Chand2025-09-0912</v>
      </c>
      <c r="K4526" s="115">
        <f>IFERROR(__xludf.DUMMYFUNCTION("""COMPUTED_VALUE"""),24383.0)</f>
        <v>24383</v>
      </c>
    </row>
    <row r="4527">
      <c r="A4527" s="115" t="str">
        <f>IFERROR(__xludf.DUMMYFUNCTION("""COMPUTED_VALUE"""),"EAST")</f>
        <v>EAST</v>
      </c>
      <c r="B4527" s="115" t="str">
        <f>IFERROR(__xludf.DUMMYFUNCTION("""COMPUTED_VALUE"""),"Girish Chand")</f>
        <v>Girish Chand</v>
      </c>
      <c r="C4527" s="115" t="str">
        <f>IFERROR(__xludf.DUMMYFUNCTION("""COMPUTED_VALUE"""),"FLIPKART")</f>
        <v>FLIPKART</v>
      </c>
      <c r="D4527" s="115">
        <f>IFERROR(__xludf.DUMMYFUNCTION("""COMPUTED_VALUE"""),367558.0)</f>
        <v>367558</v>
      </c>
      <c r="E4527" s="115">
        <f>IFERROR(__xludf.DUMMYFUNCTION("""COMPUTED_VALUE"""),34292.0)</f>
        <v>34292</v>
      </c>
      <c r="F4527" s="115">
        <f>IFERROR(__xludf.DUMMYFUNCTION("""COMPUTED_VALUE"""),95072.0)</f>
        <v>95072</v>
      </c>
      <c r="G4527" s="115">
        <f>IFERROR(__xludf.DUMMYFUNCTION("""COMPUTED_VALUE"""),2202.0)</f>
        <v>2202</v>
      </c>
      <c r="H4527" s="116">
        <f>IFERROR(__xludf.DUMMYFUNCTION("""COMPUTED_VALUE"""),45909.0)</f>
        <v>45909</v>
      </c>
      <c r="I4527" s="115" t="str">
        <f>IFERROR(__xludf.DUMMYFUNCTION("""COMPUTED_VALUE"""),"12")</f>
        <v>12</v>
      </c>
      <c r="J4527" s="115" t="str">
        <f>IFERROR(__xludf.DUMMYFUNCTION("""COMPUTED_VALUE"""),"Girish Chand2025-09-0912")</f>
        <v>Girish Chand2025-09-0912</v>
      </c>
      <c r="K4527" s="115">
        <f>IFERROR(__xludf.DUMMYFUNCTION("""COMPUTED_VALUE"""),401850.0)</f>
        <v>401850</v>
      </c>
    </row>
    <row r="4528">
      <c r="A4528" s="115" t="str">
        <f>IFERROR(__xludf.DUMMYFUNCTION("""COMPUTED_VALUE"""),"EAST")</f>
        <v>EAST</v>
      </c>
      <c r="B4528" s="115" t="str">
        <f>IFERROR(__xludf.DUMMYFUNCTION("""COMPUTED_VALUE"""),"Girish Chand")</f>
        <v>Girish Chand</v>
      </c>
      <c r="C4528" s="115" t="str">
        <f>IFERROR(__xludf.DUMMYFUNCTION("""COMPUTED_VALUE"""),"MYNTRA")</f>
        <v>MYNTRA</v>
      </c>
      <c r="D4528" s="115">
        <f>IFERROR(__xludf.DUMMYFUNCTION("""COMPUTED_VALUE"""),36708.0)</f>
        <v>36708</v>
      </c>
      <c r="E4528" s="115">
        <f>IFERROR(__xludf.DUMMYFUNCTION("""COMPUTED_VALUE"""),6669.0)</f>
        <v>6669</v>
      </c>
      <c r="F4528" s="115">
        <f>IFERROR(__xludf.DUMMYFUNCTION("""COMPUTED_VALUE"""),10853.0)</f>
        <v>10853</v>
      </c>
      <c r="G4528" s="115">
        <f>IFERROR(__xludf.DUMMYFUNCTION("""COMPUTED_VALUE"""),698.0)</f>
        <v>698</v>
      </c>
      <c r="H4528" s="116">
        <f>IFERROR(__xludf.DUMMYFUNCTION("""COMPUTED_VALUE"""),45909.0)</f>
        <v>45909</v>
      </c>
      <c r="I4528" s="115" t="str">
        <f>IFERROR(__xludf.DUMMYFUNCTION("""COMPUTED_VALUE"""),"12")</f>
        <v>12</v>
      </c>
      <c r="J4528" s="115" t="str">
        <f>IFERROR(__xludf.DUMMYFUNCTION("""COMPUTED_VALUE"""),"Girish Chand2025-09-0912")</f>
        <v>Girish Chand2025-09-0912</v>
      </c>
      <c r="K4528" s="115">
        <f>IFERROR(__xludf.DUMMYFUNCTION("""COMPUTED_VALUE"""),43377.0)</f>
        <v>43377</v>
      </c>
    </row>
    <row r="4529">
      <c r="A4529" s="115" t="str">
        <f>IFERROR(__xludf.DUMMYFUNCTION("""COMPUTED_VALUE"""),"EAST")</f>
        <v>EAST</v>
      </c>
      <c r="B4529" s="115" t="str">
        <f>IFERROR(__xludf.DUMMYFUNCTION("""COMPUTED_VALUE"""),"Parag Kashyap")</f>
        <v>Parag Kashyap</v>
      </c>
      <c r="C4529" s="115" t="str">
        <f>IFERROR(__xludf.DUMMYFUNCTION("""COMPUTED_VALUE"""),"EXTERNAL")</f>
        <v>EXTERNAL</v>
      </c>
      <c r="D4529" s="115">
        <f>IFERROR(__xludf.DUMMYFUNCTION("""COMPUTED_VALUE"""),15898.0)</f>
        <v>15898</v>
      </c>
      <c r="E4529" s="115">
        <f>IFERROR(__xludf.DUMMYFUNCTION("""COMPUTED_VALUE"""),1044.0)</f>
        <v>1044</v>
      </c>
      <c r="F4529" s="115">
        <f>IFERROR(__xludf.DUMMYFUNCTION("""COMPUTED_VALUE"""),1745.0)</f>
        <v>1745</v>
      </c>
      <c r="G4529" s="115">
        <f>IFERROR(__xludf.DUMMYFUNCTION("""COMPUTED_VALUE"""),15.0)</f>
        <v>15</v>
      </c>
      <c r="H4529" s="116">
        <f>IFERROR(__xludf.DUMMYFUNCTION("""COMPUTED_VALUE"""),45909.0)</f>
        <v>45909</v>
      </c>
      <c r="I4529" s="115" t="str">
        <f>IFERROR(__xludf.DUMMYFUNCTION("""COMPUTED_VALUE"""),"12")</f>
        <v>12</v>
      </c>
      <c r="J4529" s="115" t="str">
        <f>IFERROR(__xludf.DUMMYFUNCTION("""COMPUTED_VALUE"""),"Parag Kashyap2025-09-0912")</f>
        <v>Parag Kashyap2025-09-0912</v>
      </c>
      <c r="K4529" s="115">
        <f>IFERROR(__xludf.DUMMYFUNCTION("""COMPUTED_VALUE"""),16942.0)</f>
        <v>16942</v>
      </c>
    </row>
    <row r="4530">
      <c r="A4530" s="115" t="str">
        <f>IFERROR(__xludf.DUMMYFUNCTION("""COMPUTED_VALUE"""),"EAST")</f>
        <v>EAST</v>
      </c>
      <c r="B4530" s="115" t="str">
        <f>IFERROR(__xludf.DUMMYFUNCTION("""COMPUTED_VALUE"""),"Parag Kashyap")</f>
        <v>Parag Kashyap</v>
      </c>
      <c r="C4530" s="115" t="str">
        <f>IFERROR(__xludf.DUMMYFUNCTION("""COMPUTED_VALUE"""),"FLIPKART")</f>
        <v>FLIPKART</v>
      </c>
      <c r="D4530" s="115">
        <f>IFERROR(__xludf.DUMMYFUNCTION("""COMPUTED_VALUE"""),284199.0)</f>
        <v>284199</v>
      </c>
      <c r="E4530" s="115">
        <f>IFERROR(__xludf.DUMMYFUNCTION("""COMPUTED_VALUE"""),15988.0)</f>
        <v>15988</v>
      </c>
      <c r="F4530" s="115">
        <f>IFERROR(__xludf.DUMMYFUNCTION("""COMPUTED_VALUE"""),56940.0)</f>
        <v>56940</v>
      </c>
      <c r="G4530" s="115">
        <f>IFERROR(__xludf.DUMMYFUNCTION("""COMPUTED_VALUE"""),619.0)</f>
        <v>619</v>
      </c>
      <c r="H4530" s="116">
        <f>IFERROR(__xludf.DUMMYFUNCTION("""COMPUTED_VALUE"""),45909.0)</f>
        <v>45909</v>
      </c>
      <c r="I4530" s="115" t="str">
        <f>IFERROR(__xludf.DUMMYFUNCTION("""COMPUTED_VALUE"""),"12")</f>
        <v>12</v>
      </c>
      <c r="J4530" s="115" t="str">
        <f>IFERROR(__xludf.DUMMYFUNCTION("""COMPUTED_VALUE"""),"Parag Kashyap2025-09-0912")</f>
        <v>Parag Kashyap2025-09-0912</v>
      </c>
      <c r="K4530" s="115">
        <f>IFERROR(__xludf.DUMMYFUNCTION("""COMPUTED_VALUE"""),300187.0)</f>
        <v>300187</v>
      </c>
    </row>
    <row r="4531">
      <c r="A4531" s="115" t="str">
        <f>IFERROR(__xludf.DUMMYFUNCTION("""COMPUTED_VALUE"""),"EAST")</f>
        <v>EAST</v>
      </c>
      <c r="B4531" s="115" t="str">
        <f>IFERROR(__xludf.DUMMYFUNCTION("""COMPUTED_VALUE"""),"Parag Kashyap")</f>
        <v>Parag Kashyap</v>
      </c>
      <c r="C4531" s="115" t="str">
        <f>IFERROR(__xludf.DUMMYFUNCTION("""COMPUTED_VALUE"""),"MYNTRA")</f>
        <v>MYNTRA</v>
      </c>
      <c r="D4531" s="115">
        <f>IFERROR(__xludf.DUMMYFUNCTION("""COMPUTED_VALUE"""),36012.0)</f>
        <v>36012</v>
      </c>
      <c r="E4531" s="115">
        <f>IFERROR(__xludf.DUMMYFUNCTION("""COMPUTED_VALUE"""),4902.0)</f>
        <v>4902</v>
      </c>
      <c r="F4531" s="115">
        <f>IFERROR(__xludf.DUMMYFUNCTION("""COMPUTED_VALUE"""),8231.0)</f>
        <v>8231</v>
      </c>
      <c r="G4531" s="115">
        <f>IFERROR(__xludf.DUMMYFUNCTION("""COMPUTED_VALUE"""),163.0)</f>
        <v>163</v>
      </c>
      <c r="H4531" s="116">
        <f>IFERROR(__xludf.DUMMYFUNCTION("""COMPUTED_VALUE"""),45909.0)</f>
        <v>45909</v>
      </c>
      <c r="I4531" s="115" t="str">
        <f>IFERROR(__xludf.DUMMYFUNCTION("""COMPUTED_VALUE"""),"12")</f>
        <v>12</v>
      </c>
      <c r="J4531" s="115" t="str">
        <f>IFERROR(__xludf.DUMMYFUNCTION("""COMPUTED_VALUE"""),"Parag Kashyap2025-09-0912")</f>
        <v>Parag Kashyap2025-09-0912</v>
      </c>
      <c r="K4531" s="115">
        <f>IFERROR(__xludf.DUMMYFUNCTION("""COMPUTED_VALUE"""),40914.0)</f>
        <v>40914</v>
      </c>
    </row>
    <row r="4532">
      <c r="A4532" s="115" t="str">
        <f>IFERROR(__xludf.DUMMYFUNCTION("""COMPUTED_VALUE"""),"NORTH")</f>
        <v>NORTH</v>
      </c>
      <c r="B4532" s="115" t="str">
        <f>IFERROR(__xludf.DUMMYFUNCTION("""COMPUTED_VALUE"""),"Amit Kumar Pathak")</f>
        <v>Amit Kumar Pathak</v>
      </c>
      <c r="C4532" s="115" t="str">
        <f>IFERROR(__xludf.DUMMYFUNCTION("""COMPUTED_VALUE"""),"EXTERNAL")</f>
        <v>EXTERNAL</v>
      </c>
      <c r="D4532" s="115">
        <f>IFERROR(__xludf.DUMMYFUNCTION("""COMPUTED_VALUE"""),23168.0)</f>
        <v>23168</v>
      </c>
      <c r="E4532" s="115">
        <f>IFERROR(__xludf.DUMMYFUNCTION("""COMPUTED_VALUE"""),3489.0)</f>
        <v>3489</v>
      </c>
      <c r="F4532" s="115">
        <f>IFERROR(__xludf.DUMMYFUNCTION("""COMPUTED_VALUE"""),3458.0)</f>
        <v>3458</v>
      </c>
      <c r="G4532" s="115">
        <f>IFERROR(__xludf.DUMMYFUNCTION("""COMPUTED_VALUE"""),446.0)</f>
        <v>446</v>
      </c>
      <c r="H4532" s="116">
        <f>IFERROR(__xludf.DUMMYFUNCTION("""COMPUTED_VALUE"""),45909.0)</f>
        <v>45909</v>
      </c>
      <c r="I4532" s="115" t="str">
        <f>IFERROR(__xludf.DUMMYFUNCTION("""COMPUTED_VALUE"""),"12")</f>
        <v>12</v>
      </c>
      <c r="J4532" s="115" t="str">
        <f>IFERROR(__xludf.DUMMYFUNCTION("""COMPUTED_VALUE"""),"Amit Kumar Pathak2025-09-0912")</f>
        <v>Amit Kumar Pathak2025-09-0912</v>
      </c>
      <c r="K4532" s="115">
        <f>IFERROR(__xludf.DUMMYFUNCTION("""COMPUTED_VALUE"""),26657.0)</f>
        <v>26657</v>
      </c>
    </row>
    <row r="4533">
      <c r="A4533" s="115" t="str">
        <f>IFERROR(__xludf.DUMMYFUNCTION("""COMPUTED_VALUE"""),"NORTH")</f>
        <v>NORTH</v>
      </c>
      <c r="B4533" s="115" t="str">
        <f>IFERROR(__xludf.DUMMYFUNCTION("""COMPUTED_VALUE"""),"Amit Kumar Pathak")</f>
        <v>Amit Kumar Pathak</v>
      </c>
      <c r="C4533" s="115" t="str">
        <f>IFERROR(__xludf.DUMMYFUNCTION("""COMPUTED_VALUE"""),"FLIPKART")</f>
        <v>FLIPKART</v>
      </c>
      <c r="D4533" s="115">
        <f>IFERROR(__xludf.DUMMYFUNCTION("""COMPUTED_VALUE"""),133744.0)</f>
        <v>133744</v>
      </c>
      <c r="E4533" s="115">
        <f>IFERROR(__xludf.DUMMYFUNCTION("""COMPUTED_VALUE"""),21363.0)</f>
        <v>21363</v>
      </c>
      <c r="F4533" s="115">
        <f>IFERROR(__xludf.DUMMYFUNCTION("""COMPUTED_VALUE"""),39067.0)</f>
        <v>39067</v>
      </c>
      <c r="G4533" s="115">
        <f>IFERROR(__xludf.DUMMYFUNCTION("""COMPUTED_VALUE"""),3666.0)</f>
        <v>3666</v>
      </c>
      <c r="H4533" s="116">
        <f>IFERROR(__xludf.DUMMYFUNCTION("""COMPUTED_VALUE"""),45909.0)</f>
        <v>45909</v>
      </c>
      <c r="I4533" s="115" t="str">
        <f>IFERROR(__xludf.DUMMYFUNCTION("""COMPUTED_VALUE"""),"12")</f>
        <v>12</v>
      </c>
      <c r="J4533" s="115" t="str">
        <f>IFERROR(__xludf.DUMMYFUNCTION("""COMPUTED_VALUE"""),"Amit Kumar Pathak2025-09-0912")</f>
        <v>Amit Kumar Pathak2025-09-0912</v>
      </c>
      <c r="K4533" s="115">
        <f>IFERROR(__xludf.DUMMYFUNCTION("""COMPUTED_VALUE"""),155107.0)</f>
        <v>155107</v>
      </c>
    </row>
    <row r="4534">
      <c r="A4534" s="115" t="str">
        <f>IFERROR(__xludf.DUMMYFUNCTION("""COMPUTED_VALUE"""),"NORTH")</f>
        <v>NORTH</v>
      </c>
      <c r="B4534" s="115" t="str">
        <f>IFERROR(__xludf.DUMMYFUNCTION("""COMPUTED_VALUE"""),"Amit Kumar Pathak")</f>
        <v>Amit Kumar Pathak</v>
      </c>
      <c r="C4534" s="115" t="str">
        <f>IFERROR(__xludf.DUMMYFUNCTION("""COMPUTED_VALUE"""),"MYNTRA")</f>
        <v>MYNTRA</v>
      </c>
      <c r="D4534" s="115">
        <f>IFERROR(__xludf.DUMMYFUNCTION("""COMPUTED_VALUE"""),12712.0)</f>
        <v>12712</v>
      </c>
      <c r="E4534" s="115">
        <f>IFERROR(__xludf.DUMMYFUNCTION("""COMPUTED_VALUE"""),5167.0)</f>
        <v>5167</v>
      </c>
      <c r="F4534" s="115">
        <f>IFERROR(__xludf.DUMMYFUNCTION("""COMPUTED_VALUE"""),4758.0)</f>
        <v>4758</v>
      </c>
      <c r="G4534" s="115">
        <f>IFERROR(__xludf.DUMMYFUNCTION("""COMPUTED_VALUE"""),1042.0)</f>
        <v>1042</v>
      </c>
      <c r="H4534" s="116">
        <f>IFERROR(__xludf.DUMMYFUNCTION("""COMPUTED_VALUE"""),45909.0)</f>
        <v>45909</v>
      </c>
      <c r="I4534" s="115" t="str">
        <f>IFERROR(__xludf.DUMMYFUNCTION("""COMPUTED_VALUE"""),"12")</f>
        <v>12</v>
      </c>
      <c r="J4534" s="115" t="str">
        <f>IFERROR(__xludf.DUMMYFUNCTION("""COMPUTED_VALUE"""),"Amit Kumar Pathak2025-09-0912")</f>
        <v>Amit Kumar Pathak2025-09-0912</v>
      </c>
      <c r="K4534" s="115">
        <f>IFERROR(__xludf.DUMMYFUNCTION("""COMPUTED_VALUE"""),17879.0)</f>
        <v>17879</v>
      </c>
    </row>
    <row r="4535">
      <c r="A4535" s="115" t="str">
        <f>IFERROR(__xludf.DUMMYFUNCTION("""COMPUTED_VALUE"""),"NORTH")</f>
        <v>NORTH</v>
      </c>
      <c r="B4535" s="115" t="str">
        <f>IFERROR(__xludf.DUMMYFUNCTION("""COMPUTED_VALUE"""),"Loveleen Singh")</f>
        <v>Loveleen Singh</v>
      </c>
      <c r="C4535" s="115" t="str">
        <f>IFERROR(__xludf.DUMMYFUNCTION("""COMPUTED_VALUE"""),"EXTERNAL")</f>
        <v>EXTERNAL</v>
      </c>
      <c r="D4535" s="115">
        <f>IFERROR(__xludf.DUMMYFUNCTION("""COMPUTED_VALUE"""),29983.0)</f>
        <v>29983</v>
      </c>
      <c r="E4535" s="115">
        <f>IFERROR(__xludf.DUMMYFUNCTION("""COMPUTED_VALUE"""),2337.0)</f>
        <v>2337</v>
      </c>
      <c r="F4535" s="115">
        <f>IFERROR(__xludf.DUMMYFUNCTION("""COMPUTED_VALUE"""),3552.0)</f>
        <v>3552</v>
      </c>
      <c r="G4535" s="115">
        <f>IFERROR(__xludf.DUMMYFUNCTION("""COMPUTED_VALUE"""),88.0)</f>
        <v>88</v>
      </c>
      <c r="H4535" s="116">
        <f>IFERROR(__xludf.DUMMYFUNCTION("""COMPUTED_VALUE"""),45909.0)</f>
        <v>45909</v>
      </c>
      <c r="I4535" s="115" t="str">
        <f>IFERROR(__xludf.DUMMYFUNCTION("""COMPUTED_VALUE"""),"12")</f>
        <v>12</v>
      </c>
      <c r="J4535" s="115" t="str">
        <f>IFERROR(__xludf.DUMMYFUNCTION("""COMPUTED_VALUE"""),"Loveleen Singh2025-09-0912")</f>
        <v>Loveleen Singh2025-09-0912</v>
      </c>
      <c r="K4535" s="115">
        <f>IFERROR(__xludf.DUMMYFUNCTION("""COMPUTED_VALUE"""),32320.0)</f>
        <v>32320</v>
      </c>
    </row>
    <row r="4536">
      <c r="A4536" s="115" t="str">
        <f>IFERROR(__xludf.DUMMYFUNCTION("""COMPUTED_VALUE"""),"NORTH")</f>
        <v>NORTH</v>
      </c>
      <c r="B4536" s="115" t="str">
        <f>IFERROR(__xludf.DUMMYFUNCTION("""COMPUTED_VALUE"""),"Loveleen Singh")</f>
        <v>Loveleen Singh</v>
      </c>
      <c r="C4536" s="115" t="str">
        <f>IFERROR(__xludf.DUMMYFUNCTION("""COMPUTED_VALUE"""),"FLIPKART")</f>
        <v>FLIPKART</v>
      </c>
      <c r="D4536" s="115">
        <f>IFERROR(__xludf.DUMMYFUNCTION("""COMPUTED_VALUE"""),160930.0)</f>
        <v>160930</v>
      </c>
      <c r="E4536" s="115">
        <f>IFERROR(__xludf.DUMMYFUNCTION("""COMPUTED_VALUE"""),12431.0)</f>
        <v>12431</v>
      </c>
      <c r="F4536" s="115">
        <f>IFERROR(__xludf.DUMMYFUNCTION("""COMPUTED_VALUE"""),36573.0)</f>
        <v>36573</v>
      </c>
      <c r="G4536" s="115">
        <f>IFERROR(__xludf.DUMMYFUNCTION("""COMPUTED_VALUE"""),1022.0)</f>
        <v>1022</v>
      </c>
      <c r="H4536" s="116">
        <f>IFERROR(__xludf.DUMMYFUNCTION("""COMPUTED_VALUE"""),45909.0)</f>
        <v>45909</v>
      </c>
      <c r="I4536" s="115" t="str">
        <f>IFERROR(__xludf.DUMMYFUNCTION("""COMPUTED_VALUE"""),"12")</f>
        <v>12</v>
      </c>
      <c r="J4536" s="115" t="str">
        <f>IFERROR(__xludf.DUMMYFUNCTION("""COMPUTED_VALUE"""),"Loveleen Singh2025-09-0912")</f>
        <v>Loveleen Singh2025-09-0912</v>
      </c>
      <c r="K4536" s="115">
        <f>IFERROR(__xludf.DUMMYFUNCTION("""COMPUTED_VALUE"""),173361.0)</f>
        <v>173361</v>
      </c>
    </row>
    <row r="4537">
      <c r="A4537" s="115" t="str">
        <f>IFERROR(__xludf.DUMMYFUNCTION("""COMPUTED_VALUE"""),"NORTH")</f>
        <v>NORTH</v>
      </c>
      <c r="B4537" s="115" t="str">
        <f>IFERROR(__xludf.DUMMYFUNCTION("""COMPUTED_VALUE"""),"Loveleen Singh")</f>
        <v>Loveleen Singh</v>
      </c>
      <c r="C4537" s="115" t="str">
        <f>IFERROR(__xludf.DUMMYFUNCTION("""COMPUTED_VALUE"""),"MYNTRA")</f>
        <v>MYNTRA</v>
      </c>
      <c r="D4537" s="115">
        <f>IFERROR(__xludf.DUMMYFUNCTION("""COMPUTED_VALUE"""),29142.0)</f>
        <v>29142</v>
      </c>
      <c r="E4537" s="115">
        <f>IFERROR(__xludf.DUMMYFUNCTION("""COMPUTED_VALUE"""),5453.0)</f>
        <v>5453</v>
      </c>
      <c r="F4537" s="115">
        <f>IFERROR(__xludf.DUMMYFUNCTION("""COMPUTED_VALUE"""),8154.0)</f>
        <v>8154</v>
      </c>
      <c r="G4537" s="115">
        <f>IFERROR(__xludf.DUMMYFUNCTION("""COMPUTED_VALUE"""),508.0)</f>
        <v>508</v>
      </c>
      <c r="H4537" s="116">
        <f>IFERROR(__xludf.DUMMYFUNCTION("""COMPUTED_VALUE"""),45909.0)</f>
        <v>45909</v>
      </c>
      <c r="I4537" s="115" t="str">
        <f>IFERROR(__xludf.DUMMYFUNCTION("""COMPUTED_VALUE"""),"12")</f>
        <v>12</v>
      </c>
      <c r="J4537" s="115" t="str">
        <f>IFERROR(__xludf.DUMMYFUNCTION("""COMPUTED_VALUE"""),"Loveleen Singh2025-09-0912")</f>
        <v>Loveleen Singh2025-09-0912</v>
      </c>
      <c r="K4537" s="115">
        <f>IFERROR(__xludf.DUMMYFUNCTION("""COMPUTED_VALUE"""),34595.0)</f>
        <v>34595</v>
      </c>
    </row>
    <row r="4538">
      <c r="A4538" s="115" t="str">
        <f>IFERROR(__xludf.DUMMYFUNCTION("""COMPUTED_VALUE"""),"NORTH")</f>
        <v>NORTH</v>
      </c>
      <c r="B4538" s="115" t="str">
        <f>IFERROR(__xludf.DUMMYFUNCTION("""COMPUTED_VALUE"""),"Manoj Harsh")</f>
        <v>Manoj Harsh</v>
      </c>
      <c r="C4538" s="115" t="str">
        <f>IFERROR(__xludf.DUMMYFUNCTION("""COMPUTED_VALUE"""),"EXTERNAL")</f>
        <v>EXTERNAL</v>
      </c>
      <c r="D4538" s="115">
        <f>IFERROR(__xludf.DUMMYFUNCTION("""COMPUTED_VALUE"""),32898.0)</f>
        <v>32898</v>
      </c>
      <c r="E4538" s="115">
        <f>IFERROR(__xludf.DUMMYFUNCTION("""COMPUTED_VALUE"""),3095.0)</f>
        <v>3095</v>
      </c>
      <c r="F4538" s="115">
        <f>IFERROR(__xludf.DUMMYFUNCTION("""COMPUTED_VALUE"""),4247.0)</f>
        <v>4247</v>
      </c>
      <c r="G4538" s="115">
        <f>IFERROR(__xludf.DUMMYFUNCTION("""COMPUTED_VALUE"""),108.0)</f>
        <v>108</v>
      </c>
      <c r="H4538" s="116">
        <f>IFERROR(__xludf.DUMMYFUNCTION("""COMPUTED_VALUE"""),45909.0)</f>
        <v>45909</v>
      </c>
      <c r="I4538" s="115" t="str">
        <f>IFERROR(__xludf.DUMMYFUNCTION("""COMPUTED_VALUE"""),"12")</f>
        <v>12</v>
      </c>
      <c r="J4538" s="115" t="str">
        <f>IFERROR(__xludf.DUMMYFUNCTION("""COMPUTED_VALUE"""),"Manoj Harsh2025-09-0912")</f>
        <v>Manoj Harsh2025-09-0912</v>
      </c>
      <c r="K4538" s="115">
        <f>IFERROR(__xludf.DUMMYFUNCTION("""COMPUTED_VALUE"""),35993.0)</f>
        <v>35993</v>
      </c>
    </row>
    <row r="4539">
      <c r="A4539" s="115" t="str">
        <f>IFERROR(__xludf.DUMMYFUNCTION("""COMPUTED_VALUE"""),"NORTH")</f>
        <v>NORTH</v>
      </c>
      <c r="B4539" s="115" t="str">
        <f>IFERROR(__xludf.DUMMYFUNCTION("""COMPUTED_VALUE"""),"Manoj Harsh")</f>
        <v>Manoj Harsh</v>
      </c>
      <c r="C4539" s="115" t="str">
        <f>IFERROR(__xludf.DUMMYFUNCTION("""COMPUTED_VALUE"""),"FLIPKART")</f>
        <v>FLIPKART</v>
      </c>
      <c r="D4539" s="115">
        <f>IFERROR(__xludf.DUMMYFUNCTION("""COMPUTED_VALUE"""),364739.0)</f>
        <v>364739</v>
      </c>
      <c r="E4539" s="115">
        <f>IFERROR(__xludf.DUMMYFUNCTION("""COMPUTED_VALUE"""),36351.0)</f>
        <v>36351</v>
      </c>
      <c r="F4539" s="115">
        <f>IFERROR(__xludf.DUMMYFUNCTION("""COMPUTED_VALUE"""),83623.0)</f>
        <v>83623</v>
      </c>
      <c r="G4539" s="115">
        <f>IFERROR(__xludf.DUMMYFUNCTION("""COMPUTED_VALUE"""),2681.0)</f>
        <v>2681</v>
      </c>
      <c r="H4539" s="116">
        <f>IFERROR(__xludf.DUMMYFUNCTION("""COMPUTED_VALUE"""),45909.0)</f>
        <v>45909</v>
      </c>
      <c r="I4539" s="115" t="str">
        <f>IFERROR(__xludf.DUMMYFUNCTION("""COMPUTED_VALUE"""),"12")</f>
        <v>12</v>
      </c>
      <c r="J4539" s="115" t="str">
        <f>IFERROR(__xludf.DUMMYFUNCTION("""COMPUTED_VALUE"""),"Manoj Harsh2025-09-0912")</f>
        <v>Manoj Harsh2025-09-0912</v>
      </c>
      <c r="K4539" s="115">
        <f>IFERROR(__xludf.DUMMYFUNCTION("""COMPUTED_VALUE"""),401090.0)</f>
        <v>401090</v>
      </c>
    </row>
    <row r="4540">
      <c r="A4540" s="115" t="str">
        <f>IFERROR(__xludf.DUMMYFUNCTION("""COMPUTED_VALUE"""),"NORTH")</f>
        <v>NORTH</v>
      </c>
      <c r="B4540" s="115" t="str">
        <f>IFERROR(__xludf.DUMMYFUNCTION("""COMPUTED_VALUE"""),"Manoj Harsh")</f>
        <v>Manoj Harsh</v>
      </c>
      <c r="C4540" s="115" t="str">
        <f>IFERROR(__xludf.DUMMYFUNCTION("""COMPUTED_VALUE"""),"MYNTRA")</f>
        <v>MYNTRA</v>
      </c>
      <c r="D4540" s="115">
        <f>IFERROR(__xludf.DUMMYFUNCTION("""COMPUTED_VALUE"""),37174.0)</f>
        <v>37174</v>
      </c>
      <c r="E4540" s="115">
        <f>IFERROR(__xludf.DUMMYFUNCTION("""COMPUTED_VALUE"""),7143.0)</f>
        <v>7143</v>
      </c>
      <c r="F4540" s="115">
        <f>IFERROR(__xludf.DUMMYFUNCTION("""COMPUTED_VALUE"""),10907.0)</f>
        <v>10907</v>
      </c>
      <c r="G4540" s="115">
        <f>IFERROR(__xludf.DUMMYFUNCTION("""COMPUTED_VALUE"""),580.0)</f>
        <v>580</v>
      </c>
      <c r="H4540" s="116">
        <f>IFERROR(__xludf.DUMMYFUNCTION("""COMPUTED_VALUE"""),45909.0)</f>
        <v>45909</v>
      </c>
      <c r="I4540" s="115" t="str">
        <f>IFERROR(__xludf.DUMMYFUNCTION("""COMPUTED_VALUE"""),"12")</f>
        <v>12</v>
      </c>
      <c r="J4540" s="115" t="str">
        <f>IFERROR(__xludf.DUMMYFUNCTION("""COMPUTED_VALUE"""),"Manoj Harsh2025-09-0912")</f>
        <v>Manoj Harsh2025-09-0912</v>
      </c>
      <c r="K4540" s="115">
        <f>IFERROR(__xludf.DUMMYFUNCTION("""COMPUTED_VALUE"""),44317.0)</f>
        <v>44317</v>
      </c>
    </row>
    <row r="4541">
      <c r="A4541" s="115" t="str">
        <f>IFERROR(__xludf.DUMMYFUNCTION("""COMPUTED_VALUE"""),"NORTH")</f>
        <v>NORTH</v>
      </c>
      <c r="B4541" s="115" t="str">
        <f>IFERROR(__xludf.DUMMYFUNCTION("""COMPUTED_VALUE"""),"Pradeep Kothari")</f>
        <v>Pradeep Kothari</v>
      </c>
      <c r="C4541" s="115" t="str">
        <f>IFERROR(__xludf.DUMMYFUNCTION("""COMPUTED_VALUE"""),"EXTERNAL")</f>
        <v>EXTERNAL</v>
      </c>
      <c r="D4541" s="115">
        <f>IFERROR(__xludf.DUMMYFUNCTION("""COMPUTED_VALUE"""),19137.0)</f>
        <v>19137</v>
      </c>
      <c r="E4541" s="115">
        <f>IFERROR(__xludf.DUMMYFUNCTION("""COMPUTED_VALUE"""),2027.0)</f>
        <v>2027</v>
      </c>
      <c r="F4541" s="115">
        <f>IFERROR(__xludf.DUMMYFUNCTION("""COMPUTED_VALUE"""),2904.0)</f>
        <v>2904</v>
      </c>
      <c r="G4541" s="115">
        <f>IFERROR(__xludf.DUMMYFUNCTION("""COMPUTED_VALUE"""),133.0)</f>
        <v>133</v>
      </c>
      <c r="H4541" s="116">
        <f>IFERROR(__xludf.DUMMYFUNCTION("""COMPUTED_VALUE"""),45909.0)</f>
        <v>45909</v>
      </c>
      <c r="I4541" s="115" t="str">
        <f>IFERROR(__xludf.DUMMYFUNCTION("""COMPUTED_VALUE"""),"12")</f>
        <v>12</v>
      </c>
      <c r="J4541" s="115" t="str">
        <f>IFERROR(__xludf.DUMMYFUNCTION("""COMPUTED_VALUE"""),"Pradeep Kothari2025-09-0912")</f>
        <v>Pradeep Kothari2025-09-0912</v>
      </c>
      <c r="K4541" s="115">
        <f>IFERROR(__xludf.DUMMYFUNCTION("""COMPUTED_VALUE"""),21164.0)</f>
        <v>21164</v>
      </c>
    </row>
    <row r="4542">
      <c r="A4542" s="115" t="str">
        <f>IFERROR(__xludf.DUMMYFUNCTION("""COMPUTED_VALUE"""),"NORTH")</f>
        <v>NORTH</v>
      </c>
      <c r="B4542" s="115" t="str">
        <f>IFERROR(__xludf.DUMMYFUNCTION("""COMPUTED_VALUE"""),"Pradeep Kothari")</f>
        <v>Pradeep Kothari</v>
      </c>
      <c r="C4542" s="115" t="str">
        <f>IFERROR(__xludf.DUMMYFUNCTION("""COMPUTED_VALUE"""),"FLIPKART")</f>
        <v>FLIPKART</v>
      </c>
      <c r="D4542" s="115">
        <f>IFERROR(__xludf.DUMMYFUNCTION("""COMPUTED_VALUE"""),134813.0)</f>
        <v>134813</v>
      </c>
      <c r="E4542" s="115">
        <f>IFERROR(__xludf.DUMMYFUNCTION("""COMPUTED_VALUE"""),15514.0)</f>
        <v>15514</v>
      </c>
      <c r="F4542" s="115">
        <f>IFERROR(__xludf.DUMMYFUNCTION("""COMPUTED_VALUE"""),41039.0)</f>
        <v>41039</v>
      </c>
      <c r="G4542" s="115">
        <f>IFERROR(__xludf.DUMMYFUNCTION("""COMPUTED_VALUE"""),1711.0)</f>
        <v>1711</v>
      </c>
      <c r="H4542" s="116">
        <f>IFERROR(__xludf.DUMMYFUNCTION("""COMPUTED_VALUE"""),45909.0)</f>
        <v>45909</v>
      </c>
      <c r="I4542" s="115" t="str">
        <f>IFERROR(__xludf.DUMMYFUNCTION("""COMPUTED_VALUE"""),"12")</f>
        <v>12</v>
      </c>
      <c r="J4542" s="115" t="str">
        <f>IFERROR(__xludf.DUMMYFUNCTION("""COMPUTED_VALUE"""),"Pradeep Kothari2025-09-0912")</f>
        <v>Pradeep Kothari2025-09-0912</v>
      </c>
      <c r="K4542" s="115">
        <f>IFERROR(__xludf.DUMMYFUNCTION("""COMPUTED_VALUE"""),150327.0)</f>
        <v>150327</v>
      </c>
    </row>
    <row r="4543">
      <c r="A4543" s="115" t="str">
        <f>IFERROR(__xludf.DUMMYFUNCTION("""COMPUTED_VALUE"""),"NORTH")</f>
        <v>NORTH</v>
      </c>
      <c r="B4543" s="115" t="str">
        <f>IFERROR(__xludf.DUMMYFUNCTION("""COMPUTED_VALUE"""),"Pradeep Kothari")</f>
        <v>Pradeep Kothari</v>
      </c>
      <c r="C4543" s="115" t="str">
        <f>IFERROR(__xludf.DUMMYFUNCTION("""COMPUTED_VALUE"""),"MYNTRA")</f>
        <v>MYNTRA</v>
      </c>
      <c r="D4543" s="115">
        <f>IFERROR(__xludf.DUMMYFUNCTION("""COMPUTED_VALUE"""),25736.0)</f>
        <v>25736</v>
      </c>
      <c r="E4543" s="115">
        <f>IFERROR(__xludf.DUMMYFUNCTION("""COMPUTED_VALUE"""),6277.0)</f>
        <v>6277</v>
      </c>
      <c r="F4543" s="115">
        <f>IFERROR(__xludf.DUMMYFUNCTION("""COMPUTED_VALUE"""),9585.0)</f>
        <v>9585</v>
      </c>
      <c r="G4543" s="115">
        <f>IFERROR(__xludf.DUMMYFUNCTION("""COMPUTED_VALUE"""),922.0)</f>
        <v>922</v>
      </c>
      <c r="H4543" s="116">
        <f>IFERROR(__xludf.DUMMYFUNCTION("""COMPUTED_VALUE"""),45909.0)</f>
        <v>45909</v>
      </c>
      <c r="I4543" s="115" t="str">
        <f>IFERROR(__xludf.DUMMYFUNCTION("""COMPUTED_VALUE"""),"12")</f>
        <v>12</v>
      </c>
      <c r="J4543" s="115" t="str">
        <f>IFERROR(__xludf.DUMMYFUNCTION("""COMPUTED_VALUE"""),"Pradeep Kothari2025-09-0912")</f>
        <v>Pradeep Kothari2025-09-0912</v>
      </c>
      <c r="K4543" s="115">
        <f>IFERROR(__xludf.DUMMYFUNCTION("""COMPUTED_VALUE"""),32013.0)</f>
        <v>32013</v>
      </c>
    </row>
    <row r="4544">
      <c r="A4544" s="115" t="str">
        <f>IFERROR(__xludf.DUMMYFUNCTION("""COMPUTED_VALUE"""),"SOUTH")</f>
        <v>SOUTH</v>
      </c>
      <c r="B4544" s="115" t="str">
        <f>IFERROR(__xludf.DUMMYFUNCTION("""COMPUTED_VALUE"""),"0")</f>
        <v>0</v>
      </c>
      <c r="C4544" s="115" t="str">
        <f>IFERROR(__xludf.DUMMYFUNCTION("""COMPUTED_VALUE"""),"MYNTRA")</f>
        <v>MYNTRA</v>
      </c>
      <c r="D4544" s="115">
        <f>IFERROR(__xludf.DUMMYFUNCTION("""COMPUTED_VALUE"""),4.0)</f>
        <v>4</v>
      </c>
      <c r="E4544" s="115">
        <f>IFERROR(__xludf.DUMMYFUNCTION("""COMPUTED_VALUE"""),0.0)</f>
        <v>0</v>
      </c>
      <c r="F4544" s="115">
        <f>IFERROR(__xludf.DUMMYFUNCTION("""COMPUTED_VALUE"""),3.0)</f>
        <v>3</v>
      </c>
      <c r="G4544" s="115">
        <f>IFERROR(__xludf.DUMMYFUNCTION("""COMPUTED_VALUE"""),0.0)</f>
        <v>0</v>
      </c>
      <c r="H4544" s="116">
        <f>IFERROR(__xludf.DUMMYFUNCTION("""COMPUTED_VALUE"""),45909.0)</f>
        <v>45909</v>
      </c>
      <c r="I4544" s="115" t="str">
        <f>IFERROR(__xludf.DUMMYFUNCTION("""COMPUTED_VALUE"""),"12")</f>
        <v>12</v>
      </c>
      <c r="J4544" s="115" t="str">
        <f>IFERROR(__xludf.DUMMYFUNCTION("""COMPUTED_VALUE"""),"02025-09-0912")</f>
        <v>02025-09-0912</v>
      </c>
      <c r="K4544" s="115">
        <f>IFERROR(__xludf.DUMMYFUNCTION("""COMPUTED_VALUE"""),4.0)</f>
        <v>4</v>
      </c>
    </row>
    <row r="4545">
      <c r="A4545" s="115" t="str">
        <f>IFERROR(__xludf.DUMMYFUNCTION("""COMPUTED_VALUE"""),"SOUTH")</f>
        <v>SOUTH</v>
      </c>
      <c r="B4545" s="115" t="str">
        <f>IFERROR(__xludf.DUMMYFUNCTION("""COMPUTED_VALUE"""),"Kandula Sampath")</f>
        <v>Kandula Sampath</v>
      </c>
      <c r="C4545" s="115" t="str">
        <f>IFERROR(__xludf.DUMMYFUNCTION("""COMPUTED_VALUE"""),"EXTERNAL")</f>
        <v>EXTERNAL</v>
      </c>
      <c r="D4545" s="115">
        <f>IFERROR(__xludf.DUMMYFUNCTION("""COMPUTED_VALUE"""),31057.0)</f>
        <v>31057</v>
      </c>
      <c r="E4545" s="115">
        <f>IFERROR(__xludf.DUMMYFUNCTION("""COMPUTED_VALUE"""),4267.0)</f>
        <v>4267</v>
      </c>
      <c r="F4545" s="115">
        <f>IFERROR(__xludf.DUMMYFUNCTION("""COMPUTED_VALUE"""),5476.0)</f>
        <v>5476</v>
      </c>
      <c r="G4545" s="115">
        <f>IFERROR(__xludf.DUMMYFUNCTION("""COMPUTED_VALUE"""),229.0)</f>
        <v>229</v>
      </c>
      <c r="H4545" s="116">
        <f>IFERROR(__xludf.DUMMYFUNCTION("""COMPUTED_VALUE"""),45909.0)</f>
        <v>45909</v>
      </c>
      <c r="I4545" s="115" t="str">
        <f>IFERROR(__xludf.DUMMYFUNCTION("""COMPUTED_VALUE"""),"12")</f>
        <v>12</v>
      </c>
      <c r="J4545" s="115" t="str">
        <f>IFERROR(__xludf.DUMMYFUNCTION("""COMPUTED_VALUE"""),"Kandula Sampath2025-09-0912")</f>
        <v>Kandula Sampath2025-09-0912</v>
      </c>
      <c r="K4545" s="115">
        <f>IFERROR(__xludf.DUMMYFUNCTION("""COMPUTED_VALUE"""),35324.0)</f>
        <v>35324</v>
      </c>
    </row>
    <row r="4546">
      <c r="A4546" s="115" t="str">
        <f>IFERROR(__xludf.DUMMYFUNCTION("""COMPUTED_VALUE"""),"SOUTH")</f>
        <v>SOUTH</v>
      </c>
      <c r="B4546" s="115" t="str">
        <f>IFERROR(__xludf.DUMMYFUNCTION("""COMPUTED_VALUE"""),"Kandula Sampath")</f>
        <v>Kandula Sampath</v>
      </c>
      <c r="C4546" s="115" t="str">
        <f>IFERROR(__xludf.DUMMYFUNCTION("""COMPUTED_VALUE"""),"FLIPKART")</f>
        <v>FLIPKART</v>
      </c>
      <c r="D4546" s="115">
        <f>IFERROR(__xludf.DUMMYFUNCTION("""COMPUTED_VALUE"""),298215.0)</f>
        <v>298215</v>
      </c>
      <c r="E4546" s="115">
        <f>IFERROR(__xludf.DUMMYFUNCTION("""COMPUTED_VALUE"""),32196.0)</f>
        <v>32196</v>
      </c>
      <c r="F4546" s="115">
        <f>IFERROR(__xludf.DUMMYFUNCTION("""COMPUTED_VALUE"""),96946.0)</f>
        <v>96946</v>
      </c>
      <c r="G4546" s="115">
        <f>IFERROR(__xludf.DUMMYFUNCTION("""COMPUTED_VALUE"""),2441.0)</f>
        <v>2441</v>
      </c>
      <c r="H4546" s="116">
        <f>IFERROR(__xludf.DUMMYFUNCTION("""COMPUTED_VALUE"""),45909.0)</f>
        <v>45909</v>
      </c>
      <c r="I4546" s="115" t="str">
        <f>IFERROR(__xludf.DUMMYFUNCTION("""COMPUTED_VALUE"""),"12")</f>
        <v>12</v>
      </c>
      <c r="J4546" s="115" t="str">
        <f>IFERROR(__xludf.DUMMYFUNCTION("""COMPUTED_VALUE"""),"Kandula Sampath2025-09-0912")</f>
        <v>Kandula Sampath2025-09-0912</v>
      </c>
      <c r="K4546" s="115">
        <f>IFERROR(__xludf.DUMMYFUNCTION("""COMPUTED_VALUE"""),330411.0)</f>
        <v>330411</v>
      </c>
    </row>
    <row r="4547">
      <c r="A4547" s="115" t="str">
        <f>IFERROR(__xludf.DUMMYFUNCTION("""COMPUTED_VALUE"""),"SOUTH")</f>
        <v>SOUTH</v>
      </c>
      <c r="B4547" s="115" t="str">
        <f>IFERROR(__xludf.DUMMYFUNCTION("""COMPUTED_VALUE"""),"Kandula Sampath")</f>
        <v>Kandula Sampath</v>
      </c>
      <c r="C4547" s="115" t="str">
        <f>IFERROR(__xludf.DUMMYFUNCTION("""COMPUTED_VALUE"""),"MYNTRA")</f>
        <v>MYNTRA</v>
      </c>
      <c r="D4547" s="115">
        <f>IFERROR(__xludf.DUMMYFUNCTION("""COMPUTED_VALUE"""),36125.0)</f>
        <v>36125</v>
      </c>
      <c r="E4547" s="115">
        <f>IFERROR(__xludf.DUMMYFUNCTION("""COMPUTED_VALUE"""),8965.0)</f>
        <v>8965</v>
      </c>
      <c r="F4547" s="115">
        <f>IFERROR(__xludf.DUMMYFUNCTION("""COMPUTED_VALUE"""),13804.0)</f>
        <v>13804</v>
      </c>
      <c r="G4547" s="115">
        <f>IFERROR(__xludf.DUMMYFUNCTION("""COMPUTED_VALUE"""),790.0)</f>
        <v>790</v>
      </c>
      <c r="H4547" s="116">
        <f>IFERROR(__xludf.DUMMYFUNCTION("""COMPUTED_VALUE"""),45909.0)</f>
        <v>45909</v>
      </c>
      <c r="I4547" s="115" t="str">
        <f>IFERROR(__xludf.DUMMYFUNCTION("""COMPUTED_VALUE"""),"12")</f>
        <v>12</v>
      </c>
      <c r="J4547" s="115" t="str">
        <f>IFERROR(__xludf.DUMMYFUNCTION("""COMPUTED_VALUE"""),"Kandula Sampath2025-09-0912")</f>
        <v>Kandula Sampath2025-09-0912</v>
      </c>
      <c r="K4547" s="115">
        <f>IFERROR(__xludf.DUMMYFUNCTION("""COMPUTED_VALUE"""),45090.0)</f>
        <v>45090</v>
      </c>
    </row>
    <row r="4548">
      <c r="A4548" s="115" t="str">
        <f>IFERROR(__xludf.DUMMYFUNCTION("""COMPUTED_VALUE"""),"SOUTH")</f>
        <v>SOUTH</v>
      </c>
      <c r="B4548" s="115" t="str">
        <f>IFERROR(__xludf.DUMMYFUNCTION("""COMPUTED_VALUE"""),"Martin A")</f>
        <v>Martin A</v>
      </c>
      <c r="C4548" s="115" t="str">
        <f>IFERROR(__xludf.DUMMYFUNCTION("""COMPUTED_VALUE"""),"EXTERNAL")</f>
        <v>EXTERNAL</v>
      </c>
      <c r="D4548" s="115">
        <f>IFERROR(__xludf.DUMMYFUNCTION("""COMPUTED_VALUE"""),27540.0)</f>
        <v>27540</v>
      </c>
      <c r="E4548" s="115">
        <f>IFERROR(__xludf.DUMMYFUNCTION("""COMPUTED_VALUE"""),4043.0)</f>
        <v>4043</v>
      </c>
      <c r="F4548" s="115">
        <f>IFERROR(__xludf.DUMMYFUNCTION("""COMPUTED_VALUE"""),4772.0)</f>
        <v>4772</v>
      </c>
      <c r="G4548" s="115">
        <f>IFERROR(__xludf.DUMMYFUNCTION("""COMPUTED_VALUE"""),374.0)</f>
        <v>374</v>
      </c>
      <c r="H4548" s="116">
        <f>IFERROR(__xludf.DUMMYFUNCTION("""COMPUTED_VALUE"""),45909.0)</f>
        <v>45909</v>
      </c>
      <c r="I4548" s="115" t="str">
        <f>IFERROR(__xludf.DUMMYFUNCTION("""COMPUTED_VALUE"""),"12")</f>
        <v>12</v>
      </c>
      <c r="J4548" s="115" t="str">
        <f>IFERROR(__xludf.DUMMYFUNCTION("""COMPUTED_VALUE"""),"Martin A2025-09-0912")</f>
        <v>Martin A2025-09-0912</v>
      </c>
      <c r="K4548" s="115">
        <f>IFERROR(__xludf.DUMMYFUNCTION("""COMPUTED_VALUE"""),31583.0)</f>
        <v>31583</v>
      </c>
    </row>
    <row r="4549">
      <c r="A4549" s="115" t="str">
        <f>IFERROR(__xludf.DUMMYFUNCTION("""COMPUTED_VALUE"""),"SOUTH")</f>
        <v>SOUTH</v>
      </c>
      <c r="B4549" s="115" t="str">
        <f>IFERROR(__xludf.DUMMYFUNCTION("""COMPUTED_VALUE"""),"Martin A")</f>
        <v>Martin A</v>
      </c>
      <c r="C4549" s="115" t="str">
        <f>IFERROR(__xludf.DUMMYFUNCTION("""COMPUTED_VALUE"""),"FLIPKART")</f>
        <v>FLIPKART</v>
      </c>
      <c r="D4549" s="115">
        <f>IFERROR(__xludf.DUMMYFUNCTION("""COMPUTED_VALUE"""),245026.0)</f>
        <v>245026</v>
      </c>
      <c r="E4549" s="115">
        <f>IFERROR(__xludf.DUMMYFUNCTION("""COMPUTED_VALUE"""),25804.0)</f>
        <v>25804</v>
      </c>
      <c r="F4549" s="115">
        <f>IFERROR(__xludf.DUMMYFUNCTION("""COMPUTED_VALUE"""),74782.0)</f>
        <v>74782</v>
      </c>
      <c r="G4549" s="115">
        <f>IFERROR(__xludf.DUMMYFUNCTION("""COMPUTED_VALUE"""),2639.0)</f>
        <v>2639</v>
      </c>
      <c r="H4549" s="116">
        <f>IFERROR(__xludf.DUMMYFUNCTION("""COMPUTED_VALUE"""),45909.0)</f>
        <v>45909</v>
      </c>
      <c r="I4549" s="115" t="str">
        <f>IFERROR(__xludf.DUMMYFUNCTION("""COMPUTED_VALUE"""),"12")</f>
        <v>12</v>
      </c>
      <c r="J4549" s="115" t="str">
        <f>IFERROR(__xludf.DUMMYFUNCTION("""COMPUTED_VALUE"""),"Martin A2025-09-0912")</f>
        <v>Martin A2025-09-0912</v>
      </c>
      <c r="K4549" s="115">
        <f>IFERROR(__xludf.DUMMYFUNCTION("""COMPUTED_VALUE"""),270830.0)</f>
        <v>270830</v>
      </c>
    </row>
    <row r="4550">
      <c r="A4550" s="115" t="str">
        <f>IFERROR(__xludf.DUMMYFUNCTION("""COMPUTED_VALUE"""),"SOUTH")</f>
        <v>SOUTH</v>
      </c>
      <c r="B4550" s="115" t="str">
        <f>IFERROR(__xludf.DUMMYFUNCTION("""COMPUTED_VALUE"""),"Martin A")</f>
        <v>Martin A</v>
      </c>
      <c r="C4550" s="115" t="str">
        <f>IFERROR(__xludf.DUMMYFUNCTION("""COMPUTED_VALUE"""),"MYNTRA")</f>
        <v>MYNTRA</v>
      </c>
      <c r="D4550" s="115">
        <f>IFERROR(__xludf.DUMMYFUNCTION("""COMPUTED_VALUE"""),22271.0)</f>
        <v>22271</v>
      </c>
      <c r="E4550" s="115">
        <f>IFERROR(__xludf.DUMMYFUNCTION("""COMPUTED_VALUE"""),6790.0)</f>
        <v>6790</v>
      </c>
      <c r="F4550" s="115">
        <f>IFERROR(__xludf.DUMMYFUNCTION("""COMPUTED_VALUE"""),8172.0)</f>
        <v>8172</v>
      </c>
      <c r="G4550" s="115">
        <f>IFERROR(__xludf.DUMMYFUNCTION("""COMPUTED_VALUE"""),858.0)</f>
        <v>858</v>
      </c>
      <c r="H4550" s="116">
        <f>IFERROR(__xludf.DUMMYFUNCTION("""COMPUTED_VALUE"""),45909.0)</f>
        <v>45909</v>
      </c>
      <c r="I4550" s="115" t="str">
        <f>IFERROR(__xludf.DUMMYFUNCTION("""COMPUTED_VALUE"""),"12")</f>
        <v>12</v>
      </c>
      <c r="J4550" s="115" t="str">
        <f>IFERROR(__xludf.DUMMYFUNCTION("""COMPUTED_VALUE"""),"Martin A2025-09-0912")</f>
        <v>Martin A2025-09-0912</v>
      </c>
      <c r="K4550" s="115">
        <f>IFERROR(__xludf.DUMMYFUNCTION("""COMPUTED_VALUE"""),29061.0)</f>
        <v>29061</v>
      </c>
    </row>
    <row r="4551">
      <c r="A4551" s="115" t="str">
        <f>IFERROR(__xludf.DUMMYFUNCTION("""COMPUTED_VALUE"""),"SOUTH")</f>
        <v>SOUTH</v>
      </c>
      <c r="B4551" s="115" t="str">
        <f>IFERROR(__xludf.DUMMYFUNCTION("""COMPUTED_VALUE"""),"Premkumar M")</f>
        <v>Premkumar M</v>
      </c>
      <c r="C4551" s="115" t="str">
        <f>IFERROR(__xludf.DUMMYFUNCTION("""COMPUTED_VALUE"""),"EXTERNAL")</f>
        <v>EXTERNAL</v>
      </c>
      <c r="D4551" s="115">
        <f>IFERROR(__xludf.DUMMYFUNCTION("""COMPUTED_VALUE"""),22554.0)</f>
        <v>22554</v>
      </c>
      <c r="E4551" s="115">
        <f>IFERROR(__xludf.DUMMYFUNCTION("""COMPUTED_VALUE"""),1832.0)</f>
        <v>1832</v>
      </c>
      <c r="F4551" s="115">
        <f>IFERROR(__xludf.DUMMYFUNCTION("""COMPUTED_VALUE"""),2940.0)</f>
        <v>2940</v>
      </c>
      <c r="G4551" s="115">
        <f>IFERROR(__xludf.DUMMYFUNCTION("""COMPUTED_VALUE"""),45.0)</f>
        <v>45</v>
      </c>
      <c r="H4551" s="116">
        <f>IFERROR(__xludf.DUMMYFUNCTION("""COMPUTED_VALUE"""),45909.0)</f>
        <v>45909</v>
      </c>
      <c r="I4551" s="115" t="str">
        <f>IFERROR(__xludf.DUMMYFUNCTION("""COMPUTED_VALUE"""),"12")</f>
        <v>12</v>
      </c>
      <c r="J4551" s="115" t="str">
        <f>IFERROR(__xludf.DUMMYFUNCTION("""COMPUTED_VALUE"""),"Premkumar M2025-09-0912")</f>
        <v>Premkumar M2025-09-0912</v>
      </c>
      <c r="K4551" s="115">
        <f>IFERROR(__xludf.DUMMYFUNCTION("""COMPUTED_VALUE"""),24386.0)</f>
        <v>24386</v>
      </c>
    </row>
    <row r="4552">
      <c r="A4552" s="115" t="str">
        <f>IFERROR(__xludf.DUMMYFUNCTION("""COMPUTED_VALUE"""),"SOUTH")</f>
        <v>SOUTH</v>
      </c>
      <c r="B4552" s="115" t="str">
        <f>IFERROR(__xludf.DUMMYFUNCTION("""COMPUTED_VALUE"""),"Premkumar M")</f>
        <v>Premkumar M</v>
      </c>
      <c r="C4552" s="115" t="str">
        <f>IFERROR(__xludf.DUMMYFUNCTION("""COMPUTED_VALUE"""),"FLIPKART")</f>
        <v>FLIPKART</v>
      </c>
      <c r="D4552" s="115">
        <f>IFERROR(__xludf.DUMMYFUNCTION("""COMPUTED_VALUE"""),221470.0)</f>
        <v>221470</v>
      </c>
      <c r="E4552" s="115">
        <f>IFERROR(__xludf.DUMMYFUNCTION("""COMPUTED_VALUE"""),16357.0)</f>
        <v>16357</v>
      </c>
      <c r="F4552" s="115">
        <f>IFERROR(__xludf.DUMMYFUNCTION("""COMPUTED_VALUE"""),45568.0)</f>
        <v>45568</v>
      </c>
      <c r="G4552" s="115">
        <f>IFERROR(__xludf.DUMMYFUNCTION("""COMPUTED_VALUE"""),517.0)</f>
        <v>517</v>
      </c>
      <c r="H4552" s="116">
        <f>IFERROR(__xludf.DUMMYFUNCTION("""COMPUTED_VALUE"""),45909.0)</f>
        <v>45909</v>
      </c>
      <c r="I4552" s="115" t="str">
        <f>IFERROR(__xludf.DUMMYFUNCTION("""COMPUTED_VALUE"""),"12")</f>
        <v>12</v>
      </c>
      <c r="J4552" s="115" t="str">
        <f>IFERROR(__xludf.DUMMYFUNCTION("""COMPUTED_VALUE"""),"Premkumar M2025-09-0912")</f>
        <v>Premkumar M2025-09-0912</v>
      </c>
      <c r="K4552" s="115">
        <f>IFERROR(__xludf.DUMMYFUNCTION("""COMPUTED_VALUE"""),237827.0)</f>
        <v>237827</v>
      </c>
    </row>
    <row r="4553">
      <c r="A4553" s="115" t="str">
        <f>IFERROR(__xludf.DUMMYFUNCTION("""COMPUTED_VALUE"""),"SOUTH")</f>
        <v>SOUTH</v>
      </c>
      <c r="B4553" s="115" t="str">
        <f>IFERROR(__xludf.DUMMYFUNCTION("""COMPUTED_VALUE"""),"Premkumar M")</f>
        <v>Premkumar M</v>
      </c>
      <c r="C4553" s="115" t="str">
        <f>IFERROR(__xludf.DUMMYFUNCTION("""COMPUTED_VALUE"""),"MYNTRA")</f>
        <v>MYNTRA</v>
      </c>
      <c r="D4553" s="115">
        <f>IFERROR(__xludf.DUMMYFUNCTION("""COMPUTED_VALUE"""),12515.0)</f>
        <v>12515</v>
      </c>
      <c r="E4553" s="115">
        <f>IFERROR(__xludf.DUMMYFUNCTION("""COMPUTED_VALUE"""),2749.0)</f>
        <v>2749</v>
      </c>
      <c r="F4553" s="115">
        <f>IFERROR(__xludf.DUMMYFUNCTION("""COMPUTED_VALUE"""),2957.0)</f>
        <v>2957</v>
      </c>
      <c r="G4553" s="115">
        <f>IFERROR(__xludf.DUMMYFUNCTION("""COMPUTED_VALUE"""),86.0)</f>
        <v>86</v>
      </c>
      <c r="H4553" s="116">
        <f>IFERROR(__xludf.DUMMYFUNCTION("""COMPUTED_VALUE"""),45909.0)</f>
        <v>45909</v>
      </c>
      <c r="I4553" s="115" t="str">
        <f>IFERROR(__xludf.DUMMYFUNCTION("""COMPUTED_VALUE"""),"12")</f>
        <v>12</v>
      </c>
      <c r="J4553" s="115" t="str">
        <f>IFERROR(__xludf.DUMMYFUNCTION("""COMPUTED_VALUE"""),"Premkumar M2025-09-0912")</f>
        <v>Premkumar M2025-09-0912</v>
      </c>
      <c r="K4553" s="115">
        <f>IFERROR(__xludf.DUMMYFUNCTION("""COMPUTED_VALUE"""),15264.0)</f>
        <v>15264</v>
      </c>
    </row>
    <row r="4554">
      <c r="A4554" s="115" t="str">
        <f>IFERROR(__xludf.DUMMYFUNCTION("""COMPUTED_VALUE"""),"SOUTH")</f>
        <v>SOUTH</v>
      </c>
      <c r="B4554" s="115" t="str">
        <f>IFERROR(__xludf.DUMMYFUNCTION("""COMPUTED_VALUE"""),"Vineeth V")</f>
        <v>Vineeth V</v>
      </c>
      <c r="C4554" s="115" t="str">
        <f>IFERROR(__xludf.DUMMYFUNCTION("""COMPUTED_VALUE"""),"EXTERNAL")</f>
        <v>EXTERNAL</v>
      </c>
      <c r="D4554" s="115">
        <f>IFERROR(__xludf.DUMMYFUNCTION("""COMPUTED_VALUE"""),18165.0)</f>
        <v>18165</v>
      </c>
      <c r="E4554" s="115">
        <f>IFERROR(__xludf.DUMMYFUNCTION("""COMPUTED_VALUE"""),539.0)</f>
        <v>539</v>
      </c>
      <c r="F4554" s="115">
        <f>IFERROR(__xludf.DUMMYFUNCTION("""COMPUTED_VALUE"""),1870.0)</f>
        <v>1870</v>
      </c>
      <c r="G4554" s="115">
        <f>IFERROR(__xludf.DUMMYFUNCTION("""COMPUTED_VALUE"""),17.0)</f>
        <v>17</v>
      </c>
      <c r="H4554" s="116">
        <f>IFERROR(__xludf.DUMMYFUNCTION("""COMPUTED_VALUE"""),45909.0)</f>
        <v>45909</v>
      </c>
      <c r="I4554" s="115" t="str">
        <f>IFERROR(__xludf.DUMMYFUNCTION("""COMPUTED_VALUE"""),"12")</f>
        <v>12</v>
      </c>
      <c r="J4554" s="115" t="str">
        <f>IFERROR(__xludf.DUMMYFUNCTION("""COMPUTED_VALUE"""),"Vineeth V2025-09-0912")</f>
        <v>Vineeth V2025-09-0912</v>
      </c>
      <c r="K4554" s="115">
        <f>IFERROR(__xludf.DUMMYFUNCTION("""COMPUTED_VALUE"""),18704.0)</f>
        <v>18704</v>
      </c>
    </row>
    <row r="4555">
      <c r="A4555" s="115" t="str">
        <f>IFERROR(__xludf.DUMMYFUNCTION("""COMPUTED_VALUE"""),"SOUTH")</f>
        <v>SOUTH</v>
      </c>
      <c r="B4555" s="115" t="str">
        <f>IFERROR(__xludf.DUMMYFUNCTION("""COMPUTED_VALUE"""),"Vineeth V")</f>
        <v>Vineeth V</v>
      </c>
      <c r="C4555" s="115" t="str">
        <f>IFERROR(__xludf.DUMMYFUNCTION("""COMPUTED_VALUE"""),"FLIPKART")</f>
        <v>FLIPKART</v>
      </c>
      <c r="D4555" s="115">
        <f>IFERROR(__xludf.DUMMYFUNCTION("""COMPUTED_VALUE"""),190071.0)</f>
        <v>190071</v>
      </c>
      <c r="E4555" s="115">
        <f>IFERROR(__xludf.DUMMYFUNCTION("""COMPUTED_VALUE"""),13717.0)</f>
        <v>13717</v>
      </c>
      <c r="F4555" s="115">
        <f>IFERROR(__xludf.DUMMYFUNCTION("""COMPUTED_VALUE"""),30454.0)</f>
        <v>30454</v>
      </c>
      <c r="G4555" s="115">
        <f>IFERROR(__xludf.DUMMYFUNCTION("""COMPUTED_VALUE"""),287.0)</f>
        <v>287</v>
      </c>
      <c r="H4555" s="116">
        <f>IFERROR(__xludf.DUMMYFUNCTION("""COMPUTED_VALUE"""),45909.0)</f>
        <v>45909</v>
      </c>
      <c r="I4555" s="115" t="str">
        <f>IFERROR(__xludf.DUMMYFUNCTION("""COMPUTED_VALUE"""),"12")</f>
        <v>12</v>
      </c>
      <c r="J4555" s="115" t="str">
        <f>IFERROR(__xludf.DUMMYFUNCTION("""COMPUTED_VALUE"""),"Vineeth V2025-09-0912")</f>
        <v>Vineeth V2025-09-0912</v>
      </c>
      <c r="K4555" s="115">
        <f>IFERROR(__xludf.DUMMYFUNCTION("""COMPUTED_VALUE"""),203788.0)</f>
        <v>203788</v>
      </c>
    </row>
    <row r="4556">
      <c r="A4556" s="115" t="str">
        <f>IFERROR(__xludf.DUMMYFUNCTION("""COMPUTED_VALUE"""),"SOUTH")</f>
        <v>SOUTH</v>
      </c>
      <c r="B4556" s="115" t="str">
        <f>IFERROR(__xludf.DUMMYFUNCTION("""COMPUTED_VALUE"""),"Vineeth V")</f>
        <v>Vineeth V</v>
      </c>
      <c r="C4556" s="115" t="str">
        <f>IFERROR(__xludf.DUMMYFUNCTION("""COMPUTED_VALUE"""),"MYNTRA")</f>
        <v>MYNTRA</v>
      </c>
      <c r="D4556" s="115">
        <f>IFERROR(__xludf.DUMMYFUNCTION("""COMPUTED_VALUE"""),15548.0)</f>
        <v>15548</v>
      </c>
      <c r="E4556" s="115">
        <f>IFERROR(__xludf.DUMMYFUNCTION("""COMPUTED_VALUE"""),3457.0)</f>
        <v>3457</v>
      </c>
      <c r="F4556" s="115">
        <f>IFERROR(__xludf.DUMMYFUNCTION("""COMPUTED_VALUE"""),2762.0)</f>
        <v>2762</v>
      </c>
      <c r="G4556" s="115">
        <f>IFERROR(__xludf.DUMMYFUNCTION("""COMPUTED_VALUE"""),73.0)</f>
        <v>73</v>
      </c>
      <c r="H4556" s="116">
        <f>IFERROR(__xludf.DUMMYFUNCTION("""COMPUTED_VALUE"""),45909.0)</f>
        <v>45909</v>
      </c>
      <c r="I4556" s="115" t="str">
        <f>IFERROR(__xludf.DUMMYFUNCTION("""COMPUTED_VALUE"""),"12")</f>
        <v>12</v>
      </c>
      <c r="J4556" s="115" t="str">
        <f>IFERROR(__xludf.DUMMYFUNCTION("""COMPUTED_VALUE"""),"Vineeth V2025-09-0912")</f>
        <v>Vineeth V2025-09-0912</v>
      </c>
      <c r="K4556" s="115">
        <f>IFERROR(__xludf.DUMMYFUNCTION("""COMPUTED_VALUE"""),19005.0)</f>
        <v>19005</v>
      </c>
    </row>
    <row r="4557">
      <c r="A4557" s="115" t="str">
        <f>IFERROR(__xludf.DUMMYFUNCTION("""COMPUTED_VALUE"""),"WEST")</f>
        <v>WEST</v>
      </c>
      <c r="B4557" s="115" t="str">
        <f>IFERROR(__xludf.DUMMYFUNCTION("""COMPUTED_VALUE"""),"Ashish Jakar")</f>
        <v>Ashish Jakar</v>
      </c>
      <c r="C4557" s="115" t="str">
        <f>IFERROR(__xludf.DUMMYFUNCTION("""COMPUTED_VALUE"""),"EXTERNAL")</f>
        <v>EXTERNAL</v>
      </c>
      <c r="D4557" s="115">
        <f>IFERROR(__xludf.DUMMYFUNCTION("""COMPUTED_VALUE"""),45194.0)</f>
        <v>45194</v>
      </c>
      <c r="E4557" s="115">
        <f>IFERROR(__xludf.DUMMYFUNCTION("""COMPUTED_VALUE"""),7352.0)</f>
        <v>7352</v>
      </c>
      <c r="F4557" s="115">
        <f>IFERROR(__xludf.DUMMYFUNCTION("""COMPUTED_VALUE"""),5863.0)</f>
        <v>5863</v>
      </c>
      <c r="G4557" s="115">
        <f>IFERROR(__xludf.DUMMYFUNCTION("""COMPUTED_VALUE"""),585.0)</f>
        <v>585</v>
      </c>
      <c r="H4557" s="116">
        <f>IFERROR(__xludf.DUMMYFUNCTION("""COMPUTED_VALUE"""),45909.0)</f>
        <v>45909</v>
      </c>
      <c r="I4557" s="115" t="str">
        <f>IFERROR(__xludf.DUMMYFUNCTION("""COMPUTED_VALUE"""),"12")</f>
        <v>12</v>
      </c>
      <c r="J4557" s="115" t="str">
        <f>IFERROR(__xludf.DUMMYFUNCTION("""COMPUTED_VALUE"""),"Ashish Jakar2025-09-0912")</f>
        <v>Ashish Jakar2025-09-0912</v>
      </c>
      <c r="K4557" s="115">
        <f>IFERROR(__xludf.DUMMYFUNCTION("""COMPUTED_VALUE"""),52546.0)</f>
        <v>52546</v>
      </c>
    </row>
    <row r="4558">
      <c r="A4558" s="115" t="str">
        <f>IFERROR(__xludf.DUMMYFUNCTION("""COMPUTED_VALUE"""),"WEST")</f>
        <v>WEST</v>
      </c>
      <c r="B4558" s="115" t="str">
        <f>IFERROR(__xludf.DUMMYFUNCTION("""COMPUTED_VALUE"""),"Ashish Jakar")</f>
        <v>Ashish Jakar</v>
      </c>
      <c r="C4558" s="115" t="str">
        <f>IFERROR(__xludf.DUMMYFUNCTION("""COMPUTED_VALUE"""),"FLIPKART")</f>
        <v>FLIPKART</v>
      </c>
      <c r="D4558" s="115">
        <f>IFERROR(__xludf.DUMMYFUNCTION("""COMPUTED_VALUE"""),299344.0)</f>
        <v>299344</v>
      </c>
      <c r="E4558" s="115">
        <f>IFERROR(__xludf.DUMMYFUNCTION("""COMPUTED_VALUE"""),31300.0)</f>
        <v>31300</v>
      </c>
      <c r="F4558" s="115">
        <f>IFERROR(__xludf.DUMMYFUNCTION("""COMPUTED_VALUE"""),73718.0)</f>
        <v>73718</v>
      </c>
      <c r="G4558" s="115">
        <f>IFERROR(__xludf.DUMMYFUNCTION("""COMPUTED_VALUE"""),3064.0)</f>
        <v>3064</v>
      </c>
      <c r="H4558" s="116">
        <f>IFERROR(__xludf.DUMMYFUNCTION("""COMPUTED_VALUE"""),45909.0)</f>
        <v>45909</v>
      </c>
      <c r="I4558" s="115" t="str">
        <f>IFERROR(__xludf.DUMMYFUNCTION("""COMPUTED_VALUE"""),"12")</f>
        <v>12</v>
      </c>
      <c r="J4558" s="115" t="str">
        <f>IFERROR(__xludf.DUMMYFUNCTION("""COMPUTED_VALUE"""),"Ashish Jakar2025-09-0912")</f>
        <v>Ashish Jakar2025-09-0912</v>
      </c>
      <c r="K4558" s="115">
        <f>IFERROR(__xludf.DUMMYFUNCTION("""COMPUTED_VALUE"""),330644.0)</f>
        <v>330644</v>
      </c>
    </row>
    <row r="4559">
      <c r="A4559" s="115" t="str">
        <f>IFERROR(__xludf.DUMMYFUNCTION("""COMPUTED_VALUE"""),"WEST")</f>
        <v>WEST</v>
      </c>
      <c r="B4559" s="115" t="str">
        <f>IFERROR(__xludf.DUMMYFUNCTION("""COMPUTED_VALUE"""),"Ashish Jakar")</f>
        <v>Ashish Jakar</v>
      </c>
      <c r="C4559" s="115" t="str">
        <f>IFERROR(__xludf.DUMMYFUNCTION("""COMPUTED_VALUE"""),"MYNTRA")</f>
        <v>MYNTRA</v>
      </c>
      <c r="D4559" s="115">
        <f>IFERROR(__xludf.DUMMYFUNCTION("""COMPUTED_VALUE"""),35108.0)</f>
        <v>35108</v>
      </c>
      <c r="E4559" s="115">
        <f>IFERROR(__xludf.DUMMYFUNCTION("""COMPUTED_VALUE"""),10817.0)</f>
        <v>10817</v>
      </c>
      <c r="F4559" s="115">
        <f>IFERROR(__xludf.DUMMYFUNCTION("""COMPUTED_VALUE"""),10851.0)</f>
        <v>10851</v>
      </c>
      <c r="G4559" s="115">
        <f>IFERROR(__xludf.DUMMYFUNCTION("""COMPUTED_VALUE"""),1204.0)</f>
        <v>1204</v>
      </c>
      <c r="H4559" s="116">
        <f>IFERROR(__xludf.DUMMYFUNCTION("""COMPUTED_VALUE"""),45909.0)</f>
        <v>45909</v>
      </c>
      <c r="I4559" s="115" t="str">
        <f>IFERROR(__xludf.DUMMYFUNCTION("""COMPUTED_VALUE"""),"12")</f>
        <v>12</v>
      </c>
      <c r="J4559" s="115" t="str">
        <f>IFERROR(__xludf.DUMMYFUNCTION("""COMPUTED_VALUE"""),"Ashish Jakar2025-09-0912")</f>
        <v>Ashish Jakar2025-09-0912</v>
      </c>
      <c r="K4559" s="115">
        <f>IFERROR(__xludf.DUMMYFUNCTION("""COMPUTED_VALUE"""),45925.0)</f>
        <v>45925</v>
      </c>
    </row>
    <row r="4560">
      <c r="A4560" s="115" t="str">
        <f>IFERROR(__xludf.DUMMYFUNCTION("""COMPUTED_VALUE"""),"WEST")</f>
        <v>WEST</v>
      </c>
      <c r="B4560" s="115" t="str">
        <f>IFERROR(__xludf.DUMMYFUNCTION("""COMPUTED_VALUE"""),"Ashvani Bhatt")</f>
        <v>Ashvani Bhatt</v>
      </c>
      <c r="C4560" s="115" t="str">
        <f>IFERROR(__xludf.DUMMYFUNCTION("""COMPUTED_VALUE"""),"EXTERNAL")</f>
        <v>EXTERNAL</v>
      </c>
      <c r="D4560" s="115">
        <f>IFERROR(__xludf.DUMMYFUNCTION("""COMPUTED_VALUE"""),34330.0)</f>
        <v>34330</v>
      </c>
      <c r="E4560" s="115">
        <f>IFERROR(__xludf.DUMMYFUNCTION("""COMPUTED_VALUE"""),3415.0)</f>
        <v>3415</v>
      </c>
      <c r="F4560" s="115">
        <f>IFERROR(__xludf.DUMMYFUNCTION("""COMPUTED_VALUE"""),5234.0)</f>
        <v>5234</v>
      </c>
      <c r="G4560" s="115">
        <f>IFERROR(__xludf.DUMMYFUNCTION("""COMPUTED_VALUE"""),170.0)</f>
        <v>170</v>
      </c>
      <c r="H4560" s="116">
        <f>IFERROR(__xludf.DUMMYFUNCTION("""COMPUTED_VALUE"""),45909.0)</f>
        <v>45909</v>
      </c>
      <c r="I4560" s="115" t="str">
        <f>IFERROR(__xludf.DUMMYFUNCTION("""COMPUTED_VALUE"""),"12")</f>
        <v>12</v>
      </c>
      <c r="J4560" s="115" t="str">
        <f>IFERROR(__xludf.DUMMYFUNCTION("""COMPUTED_VALUE"""),"Ashvani Bhatt2025-09-0912")</f>
        <v>Ashvani Bhatt2025-09-0912</v>
      </c>
      <c r="K4560" s="115">
        <f>IFERROR(__xludf.DUMMYFUNCTION("""COMPUTED_VALUE"""),37745.0)</f>
        <v>37745</v>
      </c>
    </row>
    <row r="4561">
      <c r="A4561" s="115" t="str">
        <f>IFERROR(__xludf.DUMMYFUNCTION("""COMPUTED_VALUE"""),"WEST")</f>
        <v>WEST</v>
      </c>
      <c r="B4561" s="115" t="str">
        <f>IFERROR(__xludf.DUMMYFUNCTION("""COMPUTED_VALUE"""),"Ashvani Bhatt")</f>
        <v>Ashvani Bhatt</v>
      </c>
      <c r="C4561" s="115" t="str">
        <f>IFERROR(__xludf.DUMMYFUNCTION("""COMPUTED_VALUE"""),"FLIPKART")</f>
        <v>FLIPKART</v>
      </c>
      <c r="D4561" s="115">
        <f>IFERROR(__xludf.DUMMYFUNCTION("""COMPUTED_VALUE"""),240898.0)</f>
        <v>240898</v>
      </c>
      <c r="E4561" s="115">
        <f>IFERROR(__xludf.DUMMYFUNCTION("""COMPUTED_VALUE"""),25168.0)</f>
        <v>25168</v>
      </c>
      <c r="F4561" s="115">
        <f>IFERROR(__xludf.DUMMYFUNCTION("""COMPUTED_VALUE"""),66555.0)</f>
        <v>66555</v>
      </c>
      <c r="G4561" s="115">
        <f>IFERROR(__xludf.DUMMYFUNCTION("""COMPUTED_VALUE"""),2022.0)</f>
        <v>2022</v>
      </c>
      <c r="H4561" s="116">
        <f>IFERROR(__xludf.DUMMYFUNCTION("""COMPUTED_VALUE"""),45909.0)</f>
        <v>45909</v>
      </c>
      <c r="I4561" s="115" t="str">
        <f>IFERROR(__xludf.DUMMYFUNCTION("""COMPUTED_VALUE"""),"12")</f>
        <v>12</v>
      </c>
      <c r="J4561" s="115" t="str">
        <f>IFERROR(__xludf.DUMMYFUNCTION("""COMPUTED_VALUE"""),"Ashvani Bhatt2025-09-0912")</f>
        <v>Ashvani Bhatt2025-09-0912</v>
      </c>
      <c r="K4561" s="115">
        <f>IFERROR(__xludf.DUMMYFUNCTION("""COMPUTED_VALUE"""),266066.0)</f>
        <v>266066</v>
      </c>
    </row>
    <row r="4562">
      <c r="A4562" s="115" t="str">
        <f>IFERROR(__xludf.DUMMYFUNCTION("""COMPUTED_VALUE"""),"WEST")</f>
        <v>WEST</v>
      </c>
      <c r="B4562" s="115" t="str">
        <f>IFERROR(__xludf.DUMMYFUNCTION("""COMPUTED_VALUE"""),"Ashvani Bhatt")</f>
        <v>Ashvani Bhatt</v>
      </c>
      <c r="C4562" s="115" t="str">
        <f>IFERROR(__xludf.DUMMYFUNCTION("""COMPUTED_VALUE"""),"MYNTRA")</f>
        <v>MYNTRA</v>
      </c>
      <c r="D4562" s="115">
        <f>IFERROR(__xludf.DUMMYFUNCTION("""COMPUTED_VALUE"""),33400.0)</f>
        <v>33400</v>
      </c>
      <c r="E4562" s="115">
        <f>IFERROR(__xludf.DUMMYFUNCTION("""COMPUTED_VALUE"""),8072.0)</f>
        <v>8072</v>
      </c>
      <c r="F4562" s="115">
        <f>IFERROR(__xludf.DUMMYFUNCTION("""COMPUTED_VALUE"""),11813.0)</f>
        <v>11813</v>
      </c>
      <c r="G4562" s="115">
        <f>IFERROR(__xludf.DUMMYFUNCTION("""COMPUTED_VALUE"""),869.0)</f>
        <v>869</v>
      </c>
      <c r="H4562" s="116">
        <f>IFERROR(__xludf.DUMMYFUNCTION("""COMPUTED_VALUE"""),45909.0)</f>
        <v>45909</v>
      </c>
      <c r="I4562" s="115" t="str">
        <f>IFERROR(__xludf.DUMMYFUNCTION("""COMPUTED_VALUE"""),"12")</f>
        <v>12</v>
      </c>
      <c r="J4562" s="115" t="str">
        <f>IFERROR(__xludf.DUMMYFUNCTION("""COMPUTED_VALUE"""),"Ashvani Bhatt2025-09-0912")</f>
        <v>Ashvani Bhatt2025-09-0912</v>
      </c>
      <c r="K4562" s="115">
        <f>IFERROR(__xludf.DUMMYFUNCTION("""COMPUTED_VALUE"""),41472.0)</f>
        <v>41472</v>
      </c>
    </row>
    <row r="4563">
      <c r="A4563" s="115"/>
      <c r="B4563" s="115"/>
      <c r="C4563" s="115" t="str">
        <f>IFERROR(__xludf.DUMMYFUNCTION("""COMPUTED_VALUE"""),"EXTERNAL")</f>
        <v>EXTERNAL</v>
      </c>
      <c r="D4563" s="115">
        <f>IFERROR(__xludf.DUMMYFUNCTION("""COMPUTED_VALUE"""),350.0)</f>
        <v>350</v>
      </c>
      <c r="E4563" s="115">
        <f>IFERROR(__xludf.DUMMYFUNCTION("""COMPUTED_VALUE"""),75.0)</f>
        <v>75</v>
      </c>
      <c r="F4563" s="115">
        <f>IFERROR(__xludf.DUMMYFUNCTION("""COMPUTED_VALUE"""),42.0)</f>
        <v>42</v>
      </c>
      <c r="G4563" s="115">
        <f>IFERROR(__xludf.DUMMYFUNCTION("""COMPUTED_VALUE"""),12.0)</f>
        <v>12</v>
      </c>
      <c r="H4563" s="116">
        <f>IFERROR(__xludf.DUMMYFUNCTION("""COMPUTED_VALUE"""),45909.0)</f>
        <v>45909</v>
      </c>
      <c r="I4563" s="115" t="str">
        <f>IFERROR(__xludf.DUMMYFUNCTION("""COMPUTED_VALUE"""),"12")</f>
        <v>12</v>
      </c>
      <c r="J4563" s="115" t="str">
        <f>IFERROR(__xludf.DUMMYFUNCTION("""COMPUTED_VALUE"""),"2025-09-0912")</f>
        <v>2025-09-0912</v>
      </c>
      <c r="K4563" s="115">
        <f>IFERROR(__xludf.DUMMYFUNCTION("""COMPUTED_VALUE"""),425.0)</f>
        <v>425</v>
      </c>
    </row>
    <row r="4564">
      <c r="A4564" s="115"/>
      <c r="B4564" s="115"/>
      <c r="C4564" s="115" t="str">
        <f>IFERROR(__xludf.DUMMYFUNCTION("""COMPUTED_VALUE"""),"FLIPKART")</f>
        <v>FLIPKART</v>
      </c>
      <c r="D4564" s="115">
        <f>IFERROR(__xludf.DUMMYFUNCTION("""COMPUTED_VALUE"""),4299.0)</f>
        <v>4299</v>
      </c>
      <c r="E4564" s="115">
        <f>IFERROR(__xludf.DUMMYFUNCTION("""COMPUTED_VALUE"""),409.0)</f>
        <v>409</v>
      </c>
      <c r="F4564" s="115">
        <f>IFERROR(__xludf.DUMMYFUNCTION("""COMPUTED_VALUE"""),604.0)</f>
        <v>604</v>
      </c>
      <c r="G4564" s="115">
        <f>IFERROR(__xludf.DUMMYFUNCTION("""COMPUTED_VALUE"""),63.0)</f>
        <v>63</v>
      </c>
      <c r="H4564" s="116">
        <f>IFERROR(__xludf.DUMMYFUNCTION("""COMPUTED_VALUE"""),45909.0)</f>
        <v>45909</v>
      </c>
      <c r="I4564" s="115" t="str">
        <f>IFERROR(__xludf.DUMMYFUNCTION("""COMPUTED_VALUE"""),"12")</f>
        <v>12</v>
      </c>
      <c r="J4564" s="115" t="str">
        <f>IFERROR(__xludf.DUMMYFUNCTION("""COMPUTED_VALUE"""),"2025-09-0912")</f>
        <v>2025-09-0912</v>
      </c>
      <c r="K4564" s="115">
        <f>IFERROR(__xludf.DUMMYFUNCTION("""COMPUTED_VALUE"""),4708.0)</f>
        <v>4708</v>
      </c>
    </row>
    <row r="4565">
      <c r="A4565" s="115"/>
      <c r="B4565" s="115"/>
      <c r="C4565" s="115" t="str">
        <f>IFERROR(__xludf.DUMMYFUNCTION("""COMPUTED_VALUE"""),"MYNTRA")</f>
        <v>MYNTRA</v>
      </c>
      <c r="D4565" s="115">
        <f>IFERROR(__xludf.DUMMYFUNCTION("""COMPUTED_VALUE"""),475.0)</f>
        <v>475</v>
      </c>
      <c r="E4565" s="115">
        <f>IFERROR(__xludf.DUMMYFUNCTION("""COMPUTED_VALUE"""),141.0)</f>
        <v>141</v>
      </c>
      <c r="F4565" s="115">
        <f>IFERROR(__xludf.DUMMYFUNCTION("""COMPUTED_VALUE"""),83.0)</f>
        <v>83</v>
      </c>
      <c r="G4565" s="115">
        <f>IFERROR(__xludf.DUMMYFUNCTION("""COMPUTED_VALUE"""),13.0)</f>
        <v>13</v>
      </c>
      <c r="H4565" s="116">
        <f>IFERROR(__xludf.DUMMYFUNCTION("""COMPUTED_VALUE"""),45909.0)</f>
        <v>45909</v>
      </c>
      <c r="I4565" s="115" t="str">
        <f>IFERROR(__xludf.DUMMYFUNCTION("""COMPUTED_VALUE"""),"12")</f>
        <v>12</v>
      </c>
      <c r="J4565" s="115" t="str">
        <f>IFERROR(__xludf.DUMMYFUNCTION("""COMPUTED_VALUE"""),"2025-09-0912")</f>
        <v>2025-09-0912</v>
      </c>
      <c r="K4565" s="115">
        <f>IFERROR(__xludf.DUMMYFUNCTION("""COMPUTED_VALUE"""),616.0)</f>
        <v>616</v>
      </c>
    </row>
    <row r="4566">
      <c r="A4566" s="115" t="str">
        <f>IFERROR(__xludf.DUMMYFUNCTION("""COMPUTED_VALUE"""),"EAST")</f>
        <v>EAST</v>
      </c>
      <c r="B4566" s="115" t="str">
        <f>IFERROR(__xludf.DUMMYFUNCTION("""COMPUTED_VALUE"""),"Ashish Ranjan")</f>
        <v>Ashish Ranjan</v>
      </c>
      <c r="C4566" s="115" t="str">
        <f>IFERROR(__xludf.DUMMYFUNCTION("""COMPUTED_VALUE"""),"EXTERNAL")</f>
        <v>EXTERNAL</v>
      </c>
      <c r="D4566" s="115">
        <f>IFERROR(__xludf.DUMMYFUNCTION("""COMPUTED_VALUE"""),37250.0)</f>
        <v>37250</v>
      </c>
      <c r="E4566" s="115">
        <f>IFERROR(__xludf.DUMMYFUNCTION("""COMPUTED_VALUE"""),3868.0)</f>
        <v>3868</v>
      </c>
      <c r="F4566" s="115">
        <f>IFERROR(__xludf.DUMMYFUNCTION("""COMPUTED_VALUE"""),10952.0)</f>
        <v>10952</v>
      </c>
      <c r="G4566" s="115">
        <f>IFERROR(__xludf.DUMMYFUNCTION("""COMPUTED_VALUE"""),515.0)</f>
        <v>515</v>
      </c>
      <c r="H4566" s="116">
        <f>IFERROR(__xludf.DUMMYFUNCTION("""COMPUTED_VALUE"""),45909.0)</f>
        <v>45909</v>
      </c>
      <c r="I4566" s="115" t="str">
        <f>IFERROR(__xludf.DUMMYFUNCTION("""COMPUTED_VALUE"""),"13")</f>
        <v>13</v>
      </c>
      <c r="J4566" s="115" t="str">
        <f>IFERROR(__xludf.DUMMYFUNCTION("""COMPUTED_VALUE"""),"Ashish Ranjan2025-09-0913")</f>
        <v>Ashish Ranjan2025-09-0913</v>
      </c>
      <c r="K4566" s="115">
        <f>IFERROR(__xludf.DUMMYFUNCTION("""COMPUTED_VALUE"""),41118.0)</f>
        <v>41118</v>
      </c>
    </row>
    <row r="4567">
      <c r="A4567" s="115" t="str">
        <f>IFERROR(__xludf.DUMMYFUNCTION("""COMPUTED_VALUE"""),"EAST")</f>
        <v>EAST</v>
      </c>
      <c r="B4567" s="115" t="str">
        <f>IFERROR(__xludf.DUMMYFUNCTION("""COMPUTED_VALUE"""),"Ashish Ranjan")</f>
        <v>Ashish Ranjan</v>
      </c>
      <c r="C4567" s="115" t="str">
        <f>IFERROR(__xludf.DUMMYFUNCTION("""COMPUTED_VALUE"""),"FLIPKART")</f>
        <v>FLIPKART</v>
      </c>
      <c r="D4567" s="115">
        <f>IFERROR(__xludf.DUMMYFUNCTION("""COMPUTED_VALUE"""),583583.0)</f>
        <v>583583</v>
      </c>
      <c r="E4567" s="115">
        <f>IFERROR(__xludf.DUMMYFUNCTION("""COMPUTED_VALUE"""),64791.0)</f>
        <v>64791</v>
      </c>
      <c r="F4567" s="115">
        <f>IFERROR(__xludf.DUMMYFUNCTION("""COMPUTED_VALUE"""),293233.0)</f>
        <v>293233</v>
      </c>
      <c r="G4567" s="115">
        <f>IFERROR(__xludf.DUMMYFUNCTION("""COMPUTED_VALUE"""),12799.0)</f>
        <v>12799</v>
      </c>
      <c r="H4567" s="116">
        <f>IFERROR(__xludf.DUMMYFUNCTION("""COMPUTED_VALUE"""),45909.0)</f>
        <v>45909</v>
      </c>
      <c r="I4567" s="115" t="str">
        <f>IFERROR(__xludf.DUMMYFUNCTION("""COMPUTED_VALUE"""),"13")</f>
        <v>13</v>
      </c>
      <c r="J4567" s="115" t="str">
        <f>IFERROR(__xludf.DUMMYFUNCTION("""COMPUTED_VALUE"""),"Ashish Ranjan2025-09-0913")</f>
        <v>Ashish Ranjan2025-09-0913</v>
      </c>
      <c r="K4567" s="115">
        <f>IFERROR(__xludf.DUMMYFUNCTION("""COMPUTED_VALUE"""),648374.0)</f>
        <v>648374</v>
      </c>
    </row>
    <row r="4568">
      <c r="A4568" s="115" t="str">
        <f>IFERROR(__xludf.DUMMYFUNCTION("""COMPUTED_VALUE"""),"EAST")</f>
        <v>EAST</v>
      </c>
      <c r="B4568" s="115" t="str">
        <f>IFERROR(__xludf.DUMMYFUNCTION("""COMPUTED_VALUE"""),"Ashish Ranjan")</f>
        <v>Ashish Ranjan</v>
      </c>
      <c r="C4568" s="115" t="str">
        <f>IFERROR(__xludf.DUMMYFUNCTION("""COMPUTED_VALUE"""),"MYNTRA")</f>
        <v>MYNTRA</v>
      </c>
      <c r="D4568" s="115">
        <f>IFERROR(__xludf.DUMMYFUNCTION("""COMPUTED_VALUE"""),66898.0)</f>
        <v>66898</v>
      </c>
      <c r="E4568" s="115">
        <f>IFERROR(__xludf.DUMMYFUNCTION("""COMPUTED_VALUE"""),15119.0)</f>
        <v>15119</v>
      </c>
      <c r="F4568" s="115">
        <f>IFERROR(__xludf.DUMMYFUNCTION("""COMPUTED_VALUE"""),33188.0)</f>
        <v>33188</v>
      </c>
      <c r="G4568" s="115">
        <f>IFERROR(__xludf.DUMMYFUNCTION("""COMPUTED_VALUE"""),3110.0)</f>
        <v>3110</v>
      </c>
      <c r="H4568" s="116">
        <f>IFERROR(__xludf.DUMMYFUNCTION("""COMPUTED_VALUE"""),45909.0)</f>
        <v>45909</v>
      </c>
      <c r="I4568" s="115" t="str">
        <f>IFERROR(__xludf.DUMMYFUNCTION("""COMPUTED_VALUE"""),"13")</f>
        <v>13</v>
      </c>
      <c r="J4568" s="115" t="str">
        <f>IFERROR(__xludf.DUMMYFUNCTION("""COMPUTED_VALUE"""),"Ashish Ranjan2025-09-0913")</f>
        <v>Ashish Ranjan2025-09-0913</v>
      </c>
      <c r="K4568" s="115">
        <f>IFERROR(__xludf.DUMMYFUNCTION("""COMPUTED_VALUE"""),82017.0)</f>
        <v>82017</v>
      </c>
    </row>
    <row r="4569">
      <c r="A4569" s="115" t="str">
        <f>IFERROR(__xludf.DUMMYFUNCTION("""COMPUTED_VALUE"""),"EAST")</f>
        <v>EAST</v>
      </c>
      <c r="B4569" s="115" t="str">
        <f>IFERROR(__xludf.DUMMYFUNCTION("""COMPUTED_VALUE"""),"Girish Chand")</f>
        <v>Girish Chand</v>
      </c>
      <c r="C4569" s="115" t="str">
        <f>IFERROR(__xludf.DUMMYFUNCTION("""COMPUTED_VALUE"""),"EXTERNAL")</f>
        <v>EXTERNAL</v>
      </c>
      <c r="D4569" s="115">
        <f>IFERROR(__xludf.DUMMYFUNCTION("""COMPUTED_VALUE"""),23194.0)</f>
        <v>23194</v>
      </c>
      <c r="E4569" s="115">
        <f>IFERROR(__xludf.DUMMYFUNCTION("""COMPUTED_VALUE"""),2383.0)</f>
        <v>2383</v>
      </c>
      <c r="F4569" s="115">
        <f>IFERROR(__xludf.DUMMYFUNCTION("""COMPUTED_VALUE"""),5036.0)</f>
        <v>5036</v>
      </c>
      <c r="G4569" s="115">
        <f>IFERROR(__xludf.DUMMYFUNCTION("""COMPUTED_VALUE"""),108.0)</f>
        <v>108</v>
      </c>
      <c r="H4569" s="116">
        <f>IFERROR(__xludf.DUMMYFUNCTION("""COMPUTED_VALUE"""),45909.0)</f>
        <v>45909</v>
      </c>
      <c r="I4569" s="115" t="str">
        <f>IFERROR(__xludf.DUMMYFUNCTION("""COMPUTED_VALUE"""),"13")</f>
        <v>13</v>
      </c>
      <c r="J4569" s="115" t="str">
        <f>IFERROR(__xludf.DUMMYFUNCTION("""COMPUTED_VALUE"""),"Girish Chand2025-09-0913")</f>
        <v>Girish Chand2025-09-0913</v>
      </c>
      <c r="K4569" s="115">
        <f>IFERROR(__xludf.DUMMYFUNCTION("""COMPUTED_VALUE"""),25577.0)</f>
        <v>25577</v>
      </c>
    </row>
    <row r="4570">
      <c r="A4570" s="115" t="str">
        <f>IFERROR(__xludf.DUMMYFUNCTION("""COMPUTED_VALUE"""),"EAST")</f>
        <v>EAST</v>
      </c>
      <c r="B4570" s="115" t="str">
        <f>IFERROR(__xludf.DUMMYFUNCTION("""COMPUTED_VALUE"""),"Girish Chand")</f>
        <v>Girish Chand</v>
      </c>
      <c r="C4570" s="115" t="str">
        <f>IFERROR(__xludf.DUMMYFUNCTION("""COMPUTED_VALUE"""),"FLIPKART")</f>
        <v>FLIPKART</v>
      </c>
      <c r="D4570" s="115">
        <f>IFERROR(__xludf.DUMMYFUNCTION("""COMPUTED_VALUE"""),381507.0)</f>
        <v>381507</v>
      </c>
      <c r="E4570" s="115">
        <f>IFERROR(__xludf.DUMMYFUNCTION("""COMPUTED_VALUE"""),36757.0)</f>
        <v>36757</v>
      </c>
      <c r="F4570" s="115">
        <f>IFERROR(__xludf.DUMMYFUNCTION("""COMPUTED_VALUE"""),142532.0)</f>
        <v>142532</v>
      </c>
      <c r="G4570" s="115">
        <f>IFERROR(__xludf.DUMMYFUNCTION("""COMPUTED_VALUE"""),3971.0)</f>
        <v>3971</v>
      </c>
      <c r="H4570" s="116">
        <f>IFERROR(__xludf.DUMMYFUNCTION("""COMPUTED_VALUE"""),45909.0)</f>
        <v>45909</v>
      </c>
      <c r="I4570" s="115" t="str">
        <f>IFERROR(__xludf.DUMMYFUNCTION("""COMPUTED_VALUE"""),"13")</f>
        <v>13</v>
      </c>
      <c r="J4570" s="115" t="str">
        <f>IFERROR(__xludf.DUMMYFUNCTION("""COMPUTED_VALUE"""),"Girish Chand2025-09-0913")</f>
        <v>Girish Chand2025-09-0913</v>
      </c>
      <c r="K4570" s="115">
        <f>IFERROR(__xludf.DUMMYFUNCTION("""COMPUTED_VALUE"""),418264.0)</f>
        <v>418264</v>
      </c>
    </row>
    <row r="4571">
      <c r="A4571" s="115" t="str">
        <f>IFERROR(__xludf.DUMMYFUNCTION("""COMPUTED_VALUE"""),"EAST")</f>
        <v>EAST</v>
      </c>
      <c r="B4571" s="115" t="str">
        <f>IFERROR(__xludf.DUMMYFUNCTION("""COMPUTED_VALUE"""),"Girish Chand")</f>
        <v>Girish Chand</v>
      </c>
      <c r="C4571" s="115" t="str">
        <f>IFERROR(__xludf.DUMMYFUNCTION("""COMPUTED_VALUE"""),"MYNTRA")</f>
        <v>MYNTRA</v>
      </c>
      <c r="D4571" s="115">
        <f>IFERROR(__xludf.DUMMYFUNCTION("""COMPUTED_VALUE"""),38247.0)</f>
        <v>38247</v>
      </c>
      <c r="E4571" s="115">
        <f>IFERROR(__xludf.DUMMYFUNCTION("""COMPUTED_VALUE"""),7136.0)</f>
        <v>7136</v>
      </c>
      <c r="F4571" s="115">
        <f>IFERROR(__xludf.DUMMYFUNCTION("""COMPUTED_VALUE"""),16047.0)</f>
        <v>16047</v>
      </c>
      <c r="G4571" s="115">
        <f>IFERROR(__xludf.DUMMYFUNCTION("""COMPUTED_VALUE"""),1072.0)</f>
        <v>1072</v>
      </c>
      <c r="H4571" s="116">
        <f>IFERROR(__xludf.DUMMYFUNCTION("""COMPUTED_VALUE"""),45909.0)</f>
        <v>45909</v>
      </c>
      <c r="I4571" s="115" t="str">
        <f>IFERROR(__xludf.DUMMYFUNCTION("""COMPUTED_VALUE"""),"13")</f>
        <v>13</v>
      </c>
      <c r="J4571" s="115" t="str">
        <f>IFERROR(__xludf.DUMMYFUNCTION("""COMPUTED_VALUE"""),"Girish Chand2025-09-0913")</f>
        <v>Girish Chand2025-09-0913</v>
      </c>
      <c r="K4571" s="115">
        <f>IFERROR(__xludf.DUMMYFUNCTION("""COMPUTED_VALUE"""),45383.0)</f>
        <v>45383</v>
      </c>
    </row>
    <row r="4572">
      <c r="A4572" s="115" t="str">
        <f>IFERROR(__xludf.DUMMYFUNCTION("""COMPUTED_VALUE"""),"EAST")</f>
        <v>EAST</v>
      </c>
      <c r="B4572" s="115" t="str">
        <f>IFERROR(__xludf.DUMMYFUNCTION("""COMPUTED_VALUE"""),"Parag Kashyap")</f>
        <v>Parag Kashyap</v>
      </c>
      <c r="C4572" s="115" t="str">
        <f>IFERROR(__xludf.DUMMYFUNCTION("""COMPUTED_VALUE"""),"EXTERNAL")</f>
        <v>EXTERNAL</v>
      </c>
      <c r="D4572" s="115">
        <f>IFERROR(__xludf.DUMMYFUNCTION("""COMPUTED_VALUE"""),17113.0)</f>
        <v>17113</v>
      </c>
      <c r="E4572" s="115">
        <f>IFERROR(__xludf.DUMMYFUNCTION("""COMPUTED_VALUE"""),1192.0)</f>
        <v>1192</v>
      </c>
      <c r="F4572" s="115">
        <f>IFERROR(__xludf.DUMMYFUNCTION("""COMPUTED_VALUE"""),2865.0)</f>
        <v>2865</v>
      </c>
      <c r="G4572" s="115">
        <f>IFERROR(__xludf.DUMMYFUNCTION("""COMPUTED_VALUE"""),36.0)</f>
        <v>36</v>
      </c>
      <c r="H4572" s="116">
        <f>IFERROR(__xludf.DUMMYFUNCTION("""COMPUTED_VALUE"""),45909.0)</f>
        <v>45909</v>
      </c>
      <c r="I4572" s="115" t="str">
        <f>IFERROR(__xludf.DUMMYFUNCTION("""COMPUTED_VALUE"""),"13")</f>
        <v>13</v>
      </c>
      <c r="J4572" s="115" t="str">
        <f>IFERROR(__xludf.DUMMYFUNCTION("""COMPUTED_VALUE"""),"Parag Kashyap2025-09-0913")</f>
        <v>Parag Kashyap2025-09-0913</v>
      </c>
      <c r="K4572" s="115">
        <f>IFERROR(__xludf.DUMMYFUNCTION("""COMPUTED_VALUE"""),18305.0)</f>
        <v>18305</v>
      </c>
    </row>
    <row r="4573">
      <c r="A4573" s="115" t="str">
        <f>IFERROR(__xludf.DUMMYFUNCTION("""COMPUTED_VALUE"""),"EAST")</f>
        <v>EAST</v>
      </c>
      <c r="B4573" s="115" t="str">
        <f>IFERROR(__xludf.DUMMYFUNCTION("""COMPUTED_VALUE"""),"Parag Kashyap")</f>
        <v>Parag Kashyap</v>
      </c>
      <c r="C4573" s="115" t="str">
        <f>IFERROR(__xludf.DUMMYFUNCTION("""COMPUTED_VALUE"""),"FLIPKART")</f>
        <v>FLIPKART</v>
      </c>
      <c r="D4573" s="115">
        <f>IFERROR(__xludf.DUMMYFUNCTION("""COMPUTED_VALUE"""),301616.0)</f>
        <v>301616</v>
      </c>
      <c r="E4573" s="115">
        <f>IFERROR(__xludf.DUMMYFUNCTION("""COMPUTED_VALUE"""),18006.0)</f>
        <v>18006</v>
      </c>
      <c r="F4573" s="115">
        <f>IFERROR(__xludf.DUMMYFUNCTION("""COMPUTED_VALUE"""),91275.0)</f>
        <v>91275</v>
      </c>
      <c r="G4573" s="115">
        <f>IFERROR(__xludf.DUMMYFUNCTION("""COMPUTED_VALUE"""),1072.0)</f>
        <v>1072</v>
      </c>
      <c r="H4573" s="116">
        <f>IFERROR(__xludf.DUMMYFUNCTION("""COMPUTED_VALUE"""),45909.0)</f>
        <v>45909</v>
      </c>
      <c r="I4573" s="115" t="str">
        <f>IFERROR(__xludf.DUMMYFUNCTION("""COMPUTED_VALUE"""),"13")</f>
        <v>13</v>
      </c>
      <c r="J4573" s="115" t="str">
        <f>IFERROR(__xludf.DUMMYFUNCTION("""COMPUTED_VALUE"""),"Parag Kashyap2025-09-0913")</f>
        <v>Parag Kashyap2025-09-0913</v>
      </c>
      <c r="K4573" s="115">
        <f>IFERROR(__xludf.DUMMYFUNCTION("""COMPUTED_VALUE"""),319622.0)</f>
        <v>319622</v>
      </c>
    </row>
    <row r="4574">
      <c r="A4574" s="115" t="str">
        <f>IFERROR(__xludf.DUMMYFUNCTION("""COMPUTED_VALUE"""),"EAST")</f>
        <v>EAST</v>
      </c>
      <c r="B4574" s="115" t="str">
        <f>IFERROR(__xludf.DUMMYFUNCTION("""COMPUTED_VALUE"""),"Parag Kashyap")</f>
        <v>Parag Kashyap</v>
      </c>
      <c r="C4574" s="115" t="str">
        <f>IFERROR(__xludf.DUMMYFUNCTION("""COMPUTED_VALUE"""),"MYNTRA")</f>
        <v>MYNTRA</v>
      </c>
      <c r="D4574" s="115">
        <f>IFERROR(__xludf.DUMMYFUNCTION("""COMPUTED_VALUE"""),38775.0)</f>
        <v>38775</v>
      </c>
      <c r="E4574" s="115">
        <f>IFERROR(__xludf.DUMMYFUNCTION("""COMPUTED_VALUE"""),5517.0)</f>
        <v>5517</v>
      </c>
      <c r="F4574" s="115">
        <f>IFERROR(__xludf.DUMMYFUNCTION("""COMPUTED_VALUE"""),12854.0)</f>
        <v>12854</v>
      </c>
      <c r="G4574" s="115">
        <f>IFERROR(__xludf.DUMMYFUNCTION("""COMPUTED_VALUE"""),356.0)</f>
        <v>356</v>
      </c>
      <c r="H4574" s="116">
        <f>IFERROR(__xludf.DUMMYFUNCTION("""COMPUTED_VALUE"""),45909.0)</f>
        <v>45909</v>
      </c>
      <c r="I4574" s="115" t="str">
        <f>IFERROR(__xludf.DUMMYFUNCTION("""COMPUTED_VALUE"""),"13")</f>
        <v>13</v>
      </c>
      <c r="J4574" s="115" t="str">
        <f>IFERROR(__xludf.DUMMYFUNCTION("""COMPUTED_VALUE"""),"Parag Kashyap2025-09-0913")</f>
        <v>Parag Kashyap2025-09-0913</v>
      </c>
      <c r="K4574" s="115">
        <f>IFERROR(__xludf.DUMMYFUNCTION("""COMPUTED_VALUE"""),44292.0)</f>
        <v>44292</v>
      </c>
    </row>
    <row r="4575">
      <c r="A4575" s="115" t="str">
        <f>IFERROR(__xludf.DUMMYFUNCTION("""COMPUTED_VALUE"""),"NORTH")</f>
        <v>NORTH</v>
      </c>
      <c r="B4575" s="115" t="str">
        <f>IFERROR(__xludf.DUMMYFUNCTION("""COMPUTED_VALUE"""),"Amit Kumar Pathak")</f>
        <v>Amit Kumar Pathak</v>
      </c>
      <c r="C4575" s="115" t="str">
        <f>IFERROR(__xludf.DUMMYFUNCTION("""COMPUTED_VALUE"""),"EXTERNAL")</f>
        <v>EXTERNAL</v>
      </c>
      <c r="D4575" s="115">
        <f>IFERROR(__xludf.DUMMYFUNCTION("""COMPUTED_VALUE"""),23953.0)</f>
        <v>23953</v>
      </c>
      <c r="E4575" s="115">
        <f>IFERROR(__xludf.DUMMYFUNCTION("""COMPUTED_VALUE"""),3691.0)</f>
        <v>3691</v>
      </c>
      <c r="F4575" s="115">
        <f>IFERROR(__xludf.DUMMYFUNCTION("""COMPUTED_VALUE"""),4788.0)</f>
        <v>4788</v>
      </c>
      <c r="G4575" s="115">
        <f>IFERROR(__xludf.DUMMYFUNCTION("""COMPUTED_VALUE"""),630.0)</f>
        <v>630</v>
      </c>
      <c r="H4575" s="116">
        <f>IFERROR(__xludf.DUMMYFUNCTION("""COMPUTED_VALUE"""),45909.0)</f>
        <v>45909</v>
      </c>
      <c r="I4575" s="115" t="str">
        <f>IFERROR(__xludf.DUMMYFUNCTION("""COMPUTED_VALUE"""),"13")</f>
        <v>13</v>
      </c>
      <c r="J4575" s="115" t="str">
        <f>IFERROR(__xludf.DUMMYFUNCTION("""COMPUTED_VALUE"""),"Amit Kumar Pathak2025-09-0913")</f>
        <v>Amit Kumar Pathak2025-09-0913</v>
      </c>
      <c r="K4575" s="115">
        <f>IFERROR(__xludf.DUMMYFUNCTION("""COMPUTED_VALUE"""),27644.0)</f>
        <v>27644</v>
      </c>
    </row>
    <row r="4576">
      <c r="A4576" s="115" t="str">
        <f>IFERROR(__xludf.DUMMYFUNCTION("""COMPUTED_VALUE"""),"NORTH")</f>
        <v>NORTH</v>
      </c>
      <c r="B4576" s="115" t="str">
        <f>IFERROR(__xludf.DUMMYFUNCTION("""COMPUTED_VALUE"""),"Amit Kumar Pathak")</f>
        <v>Amit Kumar Pathak</v>
      </c>
      <c r="C4576" s="115" t="str">
        <f>IFERROR(__xludf.DUMMYFUNCTION("""COMPUTED_VALUE"""),"FLIPKART")</f>
        <v>FLIPKART</v>
      </c>
      <c r="D4576" s="115">
        <f>IFERROR(__xludf.DUMMYFUNCTION("""COMPUTED_VALUE"""),137598.0)</f>
        <v>137598</v>
      </c>
      <c r="E4576" s="115">
        <f>IFERROR(__xludf.DUMMYFUNCTION("""COMPUTED_VALUE"""),22303.0)</f>
        <v>22303</v>
      </c>
      <c r="F4576" s="115">
        <f>IFERROR(__xludf.DUMMYFUNCTION("""COMPUTED_VALUE"""),54255.0)</f>
        <v>54255</v>
      </c>
      <c r="G4576" s="115">
        <f>IFERROR(__xludf.DUMMYFUNCTION("""COMPUTED_VALUE"""),5430.0)</f>
        <v>5430</v>
      </c>
      <c r="H4576" s="116">
        <f>IFERROR(__xludf.DUMMYFUNCTION("""COMPUTED_VALUE"""),45909.0)</f>
        <v>45909</v>
      </c>
      <c r="I4576" s="115" t="str">
        <f>IFERROR(__xludf.DUMMYFUNCTION("""COMPUTED_VALUE"""),"13")</f>
        <v>13</v>
      </c>
      <c r="J4576" s="115" t="str">
        <f>IFERROR(__xludf.DUMMYFUNCTION("""COMPUTED_VALUE"""),"Amit Kumar Pathak2025-09-0913")</f>
        <v>Amit Kumar Pathak2025-09-0913</v>
      </c>
      <c r="K4576" s="115">
        <f>IFERROR(__xludf.DUMMYFUNCTION("""COMPUTED_VALUE"""),159901.0)</f>
        <v>159901</v>
      </c>
    </row>
    <row r="4577">
      <c r="A4577" s="115" t="str">
        <f>IFERROR(__xludf.DUMMYFUNCTION("""COMPUTED_VALUE"""),"NORTH")</f>
        <v>NORTH</v>
      </c>
      <c r="B4577" s="115" t="str">
        <f>IFERROR(__xludf.DUMMYFUNCTION("""COMPUTED_VALUE"""),"Amit Kumar Pathak")</f>
        <v>Amit Kumar Pathak</v>
      </c>
      <c r="C4577" s="115" t="str">
        <f>IFERROR(__xludf.DUMMYFUNCTION("""COMPUTED_VALUE"""),"MYNTRA")</f>
        <v>MYNTRA</v>
      </c>
      <c r="D4577" s="115">
        <f>IFERROR(__xludf.DUMMYFUNCTION("""COMPUTED_VALUE"""),13031.0)</f>
        <v>13031</v>
      </c>
      <c r="E4577" s="115">
        <f>IFERROR(__xludf.DUMMYFUNCTION("""COMPUTED_VALUE"""),5401.0)</f>
        <v>5401</v>
      </c>
      <c r="F4577" s="115">
        <f>IFERROR(__xludf.DUMMYFUNCTION("""COMPUTED_VALUE"""),6410.0)</f>
        <v>6410</v>
      </c>
      <c r="G4577" s="115">
        <f>IFERROR(__xludf.DUMMYFUNCTION("""COMPUTED_VALUE"""),1539.0)</f>
        <v>1539</v>
      </c>
      <c r="H4577" s="116">
        <f>IFERROR(__xludf.DUMMYFUNCTION("""COMPUTED_VALUE"""),45909.0)</f>
        <v>45909</v>
      </c>
      <c r="I4577" s="115" t="str">
        <f>IFERROR(__xludf.DUMMYFUNCTION("""COMPUTED_VALUE"""),"13")</f>
        <v>13</v>
      </c>
      <c r="J4577" s="115" t="str">
        <f>IFERROR(__xludf.DUMMYFUNCTION("""COMPUTED_VALUE"""),"Amit Kumar Pathak2025-09-0913")</f>
        <v>Amit Kumar Pathak2025-09-0913</v>
      </c>
      <c r="K4577" s="115">
        <f>IFERROR(__xludf.DUMMYFUNCTION("""COMPUTED_VALUE"""),18432.0)</f>
        <v>18432</v>
      </c>
    </row>
    <row r="4578">
      <c r="A4578" s="115" t="str">
        <f>IFERROR(__xludf.DUMMYFUNCTION("""COMPUTED_VALUE"""),"NORTH")</f>
        <v>NORTH</v>
      </c>
      <c r="B4578" s="115" t="str">
        <f>IFERROR(__xludf.DUMMYFUNCTION("""COMPUTED_VALUE"""),"Loveleen Singh")</f>
        <v>Loveleen Singh</v>
      </c>
      <c r="C4578" s="115" t="str">
        <f>IFERROR(__xludf.DUMMYFUNCTION("""COMPUTED_VALUE"""),"EXTERNAL")</f>
        <v>EXTERNAL</v>
      </c>
      <c r="D4578" s="115">
        <f>IFERROR(__xludf.DUMMYFUNCTION("""COMPUTED_VALUE"""),32321.0)</f>
        <v>32321</v>
      </c>
      <c r="E4578" s="115">
        <f>IFERROR(__xludf.DUMMYFUNCTION("""COMPUTED_VALUE"""),2713.0)</f>
        <v>2713</v>
      </c>
      <c r="F4578" s="115">
        <f>IFERROR(__xludf.DUMMYFUNCTION("""COMPUTED_VALUE"""),5668.0)</f>
        <v>5668</v>
      </c>
      <c r="G4578" s="115">
        <f>IFERROR(__xludf.DUMMYFUNCTION("""COMPUTED_VALUE"""),152.0)</f>
        <v>152</v>
      </c>
      <c r="H4578" s="116">
        <f>IFERROR(__xludf.DUMMYFUNCTION("""COMPUTED_VALUE"""),45909.0)</f>
        <v>45909</v>
      </c>
      <c r="I4578" s="115" t="str">
        <f>IFERROR(__xludf.DUMMYFUNCTION("""COMPUTED_VALUE"""),"13")</f>
        <v>13</v>
      </c>
      <c r="J4578" s="115" t="str">
        <f>IFERROR(__xludf.DUMMYFUNCTION("""COMPUTED_VALUE"""),"Loveleen Singh2025-09-0913")</f>
        <v>Loveleen Singh2025-09-0913</v>
      </c>
      <c r="K4578" s="115">
        <f>IFERROR(__xludf.DUMMYFUNCTION("""COMPUTED_VALUE"""),35034.0)</f>
        <v>35034</v>
      </c>
    </row>
    <row r="4579">
      <c r="A4579" s="115" t="str">
        <f>IFERROR(__xludf.DUMMYFUNCTION("""COMPUTED_VALUE"""),"NORTH")</f>
        <v>NORTH</v>
      </c>
      <c r="B4579" s="115" t="str">
        <f>IFERROR(__xludf.DUMMYFUNCTION("""COMPUTED_VALUE"""),"Loveleen Singh")</f>
        <v>Loveleen Singh</v>
      </c>
      <c r="C4579" s="115" t="str">
        <f>IFERROR(__xludf.DUMMYFUNCTION("""COMPUTED_VALUE"""),"FLIPKART")</f>
        <v>FLIPKART</v>
      </c>
      <c r="D4579" s="115">
        <f>IFERROR(__xludf.DUMMYFUNCTION("""COMPUTED_VALUE"""),170103.0)</f>
        <v>170103</v>
      </c>
      <c r="E4579" s="115">
        <f>IFERROR(__xludf.DUMMYFUNCTION("""COMPUTED_VALUE"""),13770.0)</f>
        <v>13770</v>
      </c>
      <c r="F4579" s="115">
        <f>IFERROR(__xludf.DUMMYFUNCTION("""COMPUTED_VALUE"""),57301.0)</f>
        <v>57301</v>
      </c>
      <c r="G4579" s="115">
        <f>IFERROR(__xludf.DUMMYFUNCTION("""COMPUTED_VALUE"""),1687.0)</f>
        <v>1687</v>
      </c>
      <c r="H4579" s="116">
        <f>IFERROR(__xludf.DUMMYFUNCTION("""COMPUTED_VALUE"""),45909.0)</f>
        <v>45909</v>
      </c>
      <c r="I4579" s="115" t="str">
        <f>IFERROR(__xludf.DUMMYFUNCTION("""COMPUTED_VALUE"""),"13")</f>
        <v>13</v>
      </c>
      <c r="J4579" s="115" t="str">
        <f>IFERROR(__xludf.DUMMYFUNCTION("""COMPUTED_VALUE"""),"Loveleen Singh2025-09-0913")</f>
        <v>Loveleen Singh2025-09-0913</v>
      </c>
      <c r="K4579" s="115">
        <f>IFERROR(__xludf.DUMMYFUNCTION("""COMPUTED_VALUE"""),183873.0)</f>
        <v>183873</v>
      </c>
    </row>
    <row r="4580">
      <c r="A4580" s="115" t="str">
        <f>IFERROR(__xludf.DUMMYFUNCTION("""COMPUTED_VALUE"""),"NORTH")</f>
        <v>NORTH</v>
      </c>
      <c r="B4580" s="115" t="str">
        <f>IFERROR(__xludf.DUMMYFUNCTION("""COMPUTED_VALUE"""),"Loveleen Singh")</f>
        <v>Loveleen Singh</v>
      </c>
      <c r="C4580" s="115" t="str">
        <f>IFERROR(__xludf.DUMMYFUNCTION("""COMPUTED_VALUE"""),"MYNTRA")</f>
        <v>MYNTRA</v>
      </c>
      <c r="D4580" s="115">
        <f>IFERROR(__xludf.DUMMYFUNCTION("""COMPUTED_VALUE"""),30599.0)</f>
        <v>30599</v>
      </c>
      <c r="E4580" s="115">
        <f>IFERROR(__xludf.DUMMYFUNCTION("""COMPUTED_VALUE"""),6039.0)</f>
        <v>6039</v>
      </c>
      <c r="F4580" s="115">
        <f>IFERROR(__xludf.DUMMYFUNCTION("""COMPUTED_VALUE"""),12332.0)</f>
        <v>12332</v>
      </c>
      <c r="G4580" s="115">
        <f>IFERROR(__xludf.DUMMYFUNCTION("""COMPUTED_VALUE"""),885.0)</f>
        <v>885</v>
      </c>
      <c r="H4580" s="116">
        <f>IFERROR(__xludf.DUMMYFUNCTION("""COMPUTED_VALUE"""),45909.0)</f>
        <v>45909</v>
      </c>
      <c r="I4580" s="115" t="str">
        <f>IFERROR(__xludf.DUMMYFUNCTION("""COMPUTED_VALUE"""),"13")</f>
        <v>13</v>
      </c>
      <c r="J4580" s="115" t="str">
        <f>IFERROR(__xludf.DUMMYFUNCTION("""COMPUTED_VALUE"""),"Loveleen Singh2025-09-0913")</f>
        <v>Loveleen Singh2025-09-0913</v>
      </c>
      <c r="K4580" s="115">
        <f>IFERROR(__xludf.DUMMYFUNCTION("""COMPUTED_VALUE"""),36638.0)</f>
        <v>36638</v>
      </c>
    </row>
    <row r="4581">
      <c r="A4581" s="115" t="str">
        <f>IFERROR(__xludf.DUMMYFUNCTION("""COMPUTED_VALUE"""),"NORTH")</f>
        <v>NORTH</v>
      </c>
      <c r="B4581" s="115" t="str">
        <f>IFERROR(__xludf.DUMMYFUNCTION("""COMPUTED_VALUE"""),"Manoj Harsh")</f>
        <v>Manoj Harsh</v>
      </c>
      <c r="C4581" s="115" t="str">
        <f>IFERROR(__xludf.DUMMYFUNCTION("""COMPUTED_VALUE"""),"EXTERNAL")</f>
        <v>EXTERNAL</v>
      </c>
      <c r="D4581" s="115">
        <f>IFERROR(__xludf.DUMMYFUNCTION("""COMPUTED_VALUE"""),35142.0)</f>
        <v>35142</v>
      </c>
      <c r="E4581" s="115">
        <f>IFERROR(__xludf.DUMMYFUNCTION("""COMPUTED_VALUE"""),3427.0)</f>
        <v>3427</v>
      </c>
      <c r="F4581" s="115">
        <f>IFERROR(__xludf.DUMMYFUNCTION("""COMPUTED_VALUE"""),6783.0)</f>
        <v>6783</v>
      </c>
      <c r="G4581" s="115">
        <f>IFERROR(__xludf.DUMMYFUNCTION("""COMPUTED_VALUE"""),199.0)</f>
        <v>199</v>
      </c>
      <c r="H4581" s="116">
        <f>IFERROR(__xludf.DUMMYFUNCTION("""COMPUTED_VALUE"""),45909.0)</f>
        <v>45909</v>
      </c>
      <c r="I4581" s="115" t="str">
        <f>IFERROR(__xludf.DUMMYFUNCTION("""COMPUTED_VALUE"""),"13")</f>
        <v>13</v>
      </c>
      <c r="J4581" s="115" t="str">
        <f>IFERROR(__xludf.DUMMYFUNCTION("""COMPUTED_VALUE"""),"Manoj Harsh2025-09-0913")</f>
        <v>Manoj Harsh2025-09-0913</v>
      </c>
      <c r="K4581" s="115">
        <f>IFERROR(__xludf.DUMMYFUNCTION("""COMPUTED_VALUE"""),38569.0)</f>
        <v>38569</v>
      </c>
    </row>
    <row r="4582">
      <c r="A4582" s="115" t="str">
        <f>IFERROR(__xludf.DUMMYFUNCTION("""COMPUTED_VALUE"""),"NORTH")</f>
        <v>NORTH</v>
      </c>
      <c r="B4582" s="115" t="str">
        <f>IFERROR(__xludf.DUMMYFUNCTION("""COMPUTED_VALUE"""),"Manoj Harsh")</f>
        <v>Manoj Harsh</v>
      </c>
      <c r="C4582" s="115" t="str">
        <f>IFERROR(__xludf.DUMMYFUNCTION("""COMPUTED_VALUE"""),"FLIPKART")</f>
        <v>FLIPKART</v>
      </c>
      <c r="D4582" s="115">
        <f>IFERROR(__xludf.DUMMYFUNCTION("""COMPUTED_VALUE"""),384440.0)</f>
        <v>384440</v>
      </c>
      <c r="E4582" s="115">
        <f>IFERROR(__xludf.DUMMYFUNCTION("""COMPUTED_VALUE"""),39261.0)</f>
        <v>39261</v>
      </c>
      <c r="F4582" s="115">
        <f>IFERROR(__xludf.DUMMYFUNCTION("""COMPUTED_VALUE"""),129110.0)</f>
        <v>129110</v>
      </c>
      <c r="G4582" s="115">
        <f>IFERROR(__xludf.DUMMYFUNCTION("""COMPUTED_VALUE"""),4624.0)</f>
        <v>4624</v>
      </c>
      <c r="H4582" s="116">
        <f>IFERROR(__xludf.DUMMYFUNCTION("""COMPUTED_VALUE"""),45909.0)</f>
        <v>45909</v>
      </c>
      <c r="I4582" s="115" t="str">
        <f>IFERROR(__xludf.DUMMYFUNCTION("""COMPUTED_VALUE"""),"13")</f>
        <v>13</v>
      </c>
      <c r="J4582" s="115" t="str">
        <f>IFERROR(__xludf.DUMMYFUNCTION("""COMPUTED_VALUE"""),"Manoj Harsh2025-09-0913")</f>
        <v>Manoj Harsh2025-09-0913</v>
      </c>
      <c r="K4582" s="115">
        <f>IFERROR(__xludf.DUMMYFUNCTION("""COMPUTED_VALUE"""),423701.0)</f>
        <v>423701</v>
      </c>
    </row>
    <row r="4583">
      <c r="A4583" s="115" t="str">
        <f>IFERROR(__xludf.DUMMYFUNCTION("""COMPUTED_VALUE"""),"NORTH")</f>
        <v>NORTH</v>
      </c>
      <c r="B4583" s="115" t="str">
        <f>IFERROR(__xludf.DUMMYFUNCTION("""COMPUTED_VALUE"""),"Manoj Harsh")</f>
        <v>Manoj Harsh</v>
      </c>
      <c r="C4583" s="115" t="str">
        <f>IFERROR(__xludf.DUMMYFUNCTION("""COMPUTED_VALUE"""),"MYNTRA")</f>
        <v>MYNTRA</v>
      </c>
      <c r="D4583" s="115">
        <f>IFERROR(__xludf.DUMMYFUNCTION("""COMPUTED_VALUE"""),38697.0)</f>
        <v>38697</v>
      </c>
      <c r="E4583" s="115">
        <f>IFERROR(__xludf.DUMMYFUNCTION("""COMPUTED_VALUE"""),7678.0)</f>
        <v>7678</v>
      </c>
      <c r="F4583" s="115">
        <f>IFERROR(__xludf.DUMMYFUNCTION("""COMPUTED_VALUE"""),16106.0)</f>
        <v>16106</v>
      </c>
      <c r="G4583" s="115">
        <f>IFERROR(__xludf.DUMMYFUNCTION("""COMPUTED_VALUE"""),1088.0)</f>
        <v>1088</v>
      </c>
      <c r="H4583" s="116">
        <f>IFERROR(__xludf.DUMMYFUNCTION("""COMPUTED_VALUE"""),45909.0)</f>
        <v>45909</v>
      </c>
      <c r="I4583" s="115" t="str">
        <f>IFERROR(__xludf.DUMMYFUNCTION("""COMPUTED_VALUE"""),"13")</f>
        <v>13</v>
      </c>
      <c r="J4583" s="115" t="str">
        <f>IFERROR(__xludf.DUMMYFUNCTION("""COMPUTED_VALUE"""),"Manoj Harsh2025-09-0913")</f>
        <v>Manoj Harsh2025-09-0913</v>
      </c>
      <c r="K4583" s="115">
        <f>IFERROR(__xludf.DUMMYFUNCTION("""COMPUTED_VALUE"""),46375.0)</f>
        <v>46375</v>
      </c>
    </row>
    <row r="4584">
      <c r="A4584" s="115" t="str">
        <f>IFERROR(__xludf.DUMMYFUNCTION("""COMPUTED_VALUE"""),"NORTH")</f>
        <v>NORTH</v>
      </c>
      <c r="B4584" s="115" t="str">
        <f>IFERROR(__xludf.DUMMYFUNCTION("""COMPUTED_VALUE"""),"Pradeep Kothari")</f>
        <v>Pradeep Kothari</v>
      </c>
      <c r="C4584" s="115" t="str">
        <f>IFERROR(__xludf.DUMMYFUNCTION("""COMPUTED_VALUE"""),"EXTERNAL")</f>
        <v>EXTERNAL</v>
      </c>
      <c r="D4584" s="115">
        <f>IFERROR(__xludf.DUMMYFUNCTION("""COMPUTED_VALUE"""),19758.0)</f>
        <v>19758</v>
      </c>
      <c r="E4584" s="115">
        <f>IFERROR(__xludf.DUMMYFUNCTION("""COMPUTED_VALUE"""),2169.0)</f>
        <v>2169</v>
      </c>
      <c r="F4584" s="115">
        <f>IFERROR(__xludf.DUMMYFUNCTION("""COMPUTED_VALUE"""),4349.0)</f>
        <v>4349</v>
      </c>
      <c r="G4584" s="115">
        <f>IFERROR(__xludf.DUMMYFUNCTION("""COMPUTED_VALUE"""),238.0)</f>
        <v>238</v>
      </c>
      <c r="H4584" s="116">
        <f>IFERROR(__xludf.DUMMYFUNCTION("""COMPUTED_VALUE"""),45909.0)</f>
        <v>45909</v>
      </c>
      <c r="I4584" s="115" t="str">
        <f>IFERROR(__xludf.DUMMYFUNCTION("""COMPUTED_VALUE"""),"13")</f>
        <v>13</v>
      </c>
      <c r="J4584" s="115" t="str">
        <f>IFERROR(__xludf.DUMMYFUNCTION("""COMPUTED_VALUE"""),"Pradeep Kothari2025-09-0913")</f>
        <v>Pradeep Kothari2025-09-0913</v>
      </c>
      <c r="K4584" s="115">
        <f>IFERROR(__xludf.DUMMYFUNCTION("""COMPUTED_VALUE"""),21927.0)</f>
        <v>21927</v>
      </c>
    </row>
    <row r="4585">
      <c r="A4585" s="115" t="str">
        <f>IFERROR(__xludf.DUMMYFUNCTION("""COMPUTED_VALUE"""),"NORTH")</f>
        <v>NORTH</v>
      </c>
      <c r="B4585" s="115" t="str">
        <f>IFERROR(__xludf.DUMMYFUNCTION("""COMPUTED_VALUE"""),"Pradeep Kothari")</f>
        <v>Pradeep Kothari</v>
      </c>
      <c r="C4585" s="115" t="str">
        <f>IFERROR(__xludf.DUMMYFUNCTION("""COMPUTED_VALUE"""),"FLIPKART")</f>
        <v>FLIPKART</v>
      </c>
      <c r="D4585" s="115">
        <f>IFERROR(__xludf.DUMMYFUNCTION("""COMPUTED_VALUE"""),138848.0)</f>
        <v>138848</v>
      </c>
      <c r="E4585" s="115">
        <f>IFERROR(__xludf.DUMMYFUNCTION("""COMPUTED_VALUE"""),16620.0)</f>
        <v>16620</v>
      </c>
      <c r="F4585" s="115">
        <f>IFERROR(__xludf.DUMMYFUNCTION("""COMPUTED_VALUE"""),59234.0)</f>
        <v>59234</v>
      </c>
      <c r="G4585" s="115">
        <f>IFERROR(__xludf.DUMMYFUNCTION("""COMPUTED_VALUE"""),2964.0)</f>
        <v>2964</v>
      </c>
      <c r="H4585" s="116">
        <f>IFERROR(__xludf.DUMMYFUNCTION("""COMPUTED_VALUE"""),45909.0)</f>
        <v>45909</v>
      </c>
      <c r="I4585" s="115" t="str">
        <f>IFERROR(__xludf.DUMMYFUNCTION("""COMPUTED_VALUE"""),"13")</f>
        <v>13</v>
      </c>
      <c r="J4585" s="115" t="str">
        <f>IFERROR(__xludf.DUMMYFUNCTION("""COMPUTED_VALUE"""),"Pradeep Kothari2025-09-0913")</f>
        <v>Pradeep Kothari2025-09-0913</v>
      </c>
      <c r="K4585" s="115">
        <f>IFERROR(__xludf.DUMMYFUNCTION("""COMPUTED_VALUE"""),155468.0)</f>
        <v>155468</v>
      </c>
    </row>
    <row r="4586">
      <c r="A4586" s="115" t="str">
        <f>IFERROR(__xludf.DUMMYFUNCTION("""COMPUTED_VALUE"""),"NORTH")</f>
        <v>NORTH</v>
      </c>
      <c r="B4586" s="115" t="str">
        <f>IFERROR(__xludf.DUMMYFUNCTION("""COMPUTED_VALUE"""),"Pradeep Kothari")</f>
        <v>Pradeep Kothari</v>
      </c>
      <c r="C4586" s="115" t="str">
        <f>IFERROR(__xludf.DUMMYFUNCTION("""COMPUTED_VALUE"""),"MYNTRA")</f>
        <v>MYNTRA</v>
      </c>
      <c r="D4586" s="115">
        <f>IFERROR(__xludf.DUMMYFUNCTION("""COMPUTED_VALUE"""),26285.0)</f>
        <v>26285</v>
      </c>
      <c r="E4586" s="115">
        <f>IFERROR(__xludf.DUMMYFUNCTION("""COMPUTED_VALUE"""),6762.0)</f>
        <v>6762</v>
      </c>
      <c r="F4586" s="115">
        <f>IFERROR(__xludf.DUMMYFUNCTION("""COMPUTED_VALUE"""),13326.0)</f>
        <v>13326</v>
      </c>
      <c r="G4586" s="115">
        <f>IFERROR(__xludf.DUMMYFUNCTION("""COMPUTED_VALUE"""),1568.0)</f>
        <v>1568</v>
      </c>
      <c r="H4586" s="116">
        <f>IFERROR(__xludf.DUMMYFUNCTION("""COMPUTED_VALUE"""),45909.0)</f>
        <v>45909</v>
      </c>
      <c r="I4586" s="115" t="str">
        <f>IFERROR(__xludf.DUMMYFUNCTION("""COMPUTED_VALUE"""),"13")</f>
        <v>13</v>
      </c>
      <c r="J4586" s="115" t="str">
        <f>IFERROR(__xludf.DUMMYFUNCTION("""COMPUTED_VALUE"""),"Pradeep Kothari2025-09-0913")</f>
        <v>Pradeep Kothari2025-09-0913</v>
      </c>
      <c r="K4586" s="115">
        <f>IFERROR(__xludf.DUMMYFUNCTION("""COMPUTED_VALUE"""),33047.0)</f>
        <v>33047</v>
      </c>
    </row>
    <row r="4587">
      <c r="A4587" s="115" t="str">
        <f>IFERROR(__xludf.DUMMYFUNCTION("""COMPUTED_VALUE"""),"SOUTH")</f>
        <v>SOUTH</v>
      </c>
      <c r="B4587" s="115" t="str">
        <f>IFERROR(__xludf.DUMMYFUNCTION("""COMPUTED_VALUE"""),"0")</f>
        <v>0</v>
      </c>
      <c r="C4587" s="115" t="str">
        <f>IFERROR(__xludf.DUMMYFUNCTION("""COMPUTED_VALUE"""),"MYNTRA")</f>
        <v>MYNTRA</v>
      </c>
      <c r="D4587" s="115">
        <f>IFERROR(__xludf.DUMMYFUNCTION("""COMPUTED_VALUE"""),4.0)</f>
        <v>4</v>
      </c>
      <c r="E4587" s="115">
        <f>IFERROR(__xludf.DUMMYFUNCTION("""COMPUTED_VALUE"""),0.0)</f>
        <v>0</v>
      </c>
      <c r="F4587" s="115">
        <f>IFERROR(__xludf.DUMMYFUNCTION("""COMPUTED_VALUE"""),3.0)</f>
        <v>3</v>
      </c>
      <c r="G4587" s="115">
        <f>IFERROR(__xludf.DUMMYFUNCTION("""COMPUTED_VALUE"""),0.0)</f>
        <v>0</v>
      </c>
      <c r="H4587" s="116">
        <f>IFERROR(__xludf.DUMMYFUNCTION("""COMPUTED_VALUE"""),45909.0)</f>
        <v>45909</v>
      </c>
      <c r="I4587" s="115" t="str">
        <f>IFERROR(__xludf.DUMMYFUNCTION("""COMPUTED_VALUE"""),"13")</f>
        <v>13</v>
      </c>
      <c r="J4587" s="115" t="str">
        <f>IFERROR(__xludf.DUMMYFUNCTION("""COMPUTED_VALUE"""),"02025-09-0913")</f>
        <v>02025-09-0913</v>
      </c>
      <c r="K4587" s="115">
        <f>IFERROR(__xludf.DUMMYFUNCTION("""COMPUTED_VALUE"""),4.0)</f>
        <v>4</v>
      </c>
    </row>
    <row r="4588">
      <c r="A4588" s="115" t="str">
        <f>IFERROR(__xludf.DUMMYFUNCTION("""COMPUTED_VALUE"""),"SOUTH")</f>
        <v>SOUTH</v>
      </c>
      <c r="B4588" s="115" t="str">
        <f>IFERROR(__xludf.DUMMYFUNCTION("""COMPUTED_VALUE"""),"Kandula Sampath")</f>
        <v>Kandula Sampath</v>
      </c>
      <c r="C4588" s="115" t="str">
        <f>IFERROR(__xludf.DUMMYFUNCTION("""COMPUTED_VALUE"""),"EXTERNAL")</f>
        <v>EXTERNAL</v>
      </c>
      <c r="D4588" s="115">
        <f>IFERROR(__xludf.DUMMYFUNCTION("""COMPUTED_VALUE"""),31878.0)</f>
        <v>31878</v>
      </c>
      <c r="E4588" s="115">
        <f>IFERROR(__xludf.DUMMYFUNCTION("""COMPUTED_VALUE"""),4593.0)</f>
        <v>4593</v>
      </c>
      <c r="F4588" s="115">
        <f>IFERROR(__xludf.DUMMYFUNCTION("""COMPUTED_VALUE"""),7481.0)</f>
        <v>7481</v>
      </c>
      <c r="G4588" s="115">
        <f>IFERROR(__xludf.DUMMYFUNCTION("""COMPUTED_VALUE"""),385.0)</f>
        <v>385</v>
      </c>
      <c r="H4588" s="116">
        <f>IFERROR(__xludf.DUMMYFUNCTION("""COMPUTED_VALUE"""),45909.0)</f>
        <v>45909</v>
      </c>
      <c r="I4588" s="115" t="str">
        <f>IFERROR(__xludf.DUMMYFUNCTION("""COMPUTED_VALUE"""),"13")</f>
        <v>13</v>
      </c>
      <c r="J4588" s="115" t="str">
        <f>IFERROR(__xludf.DUMMYFUNCTION("""COMPUTED_VALUE"""),"Kandula Sampath2025-09-0913")</f>
        <v>Kandula Sampath2025-09-0913</v>
      </c>
      <c r="K4588" s="115">
        <f>IFERROR(__xludf.DUMMYFUNCTION("""COMPUTED_VALUE"""),36471.0)</f>
        <v>36471</v>
      </c>
    </row>
    <row r="4589">
      <c r="A4589" s="115" t="str">
        <f>IFERROR(__xludf.DUMMYFUNCTION("""COMPUTED_VALUE"""),"SOUTH")</f>
        <v>SOUTH</v>
      </c>
      <c r="B4589" s="115" t="str">
        <f>IFERROR(__xludf.DUMMYFUNCTION("""COMPUTED_VALUE"""),"Kandula Sampath")</f>
        <v>Kandula Sampath</v>
      </c>
      <c r="C4589" s="115" t="str">
        <f>IFERROR(__xludf.DUMMYFUNCTION("""COMPUTED_VALUE"""),"FLIPKART")</f>
        <v>FLIPKART</v>
      </c>
      <c r="D4589" s="115">
        <f>IFERROR(__xludf.DUMMYFUNCTION("""COMPUTED_VALUE"""),304196.0)</f>
        <v>304196</v>
      </c>
      <c r="E4589" s="115">
        <f>IFERROR(__xludf.DUMMYFUNCTION("""COMPUTED_VALUE"""),33843.0)</f>
        <v>33843</v>
      </c>
      <c r="F4589" s="115">
        <f>IFERROR(__xludf.DUMMYFUNCTION("""COMPUTED_VALUE"""),127208.0)</f>
        <v>127208</v>
      </c>
      <c r="G4589" s="115">
        <f>IFERROR(__xludf.DUMMYFUNCTION("""COMPUTED_VALUE"""),4335.0)</f>
        <v>4335</v>
      </c>
      <c r="H4589" s="116">
        <f>IFERROR(__xludf.DUMMYFUNCTION("""COMPUTED_VALUE"""),45909.0)</f>
        <v>45909</v>
      </c>
      <c r="I4589" s="115" t="str">
        <f>IFERROR(__xludf.DUMMYFUNCTION("""COMPUTED_VALUE"""),"13")</f>
        <v>13</v>
      </c>
      <c r="J4589" s="115" t="str">
        <f>IFERROR(__xludf.DUMMYFUNCTION("""COMPUTED_VALUE"""),"Kandula Sampath2025-09-0913")</f>
        <v>Kandula Sampath2025-09-0913</v>
      </c>
      <c r="K4589" s="115">
        <f>IFERROR(__xludf.DUMMYFUNCTION("""COMPUTED_VALUE"""),338039.0)</f>
        <v>338039</v>
      </c>
    </row>
    <row r="4590">
      <c r="A4590" s="115" t="str">
        <f>IFERROR(__xludf.DUMMYFUNCTION("""COMPUTED_VALUE"""),"SOUTH")</f>
        <v>SOUTH</v>
      </c>
      <c r="B4590" s="115" t="str">
        <f>IFERROR(__xludf.DUMMYFUNCTION("""COMPUTED_VALUE"""),"Kandula Sampath")</f>
        <v>Kandula Sampath</v>
      </c>
      <c r="C4590" s="115" t="str">
        <f>IFERROR(__xludf.DUMMYFUNCTION("""COMPUTED_VALUE"""),"MYNTRA")</f>
        <v>MYNTRA</v>
      </c>
      <c r="D4590" s="115">
        <f>IFERROR(__xludf.DUMMYFUNCTION("""COMPUTED_VALUE"""),36734.0)</f>
        <v>36734</v>
      </c>
      <c r="E4590" s="115">
        <f>IFERROR(__xludf.DUMMYFUNCTION("""COMPUTED_VALUE"""),9409.0)</f>
        <v>9409</v>
      </c>
      <c r="F4590" s="115">
        <f>IFERROR(__xludf.DUMMYFUNCTION("""COMPUTED_VALUE"""),17884.0)</f>
        <v>17884</v>
      </c>
      <c r="G4590" s="115">
        <f>IFERROR(__xludf.DUMMYFUNCTION("""COMPUTED_VALUE"""),1316.0)</f>
        <v>1316</v>
      </c>
      <c r="H4590" s="116">
        <f>IFERROR(__xludf.DUMMYFUNCTION("""COMPUTED_VALUE"""),45909.0)</f>
        <v>45909</v>
      </c>
      <c r="I4590" s="115" t="str">
        <f>IFERROR(__xludf.DUMMYFUNCTION("""COMPUTED_VALUE"""),"13")</f>
        <v>13</v>
      </c>
      <c r="J4590" s="115" t="str">
        <f>IFERROR(__xludf.DUMMYFUNCTION("""COMPUTED_VALUE"""),"Kandula Sampath2025-09-0913")</f>
        <v>Kandula Sampath2025-09-0913</v>
      </c>
      <c r="K4590" s="115">
        <f>IFERROR(__xludf.DUMMYFUNCTION("""COMPUTED_VALUE"""),46143.0)</f>
        <v>46143</v>
      </c>
    </row>
    <row r="4591">
      <c r="A4591" s="115" t="str">
        <f>IFERROR(__xludf.DUMMYFUNCTION("""COMPUTED_VALUE"""),"SOUTH")</f>
        <v>SOUTH</v>
      </c>
      <c r="B4591" s="115" t="str">
        <f>IFERROR(__xludf.DUMMYFUNCTION("""COMPUTED_VALUE"""),"Martin A")</f>
        <v>Martin A</v>
      </c>
      <c r="C4591" s="115" t="str">
        <f>IFERROR(__xludf.DUMMYFUNCTION("""COMPUTED_VALUE"""),"EXTERNAL")</f>
        <v>EXTERNAL</v>
      </c>
      <c r="D4591" s="115">
        <f>IFERROR(__xludf.DUMMYFUNCTION("""COMPUTED_VALUE"""),29257.0)</f>
        <v>29257</v>
      </c>
      <c r="E4591" s="115">
        <f>IFERROR(__xludf.DUMMYFUNCTION("""COMPUTED_VALUE"""),4268.0)</f>
        <v>4268</v>
      </c>
      <c r="F4591" s="115">
        <f>IFERROR(__xludf.DUMMYFUNCTION("""COMPUTED_VALUE"""),6626.0)</f>
        <v>6626</v>
      </c>
      <c r="G4591" s="115">
        <f>IFERROR(__xludf.DUMMYFUNCTION("""COMPUTED_VALUE"""),570.0)</f>
        <v>570</v>
      </c>
      <c r="H4591" s="116">
        <f>IFERROR(__xludf.DUMMYFUNCTION("""COMPUTED_VALUE"""),45909.0)</f>
        <v>45909</v>
      </c>
      <c r="I4591" s="115" t="str">
        <f>IFERROR(__xludf.DUMMYFUNCTION("""COMPUTED_VALUE"""),"13")</f>
        <v>13</v>
      </c>
      <c r="J4591" s="115" t="str">
        <f>IFERROR(__xludf.DUMMYFUNCTION("""COMPUTED_VALUE"""),"Martin A2025-09-0913")</f>
        <v>Martin A2025-09-0913</v>
      </c>
      <c r="K4591" s="115">
        <f>IFERROR(__xludf.DUMMYFUNCTION("""COMPUTED_VALUE"""),33525.0)</f>
        <v>33525</v>
      </c>
    </row>
    <row r="4592">
      <c r="A4592" s="115" t="str">
        <f>IFERROR(__xludf.DUMMYFUNCTION("""COMPUTED_VALUE"""),"SOUTH")</f>
        <v>SOUTH</v>
      </c>
      <c r="B4592" s="115" t="str">
        <f>IFERROR(__xludf.DUMMYFUNCTION("""COMPUTED_VALUE"""),"Martin A")</f>
        <v>Martin A</v>
      </c>
      <c r="C4592" s="115" t="str">
        <f>IFERROR(__xludf.DUMMYFUNCTION("""COMPUTED_VALUE"""),"FLIPKART")</f>
        <v>FLIPKART</v>
      </c>
      <c r="D4592" s="115">
        <f>IFERROR(__xludf.DUMMYFUNCTION("""COMPUTED_VALUE"""),257721.0)</f>
        <v>257721</v>
      </c>
      <c r="E4592" s="115">
        <f>IFERROR(__xludf.DUMMYFUNCTION("""COMPUTED_VALUE"""),27038.0)</f>
        <v>27038</v>
      </c>
      <c r="F4592" s="115">
        <f>IFERROR(__xludf.DUMMYFUNCTION("""COMPUTED_VALUE"""),104393.0)</f>
        <v>104393</v>
      </c>
      <c r="G4592" s="115">
        <f>IFERROR(__xludf.DUMMYFUNCTION("""COMPUTED_VALUE"""),4318.0)</f>
        <v>4318</v>
      </c>
      <c r="H4592" s="116">
        <f>IFERROR(__xludf.DUMMYFUNCTION("""COMPUTED_VALUE"""),45909.0)</f>
        <v>45909</v>
      </c>
      <c r="I4592" s="115" t="str">
        <f>IFERROR(__xludf.DUMMYFUNCTION("""COMPUTED_VALUE"""),"13")</f>
        <v>13</v>
      </c>
      <c r="J4592" s="115" t="str">
        <f>IFERROR(__xludf.DUMMYFUNCTION("""COMPUTED_VALUE"""),"Martin A2025-09-0913")</f>
        <v>Martin A2025-09-0913</v>
      </c>
      <c r="K4592" s="115">
        <f>IFERROR(__xludf.DUMMYFUNCTION("""COMPUTED_VALUE"""),284759.0)</f>
        <v>284759</v>
      </c>
    </row>
    <row r="4593">
      <c r="A4593" s="115" t="str">
        <f>IFERROR(__xludf.DUMMYFUNCTION("""COMPUTED_VALUE"""),"SOUTH")</f>
        <v>SOUTH</v>
      </c>
      <c r="B4593" s="115" t="str">
        <f>IFERROR(__xludf.DUMMYFUNCTION("""COMPUTED_VALUE"""),"Martin A")</f>
        <v>Martin A</v>
      </c>
      <c r="C4593" s="115" t="str">
        <f>IFERROR(__xludf.DUMMYFUNCTION("""COMPUTED_VALUE"""),"MYNTRA")</f>
        <v>MYNTRA</v>
      </c>
      <c r="D4593" s="115">
        <f>IFERROR(__xludf.DUMMYFUNCTION("""COMPUTED_VALUE"""),23104.0)</f>
        <v>23104</v>
      </c>
      <c r="E4593" s="115">
        <f>IFERROR(__xludf.DUMMYFUNCTION("""COMPUTED_VALUE"""),7103.0)</f>
        <v>7103</v>
      </c>
      <c r="F4593" s="115">
        <f>IFERROR(__xludf.DUMMYFUNCTION("""COMPUTED_VALUE"""),11327.0)</f>
        <v>11327</v>
      </c>
      <c r="G4593" s="115">
        <f>IFERROR(__xludf.DUMMYFUNCTION("""COMPUTED_VALUE"""),1309.0)</f>
        <v>1309</v>
      </c>
      <c r="H4593" s="116">
        <f>IFERROR(__xludf.DUMMYFUNCTION("""COMPUTED_VALUE"""),45909.0)</f>
        <v>45909</v>
      </c>
      <c r="I4593" s="115" t="str">
        <f>IFERROR(__xludf.DUMMYFUNCTION("""COMPUTED_VALUE"""),"13")</f>
        <v>13</v>
      </c>
      <c r="J4593" s="115" t="str">
        <f>IFERROR(__xludf.DUMMYFUNCTION("""COMPUTED_VALUE"""),"Martin A2025-09-0913")</f>
        <v>Martin A2025-09-0913</v>
      </c>
      <c r="K4593" s="115">
        <f>IFERROR(__xludf.DUMMYFUNCTION("""COMPUTED_VALUE"""),30207.0)</f>
        <v>30207</v>
      </c>
    </row>
    <row r="4594">
      <c r="A4594" s="115" t="str">
        <f>IFERROR(__xludf.DUMMYFUNCTION("""COMPUTED_VALUE"""),"SOUTH")</f>
        <v>SOUTH</v>
      </c>
      <c r="B4594" s="115" t="str">
        <f>IFERROR(__xludf.DUMMYFUNCTION("""COMPUTED_VALUE"""),"Premkumar M")</f>
        <v>Premkumar M</v>
      </c>
      <c r="C4594" s="115" t="str">
        <f>IFERROR(__xludf.DUMMYFUNCTION("""COMPUTED_VALUE"""),"EXTERNAL")</f>
        <v>EXTERNAL</v>
      </c>
      <c r="D4594" s="115">
        <f>IFERROR(__xludf.DUMMYFUNCTION("""COMPUTED_VALUE"""),24965.0)</f>
        <v>24965</v>
      </c>
      <c r="E4594" s="115">
        <f>IFERROR(__xludf.DUMMYFUNCTION("""COMPUTED_VALUE"""),2209.0)</f>
        <v>2209</v>
      </c>
      <c r="F4594" s="115">
        <f>IFERROR(__xludf.DUMMYFUNCTION("""COMPUTED_VALUE"""),4836.0)</f>
        <v>4836</v>
      </c>
      <c r="G4594" s="115">
        <f>IFERROR(__xludf.DUMMYFUNCTION("""COMPUTED_VALUE"""),69.0)</f>
        <v>69</v>
      </c>
      <c r="H4594" s="116">
        <f>IFERROR(__xludf.DUMMYFUNCTION("""COMPUTED_VALUE"""),45909.0)</f>
        <v>45909</v>
      </c>
      <c r="I4594" s="115" t="str">
        <f>IFERROR(__xludf.DUMMYFUNCTION("""COMPUTED_VALUE"""),"13")</f>
        <v>13</v>
      </c>
      <c r="J4594" s="115" t="str">
        <f>IFERROR(__xludf.DUMMYFUNCTION("""COMPUTED_VALUE"""),"Premkumar M2025-09-0913")</f>
        <v>Premkumar M2025-09-0913</v>
      </c>
      <c r="K4594" s="115">
        <f>IFERROR(__xludf.DUMMYFUNCTION("""COMPUTED_VALUE"""),27174.0)</f>
        <v>27174</v>
      </c>
    </row>
    <row r="4595">
      <c r="A4595" s="115" t="str">
        <f>IFERROR(__xludf.DUMMYFUNCTION("""COMPUTED_VALUE"""),"SOUTH")</f>
        <v>SOUTH</v>
      </c>
      <c r="B4595" s="115" t="str">
        <f>IFERROR(__xludf.DUMMYFUNCTION("""COMPUTED_VALUE"""),"Premkumar M")</f>
        <v>Premkumar M</v>
      </c>
      <c r="C4595" s="115" t="str">
        <f>IFERROR(__xludf.DUMMYFUNCTION("""COMPUTED_VALUE"""),"FLIPKART")</f>
        <v>FLIPKART</v>
      </c>
      <c r="D4595" s="115">
        <f>IFERROR(__xludf.DUMMYFUNCTION("""COMPUTED_VALUE"""),242121.0)</f>
        <v>242121</v>
      </c>
      <c r="E4595" s="115">
        <f>IFERROR(__xludf.DUMMYFUNCTION("""COMPUTED_VALUE"""),18810.0)</f>
        <v>18810</v>
      </c>
      <c r="F4595" s="115">
        <f>IFERROR(__xludf.DUMMYFUNCTION("""COMPUTED_VALUE"""),72770.0)</f>
        <v>72770</v>
      </c>
      <c r="G4595" s="115">
        <f>IFERROR(__xludf.DUMMYFUNCTION("""COMPUTED_VALUE"""),970.0)</f>
        <v>970</v>
      </c>
      <c r="H4595" s="116">
        <f>IFERROR(__xludf.DUMMYFUNCTION("""COMPUTED_VALUE"""),45909.0)</f>
        <v>45909</v>
      </c>
      <c r="I4595" s="115" t="str">
        <f>IFERROR(__xludf.DUMMYFUNCTION("""COMPUTED_VALUE"""),"13")</f>
        <v>13</v>
      </c>
      <c r="J4595" s="115" t="str">
        <f>IFERROR(__xludf.DUMMYFUNCTION("""COMPUTED_VALUE"""),"Premkumar M2025-09-0913")</f>
        <v>Premkumar M2025-09-0913</v>
      </c>
      <c r="K4595" s="115">
        <f>IFERROR(__xludf.DUMMYFUNCTION("""COMPUTED_VALUE"""),260931.0)</f>
        <v>260931</v>
      </c>
    </row>
    <row r="4596">
      <c r="A4596" s="115" t="str">
        <f>IFERROR(__xludf.DUMMYFUNCTION("""COMPUTED_VALUE"""),"SOUTH")</f>
        <v>SOUTH</v>
      </c>
      <c r="B4596" s="115" t="str">
        <f>IFERROR(__xludf.DUMMYFUNCTION("""COMPUTED_VALUE"""),"Premkumar M")</f>
        <v>Premkumar M</v>
      </c>
      <c r="C4596" s="115" t="str">
        <f>IFERROR(__xludf.DUMMYFUNCTION("""COMPUTED_VALUE"""),"MYNTRA")</f>
        <v>MYNTRA</v>
      </c>
      <c r="D4596" s="115">
        <f>IFERROR(__xludf.DUMMYFUNCTION("""COMPUTED_VALUE"""),13698.0)</f>
        <v>13698</v>
      </c>
      <c r="E4596" s="115">
        <f>IFERROR(__xludf.DUMMYFUNCTION("""COMPUTED_VALUE"""),3159.0)</f>
        <v>3159</v>
      </c>
      <c r="F4596" s="115">
        <f>IFERROR(__xludf.DUMMYFUNCTION("""COMPUTED_VALUE"""),4761.0)</f>
        <v>4761</v>
      </c>
      <c r="G4596" s="115">
        <f>IFERROR(__xludf.DUMMYFUNCTION("""COMPUTED_VALUE"""),157.0)</f>
        <v>157</v>
      </c>
      <c r="H4596" s="116">
        <f>IFERROR(__xludf.DUMMYFUNCTION("""COMPUTED_VALUE"""),45909.0)</f>
        <v>45909</v>
      </c>
      <c r="I4596" s="115" t="str">
        <f>IFERROR(__xludf.DUMMYFUNCTION("""COMPUTED_VALUE"""),"13")</f>
        <v>13</v>
      </c>
      <c r="J4596" s="115" t="str">
        <f>IFERROR(__xludf.DUMMYFUNCTION("""COMPUTED_VALUE"""),"Premkumar M2025-09-0913")</f>
        <v>Premkumar M2025-09-0913</v>
      </c>
      <c r="K4596" s="115">
        <f>IFERROR(__xludf.DUMMYFUNCTION("""COMPUTED_VALUE"""),16857.0)</f>
        <v>16857</v>
      </c>
    </row>
    <row r="4597">
      <c r="A4597" s="115" t="str">
        <f>IFERROR(__xludf.DUMMYFUNCTION("""COMPUTED_VALUE"""),"SOUTH")</f>
        <v>SOUTH</v>
      </c>
      <c r="B4597" s="115" t="str">
        <f>IFERROR(__xludf.DUMMYFUNCTION("""COMPUTED_VALUE"""),"Vineeth V")</f>
        <v>Vineeth V</v>
      </c>
      <c r="C4597" s="115" t="str">
        <f>IFERROR(__xludf.DUMMYFUNCTION("""COMPUTED_VALUE"""),"EXTERNAL")</f>
        <v>EXTERNAL</v>
      </c>
      <c r="D4597" s="115">
        <f>IFERROR(__xludf.DUMMYFUNCTION("""COMPUTED_VALUE"""),20359.0)</f>
        <v>20359</v>
      </c>
      <c r="E4597" s="115">
        <f>IFERROR(__xludf.DUMMYFUNCTION("""COMPUTED_VALUE"""),701.0)</f>
        <v>701</v>
      </c>
      <c r="F4597" s="115">
        <f>IFERROR(__xludf.DUMMYFUNCTION("""COMPUTED_VALUE"""),3476.0)</f>
        <v>3476</v>
      </c>
      <c r="G4597" s="115">
        <f>IFERROR(__xludf.DUMMYFUNCTION("""COMPUTED_VALUE"""),26.0)</f>
        <v>26</v>
      </c>
      <c r="H4597" s="116">
        <f>IFERROR(__xludf.DUMMYFUNCTION("""COMPUTED_VALUE"""),45909.0)</f>
        <v>45909</v>
      </c>
      <c r="I4597" s="115" t="str">
        <f>IFERROR(__xludf.DUMMYFUNCTION("""COMPUTED_VALUE"""),"13")</f>
        <v>13</v>
      </c>
      <c r="J4597" s="115" t="str">
        <f>IFERROR(__xludf.DUMMYFUNCTION("""COMPUTED_VALUE"""),"Vineeth V2025-09-0913")</f>
        <v>Vineeth V2025-09-0913</v>
      </c>
      <c r="K4597" s="115">
        <f>IFERROR(__xludf.DUMMYFUNCTION("""COMPUTED_VALUE"""),21060.0)</f>
        <v>21060</v>
      </c>
    </row>
    <row r="4598">
      <c r="A4598" s="115" t="str">
        <f>IFERROR(__xludf.DUMMYFUNCTION("""COMPUTED_VALUE"""),"SOUTH")</f>
        <v>SOUTH</v>
      </c>
      <c r="B4598" s="115" t="str">
        <f>IFERROR(__xludf.DUMMYFUNCTION("""COMPUTED_VALUE"""),"Vineeth V")</f>
        <v>Vineeth V</v>
      </c>
      <c r="C4598" s="115" t="str">
        <f>IFERROR(__xludf.DUMMYFUNCTION("""COMPUTED_VALUE"""),"FLIPKART")</f>
        <v>FLIPKART</v>
      </c>
      <c r="D4598" s="115">
        <f>IFERROR(__xludf.DUMMYFUNCTION("""COMPUTED_VALUE"""),211409.0)</f>
        <v>211409</v>
      </c>
      <c r="E4598" s="115">
        <f>IFERROR(__xludf.DUMMYFUNCTION("""COMPUTED_VALUE"""),16743.0)</f>
        <v>16743</v>
      </c>
      <c r="F4598" s="115">
        <f>IFERROR(__xludf.DUMMYFUNCTION("""COMPUTED_VALUE"""),56051.0)</f>
        <v>56051</v>
      </c>
      <c r="G4598" s="115">
        <f>IFERROR(__xludf.DUMMYFUNCTION("""COMPUTED_VALUE"""),659.0)</f>
        <v>659</v>
      </c>
      <c r="H4598" s="116">
        <f>IFERROR(__xludf.DUMMYFUNCTION("""COMPUTED_VALUE"""),45909.0)</f>
        <v>45909</v>
      </c>
      <c r="I4598" s="115" t="str">
        <f>IFERROR(__xludf.DUMMYFUNCTION("""COMPUTED_VALUE"""),"13")</f>
        <v>13</v>
      </c>
      <c r="J4598" s="115" t="str">
        <f>IFERROR(__xludf.DUMMYFUNCTION("""COMPUTED_VALUE"""),"Vineeth V2025-09-0913")</f>
        <v>Vineeth V2025-09-0913</v>
      </c>
      <c r="K4598" s="115">
        <f>IFERROR(__xludf.DUMMYFUNCTION("""COMPUTED_VALUE"""),228152.0)</f>
        <v>228152</v>
      </c>
    </row>
    <row r="4599">
      <c r="A4599" s="115" t="str">
        <f>IFERROR(__xludf.DUMMYFUNCTION("""COMPUTED_VALUE"""),"SOUTH")</f>
        <v>SOUTH</v>
      </c>
      <c r="B4599" s="115" t="str">
        <f>IFERROR(__xludf.DUMMYFUNCTION("""COMPUTED_VALUE"""),"Vineeth V")</f>
        <v>Vineeth V</v>
      </c>
      <c r="C4599" s="115" t="str">
        <f>IFERROR(__xludf.DUMMYFUNCTION("""COMPUTED_VALUE"""),"MYNTRA")</f>
        <v>MYNTRA</v>
      </c>
      <c r="D4599" s="115">
        <f>IFERROR(__xludf.DUMMYFUNCTION("""COMPUTED_VALUE"""),17255.0)</f>
        <v>17255</v>
      </c>
      <c r="E4599" s="115">
        <f>IFERROR(__xludf.DUMMYFUNCTION("""COMPUTED_VALUE"""),4241.0)</f>
        <v>4241</v>
      </c>
      <c r="F4599" s="115">
        <f>IFERROR(__xludf.DUMMYFUNCTION("""COMPUTED_VALUE"""),5112.0)</f>
        <v>5112</v>
      </c>
      <c r="G4599" s="115">
        <f>IFERROR(__xludf.DUMMYFUNCTION("""COMPUTED_VALUE"""),158.0)</f>
        <v>158</v>
      </c>
      <c r="H4599" s="116">
        <f>IFERROR(__xludf.DUMMYFUNCTION("""COMPUTED_VALUE"""),45909.0)</f>
        <v>45909</v>
      </c>
      <c r="I4599" s="115" t="str">
        <f>IFERROR(__xludf.DUMMYFUNCTION("""COMPUTED_VALUE"""),"13")</f>
        <v>13</v>
      </c>
      <c r="J4599" s="115" t="str">
        <f>IFERROR(__xludf.DUMMYFUNCTION("""COMPUTED_VALUE"""),"Vineeth V2025-09-0913")</f>
        <v>Vineeth V2025-09-0913</v>
      </c>
      <c r="K4599" s="115">
        <f>IFERROR(__xludf.DUMMYFUNCTION("""COMPUTED_VALUE"""),21496.0)</f>
        <v>21496</v>
      </c>
    </row>
    <row r="4600">
      <c r="A4600" s="115" t="str">
        <f>IFERROR(__xludf.DUMMYFUNCTION("""COMPUTED_VALUE"""),"WEST")</f>
        <v>WEST</v>
      </c>
      <c r="B4600" s="115" t="str">
        <f>IFERROR(__xludf.DUMMYFUNCTION("""COMPUTED_VALUE"""),"Ashish Jakar")</f>
        <v>Ashish Jakar</v>
      </c>
      <c r="C4600" s="115" t="str">
        <f>IFERROR(__xludf.DUMMYFUNCTION("""COMPUTED_VALUE"""),"EXTERNAL")</f>
        <v>EXTERNAL</v>
      </c>
      <c r="D4600" s="115">
        <f>IFERROR(__xludf.DUMMYFUNCTION("""COMPUTED_VALUE"""),48409.0)</f>
        <v>48409</v>
      </c>
      <c r="E4600" s="115">
        <f>IFERROR(__xludf.DUMMYFUNCTION("""COMPUTED_VALUE"""),7824.0)</f>
        <v>7824</v>
      </c>
      <c r="F4600" s="115">
        <f>IFERROR(__xludf.DUMMYFUNCTION("""COMPUTED_VALUE"""),8950.0)</f>
        <v>8950</v>
      </c>
      <c r="G4600" s="115">
        <f>IFERROR(__xludf.DUMMYFUNCTION("""COMPUTED_VALUE"""),960.0)</f>
        <v>960</v>
      </c>
      <c r="H4600" s="116">
        <f>IFERROR(__xludf.DUMMYFUNCTION("""COMPUTED_VALUE"""),45909.0)</f>
        <v>45909</v>
      </c>
      <c r="I4600" s="115" t="str">
        <f>IFERROR(__xludf.DUMMYFUNCTION("""COMPUTED_VALUE"""),"13")</f>
        <v>13</v>
      </c>
      <c r="J4600" s="115" t="str">
        <f>IFERROR(__xludf.DUMMYFUNCTION("""COMPUTED_VALUE"""),"Ashish Jakar2025-09-0913")</f>
        <v>Ashish Jakar2025-09-0913</v>
      </c>
      <c r="K4600" s="115">
        <f>IFERROR(__xludf.DUMMYFUNCTION("""COMPUTED_VALUE"""),56233.0)</f>
        <v>56233</v>
      </c>
    </row>
    <row r="4601">
      <c r="A4601" s="115" t="str">
        <f>IFERROR(__xludf.DUMMYFUNCTION("""COMPUTED_VALUE"""),"WEST")</f>
        <v>WEST</v>
      </c>
      <c r="B4601" s="115" t="str">
        <f>IFERROR(__xludf.DUMMYFUNCTION("""COMPUTED_VALUE"""),"Ashish Jakar")</f>
        <v>Ashish Jakar</v>
      </c>
      <c r="C4601" s="115" t="str">
        <f>IFERROR(__xludf.DUMMYFUNCTION("""COMPUTED_VALUE"""),"FLIPKART")</f>
        <v>FLIPKART</v>
      </c>
      <c r="D4601" s="115">
        <f>IFERROR(__xludf.DUMMYFUNCTION("""COMPUTED_VALUE"""),319363.0)</f>
        <v>319363</v>
      </c>
      <c r="E4601" s="115">
        <f>IFERROR(__xludf.DUMMYFUNCTION("""COMPUTED_VALUE"""),33391.0)</f>
        <v>33391</v>
      </c>
      <c r="F4601" s="115">
        <f>IFERROR(__xludf.DUMMYFUNCTION("""COMPUTED_VALUE"""),109541.0)</f>
        <v>109541</v>
      </c>
      <c r="G4601" s="115">
        <f>IFERROR(__xludf.DUMMYFUNCTION("""COMPUTED_VALUE"""),5171.0)</f>
        <v>5171</v>
      </c>
      <c r="H4601" s="116">
        <f>IFERROR(__xludf.DUMMYFUNCTION("""COMPUTED_VALUE"""),45909.0)</f>
        <v>45909</v>
      </c>
      <c r="I4601" s="115" t="str">
        <f>IFERROR(__xludf.DUMMYFUNCTION("""COMPUTED_VALUE"""),"13")</f>
        <v>13</v>
      </c>
      <c r="J4601" s="115" t="str">
        <f>IFERROR(__xludf.DUMMYFUNCTION("""COMPUTED_VALUE"""),"Ashish Jakar2025-09-0913")</f>
        <v>Ashish Jakar2025-09-0913</v>
      </c>
      <c r="K4601" s="115">
        <f>IFERROR(__xludf.DUMMYFUNCTION("""COMPUTED_VALUE"""),352754.0)</f>
        <v>352754</v>
      </c>
    </row>
    <row r="4602">
      <c r="A4602" s="115" t="str">
        <f>IFERROR(__xludf.DUMMYFUNCTION("""COMPUTED_VALUE"""),"WEST")</f>
        <v>WEST</v>
      </c>
      <c r="B4602" s="115" t="str">
        <f>IFERROR(__xludf.DUMMYFUNCTION("""COMPUTED_VALUE"""),"Ashish Jakar")</f>
        <v>Ashish Jakar</v>
      </c>
      <c r="C4602" s="115" t="str">
        <f>IFERROR(__xludf.DUMMYFUNCTION("""COMPUTED_VALUE"""),"MYNTRA")</f>
        <v>MYNTRA</v>
      </c>
      <c r="D4602" s="115">
        <f>IFERROR(__xludf.DUMMYFUNCTION("""COMPUTED_VALUE"""),37302.0)</f>
        <v>37302</v>
      </c>
      <c r="E4602" s="115">
        <f>IFERROR(__xludf.DUMMYFUNCTION("""COMPUTED_VALUE"""),11492.0)</f>
        <v>11492</v>
      </c>
      <c r="F4602" s="115">
        <f>IFERROR(__xludf.DUMMYFUNCTION("""COMPUTED_VALUE"""),15745.0)</f>
        <v>15745</v>
      </c>
      <c r="G4602" s="115">
        <f>IFERROR(__xludf.DUMMYFUNCTION("""COMPUTED_VALUE"""),2021.0)</f>
        <v>2021</v>
      </c>
      <c r="H4602" s="116">
        <f>IFERROR(__xludf.DUMMYFUNCTION("""COMPUTED_VALUE"""),45909.0)</f>
        <v>45909</v>
      </c>
      <c r="I4602" s="115" t="str">
        <f>IFERROR(__xludf.DUMMYFUNCTION("""COMPUTED_VALUE"""),"13")</f>
        <v>13</v>
      </c>
      <c r="J4602" s="115" t="str">
        <f>IFERROR(__xludf.DUMMYFUNCTION("""COMPUTED_VALUE"""),"Ashish Jakar2025-09-0913")</f>
        <v>Ashish Jakar2025-09-0913</v>
      </c>
      <c r="K4602" s="115">
        <f>IFERROR(__xludf.DUMMYFUNCTION("""COMPUTED_VALUE"""),48794.0)</f>
        <v>48794</v>
      </c>
    </row>
    <row r="4603">
      <c r="A4603" s="115" t="str">
        <f>IFERROR(__xludf.DUMMYFUNCTION("""COMPUTED_VALUE"""),"WEST")</f>
        <v>WEST</v>
      </c>
      <c r="B4603" s="115" t="str">
        <f>IFERROR(__xludf.DUMMYFUNCTION("""COMPUTED_VALUE"""),"Ashvani Bhatt")</f>
        <v>Ashvani Bhatt</v>
      </c>
      <c r="C4603" s="115" t="str">
        <f>IFERROR(__xludf.DUMMYFUNCTION("""COMPUTED_VALUE"""),"EXTERNAL")</f>
        <v>EXTERNAL</v>
      </c>
      <c r="D4603" s="115">
        <f>IFERROR(__xludf.DUMMYFUNCTION("""COMPUTED_VALUE"""),37411.0)</f>
        <v>37411</v>
      </c>
      <c r="E4603" s="115">
        <f>IFERROR(__xludf.DUMMYFUNCTION("""COMPUTED_VALUE"""),3788.0)</f>
        <v>3788</v>
      </c>
      <c r="F4603" s="115">
        <f>IFERROR(__xludf.DUMMYFUNCTION("""COMPUTED_VALUE"""),7852.0)</f>
        <v>7852</v>
      </c>
      <c r="G4603" s="115">
        <f>IFERROR(__xludf.DUMMYFUNCTION("""COMPUTED_VALUE"""),304.0)</f>
        <v>304</v>
      </c>
      <c r="H4603" s="116">
        <f>IFERROR(__xludf.DUMMYFUNCTION("""COMPUTED_VALUE"""),45909.0)</f>
        <v>45909</v>
      </c>
      <c r="I4603" s="115" t="str">
        <f>IFERROR(__xludf.DUMMYFUNCTION("""COMPUTED_VALUE"""),"13")</f>
        <v>13</v>
      </c>
      <c r="J4603" s="115" t="str">
        <f>IFERROR(__xludf.DUMMYFUNCTION("""COMPUTED_VALUE"""),"Ashvani Bhatt2025-09-0913")</f>
        <v>Ashvani Bhatt2025-09-0913</v>
      </c>
      <c r="K4603" s="115">
        <f>IFERROR(__xludf.DUMMYFUNCTION("""COMPUTED_VALUE"""),41199.0)</f>
        <v>41199</v>
      </c>
    </row>
    <row r="4604">
      <c r="A4604" s="115" t="str">
        <f>IFERROR(__xludf.DUMMYFUNCTION("""COMPUTED_VALUE"""),"WEST")</f>
        <v>WEST</v>
      </c>
      <c r="B4604" s="115" t="str">
        <f>IFERROR(__xludf.DUMMYFUNCTION("""COMPUTED_VALUE"""),"Ashvani Bhatt")</f>
        <v>Ashvani Bhatt</v>
      </c>
      <c r="C4604" s="115" t="str">
        <f>IFERROR(__xludf.DUMMYFUNCTION("""COMPUTED_VALUE"""),"FLIPKART")</f>
        <v>FLIPKART</v>
      </c>
      <c r="D4604" s="115">
        <f>IFERROR(__xludf.DUMMYFUNCTION("""COMPUTED_VALUE"""),259981.0)</f>
        <v>259981</v>
      </c>
      <c r="E4604" s="115">
        <f>IFERROR(__xludf.DUMMYFUNCTION("""COMPUTED_VALUE"""),27868.0)</f>
        <v>27868</v>
      </c>
      <c r="F4604" s="115">
        <f>IFERROR(__xludf.DUMMYFUNCTION("""COMPUTED_VALUE"""),98209.0)</f>
        <v>98209</v>
      </c>
      <c r="G4604" s="115">
        <f>IFERROR(__xludf.DUMMYFUNCTION("""COMPUTED_VALUE"""),3611.0)</f>
        <v>3611</v>
      </c>
      <c r="H4604" s="116">
        <f>IFERROR(__xludf.DUMMYFUNCTION("""COMPUTED_VALUE"""),45909.0)</f>
        <v>45909</v>
      </c>
      <c r="I4604" s="115" t="str">
        <f>IFERROR(__xludf.DUMMYFUNCTION("""COMPUTED_VALUE"""),"13")</f>
        <v>13</v>
      </c>
      <c r="J4604" s="115" t="str">
        <f>IFERROR(__xludf.DUMMYFUNCTION("""COMPUTED_VALUE"""),"Ashvani Bhatt2025-09-0913")</f>
        <v>Ashvani Bhatt2025-09-0913</v>
      </c>
      <c r="K4604" s="115">
        <f>IFERROR(__xludf.DUMMYFUNCTION("""COMPUTED_VALUE"""),287849.0)</f>
        <v>287849</v>
      </c>
    </row>
    <row r="4605">
      <c r="A4605" s="115" t="str">
        <f>IFERROR(__xludf.DUMMYFUNCTION("""COMPUTED_VALUE"""),"WEST")</f>
        <v>WEST</v>
      </c>
      <c r="B4605" s="115" t="str">
        <f>IFERROR(__xludf.DUMMYFUNCTION("""COMPUTED_VALUE"""),"Ashvani Bhatt")</f>
        <v>Ashvani Bhatt</v>
      </c>
      <c r="C4605" s="115" t="str">
        <f>IFERROR(__xludf.DUMMYFUNCTION("""COMPUTED_VALUE"""),"MYNTRA")</f>
        <v>MYNTRA</v>
      </c>
      <c r="D4605" s="115">
        <f>IFERROR(__xludf.DUMMYFUNCTION("""COMPUTED_VALUE"""),35765.0)</f>
        <v>35765</v>
      </c>
      <c r="E4605" s="115">
        <f>IFERROR(__xludf.DUMMYFUNCTION("""COMPUTED_VALUE"""),8848.0)</f>
        <v>8848</v>
      </c>
      <c r="F4605" s="115">
        <f>IFERROR(__xludf.DUMMYFUNCTION("""COMPUTED_VALUE"""),16866.0)</f>
        <v>16866</v>
      </c>
      <c r="G4605" s="115">
        <f>IFERROR(__xludf.DUMMYFUNCTION("""COMPUTED_VALUE"""),1516.0)</f>
        <v>1516</v>
      </c>
      <c r="H4605" s="116">
        <f>IFERROR(__xludf.DUMMYFUNCTION("""COMPUTED_VALUE"""),45909.0)</f>
        <v>45909</v>
      </c>
      <c r="I4605" s="115" t="str">
        <f>IFERROR(__xludf.DUMMYFUNCTION("""COMPUTED_VALUE"""),"13")</f>
        <v>13</v>
      </c>
      <c r="J4605" s="115" t="str">
        <f>IFERROR(__xludf.DUMMYFUNCTION("""COMPUTED_VALUE"""),"Ashvani Bhatt2025-09-0913")</f>
        <v>Ashvani Bhatt2025-09-0913</v>
      </c>
      <c r="K4605" s="115">
        <f>IFERROR(__xludf.DUMMYFUNCTION("""COMPUTED_VALUE"""),44613.0)</f>
        <v>44613</v>
      </c>
    </row>
    <row r="4606">
      <c r="A4606" s="115"/>
      <c r="B4606" s="115"/>
      <c r="C4606" s="115" t="str">
        <f>IFERROR(__xludf.DUMMYFUNCTION("""COMPUTED_VALUE"""),"EXTERNAL")</f>
        <v>EXTERNAL</v>
      </c>
      <c r="D4606" s="115">
        <f>IFERROR(__xludf.DUMMYFUNCTION("""COMPUTED_VALUE"""),417.0)</f>
        <v>417</v>
      </c>
      <c r="E4606" s="115">
        <f>IFERROR(__xludf.DUMMYFUNCTION("""COMPUTED_VALUE"""),76.0)</f>
        <v>76</v>
      </c>
      <c r="F4606" s="115">
        <f>IFERROR(__xludf.DUMMYFUNCTION("""COMPUTED_VALUE"""),77.0)</f>
        <v>77</v>
      </c>
      <c r="G4606" s="115">
        <f>IFERROR(__xludf.DUMMYFUNCTION("""COMPUTED_VALUE"""),20.0)</f>
        <v>20</v>
      </c>
      <c r="H4606" s="116">
        <f>IFERROR(__xludf.DUMMYFUNCTION("""COMPUTED_VALUE"""),45909.0)</f>
        <v>45909</v>
      </c>
      <c r="I4606" s="115" t="str">
        <f>IFERROR(__xludf.DUMMYFUNCTION("""COMPUTED_VALUE"""),"13")</f>
        <v>13</v>
      </c>
      <c r="J4606" s="115" t="str">
        <f>IFERROR(__xludf.DUMMYFUNCTION("""COMPUTED_VALUE"""),"2025-09-0913")</f>
        <v>2025-09-0913</v>
      </c>
      <c r="K4606" s="115">
        <f>IFERROR(__xludf.DUMMYFUNCTION("""COMPUTED_VALUE"""),493.0)</f>
        <v>493</v>
      </c>
    </row>
    <row r="4607">
      <c r="A4607" s="115"/>
      <c r="B4607" s="115"/>
      <c r="C4607" s="115" t="str">
        <f>IFERROR(__xludf.DUMMYFUNCTION("""COMPUTED_VALUE"""),"FLIPKART")</f>
        <v>FLIPKART</v>
      </c>
      <c r="D4607" s="115">
        <f>IFERROR(__xludf.DUMMYFUNCTION("""COMPUTED_VALUE"""),4826.0)</f>
        <v>4826</v>
      </c>
      <c r="E4607" s="115">
        <f>IFERROR(__xludf.DUMMYFUNCTION("""COMPUTED_VALUE"""),460.0)</f>
        <v>460</v>
      </c>
      <c r="F4607" s="115">
        <f>IFERROR(__xludf.DUMMYFUNCTION("""COMPUTED_VALUE"""),1115.0)</f>
        <v>1115</v>
      </c>
      <c r="G4607" s="115">
        <f>IFERROR(__xludf.DUMMYFUNCTION("""COMPUTED_VALUE"""),112.0)</f>
        <v>112</v>
      </c>
      <c r="H4607" s="116">
        <f>IFERROR(__xludf.DUMMYFUNCTION("""COMPUTED_VALUE"""),45909.0)</f>
        <v>45909</v>
      </c>
      <c r="I4607" s="115" t="str">
        <f>IFERROR(__xludf.DUMMYFUNCTION("""COMPUTED_VALUE"""),"13")</f>
        <v>13</v>
      </c>
      <c r="J4607" s="115" t="str">
        <f>IFERROR(__xludf.DUMMYFUNCTION("""COMPUTED_VALUE"""),"2025-09-0913")</f>
        <v>2025-09-0913</v>
      </c>
      <c r="K4607" s="115">
        <f>IFERROR(__xludf.DUMMYFUNCTION("""COMPUTED_VALUE"""),5286.0)</f>
        <v>5286</v>
      </c>
    </row>
    <row r="4608">
      <c r="A4608" s="115"/>
      <c r="B4608" s="115"/>
      <c r="C4608" s="115" t="str">
        <f>IFERROR(__xludf.DUMMYFUNCTION("""COMPUTED_VALUE"""),"MYNTRA")</f>
        <v>MYNTRA</v>
      </c>
      <c r="D4608" s="115">
        <f>IFERROR(__xludf.DUMMYFUNCTION("""COMPUTED_VALUE"""),520.0)</f>
        <v>520</v>
      </c>
      <c r="E4608" s="115">
        <f>IFERROR(__xludf.DUMMYFUNCTION("""COMPUTED_VALUE"""),157.0)</f>
        <v>157</v>
      </c>
      <c r="F4608" s="115">
        <f>IFERROR(__xludf.DUMMYFUNCTION("""COMPUTED_VALUE"""),167.0)</f>
        <v>167</v>
      </c>
      <c r="G4608" s="115">
        <f>IFERROR(__xludf.DUMMYFUNCTION("""COMPUTED_VALUE"""),30.0)</f>
        <v>30</v>
      </c>
      <c r="H4608" s="116">
        <f>IFERROR(__xludf.DUMMYFUNCTION("""COMPUTED_VALUE"""),45909.0)</f>
        <v>45909</v>
      </c>
      <c r="I4608" s="115" t="str">
        <f>IFERROR(__xludf.DUMMYFUNCTION("""COMPUTED_VALUE"""),"13")</f>
        <v>13</v>
      </c>
      <c r="J4608" s="115" t="str">
        <f>IFERROR(__xludf.DUMMYFUNCTION("""COMPUTED_VALUE"""),"2025-09-0913")</f>
        <v>2025-09-0913</v>
      </c>
      <c r="K4608" s="115">
        <f>IFERROR(__xludf.DUMMYFUNCTION("""COMPUTED_VALUE"""),677.0)</f>
        <v>677</v>
      </c>
    </row>
    <row r="4609">
      <c r="A4609" s="115" t="str">
        <f>IFERROR(__xludf.DUMMYFUNCTION("""COMPUTED_VALUE"""),"EAST")</f>
        <v>EAST</v>
      </c>
      <c r="B4609" s="115" t="str">
        <f>IFERROR(__xludf.DUMMYFUNCTION("""COMPUTED_VALUE"""),"Ashish Ranjan")</f>
        <v>Ashish Ranjan</v>
      </c>
      <c r="C4609" s="115" t="str">
        <f>IFERROR(__xludf.DUMMYFUNCTION("""COMPUTED_VALUE"""),"EXTERNAL")</f>
        <v>EXTERNAL</v>
      </c>
      <c r="D4609" s="115">
        <f>IFERROR(__xludf.DUMMYFUNCTION("""COMPUTED_VALUE"""),38364.0)</f>
        <v>38364</v>
      </c>
      <c r="E4609" s="115">
        <f>IFERROR(__xludf.DUMMYFUNCTION("""COMPUTED_VALUE"""),3989.0)</f>
        <v>3989</v>
      </c>
      <c r="F4609" s="115">
        <f>IFERROR(__xludf.DUMMYFUNCTION("""COMPUTED_VALUE"""),13696.0)</f>
        <v>13696</v>
      </c>
      <c r="G4609" s="115">
        <f>IFERROR(__xludf.DUMMYFUNCTION("""COMPUTED_VALUE"""),771.0)</f>
        <v>771</v>
      </c>
      <c r="H4609" s="116">
        <f>IFERROR(__xludf.DUMMYFUNCTION("""COMPUTED_VALUE"""),45909.0)</f>
        <v>45909</v>
      </c>
      <c r="I4609" s="115" t="str">
        <f>IFERROR(__xludf.DUMMYFUNCTION("""COMPUTED_VALUE"""),"14")</f>
        <v>14</v>
      </c>
      <c r="J4609" s="115" t="str">
        <f>IFERROR(__xludf.DUMMYFUNCTION("""COMPUTED_VALUE"""),"Ashish Ranjan2025-09-0914")</f>
        <v>Ashish Ranjan2025-09-0914</v>
      </c>
      <c r="K4609" s="115">
        <f>IFERROR(__xludf.DUMMYFUNCTION("""COMPUTED_VALUE"""),42353.0)</f>
        <v>42353</v>
      </c>
    </row>
    <row r="4610">
      <c r="A4610" s="115" t="str">
        <f>IFERROR(__xludf.DUMMYFUNCTION("""COMPUTED_VALUE"""),"EAST")</f>
        <v>EAST</v>
      </c>
      <c r="B4610" s="115" t="str">
        <f>IFERROR(__xludf.DUMMYFUNCTION("""COMPUTED_VALUE"""),"Ashish Ranjan")</f>
        <v>Ashish Ranjan</v>
      </c>
      <c r="C4610" s="115" t="str">
        <f>IFERROR(__xludf.DUMMYFUNCTION("""COMPUTED_VALUE"""),"FLIPKART")</f>
        <v>FLIPKART</v>
      </c>
      <c r="D4610" s="115">
        <f>IFERROR(__xludf.DUMMYFUNCTION("""COMPUTED_VALUE"""),597820.0)</f>
        <v>597820</v>
      </c>
      <c r="E4610" s="115">
        <f>IFERROR(__xludf.DUMMYFUNCTION("""COMPUTED_VALUE"""),66662.0)</f>
        <v>66662</v>
      </c>
      <c r="F4610" s="115">
        <f>IFERROR(__xludf.DUMMYFUNCTION("""COMPUTED_VALUE"""),364175.0)</f>
        <v>364175</v>
      </c>
      <c r="G4610" s="115">
        <f>IFERROR(__xludf.DUMMYFUNCTION("""COMPUTED_VALUE"""),19206.0)</f>
        <v>19206</v>
      </c>
      <c r="H4610" s="116">
        <f>IFERROR(__xludf.DUMMYFUNCTION("""COMPUTED_VALUE"""),45909.0)</f>
        <v>45909</v>
      </c>
      <c r="I4610" s="115" t="str">
        <f>IFERROR(__xludf.DUMMYFUNCTION("""COMPUTED_VALUE"""),"14")</f>
        <v>14</v>
      </c>
      <c r="J4610" s="115" t="str">
        <f>IFERROR(__xludf.DUMMYFUNCTION("""COMPUTED_VALUE"""),"Ashish Ranjan2025-09-0914")</f>
        <v>Ashish Ranjan2025-09-0914</v>
      </c>
      <c r="K4610" s="115">
        <f>IFERROR(__xludf.DUMMYFUNCTION("""COMPUTED_VALUE"""),664482.0)</f>
        <v>664482</v>
      </c>
    </row>
    <row r="4611">
      <c r="A4611" s="115" t="str">
        <f>IFERROR(__xludf.DUMMYFUNCTION("""COMPUTED_VALUE"""),"EAST")</f>
        <v>EAST</v>
      </c>
      <c r="B4611" s="115" t="str">
        <f>IFERROR(__xludf.DUMMYFUNCTION("""COMPUTED_VALUE"""),"Ashish Ranjan")</f>
        <v>Ashish Ranjan</v>
      </c>
      <c r="C4611" s="115" t="str">
        <f>IFERROR(__xludf.DUMMYFUNCTION("""COMPUTED_VALUE"""),"MYNTRA")</f>
        <v>MYNTRA</v>
      </c>
      <c r="D4611" s="115">
        <f>IFERROR(__xludf.DUMMYFUNCTION("""COMPUTED_VALUE"""),68945.0)</f>
        <v>68945</v>
      </c>
      <c r="E4611" s="115">
        <f>IFERROR(__xludf.DUMMYFUNCTION("""COMPUTED_VALUE"""),15636.0)</f>
        <v>15636</v>
      </c>
      <c r="F4611" s="115">
        <f>IFERROR(__xludf.DUMMYFUNCTION("""COMPUTED_VALUE"""),41747.0)</f>
        <v>41747</v>
      </c>
      <c r="G4611" s="115">
        <f>IFERROR(__xludf.DUMMYFUNCTION("""COMPUTED_VALUE"""),4490.0)</f>
        <v>4490</v>
      </c>
      <c r="H4611" s="116">
        <f>IFERROR(__xludf.DUMMYFUNCTION("""COMPUTED_VALUE"""),45909.0)</f>
        <v>45909</v>
      </c>
      <c r="I4611" s="115" t="str">
        <f>IFERROR(__xludf.DUMMYFUNCTION("""COMPUTED_VALUE"""),"14")</f>
        <v>14</v>
      </c>
      <c r="J4611" s="115" t="str">
        <f>IFERROR(__xludf.DUMMYFUNCTION("""COMPUTED_VALUE"""),"Ashish Ranjan2025-09-0914")</f>
        <v>Ashish Ranjan2025-09-0914</v>
      </c>
      <c r="K4611" s="115">
        <f>IFERROR(__xludf.DUMMYFUNCTION("""COMPUTED_VALUE"""),84581.0)</f>
        <v>84581</v>
      </c>
    </row>
    <row r="4612">
      <c r="A4612" s="115" t="str">
        <f>IFERROR(__xludf.DUMMYFUNCTION("""COMPUTED_VALUE"""),"EAST")</f>
        <v>EAST</v>
      </c>
      <c r="B4612" s="115" t="str">
        <f>IFERROR(__xludf.DUMMYFUNCTION("""COMPUTED_VALUE"""),"Girish Chand")</f>
        <v>Girish Chand</v>
      </c>
      <c r="C4612" s="115" t="str">
        <f>IFERROR(__xludf.DUMMYFUNCTION("""COMPUTED_VALUE"""),"EXTERNAL")</f>
        <v>EXTERNAL</v>
      </c>
      <c r="D4612" s="115">
        <f>IFERROR(__xludf.DUMMYFUNCTION("""COMPUTED_VALUE"""),23742.0)</f>
        <v>23742</v>
      </c>
      <c r="E4612" s="115">
        <f>IFERROR(__xludf.DUMMYFUNCTION("""COMPUTED_VALUE"""),2504.0)</f>
        <v>2504</v>
      </c>
      <c r="F4612" s="115">
        <f>IFERROR(__xludf.DUMMYFUNCTION("""COMPUTED_VALUE"""),6637.0)</f>
        <v>6637</v>
      </c>
      <c r="G4612" s="115">
        <f>IFERROR(__xludf.DUMMYFUNCTION("""COMPUTED_VALUE"""),184.0)</f>
        <v>184</v>
      </c>
      <c r="H4612" s="116">
        <f>IFERROR(__xludf.DUMMYFUNCTION("""COMPUTED_VALUE"""),45909.0)</f>
        <v>45909</v>
      </c>
      <c r="I4612" s="115" t="str">
        <f>IFERROR(__xludf.DUMMYFUNCTION("""COMPUTED_VALUE"""),"14")</f>
        <v>14</v>
      </c>
      <c r="J4612" s="115" t="str">
        <f>IFERROR(__xludf.DUMMYFUNCTION("""COMPUTED_VALUE"""),"Girish Chand2025-09-0914")</f>
        <v>Girish Chand2025-09-0914</v>
      </c>
      <c r="K4612" s="115">
        <f>IFERROR(__xludf.DUMMYFUNCTION("""COMPUTED_VALUE"""),26246.0)</f>
        <v>26246</v>
      </c>
    </row>
    <row r="4613">
      <c r="A4613" s="115" t="str">
        <f>IFERROR(__xludf.DUMMYFUNCTION("""COMPUTED_VALUE"""),"EAST")</f>
        <v>EAST</v>
      </c>
      <c r="B4613" s="115" t="str">
        <f>IFERROR(__xludf.DUMMYFUNCTION("""COMPUTED_VALUE"""),"Girish Chand")</f>
        <v>Girish Chand</v>
      </c>
      <c r="C4613" s="115" t="str">
        <f>IFERROR(__xludf.DUMMYFUNCTION("""COMPUTED_VALUE"""),"FLIPKART")</f>
        <v>FLIPKART</v>
      </c>
      <c r="D4613" s="115">
        <f>IFERROR(__xludf.DUMMYFUNCTION("""COMPUTED_VALUE"""),388232.0)</f>
        <v>388232</v>
      </c>
      <c r="E4613" s="115">
        <f>IFERROR(__xludf.DUMMYFUNCTION("""COMPUTED_VALUE"""),38168.0)</f>
        <v>38168</v>
      </c>
      <c r="F4613" s="115">
        <f>IFERROR(__xludf.DUMMYFUNCTION("""COMPUTED_VALUE"""),186055.0)</f>
        <v>186055</v>
      </c>
      <c r="G4613" s="115">
        <f>IFERROR(__xludf.DUMMYFUNCTION("""COMPUTED_VALUE"""),6404.0)</f>
        <v>6404</v>
      </c>
      <c r="H4613" s="116">
        <f>IFERROR(__xludf.DUMMYFUNCTION("""COMPUTED_VALUE"""),45909.0)</f>
        <v>45909</v>
      </c>
      <c r="I4613" s="115" t="str">
        <f>IFERROR(__xludf.DUMMYFUNCTION("""COMPUTED_VALUE"""),"14")</f>
        <v>14</v>
      </c>
      <c r="J4613" s="115" t="str">
        <f>IFERROR(__xludf.DUMMYFUNCTION("""COMPUTED_VALUE"""),"Girish Chand2025-09-0914")</f>
        <v>Girish Chand2025-09-0914</v>
      </c>
      <c r="K4613" s="115">
        <f>IFERROR(__xludf.DUMMYFUNCTION("""COMPUTED_VALUE"""),426400.0)</f>
        <v>426400</v>
      </c>
    </row>
    <row r="4614">
      <c r="A4614" s="115" t="str">
        <f>IFERROR(__xludf.DUMMYFUNCTION("""COMPUTED_VALUE"""),"EAST")</f>
        <v>EAST</v>
      </c>
      <c r="B4614" s="115" t="str">
        <f>IFERROR(__xludf.DUMMYFUNCTION("""COMPUTED_VALUE"""),"Girish Chand")</f>
        <v>Girish Chand</v>
      </c>
      <c r="C4614" s="115" t="str">
        <f>IFERROR(__xludf.DUMMYFUNCTION("""COMPUTED_VALUE"""),"MYNTRA")</f>
        <v>MYNTRA</v>
      </c>
      <c r="D4614" s="115">
        <f>IFERROR(__xludf.DUMMYFUNCTION("""COMPUTED_VALUE"""),38929.0)</f>
        <v>38929</v>
      </c>
      <c r="E4614" s="115">
        <f>IFERROR(__xludf.DUMMYFUNCTION("""COMPUTED_VALUE"""),7372.0)</f>
        <v>7372</v>
      </c>
      <c r="F4614" s="115">
        <f>IFERROR(__xludf.DUMMYFUNCTION("""COMPUTED_VALUE"""),20648.0)</f>
        <v>20648</v>
      </c>
      <c r="G4614" s="115">
        <f>IFERROR(__xludf.DUMMYFUNCTION("""COMPUTED_VALUE"""),1588.0)</f>
        <v>1588</v>
      </c>
      <c r="H4614" s="116">
        <f>IFERROR(__xludf.DUMMYFUNCTION("""COMPUTED_VALUE"""),45909.0)</f>
        <v>45909</v>
      </c>
      <c r="I4614" s="115" t="str">
        <f>IFERROR(__xludf.DUMMYFUNCTION("""COMPUTED_VALUE"""),"14")</f>
        <v>14</v>
      </c>
      <c r="J4614" s="115" t="str">
        <f>IFERROR(__xludf.DUMMYFUNCTION("""COMPUTED_VALUE"""),"Girish Chand2025-09-0914")</f>
        <v>Girish Chand2025-09-0914</v>
      </c>
      <c r="K4614" s="115">
        <f>IFERROR(__xludf.DUMMYFUNCTION("""COMPUTED_VALUE"""),46301.0)</f>
        <v>46301</v>
      </c>
    </row>
    <row r="4615">
      <c r="A4615" s="115" t="str">
        <f>IFERROR(__xludf.DUMMYFUNCTION("""COMPUTED_VALUE"""),"EAST")</f>
        <v>EAST</v>
      </c>
      <c r="B4615" s="115" t="str">
        <f>IFERROR(__xludf.DUMMYFUNCTION("""COMPUTED_VALUE"""),"Parag Kashyap")</f>
        <v>Parag Kashyap</v>
      </c>
      <c r="C4615" s="115" t="str">
        <f>IFERROR(__xludf.DUMMYFUNCTION("""COMPUTED_VALUE"""),"EXTERNAL")</f>
        <v>EXTERNAL</v>
      </c>
      <c r="D4615" s="115">
        <f>IFERROR(__xludf.DUMMYFUNCTION("""COMPUTED_VALUE"""),17554.0)</f>
        <v>17554</v>
      </c>
      <c r="E4615" s="115">
        <f>IFERROR(__xludf.DUMMYFUNCTION("""COMPUTED_VALUE"""),1265.0)</f>
        <v>1265</v>
      </c>
      <c r="F4615" s="115">
        <f>IFERROR(__xludf.DUMMYFUNCTION("""COMPUTED_VALUE"""),3986.0)</f>
        <v>3986</v>
      </c>
      <c r="G4615" s="115">
        <f>IFERROR(__xludf.DUMMYFUNCTION("""COMPUTED_VALUE"""),69.0)</f>
        <v>69</v>
      </c>
      <c r="H4615" s="116">
        <f>IFERROR(__xludf.DUMMYFUNCTION("""COMPUTED_VALUE"""),45909.0)</f>
        <v>45909</v>
      </c>
      <c r="I4615" s="115" t="str">
        <f>IFERROR(__xludf.DUMMYFUNCTION("""COMPUTED_VALUE"""),"14")</f>
        <v>14</v>
      </c>
      <c r="J4615" s="115" t="str">
        <f>IFERROR(__xludf.DUMMYFUNCTION("""COMPUTED_VALUE"""),"Parag Kashyap2025-09-0914")</f>
        <v>Parag Kashyap2025-09-0914</v>
      </c>
      <c r="K4615" s="115">
        <f>IFERROR(__xludf.DUMMYFUNCTION("""COMPUTED_VALUE"""),18819.0)</f>
        <v>18819</v>
      </c>
    </row>
    <row r="4616">
      <c r="A4616" s="115" t="str">
        <f>IFERROR(__xludf.DUMMYFUNCTION("""COMPUTED_VALUE"""),"EAST")</f>
        <v>EAST</v>
      </c>
      <c r="B4616" s="115" t="str">
        <f>IFERROR(__xludf.DUMMYFUNCTION("""COMPUTED_VALUE"""),"Parag Kashyap")</f>
        <v>Parag Kashyap</v>
      </c>
      <c r="C4616" s="115" t="str">
        <f>IFERROR(__xludf.DUMMYFUNCTION("""COMPUTED_VALUE"""),"FLIPKART")</f>
        <v>FLIPKART</v>
      </c>
      <c r="D4616" s="115">
        <f>IFERROR(__xludf.DUMMYFUNCTION("""COMPUTED_VALUE"""),307316.0)</f>
        <v>307316</v>
      </c>
      <c r="E4616" s="115">
        <f>IFERROR(__xludf.DUMMYFUNCTION("""COMPUTED_VALUE"""),19312.0)</f>
        <v>19312</v>
      </c>
      <c r="F4616" s="115">
        <f>IFERROR(__xludf.DUMMYFUNCTION("""COMPUTED_VALUE"""),125877.0)</f>
        <v>125877</v>
      </c>
      <c r="G4616" s="115">
        <f>IFERROR(__xludf.DUMMYFUNCTION("""COMPUTED_VALUE"""),1898.0)</f>
        <v>1898</v>
      </c>
      <c r="H4616" s="116">
        <f>IFERROR(__xludf.DUMMYFUNCTION("""COMPUTED_VALUE"""),45909.0)</f>
        <v>45909</v>
      </c>
      <c r="I4616" s="115" t="str">
        <f>IFERROR(__xludf.DUMMYFUNCTION("""COMPUTED_VALUE"""),"14")</f>
        <v>14</v>
      </c>
      <c r="J4616" s="115" t="str">
        <f>IFERROR(__xludf.DUMMYFUNCTION("""COMPUTED_VALUE"""),"Parag Kashyap2025-09-0914")</f>
        <v>Parag Kashyap2025-09-0914</v>
      </c>
      <c r="K4616" s="115">
        <f>IFERROR(__xludf.DUMMYFUNCTION("""COMPUTED_VALUE"""),326628.0)</f>
        <v>326628</v>
      </c>
    </row>
    <row r="4617">
      <c r="A4617" s="115" t="str">
        <f>IFERROR(__xludf.DUMMYFUNCTION("""COMPUTED_VALUE"""),"EAST")</f>
        <v>EAST</v>
      </c>
      <c r="B4617" s="115" t="str">
        <f>IFERROR(__xludf.DUMMYFUNCTION("""COMPUTED_VALUE"""),"Parag Kashyap")</f>
        <v>Parag Kashyap</v>
      </c>
      <c r="C4617" s="115" t="str">
        <f>IFERROR(__xludf.DUMMYFUNCTION("""COMPUTED_VALUE"""),"MYNTRA")</f>
        <v>MYNTRA</v>
      </c>
      <c r="D4617" s="115">
        <f>IFERROR(__xludf.DUMMYFUNCTION("""COMPUTED_VALUE"""),39696.0)</f>
        <v>39696</v>
      </c>
      <c r="E4617" s="115">
        <f>IFERROR(__xludf.DUMMYFUNCTION("""COMPUTED_VALUE"""),5899.0)</f>
        <v>5899</v>
      </c>
      <c r="F4617" s="115">
        <f>IFERROR(__xludf.DUMMYFUNCTION("""COMPUTED_VALUE"""),17570.0)</f>
        <v>17570</v>
      </c>
      <c r="G4617" s="115">
        <f>IFERROR(__xludf.DUMMYFUNCTION("""COMPUTED_VALUE"""),657.0)</f>
        <v>657</v>
      </c>
      <c r="H4617" s="116">
        <f>IFERROR(__xludf.DUMMYFUNCTION("""COMPUTED_VALUE"""),45909.0)</f>
        <v>45909</v>
      </c>
      <c r="I4617" s="115" t="str">
        <f>IFERROR(__xludf.DUMMYFUNCTION("""COMPUTED_VALUE"""),"14")</f>
        <v>14</v>
      </c>
      <c r="J4617" s="115" t="str">
        <f>IFERROR(__xludf.DUMMYFUNCTION("""COMPUTED_VALUE"""),"Parag Kashyap2025-09-0914")</f>
        <v>Parag Kashyap2025-09-0914</v>
      </c>
      <c r="K4617" s="115">
        <f>IFERROR(__xludf.DUMMYFUNCTION("""COMPUTED_VALUE"""),45595.0)</f>
        <v>45595</v>
      </c>
    </row>
    <row r="4618">
      <c r="A4618" s="115" t="str">
        <f>IFERROR(__xludf.DUMMYFUNCTION("""COMPUTED_VALUE"""),"NORTH")</f>
        <v>NORTH</v>
      </c>
      <c r="B4618" s="115" t="str">
        <f>IFERROR(__xludf.DUMMYFUNCTION("""COMPUTED_VALUE"""),"Amit Kumar Pathak")</f>
        <v>Amit Kumar Pathak</v>
      </c>
      <c r="C4618" s="115" t="str">
        <f>IFERROR(__xludf.DUMMYFUNCTION("""COMPUTED_VALUE"""),"EXTERNAL")</f>
        <v>EXTERNAL</v>
      </c>
      <c r="D4618" s="115">
        <f>IFERROR(__xludf.DUMMYFUNCTION("""COMPUTED_VALUE"""),24854.0)</f>
        <v>24854</v>
      </c>
      <c r="E4618" s="115">
        <f>IFERROR(__xludf.DUMMYFUNCTION("""COMPUTED_VALUE"""),3863.0)</f>
        <v>3863</v>
      </c>
      <c r="F4618" s="115">
        <f>IFERROR(__xludf.DUMMYFUNCTION("""COMPUTED_VALUE"""),5969.0)</f>
        <v>5969</v>
      </c>
      <c r="G4618" s="115">
        <f>IFERROR(__xludf.DUMMYFUNCTION("""COMPUTED_VALUE"""),869.0)</f>
        <v>869</v>
      </c>
      <c r="H4618" s="116">
        <f>IFERROR(__xludf.DUMMYFUNCTION("""COMPUTED_VALUE"""),45909.0)</f>
        <v>45909</v>
      </c>
      <c r="I4618" s="115" t="str">
        <f>IFERROR(__xludf.DUMMYFUNCTION("""COMPUTED_VALUE"""),"14")</f>
        <v>14</v>
      </c>
      <c r="J4618" s="115" t="str">
        <f>IFERROR(__xludf.DUMMYFUNCTION("""COMPUTED_VALUE"""),"Amit Kumar Pathak2025-09-0914")</f>
        <v>Amit Kumar Pathak2025-09-0914</v>
      </c>
      <c r="K4618" s="115">
        <f>IFERROR(__xludf.DUMMYFUNCTION("""COMPUTED_VALUE"""),28717.0)</f>
        <v>28717</v>
      </c>
    </row>
    <row r="4619">
      <c r="A4619" s="115" t="str">
        <f>IFERROR(__xludf.DUMMYFUNCTION("""COMPUTED_VALUE"""),"NORTH")</f>
        <v>NORTH</v>
      </c>
      <c r="B4619" s="115" t="str">
        <f>IFERROR(__xludf.DUMMYFUNCTION("""COMPUTED_VALUE"""),"Amit Kumar Pathak")</f>
        <v>Amit Kumar Pathak</v>
      </c>
      <c r="C4619" s="115" t="str">
        <f>IFERROR(__xludf.DUMMYFUNCTION("""COMPUTED_VALUE"""),"FLIPKART")</f>
        <v>FLIPKART</v>
      </c>
      <c r="D4619" s="115">
        <f>IFERROR(__xludf.DUMMYFUNCTION("""COMPUTED_VALUE"""),143257.0)</f>
        <v>143257</v>
      </c>
      <c r="E4619" s="115">
        <f>IFERROR(__xludf.DUMMYFUNCTION("""COMPUTED_VALUE"""),22898.0)</f>
        <v>22898</v>
      </c>
      <c r="F4619" s="115">
        <f>IFERROR(__xludf.DUMMYFUNCTION("""COMPUTED_VALUE"""),67188.0)</f>
        <v>67188</v>
      </c>
      <c r="G4619" s="115">
        <f>IFERROR(__xludf.DUMMYFUNCTION("""COMPUTED_VALUE"""),7150.0)</f>
        <v>7150</v>
      </c>
      <c r="H4619" s="116">
        <f>IFERROR(__xludf.DUMMYFUNCTION("""COMPUTED_VALUE"""),45909.0)</f>
        <v>45909</v>
      </c>
      <c r="I4619" s="115" t="str">
        <f>IFERROR(__xludf.DUMMYFUNCTION("""COMPUTED_VALUE"""),"14")</f>
        <v>14</v>
      </c>
      <c r="J4619" s="115" t="str">
        <f>IFERROR(__xludf.DUMMYFUNCTION("""COMPUTED_VALUE"""),"Amit Kumar Pathak2025-09-0914")</f>
        <v>Amit Kumar Pathak2025-09-0914</v>
      </c>
      <c r="K4619" s="115">
        <f>IFERROR(__xludf.DUMMYFUNCTION("""COMPUTED_VALUE"""),166155.0)</f>
        <v>166155</v>
      </c>
    </row>
    <row r="4620">
      <c r="A4620" s="115" t="str">
        <f>IFERROR(__xludf.DUMMYFUNCTION("""COMPUTED_VALUE"""),"NORTH")</f>
        <v>NORTH</v>
      </c>
      <c r="B4620" s="115" t="str">
        <f>IFERROR(__xludf.DUMMYFUNCTION("""COMPUTED_VALUE"""),"Amit Kumar Pathak")</f>
        <v>Amit Kumar Pathak</v>
      </c>
      <c r="C4620" s="115" t="str">
        <f>IFERROR(__xludf.DUMMYFUNCTION("""COMPUTED_VALUE"""),"MYNTRA")</f>
        <v>MYNTRA</v>
      </c>
      <c r="D4620" s="115">
        <f>IFERROR(__xludf.DUMMYFUNCTION("""COMPUTED_VALUE"""),13656.0)</f>
        <v>13656</v>
      </c>
      <c r="E4620" s="115">
        <f>IFERROR(__xludf.DUMMYFUNCTION("""COMPUTED_VALUE"""),5567.0)</f>
        <v>5567</v>
      </c>
      <c r="F4620" s="115">
        <f>IFERROR(__xludf.DUMMYFUNCTION("""COMPUTED_VALUE"""),7802.0)</f>
        <v>7802</v>
      </c>
      <c r="G4620" s="115">
        <f>IFERROR(__xludf.DUMMYFUNCTION("""COMPUTED_VALUE"""),1999.0)</f>
        <v>1999</v>
      </c>
      <c r="H4620" s="116">
        <f>IFERROR(__xludf.DUMMYFUNCTION("""COMPUTED_VALUE"""),45909.0)</f>
        <v>45909</v>
      </c>
      <c r="I4620" s="115" t="str">
        <f>IFERROR(__xludf.DUMMYFUNCTION("""COMPUTED_VALUE"""),"14")</f>
        <v>14</v>
      </c>
      <c r="J4620" s="115" t="str">
        <f>IFERROR(__xludf.DUMMYFUNCTION("""COMPUTED_VALUE"""),"Amit Kumar Pathak2025-09-0914")</f>
        <v>Amit Kumar Pathak2025-09-0914</v>
      </c>
      <c r="K4620" s="115">
        <f>IFERROR(__xludf.DUMMYFUNCTION("""COMPUTED_VALUE"""),19223.0)</f>
        <v>19223</v>
      </c>
    </row>
    <row r="4621">
      <c r="A4621" s="115" t="str">
        <f>IFERROR(__xludf.DUMMYFUNCTION("""COMPUTED_VALUE"""),"NORTH")</f>
        <v>NORTH</v>
      </c>
      <c r="B4621" s="115" t="str">
        <f>IFERROR(__xludf.DUMMYFUNCTION("""COMPUTED_VALUE"""),"Loveleen Singh")</f>
        <v>Loveleen Singh</v>
      </c>
      <c r="C4621" s="115" t="str">
        <f>IFERROR(__xludf.DUMMYFUNCTION("""COMPUTED_VALUE"""),"EXTERNAL")</f>
        <v>EXTERNAL</v>
      </c>
      <c r="D4621" s="115">
        <f>IFERROR(__xludf.DUMMYFUNCTION("""COMPUTED_VALUE"""),33511.0)</f>
        <v>33511</v>
      </c>
      <c r="E4621" s="115">
        <f>IFERROR(__xludf.DUMMYFUNCTION("""COMPUTED_VALUE"""),2951.0)</f>
        <v>2951</v>
      </c>
      <c r="F4621" s="115">
        <f>IFERROR(__xludf.DUMMYFUNCTION("""COMPUTED_VALUE"""),7822.0)</f>
        <v>7822</v>
      </c>
      <c r="G4621" s="115">
        <f>IFERROR(__xludf.DUMMYFUNCTION("""COMPUTED_VALUE"""),245.0)</f>
        <v>245</v>
      </c>
      <c r="H4621" s="116">
        <f>IFERROR(__xludf.DUMMYFUNCTION("""COMPUTED_VALUE"""),45909.0)</f>
        <v>45909</v>
      </c>
      <c r="I4621" s="115" t="str">
        <f>IFERROR(__xludf.DUMMYFUNCTION("""COMPUTED_VALUE"""),"14")</f>
        <v>14</v>
      </c>
      <c r="J4621" s="115" t="str">
        <f>IFERROR(__xludf.DUMMYFUNCTION("""COMPUTED_VALUE"""),"Loveleen Singh2025-09-0914")</f>
        <v>Loveleen Singh2025-09-0914</v>
      </c>
      <c r="K4621" s="115">
        <f>IFERROR(__xludf.DUMMYFUNCTION("""COMPUTED_VALUE"""),36462.0)</f>
        <v>36462</v>
      </c>
    </row>
    <row r="4622">
      <c r="A4622" s="115" t="str">
        <f>IFERROR(__xludf.DUMMYFUNCTION("""COMPUTED_VALUE"""),"NORTH")</f>
        <v>NORTH</v>
      </c>
      <c r="B4622" s="115" t="str">
        <f>IFERROR(__xludf.DUMMYFUNCTION("""COMPUTED_VALUE"""),"Loveleen Singh")</f>
        <v>Loveleen Singh</v>
      </c>
      <c r="C4622" s="115" t="str">
        <f>IFERROR(__xludf.DUMMYFUNCTION("""COMPUTED_VALUE"""),"FLIPKART")</f>
        <v>FLIPKART</v>
      </c>
      <c r="D4622" s="115">
        <f>IFERROR(__xludf.DUMMYFUNCTION("""COMPUTED_VALUE"""),175104.0)</f>
        <v>175104</v>
      </c>
      <c r="E4622" s="115">
        <f>IFERROR(__xludf.DUMMYFUNCTION("""COMPUTED_VALUE"""),14504.0)</f>
        <v>14504</v>
      </c>
      <c r="F4622" s="115">
        <f>IFERROR(__xludf.DUMMYFUNCTION("""COMPUTED_VALUE"""),77332.0)</f>
        <v>77332</v>
      </c>
      <c r="G4622" s="115">
        <f>IFERROR(__xludf.DUMMYFUNCTION("""COMPUTED_VALUE"""),2613.0)</f>
        <v>2613</v>
      </c>
      <c r="H4622" s="116">
        <f>IFERROR(__xludf.DUMMYFUNCTION("""COMPUTED_VALUE"""),45909.0)</f>
        <v>45909</v>
      </c>
      <c r="I4622" s="115" t="str">
        <f>IFERROR(__xludf.DUMMYFUNCTION("""COMPUTED_VALUE"""),"14")</f>
        <v>14</v>
      </c>
      <c r="J4622" s="115" t="str">
        <f>IFERROR(__xludf.DUMMYFUNCTION("""COMPUTED_VALUE"""),"Loveleen Singh2025-09-0914")</f>
        <v>Loveleen Singh2025-09-0914</v>
      </c>
      <c r="K4622" s="115">
        <f>IFERROR(__xludf.DUMMYFUNCTION("""COMPUTED_VALUE"""),189608.0)</f>
        <v>189608</v>
      </c>
    </row>
    <row r="4623">
      <c r="A4623" s="115" t="str">
        <f>IFERROR(__xludf.DUMMYFUNCTION("""COMPUTED_VALUE"""),"NORTH")</f>
        <v>NORTH</v>
      </c>
      <c r="B4623" s="115" t="str">
        <f>IFERROR(__xludf.DUMMYFUNCTION("""COMPUTED_VALUE"""),"Loveleen Singh")</f>
        <v>Loveleen Singh</v>
      </c>
      <c r="C4623" s="115" t="str">
        <f>IFERROR(__xludf.DUMMYFUNCTION("""COMPUTED_VALUE"""),"MYNTRA")</f>
        <v>MYNTRA</v>
      </c>
      <c r="D4623" s="115">
        <f>IFERROR(__xludf.DUMMYFUNCTION("""COMPUTED_VALUE"""),31304.0)</f>
        <v>31304</v>
      </c>
      <c r="E4623" s="115">
        <f>IFERROR(__xludf.DUMMYFUNCTION("""COMPUTED_VALUE"""),6390.0)</f>
        <v>6390</v>
      </c>
      <c r="F4623" s="115">
        <f>IFERROR(__xludf.DUMMYFUNCTION("""COMPUTED_VALUE"""),16276.0)</f>
        <v>16276</v>
      </c>
      <c r="G4623" s="115">
        <f>IFERROR(__xludf.DUMMYFUNCTION("""COMPUTED_VALUE"""),1340.0)</f>
        <v>1340</v>
      </c>
      <c r="H4623" s="116">
        <f>IFERROR(__xludf.DUMMYFUNCTION("""COMPUTED_VALUE"""),45909.0)</f>
        <v>45909</v>
      </c>
      <c r="I4623" s="115" t="str">
        <f>IFERROR(__xludf.DUMMYFUNCTION("""COMPUTED_VALUE"""),"14")</f>
        <v>14</v>
      </c>
      <c r="J4623" s="115" t="str">
        <f>IFERROR(__xludf.DUMMYFUNCTION("""COMPUTED_VALUE"""),"Loveleen Singh2025-09-0914")</f>
        <v>Loveleen Singh2025-09-0914</v>
      </c>
      <c r="K4623" s="115">
        <f>IFERROR(__xludf.DUMMYFUNCTION("""COMPUTED_VALUE"""),37694.0)</f>
        <v>37694</v>
      </c>
    </row>
    <row r="4624">
      <c r="A4624" s="115" t="str">
        <f>IFERROR(__xludf.DUMMYFUNCTION("""COMPUTED_VALUE"""),"NORTH")</f>
        <v>NORTH</v>
      </c>
      <c r="B4624" s="115" t="str">
        <f>IFERROR(__xludf.DUMMYFUNCTION("""COMPUTED_VALUE"""),"Manoj Harsh")</f>
        <v>Manoj Harsh</v>
      </c>
      <c r="C4624" s="115" t="str">
        <f>IFERROR(__xludf.DUMMYFUNCTION("""COMPUTED_VALUE"""),"EXTERNAL")</f>
        <v>EXTERNAL</v>
      </c>
      <c r="D4624" s="115">
        <f>IFERROR(__xludf.DUMMYFUNCTION("""COMPUTED_VALUE"""),36437.0)</f>
        <v>36437</v>
      </c>
      <c r="E4624" s="115">
        <f>IFERROR(__xludf.DUMMYFUNCTION("""COMPUTED_VALUE"""),3619.0)</f>
        <v>3619</v>
      </c>
      <c r="F4624" s="115">
        <f>IFERROR(__xludf.DUMMYFUNCTION("""COMPUTED_VALUE"""),9233.0)</f>
        <v>9233</v>
      </c>
      <c r="G4624" s="115">
        <f>IFERROR(__xludf.DUMMYFUNCTION("""COMPUTED_VALUE"""),295.0)</f>
        <v>295</v>
      </c>
      <c r="H4624" s="116">
        <f>IFERROR(__xludf.DUMMYFUNCTION("""COMPUTED_VALUE"""),45909.0)</f>
        <v>45909</v>
      </c>
      <c r="I4624" s="115" t="str">
        <f>IFERROR(__xludf.DUMMYFUNCTION("""COMPUTED_VALUE"""),"14")</f>
        <v>14</v>
      </c>
      <c r="J4624" s="115" t="str">
        <f>IFERROR(__xludf.DUMMYFUNCTION("""COMPUTED_VALUE"""),"Manoj Harsh2025-09-0914")</f>
        <v>Manoj Harsh2025-09-0914</v>
      </c>
      <c r="K4624" s="115">
        <f>IFERROR(__xludf.DUMMYFUNCTION("""COMPUTED_VALUE"""),40056.0)</f>
        <v>40056</v>
      </c>
    </row>
    <row r="4625">
      <c r="A4625" s="115" t="str">
        <f>IFERROR(__xludf.DUMMYFUNCTION("""COMPUTED_VALUE"""),"NORTH")</f>
        <v>NORTH</v>
      </c>
      <c r="B4625" s="115" t="str">
        <f>IFERROR(__xludf.DUMMYFUNCTION("""COMPUTED_VALUE"""),"Manoj Harsh")</f>
        <v>Manoj Harsh</v>
      </c>
      <c r="C4625" s="115" t="str">
        <f>IFERROR(__xludf.DUMMYFUNCTION("""COMPUTED_VALUE"""),"FLIPKART")</f>
        <v>FLIPKART</v>
      </c>
      <c r="D4625" s="115">
        <f>IFERROR(__xludf.DUMMYFUNCTION("""COMPUTED_VALUE"""),395902.0)</f>
        <v>395902</v>
      </c>
      <c r="E4625" s="115">
        <f>IFERROR(__xludf.DUMMYFUNCTION("""COMPUTED_VALUE"""),40926.0)</f>
        <v>40926</v>
      </c>
      <c r="F4625" s="115">
        <f>IFERROR(__xludf.DUMMYFUNCTION("""COMPUTED_VALUE"""),171881.0)</f>
        <v>171881</v>
      </c>
      <c r="G4625" s="115">
        <f>IFERROR(__xludf.DUMMYFUNCTION("""COMPUTED_VALUE"""),7191.0)</f>
        <v>7191</v>
      </c>
      <c r="H4625" s="116">
        <f>IFERROR(__xludf.DUMMYFUNCTION("""COMPUTED_VALUE"""),45909.0)</f>
        <v>45909</v>
      </c>
      <c r="I4625" s="115" t="str">
        <f>IFERROR(__xludf.DUMMYFUNCTION("""COMPUTED_VALUE"""),"14")</f>
        <v>14</v>
      </c>
      <c r="J4625" s="115" t="str">
        <f>IFERROR(__xludf.DUMMYFUNCTION("""COMPUTED_VALUE"""),"Manoj Harsh2025-09-0914")</f>
        <v>Manoj Harsh2025-09-0914</v>
      </c>
      <c r="K4625" s="115">
        <f>IFERROR(__xludf.DUMMYFUNCTION("""COMPUTED_VALUE"""),436828.0)</f>
        <v>436828</v>
      </c>
    </row>
    <row r="4626">
      <c r="A4626" s="115" t="str">
        <f>IFERROR(__xludf.DUMMYFUNCTION("""COMPUTED_VALUE"""),"NORTH")</f>
        <v>NORTH</v>
      </c>
      <c r="B4626" s="115" t="str">
        <f>IFERROR(__xludf.DUMMYFUNCTION("""COMPUTED_VALUE"""),"Manoj Harsh")</f>
        <v>Manoj Harsh</v>
      </c>
      <c r="C4626" s="115" t="str">
        <f>IFERROR(__xludf.DUMMYFUNCTION("""COMPUTED_VALUE"""),"MYNTRA")</f>
        <v>MYNTRA</v>
      </c>
      <c r="D4626" s="115">
        <f>IFERROR(__xludf.DUMMYFUNCTION("""COMPUTED_VALUE"""),39580.0)</f>
        <v>39580</v>
      </c>
      <c r="E4626" s="115">
        <f>IFERROR(__xludf.DUMMYFUNCTION("""COMPUTED_VALUE"""),7923.0)</f>
        <v>7923</v>
      </c>
      <c r="F4626" s="115">
        <f>IFERROR(__xludf.DUMMYFUNCTION("""COMPUTED_VALUE"""),20631.0)</f>
        <v>20631</v>
      </c>
      <c r="G4626" s="115">
        <f>IFERROR(__xludf.DUMMYFUNCTION("""COMPUTED_VALUE"""),1712.0)</f>
        <v>1712</v>
      </c>
      <c r="H4626" s="116">
        <f>IFERROR(__xludf.DUMMYFUNCTION("""COMPUTED_VALUE"""),45909.0)</f>
        <v>45909</v>
      </c>
      <c r="I4626" s="115" t="str">
        <f>IFERROR(__xludf.DUMMYFUNCTION("""COMPUTED_VALUE"""),"14")</f>
        <v>14</v>
      </c>
      <c r="J4626" s="115" t="str">
        <f>IFERROR(__xludf.DUMMYFUNCTION("""COMPUTED_VALUE"""),"Manoj Harsh2025-09-0914")</f>
        <v>Manoj Harsh2025-09-0914</v>
      </c>
      <c r="K4626" s="115">
        <f>IFERROR(__xludf.DUMMYFUNCTION("""COMPUTED_VALUE"""),47503.0)</f>
        <v>47503</v>
      </c>
    </row>
    <row r="4627">
      <c r="A4627" s="115" t="str">
        <f>IFERROR(__xludf.DUMMYFUNCTION("""COMPUTED_VALUE"""),"NORTH")</f>
        <v>NORTH</v>
      </c>
      <c r="B4627" s="115" t="str">
        <f>IFERROR(__xludf.DUMMYFUNCTION("""COMPUTED_VALUE"""),"Pradeep Kothari")</f>
        <v>Pradeep Kothari</v>
      </c>
      <c r="C4627" s="115" t="str">
        <f>IFERROR(__xludf.DUMMYFUNCTION("""COMPUTED_VALUE"""),"EXTERNAL")</f>
        <v>EXTERNAL</v>
      </c>
      <c r="D4627" s="115">
        <f>IFERROR(__xludf.DUMMYFUNCTION("""COMPUTED_VALUE"""),20063.0)</f>
        <v>20063</v>
      </c>
      <c r="E4627" s="115">
        <f>IFERROR(__xludf.DUMMYFUNCTION("""COMPUTED_VALUE"""),2229.0)</f>
        <v>2229</v>
      </c>
      <c r="F4627" s="115">
        <f>IFERROR(__xludf.DUMMYFUNCTION("""COMPUTED_VALUE"""),5637.0)</f>
        <v>5637</v>
      </c>
      <c r="G4627" s="115">
        <f>IFERROR(__xludf.DUMMYFUNCTION("""COMPUTED_VALUE"""),344.0)</f>
        <v>344</v>
      </c>
      <c r="H4627" s="116">
        <f>IFERROR(__xludf.DUMMYFUNCTION("""COMPUTED_VALUE"""),45909.0)</f>
        <v>45909</v>
      </c>
      <c r="I4627" s="115" t="str">
        <f>IFERROR(__xludf.DUMMYFUNCTION("""COMPUTED_VALUE"""),"14")</f>
        <v>14</v>
      </c>
      <c r="J4627" s="115" t="str">
        <f>IFERROR(__xludf.DUMMYFUNCTION("""COMPUTED_VALUE"""),"Pradeep Kothari2025-09-0914")</f>
        <v>Pradeep Kothari2025-09-0914</v>
      </c>
      <c r="K4627" s="115">
        <f>IFERROR(__xludf.DUMMYFUNCTION("""COMPUTED_VALUE"""),22292.0)</f>
        <v>22292</v>
      </c>
    </row>
    <row r="4628">
      <c r="A4628" s="115" t="str">
        <f>IFERROR(__xludf.DUMMYFUNCTION("""COMPUTED_VALUE"""),"NORTH")</f>
        <v>NORTH</v>
      </c>
      <c r="B4628" s="115" t="str">
        <f>IFERROR(__xludf.DUMMYFUNCTION("""COMPUTED_VALUE"""),"Pradeep Kothari")</f>
        <v>Pradeep Kothari</v>
      </c>
      <c r="C4628" s="115" t="str">
        <f>IFERROR(__xludf.DUMMYFUNCTION("""COMPUTED_VALUE"""),"FLIPKART")</f>
        <v>FLIPKART</v>
      </c>
      <c r="D4628" s="115">
        <f>IFERROR(__xludf.DUMMYFUNCTION("""COMPUTED_VALUE"""),140289.0)</f>
        <v>140289</v>
      </c>
      <c r="E4628" s="115">
        <f>IFERROR(__xludf.DUMMYFUNCTION("""COMPUTED_VALUE"""),17026.0)</f>
        <v>17026</v>
      </c>
      <c r="F4628" s="115">
        <f>IFERROR(__xludf.DUMMYFUNCTION("""COMPUTED_VALUE"""),74615.0)</f>
        <v>74615</v>
      </c>
      <c r="G4628" s="115">
        <f>IFERROR(__xludf.DUMMYFUNCTION("""COMPUTED_VALUE"""),4578.0)</f>
        <v>4578</v>
      </c>
      <c r="H4628" s="116">
        <f>IFERROR(__xludf.DUMMYFUNCTION("""COMPUTED_VALUE"""),45909.0)</f>
        <v>45909</v>
      </c>
      <c r="I4628" s="115" t="str">
        <f>IFERROR(__xludf.DUMMYFUNCTION("""COMPUTED_VALUE"""),"14")</f>
        <v>14</v>
      </c>
      <c r="J4628" s="115" t="str">
        <f>IFERROR(__xludf.DUMMYFUNCTION("""COMPUTED_VALUE"""),"Pradeep Kothari2025-09-0914")</f>
        <v>Pradeep Kothari2025-09-0914</v>
      </c>
      <c r="K4628" s="115">
        <f>IFERROR(__xludf.DUMMYFUNCTION("""COMPUTED_VALUE"""),157315.0)</f>
        <v>157315</v>
      </c>
    </row>
    <row r="4629">
      <c r="A4629" s="115" t="str">
        <f>IFERROR(__xludf.DUMMYFUNCTION("""COMPUTED_VALUE"""),"NORTH")</f>
        <v>NORTH</v>
      </c>
      <c r="B4629" s="115" t="str">
        <f>IFERROR(__xludf.DUMMYFUNCTION("""COMPUTED_VALUE"""),"Pradeep Kothari")</f>
        <v>Pradeep Kothari</v>
      </c>
      <c r="C4629" s="115" t="str">
        <f>IFERROR(__xludf.DUMMYFUNCTION("""COMPUTED_VALUE"""),"MYNTRA")</f>
        <v>MYNTRA</v>
      </c>
      <c r="D4629" s="115">
        <f>IFERROR(__xludf.DUMMYFUNCTION("""COMPUTED_VALUE"""),26540.0)</f>
        <v>26540</v>
      </c>
      <c r="E4629" s="115">
        <f>IFERROR(__xludf.DUMMYFUNCTION("""COMPUTED_VALUE"""),6929.0)</f>
        <v>6929</v>
      </c>
      <c r="F4629" s="115">
        <f>IFERROR(__xludf.DUMMYFUNCTION("""COMPUTED_VALUE"""),16383.0)</f>
        <v>16383</v>
      </c>
      <c r="G4629" s="115">
        <f>IFERROR(__xludf.DUMMYFUNCTION("""COMPUTED_VALUE"""),2268.0)</f>
        <v>2268</v>
      </c>
      <c r="H4629" s="116">
        <f>IFERROR(__xludf.DUMMYFUNCTION("""COMPUTED_VALUE"""),45909.0)</f>
        <v>45909</v>
      </c>
      <c r="I4629" s="115" t="str">
        <f>IFERROR(__xludf.DUMMYFUNCTION("""COMPUTED_VALUE"""),"14")</f>
        <v>14</v>
      </c>
      <c r="J4629" s="115" t="str">
        <f>IFERROR(__xludf.DUMMYFUNCTION("""COMPUTED_VALUE"""),"Pradeep Kothari2025-09-0914")</f>
        <v>Pradeep Kothari2025-09-0914</v>
      </c>
      <c r="K4629" s="115">
        <f>IFERROR(__xludf.DUMMYFUNCTION("""COMPUTED_VALUE"""),33469.0)</f>
        <v>33469</v>
      </c>
    </row>
    <row r="4630">
      <c r="A4630" s="115" t="str">
        <f>IFERROR(__xludf.DUMMYFUNCTION("""COMPUTED_VALUE"""),"SOUTH")</f>
        <v>SOUTH</v>
      </c>
      <c r="B4630" s="115" t="str">
        <f>IFERROR(__xludf.DUMMYFUNCTION("""COMPUTED_VALUE"""),"0")</f>
        <v>0</v>
      </c>
      <c r="C4630" s="115" t="str">
        <f>IFERROR(__xludf.DUMMYFUNCTION("""COMPUTED_VALUE"""),"EXTERNAL")</f>
        <v>EXTERNAL</v>
      </c>
      <c r="D4630" s="115">
        <f>IFERROR(__xludf.DUMMYFUNCTION("""COMPUTED_VALUE"""),3.0)</f>
        <v>3</v>
      </c>
      <c r="E4630" s="115">
        <f>IFERROR(__xludf.DUMMYFUNCTION("""COMPUTED_VALUE"""),2.0)</f>
        <v>2</v>
      </c>
      <c r="F4630" s="115">
        <f>IFERROR(__xludf.DUMMYFUNCTION("""COMPUTED_VALUE"""),0.0)</f>
        <v>0</v>
      </c>
      <c r="G4630" s="115">
        <f>IFERROR(__xludf.DUMMYFUNCTION("""COMPUTED_VALUE"""),0.0)</f>
        <v>0</v>
      </c>
      <c r="H4630" s="116">
        <f>IFERROR(__xludf.DUMMYFUNCTION("""COMPUTED_VALUE"""),45909.0)</f>
        <v>45909</v>
      </c>
      <c r="I4630" s="115" t="str">
        <f>IFERROR(__xludf.DUMMYFUNCTION("""COMPUTED_VALUE"""),"14")</f>
        <v>14</v>
      </c>
      <c r="J4630" s="115" t="str">
        <f>IFERROR(__xludf.DUMMYFUNCTION("""COMPUTED_VALUE"""),"02025-09-0914")</f>
        <v>02025-09-0914</v>
      </c>
      <c r="K4630" s="115">
        <f>IFERROR(__xludf.DUMMYFUNCTION("""COMPUTED_VALUE"""),5.0)</f>
        <v>5</v>
      </c>
    </row>
    <row r="4631">
      <c r="A4631" s="115" t="str">
        <f>IFERROR(__xludf.DUMMYFUNCTION("""COMPUTED_VALUE"""),"SOUTH")</f>
        <v>SOUTH</v>
      </c>
      <c r="B4631" s="115" t="str">
        <f>IFERROR(__xludf.DUMMYFUNCTION("""COMPUTED_VALUE"""),"0")</f>
        <v>0</v>
      </c>
      <c r="C4631" s="115" t="str">
        <f>IFERROR(__xludf.DUMMYFUNCTION("""COMPUTED_VALUE"""),"FLIPKART")</f>
        <v>FLIPKART</v>
      </c>
      <c r="D4631" s="115">
        <f>IFERROR(__xludf.DUMMYFUNCTION("""COMPUTED_VALUE"""),68.0)</f>
        <v>68</v>
      </c>
      <c r="E4631" s="115">
        <f>IFERROR(__xludf.DUMMYFUNCTION("""COMPUTED_VALUE"""),45.0)</f>
        <v>45</v>
      </c>
      <c r="F4631" s="115">
        <f>IFERROR(__xludf.DUMMYFUNCTION("""COMPUTED_VALUE"""),0.0)</f>
        <v>0</v>
      </c>
      <c r="G4631" s="115">
        <f>IFERROR(__xludf.DUMMYFUNCTION("""COMPUTED_VALUE"""),0.0)</f>
        <v>0</v>
      </c>
      <c r="H4631" s="116">
        <f>IFERROR(__xludf.DUMMYFUNCTION("""COMPUTED_VALUE"""),45909.0)</f>
        <v>45909</v>
      </c>
      <c r="I4631" s="115" t="str">
        <f>IFERROR(__xludf.DUMMYFUNCTION("""COMPUTED_VALUE"""),"14")</f>
        <v>14</v>
      </c>
      <c r="J4631" s="115" t="str">
        <f>IFERROR(__xludf.DUMMYFUNCTION("""COMPUTED_VALUE"""),"02025-09-0914")</f>
        <v>02025-09-0914</v>
      </c>
      <c r="K4631" s="115">
        <f>IFERROR(__xludf.DUMMYFUNCTION("""COMPUTED_VALUE"""),113.0)</f>
        <v>113</v>
      </c>
    </row>
    <row r="4632">
      <c r="A4632" s="115" t="str">
        <f>IFERROR(__xludf.DUMMYFUNCTION("""COMPUTED_VALUE"""),"SOUTH")</f>
        <v>SOUTH</v>
      </c>
      <c r="B4632" s="115" t="str">
        <f>IFERROR(__xludf.DUMMYFUNCTION("""COMPUTED_VALUE"""),"0")</f>
        <v>0</v>
      </c>
      <c r="C4632" s="115" t="str">
        <f>IFERROR(__xludf.DUMMYFUNCTION("""COMPUTED_VALUE"""),"MYNTRA")</f>
        <v>MYNTRA</v>
      </c>
      <c r="D4632" s="115">
        <f>IFERROR(__xludf.DUMMYFUNCTION("""COMPUTED_VALUE"""),6.0)</f>
        <v>6</v>
      </c>
      <c r="E4632" s="115">
        <f>IFERROR(__xludf.DUMMYFUNCTION("""COMPUTED_VALUE"""),16.0)</f>
        <v>16</v>
      </c>
      <c r="F4632" s="115">
        <f>IFERROR(__xludf.DUMMYFUNCTION("""COMPUTED_VALUE"""),3.0)</f>
        <v>3</v>
      </c>
      <c r="G4632" s="115">
        <f>IFERROR(__xludf.DUMMYFUNCTION("""COMPUTED_VALUE"""),0.0)</f>
        <v>0</v>
      </c>
      <c r="H4632" s="116">
        <f>IFERROR(__xludf.DUMMYFUNCTION("""COMPUTED_VALUE"""),45909.0)</f>
        <v>45909</v>
      </c>
      <c r="I4632" s="115" t="str">
        <f>IFERROR(__xludf.DUMMYFUNCTION("""COMPUTED_VALUE"""),"14")</f>
        <v>14</v>
      </c>
      <c r="J4632" s="115" t="str">
        <f>IFERROR(__xludf.DUMMYFUNCTION("""COMPUTED_VALUE"""),"02025-09-0914")</f>
        <v>02025-09-0914</v>
      </c>
      <c r="K4632" s="115">
        <f>IFERROR(__xludf.DUMMYFUNCTION("""COMPUTED_VALUE"""),22.0)</f>
        <v>22</v>
      </c>
    </row>
    <row r="4633">
      <c r="A4633" s="115" t="str">
        <f>IFERROR(__xludf.DUMMYFUNCTION("""COMPUTED_VALUE"""),"SOUTH")</f>
        <v>SOUTH</v>
      </c>
      <c r="B4633" s="115" t="str">
        <f>IFERROR(__xludf.DUMMYFUNCTION("""COMPUTED_VALUE"""),"Kandula Sampath")</f>
        <v>Kandula Sampath</v>
      </c>
      <c r="C4633" s="115" t="str">
        <f>IFERROR(__xludf.DUMMYFUNCTION("""COMPUTED_VALUE"""),"EXTERNAL")</f>
        <v>EXTERNAL</v>
      </c>
      <c r="D4633" s="115">
        <f>IFERROR(__xludf.DUMMYFUNCTION("""COMPUTED_VALUE"""),32405.0)</f>
        <v>32405</v>
      </c>
      <c r="E4633" s="115">
        <f>IFERROR(__xludf.DUMMYFUNCTION("""COMPUTED_VALUE"""),4690.0)</f>
        <v>4690</v>
      </c>
      <c r="F4633" s="115">
        <f>IFERROR(__xludf.DUMMYFUNCTION("""COMPUTED_VALUE"""),9089.0)</f>
        <v>9089</v>
      </c>
      <c r="G4633" s="115">
        <f>IFERROR(__xludf.DUMMYFUNCTION("""COMPUTED_VALUE"""),547.0)</f>
        <v>547</v>
      </c>
      <c r="H4633" s="116">
        <f>IFERROR(__xludf.DUMMYFUNCTION("""COMPUTED_VALUE"""),45909.0)</f>
        <v>45909</v>
      </c>
      <c r="I4633" s="115" t="str">
        <f>IFERROR(__xludf.DUMMYFUNCTION("""COMPUTED_VALUE"""),"14")</f>
        <v>14</v>
      </c>
      <c r="J4633" s="115" t="str">
        <f>IFERROR(__xludf.DUMMYFUNCTION("""COMPUTED_VALUE"""),"Kandula Sampath2025-09-0914")</f>
        <v>Kandula Sampath2025-09-0914</v>
      </c>
      <c r="K4633" s="115">
        <f>IFERROR(__xludf.DUMMYFUNCTION("""COMPUTED_VALUE"""),37095.0)</f>
        <v>37095</v>
      </c>
    </row>
    <row r="4634">
      <c r="A4634" s="115" t="str">
        <f>IFERROR(__xludf.DUMMYFUNCTION("""COMPUTED_VALUE"""),"SOUTH")</f>
        <v>SOUTH</v>
      </c>
      <c r="B4634" s="115" t="str">
        <f>IFERROR(__xludf.DUMMYFUNCTION("""COMPUTED_VALUE"""),"Kandula Sampath")</f>
        <v>Kandula Sampath</v>
      </c>
      <c r="C4634" s="115" t="str">
        <f>IFERROR(__xludf.DUMMYFUNCTION("""COMPUTED_VALUE"""),"FLIPKART")</f>
        <v>FLIPKART</v>
      </c>
      <c r="D4634" s="115">
        <f>IFERROR(__xludf.DUMMYFUNCTION("""COMPUTED_VALUE"""),307758.0)</f>
        <v>307758</v>
      </c>
      <c r="E4634" s="115">
        <f>IFERROR(__xludf.DUMMYFUNCTION("""COMPUTED_VALUE"""),34385.0)</f>
        <v>34385</v>
      </c>
      <c r="F4634" s="115">
        <f>IFERROR(__xludf.DUMMYFUNCTION("""COMPUTED_VALUE"""),151152.0)</f>
        <v>151152</v>
      </c>
      <c r="G4634" s="115">
        <f>IFERROR(__xludf.DUMMYFUNCTION("""COMPUTED_VALUE"""),6395.0)</f>
        <v>6395</v>
      </c>
      <c r="H4634" s="116">
        <f>IFERROR(__xludf.DUMMYFUNCTION("""COMPUTED_VALUE"""),45909.0)</f>
        <v>45909</v>
      </c>
      <c r="I4634" s="115" t="str">
        <f>IFERROR(__xludf.DUMMYFUNCTION("""COMPUTED_VALUE"""),"14")</f>
        <v>14</v>
      </c>
      <c r="J4634" s="115" t="str">
        <f>IFERROR(__xludf.DUMMYFUNCTION("""COMPUTED_VALUE"""),"Kandula Sampath2025-09-0914")</f>
        <v>Kandula Sampath2025-09-0914</v>
      </c>
      <c r="K4634" s="115">
        <f>IFERROR(__xludf.DUMMYFUNCTION("""COMPUTED_VALUE"""),342143.0)</f>
        <v>342143</v>
      </c>
    </row>
    <row r="4635">
      <c r="A4635" s="115" t="str">
        <f>IFERROR(__xludf.DUMMYFUNCTION("""COMPUTED_VALUE"""),"SOUTH")</f>
        <v>SOUTH</v>
      </c>
      <c r="B4635" s="115" t="str">
        <f>IFERROR(__xludf.DUMMYFUNCTION("""COMPUTED_VALUE"""),"Kandula Sampath")</f>
        <v>Kandula Sampath</v>
      </c>
      <c r="C4635" s="115" t="str">
        <f>IFERROR(__xludf.DUMMYFUNCTION("""COMPUTED_VALUE"""),"MYNTRA")</f>
        <v>MYNTRA</v>
      </c>
      <c r="D4635" s="115">
        <f>IFERROR(__xludf.DUMMYFUNCTION("""COMPUTED_VALUE"""),37024.0)</f>
        <v>37024</v>
      </c>
      <c r="E4635" s="115">
        <f>IFERROR(__xludf.DUMMYFUNCTION("""COMPUTED_VALUE"""),9581.0)</f>
        <v>9581</v>
      </c>
      <c r="F4635" s="115">
        <f>IFERROR(__xludf.DUMMYFUNCTION("""COMPUTED_VALUE"""),20944.0)</f>
        <v>20944</v>
      </c>
      <c r="G4635" s="115">
        <f>IFERROR(__xludf.DUMMYFUNCTION("""COMPUTED_VALUE"""),1916.0)</f>
        <v>1916</v>
      </c>
      <c r="H4635" s="116">
        <f>IFERROR(__xludf.DUMMYFUNCTION("""COMPUTED_VALUE"""),45909.0)</f>
        <v>45909</v>
      </c>
      <c r="I4635" s="115" t="str">
        <f>IFERROR(__xludf.DUMMYFUNCTION("""COMPUTED_VALUE"""),"14")</f>
        <v>14</v>
      </c>
      <c r="J4635" s="115" t="str">
        <f>IFERROR(__xludf.DUMMYFUNCTION("""COMPUTED_VALUE"""),"Kandula Sampath2025-09-0914")</f>
        <v>Kandula Sampath2025-09-0914</v>
      </c>
      <c r="K4635" s="115">
        <f>IFERROR(__xludf.DUMMYFUNCTION("""COMPUTED_VALUE"""),46605.0)</f>
        <v>46605</v>
      </c>
    </row>
    <row r="4636">
      <c r="A4636" s="115" t="str">
        <f>IFERROR(__xludf.DUMMYFUNCTION("""COMPUTED_VALUE"""),"SOUTH")</f>
        <v>SOUTH</v>
      </c>
      <c r="B4636" s="115" t="str">
        <f>IFERROR(__xludf.DUMMYFUNCTION("""COMPUTED_VALUE"""),"Martin A")</f>
        <v>Martin A</v>
      </c>
      <c r="C4636" s="115" t="str">
        <f>IFERROR(__xludf.DUMMYFUNCTION("""COMPUTED_VALUE"""),"EXTERNAL")</f>
        <v>EXTERNAL</v>
      </c>
      <c r="D4636" s="115">
        <f>IFERROR(__xludf.DUMMYFUNCTION("""COMPUTED_VALUE"""),30148.0)</f>
        <v>30148</v>
      </c>
      <c r="E4636" s="115">
        <f>IFERROR(__xludf.DUMMYFUNCTION("""COMPUTED_VALUE"""),4382.0)</f>
        <v>4382</v>
      </c>
      <c r="F4636" s="115">
        <f>IFERROR(__xludf.DUMMYFUNCTION("""COMPUTED_VALUE"""),8333.0)</f>
        <v>8333</v>
      </c>
      <c r="G4636" s="115">
        <f>IFERROR(__xludf.DUMMYFUNCTION("""COMPUTED_VALUE"""),808.0)</f>
        <v>808</v>
      </c>
      <c r="H4636" s="116">
        <f>IFERROR(__xludf.DUMMYFUNCTION("""COMPUTED_VALUE"""),45909.0)</f>
        <v>45909</v>
      </c>
      <c r="I4636" s="115" t="str">
        <f>IFERROR(__xludf.DUMMYFUNCTION("""COMPUTED_VALUE"""),"14")</f>
        <v>14</v>
      </c>
      <c r="J4636" s="115" t="str">
        <f>IFERROR(__xludf.DUMMYFUNCTION("""COMPUTED_VALUE"""),"Martin A2025-09-0914")</f>
        <v>Martin A2025-09-0914</v>
      </c>
      <c r="K4636" s="115">
        <f>IFERROR(__xludf.DUMMYFUNCTION("""COMPUTED_VALUE"""),34530.0)</f>
        <v>34530</v>
      </c>
    </row>
    <row r="4637">
      <c r="A4637" s="115" t="str">
        <f>IFERROR(__xludf.DUMMYFUNCTION("""COMPUTED_VALUE"""),"SOUTH")</f>
        <v>SOUTH</v>
      </c>
      <c r="B4637" s="115" t="str">
        <f>IFERROR(__xludf.DUMMYFUNCTION("""COMPUTED_VALUE"""),"Martin A")</f>
        <v>Martin A</v>
      </c>
      <c r="C4637" s="115" t="str">
        <f>IFERROR(__xludf.DUMMYFUNCTION("""COMPUTED_VALUE"""),"FLIPKART")</f>
        <v>FLIPKART</v>
      </c>
      <c r="D4637" s="115">
        <f>IFERROR(__xludf.DUMMYFUNCTION("""COMPUTED_VALUE"""),263929.0)</f>
        <v>263929</v>
      </c>
      <c r="E4637" s="115">
        <f>IFERROR(__xludf.DUMMYFUNCTION("""COMPUTED_VALUE"""),27969.0)</f>
        <v>27969</v>
      </c>
      <c r="F4637" s="115">
        <f>IFERROR(__xludf.DUMMYFUNCTION("""COMPUTED_VALUE"""),130459.0)</f>
        <v>130459</v>
      </c>
      <c r="G4637" s="115">
        <f>IFERROR(__xludf.DUMMYFUNCTION("""COMPUTED_VALUE"""),6495.0)</f>
        <v>6495</v>
      </c>
      <c r="H4637" s="116">
        <f>IFERROR(__xludf.DUMMYFUNCTION("""COMPUTED_VALUE"""),45909.0)</f>
        <v>45909</v>
      </c>
      <c r="I4637" s="115" t="str">
        <f>IFERROR(__xludf.DUMMYFUNCTION("""COMPUTED_VALUE"""),"14")</f>
        <v>14</v>
      </c>
      <c r="J4637" s="115" t="str">
        <f>IFERROR(__xludf.DUMMYFUNCTION("""COMPUTED_VALUE"""),"Martin A2025-09-0914")</f>
        <v>Martin A2025-09-0914</v>
      </c>
      <c r="K4637" s="115">
        <f>IFERROR(__xludf.DUMMYFUNCTION("""COMPUTED_VALUE"""),291898.0)</f>
        <v>291898</v>
      </c>
    </row>
    <row r="4638">
      <c r="A4638" s="115" t="str">
        <f>IFERROR(__xludf.DUMMYFUNCTION("""COMPUTED_VALUE"""),"SOUTH")</f>
        <v>SOUTH</v>
      </c>
      <c r="B4638" s="115" t="str">
        <f>IFERROR(__xludf.DUMMYFUNCTION("""COMPUTED_VALUE"""),"Martin A")</f>
        <v>Martin A</v>
      </c>
      <c r="C4638" s="115" t="str">
        <f>IFERROR(__xludf.DUMMYFUNCTION("""COMPUTED_VALUE"""),"MYNTRA")</f>
        <v>MYNTRA</v>
      </c>
      <c r="D4638" s="115">
        <f>IFERROR(__xludf.DUMMYFUNCTION("""COMPUTED_VALUE"""),23532.0)</f>
        <v>23532</v>
      </c>
      <c r="E4638" s="115">
        <f>IFERROR(__xludf.DUMMYFUNCTION("""COMPUTED_VALUE"""),7318.0)</f>
        <v>7318</v>
      </c>
      <c r="F4638" s="115">
        <f>IFERROR(__xludf.DUMMYFUNCTION("""COMPUTED_VALUE"""),13965.0)</f>
        <v>13965</v>
      </c>
      <c r="G4638" s="115">
        <f>IFERROR(__xludf.DUMMYFUNCTION("""COMPUTED_VALUE"""),1978.0)</f>
        <v>1978</v>
      </c>
      <c r="H4638" s="116">
        <f>IFERROR(__xludf.DUMMYFUNCTION("""COMPUTED_VALUE"""),45909.0)</f>
        <v>45909</v>
      </c>
      <c r="I4638" s="115" t="str">
        <f>IFERROR(__xludf.DUMMYFUNCTION("""COMPUTED_VALUE"""),"14")</f>
        <v>14</v>
      </c>
      <c r="J4638" s="115" t="str">
        <f>IFERROR(__xludf.DUMMYFUNCTION("""COMPUTED_VALUE"""),"Martin A2025-09-0914")</f>
        <v>Martin A2025-09-0914</v>
      </c>
      <c r="K4638" s="115">
        <f>IFERROR(__xludf.DUMMYFUNCTION("""COMPUTED_VALUE"""),30850.0)</f>
        <v>30850</v>
      </c>
    </row>
    <row r="4639">
      <c r="A4639" s="115" t="str">
        <f>IFERROR(__xludf.DUMMYFUNCTION("""COMPUTED_VALUE"""),"SOUTH")</f>
        <v>SOUTH</v>
      </c>
      <c r="B4639" s="115" t="str">
        <f>IFERROR(__xludf.DUMMYFUNCTION("""COMPUTED_VALUE"""),"Premkumar M")</f>
        <v>Premkumar M</v>
      </c>
      <c r="C4639" s="115" t="str">
        <f>IFERROR(__xludf.DUMMYFUNCTION("""COMPUTED_VALUE"""),"EXTERNAL")</f>
        <v>EXTERNAL</v>
      </c>
      <c r="D4639" s="115">
        <f>IFERROR(__xludf.DUMMYFUNCTION("""COMPUTED_VALUE"""),26343.0)</f>
        <v>26343</v>
      </c>
      <c r="E4639" s="115">
        <f>IFERROR(__xludf.DUMMYFUNCTION("""COMPUTED_VALUE"""),2375.0)</f>
        <v>2375</v>
      </c>
      <c r="F4639" s="115">
        <f>IFERROR(__xludf.DUMMYFUNCTION("""COMPUTED_VALUE"""),6647.0)</f>
        <v>6647</v>
      </c>
      <c r="G4639" s="115">
        <f>IFERROR(__xludf.DUMMYFUNCTION("""COMPUTED_VALUE"""),116.0)</f>
        <v>116</v>
      </c>
      <c r="H4639" s="116">
        <f>IFERROR(__xludf.DUMMYFUNCTION("""COMPUTED_VALUE"""),45909.0)</f>
        <v>45909</v>
      </c>
      <c r="I4639" s="115" t="str">
        <f>IFERROR(__xludf.DUMMYFUNCTION("""COMPUTED_VALUE"""),"14")</f>
        <v>14</v>
      </c>
      <c r="J4639" s="115" t="str">
        <f>IFERROR(__xludf.DUMMYFUNCTION("""COMPUTED_VALUE"""),"Premkumar M2025-09-0914")</f>
        <v>Premkumar M2025-09-0914</v>
      </c>
      <c r="K4639" s="115">
        <f>IFERROR(__xludf.DUMMYFUNCTION("""COMPUTED_VALUE"""),28718.0)</f>
        <v>28718</v>
      </c>
    </row>
    <row r="4640">
      <c r="A4640" s="115" t="str">
        <f>IFERROR(__xludf.DUMMYFUNCTION("""COMPUTED_VALUE"""),"SOUTH")</f>
        <v>SOUTH</v>
      </c>
      <c r="B4640" s="115" t="str">
        <f>IFERROR(__xludf.DUMMYFUNCTION("""COMPUTED_VALUE"""),"Premkumar M")</f>
        <v>Premkumar M</v>
      </c>
      <c r="C4640" s="115" t="str">
        <f>IFERROR(__xludf.DUMMYFUNCTION("""COMPUTED_VALUE"""),"FLIPKART")</f>
        <v>FLIPKART</v>
      </c>
      <c r="D4640" s="115">
        <f>IFERROR(__xludf.DUMMYFUNCTION("""COMPUTED_VALUE"""),252827.0)</f>
        <v>252827</v>
      </c>
      <c r="E4640" s="115">
        <f>IFERROR(__xludf.DUMMYFUNCTION("""COMPUTED_VALUE"""),19979.0)</f>
        <v>19979</v>
      </c>
      <c r="F4640" s="115">
        <f>IFERROR(__xludf.DUMMYFUNCTION("""COMPUTED_VALUE"""),100236.0)</f>
        <v>100236</v>
      </c>
      <c r="G4640" s="115">
        <f>IFERROR(__xludf.DUMMYFUNCTION("""COMPUTED_VALUE"""),1755.0)</f>
        <v>1755</v>
      </c>
      <c r="H4640" s="116">
        <f>IFERROR(__xludf.DUMMYFUNCTION("""COMPUTED_VALUE"""),45909.0)</f>
        <v>45909</v>
      </c>
      <c r="I4640" s="115" t="str">
        <f>IFERROR(__xludf.DUMMYFUNCTION("""COMPUTED_VALUE"""),"14")</f>
        <v>14</v>
      </c>
      <c r="J4640" s="115" t="str">
        <f>IFERROR(__xludf.DUMMYFUNCTION("""COMPUTED_VALUE"""),"Premkumar M2025-09-0914")</f>
        <v>Premkumar M2025-09-0914</v>
      </c>
      <c r="K4640" s="115">
        <f>IFERROR(__xludf.DUMMYFUNCTION("""COMPUTED_VALUE"""),272806.0)</f>
        <v>272806</v>
      </c>
    </row>
    <row r="4641">
      <c r="A4641" s="115" t="str">
        <f>IFERROR(__xludf.DUMMYFUNCTION("""COMPUTED_VALUE"""),"SOUTH")</f>
        <v>SOUTH</v>
      </c>
      <c r="B4641" s="115" t="str">
        <f>IFERROR(__xludf.DUMMYFUNCTION("""COMPUTED_VALUE"""),"Premkumar M")</f>
        <v>Premkumar M</v>
      </c>
      <c r="C4641" s="115" t="str">
        <f>IFERROR(__xludf.DUMMYFUNCTION("""COMPUTED_VALUE"""),"MYNTRA")</f>
        <v>MYNTRA</v>
      </c>
      <c r="D4641" s="115">
        <f>IFERROR(__xludf.DUMMYFUNCTION("""COMPUTED_VALUE"""),14113.0)</f>
        <v>14113</v>
      </c>
      <c r="E4641" s="115">
        <f>IFERROR(__xludf.DUMMYFUNCTION("""COMPUTED_VALUE"""),3297.0)</f>
        <v>3297</v>
      </c>
      <c r="F4641" s="115">
        <f>IFERROR(__xludf.DUMMYFUNCTION("""COMPUTED_VALUE"""),6562.0)</f>
        <v>6562</v>
      </c>
      <c r="G4641" s="115">
        <f>IFERROR(__xludf.DUMMYFUNCTION("""COMPUTED_VALUE"""),306.0)</f>
        <v>306</v>
      </c>
      <c r="H4641" s="116">
        <f>IFERROR(__xludf.DUMMYFUNCTION("""COMPUTED_VALUE"""),45909.0)</f>
        <v>45909</v>
      </c>
      <c r="I4641" s="115" t="str">
        <f>IFERROR(__xludf.DUMMYFUNCTION("""COMPUTED_VALUE"""),"14")</f>
        <v>14</v>
      </c>
      <c r="J4641" s="115" t="str">
        <f>IFERROR(__xludf.DUMMYFUNCTION("""COMPUTED_VALUE"""),"Premkumar M2025-09-0914")</f>
        <v>Premkumar M2025-09-0914</v>
      </c>
      <c r="K4641" s="115">
        <f>IFERROR(__xludf.DUMMYFUNCTION("""COMPUTED_VALUE"""),17410.0)</f>
        <v>17410</v>
      </c>
    </row>
    <row r="4642">
      <c r="A4642" s="115" t="str">
        <f>IFERROR(__xludf.DUMMYFUNCTION("""COMPUTED_VALUE"""),"SOUTH")</f>
        <v>SOUTH</v>
      </c>
      <c r="B4642" s="115" t="str">
        <f>IFERROR(__xludf.DUMMYFUNCTION("""COMPUTED_VALUE"""),"Vineeth V")</f>
        <v>Vineeth V</v>
      </c>
      <c r="C4642" s="115" t="str">
        <f>IFERROR(__xludf.DUMMYFUNCTION("""COMPUTED_VALUE"""),"EXTERNAL")</f>
        <v>EXTERNAL</v>
      </c>
      <c r="D4642" s="115">
        <f>IFERROR(__xludf.DUMMYFUNCTION("""COMPUTED_VALUE"""),21282.0)</f>
        <v>21282</v>
      </c>
      <c r="E4642" s="115">
        <f>IFERROR(__xludf.DUMMYFUNCTION("""COMPUTED_VALUE"""),745.0)</f>
        <v>745</v>
      </c>
      <c r="F4642" s="115">
        <f>IFERROR(__xludf.DUMMYFUNCTION("""COMPUTED_VALUE"""),5265.0)</f>
        <v>5265</v>
      </c>
      <c r="G4642" s="115">
        <f>IFERROR(__xludf.DUMMYFUNCTION("""COMPUTED_VALUE"""),51.0)</f>
        <v>51</v>
      </c>
      <c r="H4642" s="116">
        <f>IFERROR(__xludf.DUMMYFUNCTION("""COMPUTED_VALUE"""),45909.0)</f>
        <v>45909</v>
      </c>
      <c r="I4642" s="115" t="str">
        <f>IFERROR(__xludf.DUMMYFUNCTION("""COMPUTED_VALUE"""),"14")</f>
        <v>14</v>
      </c>
      <c r="J4642" s="115" t="str">
        <f>IFERROR(__xludf.DUMMYFUNCTION("""COMPUTED_VALUE"""),"Vineeth V2025-09-0914")</f>
        <v>Vineeth V2025-09-0914</v>
      </c>
      <c r="K4642" s="115">
        <f>IFERROR(__xludf.DUMMYFUNCTION("""COMPUTED_VALUE"""),22027.0)</f>
        <v>22027</v>
      </c>
    </row>
    <row r="4643">
      <c r="A4643" s="115" t="str">
        <f>IFERROR(__xludf.DUMMYFUNCTION("""COMPUTED_VALUE"""),"SOUTH")</f>
        <v>SOUTH</v>
      </c>
      <c r="B4643" s="115" t="str">
        <f>IFERROR(__xludf.DUMMYFUNCTION("""COMPUTED_VALUE"""),"Vineeth V")</f>
        <v>Vineeth V</v>
      </c>
      <c r="C4643" s="115" t="str">
        <f>IFERROR(__xludf.DUMMYFUNCTION("""COMPUTED_VALUE"""),"FLIPKART")</f>
        <v>FLIPKART</v>
      </c>
      <c r="D4643" s="115">
        <f>IFERROR(__xludf.DUMMYFUNCTION("""COMPUTED_VALUE"""),220359.0)</f>
        <v>220359</v>
      </c>
      <c r="E4643" s="115">
        <f>IFERROR(__xludf.DUMMYFUNCTION("""COMPUTED_VALUE"""),17823.0)</f>
        <v>17823</v>
      </c>
      <c r="F4643" s="115">
        <f>IFERROR(__xludf.DUMMYFUNCTION("""COMPUTED_VALUE"""),84360.0)</f>
        <v>84360</v>
      </c>
      <c r="G4643" s="115">
        <f>IFERROR(__xludf.DUMMYFUNCTION("""COMPUTED_VALUE"""),1305.0)</f>
        <v>1305</v>
      </c>
      <c r="H4643" s="116">
        <f>IFERROR(__xludf.DUMMYFUNCTION("""COMPUTED_VALUE"""),45909.0)</f>
        <v>45909</v>
      </c>
      <c r="I4643" s="115" t="str">
        <f>IFERROR(__xludf.DUMMYFUNCTION("""COMPUTED_VALUE"""),"14")</f>
        <v>14</v>
      </c>
      <c r="J4643" s="115" t="str">
        <f>IFERROR(__xludf.DUMMYFUNCTION("""COMPUTED_VALUE"""),"Vineeth V2025-09-0914")</f>
        <v>Vineeth V2025-09-0914</v>
      </c>
      <c r="K4643" s="115">
        <f>IFERROR(__xludf.DUMMYFUNCTION("""COMPUTED_VALUE"""),238182.0)</f>
        <v>238182</v>
      </c>
    </row>
    <row r="4644">
      <c r="A4644" s="115" t="str">
        <f>IFERROR(__xludf.DUMMYFUNCTION("""COMPUTED_VALUE"""),"SOUTH")</f>
        <v>SOUTH</v>
      </c>
      <c r="B4644" s="115" t="str">
        <f>IFERROR(__xludf.DUMMYFUNCTION("""COMPUTED_VALUE"""),"Vineeth V")</f>
        <v>Vineeth V</v>
      </c>
      <c r="C4644" s="115" t="str">
        <f>IFERROR(__xludf.DUMMYFUNCTION("""COMPUTED_VALUE"""),"MYNTRA")</f>
        <v>MYNTRA</v>
      </c>
      <c r="D4644" s="115">
        <f>IFERROR(__xludf.DUMMYFUNCTION("""COMPUTED_VALUE"""),17927.0)</f>
        <v>17927</v>
      </c>
      <c r="E4644" s="115">
        <f>IFERROR(__xludf.DUMMYFUNCTION("""COMPUTED_VALUE"""),4509.0)</f>
        <v>4509</v>
      </c>
      <c r="F4644" s="115">
        <f>IFERROR(__xludf.DUMMYFUNCTION("""COMPUTED_VALUE"""),7523.0)</f>
        <v>7523</v>
      </c>
      <c r="G4644" s="115">
        <f>IFERROR(__xludf.DUMMYFUNCTION("""COMPUTED_VALUE"""),320.0)</f>
        <v>320</v>
      </c>
      <c r="H4644" s="116">
        <f>IFERROR(__xludf.DUMMYFUNCTION("""COMPUTED_VALUE"""),45909.0)</f>
        <v>45909</v>
      </c>
      <c r="I4644" s="115" t="str">
        <f>IFERROR(__xludf.DUMMYFUNCTION("""COMPUTED_VALUE"""),"14")</f>
        <v>14</v>
      </c>
      <c r="J4644" s="115" t="str">
        <f>IFERROR(__xludf.DUMMYFUNCTION("""COMPUTED_VALUE"""),"Vineeth V2025-09-0914")</f>
        <v>Vineeth V2025-09-0914</v>
      </c>
      <c r="K4644" s="115">
        <f>IFERROR(__xludf.DUMMYFUNCTION("""COMPUTED_VALUE"""),22436.0)</f>
        <v>22436</v>
      </c>
    </row>
    <row r="4645">
      <c r="A4645" s="115" t="str">
        <f>IFERROR(__xludf.DUMMYFUNCTION("""COMPUTED_VALUE"""),"WEST")</f>
        <v>WEST</v>
      </c>
      <c r="B4645" s="115" t="str">
        <f>IFERROR(__xludf.DUMMYFUNCTION("""COMPUTED_VALUE"""),"Ashish Jakar")</f>
        <v>Ashish Jakar</v>
      </c>
      <c r="C4645" s="115" t="str">
        <f>IFERROR(__xludf.DUMMYFUNCTION("""COMPUTED_VALUE"""),"EXTERNAL")</f>
        <v>EXTERNAL</v>
      </c>
      <c r="D4645" s="115">
        <f>IFERROR(__xludf.DUMMYFUNCTION("""COMPUTED_VALUE"""),50251.0)</f>
        <v>50251</v>
      </c>
      <c r="E4645" s="115">
        <f>IFERROR(__xludf.DUMMYFUNCTION("""COMPUTED_VALUE"""),8163.0)</f>
        <v>8163</v>
      </c>
      <c r="F4645" s="115">
        <f>IFERROR(__xludf.DUMMYFUNCTION("""COMPUTED_VALUE"""),11916.0)</f>
        <v>11916</v>
      </c>
      <c r="G4645" s="115">
        <f>IFERROR(__xludf.DUMMYFUNCTION("""COMPUTED_VALUE"""),1393.0)</f>
        <v>1393</v>
      </c>
      <c r="H4645" s="116">
        <f>IFERROR(__xludf.DUMMYFUNCTION("""COMPUTED_VALUE"""),45909.0)</f>
        <v>45909</v>
      </c>
      <c r="I4645" s="115" t="str">
        <f>IFERROR(__xludf.DUMMYFUNCTION("""COMPUTED_VALUE"""),"14")</f>
        <v>14</v>
      </c>
      <c r="J4645" s="115" t="str">
        <f>IFERROR(__xludf.DUMMYFUNCTION("""COMPUTED_VALUE"""),"Ashish Jakar2025-09-0914")</f>
        <v>Ashish Jakar2025-09-0914</v>
      </c>
      <c r="K4645" s="115">
        <f>IFERROR(__xludf.DUMMYFUNCTION("""COMPUTED_VALUE"""),58414.0)</f>
        <v>58414</v>
      </c>
    </row>
    <row r="4646">
      <c r="A4646" s="115" t="str">
        <f>IFERROR(__xludf.DUMMYFUNCTION("""COMPUTED_VALUE"""),"WEST")</f>
        <v>WEST</v>
      </c>
      <c r="B4646" s="115" t="str">
        <f>IFERROR(__xludf.DUMMYFUNCTION("""COMPUTED_VALUE"""),"Ashish Jakar")</f>
        <v>Ashish Jakar</v>
      </c>
      <c r="C4646" s="115" t="str">
        <f>IFERROR(__xludf.DUMMYFUNCTION("""COMPUTED_VALUE"""),"FLIPKART")</f>
        <v>FLIPKART</v>
      </c>
      <c r="D4646" s="115">
        <f>IFERROR(__xludf.DUMMYFUNCTION("""COMPUTED_VALUE"""),329306.0)</f>
        <v>329306</v>
      </c>
      <c r="E4646" s="115">
        <f>IFERROR(__xludf.DUMMYFUNCTION("""COMPUTED_VALUE"""),34344.0)</f>
        <v>34344</v>
      </c>
      <c r="F4646" s="115">
        <f>IFERROR(__xludf.DUMMYFUNCTION("""COMPUTED_VALUE"""),142988.0)</f>
        <v>142988</v>
      </c>
      <c r="G4646" s="115">
        <f>IFERROR(__xludf.DUMMYFUNCTION("""COMPUTED_VALUE"""),7633.0)</f>
        <v>7633</v>
      </c>
      <c r="H4646" s="116">
        <f>IFERROR(__xludf.DUMMYFUNCTION("""COMPUTED_VALUE"""),45909.0)</f>
        <v>45909</v>
      </c>
      <c r="I4646" s="115" t="str">
        <f>IFERROR(__xludf.DUMMYFUNCTION("""COMPUTED_VALUE"""),"14")</f>
        <v>14</v>
      </c>
      <c r="J4646" s="115" t="str">
        <f>IFERROR(__xludf.DUMMYFUNCTION("""COMPUTED_VALUE"""),"Ashish Jakar2025-09-0914")</f>
        <v>Ashish Jakar2025-09-0914</v>
      </c>
      <c r="K4646" s="115">
        <f>IFERROR(__xludf.DUMMYFUNCTION("""COMPUTED_VALUE"""),363650.0)</f>
        <v>363650</v>
      </c>
    </row>
    <row r="4647">
      <c r="A4647" s="115" t="str">
        <f>IFERROR(__xludf.DUMMYFUNCTION("""COMPUTED_VALUE"""),"WEST")</f>
        <v>WEST</v>
      </c>
      <c r="B4647" s="115" t="str">
        <f>IFERROR(__xludf.DUMMYFUNCTION("""COMPUTED_VALUE"""),"Ashish Jakar")</f>
        <v>Ashish Jakar</v>
      </c>
      <c r="C4647" s="115" t="str">
        <f>IFERROR(__xludf.DUMMYFUNCTION("""COMPUTED_VALUE"""),"MYNTRA")</f>
        <v>MYNTRA</v>
      </c>
      <c r="D4647" s="115">
        <f>IFERROR(__xludf.DUMMYFUNCTION("""COMPUTED_VALUE"""),38364.0)</f>
        <v>38364</v>
      </c>
      <c r="E4647" s="115">
        <f>IFERROR(__xludf.DUMMYFUNCTION("""COMPUTED_VALUE"""),11835.0)</f>
        <v>11835</v>
      </c>
      <c r="F4647" s="115">
        <f>IFERROR(__xludf.DUMMYFUNCTION("""COMPUTED_VALUE"""),20125.0)</f>
        <v>20125</v>
      </c>
      <c r="G4647" s="115">
        <f>IFERROR(__xludf.DUMMYFUNCTION("""COMPUTED_VALUE"""),2914.0)</f>
        <v>2914</v>
      </c>
      <c r="H4647" s="116">
        <f>IFERROR(__xludf.DUMMYFUNCTION("""COMPUTED_VALUE"""),45909.0)</f>
        <v>45909</v>
      </c>
      <c r="I4647" s="115" t="str">
        <f>IFERROR(__xludf.DUMMYFUNCTION("""COMPUTED_VALUE"""),"14")</f>
        <v>14</v>
      </c>
      <c r="J4647" s="115" t="str">
        <f>IFERROR(__xludf.DUMMYFUNCTION("""COMPUTED_VALUE"""),"Ashish Jakar2025-09-0914")</f>
        <v>Ashish Jakar2025-09-0914</v>
      </c>
      <c r="K4647" s="115">
        <f>IFERROR(__xludf.DUMMYFUNCTION("""COMPUTED_VALUE"""),50199.0)</f>
        <v>50199</v>
      </c>
    </row>
    <row r="4648">
      <c r="A4648" s="115" t="str">
        <f>IFERROR(__xludf.DUMMYFUNCTION("""COMPUTED_VALUE"""),"WEST")</f>
        <v>WEST</v>
      </c>
      <c r="B4648" s="115" t="str">
        <f>IFERROR(__xludf.DUMMYFUNCTION("""COMPUTED_VALUE"""),"Ashvani Bhatt")</f>
        <v>Ashvani Bhatt</v>
      </c>
      <c r="C4648" s="115" t="str">
        <f>IFERROR(__xludf.DUMMYFUNCTION("""COMPUTED_VALUE"""),"EXTERNAL")</f>
        <v>EXTERNAL</v>
      </c>
      <c r="D4648" s="115">
        <f>IFERROR(__xludf.DUMMYFUNCTION("""COMPUTED_VALUE"""),39203.0)</f>
        <v>39203</v>
      </c>
      <c r="E4648" s="115">
        <f>IFERROR(__xludf.DUMMYFUNCTION("""COMPUTED_VALUE"""),4107.0)</f>
        <v>4107</v>
      </c>
      <c r="F4648" s="115">
        <f>IFERROR(__xludf.DUMMYFUNCTION("""COMPUTED_VALUE"""),10472.0)</f>
        <v>10472</v>
      </c>
      <c r="G4648" s="115">
        <f>IFERROR(__xludf.DUMMYFUNCTION("""COMPUTED_VALUE"""),483.0)</f>
        <v>483</v>
      </c>
      <c r="H4648" s="116">
        <f>IFERROR(__xludf.DUMMYFUNCTION("""COMPUTED_VALUE"""),45909.0)</f>
        <v>45909</v>
      </c>
      <c r="I4648" s="115" t="str">
        <f>IFERROR(__xludf.DUMMYFUNCTION("""COMPUTED_VALUE"""),"14")</f>
        <v>14</v>
      </c>
      <c r="J4648" s="115" t="str">
        <f>IFERROR(__xludf.DUMMYFUNCTION("""COMPUTED_VALUE"""),"Ashvani Bhatt2025-09-0914")</f>
        <v>Ashvani Bhatt2025-09-0914</v>
      </c>
      <c r="K4648" s="115">
        <f>IFERROR(__xludf.DUMMYFUNCTION("""COMPUTED_VALUE"""),43310.0)</f>
        <v>43310</v>
      </c>
    </row>
    <row r="4649">
      <c r="A4649" s="115" t="str">
        <f>IFERROR(__xludf.DUMMYFUNCTION("""COMPUTED_VALUE"""),"WEST")</f>
        <v>WEST</v>
      </c>
      <c r="B4649" s="115" t="str">
        <f>IFERROR(__xludf.DUMMYFUNCTION("""COMPUTED_VALUE"""),"Ashvani Bhatt")</f>
        <v>Ashvani Bhatt</v>
      </c>
      <c r="C4649" s="115" t="str">
        <f>IFERROR(__xludf.DUMMYFUNCTION("""COMPUTED_VALUE"""),"FLIPKART")</f>
        <v>FLIPKART</v>
      </c>
      <c r="D4649" s="115">
        <f>IFERROR(__xludf.DUMMYFUNCTION("""COMPUTED_VALUE"""),270348.0)</f>
        <v>270348</v>
      </c>
      <c r="E4649" s="115">
        <f>IFERROR(__xludf.DUMMYFUNCTION("""COMPUTED_VALUE"""),29261.0)</f>
        <v>29261</v>
      </c>
      <c r="F4649" s="115">
        <f>IFERROR(__xludf.DUMMYFUNCTION("""COMPUTED_VALUE"""),127455.0)</f>
        <v>127455</v>
      </c>
      <c r="G4649" s="115">
        <f>IFERROR(__xludf.DUMMYFUNCTION("""COMPUTED_VALUE"""),5839.0)</f>
        <v>5839</v>
      </c>
      <c r="H4649" s="116">
        <f>IFERROR(__xludf.DUMMYFUNCTION("""COMPUTED_VALUE"""),45909.0)</f>
        <v>45909</v>
      </c>
      <c r="I4649" s="115" t="str">
        <f>IFERROR(__xludf.DUMMYFUNCTION("""COMPUTED_VALUE"""),"14")</f>
        <v>14</v>
      </c>
      <c r="J4649" s="115" t="str">
        <f>IFERROR(__xludf.DUMMYFUNCTION("""COMPUTED_VALUE"""),"Ashvani Bhatt2025-09-0914")</f>
        <v>Ashvani Bhatt2025-09-0914</v>
      </c>
      <c r="K4649" s="115">
        <f>IFERROR(__xludf.DUMMYFUNCTION("""COMPUTED_VALUE"""),299609.0)</f>
        <v>299609</v>
      </c>
    </row>
    <row r="4650">
      <c r="A4650" s="115" t="str">
        <f>IFERROR(__xludf.DUMMYFUNCTION("""COMPUTED_VALUE"""),"WEST")</f>
        <v>WEST</v>
      </c>
      <c r="B4650" s="115" t="str">
        <f>IFERROR(__xludf.DUMMYFUNCTION("""COMPUTED_VALUE"""),"Ashvani Bhatt")</f>
        <v>Ashvani Bhatt</v>
      </c>
      <c r="C4650" s="115" t="str">
        <f>IFERROR(__xludf.DUMMYFUNCTION("""COMPUTED_VALUE"""),"MYNTRA")</f>
        <v>MYNTRA</v>
      </c>
      <c r="D4650" s="115">
        <f>IFERROR(__xludf.DUMMYFUNCTION("""COMPUTED_VALUE"""),36912.0)</f>
        <v>36912</v>
      </c>
      <c r="E4650" s="115">
        <f>IFERROR(__xludf.DUMMYFUNCTION("""COMPUTED_VALUE"""),9270.0)</f>
        <v>9270</v>
      </c>
      <c r="F4650" s="115">
        <f>IFERROR(__xludf.DUMMYFUNCTION("""COMPUTED_VALUE"""),21526.0)</f>
        <v>21526</v>
      </c>
      <c r="G4650" s="115">
        <f>IFERROR(__xludf.DUMMYFUNCTION("""COMPUTED_VALUE"""),2342.0)</f>
        <v>2342</v>
      </c>
      <c r="H4650" s="116">
        <f>IFERROR(__xludf.DUMMYFUNCTION("""COMPUTED_VALUE"""),45909.0)</f>
        <v>45909</v>
      </c>
      <c r="I4650" s="115" t="str">
        <f>IFERROR(__xludf.DUMMYFUNCTION("""COMPUTED_VALUE"""),"14")</f>
        <v>14</v>
      </c>
      <c r="J4650" s="115" t="str">
        <f>IFERROR(__xludf.DUMMYFUNCTION("""COMPUTED_VALUE"""),"Ashvani Bhatt2025-09-0914")</f>
        <v>Ashvani Bhatt2025-09-0914</v>
      </c>
      <c r="K4650" s="115">
        <f>IFERROR(__xludf.DUMMYFUNCTION("""COMPUTED_VALUE"""),46182.0)</f>
        <v>46182</v>
      </c>
    </row>
    <row r="4651">
      <c r="A4651" s="115"/>
      <c r="B4651" s="115"/>
      <c r="C4651" s="115" t="str">
        <f>IFERROR(__xludf.DUMMYFUNCTION("""COMPUTED_VALUE"""),"EXTERNAL")</f>
        <v>EXTERNAL</v>
      </c>
      <c r="D4651" s="115">
        <f>IFERROR(__xludf.DUMMYFUNCTION("""COMPUTED_VALUE"""),440.0)</f>
        <v>440</v>
      </c>
      <c r="E4651" s="115">
        <f>IFERROR(__xludf.DUMMYFUNCTION("""COMPUTED_VALUE"""),77.0)</f>
        <v>77</v>
      </c>
      <c r="F4651" s="115">
        <f>IFERROR(__xludf.DUMMYFUNCTION("""COMPUTED_VALUE"""),118.0)</f>
        <v>118</v>
      </c>
      <c r="G4651" s="115">
        <f>IFERROR(__xludf.DUMMYFUNCTION("""COMPUTED_VALUE"""),26.0)</f>
        <v>26</v>
      </c>
      <c r="H4651" s="116">
        <f>IFERROR(__xludf.DUMMYFUNCTION("""COMPUTED_VALUE"""),45909.0)</f>
        <v>45909</v>
      </c>
      <c r="I4651" s="115" t="str">
        <f>IFERROR(__xludf.DUMMYFUNCTION("""COMPUTED_VALUE"""),"14")</f>
        <v>14</v>
      </c>
      <c r="J4651" s="115" t="str">
        <f>IFERROR(__xludf.DUMMYFUNCTION("""COMPUTED_VALUE"""),"2025-09-0914")</f>
        <v>2025-09-0914</v>
      </c>
      <c r="K4651" s="115">
        <f>IFERROR(__xludf.DUMMYFUNCTION("""COMPUTED_VALUE"""),517.0)</f>
        <v>517</v>
      </c>
    </row>
    <row r="4652">
      <c r="A4652" s="115"/>
      <c r="B4652" s="115"/>
      <c r="C4652" s="115" t="str">
        <f>IFERROR(__xludf.DUMMYFUNCTION("""COMPUTED_VALUE"""),"FLIPKART")</f>
        <v>FLIPKART</v>
      </c>
      <c r="D4652" s="115">
        <f>IFERROR(__xludf.DUMMYFUNCTION("""COMPUTED_VALUE"""),5166.0)</f>
        <v>5166</v>
      </c>
      <c r="E4652" s="115">
        <f>IFERROR(__xludf.DUMMYFUNCTION("""COMPUTED_VALUE"""),481.0)</f>
        <v>481</v>
      </c>
      <c r="F4652" s="115">
        <f>IFERROR(__xludf.DUMMYFUNCTION("""COMPUTED_VALUE"""),1605.0)</f>
        <v>1605</v>
      </c>
      <c r="G4652" s="115">
        <f>IFERROR(__xludf.DUMMYFUNCTION("""COMPUTED_VALUE"""),157.0)</f>
        <v>157</v>
      </c>
      <c r="H4652" s="116">
        <f>IFERROR(__xludf.DUMMYFUNCTION("""COMPUTED_VALUE"""),45909.0)</f>
        <v>45909</v>
      </c>
      <c r="I4652" s="115" t="str">
        <f>IFERROR(__xludf.DUMMYFUNCTION("""COMPUTED_VALUE"""),"14")</f>
        <v>14</v>
      </c>
      <c r="J4652" s="115" t="str">
        <f>IFERROR(__xludf.DUMMYFUNCTION("""COMPUTED_VALUE"""),"2025-09-0914")</f>
        <v>2025-09-0914</v>
      </c>
      <c r="K4652" s="115">
        <f>IFERROR(__xludf.DUMMYFUNCTION("""COMPUTED_VALUE"""),5647.0)</f>
        <v>5647</v>
      </c>
    </row>
    <row r="4653">
      <c r="A4653" s="115"/>
      <c r="B4653" s="115"/>
      <c r="C4653" s="115" t="str">
        <f>IFERROR(__xludf.DUMMYFUNCTION("""COMPUTED_VALUE"""),"MYNTRA")</f>
        <v>MYNTRA</v>
      </c>
      <c r="D4653" s="115">
        <f>IFERROR(__xludf.DUMMYFUNCTION("""COMPUTED_VALUE"""),559.0)</f>
        <v>559</v>
      </c>
      <c r="E4653" s="115">
        <f>IFERROR(__xludf.DUMMYFUNCTION("""COMPUTED_VALUE"""),159.0)</f>
        <v>159</v>
      </c>
      <c r="F4653" s="115">
        <f>IFERROR(__xludf.DUMMYFUNCTION("""COMPUTED_VALUE"""),259.0)</f>
        <v>259</v>
      </c>
      <c r="G4653" s="115">
        <f>IFERROR(__xludf.DUMMYFUNCTION("""COMPUTED_VALUE"""),46.0)</f>
        <v>46</v>
      </c>
      <c r="H4653" s="116">
        <f>IFERROR(__xludf.DUMMYFUNCTION("""COMPUTED_VALUE"""),45909.0)</f>
        <v>45909</v>
      </c>
      <c r="I4653" s="115" t="str">
        <f>IFERROR(__xludf.DUMMYFUNCTION("""COMPUTED_VALUE"""),"14")</f>
        <v>14</v>
      </c>
      <c r="J4653" s="115" t="str">
        <f>IFERROR(__xludf.DUMMYFUNCTION("""COMPUTED_VALUE"""),"2025-09-0914")</f>
        <v>2025-09-0914</v>
      </c>
      <c r="K4653" s="115">
        <f>IFERROR(__xludf.DUMMYFUNCTION("""COMPUTED_VALUE"""),718.0)</f>
        <v>718</v>
      </c>
    </row>
    <row r="4654">
      <c r="A4654" s="115" t="str">
        <f>IFERROR(__xludf.DUMMYFUNCTION("""COMPUTED_VALUE"""),"EAST")</f>
        <v>EAST</v>
      </c>
      <c r="B4654" s="115" t="str">
        <f>IFERROR(__xludf.DUMMYFUNCTION("""COMPUTED_VALUE"""),"Ashish Ranjan")</f>
        <v>Ashish Ranjan</v>
      </c>
      <c r="C4654" s="115" t="str">
        <f>IFERROR(__xludf.DUMMYFUNCTION("""COMPUTED_VALUE"""),"EXTERNAL")</f>
        <v>EXTERNAL</v>
      </c>
      <c r="D4654" s="115">
        <f>IFERROR(__xludf.DUMMYFUNCTION("""COMPUTED_VALUE"""),39443.0)</f>
        <v>39443</v>
      </c>
      <c r="E4654" s="115">
        <f>IFERROR(__xludf.DUMMYFUNCTION("""COMPUTED_VALUE"""),4034.0)</f>
        <v>4034</v>
      </c>
      <c r="F4654" s="115">
        <f>IFERROR(__xludf.DUMMYFUNCTION("""COMPUTED_VALUE"""),15804.0)</f>
        <v>15804</v>
      </c>
      <c r="G4654" s="115">
        <f>IFERROR(__xludf.DUMMYFUNCTION("""COMPUTED_VALUE"""),1011.0)</f>
        <v>1011</v>
      </c>
      <c r="H4654" s="116">
        <f>IFERROR(__xludf.DUMMYFUNCTION("""COMPUTED_VALUE"""),45909.0)</f>
        <v>45909</v>
      </c>
      <c r="I4654" s="115" t="str">
        <f>IFERROR(__xludf.DUMMYFUNCTION("""COMPUTED_VALUE"""),"15")</f>
        <v>15</v>
      </c>
      <c r="J4654" s="115" t="str">
        <f>IFERROR(__xludf.DUMMYFUNCTION("""COMPUTED_VALUE"""),"Ashish Ranjan2025-09-0915")</f>
        <v>Ashish Ranjan2025-09-0915</v>
      </c>
      <c r="K4654" s="115">
        <f>IFERROR(__xludf.DUMMYFUNCTION("""COMPUTED_VALUE"""),43477.0)</f>
        <v>43477</v>
      </c>
    </row>
    <row r="4655">
      <c r="A4655" s="115" t="str">
        <f>IFERROR(__xludf.DUMMYFUNCTION("""COMPUTED_VALUE"""),"EAST")</f>
        <v>EAST</v>
      </c>
      <c r="B4655" s="115" t="str">
        <f>IFERROR(__xludf.DUMMYFUNCTION("""COMPUTED_VALUE"""),"Ashish Ranjan")</f>
        <v>Ashish Ranjan</v>
      </c>
      <c r="C4655" s="115" t="str">
        <f>IFERROR(__xludf.DUMMYFUNCTION("""COMPUTED_VALUE"""),"FLIPKART")</f>
        <v>FLIPKART</v>
      </c>
      <c r="D4655" s="115">
        <f>IFERROR(__xludf.DUMMYFUNCTION("""COMPUTED_VALUE"""),616443.0)</f>
        <v>616443</v>
      </c>
      <c r="E4655" s="115">
        <f>IFERROR(__xludf.DUMMYFUNCTION("""COMPUTED_VALUE"""),68268.0)</f>
        <v>68268</v>
      </c>
      <c r="F4655" s="115">
        <f>IFERROR(__xludf.DUMMYFUNCTION("""COMPUTED_VALUE"""),415818.0)</f>
        <v>415818</v>
      </c>
      <c r="G4655" s="115">
        <f>IFERROR(__xludf.DUMMYFUNCTION("""COMPUTED_VALUE"""),25556.0)</f>
        <v>25556</v>
      </c>
      <c r="H4655" s="116">
        <f>IFERROR(__xludf.DUMMYFUNCTION("""COMPUTED_VALUE"""),45909.0)</f>
        <v>45909</v>
      </c>
      <c r="I4655" s="115" t="str">
        <f>IFERROR(__xludf.DUMMYFUNCTION("""COMPUTED_VALUE"""),"15")</f>
        <v>15</v>
      </c>
      <c r="J4655" s="115" t="str">
        <f>IFERROR(__xludf.DUMMYFUNCTION("""COMPUTED_VALUE"""),"Ashish Ranjan2025-09-0915")</f>
        <v>Ashish Ranjan2025-09-0915</v>
      </c>
      <c r="K4655" s="115">
        <f>IFERROR(__xludf.DUMMYFUNCTION("""COMPUTED_VALUE"""),684711.0)</f>
        <v>684711</v>
      </c>
    </row>
    <row r="4656">
      <c r="A4656" s="115" t="str">
        <f>IFERROR(__xludf.DUMMYFUNCTION("""COMPUTED_VALUE"""),"EAST")</f>
        <v>EAST</v>
      </c>
      <c r="B4656" s="115" t="str">
        <f>IFERROR(__xludf.DUMMYFUNCTION("""COMPUTED_VALUE"""),"Ashish Ranjan")</f>
        <v>Ashish Ranjan</v>
      </c>
      <c r="C4656" s="115" t="str">
        <f>IFERROR(__xludf.DUMMYFUNCTION("""COMPUTED_VALUE"""),"MYNTRA")</f>
        <v>MYNTRA</v>
      </c>
      <c r="D4656" s="115">
        <f>IFERROR(__xludf.DUMMYFUNCTION("""COMPUTED_VALUE"""),71488.0)</f>
        <v>71488</v>
      </c>
      <c r="E4656" s="115">
        <f>IFERROR(__xludf.DUMMYFUNCTION("""COMPUTED_VALUE"""),16086.0)</f>
        <v>16086</v>
      </c>
      <c r="F4656" s="115">
        <f>IFERROR(__xludf.DUMMYFUNCTION("""COMPUTED_VALUE"""),48199.0)</f>
        <v>48199</v>
      </c>
      <c r="G4656" s="115">
        <f>IFERROR(__xludf.DUMMYFUNCTION("""COMPUTED_VALUE"""),5933.0)</f>
        <v>5933</v>
      </c>
      <c r="H4656" s="116">
        <f>IFERROR(__xludf.DUMMYFUNCTION("""COMPUTED_VALUE"""),45909.0)</f>
        <v>45909</v>
      </c>
      <c r="I4656" s="115" t="str">
        <f>IFERROR(__xludf.DUMMYFUNCTION("""COMPUTED_VALUE"""),"15")</f>
        <v>15</v>
      </c>
      <c r="J4656" s="115" t="str">
        <f>IFERROR(__xludf.DUMMYFUNCTION("""COMPUTED_VALUE"""),"Ashish Ranjan2025-09-0915")</f>
        <v>Ashish Ranjan2025-09-0915</v>
      </c>
      <c r="K4656" s="115">
        <f>IFERROR(__xludf.DUMMYFUNCTION("""COMPUTED_VALUE"""),87574.0)</f>
        <v>87574</v>
      </c>
    </row>
    <row r="4657">
      <c r="A4657" s="115" t="str">
        <f>IFERROR(__xludf.DUMMYFUNCTION("""COMPUTED_VALUE"""),"EAST")</f>
        <v>EAST</v>
      </c>
      <c r="B4657" s="115" t="str">
        <f>IFERROR(__xludf.DUMMYFUNCTION("""COMPUTED_VALUE"""),"Girish Chand")</f>
        <v>Girish Chand</v>
      </c>
      <c r="C4657" s="115" t="str">
        <f>IFERROR(__xludf.DUMMYFUNCTION("""COMPUTED_VALUE"""),"EXTERNAL")</f>
        <v>EXTERNAL</v>
      </c>
      <c r="D4657" s="115">
        <f>IFERROR(__xludf.DUMMYFUNCTION("""COMPUTED_VALUE"""),24096.0)</f>
        <v>24096</v>
      </c>
      <c r="E4657" s="115">
        <f>IFERROR(__xludf.DUMMYFUNCTION("""COMPUTED_VALUE"""),2552.0)</f>
        <v>2552</v>
      </c>
      <c r="F4657" s="115">
        <f>IFERROR(__xludf.DUMMYFUNCTION("""COMPUTED_VALUE"""),7957.0)</f>
        <v>7957</v>
      </c>
      <c r="G4657" s="115">
        <f>IFERROR(__xludf.DUMMYFUNCTION("""COMPUTED_VALUE"""),274.0)</f>
        <v>274</v>
      </c>
      <c r="H4657" s="116">
        <f>IFERROR(__xludf.DUMMYFUNCTION("""COMPUTED_VALUE"""),45909.0)</f>
        <v>45909</v>
      </c>
      <c r="I4657" s="115" t="str">
        <f>IFERROR(__xludf.DUMMYFUNCTION("""COMPUTED_VALUE"""),"15")</f>
        <v>15</v>
      </c>
      <c r="J4657" s="115" t="str">
        <f>IFERROR(__xludf.DUMMYFUNCTION("""COMPUTED_VALUE"""),"Girish Chand2025-09-0915")</f>
        <v>Girish Chand2025-09-0915</v>
      </c>
      <c r="K4657" s="115">
        <f>IFERROR(__xludf.DUMMYFUNCTION("""COMPUTED_VALUE"""),26648.0)</f>
        <v>26648</v>
      </c>
    </row>
    <row r="4658">
      <c r="A4658" s="115" t="str">
        <f>IFERROR(__xludf.DUMMYFUNCTION("""COMPUTED_VALUE"""),"EAST")</f>
        <v>EAST</v>
      </c>
      <c r="B4658" s="115" t="str">
        <f>IFERROR(__xludf.DUMMYFUNCTION("""COMPUTED_VALUE"""),"Girish Chand")</f>
        <v>Girish Chand</v>
      </c>
      <c r="C4658" s="115" t="str">
        <f>IFERROR(__xludf.DUMMYFUNCTION("""COMPUTED_VALUE"""),"FLIPKART")</f>
        <v>FLIPKART</v>
      </c>
      <c r="D4658" s="115">
        <f>IFERROR(__xludf.DUMMYFUNCTION("""COMPUTED_VALUE"""),392084.0)</f>
        <v>392084</v>
      </c>
      <c r="E4658" s="115">
        <f>IFERROR(__xludf.DUMMYFUNCTION("""COMPUTED_VALUE"""),38897.0)</f>
        <v>38897</v>
      </c>
      <c r="F4658" s="115">
        <f>IFERROR(__xludf.DUMMYFUNCTION("""COMPUTED_VALUE"""),220260.0)</f>
        <v>220260</v>
      </c>
      <c r="G4658" s="115">
        <f>IFERROR(__xludf.DUMMYFUNCTION("""COMPUTED_VALUE"""),9712.0)</f>
        <v>9712</v>
      </c>
      <c r="H4658" s="116">
        <f>IFERROR(__xludf.DUMMYFUNCTION("""COMPUTED_VALUE"""),45909.0)</f>
        <v>45909</v>
      </c>
      <c r="I4658" s="115" t="str">
        <f>IFERROR(__xludf.DUMMYFUNCTION("""COMPUTED_VALUE"""),"15")</f>
        <v>15</v>
      </c>
      <c r="J4658" s="115" t="str">
        <f>IFERROR(__xludf.DUMMYFUNCTION("""COMPUTED_VALUE"""),"Girish Chand2025-09-0915")</f>
        <v>Girish Chand2025-09-0915</v>
      </c>
      <c r="K4658" s="115">
        <f>IFERROR(__xludf.DUMMYFUNCTION("""COMPUTED_VALUE"""),430981.0)</f>
        <v>430981</v>
      </c>
    </row>
    <row r="4659">
      <c r="A4659" s="115" t="str">
        <f>IFERROR(__xludf.DUMMYFUNCTION("""COMPUTED_VALUE"""),"EAST")</f>
        <v>EAST</v>
      </c>
      <c r="B4659" s="115" t="str">
        <f>IFERROR(__xludf.DUMMYFUNCTION("""COMPUTED_VALUE"""),"Girish Chand")</f>
        <v>Girish Chand</v>
      </c>
      <c r="C4659" s="115" t="str">
        <f>IFERROR(__xludf.DUMMYFUNCTION("""COMPUTED_VALUE"""),"MYNTRA")</f>
        <v>MYNTRA</v>
      </c>
      <c r="D4659" s="115">
        <f>IFERROR(__xludf.DUMMYFUNCTION("""COMPUTED_VALUE"""),39504.0)</f>
        <v>39504</v>
      </c>
      <c r="E4659" s="115">
        <f>IFERROR(__xludf.DUMMYFUNCTION("""COMPUTED_VALUE"""),7511.0)</f>
        <v>7511</v>
      </c>
      <c r="F4659" s="115">
        <f>IFERROR(__xludf.DUMMYFUNCTION("""COMPUTED_VALUE"""),24351.0)</f>
        <v>24351</v>
      </c>
      <c r="G4659" s="115">
        <f>IFERROR(__xludf.DUMMYFUNCTION("""COMPUTED_VALUE"""),2269.0)</f>
        <v>2269</v>
      </c>
      <c r="H4659" s="116">
        <f>IFERROR(__xludf.DUMMYFUNCTION("""COMPUTED_VALUE"""),45909.0)</f>
        <v>45909</v>
      </c>
      <c r="I4659" s="115" t="str">
        <f>IFERROR(__xludf.DUMMYFUNCTION("""COMPUTED_VALUE"""),"15")</f>
        <v>15</v>
      </c>
      <c r="J4659" s="115" t="str">
        <f>IFERROR(__xludf.DUMMYFUNCTION("""COMPUTED_VALUE"""),"Girish Chand2025-09-0915")</f>
        <v>Girish Chand2025-09-0915</v>
      </c>
      <c r="K4659" s="115">
        <f>IFERROR(__xludf.DUMMYFUNCTION("""COMPUTED_VALUE"""),47015.0)</f>
        <v>47015</v>
      </c>
    </row>
    <row r="4660">
      <c r="A4660" s="115" t="str">
        <f>IFERROR(__xludf.DUMMYFUNCTION("""COMPUTED_VALUE"""),"EAST")</f>
        <v>EAST</v>
      </c>
      <c r="B4660" s="115" t="str">
        <f>IFERROR(__xludf.DUMMYFUNCTION("""COMPUTED_VALUE"""),"Parag Kashyap")</f>
        <v>Parag Kashyap</v>
      </c>
      <c r="C4660" s="115" t="str">
        <f>IFERROR(__xludf.DUMMYFUNCTION("""COMPUTED_VALUE"""),"EXTERNAL")</f>
        <v>EXTERNAL</v>
      </c>
      <c r="D4660" s="115">
        <f>IFERROR(__xludf.DUMMYFUNCTION("""COMPUTED_VALUE"""),17801.0)</f>
        <v>17801</v>
      </c>
      <c r="E4660" s="115">
        <f>IFERROR(__xludf.DUMMYFUNCTION("""COMPUTED_VALUE"""),1318.0)</f>
        <v>1318</v>
      </c>
      <c r="F4660" s="115">
        <f>IFERROR(__xludf.DUMMYFUNCTION("""COMPUTED_VALUE"""),5051.0)</f>
        <v>5051</v>
      </c>
      <c r="G4660" s="115">
        <f>IFERROR(__xludf.DUMMYFUNCTION("""COMPUTED_VALUE"""),108.0)</f>
        <v>108</v>
      </c>
      <c r="H4660" s="116">
        <f>IFERROR(__xludf.DUMMYFUNCTION("""COMPUTED_VALUE"""),45909.0)</f>
        <v>45909</v>
      </c>
      <c r="I4660" s="115" t="str">
        <f>IFERROR(__xludf.DUMMYFUNCTION("""COMPUTED_VALUE"""),"15")</f>
        <v>15</v>
      </c>
      <c r="J4660" s="115" t="str">
        <f>IFERROR(__xludf.DUMMYFUNCTION("""COMPUTED_VALUE"""),"Parag Kashyap2025-09-0915")</f>
        <v>Parag Kashyap2025-09-0915</v>
      </c>
      <c r="K4660" s="115">
        <f>IFERROR(__xludf.DUMMYFUNCTION("""COMPUTED_VALUE"""),19119.0)</f>
        <v>19119</v>
      </c>
    </row>
    <row r="4661">
      <c r="A4661" s="115" t="str">
        <f>IFERROR(__xludf.DUMMYFUNCTION("""COMPUTED_VALUE"""),"EAST")</f>
        <v>EAST</v>
      </c>
      <c r="B4661" s="115" t="str">
        <f>IFERROR(__xludf.DUMMYFUNCTION("""COMPUTED_VALUE"""),"Parag Kashyap")</f>
        <v>Parag Kashyap</v>
      </c>
      <c r="C4661" s="115" t="str">
        <f>IFERROR(__xludf.DUMMYFUNCTION("""COMPUTED_VALUE"""),"FLIPKART")</f>
        <v>FLIPKART</v>
      </c>
      <c r="D4661" s="115">
        <f>IFERROR(__xludf.DUMMYFUNCTION("""COMPUTED_VALUE"""),310076.0)</f>
        <v>310076</v>
      </c>
      <c r="E4661" s="115">
        <f>IFERROR(__xludf.DUMMYFUNCTION("""COMPUTED_VALUE"""),20108.0)</f>
        <v>20108</v>
      </c>
      <c r="F4661" s="115">
        <f>IFERROR(__xludf.DUMMYFUNCTION("""COMPUTED_VALUE"""),156626.0)</f>
        <v>156626</v>
      </c>
      <c r="G4661" s="115">
        <f>IFERROR(__xludf.DUMMYFUNCTION("""COMPUTED_VALUE"""),3068.0)</f>
        <v>3068</v>
      </c>
      <c r="H4661" s="116">
        <f>IFERROR(__xludf.DUMMYFUNCTION("""COMPUTED_VALUE"""),45909.0)</f>
        <v>45909</v>
      </c>
      <c r="I4661" s="115" t="str">
        <f>IFERROR(__xludf.DUMMYFUNCTION("""COMPUTED_VALUE"""),"15")</f>
        <v>15</v>
      </c>
      <c r="J4661" s="115" t="str">
        <f>IFERROR(__xludf.DUMMYFUNCTION("""COMPUTED_VALUE"""),"Parag Kashyap2025-09-0915")</f>
        <v>Parag Kashyap2025-09-0915</v>
      </c>
      <c r="K4661" s="115">
        <f>IFERROR(__xludf.DUMMYFUNCTION("""COMPUTED_VALUE"""),330184.0)</f>
        <v>330184</v>
      </c>
    </row>
    <row r="4662">
      <c r="A4662" s="115" t="str">
        <f>IFERROR(__xludf.DUMMYFUNCTION("""COMPUTED_VALUE"""),"EAST")</f>
        <v>EAST</v>
      </c>
      <c r="B4662" s="115" t="str">
        <f>IFERROR(__xludf.DUMMYFUNCTION("""COMPUTED_VALUE"""),"Parag Kashyap")</f>
        <v>Parag Kashyap</v>
      </c>
      <c r="C4662" s="115" t="str">
        <f>IFERROR(__xludf.DUMMYFUNCTION("""COMPUTED_VALUE"""),"MYNTRA")</f>
        <v>MYNTRA</v>
      </c>
      <c r="D4662" s="115">
        <f>IFERROR(__xludf.DUMMYFUNCTION("""COMPUTED_VALUE"""),40044.0)</f>
        <v>40044</v>
      </c>
      <c r="E4662" s="115">
        <f>IFERROR(__xludf.DUMMYFUNCTION("""COMPUTED_VALUE"""),6174.0)</f>
        <v>6174</v>
      </c>
      <c r="F4662" s="115">
        <f>IFERROR(__xludf.DUMMYFUNCTION("""COMPUTED_VALUE"""),21599.0)</f>
        <v>21599</v>
      </c>
      <c r="G4662" s="115">
        <f>IFERROR(__xludf.DUMMYFUNCTION("""COMPUTED_VALUE"""),1030.0)</f>
        <v>1030</v>
      </c>
      <c r="H4662" s="116">
        <f>IFERROR(__xludf.DUMMYFUNCTION("""COMPUTED_VALUE"""),45909.0)</f>
        <v>45909</v>
      </c>
      <c r="I4662" s="115" t="str">
        <f>IFERROR(__xludf.DUMMYFUNCTION("""COMPUTED_VALUE"""),"15")</f>
        <v>15</v>
      </c>
      <c r="J4662" s="115" t="str">
        <f>IFERROR(__xludf.DUMMYFUNCTION("""COMPUTED_VALUE"""),"Parag Kashyap2025-09-0915")</f>
        <v>Parag Kashyap2025-09-0915</v>
      </c>
      <c r="K4662" s="115">
        <f>IFERROR(__xludf.DUMMYFUNCTION("""COMPUTED_VALUE"""),46218.0)</f>
        <v>46218</v>
      </c>
    </row>
    <row r="4663">
      <c r="A4663" s="115" t="str">
        <f>IFERROR(__xludf.DUMMYFUNCTION("""COMPUTED_VALUE"""),"NORTH")</f>
        <v>NORTH</v>
      </c>
      <c r="B4663" s="115" t="str">
        <f>IFERROR(__xludf.DUMMYFUNCTION("""COMPUTED_VALUE"""),"Amit Kumar Pathak")</f>
        <v>Amit Kumar Pathak</v>
      </c>
      <c r="C4663" s="115" t="str">
        <f>IFERROR(__xludf.DUMMYFUNCTION("""COMPUTED_VALUE"""),"EXTERNAL")</f>
        <v>EXTERNAL</v>
      </c>
      <c r="D4663" s="115">
        <f>IFERROR(__xludf.DUMMYFUNCTION("""COMPUTED_VALUE"""),26427.0)</f>
        <v>26427</v>
      </c>
      <c r="E4663" s="115">
        <f>IFERROR(__xludf.DUMMYFUNCTION("""COMPUTED_VALUE"""),3915.0)</f>
        <v>3915</v>
      </c>
      <c r="F4663" s="115">
        <f>IFERROR(__xludf.DUMMYFUNCTION("""COMPUTED_VALUE"""),6911.0)</f>
        <v>6911</v>
      </c>
      <c r="G4663" s="115">
        <f>IFERROR(__xludf.DUMMYFUNCTION("""COMPUTED_VALUE"""),1098.0)</f>
        <v>1098</v>
      </c>
      <c r="H4663" s="116">
        <f>IFERROR(__xludf.DUMMYFUNCTION("""COMPUTED_VALUE"""),45909.0)</f>
        <v>45909</v>
      </c>
      <c r="I4663" s="115" t="str">
        <f>IFERROR(__xludf.DUMMYFUNCTION("""COMPUTED_VALUE"""),"15")</f>
        <v>15</v>
      </c>
      <c r="J4663" s="115" t="str">
        <f>IFERROR(__xludf.DUMMYFUNCTION("""COMPUTED_VALUE"""),"Amit Kumar Pathak2025-09-0915")</f>
        <v>Amit Kumar Pathak2025-09-0915</v>
      </c>
      <c r="K4663" s="115">
        <f>IFERROR(__xludf.DUMMYFUNCTION("""COMPUTED_VALUE"""),30342.0)</f>
        <v>30342</v>
      </c>
    </row>
    <row r="4664">
      <c r="A4664" s="115" t="str">
        <f>IFERROR(__xludf.DUMMYFUNCTION("""COMPUTED_VALUE"""),"NORTH")</f>
        <v>NORTH</v>
      </c>
      <c r="B4664" s="115" t="str">
        <f>IFERROR(__xludf.DUMMYFUNCTION("""COMPUTED_VALUE"""),"Amit Kumar Pathak")</f>
        <v>Amit Kumar Pathak</v>
      </c>
      <c r="C4664" s="115" t="str">
        <f>IFERROR(__xludf.DUMMYFUNCTION("""COMPUTED_VALUE"""),"FLIPKART")</f>
        <v>FLIPKART</v>
      </c>
      <c r="D4664" s="115">
        <f>IFERROR(__xludf.DUMMYFUNCTION("""COMPUTED_VALUE"""),157901.0)</f>
        <v>157901</v>
      </c>
      <c r="E4664" s="115">
        <f>IFERROR(__xludf.DUMMYFUNCTION("""COMPUTED_VALUE"""),23431.0)</f>
        <v>23431</v>
      </c>
      <c r="F4664" s="115">
        <f>IFERROR(__xludf.DUMMYFUNCTION("""COMPUTED_VALUE"""),78295.0)</f>
        <v>78295</v>
      </c>
      <c r="G4664" s="115">
        <f>IFERROR(__xludf.DUMMYFUNCTION("""COMPUTED_VALUE"""),8654.0)</f>
        <v>8654</v>
      </c>
      <c r="H4664" s="116">
        <f>IFERROR(__xludf.DUMMYFUNCTION("""COMPUTED_VALUE"""),45909.0)</f>
        <v>45909</v>
      </c>
      <c r="I4664" s="115" t="str">
        <f>IFERROR(__xludf.DUMMYFUNCTION("""COMPUTED_VALUE"""),"15")</f>
        <v>15</v>
      </c>
      <c r="J4664" s="115" t="str">
        <f>IFERROR(__xludf.DUMMYFUNCTION("""COMPUTED_VALUE"""),"Amit Kumar Pathak2025-09-0915")</f>
        <v>Amit Kumar Pathak2025-09-0915</v>
      </c>
      <c r="K4664" s="115">
        <f>IFERROR(__xludf.DUMMYFUNCTION("""COMPUTED_VALUE"""),181332.0)</f>
        <v>181332</v>
      </c>
    </row>
    <row r="4665">
      <c r="A4665" s="115" t="str">
        <f>IFERROR(__xludf.DUMMYFUNCTION("""COMPUTED_VALUE"""),"NORTH")</f>
        <v>NORTH</v>
      </c>
      <c r="B4665" s="115" t="str">
        <f>IFERROR(__xludf.DUMMYFUNCTION("""COMPUTED_VALUE"""),"Amit Kumar Pathak")</f>
        <v>Amit Kumar Pathak</v>
      </c>
      <c r="C4665" s="115" t="str">
        <f>IFERROR(__xludf.DUMMYFUNCTION("""COMPUTED_VALUE"""),"MYNTRA")</f>
        <v>MYNTRA</v>
      </c>
      <c r="D4665" s="115">
        <f>IFERROR(__xludf.DUMMYFUNCTION("""COMPUTED_VALUE"""),15252.0)</f>
        <v>15252</v>
      </c>
      <c r="E4665" s="115">
        <f>IFERROR(__xludf.DUMMYFUNCTION("""COMPUTED_VALUE"""),5700.0)</f>
        <v>5700</v>
      </c>
      <c r="F4665" s="115">
        <f>IFERROR(__xludf.DUMMYFUNCTION("""COMPUTED_VALUE"""),8907.0)</f>
        <v>8907</v>
      </c>
      <c r="G4665" s="115">
        <f>IFERROR(__xludf.DUMMYFUNCTION("""COMPUTED_VALUE"""),2457.0)</f>
        <v>2457</v>
      </c>
      <c r="H4665" s="116">
        <f>IFERROR(__xludf.DUMMYFUNCTION("""COMPUTED_VALUE"""),45909.0)</f>
        <v>45909</v>
      </c>
      <c r="I4665" s="115" t="str">
        <f>IFERROR(__xludf.DUMMYFUNCTION("""COMPUTED_VALUE"""),"15")</f>
        <v>15</v>
      </c>
      <c r="J4665" s="115" t="str">
        <f>IFERROR(__xludf.DUMMYFUNCTION("""COMPUTED_VALUE"""),"Amit Kumar Pathak2025-09-0915")</f>
        <v>Amit Kumar Pathak2025-09-0915</v>
      </c>
      <c r="K4665" s="115">
        <f>IFERROR(__xludf.DUMMYFUNCTION("""COMPUTED_VALUE"""),20952.0)</f>
        <v>20952</v>
      </c>
    </row>
    <row r="4666">
      <c r="A4666" s="115" t="str">
        <f>IFERROR(__xludf.DUMMYFUNCTION("""COMPUTED_VALUE"""),"NORTH")</f>
        <v>NORTH</v>
      </c>
      <c r="B4666" s="115" t="str">
        <f>IFERROR(__xludf.DUMMYFUNCTION("""COMPUTED_VALUE"""),"Loveleen Singh")</f>
        <v>Loveleen Singh</v>
      </c>
      <c r="C4666" s="115" t="str">
        <f>IFERROR(__xludf.DUMMYFUNCTION("""COMPUTED_VALUE"""),"EXTERNAL")</f>
        <v>EXTERNAL</v>
      </c>
      <c r="D4666" s="115">
        <f>IFERROR(__xludf.DUMMYFUNCTION("""COMPUTED_VALUE"""),34110.0)</f>
        <v>34110</v>
      </c>
      <c r="E4666" s="115">
        <f>IFERROR(__xludf.DUMMYFUNCTION("""COMPUTED_VALUE"""),3082.0)</f>
        <v>3082</v>
      </c>
      <c r="F4666" s="115">
        <f>IFERROR(__xludf.DUMMYFUNCTION("""COMPUTED_VALUE"""),9624.0)</f>
        <v>9624</v>
      </c>
      <c r="G4666" s="115">
        <f>IFERROR(__xludf.DUMMYFUNCTION("""COMPUTED_VALUE"""),316.0)</f>
        <v>316</v>
      </c>
      <c r="H4666" s="116">
        <f>IFERROR(__xludf.DUMMYFUNCTION("""COMPUTED_VALUE"""),45909.0)</f>
        <v>45909</v>
      </c>
      <c r="I4666" s="115" t="str">
        <f>IFERROR(__xludf.DUMMYFUNCTION("""COMPUTED_VALUE"""),"15")</f>
        <v>15</v>
      </c>
      <c r="J4666" s="115" t="str">
        <f>IFERROR(__xludf.DUMMYFUNCTION("""COMPUTED_VALUE"""),"Loveleen Singh2025-09-0915")</f>
        <v>Loveleen Singh2025-09-0915</v>
      </c>
      <c r="K4666" s="115">
        <f>IFERROR(__xludf.DUMMYFUNCTION("""COMPUTED_VALUE"""),37192.0)</f>
        <v>37192</v>
      </c>
    </row>
    <row r="4667">
      <c r="A4667" s="115" t="str">
        <f>IFERROR(__xludf.DUMMYFUNCTION("""COMPUTED_VALUE"""),"NORTH")</f>
        <v>NORTH</v>
      </c>
      <c r="B4667" s="115" t="str">
        <f>IFERROR(__xludf.DUMMYFUNCTION("""COMPUTED_VALUE"""),"Loveleen Singh")</f>
        <v>Loveleen Singh</v>
      </c>
      <c r="C4667" s="115" t="str">
        <f>IFERROR(__xludf.DUMMYFUNCTION("""COMPUTED_VALUE"""),"FLIPKART")</f>
        <v>FLIPKART</v>
      </c>
      <c r="D4667" s="115">
        <f>IFERROR(__xludf.DUMMYFUNCTION("""COMPUTED_VALUE"""),177401.0)</f>
        <v>177401</v>
      </c>
      <c r="E4667" s="115">
        <f>IFERROR(__xludf.DUMMYFUNCTION("""COMPUTED_VALUE"""),14990.0)</f>
        <v>14990</v>
      </c>
      <c r="F4667" s="115">
        <f>IFERROR(__xludf.DUMMYFUNCTION("""COMPUTED_VALUE"""),94035.0)</f>
        <v>94035</v>
      </c>
      <c r="G4667" s="115">
        <f>IFERROR(__xludf.DUMMYFUNCTION("""COMPUTED_VALUE"""),3679.0)</f>
        <v>3679</v>
      </c>
      <c r="H4667" s="116">
        <f>IFERROR(__xludf.DUMMYFUNCTION("""COMPUTED_VALUE"""),45909.0)</f>
        <v>45909</v>
      </c>
      <c r="I4667" s="115" t="str">
        <f>IFERROR(__xludf.DUMMYFUNCTION("""COMPUTED_VALUE"""),"15")</f>
        <v>15</v>
      </c>
      <c r="J4667" s="115" t="str">
        <f>IFERROR(__xludf.DUMMYFUNCTION("""COMPUTED_VALUE"""),"Loveleen Singh2025-09-0915")</f>
        <v>Loveleen Singh2025-09-0915</v>
      </c>
      <c r="K4667" s="115">
        <f>IFERROR(__xludf.DUMMYFUNCTION("""COMPUTED_VALUE"""),192391.0)</f>
        <v>192391</v>
      </c>
    </row>
    <row r="4668">
      <c r="A4668" s="115" t="str">
        <f>IFERROR(__xludf.DUMMYFUNCTION("""COMPUTED_VALUE"""),"NORTH")</f>
        <v>NORTH</v>
      </c>
      <c r="B4668" s="115" t="str">
        <f>IFERROR(__xludf.DUMMYFUNCTION("""COMPUTED_VALUE"""),"Loveleen Singh")</f>
        <v>Loveleen Singh</v>
      </c>
      <c r="C4668" s="115" t="str">
        <f>IFERROR(__xludf.DUMMYFUNCTION("""COMPUTED_VALUE"""),"MYNTRA")</f>
        <v>MYNTRA</v>
      </c>
      <c r="D4668" s="115">
        <f>IFERROR(__xludf.DUMMYFUNCTION("""COMPUTED_VALUE"""),31617.0)</f>
        <v>31617</v>
      </c>
      <c r="E4668" s="115">
        <f>IFERROR(__xludf.DUMMYFUNCTION("""COMPUTED_VALUE"""),6598.0)</f>
        <v>6598</v>
      </c>
      <c r="F4668" s="115">
        <f>IFERROR(__xludf.DUMMYFUNCTION("""COMPUTED_VALUE"""),19367.0)</f>
        <v>19367</v>
      </c>
      <c r="G4668" s="115">
        <f>IFERROR(__xludf.DUMMYFUNCTION("""COMPUTED_VALUE"""),1895.0)</f>
        <v>1895</v>
      </c>
      <c r="H4668" s="116">
        <f>IFERROR(__xludf.DUMMYFUNCTION("""COMPUTED_VALUE"""),45909.0)</f>
        <v>45909</v>
      </c>
      <c r="I4668" s="115" t="str">
        <f>IFERROR(__xludf.DUMMYFUNCTION("""COMPUTED_VALUE"""),"15")</f>
        <v>15</v>
      </c>
      <c r="J4668" s="115" t="str">
        <f>IFERROR(__xludf.DUMMYFUNCTION("""COMPUTED_VALUE"""),"Loveleen Singh2025-09-0915")</f>
        <v>Loveleen Singh2025-09-0915</v>
      </c>
      <c r="K4668" s="115">
        <f>IFERROR(__xludf.DUMMYFUNCTION("""COMPUTED_VALUE"""),38215.0)</f>
        <v>38215</v>
      </c>
    </row>
    <row r="4669">
      <c r="A4669" s="115" t="str">
        <f>IFERROR(__xludf.DUMMYFUNCTION("""COMPUTED_VALUE"""),"NORTH")</f>
        <v>NORTH</v>
      </c>
      <c r="B4669" s="115" t="str">
        <f>IFERROR(__xludf.DUMMYFUNCTION("""COMPUTED_VALUE"""),"Manoj Harsh")</f>
        <v>Manoj Harsh</v>
      </c>
      <c r="C4669" s="115" t="str">
        <f>IFERROR(__xludf.DUMMYFUNCTION("""COMPUTED_VALUE"""),"EXTERNAL")</f>
        <v>EXTERNAL</v>
      </c>
      <c r="D4669" s="115">
        <f>IFERROR(__xludf.DUMMYFUNCTION("""COMPUTED_VALUE"""),37154.0)</f>
        <v>37154</v>
      </c>
      <c r="E4669" s="115">
        <f>IFERROR(__xludf.DUMMYFUNCTION("""COMPUTED_VALUE"""),3712.0)</f>
        <v>3712</v>
      </c>
      <c r="F4669" s="115">
        <f>IFERROR(__xludf.DUMMYFUNCTION("""COMPUTED_VALUE"""),11541.0)</f>
        <v>11541</v>
      </c>
      <c r="G4669" s="115">
        <f>IFERROR(__xludf.DUMMYFUNCTION("""COMPUTED_VALUE"""),435.0)</f>
        <v>435</v>
      </c>
      <c r="H4669" s="116">
        <f>IFERROR(__xludf.DUMMYFUNCTION("""COMPUTED_VALUE"""),45909.0)</f>
        <v>45909</v>
      </c>
      <c r="I4669" s="115" t="str">
        <f>IFERROR(__xludf.DUMMYFUNCTION("""COMPUTED_VALUE"""),"15")</f>
        <v>15</v>
      </c>
      <c r="J4669" s="115" t="str">
        <f>IFERROR(__xludf.DUMMYFUNCTION("""COMPUTED_VALUE"""),"Manoj Harsh2025-09-0915")</f>
        <v>Manoj Harsh2025-09-0915</v>
      </c>
      <c r="K4669" s="115">
        <f>IFERROR(__xludf.DUMMYFUNCTION("""COMPUTED_VALUE"""),40866.0)</f>
        <v>40866</v>
      </c>
    </row>
    <row r="4670">
      <c r="A4670" s="115" t="str">
        <f>IFERROR(__xludf.DUMMYFUNCTION("""COMPUTED_VALUE"""),"NORTH")</f>
        <v>NORTH</v>
      </c>
      <c r="B4670" s="115" t="str">
        <f>IFERROR(__xludf.DUMMYFUNCTION("""COMPUTED_VALUE"""),"Manoj Harsh")</f>
        <v>Manoj Harsh</v>
      </c>
      <c r="C4670" s="115" t="str">
        <f>IFERROR(__xludf.DUMMYFUNCTION("""COMPUTED_VALUE"""),"FLIPKART")</f>
        <v>FLIPKART</v>
      </c>
      <c r="D4670" s="115">
        <f>IFERROR(__xludf.DUMMYFUNCTION("""COMPUTED_VALUE"""),402084.0)</f>
        <v>402084</v>
      </c>
      <c r="E4670" s="115">
        <f>IFERROR(__xludf.DUMMYFUNCTION("""COMPUTED_VALUE"""),42020.0)</f>
        <v>42020</v>
      </c>
      <c r="F4670" s="115">
        <f>IFERROR(__xludf.DUMMYFUNCTION("""COMPUTED_VALUE"""),209379.0)</f>
        <v>209379</v>
      </c>
      <c r="G4670" s="115">
        <f>IFERROR(__xludf.DUMMYFUNCTION("""COMPUTED_VALUE"""),10257.0)</f>
        <v>10257</v>
      </c>
      <c r="H4670" s="116">
        <f>IFERROR(__xludf.DUMMYFUNCTION("""COMPUTED_VALUE"""),45909.0)</f>
        <v>45909</v>
      </c>
      <c r="I4670" s="115" t="str">
        <f>IFERROR(__xludf.DUMMYFUNCTION("""COMPUTED_VALUE"""),"15")</f>
        <v>15</v>
      </c>
      <c r="J4670" s="115" t="str">
        <f>IFERROR(__xludf.DUMMYFUNCTION("""COMPUTED_VALUE"""),"Manoj Harsh2025-09-0915")</f>
        <v>Manoj Harsh2025-09-0915</v>
      </c>
      <c r="K4670" s="115">
        <f>IFERROR(__xludf.DUMMYFUNCTION("""COMPUTED_VALUE"""),444104.0)</f>
        <v>444104</v>
      </c>
    </row>
    <row r="4671">
      <c r="A4671" s="115" t="str">
        <f>IFERROR(__xludf.DUMMYFUNCTION("""COMPUTED_VALUE"""),"NORTH")</f>
        <v>NORTH</v>
      </c>
      <c r="B4671" s="115" t="str">
        <f>IFERROR(__xludf.DUMMYFUNCTION("""COMPUTED_VALUE"""),"Manoj Harsh")</f>
        <v>Manoj Harsh</v>
      </c>
      <c r="C4671" s="115" t="str">
        <f>IFERROR(__xludf.DUMMYFUNCTION("""COMPUTED_VALUE"""),"MYNTRA")</f>
        <v>MYNTRA</v>
      </c>
      <c r="D4671" s="115">
        <f>IFERROR(__xludf.DUMMYFUNCTION("""COMPUTED_VALUE"""),40093.0)</f>
        <v>40093</v>
      </c>
      <c r="E4671" s="115">
        <f>IFERROR(__xludf.DUMMYFUNCTION("""COMPUTED_VALUE"""),8058.0)</f>
        <v>8058</v>
      </c>
      <c r="F4671" s="115">
        <f>IFERROR(__xludf.DUMMYFUNCTION("""COMPUTED_VALUE"""),24281.0)</f>
        <v>24281</v>
      </c>
      <c r="G4671" s="115">
        <f>IFERROR(__xludf.DUMMYFUNCTION("""COMPUTED_VALUE"""),2363.0)</f>
        <v>2363</v>
      </c>
      <c r="H4671" s="116">
        <f>IFERROR(__xludf.DUMMYFUNCTION("""COMPUTED_VALUE"""),45909.0)</f>
        <v>45909</v>
      </c>
      <c r="I4671" s="115" t="str">
        <f>IFERROR(__xludf.DUMMYFUNCTION("""COMPUTED_VALUE"""),"15")</f>
        <v>15</v>
      </c>
      <c r="J4671" s="115" t="str">
        <f>IFERROR(__xludf.DUMMYFUNCTION("""COMPUTED_VALUE"""),"Manoj Harsh2025-09-0915")</f>
        <v>Manoj Harsh2025-09-0915</v>
      </c>
      <c r="K4671" s="115">
        <f>IFERROR(__xludf.DUMMYFUNCTION("""COMPUTED_VALUE"""),48151.0)</f>
        <v>48151</v>
      </c>
    </row>
    <row r="4672">
      <c r="A4672" s="115" t="str">
        <f>IFERROR(__xludf.DUMMYFUNCTION("""COMPUTED_VALUE"""),"NORTH")</f>
        <v>NORTH</v>
      </c>
      <c r="B4672" s="115" t="str">
        <f>IFERROR(__xludf.DUMMYFUNCTION("""COMPUTED_VALUE"""),"Pradeep Kothari")</f>
        <v>Pradeep Kothari</v>
      </c>
      <c r="C4672" s="115" t="str">
        <f>IFERROR(__xludf.DUMMYFUNCTION("""COMPUTED_VALUE"""),"EXTERNAL")</f>
        <v>EXTERNAL</v>
      </c>
      <c r="D4672" s="115">
        <f>IFERROR(__xludf.DUMMYFUNCTION("""COMPUTED_VALUE"""),20425.0)</f>
        <v>20425</v>
      </c>
      <c r="E4672" s="115">
        <f>IFERROR(__xludf.DUMMYFUNCTION("""COMPUTED_VALUE"""),2249.0)</f>
        <v>2249</v>
      </c>
      <c r="F4672" s="115">
        <f>IFERROR(__xludf.DUMMYFUNCTION("""COMPUTED_VALUE"""),6604.0)</f>
        <v>6604</v>
      </c>
      <c r="G4672" s="115">
        <f>IFERROR(__xludf.DUMMYFUNCTION("""COMPUTED_VALUE"""),470.0)</f>
        <v>470</v>
      </c>
      <c r="H4672" s="116">
        <f>IFERROR(__xludf.DUMMYFUNCTION("""COMPUTED_VALUE"""),45909.0)</f>
        <v>45909</v>
      </c>
      <c r="I4672" s="115" t="str">
        <f>IFERROR(__xludf.DUMMYFUNCTION("""COMPUTED_VALUE"""),"15")</f>
        <v>15</v>
      </c>
      <c r="J4672" s="115" t="str">
        <f>IFERROR(__xludf.DUMMYFUNCTION("""COMPUTED_VALUE"""),"Pradeep Kothari2025-09-0915")</f>
        <v>Pradeep Kothari2025-09-0915</v>
      </c>
      <c r="K4672" s="115">
        <f>IFERROR(__xludf.DUMMYFUNCTION("""COMPUTED_VALUE"""),22674.0)</f>
        <v>22674</v>
      </c>
    </row>
    <row r="4673">
      <c r="A4673" s="115" t="str">
        <f>IFERROR(__xludf.DUMMYFUNCTION("""COMPUTED_VALUE"""),"NORTH")</f>
        <v>NORTH</v>
      </c>
      <c r="B4673" s="115" t="str">
        <f>IFERROR(__xludf.DUMMYFUNCTION("""COMPUTED_VALUE"""),"Pradeep Kothari")</f>
        <v>Pradeep Kothari</v>
      </c>
      <c r="C4673" s="115" t="str">
        <f>IFERROR(__xludf.DUMMYFUNCTION("""COMPUTED_VALUE"""),"FLIPKART")</f>
        <v>FLIPKART</v>
      </c>
      <c r="D4673" s="115">
        <f>IFERROR(__xludf.DUMMYFUNCTION("""COMPUTED_VALUE"""),141907.0)</f>
        <v>141907</v>
      </c>
      <c r="E4673" s="115">
        <f>IFERROR(__xludf.DUMMYFUNCTION("""COMPUTED_VALUE"""),17255.0)</f>
        <v>17255</v>
      </c>
      <c r="F4673" s="115">
        <f>IFERROR(__xludf.DUMMYFUNCTION("""COMPUTED_VALUE"""),85906.0)</f>
        <v>85906</v>
      </c>
      <c r="G4673" s="115">
        <f>IFERROR(__xludf.DUMMYFUNCTION("""COMPUTED_VALUE"""),6135.0)</f>
        <v>6135</v>
      </c>
      <c r="H4673" s="116">
        <f>IFERROR(__xludf.DUMMYFUNCTION("""COMPUTED_VALUE"""),45909.0)</f>
        <v>45909</v>
      </c>
      <c r="I4673" s="115" t="str">
        <f>IFERROR(__xludf.DUMMYFUNCTION("""COMPUTED_VALUE"""),"15")</f>
        <v>15</v>
      </c>
      <c r="J4673" s="115" t="str">
        <f>IFERROR(__xludf.DUMMYFUNCTION("""COMPUTED_VALUE"""),"Pradeep Kothari2025-09-0915")</f>
        <v>Pradeep Kothari2025-09-0915</v>
      </c>
      <c r="K4673" s="115">
        <f>IFERROR(__xludf.DUMMYFUNCTION("""COMPUTED_VALUE"""),159162.0)</f>
        <v>159162</v>
      </c>
    </row>
    <row r="4674">
      <c r="A4674" s="115" t="str">
        <f>IFERROR(__xludf.DUMMYFUNCTION("""COMPUTED_VALUE"""),"NORTH")</f>
        <v>NORTH</v>
      </c>
      <c r="B4674" s="115" t="str">
        <f>IFERROR(__xludf.DUMMYFUNCTION("""COMPUTED_VALUE"""),"Pradeep Kothari")</f>
        <v>Pradeep Kothari</v>
      </c>
      <c r="C4674" s="115" t="str">
        <f>IFERROR(__xludf.DUMMYFUNCTION("""COMPUTED_VALUE"""),"MYNTRA")</f>
        <v>MYNTRA</v>
      </c>
      <c r="D4674" s="115">
        <f>IFERROR(__xludf.DUMMYFUNCTION("""COMPUTED_VALUE"""),26804.0)</f>
        <v>26804</v>
      </c>
      <c r="E4674" s="115">
        <f>IFERROR(__xludf.DUMMYFUNCTION("""COMPUTED_VALUE"""),6998.0)</f>
        <v>6998</v>
      </c>
      <c r="F4674" s="115">
        <f>IFERROR(__xludf.DUMMYFUNCTION("""COMPUTED_VALUE"""),18471.0)</f>
        <v>18471</v>
      </c>
      <c r="G4674" s="115">
        <f>IFERROR(__xludf.DUMMYFUNCTION("""COMPUTED_VALUE"""),2918.0)</f>
        <v>2918</v>
      </c>
      <c r="H4674" s="116">
        <f>IFERROR(__xludf.DUMMYFUNCTION("""COMPUTED_VALUE"""),45909.0)</f>
        <v>45909</v>
      </c>
      <c r="I4674" s="115" t="str">
        <f>IFERROR(__xludf.DUMMYFUNCTION("""COMPUTED_VALUE"""),"15")</f>
        <v>15</v>
      </c>
      <c r="J4674" s="115" t="str">
        <f>IFERROR(__xludf.DUMMYFUNCTION("""COMPUTED_VALUE"""),"Pradeep Kothari2025-09-0915")</f>
        <v>Pradeep Kothari2025-09-0915</v>
      </c>
      <c r="K4674" s="115">
        <f>IFERROR(__xludf.DUMMYFUNCTION("""COMPUTED_VALUE"""),33802.0)</f>
        <v>33802</v>
      </c>
    </row>
    <row r="4675">
      <c r="A4675" s="115" t="str">
        <f>IFERROR(__xludf.DUMMYFUNCTION("""COMPUTED_VALUE"""),"SOUTH")</f>
        <v>SOUTH</v>
      </c>
      <c r="B4675" s="115" t="str">
        <f>IFERROR(__xludf.DUMMYFUNCTION("""COMPUTED_VALUE"""),"0")</f>
        <v>0</v>
      </c>
      <c r="C4675" s="115" t="str">
        <f>IFERROR(__xludf.DUMMYFUNCTION("""COMPUTED_VALUE"""),"EXTERNAL")</f>
        <v>EXTERNAL</v>
      </c>
      <c r="D4675" s="115">
        <f>IFERROR(__xludf.DUMMYFUNCTION("""COMPUTED_VALUE"""),3.0)</f>
        <v>3</v>
      </c>
      <c r="E4675" s="115">
        <f>IFERROR(__xludf.DUMMYFUNCTION("""COMPUTED_VALUE"""),2.0)</f>
        <v>2</v>
      </c>
      <c r="F4675" s="115">
        <f>IFERROR(__xludf.DUMMYFUNCTION("""COMPUTED_VALUE"""),0.0)</f>
        <v>0</v>
      </c>
      <c r="G4675" s="115">
        <f>IFERROR(__xludf.DUMMYFUNCTION("""COMPUTED_VALUE"""),0.0)</f>
        <v>0</v>
      </c>
      <c r="H4675" s="116">
        <f>IFERROR(__xludf.DUMMYFUNCTION("""COMPUTED_VALUE"""),45909.0)</f>
        <v>45909</v>
      </c>
      <c r="I4675" s="115" t="str">
        <f>IFERROR(__xludf.DUMMYFUNCTION("""COMPUTED_VALUE"""),"15")</f>
        <v>15</v>
      </c>
      <c r="J4675" s="115" t="str">
        <f>IFERROR(__xludf.DUMMYFUNCTION("""COMPUTED_VALUE"""),"02025-09-0915")</f>
        <v>02025-09-0915</v>
      </c>
      <c r="K4675" s="115">
        <f>IFERROR(__xludf.DUMMYFUNCTION("""COMPUTED_VALUE"""),5.0)</f>
        <v>5</v>
      </c>
    </row>
    <row r="4676">
      <c r="A4676" s="115" t="str">
        <f>IFERROR(__xludf.DUMMYFUNCTION("""COMPUTED_VALUE"""),"SOUTH")</f>
        <v>SOUTH</v>
      </c>
      <c r="B4676" s="115" t="str">
        <f>IFERROR(__xludf.DUMMYFUNCTION("""COMPUTED_VALUE"""),"0")</f>
        <v>0</v>
      </c>
      <c r="C4676" s="115" t="str">
        <f>IFERROR(__xludf.DUMMYFUNCTION("""COMPUTED_VALUE"""),"FLIPKART")</f>
        <v>FLIPKART</v>
      </c>
      <c r="D4676" s="115">
        <f>IFERROR(__xludf.DUMMYFUNCTION("""COMPUTED_VALUE"""),68.0)</f>
        <v>68</v>
      </c>
      <c r="E4676" s="115">
        <f>IFERROR(__xludf.DUMMYFUNCTION("""COMPUTED_VALUE"""),45.0)</f>
        <v>45</v>
      </c>
      <c r="F4676" s="115">
        <f>IFERROR(__xludf.DUMMYFUNCTION("""COMPUTED_VALUE"""),2.0)</f>
        <v>2</v>
      </c>
      <c r="G4676" s="115">
        <f>IFERROR(__xludf.DUMMYFUNCTION("""COMPUTED_VALUE"""),0.0)</f>
        <v>0</v>
      </c>
      <c r="H4676" s="116">
        <f>IFERROR(__xludf.DUMMYFUNCTION("""COMPUTED_VALUE"""),45909.0)</f>
        <v>45909</v>
      </c>
      <c r="I4676" s="115" t="str">
        <f>IFERROR(__xludf.DUMMYFUNCTION("""COMPUTED_VALUE"""),"15")</f>
        <v>15</v>
      </c>
      <c r="J4676" s="115" t="str">
        <f>IFERROR(__xludf.DUMMYFUNCTION("""COMPUTED_VALUE"""),"02025-09-0915")</f>
        <v>02025-09-0915</v>
      </c>
      <c r="K4676" s="115">
        <f>IFERROR(__xludf.DUMMYFUNCTION("""COMPUTED_VALUE"""),113.0)</f>
        <v>113</v>
      </c>
    </row>
    <row r="4677">
      <c r="A4677" s="115" t="str">
        <f>IFERROR(__xludf.DUMMYFUNCTION("""COMPUTED_VALUE"""),"SOUTH")</f>
        <v>SOUTH</v>
      </c>
      <c r="B4677" s="115" t="str">
        <f>IFERROR(__xludf.DUMMYFUNCTION("""COMPUTED_VALUE"""),"0")</f>
        <v>0</v>
      </c>
      <c r="C4677" s="115" t="str">
        <f>IFERROR(__xludf.DUMMYFUNCTION("""COMPUTED_VALUE"""),"MYNTRA")</f>
        <v>MYNTRA</v>
      </c>
      <c r="D4677" s="115">
        <f>IFERROR(__xludf.DUMMYFUNCTION("""COMPUTED_VALUE"""),6.0)</f>
        <v>6</v>
      </c>
      <c r="E4677" s="115">
        <f>IFERROR(__xludf.DUMMYFUNCTION("""COMPUTED_VALUE"""),16.0)</f>
        <v>16</v>
      </c>
      <c r="F4677" s="115">
        <f>IFERROR(__xludf.DUMMYFUNCTION("""COMPUTED_VALUE"""),3.0)</f>
        <v>3</v>
      </c>
      <c r="G4677" s="115">
        <f>IFERROR(__xludf.DUMMYFUNCTION("""COMPUTED_VALUE"""),0.0)</f>
        <v>0</v>
      </c>
      <c r="H4677" s="116">
        <f>IFERROR(__xludf.DUMMYFUNCTION("""COMPUTED_VALUE"""),45909.0)</f>
        <v>45909</v>
      </c>
      <c r="I4677" s="115" t="str">
        <f>IFERROR(__xludf.DUMMYFUNCTION("""COMPUTED_VALUE"""),"15")</f>
        <v>15</v>
      </c>
      <c r="J4677" s="115" t="str">
        <f>IFERROR(__xludf.DUMMYFUNCTION("""COMPUTED_VALUE"""),"02025-09-0915")</f>
        <v>02025-09-0915</v>
      </c>
      <c r="K4677" s="115">
        <f>IFERROR(__xludf.DUMMYFUNCTION("""COMPUTED_VALUE"""),22.0)</f>
        <v>22</v>
      </c>
    </row>
    <row r="4678">
      <c r="A4678" s="115" t="str">
        <f>IFERROR(__xludf.DUMMYFUNCTION("""COMPUTED_VALUE"""),"SOUTH")</f>
        <v>SOUTH</v>
      </c>
      <c r="B4678" s="115" t="str">
        <f>IFERROR(__xludf.DUMMYFUNCTION("""COMPUTED_VALUE"""),"Kandula Sampath")</f>
        <v>Kandula Sampath</v>
      </c>
      <c r="C4678" s="115" t="str">
        <f>IFERROR(__xludf.DUMMYFUNCTION("""COMPUTED_VALUE"""),"EXTERNAL")</f>
        <v>EXTERNAL</v>
      </c>
      <c r="D4678" s="115">
        <f>IFERROR(__xludf.DUMMYFUNCTION("""COMPUTED_VALUE"""),33171.0)</f>
        <v>33171</v>
      </c>
      <c r="E4678" s="115">
        <f>IFERROR(__xludf.DUMMYFUNCTION("""COMPUTED_VALUE"""),4735.0)</f>
        <v>4735</v>
      </c>
      <c r="F4678" s="115">
        <f>IFERROR(__xludf.DUMMYFUNCTION("""COMPUTED_VALUE"""),10169.0)</f>
        <v>10169</v>
      </c>
      <c r="G4678" s="115">
        <f>IFERROR(__xludf.DUMMYFUNCTION("""COMPUTED_VALUE"""),699.0)</f>
        <v>699</v>
      </c>
      <c r="H4678" s="116">
        <f>IFERROR(__xludf.DUMMYFUNCTION("""COMPUTED_VALUE"""),45909.0)</f>
        <v>45909</v>
      </c>
      <c r="I4678" s="115" t="str">
        <f>IFERROR(__xludf.DUMMYFUNCTION("""COMPUTED_VALUE"""),"15")</f>
        <v>15</v>
      </c>
      <c r="J4678" s="115" t="str">
        <f>IFERROR(__xludf.DUMMYFUNCTION("""COMPUTED_VALUE"""),"Kandula Sampath2025-09-0915")</f>
        <v>Kandula Sampath2025-09-0915</v>
      </c>
      <c r="K4678" s="115">
        <f>IFERROR(__xludf.DUMMYFUNCTION("""COMPUTED_VALUE"""),37906.0)</f>
        <v>37906</v>
      </c>
    </row>
    <row r="4679">
      <c r="A4679" s="115" t="str">
        <f>IFERROR(__xludf.DUMMYFUNCTION("""COMPUTED_VALUE"""),"SOUTH")</f>
        <v>SOUTH</v>
      </c>
      <c r="B4679" s="115" t="str">
        <f>IFERROR(__xludf.DUMMYFUNCTION("""COMPUTED_VALUE"""),"Kandula Sampath")</f>
        <v>Kandula Sampath</v>
      </c>
      <c r="C4679" s="115" t="str">
        <f>IFERROR(__xludf.DUMMYFUNCTION("""COMPUTED_VALUE"""),"FLIPKART")</f>
        <v>FLIPKART</v>
      </c>
      <c r="D4679" s="115">
        <f>IFERROR(__xludf.DUMMYFUNCTION("""COMPUTED_VALUE"""),312248.0)</f>
        <v>312248</v>
      </c>
      <c r="E4679" s="115">
        <f>IFERROR(__xludf.DUMMYFUNCTION("""COMPUTED_VALUE"""),34866.0)</f>
        <v>34866</v>
      </c>
      <c r="F4679" s="115">
        <f>IFERROR(__xludf.DUMMYFUNCTION("""COMPUTED_VALUE"""),168349.0)</f>
        <v>168349</v>
      </c>
      <c r="G4679" s="115">
        <f>IFERROR(__xludf.DUMMYFUNCTION("""COMPUTED_VALUE"""),8527.0)</f>
        <v>8527</v>
      </c>
      <c r="H4679" s="116">
        <f>IFERROR(__xludf.DUMMYFUNCTION("""COMPUTED_VALUE"""),45909.0)</f>
        <v>45909</v>
      </c>
      <c r="I4679" s="115" t="str">
        <f>IFERROR(__xludf.DUMMYFUNCTION("""COMPUTED_VALUE"""),"15")</f>
        <v>15</v>
      </c>
      <c r="J4679" s="115" t="str">
        <f>IFERROR(__xludf.DUMMYFUNCTION("""COMPUTED_VALUE"""),"Kandula Sampath2025-09-0915")</f>
        <v>Kandula Sampath2025-09-0915</v>
      </c>
      <c r="K4679" s="115">
        <f>IFERROR(__xludf.DUMMYFUNCTION("""COMPUTED_VALUE"""),347114.0)</f>
        <v>347114</v>
      </c>
    </row>
    <row r="4680">
      <c r="A4680" s="115" t="str">
        <f>IFERROR(__xludf.DUMMYFUNCTION("""COMPUTED_VALUE"""),"SOUTH")</f>
        <v>SOUTH</v>
      </c>
      <c r="B4680" s="115" t="str">
        <f>IFERROR(__xludf.DUMMYFUNCTION("""COMPUTED_VALUE"""),"Kandula Sampath")</f>
        <v>Kandula Sampath</v>
      </c>
      <c r="C4680" s="115" t="str">
        <f>IFERROR(__xludf.DUMMYFUNCTION("""COMPUTED_VALUE"""),"MYNTRA")</f>
        <v>MYNTRA</v>
      </c>
      <c r="D4680" s="115">
        <f>IFERROR(__xludf.DUMMYFUNCTION("""COMPUTED_VALUE"""),37430.0)</f>
        <v>37430</v>
      </c>
      <c r="E4680" s="115">
        <f>IFERROR(__xludf.DUMMYFUNCTION("""COMPUTED_VALUE"""),9731.0)</f>
        <v>9731</v>
      </c>
      <c r="F4680" s="115">
        <f>IFERROR(__xludf.DUMMYFUNCTION("""COMPUTED_VALUE"""),22999.0)</f>
        <v>22999</v>
      </c>
      <c r="G4680" s="115">
        <f>IFERROR(__xludf.DUMMYFUNCTION("""COMPUTED_VALUE"""),2547.0)</f>
        <v>2547</v>
      </c>
      <c r="H4680" s="116">
        <f>IFERROR(__xludf.DUMMYFUNCTION("""COMPUTED_VALUE"""),45909.0)</f>
        <v>45909</v>
      </c>
      <c r="I4680" s="115" t="str">
        <f>IFERROR(__xludf.DUMMYFUNCTION("""COMPUTED_VALUE"""),"15")</f>
        <v>15</v>
      </c>
      <c r="J4680" s="115" t="str">
        <f>IFERROR(__xludf.DUMMYFUNCTION("""COMPUTED_VALUE"""),"Kandula Sampath2025-09-0915")</f>
        <v>Kandula Sampath2025-09-0915</v>
      </c>
      <c r="K4680" s="115">
        <f>IFERROR(__xludf.DUMMYFUNCTION("""COMPUTED_VALUE"""),47161.0)</f>
        <v>47161</v>
      </c>
    </row>
    <row r="4681">
      <c r="A4681" s="115" t="str">
        <f>IFERROR(__xludf.DUMMYFUNCTION("""COMPUTED_VALUE"""),"SOUTH")</f>
        <v>SOUTH</v>
      </c>
      <c r="B4681" s="115" t="str">
        <f>IFERROR(__xludf.DUMMYFUNCTION("""COMPUTED_VALUE"""),"Martin A")</f>
        <v>Martin A</v>
      </c>
      <c r="C4681" s="115" t="str">
        <f>IFERROR(__xludf.DUMMYFUNCTION("""COMPUTED_VALUE"""),"EXTERNAL")</f>
        <v>EXTERNAL</v>
      </c>
      <c r="D4681" s="115">
        <f>IFERROR(__xludf.DUMMYFUNCTION("""COMPUTED_VALUE"""),30927.0)</f>
        <v>30927</v>
      </c>
      <c r="E4681" s="115">
        <f>IFERROR(__xludf.DUMMYFUNCTION("""COMPUTED_VALUE"""),4450.0)</f>
        <v>4450</v>
      </c>
      <c r="F4681" s="115">
        <f>IFERROR(__xludf.DUMMYFUNCTION("""COMPUTED_VALUE"""),9667.0)</f>
        <v>9667</v>
      </c>
      <c r="G4681" s="115">
        <f>IFERROR(__xludf.DUMMYFUNCTION("""COMPUTED_VALUE"""),1087.0)</f>
        <v>1087</v>
      </c>
      <c r="H4681" s="116">
        <f>IFERROR(__xludf.DUMMYFUNCTION("""COMPUTED_VALUE"""),45909.0)</f>
        <v>45909</v>
      </c>
      <c r="I4681" s="115" t="str">
        <f>IFERROR(__xludf.DUMMYFUNCTION("""COMPUTED_VALUE"""),"15")</f>
        <v>15</v>
      </c>
      <c r="J4681" s="115" t="str">
        <f>IFERROR(__xludf.DUMMYFUNCTION("""COMPUTED_VALUE"""),"Martin A2025-09-0915")</f>
        <v>Martin A2025-09-0915</v>
      </c>
      <c r="K4681" s="115">
        <f>IFERROR(__xludf.DUMMYFUNCTION("""COMPUTED_VALUE"""),35377.0)</f>
        <v>35377</v>
      </c>
    </row>
    <row r="4682">
      <c r="A4682" s="115" t="str">
        <f>IFERROR(__xludf.DUMMYFUNCTION("""COMPUTED_VALUE"""),"SOUTH")</f>
        <v>SOUTH</v>
      </c>
      <c r="B4682" s="115" t="str">
        <f>IFERROR(__xludf.DUMMYFUNCTION("""COMPUTED_VALUE"""),"Martin A")</f>
        <v>Martin A</v>
      </c>
      <c r="C4682" s="115" t="str">
        <f>IFERROR(__xludf.DUMMYFUNCTION("""COMPUTED_VALUE"""),"FLIPKART")</f>
        <v>FLIPKART</v>
      </c>
      <c r="D4682" s="115">
        <f>IFERROR(__xludf.DUMMYFUNCTION("""COMPUTED_VALUE"""),269684.0)</f>
        <v>269684</v>
      </c>
      <c r="E4682" s="115">
        <f>IFERROR(__xludf.DUMMYFUNCTION("""COMPUTED_VALUE"""),28534.0)</f>
        <v>28534</v>
      </c>
      <c r="F4682" s="115">
        <f>IFERROR(__xludf.DUMMYFUNCTION("""COMPUTED_VALUE"""),150038.0)</f>
        <v>150038</v>
      </c>
      <c r="G4682" s="115">
        <f>IFERROR(__xludf.DUMMYFUNCTION("""COMPUTED_VALUE"""),8579.0)</f>
        <v>8579</v>
      </c>
      <c r="H4682" s="116">
        <f>IFERROR(__xludf.DUMMYFUNCTION("""COMPUTED_VALUE"""),45909.0)</f>
        <v>45909</v>
      </c>
      <c r="I4682" s="115" t="str">
        <f>IFERROR(__xludf.DUMMYFUNCTION("""COMPUTED_VALUE"""),"15")</f>
        <v>15</v>
      </c>
      <c r="J4682" s="115" t="str">
        <f>IFERROR(__xludf.DUMMYFUNCTION("""COMPUTED_VALUE"""),"Martin A2025-09-0915")</f>
        <v>Martin A2025-09-0915</v>
      </c>
      <c r="K4682" s="115">
        <f>IFERROR(__xludf.DUMMYFUNCTION("""COMPUTED_VALUE"""),298218.0)</f>
        <v>298218</v>
      </c>
    </row>
    <row r="4683">
      <c r="A4683" s="115" t="str">
        <f>IFERROR(__xludf.DUMMYFUNCTION("""COMPUTED_VALUE"""),"SOUTH")</f>
        <v>SOUTH</v>
      </c>
      <c r="B4683" s="115" t="str">
        <f>IFERROR(__xludf.DUMMYFUNCTION("""COMPUTED_VALUE"""),"Martin A")</f>
        <v>Martin A</v>
      </c>
      <c r="C4683" s="115" t="str">
        <f>IFERROR(__xludf.DUMMYFUNCTION("""COMPUTED_VALUE"""),"MYNTRA")</f>
        <v>MYNTRA</v>
      </c>
      <c r="D4683" s="115">
        <f>IFERROR(__xludf.DUMMYFUNCTION("""COMPUTED_VALUE"""),24284.0)</f>
        <v>24284</v>
      </c>
      <c r="E4683" s="115">
        <f>IFERROR(__xludf.DUMMYFUNCTION("""COMPUTED_VALUE"""),7431.0)</f>
        <v>7431</v>
      </c>
      <c r="F4683" s="115">
        <f>IFERROR(__xludf.DUMMYFUNCTION("""COMPUTED_VALUE"""),15737.0)</f>
        <v>15737</v>
      </c>
      <c r="G4683" s="115">
        <f>IFERROR(__xludf.DUMMYFUNCTION("""COMPUTED_VALUE"""),2584.0)</f>
        <v>2584</v>
      </c>
      <c r="H4683" s="116">
        <f>IFERROR(__xludf.DUMMYFUNCTION("""COMPUTED_VALUE"""),45909.0)</f>
        <v>45909</v>
      </c>
      <c r="I4683" s="115" t="str">
        <f>IFERROR(__xludf.DUMMYFUNCTION("""COMPUTED_VALUE"""),"15")</f>
        <v>15</v>
      </c>
      <c r="J4683" s="115" t="str">
        <f>IFERROR(__xludf.DUMMYFUNCTION("""COMPUTED_VALUE"""),"Martin A2025-09-0915")</f>
        <v>Martin A2025-09-0915</v>
      </c>
      <c r="K4683" s="115">
        <f>IFERROR(__xludf.DUMMYFUNCTION("""COMPUTED_VALUE"""),31715.0)</f>
        <v>31715</v>
      </c>
    </row>
    <row r="4684">
      <c r="A4684" s="115" t="str">
        <f>IFERROR(__xludf.DUMMYFUNCTION("""COMPUTED_VALUE"""),"SOUTH")</f>
        <v>SOUTH</v>
      </c>
      <c r="B4684" s="115" t="str">
        <f>IFERROR(__xludf.DUMMYFUNCTION("""COMPUTED_VALUE"""),"Premkumar M")</f>
        <v>Premkumar M</v>
      </c>
      <c r="C4684" s="115" t="str">
        <f>IFERROR(__xludf.DUMMYFUNCTION("""COMPUTED_VALUE"""),"EXTERNAL")</f>
        <v>EXTERNAL</v>
      </c>
      <c r="D4684" s="115">
        <f>IFERROR(__xludf.DUMMYFUNCTION("""COMPUTED_VALUE"""),27164.0)</f>
        <v>27164</v>
      </c>
      <c r="E4684" s="115">
        <f>IFERROR(__xludf.DUMMYFUNCTION("""COMPUTED_VALUE"""),2478.0)</f>
        <v>2478</v>
      </c>
      <c r="F4684" s="115">
        <f>IFERROR(__xludf.DUMMYFUNCTION("""COMPUTED_VALUE"""),8253.0)</f>
        <v>8253</v>
      </c>
      <c r="G4684" s="115">
        <f>IFERROR(__xludf.DUMMYFUNCTION("""COMPUTED_VALUE"""),191.0)</f>
        <v>191</v>
      </c>
      <c r="H4684" s="116">
        <f>IFERROR(__xludf.DUMMYFUNCTION("""COMPUTED_VALUE"""),45909.0)</f>
        <v>45909</v>
      </c>
      <c r="I4684" s="115" t="str">
        <f>IFERROR(__xludf.DUMMYFUNCTION("""COMPUTED_VALUE"""),"15")</f>
        <v>15</v>
      </c>
      <c r="J4684" s="115" t="str">
        <f>IFERROR(__xludf.DUMMYFUNCTION("""COMPUTED_VALUE"""),"Premkumar M2025-09-0915")</f>
        <v>Premkumar M2025-09-0915</v>
      </c>
      <c r="K4684" s="115">
        <f>IFERROR(__xludf.DUMMYFUNCTION("""COMPUTED_VALUE"""),29642.0)</f>
        <v>29642</v>
      </c>
    </row>
    <row r="4685">
      <c r="A4685" s="115" t="str">
        <f>IFERROR(__xludf.DUMMYFUNCTION("""COMPUTED_VALUE"""),"SOUTH")</f>
        <v>SOUTH</v>
      </c>
      <c r="B4685" s="115" t="str">
        <f>IFERROR(__xludf.DUMMYFUNCTION("""COMPUTED_VALUE"""),"Premkumar M")</f>
        <v>Premkumar M</v>
      </c>
      <c r="C4685" s="115" t="str">
        <f>IFERROR(__xludf.DUMMYFUNCTION("""COMPUTED_VALUE"""),"FLIPKART")</f>
        <v>FLIPKART</v>
      </c>
      <c r="D4685" s="115">
        <f>IFERROR(__xludf.DUMMYFUNCTION("""COMPUTED_VALUE"""),258907.0)</f>
        <v>258907</v>
      </c>
      <c r="E4685" s="115">
        <f>IFERROR(__xludf.DUMMYFUNCTION("""COMPUTED_VALUE"""),20593.0)</f>
        <v>20593</v>
      </c>
      <c r="F4685" s="115">
        <f>IFERROR(__xludf.DUMMYFUNCTION("""COMPUTED_VALUE"""),122910.0)</f>
        <v>122910</v>
      </c>
      <c r="G4685" s="115">
        <f>IFERROR(__xludf.DUMMYFUNCTION("""COMPUTED_VALUE"""),2667.0)</f>
        <v>2667</v>
      </c>
      <c r="H4685" s="116">
        <f>IFERROR(__xludf.DUMMYFUNCTION("""COMPUTED_VALUE"""),45909.0)</f>
        <v>45909</v>
      </c>
      <c r="I4685" s="115" t="str">
        <f>IFERROR(__xludf.DUMMYFUNCTION("""COMPUTED_VALUE"""),"15")</f>
        <v>15</v>
      </c>
      <c r="J4685" s="115" t="str">
        <f>IFERROR(__xludf.DUMMYFUNCTION("""COMPUTED_VALUE"""),"Premkumar M2025-09-0915")</f>
        <v>Premkumar M2025-09-0915</v>
      </c>
      <c r="K4685" s="115">
        <f>IFERROR(__xludf.DUMMYFUNCTION("""COMPUTED_VALUE"""),279500.0)</f>
        <v>279500</v>
      </c>
    </row>
    <row r="4686">
      <c r="A4686" s="115" t="str">
        <f>IFERROR(__xludf.DUMMYFUNCTION("""COMPUTED_VALUE"""),"SOUTH")</f>
        <v>SOUTH</v>
      </c>
      <c r="B4686" s="115" t="str">
        <f>IFERROR(__xludf.DUMMYFUNCTION("""COMPUTED_VALUE"""),"Premkumar M")</f>
        <v>Premkumar M</v>
      </c>
      <c r="C4686" s="115" t="str">
        <f>IFERROR(__xludf.DUMMYFUNCTION("""COMPUTED_VALUE"""),"MYNTRA")</f>
        <v>MYNTRA</v>
      </c>
      <c r="D4686" s="115">
        <f>IFERROR(__xludf.DUMMYFUNCTION("""COMPUTED_VALUE"""),14423.0)</f>
        <v>14423</v>
      </c>
      <c r="E4686" s="115">
        <f>IFERROR(__xludf.DUMMYFUNCTION("""COMPUTED_VALUE"""),3365.0)</f>
        <v>3365</v>
      </c>
      <c r="F4686" s="115">
        <f>IFERROR(__xludf.DUMMYFUNCTION("""COMPUTED_VALUE"""),7807.0)</f>
        <v>7807</v>
      </c>
      <c r="G4686" s="115">
        <f>IFERROR(__xludf.DUMMYFUNCTION("""COMPUTED_VALUE"""),484.0)</f>
        <v>484</v>
      </c>
      <c r="H4686" s="116">
        <f>IFERROR(__xludf.DUMMYFUNCTION("""COMPUTED_VALUE"""),45909.0)</f>
        <v>45909</v>
      </c>
      <c r="I4686" s="115" t="str">
        <f>IFERROR(__xludf.DUMMYFUNCTION("""COMPUTED_VALUE"""),"15")</f>
        <v>15</v>
      </c>
      <c r="J4686" s="115" t="str">
        <f>IFERROR(__xludf.DUMMYFUNCTION("""COMPUTED_VALUE"""),"Premkumar M2025-09-0915")</f>
        <v>Premkumar M2025-09-0915</v>
      </c>
      <c r="K4686" s="115">
        <f>IFERROR(__xludf.DUMMYFUNCTION("""COMPUTED_VALUE"""),17788.0)</f>
        <v>17788</v>
      </c>
    </row>
    <row r="4687">
      <c r="A4687" s="115" t="str">
        <f>IFERROR(__xludf.DUMMYFUNCTION("""COMPUTED_VALUE"""),"SOUTH")</f>
        <v>SOUTH</v>
      </c>
      <c r="B4687" s="115" t="str">
        <f>IFERROR(__xludf.DUMMYFUNCTION("""COMPUTED_VALUE"""),"Vineeth V")</f>
        <v>Vineeth V</v>
      </c>
      <c r="C4687" s="115" t="str">
        <f>IFERROR(__xludf.DUMMYFUNCTION("""COMPUTED_VALUE"""),"EXTERNAL")</f>
        <v>EXTERNAL</v>
      </c>
      <c r="D4687" s="115">
        <f>IFERROR(__xludf.DUMMYFUNCTION("""COMPUTED_VALUE"""),21892.0)</f>
        <v>21892</v>
      </c>
      <c r="E4687" s="115">
        <f>IFERROR(__xludf.DUMMYFUNCTION("""COMPUTED_VALUE"""),796.0)</f>
        <v>796</v>
      </c>
      <c r="F4687" s="115">
        <f>IFERROR(__xludf.DUMMYFUNCTION("""COMPUTED_VALUE"""),6979.0)</f>
        <v>6979</v>
      </c>
      <c r="G4687" s="115">
        <f>IFERROR(__xludf.DUMMYFUNCTION("""COMPUTED_VALUE"""),93.0)</f>
        <v>93</v>
      </c>
      <c r="H4687" s="116">
        <f>IFERROR(__xludf.DUMMYFUNCTION("""COMPUTED_VALUE"""),45909.0)</f>
        <v>45909</v>
      </c>
      <c r="I4687" s="115" t="str">
        <f>IFERROR(__xludf.DUMMYFUNCTION("""COMPUTED_VALUE"""),"15")</f>
        <v>15</v>
      </c>
      <c r="J4687" s="115" t="str">
        <f>IFERROR(__xludf.DUMMYFUNCTION("""COMPUTED_VALUE"""),"Vineeth V2025-09-0915")</f>
        <v>Vineeth V2025-09-0915</v>
      </c>
      <c r="K4687" s="115">
        <f>IFERROR(__xludf.DUMMYFUNCTION("""COMPUTED_VALUE"""),22688.0)</f>
        <v>22688</v>
      </c>
    </row>
    <row r="4688">
      <c r="A4688" s="115" t="str">
        <f>IFERROR(__xludf.DUMMYFUNCTION("""COMPUTED_VALUE"""),"SOUTH")</f>
        <v>SOUTH</v>
      </c>
      <c r="B4688" s="115" t="str">
        <f>IFERROR(__xludf.DUMMYFUNCTION("""COMPUTED_VALUE"""),"Vineeth V")</f>
        <v>Vineeth V</v>
      </c>
      <c r="C4688" s="115" t="str">
        <f>IFERROR(__xludf.DUMMYFUNCTION("""COMPUTED_VALUE"""),"FLIPKART")</f>
        <v>FLIPKART</v>
      </c>
      <c r="D4688" s="115">
        <f>IFERROR(__xludf.DUMMYFUNCTION("""COMPUTED_VALUE"""),224421.0)</f>
        <v>224421</v>
      </c>
      <c r="E4688" s="115">
        <f>IFERROR(__xludf.DUMMYFUNCTION("""COMPUTED_VALUE"""),18396.0)</f>
        <v>18396</v>
      </c>
      <c r="F4688" s="115">
        <f>IFERROR(__xludf.DUMMYFUNCTION("""COMPUTED_VALUE"""),110961.0)</f>
        <v>110961</v>
      </c>
      <c r="G4688" s="115">
        <f>IFERROR(__xludf.DUMMYFUNCTION("""COMPUTED_VALUE"""),2233.0)</f>
        <v>2233</v>
      </c>
      <c r="H4688" s="116">
        <f>IFERROR(__xludf.DUMMYFUNCTION("""COMPUTED_VALUE"""),45909.0)</f>
        <v>45909</v>
      </c>
      <c r="I4688" s="115" t="str">
        <f>IFERROR(__xludf.DUMMYFUNCTION("""COMPUTED_VALUE"""),"15")</f>
        <v>15</v>
      </c>
      <c r="J4688" s="115" t="str">
        <f>IFERROR(__xludf.DUMMYFUNCTION("""COMPUTED_VALUE"""),"Vineeth V2025-09-0915")</f>
        <v>Vineeth V2025-09-0915</v>
      </c>
      <c r="K4688" s="115">
        <f>IFERROR(__xludf.DUMMYFUNCTION("""COMPUTED_VALUE"""),242817.0)</f>
        <v>242817</v>
      </c>
    </row>
    <row r="4689">
      <c r="A4689" s="115" t="str">
        <f>IFERROR(__xludf.DUMMYFUNCTION("""COMPUTED_VALUE"""),"SOUTH")</f>
        <v>SOUTH</v>
      </c>
      <c r="B4689" s="115" t="str">
        <f>IFERROR(__xludf.DUMMYFUNCTION("""COMPUTED_VALUE"""),"Vineeth V")</f>
        <v>Vineeth V</v>
      </c>
      <c r="C4689" s="115" t="str">
        <f>IFERROR(__xludf.DUMMYFUNCTION("""COMPUTED_VALUE"""),"MYNTRA")</f>
        <v>MYNTRA</v>
      </c>
      <c r="D4689" s="115">
        <f>IFERROR(__xludf.DUMMYFUNCTION("""COMPUTED_VALUE"""),18346.0)</f>
        <v>18346</v>
      </c>
      <c r="E4689" s="115">
        <f>IFERROR(__xludf.DUMMYFUNCTION("""COMPUTED_VALUE"""),4680.0)</f>
        <v>4680</v>
      </c>
      <c r="F4689" s="115">
        <f>IFERROR(__xludf.DUMMYFUNCTION("""COMPUTED_VALUE"""),9751.0)</f>
        <v>9751</v>
      </c>
      <c r="G4689" s="115">
        <f>IFERROR(__xludf.DUMMYFUNCTION("""COMPUTED_VALUE"""),587.0)</f>
        <v>587</v>
      </c>
      <c r="H4689" s="116">
        <f>IFERROR(__xludf.DUMMYFUNCTION("""COMPUTED_VALUE"""),45909.0)</f>
        <v>45909</v>
      </c>
      <c r="I4689" s="115" t="str">
        <f>IFERROR(__xludf.DUMMYFUNCTION("""COMPUTED_VALUE"""),"15")</f>
        <v>15</v>
      </c>
      <c r="J4689" s="115" t="str">
        <f>IFERROR(__xludf.DUMMYFUNCTION("""COMPUTED_VALUE"""),"Vineeth V2025-09-0915")</f>
        <v>Vineeth V2025-09-0915</v>
      </c>
      <c r="K4689" s="115">
        <f>IFERROR(__xludf.DUMMYFUNCTION("""COMPUTED_VALUE"""),23026.0)</f>
        <v>23026</v>
      </c>
    </row>
    <row r="4690">
      <c r="A4690" s="115" t="str">
        <f>IFERROR(__xludf.DUMMYFUNCTION("""COMPUTED_VALUE"""),"WEST")</f>
        <v>WEST</v>
      </c>
      <c r="B4690" s="115" t="str">
        <f>IFERROR(__xludf.DUMMYFUNCTION("""COMPUTED_VALUE"""),"Ashish Jakar")</f>
        <v>Ashish Jakar</v>
      </c>
      <c r="C4690" s="115" t="str">
        <f>IFERROR(__xludf.DUMMYFUNCTION("""COMPUTED_VALUE"""),"EXTERNAL")</f>
        <v>EXTERNAL</v>
      </c>
      <c r="D4690" s="115">
        <f>IFERROR(__xludf.DUMMYFUNCTION("""COMPUTED_VALUE"""),52067.0)</f>
        <v>52067</v>
      </c>
      <c r="E4690" s="115">
        <f>IFERROR(__xludf.DUMMYFUNCTION("""COMPUTED_VALUE"""),8302.0)</f>
        <v>8302</v>
      </c>
      <c r="F4690" s="115">
        <f>IFERROR(__xludf.DUMMYFUNCTION("""COMPUTED_VALUE"""),14504.0)</f>
        <v>14504</v>
      </c>
      <c r="G4690" s="115">
        <f>IFERROR(__xludf.DUMMYFUNCTION("""COMPUTED_VALUE"""),1842.0)</f>
        <v>1842</v>
      </c>
      <c r="H4690" s="116">
        <f>IFERROR(__xludf.DUMMYFUNCTION("""COMPUTED_VALUE"""),45909.0)</f>
        <v>45909</v>
      </c>
      <c r="I4690" s="115" t="str">
        <f>IFERROR(__xludf.DUMMYFUNCTION("""COMPUTED_VALUE"""),"15")</f>
        <v>15</v>
      </c>
      <c r="J4690" s="115" t="str">
        <f>IFERROR(__xludf.DUMMYFUNCTION("""COMPUTED_VALUE"""),"Ashish Jakar2025-09-0915")</f>
        <v>Ashish Jakar2025-09-0915</v>
      </c>
      <c r="K4690" s="115">
        <f>IFERROR(__xludf.DUMMYFUNCTION("""COMPUTED_VALUE"""),60369.0)</f>
        <v>60369</v>
      </c>
    </row>
    <row r="4691">
      <c r="A4691" s="115" t="str">
        <f>IFERROR(__xludf.DUMMYFUNCTION("""COMPUTED_VALUE"""),"WEST")</f>
        <v>WEST</v>
      </c>
      <c r="B4691" s="115" t="str">
        <f>IFERROR(__xludf.DUMMYFUNCTION("""COMPUTED_VALUE"""),"Ashish Jakar")</f>
        <v>Ashish Jakar</v>
      </c>
      <c r="C4691" s="115" t="str">
        <f>IFERROR(__xludf.DUMMYFUNCTION("""COMPUTED_VALUE"""),"FLIPKART")</f>
        <v>FLIPKART</v>
      </c>
      <c r="D4691" s="115">
        <f>IFERROR(__xludf.DUMMYFUNCTION("""COMPUTED_VALUE"""),338564.0)</f>
        <v>338564</v>
      </c>
      <c r="E4691" s="115">
        <f>IFERROR(__xludf.DUMMYFUNCTION("""COMPUTED_VALUE"""),34996.0)</f>
        <v>34996</v>
      </c>
      <c r="F4691" s="115">
        <f>IFERROR(__xludf.DUMMYFUNCTION("""COMPUTED_VALUE"""),170175.0)</f>
        <v>170175</v>
      </c>
      <c r="G4691" s="115">
        <f>IFERROR(__xludf.DUMMYFUNCTION("""COMPUTED_VALUE"""),10307.0)</f>
        <v>10307</v>
      </c>
      <c r="H4691" s="116">
        <f>IFERROR(__xludf.DUMMYFUNCTION("""COMPUTED_VALUE"""),45909.0)</f>
        <v>45909</v>
      </c>
      <c r="I4691" s="115" t="str">
        <f>IFERROR(__xludf.DUMMYFUNCTION("""COMPUTED_VALUE"""),"15")</f>
        <v>15</v>
      </c>
      <c r="J4691" s="115" t="str">
        <f>IFERROR(__xludf.DUMMYFUNCTION("""COMPUTED_VALUE"""),"Ashish Jakar2025-09-0915")</f>
        <v>Ashish Jakar2025-09-0915</v>
      </c>
      <c r="K4691" s="115">
        <f>IFERROR(__xludf.DUMMYFUNCTION("""COMPUTED_VALUE"""),373560.0)</f>
        <v>373560</v>
      </c>
    </row>
    <row r="4692">
      <c r="A4692" s="115" t="str">
        <f>IFERROR(__xludf.DUMMYFUNCTION("""COMPUTED_VALUE"""),"WEST")</f>
        <v>WEST</v>
      </c>
      <c r="B4692" s="115" t="str">
        <f>IFERROR(__xludf.DUMMYFUNCTION("""COMPUTED_VALUE"""),"Ashish Jakar")</f>
        <v>Ashish Jakar</v>
      </c>
      <c r="C4692" s="115" t="str">
        <f>IFERROR(__xludf.DUMMYFUNCTION("""COMPUTED_VALUE"""),"MYNTRA")</f>
        <v>MYNTRA</v>
      </c>
      <c r="D4692" s="115">
        <f>IFERROR(__xludf.DUMMYFUNCTION("""COMPUTED_VALUE"""),39420.0)</f>
        <v>39420</v>
      </c>
      <c r="E4692" s="115">
        <f>IFERROR(__xludf.DUMMYFUNCTION("""COMPUTED_VALUE"""),12040.0)</f>
        <v>12040</v>
      </c>
      <c r="F4692" s="115">
        <f>IFERROR(__xludf.DUMMYFUNCTION("""COMPUTED_VALUE"""),23406.0)</f>
        <v>23406</v>
      </c>
      <c r="G4692" s="115">
        <f>IFERROR(__xludf.DUMMYFUNCTION("""COMPUTED_VALUE"""),3882.0)</f>
        <v>3882</v>
      </c>
      <c r="H4692" s="116">
        <f>IFERROR(__xludf.DUMMYFUNCTION("""COMPUTED_VALUE"""),45909.0)</f>
        <v>45909</v>
      </c>
      <c r="I4692" s="115" t="str">
        <f>IFERROR(__xludf.DUMMYFUNCTION("""COMPUTED_VALUE"""),"15")</f>
        <v>15</v>
      </c>
      <c r="J4692" s="115" t="str">
        <f>IFERROR(__xludf.DUMMYFUNCTION("""COMPUTED_VALUE"""),"Ashish Jakar2025-09-0915")</f>
        <v>Ashish Jakar2025-09-0915</v>
      </c>
      <c r="K4692" s="115">
        <f>IFERROR(__xludf.DUMMYFUNCTION("""COMPUTED_VALUE"""),51460.0)</f>
        <v>51460</v>
      </c>
    </row>
    <row r="4693">
      <c r="A4693" s="115" t="str">
        <f>IFERROR(__xludf.DUMMYFUNCTION("""COMPUTED_VALUE"""),"WEST")</f>
        <v>WEST</v>
      </c>
      <c r="B4693" s="115" t="str">
        <f>IFERROR(__xludf.DUMMYFUNCTION("""COMPUTED_VALUE"""),"Ashvani Bhatt")</f>
        <v>Ashvani Bhatt</v>
      </c>
      <c r="C4693" s="115" t="str">
        <f>IFERROR(__xludf.DUMMYFUNCTION("""COMPUTED_VALUE"""),"EXTERNAL")</f>
        <v>EXTERNAL</v>
      </c>
      <c r="D4693" s="115">
        <f>IFERROR(__xludf.DUMMYFUNCTION("""COMPUTED_VALUE"""),40472.0)</f>
        <v>40472</v>
      </c>
      <c r="E4693" s="115">
        <f>IFERROR(__xludf.DUMMYFUNCTION("""COMPUTED_VALUE"""),4279.0)</f>
        <v>4279</v>
      </c>
      <c r="F4693" s="115">
        <f>IFERROR(__xludf.DUMMYFUNCTION("""COMPUTED_VALUE"""),12611.0)</f>
        <v>12611</v>
      </c>
      <c r="G4693" s="115">
        <f>IFERROR(__xludf.DUMMYFUNCTION("""COMPUTED_VALUE"""),653.0)</f>
        <v>653</v>
      </c>
      <c r="H4693" s="116">
        <f>IFERROR(__xludf.DUMMYFUNCTION("""COMPUTED_VALUE"""),45909.0)</f>
        <v>45909</v>
      </c>
      <c r="I4693" s="115" t="str">
        <f>IFERROR(__xludf.DUMMYFUNCTION("""COMPUTED_VALUE"""),"15")</f>
        <v>15</v>
      </c>
      <c r="J4693" s="115" t="str">
        <f>IFERROR(__xludf.DUMMYFUNCTION("""COMPUTED_VALUE"""),"Ashvani Bhatt2025-09-0915")</f>
        <v>Ashvani Bhatt2025-09-0915</v>
      </c>
      <c r="K4693" s="115">
        <f>IFERROR(__xludf.DUMMYFUNCTION("""COMPUTED_VALUE"""),44751.0)</f>
        <v>44751</v>
      </c>
    </row>
    <row r="4694">
      <c r="A4694" s="115" t="str">
        <f>IFERROR(__xludf.DUMMYFUNCTION("""COMPUTED_VALUE"""),"WEST")</f>
        <v>WEST</v>
      </c>
      <c r="B4694" s="115" t="str">
        <f>IFERROR(__xludf.DUMMYFUNCTION("""COMPUTED_VALUE"""),"Ashvani Bhatt")</f>
        <v>Ashvani Bhatt</v>
      </c>
      <c r="C4694" s="115" t="str">
        <f>IFERROR(__xludf.DUMMYFUNCTION("""COMPUTED_VALUE"""),"FLIPKART")</f>
        <v>FLIPKART</v>
      </c>
      <c r="D4694" s="115">
        <f>IFERROR(__xludf.DUMMYFUNCTION("""COMPUTED_VALUE"""),276514.0)</f>
        <v>276514</v>
      </c>
      <c r="E4694" s="115">
        <f>IFERROR(__xludf.DUMMYFUNCTION("""COMPUTED_VALUE"""),30035.0)</f>
        <v>30035</v>
      </c>
      <c r="F4694" s="115">
        <f>IFERROR(__xludf.DUMMYFUNCTION("""COMPUTED_VALUE"""),151770.0)</f>
        <v>151770</v>
      </c>
      <c r="G4694" s="115">
        <f>IFERROR(__xludf.DUMMYFUNCTION("""COMPUTED_VALUE"""),8142.0)</f>
        <v>8142</v>
      </c>
      <c r="H4694" s="116">
        <f>IFERROR(__xludf.DUMMYFUNCTION("""COMPUTED_VALUE"""),45909.0)</f>
        <v>45909</v>
      </c>
      <c r="I4694" s="115" t="str">
        <f>IFERROR(__xludf.DUMMYFUNCTION("""COMPUTED_VALUE"""),"15")</f>
        <v>15</v>
      </c>
      <c r="J4694" s="115" t="str">
        <f>IFERROR(__xludf.DUMMYFUNCTION("""COMPUTED_VALUE"""),"Ashvani Bhatt2025-09-0915")</f>
        <v>Ashvani Bhatt2025-09-0915</v>
      </c>
      <c r="K4694" s="115">
        <f>IFERROR(__xludf.DUMMYFUNCTION("""COMPUTED_VALUE"""),306549.0)</f>
        <v>306549</v>
      </c>
    </row>
    <row r="4695">
      <c r="A4695" s="115" t="str">
        <f>IFERROR(__xludf.DUMMYFUNCTION("""COMPUTED_VALUE"""),"WEST")</f>
        <v>WEST</v>
      </c>
      <c r="B4695" s="115" t="str">
        <f>IFERROR(__xludf.DUMMYFUNCTION("""COMPUTED_VALUE"""),"Ashvani Bhatt")</f>
        <v>Ashvani Bhatt</v>
      </c>
      <c r="C4695" s="115" t="str">
        <f>IFERROR(__xludf.DUMMYFUNCTION("""COMPUTED_VALUE"""),"MYNTRA")</f>
        <v>MYNTRA</v>
      </c>
      <c r="D4695" s="115">
        <f>IFERROR(__xludf.DUMMYFUNCTION("""COMPUTED_VALUE"""),37503.0)</f>
        <v>37503</v>
      </c>
      <c r="E4695" s="115">
        <f>IFERROR(__xludf.DUMMYFUNCTION("""COMPUTED_VALUE"""),9527.0)</f>
        <v>9527</v>
      </c>
      <c r="F4695" s="115">
        <f>IFERROR(__xludf.DUMMYFUNCTION("""COMPUTED_VALUE"""),24862.0)</f>
        <v>24862</v>
      </c>
      <c r="G4695" s="115">
        <f>IFERROR(__xludf.DUMMYFUNCTION("""COMPUTED_VALUE"""),3170.0)</f>
        <v>3170</v>
      </c>
      <c r="H4695" s="116">
        <f>IFERROR(__xludf.DUMMYFUNCTION("""COMPUTED_VALUE"""),45909.0)</f>
        <v>45909</v>
      </c>
      <c r="I4695" s="115" t="str">
        <f>IFERROR(__xludf.DUMMYFUNCTION("""COMPUTED_VALUE"""),"15")</f>
        <v>15</v>
      </c>
      <c r="J4695" s="115" t="str">
        <f>IFERROR(__xludf.DUMMYFUNCTION("""COMPUTED_VALUE"""),"Ashvani Bhatt2025-09-0915")</f>
        <v>Ashvani Bhatt2025-09-0915</v>
      </c>
      <c r="K4695" s="115">
        <f>IFERROR(__xludf.DUMMYFUNCTION("""COMPUTED_VALUE"""),47030.0)</f>
        <v>47030</v>
      </c>
    </row>
    <row r="4696">
      <c r="A4696" s="115"/>
      <c r="B4696" s="115"/>
      <c r="C4696" s="115" t="str">
        <f>IFERROR(__xludf.DUMMYFUNCTION("""COMPUTED_VALUE"""),"EXTERNAL")</f>
        <v>EXTERNAL</v>
      </c>
      <c r="D4696" s="115">
        <f>IFERROR(__xludf.DUMMYFUNCTION("""COMPUTED_VALUE"""),469.0)</f>
        <v>469</v>
      </c>
      <c r="E4696" s="115">
        <f>IFERROR(__xludf.DUMMYFUNCTION("""COMPUTED_VALUE"""),78.0)</f>
        <v>78</v>
      </c>
      <c r="F4696" s="115">
        <f>IFERROR(__xludf.DUMMYFUNCTION("""COMPUTED_VALUE"""),141.0)</f>
        <v>141</v>
      </c>
      <c r="G4696" s="115">
        <f>IFERROR(__xludf.DUMMYFUNCTION("""COMPUTED_VALUE"""),35.0)</f>
        <v>35</v>
      </c>
      <c r="H4696" s="116">
        <f>IFERROR(__xludf.DUMMYFUNCTION("""COMPUTED_VALUE"""),45909.0)</f>
        <v>45909</v>
      </c>
      <c r="I4696" s="115" t="str">
        <f>IFERROR(__xludf.DUMMYFUNCTION("""COMPUTED_VALUE"""),"15")</f>
        <v>15</v>
      </c>
      <c r="J4696" s="115" t="str">
        <f>IFERROR(__xludf.DUMMYFUNCTION("""COMPUTED_VALUE"""),"2025-09-0915")</f>
        <v>2025-09-0915</v>
      </c>
      <c r="K4696" s="115">
        <f>IFERROR(__xludf.DUMMYFUNCTION("""COMPUTED_VALUE"""),547.0)</f>
        <v>547</v>
      </c>
    </row>
    <row r="4697">
      <c r="A4697" s="115"/>
      <c r="B4697" s="115"/>
      <c r="C4697" s="115" t="str">
        <f>IFERROR(__xludf.DUMMYFUNCTION("""COMPUTED_VALUE"""),"FLIPKART")</f>
        <v>FLIPKART</v>
      </c>
      <c r="D4697" s="115">
        <f>IFERROR(__xludf.DUMMYFUNCTION("""COMPUTED_VALUE"""),5398.0)</f>
        <v>5398</v>
      </c>
      <c r="E4697" s="115">
        <f>IFERROR(__xludf.DUMMYFUNCTION("""COMPUTED_VALUE"""),497.0)</f>
        <v>497</v>
      </c>
      <c r="F4697" s="115">
        <f>IFERROR(__xludf.DUMMYFUNCTION("""COMPUTED_VALUE"""),2146.0)</f>
        <v>2146</v>
      </c>
      <c r="G4697" s="115">
        <f>IFERROR(__xludf.DUMMYFUNCTION("""COMPUTED_VALUE"""),198.0)</f>
        <v>198</v>
      </c>
      <c r="H4697" s="116">
        <f>IFERROR(__xludf.DUMMYFUNCTION("""COMPUTED_VALUE"""),45909.0)</f>
        <v>45909</v>
      </c>
      <c r="I4697" s="115" t="str">
        <f>IFERROR(__xludf.DUMMYFUNCTION("""COMPUTED_VALUE"""),"15")</f>
        <v>15</v>
      </c>
      <c r="J4697" s="115" t="str">
        <f>IFERROR(__xludf.DUMMYFUNCTION("""COMPUTED_VALUE"""),"2025-09-0915")</f>
        <v>2025-09-0915</v>
      </c>
      <c r="K4697" s="115">
        <f>IFERROR(__xludf.DUMMYFUNCTION("""COMPUTED_VALUE"""),5895.0)</f>
        <v>5895</v>
      </c>
    </row>
    <row r="4698">
      <c r="A4698" s="115"/>
      <c r="B4698" s="115"/>
      <c r="C4698" s="115" t="str">
        <f>IFERROR(__xludf.DUMMYFUNCTION("""COMPUTED_VALUE"""),"MYNTRA")</f>
        <v>MYNTRA</v>
      </c>
      <c r="D4698" s="115">
        <f>IFERROR(__xludf.DUMMYFUNCTION("""COMPUTED_VALUE"""),599.0)</f>
        <v>599</v>
      </c>
      <c r="E4698" s="115">
        <f>IFERROR(__xludf.DUMMYFUNCTION("""COMPUTED_VALUE"""),159.0)</f>
        <v>159</v>
      </c>
      <c r="F4698" s="115">
        <f>IFERROR(__xludf.DUMMYFUNCTION("""COMPUTED_VALUE"""),321.0)</f>
        <v>321</v>
      </c>
      <c r="G4698" s="115">
        <f>IFERROR(__xludf.DUMMYFUNCTION("""COMPUTED_VALUE"""),55.0)</f>
        <v>55</v>
      </c>
      <c r="H4698" s="116">
        <f>IFERROR(__xludf.DUMMYFUNCTION("""COMPUTED_VALUE"""),45909.0)</f>
        <v>45909</v>
      </c>
      <c r="I4698" s="115" t="str">
        <f>IFERROR(__xludf.DUMMYFUNCTION("""COMPUTED_VALUE"""),"15")</f>
        <v>15</v>
      </c>
      <c r="J4698" s="115" t="str">
        <f>IFERROR(__xludf.DUMMYFUNCTION("""COMPUTED_VALUE"""),"2025-09-0915")</f>
        <v>2025-09-0915</v>
      </c>
      <c r="K4698" s="115">
        <f>IFERROR(__xludf.DUMMYFUNCTION("""COMPUTED_VALUE"""),758.0)</f>
        <v>758</v>
      </c>
    </row>
    <row r="4699">
      <c r="A4699" s="115" t="str">
        <f>IFERROR(__xludf.DUMMYFUNCTION("""COMPUTED_VALUE"""),"EAST")</f>
        <v>EAST</v>
      </c>
      <c r="B4699" s="115" t="str">
        <f>IFERROR(__xludf.DUMMYFUNCTION("""COMPUTED_VALUE"""),"Ashish Ranjan")</f>
        <v>Ashish Ranjan</v>
      </c>
      <c r="C4699" s="115" t="str">
        <f>IFERROR(__xludf.DUMMYFUNCTION("""COMPUTED_VALUE"""),"EXTERNAL")</f>
        <v>EXTERNAL</v>
      </c>
      <c r="D4699" s="115">
        <f>IFERROR(__xludf.DUMMYFUNCTION("""COMPUTED_VALUE"""),40573.0)</f>
        <v>40573</v>
      </c>
      <c r="E4699" s="115">
        <f>IFERROR(__xludf.DUMMYFUNCTION("""COMPUTED_VALUE"""),4098.0)</f>
        <v>4098</v>
      </c>
      <c r="F4699" s="115">
        <f>IFERROR(__xludf.DUMMYFUNCTION("""COMPUTED_VALUE"""),17522.0)</f>
        <v>17522</v>
      </c>
      <c r="G4699" s="115">
        <f>IFERROR(__xludf.DUMMYFUNCTION("""COMPUTED_VALUE"""),1238.0)</f>
        <v>1238</v>
      </c>
      <c r="H4699" s="116">
        <f>IFERROR(__xludf.DUMMYFUNCTION("""COMPUTED_VALUE"""),45909.0)</f>
        <v>45909</v>
      </c>
      <c r="I4699" s="115" t="str">
        <f>IFERROR(__xludf.DUMMYFUNCTION("""COMPUTED_VALUE"""),"16")</f>
        <v>16</v>
      </c>
      <c r="J4699" s="115" t="str">
        <f>IFERROR(__xludf.DUMMYFUNCTION("""COMPUTED_VALUE"""),"Ashish Ranjan2025-09-0916")</f>
        <v>Ashish Ranjan2025-09-0916</v>
      </c>
      <c r="K4699" s="115">
        <f>IFERROR(__xludf.DUMMYFUNCTION("""COMPUTED_VALUE"""),44671.0)</f>
        <v>44671</v>
      </c>
    </row>
    <row r="4700">
      <c r="A4700" s="115" t="str">
        <f>IFERROR(__xludf.DUMMYFUNCTION("""COMPUTED_VALUE"""),"EAST")</f>
        <v>EAST</v>
      </c>
      <c r="B4700" s="115" t="str">
        <f>IFERROR(__xludf.DUMMYFUNCTION("""COMPUTED_VALUE"""),"Ashish Ranjan")</f>
        <v>Ashish Ranjan</v>
      </c>
      <c r="C4700" s="115" t="str">
        <f>IFERROR(__xludf.DUMMYFUNCTION("""COMPUTED_VALUE"""),"FLIPKART")</f>
        <v>FLIPKART</v>
      </c>
      <c r="D4700" s="115">
        <f>IFERROR(__xludf.DUMMYFUNCTION("""COMPUTED_VALUE"""),635774.0)</f>
        <v>635774</v>
      </c>
      <c r="E4700" s="115">
        <f>IFERROR(__xludf.DUMMYFUNCTION("""COMPUTED_VALUE"""),69765.0)</f>
        <v>69765</v>
      </c>
      <c r="F4700" s="115">
        <f>IFERROR(__xludf.DUMMYFUNCTION("""COMPUTED_VALUE"""),459136.0)</f>
        <v>459136</v>
      </c>
      <c r="G4700" s="115">
        <f>IFERROR(__xludf.DUMMYFUNCTION("""COMPUTED_VALUE"""),31694.0)</f>
        <v>31694</v>
      </c>
      <c r="H4700" s="116">
        <f>IFERROR(__xludf.DUMMYFUNCTION("""COMPUTED_VALUE"""),45909.0)</f>
        <v>45909</v>
      </c>
      <c r="I4700" s="115" t="str">
        <f>IFERROR(__xludf.DUMMYFUNCTION("""COMPUTED_VALUE"""),"16")</f>
        <v>16</v>
      </c>
      <c r="J4700" s="115" t="str">
        <f>IFERROR(__xludf.DUMMYFUNCTION("""COMPUTED_VALUE"""),"Ashish Ranjan2025-09-0916")</f>
        <v>Ashish Ranjan2025-09-0916</v>
      </c>
      <c r="K4700" s="115">
        <f>IFERROR(__xludf.DUMMYFUNCTION("""COMPUTED_VALUE"""),705539.0)</f>
        <v>705539</v>
      </c>
    </row>
    <row r="4701">
      <c r="A4701" s="115" t="str">
        <f>IFERROR(__xludf.DUMMYFUNCTION("""COMPUTED_VALUE"""),"EAST")</f>
        <v>EAST</v>
      </c>
      <c r="B4701" s="115" t="str">
        <f>IFERROR(__xludf.DUMMYFUNCTION("""COMPUTED_VALUE"""),"Ashish Ranjan")</f>
        <v>Ashish Ranjan</v>
      </c>
      <c r="C4701" s="115" t="str">
        <f>IFERROR(__xludf.DUMMYFUNCTION("""COMPUTED_VALUE"""),"MYNTRA")</f>
        <v>MYNTRA</v>
      </c>
      <c r="D4701" s="115">
        <f>IFERROR(__xludf.DUMMYFUNCTION("""COMPUTED_VALUE"""),73781.0)</f>
        <v>73781</v>
      </c>
      <c r="E4701" s="115">
        <f>IFERROR(__xludf.DUMMYFUNCTION("""COMPUTED_VALUE"""),16402.0)</f>
        <v>16402</v>
      </c>
      <c r="F4701" s="115">
        <f>IFERROR(__xludf.DUMMYFUNCTION("""COMPUTED_VALUE"""),53406.0)</f>
        <v>53406</v>
      </c>
      <c r="G4701" s="115">
        <f>IFERROR(__xludf.DUMMYFUNCTION("""COMPUTED_VALUE"""),7363.0)</f>
        <v>7363</v>
      </c>
      <c r="H4701" s="116">
        <f>IFERROR(__xludf.DUMMYFUNCTION("""COMPUTED_VALUE"""),45909.0)</f>
        <v>45909</v>
      </c>
      <c r="I4701" s="115" t="str">
        <f>IFERROR(__xludf.DUMMYFUNCTION("""COMPUTED_VALUE"""),"16")</f>
        <v>16</v>
      </c>
      <c r="J4701" s="115" t="str">
        <f>IFERROR(__xludf.DUMMYFUNCTION("""COMPUTED_VALUE"""),"Ashish Ranjan2025-09-0916")</f>
        <v>Ashish Ranjan2025-09-0916</v>
      </c>
      <c r="K4701" s="115">
        <f>IFERROR(__xludf.DUMMYFUNCTION("""COMPUTED_VALUE"""),90183.0)</f>
        <v>90183</v>
      </c>
    </row>
    <row r="4702">
      <c r="A4702" s="115" t="str">
        <f>IFERROR(__xludf.DUMMYFUNCTION("""COMPUTED_VALUE"""),"EAST")</f>
        <v>EAST</v>
      </c>
      <c r="B4702" s="115" t="str">
        <f>IFERROR(__xludf.DUMMYFUNCTION("""COMPUTED_VALUE"""),"Girish Chand")</f>
        <v>Girish Chand</v>
      </c>
      <c r="C4702" s="115" t="str">
        <f>IFERROR(__xludf.DUMMYFUNCTION("""COMPUTED_VALUE"""),"EXTERNAL")</f>
        <v>EXTERNAL</v>
      </c>
      <c r="D4702" s="115">
        <f>IFERROR(__xludf.DUMMYFUNCTION("""COMPUTED_VALUE"""),24307.0)</f>
        <v>24307</v>
      </c>
      <c r="E4702" s="115">
        <f>IFERROR(__xludf.DUMMYFUNCTION("""COMPUTED_VALUE"""),2570.0)</f>
        <v>2570</v>
      </c>
      <c r="F4702" s="115">
        <f>IFERROR(__xludf.DUMMYFUNCTION("""COMPUTED_VALUE"""),9009.0)</f>
        <v>9009</v>
      </c>
      <c r="G4702" s="115">
        <f>IFERROR(__xludf.DUMMYFUNCTION("""COMPUTED_VALUE"""),381.0)</f>
        <v>381</v>
      </c>
      <c r="H4702" s="116">
        <f>IFERROR(__xludf.DUMMYFUNCTION("""COMPUTED_VALUE"""),45909.0)</f>
        <v>45909</v>
      </c>
      <c r="I4702" s="115" t="str">
        <f>IFERROR(__xludf.DUMMYFUNCTION("""COMPUTED_VALUE"""),"16")</f>
        <v>16</v>
      </c>
      <c r="J4702" s="115" t="str">
        <f>IFERROR(__xludf.DUMMYFUNCTION("""COMPUTED_VALUE"""),"Girish Chand2025-09-0916")</f>
        <v>Girish Chand2025-09-0916</v>
      </c>
      <c r="K4702" s="115">
        <f>IFERROR(__xludf.DUMMYFUNCTION("""COMPUTED_VALUE"""),26877.0)</f>
        <v>26877</v>
      </c>
    </row>
    <row r="4703">
      <c r="A4703" s="115" t="str">
        <f>IFERROR(__xludf.DUMMYFUNCTION("""COMPUTED_VALUE"""),"EAST")</f>
        <v>EAST</v>
      </c>
      <c r="B4703" s="115" t="str">
        <f>IFERROR(__xludf.DUMMYFUNCTION("""COMPUTED_VALUE"""),"Girish Chand")</f>
        <v>Girish Chand</v>
      </c>
      <c r="C4703" s="115" t="str">
        <f>IFERROR(__xludf.DUMMYFUNCTION("""COMPUTED_VALUE"""),"FLIPKART")</f>
        <v>FLIPKART</v>
      </c>
      <c r="D4703" s="115">
        <f>IFERROR(__xludf.DUMMYFUNCTION("""COMPUTED_VALUE"""),394419.0)</f>
        <v>394419</v>
      </c>
      <c r="E4703" s="115">
        <f>IFERROR(__xludf.DUMMYFUNCTION("""COMPUTED_VALUE"""),39320.0)</f>
        <v>39320</v>
      </c>
      <c r="F4703" s="115">
        <f>IFERROR(__xludf.DUMMYFUNCTION("""COMPUTED_VALUE"""),247693.0)</f>
        <v>247693</v>
      </c>
      <c r="G4703" s="115">
        <f>IFERROR(__xludf.DUMMYFUNCTION("""COMPUTED_VALUE"""),13537.0)</f>
        <v>13537</v>
      </c>
      <c r="H4703" s="116">
        <f>IFERROR(__xludf.DUMMYFUNCTION("""COMPUTED_VALUE"""),45909.0)</f>
        <v>45909</v>
      </c>
      <c r="I4703" s="115" t="str">
        <f>IFERROR(__xludf.DUMMYFUNCTION("""COMPUTED_VALUE"""),"16")</f>
        <v>16</v>
      </c>
      <c r="J4703" s="115" t="str">
        <f>IFERROR(__xludf.DUMMYFUNCTION("""COMPUTED_VALUE"""),"Girish Chand2025-09-0916")</f>
        <v>Girish Chand2025-09-0916</v>
      </c>
      <c r="K4703" s="115">
        <f>IFERROR(__xludf.DUMMYFUNCTION("""COMPUTED_VALUE"""),433739.0)</f>
        <v>433739</v>
      </c>
    </row>
    <row r="4704">
      <c r="A4704" s="115" t="str">
        <f>IFERROR(__xludf.DUMMYFUNCTION("""COMPUTED_VALUE"""),"EAST")</f>
        <v>EAST</v>
      </c>
      <c r="B4704" s="115" t="str">
        <f>IFERROR(__xludf.DUMMYFUNCTION("""COMPUTED_VALUE"""),"Girish Chand")</f>
        <v>Girish Chand</v>
      </c>
      <c r="C4704" s="115" t="str">
        <f>IFERROR(__xludf.DUMMYFUNCTION("""COMPUTED_VALUE"""),"MYNTRA")</f>
        <v>MYNTRA</v>
      </c>
      <c r="D4704" s="115">
        <f>IFERROR(__xludf.DUMMYFUNCTION("""COMPUTED_VALUE"""),39725.0)</f>
        <v>39725</v>
      </c>
      <c r="E4704" s="115">
        <f>IFERROR(__xludf.DUMMYFUNCTION("""COMPUTED_VALUE"""),7575.0)</f>
        <v>7575</v>
      </c>
      <c r="F4704" s="115">
        <f>IFERROR(__xludf.DUMMYFUNCTION("""COMPUTED_VALUE"""),27087.0)</f>
        <v>27087</v>
      </c>
      <c r="G4704" s="115">
        <f>IFERROR(__xludf.DUMMYFUNCTION("""COMPUTED_VALUE"""),3013.0)</f>
        <v>3013</v>
      </c>
      <c r="H4704" s="116">
        <f>IFERROR(__xludf.DUMMYFUNCTION("""COMPUTED_VALUE"""),45909.0)</f>
        <v>45909</v>
      </c>
      <c r="I4704" s="115" t="str">
        <f>IFERROR(__xludf.DUMMYFUNCTION("""COMPUTED_VALUE"""),"16")</f>
        <v>16</v>
      </c>
      <c r="J4704" s="115" t="str">
        <f>IFERROR(__xludf.DUMMYFUNCTION("""COMPUTED_VALUE"""),"Girish Chand2025-09-0916")</f>
        <v>Girish Chand2025-09-0916</v>
      </c>
      <c r="K4704" s="115">
        <f>IFERROR(__xludf.DUMMYFUNCTION("""COMPUTED_VALUE"""),47300.0)</f>
        <v>47300</v>
      </c>
    </row>
    <row r="4705">
      <c r="A4705" s="115" t="str">
        <f>IFERROR(__xludf.DUMMYFUNCTION("""COMPUTED_VALUE"""),"EAST")</f>
        <v>EAST</v>
      </c>
      <c r="B4705" s="115" t="str">
        <f>IFERROR(__xludf.DUMMYFUNCTION("""COMPUTED_VALUE"""),"Parag Kashyap")</f>
        <v>Parag Kashyap</v>
      </c>
      <c r="C4705" s="115" t="str">
        <f>IFERROR(__xludf.DUMMYFUNCTION("""COMPUTED_VALUE"""),"EXTERNAL")</f>
        <v>EXTERNAL</v>
      </c>
      <c r="D4705" s="115">
        <f>IFERROR(__xludf.DUMMYFUNCTION("""COMPUTED_VALUE"""),17968.0)</f>
        <v>17968</v>
      </c>
      <c r="E4705" s="115">
        <f>IFERROR(__xludf.DUMMYFUNCTION("""COMPUTED_VALUE"""),1335.0)</f>
        <v>1335</v>
      </c>
      <c r="F4705" s="115">
        <f>IFERROR(__xludf.DUMMYFUNCTION("""COMPUTED_VALUE"""),5995.0)</f>
        <v>5995</v>
      </c>
      <c r="G4705" s="115">
        <f>IFERROR(__xludf.DUMMYFUNCTION("""COMPUTED_VALUE"""),169.0)</f>
        <v>169</v>
      </c>
      <c r="H4705" s="116">
        <f>IFERROR(__xludf.DUMMYFUNCTION("""COMPUTED_VALUE"""),45909.0)</f>
        <v>45909</v>
      </c>
      <c r="I4705" s="115" t="str">
        <f>IFERROR(__xludf.DUMMYFUNCTION("""COMPUTED_VALUE"""),"16")</f>
        <v>16</v>
      </c>
      <c r="J4705" s="115" t="str">
        <f>IFERROR(__xludf.DUMMYFUNCTION("""COMPUTED_VALUE"""),"Parag Kashyap2025-09-0916")</f>
        <v>Parag Kashyap2025-09-0916</v>
      </c>
      <c r="K4705" s="115">
        <f>IFERROR(__xludf.DUMMYFUNCTION("""COMPUTED_VALUE"""),19303.0)</f>
        <v>19303</v>
      </c>
    </row>
    <row r="4706">
      <c r="A4706" s="115" t="str">
        <f>IFERROR(__xludf.DUMMYFUNCTION("""COMPUTED_VALUE"""),"EAST")</f>
        <v>EAST</v>
      </c>
      <c r="B4706" s="115" t="str">
        <f>IFERROR(__xludf.DUMMYFUNCTION("""COMPUTED_VALUE"""),"Parag Kashyap")</f>
        <v>Parag Kashyap</v>
      </c>
      <c r="C4706" s="115" t="str">
        <f>IFERROR(__xludf.DUMMYFUNCTION("""COMPUTED_VALUE"""),"FLIPKART")</f>
        <v>FLIPKART</v>
      </c>
      <c r="D4706" s="115">
        <f>IFERROR(__xludf.DUMMYFUNCTION("""COMPUTED_VALUE"""),311740.0)</f>
        <v>311740</v>
      </c>
      <c r="E4706" s="115">
        <f>IFERROR(__xludf.DUMMYFUNCTION("""COMPUTED_VALUE"""),20481.0)</f>
        <v>20481</v>
      </c>
      <c r="F4706" s="115">
        <f>IFERROR(__xludf.DUMMYFUNCTION("""COMPUTED_VALUE"""),183523.0)</f>
        <v>183523</v>
      </c>
      <c r="G4706" s="115">
        <f>IFERROR(__xludf.DUMMYFUNCTION("""COMPUTED_VALUE"""),4667.0)</f>
        <v>4667</v>
      </c>
      <c r="H4706" s="116">
        <f>IFERROR(__xludf.DUMMYFUNCTION("""COMPUTED_VALUE"""),45909.0)</f>
        <v>45909</v>
      </c>
      <c r="I4706" s="115" t="str">
        <f>IFERROR(__xludf.DUMMYFUNCTION("""COMPUTED_VALUE"""),"16")</f>
        <v>16</v>
      </c>
      <c r="J4706" s="115" t="str">
        <f>IFERROR(__xludf.DUMMYFUNCTION("""COMPUTED_VALUE"""),"Parag Kashyap2025-09-0916")</f>
        <v>Parag Kashyap2025-09-0916</v>
      </c>
      <c r="K4706" s="115">
        <f>IFERROR(__xludf.DUMMYFUNCTION("""COMPUTED_VALUE"""),332221.0)</f>
        <v>332221</v>
      </c>
    </row>
    <row r="4707">
      <c r="A4707" s="115" t="str">
        <f>IFERROR(__xludf.DUMMYFUNCTION("""COMPUTED_VALUE"""),"EAST")</f>
        <v>EAST</v>
      </c>
      <c r="B4707" s="115" t="str">
        <f>IFERROR(__xludf.DUMMYFUNCTION("""COMPUTED_VALUE"""),"Parag Kashyap")</f>
        <v>Parag Kashyap</v>
      </c>
      <c r="C4707" s="115" t="str">
        <f>IFERROR(__xludf.DUMMYFUNCTION("""COMPUTED_VALUE"""),"MYNTRA")</f>
        <v>MYNTRA</v>
      </c>
      <c r="D4707" s="115">
        <f>IFERROR(__xludf.DUMMYFUNCTION("""COMPUTED_VALUE"""),40198.0)</f>
        <v>40198</v>
      </c>
      <c r="E4707" s="115">
        <f>IFERROR(__xludf.DUMMYFUNCTION("""COMPUTED_VALUE"""),6257.0)</f>
        <v>6257</v>
      </c>
      <c r="F4707" s="115">
        <f>IFERROR(__xludf.DUMMYFUNCTION("""COMPUTED_VALUE"""),25131.0)</f>
        <v>25131</v>
      </c>
      <c r="G4707" s="115">
        <f>IFERROR(__xludf.DUMMYFUNCTION("""COMPUTED_VALUE"""),1529.0)</f>
        <v>1529</v>
      </c>
      <c r="H4707" s="116">
        <f>IFERROR(__xludf.DUMMYFUNCTION("""COMPUTED_VALUE"""),45909.0)</f>
        <v>45909</v>
      </c>
      <c r="I4707" s="115" t="str">
        <f>IFERROR(__xludf.DUMMYFUNCTION("""COMPUTED_VALUE"""),"16")</f>
        <v>16</v>
      </c>
      <c r="J4707" s="115" t="str">
        <f>IFERROR(__xludf.DUMMYFUNCTION("""COMPUTED_VALUE"""),"Parag Kashyap2025-09-0916")</f>
        <v>Parag Kashyap2025-09-0916</v>
      </c>
      <c r="K4707" s="115">
        <f>IFERROR(__xludf.DUMMYFUNCTION("""COMPUTED_VALUE"""),46455.0)</f>
        <v>46455</v>
      </c>
    </row>
    <row r="4708">
      <c r="A4708" s="115" t="str">
        <f>IFERROR(__xludf.DUMMYFUNCTION("""COMPUTED_VALUE"""),"NORTH")</f>
        <v>NORTH</v>
      </c>
      <c r="B4708" s="115" t="str">
        <f>IFERROR(__xludf.DUMMYFUNCTION("""COMPUTED_VALUE"""),"Amit Kumar Pathak")</f>
        <v>Amit Kumar Pathak</v>
      </c>
      <c r="C4708" s="115" t="str">
        <f>IFERROR(__xludf.DUMMYFUNCTION("""COMPUTED_VALUE"""),"EXTERNAL")</f>
        <v>EXTERNAL</v>
      </c>
      <c r="D4708" s="115">
        <f>IFERROR(__xludf.DUMMYFUNCTION("""COMPUTED_VALUE"""),28059.0)</f>
        <v>28059</v>
      </c>
      <c r="E4708" s="115">
        <f>IFERROR(__xludf.DUMMYFUNCTION("""COMPUTED_VALUE"""),3961.0)</f>
        <v>3961</v>
      </c>
      <c r="F4708" s="115">
        <f>IFERROR(__xludf.DUMMYFUNCTION("""COMPUTED_VALUE"""),7936.0)</f>
        <v>7936</v>
      </c>
      <c r="G4708" s="115">
        <f>IFERROR(__xludf.DUMMYFUNCTION("""COMPUTED_VALUE"""),1308.0)</f>
        <v>1308</v>
      </c>
      <c r="H4708" s="116">
        <f>IFERROR(__xludf.DUMMYFUNCTION("""COMPUTED_VALUE"""),45909.0)</f>
        <v>45909</v>
      </c>
      <c r="I4708" s="115" t="str">
        <f>IFERROR(__xludf.DUMMYFUNCTION("""COMPUTED_VALUE"""),"16")</f>
        <v>16</v>
      </c>
      <c r="J4708" s="115" t="str">
        <f>IFERROR(__xludf.DUMMYFUNCTION("""COMPUTED_VALUE"""),"Amit Kumar Pathak2025-09-0916")</f>
        <v>Amit Kumar Pathak2025-09-0916</v>
      </c>
      <c r="K4708" s="115">
        <f>IFERROR(__xludf.DUMMYFUNCTION("""COMPUTED_VALUE"""),32020.0)</f>
        <v>32020</v>
      </c>
    </row>
    <row r="4709">
      <c r="A4709" s="115" t="str">
        <f>IFERROR(__xludf.DUMMYFUNCTION("""COMPUTED_VALUE"""),"NORTH")</f>
        <v>NORTH</v>
      </c>
      <c r="B4709" s="115" t="str">
        <f>IFERROR(__xludf.DUMMYFUNCTION("""COMPUTED_VALUE"""),"Amit Kumar Pathak")</f>
        <v>Amit Kumar Pathak</v>
      </c>
      <c r="C4709" s="115" t="str">
        <f>IFERROR(__xludf.DUMMYFUNCTION("""COMPUTED_VALUE"""),"FLIPKART")</f>
        <v>FLIPKART</v>
      </c>
      <c r="D4709" s="115">
        <f>IFERROR(__xludf.DUMMYFUNCTION("""COMPUTED_VALUE"""),172501.0)</f>
        <v>172501</v>
      </c>
      <c r="E4709" s="115">
        <f>IFERROR(__xludf.DUMMYFUNCTION("""COMPUTED_VALUE"""),23909.0)</f>
        <v>23909</v>
      </c>
      <c r="F4709" s="115">
        <f>IFERROR(__xludf.DUMMYFUNCTION("""COMPUTED_VALUE"""),91196.0)</f>
        <v>91196</v>
      </c>
      <c r="G4709" s="115">
        <f>IFERROR(__xludf.DUMMYFUNCTION("""COMPUTED_VALUE"""),10205.0)</f>
        <v>10205</v>
      </c>
      <c r="H4709" s="116">
        <f>IFERROR(__xludf.DUMMYFUNCTION("""COMPUTED_VALUE"""),45909.0)</f>
        <v>45909</v>
      </c>
      <c r="I4709" s="115" t="str">
        <f>IFERROR(__xludf.DUMMYFUNCTION("""COMPUTED_VALUE"""),"16")</f>
        <v>16</v>
      </c>
      <c r="J4709" s="115" t="str">
        <f>IFERROR(__xludf.DUMMYFUNCTION("""COMPUTED_VALUE"""),"Amit Kumar Pathak2025-09-0916")</f>
        <v>Amit Kumar Pathak2025-09-0916</v>
      </c>
      <c r="K4709" s="115">
        <f>IFERROR(__xludf.DUMMYFUNCTION("""COMPUTED_VALUE"""),196410.0)</f>
        <v>196410</v>
      </c>
    </row>
    <row r="4710">
      <c r="A4710" s="115" t="str">
        <f>IFERROR(__xludf.DUMMYFUNCTION("""COMPUTED_VALUE"""),"NORTH")</f>
        <v>NORTH</v>
      </c>
      <c r="B4710" s="115" t="str">
        <f>IFERROR(__xludf.DUMMYFUNCTION("""COMPUTED_VALUE"""),"Amit Kumar Pathak")</f>
        <v>Amit Kumar Pathak</v>
      </c>
      <c r="C4710" s="115" t="str">
        <f>IFERROR(__xludf.DUMMYFUNCTION("""COMPUTED_VALUE"""),"MYNTRA")</f>
        <v>MYNTRA</v>
      </c>
      <c r="D4710" s="115">
        <f>IFERROR(__xludf.DUMMYFUNCTION("""COMPUTED_VALUE"""),16816.0)</f>
        <v>16816</v>
      </c>
      <c r="E4710" s="115">
        <f>IFERROR(__xludf.DUMMYFUNCTION("""COMPUTED_VALUE"""),5821.0)</f>
        <v>5821</v>
      </c>
      <c r="F4710" s="115">
        <f>IFERROR(__xludf.DUMMYFUNCTION("""COMPUTED_VALUE"""),10275.0)</f>
        <v>10275</v>
      </c>
      <c r="G4710" s="115">
        <f>IFERROR(__xludf.DUMMYFUNCTION("""COMPUTED_VALUE"""),2923.0)</f>
        <v>2923</v>
      </c>
      <c r="H4710" s="116">
        <f>IFERROR(__xludf.DUMMYFUNCTION("""COMPUTED_VALUE"""),45909.0)</f>
        <v>45909</v>
      </c>
      <c r="I4710" s="115" t="str">
        <f>IFERROR(__xludf.DUMMYFUNCTION("""COMPUTED_VALUE"""),"16")</f>
        <v>16</v>
      </c>
      <c r="J4710" s="115" t="str">
        <f>IFERROR(__xludf.DUMMYFUNCTION("""COMPUTED_VALUE"""),"Amit Kumar Pathak2025-09-0916")</f>
        <v>Amit Kumar Pathak2025-09-0916</v>
      </c>
      <c r="K4710" s="115">
        <f>IFERROR(__xludf.DUMMYFUNCTION("""COMPUTED_VALUE"""),22637.0)</f>
        <v>22637</v>
      </c>
    </row>
    <row r="4711">
      <c r="A4711" s="115" t="str">
        <f>IFERROR(__xludf.DUMMYFUNCTION("""COMPUTED_VALUE"""),"NORTH")</f>
        <v>NORTH</v>
      </c>
      <c r="B4711" s="115" t="str">
        <f>IFERROR(__xludf.DUMMYFUNCTION("""COMPUTED_VALUE"""),"Loveleen Singh")</f>
        <v>Loveleen Singh</v>
      </c>
      <c r="C4711" s="115" t="str">
        <f>IFERROR(__xludf.DUMMYFUNCTION("""COMPUTED_VALUE"""),"EXTERNAL")</f>
        <v>EXTERNAL</v>
      </c>
      <c r="D4711" s="115">
        <f>IFERROR(__xludf.DUMMYFUNCTION("""COMPUTED_VALUE"""),34378.0)</f>
        <v>34378</v>
      </c>
      <c r="E4711" s="115">
        <f>IFERROR(__xludf.DUMMYFUNCTION("""COMPUTED_VALUE"""),3109.0)</f>
        <v>3109</v>
      </c>
      <c r="F4711" s="115">
        <f>IFERROR(__xludf.DUMMYFUNCTION("""COMPUTED_VALUE"""),11236.0)</f>
        <v>11236</v>
      </c>
      <c r="G4711" s="115">
        <f>IFERROR(__xludf.DUMMYFUNCTION("""COMPUTED_VALUE"""),443.0)</f>
        <v>443</v>
      </c>
      <c r="H4711" s="116">
        <f>IFERROR(__xludf.DUMMYFUNCTION("""COMPUTED_VALUE"""),45909.0)</f>
        <v>45909</v>
      </c>
      <c r="I4711" s="115" t="str">
        <f>IFERROR(__xludf.DUMMYFUNCTION("""COMPUTED_VALUE"""),"16")</f>
        <v>16</v>
      </c>
      <c r="J4711" s="115" t="str">
        <f>IFERROR(__xludf.DUMMYFUNCTION("""COMPUTED_VALUE"""),"Loveleen Singh2025-09-0916")</f>
        <v>Loveleen Singh2025-09-0916</v>
      </c>
      <c r="K4711" s="115">
        <f>IFERROR(__xludf.DUMMYFUNCTION("""COMPUTED_VALUE"""),37487.0)</f>
        <v>37487</v>
      </c>
    </row>
    <row r="4712">
      <c r="A4712" s="115" t="str">
        <f>IFERROR(__xludf.DUMMYFUNCTION("""COMPUTED_VALUE"""),"NORTH")</f>
        <v>NORTH</v>
      </c>
      <c r="B4712" s="115" t="str">
        <f>IFERROR(__xludf.DUMMYFUNCTION("""COMPUTED_VALUE"""),"Loveleen Singh")</f>
        <v>Loveleen Singh</v>
      </c>
      <c r="C4712" s="115" t="str">
        <f>IFERROR(__xludf.DUMMYFUNCTION("""COMPUTED_VALUE"""),"FLIPKART")</f>
        <v>FLIPKART</v>
      </c>
      <c r="D4712" s="115">
        <f>IFERROR(__xludf.DUMMYFUNCTION("""COMPUTED_VALUE"""),178432.0)</f>
        <v>178432</v>
      </c>
      <c r="E4712" s="115">
        <f>IFERROR(__xludf.DUMMYFUNCTION("""COMPUTED_VALUE"""),15117.0)</f>
        <v>15117</v>
      </c>
      <c r="F4712" s="115">
        <f>IFERROR(__xludf.DUMMYFUNCTION("""COMPUTED_VALUE"""),108168.0)</f>
        <v>108168</v>
      </c>
      <c r="G4712" s="115">
        <f>IFERROR(__xludf.DUMMYFUNCTION("""COMPUTED_VALUE"""),4864.0)</f>
        <v>4864</v>
      </c>
      <c r="H4712" s="116">
        <f>IFERROR(__xludf.DUMMYFUNCTION("""COMPUTED_VALUE"""),45909.0)</f>
        <v>45909</v>
      </c>
      <c r="I4712" s="115" t="str">
        <f>IFERROR(__xludf.DUMMYFUNCTION("""COMPUTED_VALUE"""),"16")</f>
        <v>16</v>
      </c>
      <c r="J4712" s="115" t="str">
        <f>IFERROR(__xludf.DUMMYFUNCTION("""COMPUTED_VALUE"""),"Loveleen Singh2025-09-0916")</f>
        <v>Loveleen Singh2025-09-0916</v>
      </c>
      <c r="K4712" s="115">
        <f>IFERROR(__xludf.DUMMYFUNCTION("""COMPUTED_VALUE"""),193549.0)</f>
        <v>193549</v>
      </c>
    </row>
    <row r="4713">
      <c r="A4713" s="115" t="str">
        <f>IFERROR(__xludf.DUMMYFUNCTION("""COMPUTED_VALUE"""),"NORTH")</f>
        <v>NORTH</v>
      </c>
      <c r="B4713" s="115" t="str">
        <f>IFERROR(__xludf.DUMMYFUNCTION("""COMPUTED_VALUE"""),"Loveleen Singh")</f>
        <v>Loveleen Singh</v>
      </c>
      <c r="C4713" s="115" t="str">
        <f>IFERROR(__xludf.DUMMYFUNCTION("""COMPUTED_VALUE"""),"MYNTRA")</f>
        <v>MYNTRA</v>
      </c>
      <c r="D4713" s="115">
        <f>IFERROR(__xludf.DUMMYFUNCTION("""COMPUTED_VALUE"""),31751.0)</f>
        <v>31751</v>
      </c>
      <c r="E4713" s="115">
        <f>IFERROR(__xludf.DUMMYFUNCTION("""COMPUTED_VALUE"""),6664.0)</f>
        <v>6664</v>
      </c>
      <c r="F4713" s="115">
        <f>IFERROR(__xludf.DUMMYFUNCTION("""COMPUTED_VALUE"""),21874.0)</f>
        <v>21874</v>
      </c>
      <c r="G4713" s="115">
        <f>IFERROR(__xludf.DUMMYFUNCTION("""COMPUTED_VALUE"""),2456.0)</f>
        <v>2456</v>
      </c>
      <c r="H4713" s="116">
        <f>IFERROR(__xludf.DUMMYFUNCTION("""COMPUTED_VALUE"""),45909.0)</f>
        <v>45909</v>
      </c>
      <c r="I4713" s="115" t="str">
        <f>IFERROR(__xludf.DUMMYFUNCTION("""COMPUTED_VALUE"""),"16")</f>
        <v>16</v>
      </c>
      <c r="J4713" s="115" t="str">
        <f>IFERROR(__xludf.DUMMYFUNCTION("""COMPUTED_VALUE"""),"Loveleen Singh2025-09-0916")</f>
        <v>Loveleen Singh2025-09-0916</v>
      </c>
      <c r="K4713" s="115">
        <f>IFERROR(__xludf.DUMMYFUNCTION("""COMPUTED_VALUE"""),38415.0)</f>
        <v>38415</v>
      </c>
    </row>
    <row r="4714">
      <c r="A4714" s="115" t="str">
        <f>IFERROR(__xludf.DUMMYFUNCTION("""COMPUTED_VALUE"""),"NORTH")</f>
        <v>NORTH</v>
      </c>
      <c r="B4714" s="115" t="str">
        <f>IFERROR(__xludf.DUMMYFUNCTION("""COMPUTED_VALUE"""),"Manoj Harsh")</f>
        <v>Manoj Harsh</v>
      </c>
      <c r="C4714" s="115" t="str">
        <f>IFERROR(__xludf.DUMMYFUNCTION("""COMPUTED_VALUE"""),"EXTERNAL")</f>
        <v>EXTERNAL</v>
      </c>
      <c r="D4714" s="115">
        <f>IFERROR(__xludf.DUMMYFUNCTION("""COMPUTED_VALUE"""),37494.0)</f>
        <v>37494</v>
      </c>
      <c r="E4714" s="115">
        <f>IFERROR(__xludf.DUMMYFUNCTION("""COMPUTED_VALUE"""),3754.0)</f>
        <v>3754</v>
      </c>
      <c r="F4714" s="115">
        <f>IFERROR(__xludf.DUMMYFUNCTION("""COMPUTED_VALUE"""),13378.0)</f>
        <v>13378</v>
      </c>
      <c r="G4714" s="115">
        <f>IFERROR(__xludf.DUMMYFUNCTION("""COMPUTED_VALUE"""),591.0)</f>
        <v>591</v>
      </c>
      <c r="H4714" s="116">
        <f>IFERROR(__xludf.DUMMYFUNCTION("""COMPUTED_VALUE"""),45909.0)</f>
        <v>45909</v>
      </c>
      <c r="I4714" s="115" t="str">
        <f>IFERROR(__xludf.DUMMYFUNCTION("""COMPUTED_VALUE"""),"16")</f>
        <v>16</v>
      </c>
      <c r="J4714" s="115" t="str">
        <f>IFERROR(__xludf.DUMMYFUNCTION("""COMPUTED_VALUE"""),"Manoj Harsh2025-09-0916")</f>
        <v>Manoj Harsh2025-09-0916</v>
      </c>
      <c r="K4714" s="115">
        <f>IFERROR(__xludf.DUMMYFUNCTION("""COMPUTED_VALUE"""),41248.0)</f>
        <v>41248</v>
      </c>
    </row>
    <row r="4715">
      <c r="A4715" s="115" t="str">
        <f>IFERROR(__xludf.DUMMYFUNCTION("""COMPUTED_VALUE"""),"NORTH")</f>
        <v>NORTH</v>
      </c>
      <c r="B4715" s="115" t="str">
        <f>IFERROR(__xludf.DUMMYFUNCTION("""COMPUTED_VALUE"""),"Manoj Harsh")</f>
        <v>Manoj Harsh</v>
      </c>
      <c r="C4715" s="115" t="str">
        <f>IFERROR(__xludf.DUMMYFUNCTION("""COMPUTED_VALUE"""),"FLIPKART")</f>
        <v>FLIPKART</v>
      </c>
      <c r="D4715" s="115">
        <f>IFERROR(__xludf.DUMMYFUNCTION("""COMPUTED_VALUE"""),404638.0)</f>
        <v>404638</v>
      </c>
      <c r="E4715" s="115">
        <f>IFERROR(__xludf.DUMMYFUNCTION("""COMPUTED_VALUE"""),42663.0)</f>
        <v>42663</v>
      </c>
      <c r="F4715" s="115">
        <f>IFERROR(__xludf.DUMMYFUNCTION("""COMPUTED_VALUE"""),242020.0)</f>
        <v>242020</v>
      </c>
      <c r="G4715" s="115">
        <f>IFERROR(__xludf.DUMMYFUNCTION("""COMPUTED_VALUE"""),14522.0)</f>
        <v>14522</v>
      </c>
      <c r="H4715" s="116">
        <f>IFERROR(__xludf.DUMMYFUNCTION("""COMPUTED_VALUE"""),45909.0)</f>
        <v>45909</v>
      </c>
      <c r="I4715" s="115" t="str">
        <f>IFERROR(__xludf.DUMMYFUNCTION("""COMPUTED_VALUE"""),"16")</f>
        <v>16</v>
      </c>
      <c r="J4715" s="115" t="str">
        <f>IFERROR(__xludf.DUMMYFUNCTION("""COMPUTED_VALUE"""),"Manoj Harsh2025-09-0916")</f>
        <v>Manoj Harsh2025-09-0916</v>
      </c>
      <c r="K4715" s="115">
        <f>IFERROR(__xludf.DUMMYFUNCTION("""COMPUTED_VALUE"""),447301.0)</f>
        <v>447301</v>
      </c>
    </row>
    <row r="4716">
      <c r="A4716" s="115" t="str">
        <f>IFERROR(__xludf.DUMMYFUNCTION("""COMPUTED_VALUE"""),"NORTH")</f>
        <v>NORTH</v>
      </c>
      <c r="B4716" s="115" t="str">
        <f>IFERROR(__xludf.DUMMYFUNCTION("""COMPUTED_VALUE"""),"Manoj Harsh")</f>
        <v>Manoj Harsh</v>
      </c>
      <c r="C4716" s="115" t="str">
        <f>IFERROR(__xludf.DUMMYFUNCTION("""COMPUTED_VALUE"""),"MYNTRA")</f>
        <v>MYNTRA</v>
      </c>
      <c r="D4716" s="115">
        <f>IFERROR(__xludf.DUMMYFUNCTION("""COMPUTED_VALUE"""),40241.0)</f>
        <v>40241</v>
      </c>
      <c r="E4716" s="115">
        <f>IFERROR(__xludf.DUMMYFUNCTION("""COMPUTED_VALUE"""),8204.0)</f>
        <v>8204</v>
      </c>
      <c r="F4716" s="115">
        <f>IFERROR(__xludf.DUMMYFUNCTION("""COMPUTED_VALUE"""),27307.0)</f>
        <v>27307</v>
      </c>
      <c r="G4716" s="115">
        <f>IFERROR(__xludf.DUMMYFUNCTION("""COMPUTED_VALUE"""),3214.0)</f>
        <v>3214</v>
      </c>
      <c r="H4716" s="116">
        <f>IFERROR(__xludf.DUMMYFUNCTION("""COMPUTED_VALUE"""),45909.0)</f>
        <v>45909</v>
      </c>
      <c r="I4716" s="115" t="str">
        <f>IFERROR(__xludf.DUMMYFUNCTION("""COMPUTED_VALUE"""),"16")</f>
        <v>16</v>
      </c>
      <c r="J4716" s="115" t="str">
        <f>IFERROR(__xludf.DUMMYFUNCTION("""COMPUTED_VALUE"""),"Manoj Harsh2025-09-0916")</f>
        <v>Manoj Harsh2025-09-0916</v>
      </c>
      <c r="K4716" s="115">
        <f>IFERROR(__xludf.DUMMYFUNCTION("""COMPUTED_VALUE"""),48445.0)</f>
        <v>48445</v>
      </c>
    </row>
    <row r="4717">
      <c r="A4717" s="115" t="str">
        <f>IFERROR(__xludf.DUMMYFUNCTION("""COMPUTED_VALUE"""),"NORTH")</f>
        <v>NORTH</v>
      </c>
      <c r="B4717" s="115" t="str">
        <f>IFERROR(__xludf.DUMMYFUNCTION("""COMPUTED_VALUE"""),"Pradeep Kothari")</f>
        <v>Pradeep Kothari</v>
      </c>
      <c r="C4717" s="115" t="str">
        <f>IFERROR(__xludf.DUMMYFUNCTION("""COMPUTED_VALUE"""),"EXTERNAL")</f>
        <v>EXTERNAL</v>
      </c>
      <c r="D4717" s="115">
        <f>IFERROR(__xludf.DUMMYFUNCTION("""COMPUTED_VALUE"""),20684.0)</f>
        <v>20684</v>
      </c>
      <c r="E4717" s="115">
        <f>IFERROR(__xludf.DUMMYFUNCTION("""COMPUTED_VALUE"""),2272.0)</f>
        <v>2272</v>
      </c>
      <c r="F4717" s="115">
        <f>IFERROR(__xludf.DUMMYFUNCTION("""COMPUTED_VALUE"""),7376.0)</f>
        <v>7376</v>
      </c>
      <c r="G4717" s="115">
        <f>IFERROR(__xludf.DUMMYFUNCTION("""COMPUTED_VALUE"""),578.0)</f>
        <v>578</v>
      </c>
      <c r="H4717" s="116">
        <f>IFERROR(__xludf.DUMMYFUNCTION("""COMPUTED_VALUE"""),45909.0)</f>
        <v>45909</v>
      </c>
      <c r="I4717" s="115" t="str">
        <f>IFERROR(__xludf.DUMMYFUNCTION("""COMPUTED_VALUE"""),"16")</f>
        <v>16</v>
      </c>
      <c r="J4717" s="115" t="str">
        <f>IFERROR(__xludf.DUMMYFUNCTION("""COMPUTED_VALUE"""),"Pradeep Kothari2025-09-0916")</f>
        <v>Pradeep Kothari2025-09-0916</v>
      </c>
      <c r="K4717" s="115">
        <f>IFERROR(__xludf.DUMMYFUNCTION("""COMPUTED_VALUE"""),22956.0)</f>
        <v>22956</v>
      </c>
    </row>
    <row r="4718">
      <c r="A4718" s="115" t="str">
        <f>IFERROR(__xludf.DUMMYFUNCTION("""COMPUTED_VALUE"""),"NORTH")</f>
        <v>NORTH</v>
      </c>
      <c r="B4718" s="115" t="str">
        <f>IFERROR(__xludf.DUMMYFUNCTION("""COMPUTED_VALUE"""),"Pradeep Kothari")</f>
        <v>Pradeep Kothari</v>
      </c>
      <c r="C4718" s="115" t="str">
        <f>IFERROR(__xludf.DUMMYFUNCTION("""COMPUTED_VALUE"""),"FLIPKART")</f>
        <v>FLIPKART</v>
      </c>
      <c r="D4718" s="115">
        <f>IFERROR(__xludf.DUMMYFUNCTION("""COMPUTED_VALUE"""),142933.0)</f>
        <v>142933</v>
      </c>
      <c r="E4718" s="115">
        <f>IFERROR(__xludf.DUMMYFUNCTION("""COMPUTED_VALUE"""),17416.0)</f>
        <v>17416</v>
      </c>
      <c r="F4718" s="115">
        <f>IFERROR(__xludf.DUMMYFUNCTION("""COMPUTED_VALUE"""),94538.0)</f>
        <v>94538</v>
      </c>
      <c r="G4718" s="115">
        <f>IFERROR(__xludf.DUMMYFUNCTION("""COMPUTED_VALUE"""),7734.0)</f>
        <v>7734</v>
      </c>
      <c r="H4718" s="116">
        <f>IFERROR(__xludf.DUMMYFUNCTION("""COMPUTED_VALUE"""),45909.0)</f>
        <v>45909</v>
      </c>
      <c r="I4718" s="115" t="str">
        <f>IFERROR(__xludf.DUMMYFUNCTION("""COMPUTED_VALUE"""),"16")</f>
        <v>16</v>
      </c>
      <c r="J4718" s="115" t="str">
        <f>IFERROR(__xludf.DUMMYFUNCTION("""COMPUTED_VALUE"""),"Pradeep Kothari2025-09-0916")</f>
        <v>Pradeep Kothari2025-09-0916</v>
      </c>
      <c r="K4718" s="115">
        <f>IFERROR(__xludf.DUMMYFUNCTION("""COMPUTED_VALUE"""),160349.0)</f>
        <v>160349</v>
      </c>
    </row>
    <row r="4719">
      <c r="A4719" s="115" t="str">
        <f>IFERROR(__xludf.DUMMYFUNCTION("""COMPUTED_VALUE"""),"NORTH")</f>
        <v>NORTH</v>
      </c>
      <c r="B4719" s="115" t="str">
        <f>IFERROR(__xludf.DUMMYFUNCTION("""COMPUTED_VALUE"""),"Pradeep Kothari")</f>
        <v>Pradeep Kothari</v>
      </c>
      <c r="C4719" s="115" t="str">
        <f>IFERROR(__xludf.DUMMYFUNCTION("""COMPUTED_VALUE"""),"MYNTRA")</f>
        <v>MYNTRA</v>
      </c>
      <c r="D4719" s="115">
        <f>IFERROR(__xludf.DUMMYFUNCTION("""COMPUTED_VALUE"""),26950.0)</f>
        <v>26950</v>
      </c>
      <c r="E4719" s="115">
        <f>IFERROR(__xludf.DUMMYFUNCTION("""COMPUTED_VALUE"""),7044.0)</f>
        <v>7044</v>
      </c>
      <c r="F4719" s="115">
        <f>IFERROR(__xludf.DUMMYFUNCTION("""COMPUTED_VALUE"""),20118.0)</f>
        <v>20118</v>
      </c>
      <c r="G4719" s="115">
        <f>IFERROR(__xludf.DUMMYFUNCTION("""COMPUTED_VALUE"""),3605.0)</f>
        <v>3605</v>
      </c>
      <c r="H4719" s="116">
        <f>IFERROR(__xludf.DUMMYFUNCTION("""COMPUTED_VALUE"""),45909.0)</f>
        <v>45909</v>
      </c>
      <c r="I4719" s="115" t="str">
        <f>IFERROR(__xludf.DUMMYFUNCTION("""COMPUTED_VALUE"""),"16")</f>
        <v>16</v>
      </c>
      <c r="J4719" s="115" t="str">
        <f>IFERROR(__xludf.DUMMYFUNCTION("""COMPUTED_VALUE"""),"Pradeep Kothari2025-09-0916")</f>
        <v>Pradeep Kothari2025-09-0916</v>
      </c>
      <c r="K4719" s="115">
        <f>IFERROR(__xludf.DUMMYFUNCTION("""COMPUTED_VALUE"""),33994.0)</f>
        <v>33994</v>
      </c>
    </row>
    <row r="4720">
      <c r="A4720" s="115" t="str">
        <f>IFERROR(__xludf.DUMMYFUNCTION("""COMPUTED_VALUE"""),"SOUTH")</f>
        <v>SOUTH</v>
      </c>
      <c r="B4720" s="115" t="str">
        <f>IFERROR(__xludf.DUMMYFUNCTION("""COMPUTED_VALUE"""),"0")</f>
        <v>0</v>
      </c>
      <c r="C4720" s="115" t="str">
        <f>IFERROR(__xludf.DUMMYFUNCTION("""COMPUTED_VALUE"""),"EXTERNAL")</f>
        <v>EXTERNAL</v>
      </c>
      <c r="D4720" s="115">
        <f>IFERROR(__xludf.DUMMYFUNCTION("""COMPUTED_VALUE"""),3.0)</f>
        <v>3</v>
      </c>
      <c r="E4720" s="115">
        <f>IFERROR(__xludf.DUMMYFUNCTION("""COMPUTED_VALUE"""),2.0)</f>
        <v>2</v>
      </c>
      <c r="F4720" s="115">
        <f>IFERROR(__xludf.DUMMYFUNCTION("""COMPUTED_VALUE"""),0.0)</f>
        <v>0</v>
      </c>
      <c r="G4720" s="115">
        <f>IFERROR(__xludf.DUMMYFUNCTION("""COMPUTED_VALUE"""),1.0)</f>
        <v>1</v>
      </c>
      <c r="H4720" s="116">
        <f>IFERROR(__xludf.DUMMYFUNCTION("""COMPUTED_VALUE"""),45909.0)</f>
        <v>45909</v>
      </c>
      <c r="I4720" s="115" t="str">
        <f>IFERROR(__xludf.DUMMYFUNCTION("""COMPUTED_VALUE"""),"16")</f>
        <v>16</v>
      </c>
      <c r="J4720" s="115" t="str">
        <f>IFERROR(__xludf.DUMMYFUNCTION("""COMPUTED_VALUE"""),"02025-09-0916")</f>
        <v>02025-09-0916</v>
      </c>
      <c r="K4720" s="115">
        <f>IFERROR(__xludf.DUMMYFUNCTION("""COMPUTED_VALUE"""),5.0)</f>
        <v>5</v>
      </c>
    </row>
    <row r="4721">
      <c r="A4721" s="115" t="str">
        <f>IFERROR(__xludf.DUMMYFUNCTION("""COMPUTED_VALUE"""),"SOUTH")</f>
        <v>SOUTH</v>
      </c>
      <c r="B4721" s="115" t="str">
        <f>IFERROR(__xludf.DUMMYFUNCTION("""COMPUTED_VALUE"""),"0")</f>
        <v>0</v>
      </c>
      <c r="C4721" s="115" t="str">
        <f>IFERROR(__xludf.DUMMYFUNCTION("""COMPUTED_VALUE"""),"FLIPKART")</f>
        <v>FLIPKART</v>
      </c>
      <c r="D4721" s="115">
        <f>IFERROR(__xludf.DUMMYFUNCTION("""COMPUTED_VALUE"""),68.0)</f>
        <v>68</v>
      </c>
      <c r="E4721" s="115">
        <f>IFERROR(__xludf.DUMMYFUNCTION("""COMPUTED_VALUE"""),45.0)</f>
        <v>45</v>
      </c>
      <c r="F4721" s="115">
        <f>IFERROR(__xludf.DUMMYFUNCTION("""COMPUTED_VALUE"""),8.0)</f>
        <v>8</v>
      </c>
      <c r="G4721" s="115">
        <f>IFERROR(__xludf.DUMMYFUNCTION("""COMPUTED_VALUE"""),0.0)</f>
        <v>0</v>
      </c>
      <c r="H4721" s="116">
        <f>IFERROR(__xludf.DUMMYFUNCTION("""COMPUTED_VALUE"""),45909.0)</f>
        <v>45909</v>
      </c>
      <c r="I4721" s="115" t="str">
        <f>IFERROR(__xludf.DUMMYFUNCTION("""COMPUTED_VALUE"""),"16")</f>
        <v>16</v>
      </c>
      <c r="J4721" s="115" t="str">
        <f>IFERROR(__xludf.DUMMYFUNCTION("""COMPUTED_VALUE"""),"02025-09-0916")</f>
        <v>02025-09-0916</v>
      </c>
      <c r="K4721" s="115">
        <f>IFERROR(__xludf.DUMMYFUNCTION("""COMPUTED_VALUE"""),113.0)</f>
        <v>113</v>
      </c>
    </row>
    <row r="4722">
      <c r="A4722" s="115" t="str">
        <f>IFERROR(__xludf.DUMMYFUNCTION("""COMPUTED_VALUE"""),"SOUTH")</f>
        <v>SOUTH</v>
      </c>
      <c r="B4722" s="115" t="str">
        <f>IFERROR(__xludf.DUMMYFUNCTION("""COMPUTED_VALUE"""),"0")</f>
        <v>0</v>
      </c>
      <c r="C4722" s="115" t="str">
        <f>IFERROR(__xludf.DUMMYFUNCTION("""COMPUTED_VALUE"""),"MYNTRA")</f>
        <v>MYNTRA</v>
      </c>
      <c r="D4722" s="115">
        <f>IFERROR(__xludf.DUMMYFUNCTION("""COMPUTED_VALUE"""),6.0)</f>
        <v>6</v>
      </c>
      <c r="E4722" s="115">
        <f>IFERROR(__xludf.DUMMYFUNCTION("""COMPUTED_VALUE"""),16.0)</f>
        <v>16</v>
      </c>
      <c r="F4722" s="115">
        <f>IFERROR(__xludf.DUMMYFUNCTION("""COMPUTED_VALUE"""),5.0)</f>
        <v>5</v>
      </c>
      <c r="G4722" s="115">
        <f>IFERROR(__xludf.DUMMYFUNCTION("""COMPUTED_VALUE"""),1.0)</f>
        <v>1</v>
      </c>
      <c r="H4722" s="116">
        <f>IFERROR(__xludf.DUMMYFUNCTION("""COMPUTED_VALUE"""),45909.0)</f>
        <v>45909</v>
      </c>
      <c r="I4722" s="115" t="str">
        <f>IFERROR(__xludf.DUMMYFUNCTION("""COMPUTED_VALUE"""),"16")</f>
        <v>16</v>
      </c>
      <c r="J4722" s="115" t="str">
        <f>IFERROR(__xludf.DUMMYFUNCTION("""COMPUTED_VALUE"""),"02025-09-0916")</f>
        <v>02025-09-0916</v>
      </c>
      <c r="K4722" s="115">
        <f>IFERROR(__xludf.DUMMYFUNCTION("""COMPUTED_VALUE"""),22.0)</f>
        <v>22</v>
      </c>
    </row>
    <row r="4723">
      <c r="A4723" s="115" t="str">
        <f>IFERROR(__xludf.DUMMYFUNCTION("""COMPUTED_VALUE"""),"SOUTH")</f>
        <v>SOUTH</v>
      </c>
      <c r="B4723" s="115" t="str">
        <f>IFERROR(__xludf.DUMMYFUNCTION("""COMPUTED_VALUE"""),"Kandula Sampath")</f>
        <v>Kandula Sampath</v>
      </c>
      <c r="C4723" s="115" t="str">
        <f>IFERROR(__xludf.DUMMYFUNCTION("""COMPUTED_VALUE"""),"EXTERNAL")</f>
        <v>EXTERNAL</v>
      </c>
      <c r="D4723" s="115">
        <f>IFERROR(__xludf.DUMMYFUNCTION("""COMPUTED_VALUE"""),33898.0)</f>
        <v>33898</v>
      </c>
      <c r="E4723" s="115">
        <f>IFERROR(__xludf.DUMMYFUNCTION("""COMPUTED_VALUE"""),4778.0)</f>
        <v>4778</v>
      </c>
      <c r="F4723" s="115">
        <f>IFERROR(__xludf.DUMMYFUNCTION("""COMPUTED_VALUE"""),11275.0)</f>
        <v>11275</v>
      </c>
      <c r="G4723" s="115">
        <f>IFERROR(__xludf.DUMMYFUNCTION("""COMPUTED_VALUE"""),856.0)</f>
        <v>856</v>
      </c>
      <c r="H4723" s="116">
        <f>IFERROR(__xludf.DUMMYFUNCTION("""COMPUTED_VALUE"""),45909.0)</f>
        <v>45909</v>
      </c>
      <c r="I4723" s="115" t="str">
        <f>IFERROR(__xludf.DUMMYFUNCTION("""COMPUTED_VALUE"""),"16")</f>
        <v>16</v>
      </c>
      <c r="J4723" s="115" t="str">
        <f>IFERROR(__xludf.DUMMYFUNCTION("""COMPUTED_VALUE"""),"Kandula Sampath2025-09-0916")</f>
        <v>Kandula Sampath2025-09-0916</v>
      </c>
      <c r="K4723" s="115">
        <f>IFERROR(__xludf.DUMMYFUNCTION("""COMPUTED_VALUE"""),38676.0)</f>
        <v>38676</v>
      </c>
    </row>
    <row r="4724">
      <c r="A4724" s="115" t="str">
        <f>IFERROR(__xludf.DUMMYFUNCTION("""COMPUTED_VALUE"""),"SOUTH")</f>
        <v>SOUTH</v>
      </c>
      <c r="B4724" s="115" t="str">
        <f>IFERROR(__xludf.DUMMYFUNCTION("""COMPUTED_VALUE"""),"Kandula Sampath")</f>
        <v>Kandula Sampath</v>
      </c>
      <c r="C4724" s="115" t="str">
        <f>IFERROR(__xludf.DUMMYFUNCTION("""COMPUTED_VALUE"""),"FLIPKART")</f>
        <v>FLIPKART</v>
      </c>
      <c r="D4724" s="115">
        <f>IFERROR(__xludf.DUMMYFUNCTION("""COMPUTED_VALUE"""),315672.0)</f>
        <v>315672</v>
      </c>
      <c r="E4724" s="115">
        <f>IFERROR(__xludf.DUMMYFUNCTION("""COMPUTED_VALUE"""),35248.0)</f>
        <v>35248</v>
      </c>
      <c r="F4724" s="115">
        <f>IFERROR(__xludf.DUMMYFUNCTION("""COMPUTED_VALUE"""),184285.0)</f>
        <v>184285</v>
      </c>
      <c r="G4724" s="115">
        <f>IFERROR(__xludf.DUMMYFUNCTION("""COMPUTED_VALUE"""),10707.0)</f>
        <v>10707</v>
      </c>
      <c r="H4724" s="116">
        <f>IFERROR(__xludf.DUMMYFUNCTION("""COMPUTED_VALUE"""),45909.0)</f>
        <v>45909</v>
      </c>
      <c r="I4724" s="115" t="str">
        <f>IFERROR(__xludf.DUMMYFUNCTION("""COMPUTED_VALUE"""),"16")</f>
        <v>16</v>
      </c>
      <c r="J4724" s="115" t="str">
        <f>IFERROR(__xludf.DUMMYFUNCTION("""COMPUTED_VALUE"""),"Kandula Sampath2025-09-0916")</f>
        <v>Kandula Sampath2025-09-0916</v>
      </c>
      <c r="K4724" s="115">
        <f>IFERROR(__xludf.DUMMYFUNCTION("""COMPUTED_VALUE"""),350920.0)</f>
        <v>350920</v>
      </c>
    </row>
    <row r="4725">
      <c r="A4725" s="115" t="str">
        <f>IFERROR(__xludf.DUMMYFUNCTION("""COMPUTED_VALUE"""),"SOUTH")</f>
        <v>SOUTH</v>
      </c>
      <c r="B4725" s="115" t="str">
        <f>IFERROR(__xludf.DUMMYFUNCTION("""COMPUTED_VALUE"""),"Kandula Sampath")</f>
        <v>Kandula Sampath</v>
      </c>
      <c r="C4725" s="115" t="str">
        <f>IFERROR(__xludf.DUMMYFUNCTION("""COMPUTED_VALUE"""),"MYNTRA")</f>
        <v>MYNTRA</v>
      </c>
      <c r="D4725" s="115">
        <f>IFERROR(__xludf.DUMMYFUNCTION("""COMPUTED_VALUE"""),37752.0)</f>
        <v>37752</v>
      </c>
      <c r="E4725" s="115">
        <f>IFERROR(__xludf.DUMMYFUNCTION("""COMPUTED_VALUE"""),9833.0)</f>
        <v>9833</v>
      </c>
      <c r="F4725" s="115">
        <f>IFERROR(__xludf.DUMMYFUNCTION("""COMPUTED_VALUE"""),24924.0)</f>
        <v>24924</v>
      </c>
      <c r="G4725" s="115">
        <f>IFERROR(__xludf.DUMMYFUNCTION("""COMPUTED_VALUE"""),3184.0)</f>
        <v>3184</v>
      </c>
      <c r="H4725" s="116">
        <f>IFERROR(__xludf.DUMMYFUNCTION("""COMPUTED_VALUE"""),45909.0)</f>
        <v>45909</v>
      </c>
      <c r="I4725" s="115" t="str">
        <f>IFERROR(__xludf.DUMMYFUNCTION("""COMPUTED_VALUE"""),"16")</f>
        <v>16</v>
      </c>
      <c r="J4725" s="115" t="str">
        <f>IFERROR(__xludf.DUMMYFUNCTION("""COMPUTED_VALUE"""),"Kandula Sampath2025-09-0916")</f>
        <v>Kandula Sampath2025-09-0916</v>
      </c>
      <c r="K4725" s="115">
        <f>IFERROR(__xludf.DUMMYFUNCTION("""COMPUTED_VALUE"""),47585.0)</f>
        <v>47585</v>
      </c>
    </row>
    <row r="4726">
      <c r="A4726" s="115" t="str">
        <f>IFERROR(__xludf.DUMMYFUNCTION("""COMPUTED_VALUE"""),"SOUTH")</f>
        <v>SOUTH</v>
      </c>
      <c r="B4726" s="115" t="str">
        <f>IFERROR(__xludf.DUMMYFUNCTION("""COMPUTED_VALUE"""),"Martin A")</f>
        <v>Martin A</v>
      </c>
      <c r="C4726" s="115" t="str">
        <f>IFERROR(__xludf.DUMMYFUNCTION("""COMPUTED_VALUE"""),"EXTERNAL")</f>
        <v>EXTERNAL</v>
      </c>
      <c r="D4726" s="115">
        <f>IFERROR(__xludf.DUMMYFUNCTION("""COMPUTED_VALUE"""),31885.0)</f>
        <v>31885</v>
      </c>
      <c r="E4726" s="115">
        <f>IFERROR(__xludf.DUMMYFUNCTION("""COMPUTED_VALUE"""),4518.0)</f>
        <v>4518</v>
      </c>
      <c r="F4726" s="115">
        <f>IFERROR(__xludf.DUMMYFUNCTION("""COMPUTED_VALUE"""),10867.0)</f>
        <v>10867</v>
      </c>
      <c r="G4726" s="115">
        <f>IFERROR(__xludf.DUMMYFUNCTION("""COMPUTED_VALUE"""),1323.0)</f>
        <v>1323</v>
      </c>
      <c r="H4726" s="116">
        <f>IFERROR(__xludf.DUMMYFUNCTION("""COMPUTED_VALUE"""),45909.0)</f>
        <v>45909</v>
      </c>
      <c r="I4726" s="115" t="str">
        <f>IFERROR(__xludf.DUMMYFUNCTION("""COMPUTED_VALUE"""),"16")</f>
        <v>16</v>
      </c>
      <c r="J4726" s="115" t="str">
        <f>IFERROR(__xludf.DUMMYFUNCTION("""COMPUTED_VALUE"""),"Martin A2025-09-0916")</f>
        <v>Martin A2025-09-0916</v>
      </c>
      <c r="K4726" s="115">
        <f>IFERROR(__xludf.DUMMYFUNCTION("""COMPUTED_VALUE"""),36403.0)</f>
        <v>36403</v>
      </c>
    </row>
    <row r="4727">
      <c r="A4727" s="115" t="str">
        <f>IFERROR(__xludf.DUMMYFUNCTION("""COMPUTED_VALUE"""),"SOUTH")</f>
        <v>SOUTH</v>
      </c>
      <c r="B4727" s="115" t="str">
        <f>IFERROR(__xludf.DUMMYFUNCTION("""COMPUTED_VALUE"""),"Martin A")</f>
        <v>Martin A</v>
      </c>
      <c r="C4727" s="115" t="str">
        <f>IFERROR(__xludf.DUMMYFUNCTION("""COMPUTED_VALUE"""),"FLIPKART")</f>
        <v>FLIPKART</v>
      </c>
      <c r="D4727" s="115">
        <f>IFERROR(__xludf.DUMMYFUNCTION("""COMPUTED_VALUE"""),277056.0)</f>
        <v>277056</v>
      </c>
      <c r="E4727" s="115">
        <f>IFERROR(__xludf.DUMMYFUNCTION("""COMPUTED_VALUE"""),29269.0)</f>
        <v>29269</v>
      </c>
      <c r="F4727" s="115">
        <f>IFERROR(__xludf.DUMMYFUNCTION("""COMPUTED_VALUE"""),167346.0)</f>
        <v>167346</v>
      </c>
      <c r="G4727" s="115">
        <f>IFERROR(__xludf.DUMMYFUNCTION("""COMPUTED_VALUE"""),10711.0)</f>
        <v>10711</v>
      </c>
      <c r="H4727" s="116">
        <f>IFERROR(__xludf.DUMMYFUNCTION("""COMPUTED_VALUE"""),45909.0)</f>
        <v>45909</v>
      </c>
      <c r="I4727" s="115" t="str">
        <f>IFERROR(__xludf.DUMMYFUNCTION("""COMPUTED_VALUE"""),"16")</f>
        <v>16</v>
      </c>
      <c r="J4727" s="115" t="str">
        <f>IFERROR(__xludf.DUMMYFUNCTION("""COMPUTED_VALUE"""),"Martin A2025-09-0916")</f>
        <v>Martin A2025-09-0916</v>
      </c>
      <c r="K4727" s="115">
        <f>IFERROR(__xludf.DUMMYFUNCTION("""COMPUTED_VALUE"""),306325.0)</f>
        <v>306325</v>
      </c>
    </row>
    <row r="4728">
      <c r="A4728" s="115" t="str">
        <f>IFERROR(__xludf.DUMMYFUNCTION("""COMPUTED_VALUE"""),"SOUTH")</f>
        <v>SOUTH</v>
      </c>
      <c r="B4728" s="115" t="str">
        <f>IFERROR(__xludf.DUMMYFUNCTION("""COMPUTED_VALUE"""),"Martin A")</f>
        <v>Martin A</v>
      </c>
      <c r="C4728" s="115" t="str">
        <f>IFERROR(__xludf.DUMMYFUNCTION("""COMPUTED_VALUE"""),"MYNTRA")</f>
        <v>MYNTRA</v>
      </c>
      <c r="D4728" s="115">
        <f>IFERROR(__xludf.DUMMYFUNCTION("""COMPUTED_VALUE"""),25169.0)</f>
        <v>25169</v>
      </c>
      <c r="E4728" s="115">
        <f>IFERROR(__xludf.DUMMYFUNCTION("""COMPUTED_VALUE"""),7571.0)</f>
        <v>7571</v>
      </c>
      <c r="F4728" s="115">
        <f>IFERROR(__xludf.DUMMYFUNCTION("""COMPUTED_VALUE"""),17342.0)</f>
        <v>17342</v>
      </c>
      <c r="G4728" s="115">
        <f>IFERROR(__xludf.DUMMYFUNCTION("""COMPUTED_VALUE"""),3184.0)</f>
        <v>3184</v>
      </c>
      <c r="H4728" s="116">
        <f>IFERROR(__xludf.DUMMYFUNCTION("""COMPUTED_VALUE"""),45909.0)</f>
        <v>45909</v>
      </c>
      <c r="I4728" s="115" t="str">
        <f>IFERROR(__xludf.DUMMYFUNCTION("""COMPUTED_VALUE"""),"16")</f>
        <v>16</v>
      </c>
      <c r="J4728" s="115" t="str">
        <f>IFERROR(__xludf.DUMMYFUNCTION("""COMPUTED_VALUE"""),"Martin A2025-09-0916")</f>
        <v>Martin A2025-09-0916</v>
      </c>
      <c r="K4728" s="115">
        <f>IFERROR(__xludf.DUMMYFUNCTION("""COMPUTED_VALUE"""),32740.0)</f>
        <v>32740</v>
      </c>
    </row>
    <row r="4729">
      <c r="A4729" s="115" t="str">
        <f>IFERROR(__xludf.DUMMYFUNCTION("""COMPUTED_VALUE"""),"SOUTH")</f>
        <v>SOUTH</v>
      </c>
      <c r="B4729" s="115" t="str">
        <f>IFERROR(__xludf.DUMMYFUNCTION("""COMPUTED_VALUE"""),"Premkumar M")</f>
        <v>Premkumar M</v>
      </c>
      <c r="C4729" s="115" t="str">
        <f>IFERROR(__xludf.DUMMYFUNCTION("""COMPUTED_VALUE"""),"EXTERNAL")</f>
        <v>EXTERNAL</v>
      </c>
      <c r="D4729" s="115">
        <f>IFERROR(__xludf.DUMMYFUNCTION("""COMPUTED_VALUE"""),27732.0)</f>
        <v>27732</v>
      </c>
      <c r="E4729" s="115">
        <f>IFERROR(__xludf.DUMMYFUNCTION("""COMPUTED_VALUE"""),2515.0)</f>
        <v>2515</v>
      </c>
      <c r="F4729" s="115">
        <f>IFERROR(__xludf.DUMMYFUNCTION("""COMPUTED_VALUE"""),9708.0)</f>
        <v>9708</v>
      </c>
      <c r="G4729" s="115">
        <f>IFERROR(__xludf.DUMMYFUNCTION("""COMPUTED_VALUE"""),258.0)</f>
        <v>258</v>
      </c>
      <c r="H4729" s="116">
        <f>IFERROR(__xludf.DUMMYFUNCTION("""COMPUTED_VALUE"""),45909.0)</f>
        <v>45909</v>
      </c>
      <c r="I4729" s="115" t="str">
        <f>IFERROR(__xludf.DUMMYFUNCTION("""COMPUTED_VALUE"""),"16")</f>
        <v>16</v>
      </c>
      <c r="J4729" s="115" t="str">
        <f>IFERROR(__xludf.DUMMYFUNCTION("""COMPUTED_VALUE"""),"Premkumar M2025-09-0916")</f>
        <v>Premkumar M2025-09-0916</v>
      </c>
      <c r="K4729" s="115">
        <f>IFERROR(__xludf.DUMMYFUNCTION("""COMPUTED_VALUE"""),30247.0)</f>
        <v>30247</v>
      </c>
    </row>
    <row r="4730">
      <c r="A4730" s="115" t="str">
        <f>IFERROR(__xludf.DUMMYFUNCTION("""COMPUTED_VALUE"""),"SOUTH")</f>
        <v>SOUTH</v>
      </c>
      <c r="B4730" s="115" t="str">
        <f>IFERROR(__xludf.DUMMYFUNCTION("""COMPUTED_VALUE"""),"Premkumar M")</f>
        <v>Premkumar M</v>
      </c>
      <c r="C4730" s="115" t="str">
        <f>IFERROR(__xludf.DUMMYFUNCTION("""COMPUTED_VALUE"""),"FLIPKART")</f>
        <v>FLIPKART</v>
      </c>
      <c r="D4730" s="115">
        <f>IFERROR(__xludf.DUMMYFUNCTION("""COMPUTED_VALUE"""),263889.0)</f>
        <v>263889</v>
      </c>
      <c r="E4730" s="115">
        <f>IFERROR(__xludf.DUMMYFUNCTION("""COMPUTED_VALUE"""),21052.0)</f>
        <v>21052</v>
      </c>
      <c r="F4730" s="115">
        <f>IFERROR(__xludf.DUMMYFUNCTION("""COMPUTED_VALUE"""),142875.0)</f>
        <v>142875</v>
      </c>
      <c r="G4730" s="115">
        <f>IFERROR(__xludf.DUMMYFUNCTION("""COMPUTED_VALUE"""),3794.0)</f>
        <v>3794</v>
      </c>
      <c r="H4730" s="116">
        <f>IFERROR(__xludf.DUMMYFUNCTION("""COMPUTED_VALUE"""),45909.0)</f>
        <v>45909</v>
      </c>
      <c r="I4730" s="115" t="str">
        <f>IFERROR(__xludf.DUMMYFUNCTION("""COMPUTED_VALUE"""),"16")</f>
        <v>16</v>
      </c>
      <c r="J4730" s="115" t="str">
        <f>IFERROR(__xludf.DUMMYFUNCTION("""COMPUTED_VALUE"""),"Premkumar M2025-09-0916")</f>
        <v>Premkumar M2025-09-0916</v>
      </c>
      <c r="K4730" s="115">
        <f>IFERROR(__xludf.DUMMYFUNCTION("""COMPUTED_VALUE"""),284941.0)</f>
        <v>284941</v>
      </c>
    </row>
    <row r="4731">
      <c r="A4731" s="115" t="str">
        <f>IFERROR(__xludf.DUMMYFUNCTION("""COMPUTED_VALUE"""),"SOUTH")</f>
        <v>SOUTH</v>
      </c>
      <c r="B4731" s="115" t="str">
        <f>IFERROR(__xludf.DUMMYFUNCTION("""COMPUTED_VALUE"""),"Premkumar M")</f>
        <v>Premkumar M</v>
      </c>
      <c r="C4731" s="115" t="str">
        <f>IFERROR(__xludf.DUMMYFUNCTION("""COMPUTED_VALUE"""),"MYNTRA")</f>
        <v>MYNTRA</v>
      </c>
      <c r="D4731" s="115">
        <f>IFERROR(__xludf.DUMMYFUNCTION("""COMPUTED_VALUE"""),14621.0)</f>
        <v>14621</v>
      </c>
      <c r="E4731" s="115">
        <f>IFERROR(__xludf.DUMMYFUNCTION("""COMPUTED_VALUE"""),3427.0)</f>
        <v>3427</v>
      </c>
      <c r="F4731" s="115">
        <f>IFERROR(__xludf.DUMMYFUNCTION("""COMPUTED_VALUE"""),9013.0)</f>
        <v>9013</v>
      </c>
      <c r="G4731" s="115">
        <f>IFERROR(__xludf.DUMMYFUNCTION("""COMPUTED_VALUE"""),659.0)</f>
        <v>659</v>
      </c>
      <c r="H4731" s="116">
        <f>IFERROR(__xludf.DUMMYFUNCTION("""COMPUTED_VALUE"""),45909.0)</f>
        <v>45909</v>
      </c>
      <c r="I4731" s="115" t="str">
        <f>IFERROR(__xludf.DUMMYFUNCTION("""COMPUTED_VALUE"""),"16")</f>
        <v>16</v>
      </c>
      <c r="J4731" s="115" t="str">
        <f>IFERROR(__xludf.DUMMYFUNCTION("""COMPUTED_VALUE"""),"Premkumar M2025-09-0916")</f>
        <v>Premkumar M2025-09-0916</v>
      </c>
      <c r="K4731" s="115">
        <f>IFERROR(__xludf.DUMMYFUNCTION("""COMPUTED_VALUE"""),18048.0)</f>
        <v>18048</v>
      </c>
    </row>
    <row r="4732">
      <c r="A4732" s="115" t="str">
        <f>IFERROR(__xludf.DUMMYFUNCTION("""COMPUTED_VALUE"""),"SOUTH")</f>
        <v>SOUTH</v>
      </c>
      <c r="B4732" s="115" t="str">
        <f>IFERROR(__xludf.DUMMYFUNCTION("""COMPUTED_VALUE"""),"Vineeth V")</f>
        <v>Vineeth V</v>
      </c>
      <c r="C4732" s="115" t="str">
        <f>IFERROR(__xludf.DUMMYFUNCTION("""COMPUTED_VALUE"""),"EXTERNAL")</f>
        <v>EXTERNAL</v>
      </c>
      <c r="D4732" s="115">
        <f>IFERROR(__xludf.DUMMYFUNCTION("""COMPUTED_VALUE"""),22195.0)</f>
        <v>22195</v>
      </c>
      <c r="E4732" s="115">
        <f>IFERROR(__xludf.DUMMYFUNCTION("""COMPUTED_VALUE"""),808.0)</f>
        <v>808</v>
      </c>
      <c r="F4732" s="115">
        <f>IFERROR(__xludf.DUMMYFUNCTION("""COMPUTED_VALUE"""),8473.0)</f>
        <v>8473</v>
      </c>
      <c r="G4732" s="115">
        <f>IFERROR(__xludf.DUMMYFUNCTION("""COMPUTED_VALUE"""),142.0)</f>
        <v>142</v>
      </c>
      <c r="H4732" s="116">
        <f>IFERROR(__xludf.DUMMYFUNCTION("""COMPUTED_VALUE"""),45909.0)</f>
        <v>45909</v>
      </c>
      <c r="I4732" s="115" t="str">
        <f>IFERROR(__xludf.DUMMYFUNCTION("""COMPUTED_VALUE"""),"16")</f>
        <v>16</v>
      </c>
      <c r="J4732" s="115" t="str">
        <f>IFERROR(__xludf.DUMMYFUNCTION("""COMPUTED_VALUE"""),"Vineeth V2025-09-0916")</f>
        <v>Vineeth V2025-09-0916</v>
      </c>
      <c r="K4732" s="115">
        <f>IFERROR(__xludf.DUMMYFUNCTION("""COMPUTED_VALUE"""),23003.0)</f>
        <v>23003</v>
      </c>
    </row>
    <row r="4733">
      <c r="A4733" s="115" t="str">
        <f>IFERROR(__xludf.DUMMYFUNCTION("""COMPUTED_VALUE"""),"SOUTH")</f>
        <v>SOUTH</v>
      </c>
      <c r="B4733" s="115" t="str">
        <f>IFERROR(__xludf.DUMMYFUNCTION("""COMPUTED_VALUE"""),"Vineeth V")</f>
        <v>Vineeth V</v>
      </c>
      <c r="C4733" s="115" t="str">
        <f>IFERROR(__xludf.DUMMYFUNCTION("""COMPUTED_VALUE"""),"FLIPKART")</f>
        <v>FLIPKART</v>
      </c>
      <c r="D4733" s="115">
        <f>IFERROR(__xludf.DUMMYFUNCTION("""COMPUTED_VALUE"""),226754.0)</f>
        <v>226754</v>
      </c>
      <c r="E4733" s="115">
        <f>IFERROR(__xludf.DUMMYFUNCTION("""COMPUTED_VALUE"""),18630.0)</f>
        <v>18630</v>
      </c>
      <c r="F4733" s="115">
        <f>IFERROR(__xludf.DUMMYFUNCTION("""COMPUTED_VALUE"""),135417.0)</f>
        <v>135417</v>
      </c>
      <c r="G4733" s="115">
        <f>IFERROR(__xludf.DUMMYFUNCTION("""COMPUTED_VALUE"""),3638.0)</f>
        <v>3638</v>
      </c>
      <c r="H4733" s="116">
        <f>IFERROR(__xludf.DUMMYFUNCTION("""COMPUTED_VALUE"""),45909.0)</f>
        <v>45909</v>
      </c>
      <c r="I4733" s="115" t="str">
        <f>IFERROR(__xludf.DUMMYFUNCTION("""COMPUTED_VALUE"""),"16")</f>
        <v>16</v>
      </c>
      <c r="J4733" s="115" t="str">
        <f>IFERROR(__xludf.DUMMYFUNCTION("""COMPUTED_VALUE"""),"Vineeth V2025-09-0916")</f>
        <v>Vineeth V2025-09-0916</v>
      </c>
      <c r="K4733" s="115">
        <f>IFERROR(__xludf.DUMMYFUNCTION("""COMPUTED_VALUE"""),245384.0)</f>
        <v>245384</v>
      </c>
    </row>
    <row r="4734">
      <c r="A4734" s="115" t="str">
        <f>IFERROR(__xludf.DUMMYFUNCTION("""COMPUTED_VALUE"""),"SOUTH")</f>
        <v>SOUTH</v>
      </c>
      <c r="B4734" s="115" t="str">
        <f>IFERROR(__xludf.DUMMYFUNCTION("""COMPUTED_VALUE"""),"Vineeth V")</f>
        <v>Vineeth V</v>
      </c>
      <c r="C4734" s="115" t="str">
        <f>IFERROR(__xludf.DUMMYFUNCTION("""COMPUTED_VALUE"""),"MYNTRA")</f>
        <v>MYNTRA</v>
      </c>
      <c r="D4734" s="115">
        <f>IFERROR(__xludf.DUMMYFUNCTION("""COMPUTED_VALUE"""),18493.0)</f>
        <v>18493</v>
      </c>
      <c r="E4734" s="115">
        <f>IFERROR(__xludf.DUMMYFUNCTION("""COMPUTED_VALUE"""),4741.0)</f>
        <v>4741</v>
      </c>
      <c r="F4734" s="115">
        <f>IFERROR(__xludf.DUMMYFUNCTION("""COMPUTED_VALUE"""),11809.0)</f>
        <v>11809</v>
      </c>
      <c r="G4734" s="115">
        <f>IFERROR(__xludf.DUMMYFUNCTION("""COMPUTED_VALUE"""),934.0)</f>
        <v>934</v>
      </c>
      <c r="H4734" s="116">
        <f>IFERROR(__xludf.DUMMYFUNCTION("""COMPUTED_VALUE"""),45909.0)</f>
        <v>45909</v>
      </c>
      <c r="I4734" s="115" t="str">
        <f>IFERROR(__xludf.DUMMYFUNCTION("""COMPUTED_VALUE"""),"16")</f>
        <v>16</v>
      </c>
      <c r="J4734" s="115" t="str">
        <f>IFERROR(__xludf.DUMMYFUNCTION("""COMPUTED_VALUE"""),"Vineeth V2025-09-0916")</f>
        <v>Vineeth V2025-09-0916</v>
      </c>
      <c r="K4734" s="115">
        <f>IFERROR(__xludf.DUMMYFUNCTION("""COMPUTED_VALUE"""),23234.0)</f>
        <v>23234</v>
      </c>
    </row>
    <row r="4735">
      <c r="A4735" s="115" t="str">
        <f>IFERROR(__xludf.DUMMYFUNCTION("""COMPUTED_VALUE"""),"WEST")</f>
        <v>WEST</v>
      </c>
      <c r="B4735" s="115" t="str">
        <f>IFERROR(__xludf.DUMMYFUNCTION("""COMPUTED_VALUE"""),"Ashish Jakar")</f>
        <v>Ashish Jakar</v>
      </c>
      <c r="C4735" s="115" t="str">
        <f>IFERROR(__xludf.DUMMYFUNCTION("""COMPUTED_VALUE"""),"EXTERNAL")</f>
        <v>EXTERNAL</v>
      </c>
      <c r="D4735" s="115">
        <f>IFERROR(__xludf.DUMMYFUNCTION("""COMPUTED_VALUE"""),53835.0)</f>
        <v>53835</v>
      </c>
      <c r="E4735" s="115">
        <f>IFERROR(__xludf.DUMMYFUNCTION("""COMPUTED_VALUE"""),8367.0)</f>
        <v>8367</v>
      </c>
      <c r="F4735" s="115">
        <f>IFERROR(__xludf.DUMMYFUNCTION("""COMPUTED_VALUE"""),16876.0)</f>
        <v>16876</v>
      </c>
      <c r="G4735" s="115">
        <f>IFERROR(__xludf.DUMMYFUNCTION("""COMPUTED_VALUE"""),2200.0)</f>
        <v>2200</v>
      </c>
      <c r="H4735" s="116">
        <f>IFERROR(__xludf.DUMMYFUNCTION("""COMPUTED_VALUE"""),45909.0)</f>
        <v>45909</v>
      </c>
      <c r="I4735" s="115" t="str">
        <f>IFERROR(__xludf.DUMMYFUNCTION("""COMPUTED_VALUE"""),"16")</f>
        <v>16</v>
      </c>
      <c r="J4735" s="115" t="str">
        <f>IFERROR(__xludf.DUMMYFUNCTION("""COMPUTED_VALUE"""),"Ashish Jakar2025-09-0916")</f>
        <v>Ashish Jakar2025-09-0916</v>
      </c>
      <c r="K4735" s="115">
        <f>IFERROR(__xludf.DUMMYFUNCTION("""COMPUTED_VALUE"""),62202.0)</f>
        <v>62202</v>
      </c>
    </row>
    <row r="4736">
      <c r="A4736" s="115" t="str">
        <f>IFERROR(__xludf.DUMMYFUNCTION("""COMPUTED_VALUE"""),"WEST")</f>
        <v>WEST</v>
      </c>
      <c r="B4736" s="115" t="str">
        <f>IFERROR(__xludf.DUMMYFUNCTION("""COMPUTED_VALUE"""),"Ashish Jakar")</f>
        <v>Ashish Jakar</v>
      </c>
      <c r="C4736" s="115" t="str">
        <f>IFERROR(__xludf.DUMMYFUNCTION("""COMPUTED_VALUE"""),"FLIPKART")</f>
        <v>FLIPKART</v>
      </c>
      <c r="D4736" s="115">
        <f>IFERROR(__xludf.DUMMYFUNCTION("""COMPUTED_VALUE"""),350146.0)</f>
        <v>350146</v>
      </c>
      <c r="E4736" s="115">
        <f>IFERROR(__xludf.DUMMYFUNCTION("""COMPUTED_VALUE"""),35501.0)</f>
        <v>35501</v>
      </c>
      <c r="F4736" s="115">
        <f>IFERROR(__xludf.DUMMYFUNCTION("""COMPUTED_VALUE"""),194956.0)</f>
        <v>194956</v>
      </c>
      <c r="G4736" s="115">
        <f>IFERROR(__xludf.DUMMYFUNCTION("""COMPUTED_VALUE"""),13060.0)</f>
        <v>13060</v>
      </c>
      <c r="H4736" s="116">
        <f>IFERROR(__xludf.DUMMYFUNCTION("""COMPUTED_VALUE"""),45909.0)</f>
        <v>45909</v>
      </c>
      <c r="I4736" s="115" t="str">
        <f>IFERROR(__xludf.DUMMYFUNCTION("""COMPUTED_VALUE"""),"16")</f>
        <v>16</v>
      </c>
      <c r="J4736" s="115" t="str">
        <f>IFERROR(__xludf.DUMMYFUNCTION("""COMPUTED_VALUE"""),"Ashish Jakar2025-09-0916")</f>
        <v>Ashish Jakar2025-09-0916</v>
      </c>
      <c r="K4736" s="115">
        <f>IFERROR(__xludf.DUMMYFUNCTION("""COMPUTED_VALUE"""),385647.0)</f>
        <v>385647</v>
      </c>
    </row>
    <row r="4737">
      <c r="A4737" s="115" t="str">
        <f>IFERROR(__xludf.DUMMYFUNCTION("""COMPUTED_VALUE"""),"WEST")</f>
        <v>WEST</v>
      </c>
      <c r="B4737" s="115" t="str">
        <f>IFERROR(__xludf.DUMMYFUNCTION("""COMPUTED_VALUE"""),"Ashish Jakar")</f>
        <v>Ashish Jakar</v>
      </c>
      <c r="C4737" s="115" t="str">
        <f>IFERROR(__xludf.DUMMYFUNCTION("""COMPUTED_VALUE"""),"MYNTRA")</f>
        <v>MYNTRA</v>
      </c>
      <c r="D4737" s="115">
        <f>IFERROR(__xludf.DUMMYFUNCTION("""COMPUTED_VALUE"""),40816.0)</f>
        <v>40816</v>
      </c>
      <c r="E4737" s="115">
        <f>IFERROR(__xludf.DUMMYFUNCTION("""COMPUTED_VALUE"""),12167.0)</f>
        <v>12167</v>
      </c>
      <c r="F4737" s="115">
        <f>IFERROR(__xludf.DUMMYFUNCTION("""COMPUTED_VALUE"""),26379.0)</f>
        <v>26379</v>
      </c>
      <c r="G4737" s="115">
        <f>IFERROR(__xludf.DUMMYFUNCTION("""COMPUTED_VALUE"""),4825.0)</f>
        <v>4825</v>
      </c>
      <c r="H4737" s="116">
        <f>IFERROR(__xludf.DUMMYFUNCTION("""COMPUTED_VALUE"""),45909.0)</f>
        <v>45909</v>
      </c>
      <c r="I4737" s="115" t="str">
        <f>IFERROR(__xludf.DUMMYFUNCTION("""COMPUTED_VALUE"""),"16")</f>
        <v>16</v>
      </c>
      <c r="J4737" s="115" t="str">
        <f>IFERROR(__xludf.DUMMYFUNCTION("""COMPUTED_VALUE"""),"Ashish Jakar2025-09-0916")</f>
        <v>Ashish Jakar2025-09-0916</v>
      </c>
      <c r="K4737" s="115">
        <f>IFERROR(__xludf.DUMMYFUNCTION("""COMPUTED_VALUE"""),52983.0)</f>
        <v>52983</v>
      </c>
    </row>
    <row r="4738">
      <c r="A4738" s="115" t="str">
        <f>IFERROR(__xludf.DUMMYFUNCTION("""COMPUTED_VALUE"""),"WEST")</f>
        <v>WEST</v>
      </c>
      <c r="B4738" s="115" t="str">
        <f>IFERROR(__xludf.DUMMYFUNCTION("""COMPUTED_VALUE"""),"Ashvani Bhatt")</f>
        <v>Ashvani Bhatt</v>
      </c>
      <c r="C4738" s="115" t="str">
        <f>IFERROR(__xludf.DUMMYFUNCTION("""COMPUTED_VALUE"""),"EXTERNAL")</f>
        <v>EXTERNAL</v>
      </c>
      <c r="D4738" s="115">
        <f>IFERROR(__xludf.DUMMYFUNCTION("""COMPUTED_VALUE"""),41386.0)</f>
        <v>41386</v>
      </c>
      <c r="E4738" s="115">
        <f>IFERROR(__xludf.DUMMYFUNCTION("""COMPUTED_VALUE"""),4358.0)</f>
        <v>4358</v>
      </c>
      <c r="F4738" s="115">
        <f>IFERROR(__xludf.DUMMYFUNCTION("""COMPUTED_VALUE"""),14372.0)</f>
        <v>14372</v>
      </c>
      <c r="G4738" s="115">
        <f>IFERROR(__xludf.DUMMYFUNCTION("""COMPUTED_VALUE"""),851.0)</f>
        <v>851</v>
      </c>
      <c r="H4738" s="116">
        <f>IFERROR(__xludf.DUMMYFUNCTION("""COMPUTED_VALUE"""),45909.0)</f>
        <v>45909</v>
      </c>
      <c r="I4738" s="115" t="str">
        <f>IFERROR(__xludf.DUMMYFUNCTION("""COMPUTED_VALUE"""),"16")</f>
        <v>16</v>
      </c>
      <c r="J4738" s="115" t="str">
        <f>IFERROR(__xludf.DUMMYFUNCTION("""COMPUTED_VALUE"""),"Ashvani Bhatt2025-09-0916")</f>
        <v>Ashvani Bhatt2025-09-0916</v>
      </c>
      <c r="K4738" s="115">
        <f>IFERROR(__xludf.DUMMYFUNCTION("""COMPUTED_VALUE"""),45744.0)</f>
        <v>45744</v>
      </c>
    </row>
    <row r="4739">
      <c r="A4739" s="115" t="str">
        <f>IFERROR(__xludf.DUMMYFUNCTION("""COMPUTED_VALUE"""),"WEST")</f>
        <v>WEST</v>
      </c>
      <c r="B4739" s="115" t="str">
        <f>IFERROR(__xludf.DUMMYFUNCTION("""COMPUTED_VALUE"""),"Ashvani Bhatt")</f>
        <v>Ashvani Bhatt</v>
      </c>
      <c r="C4739" s="115" t="str">
        <f>IFERROR(__xludf.DUMMYFUNCTION("""COMPUTED_VALUE"""),"FLIPKART")</f>
        <v>FLIPKART</v>
      </c>
      <c r="D4739" s="115">
        <f>IFERROR(__xludf.DUMMYFUNCTION("""COMPUTED_VALUE"""),280815.0)</f>
        <v>280815</v>
      </c>
      <c r="E4739" s="115">
        <f>IFERROR(__xludf.DUMMYFUNCTION("""COMPUTED_VALUE"""),30516.0)</f>
        <v>30516</v>
      </c>
      <c r="F4739" s="115">
        <f>IFERROR(__xludf.DUMMYFUNCTION("""COMPUTED_VALUE"""),171109.0)</f>
        <v>171109</v>
      </c>
      <c r="G4739" s="115">
        <f>IFERROR(__xludf.DUMMYFUNCTION("""COMPUTED_VALUE"""),10684.0)</f>
        <v>10684</v>
      </c>
      <c r="H4739" s="116">
        <f>IFERROR(__xludf.DUMMYFUNCTION("""COMPUTED_VALUE"""),45909.0)</f>
        <v>45909</v>
      </c>
      <c r="I4739" s="115" t="str">
        <f>IFERROR(__xludf.DUMMYFUNCTION("""COMPUTED_VALUE"""),"16")</f>
        <v>16</v>
      </c>
      <c r="J4739" s="115" t="str">
        <f>IFERROR(__xludf.DUMMYFUNCTION("""COMPUTED_VALUE"""),"Ashvani Bhatt2025-09-0916")</f>
        <v>Ashvani Bhatt2025-09-0916</v>
      </c>
      <c r="K4739" s="115">
        <f>IFERROR(__xludf.DUMMYFUNCTION("""COMPUTED_VALUE"""),311331.0)</f>
        <v>311331</v>
      </c>
    </row>
    <row r="4740">
      <c r="A4740" s="115" t="str">
        <f>IFERROR(__xludf.DUMMYFUNCTION("""COMPUTED_VALUE"""),"WEST")</f>
        <v>WEST</v>
      </c>
      <c r="B4740" s="115" t="str">
        <f>IFERROR(__xludf.DUMMYFUNCTION("""COMPUTED_VALUE"""),"Ashvani Bhatt")</f>
        <v>Ashvani Bhatt</v>
      </c>
      <c r="C4740" s="115" t="str">
        <f>IFERROR(__xludf.DUMMYFUNCTION("""COMPUTED_VALUE"""),"MYNTRA")</f>
        <v>MYNTRA</v>
      </c>
      <c r="D4740" s="115">
        <f>IFERROR(__xludf.DUMMYFUNCTION("""COMPUTED_VALUE"""),37917.0)</f>
        <v>37917</v>
      </c>
      <c r="E4740" s="115">
        <f>IFERROR(__xludf.DUMMYFUNCTION("""COMPUTED_VALUE"""),9664.0)</f>
        <v>9664</v>
      </c>
      <c r="F4740" s="115">
        <f>IFERROR(__xludf.DUMMYFUNCTION("""COMPUTED_VALUE"""),27462.0)</f>
        <v>27462</v>
      </c>
      <c r="G4740" s="115">
        <f>IFERROR(__xludf.DUMMYFUNCTION("""COMPUTED_VALUE"""),4013.0)</f>
        <v>4013</v>
      </c>
      <c r="H4740" s="116">
        <f>IFERROR(__xludf.DUMMYFUNCTION("""COMPUTED_VALUE"""),45909.0)</f>
        <v>45909</v>
      </c>
      <c r="I4740" s="115" t="str">
        <f>IFERROR(__xludf.DUMMYFUNCTION("""COMPUTED_VALUE"""),"16")</f>
        <v>16</v>
      </c>
      <c r="J4740" s="115" t="str">
        <f>IFERROR(__xludf.DUMMYFUNCTION("""COMPUTED_VALUE"""),"Ashvani Bhatt2025-09-0916")</f>
        <v>Ashvani Bhatt2025-09-0916</v>
      </c>
      <c r="K4740" s="115">
        <f>IFERROR(__xludf.DUMMYFUNCTION("""COMPUTED_VALUE"""),47581.0)</f>
        <v>47581</v>
      </c>
    </row>
    <row r="4741">
      <c r="A4741" s="115"/>
      <c r="B4741" s="115"/>
      <c r="C4741" s="115" t="str">
        <f>IFERROR(__xludf.DUMMYFUNCTION("""COMPUTED_VALUE"""),"EXTERNAL")</f>
        <v>EXTERNAL</v>
      </c>
      <c r="D4741" s="115">
        <f>IFERROR(__xludf.DUMMYFUNCTION("""COMPUTED_VALUE"""),496.0)</f>
        <v>496</v>
      </c>
      <c r="E4741" s="115">
        <f>IFERROR(__xludf.DUMMYFUNCTION("""COMPUTED_VALUE"""),78.0)</f>
        <v>78</v>
      </c>
      <c r="F4741" s="115">
        <f>IFERROR(__xludf.DUMMYFUNCTION("""COMPUTED_VALUE"""),166.0)</f>
        <v>166</v>
      </c>
      <c r="G4741" s="115">
        <f>IFERROR(__xludf.DUMMYFUNCTION("""COMPUTED_VALUE"""),38.0)</f>
        <v>38</v>
      </c>
      <c r="H4741" s="116">
        <f>IFERROR(__xludf.DUMMYFUNCTION("""COMPUTED_VALUE"""),45909.0)</f>
        <v>45909</v>
      </c>
      <c r="I4741" s="115" t="str">
        <f>IFERROR(__xludf.DUMMYFUNCTION("""COMPUTED_VALUE"""),"16")</f>
        <v>16</v>
      </c>
      <c r="J4741" s="115" t="str">
        <f>IFERROR(__xludf.DUMMYFUNCTION("""COMPUTED_VALUE"""),"2025-09-0916")</f>
        <v>2025-09-0916</v>
      </c>
      <c r="K4741" s="115">
        <f>IFERROR(__xludf.DUMMYFUNCTION("""COMPUTED_VALUE"""),574.0)</f>
        <v>574</v>
      </c>
    </row>
    <row r="4742">
      <c r="A4742" s="115"/>
      <c r="B4742" s="115"/>
      <c r="C4742" s="115" t="str">
        <f>IFERROR(__xludf.DUMMYFUNCTION("""COMPUTED_VALUE"""),"FLIPKART")</f>
        <v>FLIPKART</v>
      </c>
      <c r="D4742" s="115">
        <f>IFERROR(__xludf.DUMMYFUNCTION("""COMPUTED_VALUE"""),5638.0)</f>
        <v>5638</v>
      </c>
      <c r="E4742" s="115">
        <f>IFERROR(__xludf.DUMMYFUNCTION("""COMPUTED_VALUE"""),497.0)</f>
        <v>497</v>
      </c>
      <c r="F4742" s="115">
        <f>IFERROR(__xludf.DUMMYFUNCTION("""COMPUTED_VALUE"""),2585.0)</f>
        <v>2585</v>
      </c>
      <c r="G4742" s="115">
        <f>IFERROR(__xludf.DUMMYFUNCTION("""COMPUTED_VALUE"""),235.0)</f>
        <v>235</v>
      </c>
      <c r="H4742" s="116">
        <f>IFERROR(__xludf.DUMMYFUNCTION("""COMPUTED_VALUE"""),45909.0)</f>
        <v>45909</v>
      </c>
      <c r="I4742" s="115" t="str">
        <f>IFERROR(__xludf.DUMMYFUNCTION("""COMPUTED_VALUE"""),"16")</f>
        <v>16</v>
      </c>
      <c r="J4742" s="115" t="str">
        <f>IFERROR(__xludf.DUMMYFUNCTION("""COMPUTED_VALUE"""),"2025-09-0916")</f>
        <v>2025-09-0916</v>
      </c>
      <c r="K4742" s="115">
        <f>IFERROR(__xludf.DUMMYFUNCTION("""COMPUTED_VALUE"""),6135.0)</f>
        <v>6135</v>
      </c>
    </row>
    <row r="4743">
      <c r="A4743" s="115"/>
      <c r="B4743" s="115"/>
      <c r="C4743" s="115" t="str">
        <f>IFERROR(__xludf.DUMMYFUNCTION("""COMPUTED_VALUE"""),"MYNTRA")</f>
        <v>MYNTRA</v>
      </c>
      <c r="D4743" s="115">
        <f>IFERROR(__xludf.DUMMYFUNCTION("""COMPUTED_VALUE"""),619.0)</f>
        <v>619</v>
      </c>
      <c r="E4743" s="115">
        <f>IFERROR(__xludf.DUMMYFUNCTION("""COMPUTED_VALUE"""),159.0)</f>
        <v>159</v>
      </c>
      <c r="F4743" s="115">
        <f>IFERROR(__xludf.DUMMYFUNCTION("""COMPUTED_VALUE"""),377.0)</f>
        <v>377</v>
      </c>
      <c r="G4743" s="115">
        <f>IFERROR(__xludf.DUMMYFUNCTION("""COMPUTED_VALUE"""),71.0)</f>
        <v>71</v>
      </c>
      <c r="H4743" s="116">
        <f>IFERROR(__xludf.DUMMYFUNCTION("""COMPUTED_VALUE"""),45909.0)</f>
        <v>45909</v>
      </c>
      <c r="I4743" s="115" t="str">
        <f>IFERROR(__xludf.DUMMYFUNCTION("""COMPUTED_VALUE"""),"16")</f>
        <v>16</v>
      </c>
      <c r="J4743" s="115" t="str">
        <f>IFERROR(__xludf.DUMMYFUNCTION("""COMPUTED_VALUE"""),"2025-09-0916")</f>
        <v>2025-09-0916</v>
      </c>
      <c r="K4743" s="115">
        <f>IFERROR(__xludf.DUMMYFUNCTION("""COMPUTED_VALUE"""),778.0)</f>
        <v>778</v>
      </c>
    </row>
    <row r="4744">
      <c r="A4744" s="115" t="str">
        <f>IFERROR(__xludf.DUMMYFUNCTION("""COMPUTED_VALUE"""),"EAST")</f>
        <v>EAST</v>
      </c>
      <c r="B4744" s="115" t="str">
        <f>IFERROR(__xludf.DUMMYFUNCTION("""COMPUTED_VALUE"""),"Ashish Ranjan")</f>
        <v>Ashish Ranjan</v>
      </c>
      <c r="C4744" s="115" t="str">
        <f>IFERROR(__xludf.DUMMYFUNCTION("""COMPUTED_VALUE"""),"EXTERNAL")</f>
        <v>EXTERNAL</v>
      </c>
      <c r="D4744" s="115">
        <f>IFERROR(__xludf.DUMMYFUNCTION("""COMPUTED_VALUE"""),41618.0)</f>
        <v>41618</v>
      </c>
      <c r="E4744" s="115">
        <f>IFERROR(__xludf.DUMMYFUNCTION("""COMPUTED_VALUE"""),4129.0)</f>
        <v>4129</v>
      </c>
      <c r="F4744" s="115">
        <f>IFERROR(__xludf.DUMMYFUNCTION("""COMPUTED_VALUE"""),19177.0)</f>
        <v>19177</v>
      </c>
      <c r="G4744" s="115">
        <f>IFERROR(__xludf.DUMMYFUNCTION("""COMPUTED_VALUE"""),1442.0)</f>
        <v>1442</v>
      </c>
      <c r="H4744" s="116">
        <f>IFERROR(__xludf.DUMMYFUNCTION("""COMPUTED_VALUE"""),45909.0)</f>
        <v>45909</v>
      </c>
      <c r="I4744" s="115" t="str">
        <f>IFERROR(__xludf.DUMMYFUNCTION("""COMPUTED_VALUE"""),"17")</f>
        <v>17</v>
      </c>
      <c r="J4744" s="115" t="str">
        <f>IFERROR(__xludf.DUMMYFUNCTION("""COMPUTED_VALUE"""),"Ashish Ranjan2025-09-0917")</f>
        <v>Ashish Ranjan2025-09-0917</v>
      </c>
      <c r="K4744" s="115">
        <f>IFERROR(__xludf.DUMMYFUNCTION("""COMPUTED_VALUE"""),45747.0)</f>
        <v>45747</v>
      </c>
    </row>
    <row r="4745">
      <c r="A4745" s="115" t="str">
        <f>IFERROR(__xludf.DUMMYFUNCTION("""COMPUTED_VALUE"""),"EAST")</f>
        <v>EAST</v>
      </c>
      <c r="B4745" s="115" t="str">
        <f>IFERROR(__xludf.DUMMYFUNCTION("""COMPUTED_VALUE"""),"Ashish Ranjan")</f>
        <v>Ashish Ranjan</v>
      </c>
      <c r="C4745" s="115" t="str">
        <f>IFERROR(__xludf.DUMMYFUNCTION("""COMPUTED_VALUE"""),"FLIPKART")</f>
        <v>FLIPKART</v>
      </c>
      <c r="D4745" s="115">
        <f>IFERROR(__xludf.DUMMYFUNCTION("""COMPUTED_VALUE"""),653685.0)</f>
        <v>653685</v>
      </c>
      <c r="E4745" s="115">
        <f>IFERROR(__xludf.DUMMYFUNCTION("""COMPUTED_VALUE"""),70951.0)</f>
        <v>70951</v>
      </c>
      <c r="F4745" s="115">
        <f>IFERROR(__xludf.DUMMYFUNCTION("""COMPUTED_VALUE"""),498624.0)</f>
        <v>498624</v>
      </c>
      <c r="G4745" s="115">
        <f>IFERROR(__xludf.DUMMYFUNCTION("""COMPUTED_VALUE"""),37599.0)</f>
        <v>37599</v>
      </c>
      <c r="H4745" s="116">
        <f>IFERROR(__xludf.DUMMYFUNCTION("""COMPUTED_VALUE"""),45909.0)</f>
        <v>45909</v>
      </c>
      <c r="I4745" s="115" t="str">
        <f>IFERROR(__xludf.DUMMYFUNCTION("""COMPUTED_VALUE"""),"17")</f>
        <v>17</v>
      </c>
      <c r="J4745" s="115" t="str">
        <f>IFERROR(__xludf.DUMMYFUNCTION("""COMPUTED_VALUE"""),"Ashish Ranjan2025-09-0917")</f>
        <v>Ashish Ranjan2025-09-0917</v>
      </c>
      <c r="K4745" s="115">
        <f>IFERROR(__xludf.DUMMYFUNCTION("""COMPUTED_VALUE"""),724636.0)</f>
        <v>724636</v>
      </c>
    </row>
    <row r="4746">
      <c r="A4746" s="115" t="str">
        <f>IFERROR(__xludf.DUMMYFUNCTION("""COMPUTED_VALUE"""),"EAST")</f>
        <v>EAST</v>
      </c>
      <c r="B4746" s="115" t="str">
        <f>IFERROR(__xludf.DUMMYFUNCTION("""COMPUTED_VALUE"""),"Ashish Ranjan")</f>
        <v>Ashish Ranjan</v>
      </c>
      <c r="C4746" s="115" t="str">
        <f>IFERROR(__xludf.DUMMYFUNCTION("""COMPUTED_VALUE"""),"MYNTRA")</f>
        <v>MYNTRA</v>
      </c>
      <c r="D4746" s="115">
        <f>IFERROR(__xludf.DUMMYFUNCTION("""COMPUTED_VALUE"""),76000.0)</f>
        <v>76000</v>
      </c>
      <c r="E4746" s="115">
        <f>IFERROR(__xludf.DUMMYFUNCTION("""COMPUTED_VALUE"""),16629.0)</f>
        <v>16629</v>
      </c>
      <c r="F4746" s="115">
        <f>IFERROR(__xludf.DUMMYFUNCTION("""COMPUTED_VALUE"""),58317.0)</f>
        <v>58317</v>
      </c>
      <c r="G4746" s="115">
        <f>IFERROR(__xludf.DUMMYFUNCTION("""COMPUTED_VALUE"""),8822.0)</f>
        <v>8822</v>
      </c>
      <c r="H4746" s="116">
        <f>IFERROR(__xludf.DUMMYFUNCTION("""COMPUTED_VALUE"""),45909.0)</f>
        <v>45909</v>
      </c>
      <c r="I4746" s="115" t="str">
        <f>IFERROR(__xludf.DUMMYFUNCTION("""COMPUTED_VALUE"""),"17")</f>
        <v>17</v>
      </c>
      <c r="J4746" s="115" t="str">
        <f>IFERROR(__xludf.DUMMYFUNCTION("""COMPUTED_VALUE"""),"Ashish Ranjan2025-09-0917")</f>
        <v>Ashish Ranjan2025-09-0917</v>
      </c>
      <c r="K4746" s="115">
        <f>IFERROR(__xludf.DUMMYFUNCTION("""COMPUTED_VALUE"""),92629.0)</f>
        <v>92629</v>
      </c>
    </row>
    <row r="4747">
      <c r="A4747" s="115" t="str">
        <f>IFERROR(__xludf.DUMMYFUNCTION("""COMPUTED_VALUE"""),"EAST")</f>
        <v>EAST</v>
      </c>
      <c r="B4747" s="115" t="str">
        <f>IFERROR(__xludf.DUMMYFUNCTION("""COMPUTED_VALUE"""),"Girish Chand")</f>
        <v>Girish Chand</v>
      </c>
      <c r="C4747" s="115" t="str">
        <f>IFERROR(__xludf.DUMMYFUNCTION("""COMPUTED_VALUE"""),"EXTERNAL")</f>
        <v>EXTERNAL</v>
      </c>
      <c r="D4747" s="115">
        <f>IFERROR(__xludf.DUMMYFUNCTION("""COMPUTED_VALUE"""),24444.0)</f>
        <v>24444</v>
      </c>
      <c r="E4747" s="115">
        <f>IFERROR(__xludf.DUMMYFUNCTION("""COMPUTED_VALUE"""),2610.0)</f>
        <v>2610</v>
      </c>
      <c r="F4747" s="115">
        <f>IFERROR(__xludf.DUMMYFUNCTION("""COMPUTED_VALUE"""),9816.0)</f>
        <v>9816</v>
      </c>
      <c r="G4747" s="115">
        <f>IFERROR(__xludf.DUMMYFUNCTION("""COMPUTED_VALUE"""),483.0)</f>
        <v>483</v>
      </c>
      <c r="H4747" s="116">
        <f>IFERROR(__xludf.DUMMYFUNCTION("""COMPUTED_VALUE"""),45909.0)</f>
        <v>45909</v>
      </c>
      <c r="I4747" s="115" t="str">
        <f>IFERROR(__xludf.DUMMYFUNCTION("""COMPUTED_VALUE"""),"17")</f>
        <v>17</v>
      </c>
      <c r="J4747" s="115" t="str">
        <f>IFERROR(__xludf.DUMMYFUNCTION("""COMPUTED_VALUE"""),"Girish Chand2025-09-0917")</f>
        <v>Girish Chand2025-09-0917</v>
      </c>
      <c r="K4747" s="115">
        <f>IFERROR(__xludf.DUMMYFUNCTION("""COMPUTED_VALUE"""),27054.0)</f>
        <v>27054</v>
      </c>
    </row>
    <row r="4748">
      <c r="A4748" s="115" t="str">
        <f>IFERROR(__xludf.DUMMYFUNCTION("""COMPUTED_VALUE"""),"EAST")</f>
        <v>EAST</v>
      </c>
      <c r="B4748" s="115" t="str">
        <f>IFERROR(__xludf.DUMMYFUNCTION("""COMPUTED_VALUE"""),"Girish Chand")</f>
        <v>Girish Chand</v>
      </c>
      <c r="C4748" s="115" t="str">
        <f>IFERROR(__xludf.DUMMYFUNCTION("""COMPUTED_VALUE"""),"FLIPKART")</f>
        <v>FLIPKART</v>
      </c>
      <c r="D4748" s="115">
        <f>IFERROR(__xludf.DUMMYFUNCTION("""COMPUTED_VALUE"""),395891.0)</f>
        <v>395891</v>
      </c>
      <c r="E4748" s="115">
        <f>IFERROR(__xludf.DUMMYFUNCTION("""COMPUTED_VALUE"""),39791.0)</f>
        <v>39791</v>
      </c>
      <c r="F4748" s="115">
        <f>IFERROR(__xludf.DUMMYFUNCTION("""COMPUTED_VALUE"""),268117.0)</f>
        <v>268117</v>
      </c>
      <c r="G4748" s="115">
        <f>IFERROR(__xludf.DUMMYFUNCTION("""COMPUTED_VALUE"""),17414.0)</f>
        <v>17414</v>
      </c>
      <c r="H4748" s="116">
        <f>IFERROR(__xludf.DUMMYFUNCTION("""COMPUTED_VALUE"""),45909.0)</f>
        <v>45909</v>
      </c>
      <c r="I4748" s="115" t="str">
        <f>IFERROR(__xludf.DUMMYFUNCTION("""COMPUTED_VALUE"""),"17")</f>
        <v>17</v>
      </c>
      <c r="J4748" s="115" t="str">
        <f>IFERROR(__xludf.DUMMYFUNCTION("""COMPUTED_VALUE"""),"Girish Chand2025-09-0917")</f>
        <v>Girish Chand2025-09-0917</v>
      </c>
      <c r="K4748" s="115">
        <f>IFERROR(__xludf.DUMMYFUNCTION("""COMPUTED_VALUE"""),435682.0)</f>
        <v>435682</v>
      </c>
    </row>
    <row r="4749">
      <c r="A4749" s="115" t="str">
        <f>IFERROR(__xludf.DUMMYFUNCTION("""COMPUTED_VALUE"""),"EAST")</f>
        <v>EAST</v>
      </c>
      <c r="B4749" s="115" t="str">
        <f>IFERROR(__xludf.DUMMYFUNCTION("""COMPUTED_VALUE"""),"Girish Chand")</f>
        <v>Girish Chand</v>
      </c>
      <c r="C4749" s="115" t="str">
        <f>IFERROR(__xludf.DUMMYFUNCTION("""COMPUTED_VALUE"""),"MYNTRA")</f>
        <v>MYNTRA</v>
      </c>
      <c r="D4749" s="115">
        <f>IFERROR(__xludf.DUMMYFUNCTION("""COMPUTED_VALUE"""),39877.0)</f>
        <v>39877</v>
      </c>
      <c r="E4749" s="115">
        <f>IFERROR(__xludf.DUMMYFUNCTION("""COMPUTED_VALUE"""),7642.0)</f>
        <v>7642</v>
      </c>
      <c r="F4749" s="115">
        <f>IFERROR(__xludf.DUMMYFUNCTION("""COMPUTED_VALUE"""),29003.0)</f>
        <v>29003</v>
      </c>
      <c r="G4749" s="115">
        <f>IFERROR(__xludf.DUMMYFUNCTION("""COMPUTED_VALUE"""),3723.0)</f>
        <v>3723</v>
      </c>
      <c r="H4749" s="116">
        <f>IFERROR(__xludf.DUMMYFUNCTION("""COMPUTED_VALUE"""),45909.0)</f>
        <v>45909</v>
      </c>
      <c r="I4749" s="115" t="str">
        <f>IFERROR(__xludf.DUMMYFUNCTION("""COMPUTED_VALUE"""),"17")</f>
        <v>17</v>
      </c>
      <c r="J4749" s="115" t="str">
        <f>IFERROR(__xludf.DUMMYFUNCTION("""COMPUTED_VALUE"""),"Girish Chand2025-09-0917")</f>
        <v>Girish Chand2025-09-0917</v>
      </c>
      <c r="K4749" s="115">
        <f>IFERROR(__xludf.DUMMYFUNCTION("""COMPUTED_VALUE"""),47519.0)</f>
        <v>47519</v>
      </c>
    </row>
    <row r="4750">
      <c r="A4750" s="115" t="str">
        <f>IFERROR(__xludf.DUMMYFUNCTION("""COMPUTED_VALUE"""),"EAST")</f>
        <v>EAST</v>
      </c>
      <c r="B4750" s="115" t="str">
        <f>IFERROR(__xludf.DUMMYFUNCTION("""COMPUTED_VALUE"""),"Parag Kashyap")</f>
        <v>Parag Kashyap</v>
      </c>
      <c r="C4750" s="115" t="str">
        <f>IFERROR(__xludf.DUMMYFUNCTION("""COMPUTED_VALUE"""),"EXTERNAL")</f>
        <v>EXTERNAL</v>
      </c>
      <c r="D4750" s="115">
        <f>IFERROR(__xludf.DUMMYFUNCTION("""COMPUTED_VALUE"""),18101.0)</f>
        <v>18101</v>
      </c>
      <c r="E4750" s="115">
        <f>IFERROR(__xludf.DUMMYFUNCTION("""COMPUTED_VALUE"""),1338.0)</f>
        <v>1338</v>
      </c>
      <c r="F4750" s="115">
        <f>IFERROR(__xludf.DUMMYFUNCTION("""COMPUTED_VALUE"""),6780.0)</f>
        <v>6780</v>
      </c>
      <c r="G4750" s="115">
        <f>IFERROR(__xludf.DUMMYFUNCTION("""COMPUTED_VALUE"""),234.0)</f>
        <v>234</v>
      </c>
      <c r="H4750" s="116">
        <f>IFERROR(__xludf.DUMMYFUNCTION("""COMPUTED_VALUE"""),45909.0)</f>
        <v>45909</v>
      </c>
      <c r="I4750" s="115" t="str">
        <f>IFERROR(__xludf.DUMMYFUNCTION("""COMPUTED_VALUE"""),"17")</f>
        <v>17</v>
      </c>
      <c r="J4750" s="115" t="str">
        <f>IFERROR(__xludf.DUMMYFUNCTION("""COMPUTED_VALUE"""),"Parag Kashyap2025-09-0917")</f>
        <v>Parag Kashyap2025-09-0917</v>
      </c>
      <c r="K4750" s="115">
        <f>IFERROR(__xludf.DUMMYFUNCTION("""COMPUTED_VALUE"""),19439.0)</f>
        <v>19439</v>
      </c>
    </row>
    <row r="4751">
      <c r="A4751" s="115" t="str">
        <f>IFERROR(__xludf.DUMMYFUNCTION("""COMPUTED_VALUE"""),"EAST")</f>
        <v>EAST</v>
      </c>
      <c r="B4751" s="115" t="str">
        <f>IFERROR(__xludf.DUMMYFUNCTION("""COMPUTED_VALUE"""),"Parag Kashyap")</f>
        <v>Parag Kashyap</v>
      </c>
      <c r="C4751" s="115" t="str">
        <f>IFERROR(__xludf.DUMMYFUNCTION("""COMPUTED_VALUE"""),"FLIPKART")</f>
        <v>FLIPKART</v>
      </c>
      <c r="D4751" s="115">
        <f>IFERROR(__xludf.DUMMYFUNCTION("""COMPUTED_VALUE"""),312813.0)</f>
        <v>312813</v>
      </c>
      <c r="E4751" s="115">
        <f>IFERROR(__xludf.DUMMYFUNCTION("""COMPUTED_VALUE"""),20789.0)</f>
        <v>20789</v>
      </c>
      <c r="F4751" s="115">
        <f>IFERROR(__xludf.DUMMYFUNCTION("""COMPUTED_VALUE"""),205961.0)</f>
        <v>205961</v>
      </c>
      <c r="G4751" s="115">
        <f>IFERROR(__xludf.DUMMYFUNCTION("""COMPUTED_VALUE"""),6628.0)</f>
        <v>6628</v>
      </c>
      <c r="H4751" s="116">
        <f>IFERROR(__xludf.DUMMYFUNCTION("""COMPUTED_VALUE"""),45909.0)</f>
        <v>45909</v>
      </c>
      <c r="I4751" s="115" t="str">
        <f>IFERROR(__xludf.DUMMYFUNCTION("""COMPUTED_VALUE"""),"17")</f>
        <v>17</v>
      </c>
      <c r="J4751" s="115" t="str">
        <f>IFERROR(__xludf.DUMMYFUNCTION("""COMPUTED_VALUE"""),"Parag Kashyap2025-09-0917")</f>
        <v>Parag Kashyap2025-09-0917</v>
      </c>
      <c r="K4751" s="115">
        <f>IFERROR(__xludf.DUMMYFUNCTION("""COMPUTED_VALUE"""),333602.0)</f>
        <v>333602</v>
      </c>
    </row>
    <row r="4752">
      <c r="A4752" s="115" t="str">
        <f>IFERROR(__xludf.DUMMYFUNCTION("""COMPUTED_VALUE"""),"EAST")</f>
        <v>EAST</v>
      </c>
      <c r="B4752" s="115" t="str">
        <f>IFERROR(__xludf.DUMMYFUNCTION("""COMPUTED_VALUE"""),"Parag Kashyap")</f>
        <v>Parag Kashyap</v>
      </c>
      <c r="C4752" s="115" t="str">
        <f>IFERROR(__xludf.DUMMYFUNCTION("""COMPUTED_VALUE"""),"MYNTRA")</f>
        <v>MYNTRA</v>
      </c>
      <c r="D4752" s="115">
        <f>IFERROR(__xludf.DUMMYFUNCTION("""COMPUTED_VALUE"""),40296.0)</f>
        <v>40296</v>
      </c>
      <c r="E4752" s="115">
        <f>IFERROR(__xludf.DUMMYFUNCTION("""COMPUTED_VALUE"""),6296.0)</f>
        <v>6296</v>
      </c>
      <c r="F4752" s="115">
        <f>IFERROR(__xludf.DUMMYFUNCTION("""COMPUTED_VALUE"""),27825.0)</f>
        <v>27825</v>
      </c>
      <c r="G4752" s="115">
        <f>IFERROR(__xludf.DUMMYFUNCTION("""COMPUTED_VALUE"""),2103.0)</f>
        <v>2103</v>
      </c>
      <c r="H4752" s="116">
        <f>IFERROR(__xludf.DUMMYFUNCTION("""COMPUTED_VALUE"""),45909.0)</f>
        <v>45909</v>
      </c>
      <c r="I4752" s="115" t="str">
        <f>IFERROR(__xludf.DUMMYFUNCTION("""COMPUTED_VALUE"""),"17")</f>
        <v>17</v>
      </c>
      <c r="J4752" s="115" t="str">
        <f>IFERROR(__xludf.DUMMYFUNCTION("""COMPUTED_VALUE"""),"Parag Kashyap2025-09-0917")</f>
        <v>Parag Kashyap2025-09-0917</v>
      </c>
      <c r="K4752" s="115">
        <f>IFERROR(__xludf.DUMMYFUNCTION("""COMPUTED_VALUE"""),46592.0)</f>
        <v>46592</v>
      </c>
    </row>
    <row r="4753">
      <c r="A4753" s="115" t="str">
        <f>IFERROR(__xludf.DUMMYFUNCTION("""COMPUTED_VALUE"""),"NORTH")</f>
        <v>NORTH</v>
      </c>
      <c r="B4753" s="115" t="str">
        <f>IFERROR(__xludf.DUMMYFUNCTION("""COMPUTED_VALUE"""),"Amit Kumar Pathak")</f>
        <v>Amit Kumar Pathak</v>
      </c>
      <c r="C4753" s="115" t="str">
        <f>IFERROR(__xludf.DUMMYFUNCTION("""COMPUTED_VALUE"""),"EXTERNAL")</f>
        <v>EXTERNAL</v>
      </c>
      <c r="D4753" s="115">
        <f>IFERROR(__xludf.DUMMYFUNCTION("""COMPUTED_VALUE"""),28984.0)</f>
        <v>28984</v>
      </c>
      <c r="E4753" s="115">
        <f>IFERROR(__xludf.DUMMYFUNCTION("""COMPUTED_VALUE"""),3979.0)</f>
        <v>3979</v>
      </c>
      <c r="F4753" s="115">
        <f>IFERROR(__xludf.DUMMYFUNCTION("""COMPUTED_VALUE"""),9053.0)</f>
        <v>9053</v>
      </c>
      <c r="G4753" s="115">
        <f>IFERROR(__xludf.DUMMYFUNCTION("""COMPUTED_VALUE"""),1509.0)</f>
        <v>1509</v>
      </c>
      <c r="H4753" s="116">
        <f>IFERROR(__xludf.DUMMYFUNCTION("""COMPUTED_VALUE"""),45909.0)</f>
        <v>45909</v>
      </c>
      <c r="I4753" s="115" t="str">
        <f>IFERROR(__xludf.DUMMYFUNCTION("""COMPUTED_VALUE"""),"17")</f>
        <v>17</v>
      </c>
      <c r="J4753" s="115" t="str">
        <f>IFERROR(__xludf.DUMMYFUNCTION("""COMPUTED_VALUE"""),"Amit Kumar Pathak2025-09-0917")</f>
        <v>Amit Kumar Pathak2025-09-0917</v>
      </c>
      <c r="K4753" s="115">
        <f>IFERROR(__xludf.DUMMYFUNCTION("""COMPUTED_VALUE"""),32963.0)</f>
        <v>32963</v>
      </c>
    </row>
    <row r="4754">
      <c r="A4754" s="115" t="str">
        <f>IFERROR(__xludf.DUMMYFUNCTION("""COMPUTED_VALUE"""),"NORTH")</f>
        <v>NORTH</v>
      </c>
      <c r="B4754" s="115" t="str">
        <f>IFERROR(__xludf.DUMMYFUNCTION("""COMPUTED_VALUE"""),"Amit Kumar Pathak")</f>
        <v>Amit Kumar Pathak</v>
      </c>
      <c r="C4754" s="115" t="str">
        <f>IFERROR(__xludf.DUMMYFUNCTION("""COMPUTED_VALUE"""),"FLIPKART")</f>
        <v>FLIPKART</v>
      </c>
      <c r="D4754" s="115">
        <f>IFERROR(__xludf.DUMMYFUNCTION("""COMPUTED_VALUE"""),180144.0)</f>
        <v>180144</v>
      </c>
      <c r="E4754" s="115">
        <f>IFERROR(__xludf.DUMMYFUNCTION("""COMPUTED_VALUE"""),24346.0)</f>
        <v>24346</v>
      </c>
      <c r="F4754" s="115">
        <f>IFERROR(__xludf.DUMMYFUNCTION("""COMPUTED_VALUE"""),105714.0)</f>
        <v>105714</v>
      </c>
      <c r="G4754" s="115">
        <f>IFERROR(__xludf.DUMMYFUNCTION("""COMPUTED_VALUE"""),11746.0)</f>
        <v>11746</v>
      </c>
      <c r="H4754" s="116">
        <f>IFERROR(__xludf.DUMMYFUNCTION("""COMPUTED_VALUE"""),45909.0)</f>
        <v>45909</v>
      </c>
      <c r="I4754" s="115" t="str">
        <f>IFERROR(__xludf.DUMMYFUNCTION("""COMPUTED_VALUE"""),"17")</f>
        <v>17</v>
      </c>
      <c r="J4754" s="115" t="str">
        <f>IFERROR(__xludf.DUMMYFUNCTION("""COMPUTED_VALUE"""),"Amit Kumar Pathak2025-09-0917")</f>
        <v>Amit Kumar Pathak2025-09-0917</v>
      </c>
      <c r="K4754" s="115">
        <f>IFERROR(__xludf.DUMMYFUNCTION("""COMPUTED_VALUE"""),204490.0)</f>
        <v>204490</v>
      </c>
    </row>
    <row r="4755">
      <c r="A4755" s="115" t="str">
        <f>IFERROR(__xludf.DUMMYFUNCTION("""COMPUTED_VALUE"""),"NORTH")</f>
        <v>NORTH</v>
      </c>
      <c r="B4755" s="115" t="str">
        <f>IFERROR(__xludf.DUMMYFUNCTION("""COMPUTED_VALUE"""),"Amit Kumar Pathak")</f>
        <v>Amit Kumar Pathak</v>
      </c>
      <c r="C4755" s="115" t="str">
        <f>IFERROR(__xludf.DUMMYFUNCTION("""COMPUTED_VALUE"""),"MYNTRA")</f>
        <v>MYNTRA</v>
      </c>
      <c r="D4755" s="115">
        <f>IFERROR(__xludf.DUMMYFUNCTION("""COMPUTED_VALUE"""),17602.0)</f>
        <v>17602</v>
      </c>
      <c r="E4755" s="115">
        <f>IFERROR(__xludf.DUMMYFUNCTION("""COMPUTED_VALUE"""),5918.0)</f>
        <v>5918</v>
      </c>
      <c r="F4755" s="115">
        <f>IFERROR(__xludf.DUMMYFUNCTION("""COMPUTED_VALUE"""),11782.0)</f>
        <v>11782</v>
      </c>
      <c r="G4755" s="115">
        <f>IFERROR(__xludf.DUMMYFUNCTION("""COMPUTED_VALUE"""),3286.0)</f>
        <v>3286</v>
      </c>
      <c r="H4755" s="116">
        <f>IFERROR(__xludf.DUMMYFUNCTION("""COMPUTED_VALUE"""),45909.0)</f>
        <v>45909</v>
      </c>
      <c r="I4755" s="115" t="str">
        <f>IFERROR(__xludf.DUMMYFUNCTION("""COMPUTED_VALUE"""),"17")</f>
        <v>17</v>
      </c>
      <c r="J4755" s="115" t="str">
        <f>IFERROR(__xludf.DUMMYFUNCTION("""COMPUTED_VALUE"""),"Amit Kumar Pathak2025-09-0917")</f>
        <v>Amit Kumar Pathak2025-09-0917</v>
      </c>
      <c r="K4755" s="115">
        <f>IFERROR(__xludf.DUMMYFUNCTION("""COMPUTED_VALUE"""),23520.0)</f>
        <v>23520</v>
      </c>
    </row>
    <row r="4756">
      <c r="A4756" s="115" t="str">
        <f>IFERROR(__xludf.DUMMYFUNCTION("""COMPUTED_VALUE"""),"NORTH")</f>
        <v>NORTH</v>
      </c>
      <c r="B4756" s="115" t="str">
        <f>IFERROR(__xludf.DUMMYFUNCTION("""COMPUTED_VALUE"""),"Loveleen Singh")</f>
        <v>Loveleen Singh</v>
      </c>
      <c r="C4756" s="115" t="str">
        <f>IFERROR(__xludf.DUMMYFUNCTION("""COMPUTED_VALUE"""),"EXTERNAL")</f>
        <v>EXTERNAL</v>
      </c>
      <c r="D4756" s="115">
        <f>IFERROR(__xludf.DUMMYFUNCTION("""COMPUTED_VALUE"""),34538.0)</f>
        <v>34538</v>
      </c>
      <c r="E4756" s="115">
        <f>IFERROR(__xludf.DUMMYFUNCTION("""COMPUTED_VALUE"""),3119.0)</f>
        <v>3119</v>
      </c>
      <c r="F4756" s="115">
        <f>IFERROR(__xludf.DUMMYFUNCTION("""COMPUTED_VALUE"""),12399.0)</f>
        <v>12399</v>
      </c>
      <c r="G4756" s="115">
        <f>IFERROR(__xludf.DUMMYFUNCTION("""COMPUTED_VALUE"""),555.0)</f>
        <v>555</v>
      </c>
      <c r="H4756" s="116">
        <f>IFERROR(__xludf.DUMMYFUNCTION("""COMPUTED_VALUE"""),45909.0)</f>
        <v>45909</v>
      </c>
      <c r="I4756" s="115" t="str">
        <f>IFERROR(__xludf.DUMMYFUNCTION("""COMPUTED_VALUE"""),"17")</f>
        <v>17</v>
      </c>
      <c r="J4756" s="115" t="str">
        <f>IFERROR(__xludf.DUMMYFUNCTION("""COMPUTED_VALUE"""),"Loveleen Singh2025-09-0917")</f>
        <v>Loveleen Singh2025-09-0917</v>
      </c>
      <c r="K4756" s="115">
        <f>IFERROR(__xludf.DUMMYFUNCTION("""COMPUTED_VALUE"""),37657.0)</f>
        <v>37657</v>
      </c>
    </row>
    <row r="4757">
      <c r="A4757" s="115" t="str">
        <f>IFERROR(__xludf.DUMMYFUNCTION("""COMPUTED_VALUE"""),"NORTH")</f>
        <v>NORTH</v>
      </c>
      <c r="B4757" s="115" t="str">
        <f>IFERROR(__xludf.DUMMYFUNCTION("""COMPUTED_VALUE"""),"Loveleen Singh")</f>
        <v>Loveleen Singh</v>
      </c>
      <c r="C4757" s="115" t="str">
        <f>IFERROR(__xludf.DUMMYFUNCTION("""COMPUTED_VALUE"""),"FLIPKART")</f>
        <v>FLIPKART</v>
      </c>
      <c r="D4757" s="115">
        <f>IFERROR(__xludf.DUMMYFUNCTION("""COMPUTED_VALUE"""),179134.0)</f>
        <v>179134</v>
      </c>
      <c r="E4757" s="115">
        <f>IFERROR(__xludf.DUMMYFUNCTION("""COMPUTED_VALUE"""),15255.0)</f>
        <v>15255</v>
      </c>
      <c r="F4757" s="115">
        <f>IFERROR(__xludf.DUMMYFUNCTION("""COMPUTED_VALUE"""),119081.0)</f>
        <v>119081</v>
      </c>
      <c r="G4757" s="115">
        <f>IFERROR(__xludf.DUMMYFUNCTION("""COMPUTED_VALUE"""),6247.0)</f>
        <v>6247</v>
      </c>
      <c r="H4757" s="116">
        <f>IFERROR(__xludf.DUMMYFUNCTION("""COMPUTED_VALUE"""),45909.0)</f>
        <v>45909</v>
      </c>
      <c r="I4757" s="115" t="str">
        <f>IFERROR(__xludf.DUMMYFUNCTION("""COMPUTED_VALUE"""),"17")</f>
        <v>17</v>
      </c>
      <c r="J4757" s="115" t="str">
        <f>IFERROR(__xludf.DUMMYFUNCTION("""COMPUTED_VALUE"""),"Loveleen Singh2025-09-0917")</f>
        <v>Loveleen Singh2025-09-0917</v>
      </c>
      <c r="K4757" s="115">
        <f>IFERROR(__xludf.DUMMYFUNCTION("""COMPUTED_VALUE"""),194389.0)</f>
        <v>194389</v>
      </c>
    </row>
    <row r="4758">
      <c r="A4758" s="115" t="str">
        <f>IFERROR(__xludf.DUMMYFUNCTION("""COMPUTED_VALUE"""),"NORTH")</f>
        <v>NORTH</v>
      </c>
      <c r="B4758" s="115" t="str">
        <f>IFERROR(__xludf.DUMMYFUNCTION("""COMPUTED_VALUE"""),"Loveleen Singh")</f>
        <v>Loveleen Singh</v>
      </c>
      <c r="C4758" s="115" t="str">
        <f>IFERROR(__xludf.DUMMYFUNCTION("""COMPUTED_VALUE"""),"MYNTRA")</f>
        <v>MYNTRA</v>
      </c>
      <c r="D4758" s="115">
        <f>IFERROR(__xludf.DUMMYFUNCTION("""COMPUTED_VALUE"""),31873.0)</f>
        <v>31873</v>
      </c>
      <c r="E4758" s="115">
        <f>IFERROR(__xludf.DUMMYFUNCTION("""COMPUTED_VALUE"""),6721.0)</f>
        <v>6721</v>
      </c>
      <c r="F4758" s="115">
        <f>IFERROR(__xludf.DUMMYFUNCTION("""COMPUTED_VALUE"""),23739.0)</f>
        <v>23739</v>
      </c>
      <c r="G4758" s="115">
        <f>IFERROR(__xludf.DUMMYFUNCTION("""COMPUTED_VALUE"""),3049.0)</f>
        <v>3049</v>
      </c>
      <c r="H4758" s="116">
        <f>IFERROR(__xludf.DUMMYFUNCTION("""COMPUTED_VALUE"""),45909.0)</f>
        <v>45909</v>
      </c>
      <c r="I4758" s="115" t="str">
        <f>IFERROR(__xludf.DUMMYFUNCTION("""COMPUTED_VALUE"""),"17")</f>
        <v>17</v>
      </c>
      <c r="J4758" s="115" t="str">
        <f>IFERROR(__xludf.DUMMYFUNCTION("""COMPUTED_VALUE"""),"Loveleen Singh2025-09-0917")</f>
        <v>Loveleen Singh2025-09-0917</v>
      </c>
      <c r="K4758" s="115">
        <f>IFERROR(__xludf.DUMMYFUNCTION("""COMPUTED_VALUE"""),38594.0)</f>
        <v>38594</v>
      </c>
    </row>
    <row r="4759">
      <c r="A4759" s="115" t="str">
        <f>IFERROR(__xludf.DUMMYFUNCTION("""COMPUTED_VALUE"""),"NORTH")</f>
        <v>NORTH</v>
      </c>
      <c r="B4759" s="115" t="str">
        <f>IFERROR(__xludf.DUMMYFUNCTION("""COMPUTED_VALUE"""),"Manoj Harsh")</f>
        <v>Manoj Harsh</v>
      </c>
      <c r="C4759" s="115" t="str">
        <f>IFERROR(__xludf.DUMMYFUNCTION("""COMPUTED_VALUE"""),"EXTERNAL")</f>
        <v>EXTERNAL</v>
      </c>
      <c r="D4759" s="115">
        <f>IFERROR(__xludf.DUMMYFUNCTION("""COMPUTED_VALUE"""),37741.0)</f>
        <v>37741</v>
      </c>
      <c r="E4759" s="115">
        <f>IFERROR(__xludf.DUMMYFUNCTION("""COMPUTED_VALUE"""),3776.0)</f>
        <v>3776</v>
      </c>
      <c r="F4759" s="115">
        <f>IFERROR(__xludf.DUMMYFUNCTION("""COMPUTED_VALUE"""),14774.0)</f>
        <v>14774</v>
      </c>
      <c r="G4759" s="115">
        <f>IFERROR(__xludf.DUMMYFUNCTION("""COMPUTED_VALUE"""),760.0)</f>
        <v>760</v>
      </c>
      <c r="H4759" s="116">
        <f>IFERROR(__xludf.DUMMYFUNCTION("""COMPUTED_VALUE"""),45909.0)</f>
        <v>45909</v>
      </c>
      <c r="I4759" s="115" t="str">
        <f>IFERROR(__xludf.DUMMYFUNCTION("""COMPUTED_VALUE"""),"17")</f>
        <v>17</v>
      </c>
      <c r="J4759" s="115" t="str">
        <f>IFERROR(__xludf.DUMMYFUNCTION("""COMPUTED_VALUE"""),"Manoj Harsh2025-09-0917")</f>
        <v>Manoj Harsh2025-09-0917</v>
      </c>
      <c r="K4759" s="115">
        <f>IFERROR(__xludf.DUMMYFUNCTION("""COMPUTED_VALUE"""),41517.0)</f>
        <v>41517</v>
      </c>
    </row>
    <row r="4760">
      <c r="A4760" s="115" t="str">
        <f>IFERROR(__xludf.DUMMYFUNCTION("""COMPUTED_VALUE"""),"NORTH")</f>
        <v>NORTH</v>
      </c>
      <c r="B4760" s="115" t="str">
        <f>IFERROR(__xludf.DUMMYFUNCTION("""COMPUTED_VALUE"""),"Manoj Harsh")</f>
        <v>Manoj Harsh</v>
      </c>
      <c r="C4760" s="115" t="str">
        <f>IFERROR(__xludf.DUMMYFUNCTION("""COMPUTED_VALUE"""),"FLIPKART")</f>
        <v>FLIPKART</v>
      </c>
      <c r="D4760" s="115">
        <f>IFERROR(__xludf.DUMMYFUNCTION("""COMPUTED_VALUE"""),406652.0)</f>
        <v>406652</v>
      </c>
      <c r="E4760" s="115">
        <f>IFERROR(__xludf.DUMMYFUNCTION("""COMPUTED_VALUE"""),43156.0)</f>
        <v>43156</v>
      </c>
      <c r="F4760" s="115">
        <f>IFERROR(__xludf.DUMMYFUNCTION("""COMPUTED_VALUE"""),267398.0)</f>
        <v>267398</v>
      </c>
      <c r="G4760" s="115">
        <f>IFERROR(__xludf.DUMMYFUNCTION("""COMPUTED_VALUE"""),18425.0)</f>
        <v>18425</v>
      </c>
      <c r="H4760" s="116">
        <f>IFERROR(__xludf.DUMMYFUNCTION("""COMPUTED_VALUE"""),45909.0)</f>
        <v>45909</v>
      </c>
      <c r="I4760" s="115" t="str">
        <f>IFERROR(__xludf.DUMMYFUNCTION("""COMPUTED_VALUE"""),"17")</f>
        <v>17</v>
      </c>
      <c r="J4760" s="115" t="str">
        <f>IFERROR(__xludf.DUMMYFUNCTION("""COMPUTED_VALUE"""),"Manoj Harsh2025-09-0917")</f>
        <v>Manoj Harsh2025-09-0917</v>
      </c>
      <c r="K4760" s="115">
        <f>IFERROR(__xludf.DUMMYFUNCTION("""COMPUTED_VALUE"""),449808.0)</f>
        <v>449808</v>
      </c>
    </row>
    <row r="4761">
      <c r="A4761" s="115" t="str">
        <f>IFERROR(__xludf.DUMMYFUNCTION("""COMPUTED_VALUE"""),"NORTH")</f>
        <v>NORTH</v>
      </c>
      <c r="B4761" s="115" t="str">
        <f>IFERROR(__xludf.DUMMYFUNCTION("""COMPUTED_VALUE"""),"Manoj Harsh")</f>
        <v>Manoj Harsh</v>
      </c>
      <c r="C4761" s="115" t="str">
        <f>IFERROR(__xludf.DUMMYFUNCTION("""COMPUTED_VALUE"""),"MYNTRA")</f>
        <v>MYNTRA</v>
      </c>
      <c r="D4761" s="115">
        <f>IFERROR(__xludf.DUMMYFUNCTION("""COMPUTED_VALUE"""),40359.0)</f>
        <v>40359</v>
      </c>
      <c r="E4761" s="115">
        <f>IFERROR(__xludf.DUMMYFUNCTION("""COMPUTED_VALUE"""),8320.0)</f>
        <v>8320</v>
      </c>
      <c r="F4761" s="115">
        <f>IFERROR(__xludf.DUMMYFUNCTION("""COMPUTED_VALUE"""),29601.0)</f>
        <v>29601</v>
      </c>
      <c r="G4761" s="115">
        <f>IFERROR(__xludf.DUMMYFUNCTION("""COMPUTED_VALUE"""),4107.0)</f>
        <v>4107</v>
      </c>
      <c r="H4761" s="116">
        <f>IFERROR(__xludf.DUMMYFUNCTION("""COMPUTED_VALUE"""),45909.0)</f>
        <v>45909</v>
      </c>
      <c r="I4761" s="115" t="str">
        <f>IFERROR(__xludf.DUMMYFUNCTION("""COMPUTED_VALUE"""),"17")</f>
        <v>17</v>
      </c>
      <c r="J4761" s="115" t="str">
        <f>IFERROR(__xludf.DUMMYFUNCTION("""COMPUTED_VALUE"""),"Manoj Harsh2025-09-0917")</f>
        <v>Manoj Harsh2025-09-0917</v>
      </c>
      <c r="K4761" s="115">
        <f>IFERROR(__xludf.DUMMYFUNCTION("""COMPUTED_VALUE"""),48679.0)</f>
        <v>48679</v>
      </c>
    </row>
    <row r="4762">
      <c r="A4762" s="115" t="str">
        <f>IFERROR(__xludf.DUMMYFUNCTION("""COMPUTED_VALUE"""),"NORTH")</f>
        <v>NORTH</v>
      </c>
      <c r="B4762" s="115" t="str">
        <f>IFERROR(__xludf.DUMMYFUNCTION("""COMPUTED_VALUE"""),"Pradeep Kothari")</f>
        <v>Pradeep Kothari</v>
      </c>
      <c r="C4762" s="115" t="str">
        <f>IFERROR(__xludf.DUMMYFUNCTION("""COMPUTED_VALUE"""),"EXTERNAL")</f>
        <v>EXTERNAL</v>
      </c>
      <c r="D4762" s="115">
        <f>IFERROR(__xludf.DUMMYFUNCTION("""COMPUTED_VALUE"""),20842.0)</f>
        <v>20842</v>
      </c>
      <c r="E4762" s="115">
        <f>IFERROR(__xludf.DUMMYFUNCTION("""COMPUTED_VALUE"""),2274.0)</f>
        <v>2274</v>
      </c>
      <c r="F4762" s="115">
        <f>IFERROR(__xludf.DUMMYFUNCTION("""COMPUTED_VALUE"""),7951.0)</f>
        <v>7951</v>
      </c>
      <c r="G4762" s="115">
        <f>IFERROR(__xludf.DUMMYFUNCTION("""COMPUTED_VALUE"""),678.0)</f>
        <v>678</v>
      </c>
      <c r="H4762" s="116">
        <f>IFERROR(__xludf.DUMMYFUNCTION("""COMPUTED_VALUE"""),45909.0)</f>
        <v>45909</v>
      </c>
      <c r="I4762" s="115" t="str">
        <f>IFERROR(__xludf.DUMMYFUNCTION("""COMPUTED_VALUE"""),"17")</f>
        <v>17</v>
      </c>
      <c r="J4762" s="115" t="str">
        <f>IFERROR(__xludf.DUMMYFUNCTION("""COMPUTED_VALUE"""),"Pradeep Kothari2025-09-0917")</f>
        <v>Pradeep Kothari2025-09-0917</v>
      </c>
      <c r="K4762" s="115">
        <f>IFERROR(__xludf.DUMMYFUNCTION("""COMPUTED_VALUE"""),23116.0)</f>
        <v>23116</v>
      </c>
    </row>
    <row r="4763">
      <c r="A4763" s="115" t="str">
        <f>IFERROR(__xludf.DUMMYFUNCTION("""COMPUTED_VALUE"""),"NORTH")</f>
        <v>NORTH</v>
      </c>
      <c r="B4763" s="115" t="str">
        <f>IFERROR(__xludf.DUMMYFUNCTION("""COMPUTED_VALUE"""),"Pradeep Kothari")</f>
        <v>Pradeep Kothari</v>
      </c>
      <c r="C4763" s="115" t="str">
        <f>IFERROR(__xludf.DUMMYFUNCTION("""COMPUTED_VALUE"""),"FLIPKART")</f>
        <v>FLIPKART</v>
      </c>
      <c r="D4763" s="115">
        <f>IFERROR(__xludf.DUMMYFUNCTION("""COMPUTED_VALUE"""),143768.0)</f>
        <v>143768</v>
      </c>
      <c r="E4763" s="115">
        <f>IFERROR(__xludf.DUMMYFUNCTION("""COMPUTED_VALUE"""),17510.0)</f>
        <v>17510</v>
      </c>
      <c r="F4763" s="115">
        <f>IFERROR(__xludf.DUMMYFUNCTION("""COMPUTED_VALUE"""),100767.0)</f>
        <v>100767</v>
      </c>
      <c r="G4763" s="115">
        <f>IFERROR(__xludf.DUMMYFUNCTION("""COMPUTED_VALUE"""),9154.0)</f>
        <v>9154</v>
      </c>
      <c r="H4763" s="116">
        <f>IFERROR(__xludf.DUMMYFUNCTION("""COMPUTED_VALUE"""),45909.0)</f>
        <v>45909</v>
      </c>
      <c r="I4763" s="115" t="str">
        <f>IFERROR(__xludf.DUMMYFUNCTION("""COMPUTED_VALUE"""),"17")</f>
        <v>17</v>
      </c>
      <c r="J4763" s="115" t="str">
        <f>IFERROR(__xludf.DUMMYFUNCTION("""COMPUTED_VALUE"""),"Pradeep Kothari2025-09-0917")</f>
        <v>Pradeep Kothari2025-09-0917</v>
      </c>
      <c r="K4763" s="115">
        <f>IFERROR(__xludf.DUMMYFUNCTION("""COMPUTED_VALUE"""),161278.0)</f>
        <v>161278</v>
      </c>
    </row>
    <row r="4764">
      <c r="A4764" s="115" t="str">
        <f>IFERROR(__xludf.DUMMYFUNCTION("""COMPUTED_VALUE"""),"NORTH")</f>
        <v>NORTH</v>
      </c>
      <c r="B4764" s="115" t="str">
        <f>IFERROR(__xludf.DUMMYFUNCTION("""COMPUTED_VALUE"""),"Pradeep Kothari")</f>
        <v>Pradeep Kothari</v>
      </c>
      <c r="C4764" s="115" t="str">
        <f>IFERROR(__xludf.DUMMYFUNCTION("""COMPUTED_VALUE"""),"MYNTRA")</f>
        <v>MYNTRA</v>
      </c>
      <c r="D4764" s="115">
        <f>IFERROR(__xludf.DUMMYFUNCTION("""COMPUTED_VALUE"""),27094.0)</f>
        <v>27094</v>
      </c>
      <c r="E4764" s="115">
        <f>IFERROR(__xludf.DUMMYFUNCTION("""COMPUTED_VALUE"""),7102.0)</f>
        <v>7102</v>
      </c>
      <c r="F4764" s="115">
        <f>IFERROR(__xludf.DUMMYFUNCTION("""COMPUTED_VALUE"""),21257.0)</f>
        <v>21257</v>
      </c>
      <c r="G4764" s="115">
        <f>IFERROR(__xludf.DUMMYFUNCTION("""COMPUTED_VALUE"""),4232.0)</f>
        <v>4232</v>
      </c>
      <c r="H4764" s="116">
        <f>IFERROR(__xludf.DUMMYFUNCTION("""COMPUTED_VALUE"""),45909.0)</f>
        <v>45909</v>
      </c>
      <c r="I4764" s="115" t="str">
        <f>IFERROR(__xludf.DUMMYFUNCTION("""COMPUTED_VALUE"""),"17")</f>
        <v>17</v>
      </c>
      <c r="J4764" s="115" t="str">
        <f>IFERROR(__xludf.DUMMYFUNCTION("""COMPUTED_VALUE"""),"Pradeep Kothari2025-09-0917")</f>
        <v>Pradeep Kothari2025-09-0917</v>
      </c>
      <c r="K4764" s="115">
        <f>IFERROR(__xludf.DUMMYFUNCTION("""COMPUTED_VALUE"""),34196.0)</f>
        <v>34196</v>
      </c>
    </row>
    <row r="4765">
      <c r="A4765" s="115" t="str">
        <f>IFERROR(__xludf.DUMMYFUNCTION("""COMPUTED_VALUE"""),"SOUTH")</f>
        <v>SOUTH</v>
      </c>
      <c r="B4765" s="115" t="str">
        <f>IFERROR(__xludf.DUMMYFUNCTION("""COMPUTED_VALUE"""),"0")</f>
        <v>0</v>
      </c>
      <c r="C4765" s="115" t="str">
        <f>IFERROR(__xludf.DUMMYFUNCTION("""COMPUTED_VALUE"""),"EXTERNAL")</f>
        <v>EXTERNAL</v>
      </c>
      <c r="D4765" s="115">
        <f>IFERROR(__xludf.DUMMYFUNCTION("""COMPUTED_VALUE"""),3.0)</f>
        <v>3</v>
      </c>
      <c r="E4765" s="115">
        <f>IFERROR(__xludf.DUMMYFUNCTION("""COMPUTED_VALUE"""),2.0)</f>
        <v>2</v>
      </c>
      <c r="F4765" s="115">
        <f>IFERROR(__xludf.DUMMYFUNCTION("""COMPUTED_VALUE"""),0.0)</f>
        <v>0</v>
      </c>
      <c r="G4765" s="115">
        <f>IFERROR(__xludf.DUMMYFUNCTION("""COMPUTED_VALUE"""),1.0)</f>
        <v>1</v>
      </c>
      <c r="H4765" s="116">
        <f>IFERROR(__xludf.DUMMYFUNCTION("""COMPUTED_VALUE"""),45909.0)</f>
        <v>45909</v>
      </c>
      <c r="I4765" s="115" t="str">
        <f>IFERROR(__xludf.DUMMYFUNCTION("""COMPUTED_VALUE"""),"17")</f>
        <v>17</v>
      </c>
      <c r="J4765" s="115" t="str">
        <f>IFERROR(__xludf.DUMMYFUNCTION("""COMPUTED_VALUE"""),"02025-09-0917")</f>
        <v>02025-09-0917</v>
      </c>
      <c r="K4765" s="115">
        <f>IFERROR(__xludf.DUMMYFUNCTION("""COMPUTED_VALUE"""),5.0)</f>
        <v>5</v>
      </c>
    </row>
    <row r="4766">
      <c r="A4766" s="115" t="str">
        <f>IFERROR(__xludf.DUMMYFUNCTION("""COMPUTED_VALUE"""),"SOUTH")</f>
        <v>SOUTH</v>
      </c>
      <c r="B4766" s="115" t="str">
        <f>IFERROR(__xludf.DUMMYFUNCTION("""COMPUTED_VALUE"""),"0")</f>
        <v>0</v>
      </c>
      <c r="C4766" s="115" t="str">
        <f>IFERROR(__xludf.DUMMYFUNCTION("""COMPUTED_VALUE"""),"FLIPKART")</f>
        <v>FLIPKART</v>
      </c>
      <c r="D4766" s="115">
        <f>IFERROR(__xludf.DUMMYFUNCTION("""COMPUTED_VALUE"""),68.0)</f>
        <v>68</v>
      </c>
      <c r="E4766" s="115">
        <f>IFERROR(__xludf.DUMMYFUNCTION("""COMPUTED_VALUE"""),45.0)</f>
        <v>45</v>
      </c>
      <c r="F4766" s="115">
        <f>IFERROR(__xludf.DUMMYFUNCTION("""COMPUTED_VALUE"""),14.0)</f>
        <v>14</v>
      </c>
      <c r="G4766" s="115">
        <f>IFERROR(__xludf.DUMMYFUNCTION("""COMPUTED_VALUE"""),2.0)</f>
        <v>2</v>
      </c>
      <c r="H4766" s="116">
        <f>IFERROR(__xludf.DUMMYFUNCTION("""COMPUTED_VALUE"""),45909.0)</f>
        <v>45909</v>
      </c>
      <c r="I4766" s="115" t="str">
        <f>IFERROR(__xludf.DUMMYFUNCTION("""COMPUTED_VALUE"""),"17")</f>
        <v>17</v>
      </c>
      <c r="J4766" s="115" t="str">
        <f>IFERROR(__xludf.DUMMYFUNCTION("""COMPUTED_VALUE"""),"02025-09-0917")</f>
        <v>02025-09-0917</v>
      </c>
      <c r="K4766" s="115">
        <f>IFERROR(__xludf.DUMMYFUNCTION("""COMPUTED_VALUE"""),113.0)</f>
        <v>113</v>
      </c>
    </row>
    <row r="4767">
      <c r="A4767" s="115" t="str">
        <f>IFERROR(__xludf.DUMMYFUNCTION("""COMPUTED_VALUE"""),"SOUTH")</f>
        <v>SOUTH</v>
      </c>
      <c r="B4767" s="115" t="str">
        <f>IFERROR(__xludf.DUMMYFUNCTION("""COMPUTED_VALUE"""),"0")</f>
        <v>0</v>
      </c>
      <c r="C4767" s="115" t="str">
        <f>IFERROR(__xludf.DUMMYFUNCTION("""COMPUTED_VALUE"""),"MYNTRA")</f>
        <v>MYNTRA</v>
      </c>
      <c r="D4767" s="115">
        <f>IFERROR(__xludf.DUMMYFUNCTION("""COMPUTED_VALUE"""),6.0)</f>
        <v>6</v>
      </c>
      <c r="E4767" s="115">
        <f>IFERROR(__xludf.DUMMYFUNCTION("""COMPUTED_VALUE"""),16.0)</f>
        <v>16</v>
      </c>
      <c r="F4767" s="115">
        <f>IFERROR(__xludf.DUMMYFUNCTION("""COMPUTED_VALUE"""),5.0)</f>
        <v>5</v>
      </c>
      <c r="G4767" s="115">
        <f>IFERROR(__xludf.DUMMYFUNCTION("""COMPUTED_VALUE"""),4.0)</f>
        <v>4</v>
      </c>
      <c r="H4767" s="116">
        <f>IFERROR(__xludf.DUMMYFUNCTION("""COMPUTED_VALUE"""),45909.0)</f>
        <v>45909</v>
      </c>
      <c r="I4767" s="115" t="str">
        <f>IFERROR(__xludf.DUMMYFUNCTION("""COMPUTED_VALUE"""),"17")</f>
        <v>17</v>
      </c>
      <c r="J4767" s="115" t="str">
        <f>IFERROR(__xludf.DUMMYFUNCTION("""COMPUTED_VALUE"""),"02025-09-0917")</f>
        <v>02025-09-0917</v>
      </c>
      <c r="K4767" s="115">
        <f>IFERROR(__xludf.DUMMYFUNCTION("""COMPUTED_VALUE"""),22.0)</f>
        <v>22</v>
      </c>
    </row>
    <row r="4768">
      <c r="A4768" s="115" t="str">
        <f>IFERROR(__xludf.DUMMYFUNCTION("""COMPUTED_VALUE"""),"SOUTH")</f>
        <v>SOUTH</v>
      </c>
      <c r="B4768" s="115" t="str">
        <f>IFERROR(__xludf.DUMMYFUNCTION("""COMPUTED_VALUE"""),"Kandula Sampath")</f>
        <v>Kandula Sampath</v>
      </c>
      <c r="C4768" s="115" t="str">
        <f>IFERROR(__xludf.DUMMYFUNCTION("""COMPUTED_VALUE"""),"EXTERNAL")</f>
        <v>EXTERNAL</v>
      </c>
      <c r="D4768" s="115">
        <f>IFERROR(__xludf.DUMMYFUNCTION("""COMPUTED_VALUE"""),34107.0)</f>
        <v>34107</v>
      </c>
      <c r="E4768" s="115">
        <f>IFERROR(__xludf.DUMMYFUNCTION("""COMPUTED_VALUE"""),4797.0)</f>
        <v>4797</v>
      </c>
      <c r="F4768" s="115">
        <f>IFERROR(__xludf.DUMMYFUNCTION("""COMPUTED_VALUE"""),12293.0)</f>
        <v>12293</v>
      </c>
      <c r="G4768" s="115">
        <f>IFERROR(__xludf.DUMMYFUNCTION("""COMPUTED_VALUE"""),1015.0)</f>
        <v>1015</v>
      </c>
      <c r="H4768" s="116">
        <f>IFERROR(__xludf.DUMMYFUNCTION("""COMPUTED_VALUE"""),45909.0)</f>
        <v>45909</v>
      </c>
      <c r="I4768" s="115" t="str">
        <f>IFERROR(__xludf.DUMMYFUNCTION("""COMPUTED_VALUE"""),"17")</f>
        <v>17</v>
      </c>
      <c r="J4768" s="115" t="str">
        <f>IFERROR(__xludf.DUMMYFUNCTION("""COMPUTED_VALUE"""),"Kandula Sampath2025-09-0917")</f>
        <v>Kandula Sampath2025-09-0917</v>
      </c>
      <c r="K4768" s="115">
        <f>IFERROR(__xludf.DUMMYFUNCTION("""COMPUTED_VALUE"""),38904.0)</f>
        <v>38904</v>
      </c>
    </row>
    <row r="4769">
      <c r="A4769" s="115" t="str">
        <f>IFERROR(__xludf.DUMMYFUNCTION("""COMPUTED_VALUE"""),"SOUTH")</f>
        <v>SOUTH</v>
      </c>
      <c r="B4769" s="115" t="str">
        <f>IFERROR(__xludf.DUMMYFUNCTION("""COMPUTED_VALUE"""),"Kandula Sampath")</f>
        <v>Kandula Sampath</v>
      </c>
      <c r="C4769" s="115" t="str">
        <f>IFERROR(__xludf.DUMMYFUNCTION("""COMPUTED_VALUE"""),"FLIPKART")</f>
        <v>FLIPKART</v>
      </c>
      <c r="D4769" s="115">
        <f>IFERROR(__xludf.DUMMYFUNCTION("""COMPUTED_VALUE"""),316583.0)</f>
        <v>316583</v>
      </c>
      <c r="E4769" s="115">
        <f>IFERROR(__xludf.DUMMYFUNCTION("""COMPUTED_VALUE"""),35471.0)</f>
        <v>35471</v>
      </c>
      <c r="F4769" s="115">
        <f>IFERROR(__xludf.DUMMYFUNCTION("""COMPUTED_VALUE"""),200630.0)</f>
        <v>200630</v>
      </c>
      <c r="G4769" s="115">
        <f>IFERROR(__xludf.DUMMYFUNCTION("""COMPUTED_VALUE"""),13081.0)</f>
        <v>13081</v>
      </c>
      <c r="H4769" s="116">
        <f>IFERROR(__xludf.DUMMYFUNCTION("""COMPUTED_VALUE"""),45909.0)</f>
        <v>45909</v>
      </c>
      <c r="I4769" s="115" t="str">
        <f>IFERROR(__xludf.DUMMYFUNCTION("""COMPUTED_VALUE"""),"17")</f>
        <v>17</v>
      </c>
      <c r="J4769" s="115" t="str">
        <f>IFERROR(__xludf.DUMMYFUNCTION("""COMPUTED_VALUE"""),"Kandula Sampath2025-09-0917")</f>
        <v>Kandula Sampath2025-09-0917</v>
      </c>
      <c r="K4769" s="115">
        <f>IFERROR(__xludf.DUMMYFUNCTION("""COMPUTED_VALUE"""),352054.0)</f>
        <v>352054</v>
      </c>
    </row>
    <row r="4770">
      <c r="A4770" s="115" t="str">
        <f>IFERROR(__xludf.DUMMYFUNCTION("""COMPUTED_VALUE"""),"SOUTH")</f>
        <v>SOUTH</v>
      </c>
      <c r="B4770" s="115" t="str">
        <f>IFERROR(__xludf.DUMMYFUNCTION("""COMPUTED_VALUE"""),"Kandula Sampath")</f>
        <v>Kandula Sampath</v>
      </c>
      <c r="C4770" s="115" t="str">
        <f>IFERROR(__xludf.DUMMYFUNCTION("""COMPUTED_VALUE"""),"MYNTRA")</f>
        <v>MYNTRA</v>
      </c>
      <c r="D4770" s="115">
        <f>IFERROR(__xludf.DUMMYFUNCTION("""COMPUTED_VALUE"""),37815.0)</f>
        <v>37815</v>
      </c>
      <c r="E4770" s="115">
        <f>IFERROR(__xludf.DUMMYFUNCTION("""COMPUTED_VALUE"""),9878.0)</f>
        <v>9878</v>
      </c>
      <c r="F4770" s="115">
        <f>IFERROR(__xludf.DUMMYFUNCTION("""COMPUTED_VALUE"""),26785.0)</f>
        <v>26785</v>
      </c>
      <c r="G4770" s="115">
        <f>IFERROR(__xludf.DUMMYFUNCTION("""COMPUTED_VALUE"""),3916.0)</f>
        <v>3916</v>
      </c>
      <c r="H4770" s="116">
        <f>IFERROR(__xludf.DUMMYFUNCTION("""COMPUTED_VALUE"""),45909.0)</f>
        <v>45909</v>
      </c>
      <c r="I4770" s="115" t="str">
        <f>IFERROR(__xludf.DUMMYFUNCTION("""COMPUTED_VALUE"""),"17")</f>
        <v>17</v>
      </c>
      <c r="J4770" s="115" t="str">
        <f>IFERROR(__xludf.DUMMYFUNCTION("""COMPUTED_VALUE"""),"Kandula Sampath2025-09-0917")</f>
        <v>Kandula Sampath2025-09-0917</v>
      </c>
      <c r="K4770" s="115">
        <f>IFERROR(__xludf.DUMMYFUNCTION("""COMPUTED_VALUE"""),47693.0)</f>
        <v>47693</v>
      </c>
    </row>
    <row r="4771">
      <c r="A4771" s="115" t="str">
        <f>IFERROR(__xludf.DUMMYFUNCTION("""COMPUTED_VALUE"""),"SOUTH")</f>
        <v>SOUTH</v>
      </c>
      <c r="B4771" s="115" t="str">
        <f>IFERROR(__xludf.DUMMYFUNCTION("""COMPUTED_VALUE"""),"Martin A")</f>
        <v>Martin A</v>
      </c>
      <c r="C4771" s="115" t="str">
        <f>IFERROR(__xludf.DUMMYFUNCTION("""COMPUTED_VALUE"""),"EXTERNAL")</f>
        <v>EXTERNAL</v>
      </c>
      <c r="D4771" s="115">
        <f>IFERROR(__xludf.DUMMYFUNCTION("""COMPUTED_VALUE"""),32704.0)</f>
        <v>32704</v>
      </c>
      <c r="E4771" s="115">
        <f>IFERROR(__xludf.DUMMYFUNCTION("""COMPUTED_VALUE"""),4622.0)</f>
        <v>4622</v>
      </c>
      <c r="F4771" s="115">
        <f>IFERROR(__xludf.DUMMYFUNCTION("""COMPUTED_VALUE"""),11986.0)</f>
        <v>11986</v>
      </c>
      <c r="G4771" s="115">
        <f>IFERROR(__xludf.DUMMYFUNCTION("""COMPUTED_VALUE"""),1594.0)</f>
        <v>1594</v>
      </c>
      <c r="H4771" s="116">
        <f>IFERROR(__xludf.DUMMYFUNCTION("""COMPUTED_VALUE"""),45909.0)</f>
        <v>45909</v>
      </c>
      <c r="I4771" s="115" t="str">
        <f>IFERROR(__xludf.DUMMYFUNCTION("""COMPUTED_VALUE"""),"17")</f>
        <v>17</v>
      </c>
      <c r="J4771" s="115" t="str">
        <f>IFERROR(__xludf.DUMMYFUNCTION("""COMPUTED_VALUE"""),"Martin A2025-09-0917")</f>
        <v>Martin A2025-09-0917</v>
      </c>
      <c r="K4771" s="115">
        <f>IFERROR(__xludf.DUMMYFUNCTION("""COMPUTED_VALUE"""),37326.0)</f>
        <v>37326</v>
      </c>
    </row>
    <row r="4772">
      <c r="A4772" s="115" t="str">
        <f>IFERROR(__xludf.DUMMYFUNCTION("""COMPUTED_VALUE"""),"SOUTH")</f>
        <v>SOUTH</v>
      </c>
      <c r="B4772" s="115" t="str">
        <f>IFERROR(__xludf.DUMMYFUNCTION("""COMPUTED_VALUE"""),"Martin A")</f>
        <v>Martin A</v>
      </c>
      <c r="C4772" s="115" t="str">
        <f>IFERROR(__xludf.DUMMYFUNCTION("""COMPUTED_VALUE"""),"FLIPKART")</f>
        <v>FLIPKART</v>
      </c>
      <c r="D4772" s="115">
        <f>IFERROR(__xludf.DUMMYFUNCTION("""COMPUTED_VALUE"""),283620.0)</f>
        <v>283620</v>
      </c>
      <c r="E4772" s="115">
        <f>IFERROR(__xludf.DUMMYFUNCTION("""COMPUTED_VALUE"""),30160.0)</f>
        <v>30160</v>
      </c>
      <c r="F4772" s="115">
        <f>IFERROR(__xludf.DUMMYFUNCTION("""COMPUTED_VALUE"""),183551.0)</f>
        <v>183551</v>
      </c>
      <c r="G4772" s="115">
        <f>IFERROR(__xludf.DUMMYFUNCTION("""COMPUTED_VALUE"""),13002.0)</f>
        <v>13002</v>
      </c>
      <c r="H4772" s="116">
        <f>IFERROR(__xludf.DUMMYFUNCTION("""COMPUTED_VALUE"""),45909.0)</f>
        <v>45909</v>
      </c>
      <c r="I4772" s="115" t="str">
        <f>IFERROR(__xludf.DUMMYFUNCTION("""COMPUTED_VALUE"""),"17")</f>
        <v>17</v>
      </c>
      <c r="J4772" s="115" t="str">
        <f>IFERROR(__xludf.DUMMYFUNCTION("""COMPUTED_VALUE"""),"Martin A2025-09-0917")</f>
        <v>Martin A2025-09-0917</v>
      </c>
      <c r="K4772" s="115">
        <f>IFERROR(__xludf.DUMMYFUNCTION("""COMPUTED_VALUE"""),313780.0)</f>
        <v>313780</v>
      </c>
    </row>
    <row r="4773">
      <c r="A4773" s="115" t="str">
        <f>IFERROR(__xludf.DUMMYFUNCTION("""COMPUTED_VALUE"""),"SOUTH")</f>
        <v>SOUTH</v>
      </c>
      <c r="B4773" s="115" t="str">
        <f>IFERROR(__xludf.DUMMYFUNCTION("""COMPUTED_VALUE"""),"Martin A")</f>
        <v>Martin A</v>
      </c>
      <c r="C4773" s="115" t="str">
        <f>IFERROR(__xludf.DUMMYFUNCTION("""COMPUTED_VALUE"""),"MYNTRA")</f>
        <v>MYNTRA</v>
      </c>
      <c r="D4773" s="115">
        <f>IFERROR(__xludf.DUMMYFUNCTION("""COMPUTED_VALUE"""),25893.0)</f>
        <v>25893</v>
      </c>
      <c r="E4773" s="115">
        <f>IFERROR(__xludf.DUMMYFUNCTION("""COMPUTED_VALUE"""),7791.0)</f>
        <v>7791</v>
      </c>
      <c r="F4773" s="115">
        <f>IFERROR(__xludf.DUMMYFUNCTION("""COMPUTED_VALUE"""),18906.0)</f>
        <v>18906</v>
      </c>
      <c r="G4773" s="115">
        <f>IFERROR(__xludf.DUMMYFUNCTION("""COMPUTED_VALUE"""),3756.0)</f>
        <v>3756</v>
      </c>
      <c r="H4773" s="116">
        <f>IFERROR(__xludf.DUMMYFUNCTION("""COMPUTED_VALUE"""),45909.0)</f>
        <v>45909</v>
      </c>
      <c r="I4773" s="115" t="str">
        <f>IFERROR(__xludf.DUMMYFUNCTION("""COMPUTED_VALUE"""),"17")</f>
        <v>17</v>
      </c>
      <c r="J4773" s="115" t="str">
        <f>IFERROR(__xludf.DUMMYFUNCTION("""COMPUTED_VALUE"""),"Martin A2025-09-0917")</f>
        <v>Martin A2025-09-0917</v>
      </c>
      <c r="K4773" s="115">
        <f>IFERROR(__xludf.DUMMYFUNCTION("""COMPUTED_VALUE"""),33684.0)</f>
        <v>33684</v>
      </c>
    </row>
    <row r="4774">
      <c r="A4774" s="115" t="str">
        <f>IFERROR(__xludf.DUMMYFUNCTION("""COMPUTED_VALUE"""),"SOUTH")</f>
        <v>SOUTH</v>
      </c>
      <c r="B4774" s="115" t="str">
        <f>IFERROR(__xludf.DUMMYFUNCTION("""COMPUTED_VALUE"""),"Premkumar M")</f>
        <v>Premkumar M</v>
      </c>
      <c r="C4774" s="115" t="str">
        <f>IFERROR(__xludf.DUMMYFUNCTION("""COMPUTED_VALUE"""),"EXTERNAL")</f>
        <v>EXTERNAL</v>
      </c>
      <c r="D4774" s="115">
        <f>IFERROR(__xludf.DUMMYFUNCTION("""COMPUTED_VALUE"""),28145.0)</f>
        <v>28145</v>
      </c>
      <c r="E4774" s="115">
        <f>IFERROR(__xludf.DUMMYFUNCTION("""COMPUTED_VALUE"""),2537.0)</f>
        <v>2537</v>
      </c>
      <c r="F4774" s="115">
        <f>IFERROR(__xludf.DUMMYFUNCTION("""COMPUTED_VALUE"""),10964.0)</f>
        <v>10964</v>
      </c>
      <c r="G4774" s="115">
        <f>IFERROR(__xludf.DUMMYFUNCTION("""COMPUTED_VALUE"""),383.0)</f>
        <v>383</v>
      </c>
      <c r="H4774" s="116">
        <f>IFERROR(__xludf.DUMMYFUNCTION("""COMPUTED_VALUE"""),45909.0)</f>
        <v>45909</v>
      </c>
      <c r="I4774" s="115" t="str">
        <f>IFERROR(__xludf.DUMMYFUNCTION("""COMPUTED_VALUE"""),"17")</f>
        <v>17</v>
      </c>
      <c r="J4774" s="115" t="str">
        <f>IFERROR(__xludf.DUMMYFUNCTION("""COMPUTED_VALUE"""),"Premkumar M2025-09-0917")</f>
        <v>Premkumar M2025-09-0917</v>
      </c>
      <c r="K4774" s="115">
        <f>IFERROR(__xludf.DUMMYFUNCTION("""COMPUTED_VALUE"""),30682.0)</f>
        <v>30682</v>
      </c>
    </row>
    <row r="4775">
      <c r="A4775" s="115" t="str">
        <f>IFERROR(__xludf.DUMMYFUNCTION("""COMPUTED_VALUE"""),"SOUTH")</f>
        <v>SOUTH</v>
      </c>
      <c r="B4775" s="115" t="str">
        <f>IFERROR(__xludf.DUMMYFUNCTION("""COMPUTED_VALUE"""),"Premkumar M")</f>
        <v>Premkumar M</v>
      </c>
      <c r="C4775" s="115" t="str">
        <f>IFERROR(__xludf.DUMMYFUNCTION("""COMPUTED_VALUE"""),"FLIPKART")</f>
        <v>FLIPKART</v>
      </c>
      <c r="D4775" s="115">
        <f>IFERROR(__xludf.DUMMYFUNCTION("""COMPUTED_VALUE"""),267378.0)</f>
        <v>267378</v>
      </c>
      <c r="E4775" s="115">
        <f>IFERROR(__xludf.DUMMYFUNCTION("""COMPUTED_VALUE"""),21355.0)</f>
        <v>21355</v>
      </c>
      <c r="F4775" s="115">
        <f>IFERROR(__xludf.DUMMYFUNCTION("""COMPUTED_VALUE"""),161638.0)</f>
        <v>161638</v>
      </c>
      <c r="G4775" s="115">
        <f>IFERROR(__xludf.DUMMYFUNCTION("""COMPUTED_VALUE"""),5058.0)</f>
        <v>5058</v>
      </c>
      <c r="H4775" s="116">
        <f>IFERROR(__xludf.DUMMYFUNCTION("""COMPUTED_VALUE"""),45909.0)</f>
        <v>45909</v>
      </c>
      <c r="I4775" s="115" t="str">
        <f>IFERROR(__xludf.DUMMYFUNCTION("""COMPUTED_VALUE"""),"17")</f>
        <v>17</v>
      </c>
      <c r="J4775" s="115" t="str">
        <f>IFERROR(__xludf.DUMMYFUNCTION("""COMPUTED_VALUE"""),"Premkumar M2025-09-0917")</f>
        <v>Premkumar M2025-09-0917</v>
      </c>
      <c r="K4775" s="115">
        <f>IFERROR(__xludf.DUMMYFUNCTION("""COMPUTED_VALUE"""),288733.0)</f>
        <v>288733</v>
      </c>
    </row>
    <row r="4776">
      <c r="A4776" s="115" t="str">
        <f>IFERROR(__xludf.DUMMYFUNCTION("""COMPUTED_VALUE"""),"SOUTH")</f>
        <v>SOUTH</v>
      </c>
      <c r="B4776" s="115" t="str">
        <f>IFERROR(__xludf.DUMMYFUNCTION("""COMPUTED_VALUE"""),"Premkumar M")</f>
        <v>Premkumar M</v>
      </c>
      <c r="C4776" s="115" t="str">
        <f>IFERROR(__xludf.DUMMYFUNCTION("""COMPUTED_VALUE"""),"MYNTRA")</f>
        <v>MYNTRA</v>
      </c>
      <c r="D4776" s="115">
        <f>IFERROR(__xludf.DUMMYFUNCTION("""COMPUTED_VALUE"""),14735.0)</f>
        <v>14735</v>
      </c>
      <c r="E4776" s="115">
        <f>IFERROR(__xludf.DUMMYFUNCTION("""COMPUTED_VALUE"""),3464.0)</f>
        <v>3464</v>
      </c>
      <c r="F4776" s="115">
        <f>IFERROR(__xludf.DUMMYFUNCTION("""COMPUTED_VALUE"""),10080.0)</f>
        <v>10080</v>
      </c>
      <c r="G4776" s="115">
        <f>IFERROR(__xludf.DUMMYFUNCTION("""COMPUTED_VALUE"""),878.0)</f>
        <v>878</v>
      </c>
      <c r="H4776" s="116">
        <f>IFERROR(__xludf.DUMMYFUNCTION("""COMPUTED_VALUE"""),45909.0)</f>
        <v>45909</v>
      </c>
      <c r="I4776" s="115" t="str">
        <f>IFERROR(__xludf.DUMMYFUNCTION("""COMPUTED_VALUE"""),"17")</f>
        <v>17</v>
      </c>
      <c r="J4776" s="115" t="str">
        <f>IFERROR(__xludf.DUMMYFUNCTION("""COMPUTED_VALUE"""),"Premkumar M2025-09-0917")</f>
        <v>Premkumar M2025-09-0917</v>
      </c>
      <c r="K4776" s="115">
        <f>IFERROR(__xludf.DUMMYFUNCTION("""COMPUTED_VALUE"""),18199.0)</f>
        <v>18199</v>
      </c>
    </row>
    <row r="4777">
      <c r="A4777" s="115" t="str">
        <f>IFERROR(__xludf.DUMMYFUNCTION("""COMPUTED_VALUE"""),"SOUTH")</f>
        <v>SOUTH</v>
      </c>
      <c r="B4777" s="115" t="str">
        <f>IFERROR(__xludf.DUMMYFUNCTION("""COMPUTED_VALUE"""),"Vineeth V")</f>
        <v>Vineeth V</v>
      </c>
      <c r="C4777" s="115" t="str">
        <f>IFERROR(__xludf.DUMMYFUNCTION("""COMPUTED_VALUE"""),"EXTERNAL")</f>
        <v>EXTERNAL</v>
      </c>
      <c r="D4777" s="115">
        <f>IFERROR(__xludf.DUMMYFUNCTION("""COMPUTED_VALUE"""),22394.0)</f>
        <v>22394</v>
      </c>
      <c r="E4777" s="115">
        <f>IFERROR(__xludf.DUMMYFUNCTION("""COMPUTED_VALUE"""),817.0)</f>
        <v>817</v>
      </c>
      <c r="F4777" s="115">
        <f>IFERROR(__xludf.DUMMYFUNCTION("""COMPUTED_VALUE"""),9741.0)</f>
        <v>9741</v>
      </c>
      <c r="G4777" s="115">
        <f>IFERROR(__xludf.DUMMYFUNCTION("""COMPUTED_VALUE"""),200.0)</f>
        <v>200</v>
      </c>
      <c r="H4777" s="116">
        <f>IFERROR(__xludf.DUMMYFUNCTION("""COMPUTED_VALUE"""),45909.0)</f>
        <v>45909</v>
      </c>
      <c r="I4777" s="115" t="str">
        <f>IFERROR(__xludf.DUMMYFUNCTION("""COMPUTED_VALUE"""),"17")</f>
        <v>17</v>
      </c>
      <c r="J4777" s="115" t="str">
        <f>IFERROR(__xludf.DUMMYFUNCTION("""COMPUTED_VALUE"""),"Vineeth V2025-09-0917")</f>
        <v>Vineeth V2025-09-0917</v>
      </c>
      <c r="K4777" s="115">
        <f>IFERROR(__xludf.DUMMYFUNCTION("""COMPUTED_VALUE"""),23211.0)</f>
        <v>23211</v>
      </c>
    </row>
    <row r="4778">
      <c r="A4778" s="115" t="str">
        <f>IFERROR(__xludf.DUMMYFUNCTION("""COMPUTED_VALUE"""),"SOUTH")</f>
        <v>SOUTH</v>
      </c>
      <c r="B4778" s="115" t="str">
        <f>IFERROR(__xludf.DUMMYFUNCTION("""COMPUTED_VALUE"""),"Vineeth V")</f>
        <v>Vineeth V</v>
      </c>
      <c r="C4778" s="115" t="str">
        <f>IFERROR(__xludf.DUMMYFUNCTION("""COMPUTED_VALUE"""),"FLIPKART")</f>
        <v>FLIPKART</v>
      </c>
      <c r="D4778" s="115">
        <f>IFERROR(__xludf.DUMMYFUNCTION("""COMPUTED_VALUE"""),228128.0)</f>
        <v>228128</v>
      </c>
      <c r="E4778" s="115">
        <f>IFERROR(__xludf.DUMMYFUNCTION("""COMPUTED_VALUE"""),18772.0)</f>
        <v>18772</v>
      </c>
      <c r="F4778" s="115">
        <f>IFERROR(__xludf.DUMMYFUNCTION("""COMPUTED_VALUE"""),154889.0)</f>
        <v>154889</v>
      </c>
      <c r="G4778" s="115">
        <f>IFERROR(__xludf.DUMMYFUNCTION("""COMPUTED_VALUE"""),5106.0)</f>
        <v>5106</v>
      </c>
      <c r="H4778" s="116">
        <f>IFERROR(__xludf.DUMMYFUNCTION("""COMPUTED_VALUE"""),45909.0)</f>
        <v>45909</v>
      </c>
      <c r="I4778" s="115" t="str">
        <f>IFERROR(__xludf.DUMMYFUNCTION("""COMPUTED_VALUE"""),"17")</f>
        <v>17</v>
      </c>
      <c r="J4778" s="115" t="str">
        <f>IFERROR(__xludf.DUMMYFUNCTION("""COMPUTED_VALUE"""),"Vineeth V2025-09-0917")</f>
        <v>Vineeth V2025-09-0917</v>
      </c>
      <c r="K4778" s="115">
        <f>IFERROR(__xludf.DUMMYFUNCTION("""COMPUTED_VALUE"""),246900.0)</f>
        <v>246900</v>
      </c>
    </row>
    <row r="4779">
      <c r="A4779" s="115" t="str">
        <f>IFERROR(__xludf.DUMMYFUNCTION("""COMPUTED_VALUE"""),"SOUTH")</f>
        <v>SOUTH</v>
      </c>
      <c r="B4779" s="115" t="str">
        <f>IFERROR(__xludf.DUMMYFUNCTION("""COMPUTED_VALUE"""),"Vineeth V")</f>
        <v>Vineeth V</v>
      </c>
      <c r="C4779" s="115" t="str">
        <f>IFERROR(__xludf.DUMMYFUNCTION("""COMPUTED_VALUE"""),"MYNTRA")</f>
        <v>MYNTRA</v>
      </c>
      <c r="D4779" s="115">
        <f>IFERROR(__xludf.DUMMYFUNCTION("""COMPUTED_VALUE"""),18586.0)</f>
        <v>18586</v>
      </c>
      <c r="E4779" s="115">
        <f>IFERROR(__xludf.DUMMYFUNCTION("""COMPUTED_VALUE"""),4773.0)</f>
        <v>4773</v>
      </c>
      <c r="F4779" s="115">
        <f>IFERROR(__xludf.DUMMYFUNCTION("""COMPUTED_VALUE"""),13432.0)</f>
        <v>13432</v>
      </c>
      <c r="G4779" s="115">
        <f>IFERROR(__xludf.DUMMYFUNCTION("""COMPUTED_VALUE"""),1310.0)</f>
        <v>1310</v>
      </c>
      <c r="H4779" s="116">
        <f>IFERROR(__xludf.DUMMYFUNCTION("""COMPUTED_VALUE"""),45909.0)</f>
        <v>45909</v>
      </c>
      <c r="I4779" s="115" t="str">
        <f>IFERROR(__xludf.DUMMYFUNCTION("""COMPUTED_VALUE"""),"17")</f>
        <v>17</v>
      </c>
      <c r="J4779" s="115" t="str">
        <f>IFERROR(__xludf.DUMMYFUNCTION("""COMPUTED_VALUE"""),"Vineeth V2025-09-0917")</f>
        <v>Vineeth V2025-09-0917</v>
      </c>
      <c r="K4779" s="115">
        <f>IFERROR(__xludf.DUMMYFUNCTION("""COMPUTED_VALUE"""),23359.0)</f>
        <v>23359</v>
      </c>
    </row>
    <row r="4780">
      <c r="A4780" s="115" t="str">
        <f>IFERROR(__xludf.DUMMYFUNCTION("""COMPUTED_VALUE"""),"WEST")</f>
        <v>WEST</v>
      </c>
      <c r="B4780" s="115" t="str">
        <f>IFERROR(__xludf.DUMMYFUNCTION("""COMPUTED_VALUE"""),"Ashish Jakar")</f>
        <v>Ashish Jakar</v>
      </c>
      <c r="C4780" s="115" t="str">
        <f>IFERROR(__xludf.DUMMYFUNCTION("""COMPUTED_VALUE"""),"EXTERNAL")</f>
        <v>EXTERNAL</v>
      </c>
      <c r="D4780" s="115">
        <f>IFERROR(__xludf.DUMMYFUNCTION("""COMPUTED_VALUE"""),55632.0)</f>
        <v>55632</v>
      </c>
      <c r="E4780" s="115">
        <f>IFERROR(__xludf.DUMMYFUNCTION("""COMPUTED_VALUE"""),8493.0)</f>
        <v>8493</v>
      </c>
      <c r="F4780" s="115">
        <f>IFERROR(__xludf.DUMMYFUNCTION("""COMPUTED_VALUE"""),19087.0)</f>
        <v>19087</v>
      </c>
      <c r="G4780" s="115">
        <f>IFERROR(__xludf.DUMMYFUNCTION("""COMPUTED_VALUE"""),2558.0)</f>
        <v>2558</v>
      </c>
      <c r="H4780" s="116">
        <f>IFERROR(__xludf.DUMMYFUNCTION("""COMPUTED_VALUE"""),45909.0)</f>
        <v>45909</v>
      </c>
      <c r="I4780" s="115" t="str">
        <f>IFERROR(__xludf.DUMMYFUNCTION("""COMPUTED_VALUE"""),"17")</f>
        <v>17</v>
      </c>
      <c r="J4780" s="115" t="str">
        <f>IFERROR(__xludf.DUMMYFUNCTION("""COMPUTED_VALUE"""),"Ashish Jakar2025-09-0917")</f>
        <v>Ashish Jakar2025-09-0917</v>
      </c>
      <c r="K4780" s="115">
        <f>IFERROR(__xludf.DUMMYFUNCTION("""COMPUTED_VALUE"""),64125.0)</f>
        <v>64125</v>
      </c>
    </row>
    <row r="4781">
      <c r="A4781" s="115" t="str">
        <f>IFERROR(__xludf.DUMMYFUNCTION("""COMPUTED_VALUE"""),"WEST")</f>
        <v>WEST</v>
      </c>
      <c r="B4781" s="115" t="str">
        <f>IFERROR(__xludf.DUMMYFUNCTION("""COMPUTED_VALUE"""),"Ashish Jakar")</f>
        <v>Ashish Jakar</v>
      </c>
      <c r="C4781" s="115" t="str">
        <f>IFERROR(__xludf.DUMMYFUNCTION("""COMPUTED_VALUE"""),"FLIPKART")</f>
        <v>FLIPKART</v>
      </c>
      <c r="D4781" s="115">
        <f>IFERROR(__xludf.DUMMYFUNCTION("""COMPUTED_VALUE"""),359008.0)</f>
        <v>359008</v>
      </c>
      <c r="E4781" s="115">
        <f>IFERROR(__xludf.DUMMYFUNCTION("""COMPUTED_VALUE"""),36181.0)</f>
        <v>36181</v>
      </c>
      <c r="F4781" s="115">
        <f>IFERROR(__xludf.DUMMYFUNCTION("""COMPUTED_VALUE"""),216512.0)</f>
        <v>216512</v>
      </c>
      <c r="G4781" s="115">
        <f>IFERROR(__xludf.DUMMYFUNCTION("""COMPUTED_VALUE"""),15706.0)</f>
        <v>15706</v>
      </c>
      <c r="H4781" s="116">
        <f>IFERROR(__xludf.DUMMYFUNCTION("""COMPUTED_VALUE"""),45909.0)</f>
        <v>45909</v>
      </c>
      <c r="I4781" s="115" t="str">
        <f>IFERROR(__xludf.DUMMYFUNCTION("""COMPUTED_VALUE"""),"17")</f>
        <v>17</v>
      </c>
      <c r="J4781" s="115" t="str">
        <f>IFERROR(__xludf.DUMMYFUNCTION("""COMPUTED_VALUE"""),"Ashish Jakar2025-09-0917")</f>
        <v>Ashish Jakar2025-09-0917</v>
      </c>
      <c r="K4781" s="115">
        <f>IFERROR(__xludf.DUMMYFUNCTION("""COMPUTED_VALUE"""),395189.0)</f>
        <v>395189</v>
      </c>
    </row>
    <row r="4782">
      <c r="A4782" s="115" t="str">
        <f>IFERROR(__xludf.DUMMYFUNCTION("""COMPUTED_VALUE"""),"WEST")</f>
        <v>WEST</v>
      </c>
      <c r="B4782" s="115" t="str">
        <f>IFERROR(__xludf.DUMMYFUNCTION("""COMPUTED_VALUE"""),"Ashish Jakar")</f>
        <v>Ashish Jakar</v>
      </c>
      <c r="C4782" s="115" t="str">
        <f>IFERROR(__xludf.DUMMYFUNCTION("""COMPUTED_VALUE"""),"MYNTRA")</f>
        <v>MYNTRA</v>
      </c>
      <c r="D4782" s="115">
        <f>IFERROR(__xludf.DUMMYFUNCTION("""COMPUTED_VALUE"""),41727.0)</f>
        <v>41727</v>
      </c>
      <c r="E4782" s="115">
        <f>IFERROR(__xludf.DUMMYFUNCTION("""COMPUTED_VALUE"""),12357.0)</f>
        <v>12357</v>
      </c>
      <c r="F4782" s="115">
        <f>IFERROR(__xludf.DUMMYFUNCTION("""COMPUTED_VALUE"""),29133.0)</f>
        <v>29133</v>
      </c>
      <c r="G4782" s="115">
        <f>IFERROR(__xludf.DUMMYFUNCTION("""COMPUTED_VALUE"""),5719.0)</f>
        <v>5719</v>
      </c>
      <c r="H4782" s="116">
        <f>IFERROR(__xludf.DUMMYFUNCTION("""COMPUTED_VALUE"""),45909.0)</f>
        <v>45909</v>
      </c>
      <c r="I4782" s="115" t="str">
        <f>IFERROR(__xludf.DUMMYFUNCTION("""COMPUTED_VALUE"""),"17")</f>
        <v>17</v>
      </c>
      <c r="J4782" s="115" t="str">
        <f>IFERROR(__xludf.DUMMYFUNCTION("""COMPUTED_VALUE"""),"Ashish Jakar2025-09-0917")</f>
        <v>Ashish Jakar2025-09-0917</v>
      </c>
      <c r="K4782" s="115">
        <f>IFERROR(__xludf.DUMMYFUNCTION("""COMPUTED_VALUE"""),54084.0)</f>
        <v>54084</v>
      </c>
    </row>
    <row r="4783">
      <c r="A4783" s="115" t="str">
        <f>IFERROR(__xludf.DUMMYFUNCTION("""COMPUTED_VALUE"""),"WEST")</f>
        <v>WEST</v>
      </c>
      <c r="B4783" s="115" t="str">
        <f>IFERROR(__xludf.DUMMYFUNCTION("""COMPUTED_VALUE"""),"Ashvani Bhatt")</f>
        <v>Ashvani Bhatt</v>
      </c>
      <c r="C4783" s="115" t="str">
        <f>IFERROR(__xludf.DUMMYFUNCTION("""COMPUTED_VALUE"""),"EXTERNAL")</f>
        <v>EXTERNAL</v>
      </c>
      <c r="D4783" s="115">
        <f>IFERROR(__xludf.DUMMYFUNCTION("""COMPUTED_VALUE"""),41962.0)</f>
        <v>41962</v>
      </c>
      <c r="E4783" s="115">
        <f>IFERROR(__xludf.DUMMYFUNCTION("""COMPUTED_VALUE"""),4378.0)</f>
        <v>4378</v>
      </c>
      <c r="F4783" s="115">
        <f>IFERROR(__xludf.DUMMYFUNCTION("""COMPUTED_VALUE"""),15849.0)</f>
        <v>15849</v>
      </c>
      <c r="G4783" s="115">
        <f>IFERROR(__xludf.DUMMYFUNCTION("""COMPUTED_VALUE"""),1014.0)</f>
        <v>1014</v>
      </c>
      <c r="H4783" s="116">
        <f>IFERROR(__xludf.DUMMYFUNCTION("""COMPUTED_VALUE"""),45909.0)</f>
        <v>45909</v>
      </c>
      <c r="I4783" s="115" t="str">
        <f>IFERROR(__xludf.DUMMYFUNCTION("""COMPUTED_VALUE"""),"17")</f>
        <v>17</v>
      </c>
      <c r="J4783" s="115" t="str">
        <f>IFERROR(__xludf.DUMMYFUNCTION("""COMPUTED_VALUE"""),"Ashvani Bhatt2025-09-0917")</f>
        <v>Ashvani Bhatt2025-09-0917</v>
      </c>
      <c r="K4783" s="115">
        <f>IFERROR(__xludf.DUMMYFUNCTION("""COMPUTED_VALUE"""),46340.0)</f>
        <v>46340</v>
      </c>
    </row>
    <row r="4784">
      <c r="A4784" s="115" t="str">
        <f>IFERROR(__xludf.DUMMYFUNCTION("""COMPUTED_VALUE"""),"WEST")</f>
        <v>WEST</v>
      </c>
      <c r="B4784" s="115" t="str">
        <f>IFERROR(__xludf.DUMMYFUNCTION("""COMPUTED_VALUE"""),"Ashvani Bhatt")</f>
        <v>Ashvani Bhatt</v>
      </c>
      <c r="C4784" s="115" t="str">
        <f>IFERROR(__xludf.DUMMYFUNCTION("""COMPUTED_VALUE"""),"FLIPKART")</f>
        <v>FLIPKART</v>
      </c>
      <c r="D4784" s="115">
        <f>IFERROR(__xludf.DUMMYFUNCTION("""COMPUTED_VALUE"""),283638.0)</f>
        <v>283638</v>
      </c>
      <c r="E4784" s="115">
        <f>IFERROR(__xludf.DUMMYFUNCTION("""COMPUTED_VALUE"""),30762.0)</f>
        <v>30762</v>
      </c>
      <c r="F4784" s="115">
        <f>IFERROR(__xludf.DUMMYFUNCTION("""COMPUTED_VALUE"""),186562.0)</f>
        <v>186562</v>
      </c>
      <c r="G4784" s="115">
        <f>IFERROR(__xludf.DUMMYFUNCTION("""COMPUTED_VALUE"""),13290.0)</f>
        <v>13290</v>
      </c>
      <c r="H4784" s="116">
        <f>IFERROR(__xludf.DUMMYFUNCTION("""COMPUTED_VALUE"""),45909.0)</f>
        <v>45909</v>
      </c>
      <c r="I4784" s="115" t="str">
        <f>IFERROR(__xludf.DUMMYFUNCTION("""COMPUTED_VALUE"""),"17")</f>
        <v>17</v>
      </c>
      <c r="J4784" s="115" t="str">
        <f>IFERROR(__xludf.DUMMYFUNCTION("""COMPUTED_VALUE"""),"Ashvani Bhatt2025-09-0917")</f>
        <v>Ashvani Bhatt2025-09-0917</v>
      </c>
      <c r="K4784" s="115">
        <f>IFERROR(__xludf.DUMMYFUNCTION("""COMPUTED_VALUE"""),314400.0)</f>
        <v>314400</v>
      </c>
    </row>
    <row r="4785">
      <c r="A4785" s="115" t="str">
        <f>IFERROR(__xludf.DUMMYFUNCTION("""COMPUTED_VALUE"""),"WEST")</f>
        <v>WEST</v>
      </c>
      <c r="B4785" s="115" t="str">
        <f>IFERROR(__xludf.DUMMYFUNCTION("""COMPUTED_VALUE"""),"Ashvani Bhatt")</f>
        <v>Ashvani Bhatt</v>
      </c>
      <c r="C4785" s="115" t="str">
        <f>IFERROR(__xludf.DUMMYFUNCTION("""COMPUTED_VALUE"""),"MYNTRA")</f>
        <v>MYNTRA</v>
      </c>
      <c r="D4785" s="115">
        <f>IFERROR(__xludf.DUMMYFUNCTION("""COMPUTED_VALUE"""),38204.0)</f>
        <v>38204</v>
      </c>
      <c r="E4785" s="115">
        <f>IFERROR(__xludf.DUMMYFUNCTION("""COMPUTED_VALUE"""),9721.0)</f>
        <v>9721</v>
      </c>
      <c r="F4785" s="115">
        <f>IFERROR(__xludf.DUMMYFUNCTION("""COMPUTED_VALUE"""),29453.0)</f>
        <v>29453</v>
      </c>
      <c r="G4785" s="115">
        <f>IFERROR(__xludf.DUMMYFUNCTION("""COMPUTED_VALUE"""),4886.0)</f>
        <v>4886</v>
      </c>
      <c r="H4785" s="116">
        <f>IFERROR(__xludf.DUMMYFUNCTION("""COMPUTED_VALUE"""),45909.0)</f>
        <v>45909</v>
      </c>
      <c r="I4785" s="115" t="str">
        <f>IFERROR(__xludf.DUMMYFUNCTION("""COMPUTED_VALUE"""),"17")</f>
        <v>17</v>
      </c>
      <c r="J4785" s="115" t="str">
        <f>IFERROR(__xludf.DUMMYFUNCTION("""COMPUTED_VALUE"""),"Ashvani Bhatt2025-09-0917")</f>
        <v>Ashvani Bhatt2025-09-0917</v>
      </c>
      <c r="K4785" s="115">
        <f>IFERROR(__xludf.DUMMYFUNCTION("""COMPUTED_VALUE"""),47925.0)</f>
        <v>47925</v>
      </c>
    </row>
    <row r="4786">
      <c r="A4786" s="115"/>
      <c r="B4786" s="115"/>
      <c r="C4786" s="115" t="str">
        <f>IFERROR(__xludf.DUMMYFUNCTION("""COMPUTED_VALUE"""),"EXTERNAL")</f>
        <v>EXTERNAL</v>
      </c>
      <c r="D4786" s="115">
        <f>IFERROR(__xludf.DUMMYFUNCTION("""COMPUTED_VALUE"""),577.0)</f>
        <v>577</v>
      </c>
      <c r="E4786" s="115">
        <f>IFERROR(__xludf.DUMMYFUNCTION("""COMPUTED_VALUE"""),79.0)</f>
        <v>79</v>
      </c>
      <c r="F4786" s="115">
        <f>IFERROR(__xludf.DUMMYFUNCTION("""COMPUTED_VALUE"""),210.0)</f>
        <v>210</v>
      </c>
      <c r="G4786" s="115">
        <f>IFERROR(__xludf.DUMMYFUNCTION("""COMPUTED_VALUE"""),39.0)</f>
        <v>39</v>
      </c>
      <c r="H4786" s="116">
        <f>IFERROR(__xludf.DUMMYFUNCTION("""COMPUTED_VALUE"""),45909.0)</f>
        <v>45909</v>
      </c>
      <c r="I4786" s="115" t="str">
        <f>IFERROR(__xludf.DUMMYFUNCTION("""COMPUTED_VALUE"""),"17")</f>
        <v>17</v>
      </c>
      <c r="J4786" s="115" t="str">
        <f>IFERROR(__xludf.DUMMYFUNCTION("""COMPUTED_VALUE"""),"2025-09-0917")</f>
        <v>2025-09-0917</v>
      </c>
      <c r="K4786" s="115">
        <f>IFERROR(__xludf.DUMMYFUNCTION("""COMPUTED_VALUE"""),656.0)</f>
        <v>656</v>
      </c>
    </row>
    <row r="4787">
      <c r="A4787" s="115"/>
      <c r="B4787" s="115"/>
      <c r="C4787" s="115" t="str">
        <f>IFERROR(__xludf.DUMMYFUNCTION("""COMPUTED_VALUE"""),"FLIPKART")</f>
        <v>FLIPKART</v>
      </c>
      <c r="D4787" s="115">
        <f>IFERROR(__xludf.DUMMYFUNCTION("""COMPUTED_VALUE"""),6119.0)</f>
        <v>6119</v>
      </c>
      <c r="E4787" s="115">
        <f>IFERROR(__xludf.DUMMYFUNCTION("""COMPUTED_VALUE"""),523.0)</f>
        <v>523</v>
      </c>
      <c r="F4787" s="115">
        <f>IFERROR(__xludf.DUMMYFUNCTION("""COMPUTED_VALUE"""),3095.0)</f>
        <v>3095</v>
      </c>
      <c r="G4787" s="115">
        <f>IFERROR(__xludf.DUMMYFUNCTION("""COMPUTED_VALUE"""),267.0)</f>
        <v>267</v>
      </c>
      <c r="H4787" s="116">
        <f>IFERROR(__xludf.DUMMYFUNCTION("""COMPUTED_VALUE"""),45909.0)</f>
        <v>45909</v>
      </c>
      <c r="I4787" s="115" t="str">
        <f>IFERROR(__xludf.DUMMYFUNCTION("""COMPUTED_VALUE"""),"17")</f>
        <v>17</v>
      </c>
      <c r="J4787" s="115" t="str">
        <f>IFERROR(__xludf.DUMMYFUNCTION("""COMPUTED_VALUE"""),"2025-09-0917")</f>
        <v>2025-09-0917</v>
      </c>
      <c r="K4787" s="115">
        <f>IFERROR(__xludf.DUMMYFUNCTION("""COMPUTED_VALUE"""),6642.0)</f>
        <v>6642</v>
      </c>
    </row>
    <row r="4788">
      <c r="A4788" s="115"/>
      <c r="B4788" s="115"/>
      <c r="C4788" s="115" t="str">
        <f>IFERROR(__xludf.DUMMYFUNCTION("""COMPUTED_VALUE"""),"MYNTRA")</f>
        <v>MYNTRA</v>
      </c>
      <c r="D4788" s="115">
        <f>IFERROR(__xludf.DUMMYFUNCTION("""COMPUTED_VALUE"""),688.0)</f>
        <v>688</v>
      </c>
      <c r="E4788" s="115">
        <f>IFERROR(__xludf.DUMMYFUNCTION("""COMPUTED_VALUE"""),164.0)</f>
        <v>164</v>
      </c>
      <c r="F4788" s="115">
        <f>IFERROR(__xludf.DUMMYFUNCTION("""COMPUTED_VALUE"""),473.0)</f>
        <v>473</v>
      </c>
      <c r="G4788" s="115">
        <f>IFERROR(__xludf.DUMMYFUNCTION("""COMPUTED_VALUE"""),89.0)</f>
        <v>89</v>
      </c>
      <c r="H4788" s="116">
        <f>IFERROR(__xludf.DUMMYFUNCTION("""COMPUTED_VALUE"""),45909.0)</f>
        <v>45909</v>
      </c>
      <c r="I4788" s="115" t="str">
        <f>IFERROR(__xludf.DUMMYFUNCTION("""COMPUTED_VALUE"""),"17")</f>
        <v>17</v>
      </c>
      <c r="J4788" s="115" t="str">
        <f>IFERROR(__xludf.DUMMYFUNCTION("""COMPUTED_VALUE"""),"2025-09-0917")</f>
        <v>2025-09-0917</v>
      </c>
      <c r="K4788" s="115">
        <f>IFERROR(__xludf.DUMMYFUNCTION("""COMPUTED_VALUE"""),852.0)</f>
        <v>852</v>
      </c>
    </row>
    <row r="4789">
      <c r="A4789" s="115" t="str">
        <f>IFERROR(__xludf.DUMMYFUNCTION("""COMPUTED_VALUE"""),"EAST")</f>
        <v>EAST</v>
      </c>
      <c r="B4789" s="115" t="str">
        <f>IFERROR(__xludf.DUMMYFUNCTION("""COMPUTED_VALUE"""),"Ashish Ranjan")</f>
        <v>Ashish Ranjan</v>
      </c>
      <c r="C4789" s="115" t="str">
        <f>IFERROR(__xludf.DUMMYFUNCTION("""COMPUTED_VALUE"""),"EXTERNAL")</f>
        <v>EXTERNAL</v>
      </c>
      <c r="D4789" s="115">
        <f>IFERROR(__xludf.DUMMYFUNCTION("""COMPUTED_VALUE"""),42454.0)</f>
        <v>42454</v>
      </c>
      <c r="E4789" s="115">
        <f>IFERROR(__xludf.DUMMYFUNCTION("""COMPUTED_VALUE"""),4178.0)</f>
        <v>4178</v>
      </c>
      <c r="F4789" s="115">
        <f>IFERROR(__xludf.DUMMYFUNCTION("""COMPUTED_VALUE"""),22063.0)</f>
        <v>22063</v>
      </c>
      <c r="G4789" s="115">
        <f>IFERROR(__xludf.DUMMYFUNCTION("""COMPUTED_VALUE"""),1913.0)</f>
        <v>1913</v>
      </c>
      <c r="H4789" s="116">
        <f>IFERROR(__xludf.DUMMYFUNCTION("""COMPUTED_VALUE"""),45909.0)</f>
        <v>45909</v>
      </c>
      <c r="I4789" s="115" t="str">
        <f>IFERROR(__xludf.DUMMYFUNCTION("""COMPUTED_VALUE"""),"19")</f>
        <v>19</v>
      </c>
      <c r="J4789" s="115" t="str">
        <f>IFERROR(__xludf.DUMMYFUNCTION("""COMPUTED_VALUE"""),"Ashish Ranjan2025-09-0919")</f>
        <v>Ashish Ranjan2025-09-0919</v>
      </c>
      <c r="K4789" s="115">
        <f>IFERROR(__xludf.DUMMYFUNCTION("""COMPUTED_VALUE"""),46632.0)</f>
        <v>46632</v>
      </c>
    </row>
    <row r="4790">
      <c r="A4790" s="115" t="str">
        <f>IFERROR(__xludf.DUMMYFUNCTION("""COMPUTED_VALUE"""),"EAST")</f>
        <v>EAST</v>
      </c>
      <c r="B4790" s="115" t="str">
        <f>IFERROR(__xludf.DUMMYFUNCTION("""COMPUTED_VALUE"""),"Ashish Ranjan")</f>
        <v>Ashish Ranjan</v>
      </c>
      <c r="C4790" s="115" t="str">
        <f>IFERROR(__xludf.DUMMYFUNCTION("""COMPUTED_VALUE"""),"FLIPKART")</f>
        <v>FLIPKART</v>
      </c>
      <c r="D4790" s="115">
        <f>IFERROR(__xludf.DUMMYFUNCTION("""COMPUTED_VALUE"""),668061.0)</f>
        <v>668061</v>
      </c>
      <c r="E4790" s="115">
        <f>IFERROR(__xludf.DUMMYFUNCTION("""COMPUTED_VALUE"""),72552.0)</f>
        <v>72552</v>
      </c>
      <c r="F4790" s="115">
        <f>IFERROR(__xludf.DUMMYFUNCTION("""COMPUTED_VALUE"""),564734.0)</f>
        <v>564734</v>
      </c>
      <c r="G4790" s="115">
        <f>IFERROR(__xludf.DUMMYFUNCTION("""COMPUTED_VALUE"""),50602.0)</f>
        <v>50602</v>
      </c>
      <c r="H4790" s="116">
        <f>IFERROR(__xludf.DUMMYFUNCTION("""COMPUTED_VALUE"""),45909.0)</f>
        <v>45909</v>
      </c>
      <c r="I4790" s="115" t="str">
        <f>IFERROR(__xludf.DUMMYFUNCTION("""COMPUTED_VALUE"""),"19")</f>
        <v>19</v>
      </c>
      <c r="J4790" s="115" t="str">
        <f>IFERROR(__xludf.DUMMYFUNCTION("""COMPUTED_VALUE"""),"Ashish Ranjan2025-09-0919")</f>
        <v>Ashish Ranjan2025-09-0919</v>
      </c>
      <c r="K4790" s="115">
        <f>IFERROR(__xludf.DUMMYFUNCTION("""COMPUTED_VALUE"""),740613.0)</f>
        <v>740613</v>
      </c>
    </row>
    <row r="4791">
      <c r="A4791" s="115" t="str">
        <f>IFERROR(__xludf.DUMMYFUNCTION("""COMPUTED_VALUE"""),"EAST")</f>
        <v>EAST</v>
      </c>
      <c r="B4791" s="115" t="str">
        <f>IFERROR(__xludf.DUMMYFUNCTION("""COMPUTED_VALUE"""),"Ashish Ranjan")</f>
        <v>Ashish Ranjan</v>
      </c>
      <c r="C4791" s="115" t="str">
        <f>IFERROR(__xludf.DUMMYFUNCTION("""COMPUTED_VALUE"""),"MYNTRA")</f>
        <v>MYNTRA</v>
      </c>
      <c r="D4791" s="115">
        <f>IFERROR(__xludf.DUMMYFUNCTION("""COMPUTED_VALUE"""),77855.0)</f>
        <v>77855</v>
      </c>
      <c r="E4791" s="115">
        <f>IFERROR(__xludf.DUMMYFUNCTION("""COMPUTED_VALUE"""),16763.0)</f>
        <v>16763</v>
      </c>
      <c r="F4791" s="115">
        <f>IFERROR(__xludf.DUMMYFUNCTION("""COMPUTED_VALUE"""),66618.0)</f>
        <v>66618</v>
      </c>
      <c r="G4791" s="115">
        <f>IFERROR(__xludf.DUMMYFUNCTION("""COMPUTED_VALUE"""),11502.0)</f>
        <v>11502</v>
      </c>
      <c r="H4791" s="116">
        <f>IFERROR(__xludf.DUMMYFUNCTION("""COMPUTED_VALUE"""),45909.0)</f>
        <v>45909</v>
      </c>
      <c r="I4791" s="115" t="str">
        <f>IFERROR(__xludf.DUMMYFUNCTION("""COMPUTED_VALUE"""),"19")</f>
        <v>19</v>
      </c>
      <c r="J4791" s="115" t="str">
        <f>IFERROR(__xludf.DUMMYFUNCTION("""COMPUTED_VALUE"""),"Ashish Ranjan2025-09-0919")</f>
        <v>Ashish Ranjan2025-09-0919</v>
      </c>
      <c r="K4791" s="115">
        <f>IFERROR(__xludf.DUMMYFUNCTION("""COMPUTED_VALUE"""),94618.0)</f>
        <v>94618</v>
      </c>
    </row>
    <row r="4792">
      <c r="A4792" s="115" t="str">
        <f>IFERROR(__xludf.DUMMYFUNCTION("""COMPUTED_VALUE"""),"EAST")</f>
        <v>EAST</v>
      </c>
      <c r="B4792" s="115" t="str">
        <f>IFERROR(__xludf.DUMMYFUNCTION("""COMPUTED_VALUE"""),"Girish Chand")</f>
        <v>Girish Chand</v>
      </c>
      <c r="C4792" s="115" t="str">
        <f>IFERROR(__xludf.DUMMYFUNCTION("""COMPUTED_VALUE"""),"EXTERNAL")</f>
        <v>EXTERNAL</v>
      </c>
      <c r="D4792" s="115">
        <f>IFERROR(__xludf.DUMMYFUNCTION("""COMPUTED_VALUE"""),24551.0)</f>
        <v>24551</v>
      </c>
      <c r="E4792" s="115">
        <f>IFERROR(__xludf.DUMMYFUNCTION("""COMPUTED_VALUE"""),2619.0)</f>
        <v>2619</v>
      </c>
      <c r="F4792" s="115">
        <f>IFERROR(__xludf.DUMMYFUNCTION("""COMPUTED_VALUE"""),10844.0)</f>
        <v>10844</v>
      </c>
      <c r="G4792" s="115">
        <f>IFERROR(__xludf.DUMMYFUNCTION("""COMPUTED_VALUE"""),726.0)</f>
        <v>726</v>
      </c>
      <c r="H4792" s="116">
        <f>IFERROR(__xludf.DUMMYFUNCTION("""COMPUTED_VALUE"""),45909.0)</f>
        <v>45909</v>
      </c>
      <c r="I4792" s="115" t="str">
        <f>IFERROR(__xludf.DUMMYFUNCTION("""COMPUTED_VALUE"""),"19")</f>
        <v>19</v>
      </c>
      <c r="J4792" s="115" t="str">
        <f>IFERROR(__xludf.DUMMYFUNCTION("""COMPUTED_VALUE"""),"Girish Chand2025-09-0919")</f>
        <v>Girish Chand2025-09-0919</v>
      </c>
      <c r="K4792" s="115">
        <f>IFERROR(__xludf.DUMMYFUNCTION("""COMPUTED_VALUE"""),27170.0)</f>
        <v>27170</v>
      </c>
    </row>
    <row r="4793">
      <c r="A4793" s="115" t="str">
        <f>IFERROR(__xludf.DUMMYFUNCTION("""COMPUTED_VALUE"""),"EAST")</f>
        <v>EAST</v>
      </c>
      <c r="B4793" s="115" t="str">
        <f>IFERROR(__xludf.DUMMYFUNCTION("""COMPUTED_VALUE"""),"Girish Chand")</f>
        <v>Girish Chand</v>
      </c>
      <c r="C4793" s="115" t="str">
        <f>IFERROR(__xludf.DUMMYFUNCTION("""COMPUTED_VALUE"""),"FLIPKART")</f>
        <v>FLIPKART</v>
      </c>
      <c r="D4793" s="115">
        <f>IFERROR(__xludf.DUMMYFUNCTION("""COMPUTED_VALUE"""),397050.0)</f>
        <v>397050</v>
      </c>
      <c r="E4793" s="115">
        <f>IFERROR(__xludf.DUMMYFUNCTION("""COMPUTED_VALUE"""),40303.0)</f>
        <v>40303</v>
      </c>
      <c r="F4793" s="115">
        <f>IFERROR(__xludf.DUMMYFUNCTION("""COMPUTED_VALUE"""),290309.0)</f>
        <v>290309</v>
      </c>
      <c r="G4793" s="115">
        <f>IFERROR(__xludf.DUMMYFUNCTION("""COMPUTED_VALUE"""),25236.0)</f>
        <v>25236</v>
      </c>
      <c r="H4793" s="116">
        <f>IFERROR(__xludf.DUMMYFUNCTION("""COMPUTED_VALUE"""),45909.0)</f>
        <v>45909</v>
      </c>
      <c r="I4793" s="115" t="str">
        <f>IFERROR(__xludf.DUMMYFUNCTION("""COMPUTED_VALUE"""),"19")</f>
        <v>19</v>
      </c>
      <c r="J4793" s="115" t="str">
        <f>IFERROR(__xludf.DUMMYFUNCTION("""COMPUTED_VALUE"""),"Girish Chand2025-09-0919")</f>
        <v>Girish Chand2025-09-0919</v>
      </c>
      <c r="K4793" s="115">
        <f>IFERROR(__xludf.DUMMYFUNCTION("""COMPUTED_VALUE"""),437353.0)</f>
        <v>437353</v>
      </c>
    </row>
    <row r="4794">
      <c r="A4794" s="115" t="str">
        <f>IFERROR(__xludf.DUMMYFUNCTION("""COMPUTED_VALUE"""),"EAST")</f>
        <v>EAST</v>
      </c>
      <c r="B4794" s="115" t="str">
        <f>IFERROR(__xludf.DUMMYFUNCTION("""COMPUTED_VALUE"""),"Girish Chand")</f>
        <v>Girish Chand</v>
      </c>
      <c r="C4794" s="115" t="str">
        <f>IFERROR(__xludf.DUMMYFUNCTION("""COMPUTED_VALUE"""),"MYNTRA")</f>
        <v>MYNTRA</v>
      </c>
      <c r="D4794" s="115">
        <f>IFERROR(__xludf.DUMMYFUNCTION("""COMPUTED_VALUE"""),39950.0)</f>
        <v>39950</v>
      </c>
      <c r="E4794" s="115">
        <f>IFERROR(__xludf.DUMMYFUNCTION("""COMPUTED_VALUE"""),7708.0)</f>
        <v>7708</v>
      </c>
      <c r="F4794" s="115">
        <f>IFERROR(__xludf.DUMMYFUNCTION("""COMPUTED_VALUE"""),31306.0)</f>
        <v>31306</v>
      </c>
      <c r="G4794" s="115">
        <f>IFERROR(__xludf.DUMMYFUNCTION("""COMPUTED_VALUE"""),5100.0)</f>
        <v>5100</v>
      </c>
      <c r="H4794" s="116">
        <f>IFERROR(__xludf.DUMMYFUNCTION("""COMPUTED_VALUE"""),45909.0)</f>
        <v>45909</v>
      </c>
      <c r="I4794" s="115" t="str">
        <f>IFERROR(__xludf.DUMMYFUNCTION("""COMPUTED_VALUE"""),"19")</f>
        <v>19</v>
      </c>
      <c r="J4794" s="115" t="str">
        <f>IFERROR(__xludf.DUMMYFUNCTION("""COMPUTED_VALUE"""),"Girish Chand2025-09-0919")</f>
        <v>Girish Chand2025-09-0919</v>
      </c>
      <c r="K4794" s="115">
        <f>IFERROR(__xludf.DUMMYFUNCTION("""COMPUTED_VALUE"""),47658.0)</f>
        <v>47658</v>
      </c>
    </row>
    <row r="4795">
      <c r="A4795" s="115" t="str">
        <f>IFERROR(__xludf.DUMMYFUNCTION("""COMPUTED_VALUE"""),"EAST")</f>
        <v>EAST</v>
      </c>
      <c r="B4795" s="115" t="str">
        <f>IFERROR(__xludf.DUMMYFUNCTION("""COMPUTED_VALUE"""),"Parag Kashyap")</f>
        <v>Parag Kashyap</v>
      </c>
      <c r="C4795" s="115" t="str">
        <f>IFERROR(__xludf.DUMMYFUNCTION("""COMPUTED_VALUE"""),"EXTERNAL")</f>
        <v>EXTERNAL</v>
      </c>
      <c r="D4795" s="115">
        <f>IFERROR(__xludf.DUMMYFUNCTION("""COMPUTED_VALUE"""),18155.0)</f>
        <v>18155</v>
      </c>
      <c r="E4795" s="115">
        <f>IFERROR(__xludf.DUMMYFUNCTION("""COMPUTED_VALUE"""),1344.0)</f>
        <v>1344</v>
      </c>
      <c r="F4795" s="115">
        <f>IFERROR(__xludf.DUMMYFUNCTION("""COMPUTED_VALUE"""),7918.0)</f>
        <v>7918</v>
      </c>
      <c r="G4795" s="115">
        <f>IFERROR(__xludf.DUMMYFUNCTION("""COMPUTED_VALUE"""),383.0)</f>
        <v>383</v>
      </c>
      <c r="H4795" s="116">
        <f>IFERROR(__xludf.DUMMYFUNCTION("""COMPUTED_VALUE"""),45909.0)</f>
        <v>45909</v>
      </c>
      <c r="I4795" s="115" t="str">
        <f>IFERROR(__xludf.DUMMYFUNCTION("""COMPUTED_VALUE"""),"19")</f>
        <v>19</v>
      </c>
      <c r="J4795" s="115" t="str">
        <f>IFERROR(__xludf.DUMMYFUNCTION("""COMPUTED_VALUE"""),"Parag Kashyap2025-09-0919")</f>
        <v>Parag Kashyap2025-09-0919</v>
      </c>
      <c r="K4795" s="115">
        <f>IFERROR(__xludf.DUMMYFUNCTION("""COMPUTED_VALUE"""),19499.0)</f>
        <v>19499</v>
      </c>
    </row>
    <row r="4796">
      <c r="A4796" s="115" t="str">
        <f>IFERROR(__xludf.DUMMYFUNCTION("""COMPUTED_VALUE"""),"EAST")</f>
        <v>EAST</v>
      </c>
      <c r="B4796" s="115" t="str">
        <f>IFERROR(__xludf.DUMMYFUNCTION("""COMPUTED_VALUE"""),"Parag Kashyap")</f>
        <v>Parag Kashyap</v>
      </c>
      <c r="C4796" s="115" t="str">
        <f>IFERROR(__xludf.DUMMYFUNCTION("""COMPUTED_VALUE"""),"FLIPKART")</f>
        <v>FLIPKART</v>
      </c>
      <c r="D4796" s="115">
        <f>IFERROR(__xludf.DUMMYFUNCTION("""COMPUTED_VALUE"""),313379.0)</f>
        <v>313379</v>
      </c>
      <c r="E4796" s="115">
        <f>IFERROR(__xludf.DUMMYFUNCTION("""COMPUTED_VALUE"""),21357.0)</f>
        <v>21357</v>
      </c>
      <c r="F4796" s="115">
        <f>IFERROR(__xludf.DUMMYFUNCTION("""COMPUTED_VALUE"""),235684.0)</f>
        <v>235684</v>
      </c>
      <c r="G4796" s="115">
        <f>IFERROR(__xludf.DUMMYFUNCTION("""COMPUTED_VALUE"""),11568.0)</f>
        <v>11568</v>
      </c>
      <c r="H4796" s="116">
        <f>IFERROR(__xludf.DUMMYFUNCTION("""COMPUTED_VALUE"""),45909.0)</f>
        <v>45909</v>
      </c>
      <c r="I4796" s="115" t="str">
        <f>IFERROR(__xludf.DUMMYFUNCTION("""COMPUTED_VALUE"""),"19")</f>
        <v>19</v>
      </c>
      <c r="J4796" s="115" t="str">
        <f>IFERROR(__xludf.DUMMYFUNCTION("""COMPUTED_VALUE"""),"Parag Kashyap2025-09-0919")</f>
        <v>Parag Kashyap2025-09-0919</v>
      </c>
      <c r="K4796" s="115">
        <f>IFERROR(__xludf.DUMMYFUNCTION("""COMPUTED_VALUE"""),334736.0)</f>
        <v>334736</v>
      </c>
    </row>
    <row r="4797">
      <c r="A4797" s="115" t="str">
        <f>IFERROR(__xludf.DUMMYFUNCTION("""COMPUTED_VALUE"""),"EAST")</f>
        <v>EAST</v>
      </c>
      <c r="B4797" s="115" t="str">
        <f>IFERROR(__xludf.DUMMYFUNCTION("""COMPUTED_VALUE"""),"Parag Kashyap")</f>
        <v>Parag Kashyap</v>
      </c>
      <c r="C4797" s="115" t="str">
        <f>IFERROR(__xludf.DUMMYFUNCTION("""COMPUTED_VALUE"""),"MYNTRA")</f>
        <v>MYNTRA</v>
      </c>
      <c r="D4797" s="115">
        <f>IFERROR(__xludf.DUMMYFUNCTION("""COMPUTED_VALUE"""),40351.0)</f>
        <v>40351</v>
      </c>
      <c r="E4797" s="115">
        <f>IFERROR(__xludf.DUMMYFUNCTION("""COMPUTED_VALUE"""),6357.0)</f>
        <v>6357</v>
      </c>
      <c r="F4797" s="115">
        <f>IFERROR(__xludf.DUMMYFUNCTION("""COMPUTED_VALUE"""),31439.0)</f>
        <v>31439</v>
      </c>
      <c r="G4797" s="115">
        <f>IFERROR(__xludf.DUMMYFUNCTION("""COMPUTED_VALUE"""),3531.0)</f>
        <v>3531</v>
      </c>
      <c r="H4797" s="116">
        <f>IFERROR(__xludf.DUMMYFUNCTION("""COMPUTED_VALUE"""),45909.0)</f>
        <v>45909</v>
      </c>
      <c r="I4797" s="115" t="str">
        <f>IFERROR(__xludf.DUMMYFUNCTION("""COMPUTED_VALUE"""),"19")</f>
        <v>19</v>
      </c>
      <c r="J4797" s="115" t="str">
        <f>IFERROR(__xludf.DUMMYFUNCTION("""COMPUTED_VALUE"""),"Parag Kashyap2025-09-0919")</f>
        <v>Parag Kashyap2025-09-0919</v>
      </c>
      <c r="K4797" s="115">
        <f>IFERROR(__xludf.DUMMYFUNCTION("""COMPUTED_VALUE"""),46708.0)</f>
        <v>46708</v>
      </c>
    </row>
    <row r="4798">
      <c r="A4798" s="115" t="str">
        <f>IFERROR(__xludf.DUMMYFUNCTION("""COMPUTED_VALUE"""),"NORTH")</f>
        <v>NORTH</v>
      </c>
      <c r="B4798" s="115" t="str">
        <f>IFERROR(__xludf.DUMMYFUNCTION("""COMPUTED_VALUE"""),"Amit Kumar Pathak")</f>
        <v>Amit Kumar Pathak</v>
      </c>
      <c r="C4798" s="115" t="str">
        <f>IFERROR(__xludf.DUMMYFUNCTION("""COMPUTED_VALUE"""),"EXTERNAL")</f>
        <v>EXTERNAL</v>
      </c>
      <c r="D4798" s="115">
        <f>IFERROR(__xludf.DUMMYFUNCTION("""COMPUTED_VALUE"""),29213.0)</f>
        <v>29213</v>
      </c>
      <c r="E4798" s="115">
        <f>IFERROR(__xludf.DUMMYFUNCTION("""COMPUTED_VALUE"""),4030.0)</f>
        <v>4030</v>
      </c>
      <c r="F4798" s="115">
        <f>IFERROR(__xludf.DUMMYFUNCTION("""COMPUTED_VALUE"""),10813.0)</f>
        <v>10813</v>
      </c>
      <c r="G4798" s="115">
        <f>IFERROR(__xludf.DUMMYFUNCTION("""COMPUTED_VALUE"""),1820.0)</f>
        <v>1820</v>
      </c>
      <c r="H4798" s="116">
        <f>IFERROR(__xludf.DUMMYFUNCTION("""COMPUTED_VALUE"""),45909.0)</f>
        <v>45909</v>
      </c>
      <c r="I4798" s="115" t="str">
        <f>IFERROR(__xludf.DUMMYFUNCTION("""COMPUTED_VALUE"""),"19")</f>
        <v>19</v>
      </c>
      <c r="J4798" s="115" t="str">
        <f>IFERROR(__xludf.DUMMYFUNCTION("""COMPUTED_VALUE"""),"Amit Kumar Pathak2025-09-0919")</f>
        <v>Amit Kumar Pathak2025-09-0919</v>
      </c>
      <c r="K4798" s="115">
        <f>IFERROR(__xludf.DUMMYFUNCTION("""COMPUTED_VALUE"""),33243.0)</f>
        <v>33243</v>
      </c>
    </row>
    <row r="4799">
      <c r="A4799" s="115" t="str">
        <f>IFERROR(__xludf.DUMMYFUNCTION("""COMPUTED_VALUE"""),"NORTH")</f>
        <v>NORTH</v>
      </c>
      <c r="B4799" s="115" t="str">
        <f>IFERROR(__xludf.DUMMYFUNCTION("""COMPUTED_VALUE"""),"Amit Kumar Pathak")</f>
        <v>Amit Kumar Pathak</v>
      </c>
      <c r="C4799" s="115" t="str">
        <f>IFERROR(__xludf.DUMMYFUNCTION("""COMPUTED_VALUE"""),"FLIPKART")</f>
        <v>FLIPKART</v>
      </c>
      <c r="D4799" s="115">
        <f>IFERROR(__xludf.DUMMYFUNCTION("""COMPUTED_VALUE"""),182961.0)</f>
        <v>182961</v>
      </c>
      <c r="E4799" s="115">
        <f>IFERROR(__xludf.DUMMYFUNCTION("""COMPUTED_VALUE"""),24700.0)</f>
        <v>24700</v>
      </c>
      <c r="F4799" s="115">
        <f>IFERROR(__xludf.DUMMYFUNCTION("""COMPUTED_VALUE"""),129093.0)</f>
        <v>129093</v>
      </c>
      <c r="G4799" s="115">
        <f>IFERROR(__xludf.DUMMYFUNCTION("""COMPUTED_VALUE"""),14555.0)</f>
        <v>14555</v>
      </c>
      <c r="H4799" s="116">
        <f>IFERROR(__xludf.DUMMYFUNCTION("""COMPUTED_VALUE"""),45909.0)</f>
        <v>45909</v>
      </c>
      <c r="I4799" s="115" t="str">
        <f>IFERROR(__xludf.DUMMYFUNCTION("""COMPUTED_VALUE"""),"19")</f>
        <v>19</v>
      </c>
      <c r="J4799" s="115" t="str">
        <f>IFERROR(__xludf.DUMMYFUNCTION("""COMPUTED_VALUE"""),"Amit Kumar Pathak2025-09-0919")</f>
        <v>Amit Kumar Pathak2025-09-0919</v>
      </c>
      <c r="K4799" s="115">
        <f>IFERROR(__xludf.DUMMYFUNCTION("""COMPUTED_VALUE"""),207661.0)</f>
        <v>207661</v>
      </c>
    </row>
    <row r="4800">
      <c r="A4800" s="115" t="str">
        <f>IFERROR(__xludf.DUMMYFUNCTION("""COMPUTED_VALUE"""),"NORTH")</f>
        <v>NORTH</v>
      </c>
      <c r="B4800" s="115" t="str">
        <f>IFERROR(__xludf.DUMMYFUNCTION("""COMPUTED_VALUE"""),"Amit Kumar Pathak")</f>
        <v>Amit Kumar Pathak</v>
      </c>
      <c r="C4800" s="115" t="str">
        <f>IFERROR(__xludf.DUMMYFUNCTION("""COMPUTED_VALUE"""),"MYNTRA")</f>
        <v>MYNTRA</v>
      </c>
      <c r="D4800" s="115">
        <f>IFERROR(__xludf.DUMMYFUNCTION("""COMPUTED_VALUE"""),17730.0)</f>
        <v>17730</v>
      </c>
      <c r="E4800" s="115">
        <f>IFERROR(__xludf.DUMMYFUNCTION("""COMPUTED_VALUE"""),5985.0)</f>
        <v>5985</v>
      </c>
      <c r="F4800" s="115">
        <f>IFERROR(__xludf.DUMMYFUNCTION("""COMPUTED_VALUE"""),14268.0)</f>
        <v>14268</v>
      </c>
      <c r="G4800" s="115">
        <f>IFERROR(__xludf.DUMMYFUNCTION("""COMPUTED_VALUE"""),3901.0)</f>
        <v>3901</v>
      </c>
      <c r="H4800" s="116">
        <f>IFERROR(__xludf.DUMMYFUNCTION("""COMPUTED_VALUE"""),45909.0)</f>
        <v>45909</v>
      </c>
      <c r="I4800" s="115" t="str">
        <f>IFERROR(__xludf.DUMMYFUNCTION("""COMPUTED_VALUE"""),"19")</f>
        <v>19</v>
      </c>
      <c r="J4800" s="115" t="str">
        <f>IFERROR(__xludf.DUMMYFUNCTION("""COMPUTED_VALUE"""),"Amit Kumar Pathak2025-09-0919")</f>
        <v>Amit Kumar Pathak2025-09-0919</v>
      </c>
      <c r="K4800" s="115">
        <f>IFERROR(__xludf.DUMMYFUNCTION("""COMPUTED_VALUE"""),23715.0)</f>
        <v>23715</v>
      </c>
    </row>
    <row r="4801">
      <c r="A4801" s="115" t="str">
        <f>IFERROR(__xludf.DUMMYFUNCTION("""COMPUTED_VALUE"""),"NORTH")</f>
        <v>NORTH</v>
      </c>
      <c r="B4801" s="115" t="str">
        <f>IFERROR(__xludf.DUMMYFUNCTION("""COMPUTED_VALUE"""),"Loveleen Singh")</f>
        <v>Loveleen Singh</v>
      </c>
      <c r="C4801" s="115" t="str">
        <f>IFERROR(__xludf.DUMMYFUNCTION("""COMPUTED_VALUE"""),"EXTERNAL")</f>
        <v>EXTERNAL</v>
      </c>
      <c r="D4801" s="115">
        <f>IFERROR(__xludf.DUMMYFUNCTION("""COMPUTED_VALUE"""),34591.0)</f>
        <v>34591</v>
      </c>
      <c r="E4801" s="115">
        <f>IFERROR(__xludf.DUMMYFUNCTION("""COMPUTED_VALUE"""),3134.0)</f>
        <v>3134</v>
      </c>
      <c r="F4801" s="115">
        <f>IFERROR(__xludf.DUMMYFUNCTION("""COMPUTED_VALUE"""),13938.0)</f>
        <v>13938</v>
      </c>
      <c r="G4801" s="115">
        <f>IFERROR(__xludf.DUMMYFUNCTION("""COMPUTED_VALUE"""),855.0)</f>
        <v>855</v>
      </c>
      <c r="H4801" s="116">
        <f>IFERROR(__xludf.DUMMYFUNCTION("""COMPUTED_VALUE"""),45909.0)</f>
        <v>45909</v>
      </c>
      <c r="I4801" s="115" t="str">
        <f>IFERROR(__xludf.DUMMYFUNCTION("""COMPUTED_VALUE"""),"19")</f>
        <v>19</v>
      </c>
      <c r="J4801" s="115" t="str">
        <f>IFERROR(__xludf.DUMMYFUNCTION("""COMPUTED_VALUE"""),"Loveleen Singh2025-09-0919")</f>
        <v>Loveleen Singh2025-09-0919</v>
      </c>
      <c r="K4801" s="115">
        <f>IFERROR(__xludf.DUMMYFUNCTION("""COMPUTED_VALUE"""),37725.0)</f>
        <v>37725</v>
      </c>
    </row>
    <row r="4802">
      <c r="A4802" s="115" t="str">
        <f>IFERROR(__xludf.DUMMYFUNCTION("""COMPUTED_VALUE"""),"NORTH")</f>
        <v>NORTH</v>
      </c>
      <c r="B4802" s="115" t="str">
        <f>IFERROR(__xludf.DUMMYFUNCTION("""COMPUTED_VALUE"""),"Loveleen Singh")</f>
        <v>Loveleen Singh</v>
      </c>
      <c r="C4802" s="115" t="str">
        <f>IFERROR(__xludf.DUMMYFUNCTION("""COMPUTED_VALUE"""),"FLIPKART")</f>
        <v>FLIPKART</v>
      </c>
      <c r="D4802" s="115">
        <f>IFERROR(__xludf.DUMMYFUNCTION("""COMPUTED_VALUE"""),179556.0)</f>
        <v>179556</v>
      </c>
      <c r="E4802" s="115">
        <f>IFERROR(__xludf.DUMMYFUNCTION("""COMPUTED_VALUE"""),15357.0)</f>
        <v>15357</v>
      </c>
      <c r="F4802" s="115">
        <f>IFERROR(__xludf.DUMMYFUNCTION("""COMPUTED_VALUE"""),132452.0)</f>
        <v>132452</v>
      </c>
      <c r="G4802" s="115">
        <f>IFERROR(__xludf.DUMMYFUNCTION("""COMPUTED_VALUE"""),8758.0)</f>
        <v>8758</v>
      </c>
      <c r="H4802" s="116">
        <f>IFERROR(__xludf.DUMMYFUNCTION("""COMPUTED_VALUE"""),45909.0)</f>
        <v>45909</v>
      </c>
      <c r="I4802" s="115" t="str">
        <f>IFERROR(__xludf.DUMMYFUNCTION("""COMPUTED_VALUE"""),"19")</f>
        <v>19</v>
      </c>
      <c r="J4802" s="115" t="str">
        <f>IFERROR(__xludf.DUMMYFUNCTION("""COMPUTED_VALUE"""),"Loveleen Singh2025-09-0919")</f>
        <v>Loveleen Singh2025-09-0919</v>
      </c>
      <c r="K4802" s="115">
        <f>IFERROR(__xludf.DUMMYFUNCTION("""COMPUTED_VALUE"""),194913.0)</f>
        <v>194913</v>
      </c>
    </row>
    <row r="4803">
      <c r="A4803" s="115" t="str">
        <f>IFERROR(__xludf.DUMMYFUNCTION("""COMPUTED_VALUE"""),"NORTH")</f>
        <v>NORTH</v>
      </c>
      <c r="B4803" s="115" t="str">
        <f>IFERROR(__xludf.DUMMYFUNCTION("""COMPUTED_VALUE"""),"Loveleen Singh")</f>
        <v>Loveleen Singh</v>
      </c>
      <c r="C4803" s="115" t="str">
        <f>IFERROR(__xludf.DUMMYFUNCTION("""COMPUTED_VALUE"""),"MYNTRA")</f>
        <v>MYNTRA</v>
      </c>
      <c r="D4803" s="115">
        <f>IFERROR(__xludf.DUMMYFUNCTION("""COMPUTED_VALUE"""),31945.0)</f>
        <v>31945</v>
      </c>
      <c r="E4803" s="115">
        <f>IFERROR(__xludf.DUMMYFUNCTION("""COMPUTED_VALUE"""),6762.0)</f>
        <v>6762</v>
      </c>
      <c r="F4803" s="115">
        <f>IFERROR(__xludf.DUMMYFUNCTION("""COMPUTED_VALUE"""),25941.0)</f>
        <v>25941</v>
      </c>
      <c r="G4803" s="115">
        <f>IFERROR(__xludf.DUMMYFUNCTION("""COMPUTED_VALUE"""),4187.0)</f>
        <v>4187</v>
      </c>
      <c r="H4803" s="116">
        <f>IFERROR(__xludf.DUMMYFUNCTION("""COMPUTED_VALUE"""),45909.0)</f>
        <v>45909</v>
      </c>
      <c r="I4803" s="115" t="str">
        <f>IFERROR(__xludf.DUMMYFUNCTION("""COMPUTED_VALUE"""),"19")</f>
        <v>19</v>
      </c>
      <c r="J4803" s="115" t="str">
        <f>IFERROR(__xludf.DUMMYFUNCTION("""COMPUTED_VALUE"""),"Loveleen Singh2025-09-0919")</f>
        <v>Loveleen Singh2025-09-0919</v>
      </c>
      <c r="K4803" s="115">
        <f>IFERROR(__xludf.DUMMYFUNCTION("""COMPUTED_VALUE"""),38707.0)</f>
        <v>38707</v>
      </c>
    </row>
    <row r="4804">
      <c r="A4804" s="115" t="str">
        <f>IFERROR(__xludf.DUMMYFUNCTION("""COMPUTED_VALUE"""),"NORTH")</f>
        <v>NORTH</v>
      </c>
      <c r="B4804" s="115" t="str">
        <f>IFERROR(__xludf.DUMMYFUNCTION("""COMPUTED_VALUE"""),"Manoj Harsh")</f>
        <v>Manoj Harsh</v>
      </c>
      <c r="C4804" s="115" t="str">
        <f>IFERROR(__xludf.DUMMYFUNCTION("""COMPUTED_VALUE"""),"EXTERNAL")</f>
        <v>EXTERNAL</v>
      </c>
      <c r="D4804" s="115">
        <f>IFERROR(__xludf.DUMMYFUNCTION("""COMPUTED_VALUE"""),37884.0)</f>
        <v>37884</v>
      </c>
      <c r="E4804" s="115">
        <f>IFERROR(__xludf.DUMMYFUNCTION("""COMPUTED_VALUE"""),3794.0)</f>
        <v>3794</v>
      </c>
      <c r="F4804" s="115">
        <f>IFERROR(__xludf.DUMMYFUNCTION("""COMPUTED_VALUE"""),16617.0)</f>
        <v>16617</v>
      </c>
      <c r="G4804" s="115">
        <f>IFERROR(__xludf.DUMMYFUNCTION("""COMPUTED_VALUE"""),1092.0)</f>
        <v>1092</v>
      </c>
      <c r="H4804" s="116">
        <f>IFERROR(__xludf.DUMMYFUNCTION("""COMPUTED_VALUE"""),45909.0)</f>
        <v>45909</v>
      </c>
      <c r="I4804" s="115" t="str">
        <f>IFERROR(__xludf.DUMMYFUNCTION("""COMPUTED_VALUE"""),"19")</f>
        <v>19</v>
      </c>
      <c r="J4804" s="115" t="str">
        <f>IFERROR(__xludf.DUMMYFUNCTION("""COMPUTED_VALUE"""),"Manoj Harsh2025-09-0919")</f>
        <v>Manoj Harsh2025-09-0919</v>
      </c>
      <c r="K4804" s="115">
        <f>IFERROR(__xludf.DUMMYFUNCTION("""COMPUTED_VALUE"""),41678.0)</f>
        <v>41678</v>
      </c>
    </row>
    <row r="4805">
      <c r="A4805" s="115" t="str">
        <f>IFERROR(__xludf.DUMMYFUNCTION("""COMPUTED_VALUE"""),"NORTH")</f>
        <v>NORTH</v>
      </c>
      <c r="B4805" s="115" t="str">
        <f>IFERROR(__xludf.DUMMYFUNCTION("""COMPUTED_VALUE"""),"Manoj Harsh")</f>
        <v>Manoj Harsh</v>
      </c>
      <c r="C4805" s="115" t="str">
        <f>IFERROR(__xludf.DUMMYFUNCTION("""COMPUTED_VALUE"""),"FLIPKART")</f>
        <v>FLIPKART</v>
      </c>
      <c r="D4805" s="115">
        <f>IFERROR(__xludf.DUMMYFUNCTION("""COMPUTED_VALUE"""),407903.0)</f>
        <v>407903</v>
      </c>
      <c r="E4805" s="115">
        <f>IFERROR(__xludf.DUMMYFUNCTION("""COMPUTED_VALUE"""),43680.0)</f>
        <v>43680</v>
      </c>
      <c r="F4805" s="115">
        <f>IFERROR(__xludf.DUMMYFUNCTION("""COMPUTED_VALUE"""),296843.0)</f>
        <v>296843</v>
      </c>
      <c r="G4805" s="115">
        <f>IFERROR(__xludf.DUMMYFUNCTION("""COMPUTED_VALUE"""),25939.0)</f>
        <v>25939</v>
      </c>
      <c r="H4805" s="116">
        <f>IFERROR(__xludf.DUMMYFUNCTION("""COMPUTED_VALUE"""),45909.0)</f>
        <v>45909</v>
      </c>
      <c r="I4805" s="115" t="str">
        <f>IFERROR(__xludf.DUMMYFUNCTION("""COMPUTED_VALUE"""),"19")</f>
        <v>19</v>
      </c>
      <c r="J4805" s="115" t="str">
        <f>IFERROR(__xludf.DUMMYFUNCTION("""COMPUTED_VALUE"""),"Manoj Harsh2025-09-0919")</f>
        <v>Manoj Harsh2025-09-0919</v>
      </c>
      <c r="K4805" s="115">
        <f>IFERROR(__xludf.DUMMYFUNCTION("""COMPUTED_VALUE"""),451583.0)</f>
        <v>451583</v>
      </c>
    </row>
    <row r="4806">
      <c r="A4806" s="115" t="str">
        <f>IFERROR(__xludf.DUMMYFUNCTION("""COMPUTED_VALUE"""),"NORTH")</f>
        <v>NORTH</v>
      </c>
      <c r="B4806" s="115" t="str">
        <f>IFERROR(__xludf.DUMMYFUNCTION("""COMPUTED_VALUE"""),"Manoj Harsh")</f>
        <v>Manoj Harsh</v>
      </c>
      <c r="C4806" s="115" t="str">
        <f>IFERROR(__xludf.DUMMYFUNCTION("""COMPUTED_VALUE"""),"MYNTRA")</f>
        <v>MYNTRA</v>
      </c>
      <c r="D4806" s="115">
        <f>IFERROR(__xludf.DUMMYFUNCTION("""COMPUTED_VALUE"""),40437.0)</f>
        <v>40437</v>
      </c>
      <c r="E4806" s="115">
        <f>IFERROR(__xludf.DUMMYFUNCTION("""COMPUTED_VALUE"""),8393.0)</f>
        <v>8393</v>
      </c>
      <c r="F4806" s="115">
        <f>IFERROR(__xludf.DUMMYFUNCTION("""COMPUTED_VALUE"""),32183.0)</f>
        <v>32183</v>
      </c>
      <c r="G4806" s="115">
        <f>IFERROR(__xludf.DUMMYFUNCTION("""COMPUTED_VALUE"""),5438.0)</f>
        <v>5438</v>
      </c>
      <c r="H4806" s="116">
        <f>IFERROR(__xludf.DUMMYFUNCTION("""COMPUTED_VALUE"""),45909.0)</f>
        <v>45909</v>
      </c>
      <c r="I4806" s="115" t="str">
        <f>IFERROR(__xludf.DUMMYFUNCTION("""COMPUTED_VALUE"""),"19")</f>
        <v>19</v>
      </c>
      <c r="J4806" s="115" t="str">
        <f>IFERROR(__xludf.DUMMYFUNCTION("""COMPUTED_VALUE"""),"Manoj Harsh2025-09-0919")</f>
        <v>Manoj Harsh2025-09-0919</v>
      </c>
      <c r="K4806" s="115">
        <f>IFERROR(__xludf.DUMMYFUNCTION("""COMPUTED_VALUE"""),48830.0)</f>
        <v>48830</v>
      </c>
    </row>
    <row r="4807">
      <c r="A4807" s="115" t="str">
        <f>IFERROR(__xludf.DUMMYFUNCTION("""COMPUTED_VALUE"""),"NORTH")</f>
        <v>NORTH</v>
      </c>
      <c r="B4807" s="115" t="str">
        <f>IFERROR(__xludf.DUMMYFUNCTION("""COMPUTED_VALUE"""),"Pradeep Kothari")</f>
        <v>Pradeep Kothari</v>
      </c>
      <c r="C4807" s="115" t="str">
        <f>IFERROR(__xludf.DUMMYFUNCTION("""COMPUTED_VALUE"""),"EXTERNAL")</f>
        <v>EXTERNAL</v>
      </c>
      <c r="D4807" s="115">
        <f>IFERROR(__xludf.DUMMYFUNCTION("""COMPUTED_VALUE"""),20866.0)</f>
        <v>20866</v>
      </c>
      <c r="E4807" s="115">
        <f>IFERROR(__xludf.DUMMYFUNCTION("""COMPUTED_VALUE"""),2290.0)</f>
        <v>2290</v>
      </c>
      <c r="F4807" s="115">
        <f>IFERROR(__xludf.DUMMYFUNCTION("""COMPUTED_VALUE"""),8657.0)</f>
        <v>8657</v>
      </c>
      <c r="G4807" s="115">
        <f>IFERROR(__xludf.DUMMYFUNCTION("""COMPUTED_VALUE"""),816.0)</f>
        <v>816</v>
      </c>
      <c r="H4807" s="116">
        <f>IFERROR(__xludf.DUMMYFUNCTION("""COMPUTED_VALUE"""),45909.0)</f>
        <v>45909</v>
      </c>
      <c r="I4807" s="115" t="str">
        <f>IFERROR(__xludf.DUMMYFUNCTION("""COMPUTED_VALUE"""),"19")</f>
        <v>19</v>
      </c>
      <c r="J4807" s="115" t="str">
        <f>IFERROR(__xludf.DUMMYFUNCTION("""COMPUTED_VALUE"""),"Pradeep Kothari2025-09-0919")</f>
        <v>Pradeep Kothari2025-09-0919</v>
      </c>
      <c r="K4807" s="115">
        <f>IFERROR(__xludf.DUMMYFUNCTION("""COMPUTED_VALUE"""),23156.0)</f>
        <v>23156</v>
      </c>
    </row>
    <row r="4808">
      <c r="A4808" s="115" t="str">
        <f>IFERROR(__xludf.DUMMYFUNCTION("""COMPUTED_VALUE"""),"NORTH")</f>
        <v>NORTH</v>
      </c>
      <c r="B4808" s="115" t="str">
        <f>IFERROR(__xludf.DUMMYFUNCTION("""COMPUTED_VALUE"""),"Pradeep Kothari")</f>
        <v>Pradeep Kothari</v>
      </c>
      <c r="C4808" s="115" t="str">
        <f>IFERROR(__xludf.DUMMYFUNCTION("""COMPUTED_VALUE"""),"FLIPKART")</f>
        <v>FLIPKART</v>
      </c>
      <c r="D4808" s="115">
        <f>IFERROR(__xludf.DUMMYFUNCTION("""COMPUTED_VALUE"""),144075.0)</f>
        <v>144075</v>
      </c>
      <c r="E4808" s="115">
        <f>IFERROR(__xludf.DUMMYFUNCTION("""COMPUTED_VALUE"""),17635.0)</f>
        <v>17635</v>
      </c>
      <c r="F4808" s="115">
        <f>IFERROR(__xludf.DUMMYFUNCTION("""COMPUTED_VALUE"""),108415.0)</f>
        <v>108415</v>
      </c>
      <c r="G4808" s="115">
        <f>IFERROR(__xludf.DUMMYFUNCTION("""COMPUTED_VALUE"""),11140.0)</f>
        <v>11140</v>
      </c>
      <c r="H4808" s="116">
        <f>IFERROR(__xludf.DUMMYFUNCTION("""COMPUTED_VALUE"""),45909.0)</f>
        <v>45909</v>
      </c>
      <c r="I4808" s="115" t="str">
        <f>IFERROR(__xludf.DUMMYFUNCTION("""COMPUTED_VALUE"""),"19")</f>
        <v>19</v>
      </c>
      <c r="J4808" s="115" t="str">
        <f>IFERROR(__xludf.DUMMYFUNCTION("""COMPUTED_VALUE"""),"Pradeep Kothari2025-09-0919")</f>
        <v>Pradeep Kothari2025-09-0919</v>
      </c>
      <c r="K4808" s="115">
        <f>IFERROR(__xludf.DUMMYFUNCTION("""COMPUTED_VALUE"""),161710.0)</f>
        <v>161710</v>
      </c>
    </row>
    <row r="4809">
      <c r="A4809" s="115" t="str">
        <f>IFERROR(__xludf.DUMMYFUNCTION("""COMPUTED_VALUE"""),"NORTH")</f>
        <v>NORTH</v>
      </c>
      <c r="B4809" s="115" t="str">
        <f>IFERROR(__xludf.DUMMYFUNCTION("""COMPUTED_VALUE"""),"Pradeep Kothari")</f>
        <v>Pradeep Kothari</v>
      </c>
      <c r="C4809" s="115" t="str">
        <f>IFERROR(__xludf.DUMMYFUNCTION("""COMPUTED_VALUE"""),"MYNTRA")</f>
        <v>MYNTRA</v>
      </c>
      <c r="D4809" s="115">
        <f>IFERROR(__xludf.DUMMYFUNCTION("""COMPUTED_VALUE"""),27126.0)</f>
        <v>27126</v>
      </c>
      <c r="E4809" s="115">
        <f>IFERROR(__xludf.DUMMYFUNCTION("""COMPUTED_VALUE"""),7127.0)</f>
        <v>7127</v>
      </c>
      <c r="F4809" s="115">
        <f>IFERROR(__xludf.DUMMYFUNCTION("""COMPUTED_VALUE"""),22484.0)</f>
        <v>22484</v>
      </c>
      <c r="G4809" s="115">
        <f>IFERROR(__xludf.DUMMYFUNCTION("""COMPUTED_VALUE"""),5041.0)</f>
        <v>5041</v>
      </c>
      <c r="H4809" s="116">
        <f>IFERROR(__xludf.DUMMYFUNCTION("""COMPUTED_VALUE"""),45909.0)</f>
        <v>45909</v>
      </c>
      <c r="I4809" s="115" t="str">
        <f>IFERROR(__xludf.DUMMYFUNCTION("""COMPUTED_VALUE"""),"19")</f>
        <v>19</v>
      </c>
      <c r="J4809" s="115" t="str">
        <f>IFERROR(__xludf.DUMMYFUNCTION("""COMPUTED_VALUE"""),"Pradeep Kothari2025-09-0919")</f>
        <v>Pradeep Kothari2025-09-0919</v>
      </c>
      <c r="K4809" s="115">
        <f>IFERROR(__xludf.DUMMYFUNCTION("""COMPUTED_VALUE"""),34253.0)</f>
        <v>34253</v>
      </c>
    </row>
    <row r="4810">
      <c r="A4810" s="115" t="str">
        <f>IFERROR(__xludf.DUMMYFUNCTION("""COMPUTED_VALUE"""),"SOUTH")</f>
        <v>SOUTH</v>
      </c>
      <c r="B4810" s="115" t="str">
        <f>IFERROR(__xludf.DUMMYFUNCTION("""COMPUTED_VALUE"""),"0")</f>
        <v>0</v>
      </c>
      <c r="C4810" s="115" t="str">
        <f>IFERROR(__xludf.DUMMYFUNCTION("""COMPUTED_VALUE"""),"EXTERNAL")</f>
        <v>EXTERNAL</v>
      </c>
      <c r="D4810" s="115">
        <f>IFERROR(__xludf.DUMMYFUNCTION("""COMPUTED_VALUE"""),3.0)</f>
        <v>3</v>
      </c>
      <c r="E4810" s="115">
        <f>IFERROR(__xludf.DUMMYFUNCTION("""COMPUTED_VALUE"""),2.0)</f>
        <v>2</v>
      </c>
      <c r="F4810" s="115">
        <f>IFERROR(__xludf.DUMMYFUNCTION("""COMPUTED_VALUE"""),2.0)</f>
        <v>2</v>
      </c>
      <c r="G4810" s="115">
        <f>IFERROR(__xludf.DUMMYFUNCTION("""COMPUTED_VALUE"""),1.0)</f>
        <v>1</v>
      </c>
      <c r="H4810" s="116">
        <f>IFERROR(__xludf.DUMMYFUNCTION("""COMPUTED_VALUE"""),45909.0)</f>
        <v>45909</v>
      </c>
      <c r="I4810" s="115" t="str">
        <f>IFERROR(__xludf.DUMMYFUNCTION("""COMPUTED_VALUE"""),"19")</f>
        <v>19</v>
      </c>
      <c r="J4810" s="115" t="str">
        <f>IFERROR(__xludf.DUMMYFUNCTION("""COMPUTED_VALUE"""),"02025-09-0919")</f>
        <v>02025-09-0919</v>
      </c>
      <c r="K4810" s="115">
        <f>IFERROR(__xludf.DUMMYFUNCTION("""COMPUTED_VALUE"""),5.0)</f>
        <v>5</v>
      </c>
    </row>
    <row r="4811">
      <c r="A4811" s="115" t="str">
        <f>IFERROR(__xludf.DUMMYFUNCTION("""COMPUTED_VALUE"""),"SOUTH")</f>
        <v>SOUTH</v>
      </c>
      <c r="B4811" s="115" t="str">
        <f>IFERROR(__xludf.DUMMYFUNCTION("""COMPUTED_VALUE"""),"0")</f>
        <v>0</v>
      </c>
      <c r="C4811" s="115" t="str">
        <f>IFERROR(__xludf.DUMMYFUNCTION("""COMPUTED_VALUE"""),"FLIPKART")</f>
        <v>FLIPKART</v>
      </c>
      <c r="D4811" s="115">
        <f>IFERROR(__xludf.DUMMYFUNCTION("""COMPUTED_VALUE"""),68.0)</f>
        <v>68</v>
      </c>
      <c r="E4811" s="115">
        <f>IFERROR(__xludf.DUMMYFUNCTION("""COMPUTED_VALUE"""),45.0)</f>
        <v>45</v>
      </c>
      <c r="F4811" s="115">
        <f>IFERROR(__xludf.DUMMYFUNCTION("""COMPUTED_VALUE"""),34.0)</f>
        <v>34</v>
      </c>
      <c r="G4811" s="115">
        <f>IFERROR(__xludf.DUMMYFUNCTION("""COMPUTED_VALUE"""),6.0)</f>
        <v>6</v>
      </c>
      <c r="H4811" s="116">
        <f>IFERROR(__xludf.DUMMYFUNCTION("""COMPUTED_VALUE"""),45909.0)</f>
        <v>45909</v>
      </c>
      <c r="I4811" s="115" t="str">
        <f>IFERROR(__xludf.DUMMYFUNCTION("""COMPUTED_VALUE"""),"19")</f>
        <v>19</v>
      </c>
      <c r="J4811" s="115" t="str">
        <f>IFERROR(__xludf.DUMMYFUNCTION("""COMPUTED_VALUE"""),"02025-09-0919")</f>
        <v>02025-09-0919</v>
      </c>
      <c r="K4811" s="115">
        <f>IFERROR(__xludf.DUMMYFUNCTION("""COMPUTED_VALUE"""),113.0)</f>
        <v>113</v>
      </c>
    </row>
    <row r="4812">
      <c r="A4812" s="115" t="str">
        <f>IFERROR(__xludf.DUMMYFUNCTION("""COMPUTED_VALUE"""),"SOUTH")</f>
        <v>SOUTH</v>
      </c>
      <c r="B4812" s="115" t="str">
        <f>IFERROR(__xludf.DUMMYFUNCTION("""COMPUTED_VALUE"""),"0")</f>
        <v>0</v>
      </c>
      <c r="C4812" s="115" t="str">
        <f>IFERROR(__xludf.DUMMYFUNCTION("""COMPUTED_VALUE"""),"MYNTRA")</f>
        <v>MYNTRA</v>
      </c>
      <c r="D4812" s="115">
        <f>IFERROR(__xludf.DUMMYFUNCTION("""COMPUTED_VALUE"""),6.0)</f>
        <v>6</v>
      </c>
      <c r="E4812" s="115">
        <f>IFERROR(__xludf.DUMMYFUNCTION("""COMPUTED_VALUE"""),16.0)</f>
        <v>16</v>
      </c>
      <c r="F4812" s="115">
        <f>IFERROR(__xludf.DUMMYFUNCTION("""COMPUTED_VALUE"""),5.0)</f>
        <v>5</v>
      </c>
      <c r="G4812" s="115">
        <f>IFERROR(__xludf.DUMMYFUNCTION("""COMPUTED_VALUE"""),4.0)</f>
        <v>4</v>
      </c>
      <c r="H4812" s="116">
        <f>IFERROR(__xludf.DUMMYFUNCTION("""COMPUTED_VALUE"""),45909.0)</f>
        <v>45909</v>
      </c>
      <c r="I4812" s="115" t="str">
        <f>IFERROR(__xludf.DUMMYFUNCTION("""COMPUTED_VALUE"""),"19")</f>
        <v>19</v>
      </c>
      <c r="J4812" s="115" t="str">
        <f>IFERROR(__xludf.DUMMYFUNCTION("""COMPUTED_VALUE"""),"02025-09-0919")</f>
        <v>02025-09-0919</v>
      </c>
      <c r="K4812" s="115">
        <f>IFERROR(__xludf.DUMMYFUNCTION("""COMPUTED_VALUE"""),22.0)</f>
        <v>22</v>
      </c>
    </row>
    <row r="4813">
      <c r="A4813" s="115" t="str">
        <f>IFERROR(__xludf.DUMMYFUNCTION("""COMPUTED_VALUE"""),"SOUTH")</f>
        <v>SOUTH</v>
      </c>
      <c r="B4813" s="115" t="str">
        <f>IFERROR(__xludf.DUMMYFUNCTION("""COMPUTED_VALUE"""),"Kandula Sampath")</f>
        <v>Kandula Sampath</v>
      </c>
      <c r="C4813" s="115" t="str">
        <f>IFERROR(__xludf.DUMMYFUNCTION("""COMPUTED_VALUE"""),"EXTERNAL")</f>
        <v>EXTERNAL</v>
      </c>
      <c r="D4813" s="115">
        <f>IFERROR(__xludf.DUMMYFUNCTION("""COMPUTED_VALUE"""),34205.0)</f>
        <v>34205</v>
      </c>
      <c r="E4813" s="115">
        <f>IFERROR(__xludf.DUMMYFUNCTION("""COMPUTED_VALUE"""),4841.0)</f>
        <v>4841</v>
      </c>
      <c r="F4813" s="115">
        <f>IFERROR(__xludf.DUMMYFUNCTION("""COMPUTED_VALUE"""),13983.0)</f>
        <v>13983</v>
      </c>
      <c r="G4813" s="115">
        <f>IFERROR(__xludf.DUMMYFUNCTION("""COMPUTED_VALUE"""),1415.0)</f>
        <v>1415</v>
      </c>
      <c r="H4813" s="116">
        <f>IFERROR(__xludf.DUMMYFUNCTION("""COMPUTED_VALUE"""),45909.0)</f>
        <v>45909</v>
      </c>
      <c r="I4813" s="115" t="str">
        <f>IFERROR(__xludf.DUMMYFUNCTION("""COMPUTED_VALUE"""),"19")</f>
        <v>19</v>
      </c>
      <c r="J4813" s="115" t="str">
        <f>IFERROR(__xludf.DUMMYFUNCTION("""COMPUTED_VALUE"""),"Kandula Sampath2025-09-0919")</f>
        <v>Kandula Sampath2025-09-0919</v>
      </c>
      <c r="K4813" s="115">
        <f>IFERROR(__xludf.DUMMYFUNCTION("""COMPUTED_VALUE"""),39046.0)</f>
        <v>39046</v>
      </c>
    </row>
    <row r="4814">
      <c r="A4814" s="115" t="str">
        <f>IFERROR(__xludf.DUMMYFUNCTION("""COMPUTED_VALUE"""),"SOUTH")</f>
        <v>SOUTH</v>
      </c>
      <c r="B4814" s="115" t="str">
        <f>IFERROR(__xludf.DUMMYFUNCTION("""COMPUTED_VALUE"""),"Kandula Sampath")</f>
        <v>Kandula Sampath</v>
      </c>
      <c r="C4814" s="115" t="str">
        <f>IFERROR(__xludf.DUMMYFUNCTION("""COMPUTED_VALUE"""),"FLIPKART")</f>
        <v>FLIPKART</v>
      </c>
      <c r="D4814" s="115">
        <f>IFERROR(__xludf.DUMMYFUNCTION("""COMPUTED_VALUE"""),317106.0)</f>
        <v>317106</v>
      </c>
      <c r="E4814" s="115">
        <f>IFERROR(__xludf.DUMMYFUNCTION("""COMPUTED_VALUE"""),35959.0)</f>
        <v>35959</v>
      </c>
      <c r="F4814" s="115">
        <f>IFERROR(__xludf.DUMMYFUNCTION("""COMPUTED_VALUE"""),227034.0)</f>
        <v>227034</v>
      </c>
      <c r="G4814" s="115">
        <f>IFERROR(__xludf.DUMMYFUNCTION("""COMPUTED_VALUE"""),19235.0)</f>
        <v>19235</v>
      </c>
      <c r="H4814" s="116">
        <f>IFERROR(__xludf.DUMMYFUNCTION("""COMPUTED_VALUE"""),45909.0)</f>
        <v>45909</v>
      </c>
      <c r="I4814" s="115" t="str">
        <f>IFERROR(__xludf.DUMMYFUNCTION("""COMPUTED_VALUE"""),"19")</f>
        <v>19</v>
      </c>
      <c r="J4814" s="115" t="str">
        <f>IFERROR(__xludf.DUMMYFUNCTION("""COMPUTED_VALUE"""),"Kandula Sampath2025-09-0919")</f>
        <v>Kandula Sampath2025-09-0919</v>
      </c>
      <c r="K4814" s="115">
        <f>IFERROR(__xludf.DUMMYFUNCTION("""COMPUTED_VALUE"""),353065.0)</f>
        <v>353065</v>
      </c>
    </row>
    <row r="4815">
      <c r="A4815" s="115" t="str">
        <f>IFERROR(__xludf.DUMMYFUNCTION("""COMPUTED_VALUE"""),"SOUTH")</f>
        <v>SOUTH</v>
      </c>
      <c r="B4815" s="115" t="str">
        <f>IFERROR(__xludf.DUMMYFUNCTION("""COMPUTED_VALUE"""),"Kandula Sampath")</f>
        <v>Kandula Sampath</v>
      </c>
      <c r="C4815" s="115" t="str">
        <f>IFERROR(__xludf.DUMMYFUNCTION("""COMPUTED_VALUE"""),"MYNTRA")</f>
        <v>MYNTRA</v>
      </c>
      <c r="D4815" s="115">
        <f>IFERROR(__xludf.DUMMYFUNCTION("""COMPUTED_VALUE"""),37866.0)</f>
        <v>37866</v>
      </c>
      <c r="E4815" s="115">
        <f>IFERROR(__xludf.DUMMYFUNCTION("""COMPUTED_VALUE"""),9998.0)</f>
        <v>9998</v>
      </c>
      <c r="F4815" s="115">
        <f>IFERROR(__xludf.DUMMYFUNCTION("""COMPUTED_VALUE"""),29799.0)</f>
        <v>29799</v>
      </c>
      <c r="G4815" s="115">
        <f>IFERROR(__xludf.DUMMYFUNCTION("""COMPUTED_VALUE"""),5555.0)</f>
        <v>5555</v>
      </c>
      <c r="H4815" s="116">
        <f>IFERROR(__xludf.DUMMYFUNCTION("""COMPUTED_VALUE"""),45909.0)</f>
        <v>45909</v>
      </c>
      <c r="I4815" s="115" t="str">
        <f>IFERROR(__xludf.DUMMYFUNCTION("""COMPUTED_VALUE"""),"19")</f>
        <v>19</v>
      </c>
      <c r="J4815" s="115" t="str">
        <f>IFERROR(__xludf.DUMMYFUNCTION("""COMPUTED_VALUE"""),"Kandula Sampath2025-09-0919")</f>
        <v>Kandula Sampath2025-09-0919</v>
      </c>
      <c r="K4815" s="115">
        <f>IFERROR(__xludf.DUMMYFUNCTION("""COMPUTED_VALUE"""),47864.0)</f>
        <v>47864</v>
      </c>
    </row>
    <row r="4816">
      <c r="A4816" s="115" t="str">
        <f>IFERROR(__xludf.DUMMYFUNCTION("""COMPUTED_VALUE"""),"SOUTH")</f>
        <v>SOUTH</v>
      </c>
      <c r="B4816" s="115" t="str">
        <f>IFERROR(__xludf.DUMMYFUNCTION("""COMPUTED_VALUE"""),"Martin A")</f>
        <v>Martin A</v>
      </c>
      <c r="C4816" s="115" t="str">
        <f>IFERROR(__xludf.DUMMYFUNCTION("""COMPUTED_VALUE"""),"EXTERNAL")</f>
        <v>EXTERNAL</v>
      </c>
      <c r="D4816" s="115">
        <f>IFERROR(__xludf.DUMMYFUNCTION("""COMPUTED_VALUE"""),33535.0)</f>
        <v>33535</v>
      </c>
      <c r="E4816" s="115">
        <f>IFERROR(__xludf.DUMMYFUNCTION("""COMPUTED_VALUE"""),4706.0)</f>
        <v>4706</v>
      </c>
      <c r="F4816" s="115">
        <f>IFERROR(__xludf.DUMMYFUNCTION("""COMPUTED_VALUE"""),13869.0)</f>
        <v>13869</v>
      </c>
      <c r="G4816" s="115">
        <f>IFERROR(__xludf.DUMMYFUNCTION("""COMPUTED_VALUE"""),2023.0)</f>
        <v>2023</v>
      </c>
      <c r="H4816" s="116">
        <f>IFERROR(__xludf.DUMMYFUNCTION("""COMPUTED_VALUE"""),45909.0)</f>
        <v>45909</v>
      </c>
      <c r="I4816" s="115" t="str">
        <f>IFERROR(__xludf.DUMMYFUNCTION("""COMPUTED_VALUE"""),"19")</f>
        <v>19</v>
      </c>
      <c r="J4816" s="115" t="str">
        <f>IFERROR(__xludf.DUMMYFUNCTION("""COMPUTED_VALUE"""),"Martin A2025-09-0919")</f>
        <v>Martin A2025-09-0919</v>
      </c>
      <c r="K4816" s="115">
        <f>IFERROR(__xludf.DUMMYFUNCTION("""COMPUTED_VALUE"""),38241.0)</f>
        <v>38241</v>
      </c>
    </row>
    <row r="4817">
      <c r="A4817" s="115" t="str">
        <f>IFERROR(__xludf.DUMMYFUNCTION("""COMPUTED_VALUE"""),"SOUTH")</f>
        <v>SOUTH</v>
      </c>
      <c r="B4817" s="115" t="str">
        <f>IFERROR(__xludf.DUMMYFUNCTION("""COMPUTED_VALUE"""),"Martin A")</f>
        <v>Martin A</v>
      </c>
      <c r="C4817" s="115" t="str">
        <f>IFERROR(__xludf.DUMMYFUNCTION("""COMPUTED_VALUE"""),"FLIPKART")</f>
        <v>FLIPKART</v>
      </c>
      <c r="D4817" s="115">
        <f>IFERROR(__xludf.DUMMYFUNCTION("""COMPUTED_VALUE"""),289737.0)</f>
        <v>289737</v>
      </c>
      <c r="E4817" s="115">
        <f>IFERROR(__xludf.DUMMYFUNCTION("""COMPUTED_VALUE"""),31108.0)</f>
        <v>31108</v>
      </c>
      <c r="F4817" s="115">
        <f>IFERROR(__xludf.DUMMYFUNCTION("""COMPUTED_VALUE"""),209609.0)</f>
        <v>209609</v>
      </c>
      <c r="G4817" s="115">
        <f>IFERROR(__xludf.DUMMYFUNCTION("""COMPUTED_VALUE"""),17591.0)</f>
        <v>17591</v>
      </c>
      <c r="H4817" s="116">
        <f>IFERROR(__xludf.DUMMYFUNCTION("""COMPUTED_VALUE"""),45909.0)</f>
        <v>45909</v>
      </c>
      <c r="I4817" s="115" t="str">
        <f>IFERROR(__xludf.DUMMYFUNCTION("""COMPUTED_VALUE"""),"19")</f>
        <v>19</v>
      </c>
      <c r="J4817" s="115" t="str">
        <f>IFERROR(__xludf.DUMMYFUNCTION("""COMPUTED_VALUE"""),"Martin A2025-09-0919")</f>
        <v>Martin A2025-09-0919</v>
      </c>
      <c r="K4817" s="115">
        <f>IFERROR(__xludf.DUMMYFUNCTION("""COMPUTED_VALUE"""),320845.0)</f>
        <v>320845</v>
      </c>
    </row>
    <row r="4818">
      <c r="A4818" s="115" t="str">
        <f>IFERROR(__xludf.DUMMYFUNCTION("""COMPUTED_VALUE"""),"SOUTH")</f>
        <v>SOUTH</v>
      </c>
      <c r="B4818" s="115" t="str">
        <f>IFERROR(__xludf.DUMMYFUNCTION("""COMPUTED_VALUE"""),"Martin A")</f>
        <v>Martin A</v>
      </c>
      <c r="C4818" s="115" t="str">
        <f>IFERROR(__xludf.DUMMYFUNCTION("""COMPUTED_VALUE"""),"MYNTRA")</f>
        <v>MYNTRA</v>
      </c>
      <c r="D4818" s="115">
        <f>IFERROR(__xludf.DUMMYFUNCTION("""COMPUTED_VALUE"""),26470.0)</f>
        <v>26470</v>
      </c>
      <c r="E4818" s="115">
        <f>IFERROR(__xludf.DUMMYFUNCTION("""COMPUTED_VALUE"""),7934.0)</f>
        <v>7934</v>
      </c>
      <c r="F4818" s="115">
        <f>IFERROR(__xludf.DUMMYFUNCTION("""COMPUTED_VALUE"""),21410.0)</f>
        <v>21410</v>
      </c>
      <c r="G4818" s="115">
        <f>IFERROR(__xludf.DUMMYFUNCTION("""COMPUTED_VALUE"""),4856.0)</f>
        <v>4856</v>
      </c>
      <c r="H4818" s="116">
        <f>IFERROR(__xludf.DUMMYFUNCTION("""COMPUTED_VALUE"""),45909.0)</f>
        <v>45909</v>
      </c>
      <c r="I4818" s="115" t="str">
        <f>IFERROR(__xludf.DUMMYFUNCTION("""COMPUTED_VALUE"""),"19")</f>
        <v>19</v>
      </c>
      <c r="J4818" s="115" t="str">
        <f>IFERROR(__xludf.DUMMYFUNCTION("""COMPUTED_VALUE"""),"Martin A2025-09-0919")</f>
        <v>Martin A2025-09-0919</v>
      </c>
      <c r="K4818" s="115">
        <f>IFERROR(__xludf.DUMMYFUNCTION("""COMPUTED_VALUE"""),34404.0)</f>
        <v>34404</v>
      </c>
    </row>
    <row r="4819">
      <c r="A4819" s="115" t="str">
        <f>IFERROR(__xludf.DUMMYFUNCTION("""COMPUTED_VALUE"""),"SOUTH")</f>
        <v>SOUTH</v>
      </c>
      <c r="B4819" s="115" t="str">
        <f>IFERROR(__xludf.DUMMYFUNCTION("""COMPUTED_VALUE"""),"Premkumar M")</f>
        <v>Premkumar M</v>
      </c>
      <c r="C4819" s="115" t="str">
        <f>IFERROR(__xludf.DUMMYFUNCTION("""COMPUTED_VALUE"""),"EXTERNAL")</f>
        <v>EXTERNAL</v>
      </c>
      <c r="D4819" s="115">
        <f>IFERROR(__xludf.DUMMYFUNCTION("""COMPUTED_VALUE"""),28506.0)</f>
        <v>28506</v>
      </c>
      <c r="E4819" s="115">
        <f>IFERROR(__xludf.DUMMYFUNCTION("""COMPUTED_VALUE"""),2562.0)</f>
        <v>2562</v>
      </c>
      <c r="F4819" s="115">
        <f>IFERROR(__xludf.DUMMYFUNCTION("""COMPUTED_VALUE"""),13226.0)</f>
        <v>13226</v>
      </c>
      <c r="G4819" s="115">
        <f>IFERROR(__xludf.DUMMYFUNCTION("""COMPUTED_VALUE"""),707.0)</f>
        <v>707</v>
      </c>
      <c r="H4819" s="116">
        <f>IFERROR(__xludf.DUMMYFUNCTION("""COMPUTED_VALUE"""),45909.0)</f>
        <v>45909</v>
      </c>
      <c r="I4819" s="115" t="str">
        <f>IFERROR(__xludf.DUMMYFUNCTION("""COMPUTED_VALUE"""),"19")</f>
        <v>19</v>
      </c>
      <c r="J4819" s="115" t="str">
        <f>IFERROR(__xludf.DUMMYFUNCTION("""COMPUTED_VALUE"""),"Premkumar M2025-09-0919")</f>
        <v>Premkumar M2025-09-0919</v>
      </c>
      <c r="K4819" s="115">
        <f>IFERROR(__xludf.DUMMYFUNCTION("""COMPUTED_VALUE"""),31068.0)</f>
        <v>31068</v>
      </c>
    </row>
    <row r="4820">
      <c r="A4820" s="115" t="str">
        <f>IFERROR(__xludf.DUMMYFUNCTION("""COMPUTED_VALUE"""),"SOUTH")</f>
        <v>SOUTH</v>
      </c>
      <c r="B4820" s="115" t="str">
        <f>IFERROR(__xludf.DUMMYFUNCTION("""COMPUTED_VALUE"""),"Premkumar M")</f>
        <v>Premkumar M</v>
      </c>
      <c r="C4820" s="115" t="str">
        <f>IFERROR(__xludf.DUMMYFUNCTION("""COMPUTED_VALUE"""),"FLIPKART")</f>
        <v>FLIPKART</v>
      </c>
      <c r="D4820" s="115">
        <f>IFERROR(__xludf.DUMMYFUNCTION("""COMPUTED_VALUE"""),270449.0)</f>
        <v>270449</v>
      </c>
      <c r="E4820" s="115">
        <f>IFERROR(__xludf.DUMMYFUNCTION("""COMPUTED_VALUE"""),21703.0)</f>
        <v>21703</v>
      </c>
      <c r="F4820" s="115">
        <f>IFERROR(__xludf.DUMMYFUNCTION("""COMPUTED_VALUE"""),193167.0)</f>
        <v>193167</v>
      </c>
      <c r="G4820" s="115">
        <f>IFERROR(__xludf.DUMMYFUNCTION("""COMPUTED_VALUE"""),8684.0)</f>
        <v>8684</v>
      </c>
      <c r="H4820" s="116">
        <f>IFERROR(__xludf.DUMMYFUNCTION("""COMPUTED_VALUE"""),45909.0)</f>
        <v>45909</v>
      </c>
      <c r="I4820" s="115" t="str">
        <f>IFERROR(__xludf.DUMMYFUNCTION("""COMPUTED_VALUE"""),"19")</f>
        <v>19</v>
      </c>
      <c r="J4820" s="115" t="str">
        <f>IFERROR(__xludf.DUMMYFUNCTION("""COMPUTED_VALUE"""),"Premkumar M2025-09-0919")</f>
        <v>Premkumar M2025-09-0919</v>
      </c>
      <c r="K4820" s="115">
        <f>IFERROR(__xludf.DUMMYFUNCTION("""COMPUTED_VALUE"""),292152.0)</f>
        <v>292152</v>
      </c>
    </row>
    <row r="4821">
      <c r="A4821" s="115" t="str">
        <f>IFERROR(__xludf.DUMMYFUNCTION("""COMPUTED_VALUE"""),"SOUTH")</f>
        <v>SOUTH</v>
      </c>
      <c r="B4821" s="115" t="str">
        <f>IFERROR(__xludf.DUMMYFUNCTION("""COMPUTED_VALUE"""),"Premkumar M")</f>
        <v>Premkumar M</v>
      </c>
      <c r="C4821" s="115" t="str">
        <f>IFERROR(__xludf.DUMMYFUNCTION("""COMPUTED_VALUE"""),"MYNTRA")</f>
        <v>MYNTRA</v>
      </c>
      <c r="D4821" s="115">
        <f>IFERROR(__xludf.DUMMYFUNCTION("""COMPUTED_VALUE"""),14858.0)</f>
        <v>14858</v>
      </c>
      <c r="E4821" s="115">
        <f>IFERROR(__xludf.DUMMYFUNCTION("""COMPUTED_VALUE"""),3500.0)</f>
        <v>3500</v>
      </c>
      <c r="F4821" s="115">
        <f>IFERROR(__xludf.DUMMYFUNCTION("""COMPUTED_VALUE"""),11855.0)</f>
        <v>11855</v>
      </c>
      <c r="G4821" s="115">
        <f>IFERROR(__xludf.DUMMYFUNCTION("""COMPUTED_VALUE"""),1466.0)</f>
        <v>1466</v>
      </c>
      <c r="H4821" s="116">
        <f>IFERROR(__xludf.DUMMYFUNCTION("""COMPUTED_VALUE"""),45909.0)</f>
        <v>45909</v>
      </c>
      <c r="I4821" s="115" t="str">
        <f>IFERROR(__xludf.DUMMYFUNCTION("""COMPUTED_VALUE"""),"19")</f>
        <v>19</v>
      </c>
      <c r="J4821" s="115" t="str">
        <f>IFERROR(__xludf.DUMMYFUNCTION("""COMPUTED_VALUE"""),"Premkumar M2025-09-0919")</f>
        <v>Premkumar M2025-09-0919</v>
      </c>
      <c r="K4821" s="115">
        <f>IFERROR(__xludf.DUMMYFUNCTION("""COMPUTED_VALUE"""),18358.0)</f>
        <v>18358</v>
      </c>
    </row>
    <row r="4822">
      <c r="A4822" s="115" t="str">
        <f>IFERROR(__xludf.DUMMYFUNCTION("""COMPUTED_VALUE"""),"SOUTH")</f>
        <v>SOUTH</v>
      </c>
      <c r="B4822" s="115" t="str">
        <f>IFERROR(__xludf.DUMMYFUNCTION("""COMPUTED_VALUE"""),"Vineeth V")</f>
        <v>Vineeth V</v>
      </c>
      <c r="C4822" s="115" t="str">
        <f>IFERROR(__xludf.DUMMYFUNCTION("""COMPUTED_VALUE"""),"EXTERNAL")</f>
        <v>EXTERNAL</v>
      </c>
      <c r="D4822" s="115">
        <f>IFERROR(__xludf.DUMMYFUNCTION("""COMPUTED_VALUE"""),22532.0)</f>
        <v>22532</v>
      </c>
      <c r="E4822" s="115">
        <f>IFERROR(__xludf.DUMMYFUNCTION("""COMPUTED_VALUE"""),817.0)</f>
        <v>817</v>
      </c>
      <c r="F4822" s="115">
        <f>IFERROR(__xludf.DUMMYFUNCTION("""COMPUTED_VALUE"""),11454.0)</f>
        <v>11454</v>
      </c>
      <c r="G4822" s="115">
        <f>IFERROR(__xludf.DUMMYFUNCTION("""COMPUTED_VALUE"""),333.0)</f>
        <v>333</v>
      </c>
      <c r="H4822" s="116">
        <f>IFERROR(__xludf.DUMMYFUNCTION("""COMPUTED_VALUE"""),45909.0)</f>
        <v>45909</v>
      </c>
      <c r="I4822" s="115" t="str">
        <f>IFERROR(__xludf.DUMMYFUNCTION("""COMPUTED_VALUE"""),"19")</f>
        <v>19</v>
      </c>
      <c r="J4822" s="115" t="str">
        <f>IFERROR(__xludf.DUMMYFUNCTION("""COMPUTED_VALUE"""),"Vineeth V2025-09-0919")</f>
        <v>Vineeth V2025-09-0919</v>
      </c>
      <c r="K4822" s="115">
        <f>IFERROR(__xludf.DUMMYFUNCTION("""COMPUTED_VALUE"""),23349.0)</f>
        <v>23349</v>
      </c>
    </row>
    <row r="4823">
      <c r="A4823" s="115" t="str">
        <f>IFERROR(__xludf.DUMMYFUNCTION("""COMPUTED_VALUE"""),"SOUTH")</f>
        <v>SOUTH</v>
      </c>
      <c r="B4823" s="115" t="str">
        <f>IFERROR(__xludf.DUMMYFUNCTION("""COMPUTED_VALUE"""),"Vineeth V")</f>
        <v>Vineeth V</v>
      </c>
      <c r="C4823" s="115" t="str">
        <f>IFERROR(__xludf.DUMMYFUNCTION("""COMPUTED_VALUE"""),"FLIPKART")</f>
        <v>FLIPKART</v>
      </c>
      <c r="D4823" s="115">
        <f>IFERROR(__xludf.DUMMYFUNCTION("""COMPUTED_VALUE"""),228991.0)</f>
        <v>228991</v>
      </c>
      <c r="E4823" s="115">
        <f>IFERROR(__xludf.DUMMYFUNCTION("""COMPUTED_VALUE"""),18895.0)</f>
        <v>18895</v>
      </c>
      <c r="F4823" s="115">
        <f>IFERROR(__xludf.DUMMYFUNCTION("""COMPUTED_VALUE"""),180165.0)</f>
        <v>180165</v>
      </c>
      <c r="G4823" s="115">
        <f>IFERROR(__xludf.DUMMYFUNCTION("""COMPUTED_VALUE"""),8742.0)</f>
        <v>8742</v>
      </c>
      <c r="H4823" s="116">
        <f>IFERROR(__xludf.DUMMYFUNCTION("""COMPUTED_VALUE"""),45909.0)</f>
        <v>45909</v>
      </c>
      <c r="I4823" s="115" t="str">
        <f>IFERROR(__xludf.DUMMYFUNCTION("""COMPUTED_VALUE"""),"19")</f>
        <v>19</v>
      </c>
      <c r="J4823" s="115" t="str">
        <f>IFERROR(__xludf.DUMMYFUNCTION("""COMPUTED_VALUE"""),"Vineeth V2025-09-0919")</f>
        <v>Vineeth V2025-09-0919</v>
      </c>
      <c r="K4823" s="115">
        <f>IFERROR(__xludf.DUMMYFUNCTION("""COMPUTED_VALUE"""),247886.0)</f>
        <v>247886</v>
      </c>
    </row>
    <row r="4824">
      <c r="A4824" s="115" t="str">
        <f>IFERROR(__xludf.DUMMYFUNCTION("""COMPUTED_VALUE"""),"SOUTH")</f>
        <v>SOUTH</v>
      </c>
      <c r="B4824" s="115" t="str">
        <f>IFERROR(__xludf.DUMMYFUNCTION("""COMPUTED_VALUE"""),"Vineeth V")</f>
        <v>Vineeth V</v>
      </c>
      <c r="C4824" s="115" t="str">
        <f>IFERROR(__xludf.DUMMYFUNCTION("""COMPUTED_VALUE"""),"MYNTRA")</f>
        <v>MYNTRA</v>
      </c>
      <c r="D4824" s="115">
        <f>IFERROR(__xludf.DUMMYFUNCTION("""COMPUTED_VALUE"""),18644.0)</f>
        <v>18644</v>
      </c>
      <c r="E4824" s="115">
        <f>IFERROR(__xludf.DUMMYFUNCTION("""COMPUTED_VALUE"""),4801.0)</f>
        <v>4801</v>
      </c>
      <c r="F4824" s="115">
        <f>IFERROR(__xludf.DUMMYFUNCTION("""COMPUTED_VALUE"""),15415.0)</f>
        <v>15415</v>
      </c>
      <c r="G4824" s="115">
        <f>IFERROR(__xludf.DUMMYFUNCTION("""COMPUTED_VALUE"""),2241.0)</f>
        <v>2241</v>
      </c>
      <c r="H4824" s="116">
        <f>IFERROR(__xludf.DUMMYFUNCTION("""COMPUTED_VALUE"""),45909.0)</f>
        <v>45909</v>
      </c>
      <c r="I4824" s="115" t="str">
        <f>IFERROR(__xludf.DUMMYFUNCTION("""COMPUTED_VALUE"""),"19")</f>
        <v>19</v>
      </c>
      <c r="J4824" s="115" t="str">
        <f>IFERROR(__xludf.DUMMYFUNCTION("""COMPUTED_VALUE"""),"Vineeth V2025-09-0919")</f>
        <v>Vineeth V2025-09-0919</v>
      </c>
      <c r="K4824" s="115">
        <f>IFERROR(__xludf.DUMMYFUNCTION("""COMPUTED_VALUE"""),23445.0)</f>
        <v>23445</v>
      </c>
    </row>
    <row r="4825">
      <c r="A4825" s="115" t="str">
        <f>IFERROR(__xludf.DUMMYFUNCTION("""COMPUTED_VALUE"""),"WEST")</f>
        <v>WEST</v>
      </c>
      <c r="B4825" s="115" t="str">
        <f>IFERROR(__xludf.DUMMYFUNCTION("""COMPUTED_VALUE"""),"Ashish Jakar")</f>
        <v>Ashish Jakar</v>
      </c>
      <c r="C4825" s="115" t="str">
        <f>IFERROR(__xludf.DUMMYFUNCTION("""COMPUTED_VALUE"""),"EXTERNAL")</f>
        <v>EXTERNAL</v>
      </c>
      <c r="D4825" s="115">
        <f>IFERROR(__xludf.DUMMYFUNCTION("""COMPUTED_VALUE"""),56299.0)</f>
        <v>56299</v>
      </c>
      <c r="E4825" s="115">
        <f>IFERROR(__xludf.DUMMYFUNCTION("""COMPUTED_VALUE"""),8572.0)</f>
        <v>8572</v>
      </c>
      <c r="F4825" s="115">
        <f>IFERROR(__xludf.DUMMYFUNCTION("""COMPUTED_VALUE"""),22161.0)</f>
        <v>22161</v>
      </c>
      <c r="G4825" s="115">
        <f>IFERROR(__xludf.DUMMYFUNCTION("""COMPUTED_VALUE"""),3199.0)</f>
        <v>3199</v>
      </c>
      <c r="H4825" s="116">
        <f>IFERROR(__xludf.DUMMYFUNCTION("""COMPUTED_VALUE"""),45909.0)</f>
        <v>45909</v>
      </c>
      <c r="I4825" s="115" t="str">
        <f>IFERROR(__xludf.DUMMYFUNCTION("""COMPUTED_VALUE"""),"19")</f>
        <v>19</v>
      </c>
      <c r="J4825" s="115" t="str">
        <f>IFERROR(__xludf.DUMMYFUNCTION("""COMPUTED_VALUE"""),"Ashish Jakar2025-09-0919")</f>
        <v>Ashish Jakar2025-09-0919</v>
      </c>
      <c r="K4825" s="115">
        <f>IFERROR(__xludf.DUMMYFUNCTION("""COMPUTED_VALUE"""),64871.0)</f>
        <v>64871</v>
      </c>
    </row>
    <row r="4826">
      <c r="A4826" s="115" t="str">
        <f>IFERROR(__xludf.DUMMYFUNCTION("""COMPUTED_VALUE"""),"WEST")</f>
        <v>WEST</v>
      </c>
      <c r="B4826" s="115" t="str">
        <f>IFERROR(__xludf.DUMMYFUNCTION("""COMPUTED_VALUE"""),"Ashish Jakar")</f>
        <v>Ashish Jakar</v>
      </c>
      <c r="C4826" s="115" t="str">
        <f>IFERROR(__xludf.DUMMYFUNCTION("""COMPUTED_VALUE"""),"FLIPKART")</f>
        <v>FLIPKART</v>
      </c>
      <c r="D4826" s="115">
        <f>IFERROR(__xludf.DUMMYFUNCTION("""COMPUTED_VALUE"""),364601.0)</f>
        <v>364601</v>
      </c>
      <c r="E4826" s="115">
        <f>IFERROR(__xludf.DUMMYFUNCTION("""COMPUTED_VALUE"""),36608.0)</f>
        <v>36608</v>
      </c>
      <c r="F4826" s="115">
        <f>IFERROR(__xludf.DUMMYFUNCTION("""COMPUTED_VALUE"""),248289.0)</f>
        <v>248289</v>
      </c>
      <c r="G4826" s="115">
        <f>IFERROR(__xludf.DUMMYFUNCTION("""COMPUTED_VALUE"""),20366.0)</f>
        <v>20366</v>
      </c>
      <c r="H4826" s="116">
        <f>IFERROR(__xludf.DUMMYFUNCTION("""COMPUTED_VALUE"""),45909.0)</f>
        <v>45909</v>
      </c>
      <c r="I4826" s="115" t="str">
        <f>IFERROR(__xludf.DUMMYFUNCTION("""COMPUTED_VALUE"""),"19")</f>
        <v>19</v>
      </c>
      <c r="J4826" s="115" t="str">
        <f>IFERROR(__xludf.DUMMYFUNCTION("""COMPUTED_VALUE"""),"Ashish Jakar2025-09-0919")</f>
        <v>Ashish Jakar2025-09-0919</v>
      </c>
      <c r="K4826" s="115">
        <f>IFERROR(__xludf.DUMMYFUNCTION("""COMPUTED_VALUE"""),401209.0)</f>
        <v>401209</v>
      </c>
    </row>
    <row r="4827">
      <c r="A4827" s="115" t="str">
        <f>IFERROR(__xludf.DUMMYFUNCTION("""COMPUTED_VALUE"""),"WEST")</f>
        <v>WEST</v>
      </c>
      <c r="B4827" s="115" t="str">
        <f>IFERROR(__xludf.DUMMYFUNCTION("""COMPUTED_VALUE"""),"Ashish Jakar")</f>
        <v>Ashish Jakar</v>
      </c>
      <c r="C4827" s="115" t="str">
        <f>IFERROR(__xludf.DUMMYFUNCTION("""COMPUTED_VALUE"""),"MYNTRA")</f>
        <v>MYNTRA</v>
      </c>
      <c r="D4827" s="115">
        <f>IFERROR(__xludf.DUMMYFUNCTION("""COMPUTED_VALUE"""),42226.0)</f>
        <v>42226</v>
      </c>
      <c r="E4827" s="115">
        <f>IFERROR(__xludf.DUMMYFUNCTION("""COMPUTED_VALUE"""),12474.0)</f>
        <v>12474</v>
      </c>
      <c r="F4827" s="115">
        <f>IFERROR(__xludf.DUMMYFUNCTION("""COMPUTED_VALUE"""),33037.0)</f>
        <v>33037</v>
      </c>
      <c r="G4827" s="115">
        <f>IFERROR(__xludf.DUMMYFUNCTION("""COMPUTED_VALUE"""),7367.0)</f>
        <v>7367</v>
      </c>
      <c r="H4827" s="116">
        <f>IFERROR(__xludf.DUMMYFUNCTION("""COMPUTED_VALUE"""),45909.0)</f>
        <v>45909</v>
      </c>
      <c r="I4827" s="115" t="str">
        <f>IFERROR(__xludf.DUMMYFUNCTION("""COMPUTED_VALUE"""),"19")</f>
        <v>19</v>
      </c>
      <c r="J4827" s="115" t="str">
        <f>IFERROR(__xludf.DUMMYFUNCTION("""COMPUTED_VALUE"""),"Ashish Jakar2025-09-0919")</f>
        <v>Ashish Jakar2025-09-0919</v>
      </c>
      <c r="K4827" s="115">
        <f>IFERROR(__xludf.DUMMYFUNCTION("""COMPUTED_VALUE"""),54700.0)</f>
        <v>54700</v>
      </c>
    </row>
    <row r="4828">
      <c r="A4828" s="115" t="str">
        <f>IFERROR(__xludf.DUMMYFUNCTION("""COMPUTED_VALUE"""),"WEST")</f>
        <v>WEST</v>
      </c>
      <c r="B4828" s="115" t="str">
        <f>IFERROR(__xludf.DUMMYFUNCTION("""COMPUTED_VALUE"""),"Ashvani Bhatt")</f>
        <v>Ashvani Bhatt</v>
      </c>
      <c r="C4828" s="115" t="str">
        <f>IFERROR(__xludf.DUMMYFUNCTION("""COMPUTED_VALUE"""),"EXTERNAL")</f>
        <v>EXTERNAL</v>
      </c>
      <c r="D4828" s="115">
        <f>IFERROR(__xludf.DUMMYFUNCTION("""COMPUTED_VALUE"""),42290.0)</f>
        <v>42290</v>
      </c>
      <c r="E4828" s="115">
        <f>IFERROR(__xludf.DUMMYFUNCTION("""COMPUTED_VALUE"""),4400.0)</f>
        <v>4400</v>
      </c>
      <c r="F4828" s="115">
        <f>IFERROR(__xludf.DUMMYFUNCTION("""COMPUTED_VALUE"""),17899.0)</f>
        <v>17899</v>
      </c>
      <c r="G4828" s="115">
        <f>IFERROR(__xludf.DUMMYFUNCTION("""COMPUTED_VALUE"""),1396.0)</f>
        <v>1396</v>
      </c>
      <c r="H4828" s="116">
        <f>IFERROR(__xludf.DUMMYFUNCTION("""COMPUTED_VALUE"""),45909.0)</f>
        <v>45909</v>
      </c>
      <c r="I4828" s="115" t="str">
        <f>IFERROR(__xludf.DUMMYFUNCTION("""COMPUTED_VALUE"""),"19")</f>
        <v>19</v>
      </c>
      <c r="J4828" s="115" t="str">
        <f>IFERROR(__xludf.DUMMYFUNCTION("""COMPUTED_VALUE"""),"Ashvani Bhatt2025-09-0919")</f>
        <v>Ashvani Bhatt2025-09-0919</v>
      </c>
      <c r="K4828" s="115">
        <f>IFERROR(__xludf.DUMMYFUNCTION("""COMPUTED_VALUE"""),46690.0)</f>
        <v>46690</v>
      </c>
    </row>
    <row r="4829">
      <c r="A4829" s="115" t="str">
        <f>IFERROR(__xludf.DUMMYFUNCTION("""COMPUTED_VALUE"""),"WEST")</f>
        <v>WEST</v>
      </c>
      <c r="B4829" s="115" t="str">
        <f>IFERROR(__xludf.DUMMYFUNCTION("""COMPUTED_VALUE"""),"Ashvani Bhatt")</f>
        <v>Ashvani Bhatt</v>
      </c>
      <c r="C4829" s="115" t="str">
        <f>IFERROR(__xludf.DUMMYFUNCTION("""COMPUTED_VALUE"""),"FLIPKART")</f>
        <v>FLIPKART</v>
      </c>
      <c r="D4829" s="115">
        <f>IFERROR(__xludf.DUMMYFUNCTION("""COMPUTED_VALUE"""),285112.0)</f>
        <v>285112</v>
      </c>
      <c r="E4829" s="115">
        <f>IFERROR(__xludf.DUMMYFUNCTION("""COMPUTED_VALUE"""),31024.0)</f>
        <v>31024</v>
      </c>
      <c r="F4829" s="115">
        <f>IFERROR(__xludf.DUMMYFUNCTION("""COMPUTED_VALUE"""),207217.0)</f>
        <v>207217</v>
      </c>
      <c r="G4829" s="115">
        <f>IFERROR(__xludf.DUMMYFUNCTION("""COMPUTED_VALUE"""),17888.0)</f>
        <v>17888</v>
      </c>
      <c r="H4829" s="116">
        <f>IFERROR(__xludf.DUMMYFUNCTION("""COMPUTED_VALUE"""),45909.0)</f>
        <v>45909</v>
      </c>
      <c r="I4829" s="115" t="str">
        <f>IFERROR(__xludf.DUMMYFUNCTION("""COMPUTED_VALUE"""),"19")</f>
        <v>19</v>
      </c>
      <c r="J4829" s="115" t="str">
        <f>IFERROR(__xludf.DUMMYFUNCTION("""COMPUTED_VALUE"""),"Ashvani Bhatt2025-09-0919")</f>
        <v>Ashvani Bhatt2025-09-0919</v>
      </c>
      <c r="K4829" s="115">
        <f>IFERROR(__xludf.DUMMYFUNCTION("""COMPUTED_VALUE"""),316136.0)</f>
        <v>316136</v>
      </c>
    </row>
    <row r="4830">
      <c r="A4830" s="115" t="str">
        <f>IFERROR(__xludf.DUMMYFUNCTION("""COMPUTED_VALUE"""),"WEST")</f>
        <v>WEST</v>
      </c>
      <c r="B4830" s="115" t="str">
        <f>IFERROR(__xludf.DUMMYFUNCTION("""COMPUTED_VALUE"""),"Ashvani Bhatt")</f>
        <v>Ashvani Bhatt</v>
      </c>
      <c r="C4830" s="115" t="str">
        <f>IFERROR(__xludf.DUMMYFUNCTION("""COMPUTED_VALUE"""),"MYNTRA")</f>
        <v>MYNTRA</v>
      </c>
      <c r="D4830" s="115">
        <f>IFERROR(__xludf.DUMMYFUNCTION("""COMPUTED_VALUE"""),38348.0)</f>
        <v>38348</v>
      </c>
      <c r="E4830" s="115">
        <f>IFERROR(__xludf.DUMMYFUNCTION("""COMPUTED_VALUE"""),9798.0)</f>
        <v>9798</v>
      </c>
      <c r="F4830" s="115">
        <f>IFERROR(__xludf.DUMMYFUNCTION("""COMPUTED_VALUE"""),31870.0)</f>
        <v>31870</v>
      </c>
      <c r="G4830" s="115">
        <f>IFERROR(__xludf.DUMMYFUNCTION("""COMPUTED_VALUE"""),6313.0)</f>
        <v>6313</v>
      </c>
      <c r="H4830" s="116">
        <f>IFERROR(__xludf.DUMMYFUNCTION("""COMPUTED_VALUE"""),45909.0)</f>
        <v>45909</v>
      </c>
      <c r="I4830" s="115" t="str">
        <f>IFERROR(__xludf.DUMMYFUNCTION("""COMPUTED_VALUE"""),"19")</f>
        <v>19</v>
      </c>
      <c r="J4830" s="115" t="str">
        <f>IFERROR(__xludf.DUMMYFUNCTION("""COMPUTED_VALUE"""),"Ashvani Bhatt2025-09-0919")</f>
        <v>Ashvani Bhatt2025-09-0919</v>
      </c>
      <c r="K4830" s="115">
        <f>IFERROR(__xludf.DUMMYFUNCTION("""COMPUTED_VALUE"""),48146.0)</f>
        <v>48146</v>
      </c>
    </row>
    <row r="4831">
      <c r="A4831" s="115"/>
      <c r="B4831" s="115"/>
      <c r="C4831" s="115" t="str">
        <f>IFERROR(__xludf.DUMMYFUNCTION("""COMPUTED_VALUE"""),"EXTERNAL")</f>
        <v>EXTERNAL</v>
      </c>
      <c r="D4831" s="115">
        <f>IFERROR(__xludf.DUMMYFUNCTION("""COMPUTED_VALUE"""),577.0)</f>
        <v>577</v>
      </c>
      <c r="E4831" s="115">
        <f>IFERROR(__xludf.DUMMYFUNCTION("""COMPUTED_VALUE"""),86.0)</f>
        <v>86</v>
      </c>
      <c r="F4831" s="115">
        <f>IFERROR(__xludf.DUMMYFUNCTION("""COMPUTED_VALUE"""),246.0)</f>
        <v>246</v>
      </c>
      <c r="G4831" s="115">
        <f>IFERROR(__xludf.DUMMYFUNCTION("""COMPUTED_VALUE"""),42.0)</f>
        <v>42</v>
      </c>
      <c r="H4831" s="116">
        <f>IFERROR(__xludf.DUMMYFUNCTION("""COMPUTED_VALUE"""),45909.0)</f>
        <v>45909</v>
      </c>
      <c r="I4831" s="115" t="str">
        <f>IFERROR(__xludf.DUMMYFUNCTION("""COMPUTED_VALUE"""),"19")</f>
        <v>19</v>
      </c>
      <c r="J4831" s="115" t="str">
        <f>IFERROR(__xludf.DUMMYFUNCTION("""COMPUTED_VALUE"""),"2025-09-0919")</f>
        <v>2025-09-0919</v>
      </c>
      <c r="K4831" s="115">
        <f>IFERROR(__xludf.DUMMYFUNCTION("""COMPUTED_VALUE"""),663.0)</f>
        <v>663</v>
      </c>
    </row>
    <row r="4832">
      <c r="A4832" s="115"/>
      <c r="B4832" s="115"/>
      <c r="C4832" s="115" t="str">
        <f>IFERROR(__xludf.DUMMYFUNCTION("""COMPUTED_VALUE"""),"FLIPKART")</f>
        <v>FLIPKART</v>
      </c>
      <c r="D4832" s="115">
        <f>IFERROR(__xludf.DUMMYFUNCTION("""COMPUTED_VALUE"""),6124.0)</f>
        <v>6124</v>
      </c>
      <c r="E4832" s="115">
        <f>IFERROR(__xludf.DUMMYFUNCTION("""COMPUTED_VALUE"""),532.0)</f>
        <v>532</v>
      </c>
      <c r="F4832" s="115">
        <f>IFERROR(__xludf.DUMMYFUNCTION("""COMPUTED_VALUE"""),3916.0)</f>
        <v>3916</v>
      </c>
      <c r="G4832" s="115">
        <f>IFERROR(__xludf.DUMMYFUNCTION("""COMPUTED_VALUE"""),313.0)</f>
        <v>313</v>
      </c>
      <c r="H4832" s="116">
        <f>IFERROR(__xludf.DUMMYFUNCTION("""COMPUTED_VALUE"""),45909.0)</f>
        <v>45909</v>
      </c>
      <c r="I4832" s="115" t="str">
        <f>IFERROR(__xludf.DUMMYFUNCTION("""COMPUTED_VALUE"""),"19")</f>
        <v>19</v>
      </c>
      <c r="J4832" s="115" t="str">
        <f>IFERROR(__xludf.DUMMYFUNCTION("""COMPUTED_VALUE"""),"2025-09-0919")</f>
        <v>2025-09-0919</v>
      </c>
      <c r="K4832" s="115">
        <f>IFERROR(__xludf.DUMMYFUNCTION("""COMPUTED_VALUE"""),6656.0)</f>
        <v>6656</v>
      </c>
    </row>
    <row r="4833">
      <c r="A4833" s="115"/>
      <c r="B4833" s="115"/>
      <c r="C4833" s="115" t="str">
        <f>IFERROR(__xludf.DUMMYFUNCTION("""COMPUTED_VALUE"""),"MYNTRA")</f>
        <v>MYNTRA</v>
      </c>
      <c r="D4833" s="115">
        <f>IFERROR(__xludf.DUMMYFUNCTION("""COMPUTED_VALUE"""),689.0)</f>
        <v>689</v>
      </c>
      <c r="E4833" s="115">
        <f>IFERROR(__xludf.DUMMYFUNCTION("""COMPUTED_VALUE"""),165.0)</f>
        <v>165</v>
      </c>
      <c r="F4833" s="115">
        <f>IFERROR(__xludf.DUMMYFUNCTION("""COMPUTED_VALUE"""),541.0)</f>
        <v>541</v>
      </c>
      <c r="G4833" s="115">
        <f>IFERROR(__xludf.DUMMYFUNCTION("""COMPUTED_VALUE"""),102.0)</f>
        <v>102</v>
      </c>
      <c r="H4833" s="116">
        <f>IFERROR(__xludf.DUMMYFUNCTION("""COMPUTED_VALUE"""),45909.0)</f>
        <v>45909</v>
      </c>
      <c r="I4833" s="115" t="str">
        <f>IFERROR(__xludf.DUMMYFUNCTION("""COMPUTED_VALUE"""),"19")</f>
        <v>19</v>
      </c>
      <c r="J4833" s="115" t="str">
        <f>IFERROR(__xludf.DUMMYFUNCTION("""COMPUTED_VALUE"""),"2025-09-0919")</f>
        <v>2025-09-0919</v>
      </c>
      <c r="K4833" s="115">
        <f>IFERROR(__xludf.DUMMYFUNCTION("""COMPUTED_VALUE"""),854.0)</f>
        <v>854</v>
      </c>
    </row>
    <row r="4834">
      <c r="A4834" s="115" t="str">
        <f>IFERROR(__xludf.DUMMYFUNCTION("""COMPUTED_VALUE"""),"EAST")</f>
        <v>EAST</v>
      </c>
      <c r="B4834" s="115" t="str">
        <f>IFERROR(__xludf.DUMMYFUNCTION("""COMPUTED_VALUE"""),"Ashish Ranjan")</f>
        <v>Ashish Ranjan</v>
      </c>
      <c r="C4834" s="115" t="str">
        <f>IFERROR(__xludf.DUMMYFUNCTION("""COMPUTED_VALUE"""),"EXTERNAL")</f>
        <v>EXTERNAL</v>
      </c>
      <c r="D4834" s="115">
        <f>IFERROR(__xludf.DUMMYFUNCTION("""COMPUTED_VALUE"""),42528.0)</f>
        <v>42528</v>
      </c>
      <c r="E4834" s="115">
        <f>IFERROR(__xludf.DUMMYFUNCTION("""COMPUTED_VALUE"""),4185.0)</f>
        <v>4185</v>
      </c>
      <c r="F4834" s="115">
        <f>IFERROR(__xludf.DUMMYFUNCTION("""COMPUTED_VALUE"""),22887.0)</f>
        <v>22887</v>
      </c>
      <c r="G4834" s="115">
        <f>IFERROR(__xludf.DUMMYFUNCTION("""COMPUTED_VALUE"""),2094.0)</f>
        <v>2094</v>
      </c>
      <c r="H4834" s="116">
        <f>IFERROR(__xludf.DUMMYFUNCTION("""COMPUTED_VALUE"""),45909.0)</f>
        <v>45909</v>
      </c>
      <c r="I4834" s="115" t="str">
        <f>IFERROR(__xludf.DUMMYFUNCTION("""COMPUTED_VALUE"""),"20")</f>
        <v>20</v>
      </c>
      <c r="J4834" s="115" t="str">
        <f>IFERROR(__xludf.DUMMYFUNCTION("""COMPUTED_VALUE"""),"Ashish Ranjan2025-09-0920")</f>
        <v>Ashish Ranjan2025-09-0920</v>
      </c>
      <c r="K4834" s="115">
        <f>IFERROR(__xludf.DUMMYFUNCTION("""COMPUTED_VALUE"""),46713.0)</f>
        <v>46713</v>
      </c>
    </row>
    <row r="4835">
      <c r="A4835" s="115" t="str">
        <f>IFERROR(__xludf.DUMMYFUNCTION("""COMPUTED_VALUE"""),"EAST")</f>
        <v>EAST</v>
      </c>
      <c r="B4835" s="115" t="str">
        <f>IFERROR(__xludf.DUMMYFUNCTION("""COMPUTED_VALUE"""),"Ashish Ranjan")</f>
        <v>Ashish Ranjan</v>
      </c>
      <c r="C4835" s="115" t="str">
        <f>IFERROR(__xludf.DUMMYFUNCTION("""COMPUTED_VALUE"""),"FLIPKART")</f>
        <v>FLIPKART</v>
      </c>
      <c r="D4835" s="115">
        <f>IFERROR(__xludf.DUMMYFUNCTION("""COMPUTED_VALUE"""),669142.0)</f>
        <v>669142</v>
      </c>
      <c r="E4835" s="115">
        <f>IFERROR(__xludf.DUMMYFUNCTION("""COMPUTED_VALUE"""),73065.0)</f>
        <v>73065</v>
      </c>
      <c r="F4835" s="115">
        <f>IFERROR(__xludf.DUMMYFUNCTION("""COMPUTED_VALUE"""),583178.0)</f>
        <v>583178</v>
      </c>
      <c r="G4835" s="115">
        <f>IFERROR(__xludf.DUMMYFUNCTION("""COMPUTED_VALUE"""),55613.0)</f>
        <v>55613</v>
      </c>
      <c r="H4835" s="116">
        <f>IFERROR(__xludf.DUMMYFUNCTION("""COMPUTED_VALUE"""),45909.0)</f>
        <v>45909</v>
      </c>
      <c r="I4835" s="115" t="str">
        <f>IFERROR(__xludf.DUMMYFUNCTION("""COMPUTED_VALUE"""),"20")</f>
        <v>20</v>
      </c>
      <c r="J4835" s="115" t="str">
        <f>IFERROR(__xludf.DUMMYFUNCTION("""COMPUTED_VALUE"""),"Ashish Ranjan2025-09-0920")</f>
        <v>Ashish Ranjan2025-09-0920</v>
      </c>
      <c r="K4835" s="115">
        <f>IFERROR(__xludf.DUMMYFUNCTION("""COMPUTED_VALUE"""),742207.0)</f>
        <v>742207</v>
      </c>
    </row>
    <row r="4836">
      <c r="A4836" s="115" t="str">
        <f>IFERROR(__xludf.DUMMYFUNCTION("""COMPUTED_VALUE"""),"EAST")</f>
        <v>EAST</v>
      </c>
      <c r="B4836" s="115" t="str">
        <f>IFERROR(__xludf.DUMMYFUNCTION("""COMPUTED_VALUE"""),"Ashish Ranjan")</f>
        <v>Ashish Ranjan</v>
      </c>
      <c r="C4836" s="115" t="str">
        <f>IFERROR(__xludf.DUMMYFUNCTION("""COMPUTED_VALUE"""),"MYNTRA")</f>
        <v>MYNTRA</v>
      </c>
      <c r="D4836" s="115">
        <f>IFERROR(__xludf.DUMMYFUNCTION("""COMPUTED_VALUE"""),78021.0)</f>
        <v>78021</v>
      </c>
      <c r="E4836" s="115">
        <f>IFERROR(__xludf.DUMMYFUNCTION("""COMPUTED_VALUE"""),16783.0)</f>
        <v>16783</v>
      </c>
      <c r="F4836" s="115">
        <f>IFERROR(__xludf.DUMMYFUNCTION("""COMPUTED_VALUE"""),68985.0)</f>
        <v>68985</v>
      </c>
      <c r="G4836" s="115">
        <f>IFERROR(__xludf.DUMMYFUNCTION("""COMPUTED_VALUE"""),12623.0)</f>
        <v>12623</v>
      </c>
      <c r="H4836" s="116">
        <f>IFERROR(__xludf.DUMMYFUNCTION("""COMPUTED_VALUE"""),45909.0)</f>
        <v>45909</v>
      </c>
      <c r="I4836" s="115" t="str">
        <f>IFERROR(__xludf.DUMMYFUNCTION("""COMPUTED_VALUE"""),"20")</f>
        <v>20</v>
      </c>
      <c r="J4836" s="115" t="str">
        <f>IFERROR(__xludf.DUMMYFUNCTION("""COMPUTED_VALUE"""),"Ashish Ranjan2025-09-0920")</f>
        <v>Ashish Ranjan2025-09-0920</v>
      </c>
      <c r="K4836" s="115">
        <f>IFERROR(__xludf.DUMMYFUNCTION("""COMPUTED_VALUE"""),94804.0)</f>
        <v>94804</v>
      </c>
    </row>
    <row r="4837">
      <c r="A4837" s="115" t="str">
        <f>IFERROR(__xludf.DUMMYFUNCTION("""COMPUTED_VALUE"""),"EAST")</f>
        <v>EAST</v>
      </c>
      <c r="B4837" s="115" t="str">
        <f>IFERROR(__xludf.DUMMYFUNCTION("""COMPUTED_VALUE"""),"Girish Chand")</f>
        <v>Girish Chand</v>
      </c>
      <c r="C4837" s="115" t="str">
        <f>IFERROR(__xludf.DUMMYFUNCTION("""COMPUTED_VALUE"""),"EXTERNAL")</f>
        <v>EXTERNAL</v>
      </c>
      <c r="D4837" s="115">
        <f>IFERROR(__xludf.DUMMYFUNCTION("""COMPUTED_VALUE"""),24560.0)</f>
        <v>24560</v>
      </c>
      <c r="E4837" s="115">
        <f>IFERROR(__xludf.DUMMYFUNCTION("""COMPUTED_VALUE"""),2621.0)</f>
        <v>2621</v>
      </c>
      <c r="F4837" s="115">
        <f>IFERROR(__xludf.DUMMYFUNCTION("""COMPUTED_VALUE"""),11052.0)</f>
        <v>11052</v>
      </c>
      <c r="G4837" s="115">
        <f>IFERROR(__xludf.DUMMYFUNCTION("""COMPUTED_VALUE"""),802.0)</f>
        <v>802</v>
      </c>
      <c r="H4837" s="116">
        <f>IFERROR(__xludf.DUMMYFUNCTION("""COMPUTED_VALUE"""),45909.0)</f>
        <v>45909</v>
      </c>
      <c r="I4837" s="115" t="str">
        <f>IFERROR(__xludf.DUMMYFUNCTION("""COMPUTED_VALUE"""),"20")</f>
        <v>20</v>
      </c>
      <c r="J4837" s="115" t="str">
        <f>IFERROR(__xludf.DUMMYFUNCTION("""COMPUTED_VALUE"""),"Girish Chand2025-09-0920")</f>
        <v>Girish Chand2025-09-0920</v>
      </c>
      <c r="K4837" s="115">
        <f>IFERROR(__xludf.DUMMYFUNCTION("""COMPUTED_VALUE"""),27181.0)</f>
        <v>27181</v>
      </c>
    </row>
    <row r="4838">
      <c r="A4838" s="115" t="str">
        <f>IFERROR(__xludf.DUMMYFUNCTION("""COMPUTED_VALUE"""),"EAST")</f>
        <v>EAST</v>
      </c>
      <c r="B4838" s="115" t="str">
        <f>IFERROR(__xludf.DUMMYFUNCTION("""COMPUTED_VALUE"""),"Girish Chand")</f>
        <v>Girish Chand</v>
      </c>
      <c r="C4838" s="115" t="str">
        <f>IFERROR(__xludf.DUMMYFUNCTION("""COMPUTED_VALUE"""),"FLIPKART")</f>
        <v>FLIPKART</v>
      </c>
      <c r="D4838" s="115">
        <f>IFERROR(__xludf.DUMMYFUNCTION("""COMPUTED_VALUE"""),397137.0)</f>
        <v>397137</v>
      </c>
      <c r="E4838" s="115">
        <f>IFERROR(__xludf.DUMMYFUNCTION("""COMPUTED_VALUE"""),40398.0)</f>
        <v>40398</v>
      </c>
      <c r="F4838" s="115">
        <f>IFERROR(__xludf.DUMMYFUNCTION("""COMPUTED_VALUE"""),294370.0)</f>
        <v>294370</v>
      </c>
      <c r="G4838" s="115">
        <f>IFERROR(__xludf.DUMMYFUNCTION("""COMPUTED_VALUE"""),27798.0)</f>
        <v>27798</v>
      </c>
      <c r="H4838" s="116">
        <f>IFERROR(__xludf.DUMMYFUNCTION("""COMPUTED_VALUE"""),45909.0)</f>
        <v>45909</v>
      </c>
      <c r="I4838" s="115" t="str">
        <f>IFERROR(__xludf.DUMMYFUNCTION("""COMPUTED_VALUE"""),"20")</f>
        <v>20</v>
      </c>
      <c r="J4838" s="115" t="str">
        <f>IFERROR(__xludf.DUMMYFUNCTION("""COMPUTED_VALUE"""),"Girish Chand2025-09-0920")</f>
        <v>Girish Chand2025-09-0920</v>
      </c>
      <c r="K4838" s="115">
        <f>IFERROR(__xludf.DUMMYFUNCTION("""COMPUTED_VALUE"""),437535.0)</f>
        <v>437535</v>
      </c>
    </row>
    <row r="4839">
      <c r="A4839" s="115" t="str">
        <f>IFERROR(__xludf.DUMMYFUNCTION("""COMPUTED_VALUE"""),"EAST")</f>
        <v>EAST</v>
      </c>
      <c r="B4839" s="115" t="str">
        <f>IFERROR(__xludf.DUMMYFUNCTION("""COMPUTED_VALUE"""),"Girish Chand")</f>
        <v>Girish Chand</v>
      </c>
      <c r="C4839" s="115" t="str">
        <f>IFERROR(__xludf.DUMMYFUNCTION("""COMPUTED_VALUE"""),"MYNTRA")</f>
        <v>MYNTRA</v>
      </c>
      <c r="D4839" s="115">
        <f>IFERROR(__xludf.DUMMYFUNCTION("""COMPUTED_VALUE"""),39961.0)</f>
        <v>39961</v>
      </c>
      <c r="E4839" s="115">
        <f>IFERROR(__xludf.DUMMYFUNCTION("""COMPUTED_VALUE"""),7714.0)</f>
        <v>7714</v>
      </c>
      <c r="F4839" s="115">
        <f>IFERROR(__xludf.DUMMYFUNCTION("""COMPUTED_VALUE"""),31682.0)</f>
        <v>31682</v>
      </c>
      <c r="G4839" s="115">
        <f>IFERROR(__xludf.DUMMYFUNCTION("""COMPUTED_VALUE"""),5546.0)</f>
        <v>5546</v>
      </c>
      <c r="H4839" s="116">
        <f>IFERROR(__xludf.DUMMYFUNCTION("""COMPUTED_VALUE"""),45909.0)</f>
        <v>45909</v>
      </c>
      <c r="I4839" s="115" t="str">
        <f>IFERROR(__xludf.DUMMYFUNCTION("""COMPUTED_VALUE"""),"20")</f>
        <v>20</v>
      </c>
      <c r="J4839" s="115" t="str">
        <f>IFERROR(__xludf.DUMMYFUNCTION("""COMPUTED_VALUE"""),"Girish Chand2025-09-0920")</f>
        <v>Girish Chand2025-09-0920</v>
      </c>
      <c r="K4839" s="115">
        <f>IFERROR(__xludf.DUMMYFUNCTION("""COMPUTED_VALUE"""),47675.0)</f>
        <v>47675</v>
      </c>
    </row>
    <row r="4840">
      <c r="A4840" s="115" t="str">
        <f>IFERROR(__xludf.DUMMYFUNCTION("""COMPUTED_VALUE"""),"EAST")</f>
        <v>EAST</v>
      </c>
      <c r="B4840" s="115" t="str">
        <f>IFERROR(__xludf.DUMMYFUNCTION("""COMPUTED_VALUE"""),"Parag Kashyap")</f>
        <v>Parag Kashyap</v>
      </c>
      <c r="C4840" s="115" t="str">
        <f>IFERROR(__xludf.DUMMYFUNCTION("""COMPUTED_VALUE"""),"EXTERNAL")</f>
        <v>EXTERNAL</v>
      </c>
      <c r="D4840" s="115">
        <f>IFERROR(__xludf.DUMMYFUNCTION("""COMPUTED_VALUE"""),18181.0)</f>
        <v>18181</v>
      </c>
      <c r="E4840" s="115">
        <f>IFERROR(__xludf.DUMMYFUNCTION("""COMPUTED_VALUE"""),1346.0)</f>
        <v>1346</v>
      </c>
      <c r="F4840" s="115">
        <f>IFERROR(__xludf.DUMMYFUNCTION("""COMPUTED_VALUE"""),8214.0)</f>
        <v>8214</v>
      </c>
      <c r="G4840" s="115">
        <f>IFERROR(__xludf.DUMMYFUNCTION("""COMPUTED_VALUE"""),470.0)</f>
        <v>470</v>
      </c>
      <c r="H4840" s="116">
        <f>IFERROR(__xludf.DUMMYFUNCTION("""COMPUTED_VALUE"""),45909.0)</f>
        <v>45909</v>
      </c>
      <c r="I4840" s="115" t="str">
        <f>IFERROR(__xludf.DUMMYFUNCTION("""COMPUTED_VALUE"""),"20")</f>
        <v>20</v>
      </c>
      <c r="J4840" s="115" t="str">
        <f>IFERROR(__xludf.DUMMYFUNCTION("""COMPUTED_VALUE"""),"Parag Kashyap2025-09-0920")</f>
        <v>Parag Kashyap2025-09-0920</v>
      </c>
      <c r="K4840" s="115">
        <f>IFERROR(__xludf.DUMMYFUNCTION("""COMPUTED_VALUE"""),19527.0)</f>
        <v>19527</v>
      </c>
    </row>
    <row r="4841">
      <c r="A4841" s="115" t="str">
        <f>IFERROR(__xludf.DUMMYFUNCTION("""COMPUTED_VALUE"""),"EAST")</f>
        <v>EAST</v>
      </c>
      <c r="B4841" s="115" t="str">
        <f>IFERROR(__xludf.DUMMYFUNCTION("""COMPUTED_VALUE"""),"Parag Kashyap")</f>
        <v>Parag Kashyap</v>
      </c>
      <c r="C4841" s="115" t="str">
        <f>IFERROR(__xludf.DUMMYFUNCTION("""COMPUTED_VALUE"""),"FLIPKART")</f>
        <v>FLIPKART</v>
      </c>
      <c r="D4841" s="115">
        <f>IFERROR(__xludf.DUMMYFUNCTION("""COMPUTED_VALUE"""),313475.0)</f>
        <v>313475</v>
      </c>
      <c r="E4841" s="115">
        <f>IFERROR(__xludf.DUMMYFUNCTION("""COMPUTED_VALUE"""),21575.0)</f>
        <v>21575</v>
      </c>
      <c r="F4841" s="115">
        <f>IFERROR(__xludf.DUMMYFUNCTION("""COMPUTED_VALUE"""),242499.0)</f>
        <v>242499</v>
      </c>
      <c r="G4841" s="115">
        <f>IFERROR(__xludf.DUMMYFUNCTION("""COMPUTED_VALUE"""),13624.0)</f>
        <v>13624</v>
      </c>
      <c r="H4841" s="116">
        <f>IFERROR(__xludf.DUMMYFUNCTION("""COMPUTED_VALUE"""),45909.0)</f>
        <v>45909</v>
      </c>
      <c r="I4841" s="115" t="str">
        <f>IFERROR(__xludf.DUMMYFUNCTION("""COMPUTED_VALUE"""),"20")</f>
        <v>20</v>
      </c>
      <c r="J4841" s="115" t="str">
        <f>IFERROR(__xludf.DUMMYFUNCTION("""COMPUTED_VALUE"""),"Parag Kashyap2025-09-0920")</f>
        <v>Parag Kashyap2025-09-0920</v>
      </c>
      <c r="K4841" s="115">
        <f>IFERROR(__xludf.DUMMYFUNCTION("""COMPUTED_VALUE"""),335050.0)</f>
        <v>335050</v>
      </c>
    </row>
    <row r="4842">
      <c r="A4842" s="115" t="str">
        <f>IFERROR(__xludf.DUMMYFUNCTION("""COMPUTED_VALUE"""),"EAST")</f>
        <v>EAST</v>
      </c>
      <c r="B4842" s="115" t="str">
        <f>IFERROR(__xludf.DUMMYFUNCTION("""COMPUTED_VALUE"""),"Parag Kashyap")</f>
        <v>Parag Kashyap</v>
      </c>
      <c r="C4842" s="115" t="str">
        <f>IFERROR(__xludf.DUMMYFUNCTION("""COMPUTED_VALUE"""),"MYNTRA")</f>
        <v>MYNTRA</v>
      </c>
      <c r="D4842" s="115">
        <f>IFERROR(__xludf.DUMMYFUNCTION("""COMPUTED_VALUE"""),40360.0)</f>
        <v>40360</v>
      </c>
      <c r="E4842" s="115">
        <f>IFERROR(__xludf.DUMMYFUNCTION("""COMPUTED_VALUE"""),6359.0)</f>
        <v>6359</v>
      </c>
      <c r="F4842" s="115">
        <f>IFERROR(__xludf.DUMMYFUNCTION("""COMPUTED_VALUE"""),32224.0)</f>
        <v>32224</v>
      </c>
      <c r="G4842" s="115">
        <f>IFERROR(__xludf.DUMMYFUNCTION("""COMPUTED_VALUE"""),4091.0)</f>
        <v>4091</v>
      </c>
      <c r="H4842" s="116">
        <f>IFERROR(__xludf.DUMMYFUNCTION("""COMPUTED_VALUE"""),45909.0)</f>
        <v>45909</v>
      </c>
      <c r="I4842" s="115" t="str">
        <f>IFERROR(__xludf.DUMMYFUNCTION("""COMPUTED_VALUE"""),"20")</f>
        <v>20</v>
      </c>
      <c r="J4842" s="115" t="str">
        <f>IFERROR(__xludf.DUMMYFUNCTION("""COMPUTED_VALUE"""),"Parag Kashyap2025-09-0920")</f>
        <v>Parag Kashyap2025-09-0920</v>
      </c>
      <c r="K4842" s="115">
        <f>IFERROR(__xludf.DUMMYFUNCTION("""COMPUTED_VALUE"""),46719.0)</f>
        <v>46719</v>
      </c>
    </row>
    <row r="4843">
      <c r="A4843" s="115" t="str">
        <f>IFERROR(__xludf.DUMMYFUNCTION("""COMPUTED_VALUE"""),"NORTH")</f>
        <v>NORTH</v>
      </c>
      <c r="B4843" s="115" t="str">
        <f>IFERROR(__xludf.DUMMYFUNCTION("""COMPUTED_VALUE"""),"Amit Kumar Pathak")</f>
        <v>Amit Kumar Pathak</v>
      </c>
      <c r="C4843" s="115" t="str">
        <f>IFERROR(__xludf.DUMMYFUNCTION("""COMPUTED_VALUE"""),"EXTERNAL")</f>
        <v>EXTERNAL</v>
      </c>
      <c r="D4843" s="115">
        <f>IFERROR(__xludf.DUMMYFUNCTION("""COMPUTED_VALUE"""),29223.0)</f>
        <v>29223</v>
      </c>
      <c r="E4843" s="115">
        <f>IFERROR(__xludf.DUMMYFUNCTION("""COMPUTED_VALUE"""),4036.0)</f>
        <v>4036</v>
      </c>
      <c r="F4843" s="115">
        <f>IFERROR(__xludf.DUMMYFUNCTION("""COMPUTED_VALUE"""),11278.0)</f>
        <v>11278</v>
      </c>
      <c r="G4843" s="115">
        <f>IFERROR(__xludf.DUMMYFUNCTION("""COMPUTED_VALUE"""),1955.0)</f>
        <v>1955</v>
      </c>
      <c r="H4843" s="116">
        <f>IFERROR(__xludf.DUMMYFUNCTION("""COMPUTED_VALUE"""),45909.0)</f>
        <v>45909</v>
      </c>
      <c r="I4843" s="115" t="str">
        <f>IFERROR(__xludf.DUMMYFUNCTION("""COMPUTED_VALUE"""),"20")</f>
        <v>20</v>
      </c>
      <c r="J4843" s="115" t="str">
        <f>IFERROR(__xludf.DUMMYFUNCTION("""COMPUTED_VALUE"""),"Amit Kumar Pathak2025-09-0920")</f>
        <v>Amit Kumar Pathak2025-09-0920</v>
      </c>
      <c r="K4843" s="115">
        <f>IFERROR(__xludf.DUMMYFUNCTION("""COMPUTED_VALUE"""),33259.0)</f>
        <v>33259</v>
      </c>
    </row>
    <row r="4844">
      <c r="A4844" s="115" t="str">
        <f>IFERROR(__xludf.DUMMYFUNCTION("""COMPUTED_VALUE"""),"NORTH")</f>
        <v>NORTH</v>
      </c>
      <c r="B4844" s="115" t="str">
        <f>IFERROR(__xludf.DUMMYFUNCTION("""COMPUTED_VALUE"""),"Amit Kumar Pathak")</f>
        <v>Amit Kumar Pathak</v>
      </c>
      <c r="C4844" s="115" t="str">
        <f>IFERROR(__xludf.DUMMYFUNCTION("""COMPUTED_VALUE"""),"FLIPKART")</f>
        <v>FLIPKART</v>
      </c>
      <c r="D4844" s="115">
        <f>IFERROR(__xludf.DUMMYFUNCTION("""COMPUTED_VALUE"""),183272.0)</f>
        <v>183272</v>
      </c>
      <c r="E4844" s="115">
        <f>IFERROR(__xludf.DUMMYFUNCTION("""COMPUTED_VALUE"""),24742.0)</f>
        <v>24742</v>
      </c>
      <c r="F4844" s="115">
        <f>IFERROR(__xludf.DUMMYFUNCTION("""COMPUTED_VALUE"""),136096.0)</f>
        <v>136096</v>
      </c>
      <c r="G4844" s="115">
        <f>IFERROR(__xludf.DUMMYFUNCTION("""COMPUTED_VALUE"""),15837.0)</f>
        <v>15837</v>
      </c>
      <c r="H4844" s="116">
        <f>IFERROR(__xludf.DUMMYFUNCTION("""COMPUTED_VALUE"""),45909.0)</f>
        <v>45909</v>
      </c>
      <c r="I4844" s="115" t="str">
        <f>IFERROR(__xludf.DUMMYFUNCTION("""COMPUTED_VALUE"""),"20")</f>
        <v>20</v>
      </c>
      <c r="J4844" s="115" t="str">
        <f>IFERROR(__xludf.DUMMYFUNCTION("""COMPUTED_VALUE"""),"Amit Kumar Pathak2025-09-0920")</f>
        <v>Amit Kumar Pathak2025-09-0920</v>
      </c>
      <c r="K4844" s="115">
        <f>IFERROR(__xludf.DUMMYFUNCTION("""COMPUTED_VALUE"""),208014.0)</f>
        <v>208014</v>
      </c>
    </row>
    <row r="4845">
      <c r="A4845" s="115" t="str">
        <f>IFERROR(__xludf.DUMMYFUNCTION("""COMPUTED_VALUE"""),"NORTH")</f>
        <v>NORTH</v>
      </c>
      <c r="B4845" s="115" t="str">
        <f>IFERROR(__xludf.DUMMYFUNCTION("""COMPUTED_VALUE"""),"Amit Kumar Pathak")</f>
        <v>Amit Kumar Pathak</v>
      </c>
      <c r="C4845" s="115" t="str">
        <f>IFERROR(__xludf.DUMMYFUNCTION("""COMPUTED_VALUE"""),"MYNTRA")</f>
        <v>MYNTRA</v>
      </c>
      <c r="D4845" s="115">
        <f>IFERROR(__xludf.DUMMYFUNCTION("""COMPUTED_VALUE"""),17739.0)</f>
        <v>17739</v>
      </c>
      <c r="E4845" s="115">
        <f>IFERROR(__xludf.DUMMYFUNCTION("""COMPUTED_VALUE"""),5995.0)</f>
        <v>5995</v>
      </c>
      <c r="F4845" s="115">
        <f>IFERROR(__xludf.DUMMYFUNCTION("""COMPUTED_VALUE"""),14857.0)</f>
        <v>14857</v>
      </c>
      <c r="G4845" s="115">
        <f>IFERROR(__xludf.DUMMYFUNCTION("""COMPUTED_VALUE"""),4166.0)</f>
        <v>4166</v>
      </c>
      <c r="H4845" s="116">
        <f>IFERROR(__xludf.DUMMYFUNCTION("""COMPUTED_VALUE"""),45909.0)</f>
        <v>45909</v>
      </c>
      <c r="I4845" s="115" t="str">
        <f>IFERROR(__xludf.DUMMYFUNCTION("""COMPUTED_VALUE"""),"20")</f>
        <v>20</v>
      </c>
      <c r="J4845" s="115" t="str">
        <f>IFERROR(__xludf.DUMMYFUNCTION("""COMPUTED_VALUE"""),"Amit Kumar Pathak2025-09-0920")</f>
        <v>Amit Kumar Pathak2025-09-0920</v>
      </c>
      <c r="K4845" s="115">
        <f>IFERROR(__xludf.DUMMYFUNCTION("""COMPUTED_VALUE"""),23734.0)</f>
        <v>23734</v>
      </c>
    </row>
    <row r="4846">
      <c r="A4846" s="115" t="str">
        <f>IFERROR(__xludf.DUMMYFUNCTION("""COMPUTED_VALUE"""),"NORTH")</f>
        <v>NORTH</v>
      </c>
      <c r="B4846" s="115" t="str">
        <f>IFERROR(__xludf.DUMMYFUNCTION("""COMPUTED_VALUE"""),"Loveleen Singh")</f>
        <v>Loveleen Singh</v>
      </c>
      <c r="C4846" s="115" t="str">
        <f>IFERROR(__xludf.DUMMYFUNCTION("""COMPUTED_VALUE"""),"EXTERNAL")</f>
        <v>EXTERNAL</v>
      </c>
      <c r="D4846" s="115">
        <f>IFERROR(__xludf.DUMMYFUNCTION("""COMPUTED_VALUE"""),34592.0)</f>
        <v>34592</v>
      </c>
      <c r="E4846" s="115">
        <f>IFERROR(__xludf.DUMMYFUNCTION("""COMPUTED_VALUE"""),3138.0)</f>
        <v>3138</v>
      </c>
      <c r="F4846" s="115">
        <f>IFERROR(__xludf.DUMMYFUNCTION("""COMPUTED_VALUE"""),14247.0)</f>
        <v>14247</v>
      </c>
      <c r="G4846" s="115">
        <f>IFERROR(__xludf.DUMMYFUNCTION("""COMPUTED_VALUE"""),952.0)</f>
        <v>952</v>
      </c>
      <c r="H4846" s="116">
        <f>IFERROR(__xludf.DUMMYFUNCTION("""COMPUTED_VALUE"""),45909.0)</f>
        <v>45909</v>
      </c>
      <c r="I4846" s="115" t="str">
        <f>IFERROR(__xludf.DUMMYFUNCTION("""COMPUTED_VALUE"""),"20")</f>
        <v>20</v>
      </c>
      <c r="J4846" s="115" t="str">
        <f>IFERROR(__xludf.DUMMYFUNCTION("""COMPUTED_VALUE"""),"Loveleen Singh2025-09-0920")</f>
        <v>Loveleen Singh2025-09-0920</v>
      </c>
      <c r="K4846" s="115">
        <f>IFERROR(__xludf.DUMMYFUNCTION("""COMPUTED_VALUE"""),37730.0)</f>
        <v>37730</v>
      </c>
    </row>
    <row r="4847">
      <c r="A4847" s="115" t="str">
        <f>IFERROR(__xludf.DUMMYFUNCTION("""COMPUTED_VALUE"""),"NORTH")</f>
        <v>NORTH</v>
      </c>
      <c r="B4847" s="115" t="str">
        <f>IFERROR(__xludf.DUMMYFUNCTION("""COMPUTED_VALUE"""),"Loveleen Singh")</f>
        <v>Loveleen Singh</v>
      </c>
      <c r="C4847" s="115" t="str">
        <f>IFERROR(__xludf.DUMMYFUNCTION("""COMPUTED_VALUE"""),"FLIPKART")</f>
        <v>FLIPKART</v>
      </c>
      <c r="D4847" s="115">
        <f>IFERROR(__xludf.DUMMYFUNCTION("""COMPUTED_VALUE"""),179603.0)</f>
        <v>179603</v>
      </c>
      <c r="E4847" s="115">
        <f>IFERROR(__xludf.DUMMYFUNCTION("""COMPUTED_VALUE"""),15388.0)</f>
        <v>15388</v>
      </c>
      <c r="F4847" s="115">
        <f>IFERROR(__xludf.DUMMYFUNCTION("""COMPUTED_VALUE"""),135099.0)</f>
        <v>135099</v>
      </c>
      <c r="G4847" s="115">
        <f>IFERROR(__xludf.DUMMYFUNCTION("""COMPUTED_VALUE"""),9599.0)</f>
        <v>9599</v>
      </c>
      <c r="H4847" s="116">
        <f>IFERROR(__xludf.DUMMYFUNCTION("""COMPUTED_VALUE"""),45909.0)</f>
        <v>45909</v>
      </c>
      <c r="I4847" s="115" t="str">
        <f>IFERROR(__xludf.DUMMYFUNCTION("""COMPUTED_VALUE"""),"20")</f>
        <v>20</v>
      </c>
      <c r="J4847" s="115" t="str">
        <f>IFERROR(__xludf.DUMMYFUNCTION("""COMPUTED_VALUE"""),"Loveleen Singh2025-09-0920")</f>
        <v>Loveleen Singh2025-09-0920</v>
      </c>
      <c r="K4847" s="115">
        <f>IFERROR(__xludf.DUMMYFUNCTION("""COMPUTED_VALUE"""),194991.0)</f>
        <v>194991</v>
      </c>
    </row>
    <row r="4848">
      <c r="A4848" s="115" t="str">
        <f>IFERROR(__xludf.DUMMYFUNCTION("""COMPUTED_VALUE"""),"NORTH")</f>
        <v>NORTH</v>
      </c>
      <c r="B4848" s="115" t="str">
        <f>IFERROR(__xludf.DUMMYFUNCTION("""COMPUTED_VALUE"""),"Loveleen Singh")</f>
        <v>Loveleen Singh</v>
      </c>
      <c r="C4848" s="115" t="str">
        <f>IFERROR(__xludf.DUMMYFUNCTION("""COMPUTED_VALUE"""),"MYNTRA")</f>
        <v>MYNTRA</v>
      </c>
      <c r="D4848" s="115">
        <f>IFERROR(__xludf.DUMMYFUNCTION("""COMPUTED_VALUE"""),31949.0)</f>
        <v>31949</v>
      </c>
      <c r="E4848" s="115">
        <f>IFERROR(__xludf.DUMMYFUNCTION("""COMPUTED_VALUE"""),6769.0)</f>
        <v>6769</v>
      </c>
      <c r="F4848" s="115">
        <f>IFERROR(__xludf.DUMMYFUNCTION("""COMPUTED_VALUE"""),26390.0)</f>
        <v>26390</v>
      </c>
      <c r="G4848" s="115">
        <f>IFERROR(__xludf.DUMMYFUNCTION("""COMPUTED_VALUE"""),4575.0)</f>
        <v>4575</v>
      </c>
      <c r="H4848" s="116">
        <f>IFERROR(__xludf.DUMMYFUNCTION("""COMPUTED_VALUE"""),45909.0)</f>
        <v>45909</v>
      </c>
      <c r="I4848" s="115" t="str">
        <f>IFERROR(__xludf.DUMMYFUNCTION("""COMPUTED_VALUE"""),"20")</f>
        <v>20</v>
      </c>
      <c r="J4848" s="115" t="str">
        <f>IFERROR(__xludf.DUMMYFUNCTION("""COMPUTED_VALUE"""),"Loveleen Singh2025-09-0920")</f>
        <v>Loveleen Singh2025-09-0920</v>
      </c>
      <c r="K4848" s="115">
        <f>IFERROR(__xludf.DUMMYFUNCTION("""COMPUTED_VALUE"""),38718.0)</f>
        <v>38718</v>
      </c>
    </row>
    <row r="4849">
      <c r="A4849" s="115" t="str">
        <f>IFERROR(__xludf.DUMMYFUNCTION("""COMPUTED_VALUE"""),"NORTH")</f>
        <v>NORTH</v>
      </c>
      <c r="B4849" s="115" t="str">
        <f>IFERROR(__xludf.DUMMYFUNCTION("""COMPUTED_VALUE"""),"Manoj Harsh")</f>
        <v>Manoj Harsh</v>
      </c>
      <c r="C4849" s="115" t="str">
        <f>IFERROR(__xludf.DUMMYFUNCTION("""COMPUTED_VALUE"""),"EXTERNAL")</f>
        <v>EXTERNAL</v>
      </c>
      <c r="D4849" s="115">
        <f>IFERROR(__xludf.DUMMYFUNCTION("""COMPUTED_VALUE"""),37912.0)</f>
        <v>37912</v>
      </c>
      <c r="E4849" s="115">
        <f>IFERROR(__xludf.DUMMYFUNCTION("""COMPUTED_VALUE"""),3800.0)</f>
        <v>3800</v>
      </c>
      <c r="F4849" s="115">
        <f>IFERROR(__xludf.DUMMYFUNCTION("""COMPUTED_VALUE"""),17018.0)</f>
        <v>17018</v>
      </c>
      <c r="G4849" s="115">
        <f>IFERROR(__xludf.DUMMYFUNCTION("""COMPUTED_VALUE"""),1214.0)</f>
        <v>1214</v>
      </c>
      <c r="H4849" s="116">
        <f>IFERROR(__xludf.DUMMYFUNCTION("""COMPUTED_VALUE"""),45909.0)</f>
        <v>45909</v>
      </c>
      <c r="I4849" s="115" t="str">
        <f>IFERROR(__xludf.DUMMYFUNCTION("""COMPUTED_VALUE"""),"20")</f>
        <v>20</v>
      </c>
      <c r="J4849" s="115" t="str">
        <f>IFERROR(__xludf.DUMMYFUNCTION("""COMPUTED_VALUE"""),"Manoj Harsh2025-09-0920")</f>
        <v>Manoj Harsh2025-09-0920</v>
      </c>
      <c r="K4849" s="115">
        <f>IFERROR(__xludf.DUMMYFUNCTION("""COMPUTED_VALUE"""),41712.0)</f>
        <v>41712</v>
      </c>
    </row>
    <row r="4850">
      <c r="A4850" s="115" t="str">
        <f>IFERROR(__xludf.DUMMYFUNCTION("""COMPUTED_VALUE"""),"NORTH")</f>
        <v>NORTH</v>
      </c>
      <c r="B4850" s="115" t="str">
        <f>IFERROR(__xludf.DUMMYFUNCTION("""COMPUTED_VALUE"""),"Manoj Harsh")</f>
        <v>Manoj Harsh</v>
      </c>
      <c r="C4850" s="115" t="str">
        <f>IFERROR(__xludf.DUMMYFUNCTION("""COMPUTED_VALUE"""),"FLIPKART")</f>
        <v>FLIPKART</v>
      </c>
      <c r="D4850" s="115">
        <f>IFERROR(__xludf.DUMMYFUNCTION("""COMPUTED_VALUE"""),408013.0)</f>
        <v>408013</v>
      </c>
      <c r="E4850" s="115">
        <f>IFERROR(__xludf.DUMMYFUNCTION("""COMPUTED_VALUE"""),43830.0)</f>
        <v>43830</v>
      </c>
      <c r="F4850" s="115">
        <f>IFERROR(__xludf.DUMMYFUNCTION("""COMPUTED_VALUE"""),302520.0)</f>
        <v>302520</v>
      </c>
      <c r="G4850" s="115">
        <f>IFERROR(__xludf.DUMMYFUNCTION("""COMPUTED_VALUE"""),28618.0)</f>
        <v>28618</v>
      </c>
      <c r="H4850" s="116">
        <f>IFERROR(__xludf.DUMMYFUNCTION("""COMPUTED_VALUE"""),45909.0)</f>
        <v>45909</v>
      </c>
      <c r="I4850" s="115" t="str">
        <f>IFERROR(__xludf.DUMMYFUNCTION("""COMPUTED_VALUE"""),"20")</f>
        <v>20</v>
      </c>
      <c r="J4850" s="115" t="str">
        <f>IFERROR(__xludf.DUMMYFUNCTION("""COMPUTED_VALUE"""),"Manoj Harsh2025-09-0920")</f>
        <v>Manoj Harsh2025-09-0920</v>
      </c>
      <c r="K4850" s="115">
        <f>IFERROR(__xludf.DUMMYFUNCTION("""COMPUTED_VALUE"""),451843.0)</f>
        <v>451843</v>
      </c>
    </row>
    <row r="4851">
      <c r="A4851" s="115" t="str">
        <f>IFERROR(__xludf.DUMMYFUNCTION("""COMPUTED_VALUE"""),"NORTH")</f>
        <v>NORTH</v>
      </c>
      <c r="B4851" s="115" t="str">
        <f>IFERROR(__xludf.DUMMYFUNCTION("""COMPUTED_VALUE"""),"Manoj Harsh")</f>
        <v>Manoj Harsh</v>
      </c>
      <c r="C4851" s="115" t="str">
        <f>IFERROR(__xludf.DUMMYFUNCTION("""COMPUTED_VALUE"""),"MYNTRA")</f>
        <v>MYNTRA</v>
      </c>
      <c r="D4851" s="115">
        <f>IFERROR(__xludf.DUMMYFUNCTION("""COMPUTED_VALUE"""),40462.0)</f>
        <v>40462</v>
      </c>
      <c r="E4851" s="115">
        <f>IFERROR(__xludf.DUMMYFUNCTION("""COMPUTED_VALUE"""),8403.0)</f>
        <v>8403</v>
      </c>
      <c r="F4851" s="115">
        <f>IFERROR(__xludf.DUMMYFUNCTION("""COMPUTED_VALUE"""),32697.0)</f>
        <v>32697</v>
      </c>
      <c r="G4851" s="115">
        <f>IFERROR(__xludf.DUMMYFUNCTION("""COMPUTED_VALUE"""),5897.0)</f>
        <v>5897</v>
      </c>
      <c r="H4851" s="116">
        <f>IFERROR(__xludf.DUMMYFUNCTION("""COMPUTED_VALUE"""),45909.0)</f>
        <v>45909</v>
      </c>
      <c r="I4851" s="115" t="str">
        <f>IFERROR(__xludf.DUMMYFUNCTION("""COMPUTED_VALUE"""),"20")</f>
        <v>20</v>
      </c>
      <c r="J4851" s="115" t="str">
        <f>IFERROR(__xludf.DUMMYFUNCTION("""COMPUTED_VALUE"""),"Manoj Harsh2025-09-0920")</f>
        <v>Manoj Harsh2025-09-0920</v>
      </c>
      <c r="K4851" s="115">
        <f>IFERROR(__xludf.DUMMYFUNCTION("""COMPUTED_VALUE"""),48865.0)</f>
        <v>48865</v>
      </c>
    </row>
    <row r="4852">
      <c r="A4852" s="115" t="str">
        <f>IFERROR(__xludf.DUMMYFUNCTION("""COMPUTED_VALUE"""),"NORTH")</f>
        <v>NORTH</v>
      </c>
      <c r="B4852" s="115" t="str">
        <f>IFERROR(__xludf.DUMMYFUNCTION("""COMPUTED_VALUE"""),"Pradeep Kothari")</f>
        <v>Pradeep Kothari</v>
      </c>
      <c r="C4852" s="115" t="str">
        <f>IFERROR(__xludf.DUMMYFUNCTION("""COMPUTED_VALUE"""),"EXTERNAL")</f>
        <v>EXTERNAL</v>
      </c>
      <c r="D4852" s="115">
        <f>IFERROR(__xludf.DUMMYFUNCTION("""COMPUTED_VALUE"""),20867.0)</f>
        <v>20867</v>
      </c>
      <c r="E4852" s="115">
        <f>IFERROR(__xludf.DUMMYFUNCTION("""COMPUTED_VALUE"""),2291.0)</f>
        <v>2291</v>
      </c>
      <c r="F4852" s="115">
        <f>IFERROR(__xludf.DUMMYFUNCTION("""COMPUTED_VALUE"""),8772.0)</f>
        <v>8772</v>
      </c>
      <c r="G4852" s="115">
        <f>IFERROR(__xludf.DUMMYFUNCTION("""COMPUTED_VALUE"""),884.0)</f>
        <v>884</v>
      </c>
      <c r="H4852" s="116">
        <f>IFERROR(__xludf.DUMMYFUNCTION("""COMPUTED_VALUE"""),45909.0)</f>
        <v>45909</v>
      </c>
      <c r="I4852" s="115" t="str">
        <f>IFERROR(__xludf.DUMMYFUNCTION("""COMPUTED_VALUE"""),"20")</f>
        <v>20</v>
      </c>
      <c r="J4852" s="115" t="str">
        <f>IFERROR(__xludf.DUMMYFUNCTION("""COMPUTED_VALUE"""),"Pradeep Kothari2025-09-0920")</f>
        <v>Pradeep Kothari2025-09-0920</v>
      </c>
      <c r="K4852" s="115">
        <f>IFERROR(__xludf.DUMMYFUNCTION("""COMPUTED_VALUE"""),23158.0)</f>
        <v>23158</v>
      </c>
    </row>
    <row r="4853">
      <c r="A4853" s="115" t="str">
        <f>IFERROR(__xludf.DUMMYFUNCTION("""COMPUTED_VALUE"""),"NORTH")</f>
        <v>NORTH</v>
      </c>
      <c r="B4853" s="115" t="str">
        <f>IFERROR(__xludf.DUMMYFUNCTION("""COMPUTED_VALUE"""),"Pradeep Kothari")</f>
        <v>Pradeep Kothari</v>
      </c>
      <c r="C4853" s="115" t="str">
        <f>IFERROR(__xludf.DUMMYFUNCTION("""COMPUTED_VALUE"""),"FLIPKART")</f>
        <v>FLIPKART</v>
      </c>
      <c r="D4853" s="115">
        <f>IFERROR(__xludf.DUMMYFUNCTION("""COMPUTED_VALUE"""),144111.0)</f>
        <v>144111</v>
      </c>
      <c r="E4853" s="115">
        <f>IFERROR(__xludf.DUMMYFUNCTION("""COMPUTED_VALUE"""),17650.0)</f>
        <v>17650</v>
      </c>
      <c r="F4853" s="115">
        <f>IFERROR(__xludf.DUMMYFUNCTION("""COMPUTED_VALUE"""),109807.0)</f>
        <v>109807</v>
      </c>
      <c r="G4853" s="115">
        <f>IFERROR(__xludf.DUMMYFUNCTION("""COMPUTED_VALUE"""),11788.0)</f>
        <v>11788</v>
      </c>
      <c r="H4853" s="116">
        <f>IFERROR(__xludf.DUMMYFUNCTION("""COMPUTED_VALUE"""),45909.0)</f>
        <v>45909</v>
      </c>
      <c r="I4853" s="115" t="str">
        <f>IFERROR(__xludf.DUMMYFUNCTION("""COMPUTED_VALUE"""),"20")</f>
        <v>20</v>
      </c>
      <c r="J4853" s="115" t="str">
        <f>IFERROR(__xludf.DUMMYFUNCTION("""COMPUTED_VALUE"""),"Pradeep Kothari2025-09-0920")</f>
        <v>Pradeep Kothari2025-09-0920</v>
      </c>
      <c r="K4853" s="115">
        <f>IFERROR(__xludf.DUMMYFUNCTION("""COMPUTED_VALUE"""),161761.0)</f>
        <v>161761</v>
      </c>
    </row>
    <row r="4854">
      <c r="A4854" s="115" t="str">
        <f>IFERROR(__xludf.DUMMYFUNCTION("""COMPUTED_VALUE"""),"NORTH")</f>
        <v>NORTH</v>
      </c>
      <c r="B4854" s="115" t="str">
        <f>IFERROR(__xludf.DUMMYFUNCTION("""COMPUTED_VALUE"""),"Pradeep Kothari")</f>
        <v>Pradeep Kothari</v>
      </c>
      <c r="C4854" s="115" t="str">
        <f>IFERROR(__xludf.DUMMYFUNCTION("""COMPUTED_VALUE"""),"MYNTRA")</f>
        <v>MYNTRA</v>
      </c>
      <c r="D4854" s="115">
        <f>IFERROR(__xludf.DUMMYFUNCTION("""COMPUTED_VALUE"""),27130.0)</f>
        <v>27130</v>
      </c>
      <c r="E4854" s="115">
        <f>IFERROR(__xludf.DUMMYFUNCTION("""COMPUTED_VALUE"""),7128.0)</f>
        <v>7128</v>
      </c>
      <c r="F4854" s="115">
        <f>IFERROR(__xludf.DUMMYFUNCTION("""COMPUTED_VALUE"""),22708.0)</f>
        <v>22708</v>
      </c>
      <c r="G4854" s="115">
        <f>IFERROR(__xludf.DUMMYFUNCTION("""COMPUTED_VALUE"""),5277.0)</f>
        <v>5277</v>
      </c>
      <c r="H4854" s="116">
        <f>IFERROR(__xludf.DUMMYFUNCTION("""COMPUTED_VALUE"""),45909.0)</f>
        <v>45909</v>
      </c>
      <c r="I4854" s="115" t="str">
        <f>IFERROR(__xludf.DUMMYFUNCTION("""COMPUTED_VALUE"""),"20")</f>
        <v>20</v>
      </c>
      <c r="J4854" s="115" t="str">
        <f>IFERROR(__xludf.DUMMYFUNCTION("""COMPUTED_VALUE"""),"Pradeep Kothari2025-09-0920")</f>
        <v>Pradeep Kothari2025-09-0920</v>
      </c>
      <c r="K4854" s="115">
        <f>IFERROR(__xludf.DUMMYFUNCTION("""COMPUTED_VALUE"""),34258.0)</f>
        <v>34258</v>
      </c>
    </row>
    <row r="4855">
      <c r="A4855" s="115" t="str">
        <f>IFERROR(__xludf.DUMMYFUNCTION("""COMPUTED_VALUE"""),"SOUTH")</f>
        <v>SOUTH</v>
      </c>
      <c r="B4855" s="115" t="str">
        <f>IFERROR(__xludf.DUMMYFUNCTION("""COMPUTED_VALUE"""),"0")</f>
        <v>0</v>
      </c>
      <c r="C4855" s="115" t="str">
        <f>IFERROR(__xludf.DUMMYFUNCTION("""COMPUTED_VALUE"""),"EXTERNAL")</f>
        <v>EXTERNAL</v>
      </c>
      <c r="D4855" s="115">
        <f>IFERROR(__xludf.DUMMYFUNCTION("""COMPUTED_VALUE"""),3.0)</f>
        <v>3</v>
      </c>
      <c r="E4855" s="115">
        <f>IFERROR(__xludf.DUMMYFUNCTION("""COMPUTED_VALUE"""),2.0)</f>
        <v>2</v>
      </c>
      <c r="F4855" s="115">
        <f>IFERROR(__xludf.DUMMYFUNCTION("""COMPUTED_VALUE"""),3.0)</f>
        <v>3</v>
      </c>
      <c r="G4855" s="115">
        <f>IFERROR(__xludf.DUMMYFUNCTION("""COMPUTED_VALUE"""),2.0)</f>
        <v>2</v>
      </c>
      <c r="H4855" s="116">
        <f>IFERROR(__xludf.DUMMYFUNCTION("""COMPUTED_VALUE"""),45909.0)</f>
        <v>45909</v>
      </c>
      <c r="I4855" s="115" t="str">
        <f>IFERROR(__xludf.DUMMYFUNCTION("""COMPUTED_VALUE"""),"20")</f>
        <v>20</v>
      </c>
      <c r="J4855" s="115" t="str">
        <f>IFERROR(__xludf.DUMMYFUNCTION("""COMPUTED_VALUE"""),"02025-09-0920")</f>
        <v>02025-09-0920</v>
      </c>
      <c r="K4855" s="115">
        <f>IFERROR(__xludf.DUMMYFUNCTION("""COMPUTED_VALUE"""),5.0)</f>
        <v>5</v>
      </c>
    </row>
    <row r="4856">
      <c r="A4856" s="115" t="str">
        <f>IFERROR(__xludf.DUMMYFUNCTION("""COMPUTED_VALUE"""),"SOUTH")</f>
        <v>SOUTH</v>
      </c>
      <c r="B4856" s="115" t="str">
        <f>IFERROR(__xludf.DUMMYFUNCTION("""COMPUTED_VALUE"""),"0")</f>
        <v>0</v>
      </c>
      <c r="C4856" s="115" t="str">
        <f>IFERROR(__xludf.DUMMYFUNCTION("""COMPUTED_VALUE"""),"FLIPKART")</f>
        <v>FLIPKART</v>
      </c>
      <c r="D4856" s="115">
        <f>IFERROR(__xludf.DUMMYFUNCTION("""COMPUTED_VALUE"""),68.0)</f>
        <v>68</v>
      </c>
      <c r="E4856" s="115">
        <f>IFERROR(__xludf.DUMMYFUNCTION("""COMPUTED_VALUE"""),45.0)</f>
        <v>45</v>
      </c>
      <c r="F4856" s="115">
        <f>IFERROR(__xludf.DUMMYFUNCTION("""COMPUTED_VALUE"""),42.0)</f>
        <v>42</v>
      </c>
      <c r="G4856" s="115">
        <f>IFERROR(__xludf.DUMMYFUNCTION("""COMPUTED_VALUE"""),6.0)</f>
        <v>6</v>
      </c>
      <c r="H4856" s="116">
        <f>IFERROR(__xludf.DUMMYFUNCTION("""COMPUTED_VALUE"""),45909.0)</f>
        <v>45909</v>
      </c>
      <c r="I4856" s="115" t="str">
        <f>IFERROR(__xludf.DUMMYFUNCTION("""COMPUTED_VALUE"""),"20")</f>
        <v>20</v>
      </c>
      <c r="J4856" s="115" t="str">
        <f>IFERROR(__xludf.DUMMYFUNCTION("""COMPUTED_VALUE"""),"02025-09-0920")</f>
        <v>02025-09-0920</v>
      </c>
      <c r="K4856" s="115">
        <f>IFERROR(__xludf.DUMMYFUNCTION("""COMPUTED_VALUE"""),113.0)</f>
        <v>113</v>
      </c>
    </row>
    <row r="4857">
      <c r="A4857" s="115" t="str">
        <f>IFERROR(__xludf.DUMMYFUNCTION("""COMPUTED_VALUE"""),"SOUTH")</f>
        <v>SOUTH</v>
      </c>
      <c r="B4857" s="115" t="str">
        <f>IFERROR(__xludf.DUMMYFUNCTION("""COMPUTED_VALUE"""),"0")</f>
        <v>0</v>
      </c>
      <c r="C4857" s="115" t="str">
        <f>IFERROR(__xludf.DUMMYFUNCTION("""COMPUTED_VALUE"""),"MYNTRA")</f>
        <v>MYNTRA</v>
      </c>
      <c r="D4857" s="115">
        <f>IFERROR(__xludf.DUMMYFUNCTION("""COMPUTED_VALUE"""),6.0)</f>
        <v>6</v>
      </c>
      <c r="E4857" s="115">
        <f>IFERROR(__xludf.DUMMYFUNCTION("""COMPUTED_VALUE"""),16.0)</f>
        <v>16</v>
      </c>
      <c r="F4857" s="115">
        <f>IFERROR(__xludf.DUMMYFUNCTION("""COMPUTED_VALUE"""),5.0)</f>
        <v>5</v>
      </c>
      <c r="G4857" s="115">
        <f>IFERROR(__xludf.DUMMYFUNCTION("""COMPUTED_VALUE"""),4.0)</f>
        <v>4</v>
      </c>
      <c r="H4857" s="116">
        <f>IFERROR(__xludf.DUMMYFUNCTION("""COMPUTED_VALUE"""),45909.0)</f>
        <v>45909</v>
      </c>
      <c r="I4857" s="115" t="str">
        <f>IFERROR(__xludf.DUMMYFUNCTION("""COMPUTED_VALUE"""),"20")</f>
        <v>20</v>
      </c>
      <c r="J4857" s="115" t="str">
        <f>IFERROR(__xludf.DUMMYFUNCTION("""COMPUTED_VALUE"""),"02025-09-0920")</f>
        <v>02025-09-0920</v>
      </c>
      <c r="K4857" s="115">
        <f>IFERROR(__xludf.DUMMYFUNCTION("""COMPUTED_VALUE"""),22.0)</f>
        <v>22</v>
      </c>
    </row>
    <row r="4858">
      <c r="A4858" s="115" t="str">
        <f>IFERROR(__xludf.DUMMYFUNCTION("""COMPUTED_VALUE"""),"SOUTH")</f>
        <v>SOUTH</v>
      </c>
      <c r="B4858" s="115" t="str">
        <f>IFERROR(__xludf.DUMMYFUNCTION("""COMPUTED_VALUE"""),"Kandula Sampath")</f>
        <v>Kandula Sampath</v>
      </c>
      <c r="C4858" s="115" t="str">
        <f>IFERROR(__xludf.DUMMYFUNCTION("""COMPUTED_VALUE"""),"EXTERNAL")</f>
        <v>EXTERNAL</v>
      </c>
      <c r="D4858" s="115">
        <f>IFERROR(__xludf.DUMMYFUNCTION("""COMPUTED_VALUE"""),34251.0)</f>
        <v>34251</v>
      </c>
      <c r="E4858" s="115">
        <f>IFERROR(__xludf.DUMMYFUNCTION("""COMPUTED_VALUE"""),4845.0)</f>
        <v>4845</v>
      </c>
      <c r="F4858" s="115">
        <f>IFERROR(__xludf.DUMMYFUNCTION("""COMPUTED_VALUE"""),14445.0)</f>
        <v>14445</v>
      </c>
      <c r="G4858" s="115">
        <f>IFERROR(__xludf.DUMMYFUNCTION("""COMPUTED_VALUE"""),1594.0)</f>
        <v>1594</v>
      </c>
      <c r="H4858" s="116">
        <f>IFERROR(__xludf.DUMMYFUNCTION("""COMPUTED_VALUE"""),45909.0)</f>
        <v>45909</v>
      </c>
      <c r="I4858" s="115" t="str">
        <f>IFERROR(__xludf.DUMMYFUNCTION("""COMPUTED_VALUE"""),"20")</f>
        <v>20</v>
      </c>
      <c r="J4858" s="115" t="str">
        <f>IFERROR(__xludf.DUMMYFUNCTION("""COMPUTED_VALUE"""),"Kandula Sampath2025-09-0920")</f>
        <v>Kandula Sampath2025-09-0920</v>
      </c>
      <c r="K4858" s="115">
        <f>IFERROR(__xludf.DUMMYFUNCTION("""COMPUTED_VALUE"""),39096.0)</f>
        <v>39096</v>
      </c>
    </row>
    <row r="4859">
      <c r="A4859" s="115" t="str">
        <f>IFERROR(__xludf.DUMMYFUNCTION("""COMPUTED_VALUE"""),"SOUTH")</f>
        <v>SOUTH</v>
      </c>
      <c r="B4859" s="115" t="str">
        <f>IFERROR(__xludf.DUMMYFUNCTION("""COMPUTED_VALUE"""),"Kandula Sampath")</f>
        <v>Kandula Sampath</v>
      </c>
      <c r="C4859" s="115" t="str">
        <f>IFERROR(__xludf.DUMMYFUNCTION("""COMPUTED_VALUE"""),"FLIPKART")</f>
        <v>FLIPKART</v>
      </c>
      <c r="D4859" s="115">
        <f>IFERROR(__xludf.DUMMYFUNCTION("""COMPUTED_VALUE"""),317233.0)</f>
        <v>317233</v>
      </c>
      <c r="E4859" s="115">
        <f>IFERROR(__xludf.DUMMYFUNCTION("""COMPUTED_VALUE"""),36100.0)</f>
        <v>36100</v>
      </c>
      <c r="F4859" s="115">
        <f>IFERROR(__xludf.DUMMYFUNCTION("""COMPUTED_VALUE"""),233383.0)</f>
        <v>233383</v>
      </c>
      <c r="G4859" s="115">
        <f>IFERROR(__xludf.DUMMYFUNCTION("""COMPUTED_VALUE"""),21780.0)</f>
        <v>21780</v>
      </c>
      <c r="H4859" s="116">
        <f>IFERROR(__xludf.DUMMYFUNCTION("""COMPUTED_VALUE"""),45909.0)</f>
        <v>45909</v>
      </c>
      <c r="I4859" s="115" t="str">
        <f>IFERROR(__xludf.DUMMYFUNCTION("""COMPUTED_VALUE"""),"20")</f>
        <v>20</v>
      </c>
      <c r="J4859" s="115" t="str">
        <f>IFERROR(__xludf.DUMMYFUNCTION("""COMPUTED_VALUE"""),"Kandula Sampath2025-09-0920")</f>
        <v>Kandula Sampath2025-09-0920</v>
      </c>
      <c r="K4859" s="115">
        <f>IFERROR(__xludf.DUMMYFUNCTION("""COMPUTED_VALUE"""),353333.0)</f>
        <v>353333</v>
      </c>
    </row>
    <row r="4860">
      <c r="A4860" s="115" t="str">
        <f>IFERROR(__xludf.DUMMYFUNCTION("""COMPUTED_VALUE"""),"SOUTH")</f>
        <v>SOUTH</v>
      </c>
      <c r="B4860" s="115" t="str">
        <f>IFERROR(__xludf.DUMMYFUNCTION("""COMPUTED_VALUE"""),"Kandula Sampath")</f>
        <v>Kandula Sampath</v>
      </c>
      <c r="C4860" s="115" t="str">
        <f>IFERROR(__xludf.DUMMYFUNCTION("""COMPUTED_VALUE"""),"MYNTRA")</f>
        <v>MYNTRA</v>
      </c>
      <c r="D4860" s="115">
        <f>IFERROR(__xludf.DUMMYFUNCTION("""COMPUTED_VALUE"""),37888.0)</f>
        <v>37888</v>
      </c>
      <c r="E4860" s="115">
        <f>IFERROR(__xludf.DUMMYFUNCTION("""COMPUTED_VALUE"""),10015.0)</f>
        <v>10015</v>
      </c>
      <c r="F4860" s="115">
        <f>IFERROR(__xludf.DUMMYFUNCTION("""COMPUTED_VALUE"""),30563.0)</f>
        <v>30563</v>
      </c>
      <c r="G4860" s="115">
        <f>IFERROR(__xludf.DUMMYFUNCTION("""COMPUTED_VALUE"""),6282.0)</f>
        <v>6282</v>
      </c>
      <c r="H4860" s="116">
        <f>IFERROR(__xludf.DUMMYFUNCTION("""COMPUTED_VALUE"""),45909.0)</f>
        <v>45909</v>
      </c>
      <c r="I4860" s="115" t="str">
        <f>IFERROR(__xludf.DUMMYFUNCTION("""COMPUTED_VALUE"""),"20")</f>
        <v>20</v>
      </c>
      <c r="J4860" s="115" t="str">
        <f>IFERROR(__xludf.DUMMYFUNCTION("""COMPUTED_VALUE"""),"Kandula Sampath2025-09-0920")</f>
        <v>Kandula Sampath2025-09-0920</v>
      </c>
      <c r="K4860" s="115">
        <f>IFERROR(__xludf.DUMMYFUNCTION("""COMPUTED_VALUE"""),47903.0)</f>
        <v>47903</v>
      </c>
    </row>
    <row r="4861">
      <c r="A4861" s="115" t="str">
        <f>IFERROR(__xludf.DUMMYFUNCTION("""COMPUTED_VALUE"""),"SOUTH")</f>
        <v>SOUTH</v>
      </c>
      <c r="B4861" s="115" t="str">
        <f>IFERROR(__xludf.DUMMYFUNCTION("""COMPUTED_VALUE"""),"Martin A")</f>
        <v>Martin A</v>
      </c>
      <c r="C4861" s="115" t="str">
        <f>IFERROR(__xludf.DUMMYFUNCTION("""COMPUTED_VALUE"""),"EXTERNAL")</f>
        <v>EXTERNAL</v>
      </c>
      <c r="D4861" s="115">
        <f>IFERROR(__xludf.DUMMYFUNCTION("""COMPUTED_VALUE"""),33652.0)</f>
        <v>33652</v>
      </c>
      <c r="E4861" s="115">
        <f>IFERROR(__xludf.DUMMYFUNCTION("""COMPUTED_VALUE"""),4732.0)</f>
        <v>4732</v>
      </c>
      <c r="F4861" s="115">
        <f>IFERROR(__xludf.DUMMYFUNCTION("""COMPUTED_VALUE"""),14374.0)</f>
        <v>14374</v>
      </c>
      <c r="G4861" s="115">
        <f>IFERROR(__xludf.DUMMYFUNCTION("""COMPUTED_VALUE"""),2217.0)</f>
        <v>2217</v>
      </c>
      <c r="H4861" s="116">
        <f>IFERROR(__xludf.DUMMYFUNCTION("""COMPUTED_VALUE"""),45909.0)</f>
        <v>45909</v>
      </c>
      <c r="I4861" s="115" t="str">
        <f>IFERROR(__xludf.DUMMYFUNCTION("""COMPUTED_VALUE"""),"20")</f>
        <v>20</v>
      </c>
      <c r="J4861" s="115" t="str">
        <f>IFERROR(__xludf.DUMMYFUNCTION("""COMPUTED_VALUE"""),"Martin A2025-09-0920")</f>
        <v>Martin A2025-09-0920</v>
      </c>
      <c r="K4861" s="115">
        <f>IFERROR(__xludf.DUMMYFUNCTION("""COMPUTED_VALUE"""),38384.0)</f>
        <v>38384</v>
      </c>
    </row>
    <row r="4862">
      <c r="A4862" s="115" t="str">
        <f>IFERROR(__xludf.DUMMYFUNCTION("""COMPUTED_VALUE"""),"SOUTH")</f>
        <v>SOUTH</v>
      </c>
      <c r="B4862" s="115" t="str">
        <f>IFERROR(__xludf.DUMMYFUNCTION("""COMPUTED_VALUE"""),"Martin A")</f>
        <v>Martin A</v>
      </c>
      <c r="C4862" s="115" t="str">
        <f>IFERROR(__xludf.DUMMYFUNCTION("""COMPUTED_VALUE"""),"FLIPKART")</f>
        <v>FLIPKART</v>
      </c>
      <c r="D4862" s="115">
        <f>IFERROR(__xludf.DUMMYFUNCTION("""COMPUTED_VALUE"""),290375.0)</f>
        <v>290375</v>
      </c>
      <c r="E4862" s="115">
        <f>IFERROR(__xludf.DUMMYFUNCTION("""COMPUTED_VALUE"""),31305.0)</f>
        <v>31305</v>
      </c>
      <c r="F4862" s="115">
        <f>IFERROR(__xludf.DUMMYFUNCTION("""COMPUTED_VALUE"""),216880.0)</f>
        <v>216880</v>
      </c>
      <c r="G4862" s="115">
        <f>IFERROR(__xludf.DUMMYFUNCTION("""COMPUTED_VALUE"""),19522.0)</f>
        <v>19522</v>
      </c>
      <c r="H4862" s="116">
        <f>IFERROR(__xludf.DUMMYFUNCTION("""COMPUTED_VALUE"""),45909.0)</f>
        <v>45909</v>
      </c>
      <c r="I4862" s="115" t="str">
        <f>IFERROR(__xludf.DUMMYFUNCTION("""COMPUTED_VALUE"""),"20")</f>
        <v>20</v>
      </c>
      <c r="J4862" s="115" t="str">
        <f>IFERROR(__xludf.DUMMYFUNCTION("""COMPUTED_VALUE"""),"Martin A2025-09-0920")</f>
        <v>Martin A2025-09-0920</v>
      </c>
      <c r="K4862" s="115">
        <f>IFERROR(__xludf.DUMMYFUNCTION("""COMPUTED_VALUE"""),321680.0)</f>
        <v>321680</v>
      </c>
    </row>
    <row r="4863">
      <c r="A4863" s="115" t="str">
        <f>IFERROR(__xludf.DUMMYFUNCTION("""COMPUTED_VALUE"""),"SOUTH")</f>
        <v>SOUTH</v>
      </c>
      <c r="B4863" s="115" t="str">
        <f>IFERROR(__xludf.DUMMYFUNCTION("""COMPUTED_VALUE"""),"Martin A")</f>
        <v>Martin A</v>
      </c>
      <c r="C4863" s="115" t="str">
        <f>IFERROR(__xludf.DUMMYFUNCTION("""COMPUTED_VALUE"""),"MYNTRA")</f>
        <v>MYNTRA</v>
      </c>
      <c r="D4863" s="115">
        <f>IFERROR(__xludf.DUMMYFUNCTION("""COMPUTED_VALUE"""),26515.0)</f>
        <v>26515</v>
      </c>
      <c r="E4863" s="115">
        <f>IFERROR(__xludf.DUMMYFUNCTION("""COMPUTED_VALUE"""),7966.0)</f>
        <v>7966</v>
      </c>
      <c r="F4863" s="115">
        <f>IFERROR(__xludf.DUMMYFUNCTION("""COMPUTED_VALUE"""),22101.0)</f>
        <v>22101</v>
      </c>
      <c r="G4863" s="115">
        <f>IFERROR(__xludf.DUMMYFUNCTION("""COMPUTED_VALUE"""),5342.0)</f>
        <v>5342</v>
      </c>
      <c r="H4863" s="116">
        <f>IFERROR(__xludf.DUMMYFUNCTION("""COMPUTED_VALUE"""),45909.0)</f>
        <v>45909</v>
      </c>
      <c r="I4863" s="115" t="str">
        <f>IFERROR(__xludf.DUMMYFUNCTION("""COMPUTED_VALUE"""),"20")</f>
        <v>20</v>
      </c>
      <c r="J4863" s="115" t="str">
        <f>IFERROR(__xludf.DUMMYFUNCTION("""COMPUTED_VALUE"""),"Martin A2025-09-0920")</f>
        <v>Martin A2025-09-0920</v>
      </c>
      <c r="K4863" s="115">
        <f>IFERROR(__xludf.DUMMYFUNCTION("""COMPUTED_VALUE"""),34481.0)</f>
        <v>34481</v>
      </c>
    </row>
    <row r="4864">
      <c r="A4864" s="115" t="str">
        <f>IFERROR(__xludf.DUMMYFUNCTION("""COMPUTED_VALUE"""),"SOUTH")</f>
        <v>SOUTH</v>
      </c>
      <c r="B4864" s="115" t="str">
        <f>IFERROR(__xludf.DUMMYFUNCTION("""COMPUTED_VALUE"""),"Premkumar M")</f>
        <v>Premkumar M</v>
      </c>
      <c r="C4864" s="115" t="str">
        <f>IFERROR(__xludf.DUMMYFUNCTION("""COMPUTED_VALUE"""),"EXTERNAL")</f>
        <v>EXTERNAL</v>
      </c>
      <c r="D4864" s="115">
        <f>IFERROR(__xludf.DUMMYFUNCTION("""COMPUTED_VALUE"""),28529.0)</f>
        <v>28529</v>
      </c>
      <c r="E4864" s="115">
        <f>IFERROR(__xludf.DUMMYFUNCTION("""COMPUTED_VALUE"""),2568.0)</f>
        <v>2568</v>
      </c>
      <c r="F4864" s="115">
        <f>IFERROR(__xludf.DUMMYFUNCTION("""COMPUTED_VALUE"""),13930.0)</f>
        <v>13930</v>
      </c>
      <c r="G4864" s="115">
        <f>IFERROR(__xludf.DUMMYFUNCTION("""COMPUTED_VALUE"""),900.0)</f>
        <v>900</v>
      </c>
      <c r="H4864" s="116">
        <f>IFERROR(__xludf.DUMMYFUNCTION("""COMPUTED_VALUE"""),45909.0)</f>
        <v>45909</v>
      </c>
      <c r="I4864" s="115" t="str">
        <f>IFERROR(__xludf.DUMMYFUNCTION("""COMPUTED_VALUE"""),"20")</f>
        <v>20</v>
      </c>
      <c r="J4864" s="115" t="str">
        <f>IFERROR(__xludf.DUMMYFUNCTION("""COMPUTED_VALUE"""),"Premkumar M2025-09-0920")</f>
        <v>Premkumar M2025-09-0920</v>
      </c>
      <c r="K4864" s="115">
        <f>IFERROR(__xludf.DUMMYFUNCTION("""COMPUTED_VALUE"""),31097.0)</f>
        <v>31097</v>
      </c>
    </row>
    <row r="4865">
      <c r="A4865" s="115" t="str">
        <f>IFERROR(__xludf.DUMMYFUNCTION("""COMPUTED_VALUE"""),"SOUTH")</f>
        <v>SOUTH</v>
      </c>
      <c r="B4865" s="115" t="str">
        <f>IFERROR(__xludf.DUMMYFUNCTION("""COMPUTED_VALUE"""),"Premkumar M")</f>
        <v>Premkumar M</v>
      </c>
      <c r="C4865" s="115" t="str">
        <f>IFERROR(__xludf.DUMMYFUNCTION("""COMPUTED_VALUE"""),"FLIPKART")</f>
        <v>FLIPKART</v>
      </c>
      <c r="D4865" s="115">
        <f>IFERROR(__xludf.DUMMYFUNCTION("""COMPUTED_VALUE"""),270700.0)</f>
        <v>270700</v>
      </c>
      <c r="E4865" s="115">
        <f>IFERROR(__xludf.DUMMYFUNCTION("""COMPUTED_VALUE"""),21825.0)</f>
        <v>21825</v>
      </c>
      <c r="F4865" s="115">
        <f>IFERROR(__xludf.DUMMYFUNCTION("""COMPUTED_VALUE"""),203314.0)</f>
        <v>203314</v>
      </c>
      <c r="G4865" s="115">
        <f>IFERROR(__xludf.DUMMYFUNCTION("""COMPUTED_VALUE"""),10847.0)</f>
        <v>10847</v>
      </c>
      <c r="H4865" s="116">
        <f>IFERROR(__xludf.DUMMYFUNCTION("""COMPUTED_VALUE"""),45909.0)</f>
        <v>45909</v>
      </c>
      <c r="I4865" s="115" t="str">
        <f>IFERROR(__xludf.DUMMYFUNCTION("""COMPUTED_VALUE"""),"20")</f>
        <v>20</v>
      </c>
      <c r="J4865" s="115" t="str">
        <f>IFERROR(__xludf.DUMMYFUNCTION("""COMPUTED_VALUE"""),"Premkumar M2025-09-0920")</f>
        <v>Premkumar M2025-09-0920</v>
      </c>
      <c r="K4865" s="115">
        <f>IFERROR(__xludf.DUMMYFUNCTION("""COMPUTED_VALUE"""),292525.0)</f>
        <v>292525</v>
      </c>
    </row>
    <row r="4866">
      <c r="A4866" s="115" t="str">
        <f>IFERROR(__xludf.DUMMYFUNCTION("""COMPUTED_VALUE"""),"SOUTH")</f>
        <v>SOUTH</v>
      </c>
      <c r="B4866" s="115" t="str">
        <f>IFERROR(__xludf.DUMMYFUNCTION("""COMPUTED_VALUE"""),"Premkumar M")</f>
        <v>Premkumar M</v>
      </c>
      <c r="C4866" s="115" t="str">
        <f>IFERROR(__xludf.DUMMYFUNCTION("""COMPUTED_VALUE"""),"MYNTRA")</f>
        <v>MYNTRA</v>
      </c>
      <c r="D4866" s="115">
        <f>IFERROR(__xludf.DUMMYFUNCTION("""COMPUTED_VALUE"""),14864.0)</f>
        <v>14864</v>
      </c>
      <c r="E4866" s="115">
        <f>IFERROR(__xludf.DUMMYFUNCTION("""COMPUTED_VALUE"""),3506.0)</f>
        <v>3506</v>
      </c>
      <c r="F4866" s="115">
        <f>IFERROR(__xludf.DUMMYFUNCTION("""COMPUTED_VALUE"""),12334.0)</f>
        <v>12334</v>
      </c>
      <c r="G4866" s="115">
        <f>IFERROR(__xludf.DUMMYFUNCTION("""COMPUTED_VALUE"""),1814.0)</f>
        <v>1814</v>
      </c>
      <c r="H4866" s="116">
        <f>IFERROR(__xludf.DUMMYFUNCTION("""COMPUTED_VALUE"""),45909.0)</f>
        <v>45909</v>
      </c>
      <c r="I4866" s="115" t="str">
        <f>IFERROR(__xludf.DUMMYFUNCTION("""COMPUTED_VALUE"""),"20")</f>
        <v>20</v>
      </c>
      <c r="J4866" s="115" t="str">
        <f>IFERROR(__xludf.DUMMYFUNCTION("""COMPUTED_VALUE"""),"Premkumar M2025-09-0920")</f>
        <v>Premkumar M2025-09-0920</v>
      </c>
      <c r="K4866" s="115">
        <f>IFERROR(__xludf.DUMMYFUNCTION("""COMPUTED_VALUE"""),18370.0)</f>
        <v>18370</v>
      </c>
    </row>
    <row r="4867">
      <c r="A4867" s="115" t="str">
        <f>IFERROR(__xludf.DUMMYFUNCTION("""COMPUTED_VALUE"""),"SOUTH")</f>
        <v>SOUTH</v>
      </c>
      <c r="B4867" s="115" t="str">
        <f>IFERROR(__xludf.DUMMYFUNCTION("""COMPUTED_VALUE"""),"Vineeth V")</f>
        <v>Vineeth V</v>
      </c>
      <c r="C4867" s="115" t="str">
        <f>IFERROR(__xludf.DUMMYFUNCTION("""COMPUTED_VALUE"""),"EXTERNAL")</f>
        <v>EXTERNAL</v>
      </c>
      <c r="D4867" s="115">
        <f>IFERROR(__xludf.DUMMYFUNCTION("""COMPUTED_VALUE"""),22556.0)</f>
        <v>22556</v>
      </c>
      <c r="E4867" s="115">
        <f>IFERROR(__xludf.DUMMYFUNCTION("""COMPUTED_VALUE"""),819.0)</f>
        <v>819</v>
      </c>
      <c r="F4867" s="115">
        <f>IFERROR(__xludf.DUMMYFUNCTION("""COMPUTED_VALUE"""),11862.0)</f>
        <v>11862</v>
      </c>
      <c r="G4867" s="115">
        <f>IFERROR(__xludf.DUMMYFUNCTION("""COMPUTED_VALUE"""),395.0)</f>
        <v>395</v>
      </c>
      <c r="H4867" s="116">
        <f>IFERROR(__xludf.DUMMYFUNCTION("""COMPUTED_VALUE"""),45909.0)</f>
        <v>45909</v>
      </c>
      <c r="I4867" s="115" t="str">
        <f>IFERROR(__xludf.DUMMYFUNCTION("""COMPUTED_VALUE"""),"20")</f>
        <v>20</v>
      </c>
      <c r="J4867" s="115" t="str">
        <f>IFERROR(__xludf.DUMMYFUNCTION("""COMPUTED_VALUE"""),"Vineeth V2025-09-0920")</f>
        <v>Vineeth V2025-09-0920</v>
      </c>
      <c r="K4867" s="115">
        <f>IFERROR(__xludf.DUMMYFUNCTION("""COMPUTED_VALUE"""),23375.0)</f>
        <v>23375</v>
      </c>
    </row>
    <row r="4868">
      <c r="A4868" s="115" t="str">
        <f>IFERROR(__xludf.DUMMYFUNCTION("""COMPUTED_VALUE"""),"SOUTH")</f>
        <v>SOUTH</v>
      </c>
      <c r="B4868" s="115" t="str">
        <f>IFERROR(__xludf.DUMMYFUNCTION("""COMPUTED_VALUE"""),"Vineeth V")</f>
        <v>Vineeth V</v>
      </c>
      <c r="C4868" s="115" t="str">
        <f>IFERROR(__xludf.DUMMYFUNCTION("""COMPUTED_VALUE"""),"FLIPKART")</f>
        <v>FLIPKART</v>
      </c>
      <c r="D4868" s="115">
        <f>IFERROR(__xludf.DUMMYFUNCTION("""COMPUTED_VALUE"""),229172.0)</f>
        <v>229172</v>
      </c>
      <c r="E4868" s="115">
        <f>IFERROR(__xludf.DUMMYFUNCTION("""COMPUTED_VALUE"""),18951.0)</f>
        <v>18951</v>
      </c>
      <c r="F4868" s="115">
        <f>IFERROR(__xludf.DUMMYFUNCTION("""COMPUTED_VALUE"""),186268.0)</f>
        <v>186268</v>
      </c>
      <c r="G4868" s="115">
        <f>IFERROR(__xludf.DUMMYFUNCTION("""COMPUTED_VALUE"""),10388.0)</f>
        <v>10388</v>
      </c>
      <c r="H4868" s="116">
        <f>IFERROR(__xludf.DUMMYFUNCTION("""COMPUTED_VALUE"""),45909.0)</f>
        <v>45909</v>
      </c>
      <c r="I4868" s="115" t="str">
        <f>IFERROR(__xludf.DUMMYFUNCTION("""COMPUTED_VALUE"""),"20")</f>
        <v>20</v>
      </c>
      <c r="J4868" s="115" t="str">
        <f>IFERROR(__xludf.DUMMYFUNCTION("""COMPUTED_VALUE"""),"Vineeth V2025-09-0920")</f>
        <v>Vineeth V2025-09-0920</v>
      </c>
      <c r="K4868" s="115">
        <f>IFERROR(__xludf.DUMMYFUNCTION("""COMPUTED_VALUE"""),248123.0)</f>
        <v>248123</v>
      </c>
    </row>
    <row r="4869">
      <c r="A4869" s="115" t="str">
        <f>IFERROR(__xludf.DUMMYFUNCTION("""COMPUTED_VALUE"""),"SOUTH")</f>
        <v>SOUTH</v>
      </c>
      <c r="B4869" s="115" t="str">
        <f>IFERROR(__xludf.DUMMYFUNCTION("""COMPUTED_VALUE"""),"Vineeth V")</f>
        <v>Vineeth V</v>
      </c>
      <c r="C4869" s="115" t="str">
        <f>IFERROR(__xludf.DUMMYFUNCTION("""COMPUTED_VALUE"""),"MYNTRA")</f>
        <v>MYNTRA</v>
      </c>
      <c r="D4869" s="115">
        <f>IFERROR(__xludf.DUMMYFUNCTION("""COMPUTED_VALUE"""),18657.0)</f>
        <v>18657</v>
      </c>
      <c r="E4869" s="115">
        <f>IFERROR(__xludf.DUMMYFUNCTION("""COMPUTED_VALUE"""),4813.0)</f>
        <v>4813</v>
      </c>
      <c r="F4869" s="115">
        <f>IFERROR(__xludf.DUMMYFUNCTION("""COMPUTED_VALUE"""),15910.0)</f>
        <v>15910</v>
      </c>
      <c r="G4869" s="115">
        <f>IFERROR(__xludf.DUMMYFUNCTION("""COMPUTED_VALUE"""),2668.0)</f>
        <v>2668</v>
      </c>
      <c r="H4869" s="116">
        <f>IFERROR(__xludf.DUMMYFUNCTION("""COMPUTED_VALUE"""),45909.0)</f>
        <v>45909</v>
      </c>
      <c r="I4869" s="115" t="str">
        <f>IFERROR(__xludf.DUMMYFUNCTION("""COMPUTED_VALUE"""),"20")</f>
        <v>20</v>
      </c>
      <c r="J4869" s="115" t="str">
        <f>IFERROR(__xludf.DUMMYFUNCTION("""COMPUTED_VALUE"""),"Vineeth V2025-09-0920")</f>
        <v>Vineeth V2025-09-0920</v>
      </c>
      <c r="K4869" s="115">
        <f>IFERROR(__xludf.DUMMYFUNCTION("""COMPUTED_VALUE"""),23470.0)</f>
        <v>23470</v>
      </c>
    </row>
    <row r="4870">
      <c r="A4870" s="115" t="str">
        <f>IFERROR(__xludf.DUMMYFUNCTION("""COMPUTED_VALUE"""),"WEST")</f>
        <v>WEST</v>
      </c>
      <c r="B4870" s="115" t="str">
        <f>IFERROR(__xludf.DUMMYFUNCTION("""COMPUTED_VALUE"""),"Ashish Jakar")</f>
        <v>Ashish Jakar</v>
      </c>
      <c r="C4870" s="115" t="str">
        <f>IFERROR(__xludf.DUMMYFUNCTION("""COMPUTED_VALUE"""),"EXTERNAL")</f>
        <v>EXTERNAL</v>
      </c>
      <c r="D4870" s="115">
        <f>IFERROR(__xludf.DUMMYFUNCTION("""COMPUTED_VALUE"""),56372.0)</f>
        <v>56372</v>
      </c>
      <c r="E4870" s="115">
        <f>IFERROR(__xludf.DUMMYFUNCTION("""COMPUTED_VALUE"""),8583.0)</f>
        <v>8583</v>
      </c>
      <c r="F4870" s="115">
        <f>IFERROR(__xludf.DUMMYFUNCTION("""COMPUTED_VALUE"""),23084.0)</f>
        <v>23084</v>
      </c>
      <c r="G4870" s="115">
        <f>IFERROR(__xludf.DUMMYFUNCTION("""COMPUTED_VALUE"""),3447.0)</f>
        <v>3447</v>
      </c>
      <c r="H4870" s="116">
        <f>IFERROR(__xludf.DUMMYFUNCTION("""COMPUTED_VALUE"""),45909.0)</f>
        <v>45909</v>
      </c>
      <c r="I4870" s="115" t="str">
        <f>IFERROR(__xludf.DUMMYFUNCTION("""COMPUTED_VALUE"""),"20")</f>
        <v>20</v>
      </c>
      <c r="J4870" s="115" t="str">
        <f>IFERROR(__xludf.DUMMYFUNCTION("""COMPUTED_VALUE"""),"Ashish Jakar2025-09-0920")</f>
        <v>Ashish Jakar2025-09-0920</v>
      </c>
      <c r="K4870" s="115">
        <f>IFERROR(__xludf.DUMMYFUNCTION("""COMPUTED_VALUE"""),64955.0)</f>
        <v>64955</v>
      </c>
    </row>
    <row r="4871">
      <c r="A4871" s="115" t="str">
        <f>IFERROR(__xludf.DUMMYFUNCTION("""COMPUTED_VALUE"""),"WEST")</f>
        <v>WEST</v>
      </c>
      <c r="B4871" s="115" t="str">
        <f>IFERROR(__xludf.DUMMYFUNCTION("""COMPUTED_VALUE"""),"Ashish Jakar")</f>
        <v>Ashish Jakar</v>
      </c>
      <c r="C4871" s="115" t="str">
        <f>IFERROR(__xludf.DUMMYFUNCTION("""COMPUTED_VALUE"""),"FLIPKART")</f>
        <v>FLIPKART</v>
      </c>
      <c r="D4871" s="115">
        <f>IFERROR(__xludf.DUMMYFUNCTION("""COMPUTED_VALUE"""),365191.0)</f>
        <v>365191</v>
      </c>
      <c r="E4871" s="115">
        <f>IFERROR(__xludf.DUMMYFUNCTION("""COMPUTED_VALUE"""),36740.0)</f>
        <v>36740</v>
      </c>
      <c r="F4871" s="115">
        <f>IFERROR(__xludf.DUMMYFUNCTION("""COMPUTED_VALUE"""),257765.0)</f>
        <v>257765</v>
      </c>
      <c r="G4871" s="115">
        <f>IFERROR(__xludf.DUMMYFUNCTION("""COMPUTED_VALUE"""),22183.0)</f>
        <v>22183</v>
      </c>
      <c r="H4871" s="116">
        <f>IFERROR(__xludf.DUMMYFUNCTION("""COMPUTED_VALUE"""),45909.0)</f>
        <v>45909</v>
      </c>
      <c r="I4871" s="115" t="str">
        <f>IFERROR(__xludf.DUMMYFUNCTION("""COMPUTED_VALUE"""),"20")</f>
        <v>20</v>
      </c>
      <c r="J4871" s="115" t="str">
        <f>IFERROR(__xludf.DUMMYFUNCTION("""COMPUTED_VALUE"""),"Ashish Jakar2025-09-0920")</f>
        <v>Ashish Jakar2025-09-0920</v>
      </c>
      <c r="K4871" s="115">
        <f>IFERROR(__xludf.DUMMYFUNCTION("""COMPUTED_VALUE"""),401931.0)</f>
        <v>401931</v>
      </c>
    </row>
    <row r="4872">
      <c r="A4872" s="115" t="str">
        <f>IFERROR(__xludf.DUMMYFUNCTION("""COMPUTED_VALUE"""),"WEST")</f>
        <v>WEST</v>
      </c>
      <c r="B4872" s="115" t="str">
        <f>IFERROR(__xludf.DUMMYFUNCTION("""COMPUTED_VALUE"""),"Ashish Jakar")</f>
        <v>Ashish Jakar</v>
      </c>
      <c r="C4872" s="115" t="str">
        <f>IFERROR(__xludf.DUMMYFUNCTION("""COMPUTED_VALUE"""),"MYNTRA")</f>
        <v>MYNTRA</v>
      </c>
      <c r="D4872" s="115">
        <f>IFERROR(__xludf.DUMMYFUNCTION("""COMPUTED_VALUE"""),42274.0)</f>
        <v>42274</v>
      </c>
      <c r="E4872" s="115">
        <f>IFERROR(__xludf.DUMMYFUNCTION("""COMPUTED_VALUE"""),12494.0)</f>
        <v>12494</v>
      </c>
      <c r="F4872" s="115">
        <f>IFERROR(__xludf.DUMMYFUNCTION("""COMPUTED_VALUE"""),34123.0)</f>
        <v>34123</v>
      </c>
      <c r="G4872" s="115">
        <f>IFERROR(__xludf.DUMMYFUNCTION("""COMPUTED_VALUE"""),7942.0)</f>
        <v>7942</v>
      </c>
      <c r="H4872" s="116">
        <f>IFERROR(__xludf.DUMMYFUNCTION("""COMPUTED_VALUE"""),45909.0)</f>
        <v>45909</v>
      </c>
      <c r="I4872" s="115" t="str">
        <f>IFERROR(__xludf.DUMMYFUNCTION("""COMPUTED_VALUE"""),"20")</f>
        <v>20</v>
      </c>
      <c r="J4872" s="115" t="str">
        <f>IFERROR(__xludf.DUMMYFUNCTION("""COMPUTED_VALUE"""),"Ashish Jakar2025-09-0920")</f>
        <v>Ashish Jakar2025-09-0920</v>
      </c>
      <c r="K4872" s="115">
        <f>IFERROR(__xludf.DUMMYFUNCTION("""COMPUTED_VALUE"""),54768.0)</f>
        <v>54768</v>
      </c>
    </row>
    <row r="4873">
      <c r="A4873" s="115" t="str">
        <f>IFERROR(__xludf.DUMMYFUNCTION("""COMPUTED_VALUE"""),"WEST")</f>
        <v>WEST</v>
      </c>
      <c r="B4873" s="115" t="str">
        <f>IFERROR(__xludf.DUMMYFUNCTION("""COMPUTED_VALUE"""),"Ashvani Bhatt")</f>
        <v>Ashvani Bhatt</v>
      </c>
      <c r="C4873" s="115" t="str">
        <f>IFERROR(__xludf.DUMMYFUNCTION("""COMPUTED_VALUE"""),"EXTERNAL")</f>
        <v>EXTERNAL</v>
      </c>
      <c r="D4873" s="115">
        <f>IFERROR(__xludf.DUMMYFUNCTION("""COMPUTED_VALUE"""),42344.0)</f>
        <v>42344</v>
      </c>
      <c r="E4873" s="115">
        <f>IFERROR(__xludf.DUMMYFUNCTION("""COMPUTED_VALUE"""),4407.0)</f>
        <v>4407</v>
      </c>
      <c r="F4873" s="115">
        <f>IFERROR(__xludf.DUMMYFUNCTION("""COMPUTED_VALUE"""),18412.0)</f>
        <v>18412</v>
      </c>
      <c r="G4873" s="115">
        <f>IFERROR(__xludf.DUMMYFUNCTION("""COMPUTED_VALUE"""),1533.0)</f>
        <v>1533</v>
      </c>
      <c r="H4873" s="116">
        <f>IFERROR(__xludf.DUMMYFUNCTION("""COMPUTED_VALUE"""),45909.0)</f>
        <v>45909</v>
      </c>
      <c r="I4873" s="115" t="str">
        <f>IFERROR(__xludf.DUMMYFUNCTION("""COMPUTED_VALUE"""),"20")</f>
        <v>20</v>
      </c>
      <c r="J4873" s="115" t="str">
        <f>IFERROR(__xludf.DUMMYFUNCTION("""COMPUTED_VALUE"""),"Ashvani Bhatt2025-09-0920")</f>
        <v>Ashvani Bhatt2025-09-0920</v>
      </c>
      <c r="K4873" s="115">
        <f>IFERROR(__xludf.DUMMYFUNCTION("""COMPUTED_VALUE"""),46751.0)</f>
        <v>46751</v>
      </c>
    </row>
    <row r="4874">
      <c r="A4874" s="115" t="str">
        <f>IFERROR(__xludf.DUMMYFUNCTION("""COMPUTED_VALUE"""),"WEST")</f>
        <v>WEST</v>
      </c>
      <c r="B4874" s="115" t="str">
        <f>IFERROR(__xludf.DUMMYFUNCTION("""COMPUTED_VALUE"""),"Ashvani Bhatt")</f>
        <v>Ashvani Bhatt</v>
      </c>
      <c r="C4874" s="115" t="str">
        <f>IFERROR(__xludf.DUMMYFUNCTION("""COMPUTED_VALUE"""),"FLIPKART")</f>
        <v>FLIPKART</v>
      </c>
      <c r="D4874" s="115">
        <f>IFERROR(__xludf.DUMMYFUNCTION("""COMPUTED_VALUE"""),285435.0)</f>
        <v>285435</v>
      </c>
      <c r="E4874" s="115">
        <f>IFERROR(__xludf.DUMMYFUNCTION("""COMPUTED_VALUE"""),31079.0)</f>
        <v>31079</v>
      </c>
      <c r="F4874" s="115">
        <f>IFERROR(__xludf.DUMMYFUNCTION("""COMPUTED_VALUE"""),212578.0)</f>
        <v>212578</v>
      </c>
      <c r="G4874" s="115">
        <f>IFERROR(__xludf.DUMMYFUNCTION("""COMPUTED_VALUE"""),19572.0)</f>
        <v>19572</v>
      </c>
      <c r="H4874" s="116">
        <f>IFERROR(__xludf.DUMMYFUNCTION("""COMPUTED_VALUE"""),45909.0)</f>
        <v>45909</v>
      </c>
      <c r="I4874" s="115" t="str">
        <f>IFERROR(__xludf.DUMMYFUNCTION("""COMPUTED_VALUE"""),"20")</f>
        <v>20</v>
      </c>
      <c r="J4874" s="115" t="str">
        <f>IFERROR(__xludf.DUMMYFUNCTION("""COMPUTED_VALUE"""),"Ashvani Bhatt2025-09-0920")</f>
        <v>Ashvani Bhatt2025-09-0920</v>
      </c>
      <c r="K4874" s="115">
        <f>IFERROR(__xludf.DUMMYFUNCTION("""COMPUTED_VALUE"""),316514.0)</f>
        <v>316514</v>
      </c>
    </row>
    <row r="4875">
      <c r="A4875" s="115" t="str">
        <f>IFERROR(__xludf.DUMMYFUNCTION("""COMPUTED_VALUE"""),"WEST")</f>
        <v>WEST</v>
      </c>
      <c r="B4875" s="115" t="str">
        <f>IFERROR(__xludf.DUMMYFUNCTION("""COMPUTED_VALUE"""),"Ashvani Bhatt")</f>
        <v>Ashvani Bhatt</v>
      </c>
      <c r="C4875" s="115" t="str">
        <f>IFERROR(__xludf.DUMMYFUNCTION("""COMPUTED_VALUE"""),"MYNTRA")</f>
        <v>MYNTRA</v>
      </c>
      <c r="D4875" s="115">
        <f>IFERROR(__xludf.DUMMYFUNCTION("""COMPUTED_VALUE"""),38384.0)</f>
        <v>38384</v>
      </c>
      <c r="E4875" s="115">
        <f>IFERROR(__xludf.DUMMYFUNCTION("""COMPUTED_VALUE"""),9845.0)</f>
        <v>9845</v>
      </c>
      <c r="F4875" s="115">
        <f>IFERROR(__xludf.DUMMYFUNCTION("""COMPUTED_VALUE"""),32491.0)</f>
        <v>32491</v>
      </c>
      <c r="G4875" s="115">
        <f>IFERROR(__xludf.DUMMYFUNCTION("""COMPUTED_VALUE"""),6825.0)</f>
        <v>6825</v>
      </c>
      <c r="H4875" s="116">
        <f>IFERROR(__xludf.DUMMYFUNCTION("""COMPUTED_VALUE"""),45909.0)</f>
        <v>45909</v>
      </c>
      <c r="I4875" s="115" t="str">
        <f>IFERROR(__xludf.DUMMYFUNCTION("""COMPUTED_VALUE"""),"20")</f>
        <v>20</v>
      </c>
      <c r="J4875" s="115" t="str">
        <f>IFERROR(__xludf.DUMMYFUNCTION("""COMPUTED_VALUE"""),"Ashvani Bhatt2025-09-0920")</f>
        <v>Ashvani Bhatt2025-09-0920</v>
      </c>
      <c r="K4875" s="115">
        <f>IFERROR(__xludf.DUMMYFUNCTION("""COMPUTED_VALUE"""),48229.0)</f>
        <v>48229</v>
      </c>
    </row>
    <row r="4876">
      <c r="A4876" s="115"/>
      <c r="B4876" s="115"/>
      <c r="C4876" s="115" t="str">
        <f>IFERROR(__xludf.DUMMYFUNCTION("""COMPUTED_VALUE"""),"EXTERNAL")</f>
        <v>EXTERNAL</v>
      </c>
      <c r="D4876" s="115">
        <f>IFERROR(__xludf.DUMMYFUNCTION("""COMPUTED_VALUE"""),577.0)</f>
        <v>577</v>
      </c>
      <c r="E4876" s="115">
        <f>IFERROR(__xludf.DUMMYFUNCTION("""COMPUTED_VALUE"""),86.0)</f>
        <v>86</v>
      </c>
      <c r="F4876" s="115">
        <f>IFERROR(__xludf.DUMMYFUNCTION("""COMPUTED_VALUE"""),253.0)</f>
        <v>253</v>
      </c>
      <c r="G4876" s="115">
        <f>IFERROR(__xludf.DUMMYFUNCTION("""COMPUTED_VALUE"""),51.0)</f>
        <v>51</v>
      </c>
      <c r="H4876" s="116">
        <f>IFERROR(__xludf.DUMMYFUNCTION("""COMPUTED_VALUE"""),45909.0)</f>
        <v>45909</v>
      </c>
      <c r="I4876" s="115" t="str">
        <f>IFERROR(__xludf.DUMMYFUNCTION("""COMPUTED_VALUE"""),"20")</f>
        <v>20</v>
      </c>
      <c r="J4876" s="115" t="str">
        <f>IFERROR(__xludf.DUMMYFUNCTION("""COMPUTED_VALUE"""),"2025-09-0920")</f>
        <v>2025-09-0920</v>
      </c>
      <c r="K4876" s="115">
        <f>IFERROR(__xludf.DUMMYFUNCTION("""COMPUTED_VALUE"""),663.0)</f>
        <v>663</v>
      </c>
    </row>
    <row r="4877">
      <c r="A4877" s="115"/>
      <c r="B4877" s="115"/>
      <c r="C4877" s="115" t="str">
        <f>IFERROR(__xludf.DUMMYFUNCTION("""COMPUTED_VALUE"""),"FLIPKART")</f>
        <v>FLIPKART</v>
      </c>
      <c r="D4877" s="115">
        <f>IFERROR(__xludf.DUMMYFUNCTION("""COMPUTED_VALUE"""),6128.0)</f>
        <v>6128</v>
      </c>
      <c r="E4877" s="115">
        <f>IFERROR(__xludf.DUMMYFUNCTION("""COMPUTED_VALUE"""),532.0)</f>
        <v>532</v>
      </c>
      <c r="F4877" s="115">
        <f>IFERROR(__xludf.DUMMYFUNCTION("""COMPUTED_VALUE"""),4073.0)</f>
        <v>4073</v>
      </c>
      <c r="G4877" s="115">
        <f>IFERROR(__xludf.DUMMYFUNCTION("""COMPUTED_VALUE"""),380.0)</f>
        <v>380</v>
      </c>
      <c r="H4877" s="116">
        <f>IFERROR(__xludf.DUMMYFUNCTION("""COMPUTED_VALUE"""),45909.0)</f>
        <v>45909</v>
      </c>
      <c r="I4877" s="115" t="str">
        <f>IFERROR(__xludf.DUMMYFUNCTION("""COMPUTED_VALUE"""),"20")</f>
        <v>20</v>
      </c>
      <c r="J4877" s="115" t="str">
        <f>IFERROR(__xludf.DUMMYFUNCTION("""COMPUTED_VALUE"""),"2025-09-0920")</f>
        <v>2025-09-0920</v>
      </c>
      <c r="K4877" s="115">
        <f>IFERROR(__xludf.DUMMYFUNCTION("""COMPUTED_VALUE"""),6660.0)</f>
        <v>6660</v>
      </c>
    </row>
    <row r="4878">
      <c r="A4878" s="115"/>
      <c r="B4878" s="115"/>
      <c r="C4878" s="115" t="str">
        <f>IFERROR(__xludf.DUMMYFUNCTION("""COMPUTED_VALUE"""),"MYNTRA")</f>
        <v>MYNTRA</v>
      </c>
      <c r="D4878" s="115">
        <f>IFERROR(__xludf.DUMMYFUNCTION("""COMPUTED_VALUE"""),691.0)</f>
        <v>691</v>
      </c>
      <c r="E4878" s="115">
        <f>IFERROR(__xludf.DUMMYFUNCTION("""COMPUTED_VALUE"""),165.0)</f>
        <v>165</v>
      </c>
      <c r="F4878" s="115">
        <f>IFERROR(__xludf.DUMMYFUNCTION("""COMPUTED_VALUE"""),550.0)</f>
        <v>550</v>
      </c>
      <c r="G4878" s="115">
        <f>IFERROR(__xludf.DUMMYFUNCTION("""COMPUTED_VALUE"""),122.0)</f>
        <v>122</v>
      </c>
      <c r="H4878" s="116">
        <f>IFERROR(__xludf.DUMMYFUNCTION("""COMPUTED_VALUE"""),45909.0)</f>
        <v>45909</v>
      </c>
      <c r="I4878" s="115" t="str">
        <f>IFERROR(__xludf.DUMMYFUNCTION("""COMPUTED_VALUE"""),"20")</f>
        <v>20</v>
      </c>
      <c r="J4878" s="115" t="str">
        <f>IFERROR(__xludf.DUMMYFUNCTION("""COMPUTED_VALUE"""),"2025-09-0920")</f>
        <v>2025-09-0920</v>
      </c>
      <c r="K4878" s="115">
        <f>IFERROR(__xludf.DUMMYFUNCTION("""COMPUTED_VALUE"""),856.0)</f>
        <v>856</v>
      </c>
    </row>
    <row r="4879">
      <c r="A4879" s="115" t="str">
        <f>IFERROR(__xludf.DUMMYFUNCTION("""COMPUTED_VALUE"""),"EAST")</f>
        <v>EAST</v>
      </c>
      <c r="B4879" s="115" t="str">
        <f>IFERROR(__xludf.DUMMYFUNCTION("""COMPUTED_VALUE"""),"Ashish Ranjan")</f>
        <v>Ashish Ranjan</v>
      </c>
      <c r="C4879" s="115" t="str">
        <f>IFERROR(__xludf.DUMMYFUNCTION("""COMPUTED_VALUE"""),"EXTERNAL")</f>
        <v>EXTERNAL</v>
      </c>
      <c r="D4879" s="115">
        <f>IFERROR(__xludf.DUMMYFUNCTION("""COMPUTED_VALUE"""),42554.0)</f>
        <v>42554</v>
      </c>
      <c r="E4879" s="115">
        <f>IFERROR(__xludf.DUMMYFUNCTION("""COMPUTED_VALUE"""),4190.0)</f>
        <v>4190</v>
      </c>
      <c r="F4879" s="115">
        <f>IFERROR(__xludf.DUMMYFUNCTION("""COMPUTED_VALUE"""),23355.0)</f>
        <v>23355</v>
      </c>
      <c r="G4879" s="115">
        <f>IFERROR(__xludf.DUMMYFUNCTION("""COMPUTED_VALUE"""),2261.0)</f>
        <v>2261</v>
      </c>
      <c r="H4879" s="116">
        <f>IFERROR(__xludf.DUMMYFUNCTION("""COMPUTED_VALUE"""),45909.0)</f>
        <v>45909</v>
      </c>
      <c r="I4879" s="115" t="str">
        <f>IFERROR(__xludf.DUMMYFUNCTION("""COMPUTED_VALUE"""),"21")</f>
        <v>21</v>
      </c>
      <c r="J4879" s="115" t="str">
        <f>IFERROR(__xludf.DUMMYFUNCTION("""COMPUTED_VALUE"""),"Ashish Ranjan2025-09-0921")</f>
        <v>Ashish Ranjan2025-09-0921</v>
      </c>
      <c r="K4879" s="115">
        <f>IFERROR(__xludf.DUMMYFUNCTION("""COMPUTED_VALUE"""),46744.0)</f>
        <v>46744</v>
      </c>
    </row>
    <row r="4880">
      <c r="A4880" s="115" t="str">
        <f>IFERROR(__xludf.DUMMYFUNCTION("""COMPUTED_VALUE"""),"EAST")</f>
        <v>EAST</v>
      </c>
      <c r="B4880" s="115" t="str">
        <f>IFERROR(__xludf.DUMMYFUNCTION("""COMPUTED_VALUE"""),"Ashish Ranjan")</f>
        <v>Ashish Ranjan</v>
      </c>
      <c r="C4880" s="115" t="str">
        <f>IFERROR(__xludf.DUMMYFUNCTION("""COMPUTED_VALUE"""),"FLIPKART")</f>
        <v>FLIPKART</v>
      </c>
      <c r="D4880" s="115">
        <f>IFERROR(__xludf.DUMMYFUNCTION("""COMPUTED_VALUE"""),669794.0)</f>
        <v>669794</v>
      </c>
      <c r="E4880" s="115">
        <f>IFERROR(__xludf.DUMMYFUNCTION("""COMPUTED_VALUE"""),73405.0)</f>
        <v>73405</v>
      </c>
      <c r="F4880" s="115">
        <f>IFERROR(__xludf.DUMMYFUNCTION("""COMPUTED_VALUE"""),593206.0)</f>
        <v>593206</v>
      </c>
      <c r="G4880" s="115">
        <f>IFERROR(__xludf.DUMMYFUNCTION("""COMPUTED_VALUE"""),59178.0)</f>
        <v>59178</v>
      </c>
      <c r="H4880" s="116">
        <f>IFERROR(__xludf.DUMMYFUNCTION("""COMPUTED_VALUE"""),45909.0)</f>
        <v>45909</v>
      </c>
      <c r="I4880" s="115" t="str">
        <f>IFERROR(__xludf.DUMMYFUNCTION("""COMPUTED_VALUE"""),"21")</f>
        <v>21</v>
      </c>
      <c r="J4880" s="115" t="str">
        <f>IFERROR(__xludf.DUMMYFUNCTION("""COMPUTED_VALUE"""),"Ashish Ranjan2025-09-0921")</f>
        <v>Ashish Ranjan2025-09-0921</v>
      </c>
      <c r="K4880" s="115">
        <f>IFERROR(__xludf.DUMMYFUNCTION("""COMPUTED_VALUE"""),743199.0)</f>
        <v>743199</v>
      </c>
    </row>
    <row r="4881">
      <c r="A4881" s="115" t="str">
        <f>IFERROR(__xludf.DUMMYFUNCTION("""COMPUTED_VALUE"""),"EAST")</f>
        <v>EAST</v>
      </c>
      <c r="B4881" s="115" t="str">
        <f>IFERROR(__xludf.DUMMYFUNCTION("""COMPUTED_VALUE"""),"Ashish Ranjan")</f>
        <v>Ashish Ranjan</v>
      </c>
      <c r="C4881" s="115" t="str">
        <f>IFERROR(__xludf.DUMMYFUNCTION("""COMPUTED_VALUE"""),"MYNTRA")</f>
        <v>MYNTRA</v>
      </c>
      <c r="D4881" s="115">
        <f>IFERROR(__xludf.DUMMYFUNCTION("""COMPUTED_VALUE"""),78044.0)</f>
        <v>78044</v>
      </c>
      <c r="E4881" s="115">
        <f>IFERROR(__xludf.DUMMYFUNCTION("""COMPUTED_VALUE"""),16800.0)</f>
        <v>16800</v>
      </c>
      <c r="F4881" s="115">
        <f>IFERROR(__xludf.DUMMYFUNCTION("""COMPUTED_VALUE"""),70240.0)</f>
        <v>70240</v>
      </c>
      <c r="G4881" s="115">
        <f>IFERROR(__xludf.DUMMYFUNCTION("""COMPUTED_VALUE"""),13460.0)</f>
        <v>13460</v>
      </c>
      <c r="H4881" s="116">
        <f>IFERROR(__xludf.DUMMYFUNCTION("""COMPUTED_VALUE"""),45909.0)</f>
        <v>45909</v>
      </c>
      <c r="I4881" s="115" t="str">
        <f>IFERROR(__xludf.DUMMYFUNCTION("""COMPUTED_VALUE"""),"21")</f>
        <v>21</v>
      </c>
      <c r="J4881" s="115" t="str">
        <f>IFERROR(__xludf.DUMMYFUNCTION("""COMPUTED_VALUE"""),"Ashish Ranjan2025-09-0921")</f>
        <v>Ashish Ranjan2025-09-0921</v>
      </c>
      <c r="K4881" s="115">
        <f>IFERROR(__xludf.DUMMYFUNCTION("""COMPUTED_VALUE"""),94844.0)</f>
        <v>94844</v>
      </c>
    </row>
    <row r="4882">
      <c r="A4882" s="115" t="str">
        <f>IFERROR(__xludf.DUMMYFUNCTION("""COMPUTED_VALUE"""),"EAST")</f>
        <v>EAST</v>
      </c>
      <c r="B4882" s="115" t="str">
        <f>IFERROR(__xludf.DUMMYFUNCTION("""COMPUTED_VALUE"""),"Girish Chand")</f>
        <v>Girish Chand</v>
      </c>
      <c r="C4882" s="115" t="str">
        <f>IFERROR(__xludf.DUMMYFUNCTION("""COMPUTED_VALUE"""),"EXTERNAL")</f>
        <v>EXTERNAL</v>
      </c>
      <c r="D4882" s="115">
        <f>IFERROR(__xludf.DUMMYFUNCTION("""COMPUTED_VALUE"""),24561.0)</f>
        <v>24561</v>
      </c>
      <c r="E4882" s="115">
        <f>IFERROR(__xludf.DUMMYFUNCTION("""COMPUTED_VALUE"""),2621.0)</f>
        <v>2621</v>
      </c>
      <c r="F4882" s="115">
        <f>IFERROR(__xludf.DUMMYFUNCTION("""COMPUTED_VALUE"""),11149.0)</f>
        <v>11149</v>
      </c>
      <c r="G4882" s="115">
        <f>IFERROR(__xludf.DUMMYFUNCTION("""COMPUTED_VALUE"""),860.0)</f>
        <v>860</v>
      </c>
      <c r="H4882" s="116">
        <f>IFERROR(__xludf.DUMMYFUNCTION("""COMPUTED_VALUE"""),45909.0)</f>
        <v>45909</v>
      </c>
      <c r="I4882" s="115" t="str">
        <f>IFERROR(__xludf.DUMMYFUNCTION("""COMPUTED_VALUE"""),"21")</f>
        <v>21</v>
      </c>
      <c r="J4882" s="115" t="str">
        <f>IFERROR(__xludf.DUMMYFUNCTION("""COMPUTED_VALUE"""),"Girish Chand2025-09-0921")</f>
        <v>Girish Chand2025-09-0921</v>
      </c>
      <c r="K4882" s="115">
        <f>IFERROR(__xludf.DUMMYFUNCTION("""COMPUTED_VALUE"""),27182.0)</f>
        <v>27182</v>
      </c>
    </row>
    <row r="4883">
      <c r="A4883" s="115" t="str">
        <f>IFERROR(__xludf.DUMMYFUNCTION("""COMPUTED_VALUE"""),"EAST")</f>
        <v>EAST</v>
      </c>
      <c r="B4883" s="115" t="str">
        <f>IFERROR(__xludf.DUMMYFUNCTION("""COMPUTED_VALUE"""),"Girish Chand")</f>
        <v>Girish Chand</v>
      </c>
      <c r="C4883" s="115" t="str">
        <f>IFERROR(__xludf.DUMMYFUNCTION("""COMPUTED_VALUE"""),"FLIPKART")</f>
        <v>FLIPKART</v>
      </c>
      <c r="D4883" s="115">
        <f>IFERROR(__xludf.DUMMYFUNCTION("""COMPUTED_VALUE"""),397162.0)</f>
        <v>397162</v>
      </c>
      <c r="E4883" s="115">
        <f>IFERROR(__xludf.DUMMYFUNCTION("""COMPUTED_VALUE"""),40479.0)</f>
        <v>40479</v>
      </c>
      <c r="F4883" s="115">
        <f>IFERROR(__xludf.DUMMYFUNCTION("""COMPUTED_VALUE"""),296013.0)</f>
        <v>296013</v>
      </c>
      <c r="G4883" s="115">
        <f>IFERROR(__xludf.DUMMYFUNCTION("""COMPUTED_VALUE"""),29443.0)</f>
        <v>29443</v>
      </c>
      <c r="H4883" s="116">
        <f>IFERROR(__xludf.DUMMYFUNCTION("""COMPUTED_VALUE"""),45909.0)</f>
        <v>45909</v>
      </c>
      <c r="I4883" s="115" t="str">
        <f>IFERROR(__xludf.DUMMYFUNCTION("""COMPUTED_VALUE"""),"21")</f>
        <v>21</v>
      </c>
      <c r="J4883" s="115" t="str">
        <f>IFERROR(__xludf.DUMMYFUNCTION("""COMPUTED_VALUE"""),"Girish Chand2025-09-0921")</f>
        <v>Girish Chand2025-09-0921</v>
      </c>
      <c r="K4883" s="115">
        <f>IFERROR(__xludf.DUMMYFUNCTION("""COMPUTED_VALUE"""),437641.0)</f>
        <v>437641</v>
      </c>
    </row>
    <row r="4884">
      <c r="A4884" s="115" t="str">
        <f>IFERROR(__xludf.DUMMYFUNCTION("""COMPUTED_VALUE"""),"EAST")</f>
        <v>EAST</v>
      </c>
      <c r="B4884" s="115" t="str">
        <f>IFERROR(__xludf.DUMMYFUNCTION("""COMPUTED_VALUE"""),"Girish Chand")</f>
        <v>Girish Chand</v>
      </c>
      <c r="C4884" s="115" t="str">
        <f>IFERROR(__xludf.DUMMYFUNCTION("""COMPUTED_VALUE"""),"MYNTRA")</f>
        <v>MYNTRA</v>
      </c>
      <c r="D4884" s="115">
        <f>IFERROR(__xludf.DUMMYFUNCTION("""COMPUTED_VALUE"""),39962.0)</f>
        <v>39962</v>
      </c>
      <c r="E4884" s="115">
        <f>IFERROR(__xludf.DUMMYFUNCTION("""COMPUTED_VALUE"""),7718.0)</f>
        <v>7718</v>
      </c>
      <c r="F4884" s="115">
        <f>IFERROR(__xludf.DUMMYFUNCTION("""COMPUTED_VALUE"""),31840.0)</f>
        <v>31840</v>
      </c>
      <c r="G4884" s="115">
        <f>IFERROR(__xludf.DUMMYFUNCTION("""COMPUTED_VALUE"""),5874.0)</f>
        <v>5874</v>
      </c>
      <c r="H4884" s="116">
        <f>IFERROR(__xludf.DUMMYFUNCTION("""COMPUTED_VALUE"""),45909.0)</f>
        <v>45909</v>
      </c>
      <c r="I4884" s="115" t="str">
        <f>IFERROR(__xludf.DUMMYFUNCTION("""COMPUTED_VALUE"""),"21")</f>
        <v>21</v>
      </c>
      <c r="J4884" s="115" t="str">
        <f>IFERROR(__xludf.DUMMYFUNCTION("""COMPUTED_VALUE"""),"Girish Chand2025-09-0921")</f>
        <v>Girish Chand2025-09-0921</v>
      </c>
      <c r="K4884" s="115">
        <f>IFERROR(__xludf.DUMMYFUNCTION("""COMPUTED_VALUE"""),47680.0)</f>
        <v>47680</v>
      </c>
    </row>
    <row r="4885">
      <c r="A4885" s="115" t="str">
        <f>IFERROR(__xludf.DUMMYFUNCTION("""COMPUTED_VALUE"""),"EAST")</f>
        <v>EAST</v>
      </c>
      <c r="B4885" s="115" t="str">
        <f>IFERROR(__xludf.DUMMYFUNCTION("""COMPUTED_VALUE"""),"Parag Kashyap")</f>
        <v>Parag Kashyap</v>
      </c>
      <c r="C4885" s="115" t="str">
        <f>IFERROR(__xludf.DUMMYFUNCTION("""COMPUTED_VALUE"""),"EXTERNAL")</f>
        <v>EXTERNAL</v>
      </c>
      <c r="D4885" s="115">
        <f>IFERROR(__xludf.DUMMYFUNCTION("""COMPUTED_VALUE"""),18188.0)</f>
        <v>18188</v>
      </c>
      <c r="E4885" s="115">
        <f>IFERROR(__xludf.DUMMYFUNCTION("""COMPUTED_VALUE"""),1347.0)</f>
        <v>1347</v>
      </c>
      <c r="F4885" s="115">
        <f>IFERROR(__xludf.DUMMYFUNCTION("""COMPUTED_VALUE"""),8368.0)</f>
        <v>8368</v>
      </c>
      <c r="G4885" s="115">
        <f>IFERROR(__xludf.DUMMYFUNCTION("""COMPUTED_VALUE"""),521.0)</f>
        <v>521</v>
      </c>
      <c r="H4885" s="116">
        <f>IFERROR(__xludf.DUMMYFUNCTION("""COMPUTED_VALUE"""),45909.0)</f>
        <v>45909</v>
      </c>
      <c r="I4885" s="115" t="str">
        <f>IFERROR(__xludf.DUMMYFUNCTION("""COMPUTED_VALUE"""),"21")</f>
        <v>21</v>
      </c>
      <c r="J4885" s="115" t="str">
        <f>IFERROR(__xludf.DUMMYFUNCTION("""COMPUTED_VALUE"""),"Parag Kashyap2025-09-0921")</f>
        <v>Parag Kashyap2025-09-0921</v>
      </c>
      <c r="K4885" s="115">
        <f>IFERROR(__xludf.DUMMYFUNCTION("""COMPUTED_VALUE"""),19535.0)</f>
        <v>19535</v>
      </c>
    </row>
    <row r="4886">
      <c r="A4886" s="115" t="str">
        <f>IFERROR(__xludf.DUMMYFUNCTION("""COMPUTED_VALUE"""),"EAST")</f>
        <v>EAST</v>
      </c>
      <c r="B4886" s="115" t="str">
        <f>IFERROR(__xludf.DUMMYFUNCTION("""COMPUTED_VALUE"""),"Parag Kashyap")</f>
        <v>Parag Kashyap</v>
      </c>
      <c r="C4886" s="115" t="str">
        <f>IFERROR(__xludf.DUMMYFUNCTION("""COMPUTED_VALUE"""),"FLIPKART")</f>
        <v>FLIPKART</v>
      </c>
      <c r="D4886" s="115">
        <f>IFERROR(__xludf.DUMMYFUNCTION("""COMPUTED_VALUE"""),313518.0)</f>
        <v>313518</v>
      </c>
      <c r="E4886" s="115">
        <f>IFERROR(__xludf.DUMMYFUNCTION("""COMPUTED_VALUE"""),21792.0)</f>
        <v>21792</v>
      </c>
      <c r="F4886" s="115">
        <f>IFERROR(__xludf.DUMMYFUNCTION("""COMPUTED_VALUE"""),246174.0)</f>
        <v>246174</v>
      </c>
      <c r="G4886" s="115">
        <f>IFERROR(__xludf.DUMMYFUNCTION("""COMPUTED_VALUE"""),15347.0)</f>
        <v>15347</v>
      </c>
      <c r="H4886" s="116">
        <f>IFERROR(__xludf.DUMMYFUNCTION("""COMPUTED_VALUE"""),45909.0)</f>
        <v>45909</v>
      </c>
      <c r="I4886" s="115" t="str">
        <f>IFERROR(__xludf.DUMMYFUNCTION("""COMPUTED_VALUE"""),"21")</f>
        <v>21</v>
      </c>
      <c r="J4886" s="115" t="str">
        <f>IFERROR(__xludf.DUMMYFUNCTION("""COMPUTED_VALUE"""),"Parag Kashyap2025-09-0921")</f>
        <v>Parag Kashyap2025-09-0921</v>
      </c>
      <c r="K4886" s="115">
        <f>IFERROR(__xludf.DUMMYFUNCTION("""COMPUTED_VALUE"""),335310.0)</f>
        <v>335310</v>
      </c>
    </row>
    <row r="4887">
      <c r="A4887" s="115" t="str">
        <f>IFERROR(__xludf.DUMMYFUNCTION("""COMPUTED_VALUE"""),"EAST")</f>
        <v>EAST</v>
      </c>
      <c r="B4887" s="115" t="str">
        <f>IFERROR(__xludf.DUMMYFUNCTION("""COMPUTED_VALUE"""),"Parag Kashyap")</f>
        <v>Parag Kashyap</v>
      </c>
      <c r="C4887" s="115" t="str">
        <f>IFERROR(__xludf.DUMMYFUNCTION("""COMPUTED_VALUE"""),"MYNTRA")</f>
        <v>MYNTRA</v>
      </c>
      <c r="D4887" s="115">
        <f>IFERROR(__xludf.DUMMYFUNCTION("""COMPUTED_VALUE"""),40365.0)</f>
        <v>40365</v>
      </c>
      <c r="E4887" s="115">
        <f>IFERROR(__xludf.DUMMYFUNCTION("""COMPUTED_VALUE"""),6362.0)</f>
        <v>6362</v>
      </c>
      <c r="F4887" s="115">
        <f>IFERROR(__xludf.DUMMYFUNCTION("""COMPUTED_VALUE"""),32706.0)</f>
        <v>32706</v>
      </c>
      <c r="G4887" s="115">
        <f>IFERROR(__xludf.DUMMYFUNCTION("""COMPUTED_VALUE"""),4525.0)</f>
        <v>4525</v>
      </c>
      <c r="H4887" s="116">
        <f>IFERROR(__xludf.DUMMYFUNCTION("""COMPUTED_VALUE"""),45909.0)</f>
        <v>45909</v>
      </c>
      <c r="I4887" s="115" t="str">
        <f>IFERROR(__xludf.DUMMYFUNCTION("""COMPUTED_VALUE"""),"21")</f>
        <v>21</v>
      </c>
      <c r="J4887" s="115" t="str">
        <f>IFERROR(__xludf.DUMMYFUNCTION("""COMPUTED_VALUE"""),"Parag Kashyap2025-09-0921")</f>
        <v>Parag Kashyap2025-09-0921</v>
      </c>
      <c r="K4887" s="115">
        <f>IFERROR(__xludf.DUMMYFUNCTION("""COMPUTED_VALUE"""),46727.0)</f>
        <v>46727</v>
      </c>
    </row>
    <row r="4888">
      <c r="A4888" s="115" t="str">
        <f>IFERROR(__xludf.DUMMYFUNCTION("""COMPUTED_VALUE"""),"NORTH")</f>
        <v>NORTH</v>
      </c>
      <c r="B4888" s="115" t="str">
        <f>IFERROR(__xludf.DUMMYFUNCTION("""COMPUTED_VALUE"""),"Amit Kumar Pathak")</f>
        <v>Amit Kumar Pathak</v>
      </c>
      <c r="C4888" s="115" t="str">
        <f>IFERROR(__xludf.DUMMYFUNCTION("""COMPUTED_VALUE"""),"EXTERNAL")</f>
        <v>EXTERNAL</v>
      </c>
      <c r="D4888" s="115">
        <f>IFERROR(__xludf.DUMMYFUNCTION("""COMPUTED_VALUE"""),29242.0)</f>
        <v>29242</v>
      </c>
      <c r="E4888" s="115">
        <f>IFERROR(__xludf.DUMMYFUNCTION("""COMPUTED_VALUE"""),4032.0)</f>
        <v>4032</v>
      </c>
      <c r="F4888" s="115">
        <f>IFERROR(__xludf.DUMMYFUNCTION("""COMPUTED_VALUE"""),11525.0)</f>
        <v>11525</v>
      </c>
      <c r="G4888" s="115">
        <f>IFERROR(__xludf.DUMMYFUNCTION("""COMPUTED_VALUE"""),2092.0)</f>
        <v>2092</v>
      </c>
      <c r="H4888" s="116">
        <f>IFERROR(__xludf.DUMMYFUNCTION("""COMPUTED_VALUE"""),45909.0)</f>
        <v>45909</v>
      </c>
      <c r="I4888" s="115" t="str">
        <f>IFERROR(__xludf.DUMMYFUNCTION("""COMPUTED_VALUE"""),"21")</f>
        <v>21</v>
      </c>
      <c r="J4888" s="115" t="str">
        <f>IFERROR(__xludf.DUMMYFUNCTION("""COMPUTED_VALUE"""),"Amit Kumar Pathak2025-09-0921")</f>
        <v>Amit Kumar Pathak2025-09-0921</v>
      </c>
      <c r="K4888" s="115">
        <f>IFERROR(__xludf.DUMMYFUNCTION("""COMPUTED_VALUE"""),33274.0)</f>
        <v>33274</v>
      </c>
    </row>
    <row r="4889">
      <c r="A4889" s="115" t="str">
        <f>IFERROR(__xludf.DUMMYFUNCTION("""COMPUTED_VALUE"""),"NORTH")</f>
        <v>NORTH</v>
      </c>
      <c r="B4889" s="115" t="str">
        <f>IFERROR(__xludf.DUMMYFUNCTION("""COMPUTED_VALUE"""),"Amit Kumar Pathak")</f>
        <v>Amit Kumar Pathak</v>
      </c>
      <c r="C4889" s="115" t="str">
        <f>IFERROR(__xludf.DUMMYFUNCTION("""COMPUTED_VALUE"""),"FLIPKART")</f>
        <v>FLIPKART</v>
      </c>
      <c r="D4889" s="115">
        <f>IFERROR(__xludf.DUMMYFUNCTION("""COMPUTED_VALUE"""),183312.0)</f>
        <v>183312</v>
      </c>
      <c r="E4889" s="115">
        <f>IFERROR(__xludf.DUMMYFUNCTION("""COMPUTED_VALUE"""),24779.0)</f>
        <v>24779</v>
      </c>
      <c r="F4889" s="115">
        <f>IFERROR(__xludf.DUMMYFUNCTION("""COMPUTED_VALUE"""),140493.0)</f>
        <v>140493</v>
      </c>
      <c r="G4889" s="115">
        <f>IFERROR(__xludf.DUMMYFUNCTION("""COMPUTED_VALUE"""),16760.0)</f>
        <v>16760</v>
      </c>
      <c r="H4889" s="116">
        <f>IFERROR(__xludf.DUMMYFUNCTION("""COMPUTED_VALUE"""),45909.0)</f>
        <v>45909</v>
      </c>
      <c r="I4889" s="115" t="str">
        <f>IFERROR(__xludf.DUMMYFUNCTION("""COMPUTED_VALUE"""),"21")</f>
        <v>21</v>
      </c>
      <c r="J4889" s="115" t="str">
        <f>IFERROR(__xludf.DUMMYFUNCTION("""COMPUTED_VALUE"""),"Amit Kumar Pathak2025-09-0921")</f>
        <v>Amit Kumar Pathak2025-09-0921</v>
      </c>
      <c r="K4889" s="115">
        <f>IFERROR(__xludf.DUMMYFUNCTION("""COMPUTED_VALUE"""),208091.0)</f>
        <v>208091</v>
      </c>
    </row>
    <row r="4890">
      <c r="A4890" s="115" t="str">
        <f>IFERROR(__xludf.DUMMYFUNCTION("""COMPUTED_VALUE"""),"NORTH")</f>
        <v>NORTH</v>
      </c>
      <c r="B4890" s="115" t="str">
        <f>IFERROR(__xludf.DUMMYFUNCTION("""COMPUTED_VALUE"""),"Amit Kumar Pathak")</f>
        <v>Amit Kumar Pathak</v>
      </c>
      <c r="C4890" s="115" t="str">
        <f>IFERROR(__xludf.DUMMYFUNCTION("""COMPUTED_VALUE"""),"MYNTRA")</f>
        <v>MYNTRA</v>
      </c>
      <c r="D4890" s="115">
        <f>IFERROR(__xludf.DUMMYFUNCTION("""COMPUTED_VALUE"""),17741.0)</f>
        <v>17741</v>
      </c>
      <c r="E4890" s="115">
        <f>IFERROR(__xludf.DUMMYFUNCTION("""COMPUTED_VALUE"""),5999.0)</f>
        <v>5999</v>
      </c>
      <c r="F4890" s="115">
        <f>IFERROR(__xludf.DUMMYFUNCTION("""COMPUTED_VALUE"""),15210.0)</f>
        <v>15210</v>
      </c>
      <c r="G4890" s="115">
        <f>IFERROR(__xludf.DUMMYFUNCTION("""COMPUTED_VALUE"""),4365.0)</f>
        <v>4365</v>
      </c>
      <c r="H4890" s="116">
        <f>IFERROR(__xludf.DUMMYFUNCTION("""COMPUTED_VALUE"""),45909.0)</f>
        <v>45909</v>
      </c>
      <c r="I4890" s="115" t="str">
        <f>IFERROR(__xludf.DUMMYFUNCTION("""COMPUTED_VALUE"""),"21")</f>
        <v>21</v>
      </c>
      <c r="J4890" s="115" t="str">
        <f>IFERROR(__xludf.DUMMYFUNCTION("""COMPUTED_VALUE"""),"Amit Kumar Pathak2025-09-0921")</f>
        <v>Amit Kumar Pathak2025-09-0921</v>
      </c>
      <c r="K4890" s="115">
        <f>IFERROR(__xludf.DUMMYFUNCTION("""COMPUTED_VALUE"""),23740.0)</f>
        <v>23740</v>
      </c>
    </row>
    <row r="4891">
      <c r="A4891" s="115" t="str">
        <f>IFERROR(__xludf.DUMMYFUNCTION("""COMPUTED_VALUE"""),"NORTH")</f>
        <v>NORTH</v>
      </c>
      <c r="B4891" s="115" t="str">
        <f>IFERROR(__xludf.DUMMYFUNCTION("""COMPUTED_VALUE"""),"Loveleen Singh")</f>
        <v>Loveleen Singh</v>
      </c>
      <c r="C4891" s="115" t="str">
        <f>IFERROR(__xludf.DUMMYFUNCTION("""COMPUTED_VALUE"""),"EXTERNAL")</f>
        <v>EXTERNAL</v>
      </c>
      <c r="D4891" s="115">
        <f>IFERROR(__xludf.DUMMYFUNCTION("""COMPUTED_VALUE"""),34604.0)</f>
        <v>34604</v>
      </c>
      <c r="E4891" s="115">
        <f>IFERROR(__xludf.DUMMYFUNCTION("""COMPUTED_VALUE"""),3138.0)</f>
        <v>3138</v>
      </c>
      <c r="F4891" s="115">
        <f>IFERROR(__xludf.DUMMYFUNCTION("""COMPUTED_VALUE"""),14380.0)</f>
        <v>14380</v>
      </c>
      <c r="G4891" s="115">
        <f>IFERROR(__xludf.DUMMYFUNCTION("""COMPUTED_VALUE"""),1065.0)</f>
        <v>1065</v>
      </c>
      <c r="H4891" s="116">
        <f>IFERROR(__xludf.DUMMYFUNCTION("""COMPUTED_VALUE"""),45909.0)</f>
        <v>45909</v>
      </c>
      <c r="I4891" s="115" t="str">
        <f>IFERROR(__xludf.DUMMYFUNCTION("""COMPUTED_VALUE"""),"21")</f>
        <v>21</v>
      </c>
      <c r="J4891" s="115" t="str">
        <f>IFERROR(__xludf.DUMMYFUNCTION("""COMPUTED_VALUE"""),"Loveleen Singh2025-09-0921")</f>
        <v>Loveleen Singh2025-09-0921</v>
      </c>
      <c r="K4891" s="115">
        <f>IFERROR(__xludf.DUMMYFUNCTION("""COMPUTED_VALUE"""),37742.0)</f>
        <v>37742</v>
      </c>
    </row>
    <row r="4892">
      <c r="A4892" s="115" t="str">
        <f>IFERROR(__xludf.DUMMYFUNCTION("""COMPUTED_VALUE"""),"NORTH")</f>
        <v>NORTH</v>
      </c>
      <c r="B4892" s="115" t="str">
        <f>IFERROR(__xludf.DUMMYFUNCTION("""COMPUTED_VALUE"""),"Loveleen Singh")</f>
        <v>Loveleen Singh</v>
      </c>
      <c r="C4892" s="115" t="str">
        <f>IFERROR(__xludf.DUMMYFUNCTION("""COMPUTED_VALUE"""),"FLIPKART")</f>
        <v>FLIPKART</v>
      </c>
      <c r="D4892" s="115">
        <f>IFERROR(__xludf.DUMMYFUNCTION("""COMPUTED_VALUE"""),179635.0)</f>
        <v>179635</v>
      </c>
      <c r="E4892" s="115">
        <f>IFERROR(__xludf.DUMMYFUNCTION("""COMPUTED_VALUE"""),15404.0)</f>
        <v>15404</v>
      </c>
      <c r="F4892" s="115">
        <f>IFERROR(__xludf.DUMMYFUNCTION("""COMPUTED_VALUE"""),136144.0)</f>
        <v>136144</v>
      </c>
      <c r="G4892" s="115">
        <f>IFERROR(__xludf.DUMMYFUNCTION("""COMPUTED_VALUE"""),10183.0)</f>
        <v>10183</v>
      </c>
      <c r="H4892" s="116">
        <f>IFERROR(__xludf.DUMMYFUNCTION("""COMPUTED_VALUE"""),45909.0)</f>
        <v>45909</v>
      </c>
      <c r="I4892" s="115" t="str">
        <f>IFERROR(__xludf.DUMMYFUNCTION("""COMPUTED_VALUE"""),"21")</f>
        <v>21</v>
      </c>
      <c r="J4892" s="115" t="str">
        <f>IFERROR(__xludf.DUMMYFUNCTION("""COMPUTED_VALUE"""),"Loveleen Singh2025-09-0921")</f>
        <v>Loveleen Singh2025-09-0921</v>
      </c>
      <c r="K4892" s="115">
        <f>IFERROR(__xludf.DUMMYFUNCTION("""COMPUTED_VALUE"""),195039.0)</f>
        <v>195039</v>
      </c>
    </row>
    <row r="4893">
      <c r="A4893" s="115" t="str">
        <f>IFERROR(__xludf.DUMMYFUNCTION("""COMPUTED_VALUE"""),"NORTH")</f>
        <v>NORTH</v>
      </c>
      <c r="B4893" s="115" t="str">
        <f>IFERROR(__xludf.DUMMYFUNCTION("""COMPUTED_VALUE"""),"Loveleen Singh")</f>
        <v>Loveleen Singh</v>
      </c>
      <c r="C4893" s="115" t="str">
        <f>IFERROR(__xludf.DUMMYFUNCTION("""COMPUTED_VALUE"""),"MYNTRA")</f>
        <v>MYNTRA</v>
      </c>
      <c r="D4893" s="115">
        <f>IFERROR(__xludf.DUMMYFUNCTION("""COMPUTED_VALUE"""),31954.0)</f>
        <v>31954</v>
      </c>
      <c r="E4893" s="115">
        <f>IFERROR(__xludf.DUMMYFUNCTION("""COMPUTED_VALUE"""),6771.0)</f>
        <v>6771</v>
      </c>
      <c r="F4893" s="115">
        <f>IFERROR(__xludf.DUMMYFUNCTION("""COMPUTED_VALUE"""),26620.0)</f>
        <v>26620</v>
      </c>
      <c r="G4893" s="115">
        <f>IFERROR(__xludf.DUMMYFUNCTION("""COMPUTED_VALUE"""),4823.0)</f>
        <v>4823</v>
      </c>
      <c r="H4893" s="116">
        <f>IFERROR(__xludf.DUMMYFUNCTION("""COMPUTED_VALUE"""),45909.0)</f>
        <v>45909</v>
      </c>
      <c r="I4893" s="115" t="str">
        <f>IFERROR(__xludf.DUMMYFUNCTION("""COMPUTED_VALUE"""),"21")</f>
        <v>21</v>
      </c>
      <c r="J4893" s="115" t="str">
        <f>IFERROR(__xludf.DUMMYFUNCTION("""COMPUTED_VALUE"""),"Loveleen Singh2025-09-0921")</f>
        <v>Loveleen Singh2025-09-0921</v>
      </c>
      <c r="K4893" s="115">
        <f>IFERROR(__xludf.DUMMYFUNCTION("""COMPUTED_VALUE"""),38725.0)</f>
        <v>38725</v>
      </c>
    </row>
    <row r="4894">
      <c r="A4894" s="115" t="str">
        <f>IFERROR(__xludf.DUMMYFUNCTION("""COMPUTED_VALUE"""),"NORTH")</f>
        <v>NORTH</v>
      </c>
      <c r="B4894" s="115" t="str">
        <f>IFERROR(__xludf.DUMMYFUNCTION("""COMPUTED_VALUE"""),"Manoj Harsh")</f>
        <v>Manoj Harsh</v>
      </c>
      <c r="C4894" s="115" t="str">
        <f>IFERROR(__xludf.DUMMYFUNCTION("""COMPUTED_VALUE"""),"EXTERNAL")</f>
        <v>EXTERNAL</v>
      </c>
      <c r="D4894" s="115">
        <f>IFERROR(__xludf.DUMMYFUNCTION("""COMPUTED_VALUE"""),37915.0)</f>
        <v>37915</v>
      </c>
      <c r="E4894" s="115">
        <f>IFERROR(__xludf.DUMMYFUNCTION("""COMPUTED_VALUE"""),3800.0)</f>
        <v>3800</v>
      </c>
      <c r="F4894" s="115">
        <f>IFERROR(__xludf.DUMMYFUNCTION("""COMPUTED_VALUE"""),17176.0)</f>
        <v>17176</v>
      </c>
      <c r="G4894" s="115">
        <f>IFERROR(__xludf.DUMMYFUNCTION("""COMPUTED_VALUE"""),1309.0)</f>
        <v>1309</v>
      </c>
      <c r="H4894" s="116">
        <f>IFERROR(__xludf.DUMMYFUNCTION("""COMPUTED_VALUE"""),45909.0)</f>
        <v>45909</v>
      </c>
      <c r="I4894" s="115" t="str">
        <f>IFERROR(__xludf.DUMMYFUNCTION("""COMPUTED_VALUE"""),"21")</f>
        <v>21</v>
      </c>
      <c r="J4894" s="115" t="str">
        <f>IFERROR(__xludf.DUMMYFUNCTION("""COMPUTED_VALUE"""),"Manoj Harsh2025-09-0921")</f>
        <v>Manoj Harsh2025-09-0921</v>
      </c>
      <c r="K4894" s="115">
        <f>IFERROR(__xludf.DUMMYFUNCTION("""COMPUTED_VALUE"""),41715.0)</f>
        <v>41715</v>
      </c>
    </row>
    <row r="4895">
      <c r="A4895" s="115" t="str">
        <f>IFERROR(__xludf.DUMMYFUNCTION("""COMPUTED_VALUE"""),"NORTH")</f>
        <v>NORTH</v>
      </c>
      <c r="B4895" s="115" t="str">
        <f>IFERROR(__xludf.DUMMYFUNCTION("""COMPUTED_VALUE"""),"Manoj Harsh")</f>
        <v>Manoj Harsh</v>
      </c>
      <c r="C4895" s="115" t="str">
        <f>IFERROR(__xludf.DUMMYFUNCTION("""COMPUTED_VALUE"""),"FLIPKART")</f>
        <v>FLIPKART</v>
      </c>
      <c r="D4895" s="115">
        <f>IFERROR(__xludf.DUMMYFUNCTION("""COMPUTED_VALUE"""),408151.0)</f>
        <v>408151</v>
      </c>
      <c r="E4895" s="115">
        <f>IFERROR(__xludf.DUMMYFUNCTION("""COMPUTED_VALUE"""),43926.0)</f>
        <v>43926</v>
      </c>
      <c r="F4895" s="115">
        <f>IFERROR(__xludf.DUMMYFUNCTION("""COMPUTED_VALUE"""),304982.0)</f>
        <v>304982</v>
      </c>
      <c r="G4895" s="115">
        <f>IFERROR(__xludf.DUMMYFUNCTION("""COMPUTED_VALUE"""),30067.0)</f>
        <v>30067</v>
      </c>
      <c r="H4895" s="116">
        <f>IFERROR(__xludf.DUMMYFUNCTION("""COMPUTED_VALUE"""),45909.0)</f>
        <v>45909</v>
      </c>
      <c r="I4895" s="115" t="str">
        <f>IFERROR(__xludf.DUMMYFUNCTION("""COMPUTED_VALUE"""),"21")</f>
        <v>21</v>
      </c>
      <c r="J4895" s="115" t="str">
        <f>IFERROR(__xludf.DUMMYFUNCTION("""COMPUTED_VALUE"""),"Manoj Harsh2025-09-0921")</f>
        <v>Manoj Harsh2025-09-0921</v>
      </c>
      <c r="K4895" s="115">
        <f>IFERROR(__xludf.DUMMYFUNCTION("""COMPUTED_VALUE"""),452077.0)</f>
        <v>452077</v>
      </c>
    </row>
    <row r="4896">
      <c r="A4896" s="115" t="str">
        <f>IFERROR(__xludf.DUMMYFUNCTION("""COMPUTED_VALUE"""),"NORTH")</f>
        <v>NORTH</v>
      </c>
      <c r="B4896" s="115" t="str">
        <f>IFERROR(__xludf.DUMMYFUNCTION("""COMPUTED_VALUE"""),"Manoj Harsh")</f>
        <v>Manoj Harsh</v>
      </c>
      <c r="C4896" s="115" t="str">
        <f>IFERROR(__xludf.DUMMYFUNCTION("""COMPUTED_VALUE"""),"MYNTRA")</f>
        <v>MYNTRA</v>
      </c>
      <c r="D4896" s="115">
        <f>IFERROR(__xludf.DUMMYFUNCTION("""COMPUTED_VALUE"""),40468.0)</f>
        <v>40468</v>
      </c>
      <c r="E4896" s="115">
        <f>IFERROR(__xludf.DUMMYFUNCTION("""COMPUTED_VALUE"""),8405.0)</f>
        <v>8405</v>
      </c>
      <c r="F4896" s="115">
        <f>IFERROR(__xludf.DUMMYFUNCTION("""COMPUTED_VALUE"""),32886.0)</f>
        <v>32886</v>
      </c>
      <c r="G4896" s="115">
        <f>IFERROR(__xludf.DUMMYFUNCTION("""COMPUTED_VALUE"""),6196.0)</f>
        <v>6196</v>
      </c>
      <c r="H4896" s="116">
        <f>IFERROR(__xludf.DUMMYFUNCTION("""COMPUTED_VALUE"""),45909.0)</f>
        <v>45909</v>
      </c>
      <c r="I4896" s="115" t="str">
        <f>IFERROR(__xludf.DUMMYFUNCTION("""COMPUTED_VALUE"""),"21")</f>
        <v>21</v>
      </c>
      <c r="J4896" s="115" t="str">
        <f>IFERROR(__xludf.DUMMYFUNCTION("""COMPUTED_VALUE"""),"Manoj Harsh2025-09-0921")</f>
        <v>Manoj Harsh2025-09-0921</v>
      </c>
      <c r="K4896" s="115">
        <f>IFERROR(__xludf.DUMMYFUNCTION("""COMPUTED_VALUE"""),48873.0)</f>
        <v>48873</v>
      </c>
    </row>
    <row r="4897">
      <c r="A4897" s="115" t="str">
        <f>IFERROR(__xludf.DUMMYFUNCTION("""COMPUTED_VALUE"""),"NORTH")</f>
        <v>NORTH</v>
      </c>
      <c r="B4897" s="115" t="str">
        <f>IFERROR(__xludf.DUMMYFUNCTION("""COMPUTED_VALUE"""),"Pradeep Kothari")</f>
        <v>Pradeep Kothari</v>
      </c>
      <c r="C4897" s="115" t="str">
        <f>IFERROR(__xludf.DUMMYFUNCTION("""COMPUTED_VALUE"""),"EXTERNAL")</f>
        <v>EXTERNAL</v>
      </c>
      <c r="D4897" s="115">
        <f>IFERROR(__xludf.DUMMYFUNCTION("""COMPUTED_VALUE"""),20870.0)</f>
        <v>20870</v>
      </c>
      <c r="E4897" s="115">
        <f>IFERROR(__xludf.DUMMYFUNCTION("""COMPUTED_VALUE"""),2291.0)</f>
        <v>2291</v>
      </c>
      <c r="F4897" s="115">
        <f>IFERROR(__xludf.DUMMYFUNCTION("""COMPUTED_VALUE"""),8843.0)</f>
        <v>8843</v>
      </c>
      <c r="G4897" s="115">
        <f>IFERROR(__xludf.DUMMYFUNCTION("""COMPUTED_VALUE"""),913.0)</f>
        <v>913</v>
      </c>
      <c r="H4897" s="116">
        <f>IFERROR(__xludf.DUMMYFUNCTION("""COMPUTED_VALUE"""),45909.0)</f>
        <v>45909</v>
      </c>
      <c r="I4897" s="115" t="str">
        <f>IFERROR(__xludf.DUMMYFUNCTION("""COMPUTED_VALUE"""),"21")</f>
        <v>21</v>
      </c>
      <c r="J4897" s="115" t="str">
        <f>IFERROR(__xludf.DUMMYFUNCTION("""COMPUTED_VALUE"""),"Pradeep Kothari2025-09-0921")</f>
        <v>Pradeep Kothari2025-09-0921</v>
      </c>
      <c r="K4897" s="115">
        <f>IFERROR(__xludf.DUMMYFUNCTION("""COMPUTED_VALUE"""),23161.0)</f>
        <v>23161</v>
      </c>
    </row>
    <row r="4898">
      <c r="A4898" s="115" t="str">
        <f>IFERROR(__xludf.DUMMYFUNCTION("""COMPUTED_VALUE"""),"NORTH")</f>
        <v>NORTH</v>
      </c>
      <c r="B4898" s="115" t="str">
        <f>IFERROR(__xludf.DUMMYFUNCTION("""COMPUTED_VALUE"""),"Pradeep Kothari")</f>
        <v>Pradeep Kothari</v>
      </c>
      <c r="C4898" s="115" t="str">
        <f>IFERROR(__xludf.DUMMYFUNCTION("""COMPUTED_VALUE"""),"FLIPKART")</f>
        <v>FLIPKART</v>
      </c>
      <c r="D4898" s="115">
        <f>IFERROR(__xludf.DUMMYFUNCTION("""COMPUTED_VALUE"""),144121.0)</f>
        <v>144121</v>
      </c>
      <c r="E4898" s="115">
        <f>IFERROR(__xludf.DUMMYFUNCTION("""COMPUTED_VALUE"""),17661.0)</f>
        <v>17661</v>
      </c>
      <c r="F4898" s="115">
        <f>IFERROR(__xludf.DUMMYFUNCTION("""COMPUTED_VALUE"""),110404.0)</f>
        <v>110404</v>
      </c>
      <c r="G4898" s="115">
        <f>IFERROR(__xludf.DUMMYFUNCTION("""COMPUTED_VALUE"""),12111.0)</f>
        <v>12111</v>
      </c>
      <c r="H4898" s="116">
        <f>IFERROR(__xludf.DUMMYFUNCTION("""COMPUTED_VALUE"""),45909.0)</f>
        <v>45909</v>
      </c>
      <c r="I4898" s="115" t="str">
        <f>IFERROR(__xludf.DUMMYFUNCTION("""COMPUTED_VALUE"""),"21")</f>
        <v>21</v>
      </c>
      <c r="J4898" s="115" t="str">
        <f>IFERROR(__xludf.DUMMYFUNCTION("""COMPUTED_VALUE"""),"Pradeep Kothari2025-09-0921")</f>
        <v>Pradeep Kothari2025-09-0921</v>
      </c>
      <c r="K4898" s="115">
        <f>IFERROR(__xludf.DUMMYFUNCTION("""COMPUTED_VALUE"""),161782.0)</f>
        <v>161782</v>
      </c>
    </row>
    <row r="4899">
      <c r="A4899" s="115" t="str">
        <f>IFERROR(__xludf.DUMMYFUNCTION("""COMPUTED_VALUE"""),"NORTH")</f>
        <v>NORTH</v>
      </c>
      <c r="B4899" s="115" t="str">
        <f>IFERROR(__xludf.DUMMYFUNCTION("""COMPUTED_VALUE"""),"Pradeep Kothari")</f>
        <v>Pradeep Kothari</v>
      </c>
      <c r="C4899" s="115" t="str">
        <f>IFERROR(__xludf.DUMMYFUNCTION("""COMPUTED_VALUE"""),"MYNTRA")</f>
        <v>MYNTRA</v>
      </c>
      <c r="D4899" s="115">
        <f>IFERROR(__xludf.DUMMYFUNCTION("""COMPUTED_VALUE"""),27130.0)</f>
        <v>27130</v>
      </c>
      <c r="E4899" s="115">
        <f>IFERROR(__xludf.DUMMYFUNCTION("""COMPUTED_VALUE"""),7150.0)</f>
        <v>7150</v>
      </c>
      <c r="F4899" s="115">
        <f>IFERROR(__xludf.DUMMYFUNCTION("""COMPUTED_VALUE"""),22774.0)</f>
        <v>22774</v>
      </c>
      <c r="G4899" s="115">
        <f>IFERROR(__xludf.DUMMYFUNCTION("""COMPUTED_VALUE"""),5398.0)</f>
        <v>5398</v>
      </c>
      <c r="H4899" s="116">
        <f>IFERROR(__xludf.DUMMYFUNCTION("""COMPUTED_VALUE"""),45909.0)</f>
        <v>45909</v>
      </c>
      <c r="I4899" s="115" t="str">
        <f>IFERROR(__xludf.DUMMYFUNCTION("""COMPUTED_VALUE"""),"21")</f>
        <v>21</v>
      </c>
      <c r="J4899" s="115" t="str">
        <f>IFERROR(__xludf.DUMMYFUNCTION("""COMPUTED_VALUE"""),"Pradeep Kothari2025-09-0921")</f>
        <v>Pradeep Kothari2025-09-0921</v>
      </c>
      <c r="K4899" s="115">
        <f>IFERROR(__xludf.DUMMYFUNCTION("""COMPUTED_VALUE"""),34280.0)</f>
        <v>34280</v>
      </c>
    </row>
    <row r="4900">
      <c r="A4900" s="115" t="str">
        <f>IFERROR(__xludf.DUMMYFUNCTION("""COMPUTED_VALUE"""),"SOUTH")</f>
        <v>SOUTH</v>
      </c>
      <c r="B4900" s="115" t="str">
        <f>IFERROR(__xludf.DUMMYFUNCTION("""COMPUTED_VALUE"""),"0")</f>
        <v>0</v>
      </c>
      <c r="C4900" s="115" t="str">
        <f>IFERROR(__xludf.DUMMYFUNCTION("""COMPUTED_VALUE"""),"EXTERNAL")</f>
        <v>EXTERNAL</v>
      </c>
      <c r="D4900" s="115">
        <f>IFERROR(__xludf.DUMMYFUNCTION("""COMPUTED_VALUE"""),3.0)</f>
        <v>3</v>
      </c>
      <c r="E4900" s="115">
        <f>IFERROR(__xludf.DUMMYFUNCTION("""COMPUTED_VALUE"""),2.0)</f>
        <v>2</v>
      </c>
      <c r="F4900" s="115">
        <f>IFERROR(__xludf.DUMMYFUNCTION("""COMPUTED_VALUE"""),3.0)</f>
        <v>3</v>
      </c>
      <c r="G4900" s="115">
        <f>IFERROR(__xludf.DUMMYFUNCTION("""COMPUTED_VALUE"""),2.0)</f>
        <v>2</v>
      </c>
      <c r="H4900" s="116">
        <f>IFERROR(__xludf.DUMMYFUNCTION("""COMPUTED_VALUE"""),45909.0)</f>
        <v>45909</v>
      </c>
      <c r="I4900" s="115" t="str">
        <f>IFERROR(__xludf.DUMMYFUNCTION("""COMPUTED_VALUE"""),"21")</f>
        <v>21</v>
      </c>
      <c r="J4900" s="115" t="str">
        <f>IFERROR(__xludf.DUMMYFUNCTION("""COMPUTED_VALUE"""),"02025-09-0921")</f>
        <v>02025-09-0921</v>
      </c>
      <c r="K4900" s="115">
        <f>IFERROR(__xludf.DUMMYFUNCTION("""COMPUTED_VALUE"""),5.0)</f>
        <v>5</v>
      </c>
    </row>
    <row r="4901">
      <c r="A4901" s="115" t="str">
        <f>IFERROR(__xludf.DUMMYFUNCTION("""COMPUTED_VALUE"""),"SOUTH")</f>
        <v>SOUTH</v>
      </c>
      <c r="B4901" s="115" t="str">
        <f>IFERROR(__xludf.DUMMYFUNCTION("""COMPUTED_VALUE"""),"0")</f>
        <v>0</v>
      </c>
      <c r="C4901" s="115" t="str">
        <f>IFERROR(__xludf.DUMMYFUNCTION("""COMPUTED_VALUE"""),"FLIPKART")</f>
        <v>FLIPKART</v>
      </c>
      <c r="D4901" s="115">
        <f>IFERROR(__xludf.DUMMYFUNCTION("""COMPUTED_VALUE"""),68.0)</f>
        <v>68</v>
      </c>
      <c r="E4901" s="115">
        <f>IFERROR(__xludf.DUMMYFUNCTION("""COMPUTED_VALUE"""),45.0)</f>
        <v>45</v>
      </c>
      <c r="F4901" s="115">
        <f>IFERROR(__xludf.DUMMYFUNCTION("""COMPUTED_VALUE"""),49.0)</f>
        <v>49</v>
      </c>
      <c r="G4901" s="115">
        <f>IFERROR(__xludf.DUMMYFUNCTION("""COMPUTED_VALUE"""),8.0)</f>
        <v>8</v>
      </c>
      <c r="H4901" s="116">
        <f>IFERROR(__xludf.DUMMYFUNCTION("""COMPUTED_VALUE"""),45909.0)</f>
        <v>45909</v>
      </c>
      <c r="I4901" s="115" t="str">
        <f>IFERROR(__xludf.DUMMYFUNCTION("""COMPUTED_VALUE"""),"21")</f>
        <v>21</v>
      </c>
      <c r="J4901" s="115" t="str">
        <f>IFERROR(__xludf.DUMMYFUNCTION("""COMPUTED_VALUE"""),"02025-09-0921")</f>
        <v>02025-09-0921</v>
      </c>
      <c r="K4901" s="115">
        <f>IFERROR(__xludf.DUMMYFUNCTION("""COMPUTED_VALUE"""),113.0)</f>
        <v>113</v>
      </c>
    </row>
    <row r="4902">
      <c r="A4902" s="115" t="str">
        <f>IFERROR(__xludf.DUMMYFUNCTION("""COMPUTED_VALUE"""),"SOUTH")</f>
        <v>SOUTH</v>
      </c>
      <c r="B4902" s="115" t="str">
        <f>IFERROR(__xludf.DUMMYFUNCTION("""COMPUTED_VALUE"""),"0")</f>
        <v>0</v>
      </c>
      <c r="C4902" s="115" t="str">
        <f>IFERROR(__xludf.DUMMYFUNCTION("""COMPUTED_VALUE"""),"MYNTRA")</f>
        <v>MYNTRA</v>
      </c>
      <c r="D4902" s="115">
        <f>IFERROR(__xludf.DUMMYFUNCTION("""COMPUTED_VALUE"""),6.0)</f>
        <v>6</v>
      </c>
      <c r="E4902" s="115">
        <f>IFERROR(__xludf.DUMMYFUNCTION("""COMPUTED_VALUE"""),16.0)</f>
        <v>16</v>
      </c>
      <c r="F4902" s="115">
        <f>IFERROR(__xludf.DUMMYFUNCTION("""COMPUTED_VALUE"""),5.0)</f>
        <v>5</v>
      </c>
      <c r="G4902" s="115">
        <f>IFERROR(__xludf.DUMMYFUNCTION("""COMPUTED_VALUE"""),4.0)</f>
        <v>4</v>
      </c>
      <c r="H4902" s="116">
        <f>IFERROR(__xludf.DUMMYFUNCTION("""COMPUTED_VALUE"""),45909.0)</f>
        <v>45909</v>
      </c>
      <c r="I4902" s="115" t="str">
        <f>IFERROR(__xludf.DUMMYFUNCTION("""COMPUTED_VALUE"""),"21")</f>
        <v>21</v>
      </c>
      <c r="J4902" s="115" t="str">
        <f>IFERROR(__xludf.DUMMYFUNCTION("""COMPUTED_VALUE"""),"02025-09-0921")</f>
        <v>02025-09-0921</v>
      </c>
      <c r="K4902" s="115">
        <f>IFERROR(__xludf.DUMMYFUNCTION("""COMPUTED_VALUE"""),22.0)</f>
        <v>22</v>
      </c>
    </row>
    <row r="4903">
      <c r="A4903" s="115" t="str">
        <f>IFERROR(__xludf.DUMMYFUNCTION("""COMPUTED_VALUE"""),"SOUTH")</f>
        <v>SOUTH</v>
      </c>
      <c r="B4903" s="115" t="str">
        <f>IFERROR(__xludf.DUMMYFUNCTION("""COMPUTED_VALUE"""),"Kandula Sampath")</f>
        <v>Kandula Sampath</v>
      </c>
      <c r="C4903" s="115" t="str">
        <f>IFERROR(__xludf.DUMMYFUNCTION("""COMPUTED_VALUE"""),"EXTERNAL")</f>
        <v>EXTERNAL</v>
      </c>
      <c r="D4903" s="115">
        <f>IFERROR(__xludf.DUMMYFUNCTION("""COMPUTED_VALUE"""),34257.0)</f>
        <v>34257</v>
      </c>
      <c r="E4903" s="115">
        <f>IFERROR(__xludf.DUMMYFUNCTION("""COMPUTED_VALUE"""),4851.0)</f>
        <v>4851</v>
      </c>
      <c r="F4903" s="115">
        <f>IFERROR(__xludf.DUMMYFUNCTION("""COMPUTED_VALUE"""),14690.0)</f>
        <v>14690</v>
      </c>
      <c r="G4903" s="115">
        <f>IFERROR(__xludf.DUMMYFUNCTION("""COMPUTED_VALUE"""),1727.0)</f>
        <v>1727</v>
      </c>
      <c r="H4903" s="116">
        <f>IFERROR(__xludf.DUMMYFUNCTION("""COMPUTED_VALUE"""),45909.0)</f>
        <v>45909</v>
      </c>
      <c r="I4903" s="115" t="str">
        <f>IFERROR(__xludf.DUMMYFUNCTION("""COMPUTED_VALUE"""),"21")</f>
        <v>21</v>
      </c>
      <c r="J4903" s="115" t="str">
        <f>IFERROR(__xludf.DUMMYFUNCTION("""COMPUTED_VALUE"""),"Kandula Sampath2025-09-0921")</f>
        <v>Kandula Sampath2025-09-0921</v>
      </c>
      <c r="K4903" s="115">
        <f>IFERROR(__xludf.DUMMYFUNCTION("""COMPUTED_VALUE"""),39108.0)</f>
        <v>39108</v>
      </c>
    </row>
    <row r="4904">
      <c r="A4904" s="115" t="str">
        <f>IFERROR(__xludf.DUMMYFUNCTION("""COMPUTED_VALUE"""),"SOUTH")</f>
        <v>SOUTH</v>
      </c>
      <c r="B4904" s="115" t="str">
        <f>IFERROR(__xludf.DUMMYFUNCTION("""COMPUTED_VALUE"""),"Kandula Sampath")</f>
        <v>Kandula Sampath</v>
      </c>
      <c r="C4904" s="115" t="str">
        <f>IFERROR(__xludf.DUMMYFUNCTION("""COMPUTED_VALUE"""),"FLIPKART")</f>
        <v>FLIPKART</v>
      </c>
      <c r="D4904" s="115">
        <f>IFERROR(__xludf.DUMMYFUNCTION("""COMPUTED_VALUE"""),317333.0)</f>
        <v>317333</v>
      </c>
      <c r="E4904" s="115">
        <f>IFERROR(__xludf.DUMMYFUNCTION("""COMPUTED_VALUE"""),36214.0)</f>
        <v>36214</v>
      </c>
      <c r="F4904" s="115">
        <f>IFERROR(__xludf.DUMMYFUNCTION("""COMPUTED_VALUE"""),236532.0)</f>
        <v>236532</v>
      </c>
      <c r="G4904" s="115">
        <f>IFERROR(__xludf.DUMMYFUNCTION("""COMPUTED_VALUE"""),23499.0)</f>
        <v>23499</v>
      </c>
      <c r="H4904" s="116">
        <f>IFERROR(__xludf.DUMMYFUNCTION("""COMPUTED_VALUE"""),45909.0)</f>
        <v>45909</v>
      </c>
      <c r="I4904" s="115" t="str">
        <f>IFERROR(__xludf.DUMMYFUNCTION("""COMPUTED_VALUE"""),"21")</f>
        <v>21</v>
      </c>
      <c r="J4904" s="115" t="str">
        <f>IFERROR(__xludf.DUMMYFUNCTION("""COMPUTED_VALUE"""),"Kandula Sampath2025-09-0921")</f>
        <v>Kandula Sampath2025-09-0921</v>
      </c>
      <c r="K4904" s="115">
        <f>IFERROR(__xludf.DUMMYFUNCTION("""COMPUTED_VALUE"""),353547.0)</f>
        <v>353547</v>
      </c>
    </row>
    <row r="4905">
      <c r="A4905" s="115" t="str">
        <f>IFERROR(__xludf.DUMMYFUNCTION("""COMPUTED_VALUE"""),"SOUTH")</f>
        <v>SOUTH</v>
      </c>
      <c r="B4905" s="115" t="str">
        <f>IFERROR(__xludf.DUMMYFUNCTION("""COMPUTED_VALUE"""),"Kandula Sampath")</f>
        <v>Kandula Sampath</v>
      </c>
      <c r="C4905" s="115" t="str">
        <f>IFERROR(__xludf.DUMMYFUNCTION("""COMPUTED_VALUE"""),"MYNTRA")</f>
        <v>MYNTRA</v>
      </c>
      <c r="D4905" s="115">
        <f>IFERROR(__xludf.DUMMYFUNCTION("""COMPUTED_VALUE"""),37896.0)</f>
        <v>37896</v>
      </c>
      <c r="E4905" s="115">
        <f>IFERROR(__xludf.DUMMYFUNCTION("""COMPUTED_VALUE"""),10017.0)</f>
        <v>10017</v>
      </c>
      <c r="F4905" s="115">
        <f>IFERROR(__xludf.DUMMYFUNCTION("""COMPUTED_VALUE"""),30954.0)</f>
        <v>30954</v>
      </c>
      <c r="G4905" s="115">
        <f>IFERROR(__xludf.DUMMYFUNCTION("""COMPUTED_VALUE"""),6762.0)</f>
        <v>6762</v>
      </c>
      <c r="H4905" s="116">
        <f>IFERROR(__xludf.DUMMYFUNCTION("""COMPUTED_VALUE"""),45909.0)</f>
        <v>45909</v>
      </c>
      <c r="I4905" s="115" t="str">
        <f>IFERROR(__xludf.DUMMYFUNCTION("""COMPUTED_VALUE"""),"21")</f>
        <v>21</v>
      </c>
      <c r="J4905" s="115" t="str">
        <f>IFERROR(__xludf.DUMMYFUNCTION("""COMPUTED_VALUE"""),"Kandula Sampath2025-09-0921")</f>
        <v>Kandula Sampath2025-09-0921</v>
      </c>
      <c r="K4905" s="115">
        <f>IFERROR(__xludf.DUMMYFUNCTION("""COMPUTED_VALUE"""),47913.0)</f>
        <v>47913</v>
      </c>
    </row>
    <row r="4906">
      <c r="A4906" s="115" t="str">
        <f>IFERROR(__xludf.DUMMYFUNCTION("""COMPUTED_VALUE"""),"SOUTH")</f>
        <v>SOUTH</v>
      </c>
      <c r="B4906" s="115" t="str">
        <f>IFERROR(__xludf.DUMMYFUNCTION("""COMPUTED_VALUE"""),"Martin A")</f>
        <v>Martin A</v>
      </c>
      <c r="C4906" s="115" t="str">
        <f>IFERROR(__xludf.DUMMYFUNCTION("""COMPUTED_VALUE"""),"EXTERNAL")</f>
        <v>EXTERNAL</v>
      </c>
      <c r="D4906" s="115">
        <f>IFERROR(__xludf.DUMMYFUNCTION("""COMPUTED_VALUE"""),33681.0)</f>
        <v>33681</v>
      </c>
      <c r="E4906" s="115">
        <f>IFERROR(__xludf.DUMMYFUNCTION("""COMPUTED_VALUE"""),4749.0)</f>
        <v>4749</v>
      </c>
      <c r="F4906" s="115">
        <f>IFERROR(__xludf.DUMMYFUNCTION("""COMPUTED_VALUE"""),14628.0)</f>
        <v>14628</v>
      </c>
      <c r="G4906" s="115">
        <f>IFERROR(__xludf.DUMMYFUNCTION("""COMPUTED_VALUE"""),2395.0)</f>
        <v>2395</v>
      </c>
      <c r="H4906" s="116">
        <f>IFERROR(__xludf.DUMMYFUNCTION("""COMPUTED_VALUE"""),45909.0)</f>
        <v>45909</v>
      </c>
      <c r="I4906" s="115" t="str">
        <f>IFERROR(__xludf.DUMMYFUNCTION("""COMPUTED_VALUE"""),"21")</f>
        <v>21</v>
      </c>
      <c r="J4906" s="115" t="str">
        <f>IFERROR(__xludf.DUMMYFUNCTION("""COMPUTED_VALUE"""),"Martin A2025-09-0921")</f>
        <v>Martin A2025-09-0921</v>
      </c>
      <c r="K4906" s="115">
        <f>IFERROR(__xludf.DUMMYFUNCTION("""COMPUTED_VALUE"""),38430.0)</f>
        <v>38430</v>
      </c>
    </row>
    <row r="4907">
      <c r="A4907" s="115" t="str">
        <f>IFERROR(__xludf.DUMMYFUNCTION("""COMPUTED_VALUE"""),"SOUTH")</f>
        <v>SOUTH</v>
      </c>
      <c r="B4907" s="115" t="str">
        <f>IFERROR(__xludf.DUMMYFUNCTION("""COMPUTED_VALUE"""),"Martin A")</f>
        <v>Martin A</v>
      </c>
      <c r="C4907" s="115" t="str">
        <f>IFERROR(__xludf.DUMMYFUNCTION("""COMPUTED_VALUE"""),"FLIPKART")</f>
        <v>FLIPKART</v>
      </c>
      <c r="D4907" s="115">
        <f>IFERROR(__xludf.DUMMYFUNCTION("""COMPUTED_VALUE"""),290594.0)</f>
        <v>290594</v>
      </c>
      <c r="E4907" s="115">
        <f>IFERROR(__xludf.DUMMYFUNCTION("""COMPUTED_VALUE"""),31387.0)</f>
        <v>31387</v>
      </c>
      <c r="F4907" s="115">
        <f>IFERROR(__xludf.DUMMYFUNCTION("""COMPUTED_VALUE"""),220780.0)</f>
        <v>220780</v>
      </c>
      <c r="G4907" s="115">
        <f>IFERROR(__xludf.DUMMYFUNCTION("""COMPUTED_VALUE"""),21017.0)</f>
        <v>21017</v>
      </c>
      <c r="H4907" s="116">
        <f>IFERROR(__xludf.DUMMYFUNCTION("""COMPUTED_VALUE"""),45909.0)</f>
        <v>45909</v>
      </c>
      <c r="I4907" s="115" t="str">
        <f>IFERROR(__xludf.DUMMYFUNCTION("""COMPUTED_VALUE"""),"21")</f>
        <v>21</v>
      </c>
      <c r="J4907" s="115" t="str">
        <f>IFERROR(__xludf.DUMMYFUNCTION("""COMPUTED_VALUE"""),"Martin A2025-09-0921")</f>
        <v>Martin A2025-09-0921</v>
      </c>
      <c r="K4907" s="115">
        <f>IFERROR(__xludf.DUMMYFUNCTION("""COMPUTED_VALUE"""),321981.0)</f>
        <v>321981</v>
      </c>
    </row>
    <row r="4908">
      <c r="A4908" s="115" t="str">
        <f>IFERROR(__xludf.DUMMYFUNCTION("""COMPUTED_VALUE"""),"SOUTH")</f>
        <v>SOUTH</v>
      </c>
      <c r="B4908" s="115" t="str">
        <f>IFERROR(__xludf.DUMMYFUNCTION("""COMPUTED_VALUE"""),"Martin A")</f>
        <v>Martin A</v>
      </c>
      <c r="C4908" s="115" t="str">
        <f>IFERROR(__xludf.DUMMYFUNCTION("""COMPUTED_VALUE"""),"MYNTRA")</f>
        <v>MYNTRA</v>
      </c>
      <c r="D4908" s="115">
        <f>IFERROR(__xludf.DUMMYFUNCTION("""COMPUTED_VALUE"""),26525.0)</f>
        <v>26525</v>
      </c>
      <c r="E4908" s="115">
        <f>IFERROR(__xludf.DUMMYFUNCTION("""COMPUTED_VALUE"""),7983.0)</f>
        <v>7983</v>
      </c>
      <c r="F4908" s="115">
        <f>IFERROR(__xludf.DUMMYFUNCTION("""COMPUTED_VALUE"""),22468.0)</f>
        <v>22468</v>
      </c>
      <c r="G4908" s="115">
        <f>IFERROR(__xludf.DUMMYFUNCTION("""COMPUTED_VALUE"""),5644.0)</f>
        <v>5644</v>
      </c>
      <c r="H4908" s="116">
        <f>IFERROR(__xludf.DUMMYFUNCTION("""COMPUTED_VALUE"""),45909.0)</f>
        <v>45909</v>
      </c>
      <c r="I4908" s="115" t="str">
        <f>IFERROR(__xludf.DUMMYFUNCTION("""COMPUTED_VALUE"""),"21")</f>
        <v>21</v>
      </c>
      <c r="J4908" s="115" t="str">
        <f>IFERROR(__xludf.DUMMYFUNCTION("""COMPUTED_VALUE"""),"Martin A2025-09-0921")</f>
        <v>Martin A2025-09-0921</v>
      </c>
      <c r="K4908" s="115">
        <f>IFERROR(__xludf.DUMMYFUNCTION("""COMPUTED_VALUE"""),34508.0)</f>
        <v>34508</v>
      </c>
    </row>
    <row r="4909">
      <c r="A4909" s="115" t="str">
        <f>IFERROR(__xludf.DUMMYFUNCTION("""COMPUTED_VALUE"""),"SOUTH")</f>
        <v>SOUTH</v>
      </c>
      <c r="B4909" s="115" t="str">
        <f>IFERROR(__xludf.DUMMYFUNCTION("""COMPUTED_VALUE"""),"Premkumar M")</f>
        <v>Premkumar M</v>
      </c>
      <c r="C4909" s="115" t="str">
        <f>IFERROR(__xludf.DUMMYFUNCTION("""COMPUTED_VALUE"""),"EXTERNAL")</f>
        <v>EXTERNAL</v>
      </c>
      <c r="D4909" s="115">
        <f>IFERROR(__xludf.DUMMYFUNCTION("""COMPUTED_VALUE"""),28547.0)</f>
        <v>28547</v>
      </c>
      <c r="E4909" s="115">
        <f>IFERROR(__xludf.DUMMYFUNCTION("""COMPUTED_VALUE"""),2569.0)</f>
        <v>2569</v>
      </c>
      <c r="F4909" s="115">
        <f>IFERROR(__xludf.DUMMYFUNCTION("""COMPUTED_VALUE"""),14420.0)</f>
        <v>14420</v>
      </c>
      <c r="G4909" s="115">
        <f>IFERROR(__xludf.DUMMYFUNCTION("""COMPUTED_VALUE"""),1049.0)</f>
        <v>1049</v>
      </c>
      <c r="H4909" s="116">
        <f>IFERROR(__xludf.DUMMYFUNCTION("""COMPUTED_VALUE"""),45909.0)</f>
        <v>45909</v>
      </c>
      <c r="I4909" s="115" t="str">
        <f>IFERROR(__xludf.DUMMYFUNCTION("""COMPUTED_VALUE"""),"21")</f>
        <v>21</v>
      </c>
      <c r="J4909" s="115" t="str">
        <f>IFERROR(__xludf.DUMMYFUNCTION("""COMPUTED_VALUE"""),"Premkumar M2025-09-0921")</f>
        <v>Premkumar M2025-09-0921</v>
      </c>
      <c r="K4909" s="115">
        <f>IFERROR(__xludf.DUMMYFUNCTION("""COMPUTED_VALUE"""),31116.0)</f>
        <v>31116</v>
      </c>
    </row>
    <row r="4910">
      <c r="A4910" s="115" t="str">
        <f>IFERROR(__xludf.DUMMYFUNCTION("""COMPUTED_VALUE"""),"SOUTH")</f>
        <v>SOUTH</v>
      </c>
      <c r="B4910" s="115" t="str">
        <f>IFERROR(__xludf.DUMMYFUNCTION("""COMPUTED_VALUE"""),"Premkumar M")</f>
        <v>Premkumar M</v>
      </c>
      <c r="C4910" s="115" t="str">
        <f>IFERROR(__xludf.DUMMYFUNCTION("""COMPUTED_VALUE"""),"FLIPKART")</f>
        <v>FLIPKART</v>
      </c>
      <c r="D4910" s="115">
        <f>IFERROR(__xludf.DUMMYFUNCTION("""COMPUTED_VALUE"""),270895.0)</f>
        <v>270895</v>
      </c>
      <c r="E4910" s="115">
        <f>IFERROR(__xludf.DUMMYFUNCTION("""COMPUTED_VALUE"""),21893.0)</f>
        <v>21893</v>
      </c>
      <c r="F4910" s="115">
        <f>IFERROR(__xludf.DUMMYFUNCTION("""COMPUTED_VALUE"""),209655.0)</f>
        <v>209655</v>
      </c>
      <c r="G4910" s="115">
        <f>IFERROR(__xludf.DUMMYFUNCTION("""COMPUTED_VALUE"""),12645.0)</f>
        <v>12645</v>
      </c>
      <c r="H4910" s="116">
        <f>IFERROR(__xludf.DUMMYFUNCTION("""COMPUTED_VALUE"""),45909.0)</f>
        <v>45909</v>
      </c>
      <c r="I4910" s="115" t="str">
        <f>IFERROR(__xludf.DUMMYFUNCTION("""COMPUTED_VALUE"""),"21")</f>
        <v>21</v>
      </c>
      <c r="J4910" s="115" t="str">
        <f>IFERROR(__xludf.DUMMYFUNCTION("""COMPUTED_VALUE"""),"Premkumar M2025-09-0921")</f>
        <v>Premkumar M2025-09-0921</v>
      </c>
      <c r="K4910" s="115">
        <f>IFERROR(__xludf.DUMMYFUNCTION("""COMPUTED_VALUE"""),292788.0)</f>
        <v>292788</v>
      </c>
    </row>
    <row r="4911">
      <c r="A4911" s="115" t="str">
        <f>IFERROR(__xludf.DUMMYFUNCTION("""COMPUTED_VALUE"""),"SOUTH")</f>
        <v>SOUTH</v>
      </c>
      <c r="B4911" s="115" t="str">
        <f>IFERROR(__xludf.DUMMYFUNCTION("""COMPUTED_VALUE"""),"Premkumar M")</f>
        <v>Premkumar M</v>
      </c>
      <c r="C4911" s="115" t="str">
        <f>IFERROR(__xludf.DUMMYFUNCTION("""COMPUTED_VALUE"""),"MYNTRA")</f>
        <v>MYNTRA</v>
      </c>
      <c r="D4911" s="115">
        <f>IFERROR(__xludf.DUMMYFUNCTION("""COMPUTED_VALUE"""),14882.0)</f>
        <v>14882</v>
      </c>
      <c r="E4911" s="115">
        <f>IFERROR(__xludf.DUMMYFUNCTION("""COMPUTED_VALUE"""),3516.0)</f>
        <v>3516</v>
      </c>
      <c r="F4911" s="115">
        <f>IFERROR(__xludf.DUMMYFUNCTION("""COMPUTED_VALUE"""),12642.0)</f>
        <v>12642</v>
      </c>
      <c r="G4911" s="115">
        <f>IFERROR(__xludf.DUMMYFUNCTION("""COMPUTED_VALUE"""),2136.0)</f>
        <v>2136</v>
      </c>
      <c r="H4911" s="116">
        <f>IFERROR(__xludf.DUMMYFUNCTION("""COMPUTED_VALUE"""),45909.0)</f>
        <v>45909</v>
      </c>
      <c r="I4911" s="115" t="str">
        <f>IFERROR(__xludf.DUMMYFUNCTION("""COMPUTED_VALUE"""),"21")</f>
        <v>21</v>
      </c>
      <c r="J4911" s="115" t="str">
        <f>IFERROR(__xludf.DUMMYFUNCTION("""COMPUTED_VALUE"""),"Premkumar M2025-09-0921")</f>
        <v>Premkumar M2025-09-0921</v>
      </c>
      <c r="K4911" s="115">
        <f>IFERROR(__xludf.DUMMYFUNCTION("""COMPUTED_VALUE"""),18398.0)</f>
        <v>18398</v>
      </c>
    </row>
    <row r="4912">
      <c r="A4912" s="115" t="str">
        <f>IFERROR(__xludf.DUMMYFUNCTION("""COMPUTED_VALUE"""),"SOUTH")</f>
        <v>SOUTH</v>
      </c>
      <c r="B4912" s="115" t="str">
        <f>IFERROR(__xludf.DUMMYFUNCTION("""COMPUTED_VALUE"""),"Vineeth V")</f>
        <v>Vineeth V</v>
      </c>
      <c r="C4912" s="115" t="str">
        <f>IFERROR(__xludf.DUMMYFUNCTION("""COMPUTED_VALUE"""),"EXTERNAL")</f>
        <v>EXTERNAL</v>
      </c>
      <c r="D4912" s="115">
        <f>IFERROR(__xludf.DUMMYFUNCTION("""COMPUTED_VALUE"""),22563.0)</f>
        <v>22563</v>
      </c>
      <c r="E4912" s="115">
        <f>IFERROR(__xludf.DUMMYFUNCTION("""COMPUTED_VALUE"""),819.0)</f>
        <v>819</v>
      </c>
      <c r="F4912" s="115">
        <f>IFERROR(__xludf.DUMMYFUNCTION("""COMPUTED_VALUE"""),12111.0)</f>
        <v>12111</v>
      </c>
      <c r="G4912" s="115">
        <f>IFERROR(__xludf.DUMMYFUNCTION("""COMPUTED_VALUE"""),453.0)</f>
        <v>453</v>
      </c>
      <c r="H4912" s="116">
        <f>IFERROR(__xludf.DUMMYFUNCTION("""COMPUTED_VALUE"""),45909.0)</f>
        <v>45909</v>
      </c>
      <c r="I4912" s="115" t="str">
        <f>IFERROR(__xludf.DUMMYFUNCTION("""COMPUTED_VALUE"""),"21")</f>
        <v>21</v>
      </c>
      <c r="J4912" s="115" t="str">
        <f>IFERROR(__xludf.DUMMYFUNCTION("""COMPUTED_VALUE"""),"Vineeth V2025-09-0921")</f>
        <v>Vineeth V2025-09-0921</v>
      </c>
      <c r="K4912" s="115">
        <f>IFERROR(__xludf.DUMMYFUNCTION("""COMPUTED_VALUE"""),23382.0)</f>
        <v>23382</v>
      </c>
    </row>
    <row r="4913">
      <c r="A4913" s="115" t="str">
        <f>IFERROR(__xludf.DUMMYFUNCTION("""COMPUTED_VALUE"""),"SOUTH")</f>
        <v>SOUTH</v>
      </c>
      <c r="B4913" s="115" t="str">
        <f>IFERROR(__xludf.DUMMYFUNCTION("""COMPUTED_VALUE"""),"Vineeth V")</f>
        <v>Vineeth V</v>
      </c>
      <c r="C4913" s="115" t="str">
        <f>IFERROR(__xludf.DUMMYFUNCTION("""COMPUTED_VALUE"""),"FLIPKART")</f>
        <v>FLIPKART</v>
      </c>
      <c r="D4913" s="115">
        <f>IFERROR(__xludf.DUMMYFUNCTION("""COMPUTED_VALUE"""),229253.0)</f>
        <v>229253</v>
      </c>
      <c r="E4913" s="115">
        <f>IFERROR(__xludf.DUMMYFUNCTION("""COMPUTED_VALUE"""),18974.0)</f>
        <v>18974</v>
      </c>
      <c r="F4913" s="115">
        <f>IFERROR(__xludf.DUMMYFUNCTION("""COMPUTED_VALUE"""),189490.0)</f>
        <v>189490</v>
      </c>
      <c r="G4913" s="115">
        <f>IFERROR(__xludf.DUMMYFUNCTION("""COMPUTED_VALUE"""),11725.0)</f>
        <v>11725</v>
      </c>
      <c r="H4913" s="116">
        <f>IFERROR(__xludf.DUMMYFUNCTION("""COMPUTED_VALUE"""),45909.0)</f>
        <v>45909</v>
      </c>
      <c r="I4913" s="115" t="str">
        <f>IFERROR(__xludf.DUMMYFUNCTION("""COMPUTED_VALUE"""),"21")</f>
        <v>21</v>
      </c>
      <c r="J4913" s="115" t="str">
        <f>IFERROR(__xludf.DUMMYFUNCTION("""COMPUTED_VALUE"""),"Vineeth V2025-09-0921")</f>
        <v>Vineeth V2025-09-0921</v>
      </c>
      <c r="K4913" s="115">
        <f>IFERROR(__xludf.DUMMYFUNCTION("""COMPUTED_VALUE"""),248227.0)</f>
        <v>248227</v>
      </c>
    </row>
    <row r="4914">
      <c r="A4914" s="115" t="str">
        <f>IFERROR(__xludf.DUMMYFUNCTION("""COMPUTED_VALUE"""),"SOUTH")</f>
        <v>SOUTH</v>
      </c>
      <c r="B4914" s="115" t="str">
        <f>IFERROR(__xludf.DUMMYFUNCTION("""COMPUTED_VALUE"""),"Vineeth V")</f>
        <v>Vineeth V</v>
      </c>
      <c r="C4914" s="115" t="str">
        <f>IFERROR(__xludf.DUMMYFUNCTION("""COMPUTED_VALUE"""),"MYNTRA")</f>
        <v>MYNTRA</v>
      </c>
      <c r="D4914" s="115">
        <f>IFERROR(__xludf.DUMMYFUNCTION("""COMPUTED_VALUE"""),18668.0)</f>
        <v>18668</v>
      </c>
      <c r="E4914" s="115">
        <f>IFERROR(__xludf.DUMMYFUNCTION("""COMPUTED_VALUE"""),4815.0)</f>
        <v>4815</v>
      </c>
      <c r="F4914" s="115">
        <f>IFERROR(__xludf.DUMMYFUNCTION("""COMPUTED_VALUE"""),16179.0)</f>
        <v>16179</v>
      </c>
      <c r="G4914" s="115">
        <f>IFERROR(__xludf.DUMMYFUNCTION("""COMPUTED_VALUE"""),3019.0)</f>
        <v>3019</v>
      </c>
      <c r="H4914" s="116">
        <f>IFERROR(__xludf.DUMMYFUNCTION("""COMPUTED_VALUE"""),45909.0)</f>
        <v>45909</v>
      </c>
      <c r="I4914" s="115" t="str">
        <f>IFERROR(__xludf.DUMMYFUNCTION("""COMPUTED_VALUE"""),"21")</f>
        <v>21</v>
      </c>
      <c r="J4914" s="115" t="str">
        <f>IFERROR(__xludf.DUMMYFUNCTION("""COMPUTED_VALUE"""),"Vineeth V2025-09-0921")</f>
        <v>Vineeth V2025-09-0921</v>
      </c>
      <c r="K4914" s="115">
        <f>IFERROR(__xludf.DUMMYFUNCTION("""COMPUTED_VALUE"""),23483.0)</f>
        <v>23483</v>
      </c>
    </row>
    <row r="4915">
      <c r="A4915" s="115" t="str">
        <f>IFERROR(__xludf.DUMMYFUNCTION("""COMPUTED_VALUE"""),"WEST")</f>
        <v>WEST</v>
      </c>
      <c r="B4915" s="115" t="str">
        <f>IFERROR(__xludf.DUMMYFUNCTION("""COMPUTED_VALUE"""),"Ashish Jakar")</f>
        <v>Ashish Jakar</v>
      </c>
      <c r="C4915" s="115" t="str">
        <f>IFERROR(__xludf.DUMMYFUNCTION("""COMPUTED_VALUE"""),"EXTERNAL")</f>
        <v>EXTERNAL</v>
      </c>
      <c r="D4915" s="115">
        <f>IFERROR(__xludf.DUMMYFUNCTION("""COMPUTED_VALUE"""),56410.0)</f>
        <v>56410</v>
      </c>
      <c r="E4915" s="115">
        <f>IFERROR(__xludf.DUMMYFUNCTION("""COMPUTED_VALUE"""),8584.0)</f>
        <v>8584</v>
      </c>
      <c r="F4915" s="115">
        <f>IFERROR(__xludf.DUMMYFUNCTION("""COMPUTED_VALUE"""),23607.0)</f>
        <v>23607</v>
      </c>
      <c r="G4915" s="115">
        <f>IFERROR(__xludf.DUMMYFUNCTION("""COMPUTED_VALUE"""),3666.0)</f>
        <v>3666</v>
      </c>
      <c r="H4915" s="116">
        <f>IFERROR(__xludf.DUMMYFUNCTION("""COMPUTED_VALUE"""),45909.0)</f>
        <v>45909</v>
      </c>
      <c r="I4915" s="115" t="str">
        <f>IFERROR(__xludf.DUMMYFUNCTION("""COMPUTED_VALUE"""),"21")</f>
        <v>21</v>
      </c>
      <c r="J4915" s="115" t="str">
        <f>IFERROR(__xludf.DUMMYFUNCTION("""COMPUTED_VALUE"""),"Ashish Jakar2025-09-0921")</f>
        <v>Ashish Jakar2025-09-0921</v>
      </c>
      <c r="K4915" s="115">
        <f>IFERROR(__xludf.DUMMYFUNCTION("""COMPUTED_VALUE"""),64994.0)</f>
        <v>64994</v>
      </c>
    </row>
    <row r="4916">
      <c r="A4916" s="115" t="str">
        <f>IFERROR(__xludf.DUMMYFUNCTION("""COMPUTED_VALUE"""),"WEST")</f>
        <v>WEST</v>
      </c>
      <c r="B4916" s="115" t="str">
        <f>IFERROR(__xludf.DUMMYFUNCTION("""COMPUTED_VALUE"""),"Ashish Jakar")</f>
        <v>Ashish Jakar</v>
      </c>
      <c r="C4916" s="115" t="str">
        <f>IFERROR(__xludf.DUMMYFUNCTION("""COMPUTED_VALUE"""),"FLIPKART")</f>
        <v>FLIPKART</v>
      </c>
      <c r="D4916" s="115">
        <f>IFERROR(__xludf.DUMMYFUNCTION("""COMPUTED_VALUE"""),365430.0)</f>
        <v>365430</v>
      </c>
      <c r="E4916" s="115">
        <f>IFERROR(__xludf.DUMMYFUNCTION("""COMPUTED_VALUE"""),36796.0)</f>
        <v>36796</v>
      </c>
      <c r="F4916" s="115">
        <f>IFERROR(__xludf.DUMMYFUNCTION("""COMPUTED_VALUE"""),263402.0)</f>
        <v>263402</v>
      </c>
      <c r="G4916" s="115">
        <f>IFERROR(__xludf.DUMMYFUNCTION("""COMPUTED_VALUE"""),23619.0)</f>
        <v>23619</v>
      </c>
      <c r="H4916" s="116">
        <f>IFERROR(__xludf.DUMMYFUNCTION("""COMPUTED_VALUE"""),45909.0)</f>
        <v>45909</v>
      </c>
      <c r="I4916" s="115" t="str">
        <f>IFERROR(__xludf.DUMMYFUNCTION("""COMPUTED_VALUE"""),"21")</f>
        <v>21</v>
      </c>
      <c r="J4916" s="115" t="str">
        <f>IFERROR(__xludf.DUMMYFUNCTION("""COMPUTED_VALUE"""),"Ashish Jakar2025-09-0921")</f>
        <v>Ashish Jakar2025-09-0921</v>
      </c>
      <c r="K4916" s="115">
        <f>IFERROR(__xludf.DUMMYFUNCTION("""COMPUTED_VALUE"""),402226.0)</f>
        <v>402226</v>
      </c>
    </row>
    <row r="4917">
      <c r="A4917" s="115" t="str">
        <f>IFERROR(__xludf.DUMMYFUNCTION("""COMPUTED_VALUE"""),"WEST")</f>
        <v>WEST</v>
      </c>
      <c r="B4917" s="115" t="str">
        <f>IFERROR(__xludf.DUMMYFUNCTION("""COMPUTED_VALUE"""),"Ashish Jakar")</f>
        <v>Ashish Jakar</v>
      </c>
      <c r="C4917" s="115" t="str">
        <f>IFERROR(__xludf.DUMMYFUNCTION("""COMPUTED_VALUE"""),"MYNTRA")</f>
        <v>MYNTRA</v>
      </c>
      <c r="D4917" s="115">
        <f>IFERROR(__xludf.DUMMYFUNCTION("""COMPUTED_VALUE"""),42287.0)</f>
        <v>42287</v>
      </c>
      <c r="E4917" s="115">
        <f>IFERROR(__xludf.DUMMYFUNCTION("""COMPUTED_VALUE"""),12495.0)</f>
        <v>12495</v>
      </c>
      <c r="F4917" s="115">
        <f>IFERROR(__xludf.DUMMYFUNCTION("""COMPUTED_VALUE"""),34706.0)</f>
        <v>34706</v>
      </c>
      <c r="G4917" s="115">
        <f>IFERROR(__xludf.DUMMYFUNCTION("""COMPUTED_VALUE"""),8423.0)</f>
        <v>8423</v>
      </c>
      <c r="H4917" s="116">
        <f>IFERROR(__xludf.DUMMYFUNCTION("""COMPUTED_VALUE"""),45909.0)</f>
        <v>45909</v>
      </c>
      <c r="I4917" s="115" t="str">
        <f>IFERROR(__xludf.DUMMYFUNCTION("""COMPUTED_VALUE"""),"21")</f>
        <v>21</v>
      </c>
      <c r="J4917" s="115" t="str">
        <f>IFERROR(__xludf.DUMMYFUNCTION("""COMPUTED_VALUE"""),"Ashish Jakar2025-09-0921")</f>
        <v>Ashish Jakar2025-09-0921</v>
      </c>
      <c r="K4917" s="115">
        <f>IFERROR(__xludf.DUMMYFUNCTION("""COMPUTED_VALUE"""),54782.0)</f>
        <v>54782</v>
      </c>
    </row>
    <row r="4918">
      <c r="A4918" s="115" t="str">
        <f>IFERROR(__xludf.DUMMYFUNCTION("""COMPUTED_VALUE"""),"WEST")</f>
        <v>WEST</v>
      </c>
      <c r="B4918" s="115" t="str">
        <f>IFERROR(__xludf.DUMMYFUNCTION("""COMPUTED_VALUE"""),"Ashvani Bhatt")</f>
        <v>Ashvani Bhatt</v>
      </c>
      <c r="C4918" s="115" t="str">
        <f>IFERROR(__xludf.DUMMYFUNCTION("""COMPUTED_VALUE"""),"EXTERNAL")</f>
        <v>EXTERNAL</v>
      </c>
      <c r="D4918" s="115">
        <f>IFERROR(__xludf.DUMMYFUNCTION("""COMPUTED_VALUE"""),42373.0)</f>
        <v>42373</v>
      </c>
      <c r="E4918" s="115">
        <f>IFERROR(__xludf.DUMMYFUNCTION("""COMPUTED_VALUE"""),4409.0)</f>
        <v>4409</v>
      </c>
      <c r="F4918" s="115">
        <f>IFERROR(__xludf.DUMMYFUNCTION("""COMPUTED_VALUE"""),18700.0)</f>
        <v>18700</v>
      </c>
      <c r="G4918" s="115">
        <f>IFERROR(__xludf.DUMMYFUNCTION("""COMPUTED_VALUE"""),1666.0)</f>
        <v>1666</v>
      </c>
      <c r="H4918" s="116">
        <f>IFERROR(__xludf.DUMMYFUNCTION("""COMPUTED_VALUE"""),45909.0)</f>
        <v>45909</v>
      </c>
      <c r="I4918" s="115" t="str">
        <f>IFERROR(__xludf.DUMMYFUNCTION("""COMPUTED_VALUE"""),"21")</f>
        <v>21</v>
      </c>
      <c r="J4918" s="115" t="str">
        <f>IFERROR(__xludf.DUMMYFUNCTION("""COMPUTED_VALUE"""),"Ashvani Bhatt2025-09-0921")</f>
        <v>Ashvani Bhatt2025-09-0921</v>
      </c>
      <c r="K4918" s="115">
        <f>IFERROR(__xludf.DUMMYFUNCTION("""COMPUTED_VALUE"""),46782.0)</f>
        <v>46782</v>
      </c>
    </row>
    <row r="4919">
      <c r="A4919" s="115" t="str">
        <f>IFERROR(__xludf.DUMMYFUNCTION("""COMPUTED_VALUE"""),"WEST")</f>
        <v>WEST</v>
      </c>
      <c r="B4919" s="115" t="str">
        <f>IFERROR(__xludf.DUMMYFUNCTION("""COMPUTED_VALUE"""),"Ashvani Bhatt")</f>
        <v>Ashvani Bhatt</v>
      </c>
      <c r="C4919" s="115" t="str">
        <f>IFERROR(__xludf.DUMMYFUNCTION("""COMPUTED_VALUE"""),"FLIPKART")</f>
        <v>FLIPKART</v>
      </c>
      <c r="D4919" s="115">
        <f>IFERROR(__xludf.DUMMYFUNCTION("""COMPUTED_VALUE"""),285609.0)</f>
        <v>285609</v>
      </c>
      <c r="E4919" s="115">
        <f>IFERROR(__xludf.DUMMYFUNCTION("""COMPUTED_VALUE"""),31130.0)</f>
        <v>31130</v>
      </c>
      <c r="F4919" s="115">
        <f>IFERROR(__xludf.DUMMYFUNCTION("""COMPUTED_VALUE"""),215032.0)</f>
        <v>215032</v>
      </c>
      <c r="G4919" s="115">
        <f>IFERROR(__xludf.DUMMYFUNCTION("""COMPUTED_VALUE"""),20886.0)</f>
        <v>20886</v>
      </c>
      <c r="H4919" s="116">
        <f>IFERROR(__xludf.DUMMYFUNCTION("""COMPUTED_VALUE"""),45909.0)</f>
        <v>45909</v>
      </c>
      <c r="I4919" s="115" t="str">
        <f>IFERROR(__xludf.DUMMYFUNCTION("""COMPUTED_VALUE"""),"21")</f>
        <v>21</v>
      </c>
      <c r="J4919" s="115" t="str">
        <f>IFERROR(__xludf.DUMMYFUNCTION("""COMPUTED_VALUE"""),"Ashvani Bhatt2025-09-0921")</f>
        <v>Ashvani Bhatt2025-09-0921</v>
      </c>
      <c r="K4919" s="115">
        <f>IFERROR(__xludf.DUMMYFUNCTION("""COMPUTED_VALUE"""),316739.0)</f>
        <v>316739</v>
      </c>
    </row>
    <row r="4920">
      <c r="A4920" s="115" t="str">
        <f>IFERROR(__xludf.DUMMYFUNCTION("""COMPUTED_VALUE"""),"WEST")</f>
        <v>WEST</v>
      </c>
      <c r="B4920" s="115" t="str">
        <f>IFERROR(__xludf.DUMMYFUNCTION("""COMPUTED_VALUE"""),"Ashvani Bhatt")</f>
        <v>Ashvani Bhatt</v>
      </c>
      <c r="C4920" s="115" t="str">
        <f>IFERROR(__xludf.DUMMYFUNCTION("""COMPUTED_VALUE"""),"MYNTRA")</f>
        <v>MYNTRA</v>
      </c>
      <c r="D4920" s="115">
        <f>IFERROR(__xludf.DUMMYFUNCTION("""COMPUTED_VALUE"""),38396.0)</f>
        <v>38396</v>
      </c>
      <c r="E4920" s="115">
        <f>IFERROR(__xludf.DUMMYFUNCTION("""COMPUTED_VALUE"""),9859.0)</f>
        <v>9859</v>
      </c>
      <c r="F4920" s="115">
        <f>IFERROR(__xludf.DUMMYFUNCTION("""COMPUTED_VALUE"""),32755.0)</f>
        <v>32755</v>
      </c>
      <c r="G4920" s="115">
        <f>IFERROR(__xludf.DUMMYFUNCTION("""COMPUTED_VALUE"""),7143.0)</f>
        <v>7143</v>
      </c>
      <c r="H4920" s="116">
        <f>IFERROR(__xludf.DUMMYFUNCTION("""COMPUTED_VALUE"""),45909.0)</f>
        <v>45909</v>
      </c>
      <c r="I4920" s="115" t="str">
        <f>IFERROR(__xludf.DUMMYFUNCTION("""COMPUTED_VALUE"""),"21")</f>
        <v>21</v>
      </c>
      <c r="J4920" s="115" t="str">
        <f>IFERROR(__xludf.DUMMYFUNCTION("""COMPUTED_VALUE"""),"Ashvani Bhatt2025-09-0921")</f>
        <v>Ashvani Bhatt2025-09-0921</v>
      </c>
      <c r="K4920" s="115">
        <f>IFERROR(__xludf.DUMMYFUNCTION("""COMPUTED_VALUE"""),48255.0)</f>
        <v>48255</v>
      </c>
    </row>
    <row r="4921">
      <c r="A4921" s="115"/>
      <c r="B4921" s="115"/>
      <c r="C4921" s="115" t="str">
        <f>IFERROR(__xludf.DUMMYFUNCTION("""COMPUTED_VALUE"""),"EXTERNAL")</f>
        <v>EXTERNAL</v>
      </c>
      <c r="D4921" s="115">
        <f>IFERROR(__xludf.DUMMYFUNCTION("""COMPUTED_VALUE"""),593.0)</f>
        <v>593</v>
      </c>
      <c r="E4921" s="115">
        <f>IFERROR(__xludf.DUMMYFUNCTION("""COMPUTED_VALUE"""),86.0)</f>
        <v>86</v>
      </c>
      <c r="F4921" s="115">
        <f>IFERROR(__xludf.DUMMYFUNCTION("""COMPUTED_VALUE"""),259.0)</f>
        <v>259</v>
      </c>
      <c r="G4921" s="115">
        <f>IFERROR(__xludf.DUMMYFUNCTION("""COMPUTED_VALUE"""),51.0)</f>
        <v>51</v>
      </c>
      <c r="H4921" s="116">
        <f>IFERROR(__xludf.DUMMYFUNCTION("""COMPUTED_VALUE"""),45909.0)</f>
        <v>45909</v>
      </c>
      <c r="I4921" s="115" t="str">
        <f>IFERROR(__xludf.DUMMYFUNCTION("""COMPUTED_VALUE"""),"21")</f>
        <v>21</v>
      </c>
      <c r="J4921" s="115" t="str">
        <f>IFERROR(__xludf.DUMMYFUNCTION("""COMPUTED_VALUE"""),"2025-09-0921")</f>
        <v>2025-09-0921</v>
      </c>
      <c r="K4921" s="115">
        <f>IFERROR(__xludf.DUMMYFUNCTION("""COMPUTED_VALUE"""),679.0)</f>
        <v>679</v>
      </c>
    </row>
    <row r="4922">
      <c r="A4922" s="115"/>
      <c r="B4922" s="115"/>
      <c r="C4922" s="115" t="str">
        <f>IFERROR(__xludf.DUMMYFUNCTION("""COMPUTED_VALUE"""),"FLIPKART")</f>
        <v>FLIPKART</v>
      </c>
      <c r="D4922" s="115">
        <f>IFERROR(__xludf.DUMMYFUNCTION("""COMPUTED_VALUE"""),6194.0)</f>
        <v>6194</v>
      </c>
      <c r="E4922" s="115">
        <f>IFERROR(__xludf.DUMMYFUNCTION("""COMPUTED_VALUE"""),533.0)</f>
        <v>533</v>
      </c>
      <c r="F4922" s="115">
        <f>IFERROR(__xludf.DUMMYFUNCTION("""COMPUTED_VALUE"""),4150.0)</f>
        <v>4150</v>
      </c>
      <c r="G4922" s="115">
        <f>IFERROR(__xludf.DUMMYFUNCTION("""COMPUTED_VALUE"""),400.0)</f>
        <v>400</v>
      </c>
      <c r="H4922" s="116">
        <f>IFERROR(__xludf.DUMMYFUNCTION("""COMPUTED_VALUE"""),45909.0)</f>
        <v>45909</v>
      </c>
      <c r="I4922" s="115" t="str">
        <f>IFERROR(__xludf.DUMMYFUNCTION("""COMPUTED_VALUE"""),"21")</f>
        <v>21</v>
      </c>
      <c r="J4922" s="115" t="str">
        <f>IFERROR(__xludf.DUMMYFUNCTION("""COMPUTED_VALUE"""),"2025-09-0921")</f>
        <v>2025-09-0921</v>
      </c>
      <c r="K4922" s="115">
        <f>IFERROR(__xludf.DUMMYFUNCTION("""COMPUTED_VALUE"""),6727.0)</f>
        <v>6727</v>
      </c>
    </row>
    <row r="4923">
      <c r="A4923" s="115"/>
      <c r="B4923" s="115"/>
      <c r="C4923" s="115" t="str">
        <f>IFERROR(__xludf.DUMMYFUNCTION("""COMPUTED_VALUE"""),"MYNTRA")</f>
        <v>MYNTRA</v>
      </c>
      <c r="D4923" s="115">
        <f>IFERROR(__xludf.DUMMYFUNCTION("""COMPUTED_VALUE"""),694.0)</f>
        <v>694</v>
      </c>
      <c r="E4923" s="115">
        <f>IFERROR(__xludf.DUMMYFUNCTION("""COMPUTED_VALUE"""),165.0)</f>
        <v>165</v>
      </c>
      <c r="F4923" s="115">
        <f>IFERROR(__xludf.DUMMYFUNCTION("""COMPUTED_VALUE"""),559.0)</f>
        <v>559</v>
      </c>
      <c r="G4923" s="115">
        <f>IFERROR(__xludf.DUMMYFUNCTION("""COMPUTED_VALUE"""),120.0)</f>
        <v>120</v>
      </c>
      <c r="H4923" s="116">
        <f>IFERROR(__xludf.DUMMYFUNCTION("""COMPUTED_VALUE"""),45909.0)</f>
        <v>45909</v>
      </c>
      <c r="I4923" s="115" t="str">
        <f>IFERROR(__xludf.DUMMYFUNCTION("""COMPUTED_VALUE"""),"21")</f>
        <v>21</v>
      </c>
      <c r="J4923" s="115" t="str">
        <f>IFERROR(__xludf.DUMMYFUNCTION("""COMPUTED_VALUE"""),"2025-09-0921")</f>
        <v>2025-09-0921</v>
      </c>
      <c r="K4923" s="115">
        <f>IFERROR(__xludf.DUMMYFUNCTION("""COMPUTED_VALUE"""),859.0)</f>
        <v>859</v>
      </c>
    </row>
    <row r="4924">
      <c r="A4924" s="115" t="str">
        <f>IFERROR(__xludf.DUMMYFUNCTION("""COMPUTED_VALUE"""),"EAST")</f>
        <v>EAST</v>
      </c>
      <c r="B4924" s="115" t="str">
        <f>IFERROR(__xludf.DUMMYFUNCTION("""COMPUTED_VALUE"""),"Ashish Ranjan")</f>
        <v>Ashish Ranjan</v>
      </c>
      <c r="C4924" s="115" t="str">
        <f>IFERROR(__xludf.DUMMYFUNCTION("""COMPUTED_VALUE"""),"EXTERNAL")</f>
        <v>EXTERNAL</v>
      </c>
      <c r="D4924" s="115">
        <f>IFERROR(__xludf.DUMMYFUNCTION("""COMPUTED_VALUE"""),42582.0)</f>
        <v>42582</v>
      </c>
      <c r="E4924" s="115">
        <f>IFERROR(__xludf.DUMMYFUNCTION("""COMPUTED_VALUE"""),4190.0)</f>
        <v>4190</v>
      </c>
      <c r="F4924" s="115">
        <f>IFERROR(__xludf.DUMMYFUNCTION("""COMPUTED_VALUE"""),23612.0)</f>
        <v>23612</v>
      </c>
      <c r="G4924" s="115">
        <f>IFERROR(__xludf.DUMMYFUNCTION("""COMPUTED_VALUE"""),2345.0)</f>
        <v>2345</v>
      </c>
      <c r="H4924" s="116">
        <f>IFERROR(__xludf.DUMMYFUNCTION("""COMPUTED_VALUE"""),45909.0)</f>
        <v>45909</v>
      </c>
      <c r="I4924" s="115" t="str">
        <f>IFERROR(__xludf.DUMMYFUNCTION("""COMPUTED_VALUE"""),"22")</f>
        <v>22</v>
      </c>
      <c r="J4924" s="115" t="str">
        <f>IFERROR(__xludf.DUMMYFUNCTION("""COMPUTED_VALUE"""),"Ashish Ranjan2025-09-0922")</f>
        <v>Ashish Ranjan2025-09-0922</v>
      </c>
      <c r="K4924" s="115">
        <f>IFERROR(__xludf.DUMMYFUNCTION("""COMPUTED_VALUE"""),46772.0)</f>
        <v>46772</v>
      </c>
    </row>
    <row r="4925">
      <c r="A4925" s="115" t="str">
        <f>IFERROR(__xludf.DUMMYFUNCTION("""COMPUTED_VALUE"""),"EAST")</f>
        <v>EAST</v>
      </c>
      <c r="B4925" s="115" t="str">
        <f>IFERROR(__xludf.DUMMYFUNCTION("""COMPUTED_VALUE"""),"Ashish Ranjan")</f>
        <v>Ashish Ranjan</v>
      </c>
      <c r="C4925" s="115" t="str">
        <f>IFERROR(__xludf.DUMMYFUNCTION("""COMPUTED_VALUE"""),"FLIPKART")</f>
        <v>FLIPKART</v>
      </c>
      <c r="D4925" s="115">
        <f>IFERROR(__xludf.DUMMYFUNCTION("""COMPUTED_VALUE"""),669927.0)</f>
        <v>669927</v>
      </c>
      <c r="E4925" s="115">
        <f>IFERROR(__xludf.DUMMYFUNCTION("""COMPUTED_VALUE"""),73551.0)</f>
        <v>73551</v>
      </c>
      <c r="F4925" s="115">
        <f>IFERROR(__xludf.DUMMYFUNCTION("""COMPUTED_VALUE"""),595408.0)</f>
        <v>595408</v>
      </c>
      <c r="G4925" s="115">
        <f>IFERROR(__xludf.DUMMYFUNCTION("""COMPUTED_VALUE"""),61210.0)</f>
        <v>61210</v>
      </c>
      <c r="H4925" s="116">
        <f>IFERROR(__xludf.DUMMYFUNCTION("""COMPUTED_VALUE"""),45909.0)</f>
        <v>45909</v>
      </c>
      <c r="I4925" s="115" t="str">
        <f>IFERROR(__xludf.DUMMYFUNCTION("""COMPUTED_VALUE"""),"22")</f>
        <v>22</v>
      </c>
      <c r="J4925" s="115" t="str">
        <f>IFERROR(__xludf.DUMMYFUNCTION("""COMPUTED_VALUE"""),"Ashish Ranjan2025-09-0922")</f>
        <v>Ashish Ranjan2025-09-0922</v>
      </c>
      <c r="K4925" s="115">
        <f>IFERROR(__xludf.DUMMYFUNCTION("""COMPUTED_VALUE"""),743478.0)</f>
        <v>743478</v>
      </c>
    </row>
    <row r="4926">
      <c r="A4926" s="115" t="str">
        <f>IFERROR(__xludf.DUMMYFUNCTION("""COMPUTED_VALUE"""),"EAST")</f>
        <v>EAST</v>
      </c>
      <c r="B4926" s="115" t="str">
        <f>IFERROR(__xludf.DUMMYFUNCTION("""COMPUTED_VALUE"""),"Ashish Ranjan")</f>
        <v>Ashish Ranjan</v>
      </c>
      <c r="C4926" s="115" t="str">
        <f>IFERROR(__xludf.DUMMYFUNCTION("""COMPUTED_VALUE"""),"MYNTRA")</f>
        <v>MYNTRA</v>
      </c>
      <c r="D4926" s="115">
        <f>IFERROR(__xludf.DUMMYFUNCTION("""COMPUTED_VALUE"""),78053.0)</f>
        <v>78053</v>
      </c>
      <c r="E4926" s="115">
        <f>IFERROR(__xludf.DUMMYFUNCTION("""COMPUTED_VALUE"""),16807.0)</f>
        <v>16807</v>
      </c>
      <c r="F4926" s="115">
        <f>IFERROR(__xludf.DUMMYFUNCTION("""COMPUTED_VALUE"""),70589.0)</f>
        <v>70589</v>
      </c>
      <c r="G4926" s="115">
        <f>IFERROR(__xludf.DUMMYFUNCTION("""COMPUTED_VALUE"""),14012.0)</f>
        <v>14012</v>
      </c>
      <c r="H4926" s="116">
        <f>IFERROR(__xludf.DUMMYFUNCTION("""COMPUTED_VALUE"""),45909.0)</f>
        <v>45909</v>
      </c>
      <c r="I4926" s="115" t="str">
        <f>IFERROR(__xludf.DUMMYFUNCTION("""COMPUTED_VALUE"""),"22")</f>
        <v>22</v>
      </c>
      <c r="J4926" s="115" t="str">
        <f>IFERROR(__xludf.DUMMYFUNCTION("""COMPUTED_VALUE"""),"Ashish Ranjan2025-09-0922")</f>
        <v>Ashish Ranjan2025-09-0922</v>
      </c>
      <c r="K4926" s="115">
        <f>IFERROR(__xludf.DUMMYFUNCTION("""COMPUTED_VALUE"""),94860.0)</f>
        <v>94860</v>
      </c>
    </row>
    <row r="4927">
      <c r="A4927" s="115" t="str">
        <f>IFERROR(__xludf.DUMMYFUNCTION("""COMPUTED_VALUE"""),"EAST")</f>
        <v>EAST</v>
      </c>
      <c r="B4927" s="115" t="str">
        <f>IFERROR(__xludf.DUMMYFUNCTION("""COMPUTED_VALUE"""),"Girish Chand")</f>
        <v>Girish Chand</v>
      </c>
      <c r="C4927" s="115" t="str">
        <f>IFERROR(__xludf.DUMMYFUNCTION("""COMPUTED_VALUE"""),"EXTERNAL")</f>
        <v>EXTERNAL</v>
      </c>
      <c r="D4927" s="115">
        <f>IFERROR(__xludf.DUMMYFUNCTION("""COMPUTED_VALUE"""),24562.0)</f>
        <v>24562</v>
      </c>
      <c r="E4927" s="115">
        <f>IFERROR(__xludf.DUMMYFUNCTION("""COMPUTED_VALUE"""),2622.0)</f>
        <v>2622</v>
      </c>
      <c r="F4927" s="115">
        <f>IFERROR(__xludf.DUMMYFUNCTION("""COMPUTED_VALUE"""),11141.0)</f>
        <v>11141</v>
      </c>
      <c r="G4927" s="115">
        <f>IFERROR(__xludf.DUMMYFUNCTION("""COMPUTED_VALUE"""),905.0)</f>
        <v>905</v>
      </c>
      <c r="H4927" s="116">
        <f>IFERROR(__xludf.DUMMYFUNCTION("""COMPUTED_VALUE"""),45909.0)</f>
        <v>45909</v>
      </c>
      <c r="I4927" s="115" t="str">
        <f>IFERROR(__xludf.DUMMYFUNCTION("""COMPUTED_VALUE"""),"22")</f>
        <v>22</v>
      </c>
      <c r="J4927" s="115" t="str">
        <f>IFERROR(__xludf.DUMMYFUNCTION("""COMPUTED_VALUE"""),"Girish Chand2025-09-0922")</f>
        <v>Girish Chand2025-09-0922</v>
      </c>
      <c r="K4927" s="115">
        <f>IFERROR(__xludf.DUMMYFUNCTION("""COMPUTED_VALUE"""),27184.0)</f>
        <v>27184</v>
      </c>
    </row>
    <row r="4928">
      <c r="A4928" s="115" t="str">
        <f>IFERROR(__xludf.DUMMYFUNCTION("""COMPUTED_VALUE"""),"EAST")</f>
        <v>EAST</v>
      </c>
      <c r="B4928" s="115" t="str">
        <f>IFERROR(__xludf.DUMMYFUNCTION("""COMPUTED_VALUE"""),"Girish Chand")</f>
        <v>Girish Chand</v>
      </c>
      <c r="C4928" s="115" t="str">
        <f>IFERROR(__xludf.DUMMYFUNCTION("""COMPUTED_VALUE"""),"FLIPKART")</f>
        <v>FLIPKART</v>
      </c>
      <c r="D4928" s="115">
        <f>IFERROR(__xludf.DUMMYFUNCTION("""COMPUTED_VALUE"""),397242.0)</f>
        <v>397242</v>
      </c>
      <c r="E4928" s="115">
        <f>IFERROR(__xludf.DUMMYFUNCTION("""COMPUTED_VALUE"""),40507.0)</f>
        <v>40507</v>
      </c>
      <c r="F4928" s="115">
        <f>IFERROR(__xludf.DUMMYFUNCTION("""COMPUTED_VALUE"""),295562.0)</f>
        <v>295562</v>
      </c>
      <c r="G4928" s="115">
        <f>IFERROR(__xludf.DUMMYFUNCTION("""COMPUTED_VALUE"""),30270.0)</f>
        <v>30270</v>
      </c>
      <c r="H4928" s="116">
        <f>IFERROR(__xludf.DUMMYFUNCTION("""COMPUTED_VALUE"""),45909.0)</f>
        <v>45909</v>
      </c>
      <c r="I4928" s="115" t="str">
        <f>IFERROR(__xludf.DUMMYFUNCTION("""COMPUTED_VALUE"""),"22")</f>
        <v>22</v>
      </c>
      <c r="J4928" s="115" t="str">
        <f>IFERROR(__xludf.DUMMYFUNCTION("""COMPUTED_VALUE"""),"Girish Chand2025-09-0922")</f>
        <v>Girish Chand2025-09-0922</v>
      </c>
      <c r="K4928" s="115">
        <f>IFERROR(__xludf.DUMMYFUNCTION("""COMPUTED_VALUE"""),437749.0)</f>
        <v>437749</v>
      </c>
    </row>
    <row r="4929">
      <c r="A4929" s="115" t="str">
        <f>IFERROR(__xludf.DUMMYFUNCTION("""COMPUTED_VALUE"""),"EAST")</f>
        <v>EAST</v>
      </c>
      <c r="B4929" s="115" t="str">
        <f>IFERROR(__xludf.DUMMYFUNCTION("""COMPUTED_VALUE"""),"Girish Chand")</f>
        <v>Girish Chand</v>
      </c>
      <c r="C4929" s="115" t="str">
        <f>IFERROR(__xludf.DUMMYFUNCTION("""COMPUTED_VALUE"""),"MYNTRA")</f>
        <v>MYNTRA</v>
      </c>
      <c r="D4929" s="115">
        <f>IFERROR(__xludf.DUMMYFUNCTION("""COMPUTED_VALUE"""),39967.0)</f>
        <v>39967</v>
      </c>
      <c r="E4929" s="115">
        <f>IFERROR(__xludf.DUMMYFUNCTION("""COMPUTED_VALUE"""),7719.0)</f>
        <v>7719</v>
      </c>
      <c r="F4929" s="115">
        <f>IFERROR(__xludf.DUMMYFUNCTION("""COMPUTED_VALUE"""),31780.0)</f>
        <v>31780</v>
      </c>
      <c r="G4929" s="115">
        <f>IFERROR(__xludf.DUMMYFUNCTION("""COMPUTED_VALUE"""),6009.0)</f>
        <v>6009</v>
      </c>
      <c r="H4929" s="116">
        <f>IFERROR(__xludf.DUMMYFUNCTION("""COMPUTED_VALUE"""),45909.0)</f>
        <v>45909</v>
      </c>
      <c r="I4929" s="115" t="str">
        <f>IFERROR(__xludf.DUMMYFUNCTION("""COMPUTED_VALUE"""),"22")</f>
        <v>22</v>
      </c>
      <c r="J4929" s="115" t="str">
        <f>IFERROR(__xludf.DUMMYFUNCTION("""COMPUTED_VALUE"""),"Girish Chand2025-09-0922")</f>
        <v>Girish Chand2025-09-0922</v>
      </c>
      <c r="K4929" s="115">
        <f>IFERROR(__xludf.DUMMYFUNCTION("""COMPUTED_VALUE"""),47686.0)</f>
        <v>47686</v>
      </c>
    </row>
    <row r="4930">
      <c r="A4930" s="115" t="str">
        <f>IFERROR(__xludf.DUMMYFUNCTION("""COMPUTED_VALUE"""),"EAST")</f>
        <v>EAST</v>
      </c>
      <c r="B4930" s="115" t="str">
        <f>IFERROR(__xludf.DUMMYFUNCTION("""COMPUTED_VALUE"""),"Parag Kashyap")</f>
        <v>Parag Kashyap</v>
      </c>
      <c r="C4930" s="115" t="str">
        <f>IFERROR(__xludf.DUMMYFUNCTION("""COMPUTED_VALUE"""),"EXTERNAL")</f>
        <v>EXTERNAL</v>
      </c>
      <c r="D4930" s="115">
        <f>IFERROR(__xludf.DUMMYFUNCTION("""COMPUTED_VALUE"""),18190.0)</f>
        <v>18190</v>
      </c>
      <c r="E4930" s="115">
        <f>IFERROR(__xludf.DUMMYFUNCTION("""COMPUTED_VALUE"""),1352.0)</f>
        <v>1352</v>
      </c>
      <c r="F4930" s="115">
        <f>IFERROR(__xludf.DUMMYFUNCTION("""COMPUTED_VALUE"""),8435.0)</f>
        <v>8435</v>
      </c>
      <c r="G4930" s="115">
        <f>IFERROR(__xludf.DUMMYFUNCTION("""COMPUTED_VALUE"""),567.0)</f>
        <v>567</v>
      </c>
      <c r="H4930" s="116">
        <f>IFERROR(__xludf.DUMMYFUNCTION("""COMPUTED_VALUE"""),45909.0)</f>
        <v>45909</v>
      </c>
      <c r="I4930" s="115" t="str">
        <f>IFERROR(__xludf.DUMMYFUNCTION("""COMPUTED_VALUE"""),"22")</f>
        <v>22</v>
      </c>
      <c r="J4930" s="115" t="str">
        <f>IFERROR(__xludf.DUMMYFUNCTION("""COMPUTED_VALUE"""),"Parag Kashyap2025-09-0922")</f>
        <v>Parag Kashyap2025-09-0922</v>
      </c>
      <c r="K4930" s="115">
        <f>IFERROR(__xludf.DUMMYFUNCTION("""COMPUTED_VALUE"""),19542.0)</f>
        <v>19542</v>
      </c>
    </row>
    <row r="4931">
      <c r="A4931" s="115" t="str">
        <f>IFERROR(__xludf.DUMMYFUNCTION("""COMPUTED_VALUE"""),"EAST")</f>
        <v>EAST</v>
      </c>
      <c r="B4931" s="115" t="str">
        <f>IFERROR(__xludf.DUMMYFUNCTION("""COMPUTED_VALUE"""),"Parag Kashyap")</f>
        <v>Parag Kashyap</v>
      </c>
      <c r="C4931" s="115" t="str">
        <f>IFERROR(__xludf.DUMMYFUNCTION("""COMPUTED_VALUE"""),"FLIPKART")</f>
        <v>FLIPKART</v>
      </c>
      <c r="D4931" s="115">
        <f>IFERROR(__xludf.DUMMYFUNCTION("""COMPUTED_VALUE"""),313548.0)</f>
        <v>313548</v>
      </c>
      <c r="E4931" s="115">
        <f>IFERROR(__xludf.DUMMYFUNCTION("""COMPUTED_VALUE"""),21875.0)</f>
        <v>21875</v>
      </c>
      <c r="F4931" s="115">
        <f>IFERROR(__xludf.DUMMYFUNCTION("""COMPUTED_VALUE"""),246645.0)</f>
        <v>246645</v>
      </c>
      <c r="G4931" s="115">
        <f>IFERROR(__xludf.DUMMYFUNCTION("""COMPUTED_VALUE"""),16327.0)</f>
        <v>16327</v>
      </c>
      <c r="H4931" s="116">
        <f>IFERROR(__xludf.DUMMYFUNCTION("""COMPUTED_VALUE"""),45909.0)</f>
        <v>45909</v>
      </c>
      <c r="I4931" s="115" t="str">
        <f>IFERROR(__xludf.DUMMYFUNCTION("""COMPUTED_VALUE"""),"22")</f>
        <v>22</v>
      </c>
      <c r="J4931" s="115" t="str">
        <f>IFERROR(__xludf.DUMMYFUNCTION("""COMPUTED_VALUE"""),"Parag Kashyap2025-09-0922")</f>
        <v>Parag Kashyap2025-09-0922</v>
      </c>
      <c r="K4931" s="115">
        <f>IFERROR(__xludf.DUMMYFUNCTION("""COMPUTED_VALUE"""),335423.0)</f>
        <v>335423</v>
      </c>
    </row>
    <row r="4932">
      <c r="A4932" s="115" t="str">
        <f>IFERROR(__xludf.DUMMYFUNCTION("""COMPUTED_VALUE"""),"EAST")</f>
        <v>EAST</v>
      </c>
      <c r="B4932" s="115" t="str">
        <f>IFERROR(__xludf.DUMMYFUNCTION("""COMPUTED_VALUE"""),"Parag Kashyap")</f>
        <v>Parag Kashyap</v>
      </c>
      <c r="C4932" s="115" t="str">
        <f>IFERROR(__xludf.DUMMYFUNCTION("""COMPUTED_VALUE"""),"MYNTRA")</f>
        <v>MYNTRA</v>
      </c>
      <c r="D4932" s="115">
        <f>IFERROR(__xludf.DUMMYFUNCTION("""COMPUTED_VALUE"""),40368.0)</f>
        <v>40368</v>
      </c>
      <c r="E4932" s="115">
        <f>IFERROR(__xludf.DUMMYFUNCTION("""COMPUTED_VALUE"""),6366.0)</f>
        <v>6366</v>
      </c>
      <c r="F4932" s="115">
        <f>IFERROR(__xludf.DUMMYFUNCTION("""COMPUTED_VALUE"""),32749.0)</f>
        <v>32749</v>
      </c>
      <c r="G4932" s="115">
        <f>IFERROR(__xludf.DUMMYFUNCTION("""COMPUTED_VALUE"""),4775.0)</f>
        <v>4775</v>
      </c>
      <c r="H4932" s="116">
        <f>IFERROR(__xludf.DUMMYFUNCTION("""COMPUTED_VALUE"""),45909.0)</f>
        <v>45909</v>
      </c>
      <c r="I4932" s="115" t="str">
        <f>IFERROR(__xludf.DUMMYFUNCTION("""COMPUTED_VALUE"""),"22")</f>
        <v>22</v>
      </c>
      <c r="J4932" s="115" t="str">
        <f>IFERROR(__xludf.DUMMYFUNCTION("""COMPUTED_VALUE"""),"Parag Kashyap2025-09-0922")</f>
        <v>Parag Kashyap2025-09-0922</v>
      </c>
      <c r="K4932" s="115">
        <f>IFERROR(__xludf.DUMMYFUNCTION("""COMPUTED_VALUE"""),46734.0)</f>
        <v>46734</v>
      </c>
    </row>
    <row r="4933">
      <c r="A4933" s="115" t="str">
        <f>IFERROR(__xludf.DUMMYFUNCTION("""COMPUTED_VALUE"""),"NORTH")</f>
        <v>NORTH</v>
      </c>
      <c r="B4933" s="115" t="str">
        <f>IFERROR(__xludf.DUMMYFUNCTION("""COMPUTED_VALUE"""),"Amit Kumar Pathak")</f>
        <v>Amit Kumar Pathak</v>
      </c>
      <c r="C4933" s="115" t="str">
        <f>IFERROR(__xludf.DUMMYFUNCTION("""COMPUTED_VALUE"""),"EXTERNAL")</f>
        <v>EXTERNAL</v>
      </c>
      <c r="D4933" s="115">
        <f>IFERROR(__xludf.DUMMYFUNCTION("""COMPUTED_VALUE"""),29243.0)</f>
        <v>29243</v>
      </c>
      <c r="E4933" s="115">
        <f>IFERROR(__xludf.DUMMYFUNCTION("""COMPUTED_VALUE"""),4033.0)</f>
        <v>4033</v>
      </c>
      <c r="F4933" s="115">
        <f>IFERROR(__xludf.DUMMYFUNCTION("""COMPUTED_VALUE"""),11641.0)</f>
        <v>11641</v>
      </c>
      <c r="G4933" s="115">
        <f>IFERROR(__xludf.DUMMYFUNCTION("""COMPUTED_VALUE"""),2147.0)</f>
        <v>2147</v>
      </c>
      <c r="H4933" s="116">
        <f>IFERROR(__xludf.DUMMYFUNCTION("""COMPUTED_VALUE"""),45909.0)</f>
        <v>45909</v>
      </c>
      <c r="I4933" s="115" t="str">
        <f>IFERROR(__xludf.DUMMYFUNCTION("""COMPUTED_VALUE"""),"22")</f>
        <v>22</v>
      </c>
      <c r="J4933" s="115" t="str">
        <f>IFERROR(__xludf.DUMMYFUNCTION("""COMPUTED_VALUE"""),"Amit Kumar Pathak2025-09-0922")</f>
        <v>Amit Kumar Pathak2025-09-0922</v>
      </c>
      <c r="K4933" s="115">
        <f>IFERROR(__xludf.DUMMYFUNCTION("""COMPUTED_VALUE"""),33276.0)</f>
        <v>33276</v>
      </c>
    </row>
    <row r="4934">
      <c r="A4934" s="115" t="str">
        <f>IFERROR(__xludf.DUMMYFUNCTION("""COMPUTED_VALUE"""),"NORTH")</f>
        <v>NORTH</v>
      </c>
      <c r="B4934" s="115" t="str">
        <f>IFERROR(__xludf.DUMMYFUNCTION("""COMPUTED_VALUE"""),"Amit Kumar Pathak")</f>
        <v>Amit Kumar Pathak</v>
      </c>
      <c r="C4934" s="115" t="str">
        <f>IFERROR(__xludf.DUMMYFUNCTION("""COMPUTED_VALUE"""),"FLIPKART")</f>
        <v>FLIPKART</v>
      </c>
      <c r="D4934" s="115">
        <f>IFERROR(__xludf.DUMMYFUNCTION("""COMPUTED_VALUE"""),183344.0)</f>
        <v>183344</v>
      </c>
      <c r="E4934" s="115">
        <f>IFERROR(__xludf.DUMMYFUNCTION("""COMPUTED_VALUE"""),24795.0)</f>
        <v>24795</v>
      </c>
      <c r="F4934" s="115">
        <f>IFERROR(__xludf.DUMMYFUNCTION("""COMPUTED_VALUE"""),143041.0)</f>
        <v>143041</v>
      </c>
      <c r="G4934" s="115">
        <f>IFERROR(__xludf.DUMMYFUNCTION("""COMPUTED_VALUE"""),17383.0)</f>
        <v>17383</v>
      </c>
      <c r="H4934" s="116">
        <f>IFERROR(__xludf.DUMMYFUNCTION("""COMPUTED_VALUE"""),45909.0)</f>
        <v>45909</v>
      </c>
      <c r="I4934" s="115" t="str">
        <f>IFERROR(__xludf.DUMMYFUNCTION("""COMPUTED_VALUE"""),"22")</f>
        <v>22</v>
      </c>
      <c r="J4934" s="115" t="str">
        <f>IFERROR(__xludf.DUMMYFUNCTION("""COMPUTED_VALUE"""),"Amit Kumar Pathak2025-09-0922")</f>
        <v>Amit Kumar Pathak2025-09-0922</v>
      </c>
      <c r="K4934" s="115">
        <f>IFERROR(__xludf.DUMMYFUNCTION("""COMPUTED_VALUE"""),208139.0)</f>
        <v>208139</v>
      </c>
    </row>
    <row r="4935">
      <c r="A4935" s="115" t="str">
        <f>IFERROR(__xludf.DUMMYFUNCTION("""COMPUTED_VALUE"""),"NORTH")</f>
        <v>NORTH</v>
      </c>
      <c r="B4935" s="115" t="str">
        <f>IFERROR(__xludf.DUMMYFUNCTION("""COMPUTED_VALUE"""),"Amit Kumar Pathak")</f>
        <v>Amit Kumar Pathak</v>
      </c>
      <c r="C4935" s="115" t="str">
        <f>IFERROR(__xludf.DUMMYFUNCTION("""COMPUTED_VALUE"""),"MYNTRA")</f>
        <v>MYNTRA</v>
      </c>
      <c r="D4935" s="115">
        <f>IFERROR(__xludf.DUMMYFUNCTION("""COMPUTED_VALUE"""),17741.0)</f>
        <v>17741</v>
      </c>
      <c r="E4935" s="115">
        <f>IFERROR(__xludf.DUMMYFUNCTION("""COMPUTED_VALUE"""),6005.0)</f>
        <v>6005</v>
      </c>
      <c r="F4935" s="115">
        <f>IFERROR(__xludf.DUMMYFUNCTION("""COMPUTED_VALUE"""),15369.0)</f>
        <v>15369</v>
      </c>
      <c r="G4935" s="115">
        <f>IFERROR(__xludf.DUMMYFUNCTION("""COMPUTED_VALUE"""),4496.0)</f>
        <v>4496</v>
      </c>
      <c r="H4935" s="116">
        <f>IFERROR(__xludf.DUMMYFUNCTION("""COMPUTED_VALUE"""),45909.0)</f>
        <v>45909</v>
      </c>
      <c r="I4935" s="115" t="str">
        <f>IFERROR(__xludf.DUMMYFUNCTION("""COMPUTED_VALUE"""),"22")</f>
        <v>22</v>
      </c>
      <c r="J4935" s="115" t="str">
        <f>IFERROR(__xludf.DUMMYFUNCTION("""COMPUTED_VALUE"""),"Amit Kumar Pathak2025-09-0922")</f>
        <v>Amit Kumar Pathak2025-09-0922</v>
      </c>
      <c r="K4935" s="115">
        <f>IFERROR(__xludf.DUMMYFUNCTION("""COMPUTED_VALUE"""),23746.0)</f>
        <v>23746</v>
      </c>
    </row>
    <row r="4936">
      <c r="A4936" s="115" t="str">
        <f>IFERROR(__xludf.DUMMYFUNCTION("""COMPUTED_VALUE"""),"NORTH")</f>
        <v>NORTH</v>
      </c>
      <c r="B4936" s="115" t="str">
        <f>IFERROR(__xludf.DUMMYFUNCTION("""COMPUTED_VALUE"""),"Loveleen Singh")</f>
        <v>Loveleen Singh</v>
      </c>
      <c r="C4936" s="115" t="str">
        <f>IFERROR(__xludf.DUMMYFUNCTION("""COMPUTED_VALUE"""),"EXTERNAL")</f>
        <v>EXTERNAL</v>
      </c>
      <c r="D4936" s="115">
        <f>IFERROR(__xludf.DUMMYFUNCTION("""COMPUTED_VALUE"""),34608.0)</f>
        <v>34608</v>
      </c>
      <c r="E4936" s="115">
        <f>IFERROR(__xludf.DUMMYFUNCTION("""COMPUTED_VALUE"""),3141.0)</f>
        <v>3141</v>
      </c>
      <c r="F4936" s="115">
        <f>IFERROR(__xludf.DUMMYFUNCTION("""COMPUTED_VALUE"""),14434.0)</f>
        <v>14434</v>
      </c>
      <c r="G4936" s="115">
        <f>IFERROR(__xludf.DUMMYFUNCTION("""COMPUTED_VALUE"""),1102.0)</f>
        <v>1102</v>
      </c>
      <c r="H4936" s="116">
        <f>IFERROR(__xludf.DUMMYFUNCTION("""COMPUTED_VALUE"""),45909.0)</f>
        <v>45909</v>
      </c>
      <c r="I4936" s="115" t="str">
        <f>IFERROR(__xludf.DUMMYFUNCTION("""COMPUTED_VALUE"""),"22")</f>
        <v>22</v>
      </c>
      <c r="J4936" s="115" t="str">
        <f>IFERROR(__xludf.DUMMYFUNCTION("""COMPUTED_VALUE"""),"Loveleen Singh2025-09-0922")</f>
        <v>Loveleen Singh2025-09-0922</v>
      </c>
      <c r="K4936" s="115">
        <f>IFERROR(__xludf.DUMMYFUNCTION("""COMPUTED_VALUE"""),37749.0)</f>
        <v>37749</v>
      </c>
    </row>
    <row r="4937">
      <c r="A4937" s="115" t="str">
        <f>IFERROR(__xludf.DUMMYFUNCTION("""COMPUTED_VALUE"""),"NORTH")</f>
        <v>NORTH</v>
      </c>
      <c r="B4937" s="115" t="str">
        <f>IFERROR(__xludf.DUMMYFUNCTION("""COMPUTED_VALUE"""),"Loveleen Singh")</f>
        <v>Loveleen Singh</v>
      </c>
      <c r="C4937" s="115" t="str">
        <f>IFERROR(__xludf.DUMMYFUNCTION("""COMPUTED_VALUE"""),"FLIPKART")</f>
        <v>FLIPKART</v>
      </c>
      <c r="D4937" s="115">
        <f>IFERROR(__xludf.DUMMYFUNCTION("""COMPUTED_VALUE"""),179646.0)</f>
        <v>179646</v>
      </c>
      <c r="E4937" s="115">
        <f>IFERROR(__xludf.DUMMYFUNCTION("""COMPUTED_VALUE"""),15421.0)</f>
        <v>15421</v>
      </c>
      <c r="F4937" s="115">
        <f>IFERROR(__xludf.DUMMYFUNCTION("""COMPUTED_VALUE"""),136527.0)</f>
        <v>136527</v>
      </c>
      <c r="G4937" s="115">
        <f>IFERROR(__xludf.DUMMYFUNCTION("""COMPUTED_VALUE"""),10469.0)</f>
        <v>10469</v>
      </c>
      <c r="H4937" s="116">
        <f>IFERROR(__xludf.DUMMYFUNCTION("""COMPUTED_VALUE"""),45909.0)</f>
        <v>45909</v>
      </c>
      <c r="I4937" s="115" t="str">
        <f>IFERROR(__xludf.DUMMYFUNCTION("""COMPUTED_VALUE"""),"22")</f>
        <v>22</v>
      </c>
      <c r="J4937" s="115" t="str">
        <f>IFERROR(__xludf.DUMMYFUNCTION("""COMPUTED_VALUE"""),"Loveleen Singh2025-09-0922")</f>
        <v>Loveleen Singh2025-09-0922</v>
      </c>
      <c r="K4937" s="115">
        <f>IFERROR(__xludf.DUMMYFUNCTION("""COMPUTED_VALUE"""),195067.0)</f>
        <v>195067</v>
      </c>
    </row>
    <row r="4938">
      <c r="A4938" s="115" t="str">
        <f>IFERROR(__xludf.DUMMYFUNCTION("""COMPUTED_VALUE"""),"NORTH")</f>
        <v>NORTH</v>
      </c>
      <c r="B4938" s="115" t="str">
        <f>IFERROR(__xludf.DUMMYFUNCTION("""COMPUTED_VALUE"""),"Loveleen Singh")</f>
        <v>Loveleen Singh</v>
      </c>
      <c r="C4938" s="115" t="str">
        <f>IFERROR(__xludf.DUMMYFUNCTION("""COMPUTED_VALUE"""),"MYNTRA")</f>
        <v>MYNTRA</v>
      </c>
      <c r="D4938" s="115">
        <f>IFERROR(__xludf.DUMMYFUNCTION("""COMPUTED_VALUE"""),31958.0)</f>
        <v>31958</v>
      </c>
      <c r="E4938" s="115">
        <f>IFERROR(__xludf.DUMMYFUNCTION("""COMPUTED_VALUE"""),6774.0)</f>
        <v>6774</v>
      </c>
      <c r="F4938" s="115">
        <f>IFERROR(__xludf.DUMMYFUNCTION("""COMPUTED_VALUE"""),26712.0)</f>
        <v>26712</v>
      </c>
      <c r="G4938" s="115">
        <f>IFERROR(__xludf.DUMMYFUNCTION("""COMPUTED_VALUE"""),5003.0)</f>
        <v>5003</v>
      </c>
      <c r="H4938" s="116">
        <f>IFERROR(__xludf.DUMMYFUNCTION("""COMPUTED_VALUE"""),45909.0)</f>
        <v>45909</v>
      </c>
      <c r="I4938" s="115" t="str">
        <f>IFERROR(__xludf.DUMMYFUNCTION("""COMPUTED_VALUE"""),"22")</f>
        <v>22</v>
      </c>
      <c r="J4938" s="115" t="str">
        <f>IFERROR(__xludf.DUMMYFUNCTION("""COMPUTED_VALUE"""),"Loveleen Singh2025-09-0922")</f>
        <v>Loveleen Singh2025-09-0922</v>
      </c>
      <c r="K4938" s="115">
        <f>IFERROR(__xludf.DUMMYFUNCTION("""COMPUTED_VALUE"""),38732.0)</f>
        <v>38732</v>
      </c>
    </row>
    <row r="4939">
      <c r="A4939" s="115" t="str">
        <f>IFERROR(__xludf.DUMMYFUNCTION("""COMPUTED_VALUE"""),"NORTH")</f>
        <v>NORTH</v>
      </c>
      <c r="B4939" s="115" t="str">
        <f>IFERROR(__xludf.DUMMYFUNCTION("""COMPUTED_VALUE"""),"Manoj Harsh")</f>
        <v>Manoj Harsh</v>
      </c>
      <c r="C4939" s="115" t="str">
        <f>IFERROR(__xludf.DUMMYFUNCTION("""COMPUTED_VALUE"""),"EXTERNAL")</f>
        <v>EXTERNAL</v>
      </c>
      <c r="D4939" s="115">
        <f>IFERROR(__xludf.DUMMYFUNCTION("""COMPUTED_VALUE"""),37933.0)</f>
        <v>37933</v>
      </c>
      <c r="E4939" s="115">
        <f>IFERROR(__xludf.DUMMYFUNCTION("""COMPUTED_VALUE"""),3799.0)</f>
        <v>3799</v>
      </c>
      <c r="F4939" s="115">
        <f>IFERROR(__xludf.DUMMYFUNCTION("""COMPUTED_VALUE"""),17231.0)</f>
        <v>17231</v>
      </c>
      <c r="G4939" s="115">
        <f>IFERROR(__xludf.DUMMYFUNCTION("""COMPUTED_VALUE"""),1362.0)</f>
        <v>1362</v>
      </c>
      <c r="H4939" s="116">
        <f>IFERROR(__xludf.DUMMYFUNCTION("""COMPUTED_VALUE"""),45909.0)</f>
        <v>45909</v>
      </c>
      <c r="I4939" s="115" t="str">
        <f>IFERROR(__xludf.DUMMYFUNCTION("""COMPUTED_VALUE"""),"22")</f>
        <v>22</v>
      </c>
      <c r="J4939" s="115" t="str">
        <f>IFERROR(__xludf.DUMMYFUNCTION("""COMPUTED_VALUE"""),"Manoj Harsh2025-09-0922")</f>
        <v>Manoj Harsh2025-09-0922</v>
      </c>
      <c r="K4939" s="115">
        <f>IFERROR(__xludf.DUMMYFUNCTION("""COMPUTED_VALUE"""),41732.0)</f>
        <v>41732</v>
      </c>
    </row>
    <row r="4940">
      <c r="A4940" s="115" t="str">
        <f>IFERROR(__xludf.DUMMYFUNCTION("""COMPUTED_VALUE"""),"NORTH")</f>
        <v>NORTH</v>
      </c>
      <c r="B4940" s="115" t="str">
        <f>IFERROR(__xludf.DUMMYFUNCTION("""COMPUTED_VALUE"""),"Manoj Harsh")</f>
        <v>Manoj Harsh</v>
      </c>
      <c r="C4940" s="115" t="str">
        <f>IFERROR(__xludf.DUMMYFUNCTION("""COMPUTED_VALUE"""),"FLIPKART")</f>
        <v>FLIPKART</v>
      </c>
      <c r="D4940" s="115">
        <f>IFERROR(__xludf.DUMMYFUNCTION("""COMPUTED_VALUE"""),408264.0)</f>
        <v>408264</v>
      </c>
      <c r="E4940" s="115">
        <f>IFERROR(__xludf.DUMMYFUNCTION("""COMPUTED_VALUE"""),43954.0)</f>
        <v>43954</v>
      </c>
      <c r="F4940" s="115">
        <f>IFERROR(__xludf.DUMMYFUNCTION("""COMPUTED_VALUE"""),306204.0)</f>
        <v>306204</v>
      </c>
      <c r="G4940" s="115">
        <f>IFERROR(__xludf.DUMMYFUNCTION("""COMPUTED_VALUE"""),30950.0)</f>
        <v>30950</v>
      </c>
      <c r="H4940" s="116">
        <f>IFERROR(__xludf.DUMMYFUNCTION("""COMPUTED_VALUE"""),45909.0)</f>
        <v>45909</v>
      </c>
      <c r="I4940" s="115" t="str">
        <f>IFERROR(__xludf.DUMMYFUNCTION("""COMPUTED_VALUE"""),"22")</f>
        <v>22</v>
      </c>
      <c r="J4940" s="115" t="str">
        <f>IFERROR(__xludf.DUMMYFUNCTION("""COMPUTED_VALUE"""),"Manoj Harsh2025-09-0922")</f>
        <v>Manoj Harsh2025-09-0922</v>
      </c>
      <c r="K4940" s="115">
        <f>IFERROR(__xludf.DUMMYFUNCTION("""COMPUTED_VALUE"""),452218.0)</f>
        <v>452218</v>
      </c>
    </row>
    <row r="4941">
      <c r="A4941" s="115" t="str">
        <f>IFERROR(__xludf.DUMMYFUNCTION("""COMPUTED_VALUE"""),"NORTH")</f>
        <v>NORTH</v>
      </c>
      <c r="B4941" s="115" t="str">
        <f>IFERROR(__xludf.DUMMYFUNCTION("""COMPUTED_VALUE"""),"Manoj Harsh")</f>
        <v>Manoj Harsh</v>
      </c>
      <c r="C4941" s="115" t="str">
        <f>IFERROR(__xludf.DUMMYFUNCTION("""COMPUTED_VALUE"""),"MYNTRA")</f>
        <v>MYNTRA</v>
      </c>
      <c r="D4941" s="115">
        <f>IFERROR(__xludf.DUMMYFUNCTION("""COMPUTED_VALUE"""),40473.0)</f>
        <v>40473</v>
      </c>
      <c r="E4941" s="115">
        <f>IFERROR(__xludf.DUMMYFUNCTION("""COMPUTED_VALUE"""),8410.0)</f>
        <v>8410</v>
      </c>
      <c r="F4941" s="115">
        <f>IFERROR(__xludf.DUMMYFUNCTION("""COMPUTED_VALUE"""),32965.0)</f>
        <v>32965</v>
      </c>
      <c r="G4941" s="115">
        <f>IFERROR(__xludf.DUMMYFUNCTION("""COMPUTED_VALUE"""),6356.0)</f>
        <v>6356</v>
      </c>
      <c r="H4941" s="116">
        <f>IFERROR(__xludf.DUMMYFUNCTION("""COMPUTED_VALUE"""),45909.0)</f>
        <v>45909</v>
      </c>
      <c r="I4941" s="115" t="str">
        <f>IFERROR(__xludf.DUMMYFUNCTION("""COMPUTED_VALUE"""),"22")</f>
        <v>22</v>
      </c>
      <c r="J4941" s="115" t="str">
        <f>IFERROR(__xludf.DUMMYFUNCTION("""COMPUTED_VALUE"""),"Manoj Harsh2025-09-0922")</f>
        <v>Manoj Harsh2025-09-0922</v>
      </c>
      <c r="K4941" s="115">
        <f>IFERROR(__xludf.DUMMYFUNCTION("""COMPUTED_VALUE"""),48883.0)</f>
        <v>48883</v>
      </c>
    </row>
    <row r="4942">
      <c r="A4942" s="115" t="str">
        <f>IFERROR(__xludf.DUMMYFUNCTION("""COMPUTED_VALUE"""),"NORTH")</f>
        <v>NORTH</v>
      </c>
      <c r="B4942" s="115" t="str">
        <f>IFERROR(__xludf.DUMMYFUNCTION("""COMPUTED_VALUE"""),"Pradeep Kothari")</f>
        <v>Pradeep Kothari</v>
      </c>
      <c r="C4942" s="115" t="str">
        <f>IFERROR(__xludf.DUMMYFUNCTION("""COMPUTED_VALUE"""),"EXTERNAL")</f>
        <v>EXTERNAL</v>
      </c>
      <c r="D4942" s="115">
        <f>IFERROR(__xludf.DUMMYFUNCTION("""COMPUTED_VALUE"""),20872.0)</f>
        <v>20872</v>
      </c>
      <c r="E4942" s="115">
        <f>IFERROR(__xludf.DUMMYFUNCTION("""COMPUTED_VALUE"""),2291.0)</f>
        <v>2291</v>
      </c>
      <c r="F4942" s="115">
        <f>IFERROR(__xludf.DUMMYFUNCTION("""COMPUTED_VALUE"""),8870.0)</f>
        <v>8870</v>
      </c>
      <c r="G4942" s="115">
        <f>IFERROR(__xludf.DUMMYFUNCTION("""COMPUTED_VALUE"""),952.0)</f>
        <v>952</v>
      </c>
      <c r="H4942" s="116">
        <f>IFERROR(__xludf.DUMMYFUNCTION("""COMPUTED_VALUE"""),45909.0)</f>
        <v>45909</v>
      </c>
      <c r="I4942" s="115" t="str">
        <f>IFERROR(__xludf.DUMMYFUNCTION("""COMPUTED_VALUE"""),"22")</f>
        <v>22</v>
      </c>
      <c r="J4942" s="115" t="str">
        <f>IFERROR(__xludf.DUMMYFUNCTION("""COMPUTED_VALUE"""),"Pradeep Kothari2025-09-0922")</f>
        <v>Pradeep Kothari2025-09-0922</v>
      </c>
      <c r="K4942" s="115">
        <f>IFERROR(__xludf.DUMMYFUNCTION("""COMPUTED_VALUE"""),23163.0)</f>
        <v>23163</v>
      </c>
    </row>
    <row r="4943">
      <c r="A4943" s="115" t="str">
        <f>IFERROR(__xludf.DUMMYFUNCTION("""COMPUTED_VALUE"""),"NORTH")</f>
        <v>NORTH</v>
      </c>
      <c r="B4943" s="115" t="str">
        <f>IFERROR(__xludf.DUMMYFUNCTION("""COMPUTED_VALUE"""),"Pradeep Kothari")</f>
        <v>Pradeep Kothari</v>
      </c>
      <c r="C4943" s="115" t="str">
        <f>IFERROR(__xludf.DUMMYFUNCTION("""COMPUTED_VALUE"""),"FLIPKART")</f>
        <v>FLIPKART</v>
      </c>
      <c r="D4943" s="115">
        <f>IFERROR(__xludf.DUMMYFUNCTION("""COMPUTED_VALUE"""),144125.0)</f>
        <v>144125</v>
      </c>
      <c r="E4943" s="115">
        <f>IFERROR(__xludf.DUMMYFUNCTION("""COMPUTED_VALUE"""),17667.0)</f>
        <v>17667</v>
      </c>
      <c r="F4943" s="115">
        <f>IFERROR(__xludf.DUMMYFUNCTION("""COMPUTED_VALUE"""),110618.0)</f>
        <v>110618</v>
      </c>
      <c r="G4943" s="115">
        <f>IFERROR(__xludf.DUMMYFUNCTION("""COMPUTED_VALUE"""),12334.0)</f>
        <v>12334</v>
      </c>
      <c r="H4943" s="116">
        <f>IFERROR(__xludf.DUMMYFUNCTION("""COMPUTED_VALUE"""),45909.0)</f>
        <v>45909</v>
      </c>
      <c r="I4943" s="115" t="str">
        <f>IFERROR(__xludf.DUMMYFUNCTION("""COMPUTED_VALUE"""),"22")</f>
        <v>22</v>
      </c>
      <c r="J4943" s="115" t="str">
        <f>IFERROR(__xludf.DUMMYFUNCTION("""COMPUTED_VALUE"""),"Pradeep Kothari2025-09-0922")</f>
        <v>Pradeep Kothari2025-09-0922</v>
      </c>
      <c r="K4943" s="115">
        <f>IFERROR(__xludf.DUMMYFUNCTION("""COMPUTED_VALUE"""),161792.0)</f>
        <v>161792</v>
      </c>
    </row>
    <row r="4944">
      <c r="A4944" s="115" t="str">
        <f>IFERROR(__xludf.DUMMYFUNCTION("""COMPUTED_VALUE"""),"NORTH")</f>
        <v>NORTH</v>
      </c>
      <c r="B4944" s="115" t="str">
        <f>IFERROR(__xludf.DUMMYFUNCTION("""COMPUTED_VALUE"""),"Pradeep Kothari")</f>
        <v>Pradeep Kothari</v>
      </c>
      <c r="C4944" s="115" t="str">
        <f>IFERROR(__xludf.DUMMYFUNCTION("""COMPUTED_VALUE"""),"MYNTRA")</f>
        <v>MYNTRA</v>
      </c>
      <c r="D4944" s="115">
        <f>IFERROR(__xludf.DUMMYFUNCTION("""COMPUTED_VALUE"""),27132.0)</f>
        <v>27132</v>
      </c>
      <c r="E4944" s="115">
        <f>IFERROR(__xludf.DUMMYFUNCTION("""COMPUTED_VALUE"""),7150.0)</f>
        <v>7150</v>
      </c>
      <c r="F4944" s="115">
        <f>IFERROR(__xludf.DUMMYFUNCTION("""COMPUTED_VALUE"""),22810.0)</f>
        <v>22810</v>
      </c>
      <c r="G4944" s="115">
        <f>IFERROR(__xludf.DUMMYFUNCTION("""COMPUTED_VALUE"""),5502.0)</f>
        <v>5502</v>
      </c>
      <c r="H4944" s="116">
        <f>IFERROR(__xludf.DUMMYFUNCTION("""COMPUTED_VALUE"""),45909.0)</f>
        <v>45909</v>
      </c>
      <c r="I4944" s="115" t="str">
        <f>IFERROR(__xludf.DUMMYFUNCTION("""COMPUTED_VALUE"""),"22")</f>
        <v>22</v>
      </c>
      <c r="J4944" s="115" t="str">
        <f>IFERROR(__xludf.DUMMYFUNCTION("""COMPUTED_VALUE"""),"Pradeep Kothari2025-09-0922")</f>
        <v>Pradeep Kothari2025-09-0922</v>
      </c>
      <c r="K4944" s="115">
        <f>IFERROR(__xludf.DUMMYFUNCTION("""COMPUTED_VALUE"""),34282.0)</f>
        <v>34282</v>
      </c>
    </row>
    <row r="4945">
      <c r="A4945" s="115" t="str">
        <f>IFERROR(__xludf.DUMMYFUNCTION("""COMPUTED_VALUE"""),"SOUTH")</f>
        <v>SOUTH</v>
      </c>
      <c r="B4945" s="115" t="str">
        <f>IFERROR(__xludf.DUMMYFUNCTION("""COMPUTED_VALUE"""),"0")</f>
        <v>0</v>
      </c>
      <c r="C4945" s="115" t="str">
        <f>IFERROR(__xludf.DUMMYFUNCTION("""COMPUTED_VALUE"""),"EXTERNAL")</f>
        <v>EXTERNAL</v>
      </c>
      <c r="D4945" s="115">
        <f>IFERROR(__xludf.DUMMYFUNCTION("""COMPUTED_VALUE"""),3.0)</f>
        <v>3</v>
      </c>
      <c r="E4945" s="115">
        <f>IFERROR(__xludf.DUMMYFUNCTION("""COMPUTED_VALUE"""),2.0)</f>
        <v>2</v>
      </c>
      <c r="F4945" s="115">
        <f>IFERROR(__xludf.DUMMYFUNCTION("""COMPUTED_VALUE"""),3.0)</f>
        <v>3</v>
      </c>
      <c r="G4945" s="115">
        <f>IFERROR(__xludf.DUMMYFUNCTION("""COMPUTED_VALUE"""),2.0)</f>
        <v>2</v>
      </c>
      <c r="H4945" s="116">
        <f>IFERROR(__xludf.DUMMYFUNCTION("""COMPUTED_VALUE"""),45909.0)</f>
        <v>45909</v>
      </c>
      <c r="I4945" s="115" t="str">
        <f>IFERROR(__xludf.DUMMYFUNCTION("""COMPUTED_VALUE"""),"22")</f>
        <v>22</v>
      </c>
      <c r="J4945" s="115" t="str">
        <f>IFERROR(__xludf.DUMMYFUNCTION("""COMPUTED_VALUE"""),"02025-09-0922")</f>
        <v>02025-09-0922</v>
      </c>
      <c r="K4945" s="115">
        <f>IFERROR(__xludf.DUMMYFUNCTION("""COMPUTED_VALUE"""),5.0)</f>
        <v>5</v>
      </c>
    </row>
    <row r="4946">
      <c r="A4946" s="115" t="str">
        <f>IFERROR(__xludf.DUMMYFUNCTION("""COMPUTED_VALUE"""),"SOUTH")</f>
        <v>SOUTH</v>
      </c>
      <c r="B4946" s="115" t="str">
        <f>IFERROR(__xludf.DUMMYFUNCTION("""COMPUTED_VALUE"""),"0")</f>
        <v>0</v>
      </c>
      <c r="C4946" s="115" t="str">
        <f>IFERROR(__xludf.DUMMYFUNCTION("""COMPUTED_VALUE"""),"FLIPKART")</f>
        <v>FLIPKART</v>
      </c>
      <c r="D4946" s="115">
        <f>IFERROR(__xludf.DUMMYFUNCTION("""COMPUTED_VALUE"""),68.0)</f>
        <v>68</v>
      </c>
      <c r="E4946" s="115">
        <f>IFERROR(__xludf.DUMMYFUNCTION("""COMPUTED_VALUE"""),45.0)</f>
        <v>45</v>
      </c>
      <c r="F4946" s="115">
        <f>IFERROR(__xludf.DUMMYFUNCTION("""COMPUTED_VALUE"""),60.0)</f>
        <v>60</v>
      </c>
      <c r="G4946" s="115">
        <f>IFERROR(__xludf.DUMMYFUNCTION("""COMPUTED_VALUE"""),8.0)</f>
        <v>8</v>
      </c>
      <c r="H4946" s="116">
        <f>IFERROR(__xludf.DUMMYFUNCTION("""COMPUTED_VALUE"""),45909.0)</f>
        <v>45909</v>
      </c>
      <c r="I4946" s="115" t="str">
        <f>IFERROR(__xludf.DUMMYFUNCTION("""COMPUTED_VALUE"""),"22")</f>
        <v>22</v>
      </c>
      <c r="J4946" s="115" t="str">
        <f>IFERROR(__xludf.DUMMYFUNCTION("""COMPUTED_VALUE"""),"02025-09-0922")</f>
        <v>02025-09-0922</v>
      </c>
      <c r="K4946" s="115">
        <f>IFERROR(__xludf.DUMMYFUNCTION("""COMPUTED_VALUE"""),113.0)</f>
        <v>113</v>
      </c>
    </row>
    <row r="4947">
      <c r="A4947" s="115" t="str">
        <f>IFERROR(__xludf.DUMMYFUNCTION("""COMPUTED_VALUE"""),"SOUTH")</f>
        <v>SOUTH</v>
      </c>
      <c r="B4947" s="115" t="str">
        <f>IFERROR(__xludf.DUMMYFUNCTION("""COMPUTED_VALUE"""),"0")</f>
        <v>0</v>
      </c>
      <c r="C4947" s="115" t="str">
        <f>IFERROR(__xludf.DUMMYFUNCTION("""COMPUTED_VALUE"""),"MYNTRA")</f>
        <v>MYNTRA</v>
      </c>
      <c r="D4947" s="115">
        <f>IFERROR(__xludf.DUMMYFUNCTION("""COMPUTED_VALUE"""),6.0)</f>
        <v>6</v>
      </c>
      <c r="E4947" s="115">
        <f>IFERROR(__xludf.DUMMYFUNCTION("""COMPUTED_VALUE"""),16.0)</f>
        <v>16</v>
      </c>
      <c r="F4947" s="115">
        <f>IFERROR(__xludf.DUMMYFUNCTION("""COMPUTED_VALUE"""),5.0)</f>
        <v>5</v>
      </c>
      <c r="G4947" s="115">
        <f>IFERROR(__xludf.DUMMYFUNCTION("""COMPUTED_VALUE"""),4.0)</f>
        <v>4</v>
      </c>
      <c r="H4947" s="116">
        <f>IFERROR(__xludf.DUMMYFUNCTION("""COMPUTED_VALUE"""),45909.0)</f>
        <v>45909</v>
      </c>
      <c r="I4947" s="115" t="str">
        <f>IFERROR(__xludf.DUMMYFUNCTION("""COMPUTED_VALUE"""),"22")</f>
        <v>22</v>
      </c>
      <c r="J4947" s="115" t="str">
        <f>IFERROR(__xludf.DUMMYFUNCTION("""COMPUTED_VALUE"""),"02025-09-0922")</f>
        <v>02025-09-0922</v>
      </c>
      <c r="K4947" s="115">
        <f>IFERROR(__xludf.DUMMYFUNCTION("""COMPUTED_VALUE"""),22.0)</f>
        <v>22</v>
      </c>
    </row>
    <row r="4948">
      <c r="A4948" s="115" t="str">
        <f>IFERROR(__xludf.DUMMYFUNCTION("""COMPUTED_VALUE"""),"SOUTH")</f>
        <v>SOUTH</v>
      </c>
      <c r="B4948" s="115" t="str">
        <f>IFERROR(__xludf.DUMMYFUNCTION("""COMPUTED_VALUE"""),"Kandula Sampath")</f>
        <v>Kandula Sampath</v>
      </c>
      <c r="C4948" s="115" t="str">
        <f>IFERROR(__xludf.DUMMYFUNCTION("""COMPUTED_VALUE"""),"EXTERNAL")</f>
        <v>EXTERNAL</v>
      </c>
      <c r="D4948" s="115">
        <f>IFERROR(__xludf.DUMMYFUNCTION("""COMPUTED_VALUE"""),34259.0)</f>
        <v>34259</v>
      </c>
      <c r="E4948" s="115">
        <f>IFERROR(__xludf.DUMMYFUNCTION("""COMPUTED_VALUE"""),4853.0)</f>
        <v>4853</v>
      </c>
      <c r="F4948" s="115">
        <f>IFERROR(__xludf.DUMMYFUNCTION("""COMPUTED_VALUE"""),14783.0)</f>
        <v>14783</v>
      </c>
      <c r="G4948" s="115">
        <f>IFERROR(__xludf.DUMMYFUNCTION("""COMPUTED_VALUE"""),1840.0)</f>
        <v>1840</v>
      </c>
      <c r="H4948" s="116">
        <f>IFERROR(__xludf.DUMMYFUNCTION("""COMPUTED_VALUE"""),45909.0)</f>
        <v>45909</v>
      </c>
      <c r="I4948" s="115" t="str">
        <f>IFERROR(__xludf.DUMMYFUNCTION("""COMPUTED_VALUE"""),"22")</f>
        <v>22</v>
      </c>
      <c r="J4948" s="115" t="str">
        <f>IFERROR(__xludf.DUMMYFUNCTION("""COMPUTED_VALUE"""),"Kandula Sampath2025-09-0922")</f>
        <v>Kandula Sampath2025-09-0922</v>
      </c>
      <c r="K4948" s="115">
        <f>IFERROR(__xludf.DUMMYFUNCTION("""COMPUTED_VALUE"""),39112.0)</f>
        <v>39112</v>
      </c>
    </row>
    <row r="4949">
      <c r="A4949" s="115" t="str">
        <f>IFERROR(__xludf.DUMMYFUNCTION("""COMPUTED_VALUE"""),"SOUTH")</f>
        <v>SOUTH</v>
      </c>
      <c r="B4949" s="115" t="str">
        <f>IFERROR(__xludf.DUMMYFUNCTION("""COMPUTED_VALUE"""),"Kandula Sampath")</f>
        <v>Kandula Sampath</v>
      </c>
      <c r="C4949" s="115" t="str">
        <f>IFERROR(__xludf.DUMMYFUNCTION("""COMPUTED_VALUE"""),"FLIPKART")</f>
        <v>FLIPKART</v>
      </c>
      <c r="D4949" s="115">
        <f>IFERROR(__xludf.DUMMYFUNCTION("""COMPUTED_VALUE"""),317358.0)</f>
        <v>317358</v>
      </c>
      <c r="E4949" s="115">
        <f>IFERROR(__xludf.DUMMYFUNCTION("""COMPUTED_VALUE"""),36237.0)</f>
        <v>36237</v>
      </c>
      <c r="F4949" s="115">
        <f>IFERROR(__xludf.DUMMYFUNCTION("""COMPUTED_VALUE"""),237818.0)</f>
        <v>237818</v>
      </c>
      <c r="G4949" s="115">
        <f>IFERROR(__xludf.DUMMYFUNCTION("""COMPUTED_VALUE"""),24649.0)</f>
        <v>24649</v>
      </c>
      <c r="H4949" s="116">
        <f>IFERROR(__xludf.DUMMYFUNCTION("""COMPUTED_VALUE"""),45909.0)</f>
        <v>45909</v>
      </c>
      <c r="I4949" s="115" t="str">
        <f>IFERROR(__xludf.DUMMYFUNCTION("""COMPUTED_VALUE"""),"22")</f>
        <v>22</v>
      </c>
      <c r="J4949" s="115" t="str">
        <f>IFERROR(__xludf.DUMMYFUNCTION("""COMPUTED_VALUE"""),"Kandula Sampath2025-09-0922")</f>
        <v>Kandula Sampath2025-09-0922</v>
      </c>
      <c r="K4949" s="115">
        <f>IFERROR(__xludf.DUMMYFUNCTION("""COMPUTED_VALUE"""),353595.0)</f>
        <v>353595</v>
      </c>
    </row>
    <row r="4950">
      <c r="A4950" s="115" t="str">
        <f>IFERROR(__xludf.DUMMYFUNCTION("""COMPUTED_VALUE"""),"SOUTH")</f>
        <v>SOUTH</v>
      </c>
      <c r="B4950" s="115" t="str">
        <f>IFERROR(__xludf.DUMMYFUNCTION("""COMPUTED_VALUE"""),"Kandula Sampath")</f>
        <v>Kandula Sampath</v>
      </c>
      <c r="C4950" s="115" t="str">
        <f>IFERROR(__xludf.DUMMYFUNCTION("""COMPUTED_VALUE"""),"MYNTRA")</f>
        <v>MYNTRA</v>
      </c>
      <c r="D4950" s="115">
        <f>IFERROR(__xludf.DUMMYFUNCTION("""COMPUTED_VALUE"""),37896.0)</f>
        <v>37896</v>
      </c>
      <c r="E4950" s="115">
        <f>IFERROR(__xludf.DUMMYFUNCTION("""COMPUTED_VALUE"""),10018.0)</f>
        <v>10018</v>
      </c>
      <c r="F4950" s="115">
        <f>IFERROR(__xludf.DUMMYFUNCTION("""COMPUTED_VALUE"""),31123.0)</f>
        <v>31123</v>
      </c>
      <c r="G4950" s="115">
        <f>IFERROR(__xludf.DUMMYFUNCTION("""COMPUTED_VALUE"""),7084.0)</f>
        <v>7084</v>
      </c>
      <c r="H4950" s="116">
        <f>IFERROR(__xludf.DUMMYFUNCTION("""COMPUTED_VALUE"""),45909.0)</f>
        <v>45909</v>
      </c>
      <c r="I4950" s="115" t="str">
        <f>IFERROR(__xludf.DUMMYFUNCTION("""COMPUTED_VALUE"""),"22")</f>
        <v>22</v>
      </c>
      <c r="J4950" s="115" t="str">
        <f>IFERROR(__xludf.DUMMYFUNCTION("""COMPUTED_VALUE"""),"Kandula Sampath2025-09-0922")</f>
        <v>Kandula Sampath2025-09-0922</v>
      </c>
      <c r="K4950" s="115">
        <f>IFERROR(__xludf.DUMMYFUNCTION("""COMPUTED_VALUE"""),47914.0)</f>
        <v>47914</v>
      </c>
    </row>
    <row r="4951">
      <c r="A4951" s="115" t="str">
        <f>IFERROR(__xludf.DUMMYFUNCTION("""COMPUTED_VALUE"""),"SOUTH")</f>
        <v>SOUTH</v>
      </c>
      <c r="B4951" s="115" t="str">
        <f>IFERROR(__xludf.DUMMYFUNCTION("""COMPUTED_VALUE"""),"Martin A")</f>
        <v>Martin A</v>
      </c>
      <c r="C4951" s="115" t="str">
        <f>IFERROR(__xludf.DUMMYFUNCTION("""COMPUTED_VALUE"""),"EXTERNAL")</f>
        <v>EXTERNAL</v>
      </c>
      <c r="D4951" s="115">
        <f>IFERROR(__xludf.DUMMYFUNCTION("""COMPUTED_VALUE"""),33689.0)</f>
        <v>33689</v>
      </c>
      <c r="E4951" s="115">
        <f>IFERROR(__xludf.DUMMYFUNCTION("""COMPUTED_VALUE"""),4758.0)</f>
        <v>4758</v>
      </c>
      <c r="F4951" s="115">
        <f>IFERROR(__xludf.DUMMYFUNCTION("""COMPUTED_VALUE"""),14741.0)</f>
        <v>14741</v>
      </c>
      <c r="G4951" s="115">
        <f>IFERROR(__xludf.DUMMYFUNCTION("""COMPUTED_VALUE"""),2498.0)</f>
        <v>2498</v>
      </c>
      <c r="H4951" s="116">
        <f>IFERROR(__xludf.DUMMYFUNCTION("""COMPUTED_VALUE"""),45909.0)</f>
        <v>45909</v>
      </c>
      <c r="I4951" s="115" t="str">
        <f>IFERROR(__xludf.DUMMYFUNCTION("""COMPUTED_VALUE"""),"22")</f>
        <v>22</v>
      </c>
      <c r="J4951" s="115" t="str">
        <f>IFERROR(__xludf.DUMMYFUNCTION("""COMPUTED_VALUE"""),"Martin A2025-09-0922")</f>
        <v>Martin A2025-09-0922</v>
      </c>
      <c r="K4951" s="115">
        <f>IFERROR(__xludf.DUMMYFUNCTION("""COMPUTED_VALUE"""),38447.0)</f>
        <v>38447</v>
      </c>
    </row>
    <row r="4952">
      <c r="A4952" s="115" t="str">
        <f>IFERROR(__xludf.DUMMYFUNCTION("""COMPUTED_VALUE"""),"SOUTH")</f>
        <v>SOUTH</v>
      </c>
      <c r="B4952" s="115" t="str">
        <f>IFERROR(__xludf.DUMMYFUNCTION("""COMPUTED_VALUE"""),"Martin A")</f>
        <v>Martin A</v>
      </c>
      <c r="C4952" s="115" t="str">
        <f>IFERROR(__xludf.DUMMYFUNCTION("""COMPUTED_VALUE"""),"FLIPKART")</f>
        <v>FLIPKART</v>
      </c>
      <c r="D4952" s="115">
        <f>IFERROR(__xludf.DUMMYFUNCTION("""COMPUTED_VALUE"""),290621.0)</f>
        <v>290621</v>
      </c>
      <c r="E4952" s="115">
        <f>IFERROR(__xludf.DUMMYFUNCTION("""COMPUTED_VALUE"""),31431.0)</f>
        <v>31431</v>
      </c>
      <c r="F4952" s="115">
        <f>IFERROR(__xludf.DUMMYFUNCTION("""COMPUTED_VALUE"""),222196.0)</f>
        <v>222196</v>
      </c>
      <c r="G4952" s="115">
        <f>IFERROR(__xludf.DUMMYFUNCTION("""COMPUTED_VALUE"""),21687.0)</f>
        <v>21687</v>
      </c>
      <c r="H4952" s="116">
        <f>IFERROR(__xludf.DUMMYFUNCTION("""COMPUTED_VALUE"""),45909.0)</f>
        <v>45909</v>
      </c>
      <c r="I4952" s="115" t="str">
        <f>IFERROR(__xludf.DUMMYFUNCTION("""COMPUTED_VALUE"""),"22")</f>
        <v>22</v>
      </c>
      <c r="J4952" s="115" t="str">
        <f>IFERROR(__xludf.DUMMYFUNCTION("""COMPUTED_VALUE"""),"Martin A2025-09-0922")</f>
        <v>Martin A2025-09-0922</v>
      </c>
      <c r="K4952" s="115">
        <f>IFERROR(__xludf.DUMMYFUNCTION("""COMPUTED_VALUE"""),322052.0)</f>
        <v>322052</v>
      </c>
    </row>
    <row r="4953">
      <c r="A4953" s="115" t="str">
        <f>IFERROR(__xludf.DUMMYFUNCTION("""COMPUTED_VALUE"""),"SOUTH")</f>
        <v>SOUTH</v>
      </c>
      <c r="B4953" s="115" t="str">
        <f>IFERROR(__xludf.DUMMYFUNCTION("""COMPUTED_VALUE"""),"Martin A")</f>
        <v>Martin A</v>
      </c>
      <c r="C4953" s="115" t="str">
        <f>IFERROR(__xludf.DUMMYFUNCTION("""COMPUTED_VALUE"""),"MYNTRA")</f>
        <v>MYNTRA</v>
      </c>
      <c r="D4953" s="115">
        <f>IFERROR(__xludf.DUMMYFUNCTION("""COMPUTED_VALUE"""),26528.0)</f>
        <v>26528</v>
      </c>
      <c r="E4953" s="115">
        <f>IFERROR(__xludf.DUMMYFUNCTION("""COMPUTED_VALUE"""),7992.0)</f>
        <v>7992</v>
      </c>
      <c r="F4953" s="115">
        <f>IFERROR(__xludf.DUMMYFUNCTION("""COMPUTED_VALUE"""),22595.0)</f>
        <v>22595</v>
      </c>
      <c r="G4953" s="115">
        <f>IFERROR(__xludf.DUMMYFUNCTION("""COMPUTED_VALUE"""),5797.0)</f>
        <v>5797</v>
      </c>
      <c r="H4953" s="116">
        <f>IFERROR(__xludf.DUMMYFUNCTION("""COMPUTED_VALUE"""),45909.0)</f>
        <v>45909</v>
      </c>
      <c r="I4953" s="115" t="str">
        <f>IFERROR(__xludf.DUMMYFUNCTION("""COMPUTED_VALUE"""),"22")</f>
        <v>22</v>
      </c>
      <c r="J4953" s="115" t="str">
        <f>IFERROR(__xludf.DUMMYFUNCTION("""COMPUTED_VALUE"""),"Martin A2025-09-0922")</f>
        <v>Martin A2025-09-0922</v>
      </c>
      <c r="K4953" s="115">
        <f>IFERROR(__xludf.DUMMYFUNCTION("""COMPUTED_VALUE"""),34520.0)</f>
        <v>34520</v>
      </c>
    </row>
    <row r="4954">
      <c r="A4954" s="115" t="str">
        <f>IFERROR(__xludf.DUMMYFUNCTION("""COMPUTED_VALUE"""),"SOUTH")</f>
        <v>SOUTH</v>
      </c>
      <c r="B4954" s="115" t="str">
        <f>IFERROR(__xludf.DUMMYFUNCTION("""COMPUTED_VALUE"""),"Premkumar M")</f>
        <v>Premkumar M</v>
      </c>
      <c r="C4954" s="115" t="str">
        <f>IFERROR(__xludf.DUMMYFUNCTION("""COMPUTED_VALUE"""),"EXTERNAL")</f>
        <v>EXTERNAL</v>
      </c>
      <c r="D4954" s="115">
        <f>IFERROR(__xludf.DUMMYFUNCTION("""COMPUTED_VALUE"""),28553.0)</f>
        <v>28553</v>
      </c>
      <c r="E4954" s="115">
        <f>IFERROR(__xludf.DUMMYFUNCTION("""COMPUTED_VALUE"""),2570.0)</f>
        <v>2570</v>
      </c>
      <c r="F4954" s="115">
        <f>IFERROR(__xludf.DUMMYFUNCTION("""COMPUTED_VALUE"""),14709.0)</f>
        <v>14709</v>
      </c>
      <c r="G4954" s="115">
        <f>IFERROR(__xludf.DUMMYFUNCTION("""COMPUTED_VALUE"""),1193.0)</f>
        <v>1193</v>
      </c>
      <c r="H4954" s="116">
        <f>IFERROR(__xludf.DUMMYFUNCTION("""COMPUTED_VALUE"""),45909.0)</f>
        <v>45909</v>
      </c>
      <c r="I4954" s="115" t="str">
        <f>IFERROR(__xludf.DUMMYFUNCTION("""COMPUTED_VALUE"""),"22")</f>
        <v>22</v>
      </c>
      <c r="J4954" s="115" t="str">
        <f>IFERROR(__xludf.DUMMYFUNCTION("""COMPUTED_VALUE"""),"Premkumar M2025-09-0922")</f>
        <v>Premkumar M2025-09-0922</v>
      </c>
      <c r="K4954" s="115">
        <f>IFERROR(__xludf.DUMMYFUNCTION("""COMPUTED_VALUE"""),31123.0)</f>
        <v>31123</v>
      </c>
    </row>
    <row r="4955">
      <c r="A4955" s="115" t="str">
        <f>IFERROR(__xludf.DUMMYFUNCTION("""COMPUTED_VALUE"""),"SOUTH")</f>
        <v>SOUTH</v>
      </c>
      <c r="B4955" s="115" t="str">
        <f>IFERROR(__xludf.DUMMYFUNCTION("""COMPUTED_VALUE"""),"Premkumar M")</f>
        <v>Premkumar M</v>
      </c>
      <c r="C4955" s="115" t="str">
        <f>IFERROR(__xludf.DUMMYFUNCTION("""COMPUTED_VALUE"""),"FLIPKART")</f>
        <v>FLIPKART</v>
      </c>
      <c r="D4955" s="115">
        <f>IFERROR(__xludf.DUMMYFUNCTION("""COMPUTED_VALUE"""),270966.0)</f>
        <v>270966</v>
      </c>
      <c r="E4955" s="115">
        <f>IFERROR(__xludf.DUMMYFUNCTION("""COMPUTED_VALUE"""),21938.0)</f>
        <v>21938</v>
      </c>
      <c r="F4955" s="115">
        <f>IFERROR(__xludf.DUMMYFUNCTION("""COMPUTED_VALUE"""),212605.0)</f>
        <v>212605</v>
      </c>
      <c r="G4955" s="115">
        <f>IFERROR(__xludf.DUMMYFUNCTION("""COMPUTED_VALUE"""),13958.0)</f>
        <v>13958</v>
      </c>
      <c r="H4955" s="116">
        <f>IFERROR(__xludf.DUMMYFUNCTION("""COMPUTED_VALUE"""),45909.0)</f>
        <v>45909</v>
      </c>
      <c r="I4955" s="115" t="str">
        <f>IFERROR(__xludf.DUMMYFUNCTION("""COMPUTED_VALUE"""),"22")</f>
        <v>22</v>
      </c>
      <c r="J4955" s="115" t="str">
        <f>IFERROR(__xludf.DUMMYFUNCTION("""COMPUTED_VALUE"""),"Premkumar M2025-09-0922")</f>
        <v>Premkumar M2025-09-0922</v>
      </c>
      <c r="K4955" s="115">
        <f>IFERROR(__xludf.DUMMYFUNCTION("""COMPUTED_VALUE"""),292904.0)</f>
        <v>292904</v>
      </c>
    </row>
    <row r="4956">
      <c r="A4956" s="115" t="str">
        <f>IFERROR(__xludf.DUMMYFUNCTION("""COMPUTED_VALUE"""),"SOUTH")</f>
        <v>SOUTH</v>
      </c>
      <c r="B4956" s="115" t="str">
        <f>IFERROR(__xludf.DUMMYFUNCTION("""COMPUTED_VALUE"""),"Premkumar M")</f>
        <v>Premkumar M</v>
      </c>
      <c r="C4956" s="115" t="str">
        <f>IFERROR(__xludf.DUMMYFUNCTION("""COMPUTED_VALUE"""),"MYNTRA")</f>
        <v>MYNTRA</v>
      </c>
      <c r="D4956" s="115">
        <f>IFERROR(__xludf.DUMMYFUNCTION("""COMPUTED_VALUE"""),14894.0)</f>
        <v>14894</v>
      </c>
      <c r="E4956" s="115">
        <f>IFERROR(__xludf.DUMMYFUNCTION("""COMPUTED_VALUE"""),3517.0)</f>
        <v>3517</v>
      </c>
      <c r="F4956" s="115">
        <f>IFERROR(__xludf.DUMMYFUNCTION("""COMPUTED_VALUE"""),12771.0)</f>
        <v>12771</v>
      </c>
      <c r="G4956" s="115">
        <f>IFERROR(__xludf.DUMMYFUNCTION("""COMPUTED_VALUE"""),2365.0)</f>
        <v>2365</v>
      </c>
      <c r="H4956" s="116">
        <f>IFERROR(__xludf.DUMMYFUNCTION("""COMPUTED_VALUE"""),45909.0)</f>
        <v>45909</v>
      </c>
      <c r="I4956" s="115" t="str">
        <f>IFERROR(__xludf.DUMMYFUNCTION("""COMPUTED_VALUE"""),"22")</f>
        <v>22</v>
      </c>
      <c r="J4956" s="115" t="str">
        <f>IFERROR(__xludf.DUMMYFUNCTION("""COMPUTED_VALUE"""),"Premkumar M2025-09-0922")</f>
        <v>Premkumar M2025-09-0922</v>
      </c>
      <c r="K4956" s="115">
        <f>IFERROR(__xludf.DUMMYFUNCTION("""COMPUTED_VALUE"""),18411.0)</f>
        <v>18411</v>
      </c>
    </row>
    <row r="4957">
      <c r="A4957" s="115" t="str">
        <f>IFERROR(__xludf.DUMMYFUNCTION("""COMPUTED_VALUE"""),"SOUTH")</f>
        <v>SOUTH</v>
      </c>
      <c r="B4957" s="115" t="str">
        <f>IFERROR(__xludf.DUMMYFUNCTION("""COMPUTED_VALUE"""),"Vineeth V")</f>
        <v>Vineeth V</v>
      </c>
      <c r="C4957" s="115" t="str">
        <f>IFERROR(__xludf.DUMMYFUNCTION("""COMPUTED_VALUE"""),"EXTERNAL")</f>
        <v>EXTERNAL</v>
      </c>
      <c r="D4957" s="115">
        <f>IFERROR(__xludf.DUMMYFUNCTION("""COMPUTED_VALUE"""),22579.0)</f>
        <v>22579</v>
      </c>
      <c r="E4957" s="115">
        <f>IFERROR(__xludf.DUMMYFUNCTION("""COMPUTED_VALUE"""),819.0)</f>
        <v>819</v>
      </c>
      <c r="F4957" s="115">
        <f>IFERROR(__xludf.DUMMYFUNCTION("""COMPUTED_VALUE"""),12233.0)</f>
        <v>12233</v>
      </c>
      <c r="G4957" s="115">
        <f>IFERROR(__xludf.DUMMYFUNCTION("""COMPUTED_VALUE"""),502.0)</f>
        <v>502</v>
      </c>
      <c r="H4957" s="116">
        <f>IFERROR(__xludf.DUMMYFUNCTION("""COMPUTED_VALUE"""),45909.0)</f>
        <v>45909</v>
      </c>
      <c r="I4957" s="115" t="str">
        <f>IFERROR(__xludf.DUMMYFUNCTION("""COMPUTED_VALUE"""),"22")</f>
        <v>22</v>
      </c>
      <c r="J4957" s="115" t="str">
        <f>IFERROR(__xludf.DUMMYFUNCTION("""COMPUTED_VALUE"""),"Vineeth V2025-09-0922")</f>
        <v>Vineeth V2025-09-0922</v>
      </c>
      <c r="K4957" s="115">
        <f>IFERROR(__xludf.DUMMYFUNCTION("""COMPUTED_VALUE"""),23398.0)</f>
        <v>23398</v>
      </c>
    </row>
    <row r="4958">
      <c r="A4958" s="115" t="str">
        <f>IFERROR(__xludf.DUMMYFUNCTION("""COMPUTED_VALUE"""),"SOUTH")</f>
        <v>SOUTH</v>
      </c>
      <c r="B4958" s="115" t="str">
        <f>IFERROR(__xludf.DUMMYFUNCTION("""COMPUTED_VALUE"""),"Vineeth V")</f>
        <v>Vineeth V</v>
      </c>
      <c r="C4958" s="115" t="str">
        <f>IFERROR(__xludf.DUMMYFUNCTION("""COMPUTED_VALUE"""),"FLIPKART")</f>
        <v>FLIPKART</v>
      </c>
      <c r="D4958" s="115">
        <f>IFERROR(__xludf.DUMMYFUNCTION("""COMPUTED_VALUE"""),229352.0)</f>
        <v>229352</v>
      </c>
      <c r="E4958" s="115">
        <f>IFERROR(__xludf.DUMMYFUNCTION("""COMPUTED_VALUE"""),19015.0)</f>
        <v>19015</v>
      </c>
      <c r="F4958" s="115">
        <f>IFERROR(__xludf.DUMMYFUNCTION("""COMPUTED_VALUE"""),191194.0)</f>
        <v>191194</v>
      </c>
      <c r="G4958" s="115">
        <f>IFERROR(__xludf.DUMMYFUNCTION("""COMPUTED_VALUE"""),12733.0)</f>
        <v>12733</v>
      </c>
      <c r="H4958" s="116">
        <f>IFERROR(__xludf.DUMMYFUNCTION("""COMPUTED_VALUE"""),45909.0)</f>
        <v>45909</v>
      </c>
      <c r="I4958" s="115" t="str">
        <f>IFERROR(__xludf.DUMMYFUNCTION("""COMPUTED_VALUE"""),"22")</f>
        <v>22</v>
      </c>
      <c r="J4958" s="115" t="str">
        <f>IFERROR(__xludf.DUMMYFUNCTION("""COMPUTED_VALUE"""),"Vineeth V2025-09-0922")</f>
        <v>Vineeth V2025-09-0922</v>
      </c>
      <c r="K4958" s="115">
        <f>IFERROR(__xludf.DUMMYFUNCTION("""COMPUTED_VALUE"""),248367.0)</f>
        <v>248367</v>
      </c>
    </row>
    <row r="4959">
      <c r="A4959" s="115" t="str">
        <f>IFERROR(__xludf.DUMMYFUNCTION("""COMPUTED_VALUE"""),"SOUTH")</f>
        <v>SOUTH</v>
      </c>
      <c r="B4959" s="115" t="str">
        <f>IFERROR(__xludf.DUMMYFUNCTION("""COMPUTED_VALUE"""),"Vineeth V")</f>
        <v>Vineeth V</v>
      </c>
      <c r="C4959" s="115" t="str">
        <f>IFERROR(__xludf.DUMMYFUNCTION("""COMPUTED_VALUE"""),"MYNTRA")</f>
        <v>MYNTRA</v>
      </c>
      <c r="D4959" s="115">
        <f>IFERROR(__xludf.DUMMYFUNCTION("""COMPUTED_VALUE"""),18681.0)</f>
        <v>18681</v>
      </c>
      <c r="E4959" s="115">
        <f>IFERROR(__xludf.DUMMYFUNCTION("""COMPUTED_VALUE"""),4817.0)</f>
        <v>4817</v>
      </c>
      <c r="F4959" s="115">
        <f>IFERROR(__xludf.DUMMYFUNCTION("""COMPUTED_VALUE"""),16302.0)</f>
        <v>16302</v>
      </c>
      <c r="G4959" s="115">
        <f>IFERROR(__xludf.DUMMYFUNCTION("""COMPUTED_VALUE"""),3303.0)</f>
        <v>3303</v>
      </c>
      <c r="H4959" s="116">
        <f>IFERROR(__xludf.DUMMYFUNCTION("""COMPUTED_VALUE"""),45909.0)</f>
        <v>45909</v>
      </c>
      <c r="I4959" s="115" t="str">
        <f>IFERROR(__xludf.DUMMYFUNCTION("""COMPUTED_VALUE"""),"22")</f>
        <v>22</v>
      </c>
      <c r="J4959" s="115" t="str">
        <f>IFERROR(__xludf.DUMMYFUNCTION("""COMPUTED_VALUE"""),"Vineeth V2025-09-0922")</f>
        <v>Vineeth V2025-09-0922</v>
      </c>
      <c r="K4959" s="115">
        <f>IFERROR(__xludf.DUMMYFUNCTION("""COMPUTED_VALUE"""),23498.0)</f>
        <v>23498</v>
      </c>
    </row>
    <row r="4960">
      <c r="A4960" s="115" t="str">
        <f>IFERROR(__xludf.DUMMYFUNCTION("""COMPUTED_VALUE"""),"WEST")</f>
        <v>WEST</v>
      </c>
      <c r="B4960" s="115" t="str">
        <f>IFERROR(__xludf.DUMMYFUNCTION("""COMPUTED_VALUE"""),"Ashish Jakar")</f>
        <v>Ashish Jakar</v>
      </c>
      <c r="C4960" s="115" t="str">
        <f>IFERROR(__xludf.DUMMYFUNCTION("""COMPUTED_VALUE"""),"EXTERNAL")</f>
        <v>EXTERNAL</v>
      </c>
      <c r="D4960" s="115">
        <f>IFERROR(__xludf.DUMMYFUNCTION("""COMPUTED_VALUE"""),56426.0)</f>
        <v>56426</v>
      </c>
      <c r="E4960" s="115">
        <f>IFERROR(__xludf.DUMMYFUNCTION("""COMPUTED_VALUE"""),8592.0)</f>
        <v>8592</v>
      </c>
      <c r="F4960" s="115">
        <f>IFERROR(__xludf.DUMMYFUNCTION("""COMPUTED_VALUE"""),23891.0)</f>
        <v>23891</v>
      </c>
      <c r="G4960" s="115">
        <f>IFERROR(__xludf.DUMMYFUNCTION("""COMPUTED_VALUE"""),3892.0)</f>
        <v>3892</v>
      </c>
      <c r="H4960" s="116">
        <f>IFERROR(__xludf.DUMMYFUNCTION("""COMPUTED_VALUE"""),45909.0)</f>
        <v>45909</v>
      </c>
      <c r="I4960" s="115" t="str">
        <f>IFERROR(__xludf.DUMMYFUNCTION("""COMPUTED_VALUE"""),"22")</f>
        <v>22</v>
      </c>
      <c r="J4960" s="115" t="str">
        <f>IFERROR(__xludf.DUMMYFUNCTION("""COMPUTED_VALUE"""),"Ashish Jakar2025-09-0922")</f>
        <v>Ashish Jakar2025-09-0922</v>
      </c>
      <c r="K4960" s="115">
        <f>IFERROR(__xludf.DUMMYFUNCTION("""COMPUTED_VALUE"""),65018.0)</f>
        <v>65018</v>
      </c>
    </row>
    <row r="4961">
      <c r="A4961" s="115" t="str">
        <f>IFERROR(__xludf.DUMMYFUNCTION("""COMPUTED_VALUE"""),"WEST")</f>
        <v>WEST</v>
      </c>
      <c r="B4961" s="115" t="str">
        <f>IFERROR(__xludf.DUMMYFUNCTION("""COMPUTED_VALUE"""),"Ashish Jakar")</f>
        <v>Ashish Jakar</v>
      </c>
      <c r="C4961" s="115" t="str">
        <f>IFERROR(__xludf.DUMMYFUNCTION("""COMPUTED_VALUE"""),"FLIPKART")</f>
        <v>FLIPKART</v>
      </c>
      <c r="D4961" s="115">
        <f>IFERROR(__xludf.DUMMYFUNCTION("""COMPUTED_VALUE"""),365549.0)</f>
        <v>365549</v>
      </c>
      <c r="E4961" s="115">
        <f>IFERROR(__xludf.DUMMYFUNCTION("""COMPUTED_VALUE"""),36828.0)</f>
        <v>36828</v>
      </c>
      <c r="F4961" s="115">
        <f>IFERROR(__xludf.DUMMYFUNCTION("""COMPUTED_VALUE"""),266253.0)</f>
        <v>266253</v>
      </c>
      <c r="G4961" s="115">
        <f>IFERROR(__xludf.DUMMYFUNCTION("""COMPUTED_VALUE"""),24678.0)</f>
        <v>24678</v>
      </c>
      <c r="H4961" s="116">
        <f>IFERROR(__xludf.DUMMYFUNCTION("""COMPUTED_VALUE"""),45909.0)</f>
        <v>45909</v>
      </c>
      <c r="I4961" s="115" t="str">
        <f>IFERROR(__xludf.DUMMYFUNCTION("""COMPUTED_VALUE"""),"22")</f>
        <v>22</v>
      </c>
      <c r="J4961" s="115" t="str">
        <f>IFERROR(__xludf.DUMMYFUNCTION("""COMPUTED_VALUE"""),"Ashish Jakar2025-09-0922")</f>
        <v>Ashish Jakar2025-09-0922</v>
      </c>
      <c r="K4961" s="115">
        <f>IFERROR(__xludf.DUMMYFUNCTION("""COMPUTED_VALUE"""),402377.0)</f>
        <v>402377</v>
      </c>
    </row>
    <row r="4962">
      <c r="A4962" s="115" t="str">
        <f>IFERROR(__xludf.DUMMYFUNCTION("""COMPUTED_VALUE"""),"WEST")</f>
        <v>WEST</v>
      </c>
      <c r="B4962" s="115" t="str">
        <f>IFERROR(__xludf.DUMMYFUNCTION("""COMPUTED_VALUE"""),"Ashish Jakar")</f>
        <v>Ashish Jakar</v>
      </c>
      <c r="C4962" s="115" t="str">
        <f>IFERROR(__xludf.DUMMYFUNCTION("""COMPUTED_VALUE"""),"MYNTRA")</f>
        <v>MYNTRA</v>
      </c>
      <c r="D4962" s="115">
        <f>IFERROR(__xludf.DUMMYFUNCTION("""COMPUTED_VALUE"""),42294.0)</f>
        <v>42294</v>
      </c>
      <c r="E4962" s="115">
        <f>IFERROR(__xludf.DUMMYFUNCTION("""COMPUTED_VALUE"""),12502.0)</f>
        <v>12502</v>
      </c>
      <c r="F4962" s="115">
        <f>IFERROR(__xludf.DUMMYFUNCTION("""COMPUTED_VALUE"""),35002.0)</f>
        <v>35002</v>
      </c>
      <c r="G4962" s="115">
        <f>IFERROR(__xludf.DUMMYFUNCTION("""COMPUTED_VALUE"""),8724.0)</f>
        <v>8724</v>
      </c>
      <c r="H4962" s="116">
        <f>IFERROR(__xludf.DUMMYFUNCTION("""COMPUTED_VALUE"""),45909.0)</f>
        <v>45909</v>
      </c>
      <c r="I4962" s="115" t="str">
        <f>IFERROR(__xludf.DUMMYFUNCTION("""COMPUTED_VALUE"""),"22")</f>
        <v>22</v>
      </c>
      <c r="J4962" s="115" t="str">
        <f>IFERROR(__xludf.DUMMYFUNCTION("""COMPUTED_VALUE"""),"Ashish Jakar2025-09-0922")</f>
        <v>Ashish Jakar2025-09-0922</v>
      </c>
      <c r="K4962" s="115">
        <f>IFERROR(__xludf.DUMMYFUNCTION("""COMPUTED_VALUE"""),54796.0)</f>
        <v>54796</v>
      </c>
    </row>
    <row r="4963">
      <c r="A4963" s="115" t="str">
        <f>IFERROR(__xludf.DUMMYFUNCTION("""COMPUTED_VALUE"""),"WEST")</f>
        <v>WEST</v>
      </c>
      <c r="B4963" s="115" t="str">
        <f>IFERROR(__xludf.DUMMYFUNCTION("""COMPUTED_VALUE"""),"Ashvani Bhatt")</f>
        <v>Ashvani Bhatt</v>
      </c>
      <c r="C4963" s="115" t="str">
        <f>IFERROR(__xludf.DUMMYFUNCTION("""COMPUTED_VALUE"""),"EXTERNAL")</f>
        <v>EXTERNAL</v>
      </c>
      <c r="D4963" s="115">
        <f>IFERROR(__xludf.DUMMYFUNCTION("""COMPUTED_VALUE"""),42385.0)</f>
        <v>42385</v>
      </c>
      <c r="E4963" s="115">
        <f>IFERROR(__xludf.DUMMYFUNCTION("""COMPUTED_VALUE"""),4410.0)</f>
        <v>4410</v>
      </c>
      <c r="F4963" s="115">
        <f>IFERROR(__xludf.DUMMYFUNCTION("""COMPUTED_VALUE"""),18799.0)</f>
        <v>18799</v>
      </c>
      <c r="G4963" s="115">
        <f>IFERROR(__xludf.DUMMYFUNCTION("""COMPUTED_VALUE"""),1820.0)</f>
        <v>1820</v>
      </c>
      <c r="H4963" s="116">
        <f>IFERROR(__xludf.DUMMYFUNCTION("""COMPUTED_VALUE"""),45909.0)</f>
        <v>45909</v>
      </c>
      <c r="I4963" s="115" t="str">
        <f>IFERROR(__xludf.DUMMYFUNCTION("""COMPUTED_VALUE"""),"22")</f>
        <v>22</v>
      </c>
      <c r="J4963" s="115" t="str">
        <f>IFERROR(__xludf.DUMMYFUNCTION("""COMPUTED_VALUE"""),"Ashvani Bhatt2025-09-0922")</f>
        <v>Ashvani Bhatt2025-09-0922</v>
      </c>
      <c r="K4963" s="115">
        <f>IFERROR(__xludf.DUMMYFUNCTION("""COMPUTED_VALUE"""),46795.0)</f>
        <v>46795</v>
      </c>
    </row>
    <row r="4964">
      <c r="A4964" s="115" t="str">
        <f>IFERROR(__xludf.DUMMYFUNCTION("""COMPUTED_VALUE"""),"WEST")</f>
        <v>WEST</v>
      </c>
      <c r="B4964" s="115" t="str">
        <f>IFERROR(__xludf.DUMMYFUNCTION("""COMPUTED_VALUE"""),"Ashvani Bhatt")</f>
        <v>Ashvani Bhatt</v>
      </c>
      <c r="C4964" s="115" t="str">
        <f>IFERROR(__xludf.DUMMYFUNCTION("""COMPUTED_VALUE"""),"FLIPKART")</f>
        <v>FLIPKART</v>
      </c>
      <c r="D4964" s="115">
        <f>IFERROR(__xludf.DUMMYFUNCTION("""COMPUTED_VALUE"""),285711.0)</f>
        <v>285711</v>
      </c>
      <c r="E4964" s="115">
        <f>IFERROR(__xludf.DUMMYFUNCTION("""COMPUTED_VALUE"""),31148.0)</f>
        <v>31148</v>
      </c>
      <c r="F4964" s="115">
        <f>IFERROR(__xludf.DUMMYFUNCTION("""COMPUTED_VALUE"""),216240.0)</f>
        <v>216240</v>
      </c>
      <c r="G4964" s="115">
        <f>IFERROR(__xludf.DUMMYFUNCTION("""COMPUTED_VALUE"""),21731.0)</f>
        <v>21731</v>
      </c>
      <c r="H4964" s="116">
        <f>IFERROR(__xludf.DUMMYFUNCTION("""COMPUTED_VALUE"""),45909.0)</f>
        <v>45909</v>
      </c>
      <c r="I4964" s="115" t="str">
        <f>IFERROR(__xludf.DUMMYFUNCTION("""COMPUTED_VALUE"""),"22")</f>
        <v>22</v>
      </c>
      <c r="J4964" s="115" t="str">
        <f>IFERROR(__xludf.DUMMYFUNCTION("""COMPUTED_VALUE"""),"Ashvani Bhatt2025-09-0922")</f>
        <v>Ashvani Bhatt2025-09-0922</v>
      </c>
      <c r="K4964" s="115">
        <f>IFERROR(__xludf.DUMMYFUNCTION("""COMPUTED_VALUE"""),316859.0)</f>
        <v>316859</v>
      </c>
    </row>
    <row r="4965">
      <c r="A4965" s="115" t="str">
        <f>IFERROR(__xludf.DUMMYFUNCTION("""COMPUTED_VALUE"""),"WEST")</f>
        <v>WEST</v>
      </c>
      <c r="B4965" s="115" t="str">
        <f>IFERROR(__xludf.DUMMYFUNCTION("""COMPUTED_VALUE"""),"Ashvani Bhatt")</f>
        <v>Ashvani Bhatt</v>
      </c>
      <c r="C4965" s="115" t="str">
        <f>IFERROR(__xludf.DUMMYFUNCTION("""COMPUTED_VALUE"""),"MYNTRA")</f>
        <v>MYNTRA</v>
      </c>
      <c r="D4965" s="115">
        <f>IFERROR(__xludf.DUMMYFUNCTION("""COMPUTED_VALUE"""),38403.0)</f>
        <v>38403</v>
      </c>
      <c r="E4965" s="115">
        <f>IFERROR(__xludf.DUMMYFUNCTION("""COMPUTED_VALUE"""),9861.0)</f>
        <v>9861</v>
      </c>
      <c r="F4965" s="115">
        <f>IFERROR(__xludf.DUMMYFUNCTION("""COMPUTED_VALUE"""),32863.0)</f>
        <v>32863</v>
      </c>
      <c r="G4965" s="115">
        <f>IFERROR(__xludf.DUMMYFUNCTION("""COMPUTED_VALUE"""),7459.0)</f>
        <v>7459</v>
      </c>
      <c r="H4965" s="116">
        <f>IFERROR(__xludf.DUMMYFUNCTION("""COMPUTED_VALUE"""),45909.0)</f>
        <v>45909</v>
      </c>
      <c r="I4965" s="115" t="str">
        <f>IFERROR(__xludf.DUMMYFUNCTION("""COMPUTED_VALUE"""),"22")</f>
        <v>22</v>
      </c>
      <c r="J4965" s="115" t="str">
        <f>IFERROR(__xludf.DUMMYFUNCTION("""COMPUTED_VALUE"""),"Ashvani Bhatt2025-09-0922")</f>
        <v>Ashvani Bhatt2025-09-0922</v>
      </c>
      <c r="K4965" s="115">
        <f>IFERROR(__xludf.DUMMYFUNCTION("""COMPUTED_VALUE"""),48264.0)</f>
        <v>48264</v>
      </c>
    </row>
    <row r="4966">
      <c r="A4966" s="115"/>
      <c r="B4966" s="115"/>
      <c r="C4966" s="115" t="str">
        <f>IFERROR(__xludf.DUMMYFUNCTION("""COMPUTED_VALUE"""),"EXTERNAL")</f>
        <v>EXTERNAL</v>
      </c>
      <c r="D4966" s="115">
        <f>IFERROR(__xludf.DUMMYFUNCTION("""COMPUTED_VALUE"""),593.0)</f>
        <v>593</v>
      </c>
      <c r="E4966" s="115">
        <f>IFERROR(__xludf.DUMMYFUNCTION("""COMPUTED_VALUE"""),86.0)</f>
        <v>86</v>
      </c>
      <c r="F4966" s="115">
        <f>IFERROR(__xludf.DUMMYFUNCTION("""COMPUTED_VALUE"""),260.0)</f>
        <v>260</v>
      </c>
      <c r="G4966" s="115">
        <f>IFERROR(__xludf.DUMMYFUNCTION("""COMPUTED_VALUE"""),60.0)</f>
        <v>60</v>
      </c>
      <c r="H4966" s="116">
        <f>IFERROR(__xludf.DUMMYFUNCTION("""COMPUTED_VALUE"""),45909.0)</f>
        <v>45909</v>
      </c>
      <c r="I4966" s="115" t="str">
        <f>IFERROR(__xludf.DUMMYFUNCTION("""COMPUTED_VALUE"""),"22")</f>
        <v>22</v>
      </c>
      <c r="J4966" s="115" t="str">
        <f>IFERROR(__xludf.DUMMYFUNCTION("""COMPUTED_VALUE"""),"2025-09-0922")</f>
        <v>2025-09-0922</v>
      </c>
      <c r="K4966" s="115">
        <f>IFERROR(__xludf.DUMMYFUNCTION("""COMPUTED_VALUE"""),679.0)</f>
        <v>679</v>
      </c>
    </row>
    <row r="4967">
      <c r="A4967" s="115"/>
      <c r="B4967" s="115"/>
      <c r="C4967" s="115" t="str">
        <f>IFERROR(__xludf.DUMMYFUNCTION("""COMPUTED_VALUE"""),"FLIPKART")</f>
        <v>FLIPKART</v>
      </c>
      <c r="D4967" s="115">
        <f>IFERROR(__xludf.DUMMYFUNCTION("""COMPUTED_VALUE"""),6194.0)</f>
        <v>6194</v>
      </c>
      <c r="E4967" s="115">
        <f>IFERROR(__xludf.DUMMYFUNCTION("""COMPUTED_VALUE"""),533.0)</f>
        <v>533</v>
      </c>
      <c r="F4967" s="115">
        <f>IFERROR(__xludf.DUMMYFUNCTION("""COMPUTED_VALUE"""),4216.0)</f>
        <v>4216</v>
      </c>
      <c r="G4967" s="115">
        <f>IFERROR(__xludf.DUMMYFUNCTION("""COMPUTED_VALUE"""),406.0)</f>
        <v>406</v>
      </c>
      <c r="H4967" s="116">
        <f>IFERROR(__xludf.DUMMYFUNCTION("""COMPUTED_VALUE"""),45909.0)</f>
        <v>45909</v>
      </c>
      <c r="I4967" s="115" t="str">
        <f>IFERROR(__xludf.DUMMYFUNCTION("""COMPUTED_VALUE"""),"22")</f>
        <v>22</v>
      </c>
      <c r="J4967" s="115" t="str">
        <f>IFERROR(__xludf.DUMMYFUNCTION("""COMPUTED_VALUE"""),"2025-09-0922")</f>
        <v>2025-09-0922</v>
      </c>
      <c r="K4967" s="115">
        <f>IFERROR(__xludf.DUMMYFUNCTION("""COMPUTED_VALUE"""),6727.0)</f>
        <v>6727</v>
      </c>
    </row>
    <row r="4968">
      <c r="A4968" s="115"/>
      <c r="B4968" s="115"/>
      <c r="C4968" s="115" t="str">
        <f>IFERROR(__xludf.DUMMYFUNCTION("""COMPUTED_VALUE"""),"MYNTRA")</f>
        <v>MYNTRA</v>
      </c>
      <c r="D4968" s="115">
        <f>IFERROR(__xludf.DUMMYFUNCTION("""COMPUTED_VALUE"""),694.0)</f>
        <v>694</v>
      </c>
      <c r="E4968" s="115">
        <f>IFERROR(__xludf.DUMMYFUNCTION("""COMPUTED_VALUE"""),165.0)</f>
        <v>165</v>
      </c>
      <c r="F4968" s="115">
        <f>IFERROR(__xludf.DUMMYFUNCTION("""COMPUTED_VALUE"""),560.0)</f>
        <v>560</v>
      </c>
      <c r="G4968" s="115">
        <f>IFERROR(__xludf.DUMMYFUNCTION("""COMPUTED_VALUE"""),120.0)</f>
        <v>120</v>
      </c>
      <c r="H4968" s="116">
        <f>IFERROR(__xludf.DUMMYFUNCTION("""COMPUTED_VALUE"""),45909.0)</f>
        <v>45909</v>
      </c>
      <c r="I4968" s="115" t="str">
        <f>IFERROR(__xludf.DUMMYFUNCTION("""COMPUTED_VALUE"""),"22")</f>
        <v>22</v>
      </c>
      <c r="J4968" s="115" t="str">
        <f>IFERROR(__xludf.DUMMYFUNCTION("""COMPUTED_VALUE"""),"2025-09-0922")</f>
        <v>2025-09-0922</v>
      </c>
      <c r="K4968" s="115">
        <f>IFERROR(__xludf.DUMMYFUNCTION("""COMPUTED_VALUE"""),859.0)</f>
        <v>859</v>
      </c>
    </row>
    <row r="4969">
      <c r="A4969" s="115" t="str">
        <f>IFERROR(__xludf.DUMMYFUNCTION("""COMPUTED_VALUE"""),"EAST")</f>
        <v>EAST</v>
      </c>
      <c r="B4969" s="115" t="str">
        <f>IFERROR(__xludf.DUMMYFUNCTION("""COMPUTED_VALUE"""),"Ashish Ranjan")</f>
        <v>Ashish Ranjan</v>
      </c>
      <c r="C4969" s="115" t="str">
        <f>IFERROR(__xludf.DUMMYFUNCTION("""COMPUTED_VALUE"""),"EXTERNAL")</f>
        <v>EXTERNAL</v>
      </c>
      <c r="D4969" s="115">
        <f>IFERROR(__xludf.DUMMYFUNCTION("""COMPUTED_VALUE"""),3925.0)</f>
        <v>3925</v>
      </c>
      <c r="E4969" s="115">
        <f>IFERROR(__xludf.DUMMYFUNCTION("""COMPUTED_VALUE"""),228.0)</f>
        <v>228</v>
      </c>
      <c r="F4969" s="115">
        <f>IFERROR(__xludf.DUMMYFUNCTION("""COMPUTED_VALUE"""),27.0)</f>
        <v>27</v>
      </c>
      <c r="G4969" s="115">
        <f>IFERROR(__xludf.DUMMYFUNCTION("""COMPUTED_VALUE"""),1.0)</f>
        <v>1</v>
      </c>
      <c r="H4969" s="116">
        <f>IFERROR(__xludf.DUMMYFUNCTION("""COMPUTED_VALUE"""),45910.0)</f>
        <v>45910</v>
      </c>
      <c r="I4969" s="115" t="str">
        <f>IFERROR(__xludf.DUMMYFUNCTION("""COMPUTED_VALUE"""),"08")</f>
        <v>08</v>
      </c>
      <c r="J4969" s="115" t="str">
        <f>IFERROR(__xludf.DUMMYFUNCTION("""COMPUTED_VALUE"""),"Ashish Ranjan2025-09-1008")</f>
        <v>Ashish Ranjan2025-09-1008</v>
      </c>
      <c r="K4969" s="115">
        <f>IFERROR(__xludf.DUMMYFUNCTION("""COMPUTED_VALUE"""),4153.0)</f>
        <v>4153</v>
      </c>
    </row>
    <row r="4970">
      <c r="A4970" s="115" t="str">
        <f>IFERROR(__xludf.DUMMYFUNCTION("""COMPUTED_VALUE"""),"EAST")</f>
        <v>EAST</v>
      </c>
      <c r="B4970" s="115" t="str">
        <f>IFERROR(__xludf.DUMMYFUNCTION("""COMPUTED_VALUE"""),"Ashish Ranjan")</f>
        <v>Ashish Ranjan</v>
      </c>
      <c r="C4970" s="115" t="str">
        <f>IFERROR(__xludf.DUMMYFUNCTION("""COMPUTED_VALUE"""),"FLIPKART")</f>
        <v>FLIPKART</v>
      </c>
      <c r="D4970" s="115">
        <f>IFERROR(__xludf.DUMMYFUNCTION("""COMPUTED_VALUE"""),77705.0)</f>
        <v>77705</v>
      </c>
      <c r="E4970" s="115">
        <f>IFERROR(__xludf.DUMMYFUNCTION("""COMPUTED_VALUE"""),6498.0)</f>
        <v>6498</v>
      </c>
      <c r="F4970" s="115">
        <f>IFERROR(__xludf.DUMMYFUNCTION("""COMPUTED_VALUE"""),840.0)</f>
        <v>840</v>
      </c>
      <c r="G4970" s="115">
        <f>IFERROR(__xludf.DUMMYFUNCTION("""COMPUTED_VALUE"""),67.0)</f>
        <v>67</v>
      </c>
      <c r="H4970" s="116">
        <f>IFERROR(__xludf.DUMMYFUNCTION("""COMPUTED_VALUE"""),45910.0)</f>
        <v>45910</v>
      </c>
      <c r="I4970" s="115" t="str">
        <f>IFERROR(__xludf.DUMMYFUNCTION("""COMPUTED_VALUE"""),"08")</f>
        <v>08</v>
      </c>
      <c r="J4970" s="115" t="str">
        <f>IFERROR(__xludf.DUMMYFUNCTION("""COMPUTED_VALUE"""),"Ashish Ranjan2025-09-1008")</f>
        <v>Ashish Ranjan2025-09-1008</v>
      </c>
      <c r="K4970" s="115">
        <f>IFERROR(__xludf.DUMMYFUNCTION("""COMPUTED_VALUE"""),84203.0)</f>
        <v>84203</v>
      </c>
    </row>
    <row r="4971">
      <c r="A4971" s="115" t="str">
        <f>IFERROR(__xludf.DUMMYFUNCTION("""COMPUTED_VALUE"""),"EAST")</f>
        <v>EAST</v>
      </c>
      <c r="B4971" s="115" t="str">
        <f>IFERROR(__xludf.DUMMYFUNCTION("""COMPUTED_VALUE"""),"Ashish Ranjan")</f>
        <v>Ashish Ranjan</v>
      </c>
      <c r="C4971" s="115" t="str">
        <f>IFERROR(__xludf.DUMMYFUNCTION("""COMPUTED_VALUE"""),"MYNTRA")</f>
        <v>MYNTRA</v>
      </c>
      <c r="D4971" s="115">
        <f>IFERROR(__xludf.DUMMYFUNCTION("""COMPUTED_VALUE"""),7883.0)</f>
        <v>7883</v>
      </c>
      <c r="E4971" s="115">
        <f>IFERROR(__xludf.DUMMYFUNCTION("""COMPUTED_VALUE"""),1854.0)</f>
        <v>1854</v>
      </c>
      <c r="F4971" s="115">
        <f>IFERROR(__xludf.DUMMYFUNCTION("""COMPUTED_VALUE"""),81.0)</f>
        <v>81</v>
      </c>
      <c r="G4971" s="115">
        <f>IFERROR(__xludf.DUMMYFUNCTION("""COMPUTED_VALUE"""),6.0)</f>
        <v>6</v>
      </c>
      <c r="H4971" s="116">
        <f>IFERROR(__xludf.DUMMYFUNCTION("""COMPUTED_VALUE"""),45910.0)</f>
        <v>45910</v>
      </c>
      <c r="I4971" s="115" t="str">
        <f>IFERROR(__xludf.DUMMYFUNCTION("""COMPUTED_VALUE"""),"08")</f>
        <v>08</v>
      </c>
      <c r="J4971" s="115" t="str">
        <f>IFERROR(__xludf.DUMMYFUNCTION("""COMPUTED_VALUE"""),"Ashish Ranjan2025-09-1008")</f>
        <v>Ashish Ranjan2025-09-1008</v>
      </c>
      <c r="K4971" s="115">
        <f>IFERROR(__xludf.DUMMYFUNCTION("""COMPUTED_VALUE"""),9737.0)</f>
        <v>9737</v>
      </c>
    </row>
    <row r="4972">
      <c r="A4972" s="115" t="str">
        <f>IFERROR(__xludf.DUMMYFUNCTION("""COMPUTED_VALUE"""),"EAST")</f>
        <v>EAST</v>
      </c>
      <c r="B4972" s="115" t="str">
        <f>IFERROR(__xludf.DUMMYFUNCTION("""COMPUTED_VALUE"""),"Girish Chand")</f>
        <v>Girish Chand</v>
      </c>
      <c r="C4972" s="115" t="str">
        <f>IFERROR(__xludf.DUMMYFUNCTION("""COMPUTED_VALUE"""),"EXTERNAL")</f>
        <v>EXTERNAL</v>
      </c>
      <c r="D4972" s="115">
        <f>IFERROR(__xludf.DUMMYFUNCTION("""COMPUTED_VALUE"""),1994.0)</f>
        <v>1994</v>
      </c>
      <c r="E4972" s="115">
        <f>IFERROR(__xludf.DUMMYFUNCTION("""COMPUTED_VALUE"""),140.0)</f>
        <v>140</v>
      </c>
      <c r="F4972" s="115">
        <f>IFERROR(__xludf.DUMMYFUNCTION("""COMPUTED_VALUE"""),1.0)</f>
        <v>1</v>
      </c>
      <c r="G4972" s="115">
        <f>IFERROR(__xludf.DUMMYFUNCTION("""COMPUTED_VALUE"""),0.0)</f>
        <v>0</v>
      </c>
      <c r="H4972" s="116">
        <f>IFERROR(__xludf.DUMMYFUNCTION("""COMPUTED_VALUE"""),45910.0)</f>
        <v>45910</v>
      </c>
      <c r="I4972" s="115" t="str">
        <f>IFERROR(__xludf.DUMMYFUNCTION("""COMPUTED_VALUE"""),"08")</f>
        <v>08</v>
      </c>
      <c r="J4972" s="115" t="str">
        <f>IFERROR(__xludf.DUMMYFUNCTION("""COMPUTED_VALUE"""),"Girish Chand2025-09-1008")</f>
        <v>Girish Chand2025-09-1008</v>
      </c>
      <c r="K4972" s="115">
        <f>IFERROR(__xludf.DUMMYFUNCTION("""COMPUTED_VALUE"""),2134.0)</f>
        <v>2134</v>
      </c>
    </row>
    <row r="4973">
      <c r="A4973" s="115" t="str">
        <f>IFERROR(__xludf.DUMMYFUNCTION("""COMPUTED_VALUE"""),"EAST")</f>
        <v>EAST</v>
      </c>
      <c r="B4973" s="115" t="str">
        <f>IFERROR(__xludf.DUMMYFUNCTION("""COMPUTED_VALUE"""),"Girish Chand")</f>
        <v>Girish Chand</v>
      </c>
      <c r="C4973" s="115" t="str">
        <f>IFERROR(__xludf.DUMMYFUNCTION("""COMPUTED_VALUE"""),"FLIPKART")</f>
        <v>FLIPKART</v>
      </c>
      <c r="D4973" s="115">
        <f>IFERROR(__xludf.DUMMYFUNCTION("""COMPUTED_VALUE"""),41601.0)</f>
        <v>41601</v>
      </c>
      <c r="E4973" s="115">
        <f>IFERROR(__xludf.DUMMYFUNCTION("""COMPUTED_VALUE"""),3409.0)</f>
        <v>3409</v>
      </c>
      <c r="F4973" s="115">
        <f>IFERROR(__xludf.DUMMYFUNCTION("""COMPUTED_VALUE"""),319.0)</f>
        <v>319</v>
      </c>
      <c r="G4973" s="115">
        <f>IFERROR(__xludf.DUMMYFUNCTION("""COMPUTED_VALUE"""),159.0)</f>
        <v>159</v>
      </c>
      <c r="H4973" s="116">
        <f>IFERROR(__xludf.DUMMYFUNCTION("""COMPUTED_VALUE"""),45910.0)</f>
        <v>45910</v>
      </c>
      <c r="I4973" s="115" t="str">
        <f>IFERROR(__xludf.DUMMYFUNCTION("""COMPUTED_VALUE"""),"08")</f>
        <v>08</v>
      </c>
      <c r="J4973" s="115" t="str">
        <f>IFERROR(__xludf.DUMMYFUNCTION("""COMPUTED_VALUE"""),"Girish Chand2025-09-1008")</f>
        <v>Girish Chand2025-09-1008</v>
      </c>
      <c r="K4973" s="115">
        <f>IFERROR(__xludf.DUMMYFUNCTION("""COMPUTED_VALUE"""),45010.0)</f>
        <v>45010</v>
      </c>
    </row>
    <row r="4974">
      <c r="A4974" s="115" t="str">
        <f>IFERROR(__xludf.DUMMYFUNCTION("""COMPUTED_VALUE"""),"EAST")</f>
        <v>EAST</v>
      </c>
      <c r="B4974" s="115" t="str">
        <f>IFERROR(__xludf.DUMMYFUNCTION("""COMPUTED_VALUE"""),"Girish Chand")</f>
        <v>Girish Chand</v>
      </c>
      <c r="C4974" s="115" t="str">
        <f>IFERROR(__xludf.DUMMYFUNCTION("""COMPUTED_VALUE"""),"MYNTRA")</f>
        <v>MYNTRA</v>
      </c>
      <c r="D4974" s="115">
        <f>IFERROR(__xludf.DUMMYFUNCTION("""COMPUTED_VALUE"""),4105.0)</f>
        <v>4105</v>
      </c>
      <c r="E4974" s="115">
        <f>IFERROR(__xludf.DUMMYFUNCTION("""COMPUTED_VALUE"""),801.0)</f>
        <v>801</v>
      </c>
      <c r="F4974" s="115">
        <f>IFERROR(__xludf.DUMMYFUNCTION("""COMPUTED_VALUE"""),32.0)</f>
        <v>32</v>
      </c>
      <c r="G4974" s="115">
        <f>IFERROR(__xludf.DUMMYFUNCTION("""COMPUTED_VALUE"""),3.0)</f>
        <v>3</v>
      </c>
      <c r="H4974" s="116">
        <f>IFERROR(__xludf.DUMMYFUNCTION("""COMPUTED_VALUE"""),45910.0)</f>
        <v>45910</v>
      </c>
      <c r="I4974" s="115" t="str">
        <f>IFERROR(__xludf.DUMMYFUNCTION("""COMPUTED_VALUE"""),"08")</f>
        <v>08</v>
      </c>
      <c r="J4974" s="115" t="str">
        <f>IFERROR(__xludf.DUMMYFUNCTION("""COMPUTED_VALUE"""),"Girish Chand2025-09-1008")</f>
        <v>Girish Chand2025-09-1008</v>
      </c>
      <c r="K4974" s="115">
        <f>IFERROR(__xludf.DUMMYFUNCTION("""COMPUTED_VALUE"""),4906.0)</f>
        <v>4906</v>
      </c>
    </row>
    <row r="4975">
      <c r="A4975" s="115" t="str">
        <f>IFERROR(__xludf.DUMMYFUNCTION("""COMPUTED_VALUE"""),"EAST")</f>
        <v>EAST</v>
      </c>
      <c r="B4975" s="115" t="str">
        <f>IFERROR(__xludf.DUMMYFUNCTION("""COMPUTED_VALUE"""),"Parag Kashyap")</f>
        <v>Parag Kashyap</v>
      </c>
      <c r="C4975" s="115" t="str">
        <f>IFERROR(__xludf.DUMMYFUNCTION("""COMPUTED_VALUE"""),"EXTERNAL")</f>
        <v>EXTERNAL</v>
      </c>
      <c r="D4975" s="115">
        <f>IFERROR(__xludf.DUMMYFUNCTION("""COMPUTED_VALUE"""),1691.0)</f>
        <v>1691</v>
      </c>
      <c r="E4975" s="115">
        <f>IFERROR(__xludf.DUMMYFUNCTION("""COMPUTED_VALUE"""),59.0)</f>
        <v>59</v>
      </c>
      <c r="F4975" s="115">
        <f>IFERROR(__xludf.DUMMYFUNCTION("""COMPUTED_VALUE"""),5.0)</f>
        <v>5</v>
      </c>
      <c r="G4975" s="115">
        <f>IFERROR(__xludf.DUMMYFUNCTION("""COMPUTED_VALUE"""),1.0)</f>
        <v>1</v>
      </c>
      <c r="H4975" s="116">
        <f>IFERROR(__xludf.DUMMYFUNCTION("""COMPUTED_VALUE"""),45910.0)</f>
        <v>45910</v>
      </c>
      <c r="I4975" s="115" t="str">
        <f>IFERROR(__xludf.DUMMYFUNCTION("""COMPUTED_VALUE"""),"08")</f>
        <v>08</v>
      </c>
      <c r="J4975" s="115" t="str">
        <f>IFERROR(__xludf.DUMMYFUNCTION("""COMPUTED_VALUE"""),"Parag Kashyap2025-09-1008")</f>
        <v>Parag Kashyap2025-09-1008</v>
      </c>
      <c r="K4975" s="115">
        <f>IFERROR(__xludf.DUMMYFUNCTION("""COMPUTED_VALUE"""),1750.0)</f>
        <v>1750</v>
      </c>
    </row>
    <row r="4976">
      <c r="A4976" s="115" t="str">
        <f>IFERROR(__xludf.DUMMYFUNCTION("""COMPUTED_VALUE"""),"EAST")</f>
        <v>EAST</v>
      </c>
      <c r="B4976" s="115" t="str">
        <f>IFERROR(__xludf.DUMMYFUNCTION("""COMPUTED_VALUE"""),"Parag Kashyap")</f>
        <v>Parag Kashyap</v>
      </c>
      <c r="C4976" s="115" t="str">
        <f>IFERROR(__xludf.DUMMYFUNCTION("""COMPUTED_VALUE"""),"FLIPKART")</f>
        <v>FLIPKART</v>
      </c>
      <c r="D4976" s="115">
        <f>IFERROR(__xludf.DUMMYFUNCTION("""COMPUTED_VALUE"""),33184.0)</f>
        <v>33184</v>
      </c>
      <c r="E4976" s="115">
        <f>IFERROR(__xludf.DUMMYFUNCTION("""COMPUTED_VALUE"""),1323.0)</f>
        <v>1323</v>
      </c>
      <c r="F4976" s="115">
        <f>IFERROR(__xludf.DUMMYFUNCTION("""COMPUTED_VALUE"""),196.0)</f>
        <v>196</v>
      </c>
      <c r="G4976" s="115">
        <f>IFERROR(__xludf.DUMMYFUNCTION("""COMPUTED_VALUE"""),22.0)</f>
        <v>22</v>
      </c>
      <c r="H4976" s="116">
        <f>IFERROR(__xludf.DUMMYFUNCTION("""COMPUTED_VALUE"""),45910.0)</f>
        <v>45910</v>
      </c>
      <c r="I4976" s="115" t="str">
        <f>IFERROR(__xludf.DUMMYFUNCTION("""COMPUTED_VALUE"""),"08")</f>
        <v>08</v>
      </c>
      <c r="J4976" s="115" t="str">
        <f>IFERROR(__xludf.DUMMYFUNCTION("""COMPUTED_VALUE"""),"Parag Kashyap2025-09-1008")</f>
        <v>Parag Kashyap2025-09-1008</v>
      </c>
      <c r="K4976" s="115">
        <f>IFERROR(__xludf.DUMMYFUNCTION("""COMPUTED_VALUE"""),34507.0)</f>
        <v>34507</v>
      </c>
    </row>
    <row r="4977">
      <c r="A4977" s="115" t="str">
        <f>IFERROR(__xludf.DUMMYFUNCTION("""COMPUTED_VALUE"""),"EAST")</f>
        <v>EAST</v>
      </c>
      <c r="B4977" s="115" t="str">
        <f>IFERROR(__xludf.DUMMYFUNCTION("""COMPUTED_VALUE"""),"Parag Kashyap")</f>
        <v>Parag Kashyap</v>
      </c>
      <c r="C4977" s="115" t="str">
        <f>IFERROR(__xludf.DUMMYFUNCTION("""COMPUTED_VALUE"""),"MYNTRA")</f>
        <v>MYNTRA</v>
      </c>
      <c r="D4977" s="115">
        <f>IFERROR(__xludf.DUMMYFUNCTION("""COMPUTED_VALUE"""),4541.0)</f>
        <v>4541</v>
      </c>
      <c r="E4977" s="115">
        <f>IFERROR(__xludf.DUMMYFUNCTION("""COMPUTED_VALUE"""),461.0)</f>
        <v>461</v>
      </c>
      <c r="F4977" s="115">
        <f>IFERROR(__xludf.DUMMYFUNCTION("""COMPUTED_VALUE"""),26.0)</f>
        <v>26</v>
      </c>
      <c r="G4977" s="115">
        <f>IFERROR(__xludf.DUMMYFUNCTION("""COMPUTED_VALUE"""),0.0)</f>
        <v>0</v>
      </c>
      <c r="H4977" s="116">
        <f>IFERROR(__xludf.DUMMYFUNCTION("""COMPUTED_VALUE"""),45910.0)</f>
        <v>45910</v>
      </c>
      <c r="I4977" s="115" t="str">
        <f>IFERROR(__xludf.DUMMYFUNCTION("""COMPUTED_VALUE"""),"08")</f>
        <v>08</v>
      </c>
      <c r="J4977" s="115" t="str">
        <f>IFERROR(__xludf.DUMMYFUNCTION("""COMPUTED_VALUE"""),"Parag Kashyap2025-09-1008")</f>
        <v>Parag Kashyap2025-09-1008</v>
      </c>
      <c r="K4977" s="115">
        <f>IFERROR(__xludf.DUMMYFUNCTION("""COMPUTED_VALUE"""),5002.0)</f>
        <v>5002</v>
      </c>
    </row>
    <row r="4978">
      <c r="A4978" s="115" t="str">
        <f>IFERROR(__xludf.DUMMYFUNCTION("""COMPUTED_VALUE"""),"NORTH")</f>
        <v>NORTH</v>
      </c>
      <c r="B4978" s="115" t="str">
        <f>IFERROR(__xludf.DUMMYFUNCTION("""COMPUTED_VALUE"""),"Amit Kumar Pathak")</f>
        <v>Amit Kumar Pathak</v>
      </c>
      <c r="C4978" s="115" t="str">
        <f>IFERROR(__xludf.DUMMYFUNCTION("""COMPUTED_VALUE"""),"EXTERNAL")</f>
        <v>EXTERNAL</v>
      </c>
      <c r="D4978" s="115">
        <f>IFERROR(__xludf.DUMMYFUNCTION("""COMPUTED_VALUE"""),5422.0)</f>
        <v>5422</v>
      </c>
      <c r="E4978" s="115">
        <f>IFERROR(__xludf.DUMMYFUNCTION("""COMPUTED_VALUE"""),871.0)</f>
        <v>871</v>
      </c>
      <c r="F4978" s="115">
        <f>IFERROR(__xludf.DUMMYFUNCTION("""COMPUTED_VALUE"""),13.0)</f>
        <v>13</v>
      </c>
      <c r="G4978" s="115">
        <f>IFERROR(__xludf.DUMMYFUNCTION("""COMPUTED_VALUE"""),8.0)</f>
        <v>8</v>
      </c>
      <c r="H4978" s="116">
        <f>IFERROR(__xludf.DUMMYFUNCTION("""COMPUTED_VALUE"""),45910.0)</f>
        <v>45910</v>
      </c>
      <c r="I4978" s="115" t="str">
        <f>IFERROR(__xludf.DUMMYFUNCTION("""COMPUTED_VALUE"""),"08")</f>
        <v>08</v>
      </c>
      <c r="J4978" s="115" t="str">
        <f>IFERROR(__xludf.DUMMYFUNCTION("""COMPUTED_VALUE"""),"Amit Kumar Pathak2025-09-1008")</f>
        <v>Amit Kumar Pathak2025-09-1008</v>
      </c>
      <c r="K4978" s="115">
        <f>IFERROR(__xludf.DUMMYFUNCTION("""COMPUTED_VALUE"""),6293.0)</f>
        <v>6293</v>
      </c>
    </row>
    <row r="4979">
      <c r="A4979" s="115" t="str">
        <f>IFERROR(__xludf.DUMMYFUNCTION("""COMPUTED_VALUE"""),"NORTH")</f>
        <v>NORTH</v>
      </c>
      <c r="B4979" s="115" t="str">
        <f>IFERROR(__xludf.DUMMYFUNCTION("""COMPUTED_VALUE"""),"Amit Kumar Pathak")</f>
        <v>Amit Kumar Pathak</v>
      </c>
      <c r="C4979" s="115" t="str">
        <f>IFERROR(__xludf.DUMMYFUNCTION("""COMPUTED_VALUE"""),"FLIPKART")</f>
        <v>FLIPKART</v>
      </c>
      <c r="D4979" s="115">
        <f>IFERROR(__xludf.DUMMYFUNCTION("""COMPUTED_VALUE"""),48594.0)</f>
        <v>48594</v>
      </c>
      <c r="E4979" s="115">
        <f>IFERROR(__xludf.DUMMYFUNCTION("""COMPUTED_VALUE"""),4839.0)</f>
        <v>4839</v>
      </c>
      <c r="F4979" s="115">
        <f>IFERROR(__xludf.DUMMYFUNCTION("""COMPUTED_VALUE"""),263.0)</f>
        <v>263</v>
      </c>
      <c r="G4979" s="115">
        <f>IFERROR(__xludf.DUMMYFUNCTION("""COMPUTED_VALUE"""),30.0)</f>
        <v>30</v>
      </c>
      <c r="H4979" s="116">
        <f>IFERROR(__xludf.DUMMYFUNCTION("""COMPUTED_VALUE"""),45910.0)</f>
        <v>45910</v>
      </c>
      <c r="I4979" s="115" t="str">
        <f>IFERROR(__xludf.DUMMYFUNCTION("""COMPUTED_VALUE"""),"08")</f>
        <v>08</v>
      </c>
      <c r="J4979" s="115" t="str">
        <f>IFERROR(__xludf.DUMMYFUNCTION("""COMPUTED_VALUE"""),"Amit Kumar Pathak2025-09-1008")</f>
        <v>Amit Kumar Pathak2025-09-1008</v>
      </c>
      <c r="K4979" s="115">
        <f>IFERROR(__xludf.DUMMYFUNCTION("""COMPUTED_VALUE"""),53433.0)</f>
        <v>53433</v>
      </c>
    </row>
    <row r="4980">
      <c r="A4980" s="115" t="str">
        <f>IFERROR(__xludf.DUMMYFUNCTION("""COMPUTED_VALUE"""),"NORTH")</f>
        <v>NORTH</v>
      </c>
      <c r="B4980" s="115" t="str">
        <f>IFERROR(__xludf.DUMMYFUNCTION("""COMPUTED_VALUE"""),"Amit Kumar Pathak")</f>
        <v>Amit Kumar Pathak</v>
      </c>
      <c r="C4980" s="115" t="str">
        <f>IFERROR(__xludf.DUMMYFUNCTION("""COMPUTED_VALUE"""),"MYNTRA")</f>
        <v>MYNTRA</v>
      </c>
      <c r="D4980" s="115">
        <f>IFERROR(__xludf.DUMMYFUNCTION("""COMPUTED_VALUE"""),4033.0)</f>
        <v>4033</v>
      </c>
      <c r="E4980" s="115">
        <f>IFERROR(__xludf.DUMMYFUNCTION("""COMPUTED_VALUE"""),1460.0)</f>
        <v>1460</v>
      </c>
      <c r="F4980" s="115">
        <f>IFERROR(__xludf.DUMMYFUNCTION("""COMPUTED_VALUE"""),16.0)</f>
        <v>16</v>
      </c>
      <c r="G4980" s="115">
        <f>IFERROR(__xludf.DUMMYFUNCTION("""COMPUTED_VALUE"""),6.0)</f>
        <v>6</v>
      </c>
      <c r="H4980" s="116">
        <f>IFERROR(__xludf.DUMMYFUNCTION("""COMPUTED_VALUE"""),45910.0)</f>
        <v>45910</v>
      </c>
      <c r="I4980" s="115" t="str">
        <f>IFERROR(__xludf.DUMMYFUNCTION("""COMPUTED_VALUE"""),"08")</f>
        <v>08</v>
      </c>
      <c r="J4980" s="115" t="str">
        <f>IFERROR(__xludf.DUMMYFUNCTION("""COMPUTED_VALUE"""),"Amit Kumar Pathak2025-09-1008")</f>
        <v>Amit Kumar Pathak2025-09-1008</v>
      </c>
      <c r="K4980" s="115">
        <f>IFERROR(__xludf.DUMMYFUNCTION("""COMPUTED_VALUE"""),5493.0)</f>
        <v>5493</v>
      </c>
    </row>
    <row r="4981">
      <c r="A4981" s="115" t="str">
        <f>IFERROR(__xludf.DUMMYFUNCTION("""COMPUTED_VALUE"""),"NORTH")</f>
        <v>NORTH</v>
      </c>
      <c r="B4981" s="115" t="str">
        <f>IFERROR(__xludf.DUMMYFUNCTION("""COMPUTED_VALUE"""),"Loveleen Singh")</f>
        <v>Loveleen Singh</v>
      </c>
      <c r="C4981" s="115" t="str">
        <f>IFERROR(__xludf.DUMMYFUNCTION("""COMPUTED_VALUE"""),"EXTERNAL")</f>
        <v>EXTERNAL</v>
      </c>
      <c r="D4981" s="115">
        <f>IFERROR(__xludf.DUMMYFUNCTION("""COMPUTED_VALUE"""),1621.0)</f>
        <v>1621</v>
      </c>
      <c r="E4981" s="115">
        <f>IFERROR(__xludf.DUMMYFUNCTION("""COMPUTED_VALUE"""),88.0)</f>
        <v>88</v>
      </c>
      <c r="F4981" s="115">
        <f>IFERROR(__xludf.DUMMYFUNCTION("""COMPUTED_VALUE"""),18.0)</f>
        <v>18</v>
      </c>
      <c r="G4981" s="115">
        <f>IFERROR(__xludf.DUMMYFUNCTION("""COMPUTED_VALUE"""),0.0)</f>
        <v>0</v>
      </c>
      <c r="H4981" s="116">
        <f>IFERROR(__xludf.DUMMYFUNCTION("""COMPUTED_VALUE"""),45910.0)</f>
        <v>45910</v>
      </c>
      <c r="I4981" s="115" t="str">
        <f>IFERROR(__xludf.DUMMYFUNCTION("""COMPUTED_VALUE"""),"08")</f>
        <v>08</v>
      </c>
      <c r="J4981" s="115" t="str">
        <f>IFERROR(__xludf.DUMMYFUNCTION("""COMPUTED_VALUE"""),"Loveleen Singh2025-09-1008")</f>
        <v>Loveleen Singh2025-09-1008</v>
      </c>
      <c r="K4981" s="115">
        <f>IFERROR(__xludf.DUMMYFUNCTION("""COMPUTED_VALUE"""),1709.0)</f>
        <v>1709</v>
      </c>
    </row>
    <row r="4982">
      <c r="A4982" s="115" t="str">
        <f>IFERROR(__xludf.DUMMYFUNCTION("""COMPUTED_VALUE"""),"NORTH")</f>
        <v>NORTH</v>
      </c>
      <c r="B4982" s="115" t="str">
        <f>IFERROR(__xludf.DUMMYFUNCTION("""COMPUTED_VALUE"""),"Loveleen Singh")</f>
        <v>Loveleen Singh</v>
      </c>
      <c r="C4982" s="115" t="str">
        <f>IFERROR(__xludf.DUMMYFUNCTION("""COMPUTED_VALUE"""),"FLIPKART")</f>
        <v>FLIPKART</v>
      </c>
      <c r="D4982" s="115">
        <f>IFERROR(__xludf.DUMMYFUNCTION("""COMPUTED_VALUE"""),11896.0)</f>
        <v>11896</v>
      </c>
      <c r="E4982" s="115">
        <f>IFERROR(__xludf.DUMMYFUNCTION("""COMPUTED_VALUE"""),907.0)</f>
        <v>907</v>
      </c>
      <c r="F4982" s="115">
        <f>IFERROR(__xludf.DUMMYFUNCTION("""COMPUTED_VALUE"""),226.0)</f>
        <v>226</v>
      </c>
      <c r="G4982" s="115">
        <f>IFERROR(__xludf.DUMMYFUNCTION("""COMPUTED_VALUE"""),10.0)</f>
        <v>10</v>
      </c>
      <c r="H4982" s="116">
        <f>IFERROR(__xludf.DUMMYFUNCTION("""COMPUTED_VALUE"""),45910.0)</f>
        <v>45910</v>
      </c>
      <c r="I4982" s="115" t="str">
        <f>IFERROR(__xludf.DUMMYFUNCTION("""COMPUTED_VALUE"""),"08")</f>
        <v>08</v>
      </c>
      <c r="J4982" s="115" t="str">
        <f>IFERROR(__xludf.DUMMYFUNCTION("""COMPUTED_VALUE"""),"Loveleen Singh2025-09-1008")</f>
        <v>Loveleen Singh2025-09-1008</v>
      </c>
      <c r="K4982" s="115">
        <f>IFERROR(__xludf.DUMMYFUNCTION("""COMPUTED_VALUE"""),12803.0)</f>
        <v>12803</v>
      </c>
    </row>
    <row r="4983">
      <c r="A4983" s="115" t="str">
        <f>IFERROR(__xludf.DUMMYFUNCTION("""COMPUTED_VALUE"""),"NORTH")</f>
        <v>NORTH</v>
      </c>
      <c r="B4983" s="115" t="str">
        <f>IFERROR(__xludf.DUMMYFUNCTION("""COMPUTED_VALUE"""),"Loveleen Singh")</f>
        <v>Loveleen Singh</v>
      </c>
      <c r="C4983" s="115" t="str">
        <f>IFERROR(__xludf.DUMMYFUNCTION("""COMPUTED_VALUE"""),"MYNTRA")</f>
        <v>MYNTRA</v>
      </c>
      <c r="D4983" s="115">
        <f>IFERROR(__xludf.DUMMYFUNCTION("""COMPUTED_VALUE"""),2397.0)</f>
        <v>2397</v>
      </c>
      <c r="E4983" s="115">
        <f>IFERROR(__xludf.DUMMYFUNCTION("""COMPUTED_VALUE"""),503.0)</f>
        <v>503</v>
      </c>
      <c r="F4983" s="115">
        <f>IFERROR(__xludf.DUMMYFUNCTION("""COMPUTED_VALUE"""),40.0)</f>
        <v>40</v>
      </c>
      <c r="G4983" s="115">
        <f>IFERROR(__xludf.DUMMYFUNCTION("""COMPUTED_VALUE"""),56.0)</f>
        <v>56</v>
      </c>
      <c r="H4983" s="116">
        <f>IFERROR(__xludf.DUMMYFUNCTION("""COMPUTED_VALUE"""),45910.0)</f>
        <v>45910</v>
      </c>
      <c r="I4983" s="115" t="str">
        <f>IFERROR(__xludf.DUMMYFUNCTION("""COMPUTED_VALUE"""),"08")</f>
        <v>08</v>
      </c>
      <c r="J4983" s="115" t="str">
        <f>IFERROR(__xludf.DUMMYFUNCTION("""COMPUTED_VALUE"""),"Loveleen Singh2025-09-1008")</f>
        <v>Loveleen Singh2025-09-1008</v>
      </c>
      <c r="K4983" s="115">
        <f>IFERROR(__xludf.DUMMYFUNCTION("""COMPUTED_VALUE"""),2900.0)</f>
        <v>2900</v>
      </c>
    </row>
    <row r="4984">
      <c r="A4984" s="115" t="str">
        <f>IFERROR(__xludf.DUMMYFUNCTION("""COMPUTED_VALUE"""),"NORTH")</f>
        <v>NORTH</v>
      </c>
      <c r="B4984" s="115" t="str">
        <f>IFERROR(__xludf.DUMMYFUNCTION("""COMPUTED_VALUE"""),"Manoj Harsh")</f>
        <v>Manoj Harsh</v>
      </c>
      <c r="C4984" s="115" t="str">
        <f>IFERROR(__xludf.DUMMYFUNCTION("""COMPUTED_VALUE"""),"EXTERNAL")</f>
        <v>EXTERNAL</v>
      </c>
      <c r="D4984" s="115">
        <f>IFERROR(__xludf.DUMMYFUNCTION("""COMPUTED_VALUE"""),2280.0)</f>
        <v>2280</v>
      </c>
      <c r="E4984" s="115">
        <f>IFERROR(__xludf.DUMMYFUNCTION("""COMPUTED_VALUE"""),388.0)</f>
        <v>388</v>
      </c>
      <c r="F4984" s="115">
        <f>IFERROR(__xludf.DUMMYFUNCTION("""COMPUTED_VALUE"""),10.0)</f>
        <v>10</v>
      </c>
      <c r="G4984" s="115">
        <f>IFERROR(__xludf.DUMMYFUNCTION("""COMPUTED_VALUE"""),0.0)</f>
        <v>0</v>
      </c>
      <c r="H4984" s="116">
        <f>IFERROR(__xludf.DUMMYFUNCTION("""COMPUTED_VALUE"""),45910.0)</f>
        <v>45910</v>
      </c>
      <c r="I4984" s="115" t="str">
        <f>IFERROR(__xludf.DUMMYFUNCTION("""COMPUTED_VALUE"""),"08")</f>
        <v>08</v>
      </c>
      <c r="J4984" s="115" t="str">
        <f>IFERROR(__xludf.DUMMYFUNCTION("""COMPUTED_VALUE"""),"Manoj Harsh2025-09-1008")</f>
        <v>Manoj Harsh2025-09-1008</v>
      </c>
      <c r="K4984" s="115">
        <f>IFERROR(__xludf.DUMMYFUNCTION("""COMPUTED_VALUE"""),2668.0)</f>
        <v>2668</v>
      </c>
    </row>
    <row r="4985">
      <c r="A4985" s="115" t="str">
        <f>IFERROR(__xludf.DUMMYFUNCTION("""COMPUTED_VALUE"""),"NORTH")</f>
        <v>NORTH</v>
      </c>
      <c r="B4985" s="115" t="str">
        <f>IFERROR(__xludf.DUMMYFUNCTION("""COMPUTED_VALUE"""),"Manoj Harsh")</f>
        <v>Manoj Harsh</v>
      </c>
      <c r="C4985" s="115" t="str">
        <f>IFERROR(__xludf.DUMMYFUNCTION("""COMPUTED_VALUE"""),"FLIPKART")</f>
        <v>FLIPKART</v>
      </c>
      <c r="D4985" s="115">
        <f>IFERROR(__xludf.DUMMYFUNCTION("""COMPUTED_VALUE"""),33599.0)</f>
        <v>33599</v>
      </c>
      <c r="E4985" s="115">
        <f>IFERROR(__xludf.DUMMYFUNCTION("""COMPUTED_VALUE"""),4403.0)</f>
        <v>4403</v>
      </c>
      <c r="F4985" s="115">
        <f>IFERROR(__xludf.DUMMYFUNCTION("""COMPUTED_VALUE"""),318.0)</f>
        <v>318</v>
      </c>
      <c r="G4985" s="115">
        <f>IFERROR(__xludf.DUMMYFUNCTION("""COMPUTED_VALUE"""),40.0)</f>
        <v>40</v>
      </c>
      <c r="H4985" s="116">
        <f>IFERROR(__xludf.DUMMYFUNCTION("""COMPUTED_VALUE"""),45910.0)</f>
        <v>45910</v>
      </c>
      <c r="I4985" s="115" t="str">
        <f>IFERROR(__xludf.DUMMYFUNCTION("""COMPUTED_VALUE"""),"08")</f>
        <v>08</v>
      </c>
      <c r="J4985" s="115" t="str">
        <f>IFERROR(__xludf.DUMMYFUNCTION("""COMPUTED_VALUE"""),"Manoj Harsh2025-09-1008")</f>
        <v>Manoj Harsh2025-09-1008</v>
      </c>
      <c r="K4985" s="115">
        <f>IFERROR(__xludf.DUMMYFUNCTION("""COMPUTED_VALUE"""),38002.0)</f>
        <v>38002</v>
      </c>
    </row>
    <row r="4986">
      <c r="A4986" s="115" t="str">
        <f>IFERROR(__xludf.DUMMYFUNCTION("""COMPUTED_VALUE"""),"NORTH")</f>
        <v>NORTH</v>
      </c>
      <c r="B4986" s="115" t="str">
        <f>IFERROR(__xludf.DUMMYFUNCTION("""COMPUTED_VALUE"""),"Manoj Harsh")</f>
        <v>Manoj Harsh</v>
      </c>
      <c r="C4986" s="115" t="str">
        <f>IFERROR(__xludf.DUMMYFUNCTION("""COMPUTED_VALUE"""),"MYNTRA")</f>
        <v>MYNTRA</v>
      </c>
      <c r="D4986" s="115">
        <f>IFERROR(__xludf.DUMMYFUNCTION("""COMPUTED_VALUE"""),3399.0)</f>
        <v>3399</v>
      </c>
      <c r="E4986" s="115">
        <f>IFERROR(__xludf.DUMMYFUNCTION("""COMPUTED_VALUE"""),1082.0)</f>
        <v>1082</v>
      </c>
      <c r="F4986" s="115">
        <f>IFERROR(__xludf.DUMMYFUNCTION("""COMPUTED_VALUE"""),56.0)</f>
        <v>56</v>
      </c>
      <c r="G4986" s="115">
        <f>IFERROR(__xludf.DUMMYFUNCTION("""COMPUTED_VALUE"""),2.0)</f>
        <v>2</v>
      </c>
      <c r="H4986" s="116">
        <f>IFERROR(__xludf.DUMMYFUNCTION("""COMPUTED_VALUE"""),45910.0)</f>
        <v>45910</v>
      </c>
      <c r="I4986" s="115" t="str">
        <f>IFERROR(__xludf.DUMMYFUNCTION("""COMPUTED_VALUE"""),"08")</f>
        <v>08</v>
      </c>
      <c r="J4986" s="115" t="str">
        <f>IFERROR(__xludf.DUMMYFUNCTION("""COMPUTED_VALUE"""),"Manoj Harsh2025-09-1008")</f>
        <v>Manoj Harsh2025-09-1008</v>
      </c>
      <c r="K4986" s="115">
        <f>IFERROR(__xludf.DUMMYFUNCTION("""COMPUTED_VALUE"""),4481.0)</f>
        <v>4481</v>
      </c>
    </row>
    <row r="4987">
      <c r="A4987" s="115" t="str">
        <f>IFERROR(__xludf.DUMMYFUNCTION("""COMPUTED_VALUE"""),"NORTH")</f>
        <v>NORTH</v>
      </c>
      <c r="B4987" s="115" t="str">
        <f>IFERROR(__xludf.DUMMYFUNCTION("""COMPUTED_VALUE"""),"Pradeep Kothari")</f>
        <v>Pradeep Kothari</v>
      </c>
      <c r="C4987" s="115" t="str">
        <f>IFERROR(__xludf.DUMMYFUNCTION("""COMPUTED_VALUE"""),"EXTERNAL")</f>
        <v>EXTERNAL</v>
      </c>
      <c r="D4987" s="115">
        <f>IFERROR(__xludf.DUMMYFUNCTION("""COMPUTED_VALUE"""),1222.0)</f>
        <v>1222</v>
      </c>
      <c r="E4987" s="115">
        <f>IFERROR(__xludf.DUMMYFUNCTION("""COMPUTED_VALUE"""),211.0)</f>
        <v>211</v>
      </c>
      <c r="F4987" s="115">
        <f>IFERROR(__xludf.DUMMYFUNCTION("""COMPUTED_VALUE"""),7.0)</f>
        <v>7</v>
      </c>
      <c r="G4987" s="115">
        <f>IFERROR(__xludf.DUMMYFUNCTION("""COMPUTED_VALUE"""),1.0)</f>
        <v>1</v>
      </c>
      <c r="H4987" s="116">
        <f>IFERROR(__xludf.DUMMYFUNCTION("""COMPUTED_VALUE"""),45910.0)</f>
        <v>45910</v>
      </c>
      <c r="I4987" s="115" t="str">
        <f>IFERROR(__xludf.DUMMYFUNCTION("""COMPUTED_VALUE"""),"08")</f>
        <v>08</v>
      </c>
      <c r="J4987" s="115" t="str">
        <f>IFERROR(__xludf.DUMMYFUNCTION("""COMPUTED_VALUE"""),"Pradeep Kothari2025-09-1008")</f>
        <v>Pradeep Kothari2025-09-1008</v>
      </c>
      <c r="K4987" s="115">
        <f>IFERROR(__xludf.DUMMYFUNCTION("""COMPUTED_VALUE"""),1433.0)</f>
        <v>1433</v>
      </c>
    </row>
    <row r="4988">
      <c r="A4988" s="115" t="str">
        <f>IFERROR(__xludf.DUMMYFUNCTION("""COMPUTED_VALUE"""),"NORTH")</f>
        <v>NORTH</v>
      </c>
      <c r="B4988" s="115" t="str">
        <f>IFERROR(__xludf.DUMMYFUNCTION("""COMPUTED_VALUE"""),"Pradeep Kothari")</f>
        <v>Pradeep Kothari</v>
      </c>
      <c r="C4988" s="115" t="str">
        <f>IFERROR(__xludf.DUMMYFUNCTION("""COMPUTED_VALUE"""),"FLIPKART")</f>
        <v>FLIPKART</v>
      </c>
      <c r="D4988" s="115">
        <f>IFERROR(__xludf.DUMMYFUNCTION("""COMPUTED_VALUE"""),11894.0)</f>
        <v>11894</v>
      </c>
      <c r="E4988" s="115">
        <f>IFERROR(__xludf.DUMMYFUNCTION("""COMPUTED_VALUE"""),1568.0)</f>
        <v>1568</v>
      </c>
      <c r="F4988" s="115">
        <f>IFERROR(__xludf.DUMMYFUNCTION("""COMPUTED_VALUE"""),199.0)</f>
        <v>199</v>
      </c>
      <c r="G4988" s="115">
        <f>IFERROR(__xludf.DUMMYFUNCTION("""COMPUTED_VALUE"""),5.0)</f>
        <v>5</v>
      </c>
      <c r="H4988" s="116">
        <f>IFERROR(__xludf.DUMMYFUNCTION("""COMPUTED_VALUE"""),45910.0)</f>
        <v>45910</v>
      </c>
      <c r="I4988" s="115" t="str">
        <f>IFERROR(__xludf.DUMMYFUNCTION("""COMPUTED_VALUE"""),"08")</f>
        <v>08</v>
      </c>
      <c r="J4988" s="115" t="str">
        <f>IFERROR(__xludf.DUMMYFUNCTION("""COMPUTED_VALUE"""),"Pradeep Kothari2025-09-1008")</f>
        <v>Pradeep Kothari2025-09-1008</v>
      </c>
      <c r="K4988" s="115">
        <f>IFERROR(__xludf.DUMMYFUNCTION("""COMPUTED_VALUE"""),13462.0)</f>
        <v>13462</v>
      </c>
    </row>
    <row r="4989">
      <c r="A4989" s="115" t="str">
        <f>IFERROR(__xludf.DUMMYFUNCTION("""COMPUTED_VALUE"""),"NORTH")</f>
        <v>NORTH</v>
      </c>
      <c r="B4989" s="115" t="str">
        <f>IFERROR(__xludf.DUMMYFUNCTION("""COMPUTED_VALUE"""),"Pradeep Kothari")</f>
        <v>Pradeep Kothari</v>
      </c>
      <c r="C4989" s="115" t="str">
        <f>IFERROR(__xludf.DUMMYFUNCTION("""COMPUTED_VALUE"""),"MYNTRA")</f>
        <v>MYNTRA</v>
      </c>
      <c r="D4989" s="115">
        <f>IFERROR(__xludf.DUMMYFUNCTION("""COMPUTED_VALUE"""),2136.0)</f>
        <v>2136</v>
      </c>
      <c r="E4989" s="115">
        <f>IFERROR(__xludf.DUMMYFUNCTION("""COMPUTED_VALUE"""),552.0)</f>
        <v>552</v>
      </c>
      <c r="F4989" s="115">
        <f>IFERROR(__xludf.DUMMYFUNCTION("""COMPUTED_VALUE"""),68.0)</f>
        <v>68</v>
      </c>
      <c r="G4989" s="115">
        <f>IFERROR(__xludf.DUMMYFUNCTION("""COMPUTED_VALUE"""),5.0)</f>
        <v>5</v>
      </c>
      <c r="H4989" s="116">
        <f>IFERROR(__xludf.DUMMYFUNCTION("""COMPUTED_VALUE"""),45910.0)</f>
        <v>45910</v>
      </c>
      <c r="I4989" s="115" t="str">
        <f>IFERROR(__xludf.DUMMYFUNCTION("""COMPUTED_VALUE"""),"08")</f>
        <v>08</v>
      </c>
      <c r="J4989" s="115" t="str">
        <f>IFERROR(__xludf.DUMMYFUNCTION("""COMPUTED_VALUE"""),"Pradeep Kothari2025-09-1008")</f>
        <v>Pradeep Kothari2025-09-1008</v>
      </c>
      <c r="K4989" s="115">
        <f>IFERROR(__xludf.DUMMYFUNCTION("""COMPUTED_VALUE"""),2688.0)</f>
        <v>2688</v>
      </c>
    </row>
    <row r="4990">
      <c r="A4990" s="115" t="str">
        <f>IFERROR(__xludf.DUMMYFUNCTION("""COMPUTED_VALUE"""),"SOUTH")</f>
        <v>SOUTH</v>
      </c>
      <c r="B4990" s="115" t="str">
        <f>IFERROR(__xludf.DUMMYFUNCTION("""COMPUTED_VALUE"""),"Kandula Sampath")</f>
        <v>Kandula Sampath</v>
      </c>
      <c r="C4990" s="115" t="str">
        <f>IFERROR(__xludf.DUMMYFUNCTION("""COMPUTED_VALUE"""),"EXTERNAL")</f>
        <v>EXTERNAL</v>
      </c>
      <c r="D4990" s="115">
        <f>IFERROR(__xludf.DUMMYFUNCTION("""COMPUTED_VALUE"""),5449.0)</f>
        <v>5449</v>
      </c>
      <c r="E4990" s="115">
        <f>IFERROR(__xludf.DUMMYFUNCTION("""COMPUTED_VALUE"""),493.0)</f>
        <v>493</v>
      </c>
      <c r="F4990" s="115">
        <f>IFERROR(__xludf.DUMMYFUNCTION("""COMPUTED_VALUE"""),89.0)</f>
        <v>89</v>
      </c>
      <c r="G4990" s="115">
        <f>IFERROR(__xludf.DUMMYFUNCTION("""COMPUTED_VALUE"""),0.0)</f>
        <v>0</v>
      </c>
      <c r="H4990" s="116">
        <f>IFERROR(__xludf.DUMMYFUNCTION("""COMPUTED_VALUE"""),45910.0)</f>
        <v>45910</v>
      </c>
      <c r="I4990" s="115" t="str">
        <f>IFERROR(__xludf.DUMMYFUNCTION("""COMPUTED_VALUE"""),"08")</f>
        <v>08</v>
      </c>
      <c r="J4990" s="115" t="str">
        <f>IFERROR(__xludf.DUMMYFUNCTION("""COMPUTED_VALUE"""),"Kandula Sampath2025-09-1008")</f>
        <v>Kandula Sampath2025-09-1008</v>
      </c>
      <c r="K4990" s="115">
        <f>IFERROR(__xludf.DUMMYFUNCTION("""COMPUTED_VALUE"""),5942.0)</f>
        <v>5942</v>
      </c>
    </row>
    <row r="4991">
      <c r="A4991" s="115" t="str">
        <f>IFERROR(__xludf.DUMMYFUNCTION("""COMPUTED_VALUE"""),"SOUTH")</f>
        <v>SOUTH</v>
      </c>
      <c r="B4991" s="115" t="str">
        <f>IFERROR(__xludf.DUMMYFUNCTION("""COMPUTED_VALUE"""),"Kandula Sampath")</f>
        <v>Kandula Sampath</v>
      </c>
      <c r="C4991" s="115" t="str">
        <f>IFERROR(__xludf.DUMMYFUNCTION("""COMPUTED_VALUE"""),"FLIPKART")</f>
        <v>FLIPKART</v>
      </c>
      <c r="D4991" s="115">
        <f>IFERROR(__xludf.DUMMYFUNCTION("""COMPUTED_VALUE"""),70665.0)</f>
        <v>70665</v>
      </c>
      <c r="E4991" s="115">
        <f>IFERROR(__xludf.DUMMYFUNCTION("""COMPUTED_VALUE"""),4842.0)</f>
        <v>4842</v>
      </c>
      <c r="F4991" s="115">
        <f>IFERROR(__xludf.DUMMYFUNCTION("""COMPUTED_VALUE"""),2681.0)</f>
        <v>2681</v>
      </c>
      <c r="G4991" s="115">
        <f>IFERROR(__xludf.DUMMYFUNCTION("""COMPUTED_VALUE"""),26.0)</f>
        <v>26</v>
      </c>
      <c r="H4991" s="116">
        <f>IFERROR(__xludf.DUMMYFUNCTION("""COMPUTED_VALUE"""),45910.0)</f>
        <v>45910</v>
      </c>
      <c r="I4991" s="115" t="str">
        <f>IFERROR(__xludf.DUMMYFUNCTION("""COMPUTED_VALUE"""),"08")</f>
        <v>08</v>
      </c>
      <c r="J4991" s="115" t="str">
        <f>IFERROR(__xludf.DUMMYFUNCTION("""COMPUTED_VALUE"""),"Kandula Sampath2025-09-1008")</f>
        <v>Kandula Sampath2025-09-1008</v>
      </c>
      <c r="K4991" s="115">
        <f>IFERROR(__xludf.DUMMYFUNCTION("""COMPUTED_VALUE"""),75507.0)</f>
        <v>75507</v>
      </c>
    </row>
    <row r="4992">
      <c r="A4992" s="115" t="str">
        <f>IFERROR(__xludf.DUMMYFUNCTION("""COMPUTED_VALUE"""),"SOUTH")</f>
        <v>SOUTH</v>
      </c>
      <c r="B4992" s="115" t="str">
        <f>IFERROR(__xludf.DUMMYFUNCTION("""COMPUTED_VALUE"""),"Kandula Sampath")</f>
        <v>Kandula Sampath</v>
      </c>
      <c r="C4992" s="115" t="str">
        <f>IFERROR(__xludf.DUMMYFUNCTION("""COMPUTED_VALUE"""),"MYNTRA")</f>
        <v>MYNTRA</v>
      </c>
      <c r="D4992" s="115">
        <f>IFERROR(__xludf.DUMMYFUNCTION("""COMPUTED_VALUE"""),7912.0)</f>
        <v>7912</v>
      </c>
      <c r="E4992" s="115">
        <f>IFERROR(__xludf.DUMMYFUNCTION("""COMPUTED_VALUE"""),1472.0)</f>
        <v>1472</v>
      </c>
      <c r="F4992" s="115">
        <f>IFERROR(__xludf.DUMMYFUNCTION("""COMPUTED_VALUE"""),429.0)</f>
        <v>429</v>
      </c>
      <c r="G4992" s="115">
        <f>IFERROR(__xludf.DUMMYFUNCTION("""COMPUTED_VALUE"""),7.0)</f>
        <v>7</v>
      </c>
      <c r="H4992" s="116">
        <f>IFERROR(__xludf.DUMMYFUNCTION("""COMPUTED_VALUE"""),45910.0)</f>
        <v>45910</v>
      </c>
      <c r="I4992" s="115" t="str">
        <f>IFERROR(__xludf.DUMMYFUNCTION("""COMPUTED_VALUE"""),"08")</f>
        <v>08</v>
      </c>
      <c r="J4992" s="115" t="str">
        <f>IFERROR(__xludf.DUMMYFUNCTION("""COMPUTED_VALUE"""),"Kandula Sampath2025-09-1008")</f>
        <v>Kandula Sampath2025-09-1008</v>
      </c>
      <c r="K4992" s="115">
        <f>IFERROR(__xludf.DUMMYFUNCTION("""COMPUTED_VALUE"""),9384.0)</f>
        <v>9384</v>
      </c>
    </row>
    <row r="4993">
      <c r="A4993" s="115" t="str">
        <f>IFERROR(__xludf.DUMMYFUNCTION("""COMPUTED_VALUE"""),"SOUTH")</f>
        <v>SOUTH</v>
      </c>
      <c r="B4993" s="115" t="str">
        <f>IFERROR(__xludf.DUMMYFUNCTION("""COMPUTED_VALUE"""),"Martin A")</f>
        <v>Martin A</v>
      </c>
      <c r="C4993" s="115" t="str">
        <f>IFERROR(__xludf.DUMMYFUNCTION("""COMPUTED_VALUE"""),"EXTERNAL")</f>
        <v>EXTERNAL</v>
      </c>
      <c r="D4993" s="115">
        <f>IFERROR(__xludf.DUMMYFUNCTION("""COMPUTED_VALUE"""),5049.0)</f>
        <v>5049</v>
      </c>
      <c r="E4993" s="115">
        <f>IFERROR(__xludf.DUMMYFUNCTION("""COMPUTED_VALUE"""),565.0)</f>
        <v>565</v>
      </c>
      <c r="F4993" s="115">
        <f>IFERROR(__xludf.DUMMYFUNCTION("""COMPUTED_VALUE"""),25.0)</f>
        <v>25</v>
      </c>
      <c r="G4993" s="115">
        <f>IFERROR(__xludf.DUMMYFUNCTION("""COMPUTED_VALUE"""),6.0)</f>
        <v>6</v>
      </c>
      <c r="H4993" s="116">
        <f>IFERROR(__xludf.DUMMYFUNCTION("""COMPUTED_VALUE"""),45910.0)</f>
        <v>45910</v>
      </c>
      <c r="I4993" s="115" t="str">
        <f>IFERROR(__xludf.DUMMYFUNCTION("""COMPUTED_VALUE"""),"08")</f>
        <v>08</v>
      </c>
      <c r="J4993" s="115" t="str">
        <f>IFERROR(__xludf.DUMMYFUNCTION("""COMPUTED_VALUE"""),"Martin A2025-09-1008")</f>
        <v>Martin A2025-09-1008</v>
      </c>
      <c r="K4993" s="115">
        <f>IFERROR(__xludf.DUMMYFUNCTION("""COMPUTED_VALUE"""),5614.0)</f>
        <v>5614</v>
      </c>
    </row>
    <row r="4994">
      <c r="A4994" s="115" t="str">
        <f>IFERROR(__xludf.DUMMYFUNCTION("""COMPUTED_VALUE"""),"SOUTH")</f>
        <v>SOUTH</v>
      </c>
      <c r="B4994" s="115" t="str">
        <f>IFERROR(__xludf.DUMMYFUNCTION("""COMPUTED_VALUE"""),"Martin A")</f>
        <v>Martin A</v>
      </c>
      <c r="C4994" s="115" t="str">
        <f>IFERROR(__xludf.DUMMYFUNCTION("""COMPUTED_VALUE"""),"FLIPKART")</f>
        <v>FLIPKART</v>
      </c>
      <c r="D4994" s="115">
        <f>IFERROR(__xludf.DUMMYFUNCTION("""COMPUTED_VALUE"""),48186.0)</f>
        <v>48186</v>
      </c>
      <c r="E4994" s="115">
        <f>IFERROR(__xludf.DUMMYFUNCTION("""COMPUTED_VALUE"""),3900.0)</f>
        <v>3900</v>
      </c>
      <c r="F4994" s="115">
        <f>IFERROR(__xludf.DUMMYFUNCTION("""COMPUTED_VALUE"""),456.0)</f>
        <v>456</v>
      </c>
      <c r="G4994" s="115">
        <f>IFERROR(__xludf.DUMMYFUNCTION("""COMPUTED_VALUE"""),21.0)</f>
        <v>21</v>
      </c>
      <c r="H4994" s="116">
        <f>IFERROR(__xludf.DUMMYFUNCTION("""COMPUTED_VALUE"""),45910.0)</f>
        <v>45910</v>
      </c>
      <c r="I4994" s="115" t="str">
        <f>IFERROR(__xludf.DUMMYFUNCTION("""COMPUTED_VALUE"""),"08")</f>
        <v>08</v>
      </c>
      <c r="J4994" s="115" t="str">
        <f>IFERROR(__xludf.DUMMYFUNCTION("""COMPUTED_VALUE"""),"Martin A2025-09-1008")</f>
        <v>Martin A2025-09-1008</v>
      </c>
      <c r="K4994" s="115">
        <f>IFERROR(__xludf.DUMMYFUNCTION("""COMPUTED_VALUE"""),52086.0)</f>
        <v>52086</v>
      </c>
    </row>
    <row r="4995">
      <c r="A4995" s="115" t="str">
        <f>IFERROR(__xludf.DUMMYFUNCTION("""COMPUTED_VALUE"""),"SOUTH")</f>
        <v>SOUTH</v>
      </c>
      <c r="B4995" s="115" t="str">
        <f>IFERROR(__xludf.DUMMYFUNCTION("""COMPUTED_VALUE"""),"Martin A")</f>
        <v>Martin A</v>
      </c>
      <c r="C4995" s="115" t="str">
        <f>IFERROR(__xludf.DUMMYFUNCTION("""COMPUTED_VALUE"""),"MYNTRA")</f>
        <v>MYNTRA</v>
      </c>
      <c r="D4995" s="115">
        <f>IFERROR(__xludf.DUMMYFUNCTION("""COMPUTED_VALUE"""),5553.0)</f>
        <v>5553</v>
      </c>
      <c r="E4995" s="115">
        <f>IFERROR(__xludf.DUMMYFUNCTION("""COMPUTED_VALUE"""),1041.0)</f>
        <v>1041</v>
      </c>
      <c r="F4995" s="115">
        <f>IFERROR(__xludf.DUMMYFUNCTION("""COMPUTED_VALUE"""),48.0)</f>
        <v>48</v>
      </c>
      <c r="G4995" s="115">
        <f>IFERROR(__xludf.DUMMYFUNCTION("""COMPUTED_VALUE"""),3.0)</f>
        <v>3</v>
      </c>
      <c r="H4995" s="116">
        <f>IFERROR(__xludf.DUMMYFUNCTION("""COMPUTED_VALUE"""),45910.0)</f>
        <v>45910</v>
      </c>
      <c r="I4995" s="115" t="str">
        <f>IFERROR(__xludf.DUMMYFUNCTION("""COMPUTED_VALUE"""),"08")</f>
        <v>08</v>
      </c>
      <c r="J4995" s="115" t="str">
        <f>IFERROR(__xludf.DUMMYFUNCTION("""COMPUTED_VALUE"""),"Martin A2025-09-1008")</f>
        <v>Martin A2025-09-1008</v>
      </c>
      <c r="K4995" s="115">
        <f>IFERROR(__xludf.DUMMYFUNCTION("""COMPUTED_VALUE"""),6594.0)</f>
        <v>6594</v>
      </c>
    </row>
    <row r="4996">
      <c r="A4996" s="115" t="str">
        <f>IFERROR(__xludf.DUMMYFUNCTION("""COMPUTED_VALUE"""),"SOUTH")</f>
        <v>SOUTH</v>
      </c>
      <c r="B4996" s="115" t="str">
        <f>IFERROR(__xludf.DUMMYFUNCTION("""COMPUTED_VALUE"""),"Premkumar M")</f>
        <v>Premkumar M</v>
      </c>
      <c r="C4996" s="115" t="str">
        <f>IFERROR(__xludf.DUMMYFUNCTION("""COMPUTED_VALUE"""),"EXTERNAL")</f>
        <v>EXTERNAL</v>
      </c>
      <c r="D4996" s="115">
        <f>IFERROR(__xludf.DUMMYFUNCTION("""COMPUTED_VALUE"""),999.0)</f>
        <v>999</v>
      </c>
      <c r="E4996" s="115">
        <f>IFERROR(__xludf.DUMMYFUNCTION("""COMPUTED_VALUE"""),38.0)</f>
        <v>38</v>
      </c>
      <c r="F4996" s="115">
        <f>IFERROR(__xludf.DUMMYFUNCTION("""COMPUTED_VALUE"""),12.0)</f>
        <v>12</v>
      </c>
      <c r="G4996" s="115">
        <f>IFERROR(__xludf.DUMMYFUNCTION("""COMPUTED_VALUE"""),0.0)</f>
        <v>0</v>
      </c>
      <c r="H4996" s="116">
        <f>IFERROR(__xludf.DUMMYFUNCTION("""COMPUTED_VALUE"""),45910.0)</f>
        <v>45910</v>
      </c>
      <c r="I4996" s="115" t="str">
        <f>IFERROR(__xludf.DUMMYFUNCTION("""COMPUTED_VALUE"""),"08")</f>
        <v>08</v>
      </c>
      <c r="J4996" s="115" t="str">
        <f>IFERROR(__xludf.DUMMYFUNCTION("""COMPUTED_VALUE"""),"Premkumar M2025-09-1008")</f>
        <v>Premkumar M2025-09-1008</v>
      </c>
      <c r="K4996" s="115">
        <f>IFERROR(__xludf.DUMMYFUNCTION("""COMPUTED_VALUE"""),1037.0)</f>
        <v>1037</v>
      </c>
    </row>
    <row r="4997">
      <c r="A4997" s="115" t="str">
        <f>IFERROR(__xludf.DUMMYFUNCTION("""COMPUTED_VALUE"""),"SOUTH")</f>
        <v>SOUTH</v>
      </c>
      <c r="B4997" s="115" t="str">
        <f>IFERROR(__xludf.DUMMYFUNCTION("""COMPUTED_VALUE"""),"Premkumar M")</f>
        <v>Premkumar M</v>
      </c>
      <c r="C4997" s="115" t="str">
        <f>IFERROR(__xludf.DUMMYFUNCTION("""COMPUTED_VALUE"""),"FLIPKART")</f>
        <v>FLIPKART</v>
      </c>
      <c r="D4997" s="115">
        <f>IFERROR(__xludf.DUMMYFUNCTION("""COMPUTED_VALUE"""),12484.0)</f>
        <v>12484</v>
      </c>
      <c r="E4997" s="115">
        <f>IFERROR(__xludf.DUMMYFUNCTION("""COMPUTED_VALUE"""),550.0)</f>
        <v>550</v>
      </c>
      <c r="F4997" s="115">
        <f>IFERROR(__xludf.DUMMYFUNCTION("""COMPUTED_VALUE"""),195.0)</f>
        <v>195</v>
      </c>
      <c r="G4997" s="115">
        <f>IFERROR(__xludf.DUMMYFUNCTION("""COMPUTED_VALUE"""),11.0)</f>
        <v>11</v>
      </c>
      <c r="H4997" s="116">
        <f>IFERROR(__xludf.DUMMYFUNCTION("""COMPUTED_VALUE"""),45910.0)</f>
        <v>45910</v>
      </c>
      <c r="I4997" s="115" t="str">
        <f>IFERROR(__xludf.DUMMYFUNCTION("""COMPUTED_VALUE"""),"08")</f>
        <v>08</v>
      </c>
      <c r="J4997" s="115" t="str">
        <f>IFERROR(__xludf.DUMMYFUNCTION("""COMPUTED_VALUE"""),"Premkumar M2025-09-1008")</f>
        <v>Premkumar M2025-09-1008</v>
      </c>
      <c r="K4997" s="115">
        <f>IFERROR(__xludf.DUMMYFUNCTION("""COMPUTED_VALUE"""),13034.0)</f>
        <v>13034</v>
      </c>
    </row>
    <row r="4998">
      <c r="A4998" s="115" t="str">
        <f>IFERROR(__xludf.DUMMYFUNCTION("""COMPUTED_VALUE"""),"SOUTH")</f>
        <v>SOUTH</v>
      </c>
      <c r="B4998" s="115" t="str">
        <f>IFERROR(__xludf.DUMMYFUNCTION("""COMPUTED_VALUE"""),"Premkumar M")</f>
        <v>Premkumar M</v>
      </c>
      <c r="C4998" s="115" t="str">
        <f>IFERROR(__xludf.DUMMYFUNCTION("""COMPUTED_VALUE"""),"MYNTRA")</f>
        <v>MYNTRA</v>
      </c>
      <c r="D4998" s="115">
        <f>IFERROR(__xludf.DUMMYFUNCTION("""COMPUTED_VALUE"""),684.0)</f>
        <v>684</v>
      </c>
      <c r="E4998" s="115">
        <f>IFERROR(__xludf.DUMMYFUNCTION("""COMPUTED_VALUE"""),95.0)</f>
        <v>95</v>
      </c>
      <c r="F4998" s="115">
        <f>IFERROR(__xludf.DUMMYFUNCTION("""COMPUTED_VALUE"""),6.0)</f>
        <v>6</v>
      </c>
      <c r="G4998" s="115">
        <f>IFERROR(__xludf.DUMMYFUNCTION("""COMPUTED_VALUE"""),0.0)</f>
        <v>0</v>
      </c>
      <c r="H4998" s="116">
        <f>IFERROR(__xludf.DUMMYFUNCTION("""COMPUTED_VALUE"""),45910.0)</f>
        <v>45910</v>
      </c>
      <c r="I4998" s="115" t="str">
        <f>IFERROR(__xludf.DUMMYFUNCTION("""COMPUTED_VALUE"""),"08")</f>
        <v>08</v>
      </c>
      <c r="J4998" s="115" t="str">
        <f>IFERROR(__xludf.DUMMYFUNCTION("""COMPUTED_VALUE"""),"Premkumar M2025-09-1008")</f>
        <v>Premkumar M2025-09-1008</v>
      </c>
      <c r="K4998" s="115">
        <f>IFERROR(__xludf.DUMMYFUNCTION("""COMPUTED_VALUE"""),779.0)</f>
        <v>779</v>
      </c>
    </row>
    <row r="4999">
      <c r="A4999" s="115" t="str">
        <f>IFERROR(__xludf.DUMMYFUNCTION("""COMPUTED_VALUE"""),"SOUTH")</f>
        <v>SOUTH</v>
      </c>
      <c r="B4999" s="115" t="str">
        <f>IFERROR(__xludf.DUMMYFUNCTION("""COMPUTED_VALUE"""),"Vineeth V")</f>
        <v>Vineeth V</v>
      </c>
      <c r="C4999" s="115" t="str">
        <f>IFERROR(__xludf.DUMMYFUNCTION("""COMPUTED_VALUE"""),"EXTERNAL")</f>
        <v>EXTERNAL</v>
      </c>
      <c r="D4999" s="115">
        <f>IFERROR(__xludf.DUMMYFUNCTION("""COMPUTED_VALUE"""),386.0)</f>
        <v>386</v>
      </c>
      <c r="E4999" s="115">
        <f>IFERROR(__xludf.DUMMYFUNCTION("""COMPUTED_VALUE"""),12.0)</f>
        <v>12</v>
      </c>
      <c r="F4999" s="115">
        <f>IFERROR(__xludf.DUMMYFUNCTION("""COMPUTED_VALUE"""),7.0)</f>
        <v>7</v>
      </c>
      <c r="G4999" s="115">
        <f>IFERROR(__xludf.DUMMYFUNCTION("""COMPUTED_VALUE"""),0.0)</f>
        <v>0</v>
      </c>
      <c r="H4999" s="116">
        <f>IFERROR(__xludf.DUMMYFUNCTION("""COMPUTED_VALUE"""),45910.0)</f>
        <v>45910</v>
      </c>
      <c r="I4999" s="115" t="str">
        <f>IFERROR(__xludf.DUMMYFUNCTION("""COMPUTED_VALUE"""),"08")</f>
        <v>08</v>
      </c>
      <c r="J4999" s="115" t="str">
        <f>IFERROR(__xludf.DUMMYFUNCTION("""COMPUTED_VALUE"""),"Vineeth V2025-09-1008")</f>
        <v>Vineeth V2025-09-1008</v>
      </c>
      <c r="K4999" s="115">
        <f>IFERROR(__xludf.DUMMYFUNCTION("""COMPUTED_VALUE"""),398.0)</f>
        <v>398</v>
      </c>
    </row>
    <row r="5000">
      <c r="A5000" s="115" t="str">
        <f>IFERROR(__xludf.DUMMYFUNCTION("""COMPUTED_VALUE"""),"SOUTH")</f>
        <v>SOUTH</v>
      </c>
      <c r="B5000" s="115" t="str">
        <f>IFERROR(__xludf.DUMMYFUNCTION("""COMPUTED_VALUE"""),"Vineeth V")</f>
        <v>Vineeth V</v>
      </c>
      <c r="C5000" s="115" t="str">
        <f>IFERROR(__xludf.DUMMYFUNCTION("""COMPUTED_VALUE"""),"FLIPKART")</f>
        <v>FLIPKART</v>
      </c>
      <c r="D5000" s="115">
        <f>IFERROR(__xludf.DUMMYFUNCTION("""COMPUTED_VALUE"""),3876.0)</f>
        <v>3876</v>
      </c>
      <c r="E5000" s="115">
        <f>IFERROR(__xludf.DUMMYFUNCTION("""COMPUTED_VALUE"""),270.0)</f>
        <v>270</v>
      </c>
      <c r="F5000" s="115">
        <f>IFERROR(__xludf.DUMMYFUNCTION("""COMPUTED_VALUE"""),69.0)</f>
        <v>69</v>
      </c>
      <c r="G5000" s="115">
        <f>IFERROR(__xludf.DUMMYFUNCTION("""COMPUTED_VALUE"""),6.0)</f>
        <v>6</v>
      </c>
      <c r="H5000" s="116">
        <f>IFERROR(__xludf.DUMMYFUNCTION("""COMPUTED_VALUE"""),45910.0)</f>
        <v>45910</v>
      </c>
      <c r="I5000" s="115" t="str">
        <f>IFERROR(__xludf.DUMMYFUNCTION("""COMPUTED_VALUE"""),"08")</f>
        <v>08</v>
      </c>
      <c r="J5000" s="115" t="str">
        <f>IFERROR(__xludf.DUMMYFUNCTION("""COMPUTED_VALUE"""),"Vineeth V2025-09-1008")</f>
        <v>Vineeth V2025-09-1008</v>
      </c>
      <c r="K5000" s="115">
        <f>IFERROR(__xludf.DUMMYFUNCTION("""COMPUTED_VALUE"""),4146.0)</f>
        <v>4146</v>
      </c>
    </row>
    <row r="5001">
      <c r="A5001" s="115" t="str">
        <f>IFERROR(__xludf.DUMMYFUNCTION("""COMPUTED_VALUE"""),"SOUTH")</f>
        <v>SOUTH</v>
      </c>
      <c r="B5001" s="115" t="str">
        <f>IFERROR(__xludf.DUMMYFUNCTION("""COMPUTED_VALUE"""),"Vineeth V")</f>
        <v>Vineeth V</v>
      </c>
      <c r="C5001" s="115" t="str">
        <f>IFERROR(__xludf.DUMMYFUNCTION("""COMPUTED_VALUE"""),"MYNTRA")</f>
        <v>MYNTRA</v>
      </c>
      <c r="D5001" s="115">
        <f>IFERROR(__xludf.DUMMYFUNCTION("""COMPUTED_VALUE"""),407.0)</f>
        <v>407</v>
      </c>
      <c r="E5001" s="115">
        <f>IFERROR(__xludf.DUMMYFUNCTION("""COMPUTED_VALUE"""),103.0)</f>
        <v>103</v>
      </c>
      <c r="F5001" s="115">
        <f>IFERROR(__xludf.DUMMYFUNCTION("""COMPUTED_VALUE"""),1.0)</f>
        <v>1</v>
      </c>
      <c r="G5001" s="115">
        <f>IFERROR(__xludf.DUMMYFUNCTION("""COMPUTED_VALUE"""),0.0)</f>
        <v>0</v>
      </c>
      <c r="H5001" s="116">
        <f>IFERROR(__xludf.DUMMYFUNCTION("""COMPUTED_VALUE"""),45910.0)</f>
        <v>45910</v>
      </c>
      <c r="I5001" s="115" t="str">
        <f>IFERROR(__xludf.DUMMYFUNCTION("""COMPUTED_VALUE"""),"08")</f>
        <v>08</v>
      </c>
      <c r="J5001" s="115" t="str">
        <f>IFERROR(__xludf.DUMMYFUNCTION("""COMPUTED_VALUE"""),"Vineeth V2025-09-1008")</f>
        <v>Vineeth V2025-09-1008</v>
      </c>
      <c r="K5001" s="115">
        <f>IFERROR(__xludf.DUMMYFUNCTION("""COMPUTED_VALUE"""),510.0)</f>
        <v>510</v>
      </c>
    </row>
    <row r="5002">
      <c r="A5002" s="115" t="str">
        <f>IFERROR(__xludf.DUMMYFUNCTION("""COMPUTED_VALUE"""),"WEST")</f>
        <v>WEST</v>
      </c>
      <c r="B5002" s="115" t="str">
        <f>IFERROR(__xludf.DUMMYFUNCTION("""COMPUTED_VALUE"""),"Ashish Jakar")</f>
        <v>Ashish Jakar</v>
      </c>
      <c r="C5002" s="115" t="str">
        <f>IFERROR(__xludf.DUMMYFUNCTION("""COMPUTED_VALUE"""),"EXTERNAL")</f>
        <v>EXTERNAL</v>
      </c>
      <c r="D5002" s="115">
        <f>IFERROR(__xludf.DUMMYFUNCTION("""COMPUTED_VALUE"""),4349.0)</f>
        <v>4349</v>
      </c>
      <c r="E5002" s="115">
        <f>IFERROR(__xludf.DUMMYFUNCTION("""COMPUTED_VALUE"""),495.0)</f>
        <v>495</v>
      </c>
      <c r="F5002" s="115">
        <f>IFERROR(__xludf.DUMMYFUNCTION("""COMPUTED_VALUE"""),469.0)</f>
        <v>469</v>
      </c>
      <c r="G5002" s="115">
        <f>IFERROR(__xludf.DUMMYFUNCTION("""COMPUTED_VALUE"""),0.0)</f>
        <v>0</v>
      </c>
      <c r="H5002" s="116">
        <f>IFERROR(__xludf.DUMMYFUNCTION("""COMPUTED_VALUE"""),45910.0)</f>
        <v>45910</v>
      </c>
      <c r="I5002" s="115" t="str">
        <f>IFERROR(__xludf.DUMMYFUNCTION("""COMPUTED_VALUE"""),"08")</f>
        <v>08</v>
      </c>
      <c r="J5002" s="115" t="str">
        <f>IFERROR(__xludf.DUMMYFUNCTION("""COMPUTED_VALUE"""),"Ashish Jakar2025-09-1008")</f>
        <v>Ashish Jakar2025-09-1008</v>
      </c>
      <c r="K5002" s="115">
        <f>IFERROR(__xludf.DUMMYFUNCTION("""COMPUTED_VALUE"""),4844.0)</f>
        <v>4844</v>
      </c>
    </row>
    <row r="5003">
      <c r="A5003" s="115" t="str">
        <f>IFERROR(__xludf.DUMMYFUNCTION("""COMPUTED_VALUE"""),"WEST")</f>
        <v>WEST</v>
      </c>
      <c r="B5003" s="115" t="str">
        <f>IFERROR(__xludf.DUMMYFUNCTION("""COMPUTED_VALUE"""),"Ashish Jakar")</f>
        <v>Ashish Jakar</v>
      </c>
      <c r="C5003" s="115" t="str">
        <f>IFERROR(__xludf.DUMMYFUNCTION("""COMPUTED_VALUE"""),"FLIPKART")</f>
        <v>FLIPKART</v>
      </c>
      <c r="D5003" s="115">
        <f>IFERROR(__xludf.DUMMYFUNCTION("""COMPUTED_VALUE"""),21844.0)</f>
        <v>21844</v>
      </c>
      <c r="E5003" s="115">
        <f>IFERROR(__xludf.DUMMYFUNCTION("""COMPUTED_VALUE"""),2935.0)</f>
        <v>2935</v>
      </c>
      <c r="F5003" s="115">
        <f>IFERROR(__xludf.DUMMYFUNCTION("""COMPUTED_VALUE"""),166.0)</f>
        <v>166</v>
      </c>
      <c r="G5003" s="115">
        <f>IFERROR(__xludf.DUMMYFUNCTION("""COMPUTED_VALUE"""),7.0)</f>
        <v>7</v>
      </c>
      <c r="H5003" s="116">
        <f>IFERROR(__xludf.DUMMYFUNCTION("""COMPUTED_VALUE"""),45910.0)</f>
        <v>45910</v>
      </c>
      <c r="I5003" s="115" t="str">
        <f>IFERROR(__xludf.DUMMYFUNCTION("""COMPUTED_VALUE"""),"08")</f>
        <v>08</v>
      </c>
      <c r="J5003" s="115" t="str">
        <f>IFERROR(__xludf.DUMMYFUNCTION("""COMPUTED_VALUE"""),"Ashish Jakar2025-09-1008")</f>
        <v>Ashish Jakar2025-09-1008</v>
      </c>
      <c r="K5003" s="115">
        <f>IFERROR(__xludf.DUMMYFUNCTION("""COMPUTED_VALUE"""),24779.0)</f>
        <v>24779</v>
      </c>
    </row>
    <row r="5004">
      <c r="A5004" s="115" t="str">
        <f>IFERROR(__xludf.DUMMYFUNCTION("""COMPUTED_VALUE"""),"WEST")</f>
        <v>WEST</v>
      </c>
      <c r="B5004" s="115" t="str">
        <f>IFERROR(__xludf.DUMMYFUNCTION("""COMPUTED_VALUE"""),"Ashish Jakar")</f>
        <v>Ashish Jakar</v>
      </c>
      <c r="C5004" s="115" t="str">
        <f>IFERROR(__xludf.DUMMYFUNCTION("""COMPUTED_VALUE"""),"MYNTRA")</f>
        <v>MYNTRA</v>
      </c>
      <c r="D5004" s="115">
        <f>IFERROR(__xludf.DUMMYFUNCTION("""COMPUTED_VALUE"""),2652.0)</f>
        <v>2652</v>
      </c>
      <c r="E5004" s="115">
        <f>IFERROR(__xludf.DUMMYFUNCTION("""COMPUTED_VALUE"""),992.0)</f>
        <v>992</v>
      </c>
      <c r="F5004" s="115">
        <f>IFERROR(__xludf.DUMMYFUNCTION("""COMPUTED_VALUE"""),35.0)</f>
        <v>35</v>
      </c>
      <c r="G5004" s="115">
        <f>IFERROR(__xludf.DUMMYFUNCTION("""COMPUTED_VALUE"""),4.0)</f>
        <v>4</v>
      </c>
      <c r="H5004" s="116">
        <f>IFERROR(__xludf.DUMMYFUNCTION("""COMPUTED_VALUE"""),45910.0)</f>
        <v>45910</v>
      </c>
      <c r="I5004" s="115" t="str">
        <f>IFERROR(__xludf.DUMMYFUNCTION("""COMPUTED_VALUE"""),"08")</f>
        <v>08</v>
      </c>
      <c r="J5004" s="115" t="str">
        <f>IFERROR(__xludf.DUMMYFUNCTION("""COMPUTED_VALUE"""),"Ashish Jakar2025-09-1008")</f>
        <v>Ashish Jakar2025-09-1008</v>
      </c>
      <c r="K5004" s="115">
        <f>IFERROR(__xludf.DUMMYFUNCTION("""COMPUTED_VALUE"""),3644.0)</f>
        <v>3644</v>
      </c>
    </row>
    <row r="5005">
      <c r="A5005" s="115" t="str">
        <f>IFERROR(__xludf.DUMMYFUNCTION("""COMPUTED_VALUE"""),"WEST")</f>
        <v>WEST</v>
      </c>
      <c r="B5005" s="115" t="str">
        <f>IFERROR(__xludf.DUMMYFUNCTION("""COMPUTED_VALUE"""),"Ashvani Bhatt")</f>
        <v>Ashvani Bhatt</v>
      </c>
      <c r="C5005" s="115" t="str">
        <f>IFERROR(__xludf.DUMMYFUNCTION("""COMPUTED_VALUE"""),"EXTERNAL")</f>
        <v>EXTERNAL</v>
      </c>
      <c r="D5005" s="115">
        <f>IFERROR(__xludf.DUMMYFUNCTION("""COMPUTED_VALUE"""),2981.0)</f>
        <v>2981</v>
      </c>
      <c r="E5005" s="115">
        <f>IFERROR(__xludf.DUMMYFUNCTION("""COMPUTED_VALUE"""),165.0)</f>
        <v>165</v>
      </c>
      <c r="F5005" s="115">
        <f>IFERROR(__xludf.DUMMYFUNCTION("""COMPUTED_VALUE"""),15.0)</f>
        <v>15</v>
      </c>
      <c r="G5005" s="115">
        <f>IFERROR(__xludf.DUMMYFUNCTION("""COMPUTED_VALUE"""),1.0)</f>
        <v>1</v>
      </c>
      <c r="H5005" s="116">
        <f>IFERROR(__xludf.DUMMYFUNCTION("""COMPUTED_VALUE"""),45910.0)</f>
        <v>45910</v>
      </c>
      <c r="I5005" s="115" t="str">
        <f>IFERROR(__xludf.DUMMYFUNCTION("""COMPUTED_VALUE"""),"08")</f>
        <v>08</v>
      </c>
      <c r="J5005" s="115" t="str">
        <f>IFERROR(__xludf.DUMMYFUNCTION("""COMPUTED_VALUE"""),"Ashvani Bhatt2025-09-1008")</f>
        <v>Ashvani Bhatt2025-09-1008</v>
      </c>
      <c r="K5005" s="115">
        <f>IFERROR(__xludf.DUMMYFUNCTION("""COMPUTED_VALUE"""),3146.0)</f>
        <v>3146</v>
      </c>
    </row>
    <row r="5006">
      <c r="A5006" s="115" t="str">
        <f>IFERROR(__xludf.DUMMYFUNCTION("""COMPUTED_VALUE"""),"WEST")</f>
        <v>WEST</v>
      </c>
      <c r="B5006" s="115" t="str">
        <f>IFERROR(__xludf.DUMMYFUNCTION("""COMPUTED_VALUE"""),"Ashvani Bhatt")</f>
        <v>Ashvani Bhatt</v>
      </c>
      <c r="C5006" s="115" t="str">
        <f>IFERROR(__xludf.DUMMYFUNCTION("""COMPUTED_VALUE"""),"FLIPKART")</f>
        <v>FLIPKART</v>
      </c>
      <c r="D5006" s="115">
        <f>IFERROR(__xludf.DUMMYFUNCTION("""COMPUTED_VALUE"""),25403.0)</f>
        <v>25403</v>
      </c>
      <c r="E5006" s="115">
        <f>IFERROR(__xludf.DUMMYFUNCTION("""COMPUTED_VALUE"""),1952.0)</f>
        <v>1952</v>
      </c>
      <c r="F5006" s="115">
        <f>IFERROR(__xludf.DUMMYFUNCTION("""COMPUTED_VALUE"""),322.0)</f>
        <v>322</v>
      </c>
      <c r="G5006" s="115">
        <f>IFERROR(__xludf.DUMMYFUNCTION("""COMPUTED_VALUE"""),11.0)</f>
        <v>11</v>
      </c>
      <c r="H5006" s="116">
        <f>IFERROR(__xludf.DUMMYFUNCTION("""COMPUTED_VALUE"""),45910.0)</f>
        <v>45910</v>
      </c>
      <c r="I5006" s="115" t="str">
        <f>IFERROR(__xludf.DUMMYFUNCTION("""COMPUTED_VALUE"""),"08")</f>
        <v>08</v>
      </c>
      <c r="J5006" s="115" t="str">
        <f>IFERROR(__xludf.DUMMYFUNCTION("""COMPUTED_VALUE"""),"Ashvani Bhatt2025-09-1008")</f>
        <v>Ashvani Bhatt2025-09-1008</v>
      </c>
      <c r="K5006" s="115">
        <f>IFERROR(__xludf.DUMMYFUNCTION("""COMPUTED_VALUE"""),27355.0)</f>
        <v>27355</v>
      </c>
    </row>
    <row r="5007">
      <c r="A5007" s="115" t="str">
        <f>IFERROR(__xludf.DUMMYFUNCTION("""COMPUTED_VALUE"""),"WEST")</f>
        <v>WEST</v>
      </c>
      <c r="B5007" s="115" t="str">
        <f>IFERROR(__xludf.DUMMYFUNCTION("""COMPUTED_VALUE"""),"Ashvani Bhatt")</f>
        <v>Ashvani Bhatt</v>
      </c>
      <c r="C5007" s="115" t="str">
        <f>IFERROR(__xludf.DUMMYFUNCTION("""COMPUTED_VALUE"""),"MYNTRA")</f>
        <v>MYNTRA</v>
      </c>
      <c r="D5007" s="115">
        <f>IFERROR(__xludf.DUMMYFUNCTION("""COMPUTED_VALUE"""),4067.0)</f>
        <v>4067</v>
      </c>
      <c r="E5007" s="115">
        <f>IFERROR(__xludf.DUMMYFUNCTION("""COMPUTED_VALUE"""),760.0)</f>
        <v>760</v>
      </c>
      <c r="F5007" s="115">
        <f>IFERROR(__xludf.DUMMYFUNCTION("""COMPUTED_VALUE"""),42.0)</f>
        <v>42</v>
      </c>
      <c r="G5007" s="115">
        <f>IFERROR(__xludf.DUMMYFUNCTION("""COMPUTED_VALUE"""),4.0)</f>
        <v>4</v>
      </c>
      <c r="H5007" s="116">
        <f>IFERROR(__xludf.DUMMYFUNCTION("""COMPUTED_VALUE"""),45910.0)</f>
        <v>45910</v>
      </c>
      <c r="I5007" s="115" t="str">
        <f>IFERROR(__xludf.DUMMYFUNCTION("""COMPUTED_VALUE"""),"08")</f>
        <v>08</v>
      </c>
      <c r="J5007" s="115" t="str">
        <f>IFERROR(__xludf.DUMMYFUNCTION("""COMPUTED_VALUE"""),"Ashvani Bhatt2025-09-1008")</f>
        <v>Ashvani Bhatt2025-09-1008</v>
      </c>
      <c r="K5007" s="115">
        <f>IFERROR(__xludf.DUMMYFUNCTION("""COMPUTED_VALUE"""),4827.0)</f>
        <v>4827</v>
      </c>
    </row>
    <row r="5008">
      <c r="A5008" s="115"/>
      <c r="B5008" s="115"/>
      <c r="C5008" s="115" t="str">
        <f>IFERROR(__xludf.DUMMYFUNCTION("""COMPUTED_VALUE"""),"EXTERNAL")</f>
        <v>EXTERNAL</v>
      </c>
      <c r="D5008" s="115">
        <f>IFERROR(__xludf.DUMMYFUNCTION("""COMPUTED_VALUE"""),28.0)</f>
        <v>28</v>
      </c>
      <c r="E5008" s="115">
        <f>IFERROR(__xludf.DUMMYFUNCTION("""COMPUTED_VALUE"""),49.0)</f>
        <v>49</v>
      </c>
      <c r="F5008" s="115">
        <f>IFERROR(__xludf.DUMMYFUNCTION("""COMPUTED_VALUE"""),0.0)</f>
        <v>0</v>
      </c>
      <c r="G5008" s="115">
        <f>IFERROR(__xludf.DUMMYFUNCTION("""COMPUTED_VALUE"""),0.0)</f>
        <v>0</v>
      </c>
      <c r="H5008" s="116">
        <f>IFERROR(__xludf.DUMMYFUNCTION("""COMPUTED_VALUE"""),45910.0)</f>
        <v>45910</v>
      </c>
      <c r="I5008" s="115" t="str">
        <f>IFERROR(__xludf.DUMMYFUNCTION("""COMPUTED_VALUE"""),"08")</f>
        <v>08</v>
      </c>
      <c r="J5008" s="115" t="str">
        <f>IFERROR(__xludf.DUMMYFUNCTION("""COMPUTED_VALUE"""),"2025-09-1008")</f>
        <v>2025-09-1008</v>
      </c>
      <c r="K5008" s="115">
        <f>IFERROR(__xludf.DUMMYFUNCTION("""COMPUTED_VALUE"""),77.0)</f>
        <v>77</v>
      </c>
    </row>
    <row r="5009">
      <c r="A5009" s="115"/>
      <c r="B5009" s="115"/>
      <c r="C5009" s="115" t="str">
        <f>IFERROR(__xludf.DUMMYFUNCTION("""COMPUTED_VALUE"""),"FLIPKART")</f>
        <v>FLIPKART</v>
      </c>
      <c r="D5009" s="115">
        <f>IFERROR(__xludf.DUMMYFUNCTION("""COMPUTED_VALUE"""),414.0)</f>
        <v>414</v>
      </c>
      <c r="E5009" s="115">
        <f>IFERROR(__xludf.DUMMYFUNCTION("""COMPUTED_VALUE"""),142.0)</f>
        <v>142</v>
      </c>
      <c r="F5009" s="115">
        <f>IFERROR(__xludf.DUMMYFUNCTION("""COMPUTED_VALUE"""),0.0)</f>
        <v>0</v>
      </c>
      <c r="G5009" s="115">
        <f>IFERROR(__xludf.DUMMYFUNCTION("""COMPUTED_VALUE"""),4.0)</f>
        <v>4</v>
      </c>
      <c r="H5009" s="116">
        <f>IFERROR(__xludf.DUMMYFUNCTION("""COMPUTED_VALUE"""),45910.0)</f>
        <v>45910</v>
      </c>
      <c r="I5009" s="115" t="str">
        <f>IFERROR(__xludf.DUMMYFUNCTION("""COMPUTED_VALUE"""),"08")</f>
        <v>08</v>
      </c>
      <c r="J5009" s="115" t="str">
        <f>IFERROR(__xludf.DUMMYFUNCTION("""COMPUTED_VALUE"""),"2025-09-1008")</f>
        <v>2025-09-1008</v>
      </c>
      <c r="K5009" s="115">
        <f>IFERROR(__xludf.DUMMYFUNCTION("""COMPUTED_VALUE"""),556.0)</f>
        <v>556</v>
      </c>
    </row>
    <row r="5010">
      <c r="A5010" s="115"/>
      <c r="B5010" s="115"/>
      <c r="C5010" s="115" t="str">
        <f>IFERROR(__xludf.DUMMYFUNCTION("""COMPUTED_VALUE"""),"MYNTRA")</f>
        <v>MYNTRA</v>
      </c>
      <c r="D5010" s="115">
        <f>IFERROR(__xludf.DUMMYFUNCTION("""COMPUTED_VALUE"""),22.0)</f>
        <v>22</v>
      </c>
      <c r="E5010" s="115">
        <f>IFERROR(__xludf.DUMMYFUNCTION("""COMPUTED_VALUE"""),60.0)</f>
        <v>60</v>
      </c>
      <c r="F5010" s="115">
        <f>IFERROR(__xludf.DUMMYFUNCTION("""COMPUTED_VALUE"""),0.0)</f>
        <v>0</v>
      </c>
      <c r="G5010" s="115">
        <f>IFERROR(__xludf.DUMMYFUNCTION("""COMPUTED_VALUE"""),0.0)</f>
        <v>0</v>
      </c>
      <c r="H5010" s="116">
        <f>IFERROR(__xludf.DUMMYFUNCTION("""COMPUTED_VALUE"""),45910.0)</f>
        <v>45910</v>
      </c>
      <c r="I5010" s="115" t="str">
        <f>IFERROR(__xludf.DUMMYFUNCTION("""COMPUTED_VALUE"""),"08")</f>
        <v>08</v>
      </c>
      <c r="J5010" s="115" t="str">
        <f>IFERROR(__xludf.DUMMYFUNCTION("""COMPUTED_VALUE"""),"2025-09-1008")</f>
        <v>2025-09-1008</v>
      </c>
      <c r="K5010" s="115">
        <f>IFERROR(__xludf.DUMMYFUNCTION("""COMPUTED_VALUE"""),82.0)</f>
        <v>82</v>
      </c>
    </row>
    <row r="5011">
      <c r="A5011" s="115" t="str">
        <f>IFERROR(__xludf.DUMMYFUNCTION("""COMPUTED_VALUE"""),"EAST")</f>
        <v>EAST</v>
      </c>
      <c r="B5011" s="115" t="str">
        <f>IFERROR(__xludf.DUMMYFUNCTION("""COMPUTED_VALUE"""),"Ashish Ranjan")</f>
        <v>Ashish Ranjan</v>
      </c>
      <c r="C5011" s="115" t="str">
        <f>IFERROR(__xludf.DUMMYFUNCTION("""COMPUTED_VALUE"""),"EXTERNAL")</f>
        <v>EXTERNAL</v>
      </c>
      <c r="D5011" s="115">
        <f>IFERROR(__xludf.DUMMYFUNCTION("""COMPUTED_VALUE"""),13117.0)</f>
        <v>13117</v>
      </c>
      <c r="E5011" s="115">
        <f>IFERROR(__xludf.DUMMYFUNCTION("""COMPUTED_VALUE"""),1008.0)</f>
        <v>1008</v>
      </c>
      <c r="F5011" s="115">
        <f>IFERROR(__xludf.DUMMYFUNCTION("""COMPUTED_VALUE"""),344.0)</f>
        <v>344</v>
      </c>
      <c r="G5011" s="115">
        <f>IFERROR(__xludf.DUMMYFUNCTION("""COMPUTED_VALUE"""),6.0)</f>
        <v>6</v>
      </c>
      <c r="H5011" s="116">
        <f>IFERROR(__xludf.DUMMYFUNCTION("""COMPUTED_VALUE"""),45910.0)</f>
        <v>45910</v>
      </c>
      <c r="I5011" s="115" t="str">
        <f>IFERROR(__xludf.DUMMYFUNCTION("""COMPUTED_VALUE"""),"09")</f>
        <v>09</v>
      </c>
      <c r="J5011" s="115" t="str">
        <f>IFERROR(__xludf.DUMMYFUNCTION("""COMPUTED_VALUE"""),"Ashish Ranjan2025-09-1009")</f>
        <v>Ashish Ranjan2025-09-1009</v>
      </c>
      <c r="K5011" s="115">
        <f>IFERROR(__xludf.DUMMYFUNCTION("""COMPUTED_VALUE"""),14125.0)</f>
        <v>14125</v>
      </c>
    </row>
    <row r="5012">
      <c r="A5012" s="115" t="str">
        <f>IFERROR(__xludf.DUMMYFUNCTION("""COMPUTED_VALUE"""),"EAST")</f>
        <v>EAST</v>
      </c>
      <c r="B5012" s="115" t="str">
        <f>IFERROR(__xludf.DUMMYFUNCTION("""COMPUTED_VALUE"""),"Ashish Ranjan")</f>
        <v>Ashish Ranjan</v>
      </c>
      <c r="C5012" s="115" t="str">
        <f>IFERROR(__xludf.DUMMYFUNCTION("""COMPUTED_VALUE"""),"FLIPKART")</f>
        <v>FLIPKART</v>
      </c>
      <c r="D5012" s="115">
        <f>IFERROR(__xludf.DUMMYFUNCTION("""COMPUTED_VALUE"""),246291.0)</f>
        <v>246291</v>
      </c>
      <c r="E5012" s="115">
        <f>IFERROR(__xludf.DUMMYFUNCTION("""COMPUTED_VALUE"""),20737.0)</f>
        <v>20737</v>
      </c>
      <c r="F5012" s="115">
        <f>IFERROR(__xludf.DUMMYFUNCTION("""COMPUTED_VALUE"""),10043.0)</f>
        <v>10043</v>
      </c>
      <c r="G5012" s="115">
        <f>IFERROR(__xludf.DUMMYFUNCTION("""COMPUTED_VALUE"""),332.0)</f>
        <v>332</v>
      </c>
      <c r="H5012" s="116">
        <f>IFERROR(__xludf.DUMMYFUNCTION("""COMPUTED_VALUE"""),45910.0)</f>
        <v>45910</v>
      </c>
      <c r="I5012" s="115" t="str">
        <f>IFERROR(__xludf.DUMMYFUNCTION("""COMPUTED_VALUE"""),"09")</f>
        <v>09</v>
      </c>
      <c r="J5012" s="115" t="str">
        <f>IFERROR(__xludf.DUMMYFUNCTION("""COMPUTED_VALUE"""),"Ashish Ranjan2025-09-1009")</f>
        <v>Ashish Ranjan2025-09-1009</v>
      </c>
      <c r="K5012" s="115">
        <f>IFERROR(__xludf.DUMMYFUNCTION("""COMPUTED_VALUE"""),267028.0)</f>
        <v>267028</v>
      </c>
    </row>
    <row r="5013">
      <c r="A5013" s="115" t="str">
        <f>IFERROR(__xludf.DUMMYFUNCTION("""COMPUTED_VALUE"""),"EAST")</f>
        <v>EAST</v>
      </c>
      <c r="B5013" s="115" t="str">
        <f>IFERROR(__xludf.DUMMYFUNCTION("""COMPUTED_VALUE"""),"Ashish Ranjan")</f>
        <v>Ashish Ranjan</v>
      </c>
      <c r="C5013" s="115" t="str">
        <f>IFERROR(__xludf.DUMMYFUNCTION("""COMPUTED_VALUE"""),"MYNTRA")</f>
        <v>MYNTRA</v>
      </c>
      <c r="D5013" s="115">
        <f>IFERROR(__xludf.DUMMYFUNCTION("""COMPUTED_VALUE"""),25924.0)</f>
        <v>25924</v>
      </c>
      <c r="E5013" s="115">
        <f>IFERROR(__xludf.DUMMYFUNCTION("""COMPUTED_VALUE"""),5282.0)</f>
        <v>5282</v>
      </c>
      <c r="F5013" s="115">
        <f>IFERROR(__xludf.DUMMYFUNCTION("""COMPUTED_VALUE"""),983.0)</f>
        <v>983</v>
      </c>
      <c r="G5013" s="115">
        <f>IFERROR(__xludf.DUMMYFUNCTION("""COMPUTED_VALUE"""),78.0)</f>
        <v>78</v>
      </c>
      <c r="H5013" s="116">
        <f>IFERROR(__xludf.DUMMYFUNCTION("""COMPUTED_VALUE"""),45910.0)</f>
        <v>45910</v>
      </c>
      <c r="I5013" s="115" t="str">
        <f>IFERROR(__xludf.DUMMYFUNCTION("""COMPUTED_VALUE"""),"09")</f>
        <v>09</v>
      </c>
      <c r="J5013" s="115" t="str">
        <f>IFERROR(__xludf.DUMMYFUNCTION("""COMPUTED_VALUE"""),"Ashish Ranjan2025-09-1009")</f>
        <v>Ashish Ranjan2025-09-1009</v>
      </c>
      <c r="K5013" s="115">
        <f>IFERROR(__xludf.DUMMYFUNCTION("""COMPUTED_VALUE"""),31206.0)</f>
        <v>31206</v>
      </c>
    </row>
    <row r="5014">
      <c r="A5014" s="115" t="str">
        <f>IFERROR(__xludf.DUMMYFUNCTION("""COMPUTED_VALUE"""),"EAST")</f>
        <v>EAST</v>
      </c>
      <c r="B5014" s="115" t="str">
        <f>IFERROR(__xludf.DUMMYFUNCTION("""COMPUTED_VALUE"""),"Girish Chand")</f>
        <v>Girish Chand</v>
      </c>
      <c r="C5014" s="115" t="str">
        <f>IFERROR(__xludf.DUMMYFUNCTION("""COMPUTED_VALUE"""),"EXTERNAL")</f>
        <v>EXTERNAL</v>
      </c>
      <c r="D5014" s="115">
        <f>IFERROR(__xludf.DUMMYFUNCTION("""COMPUTED_VALUE"""),7702.0)</f>
        <v>7702</v>
      </c>
      <c r="E5014" s="115">
        <f>IFERROR(__xludf.DUMMYFUNCTION("""COMPUTED_VALUE"""),417.0)</f>
        <v>417</v>
      </c>
      <c r="F5014" s="115">
        <f>IFERROR(__xludf.DUMMYFUNCTION("""COMPUTED_VALUE"""),98.0)</f>
        <v>98</v>
      </c>
      <c r="G5014" s="115">
        <f>IFERROR(__xludf.DUMMYFUNCTION("""COMPUTED_VALUE"""),5.0)</f>
        <v>5</v>
      </c>
      <c r="H5014" s="116">
        <f>IFERROR(__xludf.DUMMYFUNCTION("""COMPUTED_VALUE"""),45910.0)</f>
        <v>45910</v>
      </c>
      <c r="I5014" s="115" t="str">
        <f>IFERROR(__xludf.DUMMYFUNCTION("""COMPUTED_VALUE"""),"09")</f>
        <v>09</v>
      </c>
      <c r="J5014" s="115" t="str">
        <f>IFERROR(__xludf.DUMMYFUNCTION("""COMPUTED_VALUE"""),"Girish Chand2025-09-1009")</f>
        <v>Girish Chand2025-09-1009</v>
      </c>
      <c r="K5014" s="115">
        <f>IFERROR(__xludf.DUMMYFUNCTION("""COMPUTED_VALUE"""),8119.0)</f>
        <v>8119</v>
      </c>
    </row>
    <row r="5015">
      <c r="A5015" s="115" t="str">
        <f>IFERROR(__xludf.DUMMYFUNCTION("""COMPUTED_VALUE"""),"EAST")</f>
        <v>EAST</v>
      </c>
      <c r="B5015" s="115" t="str">
        <f>IFERROR(__xludf.DUMMYFUNCTION("""COMPUTED_VALUE"""),"Girish Chand")</f>
        <v>Girish Chand</v>
      </c>
      <c r="C5015" s="115" t="str">
        <f>IFERROR(__xludf.DUMMYFUNCTION("""COMPUTED_VALUE"""),"FLIPKART")</f>
        <v>FLIPKART</v>
      </c>
      <c r="D5015" s="115">
        <f>IFERROR(__xludf.DUMMYFUNCTION("""COMPUTED_VALUE"""),145417.0)</f>
        <v>145417</v>
      </c>
      <c r="E5015" s="115">
        <f>IFERROR(__xludf.DUMMYFUNCTION("""COMPUTED_VALUE"""),9145.0)</f>
        <v>9145</v>
      </c>
      <c r="F5015" s="115">
        <f>IFERROR(__xludf.DUMMYFUNCTION("""COMPUTED_VALUE"""),3391.0)</f>
        <v>3391</v>
      </c>
      <c r="G5015" s="115">
        <f>IFERROR(__xludf.DUMMYFUNCTION("""COMPUTED_VALUE"""),245.0)</f>
        <v>245</v>
      </c>
      <c r="H5015" s="116">
        <f>IFERROR(__xludf.DUMMYFUNCTION("""COMPUTED_VALUE"""),45910.0)</f>
        <v>45910</v>
      </c>
      <c r="I5015" s="115" t="str">
        <f>IFERROR(__xludf.DUMMYFUNCTION("""COMPUTED_VALUE"""),"09")</f>
        <v>09</v>
      </c>
      <c r="J5015" s="115" t="str">
        <f>IFERROR(__xludf.DUMMYFUNCTION("""COMPUTED_VALUE"""),"Girish Chand2025-09-1009")</f>
        <v>Girish Chand2025-09-1009</v>
      </c>
      <c r="K5015" s="115">
        <f>IFERROR(__xludf.DUMMYFUNCTION("""COMPUTED_VALUE"""),154562.0)</f>
        <v>154562</v>
      </c>
    </row>
    <row r="5016">
      <c r="A5016" s="115" t="str">
        <f>IFERROR(__xludf.DUMMYFUNCTION("""COMPUTED_VALUE"""),"EAST")</f>
        <v>EAST</v>
      </c>
      <c r="B5016" s="115" t="str">
        <f>IFERROR(__xludf.DUMMYFUNCTION("""COMPUTED_VALUE"""),"Girish Chand")</f>
        <v>Girish Chand</v>
      </c>
      <c r="C5016" s="115" t="str">
        <f>IFERROR(__xludf.DUMMYFUNCTION("""COMPUTED_VALUE"""),"MYNTRA")</f>
        <v>MYNTRA</v>
      </c>
      <c r="D5016" s="115">
        <f>IFERROR(__xludf.DUMMYFUNCTION("""COMPUTED_VALUE"""),12616.0)</f>
        <v>12616</v>
      </c>
      <c r="E5016" s="115">
        <f>IFERROR(__xludf.DUMMYFUNCTION("""COMPUTED_VALUE"""),2031.0)</f>
        <v>2031</v>
      </c>
      <c r="F5016" s="115">
        <f>IFERROR(__xludf.DUMMYFUNCTION("""COMPUTED_VALUE"""),379.0)</f>
        <v>379</v>
      </c>
      <c r="G5016" s="115">
        <f>IFERROR(__xludf.DUMMYFUNCTION("""COMPUTED_VALUE"""),31.0)</f>
        <v>31</v>
      </c>
      <c r="H5016" s="116">
        <f>IFERROR(__xludf.DUMMYFUNCTION("""COMPUTED_VALUE"""),45910.0)</f>
        <v>45910</v>
      </c>
      <c r="I5016" s="115" t="str">
        <f>IFERROR(__xludf.DUMMYFUNCTION("""COMPUTED_VALUE"""),"09")</f>
        <v>09</v>
      </c>
      <c r="J5016" s="115" t="str">
        <f>IFERROR(__xludf.DUMMYFUNCTION("""COMPUTED_VALUE"""),"Girish Chand2025-09-1009")</f>
        <v>Girish Chand2025-09-1009</v>
      </c>
      <c r="K5016" s="115">
        <f>IFERROR(__xludf.DUMMYFUNCTION("""COMPUTED_VALUE"""),14647.0)</f>
        <v>14647</v>
      </c>
    </row>
    <row r="5017">
      <c r="A5017" s="115" t="str">
        <f>IFERROR(__xludf.DUMMYFUNCTION("""COMPUTED_VALUE"""),"EAST")</f>
        <v>EAST</v>
      </c>
      <c r="B5017" s="115" t="str">
        <f>IFERROR(__xludf.DUMMYFUNCTION("""COMPUTED_VALUE"""),"Parag Kashyap")</f>
        <v>Parag Kashyap</v>
      </c>
      <c r="C5017" s="115" t="str">
        <f>IFERROR(__xludf.DUMMYFUNCTION("""COMPUTED_VALUE"""),"EXTERNAL")</f>
        <v>EXTERNAL</v>
      </c>
      <c r="D5017" s="115">
        <f>IFERROR(__xludf.DUMMYFUNCTION("""COMPUTED_VALUE"""),4782.0)</f>
        <v>4782</v>
      </c>
      <c r="E5017" s="115">
        <f>IFERROR(__xludf.DUMMYFUNCTION("""COMPUTED_VALUE"""),204.0)</f>
        <v>204</v>
      </c>
      <c r="F5017" s="115">
        <f>IFERROR(__xludf.DUMMYFUNCTION("""COMPUTED_VALUE"""),42.0)</f>
        <v>42</v>
      </c>
      <c r="G5017" s="115">
        <f>IFERROR(__xludf.DUMMYFUNCTION("""COMPUTED_VALUE"""),1.0)</f>
        <v>1</v>
      </c>
      <c r="H5017" s="116">
        <f>IFERROR(__xludf.DUMMYFUNCTION("""COMPUTED_VALUE"""),45910.0)</f>
        <v>45910</v>
      </c>
      <c r="I5017" s="115" t="str">
        <f>IFERROR(__xludf.DUMMYFUNCTION("""COMPUTED_VALUE"""),"09")</f>
        <v>09</v>
      </c>
      <c r="J5017" s="115" t="str">
        <f>IFERROR(__xludf.DUMMYFUNCTION("""COMPUTED_VALUE"""),"Parag Kashyap2025-09-1009")</f>
        <v>Parag Kashyap2025-09-1009</v>
      </c>
      <c r="K5017" s="115">
        <f>IFERROR(__xludf.DUMMYFUNCTION("""COMPUTED_VALUE"""),4986.0)</f>
        <v>4986</v>
      </c>
    </row>
    <row r="5018">
      <c r="A5018" s="115" t="str">
        <f>IFERROR(__xludf.DUMMYFUNCTION("""COMPUTED_VALUE"""),"EAST")</f>
        <v>EAST</v>
      </c>
      <c r="B5018" s="115" t="str">
        <f>IFERROR(__xludf.DUMMYFUNCTION("""COMPUTED_VALUE"""),"Parag Kashyap")</f>
        <v>Parag Kashyap</v>
      </c>
      <c r="C5018" s="115" t="str">
        <f>IFERROR(__xludf.DUMMYFUNCTION("""COMPUTED_VALUE"""),"FLIPKART")</f>
        <v>FLIPKART</v>
      </c>
      <c r="D5018" s="115">
        <f>IFERROR(__xludf.DUMMYFUNCTION("""COMPUTED_VALUE"""),92667.0)</f>
        <v>92667</v>
      </c>
      <c r="E5018" s="115">
        <f>IFERROR(__xludf.DUMMYFUNCTION("""COMPUTED_VALUE"""),3865.0)</f>
        <v>3865</v>
      </c>
      <c r="F5018" s="115">
        <f>IFERROR(__xludf.DUMMYFUNCTION("""COMPUTED_VALUE"""),1472.0)</f>
        <v>1472</v>
      </c>
      <c r="G5018" s="115">
        <f>IFERROR(__xludf.DUMMYFUNCTION("""COMPUTED_VALUE"""),87.0)</f>
        <v>87</v>
      </c>
      <c r="H5018" s="116">
        <f>IFERROR(__xludf.DUMMYFUNCTION("""COMPUTED_VALUE"""),45910.0)</f>
        <v>45910</v>
      </c>
      <c r="I5018" s="115" t="str">
        <f>IFERROR(__xludf.DUMMYFUNCTION("""COMPUTED_VALUE"""),"09")</f>
        <v>09</v>
      </c>
      <c r="J5018" s="115" t="str">
        <f>IFERROR(__xludf.DUMMYFUNCTION("""COMPUTED_VALUE"""),"Parag Kashyap2025-09-1009")</f>
        <v>Parag Kashyap2025-09-1009</v>
      </c>
      <c r="K5018" s="115">
        <f>IFERROR(__xludf.DUMMYFUNCTION("""COMPUTED_VALUE"""),96532.0)</f>
        <v>96532</v>
      </c>
    </row>
    <row r="5019">
      <c r="A5019" s="115" t="str">
        <f>IFERROR(__xludf.DUMMYFUNCTION("""COMPUTED_VALUE"""),"EAST")</f>
        <v>EAST</v>
      </c>
      <c r="B5019" s="115" t="str">
        <f>IFERROR(__xludf.DUMMYFUNCTION("""COMPUTED_VALUE"""),"Parag Kashyap")</f>
        <v>Parag Kashyap</v>
      </c>
      <c r="C5019" s="115" t="str">
        <f>IFERROR(__xludf.DUMMYFUNCTION("""COMPUTED_VALUE"""),"MYNTRA")</f>
        <v>MYNTRA</v>
      </c>
      <c r="D5019" s="115">
        <f>IFERROR(__xludf.DUMMYFUNCTION("""COMPUTED_VALUE"""),12365.0)</f>
        <v>12365</v>
      </c>
      <c r="E5019" s="115">
        <f>IFERROR(__xludf.DUMMYFUNCTION("""COMPUTED_VALUE"""),1306.0)</f>
        <v>1306</v>
      </c>
      <c r="F5019" s="115">
        <f>IFERROR(__xludf.DUMMYFUNCTION("""COMPUTED_VALUE"""),252.0)</f>
        <v>252</v>
      </c>
      <c r="G5019" s="115">
        <f>IFERROR(__xludf.DUMMYFUNCTION("""COMPUTED_VALUE"""),9.0)</f>
        <v>9</v>
      </c>
      <c r="H5019" s="116">
        <f>IFERROR(__xludf.DUMMYFUNCTION("""COMPUTED_VALUE"""),45910.0)</f>
        <v>45910</v>
      </c>
      <c r="I5019" s="115" t="str">
        <f>IFERROR(__xludf.DUMMYFUNCTION("""COMPUTED_VALUE"""),"09")</f>
        <v>09</v>
      </c>
      <c r="J5019" s="115" t="str">
        <f>IFERROR(__xludf.DUMMYFUNCTION("""COMPUTED_VALUE"""),"Parag Kashyap2025-09-1009")</f>
        <v>Parag Kashyap2025-09-1009</v>
      </c>
      <c r="K5019" s="115">
        <f>IFERROR(__xludf.DUMMYFUNCTION("""COMPUTED_VALUE"""),13671.0)</f>
        <v>13671</v>
      </c>
    </row>
    <row r="5020">
      <c r="A5020" s="115" t="str">
        <f>IFERROR(__xludf.DUMMYFUNCTION("""COMPUTED_VALUE"""),"NORTH")</f>
        <v>NORTH</v>
      </c>
      <c r="B5020" s="115" t="str">
        <f>IFERROR(__xludf.DUMMYFUNCTION("""COMPUTED_VALUE"""),"Amit Kumar Pathak")</f>
        <v>Amit Kumar Pathak</v>
      </c>
      <c r="C5020" s="115" t="str">
        <f>IFERROR(__xludf.DUMMYFUNCTION("""COMPUTED_VALUE"""),"EXTERNAL")</f>
        <v>EXTERNAL</v>
      </c>
      <c r="D5020" s="115">
        <f>IFERROR(__xludf.DUMMYFUNCTION("""COMPUTED_VALUE"""),9576.0)</f>
        <v>9576</v>
      </c>
      <c r="E5020" s="115">
        <f>IFERROR(__xludf.DUMMYFUNCTION("""COMPUTED_VALUE"""),1722.0)</f>
        <v>1722</v>
      </c>
      <c r="F5020" s="115">
        <f>IFERROR(__xludf.DUMMYFUNCTION("""COMPUTED_VALUE"""),148.0)</f>
        <v>148</v>
      </c>
      <c r="G5020" s="115">
        <f>IFERROR(__xludf.DUMMYFUNCTION("""COMPUTED_VALUE"""),27.0)</f>
        <v>27</v>
      </c>
      <c r="H5020" s="116">
        <f>IFERROR(__xludf.DUMMYFUNCTION("""COMPUTED_VALUE"""),45910.0)</f>
        <v>45910</v>
      </c>
      <c r="I5020" s="115" t="str">
        <f>IFERROR(__xludf.DUMMYFUNCTION("""COMPUTED_VALUE"""),"09")</f>
        <v>09</v>
      </c>
      <c r="J5020" s="115" t="str">
        <f>IFERROR(__xludf.DUMMYFUNCTION("""COMPUTED_VALUE"""),"Amit Kumar Pathak2025-09-1009")</f>
        <v>Amit Kumar Pathak2025-09-1009</v>
      </c>
      <c r="K5020" s="115">
        <f>IFERROR(__xludf.DUMMYFUNCTION("""COMPUTED_VALUE"""),11298.0)</f>
        <v>11298</v>
      </c>
    </row>
    <row r="5021">
      <c r="A5021" s="115" t="str">
        <f>IFERROR(__xludf.DUMMYFUNCTION("""COMPUTED_VALUE"""),"NORTH")</f>
        <v>NORTH</v>
      </c>
      <c r="B5021" s="115" t="str">
        <f>IFERROR(__xludf.DUMMYFUNCTION("""COMPUTED_VALUE"""),"Amit Kumar Pathak")</f>
        <v>Amit Kumar Pathak</v>
      </c>
      <c r="C5021" s="115" t="str">
        <f>IFERROR(__xludf.DUMMYFUNCTION("""COMPUTED_VALUE"""),"FLIPKART")</f>
        <v>FLIPKART</v>
      </c>
      <c r="D5021" s="115">
        <f>IFERROR(__xludf.DUMMYFUNCTION("""COMPUTED_VALUE"""),83190.0)</f>
        <v>83190</v>
      </c>
      <c r="E5021" s="115">
        <f>IFERROR(__xludf.DUMMYFUNCTION("""COMPUTED_VALUE"""),10239.0)</f>
        <v>10239</v>
      </c>
      <c r="F5021" s="115">
        <f>IFERROR(__xludf.DUMMYFUNCTION("""COMPUTED_VALUE"""),2489.0)</f>
        <v>2489</v>
      </c>
      <c r="G5021" s="115">
        <f>IFERROR(__xludf.DUMMYFUNCTION("""COMPUTED_VALUE"""),133.0)</f>
        <v>133</v>
      </c>
      <c r="H5021" s="116">
        <f>IFERROR(__xludf.DUMMYFUNCTION("""COMPUTED_VALUE"""),45910.0)</f>
        <v>45910</v>
      </c>
      <c r="I5021" s="115" t="str">
        <f>IFERROR(__xludf.DUMMYFUNCTION("""COMPUTED_VALUE"""),"09")</f>
        <v>09</v>
      </c>
      <c r="J5021" s="115" t="str">
        <f>IFERROR(__xludf.DUMMYFUNCTION("""COMPUTED_VALUE"""),"Amit Kumar Pathak2025-09-1009")</f>
        <v>Amit Kumar Pathak2025-09-1009</v>
      </c>
      <c r="K5021" s="115">
        <f>IFERROR(__xludf.DUMMYFUNCTION("""COMPUTED_VALUE"""),93429.0)</f>
        <v>93429</v>
      </c>
    </row>
    <row r="5022">
      <c r="A5022" s="115" t="str">
        <f>IFERROR(__xludf.DUMMYFUNCTION("""COMPUTED_VALUE"""),"NORTH")</f>
        <v>NORTH</v>
      </c>
      <c r="B5022" s="115" t="str">
        <f>IFERROR(__xludf.DUMMYFUNCTION("""COMPUTED_VALUE"""),"Amit Kumar Pathak")</f>
        <v>Amit Kumar Pathak</v>
      </c>
      <c r="C5022" s="115" t="str">
        <f>IFERROR(__xludf.DUMMYFUNCTION("""COMPUTED_VALUE"""),"MYNTRA")</f>
        <v>MYNTRA</v>
      </c>
      <c r="D5022" s="115">
        <f>IFERROR(__xludf.DUMMYFUNCTION("""COMPUTED_VALUE"""),6958.0)</f>
        <v>6958</v>
      </c>
      <c r="E5022" s="115">
        <f>IFERROR(__xludf.DUMMYFUNCTION("""COMPUTED_VALUE"""),2828.0)</f>
        <v>2828</v>
      </c>
      <c r="F5022" s="115">
        <f>IFERROR(__xludf.DUMMYFUNCTION("""COMPUTED_VALUE"""),251.0)</f>
        <v>251</v>
      </c>
      <c r="G5022" s="115">
        <f>IFERROR(__xludf.DUMMYFUNCTION("""COMPUTED_VALUE"""),50.0)</f>
        <v>50</v>
      </c>
      <c r="H5022" s="116">
        <f>IFERROR(__xludf.DUMMYFUNCTION("""COMPUTED_VALUE"""),45910.0)</f>
        <v>45910</v>
      </c>
      <c r="I5022" s="115" t="str">
        <f>IFERROR(__xludf.DUMMYFUNCTION("""COMPUTED_VALUE"""),"09")</f>
        <v>09</v>
      </c>
      <c r="J5022" s="115" t="str">
        <f>IFERROR(__xludf.DUMMYFUNCTION("""COMPUTED_VALUE"""),"Amit Kumar Pathak2025-09-1009")</f>
        <v>Amit Kumar Pathak2025-09-1009</v>
      </c>
      <c r="K5022" s="115">
        <f>IFERROR(__xludf.DUMMYFUNCTION("""COMPUTED_VALUE"""),9786.0)</f>
        <v>9786</v>
      </c>
    </row>
    <row r="5023">
      <c r="A5023" s="115" t="str">
        <f>IFERROR(__xludf.DUMMYFUNCTION("""COMPUTED_VALUE"""),"NORTH")</f>
        <v>NORTH</v>
      </c>
      <c r="B5023" s="115" t="str">
        <f>IFERROR(__xludf.DUMMYFUNCTION("""COMPUTED_VALUE"""),"Loveleen Singh")</f>
        <v>Loveleen Singh</v>
      </c>
      <c r="C5023" s="115" t="str">
        <f>IFERROR(__xludf.DUMMYFUNCTION("""COMPUTED_VALUE"""),"EXTERNAL")</f>
        <v>EXTERNAL</v>
      </c>
      <c r="D5023" s="115">
        <f>IFERROR(__xludf.DUMMYFUNCTION("""COMPUTED_VALUE"""),7154.0)</f>
        <v>7154</v>
      </c>
      <c r="E5023" s="115">
        <f>IFERROR(__xludf.DUMMYFUNCTION("""COMPUTED_VALUE"""),387.0)</f>
        <v>387</v>
      </c>
      <c r="F5023" s="115">
        <f>IFERROR(__xludf.DUMMYFUNCTION("""COMPUTED_VALUE"""),128.0)</f>
        <v>128</v>
      </c>
      <c r="G5023" s="115">
        <f>IFERROR(__xludf.DUMMYFUNCTION("""COMPUTED_VALUE"""),4.0)</f>
        <v>4</v>
      </c>
      <c r="H5023" s="116">
        <f>IFERROR(__xludf.DUMMYFUNCTION("""COMPUTED_VALUE"""),45910.0)</f>
        <v>45910</v>
      </c>
      <c r="I5023" s="115" t="str">
        <f>IFERROR(__xludf.DUMMYFUNCTION("""COMPUTED_VALUE"""),"09")</f>
        <v>09</v>
      </c>
      <c r="J5023" s="115" t="str">
        <f>IFERROR(__xludf.DUMMYFUNCTION("""COMPUTED_VALUE"""),"Loveleen Singh2025-09-1009")</f>
        <v>Loveleen Singh2025-09-1009</v>
      </c>
      <c r="K5023" s="115">
        <f>IFERROR(__xludf.DUMMYFUNCTION("""COMPUTED_VALUE"""),7541.0)</f>
        <v>7541</v>
      </c>
    </row>
    <row r="5024">
      <c r="A5024" s="115" t="str">
        <f>IFERROR(__xludf.DUMMYFUNCTION("""COMPUTED_VALUE"""),"NORTH")</f>
        <v>NORTH</v>
      </c>
      <c r="B5024" s="115" t="str">
        <f>IFERROR(__xludf.DUMMYFUNCTION("""COMPUTED_VALUE"""),"Loveleen Singh")</f>
        <v>Loveleen Singh</v>
      </c>
      <c r="C5024" s="115" t="str">
        <f>IFERROR(__xludf.DUMMYFUNCTION("""COMPUTED_VALUE"""),"FLIPKART")</f>
        <v>FLIPKART</v>
      </c>
      <c r="D5024" s="115">
        <f>IFERROR(__xludf.DUMMYFUNCTION("""COMPUTED_VALUE"""),44172.0)</f>
        <v>44172</v>
      </c>
      <c r="E5024" s="115">
        <f>IFERROR(__xludf.DUMMYFUNCTION("""COMPUTED_VALUE"""),2801.0)</f>
        <v>2801</v>
      </c>
      <c r="F5024" s="115">
        <f>IFERROR(__xludf.DUMMYFUNCTION("""COMPUTED_VALUE"""),1882.0)</f>
        <v>1882</v>
      </c>
      <c r="G5024" s="115">
        <f>IFERROR(__xludf.DUMMYFUNCTION("""COMPUTED_VALUE"""),74.0)</f>
        <v>74</v>
      </c>
      <c r="H5024" s="116">
        <f>IFERROR(__xludf.DUMMYFUNCTION("""COMPUTED_VALUE"""),45910.0)</f>
        <v>45910</v>
      </c>
      <c r="I5024" s="115" t="str">
        <f>IFERROR(__xludf.DUMMYFUNCTION("""COMPUTED_VALUE"""),"09")</f>
        <v>09</v>
      </c>
      <c r="J5024" s="115" t="str">
        <f>IFERROR(__xludf.DUMMYFUNCTION("""COMPUTED_VALUE"""),"Loveleen Singh2025-09-1009")</f>
        <v>Loveleen Singh2025-09-1009</v>
      </c>
      <c r="K5024" s="115">
        <f>IFERROR(__xludf.DUMMYFUNCTION("""COMPUTED_VALUE"""),46973.0)</f>
        <v>46973</v>
      </c>
    </row>
    <row r="5025">
      <c r="A5025" s="115" t="str">
        <f>IFERROR(__xludf.DUMMYFUNCTION("""COMPUTED_VALUE"""),"NORTH")</f>
        <v>NORTH</v>
      </c>
      <c r="B5025" s="115" t="str">
        <f>IFERROR(__xludf.DUMMYFUNCTION("""COMPUTED_VALUE"""),"Loveleen Singh")</f>
        <v>Loveleen Singh</v>
      </c>
      <c r="C5025" s="115" t="str">
        <f>IFERROR(__xludf.DUMMYFUNCTION("""COMPUTED_VALUE"""),"MYNTRA")</f>
        <v>MYNTRA</v>
      </c>
      <c r="D5025" s="115">
        <f>IFERROR(__xludf.DUMMYFUNCTION("""COMPUTED_VALUE"""),8059.0)</f>
        <v>8059</v>
      </c>
      <c r="E5025" s="115">
        <f>IFERROR(__xludf.DUMMYFUNCTION("""COMPUTED_VALUE"""),1464.0)</f>
        <v>1464</v>
      </c>
      <c r="F5025" s="115">
        <f>IFERROR(__xludf.DUMMYFUNCTION("""COMPUTED_VALUE"""),455.0)</f>
        <v>455</v>
      </c>
      <c r="G5025" s="115">
        <f>IFERROR(__xludf.DUMMYFUNCTION("""COMPUTED_VALUE"""),76.0)</f>
        <v>76</v>
      </c>
      <c r="H5025" s="116">
        <f>IFERROR(__xludf.DUMMYFUNCTION("""COMPUTED_VALUE"""),45910.0)</f>
        <v>45910</v>
      </c>
      <c r="I5025" s="115" t="str">
        <f>IFERROR(__xludf.DUMMYFUNCTION("""COMPUTED_VALUE"""),"09")</f>
        <v>09</v>
      </c>
      <c r="J5025" s="115" t="str">
        <f>IFERROR(__xludf.DUMMYFUNCTION("""COMPUTED_VALUE"""),"Loveleen Singh2025-09-1009")</f>
        <v>Loveleen Singh2025-09-1009</v>
      </c>
      <c r="K5025" s="115">
        <f>IFERROR(__xludf.DUMMYFUNCTION("""COMPUTED_VALUE"""),9523.0)</f>
        <v>9523</v>
      </c>
    </row>
    <row r="5026">
      <c r="A5026" s="115" t="str">
        <f>IFERROR(__xludf.DUMMYFUNCTION("""COMPUTED_VALUE"""),"NORTH")</f>
        <v>NORTH</v>
      </c>
      <c r="B5026" s="115" t="str">
        <f>IFERROR(__xludf.DUMMYFUNCTION("""COMPUTED_VALUE"""),"Manoj Harsh")</f>
        <v>Manoj Harsh</v>
      </c>
      <c r="C5026" s="115" t="str">
        <f>IFERROR(__xludf.DUMMYFUNCTION("""COMPUTED_VALUE"""),"EXTERNAL")</f>
        <v>EXTERNAL</v>
      </c>
      <c r="D5026" s="115">
        <f>IFERROR(__xludf.DUMMYFUNCTION("""COMPUTED_VALUE"""),7994.0)</f>
        <v>7994</v>
      </c>
      <c r="E5026" s="115">
        <f>IFERROR(__xludf.DUMMYFUNCTION("""COMPUTED_VALUE"""),955.0)</f>
        <v>955</v>
      </c>
      <c r="F5026" s="115">
        <f>IFERROR(__xludf.DUMMYFUNCTION("""COMPUTED_VALUE"""),123.0)</f>
        <v>123</v>
      </c>
      <c r="G5026" s="115">
        <f>IFERROR(__xludf.DUMMYFUNCTION("""COMPUTED_VALUE"""),9.0)</f>
        <v>9</v>
      </c>
      <c r="H5026" s="116">
        <f>IFERROR(__xludf.DUMMYFUNCTION("""COMPUTED_VALUE"""),45910.0)</f>
        <v>45910</v>
      </c>
      <c r="I5026" s="115" t="str">
        <f>IFERROR(__xludf.DUMMYFUNCTION("""COMPUTED_VALUE"""),"09")</f>
        <v>09</v>
      </c>
      <c r="J5026" s="115" t="str">
        <f>IFERROR(__xludf.DUMMYFUNCTION("""COMPUTED_VALUE"""),"Manoj Harsh2025-09-1009")</f>
        <v>Manoj Harsh2025-09-1009</v>
      </c>
      <c r="K5026" s="115">
        <f>IFERROR(__xludf.DUMMYFUNCTION("""COMPUTED_VALUE"""),8949.0)</f>
        <v>8949</v>
      </c>
    </row>
    <row r="5027">
      <c r="A5027" s="115" t="str">
        <f>IFERROR(__xludf.DUMMYFUNCTION("""COMPUTED_VALUE"""),"NORTH")</f>
        <v>NORTH</v>
      </c>
      <c r="B5027" s="115" t="str">
        <f>IFERROR(__xludf.DUMMYFUNCTION("""COMPUTED_VALUE"""),"Manoj Harsh")</f>
        <v>Manoj Harsh</v>
      </c>
      <c r="C5027" s="115" t="str">
        <f>IFERROR(__xludf.DUMMYFUNCTION("""COMPUTED_VALUE"""),"FLIPKART")</f>
        <v>FLIPKART</v>
      </c>
      <c r="D5027" s="115">
        <f>IFERROR(__xludf.DUMMYFUNCTION("""COMPUTED_VALUE"""),114875.0)</f>
        <v>114875</v>
      </c>
      <c r="E5027" s="115">
        <f>IFERROR(__xludf.DUMMYFUNCTION("""COMPUTED_VALUE"""),10603.0)</f>
        <v>10603</v>
      </c>
      <c r="F5027" s="115">
        <f>IFERROR(__xludf.DUMMYFUNCTION("""COMPUTED_VALUE"""),3354.0)</f>
        <v>3354</v>
      </c>
      <c r="G5027" s="115">
        <f>IFERROR(__xludf.DUMMYFUNCTION("""COMPUTED_VALUE"""),143.0)</f>
        <v>143</v>
      </c>
      <c r="H5027" s="116">
        <f>IFERROR(__xludf.DUMMYFUNCTION("""COMPUTED_VALUE"""),45910.0)</f>
        <v>45910</v>
      </c>
      <c r="I5027" s="115" t="str">
        <f>IFERROR(__xludf.DUMMYFUNCTION("""COMPUTED_VALUE"""),"09")</f>
        <v>09</v>
      </c>
      <c r="J5027" s="115" t="str">
        <f>IFERROR(__xludf.DUMMYFUNCTION("""COMPUTED_VALUE"""),"Manoj Harsh2025-09-1009")</f>
        <v>Manoj Harsh2025-09-1009</v>
      </c>
      <c r="K5027" s="115">
        <f>IFERROR(__xludf.DUMMYFUNCTION("""COMPUTED_VALUE"""),125478.0)</f>
        <v>125478</v>
      </c>
    </row>
    <row r="5028">
      <c r="A5028" s="115" t="str">
        <f>IFERROR(__xludf.DUMMYFUNCTION("""COMPUTED_VALUE"""),"NORTH")</f>
        <v>NORTH</v>
      </c>
      <c r="B5028" s="115" t="str">
        <f>IFERROR(__xludf.DUMMYFUNCTION("""COMPUTED_VALUE"""),"Manoj Harsh")</f>
        <v>Manoj Harsh</v>
      </c>
      <c r="C5028" s="115" t="str">
        <f>IFERROR(__xludf.DUMMYFUNCTION("""COMPUTED_VALUE"""),"MYNTRA")</f>
        <v>MYNTRA</v>
      </c>
      <c r="D5028" s="115">
        <f>IFERROR(__xludf.DUMMYFUNCTION("""COMPUTED_VALUE"""),11203.0)</f>
        <v>11203</v>
      </c>
      <c r="E5028" s="115">
        <f>IFERROR(__xludf.DUMMYFUNCTION("""COMPUTED_VALUE"""),2436.0)</f>
        <v>2436</v>
      </c>
      <c r="F5028" s="115">
        <f>IFERROR(__xludf.DUMMYFUNCTION("""COMPUTED_VALUE"""),400.0)</f>
        <v>400</v>
      </c>
      <c r="G5028" s="115">
        <f>IFERROR(__xludf.DUMMYFUNCTION("""COMPUTED_VALUE"""),21.0)</f>
        <v>21</v>
      </c>
      <c r="H5028" s="116">
        <f>IFERROR(__xludf.DUMMYFUNCTION("""COMPUTED_VALUE"""),45910.0)</f>
        <v>45910</v>
      </c>
      <c r="I5028" s="115" t="str">
        <f>IFERROR(__xludf.DUMMYFUNCTION("""COMPUTED_VALUE"""),"09")</f>
        <v>09</v>
      </c>
      <c r="J5028" s="115" t="str">
        <f>IFERROR(__xludf.DUMMYFUNCTION("""COMPUTED_VALUE"""),"Manoj Harsh2025-09-1009")</f>
        <v>Manoj Harsh2025-09-1009</v>
      </c>
      <c r="K5028" s="115">
        <f>IFERROR(__xludf.DUMMYFUNCTION("""COMPUTED_VALUE"""),13639.0)</f>
        <v>13639</v>
      </c>
    </row>
    <row r="5029">
      <c r="A5029" s="115" t="str">
        <f>IFERROR(__xludf.DUMMYFUNCTION("""COMPUTED_VALUE"""),"NORTH")</f>
        <v>NORTH</v>
      </c>
      <c r="B5029" s="115" t="str">
        <f>IFERROR(__xludf.DUMMYFUNCTION("""COMPUTED_VALUE"""),"Pradeep Kothari")</f>
        <v>Pradeep Kothari</v>
      </c>
      <c r="C5029" s="115" t="str">
        <f>IFERROR(__xludf.DUMMYFUNCTION("""COMPUTED_VALUE"""),"EXTERNAL")</f>
        <v>EXTERNAL</v>
      </c>
      <c r="D5029" s="115">
        <f>IFERROR(__xludf.DUMMYFUNCTION("""COMPUTED_VALUE"""),5102.0)</f>
        <v>5102</v>
      </c>
      <c r="E5029" s="115">
        <f>IFERROR(__xludf.DUMMYFUNCTION("""COMPUTED_VALUE"""),617.0)</f>
        <v>617</v>
      </c>
      <c r="F5029" s="115">
        <f>IFERROR(__xludf.DUMMYFUNCTION("""COMPUTED_VALUE"""),99.0)</f>
        <v>99</v>
      </c>
      <c r="G5029" s="115">
        <f>IFERROR(__xludf.DUMMYFUNCTION("""COMPUTED_VALUE"""),10.0)</f>
        <v>10</v>
      </c>
      <c r="H5029" s="116">
        <f>IFERROR(__xludf.DUMMYFUNCTION("""COMPUTED_VALUE"""),45910.0)</f>
        <v>45910</v>
      </c>
      <c r="I5029" s="115" t="str">
        <f>IFERROR(__xludf.DUMMYFUNCTION("""COMPUTED_VALUE"""),"09")</f>
        <v>09</v>
      </c>
      <c r="J5029" s="115" t="str">
        <f>IFERROR(__xludf.DUMMYFUNCTION("""COMPUTED_VALUE"""),"Pradeep Kothari2025-09-1009")</f>
        <v>Pradeep Kothari2025-09-1009</v>
      </c>
      <c r="K5029" s="115">
        <f>IFERROR(__xludf.DUMMYFUNCTION("""COMPUTED_VALUE"""),5719.0)</f>
        <v>5719</v>
      </c>
    </row>
    <row r="5030">
      <c r="A5030" s="115" t="str">
        <f>IFERROR(__xludf.DUMMYFUNCTION("""COMPUTED_VALUE"""),"NORTH")</f>
        <v>NORTH</v>
      </c>
      <c r="B5030" s="115" t="str">
        <f>IFERROR(__xludf.DUMMYFUNCTION("""COMPUTED_VALUE"""),"Pradeep Kothari")</f>
        <v>Pradeep Kothari</v>
      </c>
      <c r="C5030" s="115" t="str">
        <f>IFERROR(__xludf.DUMMYFUNCTION("""COMPUTED_VALUE"""),"FLIPKART")</f>
        <v>FLIPKART</v>
      </c>
      <c r="D5030" s="115">
        <f>IFERROR(__xludf.DUMMYFUNCTION("""COMPUTED_VALUE"""),47710.0)</f>
        <v>47710</v>
      </c>
      <c r="E5030" s="115">
        <f>IFERROR(__xludf.DUMMYFUNCTION("""COMPUTED_VALUE"""),4347.0)</f>
        <v>4347</v>
      </c>
      <c r="F5030" s="115">
        <f>IFERROR(__xludf.DUMMYFUNCTION("""COMPUTED_VALUE"""),1812.0)</f>
        <v>1812</v>
      </c>
      <c r="G5030" s="115">
        <f>IFERROR(__xludf.DUMMYFUNCTION("""COMPUTED_VALUE"""),119.0)</f>
        <v>119</v>
      </c>
      <c r="H5030" s="116">
        <f>IFERROR(__xludf.DUMMYFUNCTION("""COMPUTED_VALUE"""),45910.0)</f>
        <v>45910</v>
      </c>
      <c r="I5030" s="115" t="str">
        <f>IFERROR(__xludf.DUMMYFUNCTION("""COMPUTED_VALUE"""),"09")</f>
        <v>09</v>
      </c>
      <c r="J5030" s="115" t="str">
        <f>IFERROR(__xludf.DUMMYFUNCTION("""COMPUTED_VALUE"""),"Pradeep Kothari2025-09-1009")</f>
        <v>Pradeep Kothari2025-09-1009</v>
      </c>
      <c r="K5030" s="115">
        <f>IFERROR(__xludf.DUMMYFUNCTION("""COMPUTED_VALUE"""),52057.0)</f>
        <v>52057</v>
      </c>
    </row>
    <row r="5031">
      <c r="A5031" s="115" t="str">
        <f>IFERROR(__xludf.DUMMYFUNCTION("""COMPUTED_VALUE"""),"NORTH")</f>
        <v>NORTH</v>
      </c>
      <c r="B5031" s="115" t="str">
        <f>IFERROR(__xludf.DUMMYFUNCTION("""COMPUTED_VALUE"""),"Pradeep Kothari")</f>
        <v>Pradeep Kothari</v>
      </c>
      <c r="C5031" s="115" t="str">
        <f>IFERROR(__xludf.DUMMYFUNCTION("""COMPUTED_VALUE"""),"MYNTRA")</f>
        <v>MYNTRA</v>
      </c>
      <c r="D5031" s="115">
        <f>IFERROR(__xludf.DUMMYFUNCTION("""COMPUTED_VALUE"""),7923.0)</f>
        <v>7923</v>
      </c>
      <c r="E5031" s="115">
        <f>IFERROR(__xludf.DUMMYFUNCTION("""COMPUTED_VALUE"""),1743.0)</f>
        <v>1743</v>
      </c>
      <c r="F5031" s="115">
        <f>IFERROR(__xludf.DUMMYFUNCTION("""COMPUTED_VALUE"""),551.0)</f>
        <v>551</v>
      </c>
      <c r="G5031" s="115">
        <f>IFERROR(__xludf.DUMMYFUNCTION("""COMPUTED_VALUE"""),46.0)</f>
        <v>46</v>
      </c>
      <c r="H5031" s="116">
        <f>IFERROR(__xludf.DUMMYFUNCTION("""COMPUTED_VALUE"""),45910.0)</f>
        <v>45910</v>
      </c>
      <c r="I5031" s="115" t="str">
        <f>IFERROR(__xludf.DUMMYFUNCTION("""COMPUTED_VALUE"""),"09")</f>
        <v>09</v>
      </c>
      <c r="J5031" s="115" t="str">
        <f>IFERROR(__xludf.DUMMYFUNCTION("""COMPUTED_VALUE"""),"Pradeep Kothari2025-09-1009")</f>
        <v>Pradeep Kothari2025-09-1009</v>
      </c>
      <c r="K5031" s="115">
        <f>IFERROR(__xludf.DUMMYFUNCTION("""COMPUTED_VALUE"""),9666.0)</f>
        <v>9666</v>
      </c>
    </row>
    <row r="5032">
      <c r="A5032" s="115" t="str">
        <f>IFERROR(__xludf.DUMMYFUNCTION("""COMPUTED_VALUE"""),"SOUTH")</f>
        <v>SOUTH</v>
      </c>
      <c r="B5032" s="115" t="str">
        <f>IFERROR(__xludf.DUMMYFUNCTION("""COMPUTED_VALUE"""),"Kandula Sampath")</f>
        <v>Kandula Sampath</v>
      </c>
      <c r="C5032" s="115" t="str">
        <f>IFERROR(__xludf.DUMMYFUNCTION("""COMPUTED_VALUE"""),"EXTERNAL")</f>
        <v>EXTERNAL</v>
      </c>
      <c r="D5032" s="115">
        <f>IFERROR(__xludf.DUMMYFUNCTION("""COMPUTED_VALUE"""),13573.0)</f>
        <v>13573</v>
      </c>
      <c r="E5032" s="115">
        <f>IFERROR(__xludf.DUMMYFUNCTION("""COMPUTED_VALUE"""),1370.0)</f>
        <v>1370</v>
      </c>
      <c r="F5032" s="115">
        <f>IFERROR(__xludf.DUMMYFUNCTION("""COMPUTED_VALUE"""),522.0)</f>
        <v>522</v>
      </c>
      <c r="G5032" s="115">
        <f>IFERROR(__xludf.DUMMYFUNCTION("""COMPUTED_VALUE"""),10.0)</f>
        <v>10</v>
      </c>
      <c r="H5032" s="116">
        <f>IFERROR(__xludf.DUMMYFUNCTION("""COMPUTED_VALUE"""),45910.0)</f>
        <v>45910</v>
      </c>
      <c r="I5032" s="115" t="str">
        <f>IFERROR(__xludf.DUMMYFUNCTION("""COMPUTED_VALUE"""),"09")</f>
        <v>09</v>
      </c>
      <c r="J5032" s="115" t="str">
        <f>IFERROR(__xludf.DUMMYFUNCTION("""COMPUTED_VALUE"""),"Kandula Sampath2025-09-1009")</f>
        <v>Kandula Sampath2025-09-1009</v>
      </c>
      <c r="K5032" s="115">
        <f>IFERROR(__xludf.DUMMYFUNCTION("""COMPUTED_VALUE"""),14943.0)</f>
        <v>14943</v>
      </c>
    </row>
    <row r="5033">
      <c r="A5033" s="115" t="str">
        <f>IFERROR(__xludf.DUMMYFUNCTION("""COMPUTED_VALUE"""),"SOUTH")</f>
        <v>SOUTH</v>
      </c>
      <c r="B5033" s="115" t="str">
        <f>IFERROR(__xludf.DUMMYFUNCTION("""COMPUTED_VALUE"""),"Kandula Sampath")</f>
        <v>Kandula Sampath</v>
      </c>
      <c r="C5033" s="115" t="str">
        <f>IFERROR(__xludf.DUMMYFUNCTION("""COMPUTED_VALUE"""),"FLIPKART")</f>
        <v>FLIPKART</v>
      </c>
      <c r="D5033" s="115">
        <f>IFERROR(__xludf.DUMMYFUNCTION("""COMPUTED_VALUE"""),157134.0)</f>
        <v>157134</v>
      </c>
      <c r="E5033" s="115">
        <f>IFERROR(__xludf.DUMMYFUNCTION("""COMPUTED_VALUE"""),11247.0)</f>
        <v>11247</v>
      </c>
      <c r="F5033" s="115">
        <f>IFERROR(__xludf.DUMMYFUNCTION("""COMPUTED_VALUE"""),11796.0)</f>
        <v>11796</v>
      </c>
      <c r="G5033" s="115">
        <f>IFERROR(__xludf.DUMMYFUNCTION("""COMPUTED_VALUE"""),154.0)</f>
        <v>154</v>
      </c>
      <c r="H5033" s="116">
        <f>IFERROR(__xludf.DUMMYFUNCTION("""COMPUTED_VALUE"""),45910.0)</f>
        <v>45910</v>
      </c>
      <c r="I5033" s="115" t="str">
        <f>IFERROR(__xludf.DUMMYFUNCTION("""COMPUTED_VALUE"""),"09")</f>
        <v>09</v>
      </c>
      <c r="J5033" s="115" t="str">
        <f>IFERROR(__xludf.DUMMYFUNCTION("""COMPUTED_VALUE"""),"Kandula Sampath2025-09-1009")</f>
        <v>Kandula Sampath2025-09-1009</v>
      </c>
      <c r="K5033" s="115">
        <f>IFERROR(__xludf.DUMMYFUNCTION("""COMPUTED_VALUE"""),168381.0)</f>
        <v>168381</v>
      </c>
    </row>
    <row r="5034">
      <c r="A5034" s="115" t="str">
        <f>IFERROR(__xludf.DUMMYFUNCTION("""COMPUTED_VALUE"""),"SOUTH")</f>
        <v>SOUTH</v>
      </c>
      <c r="B5034" s="115" t="str">
        <f>IFERROR(__xludf.DUMMYFUNCTION("""COMPUTED_VALUE"""),"Kandula Sampath")</f>
        <v>Kandula Sampath</v>
      </c>
      <c r="C5034" s="115" t="str">
        <f>IFERROR(__xludf.DUMMYFUNCTION("""COMPUTED_VALUE"""),"MYNTRA")</f>
        <v>MYNTRA</v>
      </c>
      <c r="D5034" s="115">
        <f>IFERROR(__xludf.DUMMYFUNCTION("""COMPUTED_VALUE"""),18023.0)</f>
        <v>18023</v>
      </c>
      <c r="E5034" s="115">
        <f>IFERROR(__xludf.DUMMYFUNCTION("""COMPUTED_VALUE"""),3353.0)</f>
        <v>3353</v>
      </c>
      <c r="F5034" s="115">
        <f>IFERROR(__xludf.DUMMYFUNCTION("""COMPUTED_VALUE"""),1719.0)</f>
        <v>1719</v>
      </c>
      <c r="G5034" s="115">
        <f>IFERROR(__xludf.DUMMYFUNCTION("""COMPUTED_VALUE"""),43.0)</f>
        <v>43</v>
      </c>
      <c r="H5034" s="116">
        <f>IFERROR(__xludf.DUMMYFUNCTION("""COMPUTED_VALUE"""),45910.0)</f>
        <v>45910</v>
      </c>
      <c r="I5034" s="115" t="str">
        <f>IFERROR(__xludf.DUMMYFUNCTION("""COMPUTED_VALUE"""),"09")</f>
        <v>09</v>
      </c>
      <c r="J5034" s="115" t="str">
        <f>IFERROR(__xludf.DUMMYFUNCTION("""COMPUTED_VALUE"""),"Kandula Sampath2025-09-1009")</f>
        <v>Kandula Sampath2025-09-1009</v>
      </c>
      <c r="K5034" s="115">
        <f>IFERROR(__xludf.DUMMYFUNCTION("""COMPUTED_VALUE"""),21376.0)</f>
        <v>21376</v>
      </c>
    </row>
    <row r="5035">
      <c r="A5035" s="115" t="str">
        <f>IFERROR(__xludf.DUMMYFUNCTION("""COMPUTED_VALUE"""),"SOUTH")</f>
        <v>SOUTH</v>
      </c>
      <c r="B5035" s="115" t="str">
        <f>IFERROR(__xludf.DUMMYFUNCTION("""COMPUTED_VALUE"""),"Martin A")</f>
        <v>Martin A</v>
      </c>
      <c r="C5035" s="115" t="str">
        <f>IFERROR(__xludf.DUMMYFUNCTION("""COMPUTED_VALUE"""),"EXTERNAL")</f>
        <v>EXTERNAL</v>
      </c>
      <c r="D5035" s="115">
        <f>IFERROR(__xludf.DUMMYFUNCTION("""COMPUTED_VALUE"""),12361.0)</f>
        <v>12361</v>
      </c>
      <c r="E5035" s="115">
        <f>IFERROR(__xludf.DUMMYFUNCTION("""COMPUTED_VALUE"""),1438.0)</f>
        <v>1438</v>
      </c>
      <c r="F5035" s="115">
        <f>IFERROR(__xludf.DUMMYFUNCTION("""COMPUTED_VALUE"""),302.0)</f>
        <v>302</v>
      </c>
      <c r="G5035" s="115">
        <f>IFERROR(__xludf.DUMMYFUNCTION("""COMPUTED_VALUE"""),23.0)</f>
        <v>23</v>
      </c>
      <c r="H5035" s="116">
        <f>IFERROR(__xludf.DUMMYFUNCTION("""COMPUTED_VALUE"""),45910.0)</f>
        <v>45910</v>
      </c>
      <c r="I5035" s="115" t="str">
        <f>IFERROR(__xludf.DUMMYFUNCTION("""COMPUTED_VALUE"""),"09")</f>
        <v>09</v>
      </c>
      <c r="J5035" s="115" t="str">
        <f>IFERROR(__xludf.DUMMYFUNCTION("""COMPUTED_VALUE"""),"Martin A2025-09-1009")</f>
        <v>Martin A2025-09-1009</v>
      </c>
      <c r="K5035" s="115">
        <f>IFERROR(__xludf.DUMMYFUNCTION("""COMPUTED_VALUE"""),13799.0)</f>
        <v>13799</v>
      </c>
    </row>
    <row r="5036">
      <c r="A5036" s="115" t="str">
        <f>IFERROR(__xludf.DUMMYFUNCTION("""COMPUTED_VALUE"""),"SOUTH")</f>
        <v>SOUTH</v>
      </c>
      <c r="B5036" s="115" t="str">
        <f>IFERROR(__xludf.DUMMYFUNCTION("""COMPUTED_VALUE"""),"Martin A")</f>
        <v>Martin A</v>
      </c>
      <c r="C5036" s="115" t="str">
        <f>IFERROR(__xludf.DUMMYFUNCTION("""COMPUTED_VALUE"""),"FLIPKART")</f>
        <v>FLIPKART</v>
      </c>
      <c r="D5036" s="115">
        <f>IFERROR(__xludf.DUMMYFUNCTION("""COMPUTED_VALUE"""),119657.0)</f>
        <v>119657</v>
      </c>
      <c r="E5036" s="115">
        <f>IFERROR(__xludf.DUMMYFUNCTION("""COMPUTED_VALUE"""),9727.0)</f>
        <v>9727</v>
      </c>
      <c r="F5036" s="115">
        <f>IFERROR(__xludf.DUMMYFUNCTION("""COMPUTED_VALUE"""),4930.0)</f>
        <v>4930</v>
      </c>
      <c r="G5036" s="115">
        <f>IFERROR(__xludf.DUMMYFUNCTION("""COMPUTED_VALUE"""),134.0)</f>
        <v>134</v>
      </c>
      <c r="H5036" s="116">
        <f>IFERROR(__xludf.DUMMYFUNCTION("""COMPUTED_VALUE"""),45910.0)</f>
        <v>45910</v>
      </c>
      <c r="I5036" s="115" t="str">
        <f>IFERROR(__xludf.DUMMYFUNCTION("""COMPUTED_VALUE"""),"09")</f>
        <v>09</v>
      </c>
      <c r="J5036" s="115" t="str">
        <f>IFERROR(__xludf.DUMMYFUNCTION("""COMPUTED_VALUE"""),"Martin A2025-09-1009")</f>
        <v>Martin A2025-09-1009</v>
      </c>
      <c r="K5036" s="115">
        <f>IFERROR(__xludf.DUMMYFUNCTION("""COMPUTED_VALUE"""),129384.0)</f>
        <v>129384</v>
      </c>
    </row>
    <row r="5037">
      <c r="A5037" s="115" t="str">
        <f>IFERROR(__xludf.DUMMYFUNCTION("""COMPUTED_VALUE"""),"SOUTH")</f>
        <v>SOUTH</v>
      </c>
      <c r="B5037" s="115" t="str">
        <f>IFERROR(__xludf.DUMMYFUNCTION("""COMPUTED_VALUE"""),"Martin A")</f>
        <v>Martin A</v>
      </c>
      <c r="C5037" s="115" t="str">
        <f>IFERROR(__xludf.DUMMYFUNCTION("""COMPUTED_VALUE"""),"MYNTRA")</f>
        <v>MYNTRA</v>
      </c>
      <c r="D5037" s="115">
        <f>IFERROR(__xludf.DUMMYFUNCTION("""COMPUTED_VALUE"""),13289.0)</f>
        <v>13289</v>
      </c>
      <c r="E5037" s="115">
        <f>IFERROR(__xludf.DUMMYFUNCTION("""COMPUTED_VALUE"""),2595.0)</f>
        <v>2595</v>
      </c>
      <c r="F5037" s="115">
        <f>IFERROR(__xludf.DUMMYFUNCTION("""COMPUTED_VALUE"""),679.0)</f>
        <v>679</v>
      </c>
      <c r="G5037" s="115">
        <f>IFERROR(__xludf.DUMMYFUNCTION("""COMPUTED_VALUE"""),20.0)</f>
        <v>20</v>
      </c>
      <c r="H5037" s="116">
        <f>IFERROR(__xludf.DUMMYFUNCTION("""COMPUTED_VALUE"""),45910.0)</f>
        <v>45910</v>
      </c>
      <c r="I5037" s="115" t="str">
        <f>IFERROR(__xludf.DUMMYFUNCTION("""COMPUTED_VALUE"""),"09")</f>
        <v>09</v>
      </c>
      <c r="J5037" s="115" t="str">
        <f>IFERROR(__xludf.DUMMYFUNCTION("""COMPUTED_VALUE"""),"Martin A2025-09-1009")</f>
        <v>Martin A2025-09-1009</v>
      </c>
      <c r="K5037" s="115">
        <f>IFERROR(__xludf.DUMMYFUNCTION("""COMPUTED_VALUE"""),15884.0)</f>
        <v>15884</v>
      </c>
    </row>
    <row r="5038">
      <c r="A5038" s="115" t="str">
        <f>IFERROR(__xludf.DUMMYFUNCTION("""COMPUTED_VALUE"""),"SOUTH")</f>
        <v>SOUTH</v>
      </c>
      <c r="B5038" s="115" t="str">
        <f>IFERROR(__xludf.DUMMYFUNCTION("""COMPUTED_VALUE"""),"Premkumar M")</f>
        <v>Premkumar M</v>
      </c>
      <c r="C5038" s="115" t="str">
        <f>IFERROR(__xludf.DUMMYFUNCTION("""COMPUTED_VALUE"""),"EXTERNAL")</f>
        <v>EXTERNAL</v>
      </c>
      <c r="D5038" s="115">
        <f>IFERROR(__xludf.DUMMYFUNCTION("""COMPUTED_VALUE"""),4265.0)</f>
        <v>4265</v>
      </c>
      <c r="E5038" s="115">
        <f>IFERROR(__xludf.DUMMYFUNCTION("""COMPUTED_VALUE"""),210.0)</f>
        <v>210</v>
      </c>
      <c r="F5038" s="115">
        <f>IFERROR(__xludf.DUMMYFUNCTION("""COMPUTED_VALUE"""),85.0)</f>
        <v>85</v>
      </c>
      <c r="G5038" s="115">
        <f>IFERROR(__xludf.DUMMYFUNCTION("""COMPUTED_VALUE"""),1.0)</f>
        <v>1</v>
      </c>
      <c r="H5038" s="116">
        <f>IFERROR(__xludf.DUMMYFUNCTION("""COMPUTED_VALUE"""),45910.0)</f>
        <v>45910</v>
      </c>
      <c r="I5038" s="115" t="str">
        <f>IFERROR(__xludf.DUMMYFUNCTION("""COMPUTED_VALUE"""),"09")</f>
        <v>09</v>
      </c>
      <c r="J5038" s="115" t="str">
        <f>IFERROR(__xludf.DUMMYFUNCTION("""COMPUTED_VALUE"""),"Premkumar M2025-09-1009")</f>
        <v>Premkumar M2025-09-1009</v>
      </c>
      <c r="K5038" s="115">
        <f>IFERROR(__xludf.DUMMYFUNCTION("""COMPUTED_VALUE"""),4475.0)</f>
        <v>4475</v>
      </c>
    </row>
    <row r="5039">
      <c r="A5039" s="115" t="str">
        <f>IFERROR(__xludf.DUMMYFUNCTION("""COMPUTED_VALUE"""),"SOUTH")</f>
        <v>SOUTH</v>
      </c>
      <c r="B5039" s="115" t="str">
        <f>IFERROR(__xludf.DUMMYFUNCTION("""COMPUTED_VALUE"""),"Premkumar M")</f>
        <v>Premkumar M</v>
      </c>
      <c r="C5039" s="115" t="str">
        <f>IFERROR(__xludf.DUMMYFUNCTION("""COMPUTED_VALUE"""),"FLIPKART")</f>
        <v>FLIPKART</v>
      </c>
      <c r="D5039" s="115">
        <f>IFERROR(__xludf.DUMMYFUNCTION("""COMPUTED_VALUE"""),50675.0)</f>
        <v>50675</v>
      </c>
      <c r="E5039" s="115">
        <f>IFERROR(__xludf.DUMMYFUNCTION("""COMPUTED_VALUE"""),2675.0)</f>
        <v>2675</v>
      </c>
      <c r="F5039" s="115">
        <f>IFERROR(__xludf.DUMMYFUNCTION("""COMPUTED_VALUE"""),1593.0)</f>
        <v>1593</v>
      </c>
      <c r="G5039" s="115">
        <f>IFERROR(__xludf.DUMMYFUNCTION("""COMPUTED_VALUE"""),50.0)</f>
        <v>50</v>
      </c>
      <c r="H5039" s="116">
        <f>IFERROR(__xludf.DUMMYFUNCTION("""COMPUTED_VALUE"""),45910.0)</f>
        <v>45910</v>
      </c>
      <c r="I5039" s="115" t="str">
        <f>IFERROR(__xludf.DUMMYFUNCTION("""COMPUTED_VALUE"""),"09")</f>
        <v>09</v>
      </c>
      <c r="J5039" s="115" t="str">
        <f>IFERROR(__xludf.DUMMYFUNCTION("""COMPUTED_VALUE"""),"Premkumar M2025-09-1009")</f>
        <v>Premkumar M2025-09-1009</v>
      </c>
      <c r="K5039" s="115">
        <f>IFERROR(__xludf.DUMMYFUNCTION("""COMPUTED_VALUE"""),53350.0)</f>
        <v>53350</v>
      </c>
    </row>
    <row r="5040">
      <c r="A5040" s="115" t="str">
        <f>IFERROR(__xludf.DUMMYFUNCTION("""COMPUTED_VALUE"""),"SOUTH")</f>
        <v>SOUTH</v>
      </c>
      <c r="B5040" s="115" t="str">
        <f>IFERROR(__xludf.DUMMYFUNCTION("""COMPUTED_VALUE"""),"Premkumar M")</f>
        <v>Premkumar M</v>
      </c>
      <c r="C5040" s="115" t="str">
        <f>IFERROR(__xludf.DUMMYFUNCTION("""COMPUTED_VALUE"""),"MYNTRA")</f>
        <v>MYNTRA</v>
      </c>
      <c r="D5040" s="115">
        <f>IFERROR(__xludf.DUMMYFUNCTION("""COMPUTED_VALUE"""),2968.0)</f>
        <v>2968</v>
      </c>
      <c r="E5040" s="115">
        <f>IFERROR(__xludf.DUMMYFUNCTION("""COMPUTED_VALUE"""),483.0)</f>
        <v>483</v>
      </c>
      <c r="F5040" s="115">
        <f>IFERROR(__xludf.DUMMYFUNCTION("""COMPUTED_VALUE"""),94.0)</f>
        <v>94</v>
      </c>
      <c r="G5040" s="115">
        <f>IFERROR(__xludf.DUMMYFUNCTION("""COMPUTED_VALUE"""),3.0)</f>
        <v>3</v>
      </c>
      <c r="H5040" s="116">
        <f>IFERROR(__xludf.DUMMYFUNCTION("""COMPUTED_VALUE"""),45910.0)</f>
        <v>45910</v>
      </c>
      <c r="I5040" s="115" t="str">
        <f>IFERROR(__xludf.DUMMYFUNCTION("""COMPUTED_VALUE"""),"09")</f>
        <v>09</v>
      </c>
      <c r="J5040" s="115" t="str">
        <f>IFERROR(__xludf.DUMMYFUNCTION("""COMPUTED_VALUE"""),"Premkumar M2025-09-1009")</f>
        <v>Premkumar M2025-09-1009</v>
      </c>
      <c r="K5040" s="115">
        <f>IFERROR(__xludf.DUMMYFUNCTION("""COMPUTED_VALUE"""),3451.0)</f>
        <v>3451</v>
      </c>
    </row>
    <row r="5041">
      <c r="A5041" s="115" t="str">
        <f>IFERROR(__xludf.DUMMYFUNCTION("""COMPUTED_VALUE"""),"SOUTH")</f>
        <v>SOUTH</v>
      </c>
      <c r="B5041" s="115" t="str">
        <f>IFERROR(__xludf.DUMMYFUNCTION("""COMPUTED_VALUE"""),"Vineeth V")</f>
        <v>Vineeth V</v>
      </c>
      <c r="C5041" s="115" t="str">
        <f>IFERROR(__xludf.DUMMYFUNCTION("""COMPUTED_VALUE"""),"EXTERNAL")</f>
        <v>EXTERNAL</v>
      </c>
      <c r="D5041" s="115">
        <f>IFERROR(__xludf.DUMMYFUNCTION("""COMPUTED_VALUE"""),1860.0)</f>
        <v>1860</v>
      </c>
      <c r="E5041" s="115">
        <f>IFERROR(__xludf.DUMMYFUNCTION("""COMPUTED_VALUE"""),44.0)</f>
        <v>44</v>
      </c>
      <c r="F5041" s="115">
        <f>IFERROR(__xludf.DUMMYFUNCTION("""COMPUTED_VALUE"""),34.0)</f>
        <v>34</v>
      </c>
      <c r="G5041" s="115">
        <f>IFERROR(__xludf.DUMMYFUNCTION("""COMPUTED_VALUE"""),1.0)</f>
        <v>1</v>
      </c>
      <c r="H5041" s="116">
        <f>IFERROR(__xludf.DUMMYFUNCTION("""COMPUTED_VALUE"""),45910.0)</f>
        <v>45910</v>
      </c>
      <c r="I5041" s="115" t="str">
        <f>IFERROR(__xludf.DUMMYFUNCTION("""COMPUTED_VALUE"""),"09")</f>
        <v>09</v>
      </c>
      <c r="J5041" s="115" t="str">
        <f>IFERROR(__xludf.DUMMYFUNCTION("""COMPUTED_VALUE"""),"Vineeth V2025-09-1009")</f>
        <v>Vineeth V2025-09-1009</v>
      </c>
      <c r="K5041" s="115">
        <f>IFERROR(__xludf.DUMMYFUNCTION("""COMPUTED_VALUE"""),1904.0)</f>
        <v>1904</v>
      </c>
    </row>
    <row r="5042">
      <c r="A5042" s="115" t="str">
        <f>IFERROR(__xludf.DUMMYFUNCTION("""COMPUTED_VALUE"""),"SOUTH")</f>
        <v>SOUTH</v>
      </c>
      <c r="B5042" s="115" t="str">
        <f>IFERROR(__xludf.DUMMYFUNCTION("""COMPUTED_VALUE"""),"Vineeth V")</f>
        <v>Vineeth V</v>
      </c>
      <c r="C5042" s="115" t="str">
        <f>IFERROR(__xludf.DUMMYFUNCTION("""COMPUTED_VALUE"""),"FLIPKART")</f>
        <v>FLIPKART</v>
      </c>
      <c r="D5042" s="115">
        <f>IFERROR(__xludf.DUMMYFUNCTION("""COMPUTED_VALUE"""),22716.0)</f>
        <v>22716</v>
      </c>
      <c r="E5042" s="115">
        <f>IFERROR(__xludf.DUMMYFUNCTION("""COMPUTED_VALUE"""),1401.0)</f>
        <v>1401</v>
      </c>
      <c r="F5042" s="115">
        <f>IFERROR(__xludf.DUMMYFUNCTION("""COMPUTED_VALUE"""),508.0)</f>
        <v>508</v>
      </c>
      <c r="G5042" s="115">
        <f>IFERROR(__xludf.DUMMYFUNCTION("""COMPUTED_VALUE"""),12.0)</f>
        <v>12</v>
      </c>
      <c r="H5042" s="116">
        <f>IFERROR(__xludf.DUMMYFUNCTION("""COMPUTED_VALUE"""),45910.0)</f>
        <v>45910</v>
      </c>
      <c r="I5042" s="115" t="str">
        <f>IFERROR(__xludf.DUMMYFUNCTION("""COMPUTED_VALUE"""),"09")</f>
        <v>09</v>
      </c>
      <c r="J5042" s="115" t="str">
        <f>IFERROR(__xludf.DUMMYFUNCTION("""COMPUTED_VALUE"""),"Vineeth V2025-09-1009")</f>
        <v>Vineeth V2025-09-1009</v>
      </c>
      <c r="K5042" s="115">
        <f>IFERROR(__xludf.DUMMYFUNCTION("""COMPUTED_VALUE"""),24117.0)</f>
        <v>24117</v>
      </c>
    </row>
    <row r="5043">
      <c r="A5043" s="115" t="str">
        <f>IFERROR(__xludf.DUMMYFUNCTION("""COMPUTED_VALUE"""),"SOUTH")</f>
        <v>SOUTH</v>
      </c>
      <c r="B5043" s="115" t="str">
        <f>IFERROR(__xludf.DUMMYFUNCTION("""COMPUTED_VALUE"""),"Vineeth V")</f>
        <v>Vineeth V</v>
      </c>
      <c r="C5043" s="115" t="str">
        <f>IFERROR(__xludf.DUMMYFUNCTION("""COMPUTED_VALUE"""),"MYNTRA")</f>
        <v>MYNTRA</v>
      </c>
      <c r="D5043" s="115">
        <f>IFERROR(__xludf.DUMMYFUNCTION("""COMPUTED_VALUE"""),2129.0)</f>
        <v>2129</v>
      </c>
      <c r="E5043" s="115">
        <f>IFERROR(__xludf.DUMMYFUNCTION("""COMPUTED_VALUE"""),409.0)</f>
        <v>409</v>
      </c>
      <c r="F5043" s="115">
        <f>IFERROR(__xludf.DUMMYFUNCTION("""COMPUTED_VALUE"""),70.0)</f>
        <v>70</v>
      </c>
      <c r="G5043" s="115">
        <f>IFERROR(__xludf.DUMMYFUNCTION("""COMPUTED_VALUE"""),1.0)</f>
        <v>1</v>
      </c>
      <c r="H5043" s="116">
        <f>IFERROR(__xludf.DUMMYFUNCTION("""COMPUTED_VALUE"""),45910.0)</f>
        <v>45910</v>
      </c>
      <c r="I5043" s="115" t="str">
        <f>IFERROR(__xludf.DUMMYFUNCTION("""COMPUTED_VALUE"""),"09")</f>
        <v>09</v>
      </c>
      <c r="J5043" s="115" t="str">
        <f>IFERROR(__xludf.DUMMYFUNCTION("""COMPUTED_VALUE"""),"Vineeth V2025-09-1009")</f>
        <v>Vineeth V2025-09-1009</v>
      </c>
      <c r="K5043" s="115">
        <f>IFERROR(__xludf.DUMMYFUNCTION("""COMPUTED_VALUE"""),2538.0)</f>
        <v>2538</v>
      </c>
    </row>
    <row r="5044">
      <c r="A5044" s="115" t="str">
        <f>IFERROR(__xludf.DUMMYFUNCTION("""COMPUTED_VALUE"""),"WEST")</f>
        <v>WEST</v>
      </c>
      <c r="B5044" s="115" t="str">
        <f>IFERROR(__xludf.DUMMYFUNCTION("""COMPUTED_VALUE"""),"Ashish Jakar")</f>
        <v>Ashish Jakar</v>
      </c>
      <c r="C5044" s="115" t="str">
        <f>IFERROR(__xludf.DUMMYFUNCTION("""COMPUTED_VALUE"""),"EXTERNAL")</f>
        <v>EXTERNAL</v>
      </c>
      <c r="D5044" s="115">
        <f>IFERROR(__xludf.DUMMYFUNCTION("""COMPUTED_VALUE"""),15831.0)</f>
        <v>15831</v>
      </c>
      <c r="E5044" s="115">
        <f>IFERROR(__xludf.DUMMYFUNCTION("""COMPUTED_VALUE"""),1599.0)</f>
        <v>1599</v>
      </c>
      <c r="F5044" s="115">
        <f>IFERROR(__xludf.DUMMYFUNCTION("""COMPUTED_VALUE"""),859.0)</f>
        <v>859</v>
      </c>
      <c r="G5044" s="115">
        <f>IFERROR(__xludf.DUMMYFUNCTION("""COMPUTED_VALUE"""),2.0)</f>
        <v>2</v>
      </c>
      <c r="H5044" s="116">
        <f>IFERROR(__xludf.DUMMYFUNCTION("""COMPUTED_VALUE"""),45910.0)</f>
        <v>45910</v>
      </c>
      <c r="I5044" s="115" t="str">
        <f>IFERROR(__xludf.DUMMYFUNCTION("""COMPUTED_VALUE"""),"09")</f>
        <v>09</v>
      </c>
      <c r="J5044" s="115" t="str">
        <f>IFERROR(__xludf.DUMMYFUNCTION("""COMPUTED_VALUE"""),"Ashish Jakar2025-09-1009")</f>
        <v>Ashish Jakar2025-09-1009</v>
      </c>
      <c r="K5044" s="115">
        <f>IFERROR(__xludf.DUMMYFUNCTION("""COMPUTED_VALUE"""),17430.0)</f>
        <v>17430</v>
      </c>
    </row>
    <row r="5045">
      <c r="A5045" s="115" t="str">
        <f>IFERROR(__xludf.DUMMYFUNCTION("""COMPUTED_VALUE"""),"WEST")</f>
        <v>WEST</v>
      </c>
      <c r="B5045" s="115" t="str">
        <f>IFERROR(__xludf.DUMMYFUNCTION("""COMPUTED_VALUE"""),"Ashish Jakar")</f>
        <v>Ashish Jakar</v>
      </c>
      <c r="C5045" s="115" t="str">
        <f>IFERROR(__xludf.DUMMYFUNCTION("""COMPUTED_VALUE"""),"FLIPKART")</f>
        <v>FLIPKART</v>
      </c>
      <c r="D5045" s="115">
        <f>IFERROR(__xludf.DUMMYFUNCTION("""COMPUTED_VALUE"""),101845.0)</f>
        <v>101845</v>
      </c>
      <c r="E5045" s="115">
        <f>IFERROR(__xludf.DUMMYFUNCTION("""COMPUTED_VALUE"""),9039.0)</f>
        <v>9039</v>
      </c>
      <c r="F5045" s="115">
        <f>IFERROR(__xludf.DUMMYFUNCTION("""COMPUTED_VALUE"""),2492.0)</f>
        <v>2492</v>
      </c>
      <c r="G5045" s="115">
        <f>IFERROR(__xludf.DUMMYFUNCTION("""COMPUTED_VALUE"""),99.0)</f>
        <v>99</v>
      </c>
      <c r="H5045" s="116">
        <f>IFERROR(__xludf.DUMMYFUNCTION("""COMPUTED_VALUE"""),45910.0)</f>
        <v>45910</v>
      </c>
      <c r="I5045" s="115" t="str">
        <f>IFERROR(__xludf.DUMMYFUNCTION("""COMPUTED_VALUE"""),"09")</f>
        <v>09</v>
      </c>
      <c r="J5045" s="115" t="str">
        <f>IFERROR(__xludf.DUMMYFUNCTION("""COMPUTED_VALUE"""),"Ashish Jakar2025-09-1009")</f>
        <v>Ashish Jakar2025-09-1009</v>
      </c>
      <c r="K5045" s="115">
        <f>IFERROR(__xludf.DUMMYFUNCTION("""COMPUTED_VALUE"""),110884.0)</f>
        <v>110884</v>
      </c>
    </row>
    <row r="5046">
      <c r="A5046" s="115" t="str">
        <f>IFERROR(__xludf.DUMMYFUNCTION("""COMPUTED_VALUE"""),"WEST")</f>
        <v>WEST</v>
      </c>
      <c r="B5046" s="115" t="str">
        <f>IFERROR(__xludf.DUMMYFUNCTION("""COMPUTED_VALUE"""),"Ashish Jakar")</f>
        <v>Ashish Jakar</v>
      </c>
      <c r="C5046" s="115" t="str">
        <f>IFERROR(__xludf.DUMMYFUNCTION("""COMPUTED_VALUE"""),"MYNTRA")</f>
        <v>MYNTRA</v>
      </c>
      <c r="D5046" s="115">
        <f>IFERROR(__xludf.DUMMYFUNCTION("""COMPUTED_VALUE"""),12828.0)</f>
        <v>12828</v>
      </c>
      <c r="E5046" s="115">
        <f>IFERROR(__xludf.DUMMYFUNCTION("""COMPUTED_VALUE"""),3067.0)</f>
        <v>3067</v>
      </c>
      <c r="F5046" s="115">
        <f>IFERROR(__xludf.DUMMYFUNCTION("""COMPUTED_VALUE"""),394.0)</f>
        <v>394</v>
      </c>
      <c r="G5046" s="115">
        <f>IFERROR(__xludf.DUMMYFUNCTION("""COMPUTED_VALUE"""),21.0)</f>
        <v>21</v>
      </c>
      <c r="H5046" s="116">
        <f>IFERROR(__xludf.DUMMYFUNCTION("""COMPUTED_VALUE"""),45910.0)</f>
        <v>45910</v>
      </c>
      <c r="I5046" s="115" t="str">
        <f>IFERROR(__xludf.DUMMYFUNCTION("""COMPUTED_VALUE"""),"09")</f>
        <v>09</v>
      </c>
      <c r="J5046" s="115" t="str">
        <f>IFERROR(__xludf.DUMMYFUNCTION("""COMPUTED_VALUE"""),"Ashish Jakar2025-09-1009")</f>
        <v>Ashish Jakar2025-09-1009</v>
      </c>
      <c r="K5046" s="115">
        <f>IFERROR(__xludf.DUMMYFUNCTION("""COMPUTED_VALUE"""),15895.0)</f>
        <v>15895</v>
      </c>
    </row>
    <row r="5047">
      <c r="A5047" s="115" t="str">
        <f>IFERROR(__xludf.DUMMYFUNCTION("""COMPUTED_VALUE"""),"WEST")</f>
        <v>WEST</v>
      </c>
      <c r="B5047" s="115" t="str">
        <f>IFERROR(__xludf.DUMMYFUNCTION("""COMPUTED_VALUE"""),"Ashvani Bhatt")</f>
        <v>Ashvani Bhatt</v>
      </c>
      <c r="C5047" s="115" t="str">
        <f>IFERROR(__xludf.DUMMYFUNCTION("""COMPUTED_VALUE"""),"EXTERNAL")</f>
        <v>EXTERNAL</v>
      </c>
      <c r="D5047" s="115">
        <f>IFERROR(__xludf.DUMMYFUNCTION("""COMPUTED_VALUE"""),10852.0)</f>
        <v>10852</v>
      </c>
      <c r="E5047" s="115">
        <f>IFERROR(__xludf.DUMMYFUNCTION("""COMPUTED_VALUE"""),614.0)</f>
        <v>614</v>
      </c>
      <c r="F5047" s="115">
        <f>IFERROR(__xludf.DUMMYFUNCTION("""COMPUTED_VALUE"""),191.0)</f>
        <v>191</v>
      </c>
      <c r="G5047" s="115">
        <f>IFERROR(__xludf.DUMMYFUNCTION("""COMPUTED_VALUE"""),3.0)</f>
        <v>3</v>
      </c>
      <c r="H5047" s="116">
        <f>IFERROR(__xludf.DUMMYFUNCTION("""COMPUTED_VALUE"""),45910.0)</f>
        <v>45910</v>
      </c>
      <c r="I5047" s="115" t="str">
        <f>IFERROR(__xludf.DUMMYFUNCTION("""COMPUTED_VALUE"""),"09")</f>
        <v>09</v>
      </c>
      <c r="J5047" s="115" t="str">
        <f>IFERROR(__xludf.DUMMYFUNCTION("""COMPUTED_VALUE"""),"Ashvani Bhatt2025-09-1009")</f>
        <v>Ashvani Bhatt2025-09-1009</v>
      </c>
      <c r="K5047" s="115">
        <f>IFERROR(__xludf.DUMMYFUNCTION("""COMPUTED_VALUE"""),11466.0)</f>
        <v>11466</v>
      </c>
    </row>
    <row r="5048">
      <c r="A5048" s="115" t="str">
        <f>IFERROR(__xludf.DUMMYFUNCTION("""COMPUTED_VALUE"""),"WEST")</f>
        <v>WEST</v>
      </c>
      <c r="B5048" s="115" t="str">
        <f>IFERROR(__xludf.DUMMYFUNCTION("""COMPUTED_VALUE"""),"Ashvani Bhatt")</f>
        <v>Ashvani Bhatt</v>
      </c>
      <c r="C5048" s="115" t="str">
        <f>IFERROR(__xludf.DUMMYFUNCTION("""COMPUTED_VALUE"""),"FLIPKART")</f>
        <v>FLIPKART</v>
      </c>
      <c r="D5048" s="115">
        <f>IFERROR(__xludf.DUMMYFUNCTION("""COMPUTED_VALUE"""),86412.0)</f>
        <v>86412</v>
      </c>
      <c r="E5048" s="115">
        <f>IFERROR(__xludf.DUMMYFUNCTION("""COMPUTED_VALUE"""),6398.0)</f>
        <v>6398</v>
      </c>
      <c r="F5048" s="115">
        <f>IFERROR(__xludf.DUMMYFUNCTION("""COMPUTED_VALUE"""),3177.0)</f>
        <v>3177</v>
      </c>
      <c r="G5048" s="115">
        <f>IFERROR(__xludf.DUMMYFUNCTION("""COMPUTED_VALUE"""),76.0)</f>
        <v>76</v>
      </c>
      <c r="H5048" s="116">
        <f>IFERROR(__xludf.DUMMYFUNCTION("""COMPUTED_VALUE"""),45910.0)</f>
        <v>45910</v>
      </c>
      <c r="I5048" s="115" t="str">
        <f>IFERROR(__xludf.DUMMYFUNCTION("""COMPUTED_VALUE"""),"09")</f>
        <v>09</v>
      </c>
      <c r="J5048" s="115" t="str">
        <f>IFERROR(__xludf.DUMMYFUNCTION("""COMPUTED_VALUE"""),"Ashvani Bhatt2025-09-1009")</f>
        <v>Ashvani Bhatt2025-09-1009</v>
      </c>
      <c r="K5048" s="115">
        <f>IFERROR(__xludf.DUMMYFUNCTION("""COMPUTED_VALUE"""),92810.0)</f>
        <v>92810</v>
      </c>
    </row>
    <row r="5049">
      <c r="A5049" s="115" t="str">
        <f>IFERROR(__xludf.DUMMYFUNCTION("""COMPUTED_VALUE"""),"WEST")</f>
        <v>WEST</v>
      </c>
      <c r="B5049" s="115" t="str">
        <f>IFERROR(__xludf.DUMMYFUNCTION("""COMPUTED_VALUE"""),"Ashvani Bhatt")</f>
        <v>Ashvani Bhatt</v>
      </c>
      <c r="C5049" s="115" t="str">
        <f>IFERROR(__xludf.DUMMYFUNCTION("""COMPUTED_VALUE"""),"MYNTRA")</f>
        <v>MYNTRA</v>
      </c>
      <c r="D5049" s="115">
        <f>IFERROR(__xludf.DUMMYFUNCTION("""COMPUTED_VALUE"""),12392.0)</f>
        <v>12392</v>
      </c>
      <c r="E5049" s="115">
        <f>IFERROR(__xludf.DUMMYFUNCTION("""COMPUTED_VALUE"""),2330.0)</f>
        <v>2330</v>
      </c>
      <c r="F5049" s="115">
        <f>IFERROR(__xludf.DUMMYFUNCTION("""COMPUTED_VALUE"""),556.0)</f>
        <v>556</v>
      </c>
      <c r="G5049" s="115">
        <f>IFERROR(__xludf.DUMMYFUNCTION("""COMPUTED_VALUE"""),36.0)</f>
        <v>36</v>
      </c>
      <c r="H5049" s="116">
        <f>IFERROR(__xludf.DUMMYFUNCTION("""COMPUTED_VALUE"""),45910.0)</f>
        <v>45910</v>
      </c>
      <c r="I5049" s="115" t="str">
        <f>IFERROR(__xludf.DUMMYFUNCTION("""COMPUTED_VALUE"""),"09")</f>
        <v>09</v>
      </c>
      <c r="J5049" s="115" t="str">
        <f>IFERROR(__xludf.DUMMYFUNCTION("""COMPUTED_VALUE"""),"Ashvani Bhatt2025-09-1009")</f>
        <v>Ashvani Bhatt2025-09-1009</v>
      </c>
      <c r="K5049" s="115">
        <f>IFERROR(__xludf.DUMMYFUNCTION("""COMPUTED_VALUE"""),14722.0)</f>
        <v>14722</v>
      </c>
    </row>
    <row r="5050">
      <c r="A5050" s="115"/>
      <c r="B5050" s="115"/>
      <c r="C5050" s="115" t="str">
        <f>IFERROR(__xludf.DUMMYFUNCTION("""COMPUTED_VALUE"""),"EXTERNAL")</f>
        <v>EXTERNAL</v>
      </c>
      <c r="D5050" s="115">
        <f>IFERROR(__xludf.DUMMYFUNCTION("""COMPUTED_VALUE"""),65.0)</f>
        <v>65</v>
      </c>
      <c r="E5050" s="115">
        <f>IFERROR(__xludf.DUMMYFUNCTION("""COMPUTED_VALUE"""),70.0)</f>
        <v>70</v>
      </c>
      <c r="F5050" s="115">
        <f>IFERROR(__xludf.DUMMYFUNCTION("""COMPUTED_VALUE"""),0.0)</f>
        <v>0</v>
      </c>
      <c r="G5050" s="115">
        <f>IFERROR(__xludf.DUMMYFUNCTION("""COMPUTED_VALUE"""),6.0)</f>
        <v>6</v>
      </c>
      <c r="H5050" s="116">
        <f>IFERROR(__xludf.DUMMYFUNCTION("""COMPUTED_VALUE"""),45910.0)</f>
        <v>45910</v>
      </c>
      <c r="I5050" s="115" t="str">
        <f>IFERROR(__xludf.DUMMYFUNCTION("""COMPUTED_VALUE"""),"09")</f>
        <v>09</v>
      </c>
      <c r="J5050" s="115" t="str">
        <f>IFERROR(__xludf.DUMMYFUNCTION("""COMPUTED_VALUE"""),"2025-09-1009")</f>
        <v>2025-09-1009</v>
      </c>
      <c r="K5050" s="115">
        <f>IFERROR(__xludf.DUMMYFUNCTION("""COMPUTED_VALUE"""),135.0)</f>
        <v>135</v>
      </c>
    </row>
    <row r="5051">
      <c r="A5051" s="115"/>
      <c r="B5051" s="115"/>
      <c r="C5051" s="115" t="str">
        <f>IFERROR(__xludf.DUMMYFUNCTION("""COMPUTED_VALUE"""),"FLIPKART")</f>
        <v>FLIPKART</v>
      </c>
      <c r="D5051" s="115">
        <f>IFERROR(__xludf.DUMMYFUNCTION("""COMPUTED_VALUE"""),898.0)</f>
        <v>898</v>
      </c>
      <c r="E5051" s="115">
        <f>IFERROR(__xludf.DUMMYFUNCTION("""COMPUTED_VALUE"""),251.0)</f>
        <v>251</v>
      </c>
      <c r="F5051" s="115">
        <f>IFERROR(__xludf.DUMMYFUNCTION("""COMPUTED_VALUE"""),4.0)</f>
        <v>4</v>
      </c>
      <c r="G5051" s="115">
        <f>IFERROR(__xludf.DUMMYFUNCTION("""COMPUTED_VALUE"""),13.0)</f>
        <v>13</v>
      </c>
      <c r="H5051" s="116">
        <f>IFERROR(__xludf.DUMMYFUNCTION("""COMPUTED_VALUE"""),45910.0)</f>
        <v>45910</v>
      </c>
      <c r="I5051" s="115" t="str">
        <f>IFERROR(__xludf.DUMMYFUNCTION("""COMPUTED_VALUE"""),"09")</f>
        <v>09</v>
      </c>
      <c r="J5051" s="115" t="str">
        <f>IFERROR(__xludf.DUMMYFUNCTION("""COMPUTED_VALUE"""),"2025-09-1009")</f>
        <v>2025-09-1009</v>
      </c>
      <c r="K5051" s="115">
        <f>IFERROR(__xludf.DUMMYFUNCTION("""COMPUTED_VALUE"""),1149.0)</f>
        <v>1149</v>
      </c>
    </row>
    <row r="5052">
      <c r="A5052" s="115"/>
      <c r="B5052" s="115"/>
      <c r="C5052" s="115" t="str">
        <f>IFERROR(__xludf.DUMMYFUNCTION("""COMPUTED_VALUE"""),"MYNTRA")</f>
        <v>MYNTRA</v>
      </c>
      <c r="D5052" s="115">
        <f>IFERROR(__xludf.DUMMYFUNCTION("""COMPUTED_VALUE"""),69.0)</f>
        <v>69</v>
      </c>
      <c r="E5052" s="115">
        <f>IFERROR(__xludf.DUMMYFUNCTION("""COMPUTED_VALUE"""),95.0)</f>
        <v>95</v>
      </c>
      <c r="F5052" s="115">
        <f>IFERROR(__xludf.DUMMYFUNCTION("""COMPUTED_VALUE"""),0.0)</f>
        <v>0</v>
      </c>
      <c r="G5052" s="115">
        <f>IFERROR(__xludf.DUMMYFUNCTION("""COMPUTED_VALUE"""),7.0)</f>
        <v>7</v>
      </c>
      <c r="H5052" s="116">
        <f>IFERROR(__xludf.DUMMYFUNCTION("""COMPUTED_VALUE"""),45910.0)</f>
        <v>45910</v>
      </c>
      <c r="I5052" s="115" t="str">
        <f>IFERROR(__xludf.DUMMYFUNCTION("""COMPUTED_VALUE"""),"09")</f>
        <v>09</v>
      </c>
      <c r="J5052" s="115" t="str">
        <f>IFERROR(__xludf.DUMMYFUNCTION("""COMPUTED_VALUE"""),"2025-09-1009")</f>
        <v>2025-09-1009</v>
      </c>
      <c r="K5052" s="115">
        <f>IFERROR(__xludf.DUMMYFUNCTION("""COMPUTED_VALUE"""),164.0)</f>
        <v>164</v>
      </c>
    </row>
    <row r="5053">
      <c r="A5053" s="115" t="str">
        <f>IFERROR(__xludf.DUMMYFUNCTION("""COMPUTED_VALUE"""),"EAST")</f>
        <v>EAST</v>
      </c>
      <c r="B5053" s="115" t="str">
        <f>IFERROR(__xludf.DUMMYFUNCTION("""COMPUTED_VALUE"""),"Ashish Ranjan")</f>
        <v>Ashish Ranjan</v>
      </c>
      <c r="C5053" s="115" t="str">
        <f>IFERROR(__xludf.DUMMYFUNCTION("""COMPUTED_VALUE"""),"EXTERNAL")</f>
        <v>EXTERNAL</v>
      </c>
      <c r="D5053" s="115">
        <f>IFERROR(__xludf.DUMMYFUNCTION("""COMPUTED_VALUE"""),23579.0)</f>
        <v>23579</v>
      </c>
      <c r="E5053" s="115">
        <f>IFERROR(__xludf.DUMMYFUNCTION("""COMPUTED_VALUE"""),1997.0)</f>
        <v>1997</v>
      </c>
      <c r="F5053" s="115">
        <f>IFERROR(__xludf.DUMMYFUNCTION("""COMPUTED_VALUE"""),1649.0)</f>
        <v>1649</v>
      </c>
      <c r="G5053" s="115">
        <f>IFERROR(__xludf.DUMMYFUNCTION("""COMPUTED_VALUE"""),34.0)</f>
        <v>34</v>
      </c>
      <c r="H5053" s="116">
        <f>IFERROR(__xludf.DUMMYFUNCTION("""COMPUTED_VALUE"""),45910.0)</f>
        <v>45910</v>
      </c>
      <c r="I5053" s="115" t="str">
        <f>IFERROR(__xludf.DUMMYFUNCTION("""COMPUTED_VALUE"""),"10")</f>
        <v>10</v>
      </c>
      <c r="J5053" s="115" t="str">
        <f>IFERROR(__xludf.DUMMYFUNCTION("""COMPUTED_VALUE"""),"Ashish Ranjan2025-09-1010")</f>
        <v>Ashish Ranjan2025-09-1010</v>
      </c>
      <c r="K5053" s="115">
        <f>IFERROR(__xludf.DUMMYFUNCTION("""COMPUTED_VALUE"""),25576.0)</f>
        <v>25576</v>
      </c>
    </row>
    <row r="5054">
      <c r="A5054" s="115" t="str">
        <f>IFERROR(__xludf.DUMMYFUNCTION("""COMPUTED_VALUE"""),"EAST")</f>
        <v>EAST</v>
      </c>
      <c r="B5054" s="115" t="str">
        <f>IFERROR(__xludf.DUMMYFUNCTION("""COMPUTED_VALUE"""),"Ashish Ranjan")</f>
        <v>Ashish Ranjan</v>
      </c>
      <c r="C5054" s="115" t="str">
        <f>IFERROR(__xludf.DUMMYFUNCTION("""COMPUTED_VALUE"""),"FLIPKART")</f>
        <v>FLIPKART</v>
      </c>
      <c r="D5054" s="115">
        <f>IFERROR(__xludf.DUMMYFUNCTION("""COMPUTED_VALUE"""),421541.0)</f>
        <v>421541</v>
      </c>
      <c r="E5054" s="115">
        <f>IFERROR(__xludf.DUMMYFUNCTION("""COMPUTED_VALUE"""),37542.0)</f>
        <v>37542</v>
      </c>
      <c r="F5054" s="115">
        <f>IFERROR(__xludf.DUMMYFUNCTION("""COMPUTED_VALUE"""),47467.0)</f>
        <v>47467</v>
      </c>
      <c r="G5054" s="115">
        <f>IFERROR(__xludf.DUMMYFUNCTION("""COMPUTED_VALUE"""),1236.0)</f>
        <v>1236</v>
      </c>
      <c r="H5054" s="116">
        <f>IFERROR(__xludf.DUMMYFUNCTION("""COMPUTED_VALUE"""),45910.0)</f>
        <v>45910</v>
      </c>
      <c r="I5054" s="115" t="str">
        <f>IFERROR(__xludf.DUMMYFUNCTION("""COMPUTED_VALUE"""),"10")</f>
        <v>10</v>
      </c>
      <c r="J5054" s="115" t="str">
        <f>IFERROR(__xludf.DUMMYFUNCTION("""COMPUTED_VALUE"""),"Ashish Ranjan2025-09-1010")</f>
        <v>Ashish Ranjan2025-09-1010</v>
      </c>
      <c r="K5054" s="115">
        <f>IFERROR(__xludf.DUMMYFUNCTION("""COMPUTED_VALUE"""),459083.0)</f>
        <v>459083</v>
      </c>
    </row>
    <row r="5055">
      <c r="A5055" s="115" t="str">
        <f>IFERROR(__xludf.DUMMYFUNCTION("""COMPUTED_VALUE"""),"EAST")</f>
        <v>EAST</v>
      </c>
      <c r="B5055" s="115" t="str">
        <f>IFERROR(__xludf.DUMMYFUNCTION("""COMPUTED_VALUE"""),"Ashish Ranjan")</f>
        <v>Ashish Ranjan</v>
      </c>
      <c r="C5055" s="115" t="str">
        <f>IFERROR(__xludf.DUMMYFUNCTION("""COMPUTED_VALUE"""),"MYNTRA")</f>
        <v>MYNTRA</v>
      </c>
      <c r="D5055" s="115">
        <f>IFERROR(__xludf.DUMMYFUNCTION("""COMPUTED_VALUE"""),46000.0)</f>
        <v>46000</v>
      </c>
      <c r="E5055" s="115">
        <f>IFERROR(__xludf.DUMMYFUNCTION("""COMPUTED_VALUE"""),9411.0)</f>
        <v>9411</v>
      </c>
      <c r="F5055" s="115">
        <f>IFERROR(__xludf.DUMMYFUNCTION("""COMPUTED_VALUE"""),5307.0)</f>
        <v>5307</v>
      </c>
      <c r="G5055" s="115">
        <f>IFERROR(__xludf.DUMMYFUNCTION("""COMPUTED_VALUE"""),259.0)</f>
        <v>259</v>
      </c>
      <c r="H5055" s="116">
        <f>IFERROR(__xludf.DUMMYFUNCTION("""COMPUTED_VALUE"""),45910.0)</f>
        <v>45910</v>
      </c>
      <c r="I5055" s="115" t="str">
        <f>IFERROR(__xludf.DUMMYFUNCTION("""COMPUTED_VALUE"""),"10")</f>
        <v>10</v>
      </c>
      <c r="J5055" s="115" t="str">
        <f>IFERROR(__xludf.DUMMYFUNCTION("""COMPUTED_VALUE"""),"Ashish Ranjan2025-09-1010")</f>
        <v>Ashish Ranjan2025-09-1010</v>
      </c>
      <c r="K5055" s="115">
        <f>IFERROR(__xludf.DUMMYFUNCTION("""COMPUTED_VALUE"""),55411.0)</f>
        <v>55411</v>
      </c>
    </row>
    <row r="5056">
      <c r="A5056" s="115" t="str">
        <f>IFERROR(__xludf.DUMMYFUNCTION("""COMPUTED_VALUE"""),"EAST")</f>
        <v>EAST</v>
      </c>
      <c r="B5056" s="115" t="str">
        <f>IFERROR(__xludf.DUMMYFUNCTION("""COMPUTED_VALUE"""),"Girish Chand")</f>
        <v>Girish Chand</v>
      </c>
      <c r="C5056" s="115" t="str">
        <f>IFERROR(__xludf.DUMMYFUNCTION("""COMPUTED_VALUE"""),"EXTERNAL")</f>
        <v>EXTERNAL</v>
      </c>
      <c r="D5056" s="115">
        <f>IFERROR(__xludf.DUMMYFUNCTION("""COMPUTED_VALUE"""),14129.0)</f>
        <v>14129</v>
      </c>
      <c r="E5056" s="115">
        <f>IFERROR(__xludf.DUMMYFUNCTION("""COMPUTED_VALUE"""),879.0)</f>
        <v>879</v>
      </c>
      <c r="F5056" s="115">
        <f>IFERROR(__xludf.DUMMYFUNCTION("""COMPUTED_VALUE"""),520.0)</f>
        <v>520</v>
      </c>
      <c r="G5056" s="115">
        <f>IFERROR(__xludf.DUMMYFUNCTION("""COMPUTED_VALUE"""),12.0)</f>
        <v>12</v>
      </c>
      <c r="H5056" s="116">
        <f>IFERROR(__xludf.DUMMYFUNCTION("""COMPUTED_VALUE"""),45910.0)</f>
        <v>45910</v>
      </c>
      <c r="I5056" s="115" t="str">
        <f>IFERROR(__xludf.DUMMYFUNCTION("""COMPUTED_VALUE"""),"10")</f>
        <v>10</v>
      </c>
      <c r="J5056" s="115" t="str">
        <f>IFERROR(__xludf.DUMMYFUNCTION("""COMPUTED_VALUE"""),"Girish Chand2025-09-1010")</f>
        <v>Girish Chand2025-09-1010</v>
      </c>
      <c r="K5056" s="115">
        <f>IFERROR(__xludf.DUMMYFUNCTION("""COMPUTED_VALUE"""),15008.0)</f>
        <v>15008</v>
      </c>
    </row>
    <row r="5057">
      <c r="A5057" s="115" t="str">
        <f>IFERROR(__xludf.DUMMYFUNCTION("""COMPUTED_VALUE"""),"EAST")</f>
        <v>EAST</v>
      </c>
      <c r="B5057" s="115" t="str">
        <f>IFERROR(__xludf.DUMMYFUNCTION("""COMPUTED_VALUE"""),"Girish Chand")</f>
        <v>Girish Chand</v>
      </c>
      <c r="C5057" s="115" t="str">
        <f>IFERROR(__xludf.DUMMYFUNCTION("""COMPUTED_VALUE"""),"FLIPKART")</f>
        <v>FLIPKART</v>
      </c>
      <c r="D5057" s="115">
        <f>IFERROR(__xludf.DUMMYFUNCTION("""COMPUTED_VALUE"""),267412.0)</f>
        <v>267412</v>
      </c>
      <c r="E5057" s="115">
        <f>IFERROR(__xludf.DUMMYFUNCTION("""COMPUTED_VALUE"""),18789.0)</f>
        <v>18789</v>
      </c>
      <c r="F5057" s="115">
        <f>IFERROR(__xludf.DUMMYFUNCTION("""COMPUTED_VALUE"""),17671.0)</f>
        <v>17671</v>
      </c>
      <c r="G5057" s="115">
        <f>IFERROR(__xludf.DUMMYFUNCTION("""COMPUTED_VALUE"""),533.0)</f>
        <v>533</v>
      </c>
      <c r="H5057" s="116">
        <f>IFERROR(__xludf.DUMMYFUNCTION("""COMPUTED_VALUE"""),45910.0)</f>
        <v>45910</v>
      </c>
      <c r="I5057" s="115" t="str">
        <f>IFERROR(__xludf.DUMMYFUNCTION("""COMPUTED_VALUE"""),"10")</f>
        <v>10</v>
      </c>
      <c r="J5057" s="115" t="str">
        <f>IFERROR(__xludf.DUMMYFUNCTION("""COMPUTED_VALUE"""),"Girish Chand2025-09-1010")</f>
        <v>Girish Chand2025-09-1010</v>
      </c>
      <c r="K5057" s="115">
        <f>IFERROR(__xludf.DUMMYFUNCTION("""COMPUTED_VALUE"""),286201.0)</f>
        <v>286201</v>
      </c>
    </row>
    <row r="5058">
      <c r="A5058" s="115" t="str">
        <f>IFERROR(__xludf.DUMMYFUNCTION("""COMPUTED_VALUE"""),"EAST")</f>
        <v>EAST</v>
      </c>
      <c r="B5058" s="115" t="str">
        <f>IFERROR(__xludf.DUMMYFUNCTION("""COMPUTED_VALUE"""),"Girish Chand")</f>
        <v>Girish Chand</v>
      </c>
      <c r="C5058" s="115" t="str">
        <f>IFERROR(__xludf.DUMMYFUNCTION("""COMPUTED_VALUE"""),"MYNTRA")</f>
        <v>MYNTRA</v>
      </c>
      <c r="D5058" s="115">
        <f>IFERROR(__xludf.DUMMYFUNCTION("""COMPUTED_VALUE"""),22793.0)</f>
        <v>22793</v>
      </c>
      <c r="E5058" s="115">
        <f>IFERROR(__xludf.DUMMYFUNCTION("""COMPUTED_VALUE"""),3941.0)</f>
        <v>3941</v>
      </c>
      <c r="F5058" s="115">
        <f>IFERROR(__xludf.DUMMYFUNCTION("""COMPUTED_VALUE"""),1775.0)</f>
        <v>1775</v>
      </c>
      <c r="G5058" s="115">
        <f>IFERROR(__xludf.DUMMYFUNCTION("""COMPUTED_VALUE"""),82.0)</f>
        <v>82</v>
      </c>
      <c r="H5058" s="116">
        <f>IFERROR(__xludf.DUMMYFUNCTION("""COMPUTED_VALUE"""),45910.0)</f>
        <v>45910</v>
      </c>
      <c r="I5058" s="115" t="str">
        <f>IFERROR(__xludf.DUMMYFUNCTION("""COMPUTED_VALUE"""),"10")</f>
        <v>10</v>
      </c>
      <c r="J5058" s="115" t="str">
        <f>IFERROR(__xludf.DUMMYFUNCTION("""COMPUTED_VALUE"""),"Girish Chand2025-09-1010")</f>
        <v>Girish Chand2025-09-1010</v>
      </c>
      <c r="K5058" s="115">
        <f>IFERROR(__xludf.DUMMYFUNCTION("""COMPUTED_VALUE"""),26734.0)</f>
        <v>26734</v>
      </c>
    </row>
    <row r="5059">
      <c r="A5059" s="115" t="str">
        <f>IFERROR(__xludf.DUMMYFUNCTION("""COMPUTED_VALUE"""),"EAST")</f>
        <v>EAST</v>
      </c>
      <c r="B5059" s="115" t="str">
        <f>IFERROR(__xludf.DUMMYFUNCTION("""COMPUTED_VALUE"""),"Parag Kashyap")</f>
        <v>Parag Kashyap</v>
      </c>
      <c r="C5059" s="115" t="str">
        <f>IFERROR(__xludf.DUMMYFUNCTION("""COMPUTED_VALUE"""),"EXTERNAL")</f>
        <v>EXTERNAL</v>
      </c>
      <c r="D5059" s="115">
        <f>IFERROR(__xludf.DUMMYFUNCTION("""COMPUTED_VALUE"""),9170.0)</f>
        <v>9170</v>
      </c>
      <c r="E5059" s="115">
        <f>IFERROR(__xludf.DUMMYFUNCTION("""COMPUTED_VALUE"""),432.0)</f>
        <v>432</v>
      </c>
      <c r="F5059" s="115">
        <f>IFERROR(__xludf.DUMMYFUNCTION("""COMPUTED_VALUE"""),226.0)</f>
        <v>226</v>
      </c>
      <c r="G5059" s="115">
        <f>IFERROR(__xludf.DUMMYFUNCTION("""COMPUTED_VALUE"""),9.0)</f>
        <v>9</v>
      </c>
      <c r="H5059" s="116">
        <f>IFERROR(__xludf.DUMMYFUNCTION("""COMPUTED_VALUE"""),45910.0)</f>
        <v>45910</v>
      </c>
      <c r="I5059" s="115" t="str">
        <f>IFERROR(__xludf.DUMMYFUNCTION("""COMPUTED_VALUE"""),"10")</f>
        <v>10</v>
      </c>
      <c r="J5059" s="115" t="str">
        <f>IFERROR(__xludf.DUMMYFUNCTION("""COMPUTED_VALUE"""),"Parag Kashyap2025-09-1010")</f>
        <v>Parag Kashyap2025-09-1010</v>
      </c>
      <c r="K5059" s="115">
        <f>IFERROR(__xludf.DUMMYFUNCTION("""COMPUTED_VALUE"""),9602.0)</f>
        <v>9602</v>
      </c>
    </row>
    <row r="5060">
      <c r="A5060" s="115" t="str">
        <f>IFERROR(__xludf.DUMMYFUNCTION("""COMPUTED_VALUE"""),"EAST")</f>
        <v>EAST</v>
      </c>
      <c r="B5060" s="115" t="str">
        <f>IFERROR(__xludf.DUMMYFUNCTION("""COMPUTED_VALUE"""),"Parag Kashyap")</f>
        <v>Parag Kashyap</v>
      </c>
      <c r="C5060" s="115" t="str">
        <f>IFERROR(__xludf.DUMMYFUNCTION("""COMPUTED_VALUE"""),"FLIPKART")</f>
        <v>FLIPKART</v>
      </c>
      <c r="D5060" s="115">
        <f>IFERROR(__xludf.DUMMYFUNCTION("""COMPUTED_VALUE"""),175901.0)</f>
        <v>175901</v>
      </c>
      <c r="E5060" s="115">
        <f>IFERROR(__xludf.DUMMYFUNCTION("""COMPUTED_VALUE"""),8531.0)</f>
        <v>8531</v>
      </c>
      <c r="F5060" s="115">
        <f>IFERROR(__xludf.DUMMYFUNCTION("""COMPUTED_VALUE"""),8075.0)</f>
        <v>8075</v>
      </c>
      <c r="G5060" s="115">
        <f>IFERROR(__xludf.DUMMYFUNCTION("""COMPUTED_VALUE"""),214.0)</f>
        <v>214</v>
      </c>
      <c r="H5060" s="116">
        <f>IFERROR(__xludf.DUMMYFUNCTION("""COMPUTED_VALUE"""),45910.0)</f>
        <v>45910</v>
      </c>
      <c r="I5060" s="115" t="str">
        <f>IFERROR(__xludf.DUMMYFUNCTION("""COMPUTED_VALUE"""),"10")</f>
        <v>10</v>
      </c>
      <c r="J5060" s="115" t="str">
        <f>IFERROR(__xludf.DUMMYFUNCTION("""COMPUTED_VALUE"""),"Parag Kashyap2025-09-1010")</f>
        <v>Parag Kashyap2025-09-1010</v>
      </c>
      <c r="K5060" s="115">
        <f>IFERROR(__xludf.DUMMYFUNCTION("""COMPUTED_VALUE"""),184432.0)</f>
        <v>184432</v>
      </c>
    </row>
    <row r="5061">
      <c r="A5061" s="115" t="str">
        <f>IFERROR(__xludf.DUMMYFUNCTION("""COMPUTED_VALUE"""),"EAST")</f>
        <v>EAST</v>
      </c>
      <c r="B5061" s="115" t="str">
        <f>IFERROR(__xludf.DUMMYFUNCTION("""COMPUTED_VALUE"""),"Parag Kashyap")</f>
        <v>Parag Kashyap</v>
      </c>
      <c r="C5061" s="115" t="str">
        <f>IFERROR(__xludf.DUMMYFUNCTION("""COMPUTED_VALUE"""),"MYNTRA")</f>
        <v>MYNTRA</v>
      </c>
      <c r="D5061" s="115">
        <f>IFERROR(__xludf.DUMMYFUNCTION("""COMPUTED_VALUE"""),22119.0)</f>
        <v>22119</v>
      </c>
      <c r="E5061" s="115">
        <f>IFERROR(__xludf.DUMMYFUNCTION("""COMPUTED_VALUE"""),2665.0)</f>
        <v>2665</v>
      </c>
      <c r="F5061" s="115">
        <f>IFERROR(__xludf.DUMMYFUNCTION("""COMPUTED_VALUE"""),1224.0)</f>
        <v>1224</v>
      </c>
      <c r="G5061" s="115">
        <f>IFERROR(__xludf.DUMMYFUNCTION("""COMPUTED_VALUE"""),39.0)</f>
        <v>39</v>
      </c>
      <c r="H5061" s="116">
        <f>IFERROR(__xludf.DUMMYFUNCTION("""COMPUTED_VALUE"""),45910.0)</f>
        <v>45910</v>
      </c>
      <c r="I5061" s="115" t="str">
        <f>IFERROR(__xludf.DUMMYFUNCTION("""COMPUTED_VALUE"""),"10")</f>
        <v>10</v>
      </c>
      <c r="J5061" s="115" t="str">
        <f>IFERROR(__xludf.DUMMYFUNCTION("""COMPUTED_VALUE"""),"Parag Kashyap2025-09-1010")</f>
        <v>Parag Kashyap2025-09-1010</v>
      </c>
      <c r="K5061" s="115">
        <f>IFERROR(__xludf.DUMMYFUNCTION("""COMPUTED_VALUE"""),24784.0)</f>
        <v>24784</v>
      </c>
    </row>
    <row r="5062">
      <c r="A5062" s="115" t="str">
        <f>IFERROR(__xludf.DUMMYFUNCTION("""COMPUTED_VALUE"""),"NORTH")</f>
        <v>NORTH</v>
      </c>
      <c r="B5062" s="115" t="str">
        <f>IFERROR(__xludf.DUMMYFUNCTION("""COMPUTED_VALUE"""),"Amit Kumar Pathak")</f>
        <v>Amit Kumar Pathak</v>
      </c>
      <c r="C5062" s="115" t="str">
        <f>IFERROR(__xludf.DUMMYFUNCTION("""COMPUTED_VALUE"""),"EXTERNAL")</f>
        <v>EXTERNAL</v>
      </c>
      <c r="D5062" s="115">
        <f>IFERROR(__xludf.DUMMYFUNCTION("""COMPUTED_VALUE"""),13230.0)</f>
        <v>13230</v>
      </c>
      <c r="E5062" s="115">
        <f>IFERROR(__xludf.DUMMYFUNCTION("""COMPUTED_VALUE"""),2811.0)</f>
        <v>2811</v>
      </c>
      <c r="F5062" s="115">
        <f>IFERROR(__xludf.DUMMYFUNCTION("""COMPUTED_VALUE"""),576.0)</f>
        <v>576</v>
      </c>
      <c r="G5062" s="115">
        <f>IFERROR(__xludf.DUMMYFUNCTION("""COMPUTED_VALUE"""),90.0)</f>
        <v>90</v>
      </c>
      <c r="H5062" s="116">
        <f>IFERROR(__xludf.DUMMYFUNCTION("""COMPUTED_VALUE"""),45910.0)</f>
        <v>45910</v>
      </c>
      <c r="I5062" s="115" t="str">
        <f>IFERROR(__xludf.DUMMYFUNCTION("""COMPUTED_VALUE"""),"10")</f>
        <v>10</v>
      </c>
      <c r="J5062" s="115" t="str">
        <f>IFERROR(__xludf.DUMMYFUNCTION("""COMPUTED_VALUE"""),"Amit Kumar Pathak2025-09-1010")</f>
        <v>Amit Kumar Pathak2025-09-1010</v>
      </c>
      <c r="K5062" s="115">
        <f>IFERROR(__xludf.DUMMYFUNCTION("""COMPUTED_VALUE"""),16041.0)</f>
        <v>16041</v>
      </c>
    </row>
    <row r="5063">
      <c r="A5063" s="115" t="str">
        <f>IFERROR(__xludf.DUMMYFUNCTION("""COMPUTED_VALUE"""),"NORTH")</f>
        <v>NORTH</v>
      </c>
      <c r="B5063" s="115" t="str">
        <f>IFERROR(__xludf.DUMMYFUNCTION("""COMPUTED_VALUE"""),"Amit Kumar Pathak")</f>
        <v>Amit Kumar Pathak</v>
      </c>
      <c r="C5063" s="115" t="str">
        <f>IFERROR(__xludf.DUMMYFUNCTION("""COMPUTED_VALUE"""),"FLIPKART")</f>
        <v>FLIPKART</v>
      </c>
      <c r="D5063" s="115">
        <f>IFERROR(__xludf.DUMMYFUNCTION("""COMPUTED_VALUE"""),111566.0)</f>
        <v>111566</v>
      </c>
      <c r="E5063" s="115">
        <f>IFERROR(__xludf.DUMMYFUNCTION("""COMPUTED_VALUE"""),15113.0)</f>
        <v>15113</v>
      </c>
      <c r="F5063" s="115">
        <f>IFERROR(__xludf.DUMMYFUNCTION("""COMPUTED_VALUE"""),10362.0)</f>
        <v>10362</v>
      </c>
      <c r="G5063" s="115">
        <f>IFERROR(__xludf.DUMMYFUNCTION("""COMPUTED_VALUE"""),683.0)</f>
        <v>683</v>
      </c>
      <c r="H5063" s="116">
        <f>IFERROR(__xludf.DUMMYFUNCTION("""COMPUTED_VALUE"""),45910.0)</f>
        <v>45910</v>
      </c>
      <c r="I5063" s="115" t="str">
        <f>IFERROR(__xludf.DUMMYFUNCTION("""COMPUTED_VALUE"""),"10")</f>
        <v>10</v>
      </c>
      <c r="J5063" s="115" t="str">
        <f>IFERROR(__xludf.DUMMYFUNCTION("""COMPUTED_VALUE"""),"Amit Kumar Pathak2025-09-1010")</f>
        <v>Amit Kumar Pathak2025-09-1010</v>
      </c>
      <c r="K5063" s="115">
        <f>IFERROR(__xludf.DUMMYFUNCTION("""COMPUTED_VALUE"""),126679.0)</f>
        <v>126679</v>
      </c>
    </row>
    <row r="5064">
      <c r="A5064" s="115" t="str">
        <f>IFERROR(__xludf.DUMMYFUNCTION("""COMPUTED_VALUE"""),"NORTH")</f>
        <v>NORTH</v>
      </c>
      <c r="B5064" s="115" t="str">
        <f>IFERROR(__xludf.DUMMYFUNCTION("""COMPUTED_VALUE"""),"Amit Kumar Pathak")</f>
        <v>Amit Kumar Pathak</v>
      </c>
      <c r="C5064" s="115" t="str">
        <f>IFERROR(__xludf.DUMMYFUNCTION("""COMPUTED_VALUE"""),"MYNTRA")</f>
        <v>MYNTRA</v>
      </c>
      <c r="D5064" s="115">
        <f>IFERROR(__xludf.DUMMYFUNCTION("""COMPUTED_VALUE"""),9133.0)</f>
        <v>9133</v>
      </c>
      <c r="E5064" s="115">
        <f>IFERROR(__xludf.DUMMYFUNCTION("""COMPUTED_VALUE"""),4044.0)</f>
        <v>4044</v>
      </c>
      <c r="F5064" s="115">
        <f>IFERROR(__xludf.DUMMYFUNCTION("""COMPUTED_VALUE"""),1148.0)</f>
        <v>1148</v>
      </c>
      <c r="G5064" s="115">
        <f>IFERROR(__xludf.DUMMYFUNCTION("""COMPUTED_VALUE"""),223.0)</f>
        <v>223</v>
      </c>
      <c r="H5064" s="116">
        <f>IFERROR(__xludf.DUMMYFUNCTION("""COMPUTED_VALUE"""),45910.0)</f>
        <v>45910</v>
      </c>
      <c r="I5064" s="115" t="str">
        <f>IFERROR(__xludf.DUMMYFUNCTION("""COMPUTED_VALUE"""),"10")</f>
        <v>10</v>
      </c>
      <c r="J5064" s="115" t="str">
        <f>IFERROR(__xludf.DUMMYFUNCTION("""COMPUTED_VALUE"""),"Amit Kumar Pathak2025-09-1010")</f>
        <v>Amit Kumar Pathak2025-09-1010</v>
      </c>
      <c r="K5064" s="115">
        <f>IFERROR(__xludf.DUMMYFUNCTION("""COMPUTED_VALUE"""),13177.0)</f>
        <v>13177</v>
      </c>
    </row>
    <row r="5065">
      <c r="A5065" s="115" t="str">
        <f>IFERROR(__xludf.DUMMYFUNCTION("""COMPUTED_VALUE"""),"NORTH")</f>
        <v>NORTH</v>
      </c>
      <c r="B5065" s="115" t="str">
        <f>IFERROR(__xludf.DUMMYFUNCTION("""COMPUTED_VALUE"""),"Loveleen Singh")</f>
        <v>Loveleen Singh</v>
      </c>
      <c r="C5065" s="115" t="str">
        <f>IFERROR(__xludf.DUMMYFUNCTION("""COMPUTED_VALUE"""),"EXTERNAL")</f>
        <v>EXTERNAL</v>
      </c>
      <c r="D5065" s="115">
        <f>IFERROR(__xludf.DUMMYFUNCTION("""COMPUTED_VALUE"""),15830.0)</f>
        <v>15830</v>
      </c>
      <c r="E5065" s="115">
        <f>IFERROR(__xludf.DUMMYFUNCTION("""COMPUTED_VALUE"""),999.0)</f>
        <v>999</v>
      </c>
      <c r="F5065" s="115">
        <f>IFERROR(__xludf.DUMMYFUNCTION("""COMPUTED_VALUE"""),627.0)</f>
        <v>627</v>
      </c>
      <c r="G5065" s="115">
        <f>IFERROR(__xludf.DUMMYFUNCTION("""COMPUTED_VALUE"""),11.0)</f>
        <v>11</v>
      </c>
      <c r="H5065" s="116">
        <f>IFERROR(__xludf.DUMMYFUNCTION("""COMPUTED_VALUE"""),45910.0)</f>
        <v>45910</v>
      </c>
      <c r="I5065" s="115" t="str">
        <f>IFERROR(__xludf.DUMMYFUNCTION("""COMPUTED_VALUE"""),"10")</f>
        <v>10</v>
      </c>
      <c r="J5065" s="115" t="str">
        <f>IFERROR(__xludf.DUMMYFUNCTION("""COMPUTED_VALUE"""),"Loveleen Singh2025-09-1010")</f>
        <v>Loveleen Singh2025-09-1010</v>
      </c>
      <c r="K5065" s="115">
        <f>IFERROR(__xludf.DUMMYFUNCTION("""COMPUTED_VALUE"""),16829.0)</f>
        <v>16829</v>
      </c>
    </row>
    <row r="5066">
      <c r="A5066" s="115" t="str">
        <f>IFERROR(__xludf.DUMMYFUNCTION("""COMPUTED_VALUE"""),"NORTH")</f>
        <v>NORTH</v>
      </c>
      <c r="B5066" s="115" t="str">
        <f>IFERROR(__xludf.DUMMYFUNCTION("""COMPUTED_VALUE"""),"Loveleen Singh")</f>
        <v>Loveleen Singh</v>
      </c>
      <c r="C5066" s="115" t="str">
        <f>IFERROR(__xludf.DUMMYFUNCTION("""COMPUTED_VALUE"""),"FLIPKART")</f>
        <v>FLIPKART</v>
      </c>
      <c r="D5066" s="115">
        <f>IFERROR(__xludf.DUMMYFUNCTION("""COMPUTED_VALUE"""),96030.0)</f>
        <v>96030</v>
      </c>
      <c r="E5066" s="115">
        <f>IFERROR(__xludf.DUMMYFUNCTION("""COMPUTED_VALUE"""),5963.0)</f>
        <v>5963</v>
      </c>
      <c r="F5066" s="115">
        <f>IFERROR(__xludf.DUMMYFUNCTION("""COMPUTED_VALUE"""),7292.0)</f>
        <v>7292</v>
      </c>
      <c r="G5066" s="115">
        <f>IFERROR(__xludf.DUMMYFUNCTION("""COMPUTED_VALUE"""),179.0)</f>
        <v>179</v>
      </c>
      <c r="H5066" s="116">
        <f>IFERROR(__xludf.DUMMYFUNCTION("""COMPUTED_VALUE"""),45910.0)</f>
        <v>45910</v>
      </c>
      <c r="I5066" s="115" t="str">
        <f>IFERROR(__xludf.DUMMYFUNCTION("""COMPUTED_VALUE"""),"10")</f>
        <v>10</v>
      </c>
      <c r="J5066" s="115" t="str">
        <f>IFERROR(__xludf.DUMMYFUNCTION("""COMPUTED_VALUE"""),"Loveleen Singh2025-09-1010")</f>
        <v>Loveleen Singh2025-09-1010</v>
      </c>
      <c r="K5066" s="115">
        <f>IFERROR(__xludf.DUMMYFUNCTION("""COMPUTED_VALUE"""),101993.0)</f>
        <v>101993</v>
      </c>
    </row>
    <row r="5067">
      <c r="A5067" s="115" t="str">
        <f>IFERROR(__xludf.DUMMYFUNCTION("""COMPUTED_VALUE"""),"NORTH")</f>
        <v>NORTH</v>
      </c>
      <c r="B5067" s="115" t="str">
        <f>IFERROR(__xludf.DUMMYFUNCTION("""COMPUTED_VALUE"""),"Loveleen Singh")</f>
        <v>Loveleen Singh</v>
      </c>
      <c r="C5067" s="115" t="str">
        <f>IFERROR(__xludf.DUMMYFUNCTION("""COMPUTED_VALUE"""),"MYNTRA")</f>
        <v>MYNTRA</v>
      </c>
      <c r="D5067" s="115">
        <f>IFERROR(__xludf.DUMMYFUNCTION("""COMPUTED_VALUE"""),16395.0)</f>
        <v>16395</v>
      </c>
      <c r="E5067" s="115">
        <f>IFERROR(__xludf.DUMMYFUNCTION("""COMPUTED_VALUE"""),3101.0)</f>
        <v>3101</v>
      </c>
      <c r="F5067" s="115">
        <f>IFERROR(__xludf.DUMMYFUNCTION("""COMPUTED_VALUE"""),1506.0)</f>
        <v>1506</v>
      </c>
      <c r="G5067" s="115">
        <f>IFERROR(__xludf.DUMMYFUNCTION("""COMPUTED_VALUE"""),138.0)</f>
        <v>138</v>
      </c>
      <c r="H5067" s="116">
        <f>IFERROR(__xludf.DUMMYFUNCTION("""COMPUTED_VALUE"""),45910.0)</f>
        <v>45910</v>
      </c>
      <c r="I5067" s="115" t="str">
        <f>IFERROR(__xludf.DUMMYFUNCTION("""COMPUTED_VALUE"""),"10")</f>
        <v>10</v>
      </c>
      <c r="J5067" s="115" t="str">
        <f>IFERROR(__xludf.DUMMYFUNCTION("""COMPUTED_VALUE"""),"Loveleen Singh2025-09-1010")</f>
        <v>Loveleen Singh2025-09-1010</v>
      </c>
      <c r="K5067" s="115">
        <f>IFERROR(__xludf.DUMMYFUNCTION("""COMPUTED_VALUE"""),19496.0)</f>
        <v>19496</v>
      </c>
    </row>
    <row r="5068">
      <c r="A5068" s="115" t="str">
        <f>IFERROR(__xludf.DUMMYFUNCTION("""COMPUTED_VALUE"""),"NORTH")</f>
        <v>NORTH</v>
      </c>
      <c r="B5068" s="115" t="str">
        <f>IFERROR(__xludf.DUMMYFUNCTION("""COMPUTED_VALUE"""),"Manoj Harsh")</f>
        <v>Manoj Harsh</v>
      </c>
      <c r="C5068" s="115" t="str">
        <f>IFERROR(__xludf.DUMMYFUNCTION("""COMPUTED_VALUE"""),"EXTERNAL")</f>
        <v>EXTERNAL</v>
      </c>
      <c r="D5068" s="115">
        <f>IFERROR(__xludf.DUMMYFUNCTION("""COMPUTED_VALUE"""),16913.0)</f>
        <v>16913</v>
      </c>
      <c r="E5068" s="115">
        <f>IFERROR(__xludf.DUMMYFUNCTION("""COMPUTED_VALUE"""),1715.0)</f>
        <v>1715</v>
      </c>
      <c r="F5068" s="115">
        <f>IFERROR(__xludf.DUMMYFUNCTION("""COMPUTED_VALUE"""),541.0)</f>
        <v>541</v>
      </c>
      <c r="G5068" s="115">
        <f>IFERROR(__xludf.DUMMYFUNCTION("""COMPUTED_VALUE"""),28.0)</f>
        <v>28</v>
      </c>
      <c r="H5068" s="116">
        <f>IFERROR(__xludf.DUMMYFUNCTION("""COMPUTED_VALUE"""),45910.0)</f>
        <v>45910</v>
      </c>
      <c r="I5068" s="115" t="str">
        <f>IFERROR(__xludf.DUMMYFUNCTION("""COMPUTED_VALUE"""),"10")</f>
        <v>10</v>
      </c>
      <c r="J5068" s="115" t="str">
        <f>IFERROR(__xludf.DUMMYFUNCTION("""COMPUTED_VALUE"""),"Manoj Harsh2025-09-1010")</f>
        <v>Manoj Harsh2025-09-1010</v>
      </c>
      <c r="K5068" s="115">
        <f>IFERROR(__xludf.DUMMYFUNCTION("""COMPUTED_VALUE"""),18628.0)</f>
        <v>18628</v>
      </c>
    </row>
    <row r="5069">
      <c r="A5069" s="115" t="str">
        <f>IFERROR(__xludf.DUMMYFUNCTION("""COMPUTED_VALUE"""),"NORTH")</f>
        <v>NORTH</v>
      </c>
      <c r="B5069" s="115" t="str">
        <f>IFERROR(__xludf.DUMMYFUNCTION("""COMPUTED_VALUE"""),"Manoj Harsh")</f>
        <v>Manoj Harsh</v>
      </c>
      <c r="C5069" s="115" t="str">
        <f>IFERROR(__xludf.DUMMYFUNCTION("""COMPUTED_VALUE"""),"FLIPKART")</f>
        <v>FLIPKART</v>
      </c>
      <c r="D5069" s="115">
        <f>IFERROR(__xludf.DUMMYFUNCTION("""COMPUTED_VALUE"""),231289.0)</f>
        <v>231289</v>
      </c>
      <c r="E5069" s="115">
        <f>IFERROR(__xludf.DUMMYFUNCTION("""COMPUTED_VALUE"""),19717.0)</f>
        <v>19717</v>
      </c>
      <c r="F5069" s="115">
        <f>IFERROR(__xludf.DUMMYFUNCTION("""COMPUTED_VALUE"""),15191.0)</f>
        <v>15191</v>
      </c>
      <c r="G5069" s="115">
        <f>IFERROR(__xludf.DUMMYFUNCTION("""COMPUTED_VALUE"""),539.0)</f>
        <v>539</v>
      </c>
      <c r="H5069" s="116">
        <f>IFERROR(__xludf.DUMMYFUNCTION("""COMPUTED_VALUE"""),45910.0)</f>
        <v>45910</v>
      </c>
      <c r="I5069" s="115" t="str">
        <f>IFERROR(__xludf.DUMMYFUNCTION("""COMPUTED_VALUE"""),"10")</f>
        <v>10</v>
      </c>
      <c r="J5069" s="115" t="str">
        <f>IFERROR(__xludf.DUMMYFUNCTION("""COMPUTED_VALUE"""),"Manoj Harsh2025-09-1010")</f>
        <v>Manoj Harsh2025-09-1010</v>
      </c>
      <c r="K5069" s="115">
        <f>IFERROR(__xludf.DUMMYFUNCTION("""COMPUTED_VALUE"""),251006.0)</f>
        <v>251006</v>
      </c>
    </row>
    <row r="5070">
      <c r="A5070" s="115" t="str">
        <f>IFERROR(__xludf.DUMMYFUNCTION("""COMPUTED_VALUE"""),"NORTH")</f>
        <v>NORTH</v>
      </c>
      <c r="B5070" s="115" t="str">
        <f>IFERROR(__xludf.DUMMYFUNCTION("""COMPUTED_VALUE"""),"Manoj Harsh")</f>
        <v>Manoj Harsh</v>
      </c>
      <c r="C5070" s="115" t="str">
        <f>IFERROR(__xludf.DUMMYFUNCTION("""COMPUTED_VALUE"""),"MYNTRA")</f>
        <v>MYNTRA</v>
      </c>
      <c r="D5070" s="115">
        <f>IFERROR(__xludf.DUMMYFUNCTION("""COMPUTED_VALUE"""),21353.0)</f>
        <v>21353</v>
      </c>
      <c r="E5070" s="115">
        <f>IFERROR(__xludf.DUMMYFUNCTION("""COMPUTED_VALUE"""),4245.0)</f>
        <v>4245</v>
      </c>
      <c r="F5070" s="115">
        <f>IFERROR(__xludf.DUMMYFUNCTION("""COMPUTED_VALUE"""),1742.0)</f>
        <v>1742</v>
      </c>
      <c r="G5070" s="115">
        <f>IFERROR(__xludf.DUMMYFUNCTION("""COMPUTED_VALUE"""),107.0)</f>
        <v>107</v>
      </c>
      <c r="H5070" s="116">
        <f>IFERROR(__xludf.DUMMYFUNCTION("""COMPUTED_VALUE"""),45910.0)</f>
        <v>45910</v>
      </c>
      <c r="I5070" s="115" t="str">
        <f>IFERROR(__xludf.DUMMYFUNCTION("""COMPUTED_VALUE"""),"10")</f>
        <v>10</v>
      </c>
      <c r="J5070" s="115" t="str">
        <f>IFERROR(__xludf.DUMMYFUNCTION("""COMPUTED_VALUE"""),"Manoj Harsh2025-09-1010")</f>
        <v>Manoj Harsh2025-09-1010</v>
      </c>
      <c r="K5070" s="115">
        <f>IFERROR(__xludf.DUMMYFUNCTION("""COMPUTED_VALUE"""),25598.0)</f>
        <v>25598</v>
      </c>
    </row>
    <row r="5071">
      <c r="A5071" s="115" t="str">
        <f>IFERROR(__xludf.DUMMYFUNCTION("""COMPUTED_VALUE"""),"NORTH")</f>
        <v>NORTH</v>
      </c>
      <c r="B5071" s="115" t="str">
        <f>IFERROR(__xludf.DUMMYFUNCTION("""COMPUTED_VALUE"""),"Pradeep Kothari")</f>
        <v>Pradeep Kothari</v>
      </c>
      <c r="C5071" s="115" t="str">
        <f>IFERROR(__xludf.DUMMYFUNCTION("""COMPUTED_VALUE"""),"EXTERNAL")</f>
        <v>EXTERNAL</v>
      </c>
      <c r="D5071" s="115">
        <f>IFERROR(__xludf.DUMMYFUNCTION("""COMPUTED_VALUE"""),11004.0)</f>
        <v>11004</v>
      </c>
      <c r="E5071" s="115">
        <f>IFERROR(__xludf.DUMMYFUNCTION("""COMPUTED_VALUE"""),1273.0)</f>
        <v>1273</v>
      </c>
      <c r="F5071" s="115">
        <f>IFERROR(__xludf.DUMMYFUNCTION("""COMPUTED_VALUE"""),452.0)</f>
        <v>452</v>
      </c>
      <c r="G5071" s="115">
        <f>IFERROR(__xludf.DUMMYFUNCTION("""COMPUTED_VALUE"""),33.0)</f>
        <v>33</v>
      </c>
      <c r="H5071" s="116">
        <f>IFERROR(__xludf.DUMMYFUNCTION("""COMPUTED_VALUE"""),45910.0)</f>
        <v>45910</v>
      </c>
      <c r="I5071" s="115" t="str">
        <f>IFERROR(__xludf.DUMMYFUNCTION("""COMPUTED_VALUE"""),"10")</f>
        <v>10</v>
      </c>
      <c r="J5071" s="115" t="str">
        <f>IFERROR(__xludf.DUMMYFUNCTION("""COMPUTED_VALUE"""),"Pradeep Kothari2025-09-1010")</f>
        <v>Pradeep Kothari2025-09-1010</v>
      </c>
      <c r="K5071" s="115">
        <f>IFERROR(__xludf.DUMMYFUNCTION("""COMPUTED_VALUE"""),12277.0)</f>
        <v>12277</v>
      </c>
    </row>
    <row r="5072">
      <c r="A5072" s="115" t="str">
        <f>IFERROR(__xludf.DUMMYFUNCTION("""COMPUTED_VALUE"""),"NORTH")</f>
        <v>NORTH</v>
      </c>
      <c r="B5072" s="115" t="str">
        <f>IFERROR(__xludf.DUMMYFUNCTION("""COMPUTED_VALUE"""),"Pradeep Kothari")</f>
        <v>Pradeep Kothari</v>
      </c>
      <c r="C5072" s="115" t="str">
        <f>IFERROR(__xludf.DUMMYFUNCTION("""COMPUTED_VALUE"""),"FLIPKART")</f>
        <v>FLIPKART</v>
      </c>
      <c r="D5072" s="115">
        <f>IFERROR(__xludf.DUMMYFUNCTION("""COMPUTED_VALUE"""),97506.0)</f>
        <v>97506</v>
      </c>
      <c r="E5072" s="115">
        <f>IFERROR(__xludf.DUMMYFUNCTION("""COMPUTED_VALUE"""),9164.0)</f>
        <v>9164</v>
      </c>
      <c r="F5072" s="115">
        <f>IFERROR(__xludf.DUMMYFUNCTION("""COMPUTED_VALUE"""),8620.0)</f>
        <v>8620</v>
      </c>
      <c r="G5072" s="115">
        <f>IFERROR(__xludf.DUMMYFUNCTION("""COMPUTED_VALUE"""),307.0)</f>
        <v>307</v>
      </c>
      <c r="H5072" s="116">
        <f>IFERROR(__xludf.DUMMYFUNCTION("""COMPUTED_VALUE"""),45910.0)</f>
        <v>45910</v>
      </c>
      <c r="I5072" s="115" t="str">
        <f>IFERROR(__xludf.DUMMYFUNCTION("""COMPUTED_VALUE"""),"10")</f>
        <v>10</v>
      </c>
      <c r="J5072" s="115" t="str">
        <f>IFERROR(__xludf.DUMMYFUNCTION("""COMPUTED_VALUE"""),"Pradeep Kothari2025-09-1010")</f>
        <v>Pradeep Kothari2025-09-1010</v>
      </c>
      <c r="K5072" s="115">
        <f>IFERROR(__xludf.DUMMYFUNCTION("""COMPUTED_VALUE"""),106670.0)</f>
        <v>106670</v>
      </c>
    </row>
    <row r="5073">
      <c r="A5073" s="115" t="str">
        <f>IFERROR(__xludf.DUMMYFUNCTION("""COMPUTED_VALUE"""),"NORTH")</f>
        <v>NORTH</v>
      </c>
      <c r="B5073" s="115" t="str">
        <f>IFERROR(__xludf.DUMMYFUNCTION("""COMPUTED_VALUE"""),"Pradeep Kothari")</f>
        <v>Pradeep Kothari</v>
      </c>
      <c r="C5073" s="115" t="str">
        <f>IFERROR(__xludf.DUMMYFUNCTION("""COMPUTED_VALUE"""),"MYNTRA")</f>
        <v>MYNTRA</v>
      </c>
      <c r="D5073" s="115">
        <f>IFERROR(__xludf.DUMMYFUNCTION("""COMPUTED_VALUE"""),15996.0)</f>
        <v>15996</v>
      </c>
      <c r="E5073" s="115">
        <f>IFERROR(__xludf.DUMMYFUNCTION("""COMPUTED_VALUE"""),3717.0)</f>
        <v>3717</v>
      </c>
      <c r="F5073" s="115">
        <f>IFERROR(__xludf.DUMMYFUNCTION("""COMPUTED_VALUE"""),2128.0)</f>
        <v>2128</v>
      </c>
      <c r="G5073" s="115">
        <f>IFERROR(__xludf.DUMMYFUNCTION("""COMPUTED_VALUE"""),173.0)</f>
        <v>173</v>
      </c>
      <c r="H5073" s="116">
        <f>IFERROR(__xludf.DUMMYFUNCTION("""COMPUTED_VALUE"""),45910.0)</f>
        <v>45910</v>
      </c>
      <c r="I5073" s="115" t="str">
        <f>IFERROR(__xludf.DUMMYFUNCTION("""COMPUTED_VALUE"""),"10")</f>
        <v>10</v>
      </c>
      <c r="J5073" s="115" t="str">
        <f>IFERROR(__xludf.DUMMYFUNCTION("""COMPUTED_VALUE"""),"Pradeep Kothari2025-09-1010")</f>
        <v>Pradeep Kothari2025-09-1010</v>
      </c>
      <c r="K5073" s="115">
        <f>IFERROR(__xludf.DUMMYFUNCTION("""COMPUTED_VALUE"""),19713.0)</f>
        <v>19713</v>
      </c>
    </row>
    <row r="5074">
      <c r="A5074" s="115" t="str">
        <f>IFERROR(__xludf.DUMMYFUNCTION("""COMPUTED_VALUE"""),"SOUTH")</f>
        <v>SOUTH</v>
      </c>
      <c r="B5074" s="115" t="str">
        <f>IFERROR(__xludf.DUMMYFUNCTION("""COMPUTED_VALUE"""),"Kandula Sampath")</f>
        <v>Kandula Sampath</v>
      </c>
      <c r="C5074" s="115" t="str">
        <f>IFERROR(__xludf.DUMMYFUNCTION("""COMPUTED_VALUE"""),"EXTERNAL")</f>
        <v>EXTERNAL</v>
      </c>
      <c r="D5074" s="115">
        <f>IFERROR(__xludf.DUMMYFUNCTION("""COMPUTED_VALUE"""),21893.0)</f>
        <v>21893</v>
      </c>
      <c r="E5074" s="115">
        <f>IFERROR(__xludf.DUMMYFUNCTION("""COMPUTED_VALUE"""),2440.0)</f>
        <v>2440</v>
      </c>
      <c r="F5074" s="115">
        <f>IFERROR(__xludf.DUMMYFUNCTION("""COMPUTED_VALUE"""),1558.0)</f>
        <v>1558</v>
      </c>
      <c r="G5074" s="115">
        <f>IFERROR(__xludf.DUMMYFUNCTION("""COMPUTED_VALUE"""),37.0)</f>
        <v>37</v>
      </c>
      <c r="H5074" s="116">
        <f>IFERROR(__xludf.DUMMYFUNCTION("""COMPUTED_VALUE"""),45910.0)</f>
        <v>45910</v>
      </c>
      <c r="I5074" s="115" t="str">
        <f>IFERROR(__xludf.DUMMYFUNCTION("""COMPUTED_VALUE"""),"10")</f>
        <v>10</v>
      </c>
      <c r="J5074" s="115" t="str">
        <f>IFERROR(__xludf.DUMMYFUNCTION("""COMPUTED_VALUE"""),"Kandula Sampath2025-09-1010")</f>
        <v>Kandula Sampath2025-09-1010</v>
      </c>
      <c r="K5074" s="115">
        <f>IFERROR(__xludf.DUMMYFUNCTION("""COMPUTED_VALUE"""),24333.0)</f>
        <v>24333</v>
      </c>
    </row>
    <row r="5075">
      <c r="A5075" s="115" t="str">
        <f>IFERROR(__xludf.DUMMYFUNCTION("""COMPUTED_VALUE"""),"SOUTH")</f>
        <v>SOUTH</v>
      </c>
      <c r="B5075" s="115" t="str">
        <f>IFERROR(__xludf.DUMMYFUNCTION("""COMPUTED_VALUE"""),"Kandula Sampath")</f>
        <v>Kandula Sampath</v>
      </c>
      <c r="C5075" s="115" t="str">
        <f>IFERROR(__xludf.DUMMYFUNCTION("""COMPUTED_VALUE"""),"FLIPKART")</f>
        <v>FLIPKART</v>
      </c>
      <c r="D5075" s="115">
        <f>IFERROR(__xludf.DUMMYFUNCTION("""COMPUTED_VALUE"""),241068.0)</f>
        <v>241068</v>
      </c>
      <c r="E5075" s="115">
        <f>IFERROR(__xludf.DUMMYFUNCTION("""COMPUTED_VALUE"""),19114.0)</f>
        <v>19114</v>
      </c>
      <c r="F5075" s="115">
        <f>IFERROR(__xludf.DUMMYFUNCTION("""COMPUTED_VALUE"""),32724.0)</f>
        <v>32724</v>
      </c>
      <c r="G5075" s="115">
        <f>IFERROR(__xludf.DUMMYFUNCTION("""COMPUTED_VALUE"""),454.0)</f>
        <v>454</v>
      </c>
      <c r="H5075" s="116">
        <f>IFERROR(__xludf.DUMMYFUNCTION("""COMPUTED_VALUE"""),45910.0)</f>
        <v>45910</v>
      </c>
      <c r="I5075" s="115" t="str">
        <f>IFERROR(__xludf.DUMMYFUNCTION("""COMPUTED_VALUE"""),"10")</f>
        <v>10</v>
      </c>
      <c r="J5075" s="115" t="str">
        <f>IFERROR(__xludf.DUMMYFUNCTION("""COMPUTED_VALUE"""),"Kandula Sampath2025-09-1010")</f>
        <v>Kandula Sampath2025-09-1010</v>
      </c>
      <c r="K5075" s="115">
        <f>IFERROR(__xludf.DUMMYFUNCTION("""COMPUTED_VALUE"""),260182.0)</f>
        <v>260182</v>
      </c>
    </row>
    <row r="5076">
      <c r="A5076" s="115" t="str">
        <f>IFERROR(__xludf.DUMMYFUNCTION("""COMPUTED_VALUE"""),"SOUTH")</f>
        <v>SOUTH</v>
      </c>
      <c r="B5076" s="115" t="str">
        <f>IFERROR(__xludf.DUMMYFUNCTION("""COMPUTED_VALUE"""),"Kandula Sampath")</f>
        <v>Kandula Sampath</v>
      </c>
      <c r="C5076" s="115" t="str">
        <f>IFERROR(__xludf.DUMMYFUNCTION("""COMPUTED_VALUE"""),"MYNTRA")</f>
        <v>MYNTRA</v>
      </c>
      <c r="D5076" s="115">
        <f>IFERROR(__xludf.DUMMYFUNCTION("""COMPUTED_VALUE"""),27690.0)</f>
        <v>27690</v>
      </c>
      <c r="E5076" s="115">
        <f>IFERROR(__xludf.DUMMYFUNCTION("""COMPUTED_VALUE"""),5882.0)</f>
        <v>5882</v>
      </c>
      <c r="F5076" s="115">
        <f>IFERROR(__xludf.DUMMYFUNCTION("""COMPUTED_VALUE"""),4379.0)</f>
        <v>4379</v>
      </c>
      <c r="G5076" s="115">
        <f>IFERROR(__xludf.DUMMYFUNCTION("""COMPUTED_VALUE"""),143.0)</f>
        <v>143</v>
      </c>
      <c r="H5076" s="116">
        <f>IFERROR(__xludf.DUMMYFUNCTION("""COMPUTED_VALUE"""),45910.0)</f>
        <v>45910</v>
      </c>
      <c r="I5076" s="115" t="str">
        <f>IFERROR(__xludf.DUMMYFUNCTION("""COMPUTED_VALUE"""),"10")</f>
        <v>10</v>
      </c>
      <c r="J5076" s="115" t="str">
        <f>IFERROR(__xludf.DUMMYFUNCTION("""COMPUTED_VALUE"""),"Kandula Sampath2025-09-1010")</f>
        <v>Kandula Sampath2025-09-1010</v>
      </c>
      <c r="K5076" s="115">
        <f>IFERROR(__xludf.DUMMYFUNCTION("""COMPUTED_VALUE"""),33572.0)</f>
        <v>33572</v>
      </c>
    </row>
    <row r="5077">
      <c r="A5077" s="115" t="str">
        <f>IFERROR(__xludf.DUMMYFUNCTION("""COMPUTED_VALUE"""),"SOUTH")</f>
        <v>SOUTH</v>
      </c>
      <c r="B5077" s="115" t="str">
        <f>IFERROR(__xludf.DUMMYFUNCTION("""COMPUTED_VALUE"""),"Martin A")</f>
        <v>Martin A</v>
      </c>
      <c r="C5077" s="115" t="str">
        <f>IFERROR(__xludf.DUMMYFUNCTION("""COMPUTED_VALUE"""),"EXTERNAL")</f>
        <v>EXTERNAL</v>
      </c>
      <c r="D5077" s="115">
        <f>IFERROR(__xludf.DUMMYFUNCTION("""COMPUTED_VALUE"""),18611.0)</f>
        <v>18611</v>
      </c>
      <c r="E5077" s="115">
        <f>IFERROR(__xludf.DUMMYFUNCTION("""COMPUTED_VALUE"""),2449.0)</f>
        <v>2449</v>
      </c>
      <c r="F5077" s="115">
        <f>IFERROR(__xludf.DUMMYFUNCTION("""COMPUTED_VALUE"""),1125.0)</f>
        <v>1125</v>
      </c>
      <c r="G5077" s="115">
        <f>IFERROR(__xludf.DUMMYFUNCTION("""COMPUTED_VALUE"""),73.0)</f>
        <v>73</v>
      </c>
      <c r="H5077" s="116">
        <f>IFERROR(__xludf.DUMMYFUNCTION("""COMPUTED_VALUE"""),45910.0)</f>
        <v>45910</v>
      </c>
      <c r="I5077" s="115" t="str">
        <f>IFERROR(__xludf.DUMMYFUNCTION("""COMPUTED_VALUE"""),"10")</f>
        <v>10</v>
      </c>
      <c r="J5077" s="115" t="str">
        <f>IFERROR(__xludf.DUMMYFUNCTION("""COMPUTED_VALUE"""),"Martin A2025-09-1010")</f>
        <v>Martin A2025-09-1010</v>
      </c>
      <c r="K5077" s="115">
        <f>IFERROR(__xludf.DUMMYFUNCTION("""COMPUTED_VALUE"""),21060.0)</f>
        <v>21060</v>
      </c>
    </row>
    <row r="5078">
      <c r="A5078" s="115" t="str">
        <f>IFERROR(__xludf.DUMMYFUNCTION("""COMPUTED_VALUE"""),"SOUTH")</f>
        <v>SOUTH</v>
      </c>
      <c r="B5078" s="115" t="str">
        <f>IFERROR(__xludf.DUMMYFUNCTION("""COMPUTED_VALUE"""),"Martin A")</f>
        <v>Martin A</v>
      </c>
      <c r="C5078" s="115" t="str">
        <f>IFERROR(__xludf.DUMMYFUNCTION("""COMPUTED_VALUE"""),"FLIPKART")</f>
        <v>FLIPKART</v>
      </c>
      <c r="D5078" s="115">
        <f>IFERROR(__xludf.DUMMYFUNCTION("""COMPUTED_VALUE"""),179611.0)</f>
        <v>179611</v>
      </c>
      <c r="E5078" s="115">
        <f>IFERROR(__xludf.DUMMYFUNCTION("""COMPUTED_VALUE"""),15972.0)</f>
        <v>15972</v>
      </c>
      <c r="F5078" s="115">
        <f>IFERROR(__xludf.DUMMYFUNCTION("""COMPUTED_VALUE"""),18432.0)</f>
        <v>18432</v>
      </c>
      <c r="G5078" s="115">
        <f>IFERROR(__xludf.DUMMYFUNCTION("""COMPUTED_VALUE"""),482.0)</f>
        <v>482</v>
      </c>
      <c r="H5078" s="116">
        <f>IFERROR(__xludf.DUMMYFUNCTION("""COMPUTED_VALUE"""),45910.0)</f>
        <v>45910</v>
      </c>
      <c r="I5078" s="115" t="str">
        <f>IFERROR(__xludf.DUMMYFUNCTION("""COMPUTED_VALUE"""),"10")</f>
        <v>10</v>
      </c>
      <c r="J5078" s="115" t="str">
        <f>IFERROR(__xludf.DUMMYFUNCTION("""COMPUTED_VALUE"""),"Martin A2025-09-1010")</f>
        <v>Martin A2025-09-1010</v>
      </c>
      <c r="K5078" s="115">
        <f>IFERROR(__xludf.DUMMYFUNCTION("""COMPUTED_VALUE"""),195583.0)</f>
        <v>195583</v>
      </c>
    </row>
    <row r="5079">
      <c r="A5079" s="115" t="str">
        <f>IFERROR(__xludf.DUMMYFUNCTION("""COMPUTED_VALUE"""),"SOUTH")</f>
        <v>SOUTH</v>
      </c>
      <c r="B5079" s="115" t="str">
        <f>IFERROR(__xludf.DUMMYFUNCTION("""COMPUTED_VALUE"""),"Martin A")</f>
        <v>Martin A</v>
      </c>
      <c r="C5079" s="115" t="str">
        <f>IFERROR(__xludf.DUMMYFUNCTION("""COMPUTED_VALUE"""),"MYNTRA")</f>
        <v>MYNTRA</v>
      </c>
      <c r="D5079" s="115">
        <f>IFERROR(__xludf.DUMMYFUNCTION("""COMPUTED_VALUE"""),19165.0)</f>
        <v>19165</v>
      </c>
      <c r="E5079" s="115">
        <f>IFERROR(__xludf.DUMMYFUNCTION("""COMPUTED_VALUE"""),4339.0)</f>
        <v>4339</v>
      </c>
      <c r="F5079" s="115">
        <f>IFERROR(__xludf.DUMMYFUNCTION("""COMPUTED_VALUE"""),2561.0)</f>
        <v>2561</v>
      </c>
      <c r="G5079" s="115">
        <f>IFERROR(__xludf.DUMMYFUNCTION("""COMPUTED_VALUE"""),130.0)</f>
        <v>130</v>
      </c>
      <c r="H5079" s="116">
        <f>IFERROR(__xludf.DUMMYFUNCTION("""COMPUTED_VALUE"""),45910.0)</f>
        <v>45910</v>
      </c>
      <c r="I5079" s="115" t="str">
        <f>IFERROR(__xludf.DUMMYFUNCTION("""COMPUTED_VALUE"""),"10")</f>
        <v>10</v>
      </c>
      <c r="J5079" s="115" t="str">
        <f>IFERROR(__xludf.DUMMYFUNCTION("""COMPUTED_VALUE"""),"Martin A2025-09-1010")</f>
        <v>Martin A2025-09-1010</v>
      </c>
      <c r="K5079" s="115">
        <f>IFERROR(__xludf.DUMMYFUNCTION("""COMPUTED_VALUE"""),23504.0)</f>
        <v>23504</v>
      </c>
    </row>
    <row r="5080">
      <c r="A5080" s="115" t="str">
        <f>IFERROR(__xludf.DUMMYFUNCTION("""COMPUTED_VALUE"""),"SOUTH")</f>
        <v>SOUTH</v>
      </c>
      <c r="B5080" s="115" t="str">
        <f>IFERROR(__xludf.DUMMYFUNCTION("""COMPUTED_VALUE"""),"Premkumar M")</f>
        <v>Premkumar M</v>
      </c>
      <c r="C5080" s="115" t="str">
        <f>IFERROR(__xludf.DUMMYFUNCTION("""COMPUTED_VALUE"""),"EXTERNAL")</f>
        <v>EXTERNAL</v>
      </c>
      <c r="D5080" s="115">
        <f>IFERROR(__xludf.DUMMYFUNCTION("""COMPUTED_VALUE"""),9712.0)</f>
        <v>9712</v>
      </c>
      <c r="E5080" s="115">
        <f>IFERROR(__xludf.DUMMYFUNCTION("""COMPUTED_VALUE"""),508.0)</f>
        <v>508</v>
      </c>
      <c r="F5080" s="115">
        <f>IFERROR(__xludf.DUMMYFUNCTION("""COMPUTED_VALUE"""),364.0)</f>
        <v>364</v>
      </c>
      <c r="G5080" s="115">
        <f>IFERROR(__xludf.DUMMYFUNCTION("""COMPUTED_VALUE"""),4.0)</f>
        <v>4</v>
      </c>
      <c r="H5080" s="116">
        <f>IFERROR(__xludf.DUMMYFUNCTION("""COMPUTED_VALUE"""),45910.0)</f>
        <v>45910</v>
      </c>
      <c r="I5080" s="115" t="str">
        <f>IFERROR(__xludf.DUMMYFUNCTION("""COMPUTED_VALUE"""),"10")</f>
        <v>10</v>
      </c>
      <c r="J5080" s="115" t="str">
        <f>IFERROR(__xludf.DUMMYFUNCTION("""COMPUTED_VALUE"""),"Premkumar M2025-09-1010")</f>
        <v>Premkumar M2025-09-1010</v>
      </c>
      <c r="K5080" s="115">
        <f>IFERROR(__xludf.DUMMYFUNCTION("""COMPUTED_VALUE"""),10220.0)</f>
        <v>10220</v>
      </c>
    </row>
    <row r="5081">
      <c r="A5081" s="115" t="str">
        <f>IFERROR(__xludf.DUMMYFUNCTION("""COMPUTED_VALUE"""),"SOUTH")</f>
        <v>SOUTH</v>
      </c>
      <c r="B5081" s="115" t="str">
        <f>IFERROR(__xludf.DUMMYFUNCTION("""COMPUTED_VALUE"""),"Premkumar M")</f>
        <v>Premkumar M</v>
      </c>
      <c r="C5081" s="115" t="str">
        <f>IFERROR(__xludf.DUMMYFUNCTION("""COMPUTED_VALUE"""),"FLIPKART")</f>
        <v>FLIPKART</v>
      </c>
      <c r="D5081" s="115">
        <f>IFERROR(__xludf.DUMMYFUNCTION("""COMPUTED_VALUE"""),113876.0)</f>
        <v>113876</v>
      </c>
      <c r="E5081" s="115">
        <f>IFERROR(__xludf.DUMMYFUNCTION("""COMPUTED_VALUE"""),5906.0)</f>
        <v>5906</v>
      </c>
      <c r="F5081" s="115">
        <f>IFERROR(__xludf.DUMMYFUNCTION("""COMPUTED_VALUE"""),7326.0)</f>
        <v>7326</v>
      </c>
      <c r="G5081" s="115">
        <f>IFERROR(__xludf.DUMMYFUNCTION("""COMPUTED_VALUE"""),106.0)</f>
        <v>106</v>
      </c>
      <c r="H5081" s="116">
        <f>IFERROR(__xludf.DUMMYFUNCTION("""COMPUTED_VALUE"""),45910.0)</f>
        <v>45910</v>
      </c>
      <c r="I5081" s="115" t="str">
        <f>IFERROR(__xludf.DUMMYFUNCTION("""COMPUTED_VALUE"""),"10")</f>
        <v>10</v>
      </c>
      <c r="J5081" s="115" t="str">
        <f>IFERROR(__xludf.DUMMYFUNCTION("""COMPUTED_VALUE"""),"Premkumar M2025-09-1010")</f>
        <v>Premkumar M2025-09-1010</v>
      </c>
      <c r="K5081" s="115">
        <f>IFERROR(__xludf.DUMMYFUNCTION("""COMPUTED_VALUE"""),119782.0)</f>
        <v>119782</v>
      </c>
    </row>
    <row r="5082">
      <c r="A5082" s="115" t="str">
        <f>IFERROR(__xludf.DUMMYFUNCTION("""COMPUTED_VALUE"""),"SOUTH")</f>
        <v>SOUTH</v>
      </c>
      <c r="B5082" s="115" t="str">
        <f>IFERROR(__xludf.DUMMYFUNCTION("""COMPUTED_VALUE"""),"Premkumar M")</f>
        <v>Premkumar M</v>
      </c>
      <c r="C5082" s="115" t="str">
        <f>IFERROR(__xludf.DUMMYFUNCTION("""COMPUTED_VALUE"""),"MYNTRA")</f>
        <v>MYNTRA</v>
      </c>
      <c r="D5082" s="115">
        <f>IFERROR(__xludf.DUMMYFUNCTION("""COMPUTED_VALUE"""),6182.0)</f>
        <v>6182</v>
      </c>
      <c r="E5082" s="115">
        <f>IFERROR(__xludf.DUMMYFUNCTION("""COMPUTED_VALUE"""),1056.0)</f>
        <v>1056</v>
      </c>
      <c r="F5082" s="115">
        <f>IFERROR(__xludf.DUMMYFUNCTION("""COMPUTED_VALUE"""),445.0)</f>
        <v>445</v>
      </c>
      <c r="G5082" s="115">
        <f>IFERROR(__xludf.DUMMYFUNCTION("""COMPUTED_VALUE"""),11.0)</f>
        <v>11</v>
      </c>
      <c r="H5082" s="116">
        <f>IFERROR(__xludf.DUMMYFUNCTION("""COMPUTED_VALUE"""),45910.0)</f>
        <v>45910</v>
      </c>
      <c r="I5082" s="115" t="str">
        <f>IFERROR(__xludf.DUMMYFUNCTION("""COMPUTED_VALUE"""),"10")</f>
        <v>10</v>
      </c>
      <c r="J5082" s="115" t="str">
        <f>IFERROR(__xludf.DUMMYFUNCTION("""COMPUTED_VALUE"""),"Premkumar M2025-09-1010")</f>
        <v>Premkumar M2025-09-1010</v>
      </c>
      <c r="K5082" s="115">
        <f>IFERROR(__xludf.DUMMYFUNCTION("""COMPUTED_VALUE"""),7238.0)</f>
        <v>7238</v>
      </c>
    </row>
    <row r="5083">
      <c r="A5083" s="115" t="str">
        <f>IFERROR(__xludf.DUMMYFUNCTION("""COMPUTED_VALUE"""),"SOUTH")</f>
        <v>SOUTH</v>
      </c>
      <c r="B5083" s="115" t="str">
        <f>IFERROR(__xludf.DUMMYFUNCTION("""COMPUTED_VALUE"""),"Vineeth V")</f>
        <v>Vineeth V</v>
      </c>
      <c r="C5083" s="115" t="str">
        <f>IFERROR(__xludf.DUMMYFUNCTION("""COMPUTED_VALUE"""),"EXTERNAL")</f>
        <v>EXTERNAL</v>
      </c>
      <c r="D5083" s="115">
        <f>IFERROR(__xludf.DUMMYFUNCTION("""COMPUTED_VALUE"""),5838.0)</f>
        <v>5838</v>
      </c>
      <c r="E5083" s="115">
        <f>IFERROR(__xludf.DUMMYFUNCTION("""COMPUTED_VALUE"""),149.0)</f>
        <v>149</v>
      </c>
      <c r="F5083" s="115">
        <f>IFERROR(__xludf.DUMMYFUNCTION("""COMPUTED_VALUE"""),181.0)</f>
        <v>181</v>
      </c>
      <c r="G5083" s="115">
        <f>IFERROR(__xludf.DUMMYFUNCTION("""COMPUTED_VALUE"""),2.0)</f>
        <v>2</v>
      </c>
      <c r="H5083" s="116">
        <f>IFERROR(__xludf.DUMMYFUNCTION("""COMPUTED_VALUE"""),45910.0)</f>
        <v>45910</v>
      </c>
      <c r="I5083" s="115" t="str">
        <f>IFERROR(__xludf.DUMMYFUNCTION("""COMPUTED_VALUE"""),"10")</f>
        <v>10</v>
      </c>
      <c r="J5083" s="115" t="str">
        <f>IFERROR(__xludf.DUMMYFUNCTION("""COMPUTED_VALUE"""),"Vineeth V2025-09-1010")</f>
        <v>Vineeth V2025-09-1010</v>
      </c>
      <c r="K5083" s="115">
        <f>IFERROR(__xludf.DUMMYFUNCTION("""COMPUTED_VALUE"""),5987.0)</f>
        <v>5987</v>
      </c>
    </row>
    <row r="5084">
      <c r="A5084" s="115" t="str">
        <f>IFERROR(__xludf.DUMMYFUNCTION("""COMPUTED_VALUE"""),"SOUTH")</f>
        <v>SOUTH</v>
      </c>
      <c r="B5084" s="115" t="str">
        <f>IFERROR(__xludf.DUMMYFUNCTION("""COMPUTED_VALUE"""),"Vineeth V")</f>
        <v>Vineeth V</v>
      </c>
      <c r="C5084" s="115" t="str">
        <f>IFERROR(__xludf.DUMMYFUNCTION("""COMPUTED_VALUE"""),"FLIPKART")</f>
        <v>FLIPKART</v>
      </c>
      <c r="D5084" s="115">
        <f>IFERROR(__xludf.DUMMYFUNCTION("""COMPUTED_VALUE"""),68670.0)</f>
        <v>68670</v>
      </c>
      <c r="E5084" s="115">
        <f>IFERROR(__xludf.DUMMYFUNCTION("""COMPUTED_VALUE"""),4324.0)</f>
        <v>4324</v>
      </c>
      <c r="F5084" s="115">
        <f>IFERROR(__xludf.DUMMYFUNCTION("""COMPUTED_VALUE"""),3131.0)</f>
        <v>3131</v>
      </c>
      <c r="G5084" s="115">
        <f>IFERROR(__xludf.DUMMYFUNCTION("""COMPUTED_VALUE"""),28.0)</f>
        <v>28</v>
      </c>
      <c r="H5084" s="116">
        <f>IFERROR(__xludf.DUMMYFUNCTION("""COMPUTED_VALUE"""),45910.0)</f>
        <v>45910</v>
      </c>
      <c r="I5084" s="115" t="str">
        <f>IFERROR(__xludf.DUMMYFUNCTION("""COMPUTED_VALUE"""),"10")</f>
        <v>10</v>
      </c>
      <c r="J5084" s="115" t="str">
        <f>IFERROR(__xludf.DUMMYFUNCTION("""COMPUTED_VALUE"""),"Vineeth V2025-09-1010")</f>
        <v>Vineeth V2025-09-1010</v>
      </c>
      <c r="K5084" s="115">
        <f>IFERROR(__xludf.DUMMYFUNCTION("""COMPUTED_VALUE"""),72994.0)</f>
        <v>72994</v>
      </c>
    </row>
    <row r="5085">
      <c r="A5085" s="115" t="str">
        <f>IFERROR(__xludf.DUMMYFUNCTION("""COMPUTED_VALUE"""),"SOUTH")</f>
        <v>SOUTH</v>
      </c>
      <c r="B5085" s="115" t="str">
        <f>IFERROR(__xludf.DUMMYFUNCTION("""COMPUTED_VALUE"""),"Vineeth V")</f>
        <v>Vineeth V</v>
      </c>
      <c r="C5085" s="115" t="str">
        <f>IFERROR(__xludf.DUMMYFUNCTION("""COMPUTED_VALUE"""),"MYNTRA")</f>
        <v>MYNTRA</v>
      </c>
      <c r="D5085" s="115">
        <f>IFERROR(__xludf.DUMMYFUNCTION("""COMPUTED_VALUE"""),6078.0)</f>
        <v>6078</v>
      </c>
      <c r="E5085" s="115">
        <f>IFERROR(__xludf.DUMMYFUNCTION("""COMPUTED_VALUE"""),1159.0)</f>
        <v>1159</v>
      </c>
      <c r="F5085" s="115">
        <f>IFERROR(__xludf.DUMMYFUNCTION("""COMPUTED_VALUE"""),371.0)</f>
        <v>371</v>
      </c>
      <c r="G5085" s="115">
        <f>IFERROR(__xludf.DUMMYFUNCTION("""COMPUTED_VALUE"""),7.0)</f>
        <v>7</v>
      </c>
      <c r="H5085" s="116">
        <f>IFERROR(__xludf.DUMMYFUNCTION("""COMPUTED_VALUE"""),45910.0)</f>
        <v>45910</v>
      </c>
      <c r="I5085" s="115" t="str">
        <f>IFERROR(__xludf.DUMMYFUNCTION("""COMPUTED_VALUE"""),"10")</f>
        <v>10</v>
      </c>
      <c r="J5085" s="115" t="str">
        <f>IFERROR(__xludf.DUMMYFUNCTION("""COMPUTED_VALUE"""),"Vineeth V2025-09-1010")</f>
        <v>Vineeth V2025-09-1010</v>
      </c>
      <c r="K5085" s="115">
        <f>IFERROR(__xludf.DUMMYFUNCTION("""COMPUTED_VALUE"""),7237.0)</f>
        <v>7237</v>
      </c>
    </row>
    <row r="5086">
      <c r="A5086" s="115" t="str">
        <f>IFERROR(__xludf.DUMMYFUNCTION("""COMPUTED_VALUE"""),"WEST")</f>
        <v>WEST</v>
      </c>
      <c r="B5086" s="115" t="str">
        <f>IFERROR(__xludf.DUMMYFUNCTION("""COMPUTED_VALUE"""),"Ashish Jakar")</f>
        <v>Ashish Jakar</v>
      </c>
      <c r="C5086" s="115" t="str">
        <f>IFERROR(__xludf.DUMMYFUNCTION("""COMPUTED_VALUE"""),"EXTERNAL")</f>
        <v>EXTERNAL</v>
      </c>
      <c r="D5086" s="115">
        <f>IFERROR(__xludf.DUMMYFUNCTION("""COMPUTED_VALUE"""),31195.0)</f>
        <v>31195</v>
      </c>
      <c r="E5086" s="115">
        <f>IFERROR(__xludf.DUMMYFUNCTION("""COMPUTED_VALUE"""),3314.0)</f>
        <v>3314</v>
      </c>
      <c r="F5086" s="115">
        <f>IFERROR(__xludf.DUMMYFUNCTION("""COMPUTED_VALUE"""),2108.0)</f>
        <v>2108</v>
      </c>
      <c r="G5086" s="115">
        <f>IFERROR(__xludf.DUMMYFUNCTION("""COMPUTED_VALUE"""),37.0)</f>
        <v>37</v>
      </c>
      <c r="H5086" s="116">
        <f>IFERROR(__xludf.DUMMYFUNCTION("""COMPUTED_VALUE"""),45910.0)</f>
        <v>45910</v>
      </c>
      <c r="I5086" s="115" t="str">
        <f>IFERROR(__xludf.DUMMYFUNCTION("""COMPUTED_VALUE"""),"10")</f>
        <v>10</v>
      </c>
      <c r="J5086" s="115" t="str">
        <f>IFERROR(__xludf.DUMMYFUNCTION("""COMPUTED_VALUE"""),"Ashish Jakar2025-09-1010")</f>
        <v>Ashish Jakar2025-09-1010</v>
      </c>
      <c r="K5086" s="115">
        <f>IFERROR(__xludf.DUMMYFUNCTION("""COMPUTED_VALUE"""),34509.0)</f>
        <v>34509</v>
      </c>
    </row>
    <row r="5087">
      <c r="A5087" s="115" t="str">
        <f>IFERROR(__xludf.DUMMYFUNCTION("""COMPUTED_VALUE"""),"WEST")</f>
        <v>WEST</v>
      </c>
      <c r="B5087" s="115" t="str">
        <f>IFERROR(__xludf.DUMMYFUNCTION("""COMPUTED_VALUE"""),"Ashish Jakar")</f>
        <v>Ashish Jakar</v>
      </c>
      <c r="C5087" s="115" t="str">
        <f>IFERROR(__xludf.DUMMYFUNCTION("""COMPUTED_VALUE"""),"FLIPKART")</f>
        <v>FLIPKART</v>
      </c>
      <c r="D5087" s="115">
        <f>IFERROR(__xludf.DUMMYFUNCTION("""COMPUTED_VALUE"""),200994.0)</f>
        <v>200994</v>
      </c>
      <c r="E5087" s="115">
        <f>IFERROR(__xludf.DUMMYFUNCTION("""COMPUTED_VALUE"""),17572.0)</f>
        <v>17572</v>
      </c>
      <c r="F5087" s="115">
        <f>IFERROR(__xludf.DUMMYFUNCTION("""COMPUTED_VALUE"""),14267.0)</f>
        <v>14267</v>
      </c>
      <c r="G5087" s="115">
        <f>IFERROR(__xludf.DUMMYFUNCTION("""COMPUTED_VALUE"""),416.0)</f>
        <v>416</v>
      </c>
      <c r="H5087" s="116">
        <f>IFERROR(__xludf.DUMMYFUNCTION("""COMPUTED_VALUE"""),45910.0)</f>
        <v>45910</v>
      </c>
      <c r="I5087" s="115" t="str">
        <f>IFERROR(__xludf.DUMMYFUNCTION("""COMPUTED_VALUE"""),"10")</f>
        <v>10</v>
      </c>
      <c r="J5087" s="115" t="str">
        <f>IFERROR(__xludf.DUMMYFUNCTION("""COMPUTED_VALUE"""),"Ashish Jakar2025-09-1010")</f>
        <v>Ashish Jakar2025-09-1010</v>
      </c>
      <c r="K5087" s="115">
        <f>IFERROR(__xludf.DUMMYFUNCTION("""COMPUTED_VALUE"""),218566.0)</f>
        <v>218566</v>
      </c>
    </row>
    <row r="5088">
      <c r="A5088" s="115" t="str">
        <f>IFERROR(__xludf.DUMMYFUNCTION("""COMPUTED_VALUE"""),"WEST")</f>
        <v>WEST</v>
      </c>
      <c r="B5088" s="115" t="str">
        <f>IFERROR(__xludf.DUMMYFUNCTION("""COMPUTED_VALUE"""),"Ashish Jakar")</f>
        <v>Ashish Jakar</v>
      </c>
      <c r="C5088" s="115" t="str">
        <f>IFERROR(__xludf.DUMMYFUNCTION("""COMPUTED_VALUE"""),"MYNTRA")</f>
        <v>MYNTRA</v>
      </c>
      <c r="D5088" s="115">
        <f>IFERROR(__xludf.DUMMYFUNCTION("""COMPUTED_VALUE"""),24166.0)</f>
        <v>24166</v>
      </c>
      <c r="E5088" s="115">
        <f>IFERROR(__xludf.DUMMYFUNCTION("""COMPUTED_VALUE"""),6136.0)</f>
        <v>6136</v>
      </c>
      <c r="F5088" s="115">
        <f>IFERROR(__xludf.DUMMYFUNCTION("""COMPUTED_VALUE"""),2084.0)</f>
        <v>2084</v>
      </c>
      <c r="G5088" s="115">
        <f>IFERROR(__xludf.DUMMYFUNCTION("""COMPUTED_VALUE"""),139.0)</f>
        <v>139</v>
      </c>
      <c r="H5088" s="116">
        <f>IFERROR(__xludf.DUMMYFUNCTION("""COMPUTED_VALUE"""),45910.0)</f>
        <v>45910</v>
      </c>
      <c r="I5088" s="115" t="str">
        <f>IFERROR(__xludf.DUMMYFUNCTION("""COMPUTED_VALUE"""),"10")</f>
        <v>10</v>
      </c>
      <c r="J5088" s="115" t="str">
        <f>IFERROR(__xludf.DUMMYFUNCTION("""COMPUTED_VALUE"""),"Ashish Jakar2025-09-1010")</f>
        <v>Ashish Jakar2025-09-1010</v>
      </c>
      <c r="K5088" s="115">
        <f>IFERROR(__xludf.DUMMYFUNCTION("""COMPUTED_VALUE"""),30302.0)</f>
        <v>30302</v>
      </c>
    </row>
    <row r="5089">
      <c r="A5089" s="115" t="str">
        <f>IFERROR(__xludf.DUMMYFUNCTION("""COMPUTED_VALUE"""),"WEST")</f>
        <v>WEST</v>
      </c>
      <c r="B5089" s="115" t="str">
        <f>IFERROR(__xludf.DUMMYFUNCTION("""COMPUTED_VALUE"""),"Ashvani Bhatt")</f>
        <v>Ashvani Bhatt</v>
      </c>
      <c r="C5089" s="115" t="str">
        <f>IFERROR(__xludf.DUMMYFUNCTION("""COMPUTED_VALUE"""),"EXTERNAL")</f>
        <v>EXTERNAL</v>
      </c>
      <c r="D5089" s="115">
        <f>IFERROR(__xludf.DUMMYFUNCTION("""COMPUTED_VALUE"""),20429.0)</f>
        <v>20429</v>
      </c>
      <c r="E5089" s="115">
        <f>IFERROR(__xludf.DUMMYFUNCTION("""COMPUTED_VALUE"""),1423.0)</f>
        <v>1423</v>
      </c>
      <c r="F5089" s="115">
        <f>IFERROR(__xludf.DUMMYFUNCTION("""COMPUTED_VALUE"""),953.0)</f>
        <v>953</v>
      </c>
      <c r="G5089" s="115">
        <f>IFERROR(__xludf.DUMMYFUNCTION("""COMPUTED_VALUE"""),21.0)</f>
        <v>21</v>
      </c>
      <c r="H5089" s="116">
        <f>IFERROR(__xludf.DUMMYFUNCTION("""COMPUTED_VALUE"""),45910.0)</f>
        <v>45910</v>
      </c>
      <c r="I5089" s="115" t="str">
        <f>IFERROR(__xludf.DUMMYFUNCTION("""COMPUTED_VALUE"""),"10")</f>
        <v>10</v>
      </c>
      <c r="J5089" s="115" t="str">
        <f>IFERROR(__xludf.DUMMYFUNCTION("""COMPUTED_VALUE"""),"Ashvani Bhatt2025-09-1010")</f>
        <v>Ashvani Bhatt2025-09-1010</v>
      </c>
      <c r="K5089" s="115">
        <f>IFERROR(__xludf.DUMMYFUNCTION("""COMPUTED_VALUE"""),21852.0)</f>
        <v>21852</v>
      </c>
    </row>
    <row r="5090">
      <c r="A5090" s="115" t="str">
        <f>IFERROR(__xludf.DUMMYFUNCTION("""COMPUTED_VALUE"""),"WEST")</f>
        <v>WEST</v>
      </c>
      <c r="B5090" s="115" t="str">
        <f>IFERROR(__xludf.DUMMYFUNCTION("""COMPUTED_VALUE"""),"Ashvani Bhatt")</f>
        <v>Ashvani Bhatt</v>
      </c>
      <c r="C5090" s="115" t="str">
        <f>IFERROR(__xludf.DUMMYFUNCTION("""COMPUTED_VALUE"""),"FLIPKART")</f>
        <v>FLIPKART</v>
      </c>
      <c r="D5090" s="115">
        <f>IFERROR(__xludf.DUMMYFUNCTION("""COMPUTED_VALUE"""),153868.0)</f>
        <v>153868</v>
      </c>
      <c r="E5090" s="115">
        <f>IFERROR(__xludf.DUMMYFUNCTION("""COMPUTED_VALUE"""),13838.0)</f>
        <v>13838</v>
      </c>
      <c r="F5090" s="115">
        <f>IFERROR(__xludf.DUMMYFUNCTION("""COMPUTED_VALUE"""),15344.0)</f>
        <v>15344</v>
      </c>
      <c r="G5090" s="115">
        <f>IFERROR(__xludf.DUMMYFUNCTION("""COMPUTED_VALUE"""),346.0)</f>
        <v>346</v>
      </c>
      <c r="H5090" s="116">
        <f>IFERROR(__xludf.DUMMYFUNCTION("""COMPUTED_VALUE"""),45910.0)</f>
        <v>45910</v>
      </c>
      <c r="I5090" s="115" t="str">
        <f>IFERROR(__xludf.DUMMYFUNCTION("""COMPUTED_VALUE"""),"10")</f>
        <v>10</v>
      </c>
      <c r="J5090" s="115" t="str">
        <f>IFERROR(__xludf.DUMMYFUNCTION("""COMPUTED_VALUE"""),"Ashvani Bhatt2025-09-1010")</f>
        <v>Ashvani Bhatt2025-09-1010</v>
      </c>
      <c r="K5090" s="115">
        <f>IFERROR(__xludf.DUMMYFUNCTION("""COMPUTED_VALUE"""),167706.0)</f>
        <v>167706</v>
      </c>
    </row>
    <row r="5091">
      <c r="A5091" s="115" t="str">
        <f>IFERROR(__xludf.DUMMYFUNCTION("""COMPUTED_VALUE"""),"WEST")</f>
        <v>WEST</v>
      </c>
      <c r="B5091" s="115" t="str">
        <f>IFERROR(__xludf.DUMMYFUNCTION("""COMPUTED_VALUE"""),"Ashvani Bhatt")</f>
        <v>Ashvani Bhatt</v>
      </c>
      <c r="C5091" s="115" t="str">
        <f>IFERROR(__xludf.DUMMYFUNCTION("""COMPUTED_VALUE"""),"MYNTRA")</f>
        <v>MYNTRA</v>
      </c>
      <c r="D5091" s="115">
        <f>IFERROR(__xludf.DUMMYFUNCTION("""COMPUTED_VALUE"""),20620.0)</f>
        <v>20620</v>
      </c>
      <c r="E5091" s="115">
        <f>IFERROR(__xludf.DUMMYFUNCTION("""COMPUTED_VALUE"""),4796.0)</f>
        <v>4796</v>
      </c>
      <c r="F5091" s="115">
        <f>IFERROR(__xludf.DUMMYFUNCTION("""COMPUTED_VALUE"""),2730.0)</f>
        <v>2730</v>
      </c>
      <c r="G5091" s="115">
        <f>IFERROR(__xludf.DUMMYFUNCTION("""COMPUTED_VALUE"""),152.0)</f>
        <v>152</v>
      </c>
      <c r="H5091" s="116">
        <f>IFERROR(__xludf.DUMMYFUNCTION("""COMPUTED_VALUE"""),45910.0)</f>
        <v>45910</v>
      </c>
      <c r="I5091" s="115" t="str">
        <f>IFERROR(__xludf.DUMMYFUNCTION("""COMPUTED_VALUE"""),"10")</f>
        <v>10</v>
      </c>
      <c r="J5091" s="115" t="str">
        <f>IFERROR(__xludf.DUMMYFUNCTION("""COMPUTED_VALUE"""),"Ashvani Bhatt2025-09-1010")</f>
        <v>Ashvani Bhatt2025-09-1010</v>
      </c>
      <c r="K5091" s="115">
        <f>IFERROR(__xludf.DUMMYFUNCTION("""COMPUTED_VALUE"""),25416.0)</f>
        <v>25416</v>
      </c>
    </row>
    <row r="5092">
      <c r="A5092" s="115"/>
      <c r="B5092" s="115"/>
      <c r="C5092" s="115" t="str">
        <f>IFERROR(__xludf.DUMMYFUNCTION("""COMPUTED_VALUE"""),"EXTERNAL")</f>
        <v>EXTERNAL</v>
      </c>
      <c r="D5092" s="115">
        <f>IFERROR(__xludf.DUMMYFUNCTION("""COMPUTED_VALUE"""),205.0)</f>
        <v>205</v>
      </c>
      <c r="E5092" s="115">
        <f>IFERROR(__xludf.DUMMYFUNCTION("""COMPUTED_VALUE"""),90.0)</f>
        <v>90</v>
      </c>
      <c r="F5092" s="115">
        <f>IFERROR(__xludf.DUMMYFUNCTION("""COMPUTED_VALUE"""),3.0)</f>
        <v>3</v>
      </c>
      <c r="G5092" s="115">
        <f>IFERROR(__xludf.DUMMYFUNCTION("""COMPUTED_VALUE"""),14.0)</f>
        <v>14</v>
      </c>
      <c r="H5092" s="116">
        <f>IFERROR(__xludf.DUMMYFUNCTION("""COMPUTED_VALUE"""),45910.0)</f>
        <v>45910</v>
      </c>
      <c r="I5092" s="115" t="str">
        <f>IFERROR(__xludf.DUMMYFUNCTION("""COMPUTED_VALUE"""),"10")</f>
        <v>10</v>
      </c>
      <c r="J5092" s="115" t="str">
        <f>IFERROR(__xludf.DUMMYFUNCTION("""COMPUTED_VALUE"""),"2025-09-1010")</f>
        <v>2025-09-1010</v>
      </c>
      <c r="K5092" s="115">
        <f>IFERROR(__xludf.DUMMYFUNCTION("""COMPUTED_VALUE"""),295.0)</f>
        <v>295</v>
      </c>
    </row>
    <row r="5093">
      <c r="A5093" s="115"/>
      <c r="B5093" s="115"/>
      <c r="C5093" s="115" t="str">
        <f>IFERROR(__xludf.DUMMYFUNCTION("""COMPUTED_VALUE"""),"FLIPKART")</f>
        <v>FLIPKART</v>
      </c>
      <c r="D5093" s="115">
        <f>IFERROR(__xludf.DUMMYFUNCTION("""COMPUTED_VALUE"""),2338.0)</f>
        <v>2338</v>
      </c>
      <c r="E5093" s="115">
        <f>IFERROR(__xludf.DUMMYFUNCTION("""COMPUTED_VALUE"""),342.0)</f>
        <v>342</v>
      </c>
      <c r="F5093" s="115">
        <f>IFERROR(__xludf.DUMMYFUNCTION("""COMPUTED_VALUE"""),59.0)</f>
        <v>59</v>
      </c>
      <c r="G5093" s="115">
        <f>IFERROR(__xludf.DUMMYFUNCTION("""COMPUTED_VALUE"""),33.0)</f>
        <v>33</v>
      </c>
      <c r="H5093" s="116">
        <f>IFERROR(__xludf.DUMMYFUNCTION("""COMPUTED_VALUE"""),45910.0)</f>
        <v>45910</v>
      </c>
      <c r="I5093" s="115" t="str">
        <f>IFERROR(__xludf.DUMMYFUNCTION("""COMPUTED_VALUE"""),"10")</f>
        <v>10</v>
      </c>
      <c r="J5093" s="115" t="str">
        <f>IFERROR(__xludf.DUMMYFUNCTION("""COMPUTED_VALUE"""),"2025-09-1010")</f>
        <v>2025-09-1010</v>
      </c>
      <c r="K5093" s="115">
        <f>IFERROR(__xludf.DUMMYFUNCTION("""COMPUTED_VALUE"""),2680.0)</f>
        <v>2680</v>
      </c>
    </row>
    <row r="5094">
      <c r="A5094" s="115"/>
      <c r="B5094" s="115"/>
      <c r="C5094" s="115" t="str">
        <f>IFERROR(__xludf.DUMMYFUNCTION("""COMPUTED_VALUE"""),"MYNTRA")</f>
        <v>MYNTRA</v>
      </c>
      <c r="D5094" s="115">
        <f>IFERROR(__xludf.DUMMYFUNCTION("""COMPUTED_VALUE"""),283.0)</f>
        <v>283</v>
      </c>
      <c r="E5094" s="115">
        <f>IFERROR(__xludf.DUMMYFUNCTION("""COMPUTED_VALUE"""),120.0)</f>
        <v>120</v>
      </c>
      <c r="F5094" s="115">
        <f>IFERROR(__xludf.DUMMYFUNCTION("""COMPUTED_VALUE"""),8.0)</f>
        <v>8</v>
      </c>
      <c r="G5094" s="115">
        <f>IFERROR(__xludf.DUMMYFUNCTION("""COMPUTED_VALUE"""),20.0)</f>
        <v>20</v>
      </c>
      <c r="H5094" s="116">
        <f>IFERROR(__xludf.DUMMYFUNCTION("""COMPUTED_VALUE"""),45910.0)</f>
        <v>45910</v>
      </c>
      <c r="I5094" s="115" t="str">
        <f>IFERROR(__xludf.DUMMYFUNCTION("""COMPUTED_VALUE"""),"10")</f>
        <v>10</v>
      </c>
      <c r="J5094" s="115" t="str">
        <f>IFERROR(__xludf.DUMMYFUNCTION("""COMPUTED_VALUE"""),"2025-09-1010")</f>
        <v>2025-09-1010</v>
      </c>
      <c r="K5094" s="115">
        <f>IFERROR(__xludf.DUMMYFUNCTION("""COMPUTED_VALUE"""),403.0)</f>
        <v>403</v>
      </c>
    </row>
    <row r="5095">
      <c r="A5095" s="115" t="str">
        <f>IFERROR(__xludf.DUMMYFUNCTION("""COMPUTED_VALUE"""),"EAST")</f>
        <v>EAST</v>
      </c>
      <c r="B5095" s="115" t="str">
        <f>IFERROR(__xludf.DUMMYFUNCTION("""COMPUTED_VALUE"""),"Ashish Ranjan")</f>
        <v>Ashish Ranjan</v>
      </c>
      <c r="C5095" s="115" t="str">
        <f>IFERROR(__xludf.DUMMYFUNCTION("""COMPUTED_VALUE"""),"EXTERNAL")</f>
        <v>EXTERNAL</v>
      </c>
      <c r="D5095" s="115">
        <f>IFERROR(__xludf.DUMMYFUNCTION("""COMPUTED_VALUE"""),30005.0)</f>
        <v>30005</v>
      </c>
      <c r="E5095" s="115">
        <f>IFERROR(__xludf.DUMMYFUNCTION("""COMPUTED_VALUE"""),2928.0)</f>
        <v>2928</v>
      </c>
      <c r="F5095" s="115">
        <f>IFERROR(__xludf.DUMMYFUNCTION("""COMPUTED_VALUE"""),4185.0)</f>
        <v>4185</v>
      </c>
      <c r="G5095" s="115">
        <f>IFERROR(__xludf.DUMMYFUNCTION("""COMPUTED_VALUE"""),126.0)</f>
        <v>126</v>
      </c>
      <c r="H5095" s="116">
        <f>IFERROR(__xludf.DUMMYFUNCTION("""COMPUTED_VALUE"""),45910.0)</f>
        <v>45910</v>
      </c>
      <c r="I5095" s="115" t="str">
        <f>IFERROR(__xludf.DUMMYFUNCTION("""COMPUTED_VALUE"""),"11")</f>
        <v>11</v>
      </c>
      <c r="J5095" s="115" t="str">
        <f>IFERROR(__xludf.DUMMYFUNCTION("""COMPUTED_VALUE"""),"Ashish Ranjan2025-09-1011")</f>
        <v>Ashish Ranjan2025-09-1011</v>
      </c>
      <c r="K5095" s="115">
        <f>IFERROR(__xludf.DUMMYFUNCTION("""COMPUTED_VALUE"""),32933.0)</f>
        <v>32933</v>
      </c>
    </row>
    <row r="5096">
      <c r="A5096" s="115" t="str">
        <f>IFERROR(__xludf.DUMMYFUNCTION("""COMPUTED_VALUE"""),"EAST")</f>
        <v>EAST</v>
      </c>
      <c r="B5096" s="115" t="str">
        <f>IFERROR(__xludf.DUMMYFUNCTION("""COMPUTED_VALUE"""),"Ashish Ranjan")</f>
        <v>Ashish Ranjan</v>
      </c>
      <c r="C5096" s="115" t="str">
        <f>IFERROR(__xludf.DUMMYFUNCTION("""COMPUTED_VALUE"""),"FLIPKART")</f>
        <v>FLIPKART</v>
      </c>
      <c r="D5096" s="115">
        <f>IFERROR(__xludf.DUMMYFUNCTION("""COMPUTED_VALUE"""),532472.0)</f>
        <v>532472</v>
      </c>
      <c r="E5096" s="115">
        <f>IFERROR(__xludf.DUMMYFUNCTION("""COMPUTED_VALUE"""),50676.0)</f>
        <v>50676</v>
      </c>
      <c r="F5096" s="115">
        <f>IFERROR(__xludf.DUMMYFUNCTION("""COMPUTED_VALUE"""),120723.0)</f>
        <v>120723</v>
      </c>
      <c r="G5096" s="115">
        <f>IFERROR(__xludf.DUMMYFUNCTION("""COMPUTED_VALUE"""),3266.0)</f>
        <v>3266</v>
      </c>
      <c r="H5096" s="116">
        <f>IFERROR(__xludf.DUMMYFUNCTION("""COMPUTED_VALUE"""),45910.0)</f>
        <v>45910</v>
      </c>
      <c r="I5096" s="115" t="str">
        <f>IFERROR(__xludf.DUMMYFUNCTION("""COMPUTED_VALUE"""),"11")</f>
        <v>11</v>
      </c>
      <c r="J5096" s="115" t="str">
        <f>IFERROR(__xludf.DUMMYFUNCTION("""COMPUTED_VALUE"""),"Ashish Ranjan2025-09-1011")</f>
        <v>Ashish Ranjan2025-09-1011</v>
      </c>
      <c r="K5096" s="115">
        <f>IFERROR(__xludf.DUMMYFUNCTION("""COMPUTED_VALUE"""),583148.0)</f>
        <v>583148</v>
      </c>
    </row>
    <row r="5097">
      <c r="A5097" s="115" t="str">
        <f>IFERROR(__xludf.DUMMYFUNCTION("""COMPUTED_VALUE"""),"EAST")</f>
        <v>EAST</v>
      </c>
      <c r="B5097" s="115" t="str">
        <f>IFERROR(__xludf.DUMMYFUNCTION("""COMPUTED_VALUE"""),"Ashish Ranjan")</f>
        <v>Ashish Ranjan</v>
      </c>
      <c r="C5097" s="115" t="str">
        <f>IFERROR(__xludf.DUMMYFUNCTION("""COMPUTED_VALUE"""),"MYNTRA")</f>
        <v>MYNTRA</v>
      </c>
      <c r="D5097" s="115">
        <f>IFERROR(__xludf.DUMMYFUNCTION("""COMPUTED_VALUE"""),59088.0)</f>
        <v>59088</v>
      </c>
      <c r="E5097" s="115">
        <f>IFERROR(__xludf.DUMMYFUNCTION("""COMPUTED_VALUE"""),13099.0)</f>
        <v>13099</v>
      </c>
      <c r="F5097" s="115">
        <f>IFERROR(__xludf.DUMMYFUNCTION("""COMPUTED_VALUE"""),13671.0)</f>
        <v>13671</v>
      </c>
      <c r="G5097" s="115">
        <f>IFERROR(__xludf.DUMMYFUNCTION("""COMPUTED_VALUE"""),775.0)</f>
        <v>775</v>
      </c>
      <c r="H5097" s="116">
        <f>IFERROR(__xludf.DUMMYFUNCTION("""COMPUTED_VALUE"""),45910.0)</f>
        <v>45910</v>
      </c>
      <c r="I5097" s="115" t="str">
        <f>IFERROR(__xludf.DUMMYFUNCTION("""COMPUTED_VALUE"""),"11")</f>
        <v>11</v>
      </c>
      <c r="J5097" s="115" t="str">
        <f>IFERROR(__xludf.DUMMYFUNCTION("""COMPUTED_VALUE"""),"Ashish Ranjan2025-09-1011")</f>
        <v>Ashish Ranjan2025-09-1011</v>
      </c>
      <c r="K5097" s="115">
        <f>IFERROR(__xludf.DUMMYFUNCTION("""COMPUTED_VALUE"""),72187.0)</f>
        <v>72187</v>
      </c>
    </row>
    <row r="5098">
      <c r="A5098" s="115" t="str">
        <f>IFERROR(__xludf.DUMMYFUNCTION("""COMPUTED_VALUE"""),"EAST")</f>
        <v>EAST</v>
      </c>
      <c r="B5098" s="115" t="str">
        <f>IFERROR(__xludf.DUMMYFUNCTION("""COMPUTED_VALUE"""),"Girish Chand")</f>
        <v>Girish Chand</v>
      </c>
      <c r="C5098" s="115" t="str">
        <f>IFERROR(__xludf.DUMMYFUNCTION("""COMPUTED_VALUE"""),"EXTERNAL")</f>
        <v>EXTERNAL</v>
      </c>
      <c r="D5098" s="115">
        <f>IFERROR(__xludf.DUMMYFUNCTION("""COMPUTED_VALUE"""),19065.0)</f>
        <v>19065</v>
      </c>
      <c r="E5098" s="115">
        <f>IFERROR(__xludf.DUMMYFUNCTION("""COMPUTED_VALUE"""),1318.0)</f>
        <v>1318</v>
      </c>
      <c r="F5098" s="115">
        <f>IFERROR(__xludf.DUMMYFUNCTION("""COMPUTED_VALUE"""),1468.0)</f>
        <v>1468</v>
      </c>
      <c r="G5098" s="115">
        <f>IFERROR(__xludf.DUMMYFUNCTION("""COMPUTED_VALUE"""),29.0)</f>
        <v>29</v>
      </c>
      <c r="H5098" s="116">
        <f>IFERROR(__xludf.DUMMYFUNCTION("""COMPUTED_VALUE"""),45910.0)</f>
        <v>45910</v>
      </c>
      <c r="I5098" s="115" t="str">
        <f>IFERROR(__xludf.DUMMYFUNCTION("""COMPUTED_VALUE"""),"11")</f>
        <v>11</v>
      </c>
      <c r="J5098" s="115" t="str">
        <f>IFERROR(__xludf.DUMMYFUNCTION("""COMPUTED_VALUE"""),"Girish Chand2025-09-1011")</f>
        <v>Girish Chand2025-09-1011</v>
      </c>
      <c r="K5098" s="115">
        <f>IFERROR(__xludf.DUMMYFUNCTION("""COMPUTED_VALUE"""),20383.0)</f>
        <v>20383</v>
      </c>
    </row>
    <row r="5099">
      <c r="A5099" s="115" t="str">
        <f>IFERROR(__xludf.DUMMYFUNCTION("""COMPUTED_VALUE"""),"EAST")</f>
        <v>EAST</v>
      </c>
      <c r="B5099" s="115" t="str">
        <f>IFERROR(__xludf.DUMMYFUNCTION("""COMPUTED_VALUE"""),"Girish Chand")</f>
        <v>Girish Chand</v>
      </c>
      <c r="C5099" s="115" t="str">
        <f>IFERROR(__xludf.DUMMYFUNCTION("""COMPUTED_VALUE"""),"FLIPKART")</f>
        <v>FLIPKART</v>
      </c>
      <c r="D5099" s="115">
        <f>IFERROR(__xludf.DUMMYFUNCTION("""COMPUTED_VALUE"""),356487.0)</f>
        <v>356487</v>
      </c>
      <c r="E5099" s="115">
        <f>IFERROR(__xludf.DUMMYFUNCTION("""COMPUTED_VALUE"""),27177.0)</f>
        <v>27177</v>
      </c>
      <c r="F5099" s="115">
        <f>IFERROR(__xludf.DUMMYFUNCTION("""COMPUTED_VALUE"""),50655.0)</f>
        <v>50655</v>
      </c>
      <c r="G5099" s="115">
        <f>IFERROR(__xludf.DUMMYFUNCTION("""COMPUTED_VALUE"""),1097.0)</f>
        <v>1097</v>
      </c>
      <c r="H5099" s="116">
        <f>IFERROR(__xludf.DUMMYFUNCTION("""COMPUTED_VALUE"""),45910.0)</f>
        <v>45910</v>
      </c>
      <c r="I5099" s="115" t="str">
        <f>IFERROR(__xludf.DUMMYFUNCTION("""COMPUTED_VALUE"""),"11")</f>
        <v>11</v>
      </c>
      <c r="J5099" s="115" t="str">
        <f>IFERROR(__xludf.DUMMYFUNCTION("""COMPUTED_VALUE"""),"Girish Chand2025-09-1011")</f>
        <v>Girish Chand2025-09-1011</v>
      </c>
      <c r="K5099" s="115">
        <f>IFERROR(__xludf.DUMMYFUNCTION("""COMPUTED_VALUE"""),383664.0)</f>
        <v>383664</v>
      </c>
    </row>
    <row r="5100">
      <c r="A5100" s="115" t="str">
        <f>IFERROR(__xludf.DUMMYFUNCTION("""COMPUTED_VALUE"""),"EAST")</f>
        <v>EAST</v>
      </c>
      <c r="B5100" s="115" t="str">
        <f>IFERROR(__xludf.DUMMYFUNCTION("""COMPUTED_VALUE"""),"Girish Chand")</f>
        <v>Girish Chand</v>
      </c>
      <c r="C5100" s="115" t="str">
        <f>IFERROR(__xludf.DUMMYFUNCTION("""COMPUTED_VALUE"""),"MYNTRA")</f>
        <v>MYNTRA</v>
      </c>
      <c r="D5100" s="115">
        <f>IFERROR(__xludf.DUMMYFUNCTION("""COMPUTED_VALUE"""),30515.0)</f>
        <v>30515</v>
      </c>
      <c r="E5100" s="115">
        <f>IFERROR(__xludf.DUMMYFUNCTION("""COMPUTED_VALUE"""),5700.0)</f>
        <v>5700</v>
      </c>
      <c r="F5100" s="115">
        <f>IFERROR(__xludf.DUMMYFUNCTION("""COMPUTED_VALUE"""),4776.0)</f>
        <v>4776</v>
      </c>
      <c r="G5100" s="115">
        <f>IFERROR(__xludf.DUMMYFUNCTION("""COMPUTED_VALUE"""),225.0)</f>
        <v>225</v>
      </c>
      <c r="H5100" s="116">
        <f>IFERROR(__xludf.DUMMYFUNCTION("""COMPUTED_VALUE"""),45910.0)</f>
        <v>45910</v>
      </c>
      <c r="I5100" s="115" t="str">
        <f>IFERROR(__xludf.DUMMYFUNCTION("""COMPUTED_VALUE"""),"11")</f>
        <v>11</v>
      </c>
      <c r="J5100" s="115" t="str">
        <f>IFERROR(__xludf.DUMMYFUNCTION("""COMPUTED_VALUE"""),"Girish Chand2025-09-1011")</f>
        <v>Girish Chand2025-09-1011</v>
      </c>
      <c r="K5100" s="115">
        <f>IFERROR(__xludf.DUMMYFUNCTION("""COMPUTED_VALUE"""),36215.0)</f>
        <v>36215</v>
      </c>
    </row>
    <row r="5101">
      <c r="A5101" s="115" t="str">
        <f>IFERROR(__xludf.DUMMYFUNCTION("""COMPUTED_VALUE"""),"EAST")</f>
        <v>EAST</v>
      </c>
      <c r="B5101" s="115" t="str">
        <f>IFERROR(__xludf.DUMMYFUNCTION("""COMPUTED_VALUE"""),"Parag Kashyap")</f>
        <v>Parag Kashyap</v>
      </c>
      <c r="C5101" s="115" t="str">
        <f>IFERROR(__xludf.DUMMYFUNCTION("""COMPUTED_VALUE"""),"EXTERNAL")</f>
        <v>EXTERNAL</v>
      </c>
      <c r="D5101" s="115">
        <f>IFERROR(__xludf.DUMMYFUNCTION("""COMPUTED_VALUE"""),12731.0)</f>
        <v>12731</v>
      </c>
      <c r="E5101" s="115">
        <f>IFERROR(__xludf.DUMMYFUNCTION("""COMPUTED_VALUE"""),678.0)</f>
        <v>678</v>
      </c>
      <c r="F5101" s="115">
        <f>IFERROR(__xludf.DUMMYFUNCTION("""COMPUTED_VALUE"""),697.0)</f>
        <v>697</v>
      </c>
      <c r="G5101" s="115">
        <f>IFERROR(__xludf.DUMMYFUNCTION("""COMPUTED_VALUE"""),14.0)</f>
        <v>14</v>
      </c>
      <c r="H5101" s="116">
        <f>IFERROR(__xludf.DUMMYFUNCTION("""COMPUTED_VALUE"""),45910.0)</f>
        <v>45910</v>
      </c>
      <c r="I5101" s="115" t="str">
        <f>IFERROR(__xludf.DUMMYFUNCTION("""COMPUTED_VALUE"""),"11")</f>
        <v>11</v>
      </c>
      <c r="J5101" s="115" t="str">
        <f>IFERROR(__xludf.DUMMYFUNCTION("""COMPUTED_VALUE"""),"Parag Kashyap2025-09-1011")</f>
        <v>Parag Kashyap2025-09-1011</v>
      </c>
      <c r="K5101" s="115">
        <f>IFERROR(__xludf.DUMMYFUNCTION("""COMPUTED_VALUE"""),13409.0)</f>
        <v>13409</v>
      </c>
    </row>
    <row r="5102">
      <c r="A5102" s="115" t="str">
        <f>IFERROR(__xludf.DUMMYFUNCTION("""COMPUTED_VALUE"""),"EAST")</f>
        <v>EAST</v>
      </c>
      <c r="B5102" s="115" t="str">
        <f>IFERROR(__xludf.DUMMYFUNCTION("""COMPUTED_VALUE"""),"Parag Kashyap")</f>
        <v>Parag Kashyap</v>
      </c>
      <c r="C5102" s="115" t="str">
        <f>IFERROR(__xludf.DUMMYFUNCTION("""COMPUTED_VALUE"""),"FLIPKART")</f>
        <v>FLIPKART</v>
      </c>
      <c r="D5102" s="115">
        <f>IFERROR(__xludf.DUMMYFUNCTION("""COMPUTED_VALUE"""),238260.0)</f>
        <v>238260</v>
      </c>
      <c r="E5102" s="115">
        <f>IFERROR(__xludf.DUMMYFUNCTION("""COMPUTED_VALUE"""),12891.0)</f>
        <v>12891</v>
      </c>
      <c r="F5102" s="115">
        <f>IFERROR(__xludf.DUMMYFUNCTION("""COMPUTED_VALUE"""),24677.0)</f>
        <v>24677</v>
      </c>
      <c r="G5102" s="115">
        <f>IFERROR(__xludf.DUMMYFUNCTION("""COMPUTED_VALUE"""),453.0)</f>
        <v>453</v>
      </c>
      <c r="H5102" s="116">
        <f>IFERROR(__xludf.DUMMYFUNCTION("""COMPUTED_VALUE"""),45910.0)</f>
        <v>45910</v>
      </c>
      <c r="I5102" s="115" t="str">
        <f>IFERROR(__xludf.DUMMYFUNCTION("""COMPUTED_VALUE"""),"11")</f>
        <v>11</v>
      </c>
      <c r="J5102" s="115" t="str">
        <f>IFERROR(__xludf.DUMMYFUNCTION("""COMPUTED_VALUE"""),"Parag Kashyap2025-09-1011")</f>
        <v>Parag Kashyap2025-09-1011</v>
      </c>
      <c r="K5102" s="115">
        <f>IFERROR(__xludf.DUMMYFUNCTION("""COMPUTED_VALUE"""),251151.0)</f>
        <v>251151</v>
      </c>
    </row>
    <row r="5103">
      <c r="A5103" s="115" t="str">
        <f>IFERROR(__xludf.DUMMYFUNCTION("""COMPUTED_VALUE"""),"EAST")</f>
        <v>EAST</v>
      </c>
      <c r="B5103" s="115" t="str">
        <f>IFERROR(__xludf.DUMMYFUNCTION("""COMPUTED_VALUE"""),"Parag Kashyap")</f>
        <v>Parag Kashyap</v>
      </c>
      <c r="C5103" s="115" t="str">
        <f>IFERROR(__xludf.DUMMYFUNCTION("""COMPUTED_VALUE"""),"MYNTRA")</f>
        <v>MYNTRA</v>
      </c>
      <c r="D5103" s="115">
        <f>IFERROR(__xludf.DUMMYFUNCTION("""COMPUTED_VALUE"""),29410.0)</f>
        <v>29410</v>
      </c>
      <c r="E5103" s="115">
        <f>IFERROR(__xludf.DUMMYFUNCTION("""COMPUTED_VALUE"""),3886.0)</f>
        <v>3886</v>
      </c>
      <c r="F5103" s="115">
        <f>IFERROR(__xludf.DUMMYFUNCTION("""COMPUTED_VALUE"""),3613.0)</f>
        <v>3613</v>
      </c>
      <c r="G5103" s="115">
        <f>IFERROR(__xludf.DUMMYFUNCTION("""COMPUTED_VALUE"""),78.0)</f>
        <v>78</v>
      </c>
      <c r="H5103" s="116">
        <f>IFERROR(__xludf.DUMMYFUNCTION("""COMPUTED_VALUE"""),45910.0)</f>
        <v>45910</v>
      </c>
      <c r="I5103" s="115" t="str">
        <f>IFERROR(__xludf.DUMMYFUNCTION("""COMPUTED_VALUE"""),"11")</f>
        <v>11</v>
      </c>
      <c r="J5103" s="115" t="str">
        <f>IFERROR(__xludf.DUMMYFUNCTION("""COMPUTED_VALUE"""),"Parag Kashyap2025-09-1011")</f>
        <v>Parag Kashyap2025-09-1011</v>
      </c>
      <c r="K5103" s="115">
        <f>IFERROR(__xludf.DUMMYFUNCTION("""COMPUTED_VALUE"""),33296.0)</f>
        <v>33296</v>
      </c>
    </row>
    <row r="5104">
      <c r="A5104" s="115" t="str">
        <f>IFERROR(__xludf.DUMMYFUNCTION("""COMPUTED_VALUE"""),"NORTH")</f>
        <v>NORTH</v>
      </c>
      <c r="B5104" s="115" t="str">
        <f>IFERROR(__xludf.DUMMYFUNCTION("""COMPUTED_VALUE"""),"Amit Kumar Pathak")</f>
        <v>Amit Kumar Pathak</v>
      </c>
      <c r="C5104" s="115" t="str">
        <f>IFERROR(__xludf.DUMMYFUNCTION("""COMPUTED_VALUE"""),"EXTERNAL")</f>
        <v>EXTERNAL</v>
      </c>
      <c r="D5104" s="115">
        <f>IFERROR(__xludf.DUMMYFUNCTION("""COMPUTED_VALUE"""),15742.0)</f>
        <v>15742</v>
      </c>
      <c r="E5104" s="115">
        <f>IFERROR(__xludf.DUMMYFUNCTION("""COMPUTED_VALUE"""),3352.0)</f>
        <v>3352</v>
      </c>
      <c r="F5104" s="115">
        <f>IFERROR(__xludf.DUMMYFUNCTION("""COMPUTED_VALUE"""),1367.0)</f>
        <v>1367</v>
      </c>
      <c r="G5104" s="115">
        <f>IFERROR(__xludf.DUMMYFUNCTION("""COMPUTED_VALUE"""),231.0)</f>
        <v>231</v>
      </c>
      <c r="H5104" s="116">
        <f>IFERROR(__xludf.DUMMYFUNCTION("""COMPUTED_VALUE"""),45910.0)</f>
        <v>45910</v>
      </c>
      <c r="I5104" s="115" t="str">
        <f>IFERROR(__xludf.DUMMYFUNCTION("""COMPUTED_VALUE"""),"11")</f>
        <v>11</v>
      </c>
      <c r="J5104" s="115" t="str">
        <f>IFERROR(__xludf.DUMMYFUNCTION("""COMPUTED_VALUE"""),"Amit Kumar Pathak2025-09-1011")</f>
        <v>Amit Kumar Pathak2025-09-1011</v>
      </c>
      <c r="K5104" s="115">
        <f>IFERROR(__xludf.DUMMYFUNCTION("""COMPUTED_VALUE"""),19094.0)</f>
        <v>19094</v>
      </c>
    </row>
    <row r="5105">
      <c r="A5105" s="115" t="str">
        <f>IFERROR(__xludf.DUMMYFUNCTION("""COMPUTED_VALUE"""),"NORTH")</f>
        <v>NORTH</v>
      </c>
      <c r="B5105" s="115" t="str">
        <f>IFERROR(__xludf.DUMMYFUNCTION("""COMPUTED_VALUE"""),"Amit Kumar Pathak")</f>
        <v>Amit Kumar Pathak</v>
      </c>
      <c r="C5105" s="115" t="str">
        <f>IFERROR(__xludf.DUMMYFUNCTION("""COMPUTED_VALUE"""),"FLIPKART")</f>
        <v>FLIPKART</v>
      </c>
      <c r="D5105" s="115">
        <f>IFERROR(__xludf.DUMMYFUNCTION("""COMPUTED_VALUE"""),130545.0)</f>
        <v>130545</v>
      </c>
      <c r="E5105" s="115">
        <f>IFERROR(__xludf.DUMMYFUNCTION("""COMPUTED_VALUE"""),17937.0)</f>
        <v>17937</v>
      </c>
      <c r="F5105" s="115">
        <f>IFERROR(__xludf.DUMMYFUNCTION("""COMPUTED_VALUE"""),24250.0)</f>
        <v>24250</v>
      </c>
      <c r="G5105" s="115">
        <f>IFERROR(__xludf.DUMMYFUNCTION("""COMPUTED_VALUE"""),1842.0)</f>
        <v>1842</v>
      </c>
      <c r="H5105" s="116">
        <f>IFERROR(__xludf.DUMMYFUNCTION("""COMPUTED_VALUE"""),45910.0)</f>
        <v>45910</v>
      </c>
      <c r="I5105" s="115" t="str">
        <f>IFERROR(__xludf.DUMMYFUNCTION("""COMPUTED_VALUE"""),"11")</f>
        <v>11</v>
      </c>
      <c r="J5105" s="115" t="str">
        <f>IFERROR(__xludf.DUMMYFUNCTION("""COMPUTED_VALUE"""),"Amit Kumar Pathak2025-09-1011")</f>
        <v>Amit Kumar Pathak2025-09-1011</v>
      </c>
      <c r="K5105" s="115">
        <f>IFERROR(__xludf.DUMMYFUNCTION("""COMPUTED_VALUE"""),148482.0)</f>
        <v>148482</v>
      </c>
    </row>
    <row r="5106">
      <c r="A5106" s="115" t="str">
        <f>IFERROR(__xludf.DUMMYFUNCTION("""COMPUTED_VALUE"""),"NORTH")</f>
        <v>NORTH</v>
      </c>
      <c r="B5106" s="115" t="str">
        <f>IFERROR(__xludf.DUMMYFUNCTION("""COMPUTED_VALUE"""),"Amit Kumar Pathak")</f>
        <v>Amit Kumar Pathak</v>
      </c>
      <c r="C5106" s="115" t="str">
        <f>IFERROR(__xludf.DUMMYFUNCTION("""COMPUTED_VALUE"""),"MYNTRA")</f>
        <v>MYNTRA</v>
      </c>
      <c r="D5106" s="115">
        <f>IFERROR(__xludf.DUMMYFUNCTION("""COMPUTED_VALUE"""),10519.0)</f>
        <v>10519</v>
      </c>
      <c r="E5106" s="115">
        <f>IFERROR(__xludf.DUMMYFUNCTION("""COMPUTED_VALUE"""),4659.0)</f>
        <v>4659</v>
      </c>
      <c r="F5106" s="115">
        <f>IFERROR(__xludf.DUMMYFUNCTION("""COMPUTED_VALUE"""),2560.0)</f>
        <v>2560</v>
      </c>
      <c r="G5106" s="115">
        <f>IFERROR(__xludf.DUMMYFUNCTION("""COMPUTED_VALUE"""),578.0)</f>
        <v>578</v>
      </c>
      <c r="H5106" s="116">
        <f>IFERROR(__xludf.DUMMYFUNCTION("""COMPUTED_VALUE"""),45910.0)</f>
        <v>45910</v>
      </c>
      <c r="I5106" s="115" t="str">
        <f>IFERROR(__xludf.DUMMYFUNCTION("""COMPUTED_VALUE"""),"11")</f>
        <v>11</v>
      </c>
      <c r="J5106" s="115" t="str">
        <f>IFERROR(__xludf.DUMMYFUNCTION("""COMPUTED_VALUE"""),"Amit Kumar Pathak2025-09-1011")</f>
        <v>Amit Kumar Pathak2025-09-1011</v>
      </c>
      <c r="K5106" s="115">
        <f>IFERROR(__xludf.DUMMYFUNCTION("""COMPUTED_VALUE"""),15178.0)</f>
        <v>15178</v>
      </c>
    </row>
    <row r="5107">
      <c r="A5107" s="115" t="str">
        <f>IFERROR(__xludf.DUMMYFUNCTION("""COMPUTED_VALUE"""),"NORTH")</f>
        <v>NORTH</v>
      </c>
      <c r="B5107" s="115" t="str">
        <f>IFERROR(__xludf.DUMMYFUNCTION("""COMPUTED_VALUE"""),"Loveleen Singh")</f>
        <v>Loveleen Singh</v>
      </c>
      <c r="C5107" s="115" t="str">
        <f>IFERROR(__xludf.DUMMYFUNCTION("""COMPUTED_VALUE"""),"EXTERNAL")</f>
        <v>EXTERNAL</v>
      </c>
      <c r="D5107" s="115">
        <f>IFERROR(__xludf.DUMMYFUNCTION("""COMPUTED_VALUE"""),23578.0)</f>
        <v>23578</v>
      </c>
      <c r="E5107" s="115">
        <f>IFERROR(__xludf.DUMMYFUNCTION("""COMPUTED_VALUE"""),1799.0)</f>
        <v>1799</v>
      </c>
      <c r="F5107" s="115">
        <f>IFERROR(__xludf.DUMMYFUNCTION("""COMPUTED_VALUE"""),1869.0)</f>
        <v>1869</v>
      </c>
      <c r="G5107" s="115">
        <f>IFERROR(__xludf.DUMMYFUNCTION("""COMPUTED_VALUE"""),45.0)</f>
        <v>45</v>
      </c>
      <c r="H5107" s="116">
        <f>IFERROR(__xludf.DUMMYFUNCTION("""COMPUTED_VALUE"""),45910.0)</f>
        <v>45910</v>
      </c>
      <c r="I5107" s="115" t="str">
        <f>IFERROR(__xludf.DUMMYFUNCTION("""COMPUTED_VALUE"""),"11")</f>
        <v>11</v>
      </c>
      <c r="J5107" s="115" t="str">
        <f>IFERROR(__xludf.DUMMYFUNCTION("""COMPUTED_VALUE"""),"Loveleen Singh2025-09-1011")</f>
        <v>Loveleen Singh2025-09-1011</v>
      </c>
      <c r="K5107" s="115">
        <f>IFERROR(__xludf.DUMMYFUNCTION("""COMPUTED_VALUE"""),25377.0)</f>
        <v>25377</v>
      </c>
    </row>
    <row r="5108">
      <c r="A5108" s="115" t="str">
        <f>IFERROR(__xludf.DUMMYFUNCTION("""COMPUTED_VALUE"""),"NORTH")</f>
        <v>NORTH</v>
      </c>
      <c r="B5108" s="115" t="str">
        <f>IFERROR(__xludf.DUMMYFUNCTION("""COMPUTED_VALUE"""),"Loveleen Singh")</f>
        <v>Loveleen Singh</v>
      </c>
      <c r="C5108" s="115" t="str">
        <f>IFERROR(__xludf.DUMMYFUNCTION("""COMPUTED_VALUE"""),"FLIPKART")</f>
        <v>FLIPKART</v>
      </c>
      <c r="D5108" s="115">
        <f>IFERROR(__xludf.DUMMYFUNCTION("""COMPUTED_VALUE"""),141618.0)</f>
        <v>141618</v>
      </c>
      <c r="E5108" s="115">
        <f>IFERROR(__xludf.DUMMYFUNCTION("""COMPUTED_VALUE"""),10182.0)</f>
        <v>10182</v>
      </c>
      <c r="F5108" s="115">
        <f>IFERROR(__xludf.DUMMYFUNCTION("""COMPUTED_VALUE"""),20563.0)</f>
        <v>20563</v>
      </c>
      <c r="G5108" s="115">
        <f>IFERROR(__xludf.DUMMYFUNCTION("""COMPUTED_VALUE"""),517.0)</f>
        <v>517</v>
      </c>
      <c r="H5108" s="116">
        <f>IFERROR(__xludf.DUMMYFUNCTION("""COMPUTED_VALUE"""),45910.0)</f>
        <v>45910</v>
      </c>
      <c r="I5108" s="115" t="str">
        <f>IFERROR(__xludf.DUMMYFUNCTION("""COMPUTED_VALUE"""),"11")</f>
        <v>11</v>
      </c>
      <c r="J5108" s="115" t="str">
        <f>IFERROR(__xludf.DUMMYFUNCTION("""COMPUTED_VALUE"""),"Loveleen Singh2025-09-1011")</f>
        <v>Loveleen Singh2025-09-1011</v>
      </c>
      <c r="K5108" s="115">
        <f>IFERROR(__xludf.DUMMYFUNCTION("""COMPUTED_VALUE"""),151800.0)</f>
        <v>151800</v>
      </c>
    </row>
    <row r="5109">
      <c r="A5109" s="115" t="str">
        <f>IFERROR(__xludf.DUMMYFUNCTION("""COMPUTED_VALUE"""),"NORTH")</f>
        <v>NORTH</v>
      </c>
      <c r="B5109" s="115" t="str">
        <f>IFERROR(__xludf.DUMMYFUNCTION("""COMPUTED_VALUE"""),"Loveleen Singh")</f>
        <v>Loveleen Singh</v>
      </c>
      <c r="C5109" s="115" t="str">
        <f>IFERROR(__xludf.DUMMYFUNCTION("""COMPUTED_VALUE"""),"MYNTRA")</f>
        <v>MYNTRA</v>
      </c>
      <c r="D5109" s="115">
        <f>IFERROR(__xludf.DUMMYFUNCTION("""COMPUTED_VALUE"""),23954.0)</f>
        <v>23954</v>
      </c>
      <c r="E5109" s="115">
        <f>IFERROR(__xludf.DUMMYFUNCTION("""COMPUTED_VALUE"""),5008.0)</f>
        <v>5008</v>
      </c>
      <c r="F5109" s="115">
        <f>IFERROR(__xludf.DUMMYFUNCTION("""COMPUTED_VALUE"""),4313.0)</f>
        <v>4313</v>
      </c>
      <c r="G5109" s="115">
        <f>IFERROR(__xludf.DUMMYFUNCTION("""COMPUTED_VALUE"""),334.0)</f>
        <v>334</v>
      </c>
      <c r="H5109" s="116">
        <f>IFERROR(__xludf.DUMMYFUNCTION("""COMPUTED_VALUE"""),45910.0)</f>
        <v>45910</v>
      </c>
      <c r="I5109" s="115" t="str">
        <f>IFERROR(__xludf.DUMMYFUNCTION("""COMPUTED_VALUE"""),"11")</f>
        <v>11</v>
      </c>
      <c r="J5109" s="115" t="str">
        <f>IFERROR(__xludf.DUMMYFUNCTION("""COMPUTED_VALUE"""),"Loveleen Singh2025-09-1011")</f>
        <v>Loveleen Singh2025-09-1011</v>
      </c>
      <c r="K5109" s="115">
        <f>IFERROR(__xludf.DUMMYFUNCTION("""COMPUTED_VALUE"""),28962.0)</f>
        <v>28962</v>
      </c>
    </row>
    <row r="5110">
      <c r="A5110" s="115" t="str">
        <f>IFERROR(__xludf.DUMMYFUNCTION("""COMPUTED_VALUE"""),"NORTH")</f>
        <v>NORTH</v>
      </c>
      <c r="B5110" s="115" t="str">
        <f>IFERROR(__xludf.DUMMYFUNCTION("""COMPUTED_VALUE"""),"Manoj Harsh")</f>
        <v>Manoj Harsh</v>
      </c>
      <c r="C5110" s="115" t="str">
        <f>IFERROR(__xludf.DUMMYFUNCTION("""COMPUTED_VALUE"""),"EXTERNAL")</f>
        <v>EXTERNAL</v>
      </c>
      <c r="D5110" s="115">
        <f>IFERROR(__xludf.DUMMYFUNCTION("""COMPUTED_VALUE"""),23318.0)</f>
        <v>23318</v>
      </c>
      <c r="E5110" s="115">
        <f>IFERROR(__xludf.DUMMYFUNCTION("""COMPUTED_VALUE"""),2489.0)</f>
        <v>2489</v>
      </c>
      <c r="F5110" s="115">
        <f>IFERROR(__xludf.DUMMYFUNCTION("""COMPUTED_VALUE"""),1693.0)</f>
        <v>1693</v>
      </c>
      <c r="G5110" s="115">
        <f>IFERROR(__xludf.DUMMYFUNCTION("""COMPUTED_VALUE"""),56.0)</f>
        <v>56</v>
      </c>
      <c r="H5110" s="116">
        <f>IFERROR(__xludf.DUMMYFUNCTION("""COMPUTED_VALUE"""),45910.0)</f>
        <v>45910</v>
      </c>
      <c r="I5110" s="115" t="str">
        <f>IFERROR(__xludf.DUMMYFUNCTION("""COMPUTED_VALUE"""),"11")</f>
        <v>11</v>
      </c>
      <c r="J5110" s="115" t="str">
        <f>IFERROR(__xludf.DUMMYFUNCTION("""COMPUTED_VALUE"""),"Manoj Harsh2025-09-1011")</f>
        <v>Manoj Harsh2025-09-1011</v>
      </c>
      <c r="K5110" s="115">
        <f>IFERROR(__xludf.DUMMYFUNCTION("""COMPUTED_VALUE"""),25807.0)</f>
        <v>25807</v>
      </c>
    </row>
    <row r="5111">
      <c r="A5111" s="115" t="str">
        <f>IFERROR(__xludf.DUMMYFUNCTION("""COMPUTED_VALUE"""),"NORTH")</f>
        <v>NORTH</v>
      </c>
      <c r="B5111" s="115" t="str">
        <f>IFERROR(__xludf.DUMMYFUNCTION("""COMPUTED_VALUE"""),"Manoj Harsh")</f>
        <v>Manoj Harsh</v>
      </c>
      <c r="C5111" s="115" t="str">
        <f>IFERROR(__xludf.DUMMYFUNCTION("""COMPUTED_VALUE"""),"FLIPKART")</f>
        <v>FLIPKART</v>
      </c>
      <c r="D5111" s="115">
        <f>IFERROR(__xludf.DUMMYFUNCTION("""COMPUTED_VALUE"""),308420.0)</f>
        <v>308420</v>
      </c>
      <c r="E5111" s="115">
        <f>IFERROR(__xludf.DUMMYFUNCTION("""COMPUTED_VALUE"""),28266.0)</f>
        <v>28266</v>
      </c>
      <c r="F5111" s="115">
        <f>IFERROR(__xludf.DUMMYFUNCTION("""COMPUTED_VALUE"""),43971.0)</f>
        <v>43971</v>
      </c>
      <c r="G5111" s="115">
        <f>IFERROR(__xludf.DUMMYFUNCTION("""COMPUTED_VALUE"""),1252.0)</f>
        <v>1252</v>
      </c>
      <c r="H5111" s="116">
        <f>IFERROR(__xludf.DUMMYFUNCTION("""COMPUTED_VALUE"""),45910.0)</f>
        <v>45910</v>
      </c>
      <c r="I5111" s="115" t="str">
        <f>IFERROR(__xludf.DUMMYFUNCTION("""COMPUTED_VALUE"""),"11")</f>
        <v>11</v>
      </c>
      <c r="J5111" s="115" t="str">
        <f>IFERROR(__xludf.DUMMYFUNCTION("""COMPUTED_VALUE"""),"Manoj Harsh2025-09-1011")</f>
        <v>Manoj Harsh2025-09-1011</v>
      </c>
      <c r="K5111" s="115">
        <f>IFERROR(__xludf.DUMMYFUNCTION("""COMPUTED_VALUE"""),336686.0)</f>
        <v>336686</v>
      </c>
    </row>
    <row r="5112">
      <c r="A5112" s="115" t="str">
        <f>IFERROR(__xludf.DUMMYFUNCTION("""COMPUTED_VALUE"""),"NORTH")</f>
        <v>NORTH</v>
      </c>
      <c r="B5112" s="115" t="str">
        <f>IFERROR(__xludf.DUMMYFUNCTION("""COMPUTED_VALUE"""),"Manoj Harsh")</f>
        <v>Manoj Harsh</v>
      </c>
      <c r="C5112" s="115" t="str">
        <f>IFERROR(__xludf.DUMMYFUNCTION("""COMPUTED_VALUE"""),"MYNTRA")</f>
        <v>MYNTRA</v>
      </c>
      <c r="D5112" s="115">
        <f>IFERROR(__xludf.DUMMYFUNCTION("""COMPUTED_VALUE"""),27631.0)</f>
        <v>27631</v>
      </c>
      <c r="E5112" s="115">
        <f>IFERROR(__xludf.DUMMYFUNCTION("""COMPUTED_VALUE"""),5915.0)</f>
        <v>5915</v>
      </c>
      <c r="F5112" s="115">
        <f>IFERROR(__xludf.DUMMYFUNCTION("""COMPUTED_VALUE"""),4844.0)</f>
        <v>4844</v>
      </c>
      <c r="G5112" s="115">
        <f>IFERROR(__xludf.DUMMYFUNCTION("""COMPUTED_VALUE"""),277.0)</f>
        <v>277</v>
      </c>
      <c r="H5112" s="116">
        <f>IFERROR(__xludf.DUMMYFUNCTION("""COMPUTED_VALUE"""),45910.0)</f>
        <v>45910</v>
      </c>
      <c r="I5112" s="115" t="str">
        <f>IFERROR(__xludf.DUMMYFUNCTION("""COMPUTED_VALUE"""),"11")</f>
        <v>11</v>
      </c>
      <c r="J5112" s="115" t="str">
        <f>IFERROR(__xludf.DUMMYFUNCTION("""COMPUTED_VALUE"""),"Manoj Harsh2025-09-1011")</f>
        <v>Manoj Harsh2025-09-1011</v>
      </c>
      <c r="K5112" s="115">
        <f>IFERROR(__xludf.DUMMYFUNCTION("""COMPUTED_VALUE"""),33546.0)</f>
        <v>33546</v>
      </c>
    </row>
    <row r="5113">
      <c r="A5113" s="115" t="str">
        <f>IFERROR(__xludf.DUMMYFUNCTION("""COMPUTED_VALUE"""),"NORTH")</f>
        <v>NORTH</v>
      </c>
      <c r="B5113" s="115" t="str">
        <f>IFERROR(__xludf.DUMMYFUNCTION("""COMPUTED_VALUE"""),"Pradeep Kothari")</f>
        <v>Pradeep Kothari</v>
      </c>
      <c r="C5113" s="115" t="str">
        <f>IFERROR(__xludf.DUMMYFUNCTION("""COMPUTED_VALUE"""),"EXTERNAL")</f>
        <v>EXTERNAL</v>
      </c>
      <c r="D5113" s="115">
        <f>IFERROR(__xludf.DUMMYFUNCTION("""COMPUTED_VALUE"""),14818.0)</f>
        <v>14818</v>
      </c>
      <c r="E5113" s="115">
        <f>IFERROR(__xludf.DUMMYFUNCTION("""COMPUTED_VALUE"""),1854.0)</f>
        <v>1854</v>
      </c>
      <c r="F5113" s="115">
        <f>IFERROR(__xludf.DUMMYFUNCTION("""COMPUTED_VALUE"""),1391.0)</f>
        <v>1391</v>
      </c>
      <c r="G5113" s="115">
        <f>IFERROR(__xludf.DUMMYFUNCTION("""COMPUTED_VALUE"""),88.0)</f>
        <v>88</v>
      </c>
      <c r="H5113" s="116">
        <f>IFERROR(__xludf.DUMMYFUNCTION("""COMPUTED_VALUE"""),45910.0)</f>
        <v>45910</v>
      </c>
      <c r="I5113" s="115" t="str">
        <f>IFERROR(__xludf.DUMMYFUNCTION("""COMPUTED_VALUE"""),"11")</f>
        <v>11</v>
      </c>
      <c r="J5113" s="115" t="str">
        <f>IFERROR(__xludf.DUMMYFUNCTION("""COMPUTED_VALUE"""),"Pradeep Kothari2025-09-1011")</f>
        <v>Pradeep Kothari2025-09-1011</v>
      </c>
      <c r="K5113" s="115">
        <f>IFERROR(__xludf.DUMMYFUNCTION("""COMPUTED_VALUE"""),16672.0)</f>
        <v>16672</v>
      </c>
    </row>
    <row r="5114">
      <c r="A5114" s="115" t="str">
        <f>IFERROR(__xludf.DUMMYFUNCTION("""COMPUTED_VALUE"""),"NORTH")</f>
        <v>NORTH</v>
      </c>
      <c r="B5114" s="115" t="str">
        <f>IFERROR(__xludf.DUMMYFUNCTION("""COMPUTED_VALUE"""),"Pradeep Kothari")</f>
        <v>Pradeep Kothari</v>
      </c>
      <c r="C5114" s="115" t="str">
        <f>IFERROR(__xludf.DUMMYFUNCTION("""COMPUTED_VALUE"""),"FLIPKART")</f>
        <v>FLIPKART</v>
      </c>
      <c r="D5114" s="115">
        <f>IFERROR(__xludf.DUMMYFUNCTION("""COMPUTED_VALUE"""),125020.0)</f>
        <v>125020</v>
      </c>
      <c r="E5114" s="115">
        <f>IFERROR(__xludf.DUMMYFUNCTION("""COMPUTED_VALUE"""),13075.0)</f>
        <v>13075</v>
      </c>
      <c r="F5114" s="115">
        <f>IFERROR(__xludf.DUMMYFUNCTION("""COMPUTED_VALUE"""),24088.0)</f>
        <v>24088</v>
      </c>
      <c r="G5114" s="115">
        <f>IFERROR(__xludf.DUMMYFUNCTION("""COMPUTED_VALUE"""),871.0)</f>
        <v>871</v>
      </c>
      <c r="H5114" s="116">
        <f>IFERROR(__xludf.DUMMYFUNCTION("""COMPUTED_VALUE"""),45910.0)</f>
        <v>45910</v>
      </c>
      <c r="I5114" s="115" t="str">
        <f>IFERROR(__xludf.DUMMYFUNCTION("""COMPUTED_VALUE"""),"11")</f>
        <v>11</v>
      </c>
      <c r="J5114" s="115" t="str">
        <f>IFERROR(__xludf.DUMMYFUNCTION("""COMPUTED_VALUE"""),"Pradeep Kothari2025-09-1011")</f>
        <v>Pradeep Kothari2025-09-1011</v>
      </c>
      <c r="K5114" s="115">
        <f>IFERROR(__xludf.DUMMYFUNCTION("""COMPUTED_VALUE"""),138095.0)</f>
        <v>138095</v>
      </c>
    </row>
    <row r="5115">
      <c r="A5115" s="115" t="str">
        <f>IFERROR(__xludf.DUMMYFUNCTION("""COMPUTED_VALUE"""),"NORTH")</f>
        <v>NORTH</v>
      </c>
      <c r="B5115" s="115" t="str">
        <f>IFERROR(__xludf.DUMMYFUNCTION("""COMPUTED_VALUE"""),"Pradeep Kothari")</f>
        <v>Pradeep Kothari</v>
      </c>
      <c r="C5115" s="115" t="str">
        <f>IFERROR(__xludf.DUMMYFUNCTION("""COMPUTED_VALUE"""),"MYNTRA")</f>
        <v>MYNTRA</v>
      </c>
      <c r="D5115" s="115">
        <f>IFERROR(__xludf.DUMMYFUNCTION("""COMPUTED_VALUE"""),20344.0)</f>
        <v>20344</v>
      </c>
      <c r="E5115" s="115">
        <f>IFERROR(__xludf.DUMMYFUNCTION("""COMPUTED_VALUE"""),5701.0)</f>
        <v>5701</v>
      </c>
      <c r="F5115" s="115">
        <f>IFERROR(__xludf.DUMMYFUNCTION("""COMPUTED_VALUE"""),5339.0)</f>
        <v>5339</v>
      </c>
      <c r="G5115" s="115">
        <f>IFERROR(__xludf.DUMMYFUNCTION("""COMPUTED_VALUE"""),508.0)</f>
        <v>508</v>
      </c>
      <c r="H5115" s="116">
        <f>IFERROR(__xludf.DUMMYFUNCTION("""COMPUTED_VALUE"""),45910.0)</f>
        <v>45910</v>
      </c>
      <c r="I5115" s="115" t="str">
        <f>IFERROR(__xludf.DUMMYFUNCTION("""COMPUTED_VALUE"""),"11")</f>
        <v>11</v>
      </c>
      <c r="J5115" s="115" t="str">
        <f>IFERROR(__xludf.DUMMYFUNCTION("""COMPUTED_VALUE"""),"Pradeep Kothari2025-09-1011")</f>
        <v>Pradeep Kothari2025-09-1011</v>
      </c>
      <c r="K5115" s="115">
        <f>IFERROR(__xludf.DUMMYFUNCTION("""COMPUTED_VALUE"""),26045.0)</f>
        <v>26045</v>
      </c>
    </row>
    <row r="5116">
      <c r="A5116" s="115" t="str">
        <f>IFERROR(__xludf.DUMMYFUNCTION("""COMPUTED_VALUE"""),"SOUTH")</f>
        <v>SOUTH</v>
      </c>
      <c r="B5116" s="115" t="str">
        <f>IFERROR(__xludf.DUMMYFUNCTION("""COMPUTED_VALUE"""),"Kandula Sampath")</f>
        <v>Kandula Sampath</v>
      </c>
      <c r="C5116" s="115" t="str">
        <f>IFERROR(__xludf.DUMMYFUNCTION("""COMPUTED_VALUE"""),"EXTERNAL")</f>
        <v>EXTERNAL</v>
      </c>
      <c r="D5116" s="115">
        <f>IFERROR(__xludf.DUMMYFUNCTION("""COMPUTED_VALUE"""),26717.0)</f>
        <v>26717</v>
      </c>
      <c r="E5116" s="115">
        <f>IFERROR(__xludf.DUMMYFUNCTION("""COMPUTED_VALUE"""),3448.0)</f>
        <v>3448</v>
      </c>
      <c r="F5116" s="115">
        <f>IFERROR(__xludf.DUMMYFUNCTION("""COMPUTED_VALUE"""),3226.0)</f>
        <v>3226</v>
      </c>
      <c r="G5116" s="115">
        <f>IFERROR(__xludf.DUMMYFUNCTION("""COMPUTED_VALUE"""),105.0)</f>
        <v>105</v>
      </c>
      <c r="H5116" s="116">
        <f>IFERROR(__xludf.DUMMYFUNCTION("""COMPUTED_VALUE"""),45910.0)</f>
        <v>45910</v>
      </c>
      <c r="I5116" s="115" t="str">
        <f>IFERROR(__xludf.DUMMYFUNCTION("""COMPUTED_VALUE"""),"11")</f>
        <v>11</v>
      </c>
      <c r="J5116" s="115" t="str">
        <f>IFERROR(__xludf.DUMMYFUNCTION("""COMPUTED_VALUE"""),"Kandula Sampath2025-09-1011")</f>
        <v>Kandula Sampath2025-09-1011</v>
      </c>
      <c r="K5116" s="115">
        <f>IFERROR(__xludf.DUMMYFUNCTION("""COMPUTED_VALUE"""),30165.0)</f>
        <v>30165</v>
      </c>
    </row>
    <row r="5117">
      <c r="A5117" s="115" t="str">
        <f>IFERROR(__xludf.DUMMYFUNCTION("""COMPUTED_VALUE"""),"SOUTH")</f>
        <v>SOUTH</v>
      </c>
      <c r="B5117" s="115" t="str">
        <f>IFERROR(__xludf.DUMMYFUNCTION("""COMPUTED_VALUE"""),"Kandula Sampath")</f>
        <v>Kandula Sampath</v>
      </c>
      <c r="C5117" s="115" t="str">
        <f>IFERROR(__xludf.DUMMYFUNCTION("""COMPUTED_VALUE"""),"FLIPKART")</f>
        <v>FLIPKART</v>
      </c>
      <c r="D5117" s="115">
        <f>IFERROR(__xludf.DUMMYFUNCTION("""COMPUTED_VALUE"""),284548.0)</f>
        <v>284548</v>
      </c>
      <c r="E5117" s="115">
        <f>IFERROR(__xludf.DUMMYFUNCTION("""COMPUTED_VALUE"""),25164.0)</f>
        <v>25164</v>
      </c>
      <c r="F5117" s="115">
        <f>IFERROR(__xludf.DUMMYFUNCTION("""COMPUTED_VALUE"""),64241.0)</f>
        <v>64241</v>
      </c>
      <c r="G5117" s="115">
        <f>IFERROR(__xludf.DUMMYFUNCTION("""COMPUTED_VALUE"""),1106.0)</f>
        <v>1106</v>
      </c>
      <c r="H5117" s="116">
        <f>IFERROR(__xludf.DUMMYFUNCTION("""COMPUTED_VALUE"""),45910.0)</f>
        <v>45910</v>
      </c>
      <c r="I5117" s="115" t="str">
        <f>IFERROR(__xludf.DUMMYFUNCTION("""COMPUTED_VALUE"""),"11")</f>
        <v>11</v>
      </c>
      <c r="J5117" s="115" t="str">
        <f>IFERROR(__xludf.DUMMYFUNCTION("""COMPUTED_VALUE"""),"Kandula Sampath2025-09-1011")</f>
        <v>Kandula Sampath2025-09-1011</v>
      </c>
      <c r="K5117" s="115">
        <f>IFERROR(__xludf.DUMMYFUNCTION("""COMPUTED_VALUE"""),309712.0)</f>
        <v>309712</v>
      </c>
    </row>
    <row r="5118">
      <c r="A5118" s="115" t="str">
        <f>IFERROR(__xludf.DUMMYFUNCTION("""COMPUTED_VALUE"""),"SOUTH")</f>
        <v>SOUTH</v>
      </c>
      <c r="B5118" s="115" t="str">
        <f>IFERROR(__xludf.DUMMYFUNCTION("""COMPUTED_VALUE"""),"Kandula Sampath")</f>
        <v>Kandula Sampath</v>
      </c>
      <c r="C5118" s="115" t="str">
        <f>IFERROR(__xludf.DUMMYFUNCTION("""COMPUTED_VALUE"""),"MYNTRA")</f>
        <v>MYNTRA</v>
      </c>
      <c r="D5118" s="115">
        <f>IFERROR(__xludf.DUMMYFUNCTION("""COMPUTED_VALUE"""),32233.0)</f>
        <v>32233</v>
      </c>
      <c r="E5118" s="115">
        <f>IFERROR(__xludf.DUMMYFUNCTION("""COMPUTED_VALUE"""),7880.0)</f>
        <v>7880</v>
      </c>
      <c r="F5118" s="115">
        <f>IFERROR(__xludf.DUMMYFUNCTION("""COMPUTED_VALUE"""),8313.0)</f>
        <v>8313</v>
      </c>
      <c r="G5118" s="115">
        <f>IFERROR(__xludf.DUMMYFUNCTION("""COMPUTED_VALUE"""),356.0)</f>
        <v>356</v>
      </c>
      <c r="H5118" s="116">
        <f>IFERROR(__xludf.DUMMYFUNCTION("""COMPUTED_VALUE"""),45910.0)</f>
        <v>45910</v>
      </c>
      <c r="I5118" s="115" t="str">
        <f>IFERROR(__xludf.DUMMYFUNCTION("""COMPUTED_VALUE"""),"11")</f>
        <v>11</v>
      </c>
      <c r="J5118" s="115" t="str">
        <f>IFERROR(__xludf.DUMMYFUNCTION("""COMPUTED_VALUE"""),"Kandula Sampath2025-09-1011")</f>
        <v>Kandula Sampath2025-09-1011</v>
      </c>
      <c r="K5118" s="115">
        <f>IFERROR(__xludf.DUMMYFUNCTION("""COMPUTED_VALUE"""),40113.0)</f>
        <v>40113</v>
      </c>
    </row>
    <row r="5119">
      <c r="A5119" s="115" t="str">
        <f>IFERROR(__xludf.DUMMYFUNCTION("""COMPUTED_VALUE"""),"SOUTH")</f>
        <v>SOUTH</v>
      </c>
      <c r="B5119" s="115" t="str">
        <f>IFERROR(__xludf.DUMMYFUNCTION("""COMPUTED_VALUE"""),"Martin A")</f>
        <v>Martin A</v>
      </c>
      <c r="C5119" s="115" t="str">
        <f>IFERROR(__xludf.DUMMYFUNCTION("""COMPUTED_VALUE"""),"EXTERNAL")</f>
        <v>EXTERNAL</v>
      </c>
      <c r="D5119" s="115">
        <f>IFERROR(__xludf.DUMMYFUNCTION("""COMPUTED_VALUE"""),23357.0)</f>
        <v>23357</v>
      </c>
      <c r="E5119" s="115">
        <f>IFERROR(__xludf.DUMMYFUNCTION("""COMPUTED_VALUE"""),3132.0)</f>
        <v>3132</v>
      </c>
      <c r="F5119" s="115">
        <f>IFERROR(__xludf.DUMMYFUNCTION("""COMPUTED_VALUE"""),2688.0)</f>
        <v>2688</v>
      </c>
      <c r="G5119" s="115">
        <f>IFERROR(__xludf.DUMMYFUNCTION("""COMPUTED_VALUE"""),177.0)</f>
        <v>177</v>
      </c>
      <c r="H5119" s="116">
        <f>IFERROR(__xludf.DUMMYFUNCTION("""COMPUTED_VALUE"""),45910.0)</f>
        <v>45910</v>
      </c>
      <c r="I5119" s="115" t="str">
        <f>IFERROR(__xludf.DUMMYFUNCTION("""COMPUTED_VALUE"""),"11")</f>
        <v>11</v>
      </c>
      <c r="J5119" s="115" t="str">
        <f>IFERROR(__xludf.DUMMYFUNCTION("""COMPUTED_VALUE"""),"Martin A2025-09-1011")</f>
        <v>Martin A2025-09-1011</v>
      </c>
      <c r="K5119" s="115">
        <f>IFERROR(__xludf.DUMMYFUNCTION("""COMPUTED_VALUE"""),26489.0)</f>
        <v>26489</v>
      </c>
    </row>
    <row r="5120">
      <c r="A5120" s="115" t="str">
        <f>IFERROR(__xludf.DUMMYFUNCTION("""COMPUTED_VALUE"""),"SOUTH")</f>
        <v>SOUTH</v>
      </c>
      <c r="B5120" s="115" t="str">
        <f>IFERROR(__xludf.DUMMYFUNCTION("""COMPUTED_VALUE"""),"Martin A")</f>
        <v>Martin A</v>
      </c>
      <c r="C5120" s="115" t="str">
        <f>IFERROR(__xludf.DUMMYFUNCTION("""COMPUTED_VALUE"""),"FLIPKART")</f>
        <v>FLIPKART</v>
      </c>
      <c r="D5120" s="115">
        <f>IFERROR(__xludf.DUMMYFUNCTION("""COMPUTED_VALUE"""),223663.0)</f>
        <v>223663</v>
      </c>
      <c r="E5120" s="115">
        <f>IFERROR(__xludf.DUMMYFUNCTION("""COMPUTED_VALUE"""),20494.0)</f>
        <v>20494</v>
      </c>
      <c r="F5120" s="115">
        <f>IFERROR(__xludf.DUMMYFUNCTION("""COMPUTED_VALUE"""),42224.0)</f>
        <v>42224</v>
      </c>
      <c r="G5120" s="115">
        <f>IFERROR(__xludf.DUMMYFUNCTION("""COMPUTED_VALUE"""),1145.0)</f>
        <v>1145</v>
      </c>
      <c r="H5120" s="116">
        <f>IFERROR(__xludf.DUMMYFUNCTION("""COMPUTED_VALUE"""),45910.0)</f>
        <v>45910</v>
      </c>
      <c r="I5120" s="115" t="str">
        <f>IFERROR(__xludf.DUMMYFUNCTION("""COMPUTED_VALUE"""),"11")</f>
        <v>11</v>
      </c>
      <c r="J5120" s="115" t="str">
        <f>IFERROR(__xludf.DUMMYFUNCTION("""COMPUTED_VALUE"""),"Martin A2025-09-1011")</f>
        <v>Martin A2025-09-1011</v>
      </c>
      <c r="K5120" s="115">
        <f>IFERROR(__xludf.DUMMYFUNCTION("""COMPUTED_VALUE"""),244157.0)</f>
        <v>244157</v>
      </c>
    </row>
    <row r="5121">
      <c r="A5121" s="115" t="str">
        <f>IFERROR(__xludf.DUMMYFUNCTION("""COMPUTED_VALUE"""),"SOUTH")</f>
        <v>SOUTH</v>
      </c>
      <c r="B5121" s="115" t="str">
        <f>IFERROR(__xludf.DUMMYFUNCTION("""COMPUTED_VALUE"""),"Martin A")</f>
        <v>Martin A</v>
      </c>
      <c r="C5121" s="115" t="str">
        <f>IFERROR(__xludf.DUMMYFUNCTION("""COMPUTED_VALUE"""),"MYNTRA")</f>
        <v>MYNTRA</v>
      </c>
      <c r="D5121" s="115">
        <f>IFERROR(__xludf.DUMMYFUNCTION("""COMPUTED_VALUE"""),22973.0)</f>
        <v>22973</v>
      </c>
      <c r="E5121" s="115">
        <f>IFERROR(__xludf.DUMMYFUNCTION("""COMPUTED_VALUE"""),5598.0)</f>
        <v>5598</v>
      </c>
      <c r="F5121" s="115">
        <f>IFERROR(__xludf.DUMMYFUNCTION("""COMPUTED_VALUE"""),5520.0)</f>
        <v>5520</v>
      </c>
      <c r="G5121" s="115">
        <f>IFERROR(__xludf.DUMMYFUNCTION("""COMPUTED_VALUE"""),364.0)</f>
        <v>364</v>
      </c>
      <c r="H5121" s="116">
        <f>IFERROR(__xludf.DUMMYFUNCTION("""COMPUTED_VALUE"""),45910.0)</f>
        <v>45910</v>
      </c>
      <c r="I5121" s="115" t="str">
        <f>IFERROR(__xludf.DUMMYFUNCTION("""COMPUTED_VALUE"""),"11")</f>
        <v>11</v>
      </c>
      <c r="J5121" s="115" t="str">
        <f>IFERROR(__xludf.DUMMYFUNCTION("""COMPUTED_VALUE"""),"Martin A2025-09-1011")</f>
        <v>Martin A2025-09-1011</v>
      </c>
      <c r="K5121" s="115">
        <f>IFERROR(__xludf.DUMMYFUNCTION("""COMPUTED_VALUE"""),28571.0)</f>
        <v>28571</v>
      </c>
    </row>
    <row r="5122">
      <c r="A5122" s="115" t="str">
        <f>IFERROR(__xludf.DUMMYFUNCTION("""COMPUTED_VALUE"""),"SOUTH")</f>
        <v>SOUTH</v>
      </c>
      <c r="B5122" s="115" t="str">
        <f>IFERROR(__xludf.DUMMYFUNCTION("""COMPUTED_VALUE"""),"Premkumar M")</f>
        <v>Premkumar M</v>
      </c>
      <c r="C5122" s="115" t="str">
        <f>IFERROR(__xludf.DUMMYFUNCTION("""COMPUTED_VALUE"""),"EXTERNAL")</f>
        <v>EXTERNAL</v>
      </c>
      <c r="D5122" s="115">
        <f>IFERROR(__xludf.DUMMYFUNCTION("""COMPUTED_VALUE"""),16823.0)</f>
        <v>16823</v>
      </c>
      <c r="E5122" s="115">
        <f>IFERROR(__xludf.DUMMYFUNCTION("""COMPUTED_VALUE"""),1117.0)</f>
        <v>1117</v>
      </c>
      <c r="F5122" s="115">
        <f>IFERROR(__xludf.DUMMYFUNCTION("""COMPUTED_VALUE"""),1216.0)</f>
        <v>1216</v>
      </c>
      <c r="G5122" s="115">
        <f>IFERROR(__xludf.DUMMYFUNCTION("""COMPUTED_VALUE"""),13.0)</f>
        <v>13</v>
      </c>
      <c r="H5122" s="116">
        <f>IFERROR(__xludf.DUMMYFUNCTION("""COMPUTED_VALUE"""),45910.0)</f>
        <v>45910</v>
      </c>
      <c r="I5122" s="115" t="str">
        <f>IFERROR(__xludf.DUMMYFUNCTION("""COMPUTED_VALUE"""),"11")</f>
        <v>11</v>
      </c>
      <c r="J5122" s="115" t="str">
        <f>IFERROR(__xludf.DUMMYFUNCTION("""COMPUTED_VALUE"""),"Premkumar M2025-09-1011")</f>
        <v>Premkumar M2025-09-1011</v>
      </c>
      <c r="K5122" s="115">
        <f>IFERROR(__xludf.DUMMYFUNCTION("""COMPUTED_VALUE"""),17940.0)</f>
        <v>17940</v>
      </c>
    </row>
    <row r="5123">
      <c r="A5123" s="115" t="str">
        <f>IFERROR(__xludf.DUMMYFUNCTION("""COMPUTED_VALUE"""),"SOUTH")</f>
        <v>SOUTH</v>
      </c>
      <c r="B5123" s="115" t="str">
        <f>IFERROR(__xludf.DUMMYFUNCTION("""COMPUTED_VALUE"""),"Premkumar M")</f>
        <v>Premkumar M</v>
      </c>
      <c r="C5123" s="115" t="str">
        <f>IFERROR(__xludf.DUMMYFUNCTION("""COMPUTED_VALUE"""),"FLIPKART")</f>
        <v>FLIPKART</v>
      </c>
      <c r="D5123" s="115">
        <f>IFERROR(__xludf.DUMMYFUNCTION("""COMPUTED_VALUE"""),188665.0)</f>
        <v>188665</v>
      </c>
      <c r="E5123" s="115">
        <f>IFERROR(__xludf.DUMMYFUNCTION("""COMPUTED_VALUE"""),10619.0)</f>
        <v>10619</v>
      </c>
      <c r="F5123" s="115">
        <f>IFERROR(__xludf.DUMMYFUNCTION("""COMPUTED_VALUE"""),21944.0)</f>
        <v>21944</v>
      </c>
      <c r="G5123" s="115">
        <f>IFERROR(__xludf.DUMMYFUNCTION("""COMPUTED_VALUE"""),241.0)</f>
        <v>241</v>
      </c>
      <c r="H5123" s="116">
        <f>IFERROR(__xludf.DUMMYFUNCTION("""COMPUTED_VALUE"""),45910.0)</f>
        <v>45910</v>
      </c>
      <c r="I5123" s="115" t="str">
        <f>IFERROR(__xludf.DUMMYFUNCTION("""COMPUTED_VALUE"""),"11")</f>
        <v>11</v>
      </c>
      <c r="J5123" s="115" t="str">
        <f>IFERROR(__xludf.DUMMYFUNCTION("""COMPUTED_VALUE"""),"Premkumar M2025-09-1011")</f>
        <v>Premkumar M2025-09-1011</v>
      </c>
      <c r="K5123" s="115">
        <f>IFERROR(__xludf.DUMMYFUNCTION("""COMPUTED_VALUE"""),199284.0)</f>
        <v>199284</v>
      </c>
    </row>
    <row r="5124">
      <c r="A5124" s="115" t="str">
        <f>IFERROR(__xludf.DUMMYFUNCTION("""COMPUTED_VALUE"""),"SOUTH")</f>
        <v>SOUTH</v>
      </c>
      <c r="B5124" s="115" t="str">
        <f>IFERROR(__xludf.DUMMYFUNCTION("""COMPUTED_VALUE"""),"Premkumar M")</f>
        <v>Premkumar M</v>
      </c>
      <c r="C5124" s="115" t="str">
        <f>IFERROR(__xludf.DUMMYFUNCTION("""COMPUTED_VALUE"""),"MYNTRA")</f>
        <v>MYNTRA</v>
      </c>
      <c r="D5124" s="115">
        <f>IFERROR(__xludf.DUMMYFUNCTION("""COMPUTED_VALUE"""),10055.0)</f>
        <v>10055</v>
      </c>
      <c r="E5124" s="115">
        <f>IFERROR(__xludf.DUMMYFUNCTION("""COMPUTED_VALUE"""),1811.0)</f>
        <v>1811</v>
      </c>
      <c r="F5124" s="115">
        <f>IFERROR(__xludf.DUMMYFUNCTION("""COMPUTED_VALUE"""),1366.0)</f>
        <v>1366</v>
      </c>
      <c r="G5124" s="115">
        <f>IFERROR(__xludf.DUMMYFUNCTION("""COMPUTED_VALUE"""),34.0)</f>
        <v>34</v>
      </c>
      <c r="H5124" s="116">
        <f>IFERROR(__xludf.DUMMYFUNCTION("""COMPUTED_VALUE"""),45910.0)</f>
        <v>45910</v>
      </c>
      <c r="I5124" s="115" t="str">
        <f>IFERROR(__xludf.DUMMYFUNCTION("""COMPUTED_VALUE"""),"11")</f>
        <v>11</v>
      </c>
      <c r="J5124" s="115" t="str">
        <f>IFERROR(__xludf.DUMMYFUNCTION("""COMPUTED_VALUE"""),"Premkumar M2025-09-1011")</f>
        <v>Premkumar M2025-09-1011</v>
      </c>
      <c r="K5124" s="115">
        <f>IFERROR(__xludf.DUMMYFUNCTION("""COMPUTED_VALUE"""),11866.0)</f>
        <v>11866</v>
      </c>
    </row>
    <row r="5125">
      <c r="A5125" s="115" t="str">
        <f>IFERROR(__xludf.DUMMYFUNCTION("""COMPUTED_VALUE"""),"SOUTH")</f>
        <v>SOUTH</v>
      </c>
      <c r="B5125" s="115" t="str">
        <f>IFERROR(__xludf.DUMMYFUNCTION("""COMPUTED_VALUE"""),"Vineeth V")</f>
        <v>Vineeth V</v>
      </c>
      <c r="C5125" s="115" t="str">
        <f>IFERROR(__xludf.DUMMYFUNCTION("""COMPUTED_VALUE"""),"EXTERNAL")</f>
        <v>EXTERNAL</v>
      </c>
      <c r="D5125" s="115">
        <f>IFERROR(__xludf.DUMMYFUNCTION("""COMPUTED_VALUE"""),11228.0)</f>
        <v>11228</v>
      </c>
      <c r="E5125" s="115">
        <f>IFERROR(__xludf.DUMMYFUNCTION("""COMPUTED_VALUE"""),339.0)</f>
        <v>339</v>
      </c>
      <c r="F5125" s="115">
        <f>IFERROR(__xludf.DUMMYFUNCTION("""COMPUTED_VALUE"""),690.0)</f>
        <v>690</v>
      </c>
      <c r="G5125" s="115">
        <f>IFERROR(__xludf.DUMMYFUNCTION("""COMPUTED_VALUE"""),4.0)</f>
        <v>4</v>
      </c>
      <c r="H5125" s="116">
        <f>IFERROR(__xludf.DUMMYFUNCTION("""COMPUTED_VALUE"""),45910.0)</f>
        <v>45910</v>
      </c>
      <c r="I5125" s="115" t="str">
        <f>IFERROR(__xludf.DUMMYFUNCTION("""COMPUTED_VALUE"""),"11")</f>
        <v>11</v>
      </c>
      <c r="J5125" s="115" t="str">
        <f>IFERROR(__xludf.DUMMYFUNCTION("""COMPUTED_VALUE"""),"Vineeth V2025-09-1011")</f>
        <v>Vineeth V2025-09-1011</v>
      </c>
      <c r="K5125" s="115">
        <f>IFERROR(__xludf.DUMMYFUNCTION("""COMPUTED_VALUE"""),11567.0)</f>
        <v>11567</v>
      </c>
    </row>
    <row r="5126">
      <c r="A5126" s="115" t="str">
        <f>IFERROR(__xludf.DUMMYFUNCTION("""COMPUTED_VALUE"""),"SOUTH")</f>
        <v>SOUTH</v>
      </c>
      <c r="B5126" s="115" t="str">
        <f>IFERROR(__xludf.DUMMYFUNCTION("""COMPUTED_VALUE"""),"Vineeth V")</f>
        <v>Vineeth V</v>
      </c>
      <c r="C5126" s="115" t="str">
        <f>IFERROR(__xludf.DUMMYFUNCTION("""COMPUTED_VALUE"""),"FLIPKART")</f>
        <v>FLIPKART</v>
      </c>
      <c r="D5126" s="115">
        <f>IFERROR(__xludf.DUMMYFUNCTION("""COMPUTED_VALUE"""),127610.0)</f>
        <v>127610</v>
      </c>
      <c r="E5126" s="115">
        <f>IFERROR(__xludf.DUMMYFUNCTION("""COMPUTED_VALUE"""),8642.0)</f>
        <v>8642</v>
      </c>
      <c r="F5126" s="115">
        <f>IFERROR(__xludf.DUMMYFUNCTION("""COMPUTED_VALUE"""),12819.0)</f>
        <v>12819</v>
      </c>
      <c r="G5126" s="115">
        <f>IFERROR(__xludf.DUMMYFUNCTION("""COMPUTED_VALUE"""),145.0)</f>
        <v>145</v>
      </c>
      <c r="H5126" s="116">
        <f>IFERROR(__xludf.DUMMYFUNCTION("""COMPUTED_VALUE"""),45910.0)</f>
        <v>45910</v>
      </c>
      <c r="I5126" s="115" t="str">
        <f>IFERROR(__xludf.DUMMYFUNCTION("""COMPUTED_VALUE"""),"11")</f>
        <v>11</v>
      </c>
      <c r="J5126" s="115" t="str">
        <f>IFERROR(__xludf.DUMMYFUNCTION("""COMPUTED_VALUE"""),"Vineeth V2025-09-1011")</f>
        <v>Vineeth V2025-09-1011</v>
      </c>
      <c r="K5126" s="115">
        <f>IFERROR(__xludf.DUMMYFUNCTION("""COMPUTED_VALUE"""),136252.0)</f>
        <v>136252</v>
      </c>
    </row>
    <row r="5127">
      <c r="A5127" s="115" t="str">
        <f>IFERROR(__xludf.DUMMYFUNCTION("""COMPUTED_VALUE"""),"SOUTH")</f>
        <v>SOUTH</v>
      </c>
      <c r="B5127" s="115" t="str">
        <f>IFERROR(__xludf.DUMMYFUNCTION("""COMPUTED_VALUE"""),"Vineeth V")</f>
        <v>Vineeth V</v>
      </c>
      <c r="C5127" s="115" t="str">
        <f>IFERROR(__xludf.DUMMYFUNCTION("""COMPUTED_VALUE"""),"MYNTRA")</f>
        <v>MYNTRA</v>
      </c>
      <c r="D5127" s="115">
        <f>IFERROR(__xludf.DUMMYFUNCTION("""COMPUTED_VALUE"""),10643.0)</f>
        <v>10643</v>
      </c>
      <c r="E5127" s="115">
        <f>IFERROR(__xludf.DUMMYFUNCTION("""COMPUTED_VALUE"""),2223.0)</f>
        <v>2223</v>
      </c>
      <c r="F5127" s="115">
        <f>IFERROR(__xludf.DUMMYFUNCTION("""COMPUTED_VALUE"""),1322.0)</f>
        <v>1322</v>
      </c>
      <c r="G5127" s="115">
        <f>IFERROR(__xludf.DUMMYFUNCTION("""COMPUTED_VALUE"""),32.0)</f>
        <v>32</v>
      </c>
      <c r="H5127" s="116">
        <f>IFERROR(__xludf.DUMMYFUNCTION("""COMPUTED_VALUE"""),45910.0)</f>
        <v>45910</v>
      </c>
      <c r="I5127" s="115" t="str">
        <f>IFERROR(__xludf.DUMMYFUNCTION("""COMPUTED_VALUE"""),"11")</f>
        <v>11</v>
      </c>
      <c r="J5127" s="115" t="str">
        <f>IFERROR(__xludf.DUMMYFUNCTION("""COMPUTED_VALUE"""),"Vineeth V2025-09-1011")</f>
        <v>Vineeth V2025-09-1011</v>
      </c>
      <c r="K5127" s="115">
        <f>IFERROR(__xludf.DUMMYFUNCTION("""COMPUTED_VALUE"""),12866.0)</f>
        <v>12866</v>
      </c>
    </row>
    <row r="5128">
      <c r="A5128" s="115" t="str">
        <f>IFERROR(__xludf.DUMMYFUNCTION("""COMPUTED_VALUE"""),"WEST")</f>
        <v>WEST</v>
      </c>
      <c r="B5128" s="115" t="str">
        <f>IFERROR(__xludf.DUMMYFUNCTION("""COMPUTED_VALUE"""),"Ashish Jakar")</f>
        <v>Ashish Jakar</v>
      </c>
      <c r="C5128" s="115" t="str">
        <f>IFERROR(__xludf.DUMMYFUNCTION("""COMPUTED_VALUE"""),"EXTERNAL")</f>
        <v>EXTERNAL</v>
      </c>
      <c r="D5128" s="115">
        <f>IFERROR(__xludf.DUMMYFUNCTION("""COMPUTED_VALUE"""),44521.0)</f>
        <v>44521</v>
      </c>
      <c r="E5128" s="115">
        <f>IFERROR(__xludf.DUMMYFUNCTION("""COMPUTED_VALUE"""),4555.0)</f>
        <v>4555</v>
      </c>
      <c r="F5128" s="115">
        <f>IFERROR(__xludf.DUMMYFUNCTION("""COMPUTED_VALUE"""),4595.0)</f>
        <v>4595</v>
      </c>
      <c r="G5128" s="115">
        <f>IFERROR(__xludf.DUMMYFUNCTION("""COMPUTED_VALUE"""),195.0)</f>
        <v>195</v>
      </c>
      <c r="H5128" s="116">
        <f>IFERROR(__xludf.DUMMYFUNCTION("""COMPUTED_VALUE"""),45910.0)</f>
        <v>45910</v>
      </c>
      <c r="I5128" s="115" t="str">
        <f>IFERROR(__xludf.DUMMYFUNCTION("""COMPUTED_VALUE"""),"11")</f>
        <v>11</v>
      </c>
      <c r="J5128" s="115" t="str">
        <f>IFERROR(__xludf.DUMMYFUNCTION("""COMPUTED_VALUE"""),"Ashish Jakar2025-09-1011")</f>
        <v>Ashish Jakar2025-09-1011</v>
      </c>
      <c r="K5128" s="115">
        <f>IFERROR(__xludf.DUMMYFUNCTION("""COMPUTED_VALUE"""),49076.0)</f>
        <v>49076</v>
      </c>
    </row>
    <row r="5129">
      <c r="A5129" s="115" t="str">
        <f>IFERROR(__xludf.DUMMYFUNCTION("""COMPUTED_VALUE"""),"WEST")</f>
        <v>WEST</v>
      </c>
      <c r="B5129" s="115" t="str">
        <f>IFERROR(__xludf.DUMMYFUNCTION("""COMPUTED_VALUE"""),"Ashish Jakar")</f>
        <v>Ashish Jakar</v>
      </c>
      <c r="C5129" s="115" t="str">
        <f>IFERROR(__xludf.DUMMYFUNCTION("""COMPUTED_VALUE"""),"FLIPKART")</f>
        <v>FLIPKART</v>
      </c>
      <c r="D5129" s="115">
        <f>IFERROR(__xludf.DUMMYFUNCTION("""COMPUTED_VALUE"""),285399.0)</f>
        <v>285399</v>
      </c>
      <c r="E5129" s="115">
        <f>IFERROR(__xludf.DUMMYFUNCTION("""COMPUTED_VALUE"""),24701.0)</f>
        <v>24701</v>
      </c>
      <c r="F5129" s="115">
        <f>IFERROR(__xludf.DUMMYFUNCTION("""COMPUTED_VALUE"""),40679.0)</f>
        <v>40679</v>
      </c>
      <c r="G5129" s="115">
        <f>IFERROR(__xludf.DUMMYFUNCTION("""COMPUTED_VALUE"""),1203.0)</f>
        <v>1203</v>
      </c>
      <c r="H5129" s="116">
        <f>IFERROR(__xludf.DUMMYFUNCTION("""COMPUTED_VALUE"""),45910.0)</f>
        <v>45910</v>
      </c>
      <c r="I5129" s="115" t="str">
        <f>IFERROR(__xludf.DUMMYFUNCTION("""COMPUTED_VALUE"""),"11")</f>
        <v>11</v>
      </c>
      <c r="J5129" s="115" t="str">
        <f>IFERROR(__xludf.DUMMYFUNCTION("""COMPUTED_VALUE"""),"Ashish Jakar2025-09-1011")</f>
        <v>Ashish Jakar2025-09-1011</v>
      </c>
      <c r="K5129" s="115">
        <f>IFERROR(__xludf.DUMMYFUNCTION("""COMPUTED_VALUE"""),310100.0)</f>
        <v>310100</v>
      </c>
    </row>
    <row r="5130">
      <c r="A5130" s="115" t="str">
        <f>IFERROR(__xludf.DUMMYFUNCTION("""COMPUTED_VALUE"""),"WEST")</f>
        <v>WEST</v>
      </c>
      <c r="B5130" s="115" t="str">
        <f>IFERROR(__xludf.DUMMYFUNCTION("""COMPUTED_VALUE"""),"Ashish Jakar")</f>
        <v>Ashish Jakar</v>
      </c>
      <c r="C5130" s="115" t="str">
        <f>IFERROR(__xludf.DUMMYFUNCTION("""COMPUTED_VALUE"""),"MYNTRA")</f>
        <v>MYNTRA</v>
      </c>
      <c r="D5130" s="115">
        <f>IFERROR(__xludf.DUMMYFUNCTION("""COMPUTED_VALUE"""),33549.0)</f>
        <v>33549</v>
      </c>
      <c r="E5130" s="115">
        <f>IFERROR(__xludf.DUMMYFUNCTION("""COMPUTED_VALUE"""),8704.0)</f>
        <v>8704</v>
      </c>
      <c r="F5130" s="115">
        <f>IFERROR(__xludf.DUMMYFUNCTION("""COMPUTED_VALUE"""),5793.0)</f>
        <v>5793</v>
      </c>
      <c r="G5130" s="115">
        <f>IFERROR(__xludf.DUMMYFUNCTION("""COMPUTED_VALUE"""),435.0)</f>
        <v>435</v>
      </c>
      <c r="H5130" s="116">
        <f>IFERROR(__xludf.DUMMYFUNCTION("""COMPUTED_VALUE"""),45910.0)</f>
        <v>45910</v>
      </c>
      <c r="I5130" s="115" t="str">
        <f>IFERROR(__xludf.DUMMYFUNCTION("""COMPUTED_VALUE"""),"11")</f>
        <v>11</v>
      </c>
      <c r="J5130" s="115" t="str">
        <f>IFERROR(__xludf.DUMMYFUNCTION("""COMPUTED_VALUE"""),"Ashish Jakar2025-09-1011")</f>
        <v>Ashish Jakar2025-09-1011</v>
      </c>
      <c r="K5130" s="115">
        <f>IFERROR(__xludf.DUMMYFUNCTION("""COMPUTED_VALUE"""),42253.0)</f>
        <v>42253</v>
      </c>
    </row>
    <row r="5131">
      <c r="A5131" s="115" t="str">
        <f>IFERROR(__xludf.DUMMYFUNCTION("""COMPUTED_VALUE"""),"WEST")</f>
        <v>WEST</v>
      </c>
      <c r="B5131" s="115" t="str">
        <f>IFERROR(__xludf.DUMMYFUNCTION("""COMPUTED_VALUE"""),"Ashvani Bhatt")</f>
        <v>Ashvani Bhatt</v>
      </c>
      <c r="C5131" s="115" t="str">
        <f>IFERROR(__xludf.DUMMYFUNCTION("""COMPUTED_VALUE"""),"EXTERNAL")</f>
        <v>EXTERNAL</v>
      </c>
      <c r="D5131" s="115">
        <f>IFERROR(__xludf.DUMMYFUNCTION("""COMPUTED_VALUE"""),28499.0)</f>
        <v>28499</v>
      </c>
      <c r="E5131" s="115">
        <f>IFERROR(__xludf.DUMMYFUNCTION("""COMPUTED_VALUE"""),2111.0)</f>
        <v>2111</v>
      </c>
      <c r="F5131" s="115">
        <f>IFERROR(__xludf.DUMMYFUNCTION("""COMPUTED_VALUE"""),2905.0)</f>
        <v>2905</v>
      </c>
      <c r="G5131" s="115">
        <f>IFERROR(__xludf.DUMMYFUNCTION("""COMPUTED_VALUE"""),73.0)</f>
        <v>73</v>
      </c>
      <c r="H5131" s="116">
        <f>IFERROR(__xludf.DUMMYFUNCTION("""COMPUTED_VALUE"""),45910.0)</f>
        <v>45910</v>
      </c>
      <c r="I5131" s="115" t="str">
        <f>IFERROR(__xludf.DUMMYFUNCTION("""COMPUTED_VALUE"""),"11")</f>
        <v>11</v>
      </c>
      <c r="J5131" s="115" t="str">
        <f>IFERROR(__xludf.DUMMYFUNCTION("""COMPUTED_VALUE"""),"Ashvani Bhatt2025-09-1011")</f>
        <v>Ashvani Bhatt2025-09-1011</v>
      </c>
      <c r="K5131" s="115">
        <f>IFERROR(__xludf.DUMMYFUNCTION("""COMPUTED_VALUE"""),30610.0)</f>
        <v>30610</v>
      </c>
    </row>
    <row r="5132">
      <c r="A5132" s="115" t="str">
        <f>IFERROR(__xludf.DUMMYFUNCTION("""COMPUTED_VALUE"""),"WEST")</f>
        <v>WEST</v>
      </c>
      <c r="B5132" s="115" t="str">
        <f>IFERROR(__xludf.DUMMYFUNCTION("""COMPUTED_VALUE"""),"Ashvani Bhatt")</f>
        <v>Ashvani Bhatt</v>
      </c>
      <c r="C5132" s="115" t="str">
        <f>IFERROR(__xludf.DUMMYFUNCTION("""COMPUTED_VALUE"""),"FLIPKART")</f>
        <v>FLIPKART</v>
      </c>
      <c r="D5132" s="115">
        <f>IFERROR(__xludf.DUMMYFUNCTION("""COMPUTED_VALUE"""),210216.0)</f>
        <v>210216</v>
      </c>
      <c r="E5132" s="115">
        <f>IFERROR(__xludf.DUMMYFUNCTION("""COMPUTED_VALUE"""),20230.0)</f>
        <v>20230</v>
      </c>
      <c r="F5132" s="115">
        <f>IFERROR(__xludf.DUMMYFUNCTION("""COMPUTED_VALUE"""),40102.0)</f>
        <v>40102</v>
      </c>
      <c r="G5132" s="115">
        <f>IFERROR(__xludf.DUMMYFUNCTION("""COMPUTED_VALUE"""),974.0)</f>
        <v>974</v>
      </c>
      <c r="H5132" s="116">
        <f>IFERROR(__xludf.DUMMYFUNCTION("""COMPUTED_VALUE"""),45910.0)</f>
        <v>45910</v>
      </c>
      <c r="I5132" s="115" t="str">
        <f>IFERROR(__xludf.DUMMYFUNCTION("""COMPUTED_VALUE"""),"11")</f>
        <v>11</v>
      </c>
      <c r="J5132" s="115" t="str">
        <f>IFERROR(__xludf.DUMMYFUNCTION("""COMPUTED_VALUE"""),"Ashvani Bhatt2025-09-1011")</f>
        <v>Ashvani Bhatt2025-09-1011</v>
      </c>
      <c r="K5132" s="115">
        <f>IFERROR(__xludf.DUMMYFUNCTION("""COMPUTED_VALUE"""),230446.0)</f>
        <v>230446</v>
      </c>
    </row>
    <row r="5133">
      <c r="A5133" s="115" t="str">
        <f>IFERROR(__xludf.DUMMYFUNCTION("""COMPUTED_VALUE"""),"WEST")</f>
        <v>WEST</v>
      </c>
      <c r="B5133" s="115" t="str">
        <f>IFERROR(__xludf.DUMMYFUNCTION("""COMPUTED_VALUE"""),"Ashvani Bhatt")</f>
        <v>Ashvani Bhatt</v>
      </c>
      <c r="C5133" s="115" t="str">
        <f>IFERROR(__xludf.DUMMYFUNCTION("""COMPUTED_VALUE"""),"MYNTRA")</f>
        <v>MYNTRA</v>
      </c>
      <c r="D5133" s="115">
        <f>IFERROR(__xludf.DUMMYFUNCTION("""COMPUTED_VALUE"""),27324.0)</f>
        <v>27324</v>
      </c>
      <c r="E5133" s="115">
        <f>IFERROR(__xludf.DUMMYFUNCTION("""COMPUTED_VALUE"""),6845.0)</f>
        <v>6845</v>
      </c>
      <c r="F5133" s="115">
        <f>IFERROR(__xludf.DUMMYFUNCTION("""COMPUTED_VALUE"""),6655.0)</f>
        <v>6655</v>
      </c>
      <c r="G5133" s="115">
        <f>IFERROR(__xludf.DUMMYFUNCTION("""COMPUTED_VALUE"""),430.0)</f>
        <v>430</v>
      </c>
      <c r="H5133" s="116">
        <f>IFERROR(__xludf.DUMMYFUNCTION("""COMPUTED_VALUE"""),45910.0)</f>
        <v>45910</v>
      </c>
      <c r="I5133" s="115" t="str">
        <f>IFERROR(__xludf.DUMMYFUNCTION("""COMPUTED_VALUE"""),"11")</f>
        <v>11</v>
      </c>
      <c r="J5133" s="115" t="str">
        <f>IFERROR(__xludf.DUMMYFUNCTION("""COMPUTED_VALUE"""),"Ashvani Bhatt2025-09-1011")</f>
        <v>Ashvani Bhatt2025-09-1011</v>
      </c>
      <c r="K5133" s="115">
        <f>IFERROR(__xludf.DUMMYFUNCTION("""COMPUTED_VALUE"""),34169.0)</f>
        <v>34169</v>
      </c>
    </row>
    <row r="5134">
      <c r="A5134" s="115"/>
      <c r="B5134" s="115"/>
      <c r="C5134" s="115" t="str">
        <f>IFERROR(__xludf.DUMMYFUNCTION("""COMPUTED_VALUE"""),"EXTERNAL")</f>
        <v>EXTERNAL</v>
      </c>
      <c r="D5134" s="115">
        <f>IFERROR(__xludf.DUMMYFUNCTION("""COMPUTED_VALUE"""),350.0)</f>
        <v>350</v>
      </c>
      <c r="E5134" s="115">
        <f>IFERROR(__xludf.DUMMYFUNCTION("""COMPUTED_VALUE"""),103.0)</f>
        <v>103</v>
      </c>
      <c r="F5134" s="115">
        <f>IFERROR(__xludf.DUMMYFUNCTION("""COMPUTED_VALUE"""),11.0)</f>
        <v>11</v>
      </c>
      <c r="G5134" s="115">
        <f>IFERROR(__xludf.DUMMYFUNCTION("""COMPUTED_VALUE"""),19.0)</f>
        <v>19</v>
      </c>
      <c r="H5134" s="116">
        <f>IFERROR(__xludf.DUMMYFUNCTION("""COMPUTED_VALUE"""),45910.0)</f>
        <v>45910</v>
      </c>
      <c r="I5134" s="115" t="str">
        <f>IFERROR(__xludf.DUMMYFUNCTION("""COMPUTED_VALUE"""),"11")</f>
        <v>11</v>
      </c>
      <c r="J5134" s="115" t="str">
        <f>IFERROR(__xludf.DUMMYFUNCTION("""COMPUTED_VALUE"""),"2025-09-1011")</f>
        <v>2025-09-1011</v>
      </c>
      <c r="K5134" s="115">
        <f>IFERROR(__xludf.DUMMYFUNCTION("""COMPUTED_VALUE"""),453.0)</f>
        <v>453</v>
      </c>
    </row>
    <row r="5135">
      <c r="A5135" s="115"/>
      <c r="B5135" s="115"/>
      <c r="C5135" s="115" t="str">
        <f>IFERROR(__xludf.DUMMYFUNCTION("""COMPUTED_VALUE"""),"FLIPKART")</f>
        <v>FLIPKART</v>
      </c>
      <c r="D5135" s="115">
        <f>IFERROR(__xludf.DUMMYFUNCTION("""COMPUTED_VALUE"""),4047.0)</f>
        <v>4047</v>
      </c>
      <c r="E5135" s="115">
        <f>IFERROR(__xludf.DUMMYFUNCTION("""COMPUTED_VALUE"""),423.0)</f>
        <v>423</v>
      </c>
      <c r="F5135" s="115">
        <f>IFERROR(__xludf.DUMMYFUNCTION("""COMPUTED_VALUE"""),275.0)</f>
        <v>275</v>
      </c>
      <c r="G5135" s="115">
        <f>IFERROR(__xludf.DUMMYFUNCTION("""COMPUTED_VALUE"""),57.0)</f>
        <v>57</v>
      </c>
      <c r="H5135" s="116">
        <f>IFERROR(__xludf.DUMMYFUNCTION("""COMPUTED_VALUE"""),45910.0)</f>
        <v>45910</v>
      </c>
      <c r="I5135" s="115" t="str">
        <f>IFERROR(__xludf.DUMMYFUNCTION("""COMPUTED_VALUE"""),"11")</f>
        <v>11</v>
      </c>
      <c r="J5135" s="115" t="str">
        <f>IFERROR(__xludf.DUMMYFUNCTION("""COMPUTED_VALUE"""),"2025-09-1011")</f>
        <v>2025-09-1011</v>
      </c>
      <c r="K5135" s="115">
        <f>IFERROR(__xludf.DUMMYFUNCTION("""COMPUTED_VALUE"""),4470.0)</f>
        <v>4470</v>
      </c>
    </row>
    <row r="5136">
      <c r="A5136" s="115"/>
      <c r="B5136" s="115"/>
      <c r="C5136" s="115" t="str">
        <f>IFERROR(__xludf.DUMMYFUNCTION("""COMPUTED_VALUE"""),"MYNTRA")</f>
        <v>MYNTRA</v>
      </c>
      <c r="D5136" s="115">
        <f>IFERROR(__xludf.DUMMYFUNCTION("""COMPUTED_VALUE"""),467.0)</f>
        <v>467</v>
      </c>
      <c r="E5136" s="115">
        <f>IFERROR(__xludf.DUMMYFUNCTION("""COMPUTED_VALUE"""),139.0)</f>
        <v>139</v>
      </c>
      <c r="F5136" s="115">
        <f>IFERROR(__xludf.DUMMYFUNCTION("""COMPUTED_VALUE"""),27.0)</f>
        <v>27</v>
      </c>
      <c r="G5136" s="115">
        <f>IFERROR(__xludf.DUMMYFUNCTION("""COMPUTED_VALUE"""),29.0)</f>
        <v>29</v>
      </c>
      <c r="H5136" s="116">
        <f>IFERROR(__xludf.DUMMYFUNCTION("""COMPUTED_VALUE"""),45910.0)</f>
        <v>45910</v>
      </c>
      <c r="I5136" s="115" t="str">
        <f>IFERROR(__xludf.DUMMYFUNCTION("""COMPUTED_VALUE"""),"11")</f>
        <v>11</v>
      </c>
      <c r="J5136" s="115" t="str">
        <f>IFERROR(__xludf.DUMMYFUNCTION("""COMPUTED_VALUE"""),"2025-09-1011")</f>
        <v>2025-09-1011</v>
      </c>
      <c r="K5136" s="115">
        <f>IFERROR(__xludf.DUMMYFUNCTION("""COMPUTED_VALUE"""),606.0)</f>
        <v>606</v>
      </c>
    </row>
    <row r="5137">
      <c r="A5137" s="115" t="str">
        <f>IFERROR(__xludf.DUMMYFUNCTION("""COMPUTED_VALUE"""),"EAST")</f>
        <v>EAST</v>
      </c>
      <c r="B5137" s="115" t="str">
        <f>IFERROR(__xludf.DUMMYFUNCTION("""COMPUTED_VALUE"""),"Ashish Ranjan")</f>
        <v>Ashish Ranjan</v>
      </c>
      <c r="C5137" s="115" t="str">
        <f>IFERROR(__xludf.DUMMYFUNCTION("""COMPUTED_VALUE"""),"EXTERNAL")</f>
        <v>EXTERNAL</v>
      </c>
      <c r="D5137" s="115">
        <f>IFERROR(__xludf.DUMMYFUNCTION("""COMPUTED_VALUE"""),33072.0)</f>
        <v>33072</v>
      </c>
      <c r="E5137" s="115">
        <f>IFERROR(__xludf.DUMMYFUNCTION("""COMPUTED_VALUE"""),3423.0)</f>
        <v>3423</v>
      </c>
      <c r="F5137" s="115">
        <f>IFERROR(__xludf.DUMMYFUNCTION("""COMPUTED_VALUE"""),7345.0)</f>
        <v>7345</v>
      </c>
      <c r="G5137" s="115">
        <f>IFERROR(__xludf.DUMMYFUNCTION("""COMPUTED_VALUE"""),253.0)</f>
        <v>253</v>
      </c>
      <c r="H5137" s="116">
        <f>IFERROR(__xludf.DUMMYFUNCTION("""COMPUTED_VALUE"""),45910.0)</f>
        <v>45910</v>
      </c>
      <c r="I5137" s="115" t="str">
        <f>IFERROR(__xludf.DUMMYFUNCTION("""COMPUTED_VALUE"""),"12")</f>
        <v>12</v>
      </c>
      <c r="J5137" s="115" t="str">
        <f>IFERROR(__xludf.DUMMYFUNCTION("""COMPUTED_VALUE"""),"Ashish Ranjan2025-09-1012")</f>
        <v>Ashish Ranjan2025-09-1012</v>
      </c>
      <c r="K5137" s="115">
        <f>IFERROR(__xludf.DUMMYFUNCTION("""COMPUTED_VALUE"""),36495.0)</f>
        <v>36495</v>
      </c>
    </row>
    <row r="5138">
      <c r="A5138" s="115" t="str">
        <f>IFERROR(__xludf.DUMMYFUNCTION("""COMPUTED_VALUE"""),"EAST")</f>
        <v>EAST</v>
      </c>
      <c r="B5138" s="115" t="str">
        <f>IFERROR(__xludf.DUMMYFUNCTION("""COMPUTED_VALUE"""),"Ashish Ranjan")</f>
        <v>Ashish Ranjan</v>
      </c>
      <c r="C5138" s="115" t="str">
        <f>IFERROR(__xludf.DUMMYFUNCTION("""COMPUTED_VALUE"""),"FLIPKART")</f>
        <v>FLIPKART</v>
      </c>
      <c r="D5138" s="115">
        <f>IFERROR(__xludf.DUMMYFUNCTION("""COMPUTED_VALUE"""),581144.0)</f>
        <v>581144</v>
      </c>
      <c r="E5138" s="115">
        <f>IFERROR(__xludf.DUMMYFUNCTION("""COMPUTED_VALUE"""),57247.0)</f>
        <v>57247</v>
      </c>
      <c r="F5138" s="115">
        <f>IFERROR(__xludf.DUMMYFUNCTION("""COMPUTED_VALUE"""),213455.0)</f>
        <v>213455</v>
      </c>
      <c r="G5138" s="115">
        <f>IFERROR(__xludf.DUMMYFUNCTION("""COMPUTED_VALUE"""),6727.0)</f>
        <v>6727</v>
      </c>
      <c r="H5138" s="116">
        <f>IFERROR(__xludf.DUMMYFUNCTION("""COMPUTED_VALUE"""),45910.0)</f>
        <v>45910</v>
      </c>
      <c r="I5138" s="115" t="str">
        <f>IFERROR(__xludf.DUMMYFUNCTION("""COMPUTED_VALUE"""),"12")</f>
        <v>12</v>
      </c>
      <c r="J5138" s="115" t="str">
        <f>IFERROR(__xludf.DUMMYFUNCTION("""COMPUTED_VALUE"""),"Ashish Ranjan2025-09-1012")</f>
        <v>Ashish Ranjan2025-09-1012</v>
      </c>
      <c r="K5138" s="115">
        <f>IFERROR(__xludf.DUMMYFUNCTION("""COMPUTED_VALUE"""),638391.0)</f>
        <v>638391</v>
      </c>
    </row>
    <row r="5139">
      <c r="A5139" s="115" t="str">
        <f>IFERROR(__xludf.DUMMYFUNCTION("""COMPUTED_VALUE"""),"EAST")</f>
        <v>EAST</v>
      </c>
      <c r="B5139" s="115" t="str">
        <f>IFERROR(__xludf.DUMMYFUNCTION("""COMPUTED_VALUE"""),"Ashish Ranjan")</f>
        <v>Ashish Ranjan</v>
      </c>
      <c r="C5139" s="115" t="str">
        <f>IFERROR(__xludf.DUMMYFUNCTION("""COMPUTED_VALUE"""),"MYNTRA")</f>
        <v>MYNTRA</v>
      </c>
      <c r="D5139" s="115">
        <f>IFERROR(__xludf.DUMMYFUNCTION("""COMPUTED_VALUE"""),65218.0)</f>
        <v>65218</v>
      </c>
      <c r="E5139" s="115">
        <f>IFERROR(__xludf.DUMMYFUNCTION("""COMPUTED_VALUE"""),14804.0)</f>
        <v>14804</v>
      </c>
      <c r="F5139" s="115">
        <f>IFERROR(__xludf.DUMMYFUNCTION("""COMPUTED_VALUE"""),23873.0)</f>
        <v>23873</v>
      </c>
      <c r="G5139" s="115">
        <f>IFERROR(__xludf.DUMMYFUNCTION("""COMPUTED_VALUE"""),1653.0)</f>
        <v>1653</v>
      </c>
      <c r="H5139" s="116">
        <f>IFERROR(__xludf.DUMMYFUNCTION("""COMPUTED_VALUE"""),45910.0)</f>
        <v>45910</v>
      </c>
      <c r="I5139" s="115" t="str">
        <f>IFERROR(__xludf.DUMMYFUNCTION("""COMPUTED_VALUE"""),"12")</f>
        <v>12</v>
      </c>
      <c r="J5139" s="115" t="str">
        <f>IFERROR(__xludf.DUMMYFUNCTION("""COMPUTED_VALUE"""),"Ashish Ranjan2025-09-1012")</f>
        <v>Ashish Ranjan2025-09-1012</v>
      </c>
      <c r="K5139" s="115">
        <f>IFERROR(__xludf.DUMMYFUNCTION("""COMPUTED_VALUE"""),80022.0)</f>
        <v>80022</v>
      </c>
    </row>
    <row r="5140">
      <c r="A5140" s="115" t="str">
        <f>IFERROR(__xludf.DUMMYFUNCTION("""COMPUTED_VALUE"""),"EAST")</f>
        <v>EAST</v>
      </c>
      <c r="B5140" s="115" t="str">
        <f>IFERROR(__xludf.DUMMYFUNCTION("""COMPUTED_VALUE"""),"Girish Chand")</f>
        <v>Girish Chand</v>
      </c>
      <c r="C5140" s="115" t="str">
        <f>IFERROR(__xludf.DUMMYFUNCTION("""COMPUTED_VALUE"""),"EXTERNAL")</f>
        <v>EXTERNAL</v>
      </c>
      <c r="D5140" s="115">
        <f>IFERROR(__xludf.DUMMYFUNCTION("""COMPUTED_VALUE"""),21491.0)</f>
        <v>21491</v>
      </c>
      <c r="E5140" s="115">
        <f>IFERROR(__xludf.DUMMYFUNCTION("""COMPUTED_VALUE"""),1606.0)</f>
        <v>1606</v>
      </c>
      <c r="F5140" s="115">
        <f>IFERROR(__xludf.DUMMYFUNCTION("""COMPUTED_VALUE"""),2923.0)</f>
        <v>2923</v>
      </c>
      <c r="G5140" s="115">
        <f>IFERROR(__xludf.DUMMYFUNCTION("""COMPUTED_VALUE"""),62.0)</f>
        <v>62</v>
      </c>
      <c r="H5140" s="116">
        <f>IFERROR(__xludf.DUMMYFUNCTION("""COMPUTED_VALUE"""),45910.0)</f>
        <v>45910</v>
      </c>
      <c r="I5140" s="115" t="str">
        <f>IFERROR(__xludf.DUMMYFUNCTION("""COMPUTED_VALUE"""),"12")</f>
        <v>12</v>
      </c>
      <c r="J5140" s="115" t="str">
        <f>IFERROR(__xludf.DUMMYFUNCTION("""COMPUTED_VALUE"""),"Girish Chand2025-09-1012")</f>
        <v>Girish Chand2025-09-1012</v>
      </c>
      <c r="K5140" s="115">
        <f>IFERROR(__xludf.DUMMYFUNCTION("""COMPUTED_VALUE"""),23097.0)</f>
        <v>23097</v>
      </c>
    </row>
    <row r="5141">
      <c r="A5141" s="115" t="str">
        <f>IFERROR(__xludf.DUMMYFUNCTION("""COMPUTED_VALUE"""),"EAST")</f>
        <v>EAST</v>
      </c>
      <c r="B5141" s="115" t="str">
        <f>IFERROR(__xludf.DUMMYFUNCTION("""COMPUTED_VALUE"""),"Girish Chand")</f>
        <v>Girish Chand</v>
      </c>
      <c r="C5141" s="115" t="str">
        <f>IFERROR(__xludf.DUMMYFUNCTION("""COMPUTED_VALUE"""),"FLIPKART")</f>
        <v>FLIPKART</v>
      </c>
      <c r="D5141" s="115">
        <f>IFERROR(__xludf.DUMMYFUNCTION("""COMPUTED_VALUE"""),400149.0)</f>
        <v>400149</v>
      </c>
      <c r="E5141" s="115">
        <f>IFERROR(__xludf.DUMMYFUNCTION("""COMPUTED_VALUE"""),32894.0)</f>
        <v>32894</v>
      </c>
      <c r="F5141" s="115">
        <f>IFERROR(__xludf.DUMMYFUNCTION("""COMPUTED_VALUE"""),98354.0)</f>
        <v>98354</v>
      </c>
      <c r="G5141" s="115">
        <f>IFERROR(__xludf.DUMMYFUNCTION("""COMPUTED_VALUE"""),2267.0)</f>
        <v>2267</v>
      </c>
      <c r="H5141" s="116">
        <f>IFERROR(__xludf.DUMMYFUNCTION("""COMPUTED_VALUE"""),45910.0)</f>
        <v>45910</v>
      </c>
      <c r="I5141" s="115" t="str">
        <f>IFERROR(__xludf.DUMMYFUNCTION("""COMPUTED_VALUE"""),"12")</f>
        <v>12</v>
      </c>
      <c r="J5141" s="115" t="str">
        <f>IFERROR(__xludf.DUMMYFUNCTION("""COMPUTED_VALUE"""),"Girish Chand2025-09-1012")</f>
        <v>Girish Chand2025-09-1012</v>
      </c>
      <c r="K5141" s="115">
        <f>IFERROR(__xludf.DUMMYFUNCTION("""COMPUTED_VALUE"""),433043.0)</f>
        <v>433043</v>
      </c>
    </row>
    <row r="5142">
      <c r="A5142" s="115" t="str">
        <f>IFERROR(__xludf.DUMMYFUNCTION("""COMPUTED_VALUE"""),"EAST")</f>
        <v>EAST</v>
      </c>
      <c r="B5142" s="115" t="str">
        <f>IFERROR(__xludf.DUMMYFUNCTION("""COMPUTED_VALUE"""),"Girish Chand")</f>
        <v>Girish Chand</v>
      </c>
      <c r="C5142" s="115" t="str">
        <f>IFERROR(__xludf.DUMMYFUNCTION("""COMPUTED_VALUE"""),"MYNTRA")</f>
        <v>MYNTRA</v>
      </c>
      <c r="D5142" s="115">
        <f>IFERROR(__xludf.DUMMYFUNCTION("""COMPUTED_VALUE"""),34464.0)</f>
        <v>34464</v>
      </c>
      <c r="E5142" s="115">
        <f>IFERROR(__xludf.DUMMYFUNCTION("""COMPUTED_VALUE"""),6869.0)</f>
        <v>6869</v>
      </c>
      <c r="F5142" s="115">
        <f>IFERROR(__xludf.DUMMYFUNCTION("""COMPUTED_VALUE"""),9057.0)</f>
        <v>9057</v>
      </c>
      <c r="G5142" s="115">
        <f>IFERROR(__xludf.DUMMYFUNCTION("""COMPUTED_VALUE"""),597.0)</f>
        <v>597</v>
      </c>
      <c r="H5142" s="116">
        <f>IFERROR(__xludf.DUMMYFUNCTION("""COMPUTED_VALUE"""),45910.0)</f>
        <v>45910</v>
      </c>
      <c r="I5142" s="115" t="str">
        <f>IFERROR(__xludf.DUMMYFUNCTION("""COMPUTED_VALUE"""),"12")</f>
        <v>12</v>
      </c>
      <c r="J5142" s="115" t="str">
        <f>IFERROR(__xludf.DUMMYFUNCTION("""COMPUTED_VALUE"""),"Girish Chand2025-09-1012")</f>
        <v>Girish Chand2025-09-1012</v>
      </c>
      <c r="K5142" s="115">
        <f>IFERROR(__xludf.DUMMYFUNCTION("""COMPUTED_VALUE"""),41333.0)</f>
        <v>41333</v>
      </c>
    </row>
    <row r="5143">
      <c r="A5143" s="115" t="str">
        <f>IFERROR(__xludf.DUMMYFUNCTION("""COMPUTED_VALUE"""),"EAST")</f>
        <v>EAST</v>
      </c>
      <c r="B5143" s="115" t="str">
        <f>IFERROR(__xludf.DUMMYFUNCTION("""COMPUTED_VALUE"""),"Parag Kashyap")</f>
        <v>Parag Kashyap</v>
      </c>
      <c r="C5143" s="115" t="str">
        <f>IFERROR(__xludf.DUMMYFUNCTION("""COMPUTED_VALUE"""),"EXTERNAL")</f>
        <v>EXTERNAL</v>
      </c>
      <c r="D5143" s="115">
        <f>IFERROR(__xludf.DUMMYFUNCTION("""COMPUTED_VALUE"""),14879.0)</f>
        <v>14879</v>
      </c>
      <c r="E5143" s="115">
        <f>IFERROR(__xludf.DUMMYFUNCTION("""COMPUTED_VALUE"""),836.0)</f>
        <v>836</v>
      </c>
      <c r="F5143" s="115">
        <f>IFERROR(__xludf.DUMMYFUNCTION("""COMPUTED_VALUE"""),1614.0)</f>
        <v>1614</v>
      </c>
      <c r="G5143" s="115">
        <f>IFERROR(__xludf.DUMMYFUNCTION("""COMPUTED_VALUE"""),20.0)</f>
        <v>20</v>
      </c>
      <c r="H5143" s="116">
        <f>IFERROR(__xludf.DUMMYFUNCTION("""COMPUTED_VALUE"""),45910.0)</f>
        <v>45910</v>
      </c>
      <c r="I5143" s="115" t="str">
        <f>IFERROR(__xludf.DUMMYFUNCTION("""COMPUTED_VALUE"""),"12")</f>
        <v>12</v>
      </c>
      <c r="J5143" s="115" t="str">
        <f>IFERROR(__xludf.DUMMYFUNCTION("""COMPUTED_VALUE"""),"Parag Kashyap2025-09-1012")</f>
        <v>Parag Kashyap2025-09-1012</v>
      </c>
      <c r="K5143" s="115">
        <f>IFERROR(__xludf.DUMMYFUNCTION("""COMPUTED_VALUE"""),15715.0)</f>
        <v>15715</v>
      </c>
    </row>
    <row r="5144">
      <c r="A5144" s="115" t="str">
        <f>IFERROR(__xludf.DUMMYFUNCTION("""COMPUTED_VALUE"""),"EAST")</f>
        <v>EAST</v>
      </c>
      <c r="B5144" s="115" t="str">
        <f>IFERROR(__xludf.DUMMYFUNCTION("""COMPUTED_VALUE"""),"Parag Kashyap")</f>
        <v>Parag Kashyap</v>
      </c>
      <c r="C5144" s="115" t="str">
        <f>IFERROR(__xludf.DUMMYFUNCTION("""COMPUTED_VALUE"""),"FLIPKART")</f>
        <v>FLIPKART</v>
      </c>
      <c r="D5144" s="115">
        <f>IFERROR(__xludf.DUMMYFUNCTION("""COMPUTED_VALUE"""),274287.0)</f>
        <v>274287</v>
      </c>
      <c r="E5144" s="115">
        <f>IFERROR(__xludf.DUMMYFUNCTION("""COMPUTED_VALUE"""),15911.0)</f>
        <v>15911</v>
      </c>
      <c r="F5144" s="115">
        <f>IFERROR(__xludf.DUMMYFUNCTION("""COMPUTED_VALUE"""),52827.0)</f>
        <v>52827</v>
      </c>
      <c r="G5144" s="115">
        <f>IFERROR(__xludf.DUMMYFUNCTION("""COMPUTED_VALUE"""),722.0)</f>
        <v>722</v>
      </c>
      <c r="H5144" s="116">
        <f>IFERROR(__xludf.DUMMYFUNCTION("""COMPUTED_VALUE"""),45910.0)</f>
        <v>45910</v>
      </c>
      <c r="I5144" s="115" t="str">
        <f>IFERROR(__xludf.DUMMYFUNCTION("""COMPUTED_VALUE"""),"12")</f>
        <v>12</v>
      </c>
      <c r="J5144" s="115" t="str">
        <f>IFERROR(__xludf.DUMMYFUNCTION("""COMPUTED_VALUE"""),"Parag Kashyap2025-09-1012")</f>
        <v>Parag Kashyap2025-09-1012</v>
      </c>
      <c r="K5144" s="115">
        <f>IFERROR(__xludf.DUMMYFUNCTION("""COMPUTED_VALUE"""),290198.0)</f>
        <v>290198</v>
      </c>
    </row>
    <row r="5145">
      <c r="A5145" s="115" t="str">
        <f>IFERROR(__xludf.DUMMYFUNCTION("""COMPUTED_VALUE"""),"EAST")</f>
        <v>EAST</v>
      </c>
      <c r="B5145" s="115" t="str">
        <f>IFERROR(__xludf.DUMMYFUNCTION("""COMPUTED_VALUE"""),"Parag Kashyap")</f>
        <v>Parag Kashyap</v>
      </c>
      <c r="C5145" s="115" t="str">
        <f>IFERROR(__xludf.DUMMYFUNCTION("""COMPUTED_VALUE"""),"MYNTRA")</f>
        <v>MYNTRA</v>
      </c>
      <c r="D5145" s="115">
        <f>IFERROR(__xludf.DUMMYFUNCTION("""COMPUTED_VALUE"""),34567.0)</f>
        <v>34567</v>
      </c>
      <c r="E5145" s="115">
        <f>IFERROR(__xludf.DUMMYFUNCTION("""COMPUTED_VALUE"""),4646.0)</f>
        <v>4646</v>
      </c>
      <c r="F5145" s="115">
        <f>IFERROR(__xludf.DUMMYFUNCTION("""COMPUTED_VALUE"""),7420.0)</f>
        <v>7420</v>
      </c>
      <c r="G5145" s="115">
        <f>IFERROR(__xludf.DUMMYFUNCTION("""COMPUTED_VALUE"""),161.0)</f>
        <v>161</v>
      </c>
      <c r="H5145" s="116">
        <f>IFERROR(__xludf.DUMMYFUNCTION("""COMPUTED_VALUE"""),45910.0)</f>
        <v>45910</v>
      </c>
      <c r="I5145" s="115" t="str">
        <f>IFERROR(__xludf.DUMMYFUNCTION("""COMPUTED_VALUE"""),"12")</f>
        <v>12</v>
      </c>
      <c r="J5145" s="115" t="str">
        <f>IFERROR(__xludf.DUMMYFUNCTION("""COMPUTED_VALUE"""),"Parag Kashyap2025-09-1012")</f>
        <v>Parag Kashyap2025-09-1012</v>
      </c>
      <c r="K5145" s="115">
        <f>IFERROR(__xludf.DUMMYFUNCTION("""COMPUTED_VALUE"""),39213.0)</f>
        <v>39213</v>
      </c>
    </row>
    <row r="5146">
      <c r="A5146" s="115" t="str">
        <f>IFERROR(__xludf.DUMMYFUNCTION("""COMPUTED_VALUE"""),"NORTH")</f>
        <v>NORTH</v>
      </c>
      <c r="B5146" s="115" t="str">
        <f>IFERROR(__xludf.DUMMYFUNCTION("""COMPUTED_VALUE"""),"Amit Kumar Pathak")</f>
        <v>Amit Kumar Pathak</v>
      </c>
      <c r="C5146" s="115" t="str">
        <f>IFERROR(__xludf.DUMMYFUNCTION("""COMPUTED_VALUE"""),"EXTERNAL")</f>
        <v>EXTERNAL</v>
      </c>
      <c r="D5146" s="115">
        <f>IFERROR(__xludf.DUMMYFUNCTION("""COMPUTED_VALUE"""),17190.0)</f>
        <v>17190</v>
      </c>
      <c r="E5146" s="115">
        <f>IFERROR(__xludf.DUMMYFUNCTION("""COMPUTED_VALUE"""),3711.0)</f>
        <v>3711</v>
      </c>
      <c r="F5146" s="115">
        <f>IFERROR(__xludf.DUMMYFUNCTION("""COMPUTED_VALUE"""),2335.0)</f>
        <v>2335</v>
      </c>
      <c r="G5146" s="115">
        <f>IFERROR(__xludf.DUMMYFUNCTION("""COMPUTED_VALUE"""),437.0)</f>
        <v>437</v>
      </c>
      <c r="H5146" s="116">
        <f>IFERROR(__xludf.DUMMYFUNCTION("""COMPUTED_VALUE"""),45910.0)</f>
        <v>45910</v>
      </c>
      <c r="I5146" s="115" t="str">
        <f>IFERROR(__xludf.DUMMYFUNCTION("""COMPUTED_VALUE"""),"12")</f>
        <v>12</v>
      </c>
      <c r="J5146" s="115" t="str">
        <f>IFERROR(__xludf.DUMMYFUNCTION("""COMPUTED_VALUE"""),"Amit Kumar Pathak2025-09-1012")</f>
        <v>Amit Kumar Pathak2025-09-1012</v>
      </c>
      <c r="K5146" s="115">
        <f>IFERROR(__xludf.DUMMYFUNCTION("""COMPUTED_VALUE"""),20901.0)</f>
        <v>20901</v>
      </c>
    </row>
    <row r="5147">
      <c r="A5147" s="115" t="str">
        <f>IFERROR(__xludf.DUMMYFUNCTION("""COMPUTED_VALUE"""),"NORTH")</f>
        <v>NORTH</v>
      </c>
      <c r="B5147" s="115" t="str">
        <f>IFERROR(__xludf.DUMMYFUNCTION("""COMPUTED_VALUE"""),"Amit Kumar Pathak")</f>
        <v>Amit Kumar Pathak</v>
      </c>
      <c r="C5147" s="115" t="str">
        <f>IFERROR(__xludf.DUMMYFUNCTION("""COMPUTED_VALUE"""),"FLIPKART")</f>
        <v>FLIPKART</v>
      </c>
      <c r="D5147" s="115">
        <f>IFERROR(__xludf.DUMMYFUNCTION("""COMPUTED_VALUE"""),139286.0)</f>
        <v>139286</v>
      </c>
      <c r="E5147" s="115">
        <f>IFERROR(__xludf.DUMMYFUNCTION("""COMPUTED_VALUE"""),20158.0)</f>
        <v>20158</v>
      </c>
      <c r="F5147" s="115">
        <f>IFERROR(__xludf.DUMMYFUNCTION("""COMPUTED_VALUE"""),40758.0)</f>
        <v>40758</v>
      </c>
      <c r="G5147" s="115">
        <f>IFERROR(__xludf.DUMMYFUNCTION("""COMPUTED_VALUE"""),3417.0)</f>
        <v>3417</v>
      </c>
      <c r="H5147" s="116">
        <f>IFERROR(__xludf.DUMMYFUNCTION("""COMPUTED_VALUE"""),45910.0)</f>
        <v>45910</v>
      </c>
      <c r="I5147" s="115" t="str">
        <f>IFERROR(__xludf.DUMMYFUNCTION("""COMPUTED_VALUE"""),"12")</f>
        <v>12</v>
      </c>
      <c r="J5147" s="115" t="str">
        <f>IFERROR(__xludf.DUMMYFUNCTION("""COMPUTED_VALUE"""),"Amit Kumar Pathak2025-09-1012")</f>
        <v>Amit Kumar Pathak2025-09-1012</v>
      </c>
      <c r="K5147" s="115">
        <f>IFERROR(__xludf.DUMMYFUNCTION("""COMPUTED_VALUE"""),159444.0)</f>
        <v>159444</v>
      </c>
    </row>
    <row r="5148">
      <c r="A5148" s="115" t="str">
        <f>IFERROR(__xludf.DUMMYFUNCTION("""COMPUTED_VALUE"""),"NORTH")</f>
        <v>NORTH</v>
      </c>
      <c r="B5148" s="115" t="str">
        <f>IFERROR(__xludf.DUMMYFUNCTION("""COMPUTED_VALUE"""),"Amit Kumar Pathak")</f>
        <v>Amit Kumar Pathak</v>
      </c>
      <c r="C5148" s="115" t="str">
        <f>IFERROR(__xludf.DUMMYFUNCTION("""COMPUTED_VALUE"""),"MYNTRA")</f>
        <v>MYNTRA</v>
      </c>
      <c r="D5148" s="115">
        <f>IFERROR(__xludf.DUMMYFUNCTION("""COMPUTED_VALUE"""),11213.0)</f>
        <v>11213</v>
      </c>
      <c r="E5148" s="115">
        <f>IFERROR(__xludf.DUMMYFUNCTION("""COMPUTED_VALUE"""),5168.0)</f>
        <v>5168</v>
      </c>
      <c r="F5148" s="115">
        <f>IFERROR(__xludf.DUMMYFUNCTION("""COMPUTED_VALUE"""),4205.0)</f>
        <v>4205</v>
      </c>
      <c r="G5148" s="115">
        <f>IFERROR(__xludf.DUMMYFUNCTION("""COMPUTED_VALUE"""),1055.0)</f>
        <v>1055</v>
      </c>
      <c r="H5148" s="116">
        <f>IFERROR(__xludf.DUMMYFUNCTION("""COMPUTED_VALUE"""),45910.0)</f>
        <v>45910</v>
      </c>
      <c r="I5148" s="115" t="str">
        <f>IFERROR(__xludf.DUMMYFUNCTION("""COMPUTED_VALUE"""),"12")</f>
        <v>12</v>
      </c>
      <c r="J5148" s="115" t="str">
        <f>IFERROR(__xludf.DUMMYFUNCTION("""COMPUTED_VALUE"""),"Amit Kumar Pathak2025-09-1012")</f>
        <v>Amit Kumar Pathak2025-09-1012</v>
      </c>
      <c r="K5148" s="115">
        <f>IFERROR(__xludf.DUMMYFUNCTION("""COMPUTED_VALUE"""),16381.0)</f>
        <v>16381</v>
      </c>
    </row>
    <row r="5149">
      <c r="A5149" s="115" t="str">
        <f>IFERROR(__xludf.DUMMYFUNCTION("""COMPUTED_VALUE"""),"NORTH")</f>
        <v>NORTH</v>
      </c>
      <c r="B5149" s="115" t="str">
        <f>IFERROR(__xludf.DUMMYFUNCTION("""COMPUTED_VALUE"""),"Loveleen Singh")</f>
        <v>Loveleen Singh</v>
      </c>
      <c r="C5149" s="115" t="str">
        <f>IFERROR(__xludf.DUMMYFUNCTION("""COMPUTED_VALUE"""),"EXTERNAL")</f>
        <v>EXTERNAL</v>
      </c>
      <c r="D5149" s="115">
        <f>IFERROR(__xludf.DUMMYFUNCTION("""COMPUTED_VALUE"""),27542.0)</f>
        <v>27542</v>
      </c>
      <c r="E5149" s="115">
        <f>IFERROR(__xludf.DUMMYFUNCTION("""COMPUTED_VALUE"""),2280.0)</f>
        <v>2280</v>
      </c>
      <c r="F5149" s="115">
        <f>IFERROR(__xludf.DUMMYFUNCTION("""COMPUTED_VALUE"""),3672.0)</f>
        <v>3672</v>
      </c>
      <c r="G5149" s="115">
        <f>IFERROR(__xludf.DUMMYFUNCTION("""COMPUTED_VALUE"""),98.0)</f>
        <v>98</v>
      </c>
      <c r="H5149" s="116">
        <f>IFERROR(__xludf.DUMMYFUNCTION("""COMPUTED_VALUE"""),45910.0)</f>
        <v>45910</v>
      </c>
      <c r="I5149" s="115" t="str">
        <f>IFERROR(__xludf.DUMMYFUNCTION("""COMPUTED_VALUE"""),"12")</f>
        <v>12</v>
      </c>
      <c r="J5149" s="115" t="str">
        <f>IFERROR(__xludf.DUMMYFUNCTION("""COMPUTED_VALUE"""),"Loveleen Singh2025-09-1012")</f>
        <v>Loveleen Singh2025-09-1012</v>
      </c>
      <c r="K5149" s="115">
        <f>IFERROR(__xludf.DUMMYFUNCTION("""COMPUTED_VALUE"""),29822.0)</f>
        <v>29822</v>
      </c>
    </row>
    <row r="5150">
      <c r="A5150" s="115" t="str">
        <f>IFERROR(__xludf.DUMMYFUNCTION("""COMPUTED_VALUE"""),"NORTH")</f>
        <v>NORTH</v>
      </c>
      <c r="B5150" s="115" t="str">
        <f>IFERROR(__xludf.DUMMYFUNCTION("""COMPUTED_VALUE"""),"Loveleen Singh")</f>
        <v>Loveleen Singh</v>
      </c>
      <c r="C5150" s="115" t="str">
        <f>IFERROR(__xludf.DUMMYFUNCTION("""COMPUTED_VALUE"""),"FLIPKART")</f>
        <v>FLIPKART</v>
      </c>
      <c r="D5150" s="115">
        <f>IFERROR(__xludf.DUMMYFUNCTION("""COMPUTED_VALUE"""),161747.0)</f>
        <v>161747</v>
      </c>
      <c r="E5150" s="115">
        <f>IFERROR(__xludf.DUMMYFUNCTION("""COMPUTED_VALUE"""),12581.0)</f>
        <v>12581</v>
      </c>
      <c r="F5150" s="115">
        <f>IFERROR(__xludf.DUMMYFUNCTION("""COMPUTED_VALUE"""),40458.0)</f>
        <v>40458</v>
      </c>
      <c r="G5150" s="115">
        <f>IFERROR(__xludf.DUMMYFUNCTION("""COMPUTED_VALUE"""),1128.0)</f>
        <v>1128</v>
      </c>
      <c r="H5150" s="116">
        <f>IFERROR(__xludf.DUMMYFUNCTION("""COMPUTED_VALUE"""),45910.0)</f>
        <v>45910</v>
      </c>
      <c r="I5150" s="115" t="str">
        <f>IFERROR(__xludf.DUMMYFUNCTION("""COMPUTED_VALUE"""),"12")</f>
        <v>12</v>
      </c>
      <c r="J5150" s="115" t="str">
        <f>IFERROR(__xludf.DUMMYFUNCTION("""COMPUTED_VALUE"""),"Loveleen Singh2025-09-1012")</f>
        <v>Loveleen Singh2025-09-1012</v>
      </c>
      <c r="K5150" s="115">
        <f>IFERROR(__xludf.DUMMYFUNCTION("""COMPUTED_VALUE"""),174328.0)</f>
        <v>174328</v>
      </c>
    </row>
    <row r="5151">
      <c r="A5151" s="115" t="str">
        <f>IFERROR(__xludf.DUMMYFUNCTION("""COMPUTED_VALUE"""),"NORTH")</f>
        <v>NORTH</v>
      </c>
      <c r="B5151" s="115" t="str">
        <f>IFERROR(__xludf.DUMMYFUNCTION("""COMPUTED_VALUE"""),"Loveleen Singh")</f>
        <v>Loveleen Singh</v>
      </c>
      <c r="C5151" s="115" t="str">
        <f>IFERROR(__xludf.DUMMYFUNCTION("""COMPUTED_VALUE"""),"MYNTRA")</f>
        <v>MYNTRA</v>
      </c>
      <c r="D5151" s="115">
        <f>IFERROR(__xludf.DUMMYFUNCTION("""COMPUTED_VALUE"""),27322.0)</f>
        <v>27322</v>
      </c>
      <c r="E5151" s="115">
        <f>IFERROR(__xludf.DUMMYFUNCTION("""COMPUTED_VALUE"""),6090.0)</f>
        <v>6090</v>
      </c>
      <c r="F5151" s="115">
        <f>IFERROR(__xludf.DUMMYFUNCTION("""COMPUTED_VALUE"""),8383.0)</f>
        <v>8383</v>
      </c>
      <c r="G5151" s="115">
        <f>IFERROR(__xludf.DUMMYFUNCTION("""COMPUTED_VALUE"""),625.0)</f>
        <v>625</v>
      </c>
      <c r="H5151" s="116">
        <f>IFERROR(__xludf.DUMMYFUNCTION("""COMPUTED_VALUE"""),45910.0)</f>
        <v>45910</v>
      </c>
      <c r="I5151" s="115" t="str">
        <f>IFERROR(__xludf.DUMMYFUNCTION("""COMPUTED_VALUE"""),"12")</f>
        <v>12</v>
      </c>
      <c r="J5151" s="115" t="str">
        <f>IFERROR(__xludf.DUMMYFUNCTION("""COMPUTED_VALUE"""),"Loveleen Singh2025-09-1012")</f>
        <v>Loveleen Singh2025-09-1012</v>
      </c>
      <c r="K5151" s="115">
        <f>IFERROR(__xludf.DUMMYFUNCTION("""COMPUTED_VALUE"""),33412.0)</f>
        <v>33412</v>
      </c>
    </row>
    <row r="5152">
      <c r="A5152" s="115" t="str">
        <f>IFERROR(__xludf.DUMMYFUNCTION("""COMPUTED_VALUE"""),"NORTH")</f>
        <v>NORTH</v>
      </c>
      <c r="B5152" s="115" t="str">
        <f>IFERROR(__xludf.DUMMYFUNCTION("""COMPUTED_VALUE"""),"Manoj Harsh")</f>
        <v>Manoj Harsh</v>
      </c>
      <c r="C5152" s="115" t="str">
        <f>IFERROR(__xludf.DUMMYFUNCTION("""COMPUTED_VALUE"""),"EXTERNAL")</f>
        <v>EXTERNAL</v>
      </c>
      <c r="D5152" s="115">
        <f>IFERROR(__xludf.DUMMYFUNCTION("""COMPUTED_VALUE"""),27124.0)</f>
        <v>27124</v>
      </c>
      <c r="E5152" s="115">
        <f>IFERROR(__xludf.DUMMYFUNCTION("""COMPUTED_VALUE"""),2919.0)</f>
        <v>2919</v>
      </c>
      <c r="F5152" s="115">
        <f>IFERROR(__xludf.DUMMYFUNCTION("""COMPUTED_VALUE"""),3705.0)</f>
        <v>3705</v>
      </c>
      <c r="G5152" s="115">
        <f>IFERROR(__xludf.DUMMYFUNCTION("""COMPUTED_VALUE"""),130.0)</f>
        <v>130</v>
      </c>
      <c r="H5152" s="116">
        <f>IFERROR(__xludf.DUMMYFUNCTION("""COMPUTED_VALUE"""),45910.0)</f>
        <v>45910</v>
      </c>
      <c r="I5152" s="115" t="str">
        <f>IFERROR(__xludf.DUMMYFUNCTION("""COMPUTED_VALUE"""),"12")</f>
        <v>12</v>
      </c>
      <c r="J5152" s="115" t="str">
        <f>IFERROR(__xludf.DUMMYFUNCTION("""COMPUTED_VALUE"""),"Manoj Harsh2025-09-1012")</f>
        <v>Manoj Harsh2025-09-1012</v>
      </c>
      <c r="K5152" s="115">
        <f>IFERROR(__xludf.DUMMYFUNCTION("""COMPUTED_VALUE"""),30043.0)</f>
        <v>30043</v>
      </c>
    </row>
    <row r="5153">
      <c r="A5153" s="115" t="str">
        <f>IFERROR(__xludf.DUMMYFUNCTION("""COMPUTED_VALUE"""),"NORTH")</f>
        <v>NORTH</v>
      </c>
      <c r="B5153" s="115" t="str">
        <f>IFERROR(__xludf.DUMMYFUNCTION("""COMPUTED_VALUE"""),"Manoj Harsh")</f>
        <v>Manoj Harsh</v>
      </c>
      <c r="C5153" s="115" t="str">
        <f>IFERROR(__xludf.DUMMYFUNCTION("""COMPUTED_VALUE"""),"FLIPKART")</f>
        <v>FLIPKART</v>
      </c>
      <c r="D5153" s="115">
        <f>IFERROR(__xludf.DUMMYFUNCTION("""COMPUTED_VALUE"""),337157.0)</f>
        <v>337157</v>
      </c>
      <c r="E5153" s="115">
        <f>IFERROR(__xludf.DUMMYFUNCTION("""COMPUTED_VALUE"""),33157.0)</f>
        <v>33157</v>
      </c>
      <c r="F5153" s="115">
        <f>IFERROR(__xludf.DUMMYFUNCTION("""COMPUTED_VALUE"""),85298.0)</f>
        <v>85298</v>
      </c>
      <c r="G5153" s="115">
        <f>IFERROR(__xludf.DUMMYFUNCTION("""COMPUTED_VALUE"""),2592.0)</f>
        <v>2592</v>
      </c>
      <c r="H5153" s="116">
        <f>IFERROR(__xludf.DUMMYFUNCTION("""COMPUTED_VALUE"""),45910.0)</f>
        <v>45910</v>
      </c>
      <c r="I5153" s="115" t="str">
        <f>IFERROR(__xludf.DUMMYFUNCTION("""COMPUTED_VALUE"""),"12")</f>
        <v>12</v>
      </c>
      <c r="J5153" s="115" t="str">
        <f>IFERROR(__xludf.DUMMYFUNCTION("""COMPUTED_VALUE"""),"Manoj Harsh2025-09-1012")</f>
        <v>Manoj Harsh2025-09-1012</v>
      </c>
      <c r="K5153" s="115">
        <f>IFERROR(__xludf.DUMMYFUNCTION("""COMPUTED_VALUE"""),370314.0)</f>
        <v>370314</v>
      </c>
    </row>
    <row r="5154">
      <c r="A5154" s="115" t="str">
        <f>IFERROR(__xludf.DUMMYFUNCTION("""COMPUTED_VALUE"""),"NORTH")</f>
        <v>NORTH</v>
      </c>
      <c r="B5154" s="115" t="str">
        <f>IFERROR(__xludf.DUMMYFUNCTION("""COMPUTED_VALUE"""),"Manoj Harsh")</f>
        <v>Manoj Harsh</v>
      </c>
      <c r="C5154" s="115" t="str">
        <f>IFERROR(__xludf.DUMMYFUNCTION("""COMPUTED_VALUE"""),"MYNTRA")</f>
        <v>MYNTRA</v>
      </c>
      <c r="D5154" s="115">
        <f>IFERROR(__xludf.DUMMYFUNCTION("""COMPUTED_VALUE"""),29606.0)</f>
        <v>29606</v>
      </c>
      <c r="E5154" s="115">
        <f>IFERROR(__xludf.DUMMYFUNCTION("""COMPUTED_VALUE"""),6749.0)</f>
        <v>6749</v>
      </c>
      <c r="F5154" s="115">
        <f>IFERROR(__xludf.DUMMYFUNCTION("""COMPUTED_VALUE"""),9129.0)</f>
        <v>9129</v>
      </c>
      <c r="G5154" s="115">
        <f>IFERROR(__xludf.DUMMYFUNCTION("""COMPUTED_VALUE"""),561.0)</f>
        <v>561</v>
      </c>
      <c r="H5154" s="116">
        <f>IFERROR(__xludf.DUMMYFUNCTION("""COMPUTED_VALUE"""),45910.0)</f>
        <v>45910</v>
      </c>
      <c r="I5154" s="115" t="str">
        <f>IFERROR(__xludf.DUMMYFUNCTION("""COMPUTED_VALUE"""),"12")</f>
        <v>12</v>
      </c>
      <c r="J5154" s="115" t="str">
        <f>IFERROR(__xludf.DUMMYFUNCTION("""COMPUTED_VALUE"""),"Manoj Harsh2025-09-1012")</f>
        <v>Manoj Harsh2025-09-1012</v>
      </c>
      <c r="K5154" s="115">
        <f>IFERROR(__xludf.DUMMYFUNCTION("""COMPUTED_VALUE"""),36355.0)</f>
        <v>36355</v>
      </c>
    </row>
    <row r="5155">
      <c r="A5155" s="115" t="str">
        <f>IFERROR(__xludf.DUMMYFUNCTION("""COMPUTED_VALUE"""),"NORTH")</f>
        <v>NORTH</v>
      </c>
      <c r="B5155" s="115" t="str">
        <f>IFERROR(__xludf.DUMMYFUNCTION("""COMPUTED_VALUE"""),"Pradeep Kothari")</f>
        <v>Pradeep Kothari</v>
      </c>
      <c r="C5155" s="115" t="str">
        <f>IFERROR(__xludf.DUMMYFUNCTION("""COMPUTED_VALUE"""),"EXTERNAL")</f>
        <v>EXTERNAL</v>
      </c>
      <c r="D5155" s="115">
        <f>IFERROR(__xludf.DUMMYFUNCTION("""COMPUTED_VALUE"""),16414.0)</f>
        <v>16414</v>
      </c>
      <c r="E5155" s="115">
        <f>IFERROR(__xludf.DUMMYFUNCTION("""COMPUTED_VALUE"""),2125.0)</f>
        <v>2125</v>
      </c>
      <c r="F5155" s="115">
        <f>IFERROR(__xludf.DUMMYFUNCTION("""COMPUTED_VALUE"""),2689.0)</f>
        <v>2689</v>
      </c>
      <c r="G5155" s="115">
        <f>IFERROR(__xludf.DUMMYFUNCTION("""COMPUTED_VALUE"""),155.0)</f>
        <v>155</v>
      </c>
      <c r="H5155" s="116">
        <f>IFERROR(__xludf.DUMMYFUNCTION("""COMPUTED_VALUE"""),45910.0)</f>
        <v>45910</v>
      </c>
      <c r="I5155" s="115" t="str">
        <f>IFERROR(__xludf.DUMMYFUNCTION("""COMPUTED_VALUE"""),"12")</f>
        <v>12</v>
      </c>
      <c r="J5155" s="115" t="str">
        <f>IFERROR(__xludf.DUMMYFUNCTION("""COMPUTED_VALUE"""),"Pradeep Kothari2025-09-1012")</f>
        <v>Pradeep Kothari2025-09-1012</v>
      </c>
      <c r="K5155" s="115">
        <f>IFERROR(__xludf.DUMMYFUNCTION("""COMPUTED_VALUE"""),18539.0)</f>
        <v>18539</v>
      </c>
    </row>
    <row r="5156">
      <c r="A5156" s="115" t="str">
        <f>IFERROR(__xludf.DUMMYFUNCTION("""COMPUTED_VALUE"""),"NORTH")</f>
        <v>NORTH</v>
      </c>
      <c r="B5156" s="115" t="str">
        <f>IFERROR(__xludf.DUMMYFUNCTION("""COMPUTED_VALUE"""),"Pradeep Kothari")</f>
        <v>Pradeep Kothari</v>
      </c>
      <c r="C5156" s="115" t="str">
        <f>IFERROR(__xludf.DUMMYFUNCTION("""COMPUTED_VALUE"""),"FLIPKART")</f>
        <v>FLIPKART</v>
      </c>
      <c r="D5156" s="115">
        <f>IFERROR(__xludf.DUMMYFUNCTION("""COMPUTED_VALUE"""),135949.0)</f>
        <v>135949</v>
      </c>
      <c r="E5156" s="115">
        <f>IFERROR(__xludf.DUMMYFUNCTION("""COMPUTED_VALUE"""),14916.0)</f>
        <v>14916</v>
      </c>
      <c r="F5156" s="115">
        <f>IFERROR(__xludf.DUMMYFUNCTION("""COMPUTED_VALUE"""),43873.0)</f>
        <v>43873</v>
      </c>
      <c r="G5156" s="115">
        <f>IFERROR(__xludf.DUMMYFUNCTION("""COMPUTED_VALUE"""),1714.0)</f>
        <v>1714</v>
      </c>
      <c r="H5156" s="116">
        <f>IFERROR(__xludf.DUMMYFUNCTION("""COMPUTED_VALUE"""),45910.0)</f>
        <v>45910</v>
      </c>
      <c r="I5156" s="115" t="str">
        <f>IFERROR(__xludf.DUMMYFUNCTION("""COMPUTED_VALUE"""),"12")</f>
        <v>12</v>
      </c>
      <c r="J5156" s="115" t="str">
        <f>IFERROR(__xludf.DUMMYFUNCTION("""COMPUTED_VALUE"""),"Pradeep Kothari2025-09-1012")</f>
        <v>Pradeep Kothari2025-09-1012</v>
      </c>
      <c r="K5156" s="115">
        <f>IFERROR(__xludf.DUMMYFUNCTION("""COMPUTED_VALUE"""),150865.0)</f>
        <v>150865</v>
      </c>
    </row>
    <row r="5157">
      <c r="A5157" s="115" t="str">
        <f>IFERROR(__xludf.DUMMYFUNCTION("""COMPUTED_VALUE"""),"NORTH")</f>
        <v>NORTH</v>
      </c>
      <c r="B5157" s="115" t="str">
        <f>IFERROR(__xludf.DUMMYFUNCTION("""COMPUTED_VALUE"""),"Pradeep Kothari")</f>
        <v>Pradeep Kothari</v>
      </c>
      <c r="C5157" s="115" t="str">
        <f>IFERROR(__xludf.DUMMYFUNCTION("""COMPUTED_VALUE"""),"MYNTRA")</f>
        <v>MYNTRA</v>
      </c>
      <c r="D5157" s="115">
        <f>IFERROR(__xludf.DUMMYFUNCTION("""COMPUTED_VALUE"""),21876.0)</f>
        <v>21876</v>
      </c>
      <c r="E5157" s="115">
        <f>IFERROR(__xludf.DUMMYFUNCTION("""COMPUTED_VALUE"""),6394.0)</f>
        <v>6394</v>
      </c>
      <c r="F5157" s="115">
        <f>IFERROR(__xludf.DUMMYFUNCTION("""COMPUTED_VALUE"""),8850.0)</f>
        <v>8850</v>
      </c>
      <c r="G5157" s="115">
        <f>IFERROR(__xludf.DUMMYFUNCTION("""COMPUTED_VALUE"""),1012.0)</f>
        <v>1012</v>
      </c>
      <c r="H5157" s="116">
        <f>IFERROR(__xludf.DUMMYFUNCTION("""COMPUTED_VALUE"""),45910.0)</f>
        <v>45910</v>
      </c>
      <c r="I5157" s="115" t="str">
        <f>IFERROR(__xludf.DUMMYFUNCTION("""COMPUTED_VALUE"""),"12")</f>
        <v>12</v>
      </c>
      <c r="J5157" s="115" t="str">
        <f>IFERROR(__xludf.DUMMYFUNCTION("""COMPUTED_VALUE"""),"Pradeep Kothari2025-09-1012")</f>
        <v>Pradeep Kothari2025-09-1012</v>
      </c>
      <c r="K5157" s="115">
        <f>IFERROR(__xludf.DUMMYFUNCTION("""COMPUTED_VALUE"""),28270.0)</f>
        <v>28270</v>
      </c>
    </row>
    <row r="5158">
      <c r="A5158" s="115" t="str">
        <f>IFERROR(__xludf.DUMMYFUNCTION("""COMPUTED_VALUE"""),"SOUTH")</f>
        <v>SOUTH</v>
      </c>
      <c r="B5158" s="115" t="str">
        <f>IFERROR(__xludf.DUMMYFUNCTION("""COMPUTED_VALUE"""),"Kandula Sampath")</f>
        <v>Kandula Sampath</v>
      </c>
      <c r="C5158" s="115" t="str">
        <f>IFERROR(__xludf.DUMMYFUNCTION("""COMPUTED_VALUE"""),"EXTERNAL")</f>
        <v>EXTERNAL</v>
      </c>
      <c r="D5158" s="115">
        <f>IFERROR(__xludf.DUMMYFUNCTION("""COMPUTED_VALUE"""),28770.0)</f>
        <v>28770</v>
      </c>
      <c r="E5158" s="115">
        <f>IFERROR(__xludf.DUMMYFUNCTION("""COMPUTED_VALUE"""),3994.0)</f>
        <v>3994</v>
      </c>
      <c r="F5158" s="115">
        <f>IFERROR(__xludf.DUMMYFUNCTION("""COMPUTED_VALUE"""),5230.0)</f>
        <v>5230</v>
      </c>
      <c r="G5158" s="115">
        <f>IFERROR(__xludf.DUMMYFUNCTION("""COMPUTED_VALUE"""),232.0)</f>
        <v>232</v>
      </c>
      <c r="H5158" s="116">
        <f>IFERROR(__xludf.DUMMYFUNCTION("""COMPUTED_VALUE"""),45910.0)</f>
        <v>45910</v>
      </c>
      <c r="I5158" s="115" t="str">
        <f>IFERROR(__xludf.DUMMYFUNCTION("""COMPUTED_VALUE"""),"12")</f>
        <v>12</v>
      </c>
      <c r="J5158" s="115" t="str">
        <f>IFERROR(__xludf.DUMMYFUNCTION("""COMPUTED_VALUE"""),"Kandula Sampath2025-09-1012")</f>
        <v>Kandula Sampath2025-09-1012</v>
      </c>
      <c r="K5158" s="115">
        <f>IFERROR(__xludf.DUMMYFUNCTION("""COMPUTED_VALUE"""),32764.0)</f>
        <v>32764</v>
      </c>
    </row>
    <row r="5159">
      <c r="A5159" s="115" t="str">
        <f>IFERROR(__xludf.DUMMYFUNCTION("""COMPUTED_VALUE"""),"SOUTH")</f>
        <v>SOUTH</v>
      </c>
      <c r="B5159" s="115" t="str">
        <f>IFERROR(__xludf.DUMMYFUNCTION("""COMPUTED_VALUE"""),"Kandula Sampath")</f>
        <v>Kandula Sampath</v>
      </c>
      <c r="C5159" s="115" t="str">
        <f>IFERROR(__xludf.DUMMYFUNCTION("""COMPUTED_VALUE"""),"FLIPKART")</f>
        <v>FLIPKART</v>
      </c>
      <c r="D5159" s="115">
        <f>IFERROR(__xludf.DUMMYFUNCTION("""COMPUTED_VALUE"""),301590.0)</f>
        <v>301590</v>
      </c>
      <c r="E5159" s="115">
        <f>IFERROR(__xludf.DUMMYFUNCTION("""COMPUTED_VALUE"""),28902.0)</f>
        <v>28902</v>
      </c>
      <c r="F5159" s="115">
        <f>IFERROR(__xludf.DUMMYFUNCTION("""COMPUTED_VALUE"""),99690.0)</f>
        <v>99690</v>
      </c>
      <c r="G5159" s="115">
        <f>IFERROR(__xludf.DUMMYFUNCTION("""COMPUTED_VALUE"""),2268.0)</f>
        <v>2268</v>
      </c>
      <c r="H5159" s="116">
        <f>IFERROR(__xludf.DUMMYFUNCTION("""COMPUTED_VALUE"""),45910.0)</f>
        <v>45910</v>
      </c>
      <c r="I5159" s="115" t="str">
        <f>IFERROR(__xludf.DUMMYFUNCTION("""COMPUTED_VALUE"""),"12")</f>
        <v>12</v>
      </c>
      <c r="J5159" s="115" t="str">
        <f>IFERROR(__xludf.DUMMYFUNCTION("""COMPUTED_VALUE"""),"Kandula Sampath2025-09-1012")</f>
        <v>Kandula Sampath2025-09-1012</v>
      </c>
      <c r="K5159" s="115">
        <f>IFERROR(__xludf.DUMMYFUNCTION("""COMPUTED_VALUE"""),330492.0)</f>
        <v>330492</v>
      </c>
    </row>
    <row r="5160">
      <c r="A5160" s="115" t="str">
        <f>IFERROR(__xludf.DUMMYFUNCTION("""COMPUTED_VALUE"""),"SOUTH")</f>
        <v>SOUTH</v>
      </c>
      <c r="B5160" s="115" t="str">
        <f>IFERROR(__xludf.DUMMYFUNCTION("""COMPUTED_VALUE"""),"Kandula Sampath")</f>
        <v>Kandula Sampath</v>
      </c>
      <c r="C5160" s="115" t="str">
        <f>IFERROR(__xludf.DUMMYFUNCTION("""COMPUTED_VALUE"""),"MYNTRA")</f>
        <v>MYNTRA</v>
      </c>
      <c r="D5160" s="115">
        <f>IFERROR(__xludf.DUMMYFUNCTION("""COMPUTED_VALUE"""),33802.0)</f>
        <v>33802</v>
      </c>
      <c r="E5160" s="115">
        <f>IFERROR(__xludf.DUMMYFUNCTION("""COMPUTED_VALUE"""),8917.0)</f>
        <v>8917</v>
      </c>
      <c r="F5160" s="115">
        <f>IFERROR(__xludf.DUMMYFUNCTION("""COMPUTED_VALUE"""),12664.0)</f>
        <v>12664</v>
      </c>
      <c r="G5160" s="115">
        <f>IFERROR(__xludf.DUMMYFUNCTION("""COMPUTED_VALUE"""),752.0)</f>
        <v>752</v>
      </c>
      <c r="H5160" s="116">
        <f>IFERROR(__xludf.DUMMYFUNCTION("""COMPUTED_VALUE"""),45910.0)</f>
        <v>45910</v>
      </c>
      <c r="I5160" s="115" t="str">
        <f>IFERROR(__xludf.DUMMYFUNCTION("""COMPUTED_VALUE"""),"12")</f>
        <v>12</v>
      </c>
      <c r="J5160" s="115" t="str">
        <f>IFERROR(__xludf.DUMMYFUNCTION("""COMPUTED_VALUE"""),"Kandula Sampath2025-09-1012")</f>
        <v>Kandula Sampath2025-09-1012</v>
      </c>
      <c r="K5160" s="115">
        <f>IFERROR(__xludf.DUMMYFUNCTION("""COMPUTED_VALUE"""),42719.0)</f>
        <v>42719</v>
      </c>
    </row>
    <row r="5161">
      <c r="A5161" s="115" t="str">
        <f>IFERROR(__xludf.DUMMYFUNCTION("""COMPUTED_VALUE"""),"SOUTH")</f>
        <v>SOUTH</v>
      </c>
      <c r="B5161" s="115" t="str">
        <f>IFERROR(__xludf.DUMMYFUNCTION("""COMPUTED_VALUE"""),"Martin A")</f>
        <v>Martin A</v>
      </c>
      <c r="C5161" s="115" t="str">
        <f>IFERROR(__xludf.DUMMYFUNCTION("""COMPUTED_VALUE"""),"EXTERNAL")</f>
        <v>EXTERNAL</v>
      </c>
      <c r="D5161" s="115">
        <f>IFERROR(__xludf.DUMMYFUNCTION("""COMPUTED_VALUE"""),26143.0)</f>
        <v>26143</v>
      </c>
      <c r="E5161" s="115">
        <f>IFERROR(__xludf.DUMMYFUNCTION("""COMPUTED_VALUE"""),3531.0)</f>
        <v>3531</v>
      </c>
      <c r="F5161" s="115">
        <f>IFERROR(__xludf.DUMMYFUNCTION("""COMPUTED_VALUE"""),4620.0)</f>
        <v>4620</v>
      </c>
      <c r="G5161" s="115">
        <f>IFERROR(__xludf.DUMMYFUNCTION("""COMPUTED_VALUE"""),339.0)</f>
        <v>339</v>
      </c>
      <c r="H5161" s="116">
        <f>IFERROR(__xludf.DUMMYFUNCTION("""COMPUTED_VALUE"""),45910.0)</f>
        <v>45910</v>
      </c>
      <c r="I5161" s="115" t="str">
        <f>IFERROR(__xludf.DUMMYFUNCTION("""COMPUTED_VALUE"""),"12")</f>
        <v>12</v>
      </c>
      <c r="J5161" s="115" t="str">
        <f>IFERROR(__xludf.DUMMYFUNCTION("""COMPUTED_VALUE"""),"Martin A2025-09-1012")</f>
        <v>Martin A2025-09-1012</v>
      </c>
      <c r="K5161" s="115">
        <f>IFERROR(__xludf.DUMMYFUNCTION("""COMPUTED_VALUE"""),29674.0)</f>
        <v>29674</v>
      </c>
    </row>
    <row r="5162">
      <c r="A5162" s="115" t="str">
        <f>IFERROR(__xludf.DUMMYFUNCTION("""COMPUTED_VALUE"""),"SOUTH")</f>
        <v>SOUTH</v>
      </c>
      <c r="B5162" s="115" t="str">
        <f>IFERROR(__xludf.DUMMYFUNCTION("""COMPUTED_VALUE"""),"Martin A")</f>
        <v>Martin A</v>
      </c>
      <c r="C5162" s="115" t="str">
        <f>IFERROR(__xludf.DUMMYFUNCTION("""COMPUTED_VALUE"""),"FLIPKART")</f>
        <v>FLIPKART</v>
      </c>
      <c r="D5162" s="115">
        <f>IFERROR(__xludf.DUMMYFUNCTION("""COMPUTED_VALUE"""),248186.0)</f>
        <v>248186</v>
      </c>
      <c r="E5162" s="115">
        <f>IFERROR(__xludf.DUMMYFUNCTION("""COMPUTED_VALUE"""),22864.0)</f>
        <v>22864</v>
      </c>
      <c r="F5162" s="115">
        <f>IFERROR(__xludf.DUMMYFUNCTION("""COMPUTED_VALUE"""),73404.0)</f>
        <v>73404</v>
      </c>
      <c r="G5162" s="115">
        <f>IFERROR(__xludf.DUMMYFUNCTION("""COMPUTED_VALUE"""),2198.0)</f>
        <v>2198</v>
      </c>
      <c r="H5162" s="116">
        <f>IFERROR(__xludf.DUMMYFUNCTION("""COMPUTED_VALUE"""),45910.0)</f>
        <v>45910</v>
      </c>
      <c r="I5162" s="115" t="str">
        <f>IFERROR(__xludf.DUMMYFUNCTION("""COMPUTED_VALUE"""),"12")</f>
        <v>12</v>
      </c>
      <c r="J5162" s="115" t="str">
        <f>IFERROR(__xludf.DUMMYFUNCTION("""COMPUTED_VALUE"""),"Martin A2025-09-1012")</f>
        <v>Martin A2025-09-1012</v>
      </c>
      <c r="K5162" s="115">
        <f>IFERROR(__xludf.DUMMYFUNCTION("""COMPUTED_VALUE"""),271050.0)</f>
        <v>271050</v>
      </c>
    </row>
    <row r="5163">
      <c r="A5163" s="115" t="str">
        <f>IFERROR(__xludf.DUMMYFUNCTION("""COMPUTED_VALUE"""),"SOUTH")</f>
        <v>SOUTH</v>
      </c>
      <c r="B5163" s="115" t="str">
        <f>IFERROR(__xludf.DUMMYFUNCTION("""COMPUTED_VALUE"""),"Martin A")</f>
        <v>Martin A</v>
      </c>
      <c r="C5163" s="115" t="str">
        <f>IFERROR(__xludf.DUMMYFUNCTION("""COMPUTED_VALUE"""),"MYNTRA")</f>
        <v>MYNTRA</v>
      </c>
      <c r="D5163" s="115">
        <f>IFERROR(__xludf.DUMMYFUNCTION("""COMPUTED_VALUE"""),24804.0)</f>
        <v>24804</v>
      </c>
      <c r="E5163" s="115">
        <f>IFERROR(__xludf.DUMMYFUNCTION("""COMPUTED_VALUE"""),6181.0)</f>
        <v>6181</v>
      </c>
      <c r="F5163" s="115">
        <f>IFERROR(__xludf.DUMMYFUNCTION("""COMPUTED_VALUE"""),9039.0)</f>
        <v>9039</v>
      </c>
      <c r="G5163" s="115">
        <f>IFERROR(__xludf.DUMMYFUNCTION("""COMPUTED_VALUE"""),755.0)</f>
        <v>755</v>
      </c>
      <c r="H5163" s="116">
        <f>IFERROR(__xludf.DUMMYFUNCTION("""COMPUTED_VALUE"""),45910.0)</f>
        <v>45910</v>
      </c>
      <c r="I5163" s="115" t="str">
        <f>IFERROR(__xludf.DUMMYFUNCTION("""COMPUTED_VALUE"""),"12")</f>
        <v>12</v>
      </c>
      <c r="J5163" s="115" t="str">
        <f>IFERROR(__xludf.DUMMYFUNCTION("""COMPUTED_VALUE"""),"Martin A2025-09-1012")</f>
        <v>Martin A2025-09-1012</v>
      </c>
      <c r="K5163" s="115">
        <f>IFERROR(__xludf.DUMMYFUNCTION("""COMPUTED_VALUE"""),30985.0)</f>
        <v>30985</v>
      </c>
    </row>
    <row r="5164">
      <c r="A5164" s="115" t="str">
        <f>IFERROR(__xludf.DUMMYFUNCTION("""COMPUTED_VALUE"""),"SOUTH")</f>
        <v>SOUTH</v>
      </c>
      <c r="B5164" s="115" t="str">
        <f>IFERROR(__xludf.DUMMYFUNCTION("""COMPUTED_VALUE"""),"Premkumar M")</f>
        <v>Premkumar M</v>
      </c>
      <c r="C5164" s="115" t="str">
        <f>IFERROR(__xludf.DUMMYFUNCTION("""COMPUTED_VALUE"""),"EXTERNAL")</f>
        <v>EXTERNAL</v>
      </c>
      <c r="D5164" s="115">
        <f>IFERROR(__xludf.DUMMYFUNCTION("""COMPUTED_VALUE"""),20797.0)</f>
        <v>20797</v>
      </c>
      <c r="E5164" s="115">
        <f>IFERROR(__xludf.DUMMYFUNCTION("""COMPUTED_VALUE"""),1534.0)</f>
        <v>1534</v>
      </c>
      <c r="F5164" s="115">
        <f>IFERROR(__xludf.DUMMYFUNCTION("""COMPUTED_VALUE"""),2681.0)</f>
        <v>2681</v>
      </c>
      <c r="G5164" s="115">
        <f>IFERROR(__xludf.DUMMYFUNCTION("""COMPUTED_VALUE"""),25.0)</f>
        <v>25</v>
      </c>
      <c r="H5164" s="116">
        <f>IFERROR(__xludf.DUMMYFUNCTION("""COMPUTED_VALUE"""),45910.0)</f>
        <v>45910</v>
      </c>
      <c r="I5164" s="115" t="str">
        <f>IFERROR(__xludf.DUMMYFUNCTION("""COMPUTED_VALUE"""),"12")</f>
        <v>12</v>
      </c>
      <c r="J5164" s="115" t="str">
        <f>IFERROR(__xludf.DUMMYFUNCTION("""COMPUTED_VALUE"""),"Premkumar M2025-09-1012")</f>
        <v>Premkumar M2025-09-1012</v>
      </c>
      <c r="K5164" s="115">
        <f>IFERROR(__xludf.DUMMYFUNCTION("""COMPUTED_VALUE"""),22331.0)</f>
        <v>22331</v>
      </c>
    </row>
    <row r="5165">
      <c r="A5165" s="115" t="str">
        <f>IFERROR(__xludf.DUMMYFUNCTION("""COMPUTED_VALUE"""),"SOUTH")</f>
        <v>SOUTH</v>
      </c>
      <c r="B5165" s="115" t="str">
        <f>IFERROR(__xludf.DUMMYFUNCTION("""COMPUTED_VALUE"""),"Premkumar M")</f>
        <v>Premkumar M</v>
      </c>
      <c r="C5165" s="115" t="str">
        <f>IFERROR(__xludf.DUMMYFUNCTION("""COMPUTED_VALUE"""),"FLIPKART")</f>
        <v>FLIPKART</v>
      </c>
      <c r="D5165" s="115">
        <f>IFERROR(__xludf.DUMMYFUNCTION("""COMPUTED_VALUE"""),230168.0)</f>
        <v>230168</v>
      </c>
      <c r="E5165" s="115">
        <f>IFERROR(__xludf.DUMMYFUNCTION("""COMPUTED_VALUE"""),14143.0)</f>
        <v>14143</v>
      </c>
      <c r="F5165" s="115">
        <f>IFERROR(__xludf.DUMMYFUNCTION("""COMPUTED_VALUE"""),46016.0)</f>
        <v>46016</v>
      </c>
      <c r="G5165" s="115">
        <f>IFERROR(__xludf.DUMMYFUNCTION("""COMPUTED_VALUE"""),478.0)</f>
        <v>478</v>
      </c>
      <c r="H5165" s="116">
        <f>IFERROR(__xludf.DUMMYFUNCTION("""COMPUTED_VALUE"""),45910.0)</f>
        <v>45910</v>
      </c>
      <c r="I5165" s="115" t="str">
        <f>IFERROR(__xludf.DUMMYFUNCTION("""COMPUTED_VALUE"""),"12")</f>
        <v>12</v>
      </c>
      <c r="J5165" s="115" t="str">
        <f>IFERROR(__xludf.DUMMYFUNCTION("""COMPUTED_VALUE"""),"Premkumar M2025-09-1012")</f>
        <v>Premkumar M2025-09-1012</v>
      </c>
      <c r="K5165" s="115">
        <f>IFERROR(__xludf.DUMMYFUNCTION("""COMPUTED_VALUE"""),244311.0)</f>
        <v>244311</v>
      </c>
    </row>
    <row r="5166">
      <c r="A5166" s="115" t="str">
        <f>IFERROR(__xludf.DUMMYFUNCTION("""COMPUTED_VALUE"""),"SOUTH")</f>
        <v>SOUTH</v>
      </c>
      <c r="B5166" s="115" t="str">
        <f>IFERROR(__xludf.DUMMYFUNCTION("""COMPUTED_VALUE"""),"Premkumar M")</f>
        <v>Premkumar M</v>
      </c>
      <c r="C5166" s="115" t="str">
        <f>IFERROR(__xludf.DUMMYFUNCTION("""COMPUTED_VALUE"""),"MYNTRA")</f>
        <v>MYNTRA</v>
      </c>
      <c r="D5166" s="115">
        <f>IFERROR(__xludf.DUMMYFUNCTION("""COMPUTED_VALUE"""),12083.0)</f>
        <v>12083</v>
      </c>
      <c r="E5166" s="115">
        <f>IFERROR(__xludf.DUMMYFUNCTION("""COMPUTED_VALUE"""),2404.0)</f>
        <v>2404</v>
      </c>
      <c r="F5166" s="115">
        <f>IFERROR(__xludf.DUMMYFUNCTION("""COMPUTED_VALUE"""),2863.0)</f>
        <v>2863</v>
      </c>
      <c r="G5166" s="115">
        <f>IFERROR(__xludf.DUMMYFUNCTION("""COMPUTED_VALUE"""),112.0)</f>
        <v>112</v>
      </c>
      <c r="H5166" s="116">
        <f>IFERROR(__xludf.DUMMYFUNCTION("""COMPUTED_VALUE"""),45910.0)</f>
        <v>45910</v>
      </c>
      <c r="I5166" s="115" t="str">
        <f>IFERROR(__xludf.DUMMYFUNCTION("""COMPUTED_VALUE"""),"12")</f>
        <v>12</v>
      </c>
      <c r="J5166" s="115" t="str">
        <f>IFERROR(__xludf.DUMMYFUNCTION("""COMPUTED_VALUE"""),"Premkumar M2025-09-1012")</f>
        <v>Premkumar M2025-09-1012</v>
      </c>
      <c r="K5166" s="115">
        <f>IFERROR(__xludf.DUMMYFUNCTION("""COMPUTED_VALUE"""),14487.0)</f>
        <v>14487</v>
      </c>
    </row>
    <row r="5167">
      <c r="A5167" s="115" t="str">
        <f>IFERROR(__xludf.DUMMYFUNCTION("""COMPUTED_VALUE"""),"SOUTH")</f>
        <v>SOUTH</v>
      </c>
      <c r="B5167" s="115" t="str">
        <f>IFERROR(__xludf.DUMMYFUNCTION("""COMPUTED_VALUE"""),"Vineeth V")</f>
        <v>Vineeth V</v>
      </c>
      <c r="C5167" s="115" t="str">
        <f>IFERROR(__xludf.DUMMYFUNCTION("""COMPUTED_VALUE"""),"EXTERNAL")</f>
        <v>EXTERNAL</v>
      </c>
      <c r="D5167" s="115">
        <f>IFERROR(__xludf.DUMMYFUNCTION("""COMPUTED_VALUE"""),14676.0)</f>
        <v>14676</v>
      </c>
      <c r="E5167" s="115">
        <f>IFERROR(__xludf.DUMMYFUNCTION("""COMPUTED_VALUE"""),494.0)</f>
        <v>494</v>
      </c>
      <c r="F5167" s="115">
        <f>IFERROR(__xludf.DUMMYFUNCTION("""COMPUTED_VALUE"""),1749.0)</f>
        <v>1749</v>
      </c>
      <c r="G5167" s="115">
        <f>IFERROR(__xludf.DUMMYFUNCTION("""COMPUTED_VALUE"""),20.0)</f>
        <v>20</v>
      </c>
      <c r="H5167" s="116">
        <f>IFERROR(__xludf.DUMMYFUNCTION("""COMPUTED_VALUE"""),45910.0)</f>
        <v>45910</v>
      </c>
      <c r="I5167" s="115" t="str">
        <f>IFERROR(__xludf.DUMMYFUNCTION("""COMPUTED_VALUE"""),"12")</f>
        <v>12</v>
      </c>
      <c r="J5167" s="115" t="str">
        <f>IFERROR(__xludf.DUMMYFUNCTION("""COMPUTED_VALUE"""),"Vineeth V2025-09-1012")</f>
        <v>Vineeth V2025-09-1012</v>
      </c>
      <c r="K5167" s="115">
        <f>IFERROR(__xludf.DUMMYFUNCTION("""COMPUTED_VALUE"""),15170.0)</f>
        <v>15170</v>
      </c>
    </row>
    <row r="5168">
      <c r="A5168" s="115" t="str">
        <f>IFERROR(__xludf.DUMMYFUNCTION("""COMPUTED_VALUE"""),"SOUTH")</f>
        <v>SOUTH</v>
      </c>
      <c r="B5168" s="115" t="str">
        <f>IFERROR(__xludf.DUMMYFUNCTION("""COMPUTED_VALUE"""),"Vineeth V")</f>
        <v>Vineeth V</v>
      </c>
      <c r="C5168" s="115" t="str">
        <f>IFERROR(__xludf.DUMMYFUNCTION("""COMPUTED_VALUE"""),"FLIPKART")</f>
        <v>FLIPKART</v>
      </c>
      <c r="D5168" s="115">
        <f>IFERROR(__xludf.DUMMYFUNCTION("""COMPUTED_VALUE"""),163015.0)</f>
        <v>163015</v>
      </c>
      <c r="E5168" s="115">
        <f>IFERROR(__xludf.DUMMYFUNCTION("""COMPUTED_VALUE"""),12454.0)</f>
        <v>12454</v>
      </c>
      <c r="F5168" s="115">
        <f>IFERROR(__xludf.DUMMYFUNCTION("""COMPUTED_VALUE"""),32145.0)</f>
        <v>32145</v>
      </c>
      <c r="G5168" s="115">
        <f>IFERROR(__xludf.DUMMYFUNCTION("""COMPUTED_VALUE"""),363.0)</f>
        <v>363</v>
      </c>
      <c r="H5168" s="116">
        <f>IFERROR(__xludf.DUMMYFUNCTION("""COMPUTED_VALUE"""),45910.0)</f>
        <v>45910</v>
      </c>
      <c r="I5168" s="115" t="str">
        <f>IFERROR(__xludf.DUMMYFUNCTION("""COMPUTED_VALUE"""),"12")</f>
        <v>12</v>
      </c>
      <c r="J5168" s="115" t="str">
        <f>IFERROR(__xludf.DUMMYFUNCTION("""COMPUTED_VALUE"""),"Vineeth V2025-09-1012")</f>
        <v>Vineeth V2025-09-1012</v>
      </c>
      <c r="K5168" s="115">
        <f>IFERROR(__xludf.DUMMYFUNCTION("""COMPUTED_VALUE"""),175469.0)</f>
        <v>175469</v>
      </c>
    </row>
    <row r="5169">
      <c r="A5169" s="115" t="str">
        <f>IFERROR(__xludf.DUMMYFUNCTION("""COMPUTED_VALUE"""),"SOUTH")</f>
        <v>SOUTH</v>
      </c>
      <c r="B5169" s="115" t="str">
        <f>IFERROR(__xludf.DUMMYFUNCTION("""COMPUTED_VALUE"""),"Vineeth V")</f>
        <v>Vineeth V</v>
      </c>
      <c r="C5169" s="115" t="str">
        <f>IFERROR(__xludf.DUMMYFUNCTION("""COMPUTED_VALUE"""),"MYNTRA")</f>
        <v>MYNTRA</v>
      </c>
      <c r="D5169" s="115">
        <f>IFERROR(__xludf.DUMMYFUNCTION("""COMPUTED_VALUE"""),13307.0)</f>
        <v>13307</v>
      </c>
      <c r="E5169" s="115">
        <f>IFERROR(__xludf.DUMMYFUNCTION("""COMPUTED_VALUE"""),3172.0)</f>
        <v>3172</v>
      </c>
      <c r="F5169" s="115">
        <f>IFERROR(__xludf.DUMMYFUNCTION("""COMPUTED_VALUE"""),3012.0)</f>
        <v>3012</v>
      </c>
      <c r="G5169" s="115">
        <f>IFERROR(__xludf.DUMMYFUNCTION("""COMPUTED_VALUE"""),88.0)</f>
        <v>88</v>
      </c>
      <c r="H5169" s="116">
        <f>IFERROR(__xludf.DUMMYFUNCTION("""COMPUTED_VALUE"""),45910.0)</f>
        <v>45910</v>
      </c>
      <c r="I5169" s="115" t="str">
        <f>IFERROR(__xludf.DUMMYFUNCTION("""COMPUTED_VALUE"""),"12")</f>
        <v>12</v>
      </c>
      <c r="J5169" s="115" t="str">
        <f>IFERROR(__xludf.DUMMYFUNCTION("""COMPUTED_VALUE"""),"Vineeth V2025-09-1012")</f>
        <v>Vineeth V2025-09-1012</v>
      </c>
      <c r="K5169" s="115">
        <f>IFERROR(__xludf.DUMMYFUNCTION("""COMPUTED_VALUE"""),16479.0)</f>
        <v>16479</v>
      </c>
    </row>
    <row r="5170">
      <c r="A5170" s="115" t="str">
        <f>IFERROR(__xludf.DUMMYFUNCTION("""COMPUTED_VALUE"""),"WEST")</f>
        <v>WEST</v>
      </c>
      <c r="B5170" s="115" t="str">
        <f>IFERROR(__xludf.DUMMYFUNCTION("""COMPUTED_VALUE"""),"Ashish Jakar")</f>
        <v>Ashish Jakar</v>
      </c>
      <c r="C5170" s="115" t="str">
        <f>IFERROR(__xludf.DUMMYFUNCTION("""COMPUTED_VALUE"""),"EXTERNAL")</f>
        <v>EXTERNAL</v>
      </c>
      <c r="D5170" s="115">
        <f>IFERROR(__xludf.DUMMYFUNCTION("""COMPUTED_VALUE"""),52339.0)</f>
        <v>52339</v>
      </c>
      <c r="E5170" s="115">
        <f>IFERROR(__xludf.DUMMYFUNCTION("""COMPUTED_VALUE"""),5301.0)</f>
        <v>5301</v>
      </c>
      <c r="F5170" s="115">
        <f>IFERROR(__xludf.DUMMYFUNCTION("""COMPUTED_VALUE"""),8022.0)</f>
        <v>8022</v>
      </c>
      <c r="G5170" s="115">
        <f>IFERROR(__xludf.DUMMYFUNCTION("""COMPUTED_VALUE"""),397.0)</f>
        <v>397</v>
      </c>
      <c r="H5170" s="116">
        <f>IFERROR(__xludf.DUMMYFUNCTION("""COMPUTED_VALUE"""),45910.0)</f>
        <v>45910</v>
      </c>
      <c r="I5170" s="115" t="str">
        <f>IFERROR(__xludf.DUMMYFUNCTION("""COMPUTED_VALUE"""),"12")</f>
        <v>12</v>
      </c>
      <c r="J5170" s="115" t="str">
        <f>IFERROR(__xludf.DUMMYFUNCTION("""COMPUTED_VALUE"""),"Ashish Jakar2025-09-1012")</f>
        <v>Ashish Jakar2025-09-1012</v>
      </c>
      <c r="K5170" s="115">
        <f>IFERROR(__xludf.DUMMYFUNCTION("""COMPUTED_VALUE"""),57640.0)</f>
        <v>57640</v>
      </c>
    </row>
    <row r="5171">
      <c r="A5171" s="115" t="str">
        <f>IFERROR(__xludf.DUMMYFUNCTION("""COMPUTED_VALUE"""),"WEST")</f>
        <v>WEST</v>
      </c>
      <c r="B5171" s="115" t="str">
        <f>IFERROR(__xludf.DUMMYFUNCTION("""COMPUTED_VALUE"""),"Ashish Jakar")</f>
        <v>Ashish Jakar</v>
      </c>
      <c r="C5171" s="115" t="str">
        <f>IFERROR(__xludf.DUMMYFUNCTION("""COMPUTED_VALUE"""),"FLIPKART")</f>
        <v>FLIPKART</v>
      </c>
      <c r="D5171" s="115">
        <f>IFERROR(__xludf.DUMMYFUNCTION("""COMPUTED_VALUE"""),330550.0)</f>
        <v>330550</v>
      </c>
      <c r="E5171" s="115">
        <f>IFERROR(__xludf.DUMMYFUNCTION("""COMPUTED_VALUE"""),28860.0)</f>
        <v>28860</v>
      </c>
      <c r="F5171" s="115">
        <f>IFERROR(__xludf.DUMMYFUNCTION("""COMPUTED_VALUE"""),77693.0)</f>
        <v>77693</v>
      </c>
      <c r="G5171" s="115">
        <f>IFERROR(__xludf.DUMMYFUNCTION("""COMPUTED_VALUE"""),2558.0)</f>
        <v>2558</v>
      </c>
      <c r="H5171" s="116">
        <f>IFERROR(__xludf.DUMMYFUNCTION("""COMPUTED_VALUE"""),45910.0)</f>
        <v>45910</v>
      </c>
      <c r="I5171" s="115" t="str">
        <f>IFERROR(__xludf.DUMMYFUNCTION("""COMPUTED_VALUE"""),"12")</f>
        <v>12</v>
      </c>
      <c r="J5171" s="115" t="str">
        <f>IFERROR(__xludf.DUMMYFUNCTION("""COMPUTED_VALUE"""),"Ashish Jakar2025-09-1012")</f>
        <v>Ashish Jakar2025-09-1012</v>
      </c>
      <c r="K5171" s="115">
        <f>IFERROR(__xludf.DUMMYFUNCTION("""COMPUTED_VALUE"""),359410.0)</f>
        <v>359410</v>
      </c>
    </row>
    <row r="5172">
      <c r="A5172" s="115" t="str">
        <f>IFERROR(__xludf.DUMMYFUNCTION("""COMPUTED_VALUE"""),"WEST")</f>
        <v>WEST</v>
      </c>
      <c r="B5172" s="115" t="str">
        <f>IFERROR(__xludf.DUMMYFUNCTION("""COMPUTED_VALUE"""),"Ashish Jakar")</f>
        <v>Ashish Jakar</v>
      </c>
      <c r="C5172" s="115" t="str">
        <f>IFERROR(__xludf.DUMMYFUNCTION("""COMPUTED_VALUE"""),"MYNTRA")</f>
        <v>MYNTRA</v>
      </c>
      <c r="D5172" s="115">
        <f>IFERROR(__xludf.DUMMYFUNCTION("""COMPUTED_VALUE"""),38057.0)</f>
        <v>38057</v>
      </c>
      <c r="E5172" s="115">
        <f>IFERROR(__xludf.DUMMYFUNCTION("""COMPUTED_VALUE"""),10062.0)</f>
        <v>10062</v>
      </c>
      <c r="F5172" s="115">
        <f>IFERROR(__xludf.DUMMYFUNCTION("""COMPUTED_VALUE"""),10945.0)</f>
        <v>10945</v>
      </c>
      <c r="G5172" s="115">
        <f>IFERROR(__xludf.DUMMYFUNCTION("""COMPUTED_VALUE"""),1010.0)</f>
        <v>1010</v>
      </c>
      <c r="H5172" s="116">
        <f>IFERROR(__xludf.DUMMYFUNCTION("""COMPUTED_VALUE"""),45910.0)</f>
        <v>45910</v>
      </c>
      <c r="I5172" s="115" t="str">
        <f>IFERROR(__xludf.DUMMYFUNCTION("""COMPUTED_VALUE"""),"12")</f>
        <v>12</v>
      </c>
      <c r="J5172" s="115" t="str">
        <f>IFERROR(__xludf.DUMMYFUNCTION("""COMPUTED_VALUE"""),"Ashish Jakar2025-09-1012")</f>
        <v>Ashish Jakar2025-09-1012</v>
      </c>
      <c r="K5172" s="115">
        <f>IFERROR(__xludf.DUMMYFUNCTION("""COMPUTED_VALUE"""),48119.0)</f>
        <v>48119</v>
      </c>
    </row>
    <row r="5173">
      <c r="A5173" s="115" t="str">
        <f>IFERROR(__xludf.DUMMYFUNCTION("""COMPUTED_VALUE"""),"WEST")</f>
        <v>WEST</v>
      </c>
      <c r="B5173" s="115" t="str">
        <f>IFERROR(__xludf.DUMMYFUNCTION("""COMPUTED_VALUE"""),"Ashvani Bhatt")</f>
        <v>Ashvani Bhatt</v>
      </c>
      <c r="C5173" s="115" t="str">
        <f>IFERROR(__xludf.DUMMYFUNCTION("""COMPUTED_VALUE"""),"EXTERNAL")</f>
        <v>EXTERNAL</v>
      </c>
      <c r="D5173" s="115">
        <f>IFERROR(__xludf.DUMMYFUNCTION("""COMPUTED_VALUE"""),33230.0)</f>
        <v>33230</v>
      </c>
      <c r="E5173" s="115">
        <f>IFERROR(__xludf.DUMMYFUNCTION("""COMPUTED_VALUE"""),2602.0)</f>
        <v>2602</v>
      </c>
      <c r="F5173" s="115">
        <f>IFERROR(__xludf.DUMMYFUNCTION("""COMPUTED_VALUE"""),5430.0)</f>
        <v>5430</v>
      </c>
      <c r="G5173" s="115">
        <f>IFERROR(__xludf.DUMMYFUNCTION("""COMPUTED_VALUE"""),159.0)</f>
        <v>159</v>
      </c>
      <c r="H5173" s="116">
        <f>IFERROR(__xludf.DUMMYFUNCTION("""COMPUTED_VALUE"""),45910.0)</f>
        <v>45910</v>
      </c>
      <c r="I5173" s="115" t="str">
        <f>IFERROR(__xludf.DUMMYFUNCTION("""COMPUTED_VALUE"""),"12")</f>
        <v>12</v>
      </c>
      <c r="J5173" s="115" t="str">
        <f>IFERROR(__xludf.DUMMYFUNCTION("""COMPUTED_VALUE"""),"Ashvani Bhatt2025-09-1012")</f>
        <v>Ashvani Bhatt2025-09-1012</v>
      </c>
      <c r="K5173" s="115">
        <f>IFERROR(__xludf.DUMMYFUNCTION("""COMPUTED_VALUE"""),35832.0)</f>
        <v>35832</v>
      </c>
    </row>
    <row r="5174">
      <c r="A5174" s="115" t="str">
        <f>IFERROR(__xludf.DUMMYFUNCTION("""COMPUTED_VALUE"""),"WEST")</f>
        <v>WEST</v>
      </c>
      <c r="B5174" s="115" t="str">
        <f>IFERROR(__xludf.DUMMYFUNCTION("""COMPUTED_VALUE"""),"Ashvani Bhatt")</f>
        <v>Ashvani Bhatt</v>
      </c>
      <c r="C5174" s="115" t="str">
        <f>IFERROR(__xludf.DUMMYFUNCTION("""COMPUTED_VALUE"""),"FLIPKART")</f>
        <v>FLIPKART</v>
      </c>
      <c r="D5174" s="115">
        <f>IFERROR(__xludf.DUMMYFUNCTION("""COMPUTED_VALUE"""),241973.0)</f>
        <v>241973</v>
      </c>
      <c r="E5174" s="115">
        <f>IFERROR(__xludf.DUMMYFUNCTION("""COMPUTED_VALUE"""),24683.0)</f>
        <v>24683</v>
      </c>
      <c r="F5174" s="115">
        <f>IFERROR(__xludf.DUMMYFUNCTION("""COMPUTED_VALUE"""),73292.0)</f>
        <v>73292</v>
      </c>
      <c r="G5174" s="115">
        <f>IFERROR(__xludf.DUMMYFUNCTION("""COMPUTED_VALUE"""),2121.0)</f>
        <v>2121</v>
      </c>
      <c r="H5174" s="116">
        <f>IFERROR(__xludf.DUMMYFUNCTION("""COMPUTED_VALUE"""),45910.0)</f>
        <v>45910</v>
      </c>
      <c r="I5174" s="115" t="str">
        <f>IFERROR(__xludf.DUMMYFUNCTION("""COMPUTED_VALUE"""),"12")</f>
        <v>12</v>
      </c>
      <c r="J5174" s="115" t="str">
        <f>IFERROR(__xludf.DUMMYFUNCTION("""COMPUTED_VALUE"""),"Ashvani Bhatt2025-09-1012")</f>
        <v>Ashvani Bhatt2025-09-1012</v>
      </c>
      <c r="K5174" s="115">
        <f>IFERROR(__xludf.DUMMYFUNCTION("""COMPUTED_VALUE"""),266656.0)</f>
        <v>266656</v>
      </c>
    </row>
    <row r="5175">
      <c r="A5175" s="115" t="str">
        <f>IFERROR(__xludf.DUMMYFUNCTION("""COMPUTED_VALUE"""),"WEST")</f>
        <v>WEST</v>
      </c>
      <c r="B5175" s="115" t="str">
        <f>IFERROR(__xludf.DUMMYFUNCTION("""COMPUTED_VALUE"""),"Ashvani Bhatt")</f>
        <v>Ashvani Bhatt</v>
      </c>
      <c r="C5175" s="115" t="str">
        <f>IFERROR(__xludf.DUMMYFUNCTION("""COMPUTED_VALUE"""),"MYNTRA")</f>
        <v>MYNTRA</v>
      </c>
      <c r="D5175" s="115">
        <f>IFERROR(__xludf.DUMMYFUNCTION("""COMPUTED_VALUE"""),30820.0)</f>
        <v>30820</v>
      </c>
      <c r="E5175" s="115">
        <f>IFERROR(__xludf.DUMMYFUNCTION("""COMPUTED_VALUE"""),8273.0)</f>
        <v>8273</v>
      </c>
      <c r="F5175" s="115">
        <f>IFERROR(__xludf.DUMMYFUNCTION("""COMPUTED_VALUE"""),11694.0)</f>
        <v>11694</v>
      </c>
      <c r="G5175" s="115">
        <f>IFERROR(__xludf.DUMMYFUNCTION("""COMPUTED_VALUE"""),926.0)</f>
        <v>926</v>
      </c>
      <c r="H5175" s="116">
        <f>IFERROR(__xludf.DUMMYFUNCTION("""COMPUTED_VALUE"""),45910.0)</f>
        <v>45910</v>
      </c>
      <c r="I5175" s="115" t="str">
        <f>IFERROR(__xludf.DUMMYFUNCTION("""COMPUTED_VALUE"""),"12")</f>
        <v>12</v>
      </c>
      <c r="J5175" s="115" t="str">
        <f>IFERROR(__xludf.DUMMYFUNCTION("""COMPUTED_VALUE"""),"Ashvani Bhatt2025-09-1012")</f>
        <v>Ashvani Bhatt2025-09-1012</v>
      </c>
      <c r="K5175" s="115">
        <f>IFERROR(__xludf.DUMMYFUNCTION("""COMPUTED_VALUE"""),39093.0)</f>
        <v>39093</v>
      </c>
    </row>
    <row r="5176">
      <c r="A5176" s="115"/>
      <c r="B5176" s="115"/>
      <c r="C5176" s="115" t="str">
        <f>IFERROR(__xludf.DUMMYFUNCTION("""COMPUTED_VALUE"""),"EXTERNAL")</f>
        <v>EXTERNAL</v>
      </c>
      <c r="D5176" s="115">
        <f>IFERROR(__xludf.DUMMYFUNCTION("""COMPUTED_VALUE"""),457.0)</f>
        <v>457</v>
      </c>
      <c r="E5176" s="115">
        <f>IFERROR(__xludf.DUMMYFUNCTION("""COMPUTED_VALUE"""),126.0)</f>
        <v>126</v>
      </c>
      <c r="F5176" s="115">
        <f>IFERROR(__xludf.DUMMYFUNCTION("""COMPUTED_VALUE"""),37.0)</f>
        <v>37</v>
      </c>
      <c r="G5176" s="115">
        <f>IFERROR(__xludf.DUMMYFUNCTION("""COMPUTED_VALUE"""),22.0)</f>
        <v>22</v>
      </c>
      <c r="H5176" s="116">
        <f>IFERROR(__xludf.DUMMYFUNCTION("""COMPUTED_VALUE"""),45910.0)</f>
        <v>45910</v>
      </c>
      <c r="I5176" s="115" t="str">
        <f>IFERROR(__xludf.DUMMYFUNCTION("""COMPUTED_VALUE"""),"12")</f>
        <v>12</v>
      </c>
      <c r="J5176" s="115" t="str">
        <f>IFERROR(__xludf.DUMMYFUNCTION("""COMPUTED_VALUE"""),"2025-09-1012")</f>
        <v>2025-09-1012</v>
      </c>
      <c r="K5176" s="115">
        <f>IFERROR(__xludf.DUMMYFUNCTION("""COMPUTED_VALUE"""),583.0)</f>
        <v>583</v>
      </c>
    </row>
    <row r="5177">
      <c r="A5177" s="115"/>
      <c r="B5177" s="115"/>
      <c r="C5177" s="115" t="str">
        <f>IFERROR(__xludf.DUMMYFUNCTION("""COMPUTED_VALUE"""),"FLIPKART")</f>
        <v>FLIPKART</v>
      </c>
      <c r="D5177" s="115">
        <f>IFERROR(__xludf.DUMMYFUNCTION("""COMPUTED_VALUE"""),5330.0)</f>
        <v>5330</v>
      </c>
      <c r="E5177" s="115">
        <f>IFERROR(__xludf.DUMMYFUNCTION("""COMPUTED_VALUE"""),536.0)</f>
        <v>536</v>
      </c>
      <c r="F5177" s="115">
        <f>IFERROR(__xludf.DUMMYFUNCTION("""COMPUTED_VALUE"""),718.0)</f>
        <v>718</v>
      </c>
      <c r="G5177" s="115">
        <f>IFERROR(__xludf.DUMMYFUNCTION("""COMPUTED_VALUE"""),107.0)</f>
        <v>107</v>
      </c>
      <c r="H5177" s="116">
        <f>IFERROR(__xludf.DUMMYFUNCTION("""COMPUTED_VALUE"""),45910.0)</f>
        <v>45910</v>
      </c>
      <c r="I5177" s="115" t="str">
        <f>IFERROR(__xludf.DUMMYFUNCTION("""COMPUTED_VALUE"""),"12")</f>
        <v>12</v>
      </c>
      <c r="J5177" s="115" t="str">
        <f>IFERROR(__xludf.DUMMYFUNCTION("""COMPUTED_VALUE"""),"2025-09-1012")</f>
        <v>2025-09-1012</v>
      </c>
      <c r="K5177" s="115">
        <f>IFERROR(__xludf.DUMMYFUNCTION("""COMPUTED_VALUE"""),5866.0)</f>
        <v>5866</v>
      </c>
    </row>
    <row r="5178">
      <c r="A5178" s="115"/>
      <c r="B5178" s="115"/>
      <c r="C5178" s="115" t="str">
        <f>IFERROR(__xludf.DUMMYFUNCTION("""COMPUTED_VALUE"""),"MYNTRA")</f>
        <v>MYNTRA</v>
      </c>
      <c r="D5178" s="115">
        <f>IFERROR(__xludf.DUMMYFUNCTION("""COMPUTED_VALUE"""),621.0)</f>
        <v>621</v>
      </c>
      <c r="E5178" s="115">
        <f>IFERROR(__xludf.DUMMYFUNCTION("""COMPUTED_VALUE"""),168.0)</f>
        <v>168</v>
      </c>
      <c r="F5178" s="115">
        <f>IFERROR(__xludf.DUMMYFUNCTION("""COMPUTED_VALUE"""),107.0)</f>
        <v>107</v>
      </c>
      <c r="G5178" s="115">
        <f>IFERROR(__xludf.DUMMYFUNCTION("""COMPUTED_VALUE"""),46.0)</f>
        <v>46</v>
      </c>
      <c r="H5178" s="116">
        <f>IFERROR(__xludf.DUMMYFUNCTION("""COMPUTED_VALUE"""),45910.0)</f>
        <v>45910</v>
      </c>
      <c r="I5178" s="115" t="str">
        <f>IFERROR(__xludf.DUMMYFUNCTION("""COMPUTED_VALUE"""),"12")</f>
        <v>12</v>
      </c>
      <c r="J5178" s="115" t="str">
        <f>IFERROR(__xludf.DUMMYFUNCTION("""COMPUTED_VALUE"""),"2025-09-1012")</f>
        <v>2025-09-1012</v>
      </c>
      <c r="K5178" s="115">
        <f>IFERROR(__xludf.DUMMYFUNCTION("""COMPUTED_VALUE"""),789.0)</f>
        <v>789</v>
      </c>
    </row>
    <row r="5179">
      <c r="A5179" s="115" t="str">
        <f>IFERROR(__xludf.DUMMYFUNCTION("""COMPUTED_VALUE"""),"EAST")</f>
        <v>EAST</v>
      </c>
      <c r="B5179" s="115" t="str">
        <f>IFERROR(__xludf.DUMMYFUNCTION("""COMPUTED_VALUE"""),"Ashish Ranjan")</f>
        <v>Ashish Ranjan</v>
      </c>
      <c r="C5179" s="115" t="str">
        <f>IFERROR(__xludf.DUMMYFUNCTION("""COMPUTED_VALUE"""),"EXTERNAL")</f>
        <v>EXTERNAL</v>
      </c>
      <c r="D5179" s="115">
        <f>IFERROR(__xludf.DUMMYFUNCTION("""COMPUTED_VALUE"""),34623.0)</f>
        <v>34623</v>
      </c>
      <c r="E5179" s="115">
        <f>IFERROR(__xludf.DUMMYFUNCTION("""COMPUTED_VALUE"""),3630.0)</f>
        <v>3630</v>
      </c>
      <c r="F5179" s="115">
        <f>IFERROR(__xludf.DUMMYFUNCTION("""COMPUTED_VALUE"""),10478.0)</f>
        <v>10478</v>
      </c>
      <c r="G5179" s="115">
        <f>IFERROR(__xludf.DUMMYFUNCTION("""COMPUTED_VALUE"""),466.0)</f>
        <v>466</v>
      </c>
      <c r="H5179" s="116">
        <f>IFERROR(__xludf.DUMMYFUNCTION("""COMPUTED_VALUE"""),45910.0)</f>
        <v>45910</v>
      </c>
      <c r="I5179" s="115" t="str">
        <f>IFERROR(__xludf.DUMMYFUNCTION("""COMPUTED_VALUE"""),"13")</f>
        <v>13</v>
      </c>
      <c r="J5179" s="115" t="str">
        <f>IFERROR(__xludf.DUMMYFUNCTION("""COMPUTED_VALUE"""),"Ashish Ranjan2025-09-1013")</f>
        <v>Ashish Ranjan2025-09-1013</v>
      </c>
      <c r="K5179" s="115">
        <f>IFERROR(__xludf.DUMMYFUNCTION("""COMPUTED_VALUE"""),38253.0)</f>
        <v>38253</v>
      </c>
    </row>
    <row r="5180">
      <c r="A5180" s="115" t="str">
        <f>IFERROR(__xludf.DUMMYFUNCTION("""COMPUTED_VALUE"""),"EAST")</f>
        <v>EAST</v>
      </c>
      <c r="B5180" s="115" t="str">
        <f>IFERROR(__xludf.DUMMYFUNCTION("""COMPUTED_VALUE"""),"Ashish Ranjan")</f>
        <v>Ashish Ranjan</v>
      </c>
      <c r="C5180" s="115" t="str">
        <f>IFERROR(__xludf.DUMMYFUNCTION("""COMPUTED_VALUE"""),"FLIPKART")</f>
        <v>FLIPKART</v>
      </c>
      <c r="D5180" s="115">
        <f>IFERROR(__xludf.DUMMYFUNCTION("""COMPUTED_VALUE"""),602550.0)</f>
        <v>602550</v>
      </c>
      <c r="E5180" s="115">
        <f>IFERROR(__xludf.DUMMYFUNCTION("""COMPUTED_VALUE"""),60841.0)</f>
        <v>60841</v>
      </c>
      <c r="F5180" s="115">
        <f>IFERROR(__xludf.DUMMYFUNCTION("""COMPUTED_VALUE"""),302321.0)</f>
        <v>302321</v>
      </c>
      <c r="G5180" s="115">
        <f>IFERROR(__xludf.DUMMYFUNCTION("""COMPUTED_VALUE"""),11647.0)</f>
        <v>11647</v>
      </c>
      <c r="H5180" s="116">
        <f>IFERROR(__xludf.DUMMYFUNCTION("""COMPUTED_VALUE"""),45910.0)</f>
        <v>45910</v>
      </c>
      <c r="I5180" s="115" t="str">
        <f>IFERROR(__xludf.DUMMYFUNCTION("""COMPUTED_VALUE"""),"13")</f>
        <v>13</v>
      </c>
      <c r="J5180" s="115" t="str">
        <f>IFERROR(__xludf.DUMMYFUNCTION("""COMPUTED_VALUE"""),"Ashish Ranjan2025-09-1013")</f>
        <v>Ashish Ranjan2025-09-1013</v>
      </c>
      <c r="K5180" s="115">
        <f>IFERROR(__xludf.DUMMYFUNCTION("""COMPUTED_VALUE"""),663391.0)</f>
        <v>663391</v>
      </c>
    </row>
    <row r="5181">
      <c r="A5181" s="115" t="str">
        <f>IFERROR(__xludf.DUMMYFUNCTION("""COMPUTED_VALUE"""),"EAST")</f>
        <v>EAST</v>
      </c>
      <c r="B5181" s="115" t="str">
        <f>IFERROR(__xludf.DUMMYFUNCTION("""COMPUTED_VALUE"""),"Ashish Ranjan")</f>
        <v>Ashish Ranjan</v>
      </c>
      <c r="C5181" s="115" t="str">
        <f>IFERROR(__xludf.DUMMYFUNCTION("""COMPUTED_VALUE"""),"MYNTRA")</f>
        <v>MYNTRA</v>
      </c>
      <c r="D5181" s="115">
        <f>IFERROR(__xludf.DUMMYFUNCTION("""COMPUTED_VALUE"""),67642.0)</f>
        <v>67642</v>
      </c>
      <c r="E5181" s="115">
        <f>IFERROR(__xludf.DUMMYFUNCTION("""COMPUTED_VALUE"""),15684.0)</f>
        <v>15684</v>
      </c>
      <c r="F5181" s="115">
        <f>IFERROR(__xludf.DUMMYFUNCTION("""COMPUTED_VALUE"""),33785.0)</f>
        <v>33785</v>
      </c>
      <c r="G5181" s="115">
        <f>IFERROR(__xludf.DUMMYFUNCTION("""COMPUTED_VALUE"""),2977.0)</f>
        <v>2977</v>
      </c>
      <c r="H5181" s="116">
        <f>IFERROR(__xludf.DUMMYFUNCTION("""COMPUTED_VALUE"""),45910.0)</f>
        <v>45910</v>
      </c>
      <c r="I5181" s="115" t="str">
        <f>IFERROR(__xludf.DUMMYFUNCTION("""COMPUTED_VALUE"""),"13")</f>
        <v>13</v>
      </c>
      <c r="J5181" s="115" t="str">
        <f>IFERROR(__xludf.DUMMYFUNCTION("""COMPUTED_VALUE"""),"Ashish Ranjan2025-09-1013")</f>
        <v>Ashish Ranjan2025-09-1013</v>
      </c>
      <c r="K5181" s="115">
        <f>IFERROR(__xludf.DUMMYFUNCTION("""COMPUTED_VALUE"""),83326.0)</f>
        <v>83326</v>
      </c>
    </row>
    <row r="5182">
      <c r="A5182" s="115" t="str">
        <f>IFERROR(__xludf.DUMMYFUNCTION("""COMPUTED_VALUE"""),"EAST")</f>
        <v>EAST</v>
      </c>
      <c r="B5182" s="115" t="str">
        <f>IFERROR(__xludf.DUMMYFUNCTION("""COMPUTED_VALUE"""),"Girish Chand")</f>
        <v>Girish Chand</v>
      </c>
      <c r="C5182" s="115" t="str">
        <f>IFERROR(__xludf.DUMMYFUNCTION("""COMPUTED_VALUE"""),"EXTERNAL")</f>
        <v>EXTERNAL</v>
      </c>
      <c r="D5182" s="115">
        <f>IFERROR(__xludf.DUMMYFUNCTION("""COMPUTED_VALUE"""),22516.0)</f>
        <v>22516</v>
      </c>
      <c r="E5182" s="115">
        <f>IFERROR(__xludf.DUMMYFUNCTION("""COMPUTED_VALUE"""),1783.0)</f>
        <v>1783</v>
      </c>
      <c r="F5182" s="115">
        <f>IFERROR(__xludf.DUMMYFUNCTION("""COMPUTED_VALUE"""),4439.0)</f>
        <v>4439</v>
      </c>
      <c r="G5182" s="115">
        <f>IFERROR(__xludf.DUMMYFUNCTION("""COMPUTED_VALUE"""),100.0)</f>
        <v>100</v>
      </c>
      <c r="H5182" s="116">
        <f>IFERROR(__xludf.DUMMYFUNCTION("""COMPUTED_VALUE"""),45910.0)</f>
        <v>45910</v>
      </c>
      <c r="I5182" s="115" t="str">
        <f>IFERROR(__xludf.DUMMYFUNCTION("""COMPUTED_VALUE"""),"13")</f>
        <v>13</v>
      </c>
      <c r="J5182" s="115" t="str">
        <f>IFERROR(__xludf.DUMMYFUNCTION("""COMPUTED_VALUE"""),"Girish Chand2025-09-1013")</f>
        <v>Girish Chand2025-09-1013</v>
      </c>
      <c r="K5182" s="115">
        <f>IFERROR(__xludf.DUMMYFUNCTION("""COMPUTED_VALUE"""),24299.0)</f>
        <v>24299</v>
      </c>
    </row>
    <row r="5183">
      <c r="A5183" s="115" t="str">
        <f>IFERROR(__xludf.DUMMYFUNCTION("""COMPUTED_VALUE"""),"EAST")</f>
        <v>EAST</v>
      </c>
      <c r="B5183" s="115" t="str">
        <f>IFERROR(__xludf.DUMMYFUNCTION("""COMPUTED_VALUE"""),"Girish Chand")</f>
        <v>Girish Chand</v>
      </c>
      <c r="C5183" s="115" t="str">
        <f>IFERROR(__xludf.DUMMYFUNCTION("""COMPUTED_VALUE"""),"FLIPKART")</f>
        <v>FLIPKART</v>
      </c>
      <c r="D5183" s="115">
        <f>IFERROR(__xludf.DUMMYFUNCTION("""COMPUTED_VALUE"""),416187.0)</f>
        <v>416187</v>
      </c>
      <c r="E5183" s="115">
        <f>IFERROR(__xludf.DUMMYFUNCTION("""COMPUTED_VALUE"""),35804.0)</f>
        <v>35804</v>
      </c>
      <c r="F5183" s="115">
        <f>IFERROR(__xludf.DUMMYFUNCTION("""COMPUTED_VALUE"""),149615.0)</f>
        <v>149615</v>
      </c>
      <c r="G5183" s="115">
        <f>IFERROR(__xludf.DUMMYFUNCTION("""COMPUTED_VALUE"""),3753.0)</f>
        <v>3753</v>
      </c>
      <c r="H5183" s="116">
        <f>IFERROR(__xludf.DUMMYFUNCTION("""COMPUTED_VALUE"""),45910.0)</f>
        <v>45910</v>
      </c>
      <c r="I5183" s="115" t="str">
        <f>IFERROR(__xludf.DUMMYFUNCTION("""COMPUTED_VALUE"""),"13")</f>
        <v>13</v>
      </c>
      <c r="J5183" s="115" t="str">
        <f>IFERROR(__xludf.DUMMYFUNCTION("""COMPUTED_VALUE"""),"Girish Chand2025-09-1013")</f>
        <v>Girish Chand2025-09-1013</v>
      </c>
      <c r="K5183" s="115">
        <f>IFERROR(__xludf.DUMMYFUNCTION("""COMPUTED_VALUE"""),451991.0)</f>
        <v>451991</v>
      </c>
    </row>
    <row r="5184">
      <c r="A5184" s="115" t="str">
        <f>IFERROR(__xludf.DUMMYFUNCTION("""COMPUTED_VALUE"""),"EAST")</f>
        <v>EAST</v>
      </c>
      <c r="B5184" s="115" t="str">
        <f>IFERROR(__xludf.DUMMYFUNCTION("""COMPUTED_VALUE"""),"Girish Chand")</f>
        <v>Girish Chand</v>
      </c>
      <c r="C5184" s="115" t="str">
        <f>IFERROR(__xludf.DUMMYFUNCTION("""COMPUTED_VALUE"""),"MYNTRA")</f>
        <v>MYNTRA</v>
      </c>
      <c r="D5184" s="115">
        <f>IFERROR(__xludf.DUMMYFUNCTION("""COMPUTED_VALUE"""),35748.0)</f>
        <v>35748</v>
      </c>
      <c r="E5184" s="115">
        <f>IFERROR(__xludf.DUMMYFUNCTION("""COMPUTED_VALUE"""),7523.0)</f>
        <v>7523</v>
      </c>
      <c r="F5184" s="115">
        <f>IFERROR(__xludf.DUMMYFUNCTION("""COMPUTED_VALUE"""),13659.0)</f>
        <v>13659</v>
      </c>
      <c r="G5184" s="115">
        <f>IFERROR(__xludf.DUMMYFUNCTION("""COMPUTED_VALUE"""),944.0)</f>
        <v>944</v>
      </c>
      <c r="H5184" s="116">
        <f>IFERROR(__xludf.DUMMYFUNCTION("""COMPUTED_VALUE"""),45910.0)</f>
        <v>45910</v>
      </c>
      <c r="I5184" s="115" t="str">
        <f>IFERROR(__xludf.DUMMYFUNCTION("""COMPUTED_VALUE"""),"13")</f>
        <v>13</v>
      </c>
      <c r="J5184" s="115" t="str">
        <f>IFERROR(__xludf.DUMMYFUNCTION("""COMPUTED_VALUE"""),"Girish Chand2025-09-1013")</f>
        <v>Girish Chand2025-09-1013</v>
      </c>
      <c r="K5184" s="115">
        <f>IFERROR(__xludf.DUMMYFUNCTION("""COMPUTED_VALUE"""),43271.0)</f>
        <v>43271</v>
      </c>
    </row>
    <row r="5185">
      <c r="A5185" s="115" t="str">
        <f>IFERROR(__xludf.DUMMYFUNCTION("""COMPUTED_VALUE"""),"EAST")</f>
        <v>EAST</v>
      </c>
      <c r="B5185" s="115" t="str">
        <f>IFERROR(__xludf.DUMMYFUNCTION("""COMPUTED_VALUE"""),"Parag Kashyap")</f>
        <v>Parag Kashyap</v>
      </c>
      <c r="C5185" s="115" t="str">
        <f>IFERROR(__xludf.DUMMYFUNCTION("""COMPUTED_VALUE"""),"EXTERNAL")</f>
        <v>EXTERNAL</v>
      </c>
      <c r="D5185" s="115">
        <f>IFERROR(__xludf.DUMMYFUNCTION("""COMPUTED_VALUE"""),15937.0)</f>
        <v>15937</v>
      </c>
      <c r="E5185" s="115">
        <f>IFERROR(__xludf.DUMMYFUNCTION("""COMPUTED_VALUE"""),926.0)</f>
        <v>926</v>
      </c>
      <c r="F5185" s="115">
        <f>IFERROR(__xludf.DUMMYFUNCTION("""COMPUTED_VALUE"""),2657.0)</f>
        <v>2657</v>
      </c>
      <c r="G5185" s="115">
        <f>IFERROR(__xludf.DUMMYFUNCTION("""COMPUTED_VALUE"""),28.0)</f>
        <v>28</v>
      </c>
      <c r="H5185" s="116">
        <f>IFERROR(__xludf.DUMMYFUNCTION("""COMPUTED_VALUE"""),45910.0)</f>
        <v>45910</v>
      </c>
      <c r="I5185" s="115" t="str">
        <f>IFERROR(__xludf.DUMMYFUNCTION("""COMPUTED_VALUE"""),"13")</f>
        <v>13</v>
      </c>
      <c r="J5185" s="115" t="str">
        <f>IFERROR(__xludf.DUMMYFUNCTION("""COMPUTED_VALUE"""),"Parag Kashyap2025-09-1013")</f>
        <v>Parag Kashyap2025-09-1013</v>
      </c>
      <c r="K5185" s="115">
        <f>IFERROR(__xludf.DUMMYFUNCTION("""COMPUTED_VALUE"""),16863.0)</f>
        <v>16863</v>
      </c>
    </row>
    <row r="5186">
      <c r="A5186" s="115" t="str">
        <f>IFERROR(__xludf.DUMMYFUNCTION("""COMPUTED_VALUE"""),"EAST")</f>
        <v>EAST</v>
      </c>
      <c r="B5186" s="115" t="str">
        <f>IFERROR(__xludf.DUMMYFUNCTION("""COMPUTED_VALUE"""),"Parag Kashyap")</f>
        <v>Parag Kashyap</v>
      </c>
      <c r="C5186" s="115" t="str">
        <f>IFERROR(__xludf.DUMMYFUNCTION("""COMPUTED_VALUE"""),"FLIPKART")</f>
        <v>FLIPKART</v>
      </c>
      <c r="D5186" s="115">
        <f>IFERROR(__xludf.DUMMYFUNCTION("""COMPUTED_VALUE"""),290061.0)</f>
        <v>290061</v>
      </c>
      <c r="E5186" s="115">
        <f>IFERROR(__xludf.DUMMYFUNCTION("""COMPUTED_VALUE"""),17661.0)</f>
        <v>17661</v>
      </c>
      <c r="F5186" s="115">
        <f>IFERROR(__xludf.DUMMYFUNCTION("""COMPUTED_VALUE"""),86806.0)</f>
        <v>86806</v>
      </c>
      <c r="G5186" s="115">
        <f>IFERROR(__xludf.DUMMYFUNCTION("""COMPUTED_VALUE"""),1127.0)</f>
        <v>1127</v>
      </c>
      <c r="H5186" s="116">
        <f>IFERROR(__xludf.DUMMYFUNCTION("""COMPUTED_VALUE"""),45910.0)</f>
        <v>45910</v>
      </c>
      <c r="I5186" s="115" t="str">
        <f>IFERROR(__xludf.DUMMYFUNCTION("""COMPUTED_VALUE"""),"13")</f>
        <v>13</v>
      </c>
      <c r="J5186" s="115" t="str">
        <f>IFERROR(__xludf.DUMMYFUNCTION("""COMPUTED_VALUE"""),"Parag Kashyap2025-09-1013")</f>
        <v>Parag Kashyap2025-09-1013</v>
      </c>
      <c r="K5186" s="115">
        <f>IFERROR(__xludf.DUMMYFUNCTION("""COMPUTED_VALUE"""),307722.0)</f>
        <v>307722</v>
      </c>
    </row>
    <row r="5187">
      <c r="A5187" s="115" t="str">
        <f>IFERROR(__xludf.DUMMYFUNCTION("""COMPUTED_VALUE"""),"EAST")</f>
        <v>EAST</v>
      </c>
      <c r="B5187" s="115" t="str">
        <f>IFERROR(__xludf.DUMMYFUNCTION("""COMPUTED_VALUE"""),"Parag Kashyap")</f>
        <v>Parag Kashyap</v>
      </c>
      <c r="C5187" s="115" t="str">
        <f>IFERROR(__xludf.DUMMYFUNCTION("""COMPUTED_VALUE"""),"MYNTRA")</f>
        <v>MYNTRA</v>
      </c>
      <c r="D5187" s="115">
        <f>IFERROR(__xludf.DUMMYFUNCTION("""COMPUTED_VALUE"""),36987.0)</f>
        <v>36987</v>
      </c>
      <c r="E5187" s="115">
        <f>IFERROR(__xludf.DUMMYFUNCTION("""COMPUTED_VALUE"""),5149.0)</f>
        <v>5149</v>
      </c>
      <c r="F5187" s="115">
        <f>IFERROR(__xludf.DUMMYFUNCTION("""COMPUTED_VALUE"""),12042.0)</f>
        <v>12042</v>
      </c>
      <c r="G5187" s="115">
        <f>IFERROR(__xludf.DUMMYFUNCTION("""COMPUTED_VALUE"""),320.0)</f>
        <v>320</v>
      </c>
      <c r="H5187" s="116">
        <f>IFERROR(__xludf.DUMMYFUNCTION("""COMPUTED_VALUE"""),45910.0)</f>
        <v>45910</v>
      </c>
      <c r="I5187" s="115" t="str">
        <f>IFERROR(__xludf.DUMMYFUNCTION("""COMPUTED_VALUE"""),"13")</f>
        <v>13</v>
      </c>
      <c r="J5187" s="115" t="str">
        <f>IFERROR(__xludf.DUMMYFUNCTION("""COMPUTED_VALUE"""),"Parag Kashyap2025-09-1013")</f>
        <v>Parag Kashyap2025-09-1013</v>
      </c>
      <c r="K5187" s="115">
        <f>IFERROR(__xludf.DUMMYFUNCTION("""COMPUTED_VALUE"""),42136.0)</f>
        <v>42136</v>
      </c>
    </row>
    <row r="5188">
      <c r="A5188" s="115" t="str">
        <f>IFERROR(__xludf.DUMMYFUNCTION("""COMPUTED_VALUE"""),"NORTH")</f>
        <v>NORTH</v>
      </c>
      <c r="B5188" s="115" t="str">
        <f>IFERROR(__xludf.DUMMYFUNCTION("""COMPUTED_VALUE"""),"Amit Kumar Pathak")</f>
        <v>Amit Kumar Pathak</v>
      </c>
      <c r="C5188" s="115" t="str">
        <f>IFERROR(__xludf.DUMMYFUNCTION("""COMPUTED_VALUE"""),"EXTERNAL")</f>
        <v>EXTERNAL</v>
      </c>
      <c r="D5188" s="115">
        <f>IFERROR(__xludf.DUMMYFUNCTION("""COMPUTED_VALUE"""),17949.0)</f>
        <v>17949</v>
      </c>
      <c r="E5188" s="115">
        <f>IFERROR(__xludf.DUMMYFUNCTION("""COMPUTED_VALUE"""),3846.0)</f>
        <v>3846</v>
      </c>
      <c r="F5188" s="115">
        <f>IFERROR(__xludf.DUMMYFUNCTION("""COMPUTED_VALUE"""),3265.0)</f>
        <v>3265</v>
      </c>
      <c r="G5188" s="115">
        <f>IFERROR(__xludf.DUMMYFUNCTION("""COMPUTED_VALUE"""),641.0)</f>
        <v>641</v>
      </c>
      <c r="H5188" s="116">
        <f>IFERROR(__xludf.DUMMYFUNCTION("""COMPUTED_VALUE"""),45910.0)</f>
        <v>45910</v>
      </c>
      <c r="I5188" s="115" t="str">
        <f>IFERROR(__xludf.DUMMYFUNCTION("""COMPUTED_VALUE"""),"13")</f>
        <v>13</v>
      </c>
      <c r="J5188" s="115" t="str">
        <f>IFERROR(__xludf.DUMMYFUNCTION("""COMPUTED_VALUE"""),"Amit Kumar Pathak2025-09-1013")</f>
        <v>Amit Kumar Pathak2025-09-1013</v>
      </c>
      <c r="K5188" s="115">
        <f>IFERROR(__xludf.DUMMYFUNCTION("""COMPUTED_VALUE"""),21795.0)</f>
        <v>21795</v>
      </c>
    </row>
    <row r="5189">
      <c r="A5189" s="115" t="str">
        <f>IFERROR(__xludf.DUMMYFUNCTION("""COMPUTED_VALUE"""),"NORTH")</f>
        <v>NORTH</v>
      </c>
      <c r="B5189" s="115" t="str">
        <f>IFERROR(__xludf.DUMMYFUNCTION("""COMPUTED_VALUE"""),"Amit Kumar Pathak")</f>
        <v>Amit Kumar Pathak</v>
      </c>
      <c r="C5189" s="115" t="str">
        <f>IFERROR(__xludf.DUMMYFUNCTION("""COMPUTED_VALUE"""),"FLIPKART")</f>
        <v>FLIPKART</v>
      </c>
      <c r="D5189" s="115">
        <f>IFERROR(__xludf.DUMMYFUNCTION("""COMPUTED_VALUE"""),143745.0)</f>
        <v>143745</v>
      </c>
      <c r="E5189" s="115">
        <f>IFERROR(__xludf.DUMMYFUNCTION("""COMPUTED_VALUE"""),21008.0)</f>
        <v>21008</v>
      </c>
      <c r="F5189" s="115">
        <f>IFERROR(__xludf.DUMMYFUNCTION("""COMPUTED_VALUE"""),57074.0)</f>
        <v>57074</v>
      </c>
      <c r="G5189" s="115">
        <f>IFERROR(__xludf.DUMMYFUNCTION("""COMPUTED_VALUE"""),5023.0)</f>
        <v>5023</v>
      </c>
      <c r="H5189" s="116">
        <f>IFERROR(__xludf.DUMMYFUNCTION("""COMPUTED_VALUE"""),45910.0)</f>
        <v>45910</v>
      </c>
      <c r="I5189" s="115" t="str">
        <f>IFERROR(__xludf.DUMMYFUNCTION("""COMPUTED_VALUE"""),"13")</f>
        <v>13</v>
      </c>
      <c r="J5189" s="115" t="str">
        <f>IFERROR(__xludf.DUMMYFUNCTION("""COMPUTED_VALUE"""),"Amit Kumar Pathak2025-09-1013")</f>
        <v>Amit Kumar Pathak2025-09-1013</v>
      </c>
      <c r="K5189" s="115">
        <f>IFERROR(__xludf.DUMMYFUNCTION("""COMPUTED_VALUE"""),164753.0)</f>
        <v>164753</v>
      </c>
    </row>
    <row r="5190">
      <c r="A5190" s="115" t="str">
        <f>IFERROR(__xludf.DUMMYFUNCTION("""COMPUTED_VALUE"""),"NORTH")</f>
        <v>NORTH</v>
      </c>
      <c r="B5190" s="115" t="str">
        <f>IFERROR(__xludf.DUMMYFUNCTION("""COMPUTED_VALUE"""),"Amit Kumar Pathak")</f>
        <v>Amit Kumar Pathak</v>
      </c>
      <c r="C5190" s="115" t="str">
        <f>IFERROR(__xludf.DUMMYFUNCTION("""COMPUTED_VALUE"""),"MYNTRA")</f>
        <v>MYNTRA</v>
      </c>
      <c r="D5190" s="115">
        <f>IFERROR(__xludf.DUMMYFUNCTION("""COMPUTED_VALUE"""),11608.0)</f>
        <v>11608</v>
      </c>
      <c r="E5190" s="115">
        <f>IFERROR(__xludf.DUMMYFUNCTION("""COMPUTED_VALUE"""),5432.0)</f>
        <v>5432</v>
      </c>
      <c r="F5190" s="115">
        <f>IFERROR(__xludf.DUMMYFUNCTION("""COMPUTED_VALUE"""),5788.0)</f>
        <v>5788</v>
      </c>
      <c r="G5190" s="115">
        <f>IFERROR(__xludf.DUMMYFUNCTION("""COMPUTED_VALUE"""),1523.0)</f>
        <v>1523</v>
      </c>
      <c r="H5190" s="116">
        <f>IFERROR(__xludf.DUMMYFUNCTION("""COMPUTED_VALUE"""),45910.0)</f>
        <v>45910</v>
      </c>
      <c r="I5190" s="115" t="str">
        <f>IFERROR(__xludf.DUMMYFUNCTION("""COMPUTED_VALUE"""),"13")</f>
        <v>13</v>
      </c>
      <c r="J5190" s="115" t="str">
        <f>IFERROR(__xludf.DUMMYFUNCTION("""COMPUTED_VALUE"""),"Amit Kumar Pathak2025-09-1013")</f>
        <v>Amit Kumar Pathak2025-09-1013</v>
      </c>
      <c r="K5190" s="115">
        <f>IFERROR(__xludf.DUMMYFUNCTION("""COMPUTED_VALUE"""),17040.0)</f>
        <v>17040</v>
      </c>
    </row>
    <row r="5191">
      <c r="A5191" s="115" t="str">
        <f>IFERROR(__xludf.DUMMYFUNCTION("""COMPUTED_VALUE"""),"NORTH")</f>
        <v>NORTH</v>
      </c>
      <c r="B5191" s="115" t="str">
        <f>IFERROR(__xludf.DUMMYFUNCTION("""COMPUTED_VALUE"""),"Loveleen Singh")</f>
        <v>Loveleen Singh</v>
      </c>
      <c r="C5191" s="115" t="str">
        <f>IFERROR(__xludf.DUMMYFUNCTION("""COMPUTED_VALUE"""),"EXTERNAL")</f>
        <v>EXTERNAL</v>
      </c>
      <c r="D5191" s="115">
        <f>IFERROR(__xludf.DUMMYFUNCTION("""COMPUTED_VALUE"""),29460.0)</f>
        <v>29460</v>
      </c>
      <c r="E5191" s="115">
        <f>IFERROR(__xludf.DUMMYFUNCTION("""COMPUTED_VALUE"""),2502.0)</f>
        <v>2502</v>
      </c>
      <c r="F5191" s="115">
        <f>IFERROR(__xludf.DUMMYFUNCTION("""COMPUTED_VALUE"""),5663.0)</f>
        <v>5663</v>
      </c>
      <c r="G5191" s="115">
        <f>IFERROR(__xludf.DUMMYFUNCTION("""COMPUTED_VALUE"""),185.0)</f>
        <v>185</v>
      </c>
      <c r="H5191" s="116">
        <f>IFERROR(__xludf.DUMMYFUNCTION("""COMPUTED_VALUE"""),45910.0)</f>
        <v>45910</v>
      </c>
      <c r="I5191" s="115" t="str">
        <f>IFERROR(__xludf.DUMMYFUNCTION("""COMPUTED_VALUE"""),"13")</f>
        <v>13</v>
      </c>
      <c r="J5191" s="115" t="str">
        <f>IFERROR(__xludf.DUMMYFUNCTION("""COMPUTED_VALUE"""),"Loveleen Singh2025-09-1013")</f>
        <v>Loveleen Singh2025-09-1013</v>
      </c>
      <c r="K5191" s="115">
        <f>IFERROR(__xludf.DUMMYFUNCTION("""COMPUTED_VALUE"""),31962.0)</f>
        <v>31962</v>
      </c>
    </row>
    <row r="5192">
      <c r="A5192" s="115" t="str">
        <f>IFERROR(__xludf.DUMMYFUNCTION("""COMPUTED_VALUE"""),"NORTH")</f>
        <v>NORTH</v>
      </c>
      <c r="B5192" s="115" t="str">
        <f>IFERROR(__xludf.DUMMYFUNCTION("""COMPUTED_VALUE"""),"Loveleen Singh")</f>
        <v>Loveleen Singh</v>
      </c>
      <c r="C5192" s="115" t="str">
        <f>IFERROR(__xludf.DUMMYFUNCTION("""COMPUTED_VALUE"""),"FLIPKART")</f>
        <v>FLIPKART</v>
      </c>
      <c r="D5192" s="115">
        <f>IFERROR(__xludf.DUMMYFUNCTION("""COMPUTED_VALUE"""),169739.0)</f>
        <v>169739</v>
      </c>
      <c r="E5192" s="115">
        <f>IFERROR(__xludf.DUMMYFUNCTION("""COMPUTED_VALUE"""),13704.0)</f>
        <v>13704</v>
      </c>
      <c r="F5192" s="115">
        <f>IFERROR(__xludf.DUMMYFUNCTION("""COMPUTED_VALUE"""),62119.0)</f>
        <v>62119</v>
      </c>
      <c r="G5192" s="115">
        <f>IFERROR(__xludf.DUMMYFUNCTION("""COMPUTED_VALUE"""),1918.0)</f>
        <v>1918</v>
      </c>
      <c r="H5192" s="116">
        <f>IFERROR(__xludf.DUMMYFUNCTION("""COMPUTED_VALUE"""),45910.0)</f>
        <v>45910</v>
      </c>
      <c r="I5192" s="115" t="str">
        <f>IFERROR(__xludf.DUMMYFUNCTION("""COMPUTED_VALUE"""),"13")</f>
        <v>13</v>
      </c>
      <c r="J5192" s="115" t="str">
        <f>IFERROR(__xludf.DUMMYFUNCTION("""COMPUTED_VALUE"""),"Loveleen Singh2025-09-1013")</f>
        <v>Loveleen Singh2025-09-1013</v>
      </c>
      <c r="K5192" s="115">
        <f>IFERROR(__xludf.DUMMYFUNCTION("""COMPUTED_VALUE"""),183443.0)</f>
        <v>183443</v>
      </c>
    </row>
    <row r="5193">
      <c r="A5193" s="115" t="str">
        <f>IFERROR(__xludf.DUMMYFUNCTION("""COMPUTED_VALUE"""),"NORTH")</f>
        <v>NORTH</v>
      </c>
      <c r="B5193" s="115" t="str">
        <f>IFERROR(__xludf.DUMMYFUNCTION("""COMPUTED_VALUE"""),"Loveleen Singh")</f>
        <v>Loveleen Singh</v>
      </c>
      <c r="C5193" s="115" t="str">
        <f>IFERROR(__xludf.DUMMYFUNCTION("""COMPUTED_VALUE"""),"MYNTRA")</f>
        <v>MYNTRA</v>
      </c>
      <c r="D5193" s="115">
        <f>IFERROR(__xludf.DUMMYFUNCTION("""COMPUTED_VALUE"""),28434.0)</f>
        <v>28434</v>
      </c>
      <c r="E5193" s="115">
        <f>IFERROR(__xludf.DUMMYFUNCTION("""COMPUTED_VALUE"""),6634.0)</f>
        <v>6634</v>
      </c>
      <c r="F5193" s="115">
        <f>IFERROR(__xludf.DUMMYFUNCTION("""COMPUTED_VALUE"""),12219.0)</f>
        <v>12219</v>
      </c>
      <c r="G5193" s="115">
        <f>IFERROR(__xludf.DUMMYFUNCTION("""COMPUTED_VALUE"""),1146.0)</f>
        <v>1146</v>
      </c>
      <c r="H5193" s="116">
        <f>IFERROR(__xludf.DUMMYFUNCTION("""COMPUTED_VALUE"""),45910.0)</f>
        <v>45910</v>
      </c>
      <c r="I5193" s="115" t="str">
        <f>IFERROR(__xludf.DUMMYFUNCTION("""COMPUTED_VALUE"""),"13")</f>
        <v>13</v>
      </c>
      <c r="J5193" s="115" t="str">
        <f>IFERROR(__xludf.DUMMYFUNCTION("""COMPUTED_VALUE"""),"Loveleen Singh2025-09-1013")</f>
        <v>Loveleen Singh2025-09-1013</v>
      </c>
      <c r="K5193" s="115">
        <f>IFERROR(__xludf.DUMMYFUNCTION("""COMPUTED_VALUE"""),35068.0)</f>
        <v>35068</v>
      </c>
    </row>
    <row r="5194">
      <c r="A5194" s="115" t="str">
        <f>IFERROR(__xludf.DUMMYFUNCTION("""COMPUTED_VALUE"""),"NORTH")</f>
        <v>NORTH</v>
      </c>
      <c r="B5194" s="115" t="str">
        <f>IFERROR(__xludf.DUMMYFUNCTION("""COMPUTED_VALUE"""),"Manoj Harsh")</f>
        <v>Manoj Harsh</v>
      </c>
      <c r="C5194" s="115" t="str">
        <f>IFERROR(__xludf.DUMMYFUNCTION("""COMPUTED_VALUE"""),"EXTERNAL")</f>
        <v>EXTERNAL</v>
      </c>
      <c r="D5194" s="115">
        <f>IFERROR(__xludf.DUMMYFUNCTION("""COMPUTED_VALUE"""),28748.0)</f>
        <v>28748</v>
      </c>
      <c r="E5194" s="115">
        <f>IFERROR(__xludf.DUMMYFUNCTION("""COMPUTED_VALUE"""),3197.0)</f>
        <v>3197</v>
      </c>
      <c r="F5194" s="115">
        <f>IFERROR(__xludf.DUMMYFUNCTION("""COMPUTED_VALUE"""),5912.0)</f>
        <v>5912</v>
      </c>
      <c r="G5194" s="115">
        <f>IFERROR(__xludf.DUMMYFUNCTION("""COMPUTED_VALUE"""),209.0)</f>
        <v>209</v>
      </c>
      <c r="H5194" s="116">
        <f>IFERROR(__xludf.DUMMYFUNCTION("""COMPUTED_VALUE"""),45910.0)</f>
        <v>45910</v>
      </c>
      <c r="I5194" s="115" t="str">
        <f>IFERROR(__xludf.DUMMYFUNCTION("""COMPUTED_VALUE"""),"13")</f>
        <v>13</v>
      </c>
      <c r="J5194" s="115" t="str">
        <f>IFERROR(__xludf.DUMMYFUNCTION("""COMPUTED_VALUE"""),"Manoj Harsh2025-09-1013")</f>
        <v>Manoj Harsh2025-09-1013</v>
      </c>
      <c r="K5194" s="115">
        <f>IFERROR(__xludf.DUMMYFUNCTION("""COMPUTED_VALUE"""),31945.0)</f>
        <v>31945</v>
      </c>
    </row>
    <row r="5195">
      <c r="A5195" s="115" t="str">
        <f>IFERROR(__xludf.DUMMYFUNCTION("""COMPUTED_VALUE"""),"NORTH")</f>
        <v>NORTH</v>
      </c>
      <c r="B5195" s="115" t="str">
        <f>IFERROR(__xludf.DUMMYFUNCTION("""COMPUTED_VALUE"""),"Manoj Harsh")</f>
        <v>Manoj Harsh</v>
      </c>
      <c r="C5195" s="115" t="str">
        <f>IFERROR(__xludf.DUMMYFUNCTION("""COMPUTED_VALUE"""),"FLIPKART")</f>
        <v>FLIPKART</v>
      </c>
      <c r="D5195" s="115">
        <f>IFERROR(__xludf.DUMMYFUNCTION("""COMPUTED_VALUE"""),353206.0)</f>
        <v>353206</v>
      </c>
      <c r="E5195" s="115">
        <f>IFERROR(__xludf.DUMMYFUNCTION("""COMPUTED_VALUE"""),35507.0)</f>
        <v>35507</v>
      </c>
      <c r="F5195" s="115">
        <f>IFERROR(__xludf.DUMMYFUNCTION("""COMPUTED_VALUE"""),127923.0)</f>
        <v>127923</v>
      </c>
      <c r="G5195" s="115">
        <f>IFERROR(__xludf.DUMMYFUNCTION("""COMPUTED_VALUE"""),4506.0)</f>
        <v>4506</v>
      </c>
      <c r="H5195" s="116">
        <f>IFERROR(__xludf.DUMMYFUNCTION("""COMPUTED_VALUE"""),45910.0)</f>
        <v>45910</v>
      </c>
      <c r="I5195" s="115" t="str">
        <f>IFERROR(__xludf.DUMMYFUNCTION("""COMPUTED_VALUE"""),"13")</f>
        <v>13</v>
      </c>
      <c r="J5195" s="115" t="str">
        <f>IFERROR(__xludf.DUMMYFUNCTION("""COMPUTED_VALUE"""),"Manoj Harsh2025-09-1013")</f>
        <v>Manoj Harsh2025-09-1013</v>
      </c>
      <c r="K5195" s="115">
        <f>IFERROR(__xludf.DUMMYFUNCTION("""COMPUTED_VALUE"""),388713.0)</f>
        <v>388713</v>
      </c>
    </row>
    <row r="5196">
      <c r="A5196" s="115" t="str">
        <f>IFERROR(__xludf.DUMMYFUNCTION("""COMPUTED_VALUE"""),"NORTH")</f>
        <v>NORTH</v>
      </c>
      <c r="B5196" s="115" t="str">
        <f>IFERROR(__xludf.DUMMYFUNCTION("""COMPUTED_VALUE"""),"Manoj Harsh")</f>
        <v>Manoj Harsh</v>
      </c>
      <c r="C5196" s="115" t="str">
        <f>IFERROR(__xludf.DUMMYFUNCTION("""COMPUTED_VALUE"""),"MYNTRA")</f>
        <v>MYNTRA</v>
      </c>
      <c r="D5196" s="115">
        <f>IFERROR(__xludf.DUMMYFUNCTION("""COMPUTED_VALUE"""),30877.0)</f>
        <v>30877</v>
      </c>
      <c r="E5196" s="115">
        <f>IFERROR(__xludf.DUMMYFUNCTION("""COMPUTED_VALUE"""),7272.0)</f>
        <v>7272</v>
      </c>
      <c r="F5196" s="115">
        <f>IFERROR(__xludf.DUMMYFUNCTION("""COMPUTED_VALUE"""),13193.0)</f>
        <v>13193</v>
      </c>
      <c r="G5196" s="115">
        <f>IFERROR(__xludf.DUMMYFUNCTION("""COMPUTED_VALUE"""),1076.0)</f>
        <v>1076</v>
      </c>
      <c r="H5196" s="116">
        <f>IFERROR(__xludf.DUMMYFUNCTION("""COMPUTED_VALUE"""),45910.0)</f>
        <v>45910</v>
      </c>
      <c r="I5196" s="115" t="str">
        <f>IFERROR(__xludf.DUMMYFUNCTION("""COMPUTED_VALUE"""),"13")</f>
        <v>13</v>
      </c>
      <c r="J5196" s="115" t="str">
        <f>IFERROR(__xludf.DUMMYFUNCTION("""COMPUTED_VALUE"""),"Manoj Harsh2025-09-1013")</f>
        <v>Manoj Harsh2025-09-1013</v>
      </c>
      <c r="K5196" s="115">
        <f>IFERROR(__xludf.DUMMYFUNCTION("""COMPUTED_VALUE"""),38149.0)</f>
        <v>38149</v>
      </c>
    </row>
    <row r="5197">
      <c r="A5197" s="115" t="str">
        <f>IFERROR(__xludf.DUMMYFUNCTION("""COMPUTED_VALUE"""),"NORTH")</f>
        <v>NORTH</v>
      </c>
      <c r="B5197" s="115" t="str">
        <f>IFERROR(__xludf.DUMMYFUNCTION("""COMPUTED_VALUE"""),"Pradeep Kothari")</f>
        <v>Pradeep Kothari</v>
      </c>
      <c r="C5197" s="115" t="str">
        <f>IFERROR(__xludf.DUMMYFUNCTION("""COMPUTED_VALUE"""),"EXTERNAL")</f>
        <v>EXTERNAL</v>
      </c>
      <c r="D5197" s="115">
        <f>IFERROR(__xludf.DUMMYFUNCTION("""COMPUTED_VALUE"""),17094.0)</f>
        <v>17094</v>
      </c>
      <c r="E5197" s="115">
        <f>IFERROR(__xludf.DUMMYFUNCTION("""COMPUTED_VALUE"""),2291.0)</f>
        <v>2291</v>
      </c>
      <c r="F5197" s="115">
        <f>IFERROR(__xludf.DUMMYFUNCTION("""COMPUTED_VALUE"""),3930.0)</f>
        <v>3930</v>
      </c>
      <c r="G5197" s="115">
        <f>IFERROR(__xludf.DUMMYFUNCTION("""COMPUTED_VALUE"""),254.0)</f>
        <v>254</v>
      </c>
      <c r="H5197" s="116">
        <f>IFERROR(__xludf.DUMMYFUNCTION("""COMPUTED_VALUE"""),45910.0)</f>
        <v>45910</v>
      </c>
      <c r="I5197" s="115" t="str">
        <f>IFERROR(__xludf.DUMMYFUNCTION("""COMPUTED_VALUE"""),"13")</f>
        <v>13</v>
      </c>
      <c r="J5197" s="115" t="str">
        <f>IFERROR(__xludf.DUMMYFUNCTION("""COMPUTED_VALUE"""),"Pradeep Kothari2025-09-1013")</f>
        <v>Pradeep Kothari2025-09-1013</v>
      </c>
      <c r="K5197" s="115">
        <f>IFERROR(__xludf.DUMMYFUNCTION("""COMPUTED_VALUE"""),19385.0)</f>
        <v>19385</v>
      </c>
    </row>
    <row r="5198">
      <c r="A5198" s="115" t="str">
        <f>IFERROR(__xludf.DUMMYFUNCTION("""COMPUTED_VALUE"""),"NORTH")</f>
        <v>NORTH</v>
      </c>
      <c r="B5198" s="115" t="str">
        <f>IFERROR(__xludf.DUMMYFUNCTION("""COMPUTED_VALUE"""),"Pradeep Kothari")</f>
        <v>Pradeep Kothari</v>
      </c>
      <c r="C5198" s="115" t="str">
        <f>IFERROR(__xludf.DUMMYFUNCTION("""COMPUTED_VALUE"""),"FLIPKART")</f>
        <v>FLIPKART</v>
      </c>
      <c r="D5198" s="115">
        <f>IFERROR(__xludf.DUMMYFUNCTION("""COMPUTED_VALUE"""),140078.0)</f>
        <v>140078</v>
      </c>
      <c r="E5198" s="115">
        <f>IFERROR(__xludf.DUMMYFUNCTION("""COMPUTED_VALUE"""),15782.0)</f>
        <v>15782</v>
      </c>
      <c r="F5198" s="115">
        <f>IFERROR(__xludf.DUMMYFUNCTION("""COMPUTED_VALUE"""),62499.0)</f>
        <v>62499</v>
      </c>
      <c r="G5198" s="115">
        <f>IFERROR(__xludf.DUMMYFUNCTION("""COMPUTED_VALUE"""),2976.0)</f>
        <v>2976</v>
      </c>
      <c r="H5198" s="116">
        <f>IFERROR(__xludf.DUMMYFUNCTION("""COMPUTED_VALUE"""),45910.0)</f>
        <v>45910</v>
      </c>
      <c r="I5198" s="115" t="str">
        <f>IFERROR(__xludf.DUMMYFUNCTION("""COMPUTED_VALUE"""),"13")</f>
        <v>13</v>
      </c>
      <c r="J5198" s="115" t="str">
        <f>IFERROR(__xludf.DUMMYFUNCTION("""COMPUTED_VALUE"""),"Pradeep Kothari2025-09-1013")</f>
        <v>Pradeep Kothari2025-09-1013</v>
      </c>
      <c r="K5198" s="115">
        <f>IFERROR(__xludf.DUMMYFUNCTION("""COMPUTED_VALUE"""),155860.0)</f>
        <v>155860</v>
      </c>
    </row>
    <row r="5199">
      <c r="A5199" s="115" t="str">
        <f>IFERROR(__xludf.DUMMYFUNCTION("""COMPUTED_VALUE"""),"NORTH")</f>
        <v>NORTH</v>
      </c>
      <c r="B5199" s="115" t="str">
        <f>IFERROR(__xludf.DUMMYFUNCTION("""COMPUTED_VALUE"""),"Pradeep Kothari")</f>
        <v>Pradeep Kothari</v>
      </c>
      <c r="C5199" s="115" t="str">
        <f>IFERROR(__xludf.DUMMYFUNCTION("""COMPUTED_VALUE"""),"MYNTRA")</f>
        <v>MYNTRA</v>
      </c>
      <c r="D5199" s="115">
        <f>IFERROR(__xludf.DUMMYFUNCTION("""COMPUTED_VALUE"""),22370.0)</f>
        <v>22370</v>
      </c>
      <c r="E5199" s="115">
        <f>IFERROR(__xludf.DUMMYFUNCTION("""COMPUTED_VALUE"""),6772.0)</f>
        <v>6772</v>
      </c>
      <c r="F5199" s="115">
        <f>IFERROR(__xludf.DUMMYFUNCTION("""COMPUTED_VALUE"""),11996.0)</f>
        <v>11996</v>
      </c>
      <c r="G5199" s="115">
        <f>IFERROR(__xludf.DUMMYFUNCTION("""COMPUTED_VALUE"""),1628.0)</f>
        <v>1628</v>
      </c>
      <c r="H5199" s="116">
        <f>IFERROR(__xludf.DUMMYFUNCTION("""COMPUTED_VALUE"""),45910.0)</f>
        <v>45910</v>
      </c>
      <c r="I5199" s="115" t="str">
        <f>IFERROR(__xludf.DUMMYFUNCTION("""COMPUTED_VALUE"""),"13")</f>
        <v>13</v>
      </c>
      <c r="J5199" s="115" t="str">
        <f>IFERROR(__xludf.DUMMYFUNCTION("""COMPUTED_VALUE"""),"Pradeep Kothari2025-09-1013")</f>
        <v>Pradeep Kothari2025-09-1013</v>
      </c>
      <c r="K5199" s="115">
        <f>IFERROR(__xludf.DUMMYFUNCTION("""COMPUTED_VALUE"""),29142.0)</f>
        <v>29142</v>
      </c>
    </row>
    <row r="5200">
      <c r="A5200" s="115" t="str">
        <f>IFERROR(__xludf.DUMMYFUNCTION("""COMPUTED_VALUE"""),"SOUTH")</f>
        <v>SOUTH</v>
      </c>
      <c r="B5200" s="115" t="str">
        <f>IFERROR(__xludf.DUMMYFUNCTION("""COMPUTED_VALUE"""),"Kandula Sampath")</f>
        <v>Kandula Sampath</v>
      </c>
      <c r="C5200" s="115" t="str">
        <f>IFERROR(__xludf.DUMMYFUNCTION("""COMPUTED_VALUE"""),"EXTERNAL")</f>
        <v>EXTERNAL</v>
      </c>
      <c r="D5200" s="115">
        <f>IFERROR(__xludf.DUMMYFUNCTION("""COMPUTED_VALUE"""),29315.0)</f>
        <v>29315</v>
      </c>
      <c r="E5200" s="115">
        <f>IFERROR(__xludf.DUMMYFUNCTION("""COMPUTED_VALUE"""),4127.0)</f>
        <v>4127</v>
      </c>
      <c r="F5200" s="115">
        <f>IFERROR(__xludf.DUMMYFUNCTION("""COMPUTED_VALUE"""),7167.0)</f>
        <v>7167</v>
      </c>
      <c r="G5200" s="115">
        <f>IFERROR(__xludf.DUMMYFUNCTION("""COMPUTED_VALUE"""),379.0)</f>
        <v>379</v>
      </c>
      <c r="H5200" s="116">
        <f>IFERROR(__xludf.DUMMYFUNCTION("""COMPUTED_VALUE"""),45910.0)</f>
        <v>45910</v>
      </c>
      <c r="I5200" s="115" t="str">
        <f>IFERROR(__xludf.DUMMYFUNCTION("""COMPUTED_VALUE"""),"13")</f>
        <v>13</v>
      </c>
      <c r="J5200" s="115" t="str">
        <f>IFERROR(__xludf.DUMMYFUNCTION("""COMPUTED_VALUE"""),"Kandula Sampath2025-09-1013")</f>
        <v>Kandula Sampath2025-09-1013</v>
      </c>
      <c r="K5200" s="115">
        <f>IFERROR(__xludf.DUMMYFUNCTION("""COMPUTED_VALUE"""),33442.0)</f>
        <v>33442</v>
      </c>
    </row>
    <row r="5201">
      <c r="A5201" s="115" t="str">
        <f>IFERROR(__xludf.DUMMYFUNCTION("""COMPUTED_VALUE"""),"SOUTH")</f>
        <v>SOUTH</v>
      </c>
      <c r="B5201" s="115" t="str">
        <f>IFERROR(__xludf.DUMMYFUNCTION("""COMPUTED_VALUE"""),"Kandula Sampath")</f>
        <v>Kandula Sampath</v>
      </c>
      <c r="C5201" s="115" t="str">
        <f>IFERROR(__xludf.DUMMYFUNCTION("""COMPUTED_VALUE"""),"FLIPKART")</f>
        <v>FLIPKART</v>
      </c>
      <c r="D5201" s="115">
        <f>IFERROR(__xludf.DUMMYFUNCTION("""COMPUTED_VALUE"""),307172.0)</f>
        <v>307172</v>
      </c>
      <c r="E5201" s="115">
        <f>IFERROR(__xludf.DUMMYFUNCTION("""COMPUTED_VALUE"""),30093.0)</f>
        <v>30093</v>
      </c>
      <c r="F5201" s="115">
        <f>IFERROR(__xludf.DUMMYFUNCTION("""COMPUTED_VALUE"""),131492.0)</f>
        <v>131492</v>
      </c>
      <c r="G5201" s="115">
        <f>IFERROR(__xludf.DUMMYFUNCTION("""COMPUTED_VALUE"""),3947.0)</f>
        <v>3947</v>
      </c>
      <c r="H5201" s="116">
        <f>IFERROR(__xludf.DUMMYFUNCTION("""COMPUTED_VALUE"""),45910.0)</f>
        <v>45910</v>
      </c>
      <c r="I5201" s="115" t="str">
        <f>IFERROR(__xludf.DUMMYFUNCTION("""COMPUTED_VALUE"""),"13")</f>
        <v>13</v>
      </c>
      <c r="J5201" s="115" t="str">
        <f>IFERROR(__xludf.DUMMYFUNCTION("""COMPUTED_VALUE"""),"Kandula Sampath2025-09-1013")</f>
        <v>Kandula Sampath2025-09-1013</v>
      </c>
      <c r="K5201" s="115">
        <f>IFERROR(__xludf.DUMMYFUNCTION("""COMPUTED_VALUE"""),337265.0)</f>
        <v>337265</v>
      </c>
    </row>
    <row r="5202">
      <c r="A5202" s="115" t="str">
        <f>IFERROR(__xludf.DUMMYFUNCTION("""COMPUTED_VALUE"""),"SOUTH")</f>
        <v>SOUTH</v>
      </c>
      <c r="B5202" s="115" t="str">
        <f>IFERROR(__xludf.DUMMYFUNCTION("""COMPUTED_VALUE"""),"Kandula Sampath")</f>
        <v>Kandula Sampath</v>
      </c>
      <c r="C5202" s="115" t="str">
        <f>IFERROR(__xludf.DUMMYFUNCTION("""COMPUTED_VALUE"""),"MYNTRA")</f>
        <v>MYNTRA</v>
      </c>
      <c r="D5202" s="115">
        <f>IFERROR(__xludf.DUMMYFUNCTION("""COMPUTED_VALUE"""),34324.0)</f>
        <v>34324</v>
      </c>
      <c r="E5202" s="115">
        <f>IFERROR(__xludf.DUMMYFUNCTION("""COMPUTED_VALUE"""),9261.0)</f>
        <v>9261</v>
      </c>
      <c r="F5202" s="115">
        <f>IFERROR(__xludf.DUMMYFUNCTION("""COMPUTED_VALUE"""),16516.0)</f>
        <v>16516</v>
      </c>
      <c r="G5202" s="115">
        <f>IFERROR(__xludf.DUMMYFUNCTION("""COMPUTED_VALUE"""),1288.0)</f>
        <v>1288</v>
      </c>
      <c r="H5202" s="116">
        <f>IFERROR(__xludf.DUMMYFUNCTION("""COMPUTED_VALUE"""),45910.0)</f>
        <v>45910</v>
      </c>
      <c r="I5202" s="115" t="str">
        <f>IFERROR(__xludf.DUMMYFUNCTION("""COMPUTED_VALUE"""),"13")</f>
        <v>13</v>
      </c>
      <c r="J5202" s="115" t="str">
        <f>IFERROR(__xludf.DUMMYFUNCTION("""COMPUTED_VALUE"""),"Kandula Sampath2025-09-1013")</f>
        <v>Kandula Sampath2025-09-1013</v>
      </c>
      <c r="K5202" s="115">
        <f>IFERROR(__xludf.DUMMYFUNCTION("""COMPUTED_VALUE"""),43585.0)</f>
        <v>43585</v>
      </c>
    </row>
    <row r="5203">
      <c r="A5203" s="115" t="str">
        <f>IFERROR(__xludf.DUMMYFUNCTION("""COMPUTED_VALUE"""),"SOUTH")</f>
        <v>SOUTH</v>
      </c>
      <c r="B5203" s="115" t="str">
        <f>IFERROR(__xludf.DUMMYFUNCTION("""COMPUTED_VALUE"""),"Martin A")</f>
        <v>Martin A</v>
      </c>
      <c r="C5203" s="115" t="str">
        <f>IFERROR(__xludf.DUMMYFUNCTION("""COMPUTED_VALUE"""),"EXTERNAL")</f>
        <v>EXTERNAL</v>
      </c>
      <c r="D5203" s="115">
        <f>IFERROR(__xludf.DUMMYFUNCTION("""COMPUTED_VALUE"""),27836.0)</f>
        <v>27836</v>
      </c>
      <c r="E5203" s="115">
        <f>IFERROR(__xludf.DUMMYFUNCTION("""COMPUTED_VALUE"""),3859.0)</f>
        <v>3859</v>
      </c>
      <c r="F5203" s="115">
        <f>IFERROR(__xludf.DUMMYFUNCTION("""COMPUTED_VALUE"""),6537.0)</f>
        <v>6537</v>
      </c>
      <c r="G5203" s="115">
        <f>IFERROR(__xludf.DUMMYFUNCTION("""COMPUTED_VALUE"""),503.0)</f>
        <v>503</v>
      </c>
      <c r="H5203" s="116">
        <f>IFERROR(__xludf.DUMMYFUNCTION("""COMPUTED_VALUE"""),45910.0)</f>
        <v>45910</v>
      </c>
      <c r="I5203" s="115" t="str">
        <f>IFERROR(__xludf.DUMMYFUNCTION("""COMPUTED_VALUE"""),"13")</f>
        <v>13</v>
      </c>
      <c r="J5203" s="115" t="str">
        <f>IFERROR(__xludf.DUMMYFUNCTION("""COMPUTED_VALUE"""),"Martin A2025-09-1013")</f>
        <v>Martin A2025-09-1013</v>
      </c>
      <c r="K5203" s="115">
        <f>IFERROR(__xludf.DUMMYFUNCTION("""COMPUTED_VALUE"""),31695.0)</f>
        <v>31695</v>
      </c>
    </row>
    <row r="5204">
      <c r="A5204" s="115" t="str">
        <f>IFERROR(__xludf.DUMMYFUNCTION("""COMPUTED_VALUE"""),"SOUTH")</f>
        <v>SOUTH</v>
      </c>
      <c r="B5204" s="115" t="str">
        <f>IFERROR(__xludf.DUMMYFUNCTION("""COMPUTED_VALUE"""),"Martin A")</f>
        <v>Martin A</v>
      </c>
      <c r="C5204" s="115" t="str">
        <f>IFERROR(__xludf.DUMMYFUNCTION("""COMPUTED_VALUE"""),"FLIPKART")</f>
        <v>FLIPKART</v>
      </c>
      <c r="D5204" s="115">
        <f>IFERROR(__xludf.DUMMYFUNCTION("""COMPUTED_VALUE"""),262574.0)</f>
        <v>262574</v>
      </c>
      <c r="E5204" s="115">
        <f>IFERROR(__xludf.DUMMYFUNCTION("""COMPUTED_VALUE"""),24669.0)</f>
        <v>24669</v>
      </c>
      <c r="F5204" s="115">
        <f>IFERROR(__xludf.DUMMYFUNCTION("""COMPUTED_VALUE"""),104776.0)</f>
        <v>104776</v>
      </c>
      <c r="G5204" s="115">
        <f>IFERROR(__xludf.DUMMYFUNCTION("""COMPUTED_VALUE"""),3696.0)</f>
        <v>3696</v>
      </c>
      <c r="H5204" s="116">
        <f>IFERROR(__xludf.DUMMYFUNCTION("""COMPUTED_VALUE"""),45910.0)</f>
        <v>45910</v>
      </c>
      <c r="I5204" s="115" t="str">
        <f>IFERROR(__xludf.DUMMYFUNCTION("""COMPUTED_VALUE"""),"13")</f>
        <v>13</v>
      </c>
      <c r="J5204" s="115" t="str">
        <f>IFERROR(__xludf.DUMMYFUNCTION("""COMPUTED_VALUE"""),"Martin A2025-09-1013")</f>
        <v>Martin A2025-09-1013</v>
      </c>
      <c r="K5204" s="115">
        <f>IFERROR(__xludf.DUMMYFUNCTION("""COMPUTED_VALUE"""),287243.0)</f>
        <v>287243</v>
      </c>
    </row>
    <row r="5205">
      <c r="A5205" s="115" t="str">
        <f>IFERROR(__xludf.DUMMYFUNCTION("""COMPUTED_VALUE"""),"SOUTH")</f>
        <v>SOUTH</v>
      </c>
      <c r="B5205" s="115" t="str">
        <f>IFERROR(__xludf.DUMMYFUNCTION("""COMPUTED_VALUE"""),"Martin A")</f>
        <v>Martin A</v>
      </c>
      <c r="C5205" s="115" t="str">
        <f>IFERROR(__xludf.DUMMYFUNCTION("""COMPUTED_VALUE"""),"MYNTRA")</f>
        <v>MYNTRA</v>
      </c>
      <c r="D5205" s="115">
        <f>IFERROR(__xludf.DUMMYFUNCTION("""COMPUTED_VALUE"""),25873.0)</f>
        <v>25873</v>
      </c>
      <c r="E5205" s="115">
        <f>IFERROR(__xludf.DUMMYFUNCTION("""COMPUTED_VALUE"""),6628.0)</f>
        <v>6628</v>
      </c>
      <c r="F5205" s="115">
        <f>IFERROR(__xludf.DUMMYFUNCTION("""COMPUTED_VALUE"""),12538.0)</f>
        <v>12538</v>
      </c>
      <c r="G5205" s="115">
        <f>IFERROR(__xludf.DUMMYFUNCTION("""COMPUTED_VALUE"""),1201.0)</f>
        <v>1201</v>
      </c>
      <c r="H5205" s="116">
        <f>IFERROR(__xludf.DUMMYFUNCTION("""COMPUTED_VALUE"""),45910.0)</f>
        <v>45910</v>
      </c>
      <c r="I5205" s="115" t="str">
        <f>IFERROR(__xludf.DUMMYFUNCTION("""COMPUTED_VALUE"""),"13")</f>
        <v>13</v>
      </c>
      <c r="J5205" s="115" t="str">
        <f>IFERROR(__xludf.DUMMYFUNCTION("""COMPUTED_VALUE"""),"Martin A2025-09-1013")</f>
        <v>Martin A2025-09-1013</v>
      </c>
      <c r="K5205" s="115">
        <f>IFERROR(__xludf.DUMMYFUNCTION("""COMPUTED_VALUE"""),32501.0)</f>
        <v>32501</v>
      </c>
    </row>
    <row r="5206">
      <c r="A5206" s="115" t="str">
        <f>IFERROR(__xludf.DUMMYFUNCTION("""COMPUTED_VALUE"""),"SOUTH")</f>
        <v>SOUTH</v>
      </c>
      <c r="B5206" s="115" t="str">
        <f>IFERROR(__xludf.DUMMYFUNCTION("""COMPUTED_VALUE"""),"Premkumar M")</f>
        <v>Premkumar M</v>
      </c>
      <c r="C5206" s="115" t="str">
        <f>IFERROR(__xludf.DUMMYFUNCTION("""COMPUTED_VALUE"""),"EXTERNAL")</f>
        <v>EXTERNAL</v>
      </c>
      <c r="D5206" s="115">
        <f>IFERROR(__xludf.DUMMYFUNCTION("""COMPUTED_VALUE"""),22794.0)</f>
        <v>22794</v>
      </c>
      <c r="E5206" s="115">
        <f>IFERROR(__xludf.DUMMYFUNCTION("""COMPUTED_VALUE"""),1789.0)</f>
        <v>1789</v>
      </c>
      <c r="F5206" s="115">
        <f>IFERROR(__xludf.DUMMYFUNCTION("""COMPUTED_VALUE"""),4334.0)</f>
        <v>4334</v>
      </c>
      <c r="G5206" s="115">
        <f>IFERROR(__xludf.DUMMYFUNCTION("""COMPUTED_VALUE"""),56.0)</f>
        <v>56</v>
      </c>
      <c r="H5206" s="116">
        <f>IFERROR(__xludf.DUMMYFUNCTION("""COMPUTED_VALUE"""),45910.0)</f>
        <v>45910</v>
      </c>
      <c r="I5206" s="115" t="str">
        <f>IFERROR(__xludf.DUMMYFUNCTION("""COMPUTED_VALUE"""),"13")</f>
        <v>13</v>
      </c>
      <c r="J5206" s="115" t="str">
        <f>IFERROR(__xludf.DUMMYFUNCTION("""COMPUTED_VALUE"""),"Premkumar M2025-09-1013")</f>
        <v>Premkumar M2025-09-1013</v>
      </c>
      <c r="K5206" s="115">
        <f>IFERROR(__xludf.DUMMYFUNCTION("""COMPUTED_VALUE"""),24583.0)</f>
        <v>24583</v>
      </c>
    </row>
    <row r="5207">
      <c r="A5207" s="115" t="str">
        <f>IFERROR(__xludf.DUMMYFUNCTION("""COMPUTED_VALUE"""),"SOUTH")</f>
        <v>SOUTH</v>
      </c>
      <c r="B5207" s="115" t="str">
        <f>IFERROR(__xludf.DUMMYFUNCTION("""COMPUTED_VALUE"""),"Premkumar M")</f>
        <v>Premkumar M</v>
      </c>
      <c r="C5207" s="115" t="str">
        <f>IFERROR(__xludf.DUMMYFUNCTION("""COMPUTED_VALUE"""),"FLIPKART")</f>
        <v>FLIPKART</v>
      </c>
      <c r="D5207" s="115">
        <f>IFERROR(__xludf.DUMMYFUNCTION("""COMPUTED_VALUE"""),249408.0)</f>
        <v>249408</v>
      </c>
      <c r="E5207" s="115">
        <f>IFERROR(__xludf.DUMMYFUNCTION("""COMPUTED_VALUE"""),16173.0)</f>
        <v>16173</v>
      </c>
      <c r="F5207" s="115">
        <f>IFERROR(__xludf.DUMMYFUNCTION("""COMPUTED_VALUE"""),75073.0)</f>
        <v>75073</v>
      </c>
      <c r="G5207" s="115">
        <f>IFERROR(__xludf.DUMMYFUNCTION("""COMPUTED_VALUE"""),786.0)</f>
        <v>786</v>
      </c>
      <c r="H5207" s="116">
        <f>IFERROR(__xludf.DUMMYFUNCTION("""COMPUTED_VALUE"""),45910.0)</f>
        <v>45910</v>
      </c>
      <c r="I5207" s="115" t="str">
        <f>IFERROR(__xludf.DUMMYFUNCTION("""COMPUTED_VALUE"""),"13")</f>
        <v>13</v>
      </c>
      <c r="J5207" s="115" t="str">
        <f>IFERROR(__xludf.DUMMYFUNCTION("""COMPUTED_VALUE"""),"Premkumar M2025-09-1013")</f>
        <v>Premkumar M2025-09-1013</v>
      </c>
      <c r="K5207" s="115">
        <f>IFERROR(__xludf.DUMMYFUNCTION("""COMPUTED_VALUE"""),265581.0)</f>
        <v>265581</v>
      </c>
    </row>
    <row r="5208">
      <c r="A5208" s="115" t="str">
        <f>IFERROR(__xludf.DUMMYFUNCTION("""COMPUTED_VALUE"""),"SOUTH")</f>
        <v>SOUTH</v>
      </c>
      <c r="B5208" s="115" t="str">
        <f>IFERROR(__xludf.DUMMYFUNCTION("""COMPUTED_VALUE"""),"Premkumar M")</f>
        <v>Premkumar M</v>
      </c>
      <c r="C5208" s="115" t="str">
        <f>IFERROR(__xludf.DUMMYFUNCTION("""COMPUTED_VALUE"""),"MYNTRA")</f>
        <v>MYNTRA</v>
      </c>
      <c r="D5208" s="115">
        <f>IFERROR(__xludf.DUMMYFUNCTION("""COMPUTED_VALUE"""),12955.0)</f>
        <v>12955</v>
      </c>
      <c r="E5208" s="115">
        <f>IFERROR(__xludf.DUMMYFUNCTION("""COMPUTED_VALUE"""),2699.0)</f>
        <v>2699</v>
      </c>
      <c r="F5208" s="115">
        <f>IFERROR(__xludf.DUMMYFUNCTION("""COMPUTED_VALUE"""),4583.0)</f>
        <v>4583</v>
      </c>
      <c r="G5208" s="115">
        <f>IFERROR(__xludf.DUMMYFUNCTION("""COMPUTED_VALUE"""),181.0)</f>
        <v>181</v>
      </c>
      <c r="H5208" s="116">
        <f>IFERROR(__xludf.DUMMYFUNCTION("""COMPUTED_VALUE"""),45910.0)</f>
        <v>45910</v>
      </c>
      <c r="I5208" s="115" t="str">
        <f>IFERROR(__xludf.DUMMYFUNCTION("""COMPUTED_VALUE"""),"13")</f>
        <v>13</v>
      </c>
      <c r="J5208" s="115" t="str">
        <f>IFERROR(__xludf.DUMMYFUNCTION("""COMPUTED_VALUE"""),"Premkumar M2025-09-1013")</f>
        <v>Premkumar M2025-09-1013</v>
      </c>
      <c r="K5208" s="115">
        <f>IFERROR(__xludf.DUMMYFUNCTION("""COMPUTED_VALUE"""),15654.0)</f>
        <v>15654</v>
      </c>
    </row>
    <row r="5209">
      <c r="A5209" s="115" t="str">
        <f>IFERROR(__xludf.DUMMYFUNCTION("""COMPUTED_VALUE"""),"SOUTH")</f>
        <v>SOUTH</v>
      </c>
      <c r="B5209" s="115" t="str">
        <f>IFERROR(__xludf.DUMMYFUNCTION("""COMPUTED_VALUE"""),"Vineeth V")</f>
        <v>Vineeth V</v>
      </c>
      <c r="C5209" s="115" t="str">
        <f>IFERROR(__xludf.DUMMYFUNCTION("""COMPUTED_VALUE"""),"EXTERNAL")</f>
        <v>EXTERNAL</v>
      </c>
      <c r="D5209" s="115">
        <f>IFERROR(__xludf.DUMMYFUNCTION("""COMPUTED_VALUE"""),16296.0)</f>
        <v>16296</v>
      </c>
      <c r="E5209" s="115">
        <f>IFERROR(__xludf.DUMMYFUNCTION("""COMPUTED_VALUE"""),583.0)</f>
        <v>583</v>
      </c>
      <c r="F5209" s="115">
        <f>IFERROR(__xludf.DUMMYFUNCTION("""COMPUTED_VALUE"""),3182.0)</f>
        <v>3182</v>
      </c>
      <c r="G5209" s="115">
        <f>IFERROR(__xludf.DUMMYFUNCTION("""COMPUTED_VALUE"""),32.0)</f>
        <v>32</v>
      </c>
      <c r="H5209" s="116">
        <f>IFERROR(__xludf.DUMMYFUNCTION("""COMPUTED_VALUE"""),45910.0)</f>
        <v>45910</v>
      </c>
      <c r="I5209" s="115" t="str">
        <f>IFERROR(__xludf.DUMMYFUNCTION("""COMPUTED_VALUE"""),"13")</f>
        <v>13</v>
      </c>
      <c r="J5209" s="115" t="str">
        <f>IFERROR(__xludf.DUMMYFUNCTION("""COMPUTED_VALUE"""),"Vineeth V2025-09-1013")</f>
        <v>Vineeth V2025-09-1013</v>
      </c>
      <c r="K5209" s="115">
        <f>IFERROR(__xludf.DUMMYFUNCTION("""COMPUTED_VALUE"""),16879.0)</f>
        <v>16879</v>
      </c>
    </row>
    <row r="5210">
      <c r="A5210" s="115" t="str">
        <f>IFERROR(__xludf.DUMMYFUNCTION("""COMPUTED_VALUE"""),"SOUTH")</f>
        <v>SOUTH</v>
      </c>
      <c r="B5210" s="115" t="str">
        <f>IFERROR(__xludf.DUMMYFUNCTION("""COMPUTED_VALUE"""),"Vineeth V")</f>
        <v>Vineeth V</v>
      </c>
      <c r="C5210" s="115" t="str">
        <f>IFERROR(__xludf.DUMMYFUNCTION("""COMPUTED_VALUE"""),"FLIPKART")</f>
        <v>FLIPKART</v>
      </c>
      <c r="D5210" s="115">
        <f>IFERROR(__xludf.DUMMYFUNCTION("""COMPUTED_VALUE"""),177726.0)</f>
        <v>177726</v>
      </c>
      <c r="E5210" s="115">
        <f>IFERROR(__xludf.DUMMYFUNCTION("""COMPUTED_VALUE"""),14587.0)</f>
        <v>14587</v>
      </c>
      <c r="F5210" s="115">
        <f>IFERROR(__xludf.DUMMYFUNCTION("""COMPUTED_VALUE"""),57385.0)</f>
        <v>57385</v>
      </c>
      <c r="G5210" s="115">
        <f>IFERROR(__xludf.DUMMYFUNCTION("""COMPUTED_VALUE"""),745.0)</f>
        <v>745</v>
      </c>
      <c r="H5210" s="116">
        <f>IFERROR(__xludf.DUMMYFUNCTION("""COMPUTED_VALUE"""),45910.0)</f>
        <v>45910</v>
      </c>
      <c r="I5210" s="115" t="str">
        <f>IFERROR(__xludf.DUMMYFUNCTION("""COMPUTED_VALUE"""),"13")</f>
        <v>13</v>
      </c>
      <c r="J5210" s="115" t="str">
        <f>IFERROR(__xludf.DUMMYFUNCTION("""COMPUTED_VALUE"""),"Vineeth V2025-09-1013")</f>
        <v>Vineeth V2025-09-1013</v>
      </c>
      <c r="K5210" s="115">
        <f>IFERROR(__xludf.DUMMYFUNCTION("""COMPUTED_VALUE"""),192313.0)</f>
        <v>192313</v>
      </c>
    </row>
    <row r="5211">
      <c r="A5211" s="115" t="str">
        <f>IFERROR(__xludf.DUMMYFUNCTION("""COMPUTED_VALUE"""),"SOUTH")</f>
        <v>SOUTH</v>
      </c>
      <c r="B5211" s="115" t="str">
        <f>IFERROR(__xludf.DUMMYFUNCTION("""COMPUTED_VALUE"""),"Vineeth V")</f>
        <v>Vineeth V</v>
      </c>
      <c r="C5211" s="115" t="str">
        <f>IFERROR(__xludf.DUMMYFUNCTION("""COMPUTED_VALUE"""),"MYNTRA")</f>
        <v>MYNTRA</v>
      </c>
      <c r="D5211" s="115">
        <f>IFERROR(__xludf.DUMMYFUNCTION("""COMPUTED_VALUE"""),14373.0)</f>
        <v>14373</v>
      </c>
      <c r="E5211" s="115">
        <f>IFERROR(__xludf.DUMMYFUNCTION("""COMPUTED_VALUE"""),3586.0)</f>
        <v>3586</v>
      </c>
      <c r="F5211" s="115">
        <f>IFERROR(__xludf.DUMMYFUNCTION("""COMPUTED_VALUE"""),5172.0)</f>
        <v>5172</v>
      </c>
      <c r="G5211" s="115">
        <f>IFERROR(__xludf.DUMMYFUNCTION("""COMPUTED_VALUE"""),216.0)</f>
        <v>216</v>
      </c>
      <c r="H5211" s="116">
        <f>IFERROR(__xludf.DUMMYFUNCTION("""COMPUTED_VALUE"""),45910.0)</f>
        <v>45910</v>
      </c>
      <c r="I5211" s="115" t="str">
        <f>IFERROR(__xludf.DUMMYFUNCTION("""COMPUTED_VALUE"""),"13")</f>
        <v>13</v>
      </c>
      <c r="J5211" s="115" t="str">
        <f>IFERROR(__xludf.DUMMYFUNCTION("""COMPUTED_VALUE"""),"Vineeth V2025-09-1013")</f>
        <v>Vineeth V2025-09-1013</v>
      </c>
      <c r="K5211" s="115">
        <f>IFERROR(__xludf.DUMMYFUNCTION("""COMPUTED_VALUE"""),17959.0)</f>
        <v>17959</v>
      </c>
    </row>
    <row r="5212">
      <c r="A5212" s="115" t="str">
        <f>IFERROR(__xludf.DUMMYFUNCTION("""COMPUTED_VALUE"""),"WEST")</f>
        <v>WEST</v>
      </c>
      <c r="B5212" s="115" t="str">
        <f>IFERROR(__xludf.DUMMYFUNCTION("""COMPUTED_VALUE"""),"Ashish Jakar")</f>
        <v>Ashish Jakar</v>
      </c>
      <c r="C5212" s="115" t="str">
        <f>IFERROR(__xludf.DUMMYFUNCTION("""COMPUTED_VALUE"""),"EXTERNAL")</f>
        <v>EXTERNAL</v>
      </c>
      <c r="D5212" s="115">
        <f>IFERROR(__xludf.DUMMYFUNCTION("""COMPUTED_VALUE"""),56130.0)</f>
        <v>56130</v>
      </c>
      <c r="E5212" s="115">
        <f>IFERROR(__xludf.DUMMYFUNCTION("""COMPUTED_VALUE"""),5557.0)</f>
        <v>5557</v>
      </c>
      <c r="F5212" s="115">
        <f>IFERROR(__xludf.DUMMYFUNCTION("""COMPUTED_VALUE"""),11777.0)</f>
        <v>11777</v>
      </c>
      <c r="G5212" s="115">
        <f>IFERROR(__xludf.DUMMYFUNCTION("""COMPUTED_VALUE"""),684.0)</f>
        <v>684</v>
      </c>
      <c r="H5212" s="116">
        <f>IFERROR(__xludf.DUMMYFUNCTION("""COMPUTED_VALUE"""),45910.0)</f>
        <v>45910</v>
      </c>
      <c r="I5212" s="115" t="str">
        <f>IFERROR(__xludf.DUMMYFUNCTION("""COMPUTED_VALUE"""),"13")</f>
        <v>13</v>
      </c>
      <c r="J5212" s="115" t="str">
        <f>IFERROR(__xludf.DUMMYFUNCTION("""COMPUTED_VALUE"""),"Ashish Jakar2025-09-1013")</f>
        <v>Ashish Jakar2025-09-1013</v>
      </c>
      <c r="K5212" s="115">
        <f>IFERROR(__xludf.DUMMYFUNCTION("""COMPUTED_VALUE"""),61687.0)</f>
        <v>61687</v>
      </c>
    </row>
    <row r="5213">
      <c r="A5213" s="115" t="str">
        <f>IFERROR(__xludf.DUMMYFUNCTION("""COMPUTED_VALUE"""),"WEST")</f>
        <v>WEST</v>
      </c>
      <c r="B5213" s="115" t="str">
        <f>IFERROR(__xludf.DUMMYFUNCTION("""COMPUTED_VALUE"""),"Ashish Jakar")</f>
        <v>Ashish Jakar</v>
      </c>
      <c r="C5213" s="115" t="str">
        <f>IFERROR(__xludf.DUMMYFUNCTION("""COMPUTED_VALUE"""),"FLIPKART")</f>
        <v>FLIPKART</v>
      </c>
      <c r="D5213" s="115">
        <f>IFERROR(__xludf.DUMMYFUNCTION("""COMPUTED_VALUE"""),353146.0)</f>
        <v>353146</v>
      </c>
      <c r="E5213" s="115">
        <f>IFERROR(__xludf.DUMMYFUNCTION("""COMPUTED_VALUE"""),30554.0)</f>
        <v>30554</v>
      </c>
      <c r="F5213" s="115">
        <f>IFERROR(__xludf.DUMMYFUNCTION("""COMPUTED_VALUE"""),118160.0)</f>
        <v>118160</v>
      </c>
      <c r="G5213" s="115">
        <f>IFERROR(__xludf.DUMMYFUNCTION("""COMPUTED_VALUE"""),4297.0)</f>
        <v>4297</v>
      </c>
      <c r="H5213" s="116">
        <f>IFERROR(__xludf.DUMMYFUNCTION("""COMPUTED_VALUE"""),45910.0)</f>
        <v>45910</v>
      </c>
      <c r="I5213" s="115" t="str">
        <f>IFERROR(__xludf.DUMMYFUNCTION("""COMPUTED_VALUE"""),"13")</f>
        <v>13</v>
      </c>
      <c r="J5213" s="115" t="str">
        <f>IFERROR(__xludf.DUMMYFUNCTION("""COMPUTED_VALUE"""),"Ashish Jakar2025-09-1013")</f>
        <v>Ashish Jakar2025-09-1013</v>
      </c>
      <c r="K5213" s="115">
        <f>IFERROR(__xludf.DUMMYFUNCTION("""COMPUTED_VALUE"""),383700.0)</f>
        <v>383700</v>
      </c>
    </row>
    <row r="5214">
      <c r="A5214" s="115" t="str">
        <f>IFERROR(__xludf.DUMMYFUNCTION("""COMPUTED_VALUE"""),"WEST")</f>
        <v>WEST</v>
      </c>
      <c r="B5214" s="115" t="str">
        <f>IFERROR(__xludf.DUMMYFUNCTION("""COMPUTED_VALUE"""),"Ashish Jakar")</f>
        <v>Ashish Jakar</v>
      </c>
      <c r="C5214" s="115" t="str">
        <f>IFERROR(__xludf.DUMMYFUNCTION("""COMPUTED_VALUE"""),"MYNTRA")</f>
        <v>MYNTRA</v>
      </c>
      <c r="D5214" s="115">
        <f>IFERROR(__xludf.DUMMYFUNCTION("""COMPUTED_VALUE"""),40187.0)</f>
        <v>40187</v>
      </c>
      <c r="E5214" s="115">
        <f>IFERROR(__xludf.DUMMYFUNCTION("""COMPUTED_VALUE"""),10552.0)</f>
        <v>10552</v>
      </c>
      <c r="F5214" s="115">
        <f>IFERROR(__xludf.DUMMYFUNCTION("""COMPUTED_VALUE"""),16491.0)</f>
        <v>16491</v>
      </c>
      <c r="G5214" s="115">
        <f>IFERROR(__xludf.DUMMYFUNCTION("""COMPUTED_VALUE"""),1690.0)</f>
        <v>1690</v>
      </c>
      <c r="H5214" s="116">
        <f>IFERROR(__xludf.DUMMYFUNCTION("""COMPUTED_VALUE"""),45910.0)</f>
        <v>45910</v>
      </c>
      <c r="I5214" s="115" t="str">
        <f>IFERROR(__xludf.DUMMYFUNCTION("""COMPUTED_VALUE"""),"13")</f>
        <v>13</v>
      </c>
      <c r="J5214" s="115" t="str">
        <f>IFERROR(__xludf.DUMMYFUNCTION("""COMPUTED_VALUE"""),"Ashish Jakar2025-09-1013")</f>
        <v>Ashish Jakar2025-09-1013</v>
      </c>
      <c r="K5214" s="115">
        <f>IFERROR(__xludf.DUMMYFUNCTION("""COMPUTED_VALUE"""),50739.0)</f>
        <v>50739</v>
      </c>
    </row>
    <row r="5215">
      <c r="A5215" s="115" t="str">
        <f>IFERROR(__xludf.DUMMYFUNCTION("""COMPUTED_VALUE"""),"WEST")</f>
        <v>WEST</v>
      </c>
      <c r="B5215" s="115" t="str">
        <f>IFERROR(__xludf.DUMMYFUNCTION("""COMPUTED_VALUE"""),"Ashvani Bhatt")</f>
        <v>Ashvani Bhatt</v>
      </c>
      <c r="C5215" s="115" t="str">
        <f>IFERROR(__xludf.DUMMYFUNCTION("""COMPUTED_VALUE"""),"EXTERNAL")</f>
        <v>EXTERNAL</v>
      </c>
      <c r="D5215" s="115">
        <f>IFERROR(__xludf.DUMMYFUNCTION("""COMPUTED_VALUE"""),35482.0)</f>
        <v>35482</v>
      </c>
      <c r="E5215" s="115">
        <f>IFERROR(__xludf.DUMMYFUNCTION("""COMPUTED_VALUE"""),2839.0)</f>
        <v>2839</v>
      </c>
      <c r="F5215" s="115">
        <f>IFERROR(__xludf.DUMMYFUNCTION("""COMPUTED_VALUE"""),8070.0)</f>
        <v>8070</v>
      </c>
      <c r="G5215" s="115">
        <f>IFERROR(__xludf.DUMMYFUNCTION("""COMPUTED_VALUE"""),290.0)</f>
        <v>290</v>
      </c>
      <c r="H5215" s="116">
        <f>IFERROR(__xludf.DUMMYFUNCTION("""COMPUTED_VALUE"""),45910.0)</f>
        <v>45910</v>
      </c>
      <c r="I5215" s="115" t="str">
        <f>IFERROR(__xludf.DUMMYFUNCTION("""COMPUTED_VALUE"""),"13")</f>
        <v>13</v>
      </c>
      <c r="J5215" s="115" t="str">
        <f>IFERROR(__xludf.DUMMYFUNCTION("""COMPUTED_VALUE"""),"Ashvani Bhatt2025-09-1013")</f>
        <v>Ashvani Bhatt2025-09-1013</v>
      </c>
      <c r="K5215" s="115">
        <f>IFERROR(__xludf.DUMMYFUNCTION("""COMPUTED_VALUE"""),38321.0)</f>
        <v>38321</v>
      </c>
    </row>
    <row r="5216">
      <c r="A5216" s="115" t="str">
        <f>IFERROR(__xludf.DUMMYFUNCTION("""COMPUTED_VALUE"""),"WEST")</f>
        <v>WEST</v>
      </c>
      <c r="B5216" s="115" t="str">
        <f>IFERROR(__xludf.DUMMYFUNCTION("""COMPUTED_VALUE"""),"Ashvani Bhatt")</f>
        <v>Ashvani Bhatt</v>
      </c>
      <c r="C5216" s="115" t="str">
        <f>IFERROR(__xludf.DUMMYFUNCTION("""COMPUTED_VALUE"""),"FLIPKART")</f>
        <v>FLIPKART</v>
      </c>
      <c r="D5216" s="115">
        <f>IFERROR(__xludf.DUMMYFUNCTION("""COMPUTED_VALUE"""),256771.0)</f>
        <v>256771</v>
      </c>
      <c r="E5216" s="115">
        <f>IFERROR(__xludf.DUMMYFUNCTION("""COMPUTED_VALUE"""),26835.0)</f>
        <v>26835</v>
      </c>
      <c r="F5216" s="115">
        <f>IFERROR(__xludf.DUMMYFUNCTION("""COMPUTED_VALUE"""),105498.0)</f>
        <v>105498</v>
      </c>
      <c r="G5216" s="115">
        <f>IFERROR(__xludf.DUMMYFUNCTION("""COMPUTED_VALUE"""),3721.0)</f>
        <v>3721</v>
      </c>
      <c r="H5216" s="116">
        <f>IFERROR(__xludf.DUMMYFUNCTION("""COMPUTED_VALUE"""),45910.0)</f>
        <v>45910</v>
      </c>
      <c r="I5216" s="115" t="str">
        <f>IFERROR(__xludf.DUMMYFUNCTION("""COMPUTED_VALUE"""),"13")</f>
        <v>13</v>
      </c>
      <c r="J5216" s="115" t="str">
        <f>IFERROR(__xludf.DUMMYFUNCTION("""COMPUTED_VALUE"""),"Ashvani Bhatt2025-09-1013")</f>
        <v>Ashvani Bhatt2025-09-1013</v>
      </c>
      <c r="K5216" s="115">
        <f>IFERROR(__xludf.DUMMYFUNCTION("""COMPUTED_VALUE"""),283606.0)</f>
        <v>283606</v>
      </c>
    </row>
    <row r="5217">
      <c r="A5217" s="115" t="str">
        <f>IFERROR(__xludf.DUMMYFUNCTION("""COMPUTED_VALUE"""),"WEST")</f>
        <v>WEST</v>
      </c>
      <c r="B5217" s="115" t="str">
        <f>IFERROR(__xludf.DUMMYFUNCTION("""COMPUTED_VALUE"""),"Ashvani Bhatt")</f>
        <v>Ashvani Bhatt</v>
      </c>
      <c r="C5217" s="115" t="str">
        <f>IFERROR(__xludf.DUMMYFUNCTION("""COMPUTED_VALUE"""),"MYNTRA")</f>
        <v>MYNTRA</v>
      </c>
      <c r="D5217" s="115">
        <f>IFERROR(__xludf.DUMMYFUNCTION("""COMPUTED_VALUE"""),32298.0)</f>
        <v>32298</v>
      </c>
      <c r="E5217" s="115">
        <f>IFERROR(__xludf.DUMMYFUNCTION("""COMPUTED_VALUE"""),8846.0)</f>
        <v>8846</v>
      </c>
      <c r="F5217" s="115">
        <f>IFERROR(__xludf.DUMMYFUNCTION("""COMPUTED_VALUE"""),16324.0)</f>
        <v>16324</v>
      </c>
      <c r="G5217" s="115">
        <f>IFERROR(__xludf.DUMMYFUNCTION("""COMPUTED_VALUE"""),1596.0)</f>
        <v>1596</v>
      </c>
      <c r="H5217" s="116">
        <f>IFERROR(__xludf.DUMMYFUNCTION("""COMPUTED_VALUE"""),45910.0)</f>
        <v>45910</v>
      </c>
      <c r="I5217" s="115" t="str">
        <f>IFERROR(__xludf.DUMMYFUNCTION("""COMPUTED_VALUE"""),"13")</f>
        <v>13</v>
      </c>
      <c r="J5217" s="115" t="str">
        <f>IFERROR(__xludf.DUMMYFUNCTION("""COMPUTED_VALUE"""),"Ashvani Bhatt2025-09-1013")</f>
        <v>Ashvani Bhatt2025-09-1013</v>
      </c>
      <c r="K5217" s="115">
        <f>IFERROR(__xludf.DUMMYFUNCTION("""COMPUTED_VALUE"""),41144.0)</f>
        <v>41144</v>
      </c>
    </row>
    <row r="5218">
      <c r="A5218" s="115"/>
      <c r="B5218" s="115"/>
      <c r="C5218" s="115" t="str">
        <f>IFERROR(__xludf.DUMMYFUNCTION("""COMPUTED_VALUE"""),"EXTERNAL")</f>
        <v>EXTERNAL</v>
      </c>
      <c r="D5218" s="115">
        <f>IFERROR(__xludf.DUMMYFUNCTION("""COMPUTED_VALUE"""),562.0)</f>
        <v>562</v>
      </c>
      <c r="E5218" s="115">
        <f>IFERROR(__xludf.DUMMYFUNCTION("""COMPUTED_VALUE"""),147.0)</f>
        <v>147</v>
      </c>
      <c r="F5218" s="115">
        <f>IFERROR(__xludf.DUMMYFUNCTION("""COMPUTED_VALUE"""),86.0)</f>
        <v>86</v>
      </c>
      <c r="G5218" s="115">
        <f>IFERROR(__xludf.DUMMYFUNCTION("""COMPUTED_VALUE"""),34.0)</f>
        <v>34</v>
      </c>
      <c r="H5218" s="116">
        <f>IFERROR(__xludf.DUMMYFUNCTION("""COMPUTED_VALUE"""),45910.0)</f>
        <v>45910</v>
      </c>
      <c r="I5218" s="115" t="str">
        <f>IFERROR(__xludf.DUMMYFUNCTION("""COMPUTED_VALUE"""),"13")</f>
        <v>13</v>
      </c>
      <c r="J5218" s="115" t="str">
        <f>IFERROR(__xludf.DUMMYFUNCTION("""COMPUTED_VALUE"""),"2025-09-1013")</f>
        <v>2025-09-1013</v>
      </c>
      <c r="K5218" s="115">
        <f>IFERROR(__xludf.DUMMYFUNCTION("""COMPUTED_VALUE"""),709.0)</f>
        <v>709</v>
      </c>
    </row>
    <row r="5219">
      <c r="A5219" s="115"/>
      <c r="B5219" s="115"/>
      <c r="C5219" s="115" t="str">
        <f>IFERROR(__xludf.DUMMYFUNCTION("""COMPUTED_VALUE"""),"FLIPKART")</f>
        <v>FLIPKART</v>
      </c>
      <c r="D5219" s="115">
        <f>IFERROR(__xludf.DUMMYFUNCTION("""COMPUTED_VALUE"""),6273.0)</f>
        <v>6273</v>
      </c>
      <c r="E5219" s="115">
        <f>IFERROR(__xludf.DUMMYFUNCTION("""COMPUTED_VALUE"""),665.0)</f>
        <v>665</v>
      </c>
      <c r="F5219" s="115">
        <f>IFERROR(__xludf.DUMMYFUNCTION("""COMPUTED_VALUE"""),1375.0)</f>
        <v>1375</v>
      </c>
      <c r="G5219" s="115">
        <f>IFERROR(__xludf.DUMMYFUNCTION("""COMPUTED_VALUE"""),151.0)</f>
        <v>151</v>
      </c>
      <c r="H5219" s="116">
        <f>IFERROR(__xludf.DUMMYFUNCTION("""COMPUTED_VALUE"""),45910.0)</f>
        <v>45910</v>
      </c>
      <c r="I5219" s="115" t="str">
        <f>IFERROR(__xludf.DUMMYFUNCTION("""COMPUTED_VALUE"""),"13")</f>
        <v>13</v>
      </c>
      <c r="J5219" s="115" t="str">
        <f>IFERROR(__xludf.DUMMYFUNCTION("""COMPUTED_VALUE"""),"2025-09-1013")</f>
        <v>2025-09-1013</v>
      </c>
      <c r="K5219" s="115">
        <f>IFERROR(__xludf.DUMMYFUNCTION("""COMPUTED_VALUE"""),6938.0)</f>
        <v>6938</v>
      </c>
    </row>
    <row r="5220">
      <c r="A5220" s="115"/>
      <c r="B5220" s="115"/>
      <c r="C5220" s="115" t="str">
        <f>IFERROR(__xludf.DUMMYFUNCTION("""COMPUTED_VALUE"""),"MYNTRA")</f>
        <v>MYNTRA</v>
      </c>
      <c r="D5220" s="115">
        <f>IFERROR(__xludf.DUMMYFUNCTION("""COMPUTED_VALUE"""),691.0)</f>
        <v>691</v>
      </c>
      <c r="E5220" s="115">
        <f>IFERROR(__xludf.DUMMYFUNCTION("""COMPUTED_VALUE"""),191.0)</f>
        <v>191</v>
      </c>
      <c r="F5220" s="115">
        <f>IFERROR(__xludf.DUMMYFUNCTION("""COMPUTED_VALUE"""),219.0)</f>
        <v>219</v>
      </c>
      <c r="G5220" s="115">
        <f>IFERROR(__xludf.DUMMYFUNCTION("""COMPUTED_VALUE"""),59.0)</f>
        <v>59</v>
      </c>
      <c r="H5220" s="116">
        <f>IFERROR(__xludf.DUMMYFUNCTION("""COMPUTED_VALUE"""),45910.0)</f>
        <v>45910</v>
      </c>
      <c r="I5220" s="115" t="str">
        <f>IFERROR(__xludf.DUMMYFUNCTION("""COMPUTED_VALUE"""),"13")</f>
        <v>13</v>
      </c>
      <c r="J5220" s="115" t="str">
        <f>IFERROR(__xludf.DUMMYFUNCTION("""COMPUTED_VALUE"""),"2025-09-1013")</f>
        <v>2025-09-1013</v>
      </c>
      <c r="K5220" s="115">
        <f>IFERROR(__xludf.DUMMYFUNCTION("""COMPUTED_VALUE"""),882.0)</f>
        <v>882</v>
      </c>
    </row>
    <row r="5221">
      <c r="A5221" s="115" t="str">
        <f>IFERROR(__xludf.DUMMYFUNCTION("""COMPUTED_VALUE"""),"EAST")</f>
        <v>EAST</v>
      </c>
      <c r="B5221" s="115" t="str">
        <f>IFERROR(__xludf.DUMMYFUNCTION("""COMPUTED_VALUE"""),"Ashish Ranjan")</f>
        <v>Ashish Ranjan</v>
      </c>
      <c r="C5221" s="115" t="str">
        <f>IFERROR(__xludf.DUMMYFUNCTION("""COMPUTED_VALUE"""),"EXTERNAL")</f>
        <v>EXTERNAL</v>
      </c>
      <c r="D5221" s="115">
        <f>IFERROR(__xludf.DUMMYFUNCTION("""COMPUTED_VALUE"""),35366.0)</f>
        <v>35366</v>
      </c>
      <c r="E5221" s="115">
        <f>IFERROR(__xludf.DUMMYFUNCTION("""COMPUTED_VALUE"""),3711.0)</f>
        <v>3711</v>
      </c>
      <c r="F5221" s="115">
        <f>IFERROR(__xludf.DUMMYFUNCTION("""COMPUTED_VALUE"""),13155.0)</f>
        <v>13155</v>
      </c>
      <c r="G5221" s="115">
        <f>IFERROR(__xludf.DUMMYFUNCTION("""COMPUTED_VALUE"""),705.0)</f>
        <v>705</v>
      </c>
      <c r="H5221" s="116">
        <f>IFERROR(__xludf.DUMMYFUNCTION("""COMPUTED_VALUE"""),45910.0)</f>
        <v>45910</v>
      </c>
      <c r="I5221" s="115" t="str">
        <f>IFERROR(__xludf.DUMMYFUNCTION("""COMPUTED_VALUE"""),"14")</f>
        <v>14</v>
      </c>
      <c r="J5221" s="115" t="str">
        <f>IFERROR(__xludf.DUMMYFUNCTION("""COMPUTED_VALUE"""),"Ashish Ranjan2025-09-1014")</f>
        <v>Ashish Ranjan2025-09-1014</v>
      </c>
      <c r="K5221" s="115">
        <f>IFERROR(__xludf.DUMMYFUNCTION("""COMPUTED_VALUE"""),39077.0)</f>
        <v>39077</v>
      </c>
    </row>
    <row r="5222">
      <c r="A5222" s="115" t="str">
        <f>IFERROR(__xludf.DUMMYFUNCTION("""COMPUTED_VALUE"""),"EAST")</f>
        <v>EAST</v>
      </c>
      <c r="B5222" s="115" t="str">
        <f>IFERROR(__xludf.DUMMYFUNCTION("""COMPUTED_VALUE"""),"Ashish Ranjan")</f>
        <v>Ashish Ranjan</v>
      </c>
      <c r="C5222" s="115" t="str">
        <f>IFERROR(__xludf.DUMMYFUNCTION("""COMPUTED_VALUE"""),"FLIPKART")</f>
        <v>FLIPKART</v>
      </c>
      <c r="D5222" s="115">
        <f>IFERROR(__xludf.DUMMYFUNCTION("""COMPUTED_VALUE"""),613690.0)</f>
        <v>613690</v>
      </c>
      <c r="E5222" s="115">
        <f>IFERROR(__xludf.DUMMYFUNCTION("""COMPUTED_VALUE"""),62553.0)</f>
        <v>62553</v>
      </c>
      <c r="F5222" s="115">
        <f>IFERROR(__xludf.DUMMYFUNCTION("""COMPUTED_VALUE"""),375744.0)</f>
        <v>375744</v>
      </c>
      <c r="G5222" s="115">
        <f>IFERROR(__xludf.DUMMYFUNCTION("""COMPUTED_VALUE"""),17439.0)</f>
        <v>17439</v>
      </c>
      <c r="H5222" s="116">
        <f>IFERROR(__xludf.DUMMYFUNCTION("""COMPUTED_VALUE"""),45910.0)</f>
        <v>45910</v>
      </c>
      <c r="I5222" s="115" t="str">
        <f>IFERROR(__xludf.DUMMYFUNCTION("""COMPUTED_VALUE"""),"14")</f>
        <v>14</v>
      </c>
      <c r="J5222" s="115" t="str">
        <f>IFERROR(__xludf.DUMMYFUNCTION("""COMPUTED_VALUE"""),"Ashish Ranjan2025-09-1014")</f>
        <v>Ashish Ranjan2025-09-1014</v>
      </c>
      <c r="K5222" s="115">
        <f>IFERROR(__xludf.DUMMYFUNCTION("""COMPUTED_VALUE"""),676243.0)</f>
        <v>676243</v>
      </c>
    </row>
    <row r="5223">
      <c r="A5223" s="115" t="str">
        <f>IFERROR(__xludf.DUMMYFUNCTION("""COMPUTED_VALUE"""),"EAST")</f>
        <v>EAST</v>
      </c>
      <c r="B5223" s="115" t="str">
        <f>IFERROR(__xludf.DUMMYFUNCTION("""COMPUTED_VALUE"""),"Ashish Ranjan")</f>
        <v>Ashish Ranjan</v>
      </c>
      <c r="C5223" s="115" t="str">
        <f>IFERROR(__xludf.DUMMYFUNCTION("""COMPUTED_VALUE"""),"MYNTRA")</f>
        <v>MYNTRA</v>
      </c>
      <c r="D5223" s="115">
        <f>IFERROR(__xludf.DUMMYFUNCTION("""COMPUTED_VALUE"""),68938.0)</f>
        <v>68938</v>
      </c>
      <c r="E5223" s="115">
        <f>IFERROR(__xludf.DUMMYFUNCTION("""COMPUTED_VALUE"""),16156.0)</f>
        <v>16156</v>
      </c>
      <c r="F5223" s="115">
        <f>IFERROR(__xludf.DUMMYFUNCTION("""COMPUTED_VALUE"""),42355.0)</f>
        <v>42355</v>
      </c>
      <c r="G5223" s="115">
        <f>IFERROR(__xludf.DUMMYFUNCTION("""COMPUTED_VALUE"""),4457.0)</f>
        <v>4457</v>
      </c>
      <c r="H5223" s="116">
        <f>IFERROR(__xludf.DUMMYFUNCTION("""COMPUTED_VALUE"""),45910.0)</f>
        <v>45910</v>
      </c>
      <c r="I5223" s="115" t="str">
        <f>IFERROR(__xludf.DUMMYFUNCTION("""COMPUTED_VALUE"""),"14")</f>
        <v>14</v>
      </c>
      <c r="J5223" s="115" t="str">
        <f>IFERROR(__xludf.DUMMYFUNCTION("""COMPUTED_VALUE"""),"Ashish Ranjan2025-09-1014")</f>
        <v>Ashish Ranjan2025-09-1014</v>
      </c>
      <c r="K5223" s="115">
        <f>IFERROR(__xludf.DUMMYFUNCTION("""COMPUTED_VALUE"""),85094.0)</f>
        <v>85094</v>
      </c>
    </row>
    <row r="5224">
      <c r="A5224" s="115" t="str">
        <f>IFERROR(__xludf.DUMMYFUNCTION("""COMPUTED_VALUE"""),"EAST")</f>
        <v>EAST</v>
      </c>
      <c r="B5224" s="115" t="str">
        <f>IFERROR(__xludf.DUMMYFUNCTION("""COMPUTED_VALUE"""),"Girish Chand")</f>
        <v>Girish Chand</v>
      </c>
      <c r="C5224" s="115" t="str">
        <f>IFERROR(__xludf.DUMMYFUNCTION("""COMPUTED_VALUE"""),"EXTERNAL")</f>
        <v>EXTERNAL</v>
      </c>
      <c r="D5224" s="115">
        <f>IFERROR(__xludf.DUMMYFUNCTION("""COMPUTED_VALUE"""),22960.0)</f>
        <v>22960</v>
      </c>
      <c r="E5224" s="115">
        <f>IFERROR(__xludf.DUMMYFUNCTION("""COMPUTED_VALUE"""),1848.0)</f>
        <v>1848</v>
      </c>
      <c r="F5224" s="115">
        <f>IFERROR(__xludf.DUMMYFUNCTION("""COMPUTED_VALUE"""),5947.0)</f>
        <v>5947</v>
      </c>
      <c r="G5224" s="115">
        <f>IFERROR(__xludf.DUMMYFUNCTION("""COMPUTED_VALUE"""),163.0)</f>
        <v>163</v>
      </c>
      <c r="H5224" s="116">
        <f>IFERROR(__xludf.DUMMYFUNCTION("""COMPUTED_VALUE"""),45910.0)</f>
        <v>45910</v>
      </c>
      <c r="I5224" s="115" t="str">
        <f>IFERROR(__xludf.DUMMYFUNCTION("""COMPUTED_VALUE"""),"14")</f>
        <v>14</v>
      </c>
      <c r="J5224" s="115" t="str">
        <f>IFERROR(__xludf.DUMMYFUNCTION("""COMPUTED_VALUE"""),"Girish Chand2025-09-1014")</f>
        <v>Girish Chand2025-09-1014</v>
      </c>
      <c r="K5224" s="115">
        <f>IFERROR(__xludf.DUMMYFUNCTION("""COMPUTED_VALUE"""),24808.0)</f>
        <v>24808</v>
      </c>
    </row>
    <row r="5225">
      <c r="A5225" s="115" t="str">
        <f>IFERROR(__xludf.DUMMYFUNCTION("""COMPUTED_VALUE"""),"EAST")</f>
        <v>EAST</v>
      </c>
      <c r="B5225" s="115" t="str">
        <f>IFERROR(__xludf.DUMMYFUNCTION("""COMPUTED_VALUE"""),"Girish Chand")</f>
        <v>Girish Chand</v>
      </c>
      <c r="C5225" s="115" t="str">
        <f>IFERROR(__xludf.DUMMYFUNCTION("""COMPUTED_VALUE"""),"FLIPKART")</f>
        <v>FLIPKART</v>
      </c>
      <c r="D5225" s="115">
        <f>IFERROR(__xludf.DUMMYFUNCTION("""COMPUTED_VALUE"""),422646.0)</f>
        <v>422646</v>
      </c>
      <c r="E5225" s="115">
        <f>IFERROR(__xludf.DUMMYFUNCTION("""COMPUTED_VALUE"""),37224.0)</f>
        <v>37224</v>
      </c>
      <c r="F5225" s="115">
        <f>IFERROR(__xludf.DUMMYFUNCTION("""COMPUTED_VALUE"""),197377.0)</f>
        <v>197377</v>
      </c>
      <c r="G5225" s="115">
        <f>IFERROR(__xludf.DUMMYFUNCTION("""COMPUTED_VALUE"""),5945.0)</f>
        <v>5945</v>
      </c>
      <c r="H5225" s="116">
        <f>IFERROR(__xludf.DUMMYFUNCTION("""COMPUTED_VALUE"""),45910.0)</f>
        <v>45910</v>
      </c>
      <c r="I5225" s="115" t="str">
        <f>IFERROR(__xludf.DUMMYFUNCTION("""COMPUTED_VALUE"""),"14")</f>
        <v>14</v>
      </c>
      <c r="J5225" s="115" t="str">
        <f>IFERROR(__xludf.DUMMYFUNCTION("""COMPUTED_VALUE"""),"Girish Chand2025-09-1014")</f>
        <v>Girish Chand2025-09-1014</v>
      </c>
      <c r="K5225" s="115">
        <f>IFERROR(__xludf.DUMMYFUNCTION("""COMPUTED_VALUE"""),459870.0)</f>
        <v>459870</v>
      </c>
    </row>
    <row r="5226">
      <c r="A5226" s="115" t="str">
        <f>IFERROR(__xludf.DUMMYFUNCTION("""COMPUTED_VALUE"""),"EAST")</f>
        <v>EAST</v>
      </c>
      <c r="B5226" s="115" t="str">
        <f>IFERROR(__xludf.DUMMYFUNCTION("""COMPUTED_VALUE"""),"Girish Chand")</f>
        <v>Girish Chand</v>
      </c>
      <c r="C5226" s="115" t="str">
        <f>IFERROR(__xludf.DUMMYFUNCTION("""COMPUTED_VALUE"""),"MYNTRA")</f>
        <v>MYNTRA</v>
      </c>
      <c r="D5226" s="115">
        <f>IFERROR(__xludf.DUMMYFUNCTION("""COMPUTED_VALUE"""),36416.0)</f>
        <v>36416</v>
      </c>
      <c r="E5226" s="115">
        <f>IFERROR(__xludf.DUMMYFUNCTION("""COMPUTED_VALUE"""),7810.0)</f>
        <v>7810</v>
      </c>
      <c r="F5226" s="115">
        <f>IFERROR(__xludf.DUMMYFUNCTION("""COMPUTED_VALUE"""),18111.0)</f>
        <v>18111</v>
      </c>
      <c r="G5226" s="115">
        <f>IFERROR(__xludf.DUMMYFUNCTION("""COMPUTED_VALUE"""),1510.0)</f>
        <v>1510</v>
      </c>
      <c r="H5226" s="116">
        <f>IFERROR(__xludf.DUMMYFUNCTION("""COMPUTED_VALUE"""),45910.0)</f>
        <v>45910</v>
      </c>
      <c r="I5226" s="115" t="str">
        <f>IFERROR(__xludf.DUMMYFUNCTION("""COMPUTED_VALUE"""),"14")</f>
        <v>14</v>
      </c>
      <c r="J5226" s="115" t="str">
        <f>IFERROR(__xludf.DUMMYFUNCTION("""COMPUTED_VALUE"""),"Girish Chand2025-09-1014")</f>
        <v>Girish Chand2025-09-1014</v>
      </c>
      <c r="K5226" s="115">
        <f>IFERROR(__xludf.DUMMYFUNCTION("""COMPUTED_VALUE"""),44226.0)</f>
        <v>44226</v>
      </c>
    </row>
    <row r="5227">
      <c r="A5227" s="115" t="str">
        <f>IFERROR(__xludf.DUMMYFUNCTION("""COMPUTED_VALUE"""),"EAST")</f>
        <v>EAST</v>
      </c>
      <c r="B5227" s="115" t="str">
        <f>IFERROR(__xludf.DUMMYFUNCTION("""COMPUTED_VALUE"""),"Parag Kashyap")</f>
        <v>Parag Kashyap</v>
      </c>
      <c r="C5227" s="115" t="str">
        <f>IFERROR(__xludf.DUMMYFUNCTION("""COMPUTED_VALUE"""),"EXTERNAL")</f>
        <v>EXTERNAL</v>
      </c>
      <c r="D5227" s="115">
        <f>IFERROR(__xludf.DUMMYFUNCTION("""COMPUTED_VALUE"""),16360.0)</f>
        <v>16360</v>
      </c>
      <c r="E5227" s="115">
        <f>IFERROR(__xludf.DUMMYFUNCTION("""COMPUTED_VALUE"""),994.0)</f>
        <v>994</v>
      </c>
      <c r="F5227" s="115">
        <f>IFERROR(__xludf.DUMMYFUNCTION("""COMPUTED_VALUE"""),3730.0)</f>
        <v>3730</v>
      </c>
      <c r="G5227" s="115">
        <f>IFERROR(__xludf.DUMMYFUNCTION("""COMPUTED_VALUE"""),55.0)</f>
        <v>55</v>
      </c>
      <c r="H5227" s="116">
        <f>IFERROR(__xludf.DUMMYFUNCTION("""COMPUTED_VALUE"""),45910.0)</f>
        <v>45910</v>
      </c>
      <c r="I5227" s="115" t="str">
        <f>IFERROR(__xludf.DUMMYFUNCTION("""COMPUTED_VALUE"""),"14")</f>
        <v>14</v>
      </c>
      <c r="J5227" s="115" t="str">
        <f>IFERROR(__xludf.DUMMYFUNCTION("""COMPUTED_VALUE"""),"Parag Kashyap2025-09-1014")</f>
        <v>Parag Kashyap2025-09-1014</v>
      </c>
      <c r="K5227" s="115">
        <f>IFERROR(__xludf.DUMMYFUNCTION("""COMPUTED_VALUE"""),17354.0)</f>
        <v>17354</v>
      </c>
    </row>
    <row r="5228">
      <c r="A5228" s="115" t="str">
        <f>IFERROR(__xludf.DUMMYFUNCTION("""COMPUTED_VALUE"""),"EAST")</f>
        <v>EAST</v>
      </c>
      <c r="B5228" s="115" t="str">
        <f>IFERROR(__xludf.DUMMYFUNCTION("""COMPUTED_VALUE"""),"Parag Kashyap")</f>
        <v>Parag Kashyap</v>
      </c>
      <c r="C5228" s="115" t="str">
        <f>IFERROR(__xludf.DUMMYFUNCTION("""COMPUTED_VALUE"""),"FLIPKART")</f>
        <v>FLIPKART</v>
      </c>
      <c r="D5228" s="115">
        <f>IFERROR(__xludf.DUMMYFUNCTION("""COMPUTED_VALUE"""),295358.0)</f>
        <v>295358</v>
      </c>
      <c r="E5228" s="115">
        <f>IFERROR(__xludf.DUMMYFUNCTION("""COMPUTED_VALUE"""),18830.0)</f>
        <v>18830</v>
      </c>
      <c r="F5228" s="115">
        <f>IFERROR(__xludf.DUMMYFUNCTION("""COMPUTED_VALUE"""),120442.0)</f>
        <v>120442</v>
      </c>
      <c r="G5228" s="115">
        <f>IFERROR(__xludf.DUMMYFUNCTION("""COMPUTED_VALUE"""),1851.0)</f>
        <v>1851</v>
      </c>
      <c r="H5228" s="116">
        <f>IFERROR(__xludf.DUMMYFUNCTION("""COMPUTED_VALUE"""),45910.0)</f>
        <v>45910</v>
      </c>
      <c r="I5228" s="115" t="str">
        <f>IFERROR(__xludf.DUMMYFUNCTION("""COMPUTED_VALUE"""),"14")</f>
        <v>14</v>
      </c>
      <c r="J5228" s="115" t="str">
        <f>IFERROR(__xludf.DUMMYFUNCTION("""COMPUTED_VALUE"""),"Parag Kashyap2025-09-1014")</f>
        <v>Parag Kashyap2025-09-1014</v>
      </c>
      <c r="K5228" s="115">
        <f>IFERROR(__xludf.DUMMYFUNCTION("""COMPUTED_VALUE"""),314188.0)</f>
        <v>314188</v>
      </c>
    </row>
    <row r="5229">
      <c r="A5229" s="115" t="str">
        <f>IFERROR(__xludf.DUMMYFUNCTION("""COMPUTED_VALUE"""),"EAST")</f>
        <v>EAST</v>
      </c>
      <c r="B5229" s="115" t="str">
        <f>IFERROR(__xludf.DUMMYFUNCTION("""COMPUTED_VALUE"""),"Parag Kashyap")</f>
        <v>Parag Kashyap</v>
      </c>
      <c r="C5229" s="115" t="str">
        <f>IFERROR(__xludf.DUMMYFUNCTION("""COMPUTED_VALUE"""),"MYNTRA")</f>
        <v>MYNTRA</v>
      </c>
      <c r="D5229" s="115">
        <f>IFERROR(__xludf.DUMMYFUNCTION("""COMPUTED_VALUE"""),37882.0)</f>
        <v>37882</v>
      </c>
      <c r="E5229" s="115">
        <f>IFERROR(__xludf.DUMMYFUNCTION("""COMPUTED_VALUE"""),5596.0)</f>
        <v>5596</v>
      </c>
      <c r="F5229" s="115">
        <f>IFERROR(__xludf.DUMMYFUNCTION("""COMPUTED_VALUE"""),16435.0)</f>
        <v>16435</v>
      </c>
      <c r="G5229" s="115">
        <f>IFERROR(__xludf.DUMMYFUNCTION("""COMPUTED_VALUE"""),571.0)</f>
        <v>571</v>
      </c>
      <c r="H5229" s="116">
        <f>IFERROR(__xludf.DUMMYFUNCTION("""COMPUTED_VALUE"""),45910.0)</f>
        <v>45910</v>
      </c>
      <c r="I5229" s="115" t="str">
        <f>IFERROR(__xludf.DUMMYFUNCTION("""COMPUTED_VALUE"""),"14")</f>
        <v>14</v>
      </c>
      <c r="J5229" s="115" t="str">
        <f>IFERROR(__xludf.DUMMYFUNCTION("""COMPUTED_VALUE"""),"Parag Kashyap2025-09-1014")</f>
        <v>Parag Kashyap2025-09-1014</v>
      </c>
      <c r="K5229" s="115">
        <f>IFERROR(__xludf.DUMMYFUNCTION("""COMPUTED_VALUE"""),43478.0)</f>
        <v>43478</v>
      </c>
    </row>
    <row r="5230">
      <c r="A5230" s="115" t="str">
        <f>IFERROR(__xludf.DUMMYFUNCTION("""COMPUTED_VALUE"""),"NORTH")</f>
        <v>NORTH</v>
      </c>
      <c r="B5230" s="115" t="str">
        <f>IFERROR(__xludf.DUMMYFUNCTION("""COMPUTED_VALUE"""),"Amit Kumar Pathak")</f>
        <v>Amit Kumar Pathak</v>
      </c>
      <c r="C5230" s="115" t="str">
        <f>IFERROR(__xludf.DUMMYFUNCTION("""COMPUTED_VALUE"""),"EXTERNAL")</f>
        <v>EXTERNAL</v>
      </c>
      <c r="D5230" s="115">
        <f>IFERROR(__xludf.DUMMYFUNCTION("""COMPUTED_VALUE"""),18846.0)</f>
        <v>18846</v>
      </c>
      <c r="E5230" s="115">
        <f>IFERROR(__xludf.DUMMYFUNCTION("""COMPUTED_VALUE"""),3900.0)</f>
        <v>3900</v>
      </c>
      <c r="F5230" s="115">
        <f>IFERROR(__xludf.DUMMYFUNCTION("""COMPUTED_VALUE"""),4064.0)</f>
        <v>4064</v>
      </c>
      <c r="G5230" s="115">
        <f>IFERROR(__xludf.DUMMYFUNCTION("""COMPUTED_VALUE"""),852.0)</f>
        <v>852</v>
      </c>
      <c r="H5230" s="116">
        <f>IFERROR(__xludf.DUMMYFUNCTION("""COMPUTED_VALUE"""),45910.0)</f>
        <v>45910</v>
      </c>
      <c r="I5230" s="115" t="str">
        <f>IFERROR(__xludf.DUMMYFUNCTION("""COMPUTED_VALUE"""),"14")</f>
        <v>14</v>
      </c>
      <c r="J5230" s="115" t="str">
        <f>IFERROR(__xludf.DUMMYFUNCTION("""COMPUTED_VALUE"""),"Amit Kumar Pathak2025-09-1014")</f>
        <v>Amit Kumar Pathak2025-09-1014</v>
      </c>
      <c r="K5230" s="115">
        <f>IFERROR(__xludf.DUMMYFUNCTION("""COMPUTED_VALUE"""),22746.0)</f>
        <v>22746</v>
      </c>
    </row>
    <row r="5231">
      <c r="A5231" s="115" t="str">
        <f>IFERROR(__xludf.DUMMYFUNCTION("""COMPUTED_VALUE"""),"NORTH")</f>
        <v>NORTH</v>
      </c>
      <c r="B5231" s="115" t="str">
        <f>IFERROR(__xludf.DUMMYFUNCTION("""COMPUTED_VALUE"""),"Amit Kumar Pathak")</f>
        <v>Amit Kumar Pathak</v>
      </c>
      <c r="C5231" s="115" t="str">
        <f>IFERROR(__xludf.DUMMYFUNCTION("""COMPUTED_VALUE"""),"FLIPKART")</f>
        <v>FLIPKART</v>
      </c>
      <c r="D5231" s="115">
        <f>IFERROR(__xludf.DUMMYFUNCTION("""COMPUTED_VALUE"""),149891.0)</f>
        <v>149891</v>
      </c>
      <c r="E5231" s="115">
        <f>IFERROR(__xludf.DUMMYFUNCTION("""COMPUTED_VALUE"""),21490.0)</f>
        <v>21490</v>
      </c>
      <c r="F5231" s="115">
        <f>IFERROR(__xludf.DUMMYFUNCTION("""COMPUTED_VALUE"""),71827.0)</f>
        <v>71827</v>
      </c>
      <c r="G5231" s="115">
        <f>IFERROR(__xludf.DUMMYFUNCTION("""COMPUTED_VALUE"""),6624.0)</f>
        <v>6624</v>
      </c>
      <c r="H5231" s="116">
        <f>IFERROR(__xludf.DUMMYFUNCTION("""COMPUTED_VALUE"""),45910.0)</f>
        <v>45910</v>
      </c>
      <c r="I5231" s="115" t="str">
        <f>IFERROR(__xludf.DUMMYFUNCTION("""COMPUTED_VALUE"""),"14")</f>
        <v>14</v>
      </c>
      <c r="J5231" s="115" t="str">
        <f>IFERROR(__xludf.DUMMYFUNCTION("""COMPUTED_VALUE"""),"Amit Kumar Pathak2025-09-1014")</f>
        <v>Amit Kumar Pathak2025-09-1014</v>
      </c>
      <c r="K5231" s="115">
        <f>IFERROR(__xludf.DUMMYFUNCTION("""COMPUTED_VALUE"""),171381.0)</f>
        <v>171381</v>
      </c>
    </row>
    <row r="5232">
      <c r="A5232" s="115" t="str">
        <f>IFERROR(__xludf.DUMMYFUNCTION("""COMPUTED_VALUE"""),"NORTH")</f>
        <v>NORTH</v>
      </c>
      <c r="B5232" s="115" t="str">
        <f>IFERROR(__xludf.DUMMYFUNCTION("""COMPUTED_VALUE"""),"Amit Kumar Pathak")</f>
        <v>Amit Kumar Pathak</v>
      </c>
      <c r="C5232" s="115" t="str">
        <f>IFERROR(__xludf.DUMMYFUNCTION("""COMPUTED_VALUE"""),"MYNTRA")</f>
        <v>MYNTRA</v>
      </c>
      <c r="D5232" s="115">
        <f>IFERROR(__xludf.DUMMYFUNCTION("""COMPUTED_VALUE"""),12175.0)</f>
        <v>12175</v>
      </c>
      <c r="E5232" s="115">
        <f>IFERROR(__xludf.DUMMYFUNCTION("""COMPUTED_VALUE"""),5552.0)</f>
        <v>5552</v>
      </c>
      <c r="F5232" s="115">
        <f>IFERROR(__xludf.DUMMYFUNCTION("""COMPUTED_VALUE"""),7027.0)</f>
        <v>7027</v>
      </c>
      <c r="G5232" s="115">
        <f>IFERROR(__xludf.DUMMYFUNCTION("""COMPUTED_VALUE"""),1980.0)</f>
        <v>1980</v>
      </c>
      <c r="H5232" s="116">
        <f>IFERROR(__xludf.DUMMYFUNCTION("""COMPUTED_VALUE"""),45910.0)</f>
        <v>45910</v>
      </c>
      <c r="I5232" s="115" t="str">
        <f>IFERROR(__xludf.DUMMYFUNCTION("""COMPUTED_VALUE"""),"14")</f>
        <v>14</v>
      </c>
      <c r="J5232" s="115" t="str">
        <f>IFERROR(__xludf.DUMMYFUNCTION("""COMPUTED_VALUE"""),"Amit Kumar Pathak2025-09-1014")</f>
        <v>Amit Kumar Pathak2025-09-1014</v>
      </c>
      <c r="K5232" s="115">
        <f>IFERROR(__xludf.DUMMYFUNCTION("""COMPUTED_VALUE"""),17727.0)</f>
        <v>17727</v>
      </c>
    </row>
    <row r="5233">
      <c r="A5233" s="115" t="str">
        <f>IFERROR(__xludf.DUMMYFUNCTION("""COMPUTED_VALUE"""),"NORTH")</f>
        <v>NORTH</v>
      </c>
      <c r="B5233" s="115" t="str">
        <f>IFERROR(__xludf.DUMMYFUNCTION("""COMPUTED_VALUE"""),"Loveleen Singh")</f>
        <v>Loveleen Singh</v>
      </c>
      <c r="C5233" s="115" t="str">
        <f>IFERROR(__xludf.DUMMYFUNCTION("""COMPUTED_VALUE"""),"EXTERNAL")</f>
        <v>EXTERNAL</v>
      </c>
      <c r="D5233" s="115">
        <f>IFERROR(__xludf.DUMMYFUNCTION("""COMPUTED_VALUE"""),30091.0)</f>
        <v>30091</v>
      </c>
      <c r="E5233" s="115">
        <f>IFERROR(__xludf.DUMMYFUNCTION("""COMPUTED_VALUE"""),2593.0)</f>
        <v>2593</v>
      </c>
      <c r="F5233" s="115">
        <f>IFERROR(__xludf.DUMMYFUNCTION("""COMPUTED_VALUE"""),7444.0)</f>
        <v>7444</v>
      </c>
      <c r="G5233" s="115">
        <f>IFERROR(__xludf.DUMMYFUNCTION("""COMPUTED_VALUE"""),293.0)</f>
        <v>293</v>
      </c>
      <c r="H5233" s="116">
        <f>IFERROR(__xludf.DUMMYFUNCTION("""COMPUTED_VALUE"""),45910.0)</f>
        <v>45910</v>
      </c>
      <c r="I5233" s="115" t="str">
        <f>IFERROR(__xludf.DUMMYFUNCTION("""COMPUTED_VALUE"""),"14")</f>
        <v>14</v>
      </c>
      <c r="J5233" s="115" t="str">
        <f>IFERROR(__xludf.DUMMYFUNCTION("""COMPUTED_VALUE"""),"Loveleen Singh2025-09-1014")</f>
        <v>Loveleen Singh2025-09-1014</v>
      </c>
      <c r="K5233" s="115">
        <f>IFERROR(__xludf.DUMMYFUNCTION("""COMPUTED_VALUE"""),32684.0)</f>
        <v>32684</v>
      </c>
    </row>
    <row r="5234">
      <c r="A5234" s="115" t="str">
        <f>IFERROR(__xludf.DUMMYFUNCTION("""COMPUTED_VALUE"""),"NORTH")</f>
        <v>NORTH</v>
      </c>
      <c r="B5234" s="115" t="str">
        <f>IFERROR(__xludf.DUMMYFUNCTION("""COMPUTED_VALUE"""),"Loveleen Singh")</f>
        <v>Loveleen Singh</v>
      </c>
      <c r="C5234" s="115" t="str">
        <f>IFERROR(__xludf.DUMMYFUNCTION("""COMPUTED_VALUE"""),"FLIPKART")</f>
        <v>FLIPKART</v>
      </c>
      <c r="D5234" s="115">
        <f>IFERROR(__xludf.DUMMYFUNCTION("""COMPUTED_VALUE"""),173206.0)</f>
        <v>173206</v>
      </c>
      <c r="E5234" s="115">
        <f>IFERROR(__xludf.DUMMYFUNCTION("""COMPUTED_VALUE"""),14229.0)</f>
        <v>14229</v>
      </c>
      <c r="F5234" s="115">
        <f>IFERROR(__xludf.DUMMYFUNCTION("""COMPUTED_VALUE"""),82497.0)</f>
        <v>82497</v>
      </c>
      <c r="G5234" s="115">
        <f>IFERROR(__xludf.DUMMYFUNCTION("""COMPUTED_VALUE"""),2838.0)</f>
        <v>2838</v>
      </c>
      <c r="H5234" s="116">
        <f>IFERROR(__xludf.DUMMYFUNCTION("""COMPUTED_VALUE"""),45910.0)</f>
        <v>45910</v>
      </c>
      <c r="I5234" s="115" t="str">
        <f>IFERROR(__xludf.DUMMYFUNCTION("""COMPUTED_VALUE"""),"14")</f>
        <v>14</v>
      </c>
      <c r="J5234" s="115" t="str">
        <f>IFERROR(__xludf.DUMMYFUNCTION("""COMPUTED_VALUE"""),"Loveleen Singh2025-09-1014")</f>
        <v>Loveleen Singh2025-09-1014</v>
      </c>
      <c r="K5234" s="115">
        <f>IFERROR(__xludf.DUMMYFUNCTION("""COMPUTED_VALUE"""),187435.0)</f>
        <v>187435</v>
      </c>
    </row>
    <row r="5235">
      <c r="A5235" s="115" t="str">
        <f>IFERROR(__xludf.DUMMYFUNCTION("""COMPUTED_VALUE"""),"NORTH")</f>
        <v>NORTH</v>
      </c>
      <c r="B5235" s="115" t="str">
        <f>IFERROR(__xludf.DUMMYFUNCTION("""COMPUTED_VALUE"""),"Loveleen Singh")</f>
        <v>Loveleen Singh</v>
      </c>
      <c r="C5235" s="115" t="str">
        <f>IFERROR(__xludf.DUMMYFUNCTION("""COMPUTED_VALUE"""),"MYNTRA")</f>
        <v>MYNTRA</v>
      </c>
      <c r="D5235" s="115">
        <f>IFERROR(__xludf.DUMMYFUNCTION("""COMPUTED_VALUE"""),28859.0)</f>
        <v>28859</v>
      </c>
      <c r="E5235" s="115">
        <f>IFERROR(__xludf.DUMMYFUNCTION("""COMPUTED_VALUE"""),6863.0)</f>
        <v>6863</v>
      </c>
      <c r="F5235" s="115">
        <f>IFERROR(__xludf.DUMMYFUNCTION("""COMPUTED_VALUE"""),15556.0)</f>
        <v>15556</v>
      </c>
      <c r="G5235" s="115">
        <f>IFERROR(__xludf.DUMMYFUNCTION("""COMPUTED_VALUE"""),1703.0)</f>
        <v>1703</v>
      </c>
      <c r="H5235" s="116">
        <f>IFERROR(__xludf.DUMMYFUNCTION("""COMPUTED_VALUE"""),45910.0)</f>
        <v>45910</v>
      </c>
      <c r="I5235" s="115" t="str">
        <f>IFERROR(__xludf.DUMMYFUNCTION("""COMPUTED_VALUE"""),"14")</f>
        <v>14</v>
      </c>
      <c r="J5235" s="115" t="str">
        <f>IFERROR(__xludf.DUMMYFUNCTION("""COMPUTED_VALUE"""),"Loveleen Singh2025-09-1014")</f>
        <v>Loveleen Singh2025-09-1014</v>
      </c>
      <c r="K5235" s="115">
        <f>IFERROR(__xludf.DUMMYFUNCTION("""COMPUTED_VALUE"""),35722.0)</f>
        <v>35722</v>
      </c>
    </row>
    <row r="5236">
      <c r="A5236" s="115" t="str">
        <f>IFERROR(__xludf.DUMMYFUNCTION("""COMPUTED_VALUE"""),"NORTH")</f>
        <v>NORTH</v>
      </c>
      <c r="B5236" s="115" t="str">
        <f>IFERROR(__xludf.DUMMYFUNCTION("""COMPUTED_VALUE"""),"Manoj Harsh")</f>
        <v>Manoj Harsh</v>
      </c>
      <c r="C5236" s="115" t="str">
        <f>IFERROR(__xludf.DUMMYFUNCTION("""COMPUTED_VALUE"""),"EXTERNAL")</f>
        <v>EXTERNAL</v>
      </c>
      <c r="D5236" s="115">
        <f>IFERROR(__xludf.DUMMYFUNCTION("""COMPUTED_VALUE"""),29932.0)</f>
        <v>29932</v>
      </c>
      <c r="E5236" s="115">
        <f>IFERROR(__xludf.DUMMYFUNCTION("""COMPUTED_VALUE"""),3382.0)</f>
        <v>3382</v>
      </c>
      <c r="F5236" s="115">
        <f>IFERROR(__xludf.DUMMYFUNCTION("""COMPUTED_VALUE"""),7845.0)</f>
        <v>7845</v>
      </c>
      <c r="G5236" s="115">
        <f>IFERROR(__xludf.DUMMYFUNCTION("""COMPUTED_VALUE"""),356.0)</f>
        <v>356</v>
      </c>
      <c r="H5236" s="116">
        <f>IFERROR(__xludf.DUMMYFUNCTION("""COMPUTED_VALUE"""),45910.0)</f>
        <v>45910</v>
      </c>
      <c r="I5236" s="115" t="str">
        <f>IFERROR(__xludf.DUMMYFUNCTION("""COMPUTED_VALUE"""),"14")</f>
        <v>14</v>
      </c>
      <c r="J5236" s="115" t="str">
        <f>IFERROR(__xludf.DUMMYFUNCTION("""COMPUTED_VALUE"""),"Manoj Harsh2025-09-1014")</f>
        <v>Manoj Harsh2025-09-1014</v>
      </c>
      <c r="K5236" s="115">
        <f>IFERROR(__xludf.DUMMYFUNCTION("""COMPUTED_VALUE"""),33314.0)</f>
        <v>33314</v>
      </c>
    </row>
    <row r="5237">
      <c r="A5237" s="115" t="str">
        <f>IFERROR(__xludf.DUMMYFUNCTION("""COMPUTED_VALUE"""),"NORTH")</f>
        <v>NORTH</v>
      </c>
      <c r="B5237" s="115" t="str">
        <f>IFERROR(__xludf.DUMMYFUNCTION("""COMPUTED_VALUE"""),"Manoj Harsh")</f>
        <v>Manoj Harsh</v>
      </c>
      <c r="C5237" s="115" t="str">
        <f>IFERROR(__xludf.DUMMYFUNCTION("""COMPUTED_VALUE"""),"FLIPKART")</f>
        <v>FLIPKART</v>
      </c>
      <c r="D5237" s="115">
        <f>IFERROR(__xludf.DUMMYFUNCTION("""COMPUTED_VALUE"""),365703.0)</f>
        <v>365703</v>
      </c>
      <c r="E5237" s="115">
        <f>IFERROR(__xludf.DUMMYFUNCTION("""COMPUTED_VALUE"""),37493.0)</f>
        <v>37493</v>
      </c>
      <c r="F5237" s="115">
        <f>IFERROR(__xludf.DUMMYFUNCTION("""COMPUTED_VALUE"""),165758.0)</f>
        <v>165758</v>
      </c>
      <c r="G5237" s="115">
        <f>IFERROR(__xludf.DUMMYFUNCTION("""COMPUTED_VALUE"""),7093.0)</f>
        <v>7093</v>
      </c>
      <c r="H5237" s="116">
        <f>IFERROR(__xludf.DUMMYFUNCTION("""COMPUTED_VALUE"""),45910.0)</f>
        <v>45910</v>
      </c>
      <c r="I5237" s="115" t="str">
        <f>IFERROR(__xludf.DUMMYFUNCTION("""COMPUTED_VALUE"""),"14")</f>
        <v>14</v>
      </c>
      <c r="J5237" s="115" t="str">
        <f>IFERROR(__xludf.DUMMYFUNCTION("""COMPUTED_VALUE"""),"Manoj Harsh2025-09-1014")</f>
        <v>Manoj Harsh2025-09-1014</v>
      </c>
      <c r="K5237" s="115">
        <f>IFERROR(__xludf.DUMMYFUNCTION("""COMPUTED_VALUE"""),403196.0)</f>
        <v>403196</v>
      </c>
    </row>
    <row r="5238">
      <c r="A5238" s="115" t="str">
        <f>IFERROR(__xludf.DUMMYFUNCTION("""COMPUTED_VALUE"""),"NORTH")</f>
        <v>NORTH</v>
      </c>
      <c r="B5238" s="115" t="str">
        <f>IFERROR(__xludf.DUMMYFUNCTION("""COMPUTED_VALUE"""),"Manoj Harsh")</f>
        <v>Manoj Harsh</v>
      </c>
      <c r="C5238" s="115" t="str">
        <f>IFERROR(__xludf.DUMMYFUNCTION("""COMPUTED_VALUE"""),"MYNTRA")</f>
        <v>MYNTRA</v>
      </c>
      <c r="D5238" s="115">
        <f>IFERROR(__xludf.DUMMYFUNCTION("""COMPUTED_VALUE"""),31610.0)</f>
        <v>31610</v>
      </c>
      <c r="E5238" s="115">
        <f>IFERROR(__xludf.DUMMYFUNCTION("""COMPUTED_VALUE"""),7656.0)</f>
        <v>7656</v>
      </c>
      <c r="F5238" s="115">
        <f>IFERROR(__xludf.DUMMYFUNCTION("""COMPUTED_VALUE"""),16650.0)</f>
        <v>16650</v>
      </c>
      <c r="G5238" s="115">
        <f>IFERROR(__xludf.DUMMYFUNCTION("""COMPUTED_VALUE"""),1805.0)</f>
        <v>1805</v>
      </c>
      <c r="H5238" s="116">
        <f>IFERROR(__xludf.DUMMYFUNCTION("""COMPUTED_VALUE"""),45910.0)</f>
        <v>45910</v>
      </c>
      <c r="I5238" s="115" t="str">
        <f>IFERROR(__xludf.DUMMYFUNCTION("""COMPUTED_VALUE"""),"14")</f>
        <v>14</v>
      </c>
      <c r="J5238" s="115" t="str">
        <f>IFERROR(__xludf.DUMMYFUNCTION("""COMPUTED_VALUE"""),"Manoj Harsh2025-09-1014")</f>
        <v>Manoj Harsh2025-09-1014</v>
      </c>
      <c r="K5238" s="115">
        <f>IFERROR(__xludf.DUMMYFUNCTION("""COMPUTED_VALUE"""),39266.0)</f>
        <v>39266</v>
      </c>
    </row>
    <row r="5239">
      <c r="A5239" s="115" t="str">
        <f>IFERROR(__xludf.DUMMYFUNCTION("""COMPUTED_VALUE"""),"NORTH")</f>
        <v>NORTH</v>
      </c>
      <c r="B5239" s="115" t="str">
        <f>IFERROR(__xludf.DUMMYFUNCTION("""COMPUTED_VALUE"""),"Pradeep Kothari")</f>
        <v>Pradeep Kothari</v>
      </c>
      <c r="C5239" s="115" t="str">
        <f>IFERROR(__xludf.DUMMYFUNCTION("""COMPUTED_VALUE"""),"EXTERNAL")</f>
        <v>EXTERNAL</v>
      </c>
      <c r="D5239" s="115">
        <f>IFERROR(__xludf.DUMMYFUNCTION("""COMPUTED_VALUE"""),17418.0)</f>
        <v>17418</v>
      </c>
      <c r="E5239" s="115">
        <f>IFERROR(__xludf.DUMMYFUNCTION("""COMPUTED_VALUE"""),2341.0)</f>
        <v>2341</v>
      </c>
      <c r="F5239" s="115">
        <f>IFERROR(__xludf.DUMMYFUNCTION("""COMPUTED_VALUE"""),4894.0)</f>
        <v>4894</v>
      </c>
      <c r="G5239" s="115">
        <f>IFERROR(__xludf.DUMMYFUNCTION("""COMPUTED_VALUE"""),365.0)</f>
        <v>365</v>
      </c>
      <c r="H5239" s="116">
        <f>IFERROR(__xludf.DUMMYFUNCTION("""COMPUTED_VALUE"""),45910.0)</f>
        <v>45910</v>
      </c>
      <c r="I5239" s="115" t="str">
        <f>IFERROR(__xludf.DUMMYFUNCTION("""COMPUTED_VALUE"""),"14")</f>
        <v>14</v>
      </c>
      <c r="J5239" s="115" t="str">
        <f>IFERROR(__xludf.DUMMYFUNCTION("""COMPUTED_VALUE"""),"Pradeep Kothari2025-09-1014")</f>
        <v>Pradeep Kothari2025-09-1014</v>
      </c>
      <c r="K5239" s="115">
        <f>IFERROR(__xludf.DUMMYFUNCTION("""COMPUTED_VALUE"""),19759.0)</f>
        <v>19759</v>
      </c>
    </row>
    <row r="5240">
      <c r="A5240" s="115" t="str">
        <f>IFERROR(__xludf.DUMMYFUNCTION("""COMPUTED_VALUE"""),"NORTH")</f>
        <v>NORTH</v>
      </c>
      <c r="B5240" s="115" t="str">
        <f>IFERROR(__xludf.DUMMYFUNCTION("""COMPUTED_VALUE"""),"Pradeep Kothari")</f>
        <v>Pradeep Kothari</v>
      </c>
      <c r="C5240" s="115" t="str">
        <f>IFERROR(__xludf.DUMMYFUNCTION("""COMPUTED_VALUE"""),"FLIPKART")</f>
        <v>FLIPKART</v>
      </c>
      <c r="D5240" s="115">
        <f>IFERROR(__xludf.DUMMYFUNCTION("""COMPUTED_VALUE"""),142033.0)</f>
        <v>142033</v>
      </c>
      <c r="E5240" s="115">
        <f>IFERROR(__xludf.DUMMYFUNCTION("""COMPUTED_VALUE"""),16183.0)</f>
        <v>16183</v>
      </c>
      <c r="F5240" s="115">
        <f>IFERROR(__xludf.DUMMYFUNCTION("""COMPUTED_VALUE"""),77383.0)</f>
        <v>77383</v>
      </c>
      <c r="G5240" s="115">
        <f>IFERROR(__xludf.DUMMYFUNCTION("""COMPUTED_VALUE"""),4480.0)</f>
        <v>4480</v>
      </c>
      <c r="H5240" s="116">
        <f>IFERROR(__xludf.DUMMYFUNCTION("""COMPUTED_VALUE"""),45910.0)</f>
        <v>45910</v>
      </c>
      <c r="I5240" s="115" t="str">
        <f>IFERROR(__xludf.DUMMYFUNCTION("""COMPUTED_VALUE"""),"14")</f>
        <v>14</v>
      </c>
      <c r="J5240" s="115" t="str">
        <f>IFERROR(__xludf.DUMMYFUNCTION("""COMPUTED_VALUE"""),"Pradeep Kothari2025-09-1014")</f>
        <v>Pradeep Kothari2025-09-1014</v>
      </c>
      <c r="K5240" s="115">
        <f>IFERROR(__xludf.DUMMYFUNCTION("""COMPUTED_VALUE"""),158216.0)</f>
        <v>158216</v>
      </c>
    </row>
    <row r="5241">
      <c r="A5241" s="115" t="str">
        <f>IFERROR(__xludf.DUMMYFUNCTION("""COMPUTED_VALUE"""),"NORTH")</f>
        <v>NORTH</v>
      </c>
      <c r="B5241" s="115" t="str">
        <f>IFERROR(__xludf.DUMMYFUNCTION("""COMPUTED_VALUE"""),"Pradeep Kothari")</f>
        <v>Pradeep Kothari</v>
      </c>
      <c r="C5241" s="115" t="str">
        <f>IFERROR(__xludf.DUMMYFUNCTION("""COMPUTED_VALUE"""),"MYNTRA")</f>
        <v>MYNTRA</v>
      </c>
      <c r="D5241" s="115">
        <f>IFERROR(__xludf.DUMMYFUNCTION("""COMPUTED_VALUE"""),22683.0)</f>
        <v>22683</v>
      </c>
      <c r="E5241" s="115">
        <f>IFERROR(__xludf.DUMMYFUNCTION("""COMPUTED_VALUE"""),6962.0)</f>
        <v>6962</v>
      </c>
      <c r="F5241" s="115">
        <f>IFERROR(__xludf.DUMMYFUNCTION("""COMPUTED_VALUE"""),14430.0)</f>
        <v>14430</v>
      </c>
      <c r="G5241" s="115">
        <f>IFERROR(__xludf.DUMMYFUNCTION("""COMPUTED_VALUE"""),2361.0)</f>
        <v>2361</v>
      </c>
      <c r="H5241" s="116">
        <f>IFERROR(__xludf.DUMMYFUNCTION("""COMPUTED_VALUE"""),45910.0)</f>
        <v>45910</v>
      </c>
      <c r="I5241" s="115" t="str">
        <f>IFERROR(__xludf.DUMMYFUNCTION("""COMPUTED_VALUE"""),"14")</f>
        <v>14</v>
      </c>
      <c r="J5241" s="115" t="str">
        <f>IFERROR(__xludf.DUMMYFUNCTION("""COMPUTED_VALUE"""),"Pradeep Kothari2025-09-1014")</f>
        <v>Pradeep Kothari2025-09-1014</v>
      </c>
      <c r="K5241" s="115">
        <f>IFERROR(__xludf.DUMMYFUNCTION("""COMPUTED_VALUE"""),29645.0)</f>
        <v>29645</v>
      </c>
    </row>
    <row r="5242">
      <c r="A5242" s="115" t="str">
        <f>IFERROR(__xludf.DUMMYFUNCTION("""COMPUTED_VALUE"""),"SOUTH")</f>
        <v>SOUTH</v>
      </c>
      <c r="B5242" s="115" t="str">
        <f>IFERROR(__xludf.DUMMYFUNCTION("""COMPUTED_VALUE"""),"0")</f>
        <v>0</v>
      </c>
      <c r="C5242" s="115" t="str">
        <f>IFERROR(__xludf.DUMMYFUNCTION("""COMPUTED_VALUE"""),"EXTERNAL")</f>
        <v>EXTERNAL</v>
      </c>
      <c r="D5242" s="115">
        <f>IFERROR(__xludf.DUMMYFUNCTION("""COMPUTED_VALUE"""),2.0)</f>
        <v>2</v>
      </c>
      <c r="E5242" s="115">
        <f>IFERROR(__xludf.DUMMYFUNCTION("""COMPUTED_VALUE"""),0.0)</f>
        <v>0</v>
      </c>
      <c r="F5242" s="115">
        <f>IFERROR(__xludf.DUMMYFUNCTION("""COMPUTED_VALUE"""),0.0)</f>
        <v>0</v>
      </c>
      <c r="G5242" s="115">
        <f>IFERROR(__xludf.DUMMYFUNCTION("""COMPUTED_VALUE"""),0.0)</f>
        <v>0</v>
      </c>
      <c r="H5242" s="116">
        <f>IFERROR(__xludf.DUMMYFUNCTION("""COMPUTED_VALUE"""),45910.0)</f>
        <v>45910</v>
      </c>
      <c r="I5242" s="115" t="str">
        <f>IFERROR(__xludf.DUMMYFUNCTION("""COMPUTED_VALUE"""),"14")</f>
        <v>14</v>
      </c>
      <c r="J5242" s="115" t="str">
        <f>IFERROR(__xludf.DUMMYFUNCTION("""COMPUTED_VALUE"""),"02025-09-1014")</f>
        <v>02025-09-1014</v>
      </c>
      <c r="K5242" s="115">
        <f>IFERROR(__xludf.DUMMYFUNCTION("""COMPUTED_VALUE"""),2.0)</f>
        <v>2</v>
      </c>
    </row>
    <row r="5243">
      <c r="A5243" s="115" t="str">
        <f>IFERROR(__xludf.DUMMYFUNCTION("""COMPUTED_VALUE"""),"SOUTH")</f>
        <v>SOUTH</v>
      </c>
      <c r="B5243" s="115" t="str">
        <f>IFERROR(__xludf.DUMMYFUNCTION("""COMPUTED_VALUE"""),"0")</f>
        <v>0</v>
      </c>
      <c r="C5243" s="115" t="str">
        <f>IFERROR(__xludf.DUMMYFUNCTION("""COMPUTED_VALUE"""),"FLIPKART")</f>
        <v>FLIPKART</v>
      </c>
      <c r="D5243" s="115">
        <f>IFERROR(__xludf.DUMMYFUNCTION("""COMPUTED_VALUE"""),78.0)</f>
        <v>78</v>
      </c>
      <c r="E5243" s="115">
        <f>IFERROR(__xludf.DUMMYFUNCTION("""COMPUTED_VALUE"""),12.0)</f>
        <v>12</v>
      </c>
      <c r="F5243" s="115">
        <f>IFERROR(__xludf.DUMMYFUNCTION("""COMPUTED_VALUE"""),0.0)</f>
        <v>0</v>
      </c>
      <c r="G5243" s="115">
        <f>IFERROR(__xludf.DUMMYFUNCTION("""COMPUTED_VALUE"""),0.0)</f>
        <v>0</v>
      </c>
      <c r="H5243" s="116">
        <f>IFERROR(__xludf.DUMMYFUNCTION("""COMPUTED_VALUE"""),45910.0)</f>
        <v>45910</v>
      </c>
      <c r="I5243" s="115" t="str">
        <f>IFERROR(__xludf.DUMMYFUNCTION("""COMPUTED_VALUE"""),"14")</f>
        <v>14</v>
      </c>
      <c r="J5243" s="115" t="str">
        <f>IFERROR(__xludf.DUMMYFUNCTION("""COMPUTED_VALUE"""),"02025-09-1014")</f>
        <v>02025-09-1014</v>
      </c>
      <c r="K5243" s="115">
        <f>IFERROR(__xludf.DUMMYFUNCTION("""COMPUTED_VALUE"""),90.0)</f>
        <v>90</v>
      </c>
    </row>
    <row r="5244">
      <c r="A5244" s="115" t="str">
        <f>IFERROR(__xludf.DUMMYFUNCTION("""COMPUTED_VALUE"""),"SOUTH")</f>
        <v>SOUTH</v>
      </c>
      <c r="B5244" s="115" t="str">
        <f>IFERROR(__xludf.DUMMYFUNCTION("""COMPUTED_VALUE"""),"0")</f>
        <v>0</v>
      </c>
      <c r="C5244" s="115" t="str">
        <f>IFERROR(__xludf.DUMMYFUNCTION("""COMPUTED_VALUE"""),"MYNTRA")</f>
        <v>MYNTRA</v>
      </c>
      <c r="D5244" s="115">
        <f>IFERROR(__xludf.DUMMYFUNCTION("""COMPUTED_VALUE"""),14.0)</f>
        <v>14</v>
      </c>
      <c r="E5244" s="115">
        <f>IFERROR(__xludf.DUMMYFUNCTION("""COMPUTED_VALUE"""),9.0)</f>
        <v>9</v>
      </c>
      <c r="F5244" s="115">
        <f>IFERROR(__xludf.DUMMYFUNCTION("""COMPUTED_VALUE"""),0.0)</f>
        <v>0</v>
      </c>
      <c r="G5244" s="115">
        <f>IFERROR(__xludf.DUMMYFUNCTION("""COMPUTED_VALUE"""),0.0)</f>
        <v>0</v>
      </c>
      <c r="H5244" s="116">
        <f>IFERROR(__xludf.DUMMYFUNCTION("""COMPUTED_VALUE"""),45910.0)</f>
        <v>45910</v>
      </c>
      <c r="I5244" s="115" t="str">
        <f>IFERROR(__xludf.DUMMYFUNCTION("""COMPUTED_VALUE"""),"14")</f>
        <v>14</v>
      </c>
      <c r="J5244" s="115" t="str">
        <f>IFERROR(__xludf.DUMMYFUNCTION("""COMPUTED_VALUE"""),"02025-09-1014")</f>
        <v>02025-09-1014</v>
      </c>
      <c r="K5244" s="115">
        <f>IFERROR(__xludf.DUMMYFUNCTION("""COMPUTED_VALUE"""),23.0)</f>
        <v>23</v>
      </c>
    </row>
    <row r="5245">
      <c r="A5245" s="115" t="str">
        <f>IFERROR(__xludf.DUMMYFUNCTION("""COMPUTED_VALUE"""),"SOUTH")</f>
        <v>SOUTH</v>
      </c>
      <c r="B5245" s="115" t="str">
        <f>IFERROR(__xludf.DUMMYFUNCTION("""COMPUTED_VALUE"""),"Kandula Sampath")</f>
        <v>Kandula Sampath</v>
      </c>
      <c r="C5245" s="115" t="str">
        <f>IFERROR(__xludf.DUMMYFUNCTION("""COMPUTED_VALUE"""),"EXTERNAL")</f>
        <v>EXTERNAL</v>
      </c>
      <c r="D5245" s="115">
        <f>IFERROR(__xludf.DUMMYFUNCTION("""COMPUTED_VALUE"""),29748.0)</f>
        <v>29748</v>
      </c>
      <c r="E5245" s="115">
        <f>IFERROR(__xludf.DUMMYFUNCTION("""COMPUTED_VALUE"""),4178.0)</f>
        <v>4178</v>
      </c>
      <c r="F5245" s="115">
        <f>IFERROR(__xludf.DUMMYFUNCTION("""COMPUTED_VALUE"""),8644.0)</f>
        <v>8644</v>
      </c>
      <c r="G5245" s="115">
        <f>IFERROR(__xludf.DUMMYFUNCTION("""COMPUTED_VALUE"""),559.0)</f>
        <v>559</v>
      </c>
      <c r="H5245" s="116">
        <f>IFERROR(__xludf.DUMMYFUNCTION("""COMPUTED_VALUE"""),45910.0)</f>
        <v>45910</v>
      </c>
      <c r="I5245" s="115" t="str">
        <f>IFERROR(__xludf.DUMMYFUNCTION("""COMPUTED_VALUE"""),"14")</f>
        <v>14</v>
      </c>
      <c r="J5245" s="115" t="str">
        <f>IFERROR(__xludf.DUMMYFUNCTION("""COMPUTED_VALUE"""),"Kandula Sampath2025-09-1014")</f>
        <v>Kandula Sampath2025-09-1014</v>
      </c>
      <c r="K5245" s="115">
        <f>IFERROR(__xludf.DUMMYFUNCTION("""COMPUTED_VALUE"""),33926.0)</f>
        <v>33926</v>
      </c>
    </row>
    <row r="5246">
      <c r="A5246" s="115" t="str">
        <f>IFERROR(__xludf.DUMMYFUNCTION("""COMPUTED_VALUE"""),"SOUTH")</f>
        <v>SOUTH</v>
      </c>
      <c r="B5246" s="115" t="str">
        <f>IFERROR(__xludf.DUMMYFUNCTION("""COMPUTED_VALUE"""),"Kandula Sampath")</f>
        <v>Kandula Sampath</v>
      </c>
      <c r="C5246" s="115" t="str">
        <f>IFERROR(__xludf.DUMMYFUNCTION("""COMPUTED_VALUE"""),"FLIPKART")</f>
        <v>FLIPKART</v>
      </c>
      <c r="D5246" s="115">
        <f>IFERROR(__xludf.DUMMYFUNCTION("""COMPUTED_VALUE"""),311071.0)</f>
        <v>311071</v>
      </c>
      <c r="E5246" s="115">
        <f>IFERROR(__xludf.DUMMYFUNCTION("""COMPUTED_VALUE"""),30516.0)</f>
        <v>30516</v>
      </c>
      <c r="F5246" s="115">
        <f>IFERROR(__xludf.DUMMYFUNCTION("""COMPUTED_VALUE"""),155740.0)</f>
        <v>155740</v>
      </c>
      <c r="G5246" s="115">
        <f>IFERROR(__xludf.DUMMYFUNCTION("""COMPUTED_VALUE"""),5799.0)</f>
        <v>5799</v>
      </c>
      <c r="H5246" s="116">
        <f>IFERROR(__xludf.DUMMYFUNCTION("""COMPUTED_VALUE"""),45910.0)</f>
        <v>45910</v>
      </c>
      <c r="I5246" s="115" t="str">
        <f>IFERROR(__xludf.DUMMYFUNCTION("""COMPUTED_VALUE"""),"14")</f>
        <v>14</v>
      </c>
      <c r="J5246" s="115" t="str">
        <f>IFERROR(__xludf.DUMMYFUNCTION("""COMPUTED_VALUE"""),"Kandula Sampath2025-09-1014")</f>
        <v>Kandula Sampath2025-09-1014</v>
      </c>
      <c r="K5246" s="115">
        <f>IFERROR(__xludf.DUMMYFUNCTION("""COMPUTED_VALUE"""),341587.0)</f>
        <v>341587</v>
      </c>
    </row>
    <row r="5247">
      <c r="A5247" s="115" t="str">
        <f>IFERROR(__xludf.DUMMYFUNCTION("""COMPUTED_VALUE"""),"SOUTH")</f>
        <v>SOUTH</v>
      </c>
      <c r="B5247" s="115" t="str">
        <f>IFERROR(__xludf.DUMMYFUNCTION("""COMPUTED_VALUE"""),"Kandula Sampath")</f>
        <v>Kandula Sampath</v>
      </c>
      <c r="C5247" s="115" t="str">
        <f>IFERROR(__xludf.DUMMYFUNCTION("""COMPUTED_VALUE"""),"MYNTRA")</f>
        <v>MYNTRA</v>
      </c>
      <c r="D5247" s="115">
        <f>IFERROR(__xludf.DUMMYFUNCTION("""COMPUTED_VALUE"""),34587.0)</f>
        <v>34587</v>
      </c>
      <c r="E5247" s="115">
        <f>IFERROR(__xludf.DUMMYFUNCTION("""COMPUTED_VALUE"""),9374.0)</f>
        <v>9374</v>
      </c>
      <c r="F5247" s="115">
        <f>IFERROR(__xludf.DUMMYFUNCTION("""COMPUTED_VALUE"""),19386.0)</f>
        <v>19386</v>
      </c>
      <c r="G5247" s="115">
        <f>IFERROR(__xludf.DUMMYFUNCTION("""COMPUTED_VALUE"""),1892.0)</f>
        <v>1892</v>
      </c>
      <c r="H5247" s="116">
        <f>IFERROR(__xludf.DUMMYFUNCTION("""COMPUTED_VALUE"""),45910.0)</f>
        <v>45910</v>
      </c>
      <c r="I5247" s="115" t="str">
        <f>IFERROR(__xludf.DUMMYFUNCTION("""COMPUTED_VALUE"""),"14")</f>
        <v>14</v>
      </c>
      <c r="J5247" s="115" t="str">
        <f>IFERROR(__xludf.DUMMYFUNCTION("""COMPUTED_VALUE"""),"Kandula Sampath2025-09-1014")</f>
        <v>Kandula Sampath2025-09-1014</v>
      </c>
      <c r="K5247" s="115">
        <f>IFERROR(__xludf.DUMMYFUNCTION("""COMPUTED_VALUE"""),43961.0)</f>
        <v>43961</v>
      </c>
    </row>
    <row r="5248">
      <c r="A5248" s="115" t="str">
        <f>IFERROR(__xludf.DUMMYFUNCTION("""COMPUTED_VALUE"""),"SOUTH")</f>
        <v>SOUTH</v>
      </c>
      <c r="B5248" s="115" t="str">
        <f>IFERROR(__xludf.DUMMYFUNCTION("""COMPUTED_VALUE"""),"Martin A")</f>
        <v>Martin A</v>
      </c>
      <c r="C5248" s="115" t="str">
        <f>IFERROR(__xludf.DUMMYFUNCTION("""COMPUTED_VALUE"""),"EXTERNAL")</f>
        <v>EXTERNAL</v>
      </c>
      <c r="D5248" s="115">
        <f>IFERROR(__xludf.DUMMYFUNCTION("""COMPUTED_VALUE"""),28628.0)</f>
        <v>28628</v>
      </c>
      <c r="E5248" s="115">
        <f>IFERROR(__xludf.DUMMYFUNCTION("""COMPUTED_VALUE"""),3992.0)</f>
        <v>3992</v>
      </c>
      <c r="F5248" s="115">
        <f>IFERROR(__xludf.DUMMYFUNCTION("""COMPUTED_VALUE"""),8282.0)</f>
        <v>8282</v>
      </c>
      <c r="G5248" s="115">
        <f>IFERROR(__xludf.DUMMYFUNCTION("""COMPUTED_VALUE"""),698.0)</f>
        <v>698</v>
      </c>
      <c r="H5248" s="116">
        <f>IFERROR(__xludf.DUMMYFUNCTION("""COMPUTED_VALUE"""),45910.0)</f>
        <v>45910</v>
      </c>
      <c r="I5248" s="115" t="str">
        <f>IFERROR(__xludf.DUMMYFUNCTION("""COMPUTED_VALUE"""),"14")</f>
        <v>14</v>
      </c>
      <c r="J5248" s="115" t="str">
        <f>IFERROR(__xludf.DUMMYFUNCTION("""COMPUTED_VALUE"""),"Martin A2025-09-1014")</f>
        <v>Martin A2025-09-1014</v>
      </c>
      <c r="K5248" s="115">
        <f>IFERROR(__xludf.DUMMYFUNCTION("""COMPUTED_VALUE"""),32620.0)</f>
        <v>32620</v>
      </c>
    </row>
    <row r="5249">
      <c r="A5249" s="115" t="str">
        <f>IFERROR(__xludf.DUMMYFUNCTION("""COMPUTED_VALUE"""),"SOUTH")</f>
        <v>SOUTH</v>
      </c>
      <c r="B5249" s="115" t="str">
        <f>IFERROR(__xludf.DUMMYFUNCTION("""COMPUTED_VALUE"""),"Martin A")</f>
        <v>Martin A</v>
      </c>
      <c r="C5249" s="115" t="str">
        <f>IFERROR(__xludf.DUMMYFUNCTION("""COMPUTED_VALUE"""),"FLIPKART")</f>
        <v>FLIPKART</v>
      </c>
      <c r="D5249" s="115">
        <f>IFERROR(__xludf.DUMMYFUNCTION("""COMPUTED_VALUE"""),268531.0)</f>
        <v>268531</v>
      </c>
      <c r="E5249" s="115">
        <f>IFERROR(__xludf.DUMMYFUNCTION("""COMPUTED_VALUE"""),25608.0)</f>
        <v>25608</v>
      </c>
      <c r="F5249" s="115">
        <f>IFERROR(__xludf.DUMMYFUNCTION("""COMPUTED_VALUE"""),131857.0)</f>
        <v>131857</v>
      </c>
      <c r="G5249" s="115">
        <f>IFERROR(__xludf.DUMMYFUNCTION("""COMPUTED_VALUE"""),5466.0)</f>
        <v>5466</v>
      </c>
      <c r="H5249" s="116">
        <f>IFERROR(__xludf.DUMMYFUNCTION("""COMPUTED_VALUE"""),45910.0)</f>
        <v>45910</v>
      </c>
      <c r="I5249" s="115" t="str">
        <f>IFERROR(__xludf.DUMMYFUNCTION("""COMPUTED_VALUE"""),"14")</f>
        <v>14</v>
      </c>
      <c r="J5249" s="115" t="str">
        <f>IFERROR(__xludf.DUMMYFUNCTION("""COMPUTED_VALUE"""),"Martin A2025-09-1014")</f>
        <v>Martin A2025-09-1014</v>
      </c>
      <c r="K5249" s="115">
        <f>IFERROR(__xludf.DUMMYFUNCTION("""COMPUTED_VALUE"""),294139.0)</f>
        <v>294139</v>
      </c>
    </row>
    <row r="5250">
      <c r="A5250" s="115" t="str">
        <f>IFERROR(__xludf.DUMMYFUNCTION("""COMPUTED_VALUE"""),"SOUTH")</f>
        <v>SOUTH</v>
      </c>
      <c r="B5250" s="115" t="str">
        <f>IFERROR(__xludf.DUMMYFUNCTION("""COMPUTED_VALUE"""),"Martin A")</f>
        <v>Martin A</v>
      </c>
      <c r="C5250" s="115" t="str">
        <f>IFERROR(__xludf.DUMMYFUNCTION("""COMPUTED_VALUE"""),"MYNTRA")</f>
        <v>MYNTRA</v>
      </c>
      <c r="D5250" s="115">
        <f>IFERROR(__xludf.DUMMYFUNCTION("""COMPUTED_VALUE"""),26273.0)</f>
        <v>26273</v>
      </c>
      <c r="E5250" s="115">
        <f>IFERROR(__xludf.DUMMYFUNCTION("""COMPUTED_VALUE"""),6812.0)</f>
        <v>6812</v>
      </c>
      <c r="F5250" s="115">
        <f>IFERROR(__xludf.DUMMYFUNCTION("""COMPUTED_VALUE"""),15502.0)</f>
        <v>15502</v>
      </c>
      <c r="G5250" s="115">
        <f>IFERROR(__xludf.DUMMYFUNCTION("""COMPUTED_VALUE"""),1737.0)</f>
        <v>1737</v>
      </c>
      <c r="H5250" s="116">
        <f>IFERROR(__xludf.DUMMYFUNCTION("""COMPUTED_VALUE"""),45910.0)</f>
        <v>45910</v>
      </c>
      <c r="I5250" s="115" t="str">
        <f>IFERROR(__xludf.DUMMYFUNCTION("""COMPUTED_VALUE"""),"14")</f>
        <v>14</v>
      </c>
      <c r="J5250" s="115" t="str">
        <f>IFERROR(__xludf.DUMMYFUNCTION("""COMPUTED_VALUE"""),"Martin A2025-09-1014")</f>
        <v>Martin A2025-09-1014</v>
      </c>
      <c r="K5250" s="115">
        <f>IFERROR(__xludf.DUMMYFUNCTION("""COMPUTED_VALUE"""),33085.0)</f>
        <v>33085</v>
      </c>
    </row>
    <row r="5251">
      <c r="A5251" s="115" t="str">
        <f>IFERROR(__xludf.DUMMYFUNCTION("""COMPUTED_VALUE"""),"SOUTH")</f>
        <v>SOUTH</v>
      </c>
      <c r="B5251" s="115" t="str">
        <f>IFERROR(__xludf.DUMMYFUNCTION("""COMPUTED_VALUE"""),"Premkumar M")</f>
        <v>Premkumar M</v>
      </c>
      <c r="C5251" s="115" t="str">
        <f>IFERROR(__xludf.DUMMYFUNCTION("""COMPUTED_VALUE"""),"EXTERNAL")</f>
        <v>EXTERNAL</v>
      </c>
      <c r="D5251" s="115">
        <f>IFERROR(__xludf.DUMMYFUNCTION("""COMPUTED_VALUE"""),24028.0)</f>
        <v>24028</v>
      </c>
      <c r="E5251" s="115">
        <f>IFERROR(__xludf.DUMMYFUNCTION("""COMPUTED_VALUE"""),1981.0)</f>
        <v>1981</v>
      </c>
      <c r="F5251" s="115">
        <f>IFERROR(__xludf.DUMMYFUNCTION("""COMPUTED_VALUE"""),6026.0)</f>
        <v>6026</v>
      </c>
      <c r="G5251" s="115">
        <f>IFERROR(__xludf.DUMMYFUNCTION("""COMPUTED_VALUE"""),104.0)</f>
        <v>104</v>
      </c>
      <c r="H5251" s="116">
        <f>IFERROR(__xludf.DUMMYFUNCTION("""COMPUTED_VALUE"""),45910.0)</f>
        <v>45910</v>
      </c>
      <c r="I5251" s="115" t="str">
        <f>IFERROR(__xludf.DUMMYFUNCTION("""COMPUTED_VALUE"""),"14")</f>
        <v>14</v>
      </c>
      <c r="J5251" s="115" t="str">
        <f>IFERROR(__xludf.DUMMYFUNCTION("""COMPUTED_VALUE"""),"Premkumar M2025-09-1014")</f>
        <v>Premkumar M2025-09-1014</v>
      </c>
      <c r="K5251" s="115">
        <f>IFERROR(__xludf.DUMMYFUNCTION("""COMPUTED_VALUE"""),26009.0)</f>
        <v>26009</v>
      </c>
    </row>
    <row r="5252">
      <c r="A5252" s="115" t="str">
        <f>IFERROR(__xludf.DUMMYFUNCTION("""COMPUTED_VALUE"""),"SOUTH")</f>
        <v>SOUTH</v>
      </c>
      <c r="B5252" s="115" t="str">
        <f>IFERROR(__xludf.DUMMYFUNCTION("""COMPUTED_VALUE"""),"Premkumar M")</f>
        <v>Premkumar M</v>
      </c>
      <c r="C5252" s="115" t="str">
        <f>IFERROR(__xludf.DUMMYFUNCTION("""COMPUTED_VALUE"""),"FLIPKART")</f>
        <v>FLIPKART</v>
      </c>
      <c r="D5252" s="115">
        <f>IFERROR(__xludf.DUMMYFUNCTION("""COMPUTED_VALUE"""),259795.0)</f>
        <v>259795</v>
      </c>
      <c r="E5252" s="115">
        <f>IFERROR(__xludf.DUMMYFUNCTION("""COMPUTED_VALUE"""),17369.0)</f>
        <v>17369</v>
      </c>
      <c r="F5252" s="115">
        <f>IFERROR(__xludf.DUMMYFUNCTION("""COMPUTED_VALUE"""),102700.0)</f>
        <v>102700</v>
      </c>
      <c r="G5252" s="115">
        <f>IFERROR(__xludf.DUMMYFUNCTION("""COMPUTED_VALUE"""),1254.0)</f>
        <v>1254</v>
      </c>
      <c r="H5252" s="116">
        <f>IFERROR(__xludf.DUMMYFUNCTION("""COMPUTED_VALUE"""),45910.0)</f>
        <v>45910</v>
      </c>
      <c r="I5252" s="115" t="str">
        <f>IFERROR(__xludf.DUMMYFUNCTION("""COMPUTED_VALUE"""),"14")</f>
        <v>14</v>
      </c>
      <c r="J5252" s="115" t="str">
        <f>IFERROR(__xludf.DUMMYFUNCTION("""COMPUTED_VALUE"""),"Premkumar M2025-09-1014")</f>
        <v>Premkumar M2025-09-1014</v>
      </c>
      <c r="K5252" s="115">
        <f>IFERROR(__xludf.DUMMYFUNCTION("""COMPUTED_VALUE"""),277164.0)</f>
        <v>277164</v>
      </c>
    </row>
    <row r="5253">
      <c r="A5253" s="115" t="str">
        <f>IFERROR(__xludf.DUMMYFUNCTION("""COMPUTED_VALUE"""),"SOUTH")</f>
        <v>SOUTH</v>
      </c>
      <c r="B5253" s="115" t="str">
        <f>IFERROR(__xludf.DUMMYFUNCTION("""COMPUTED_VALUE"""),"Premkumar M")</f>
        <v>Premkumar M</v>
      </c>
      <c r="C5253" s="115" t="str">
        <f>IFERROR(__xludf.DUMMYFUNCTION("""COMPUTED_VALUE"""),"MYNTRA")</f>
        <v>MYNTRA</v>
      </c>
      <c r="D5253" s="115">
        <f>IFERROR(__xludf.DUMMYFUNCTION("""COMPUTED_VALUE"""),13479.0)</f>
        <v>13479</v>
      </c>
      <c r="E5253" s="115">
        <f>IFERROR(__xludf.DUMMYFUNCTION("""COMPUTED_VALUE"""),2853.0)</f>
        <v>2853</v>
      </c>
      <c r="F5253" s="115">
        <f>IFERROR(__xludf.DUMMYFUNCTION("""COMPUTED_VALUE"""),6215.0)</f>
        <v>6215</v>
      </c>
      <c r="G5253" s="115">
        <f>IFERROR(__xludf.DUMMYFUNCTION("""COMPUTED_VALUE"""),290.0)</f>
        <v>290</v>
      </c>
      <c r="H5253" s="116">
        <f>IFERROR(__xludf.DUMMYFUNCTION("""COMPUTED_VALUE"""),45910.0)</f>
        <v>45910</v>
      </c>
      <c r="I5253" s="115" t="str">
        <f>IFERROR(__xludf.DUMMYFUNCTION("""COMPUTED_VALUE"""),"14")</f>
        <v>14</v>
      </c>
      <c r="J5253" s="115" t="str">
        <f>IFERROR(__xludf.DUMMYFUNCTION("""COMPUTED_VALUE"""),"Premkumar M2025-09-1014")</f>
        <v>Premkumar M2025-09-1014</v>
      </c>
      <c r="K5253" s="115">
        <f>IFERROR(__xludf.DUMMYFUNCTION("""COMPUTED_VALUE"""),16332.0)</f>
        <v>16332</v>
      </c>
    </row>
    <row r="5254">
      <c r="A5254" s="115" t="str">
        <f>IFERROR(__xludf.DUMMYFUNCTION("""COMPUTED_VALUE"""),"SOUTH")</f>
        <v>SOUTH</v>
      </c>
      <c r="B5254" s="115" t="str">
        <f>IFERROR(__xludf.DUMMYFUNCTION("""COMPUTED_VALUE"""),"Vineeth V")</f>
        <v>Vineeth V</v>
      </c>
      <c r="C5254" s="115" t="str">
        <f>IFERROR(__xludf.DUMMYFUNCTION("""COMPUTED_VALUE"""),"EXTERNAL")</f>
        <v>EXTERNAL</v>
      </c>
      <c r="D5254" s="115">
        <f>IFERROR(__xludf.DUMMYFUNCTION("""COMPUTED_VALUE"""),17035.0)</f>
        <v>17035</v>
      </c>
      <c r="E5254" s="115">
        <f>IFERROR(__xludf.DUMMYFUNCTION("""COMPUTED_VALUE"""),640.0)</f>
        <v>640</v>
      </c>
      <c r="F5254" s="115">
        <f>IFERROR(__xludf.DUMMYFUNCTION("""COMPUTED_VALUE"""),4638.0)</f>
        <v>4638</v>
      </c>
      <c r="G5254" s="115">
        <f>IFERROR(__xludf.DUMMYFUNCTION("""COMPUTED_VALUE"""),63.0)</f>
        <v>63</v>
      </c>
      <c r="H5254" s="116">
        <f>IFERROR(__xludf.DUMMYFUNCTION("""COMPUTED_VALUE"""),45910.0)</f>
        <v>45910</v>
      </c>
      <c r="I5254" s="115" t="str">
        <f>IFERROR(__xludf.DUMMYFUNCTION("""COMPUTED_VALUE"""),"14")</f>
        <v>14</v>
      </c>
      <c r="J5254" s="115" t="str">
        <f>IFERROR(__xludf.DUMMYFUNCTION("""COMPUTED_VALUE"""),"Vineeth V2025-09-1014")</f>
        <v>Vineeth V2025-09-1014</v>
      </c>
      <c r="K5254" s="115">
        <f>IFERROR(__xludf.DUMMYFUNCTION("""COMPUTED_VALUE"""),17675.0)</f>
        <v>17675</v>
      </c>
    </row>
    <row r="5255">
      <c r="A5255" s="115" t="str">
        <f>IFERROR(__xludf.DUMMYFUNCTION("""COMPUTED_VALUE"""),"SOUTH")</f>
        <v>SOUTH</v>
      </c>
      <c r="B5255" s="115" t="str">
        <f>IFERROR(__xludf.DUMMYFUNCTION("""COMPUTED_VALUE"""),"Vineeth V")</f>
        <v>Vineeth V</v>
      </c>
      <c r="C5255" s="115" t="str">
        <f>IFERROR(__xludf.DUMMYFUNCTION("""COMPUTED_VALUE"""),"FLIPKART")</f>
        <v>FLIPKART</v>
      </c>
      <c r="D5255" s="115">
        <f>IFERROR(__xludf.DUMMYFUNCTION("""COMPUTED_VALUE"""),183766.0)</f>
        <v>183766</v>
      </c>
      <c r="E5255" s="115">
        <f>IFERROR(__xludf.DUMMYFUNCTION("""COMPUTED_VALUE"""),15438.0)</f>
        <v>15438</v>
      </c>
      <c r="F5255" s="115">
        <f>IFERROR(__xludf.DUMMYFUNCTION("""COMPUTED_VALUE"""),81926.0)</f>
        <v>81926</v>
      </c>
      <c r="G5255" s="115">
        <f>IFERROR(__xludf.DUMMYFUNCTION("""COMPUTED_VALUE"""),1518.0)</f>
        <v>1518</v>
      </c>
      <c r="H5255" s="116">
        <f>IFERROR(__xludf.DUMMYFUNCTION("""COMPUTED_VALUE"""),45910.0)</f>
        <v>45910</v>
      </c>
      <c r="I5255" s="115" t="str">
        <f>IFERROR(__xludf.DUMMYFUNCTION("""COMPUTED_VALUE"""),"14")</f>
        <v>14</v>
      </c>
      <c r="J5255" s="115" t="str">
        <f>IFERROR(__xludf.DUMMYFUNCTION("""COMPUTED_VALUE"""),"Vineeth V2025-09-1014")</f>
        <v>Vineeth V2025-09-1014</v>
      </c>
      <c r="K5255" s="115">
        <f>IFERROR(__xludf.DUMMYFUNCTION("""COMPUTED_VALUE"""),199204.0)</f>
        <v>199204</v>
      </c>
    </row>
    <row r="5256">
      <c r="A5256" s="115" t="str">
        <f>IFERROR(__xludf.DUMMYFUNCTION("""COMPUTED_VALUE"""),"SOUTH")</f>
        <v>SOUTH</v>
      </c>
      <c r="B5256" s="115" t="str">
        <f>IFERROR(__xludf.DUMMYFUNCTION("""COMPUTED_VALUE"""),"Vineeth V")</f>
        <v>Vineeth V</v>
      </c>
      <c r="C5256" s="115" t="str">
        <f>IFERROR(__xludf.DUMMYFUNCTION("""COMPUTED_VALUE"""),"MYNTRA")</f>
        <v>MYNTRA</v>
      </c>
      <c r="D5256" s="115">
        <f>IFERROR(__xludf.DUMMYFUNCTION("""COMPUTED_VALUE"""),14738.0)</f>
        <v>14738</v>
      </c>
      <c r="E5256" s="115">
        <f>IFERROR(__xludf.DUMMYFUNCTION("""COMPUTED_VALUE"""),3790.0)</f>
        <v>3790</v>
      </c>
      <c r="F5256" s="115">
        <f>IFERROR(__xludf.DUMMYFUNCTION("""COMPUTED_VALUE"""),7296.0)</f>
        <v>7296</v>
      </c>
      <c r="G5256" s="115">
        <f>IFERROR(__xludf.DUMMYFUNCTION("""COMPUTED_VALUE"""),429.0)</f>
        <v>429</v>
      </c>
      <c r="H5256" s="116">
        <f>IFERROR(__xludf.DUMMYFUNCTION("""COMPUTED_VALUE"""),45910.0)</f>
        <v>45910</v>
      </c>
      <c r="I5256" s="115" t="str">
        <f>IFERROR(__xludf.DUMMYFUNCTION("""COMPUTED_VALUE"""),"14")</f>
        <v>14</v>
      </c>
      <c r="J5256" s="115" t="str">
        <f>IFERROR(__xludf.DUMMYFUNCTION("""COMPUTED_VALUE"""),"Vineeth V2025-09-1014")</f>
        <v>Vineeth V2025-09-1014</v>
      </c>
      <c r="K5256" s="115">
        <f>IFERROR(__xludf.DUMMYFUNCTION("""COMPUTED_VALUE"""),18528.0)</f>
        <v>18528</v>
      </c>
    </row>
    <row r="5257">
      <c r="A5257" s="115" t="str">
        <f>IFERROR(__xludf.DUMMYFUNCTION("""COMPUTED_VALUE"""),"WEST")</f>
        <v>WEST</v>
      </c>
      <c r="B5257" s="115" t="str">
        <f>IFERROR(__xludf.DUMMYFUNCTION("""COMPUTED_VALUE"""),"Ashish Jakar")</f>
        <v>Ashish Jakar</v>
      </c>
      <c r="C5257" s="115" t="str">
        <f>IFERROR(__xludf.DUMMYFUNCTION("""COMPUTED_VALUE"""),"EXTERNAL")</f>
        <v>EXTERNAL</v>
      </c>
      <c r="D5257" s="115">
        <f>IFERROR(__xludf.DUMMYFUNCTION("""COMPUTED_VALUE"""),58118.0)</f>
        <v>58118</v>
      </c>
      <c r="E5257" s="115">
        <f>IFERROR(__xludf.DUMMYFUNCTION("""COMPUTED_VALUE"""),5766.0)</f>
        <v>5766</v>
      </c>
      <c r="F5257" s="115">
        <f>IFERROR(__xludf.DUMMYFUNCTION("""COMPUTED_VALUE"""),15365.0)</f>
        <v>15365</v>
      </c>
      <c r="G5257" s="115">
        <f>IFERROR(__xludf.DUMMYFUNCTION("""COMPUTED_VALUE"""),977.0)</f>
        <v>977</v>
      </c>
      <c r="H5257" s="116">
        <f>IFERROR(__xludf.DUMMYFUNCTION("""COMPUTED_VALUE"""),45910.0)</f>
        <v>45910</v>
      </c>
      <c r="I5257" s="115" t="str">
        <f>IFERROR(__xludf.DUMMYFUNCTION("""COMPUTED_VALUE"""),"14")</f>
        <v>14</v>
      </c>
      <c r="J5257" s="115" t="str">
        <f>IFERROR(__xludf.DUMMYFUNCTION("""COMPUTED_VALUE"""),"Ashish Jakar2025-09-1014")</f>
        <v>Ashish Jakar2025-09-1014</v>
      </c>
      <c r="K5257" s="115">
        <f>IFERROR(__xludf.DUMMYFUNCTION("""COMPUTED_VALUE"""),63884.0)</f>
        <v>63884</v>
      </c>
    </row>
    <row r="5258">
      <c r="A5258" s="115" t="str">
        <f>IFERROR(__xludf.DUMMYFUNCTION("""COMPUTED_VALUE"""),"WEST")</f>
        <v>WEST</v>
      </c>
      <c r="B5258" s="115" t="str">
        <f>IFERROR(__xludf.DUMMYFUNCTION("""COMPUTED_VALUE"""),"Ashish Jakar")</f>
        <v>Ashish Jakar</v>
      </c>
      <c r="C5258" s="115" t="str">
        <f>IFERROR(__xludf.DUMMYFUNCTION("""COMPUTED_VALUE"""),"FLIPKART")</f>
        <v>FLIPKART</v>
      </c>
      <c r="D5258" s="115">
        <f>IFERROR(__xludf.DUMMYFUNCTION("""COMPUTED_VALUE"""),365711.0)</f>
        <v>365711</v>
      </c>
      <c r="E5258" s="115">
        <f>IFERROR(__xludf.DUMMYFUNCTION("""COMPUTED_VALUE"""),31754.0)</f>
        <v>31754</v>
      </c>
      <c r="F5258" s="115">
        <f>IFERROR(__xludf.DUMMYFUNCTION("""COMPUTED_VALUE"""),156585.0)</f>
        <v>156585</v>
      </c>
      <c r="G5258" s="115">
        <f>IFERROR(__xludf.DUMMYFUNCTION("""COMPUTED_VALUE"""),6377.0)</f>
        <v>6377</v>
      </c>
      <c r="H5258" s="116">
        <f>IFERROR(__xludf.DUMMYFUNCTION("""COMPUTED_VALUE"""),45910.0)</f>
        <v>45910</v>
      </c>
      <c r="I5258" s="115" t="str">
        <f>IFERROR(__xludf.DUMMYFUNCTION("""COMPUTED_VALUE"""),"14")</f>
        <v>14</v>
      </c>
      <c r="J5258" s="115" t="str">
        <f>IFERROR(__xludf.DUMMYFUNCTION("""COMPUTED_VALUE"""),"Ashish Jakar2025-09-1014")</f>
        <v>Ashish Jakar2025-09-1014</v>
      </c>
      <c r="K5258" s="115">
        <f>IFERROR(__xludf.DUMMYFUNCTION("""COMPUTED_VALUE"""),397465.0)</f>
        <v>397465</v>
      </c>
    </row>
    <row r="5259">
      <c r="A5259" s="115" t="str">
        <f>IFERROR(__xludf.DUMMYFUNCTION("""COMPUTED_VALUE"""),"WEST")</f>
        <v>WEST</v>
      </c>
      <c r="B5259" s="115" t="str">
        <f>IFERROR(__xludf.DUMMYFUNCTION("""COMPUTED_VALUE"""),"Ashish Jakar")</f>
        <v>Ashish Jakar</v>
      </c>
      <c r="C5259" s="115" t="str">
        <f>IFERROR(__xludf.DUMMYFUNCTION("""COMPUTED_VALUE"""),"MYNTRA")</f>
        <v>MYNTRA</v>
      </c>
      <c r="D5259" s="115">
        <f>IFERROR(__xludf.DUMMYFUNCTION("""COMPUTED_VALUE"""),41451.0)</f>
        <v>41451</v>
      </c>
      <c r="E5259" s="115">
        <f>IFERROR(__xludf.DUMMYFUNCTION("""COMPUTED_VALUE"""),10916.0)</f>
        <v>10916</v>
      </c>
      <c r="F5259" s="115">
        <f>IFERROR(__xludf.DUMMYFUNCTION("""COMPUTED_VALUE"""),21542.0)</f>
        <v>21542</v>
      </c>
      <c r="G5259" s="115">
        <f>IFERROR(__xludf.DUMMYFUNCTION("""COMPUTED_VALUE"""),2471.0)</f>
        <v>2471</v>
      </c>
      <c r="H5259" s="116">
        <f>IFERROR(__xludf.DUMMYFUNCTION("""COMPUTED_VALUE"""),45910.0)</f>
        <v>45910</v>
      </c>
      <c r="I5259" s="115" t="str">
        <f>IFERROR(__xludf.DUMMYFUNCTION("""COMPUTED_VALUE"""),"14")</f>
        <v>14</v>
      </c>
      <c r="J5259" s="115" t="str">
        <f>IFERROR(__xludf.DUMMYFUNCTION("""COMPUTED_VALUE"""),"Ashish Jakar2025-09-1014")</f>
        <v>Ashish Jakar2025-09-1014</v>
      </c>
      <c r="K5259" s="115">
        <f>IFERROR(__xludf.DUMMYFUNCTION("""COMPUTED_VALUE"""),52367.0)</f>
        <v>52367</v>
      </c>
    </row>
    <row r="5260">
      <c r="A5260" s="115" t="str">
        <f>IFERROR(__xludf.DUMMYFUNCTION("""COMPUTED_VALUE"""),"WEST")</f>
        <v>WEST</v>
      </c>
      <c r="B5260" s="115" t="str">
        <f>IFERROR(__xludf.DUMMYFUNCTION("""COMPUTED_VALUE"""),"Ashvani Bhatt")</f>
        <v>Ashvani Bhatt</v>
      </c>
      <c r="C5260" s="115" t="str">
        <f>IFERROR(__xludf.DUMMYFUNCTION("""COMPUTED_VALUE"""),"EXTERNAL")</f>
        <v>EXTERNAL</v>
      </c>
      <c r="D5260" s="115">
        <f>IFERROR(__xludf.DUMMYFUNCTION("""COMPUTED_VALUE"""),37060.0)</f>
        <v>37060</v>
      </c>
      <c r="E5260" s="115">
        <f>IFERROR(__xludf.DUMMYFUNCTION("""COMPUTED_VALUE"""),2975.0)</f>
        <v>2975</v>
      </c>
      <c r="F5260" s="115">
        <f>IFERROR(__xludf.DUMMYFUNCTION("""COMPUTED_VALUE"""),10406.0)</f>
        <v>10406</v>
      </c>
      <c r="G5260" s="115">
        <f>IFERROR(__xludf.DUMMYFUNCTION("""COMPUTED_VALUE"""),466.0)</f>
        <v>466</v>
      </c>
      <c r="H5260" s="116">
        <f>IFERROR(__xludf.DUMMYFUNCTION("""COMPUTED_VALUE"""),45910.0)</f>
        <v>45910</v>
      </c>
      <c r="I5260" s="115" t="str">
        <f>IFERROR(__xludf.DUMMYFUNCTION("""COMPUTED_VALUE"""),"14")</f>
        <v>14</v>
      </c>
      <c r="J5260" s="115" t="str">
        <f>IFERROR(__xludf.DUMMYFUNCTION("""COMPUTED_VALUE"""),"Ashvani Bhatt2025-09-1014")</f>
        <v>Ashvani Bhatt2025-09-1014</v>
      </c>
      <c r="K5260" s="115">
        <f>IFERROR(__xludf.DUMMYFUNCTION("""COMPUTED_VALUE"""),40035.0)</f>
        <v>40035</v>
      </c>
    </row>
    <row r="5261">
      <c r="A5261" s="115" t="str">
        <f>IFERROR(__xludf.DUMMYFUNCTION("""COMPUTED_VALUE"""),"WEST")</f>
        <v>WEST</v>
      </c>
      <c r="B5261" s="115" t="str">
        <f>IFERROR(__xludf.DUMMYFUNCTION("""COMPUTED_VALUE"""),"Ashvani Bhatt")</f>
        <v>Ashvani Bhatt</v>
      </c>
      <c r="C5261" s="115" t="str">
        <f>IFERROR(__xludf.DUMMYFUNCTION("""COMPUTED_VALUE"""),"FLIPKART")</f>
        <v>FLIPKART</v>
      </c>
      <c r="D5261" s="115">
        <f>IFERROR(__xludf.DUMMYFUNCTION("""COMPUTED_VALUE"""),266033.0)</f>
        <v>266033</v>
      </c>
      <c r="E5261" s="115">
        <f>IFERROR(__xludf.DUMMYFUNCTION("""COMPUTED_VALUE"""),28015.0)</f>
        <v>28015</v>
      </c>
      <c r="F5261" s="115">
        <f>IFERROR(__xludf.DUMMYFUNCTION("""COMPUTED_VALUE"""),133063.0)</f>
        <v>133063</v>
      </c>
      <c r="G5261" s="115">
        <f>IFERROR(__xludf.DUMMYFUNCTION("""COMPUTED_VALUE"""),5947.0)</f>
        <v>5947</v>
      </c>
      <c r="H5261" s="116">
        <f>IFERROR(__xludf.DUMMYFUNCTION("""COMPUTED_VALUE"""),45910.0)</f>
        <v>45910</v>
      </c>
      <c r="I5261" s="115" t="str">
        <f>IFERROR(__xludf.DUMMYFUNCTION("""COMPUTED_VALUE"""),"14")</f>
        <v>14</v>
      </c>
      <c r="J5261" s="115" t="str">
        <f>IFERROR(__xludf.DUMMYFUNCTION("""COMPUTED_VALUE"""),"Ashvani Bhatt2025-09-1014")</f>
        <v>Ashvani Bhatt2025-09-1014</v>
      </c>
      <c r="K5261" s="115">
        <f>IFERROR(__xludf.DUMMYFUNCTION("""COMPUTED_VALUE"""),294048.0)</f>
        <v>294048</v>
      </c>
    </row>
    <row r="5262">
      <c r="A5262" s="115" t="str">
        <f>IFERROR(__xludf.DUMMYFUNCTION("""COMPUTED_VALUE"""),"WEST")</f>
        <v>WEST</v>
      </c>
      <c r="B5262" s="115" t="str">
        <f>IFERROR(__xludf.DUMMYFUNCTION("""COMPUTED_VALUE"""),"Ashvani Bhatt")</f>
        <v>Ashvani Bhatt</v>
      </c>
      <c r="C5262" s="115" t="str">
        <f>IFERROR(__xludf.DUMMYFUNCTION("""COMPUTED_VALUE"""),"MYNTRA")</f>
        <v>MYNTRA</v>
      </c>
      <c r="D5262" s="115">
        <f>IFERROR(__xludf.DUMMYFUNCTION("""COMPUTED_VALUE"""),33255.0)</f>
        <v>33255</v>
      </c>
      <c r="E5262" s="115">
        <f>IFERROR(__xludf.DUMMYFUNCTION("""COMPUTED_VALUE"""),9182.0)</f>
        <v>9182</v>
      </c>
      <c r="F5262" s="115">
        <f>IFERROR(__xludf.DUMMYFUNCTION("""COMPUTED_VALUE"""),20150.0)</f>
        <v>20150</v>
      </c>
      <c r="G5262" s="115">
        <f>IFERROR(__xludf.DUMMYFUNCTION("""COMPUTED_VALUE"""),2396.0)</f>
        <v>2396</v>
      </c>
      <c r="H5262" s="116">
        <f>IFERROR(__xludf.DUMMYFUNCTION("""COMPUTED_VALUE"""),45910.0)</f>
        <v>45910</v>
      </c>
      <c r="I5262" s="115" t="str">
        <f>IFERROR(__xludf.DUMMYFUNCTION("""COMPUTED_VALUE"""),"14")</f>
        <v>14</v>
      </c>
      <c r="J5262" s="115" t="str">
        <f>IFERROR(__xludf.DUMMYFUNCTION("""COMPUTED_VALUE"""),"Ashvani Bhatt2025-09-1014")</f>
        <v>Ashvani Bhatt2025-09-1014</v>
      </c>
      <c r="K5262" s="115">
        <f>IFERROR(__xludf.DUMMYFUNCTION("""COMPUTED_VALUE"""),42437.0)</f>
        <v>42437</v>
      </c>
    </row>
    <row r="5263">
      <c r="A5263" s="115"/>
      <c r="B5263" s="115"/>
      <c r="C5263" s="115" t="str">
        <f>IFERROR(__xludf.DUMMYFUNCTION("""COMPUTED_VALUE"""),"EXTERNAL")</f>
        <v>EXTERNAL</v>
      </c>
      <c r="D5263" s="115">
        <f>IFERROR(__xludf.DUMMYFUNCTION("""COMPUTED_VALUE"""),654.0)</f>
        <v>654</v>
      </c>
      <c r="E5263" s="115">
        <f>IFERROR(__xludf.DUMMYFUNCTION("""COMPUTED_VALUE"""),168.0)</f>
        <v>168</v>
      </c>
      <c r="F5263" s="115">
        <f>IFERROR(__xludf.DUMMYFUNCTION("""COMPUTED_VALUE"""),149.0)</f>
        <v>149</v>
      </c>
      <c r="G5263" s="115">
        <f>IFERROR(__xludf.DUMMYFUNCTION("""COMPUTED_VALUE"""),44.0)</f>
        <v>44</v>
      </c>
      <c r="H5263" s="116">
        <f>IFERROR(__xludf.DUMMYFUNCTION("""COMPUTED_VALUE"""),45910.0)</f>
        <v>45910</v>
      </c>
      <c r="I5263" s="115" t="str">
        <f>IFERROR(__xludf.DUMMYFUNCTION("""COMPUTED_VALUE"""),"14")</f>
        <v>14</v>
      </c>
      <c r="J5263" s="115" t="str">
        <f>IFERROR(__xludf.DUMMYFUNCTION("""COMPUTED_VALUE"""),"2025-09-1014")</f>
        <v>2025-09-1014</v>
      </c>
      <c r="K5263" s="115">
        <f>IFERROR(__xludf.DUMMYFUNCTION("""COMPUTED_VALUE"""),822.0)</f>
        <v>822</v>
      </c>
    </row>
    <row r="5264">
      <c r="A5264" s="115"/>
      <c r="B5264" s="115"/>
      <c r="C5264" s="115" t="str">
        <f>IFERROR(__xludf.DUMMYFUNCTION("""COMPUTED_VALUE"""),"FLIPKART")</f>
        <v>FLIPKART</v>
      </c>
      <c r="D5264" s="115">
        <f>IFERROR(__xludf.DUMMYFUNCTION("""COMPUTED_VALUE"""),6960.0)</f>
        <v>6960</v>
      </c>
      <c r="E5264" s="115">
        <f>IFERROR(__xludf.DUMMYFUNCTION("""COMPUTED_VALUE"""),791.0)</f>
        <v>791</v>
      </c>
      <c r="F5264" s="115">
        <f>IFERROR(__xludf.DUMMYFUNCTION("""COMPUTED_VALUE"""),2159.0)</f>
        <v>2159</v>
      </c>
      <c r="G5264" s="115">
        <f>IFERROR(__xludf.DUMMYFUNCTION("""COMPUTED_VALUE"""),219.0)</f>
        <v>219</v>
      </c>
      <c r="H5264" s="116">
        <f>IFERROR(__xludf.DUMMYFUNCTION("""COMPUTED_VALUE"""),45910.0)</f>
        <v>45910</v>
      </c>
      <c r="I5264" s="115" t="str">
        <f>IFERROR(__xludf.DUMMYFUNCTION("""COMPUTED_VALUE"""),"14")</f>
        <v>14</v>
      </c>
      <c r="J5264" s="115" t="str">
        <f>IFERROR(__xludf.DUMMYFUNCTION("""COMPUTED_VALUE"""),"2025-09-1014")</f>
        <v>2025-09-1014</v>
      </c>
      <c r="K5264" s="115">
        <f>IFERROR(__xludf.DUMMYFUNCTION("""COMPUTED_VALUE"""),7751.0)</f>
        <v>7751</v>
      </c>
    </row>
    <row r="5265">
      <c r="A5265" s="115"/>
      <c r="B5265" s="115"/>
      <c r="C5265" s="115" t="str">
        <f>IFERROR(__xludf.DUMMYFUNCTION("""COMPUTED_VALUE"""),"MYNTRA")</f>
        <v>MYNTRA</v>
      </c>
      <c r="D5265" s="115">
        <f>IFERROR(__xludf.DUMMYFUNCTION("""COMPUTED_VALUE"""),768.0)</f>
        <v>768</v>
      </c>
      <c r="E5265" s="115">
        <f>IFERROR(__xludf.DUMMYFUNCTION("""COMPUTED_VALUE"""),209.0)</f>
        <v>209</v>
      </c>
      <c r="F5265" s="115">
        <f>IFERROR(__xludf.DUMMYFUNCTION("""COMPUTED_VALUE"""),315.0)</f>
        <v>315</v>
      </c>
      <c r="G5265" s="115">
        <f>IFERROR(__xludf.DUMMYFUNCTION("""COMPUTED_VALUE"""),85.0)</f>
        <v>85</v>
      </c>
      <c r="H5265" s="116">
        <f>IFERROR(__xludf.DUMMYFUNCTION("""COMPUTED_VALUE"""),45910.0)</f>
        <v>45910</v>
      </c>
      <c r="I5265" s="115" t="str">
        <f>IFERROR(__xludf.DUMMYFUNCTION("""COMPUTED_VALUE"""),"14")</f>
        <v>14</v>
      </c>
      <c r="J5265" s="115" t="str">
        <f>IFERROR(__xludf.DUMMYFUNCTION("""COMPUTED_VALUE"""),"2025-09-1014")</f>
        <v>2025-09-1014</v>
      </c>
      <c r="K5265" s="115">
        <f>IFERROR(__xludf.DUMMYFUNCTION("""COMPUTED_VALUE"""),977.0)</f>
        <v>977</v>
      </c>
    </row>
    <row r="5266">
      <c r="A5266" s="115" t="str">
        <f>IFERROR(__xludf.DUMMYFUNCTION("""COMPUTED_VALUE"""),"EAST")</f>
        <v>EAST</v>
      </c>
      <c r="B5266" s="115" t="str">
        <f>IFERROR(__xludf.DUMMYFUNCTION("""COMPUTED_VALUE"""),"Ashish Ranjan")</f>
        <v>Ashish Ranjan</v>
      </c>
      <c r="C5266" s="115" t="str">
        <f>IFERROR(__xludf.DUMMYFUNCTION("""COMPUTED_VALUE"""),"EXTERNAL")</f>
        <v>EXTERNAL</v>
      </c>
      <c r="D5266" s="115">
        <f>IFERROR(__xludf.DUMMYFUNCTION("""COMPUTED_VALUE"""),36197.0)</f>
        <v>36197</v>
      </c>
      <c r="E5266" s="115">
        <f>IFERROR(__xludf.DUMMYFUNCTION("""COMPUTED_VALUE"""),3754.0)</f>
        <v>3754</v>
      </c>
      <c r="F5266" s="115">
        <f>IFERROR(__xludf.DUMMYFUNCTION("""COMPUTED_VALUE"""),15056.0)</f>
        <v>15056</v>
      </c>
      <c r="G5266" s="115">
        <f>IFERROR(__xludf.DUMMYFUNCTION("""COMPUTED_VALUE"""),908.0)</f>
        <v>908</v>
      </c>
      <c r="H5266" s="116">
        <f>IFERROR(__xludf.DUMMYFUNCTION("""COMPUTED_VALUE"""),45910.0)</f>
        <v>45910</v>
      </c>
      <c r="I5266" s="115" t="str">
        <f>IFERROR(__xludf.DUMMYFUNCTION("""COMPUTED_VALUE"""),"15")</f>
        <v>15</v>
      </c>
      <c r="J5266" s="115" t="str">
        <f>IFERROR(__xludf.DUMMYFUNCTION("""COMPUTED_VALUE"""),"Ashish Ranjan2025-09-1015")</f>
        <v>Ashish Ranjan2025-09-1015</v>
      </c>
      <c r="K5266" s="115">
        <f>IFERROR(__xludf.DUMMYFUNCTION("""COMPUTED_VALUE"""),39951.0)</f>
        <v>39951</v>
      </c>
    </row>
    <row r="5267">
      <c r="A5267" s="115" t="str">
        <f>IFERROR(__xludf.DUMMYFUNCTION("""COMPUTED_VALUE"""),"EAST")</f>
        <v>EAST</v>
      </c>
      <c r="B5267" s="115" t="str">
        <f>IFERROR(__xludf.DUMMYFUNCTION("""COMPUTED_VALUE"""),"Ashish Ranjan")</f>
        <v>Ashish Ranjan</v>
      </c>
      <c r="C5267" s="115" t="str">
        <f>IFERROR(__xludf.DUMMYFUNCTION("""COMPUTED_VALUE"""),"FLIPKART")</f>
        <v>FLIPKART</v>
      </c>
      <c r="D5267" s="115">
        <f>IFERROR(__xludf.DUMMYFUNCTION("""COMPUTED_VALUE"""),629840.0)</f>
        <v>629840</v>
      </c>
      <c r="E5267" s="115">
        <f>IFERROR(__xludf.DUMMYFUNCTION("""COMPUTED_VALUE"""),63932.0)</f>
        <v>63932</v>
      </c>
      <c r="F5267" s="115">
        <f>IFERROR(__xludf.DUMMYFUNCTION("""COMPUTED_VALUE"""),429757.0)</f>
        <v>429757</v>
      </c>
      <c r="G5267" s="115">
        <f>IFERROR(__xludf.DUMMYFUNCTION("""COMPUTED_VALUE"""),23283.0)</f>
        <v>23283</v>
      </c>
      <c r="H5267" s="116">
        <f>IFERROR(__xludf.DUMMYFUNCTION("""COMPUTED_VALUE"""),45910.0)</f>
        <v>45910</v>
      </c>
      <c r="I5267" s="115" t="str">
        <f>IFERROR(__xludf.DUMMYFUNCTION("""COMPUTED_VALUE"""),"15")</f>
        <v>15</v>
      </c>
      <c r="J5267" s="115" t="str">
        <f>IFERROR(__xludf.DUMMYFUNCTION("""COMPUTED_VALUE"""),"Ashish Ranjan2025-09-1015")</f>
        <v>Ashish Ranjan2025-09-1015</v>
      </c>
      <c r="K5267" s="115">
        <f>IFERROR(__xludf.DUMMYFUNCTION("""COMPUTED_VALUE"""),693772.0)</f>
        <v>693772</v>
      </c>
    </row>
    <row r="5268">
      <c r="A5268" s="115" t="str">
        <f>IFERROR(__xludf.DUMMYFUNCTION("""COMPUTED_VALUE"""),"EAST")</f>
        <v>EAST</v>
      </c>
      <c r="B5268" s="115" t="str">
        <f>IFERROR(__xludf.DUMMYFUNCTION("""COMPUTED_VALUE"""),"Ashish Ranjan")</f>
        <v>Ashish Ranjan</v>
      </c>
      <c r="C5268" s="115" t="str">
        <f>IFERROR(__xludf.DUMMYFUNCTION("""COMPUTED_VALUE"""),"MYNTRA")</f>
        <v>MYNTRA</v>
      </c>
      <c r="D5268" s="115">
        <f>IFERROR(__xludf.DUMMYFUNCTION("""COMPUTED_VALUE"""),70548.0)</f>
        <v>70548</v>
      </c>
      <c r="E5268" s="115">
        <f>IFERROR(__xludf.DUMMYFUNCTION("""COMPUTED_VALUE"""),16441.0)</f>
        <v>16441</v>
      </c>
      <c r="F5268" s="115">
        <f>IFERROR(__xludf.DUMMYFUNCTION("""COMPUTED_VALUE"""),48710.0)</f>
        <v>48710</v>
      </c>
      <c r="G5268" s="115">
        <f>IFERROR(__xludf.DUMMYFUNCTION("""COMPUTED_VALUE"""),6013.0)</f>
        <v>6013</v>
      </c>
      <c r="H5268" s="116">
        <f>IFERROR(__xludf.DUMMYFUNCTION("""COMPUTED_VALUE"""),45910.0)</f>
        <v>45910</v>
      </c>
      <c r="I5268" s="115" t="str">
        <f>IFERROR(__xludf.DUMMYFUNCTION("""COMPUTED_VALUE"""),"15")</f>
        <v>15</v>
      </c>
      <c r="J5268" s="115" t="str">
        <f>IFERROR(__xludf.DUMMYFUNCTION("""COMPUTED_VALUE"""),"Ashish Ranjan2025-09-1015")</f>
        <v>Ashish Ranjan2025-09-1015</v>
      </c>
      <c r="K5268" s="115">
        <f>IFERROR(__xludf.DUMMYFUNCTION("""COMPUTED_VALUE"""),86989.0)</f>
        <v>86989</v>
      </c>
    </row>
    <row r="5269">
      <c r="A5269" s="115" t="str">
        <f>IFERROR(__xludf.DUMMYFUNCTION("""COMPUTED_VALUE"""),"EAST")</f>
        <v>EAST</v>
      </c>
      <c r="B5269" s="115" t="str">
        <f>IFERROR(__xludf.DUMMYFUNCTION("""COMPUTED_VALUE"""),"Girish Chand")</f>
        <v>Girish Chand</v>
      </c>
      <c r="C5269" s="115" t="str">
        <f>IFERROR(__xludf.DUMMYFUNCTION("""COMPUTED_VALUE"""),"EXTERNAL")</f>
        <v>EXTERNAL</v>
      </c>
      <c r="D5269" s="115">
        <f>IFERROR(__xludf.DUMMYFUNCTION("""COMPUTED_VALUE"""),23260.0)</f>
        <v>23260</v>
      </c>
      <c r="E5269" s="115">
        <f>IFERROR(__xludf.DUMMYFUNCTION("""COMPUTED_VALUE"""),1891.0)</f>
        <v>1891</v>
      </c>
      <c r="F5269" s="115">
        <f>IFERROR(__xludf.DUMMYFUNCTION("""COMPUTED_VALUE"""),7223.0)</f>
        <v>7223</v>
      </c>
      <c r="G5269" s="115">
        <f>IFERROR(__xludf.DUMMYFUNCTION("""COMPUTED_VALUE"""),252.0)</f>
        <v>252</v>
      </c>
      <c r="H5269" s="116">
        <f>IFERROR(__xludf.DUMMYFUNCTION("""COMPUTED_VALUE"""),45910.0)</f>
        <v>45910</v>
      </c>
      <c r="I5269" s="115" t="str">
        <f>IFERROR(__xludf.DUMMYFUNCTION("""COMPUTED_VALUE"""),"15")</f>
        <v>15</v>
      </c>
      <c r="J5269" s="115" t="str">
        <f>IFERROR(__xludf.DUMMYFUNCTION("""COMPUTED_VALUE"""),"Girish Chand2025-09-1015")</f>
        <v>Girish Chand2025-09-1015</v>
      </c>
      <c r="K5269" s="115">
        <f>IFERROR(__xludf.DUMMYFUNCTION("""COMPUTED_VALUE"""),25151.0)</f>
        <v>25151</v>
      </c>
    </row>
    <row r="5270">
      <c r="A5270" s="115" t="str">
        <f>IFERROR(__xludf.DUMMYFUNCTION("""COMPUTED_VALUE"""),"EAST")</f>
        <v>EAST</v>
      </c>
      <c r="B5270" s="115" t="str">
        <f>IFERROR(__xludf.DUMMYFUNCTION("""COMPUTED_VALUE"""),"Girish Chand")</f>
        <v>Girish Chand</v>
      </c>
      <c r="C5270" s="115" t="str">
        <f>IFERROR(__xludf.DUMMYFUNCTION("""COMPUTED_VALUE"""),"FLIPKART")</f>
        <v>FLIPKART</v>
      </c>
      <c r="D5270" s="115">
        <f>IFERROR(__xludf.DUMMYFUNCTION("""COMPUTED_VALUE"""),426490.0)</f>
        <v>426490</v>
      </c>
      <c r="E5270" s="115">
        <f>IFERROR(__xludf.DUMMYFUNCTION("""COMPUTED_VALUE"""),38006.0)</f>
        <v>38006</v>
      </c>
      <c r="F5270" s="115">
        <f>IFERROR(__xludf.DUMMYFUNCTION("""COMPUTED_VALUE"""),237159.0)</f>
        <v>237159</v>
      </c>
      <c r="G5270" s="115">
        <f>IFERROR(__xludf.DUMMYFUNCTION("""COMPUTED_VALUE"""),8918.0)</f>
        <v>8918</v>
      </c>
      <c r="H5270" s="116">
        <f>IFERROR(__xludf.DUMMYFUNCTION("""COMPUTED_VALUE"""),45910.0)</f>
        <v>45910</v>
      </c>
      <c r="I5270" s="115" t="str">
        <f>IFERROR(__xludf.DUMMYFUNCTION("""COMPUTED_VALUE"""),"15")</f>
        <v>15</v>
      </c>
      <c r="J5270" s="115" t="str">
        <f>IFERROR(__xludf.DUMMYFUNCTION("""COMPUTED_VALUE"""),"Girish Chand2025-09-1015")</f>
        <v>Girish Chand2025-09-1015</v>
      </c>
      <c r="K5270" s="115">
        <f>IFERROR(__xludf.DUMMYFUNCTION("""COMPUTED_VALUE"""),464496.0)</f>
        <v>464496</v>
      </c>
    </row>
    <row r="5271">
      <c r="A5271" s="115" t="str">
        <f>IFERROR(__xludf.DUMMYFUNCTION("""COMPUTED_VALUE"""),"EAST")</f>
        <v>EAST</v>
      </c>
      <c r="B5271" s="115" t="str">
        <f>IFERROR(__xludf.DUMMYFUNCTION("""COMPUTED_VALUE"""),"Girish Chand")</f>
        <v>Girish Chand</v>
      </c>
      <c r="C5271" s="115" t="str">
        <f>IFERROR(__xludf.DUMMYFUNCTION("""COMPUTED_VALUE"""),"MYNTRA")</f>
        <v>MYNTRA</v>
      </c>
      <c r="D5271" s="115">
        <f>IFERROR(__xludf.DUMMYFUNCTION("""COMPUTED_VALUE"""),36920.0)</f>
        <v>36920</v>
      </c>
      <c r="E5271" s="115">
        <f>IFERROR(__xludf.DUMMYFUNCTION("""COMPUTED_VALUE"""),7943.0)</f>
        <v>7943</v>
      </c>
      <c r="F5271" s="115">
        <f>IFERROR(__xludf.DUMMYFUNCTION("""COMPUTED_VALUE"""),21814.0)</f>
        <v>21814</v>
      </c>
      <c r="G5271" s="115">
        <f>IFERROR(__xludf.DUMMYFUNCTION("""COMPUTED_VALUE"""),2163.0)</f>
        <v>2163</v>
      </c>
      <c r="H5271" s="116">
        <f>IFERROR(__xludf.DUMMYFUNCTION("""COMPUTED_VALUE"""),45910.0)</f>
        <v>45910</v>
      </c>
      <c r="I5271" s="115" t="str">
        <f>IFERROR(__xludf.DUMMYFUNCTION("""COMPUTED_VALUE"""),"15")</f>
        <v>15</v>
      </c>
      <c r="J5271" s="115" t="str">
        <f>IFERROR(__xludf.DUMMYFUNCTION("""COMPUTED_VALUE"""),"Girish Chand2025-09-1015")</f>
        <v>Girish Chand2025-09-1015</v>
      </c>
      <c r="K5271" s="115">
        <f>IFERROR(__xludf.DUMMYFUNCTION("""COMPUTED_VALUE"""),44863.0)</f>
        <v>44863</v>
      </c>
    </row>
    <row r="5272">
      <c r="A5272" s="115" t="str">
        <f>IFERROR(__xludf.DUMMYFUNCTION("""COMPUTED_VALUE"""),"EAST")</f>
        <v>EAST</v>
      </c>
      <c r="B5272" s="115" t="str">
        <f>IFERROR(__xludf.DUMMYFUNCTION("""COMPUTED_VALUE"""),"Parag Kashyap")</f>
        <v>Parag Kashyap</v>
      </c>
      <c r="C5272" s="115" t="str">
        <f>IFERROR(__xludf.DUMMYFUNCTION("""COMPUTED_VALUE"""),"EXTERNAL")</f>
        <v>EXTERNAL</v>
      </c>
      <c r="D5272" s="115">
        <f>IFERROR(__xludf.DUMMYFUNCTION("""COMPUTED_VALUE"""),16600.0)</f>
        <v>16600</v>
      </c>
      <c r="E5272" s="115">
        <f>IFERROR(__xludf.DUMMYFUNCTION("""COMPUTED_VALUE"""),1052.0)</f>
        <v>1052</v>
      </c>
      <c r="F5272" s="115">
        <f>IFERROR(__xludf.DUMMYFUNCTION("""COMPUTED_VALUE"""),4686.0)</f>
        <v>4686</v>
      </c>
      <c r="G5272" s="115">
        <f>IFERROR(__xludf.DUMMYFUNCTION("""COMPUTED_VALUE"""),76.0)</f>
        <v>76</v>
      </c>
      <c r="H5272" s="116">
        <f>IFERROR(__xludf.DUMMYFUNCTION("""COMPUTED_VALUE"""),45910.0)</f>
        <v>45910</v>
      </c>
      <c r="I5272" s="115" t="str">
        <f>IFERROR(__xludf.DUMMYFUNCTION("""COMPUTED_VALUE"""),"15")</f>
        <v>15</v>
      </c>
      <c r="J5272" s="115" t="str">
        <f>IFERROR(__xludf.DUMMYFUNCTION("""COMPUTED_VALUE"""),"Parag Kashyap2025-09-1015")</f>
        <v>Parag Kashyap2025-09-1015</v>
      </c>
      <c r="K5272" s="115">
        <f>IFERROR(__xludf.DUMMYFUNCTION("""COMPUTED_VALUE"""),17652.0)</f>
        <v>17652</v>
      </c>
    </row>
    <row r="5273">
      <c r="A5273" s="115" t="str">
        <f>IFERROR(__xludf.DUMMYFUNCTION("""COMPUTED_VALUE"""),"EAST")</f>
        <v>EAST</v>
      </c>
      <c r="B5273" s="115" t="str">
        <f>IFERROR(__xludf.DUMMYFUNCTION("""COMPUTED_VALUE"""),"Parag Kashyap")</f>
        <v>Parag Kashyap</v>
      </c>
      <c r="C5273" s="115" t="str">
        <f>IFERROR(__xludf.DUMMYFUNCTION("""COMPUTED_VALUE"""),"FLIPKART")</f>
        <v>FLIPKART</v>
      </c>
      <c r="D5273" s="115">
        <f>IFERROR(__xludf.DUMMYFUNCTION("""COMPUTED_VALUE"""),297786.0)</f>
        <v>297786</v>
      </c>
      <c r="E5273" s="115">
        <f>IFERROR(__xludf.DUMMYFUNCTION("""COMPUTED_VALUE"""),19393.0)</f>
        <v>19393</v>
      </c>
      <c r="F5273" s="115">
        <f>IFERROR(__xludf.DUMMYFUNCTION("""COMPUTED_VALUE"""),149935.0)</f>
        <v>149935</v>
      </c>
      <c r="G5273" s="115">
        <f>IFERROR(__xludf.DUMMYFUNCTION("""COMPUTED_VALUE"""),3024.0)</f>
        <v>3024</v>
      </c>
      <c r="H5273" s="116">
        <f>IFERROR(__xludf.DUMMYFUNCTION("""COMPUTED_VALUE"""),45910.0)</f>
        <v>45910</v>
      </c>
      <c r="I5273" s="115" t="str">
        <f>IFERROR(__xludf.DUMMYFUNCTION("""COMPUTED_VALUE"""),"15")</f>
        <v>15</v>
      </c>
      <c r="J5273" s="115" t="str">
        <f>IFERROR(__xludf.DUMMYFUNCTION("""COMPUTED_VALUE"""),"Parag Kashyap2025-09-1015")</f>
        <v>Parag Kashyap2025-09-1015</v>
      </c>
      <c r="K5273" s="115">
        <f>IFERROR(__xludf.DUMMYFUNCTION("""COMPUTED_VALUE"""),317179.0)</f>
        <v>317179</v>
      </c>
    </row>
    <row r="5274">
      <c r="A5274" s="115" t="str">
        <f>IFERROR(__xludf.DUMMYFUNCTION("""COMPUTED_VALUE"""),"EAST")</f>
        <v>EAST</v>
      </c>
      <c r="B5274" s="115" t="str">
        <f>IFERROR(__xludf.DUMMYFUNCTION("""COMPUTED_VALUE"""),"Parag Kashyap")</f>
        <v>Parag Kashyap</v>
      </c>
      <c r="C5274" s="115" t="str">
        <f>IFERROR(__xludf.DUMMYFUNCTION("""COMPUTED_VALUE"""),"MYNTRA")</f>
        <v>MYNTRA</v>
      </c>
      <c r="D5274" s="115">
        <f>IFERROR(__xludf.DUMMYFUNCTION("""COMPUTED_VALUE"""),38174.0)</f>
        <v>38174</v>
      </c>
      <c r="E5274" s="115">
        <f>IFERROR(__xludf.DUMMYFUNCTION("""COMPUTED_VALUE"""),5758.0)</f>
        <v>5758</v>
      </c>
      <c r="F5274" s="115">
        <f>IFERROR(__xludf.DUMMYFUNCTION("""COMPUTED_VALUE"""),20300.0)</f>
        <v>20300</v>
      </c>
      <c r="G5274" s="115">
        <f>IFERROR(__xludf.DUMMYFUNCTION("""COMPUTED_VALUE"""),944.0)</f>
        <v>944</v>
      </c>
      <c r="H5274" s="116">
        <f>IFERROR(__xludf.DUMMYFUNCTION("""COMPUTED_VALUE"""),45910.0)</f>
        <v>45910</v>
      </c>
      <c r="I5274" s="115" t="str">
        <f>IFERROR(__xludf.DUMMYFUNCTION("""COMPUTED_VALUE"""),"15")</f>
        <v>15</v>
      </c>
      <c r="J5274" s="115" t="str">
        <f>IFERROR(__xludf.DUMMYFUNCTION("""COMPUTED_VALUE"""),"Parag Kashyap2025-09-1015")</f>
        <v>Parag Kashyap2025-09-1015</v>
      </c>
      <c r="K5274" s="115">
        <f>IFERROR(__xludf.DUMMYFUNCTION("""COMPUTED_VALUE"""),43932.0)</f>
        <v>43932</v>
      </c>
    </row>
    <row r="5275">
      <c r="A5275" s="115" t="str">
        <f>IFERROR(__xludf.DUMMYFUNCTION("""COMPUTED_VALUE"""),"NORTH")</f>
        <v>NORTH</v>
      </c>
      <c r="B5275" s="115" t="str">
        <f>IFERROR(__xludf.DUMMYFUNCTION("""COMPUTED_VALUE"""),"Amit Kumar Pathak")</f>
        <v>Amit Kumar Pathak</v>
      </c>
      <c r="C5275" s="115" t="str">
        <f>IFERROR(__xludf.DUMMYFUNCTION("""COMPUTED_VALUE"""),"EXTERNAL")</f>
        <v>EXTERNAL</v>
      </c>
      <c r="D5275" s="115">
        <f>IFERROR(__xludf.DUMMYFUNCTION("""COMPUTED_VALUE"""),20453.0)</f>
        <v>20453</v>
      </c>
      <c r="E5275" s="115">
        <f>IFERROR(__xludf.DUMMYFUNCTION("""COMPUTED_VALUE"""),3947.0)</f>
        <v>3947</v>
      </c>
      <c r="F5275" s="115">
        <f>IFERROR(__xludf.DUMMYFUNCTION("""COMPUTED_VALUE"""),4780.0)</f>
        <v>4780</v>
      </c>
      <c r="G5275" s="115">
        <f>IFERROR(__xludf.DUMMYFUNCTION("""COMPUTED_VALUE"""),1020.0)</f>
        <v>1020</v>
      </c>
      <c r="H5275" s="116">
        <f>IFERROR(__xludf.DUMMYFUNCTION("""COMPUTED_VALUE"""),45910.0)</f>
        <v>45910</v>
      </c>
      <c r="I5275" s="115" t="str">
        <f>IFERROR(__xludf.DUMMYFUNCTION("""COMPUTED_VALUE"""),"15")</f>
        <v>15</v>
      </c>
      <c r="J5275" s="115" t="str">
        <f>IFERROR(__xludf.DUMMYFUNCTION("""COMPUTED_VALUE"""),"Amit Kumar Pathak2025-09-1015")</f>
        <v>Amit Kumar Pathak2025-09-1015</v>
      </c>
      <c r="K5275" s="115">
        <f>IFERROR(__xludf.DUMMYFUNCTION("""COMPUTED_VALUE"""),24400.0)</f>
        <v>24400</v>
      </c>
    </row>
    <row r="5276">
      <c r="A5276" s="115" t="str">
        <f>IFERROR(__xludf.DUMMYFUNCTION("""COMPUTED_VALUE"""),"NORTH")</f>
        <v>NORTH</v>
      </c>
      <c r="B5276" s="115" t="str">
        <f>IFERROR(__xludf.DUMMYFUNCTION("""COMPUTED_VALUE"""),"Amit Kumar Pathak")</f>
        <v>Amit Kumar Pathak</v>
      </c>
      <c r="C5276" s="115" t="str">
        <f>IFERROR(__xludf.DUMMYFUNCTION("""COMPUTED_VALUE"""),"FLIPKART")</f>
        <v>FLIPKART</v>
      </c>
      <c r="D5276" s="115">
        <f>IFERROR(__xludf.DUMMYFUNCTION("""COMPUTED_VALUE"""),163162.0)</f>
        <v>163162</v>
      </c>
      <c r="E5276" s="115">
        <f>IFERROR(__xludf.DUMMYFUNCTION("""COMPUTED_VALUE"""),21926.0)</f>
        <v>21926</v>
      </c>
      <c r="F5276" s="115">
        <f>IFERROR(__xludf.DUMMYFUNCTION("""COMPUTED_VALUE"""),84385.0)</f>
        <v>84385</v>
      </c>
      <c r="G5276" s="115">
        <f>IFERROR(__xludf.DUMMYFUNCTION("""COMPUTED_VALUE"""),7944.0)</f>
        <v>7944</v>
      </c>
      <c r="H5276" s="116">
        <f>IFERROR(__xludf.DUMMYFUNCTION("""COMPUTED_VALUE"""),45910.0)</f>
        <v>45910</v>
      </c>
      <c r="I5276" s="115" t="str">
        <f>IFERROR(__xludf.DUMMYFUNCTION("""COMPUTED_VALUE"""),"15")</f>
        <v>15</v>
      </c>
      <c r="J5276" s="115" t="str">
        <f>IFERROR(__xludf.DUMMYFUNCTION("""COMPUTED_VALUE"""),"Amit Kumar Pathak2025-09-1015")</f>
        <v>Amit Kumar Pathak2025-09-1015</v>
      </c>
      <c r="K5276" s="115">
        <f>IFERROR(__xludf.DUMMYFUNCTION("""COMPUTED_VALUE"""),185088.0)</f>
        <v>185088</v>
      </c>
    </row>
    <row r="5277">
      <c r="A5277" s="115" t="str">
        <f>IFERROR(__xludf.DUMMYFUNCTION("""COMPUTED_VALUE"""),"NORTH")</f>
        <v>NORTH</v>
      </c>
      <c r="B5277" s="115" t="str">
        <f>IFERROR(__xludf.DUMMYFUNCTION("""COMPUTED_VALUE"""),"Amit Kumar Pathak")</f>
        <v>Amit Kumar Pathak</v>
      </c>
      <c r="C5277" s="115" t="str">
        <f>IFERROR(__xludf.DUMMYFUNCTION("""COMPUTED_VALUE"""),"MYNTRA")</f>
        <v>MYNTRA</v>
      </c>
      <c r="D5277" s="115">
        <f>IFERROR(__xludf.DUMMYFUNCTION("""COMPUTED_VALUE"""),13292.0)</f>
        <v>13292</v>
      </c>
      <c r="E5277" s="115">
        <f>IFERROR(__xludf.DUMMYFUNCTION("""COMPUTED_VALUE"""),5655.0)</f>
        <v>5655</v>
      </c>
      <c r="F5277" s="115">
        <f>IFERROR(__xludf.DUMMYFUNCTION("""COMPUTED_VALUE"""),8014.0)</f>
        <v>8014</v>
      </c>
      <c r="G5277" s="115">
        <f>IFERROR(__xludf.DUMMYFUNCTION("""COMPUTED_VALUE"""),2367.0)</f>
        <v>2367</v>
      </c>
      <c r="H5277" s="116">
        <f>IFERROR(__xludf.DUMMYFUNCTION("""COMPUTED_VALUE"""),45910.0)</f>
        <v>45910</v>
      </c>
      <c r="I5277" s="115" t="str">
        <f>IFERROR(__xludf.DUMMYFUNCTION("""COMPUTED_VALUE"""),"15")</f>
        <v>15</v>
      </c>
      <c r="J5277" s="115" t="str">
        <f>IFERROR(__xludf.DUMMYFUNCTION("""COMPUTED_VALUE"""),"Amit Kumar Pathak2025-09-1015")</f>
        <v>Amit Kumar Pathak2025-09-1015</v>
      </c>
      <c r="K5277" s="115">
        <f>IFERROR(__xludf.DUMMYFUNCTION("""COMPUTED_VALUE"""),18947.0)</f>
        <v>18947</v>
      </c>
    </row>
    <row r="5278">
      <c r="A5278" s="115" t="str">
        <f>IFERROR(__xludf.DUMMYFUNCTION("""COMPUTED_VALUE"""),"NORTH")</f>
        <v>NORTH</v>
      </c>
      <c r="B5278" s="115" t="str">
        <f>IFERROR(__xludf.DUMMYFUNCTION("""COMPUTED_VALUE"""),"Loveleen Singh")</f>
        <v>Loveleen Singh</v>
      </c>
      <c r="C5278" s="115" t="str">
        <f>IFERROR(__xludf.DUMMYFUNCTION("""COMPUTED_VALUE"""),"EXTERNAL")</f>
        <v>EXTERNAL</v>
      </c>
      <c r="D5278" s="115">
        <f>IFERROR(__xludf.DUMMYFUNCTION("""COMPUTED_VALUE"""),30484.0)</f>
        <v>30484</v>
      </c>
      <c r="E5278" s="115">
        <f>IFERROR(__xludf.DUMMYFUNCTION("""COMPUTED_VALUE"""),2700.0)</f>
        <v>2700</v>
      </c>
      <c r="F5278" s="115">
        <f>IFERROR(__xludf.DUMMYFUNCTION("""COMPUTED_VALUE"""),8918.0)</f>
        <v>8918</v>
      </c>
      <c r="G5278" s="115">
        <f>IFERROR(__xludf.DUMMYFUNCTION("""COMPUTED_VALUE"""),393.0)</f>
        <v>393</v>
      </c>
      <c r="H5278" s="116">
        <f>IFERROR(__xludf.DUMMYFUNCTION("""COMPUTED_VALUE"""),45910.0)</f>
        <v>45910</v>
      </c>
      <c r="I5278" s="115" t="str">
        <f>IFERROR(__xludf.DUMMYFUNCTION("""COMPUTED_VALUE"""),"15")</f>
        <v>15</v>
      </c>
      <c r="J5278" s="115" t="str">
        <f>IFERROR(__xludf.DUMMYFUNCTION("""COMPUTED_VALUE"""),"Loveleen Singh2025-09-1015")</f>
        <v>Loveleen Singh2025-09-1015</v>
      </c>
      <c r="K5278" s="115">
        <f>IFERROR(__xludf.DUMMYFUNCTION("""COMPUTED_VALUE"""),33184.0)</f>
        <v>33184</v>
      </c>
    </row>
    <row r="5279">
      <c r="A5279" s="115" t="str">
        <f>IFERROR(__xludf.DUMMYFUNCTION("""COMPUTED_VALUE"""),"NORTH")</f>
        <v>NORTH</v>
      </c>
      <c r="B5279" s="115" t="str">
        <f>IFERROR(__xludf.DUMMYFUNCTION("""COMPUTED_VALUE"""),"Loveleen Singh")</f>
        <v>Loveleen Singh</v>
      </c>
      <c r="C5279" s="115" t="str">
        <f>IFERROR(__xludf.DUMMYFUNCTION("""COMPUTED_VALUE"""),"FLIPKART")</f>
        <v>FLIPKART</v>
      </c>
      <c r="D5279" s="115">
        <f>IFERROR(__xludf.DUMMYFUNCTION("""COMPUTED_VALUE"""),174923.0)</f>
        <v>174923</v>
      </c>
      <c r="E5279" s="115">
        <f>IFERROR(__xludf.DUMMYFUNCTION("""COMPUTED_VALUE"""),14780.0)</f>
        <v>14780</v>
      </c>
      <c r="F5279" s="115">
        <f>IFERROR(__xludf.DUMMYFUNCTION("""COMPUTED_VALUE"""),98259.0)</f>
        <v>98259</v>
      </c>
      <c r="G5279" s="115">
        <f>IFERROR(__xludf.DUMMYFUNCTION("""COMPUTED_VALUE"""),3914.0)</f>
        <v>3914</v>
      </c>
      <c r="H5279" s="116">
        <f>IFERROR(__xludf.DUMMYFUNCTION("""COMPUTED_VALUE"""),45910.0)</f>
        <v>45910</v>
      </c>
      <c r="I5279" s="115" t="str">
        <f>IFERROR(__xludf.DUMMYFUNCTION("""COMPUTED_VALUE"""),"15")</f>
        <v>15</v>
      </c>
      <c r="J5279" s="115" t="str">
        <f>IFERROR(__xludf.DUMMYFUNCTION("""COMPUTED_VALUE"""),"Loveleen Singh2025-09-1015")</f>
        <v>Loveleen Singh2025-09-1015</v>
      </c>
      <c r="K5279" s="115">
        <f>IFERROR(__xludf.DUMMYFUNCTION("""COMPUTED_VALUE"""),189703.0)</f>
        <v>189703</v>
      </c>
    </row>
    <row r="5280">
      <c r="A5280" s="115" t="str">
        <f>IFERROR(__xludf.DUMMYFUNCTION("""COMPUTED_VALUE"""),"NORTH")</f>
        <v>NORTH</v>
      </c>
      <c r="B5280" s="115" t="str">
        <f>IFERROR(__xludf.DUMMYFUNCTION("""COMPUTED_VALUE"""),"Loveleen Singh")</f>
        <v>Loveleen Singh</v>
      </c>
      <c r="C5280" s="115" t="str">
        <f>IFERROR(__xludf.DUMMYFUNCTION("""COMPUTED_VALUE"""),"MYNTRA")</f>
        <v>MYNTRA</v>
      </c>
      <c r="D5280" s="115">
        <f>IFERROR(__xludf.DUMMYFUNCTION("""COMPUTED_VALUE"""),29057.0)</f>
        <v>29057</v>
      </c>
      <c r="E5280" s="115">
        <f>IFERROR(__xludf.DUMMYFUNCTION("""COMPUTED_VALUE"""),7043.0)</f>
        <v>7043</v>
      </c>
      <c r="F5280" s="115">
        <f>IFERROR(__xludf.DUMMYFUNCTION("""COMPUTED_VALUE"""),18163.0)</f>
        <v>18163</v>
      </c>
      <c r="G5280" s="115">
        <f>IFERROR(__xludf.DUMMYFUNCTION("""COMPUTED_VALUE"""),2246.0)</f>
        <v>2246</v>
      </c>
      <c r="H5280" s="116">
        <f>IFERROR(__xludf.DUMMYFUNCTION("""COMPUTED_VALUE"""),45910.0)</f>
        <v>45910</v>
      </c>
      <c r="I5280" s="115" t="str">
        <f>IFERROR(__xludf.DUMMYFUNCTION("""COMPUTED_VALUE"""),"15")</f>
        <v>15</v>
      </c>
      <c r="J5280" s="115" t="str">
        <f>IFERROR(__xludf.DUMMYFUNCTION("""COMPUTED_VALUE"""),"Loveleen Singh2025-09-1015")</f>
        <v>Loveleen Singh2025-09-1015</v>
      </c>
      <c r="K5280" s="115">
        <f>IFERROR(__xludf.DUMMYFUNCTION("""COMPUTED_VALUE"""),36100.0)</f>
        <v>36100</v>
      </c>
    </row>
    <row r="5281">
      <c r="A5281" s="115" t="str">
        <f>IFERROR(__xludf.DUMMYFUNCTION("""COMPUTED_VALUE"""),"NORTH")</f>
        <v>NORTH</v>
      </c>
      <c r="B5281" s="115" t="str">
        <f>IFERROR(__xludf.DUMMYFUNCTION("""COMPUTED_VALUE"""),"Manoj Harsh")</f>
        <v>Manoj Harsh</v>
      </c>
      <c r="C5281" s="115" t="str">
        <f>IFERROR(__xludf.DUMMYFUNCTION("""COMPUTED_VALUE"""),"EXTERNAL")</f>
        <v>EXTERNAL</v>
      </c>
      <c r="D5281" s="115">
        <f>IFERROR(__xludf.DUMMYFUNCTION("""COMPUTED_VALUE"""),30736.0)</f>
        <v>30736</v>
      </c>
      <c r="E5281" s="115">
        <f>IFERROR(__xludf.DUMMYFUNCTION("""COMPUTED_VALUE"""),3459.0)</f>
        <v>3459</v>
      </c>
      <c r="F5281" s="115">
        <f>IFERROR(__xludf.DUMMYFUNCTION("""COMPUTED_VALUE"""),9450.0)</f>
        <v>9450</v>
      </c>
      <c r="G5281" s="115">
        <f>IFERROR(__xludf.DUMMYFUNCTION("""COMPUTED_VALUE"""),486.0)</f>
        <v>486</v>
      </c>
      <c r="H5281" s="116">
        <f>IFERROR(__xludf.DUMMYFUNCTION("""COMPUTED_VALUE"""),45910.0)</f>
        <v>45910</v>
      </c>
      <c r="I5281" s="115" t="str">
        <f>IFERROR(__xludf.DUMMYFUNCTION("""COMPUTED_VALUE"""),"15")</f>
        <v>15</v>
      </c>
      <c r="J5281" s="115" t="str">
        <f>IFERROR(__xludf.DUMMYFUNCTION("""COMPUTED_VALUE"""),"Manoj Harsh2025-09-1015")</f>
        <v>Manoj Harsh2025-09-1015</v>
      </c>
      <c r="K5281" s="115">
        <f>IFERROR(__xludf.DUMMYFUNCTION("""COMPUTED_VALUE"""),34195.0)</f>
        <v>34195</v>
      </c>
    </row>
    <row r="5282">
      <c r="A5282" s="115" t="str">
        <f>IFERROR(__xludf.DUMMYFUNCTION("""COMPUTED_VALUE"""),"NORTH")</f>
        <v>NORTH</v>
      </c>
      <c r="B5282" s="115" t="str">
        <f>IFERROR(__xludf.DUMMYFUNCTION("""COMPUTED_VALUE"""),"Manoj Harsh")</f>
        <v>Manoj Harsh</v>
      </c>
      <c r="C5282" s="115" t="str">
        <f>IFERROR(__xludf.DUMMYFUNCTION("""COMPUTED_VALUE"""),"FLIPKART")</f>
        <v>FLIPKART</v>
      </c>
      <c r="D5282" s="115">
        <f>IFERROR(__xludf.DUMMYFUNCTION("""COMPUTED_VALUE"""),372773.0)</f>
        <v>372773</v>
      </c>
      <c r="E5282" s="115">
        <f>IFERROR(__xludf.DUMMYFUNCTION("""COMPUTED_VALUE"""),38485.0)</f>
        <v>38485</v>
      </c>
      <c r="F5282" s="115">
        <f>IFERROR(__xludf.DUMMYFUNCTION("""COMPUTED_VALUE"""),199500.0)</f>
        <v>199500</v>
      </c>
      <c r="G5282" s="115">
        <f>IFERROR(__xludf.DUMMYFUNCTION("""COMPUTED_VALUE"""),10108.0)</f>
        <v>10108</v>
      </c>
      <c r="H5282" s="116">
        <f>IFERROR(__xludf.DUMMYFUNCTION("""COMPUTED_VALUE"""),45910.0)</f>
        <v>45910</v>
      </c>
      <c r="I5282" s="115" t="str">
        <f>IFERROR(__xludf.DUMMYFUNCTION("""COMPUTED_VALUE"""),"15")</f>
        <v>15</v>
      </c>
      <c r="J5282" s="115" t="str">
        <f>IFERROR(__xludf.DUMMYFUNCTION("""COMPUTED_VALUE"""),"Manoj Harsh2025-09-1015")</f>
        <v>Manoj Harsh2025-09-1015</v>
      </c>
      <c r="K5282" s="115">
        <f>IFERROR(__xludf.DUMMYFUNCTION("""COMPUTED_VALUE"""),411258.0)</f>
        <v>411258</v>
      </c>
    </row>
    <row r="5283">
      <c r="A5283" s="115" t="str">
        <f>IFERROR(__xludf.DUMMYFUNCTION("""COMPUTED_VALUE"""),"NORTH")</f>
        <v>NORTH</v>
      </c>
      <c r="B5283" s="115" t="str">
        <f>IFERROR(__xludf.DUMMYFUNCTION("""COMPUTED_VALUE"""),"Manoj Harsh")</f>
        <v>Manoj Harsh</v>
      </c>
      <c r="C5283" s="115" t="str">
        <f>IFERROR(__xludf.DUMMYFUNCTION("""COMPUTED_VALUE"""),"MYNTRA")</f>
        <v>MYNTRA</v>
      </c>
      <c r="D5283" s="115">
        <f>IFERROR(__xludf.DUMMYFUNCTION("""COMPUTED_VALUE"""),32044.0)</f>
        <v>32044</v>
      </c>
      <c r="E5283" s="115">
        <f>IFERROR(__xludf.DUMMYFUNCTION("""COMPUTED_VALUE"""),7860.0)</f>
        <v>7860</v>
      </c>
      <c r="F5283" s="115">
        <f>IFERROR(__xludf.DUMMYFUNCTION("""COMPUTED_VALUE"""),19498.0)</f>
        <v>19498</v>
      </c>
      <c r="G5283" s="115">
        <f>IFERROR(__xludf.DUMMYFUNCTION("""COMPUTED_VALUE"""),2526.0)</f>
        <v>2526</v>
      </c>
      <c r="H5283" s="116">
        <f>IFERROR(__xludf.DUMMYFUNCTION("""COMPUTED_VALUE"""),45910.0)</f>
        <v>45910</v>
      </c>
      <c r="I5283" s="115" t="str">
        <f>IFERROR(__xludf.DUMMYFUNCTION("""COMPUTED_VALUE"""),"15")</f>
        <v>15</v>
      </c>
      <c r="J5283" s="115" t="str">
        <f>IFERROR(__xludf.DUMMYFUNCTION("""COMPUTED_VALUE"""),"Manoj Harsh2025-09-1015")</f>
        <v>Manoj Harsh2025-09-1015</v>
      </c>
      <c r="K5283" s="115">
        <f>IFERROR(__xludf.DUMMYFUNCTION("""COMPUTED_VALUE"""),39904.0)</f>
        <v>39904</v>
      </c>
    </row>
    <row r="5284">
      <c r="A5284" s="115" t="str">
        <f>IFERROR(__xludf.DUMMYFUNCTION("""COMPUTED_VALUE"""),"NORTH")</f>
        <v>NORTH</v>
      </c>
      <c r="B5284" s="115" t="str">
        <f>IFERROR(__xludf.DUMMYFUNCTION("""COMPUTED_VALUE"""),"Pradeep Kothari")</f>
        <v>Pradeep Kothari</v>
      </c>
      <c r="C5284" s="115" t="str">
        <f>IFERROR(__xludf.DUMMYFUNCTION("""COMPUTED_VALUE"""),"EXTERNAL")</f>
        <v>EXTERNAL</v>
      </c>
      <c r="D5284" s="115">
        <f>IFERROR(__xludf.DUMMYFUNCTION("""COMPUTED_VALUE"""),17704.0)</f>
        <v>17704</v>
      </c>
      <c r="E5284" s="115">
        <f>IFERROR(__xludf.DUMMYFUNCTION("""COMPUTED_VALUE"""),2359.0)</f>
        <v>2359</v>
      </c>
      <c r="F5284" s="115">
        <f>IFERROR(__xludf.DUMMYFUNCTION("""COMPUTED_VALUE"""),5736.0)</f>
        <v>5736</v>
      </c>
      <c r="G5284" s="115">
        <f>IFERROR(__xludf.DUMMYFUNCTION("""COMPUTED_VALUE"""),479.0)</f>
        <v>479</v>
      </c>
      <c r="H5284" s="116">
        <f>IFERROR(__xludf.DUMMYFUNCTION("""COMPUTED_VALUE"""),45910.0)</f>
        <v>45910</v>
      </c>
      <c r="I5284" s="115" t="str">
        <f>IFERROR(__xludf.DUMMYFUNCTION("""COMPUTED_VALUE"""),"15")</f>
        <v>15</v>
      </c>
      <c r="J5284" s="115" t="str">
        <f>IFERROR(__xludf.DUMMYFUNCTION("""COMPUTED_VALUE"""),"Pradeep Kothari2025-09-1015")</f>
        <v>Pradeep Kothari2025-09-1015</v>
      </c>
      <c r="K5284" s="115">
        <f>IFERROR(__xludf.DUMMYFUNCTION("""COMPUTED_VALUE"""),20063.0)</f>
        <v>20063</v>
      </c>
    </row>
    <row r="5285">
      <c r="A5285" s="115" t="str">
        <f>IFERROR(__xludf.DUMMYFUNCTION("""COMPUTED_VALUE"""),"NORTH")</f>
        <v>NORTH</v>
      </c>
      <c r="B5285" s="115" t="str">
        <f>IFERROR(__xludf.DUMMYFUNCTION("""COMPUTED_VALUE"""),"Pradeep Kothari")</f>
        <v>Pradeep Kothari</v>
      </c>
      <c r="C5285" s="115" t="str">
        <f>IFERROR(__xludf.DUMMYFUNCTION("""COMPUTED_VALUE"""),"FLIPKART")</f>
        <v>FLIPKART</v>
      </c>
      <c r="D5285" s="115">
        <f>IFERROR(__xludf.DUMMYFUNCTION("""COMPUTED_VALUE"""),144178.0)</f>
        <v>144178</v>
      </c>
      <c r="E5285" s="115">
        <f>IFERROR(__xludf.DUMMYFUNCTION("""COMPUTED_VALUE"""),16408.0)</f>
        <v>16408</v>
      </c>
      <c r="F5285" s="115">
        <f>IFERROR(__xludf.DUMMYFUNCTION("""COMPUTED_VALUE"""),88979.0)</f>
        <v>88979</v>
      </c>
      <c r="G5285" s="115">
        <f>IFERROR(__xludf.DUMMYFUNCTION("""COMPUTED_VALUE"""),6006.0)</f>
        <v>6006</v>
      </c>
      <c r="H5285" s="116">
        <f>IFERROR(__xludf.DUMMYFUNCTION("""COMPUTED_VALUE"""),45910.0)</f>
        <v>45910</v>
      </c>
      <c r="I5285" s="115" t="str">
        <f>IFERROR(__xludf.DUMMYFUNCTION("""COMPUTED_VALUE"""),"15")</f>
        <v>15</v>
      </c>
      <c r="J5285" s="115" t="str">
        <f>IFERROR(__xludf.DUMMYFUNCTION("""COMPUTED_VALUE"""),"Pradeep Kothari2025-09-1015")</f>
        <v>Pradeep Kothari2025-09-1015</v>
      </c>
      <c r="K5285" s="115">
        <f>IFERROR(__xludf.DUMMYFUNCTION("""COMPUTED_VALUE"""),160586.0)</f>
        <v>160586</v>
      </c>
    </row>
    <row r="5286">
      <c r="A5286" s="115" t="str">
        <f>IFERROR(__xludf.DUMMYFUNCTION("""COMPUTED_VALUE"""),"NORTH")</f>
        <v>NORTH</v>
      </c>
      <c r="B5286" s="115" t="str">
        <f>IFERROR(__xludf.DUMMYFUNCTION("""COMPUTED_VALUE"""),"Pradeep Kothari")</f>
        <v>Pradeep Kothari</v>
      </c>
      <c r="C5286" s="115" t="str">
        <f>IFERROR(__xludf.DUMMYFUNCTION("""COMPUTED_VALUE"""),"MYNTRA")</f>
        <v>MYNTRA</v>
      </c>
      <c r="D5286" s="115">
        <f>IFERROR(__xludf.DUMMYFUNCTION("""COMPUTED_VALUE"""),22902.0)</f>
        <v>22902</v>
      </c>
      <c r="E5286" s="115">
        <f>IFERROR(__xludf.DUMMYFUNCTION("""COMPUTED_VALUE"""),7079.0)</f>
        <v>7079</v>
      </c>
      <c r="F5286" s="115">
        <f>IFERROR(__xludf.DUMMYFUNCTION("""COMPUTED_VALUE"""),16129.0)</f>
        <v>16129</v>
      </c>
      <c r="G5286" s="115">
        <f>IFERROR(__xludf.DUMMYFUNCTION("""COMPUTED_VALUE"""),3034.0)</f>
        <v>3034</v>
      </c>
      <c r="H5286" s="116">
        <f>IFERROR(__xludf.DUMMYFUNCTION("""COMPUTED_VALUE"""),45910.0)</f>
        <v>45910</v>
      </c>
      <c r="I5286" s="115" t="str">
        <f>IFERROR(__xludf.DUMMYFUNCTION("""COMPUTED_VALUE"""),"15")</f>
        <v>15</v>
      </c>
      <c r="J5286" s="115" t="str">
        <f>IFERROR(__xludf.DUMMYFUNCTION("""COMPUTED_VALUE"""),"Pradeep Kothari2025-09-1015")</f>
        <v>Pradeep Kothari2025-09-1015</v>
      </c>
      <c r="K5286" s="115">
        <f>IFERROR(__xludf.DUMMYFUNCTION("""COMPUTED_VALUE"""),29981.0)</f>
        <v>29981</v>
      </c>
    </row>
    <row r="5287">
      <c r="A5287" s="115" t="str">
        <f>IFERROR(__xludf.DUMMYFUNCTION("""COMPUTED_VALUE"""),"SOUTH")</f>
        <v>SOUTH</v>
      </c>
      <c r="B5287" s="115" t="str">
        <f>IFERROR(__xludf.DUMMYFUNCTION("""COMPUTED_VALUE"""),"0")</f>
        <v>0</v>
      </c>
      <c r="C5287" s="115" t="str">
        <f>IFERROR(__xludf.DUMMYFUNCTION("""COMPUTED_VALUE"""),"EXTERNAL")</f>
        <v>EXTERNAL</v>
      </c>
      <c r="D5287" s="115">
        <f>IFERROR(__xludf.DUMMYFUNCTION("""COMPUTED_VALUE"""),2.0)</f>
        <v>2</v>
      </c>
      <c r="E5287" s="115">
        <f>IFERROR(__xludf.DUMMYFUNCTION("""COMPUTED_VALUE"""),0.0)</f>
        <v>0</v>
      </c>
      <c r="F5287" s="115">
        <f>IFERROR(__xludf.DUMMYFUNCTION("""COMPUTED_VALUE"""),0.0)</f>
        <v>0</v>
      </c>
      <c r="G5287" s="115">
        <f>IFERROR(__xludf.DUMMYFUNCTION("""COMPUTED_VALUE"""),0.0)</f>
        <v>0</v>
      </c>
      <c r="H5287" s="116">
        <f>IFERROR(__xludf.DUMMYFUNCTION("""COMPUTED_VALUE"""),45910.0)</f>
        <v>45910</v>
      </c>
      <c r="I5287" s="115" t="str">
        <f>IFERROR(__xludf.DUMMYFUNCTION("""COMPUTED_VALUE"""),"15")</f>
        <v>15</v>
      </c>
      <c r="J5287" s="115" t="str">
        <f>IFERROR(__xludf.DUMMYFUNCTION("""COMPUTED_VALUE"""),"02025-09-1015")</f>
        <v>02025-09-1015</v>
      </c>
      <c r="K5287" s="115">
        <f>IFERROR(__xludf.DUMMYFUNCTION("""COMPUTED_VALUE"""),2.0)</f>
        <v>2</v>
      </c>
    </row>
    <row r="5288">
      <c r="A5288" s="115" t="str">
        <f>IFERROR(__xludf.DUMMYFUNCTION("""COMPUTED_VALUE"""),"SOUTH")</f>
        <v>SOUTH</v>
      </c>
      <c r="B5288" s="115" t="str">
        <f>IFERROR(__xludf.DUMMYFUNCTION("""COMPUTED_VALUE"""),"0")</f>
        <v>0</v>
      </c>
      <c r="C5288" s="115" t="str">
        <f>IFERROR(__xludf.DUMMYFUNCTION("""COMPUTED_VALUE"""),"FLIPKART")</f>
        <v>FLIPKART</v>
      </c>
      <c r="D5288" s="115">
        <f>IFERROR(__xludf.DUMMYFUNCTION("""COMPUTED_VALUE"""),78.0)</f>
        <v>78</v>
      </c>
      <c r="E5288" s="115">
        <f>IFERROR(__xludf.DUMMYFUNCTION("""COMPUTED_VALUE"""),12.0)</f>
        <v>12</v>
      </c>
      <c r="F5288" s="115">
        <f>IFERROR(__xludf.DUMMYFUNCTION("""COMPUTED_VALUE"""),0.0)</f>
        <v>0</v>
      </c>
      <c r="G5288" s="115">
        <f>IFERROR(__xludf.DUMMYFUNCTION("""COMPUTED_VALUE"""),0.0)</f>
        <v>0</v>
      </c>
      <c r="H5288" s="116">
        <f>IFERROR(__xludf.DUMMYFUNCTION("""COMPUTED_VALUE"""),45910.0)</f>
        <v>45910</v>
      </c>
      <c r="I5288" s="115" t="str">
        <f>IFERROR(__xludf.DUMMYFUNCTION("""COMPUTED_VALUE"""),"15")</f>
        <v>15</v>
      </c>
      <c r="J5288" s="115" t="str">
        <f>IFERROR(__xludf.DUMMYFUNCTION("""COMPUTED_VALUE"""),"02025-09-1015")</f>
        <v>02025-09-1015</v>
      </c>
      <c r="K5288" s="115">
        <f>IFERROR(__xludf.DUMMYFUNCTION("""COMPUTED_VALUE"""),90.0)</f>
        <v>90</v>
      </c>
    </row>
    <row r="5289">
      <c r="A5289" s="115" t="str">
        <f>IFERROR(__xludf.DUMMYFUNCTION("""COMPUTED_VALUE"""),"SOUTH")</f>
        <v>SOUTH</v>
      </c>
      <c r="B5289" s="115" t="str">
        <f>IFERROR(__xludf.DUMMYFUNCTION("""COMPUTED_VALUE"""),"0")</f>
        <v>0</v>
      </c>
      <c r="C5289" s="115" t="str">
        <f>IFERROR(__xludf.DUMMYFUNCTION("""COMPUTED_VALUE"""),"MYNTRA")</f>
        <v>MYNTRA</v>
      </c>
      <c r="D5289" s="115">
        <f>IFERROR(__xludf.DUMMYFUNCTION("""COMPUTED_VALUE"""),14.0)</f>
        <v>14</v>
      </c>
      <c r="E5289" s="115">
        <f>IFERROR(__xludf.DUMMYFUNCTION("""COMPUTED_VALUE"""),9.0)</f>
        <v>9</v>
      </c>
      <c r="F5289" s="115">
        <f>IFERROR(__xludf.DUMMYFUNCTION("""COMPUTED_VALUE"""),0.0)</f>
        <v>0</v>
      </c>
      <c r="G5289" s="115">
        <f>IFERROR(__xludf.DUMMYFUNCTION("""COMPUTED_VALUE"""),1.0)</f>
        <v>1</v>
      </c>
      <c r="H5289" s="116">
        <f>IFERROR(__xludf.DUMMYFUNCTION("""COMPUTED_VALUE"""),45910.0)</f>
        <v>45910</v>
      </c>
      <c r="I5289" s="115" t="str">
        <f>IFERROR(__xludf.DUMMYFUNCTION("""COMPUTED_VALUE"""),"15")</f>
        <v>15</v>
      </c>
      <c r="J5289" s="115" t="str">
        <f>IFERROR(__xludf.DUMMYFUNCTION("""COMPUTED_VALUE"""),"02025-09-1015")</f>
        <v>02025-09-1015</v>
      </c>
      <c r="K5289" s="115">
        <f>IFERROR(__xludf.DUMMYFUNCTION("""COMPUTED_VALUE"""),23.0)</f>
        <v>23</v>
      </c>
    </row>
    <row r="5290">
      <c r="A5290" s="115" t="str">
        <f>IFERROR(__xludf.DUMMYFUNCTION("""COMPUTED_VALUE"""),"SOUTH")</f>
        <v>SOUTH</v>
      </c>
      <c r="B5290" s="115" t="str">
        <f>IFERROR(__xludf.DUMMYFUNCTION("""COMPUTED_VALUE"""),"Kandula Sampath")</f>
        <v>Kandula Sampath</v>
      </c>
      <c r="C5290" s="115" t="str">
        <f>IFERROR(__xludf.DUMMYFUNCTION("""COMPUTED_VALUE"""),"EXTERNAL")</f>
        <v>EXTERNAL</v>
      </c>
      <c r="D5290" s="115">
        <f>IFERROR(__xludf.DUMMYFUNCTION("""COMPUTED_VALUE"""),30196.0)</f>
        <v>30196</v>
      </c>
      <c r="E5290" s="115">
        <f>IFERROR(__xludf.DUMMYFUNCTION("""COMPUTED_VALUE"""),4213.0)</f>
        <v>4213</v>
      </c>
      <c r="F5290" s="115">
        <f>IFERROR(__xludf.DUMMYFUNCTION("""COMPUTED_VALUE"""),9825.0)</f>
        <v>9825</v>
      </c>
      <c r="G5290" s="115">
        <f>IFERROR(__xludf.DUMMYFUNCTION("""COMPUTED_VALUE"""),728.0)</f>
        <v>728</v>
      </c>
      <c r="H5290" s="116">
        <f>IFERROR(__xludf.DUMMYFUNCTION("""COMPUTED_VALUE"""),45910.0)</f>
        <v>45910</v>
      </c>
      <c r="I5290" s="115" t="str">
        <f>IFERROR(__xludf.DUMMYFUNCTION("""COMPUTED_VALUE"""),"15")</f>
        <v>15</v>
      </c>
      <c r="J5290" s="115" t="str">
        <f>IFERROR(__xludf.DUMMYFUNCTION("""COMPUTED_VALUE"""),"Kandula Sampath2025-09-1015")</f>
        <v>Kandula Sampath2025-09-1015</v>
      </c>
      <c r="K5290" s="115">
        <f>IFERROR(__xludf.DUMMYFUNCTION("""COMPUTED_VALUE"""),34409.0)</f>
        <v>34409</v>
      </c>
    </row>
    <row r="5291">
      <c r="A5291" s="115" t="str">
        <f>IFERROR(__xludf.DUMMYFUNCTION("""COMPUTED_VALUE"""),"SOUTH")</f>
        <v>SOUTH</v>
      </c>
      <c r="B5291" s="115" t="str">
        <f>IFERROR(__xludf.DUMMYFUNCTION("""COMPUTED_VALUE"""),"Kandula Sampath")</f>
        <v>Kandula Sampath</v>
      </c>
      <c r="C5291" s="115" t="str">
        <f>IFERROR(__xludf.DUMMYFUNCTION("""COMPUTED_VALUE"""),"FLIPKART")</f>
        <v>FLIPKART</v>
      </c>
      <c r="D5291" s="115">
        <f>IFERROR(__xludf.DUMMYFUNCTION("""COMPUTED_VALUE"""),314584.0)</f>
        <v>314584</v>
      </c>
      <c r="E5291" s="115">
        <f>IFERROR(__xludf.DUMMYFUNCTION("""COMPUTED_VALUE"""),30873.0)</f>
        <v>30873</v>
      </c>
      <c r="F5291" s="115">
        <f>IFERROR(__xludf.DUMMYFUNCTION("""COMPUTED_VALUE"""),173641.0)</f>
        <v>173641</v>
      </c>
      <c r="G5291" s="115">
        <f>IFERROR(__xludf.DUMMYFUNCTION("""COMPUTED_VALUE"""),7707.0)</f>
        <v>7707</v>
      </c>
      <c r="H5291" s="116">
        <f>IFERROR(__xludf.DUMMYFUNCTION("""COMPUTED_VALUE"""),45910.0)</f>
        <v>45910</v>
      </c>
      <c r="I5291" s="115" t="str">
        <f>IFERROR(__xludf.DUMMYFUNCTION("""COMPUTED_VALUE"""),"15")</f>
        <v>15</v>
      </c>
      <c r="J5291" s="115" t="str">
        <f>IFERROR(__xludf.DUMMYFUNCTION("""COMPUTED_VALUE"""),"Kandula Sampath2025-09-1015")</f>
        <v>Kandula Sampath2025-09-1015</v>
      </c>
      <c r="K5291" s="115">
        <f>IFERROR(__xludf.DUMMYFUNCTION("""COMPUTED_VALUE"""),345457.0)</f>
        <v>345457</v>
      </c>
    </row>
    <row r="5292">
      <c r="A5292" s="115" t="str">
        <f>IFERROR(__xludf.DUMMYFUNCTION("""COMPUTED_VALUE"""),"SOUTH")</f>
        <v>SOUTH</v>
      </c>
      <c r="B5292" s="115" t="str">
        <f>IFERROR(__xludf.DUMMYFUNCTION("""COMPUTED_VALUE"""),"Kandula Sampath")</f>
        <v>Kandula Sampath</v>
      </c>
      <c r="C5292" s="115" t="str">
        <f>IFERROR(__xludf.DUMMYFUNCTION("""COMPUTED_VALUE"""),"MYNTRA")</f>
        <v>MYNTRA</v>
      </c>
      <c r="D5292" s="115">
        <f>IFERROR(__xludf.DUMMYFUNCTION("""COMPUTED_VALUE"""),34831.0)</f>
        <v>34831</v>
      </c>
      <c r="E5292" s="115">
        <f>IFERROR(__xludf.DUMMYFUNCTION("""COMPUTED_VALUE"""),9455.0)</f>
        <v>9455</v>
      </c>
      <c r="F5292" s="115">
        <f>IFERROR(__xludf.DUMMYFUNCTION("""COMPUTED_VALUE"""),21432.0)</f>
        <v>21432</v>
      </c>
      <c r="G5292" s="115">
        <f>IFERROR(__xludf.DUMMYFUNCTION("""COMPUTED_VALUE"""),2553.0)</f>
        <v>2553</v>
      </c>
      <c r="H5292" s="116">
        <f>IFERROR(__xludf.DUMMYFUNCTION("""COMPUTED_VALUE"""),45910.0)</f>
        <v>45910</v>
      </c>
      <c r="I5292" s="115" t="str">
        <f>IFERROR(__xludf.DUMMYFUNCTION("""COMPUTED_VALUE"""),"15")</f>
        <v>15</v>
      </c>
      <c r="J5292" s="115" t="str">
        <f>IFERROR(__xludf.DUMMYFUNCTION("""COMPUTED_VALUE"""),"Kandula Sampath2025-09-1015")</f>
        <v>Kandula Sampath2025-09-1015</v>
      </c>
      <c r="K5292" s="115">
        <f>IFERROR(__xludf.DUMMYFUNCTION("""COMPUTED_VALUE"""),44286.0)</f>
        <v>44286</v>
      </c>
    </row>
    <row r="5293">
      <c r="A5293" s="115" t="str">
        <f>IFERROR(__xludf.DUMMYFUNCTION("""COMPUTED_VALUE"""),"SOUTH")</f>
        <v>SOUTH</v>
      </c>
      <c r="B5293" s="115" t="str">
        <f>IFERROR(__xludf.DUMMYFUNCTION("""COMPUTED_VALUE"""),"Martin A")</f>
        <v>Martin A</v>
      </c>
      <c r="C5293" s="115" t="str">
        <f>IFERROR(__xludf.DUMMYFUNCTION("""COMPUTED_VALUE"""),"EXTERNAL")</f>
        <v>EXTERNAL</v>
      </c>
      <c r="D5293" s="115">
        <f>IFERROR(__xludf.DUMMYFUNCTION("""COMPUTED_VALUE"""),29217.0)</f>
        <v>29217</v>
      </c>
      <c r="E5293" s="115">
        <f>IFERROR(__xludf.DUMMYFUNCTION("""COMPUTED_VALUE"""),4065.0)</f>
        <v>4065</v>
      </c>
      <c r="F5293" s="115">
        <f>IFERROR(__xludf.DUMMYFUNCTION("""COMPUTED_VALUE"""),9541.0)</f>
        <v>9541</v>
      </c>
      <c r="G5293" s="115">
        <f>IFERROR(__xludf.DUMMYFUNCTION("""COMPUTED_VALUE"""),918.0)</f>
        <v>918</v>
      </c>
      <c r="H5293" s="116">
        <f>IFERROR(__xludf.DUMMYFUNCTION("""COMPUTED_VALUE"""),45910.0)</f>
        <v>45910</v>
      </c>
      <c r="I5293" s="115" t="str">
        <f>IFERROR(__xludf.DUMMYFUNCTION("""COMPUTED_VALUE"""),"15")</f>
        <v>15</v>
      </c>
      <c r="J5293" s="115" t="str">
        <f>IFERROR(__xludf.DUMMYFUNCTION("""COMPUTED_VALUE"""),"Martin A2025-09-1015")</f>
        <v>Martin A2025-09-1015</v>
      </c>
      <c r="K5293" s="115">
        <f>IFERROR(__xludf.DUMMYFUNCTION("""COMPUTED_VALUE"""),33282.0)</f>
        <v>33282</v>
      </c>
    </row>
    <row r="5294">
      <c r="A5294" s="115" t="str">
        <f>IFERROR(__xludf.DUMMYFUNCTION("""COMPUTED_VALUE"""),"SOUTH")</f>
        <v>SOUTH</v>
      </c>
      <c r="B5294" s="115" t="str">
        <f>IFERROR(__xludf.DUMMYFUNCTION("""COMPUTED_VALUE"""),"Martin A")</f>
        <v>Martin A</v>
      </c>
      <c r="C5294" s="115" t="str">
        <f>IFERROR(__xludf.DUMMYFUNCTION("""COMPUTED_VALUE"""),"FLIPKART")</f>
        <v>FLIPKART</v>
      </c>
      <c r="D5294" s="115">
        <f>IFERROR(__xludf.DUMMYFUNCTION("""COMPUTED_VALUE"""),273866.0)</f>
        <v>273866</v>
      </c>
      <c r="E5294" s="115">
        <f>IFERROR(__xludf.DUMMYFUNCTION("""COMPUTED_VALUE"""),26224.0)</f>
        <v>26224</v>
      </c>
      <c r="F5294" s="115">
        <f>IFERROR(__xludf.DUMMYFUNCTION("""COMPUTED_VALUE"""),152253.0)</f>
        <v>152253</v>
      </c>
      <c r="G5294" s="115">
        <f>IFERROR(__xludf.DUMMYFUNCTION("""COMPUTED_VALUE"""),7565.0)</f>
        <v>7565</v>
      </c>
      <c r="H5294" s="116">
        <f>IFERROR(__xludf.DUMMYFUNCTION("""COMPUTED_VALUE"""),45910.0)</f>
        <v>45910</v>
      </c>
      <c r="I5294" s="115" t="str">
        <f>IFERROR(__xludf.DUMMYFUNCTION("""COMPUTED_VALUE"""),"15")</f>
        <v>15</v>
      </c>
      <c r="J5294" s="115" t="str">
        <f>IFERROR(__xludf.DUMMYFUNCTION("""COMPUTED_VALUE"""),"Martin A2025-09-1015")</f>
        <v>Martin A2025-09-1015</v>
      </c>
      <c r="K5294" s="115">
        <f>IFERROR(__xludf.DUMMYFUNCTION("""COMPUTED_VALUE"""),300090.0)</f>
        <v>300090</v>
      </c>
    </row>
    <row r="5295">
      <c r="A5295" s="115" t="str">
        <f>IFERROR(__xludf.DUMMYFUNCTION("""COMPUTED_VALUE"""),"SOUTH")</f>
        <v>SOUTH</v>
      </c>
      <c r="B5295" s="115" t="str">
        <f>IFERROR(__xludf.DUMMYFUNCTION("""COMPUTED_VALUE"""),"Martin A")</f>
        <v>Martin A</v>
      </c>
      <c r="C5295" s="115" t="str">
        <f>IFERROR(__xludf.DUMMYFUNCTION("""COMPUTED_VALUE"""),"MYNTRA")</f>
        <v>MYNTRA</v>
      </c>
      <c r="D5295" s="115">
        <f>IFERROR(__xludf.DUMMYFUNCTION("""COMPUTED_VALUE"""),26777.0)</f>
        <v>26777</v>
      </c>
      <c r="E5295" s="115">
        <f>IFERROR(__xludf.DUMMYFUNCTION("""COMPUTED_VALUE"""),6922.0)</f>
        <v>6922</v>
      </c>
      <c r="F5295" s="115">
        <f>IFERROR(__xludf.DUMMYFUNCTION("""COMPUTED_VALUE"""),17684.0)</f>
        <v>17684</v>
      </c>
      <c r="G5295" s="115">
        <f>IFERROR(__xludf.DUMMYFUNCTION("""COMPUTED_VALUE"""),2264.0)</f>
        <v>2264</v>
      </c>
      <c r="H5295" s="116">
        <f>IFERROR(__xludf.DUMMYFUNCTION("""COMPUTED_VALUE"""),45910.0)</f>
        <v>45910</v>
      </c>
      <c r="I5295" s="115" t="str">
        <f>IFERROR(__xludf.DUMMYFUNCTION("""COMPUTED_VALUE"""),"15")</f>
        <v>15</v>
      </c>
      <c r="J5295" s="115" t="str">
        <f>IFERROR(__xludf.DUMMYFUNCTION("""COMPUTED_VALUE"""),"Martin A2025-09-1015")</f>
        <v>Martin A2025-09-1015</v>
      </c>
      <c r="K5295" s="115">
        <f>IFERROR(__xludf.DUMMYFUNCTION("""COMPUTED_VALUE"""),33699.0)</f>
        <v>33699</v>
      </c>
    </row>
    <row r="5296">
      <c r="A5296" s="115" t="str">
        <f>IFERROR(__xludf.DUMMYFUNCTION("""COMPUTED_VALUE"""),"SOUTH")</f>
        <v>SOUTH</v>
      </c>
      <c r="B5296" s="115" t="str">
        <f>IFERROR(__xludf.DUMMYFUNCTION("""COMPUTED_VALUE"""),"Premkumar M")</f>
        <v>Premkumar M</v>
      </c>
      <c r="C5296" s="115" t="str">
        <f>IFERROR(__xludf.DUMMYFUNCTION("""COMPUTED_VALUE"""),"EXTERNAL")</f>
        <v>EXTERNAL</v>
      </c>
      <c r="D5296" s="115">
        <f>IFERROR(__xludf.DUMMYFUNCTION("""COMPUTED_VALUE"""),24747.0)</f>
        <v>24747</v>
      </c>
      <c r="E5296" s="115">
        <f>IFERROR(__xludf.DUMMYFUNCTION("""COMPUTED_VALUE"""),2074.0)</f>
        <v>2074</v>
      </c>
      <c r="F5296" s="115">
        <f>IFERROR(__xludf.DUMMYFUNCTION("""COMPUTED_VALUE"""),7451.0)</f>
        <v>7451</v>
      </c>
      <c r="G5296" s="115">
        <f>IFERROR(__xludf.DUMMYFUNCTION("""COMPUTED_VALUE"""),187.0)</f>
        <v>187</v>
      </c>
      <c r="H5296" s="116">
        <f>IFERROR(__xludf.DUMMYFUNCTION("""COMPUTED_VALUE"""),45910.0)</f>
        <v>45910</v>
      </c>
      <c r="I5296" s="115" t="str">
        <f>IFERROR(__xludf.DUMMYFUNCTION("""COMPUTED_VALUE"""),"15")</f>
        <v>15</v>
      </c>
      <c r="J5296" s="115" t="str">
        <f>IFERROR(__xludf.DUMMYFUNCTION("""COMPUTED_VALUE"""),"Premkumar M2025-09-1015")</f>
        <v>Premkumar M2025-09-1015</v>
      </c>
      <c r="K5296" s="115">
        <f>IFERROR(__xludf.DUMMYFUNCTION("""COMPUTED_VALUE"""),26821.0)</f>
        <v>26821</v>
      </c>
    </row>
    <row r="5297">
      <c r="A5297" s="115" t="str">
        <f>IFERROR(__xludf.DUMMYFUNCTION("""COMPUTED_VALUE"""),"SOUTH")</f>
        <v>SOUTH</v>
      </c>
      <c r="B5297" s="115" t="str">
        <f>IFERROR(__xludf.DUMMYFUNCTION("""COMPUTED_VALUE"""),"Premkumar M")</f>
        <v>Premkumar M</v>
      </c>
      <c r="C5297" s="115" t="str">
        <f>IFERROR(__xludf.DUMMYFUNCTION("""COMPUTED_VALUE"""),"FLIPKART")</f>
        <v>FLIPKART</v>
      </c>
      <c r="D5297" s="115">
        <f>IFERROR(__xludf.DUMMYFUNCTION("""COMPUTED_VALUE"""),265980.0)</f>
        <v>265980</v>
      </c>
      <c r="E5297" s="115">
        <f>IFERROR(__xludf.DUMMYFUNCTION("""COMPUTED_VALUE"""),17952.0)</f>
        <v>17952</v>
      </c>
      <c r="F5297" s="115">
        <f>IFERROR(__xludf.DUMMYFUNCTION("""COMPUTED_VALUE"""),126333.0)</f>
        <v>126333</v>
      </c>
      <c r="G5297" s="115">
        <f>IFERROR(__xludf.DUMMYFUNCTION("""COMPUTED_VALUE"""),1941.0)</f>
        <v>1941</v>
      </c>
      <c r="H5297" s="116">
        <f>IFERROR(__xludf.DUMMYFUNCTION("""COMPUTED_VALUE"""),45910.0)</f>
        <v>45910</v>
      </c>
      <c r="I5297" s="115" t="str">
        <f>IFERROR(__xludf.DUMMYFUNCTION("""COMPUTED_VALUE"""),"15")</f>
        <v>15</v>
      </c>
      <c r="J5297" s="115" t="str">
        <f>IFERROR(__xludf.DUMMYFUNCTION("""COMPUTED_VALUE"""),"Premkumar M2025-09-1015")</f>
        <v>Premkumar M2025-09-1015</v>
      </c>
      <c r="K5297" s="115">
        <f>IFERROR(__xludf.DUMMYFUNCTION("""COMPUTED_VALUE"""),283932.0)</f>
        <v>283932</v>
      </c>
    </row>
    <row r="5298">
      <c r="A5298" s="115" t="str">
        <f>IFERROR(__xludf.DUMMYFUNCTION("""COMPUTED_VALUE"""),"SOUTH")</f>
        <v>SOUTH</v>
      </c>
      <c r="B5298" s="115" t="str">
        <f>IFERROR(__xludf.DUMMYFUNCTION("""COMPUTED_VALUE"""),"Premkumar M")</f>
        <v>Premkumar M</v>
      </c>
      <c r="C5298" s="115" t="str">
        <f>IFERROR(__xludf.DUMMYFUNCTION("""COMPUTED_VALUE"""),"MYNTRA")</f>
        <v>MYNTRA</v>
      </c>
      <c r="D5298" s="115">
        <f>IFERROR(__xludf.DUMMYFUNCTION("""COMPUTED_VALUE"""),13719.0)</f>
        <v>13719</v>
      </c>
      <c r="E5298" s="115">
        <f>IFERROR(__xludf.DUMMYFUNCTION("""COMPUTED_VALUE"""),2958.0)</f>
        <v>2958</v>
      </c>
      <c r="F5298" s="115">
        <f>IFERROR(__xludf.DUMMYFUNCTION("""COMPUTED_VALUE"""),7496.0)</f>
        <v>7496</v>
      </c>
      <c r="G5298" s="115">
        <f>IFERROR(__xludf.DUMMYFUNCTION("""COMPUTED_VALUE"""),431.0)</f>
        <v>431</v>
      </c>
      <c r="H5298" s="116">
        <f>IFERROR(__xludf.DUMMYFUNCTION("""COMPUTED_VALUE"""),45910.0)</f>
        <v>45910</v>
      </c>
      <c r="I5298" s="115" t="str">
        <f>IFERROR(__xludf.DUMMYFUNCTION("""COMPUTED_VALUE"""),"15")</f>
        <v>15</v>
      </c>
      <c r="J5298" s="115" t="str">
        <f>IFERROR(__xludf.DUMMYFUNCTION("""COMPUTED_VALUE"""),"Premkumar M2025-09-1015")</f>
        <v>Premkumar M2025-09-1015</v>
      </c>
      <c r="K5298" s="115">
        <f>IFERROR(__xludf.DUMMYFUNCTION("""COMPUTED_VALUE"""),16677.0)</f>
        <v>16677</v>
      </c>
    </row>
    <row r="5299">
      <c r="A5299" s="115" t="str">
        <f>IFERROR(__xludf.DUMMYFUNCTION("""COMPUTED_VALUE"""),"SOUTH")</f>
        <v>SOUTH</v>
      </c>
      <c r="B5299" s="115" t="str">
        <f>IFERROR(__xludf.DUMMYFUNCTION("""COMPUTED_VALUE"""),"Vineeth V")</f>
        <v>Vineeth V</v>
      </c>
      <c r="C5299" s="115" t="str">
        <f>IFERROR(__xludf.DUMMYFUNCTION("""COMPUTED_VALUE"""),"EXTERNAL")</f>
        <v>EXTERNAL</v>
      </c>
      <c r="D5299" s="115">
        <f>IFERROR(__xludf.DUMMYFUNCTION("""COMPUTED_VALUE"""),17416.0)</f>
        <v>17416</v>
      </c>
      <c r="E5299" s="115">
        <f>IFERROR(__xludf.DUMMYFUNCTION("""COMPUTED_VALUE"""),663.0)</f>
        <v>663</v>
      </c>
      <c r="F5299" s="115">
        <f>IFERROR(__xludf.DUMMYFUNCTION("""COMPUTED_VALUE"""),5912.0)</f>
        <v>5912</v>
      </c>
      <c r="G5299" s="115">
        <f>IFERROR(__xludf.DUMMYFUNCTION("""COMPUTED_VALUE"""),108.0)</f>
        <v>108</v>
      </c>
      <c r="H5299" s="116">
        <f>IFERROR(__xludf.DUMMYFUNCTION("""COMPUTED_VALUE"""),45910.0)</f>
        <v>45910</v>
      </c>
      <c r="I5299" s="115" t="str">
        <f>IFERROR(__xludf.DUMMYFUNCTION("""COMPUTED_VALUE"""),"15")</f>
        <v>15</v>
      </c>
      <c r="J5299" s="115" t="str">
        <f>IFERROR(__xludf.DUMMYFUNCTION("""COMPUTED_VALUE"""),"Vineeth V2025-09-1015")</f>
        <v>Vineeth V2025-09-1015</v>
      </c>
      <c r="K5299" s="115">
        <f>IFERROR(__xludf.DUMMYFUNCTION("""COMPUTED_VALUE"""),18079.0)</f>
        <v>18079</v>
      </c>
    </row>
    <row r="5300">
      <c r="A5300" s="115" t="str">
        <f>IFERROR(__xludf.DUMMYFUNCTION("""COMPUTED_VALUE"""),"SOUTH")</f>
        <v>SOUTH</v>
      </c>
      <c r="B5300" s="115" t="str">
        <f>IFERROR(__xludf.DUMMYFUNCTION("""COMPUTED_VALUE"""),"Vineeth V")</f>
        <v>Vineeth V</v>
      </c>
      <c r="C5300" s="115" t="str">
        <f>IFERROR(__xludf.DUMMYFUNCTION("""COMPUTED_VALUE"""),"FLIPKART")</f>
        <v>FLIPKART</v>
      </c>
      <c r="D5300" s="115">
        <f>IFERROR(__xludf.DUMMYFUNCTION("""COMPUTED_VALUE"""),186687.0)</f>
        <v>186687</v>
      </c>
      <c r="E5300" s="115">
        <f>IFERROR(__xludf.DUMMYFUNCTION("""COMPUTED_VALUE"""),15719.0)</f>
        <v>15719</v>
      </c>
      <c r="F5300" s="115">
        <f>IFERROR(__xludf.DUMMYFUNCTION("""COMPUTED_VALUE"""),103685.0)</f>
        <v>103685</v>
      </c>
      <c r="G5300" s="115">
        <f>IFERROR(__xludf.DUMMYFUNCTION("""COMPUTED_VALUE"""),2570.0)</f>
        <v>2570</v>
      </c>
      <c r="H5300" s="116">
        <f>IFERROR(__xludf.DUMMYFUNCTION("""COMPUTED_VALUE"""),45910.0)</f>
        <v>45910</v>
      </c>
      <c r="I5300" s="115" t="str">
        <f>IFERROR(__xludf.DUMMYFUNCTION("""COMPUTED_VALUE"""),"15")</f>
        <v>15</v>
      </c>
      <c r="J5300" s="115" t="str">
        <f>IFERROR(__xludf.DUMMYFUNCTION("""COMPUTED_VALUE"""),"Vineeth V2025-09-1015")</f>
        <v>Vineeth V2025-09-1015</v>
      </c>
      <c r="K5300" s="115">
        <f>IFERROR(__xludf.DUMMYFUNCTION("""COMPUTED_VALUE"""),202406.0)</f>
        <v>202406</v>
      </c>
    </row>
    <row r="5301">
      <c r="A5301" s="115" t="str">
        <f>IFERROR(__xludf.DUMMYFUNCTION("""COMPUTED_VALUE"""),"SOUTH")</f>
        <v>SOUTH</v>
      </c>
      <c r="B5301" s="115" t="str">
        <f>IFERROR(__xludf.DUMMYFUNCTION("""COMPUTED_VALUE"""),"Vineeth V")</f>
        <v>Vineeth V</v>
      </c>
      <c r="C5301" s="115" t="str">
        <f>IFERROR(__xludf.DUMMYFUNCTION("""COMPUTED_VALUE"""),"MYNTRA")</f>
        <v>MYNTRA</v>
      </c>
      <c r="D5301" s="115">
        <f>IFERROR(__xludf.DUMMYFUNCTION("""COMPUTED_VALUE"""),15022.0)</f>
        <v>15022</v>
      </c>
      <c r="E5301" s="115">
        <f>IFERROR(__xludf.DUMMYFUNCTION("""COMPUTED_VALUE"""),3883.0)</f>
        <v>3883</v>
      </c>
      <c r="F5301" s="115">
        <f>IFERROR(__xludf.DUMMYFUNCTION("""COMPUTED_VALUE"""),9040.0)</f>
        <v>9040</v>
      </c>
      <c r="G5301" s="115">
        <f>IFERROR(__xludf.DUMMYFUNCTION("""COMPUTED_VALUE"""),693.0)</f>
        <v>693</v>
      </c>
      <c r="H5301" s="116">
        <f>IFERROR(__xludf.DUMMYFUNCTION("""COMPUTED_VALUE"""),45910.0)</f>
        <v>45910</v>
      </c>
      <c r="I5301" s="115" t="str">
        <f>IFERROR(__xludf.DUMMYFUNCTION("""COMPUTED_VALUE"""),"15")</f>
        <v>15</v>
      </c>
      <c r="J5301" s="115" t="str">
        <f>IFERROR(__xludf.DUMMYFUNCTION("""COMPUTED_VALUE"""),"Vineeth V2025-09-1015")</f>
        <v>Vineeth V2025-09-1015</v>
      </c>
      <c r="K5301" s="115">
        <f>IFERROR(__xludf.DUMMYFUNCTION("""COMPUTED_VALUE"""),18905.0)</f>
        <v>18905</v>
      </c>
    </row>
    <row r="5302">
      <c r="A5302" s="115" t="str">
        <f>IFERROR(__xludf.DUMMYFUNCTION("""COMPUTED_VALUE"""),"WEST")</f>
        <v>WEST</v>
      </c>
      <c r="B5302" s="115" t="str">
        <f>IFERROR(__xludf.DUMMYFUNCTION("""COMPUTED_VALUE"""),"Ashish Jakar")</f>
        <v>Ashish Jakar</v>
      </c>
      <c r="C5302" s="115" t="str">
        <f>IFERROR(__xludf.DUMMYFUNCTION("""COMPUTED_VALUE"""),"EXTERNAL")</f>
        <v>EXTERNAL</v>
      </c>
      <c r="D5302" s="115">
        <f>IFERROR(__xludf.DUMMYFUNCTION("""COMPUTED_VALUE"""),59777.0)</f>
        <v>59777</v>
      </c>
      <c r="E5302" s="115">
        <f>IFERROR(__xludf.DUMMYFUNCTION("""COMPUTED_VALUE"""),5865.0)</f>
        <v>5865</v>
      </c>
      <c r="F5302" s="115">
        <f>IFERROR(__xludf.DUMMYFUNCTION("""COMPUTED_VALUE"""),18641.0)</f>
        <v>18641</v>
      </c>
      <c r="G5302" s="115">
        <f>IFERROR(__xludf.DUMMYFUNCTION("""COMPUTED_VALUE"""),1306.0)</f>
        <v>1306</v>
      </c>
      <c r="H5302" s="116">
        <f>IFERROR(__xludf.DUMMYFUNCTION("""COMPUTED_VALUE"""),45910.0)</f>
        <v>45910</v>
      </c>
      <c r="I5302" s="115" t="str">
        <f>IFERROR(__xludf.DUMMYFUNCTION("""COMPUTED_VALUE"""),"15")</f>
        <v>15</v>
      </c>
      <c r="J5302" s="115" t="str">
        <f>IFERROR(__xludf.DUMMYFUNCTION("""COMPUTED_VALUE"""),"Ashish Jakar2025-09-1015")</f>
        <v>Ashish Jakar2025-09-1015</v>
      </c>
      <c r="K5302" s="115">
        <f>IFERROR(__xludf.DUMMYFUNCTION("""COMPUTED_VALUE"""),65642.0)</f>
        <v>65642</v>
      </c>
    </row>
    <row r="5303">
      <c r="A5303" s="115" t="str">
        <f>IFERROR(__xludf.DUMMYFUNCTION("""COMPUTED_VALUE"""),"WEST")</f>
        <v>WEST</v>
      </c>
      <c r="B5303" s="115" t="str">
        <f>IFERROR(__xludf.DUMMYFUNCTION("""COMPUTED_VALUE"""),"Ashish Jakar")</f>
        <v>Ashish Jakar</v>
      </c>
      <c r="C5303" s="115" t="str">
        <f>IFERROR(__xludf.DUMMYFUNCTION("""COMPUTED_VALUE"""),"FLIPKART")</f>
        <v>FLIPKART</v>
      </c>
      <c r="D5303" s="115">
        <f>IFERROR(__xludf.DUMMYFUNCTION("""COMPUTED_VALUE"""),376488.0)</f>
        <v>376488</v>
      </c>
      <c r="E5303" s="115">
        <f>IFERROR(__xludf.DUMMYFUNCTION("""COMPUTED_VALUE"""),32441.0)</f>
        <v>32441</v>
      </c>
      <c r="F5303" s="115">
        <f>IFERROR(__xludf.DUMMYFUNCTION("""COMPUTED_VALUE"""),189052.0)</f>
        <v>189052</v>
      </c>
      <c r="G5303" s="115">
        <f>IFERROR(__xludf.DUMMYFUNCTION("""COMPUTED_VALUE"""),8638.0)</f>
        <v>8638</v>
      </c>
      <c r="H5303" s="116">
        <f>IFERROR(__xludf.DUMMYFUNCTION("""COMPUTED_VALUE"""),45910.0)</f>
        <v>45910</v>
      </c>
      <c r="I5303" s="115" t="str">
        <f>IFERROR(__xludf.DUMMYFUNCTION("""COMPUTED_VALUE"""),"15")</f>
        <v>15</v>
      </c>
      <c r="J5303" s="115" t="str">
        <f>IFERROR(__xludf.DUMMYFUNCTION("""COMPUTED_VALUE"""),"Ashish Jakar2025-09-1015")</f>
        <v>Ashish Jakar2025-09-1015</v>
      </c>
      <c r="K5303" s="115">
        <f>IFERROR(__xludf.DUMMYFUNCTION("""COMPUTED_VALUE"""),408929.0)</f>
        <v>408929</v>
      </c>
    </row>
    <row r="5304">
      <c r="A5304" s="115" t="str">
        <f>IFERROR(__xludf.DUMMYFUNCTION("""COMPUTED_VALUE"""),"WEST")</f>
        <v>WEST</v>
      </c>
      <c r="B5304" s="115" t="str">
        <f>IFERROR(__xludf.DUMMYFUNCTION("""COMPUTED_VALUE"""),"Ashish Jakar")</f>
        <v>Ashish Jakar</v>
      </c>
      <c r="C5304" s="115" t="str">
        <f>IFERROR(__xludf.DUMMYFUNCTION("""COMPUTED_VALUE"""),"MYNTRA")</f>
        <v>MYNTRA</v>
      </c>
      <c r="D5304" s="115">
        <f>IFERROR(__xludf.DUMMYFUNCTION("""COMPUTED_VALUE"""),42655.0)</f>
        <v>42655</v>
      </c>
      <c r="E5304" s="115">
        <f>IFERROR(__xludf.DUMMYFUNCTION("""COMPUTED_VALUE"""),11149.0)</f>
        <v>11149</v>
      </c>
      <c r="F5304" s="115">
        <f>IFERROR(__xludf.DUMMYFUNCTION("""COMPUTED_VALUE"""),25536.0)</f>
        <v>25536</v>
      </c>
      <c r="G5304" s="115">
        <f>IFERROR(__xludf.DUMMYFUNCTION("""COMPUTED_VALUE"""),3269.0)</f>
        <v>3269</v>
      </c>
      <c r="H5304" s="116">
        <f>IFERROR(__xludf.DUMMYFUNCTION("""COMPUTED_VALUE"""),45910.0)</f>
        <v>45910</v>
      </c>
      <c r="I5304" s="115" t="str">
        <f>IFERROR(__xludf.DUMMYFUNCTION("""COMPUTED_VALUE"""),"15")</f>
        <v>15</v>
      </c>
      <c r="J5304" s="115" t="str">
        <f>IFERROR(__xludf.DUMMYFUNCTION("""COMPUTED_VALUE"""),"Ashish Jakar2025-09-1015")</f>
        <v>Ashish Jakar2025-09-1015</v>
      </c>
      <c r="K5304" s="115">
        <f>IFERROR(__xludf.DUMMYFUNCTION("""COMPUTED_VALUE"""),53804.0)</f>
        <v>53804</v>
      </c>
    </row>
    <row r="5305">
      <c r="A5305" s="115" t="str">
        <f>IFERROR(__xludf.DUMMYFUNCTION("""COMPUTED_VALUE"""),"WEST")</f>
        <v>WEST</v>
      </c>
      <c r="B5305" s="115" t="str">
        <f>IFERROR(__xludf.DUMMYFUNCTION("""COMPUTED_VALUE"""),"Ashvani Bhatt")</f>
        <v>Ashvani Bhatt</v>
      </c>
      <c r="C5305" s="115" t="str">
        <f>IFERROR(__xludf.DUMMYFUNCTION("""COMPUTED_VALUE"""),"EXTERNAL")</f>
        <v>EXTERNAL</v>
      </c>
      <c r="D5305" s="115">
        <f>IFERROR(__xludf.DUMMYFUNCTION("""COMPUTED_VALUE"""),38279.0)</f>
        <v>38279</v>
      </c>
      <c r="E5305" s="115">
        <f>IFERROR(__xludf.DUMMYFUNCTION("""COMPUTED_VALUE"""),3059.0)</f>
        <v>3059</v>
      </c>
      <c r="F5305" s="115">
        <f>IFERROR(__xludf.DUMMYFUNCTION("""COMPUTED_VALUE"""),12287.0)</f>
        <v>12287</v>
      </c>
      <c r="G5305" s="115">
        <f>IFERROR(__xludf.DUMMYFUNCTION("""COMPUTED_VALUE"""),633.0)</f>
        <v>633</v>
      </c>
      <c r="H5305" s="116">
        <f>IFERROR(__xludf.DUMMYFUNCTION("""COMPUTED_VALUE"""),45910.0)</f>
        <v>45910</v>
      </c>
      <c r="I5305" s="115" t="str">
        <f>IFERROR(__xludf.DUMMYFUNCTION("""COMPUTED_VALUE"""),"15")</f>
        <v>15</v>
      </c>
      <c r="J5305" s="115" t="str">
        <f>IFERROR(__xludf.DUMMYFUNCTION("""COMPUTED_VALUE"""),"Ashvani Bhatt2025-09-1015")</f>
        <v>Ashvani Bhatt2025-09-1015</v>
      </c>
      <c r="K5305" s="115">
        <f>IFERROR(__xludf.DUMMYFUNCTION("""COMPUTED_VALUE"""),41338.0)</f>
        <v>41338</v>
      </c>
    </row>
    <row r="5306">
      <c r="A5306" s="115" t="str">
        <f>IFERROR(__xludf.DUMMYFUNCTION("""COMPUTED_VALUE"""),"WEST")</f>
        <v>WEST</v>
      </c>
      <c r="B5306" s="115" t="str">
        <f>IFERROR(__xludf.DUMMYFUNCTION("""COMPUTED_VALUE"""),"Ashvani Bhatt")</f>
        <v>Ashvani Bhatt</v>
      </c>
      <c r="C5306" s="115" t="str">
        <f>IFERROR(__xludf.DUMMYFUNCTION("""COMPUTED_VALUE"""),"FLIPKART")</f>
        <v>FLIPKART</v>
      </c>
      <c r="D5306" s="115">
        <f>IFERROR(__xludf.DUMMYFUNCTION("""COMPUTED_VALUE"""),271941.0)</f>
        <v>271941</v>
      </c>
      <c r="E5306" s="115">
        <f>IFERROR(__xludf.DUMMYFUNCTION("""COMPUTED_VALUE"""),28746.0)</f>
        <v>28746</v>
      </c>
      <c r="F5306" s="115">
        <f>IFERROR(__xludf.DUMMYFUNCTION("""COMPUTED_VALUE"""),155923.0)</f>
        <v>155923</v>
      </c>
      <c r="G5306" s="115">
        <f>IFERROR(__xludf.DUMMYFUNCTION("""COMPUTED_VALUE"""),8344.0)</f>
        <v>8344</v>
      </c>
      <c r="H5306" s="116">
        <f>IFERROR(__xludf.DUMMYFUNCTION("""COMPUTED_VALUE"""),45910.0)</f>
        <v>45910</v>
      </c>
      <c r="I5306" s="115" t="str">
        <f>IFERROR(__xludf.DUMMYFUNCTION("""COMPUTED_VALUE"""),"15")</f>
        <v>15</v>
      </c>
      <c r="J5306" s="115" t="str">
        <f>IFERROR(__xludf.DUMMYFUNCTION("""COMPUTED_VALUE"""),"Ashvani Bhatt2025-09-1015")</f>
        <v>Ashvani Bhatt2025-09-1015</v>
      </c>
      <c r="K5306" s="115">
        <f>IFERROR(__xludf.DUMMYFUNCTION("""COMPUTED_VALUE"""),300687.0)</f>
        <v>300687</v>
      </c>
    </row>
    <row r="5307">
      <c r="A5307" s="115" t="str">
        <f>IFERROR(__xludf.DUMMYFUNCTION("""COMPUTED_VALUE"""),"WEST")</f>
        <v>WEST</v>
      </c>
      <c r="B5307" s="115" t="str">
        <f>IFERROR(__xludf.DUMMYFUNCTION("""COMPUTED_VALUE"""),"Ashvani Bhatt")</f>
        <v>Ashvani Bhatt</v>
      </c>
      <c r="C5307" s="115" t="str">
        <f>IFERROR(__xludf.DUMMYFUNCTION("""COMPUTED_VALUE"""),"MYNTRA")</f>
        <v>MYNTRA</v>
      </c>
      <c r="D5307" s="115">
        <f>IFERROR(__xludf.DUMMYFUNCTION("""COMPUTED_VALUE"""),33772.0)</f>
        <v>33772</v>
      </c>
      <c r="E5307" s="115">
        <f>IFERROR(__xludf.DUMMYFUNCTION("""COMPUTED_VALUE"""),9453.0)</f>
        <v>9453</v>
      </c>
      <c r="F5307" s="115">
        <f>IFERROR(__xludf.DUMMYFUNCTION("""COMPUTED_VALUE"""),23057.0)</f>
        <v>23057</v>
      </c>
      <c r="G5307" s="115">
        <f>IFERROR(__xludf.DUMMYFUNCTION("""COMPUTED_VALUE"""),3337.0)</f>
        <v>3337</v>
      </c>
      <c r="H5307" s="116">
        <f>IFERROR(__xludf.DUMMYFUNCTION("""COMPUTED_VALUE"""),45910.0)</f>
        <v>45910</v>
      </c>
      <c r="I5307" s="115" t="str">
        <f>IFERROR(__xludf.DUMMYFUNCTION("""COMPUTED_VALUE"""),"15")</f>
        <v>15</v>
      </c>
      <c r="J5307" s="115" t="str">
        <f>IFERROR(__xludf.DUMMYFUNCTION("""COMPUTED_VALUE"""),"Ashvani Bhatt2025-09-1015")</f>
        <v>Ashvani Bhatt2025-09-1015</v>
      </c>
      <c r="K5307" s="115">
        <f>IFERROR(__xludf.DUMMYFUNCTION("""COMPUTED_VALUE"""),43225.0)</f>
        <v>43225</v>
      </c>
    </row>
    <row r="5308">
      <c r="A5308" s="115"/>
      <c r="B5308" s="115"/>
      <c r="C5308" s="115" t="str">
        <f>IFERROR(__xludf.DUMMYFUNCTION("""COMPUTED_VALUE"""),"EXTERNAL")</f>
        <v>EXTERNAL</v>
      </c>
      <c r="D5308" s="115">
        <f>IFERROR(__xludf.DUMMYFUNCTION("""COMPUTED_VALUE"""),712.0)</f>
        <v>712</v>
      </c>
      <c r="E5308" s="115">
        <f>IFERROR(__xludf.DUMMYFUNCTION("""COMPUTED_VALUE"""),173.0)</f>
        <v>173</v>
      </c>
      <c r="F5308" s="115">
        <f>IFERROR(__xludf.DUMMYFUNCTION("""COMPUTED_VALUE"""),200.0)</f>
        <v>200</v>
      </c>
      <c r="G5308" s="115">
        <f>IFERROR(__xludf.DUMMYFUNCTION("""COMPUTED_VALUE"""),54.0)</f>
        <v>54</v>
      </c>
      <c r="H5308" s="116">
        <f>IFERROR(__xludf.DUMMYFUNCTION("""COMPUTED_VALUE"""),45910.0)</f>
        <v>45910</v>
      </c>
      <c r="I5308" s="115" t="str">
        <f>IFERROR(__xludf.DUMMYFUNCTION("""COMPUTED_VALUE"""),"15")</f>
        <v>15</v>
      </c>
      <c r="J5308" s="115" t="str">
        <f>IFERROR(__xludf.DUMMYFUNCTION("""COMPUTED_VALUE"""),"2025-09-1015")</f>
        <v>2025-09-1015</v>
      </c>
      <c r="K5308" s="115">
        <f>IFERROR(__xludf.DUMMYFUNCTION("""COMPUTED_VALUE"""),885.0)</f>
        <v>885</v>
      </c>
    </row>
    <row r="5309">
      <c r="A5309" s="115"/>
      <c r="B5309" s="115"/>
      <c r="C5309" s="115" t="str">
        <f>IFERROR(__xludf.DUMMYFUNCTION("""COMPUTED_VALUE"""),"FLIPKART")</f>
        <v>FLIPKART</v>
      </c>
      <c r="D5309" s="115">
        <f>IFERROR(__xludf.DUMMYFUNCTION("""COMPUTED_VALUE"""),7330.0)</f>
        <v>7330</v>
      </c>
      <c r="E5309" s="115">
        <f>IFERROR(__xludf.DUMMYFUNCTION("""COMPUTED_VALUE"""),836.0)</f>
        <v>836</v>
      </c>
      <c r="F5309" s="115">
        <f>IFERROR(__xludf.DUMMYFUNCTION("""COMPUTED_VALUE"""),2971.0)</f>
        <v>2971</v>
      </c>
      <c r="G5309" s="115">
        <f>IFERROR(__xludf.DUMMYFUNCTION("""COMPUTED_VALUE"""),273.0)</f>
        <v>273</v>
      </c>
      <c r="H5309" s="116">
        <f>IFERROR(__xludf.DUMMYFUNCTION("""COMPUTED_VALUE"""),45910.0)</f>
        <v>45910</v>
      </c>
      <c r="I5309" s="115" t="str">
        <f>IFERROR(__xludf.DUMMYFUNCTION("""COMPUTED_VALUE"""),"15")</f>
        <v>15</v>
      </c>
      <c r="J5309" s="115" t="str">
        <f>IFERROR(__xludf.DUMMYFUNCTION("""COMPUTED_VALUE"""),"2025-09-1015")</f>
        <v>2025-09-1015</v>
      </c>
      <c r="K5309" s="115">
        <f>IFERROR(__xludf.DUMMYFUNCTION("""COMPUTED_VALUE"""),8166.0)</f>
        <v>8166</v>
      </c>
    </row>
    <row r="5310">
      <c r="A5310" s="115"/>
      <c r="B5310" s="115"/>
      <c r="C5310" s="115" t="str">
        <f>IFERROR(__xludf.DUMMYFUNCTION("""COMPUTED_VALUE"""),"MYNTRA")</f>
        <v>MYNTRA</v>
      </c>
      <c r="D5310" s="115">
        <f>IFERROR(__xludf.DUMMYFUNCTION("""COMPUTED_VALUE"""),803.0)</f>
        <v>803</v>
      </c>
      <c r="E5310" s="115">
        <f>IFERROR(__xludf.DUMMYFUNCTION("""COMPUTED_VALUE"""),212.0)</f>
        <v>212</v>
      </c>
      <c r="F5310" s="115">
        <f>IFERROR(__xludf.DUMMYFUNCTION("""COMPUTED_VALUE"""),429.0)</f>
        <v>429</v>
      </c>
      <c r="G5310" s="115">
        <f>IFERROR(__xludf.DUMMYFUNCTION("""COMPUTED_VALUE"""),103.0)</f>
        <v>103</v>
      </c>
      <c r="H5310" s="116">
        <f>IFERROR(__xludf.DUMMYFUNCTION("""COMPUTED_VALUE"""),45910.0)</f>
        <v>45910</v>
      </c>
      <c r="I5310" s="115" t="str">
        <f>IFERROR(__xludf.DUMMYFUNCTION("""COMPUTED_VALUE"""),"15")</f>
        <v>15</v>
      </c>
      <c r="J5310" s="115" t="str">
        <f>IFERROR(__xludf.DUMMYFUNCTION("""COMPUTED_VALUE"""),"2025-09-1015")</f>
        <v>2025-09-1015</v>
      </c>
      <c r="K5310" s="115">
        <f>IFERROR(__xludf.DUMMYFUNCTION("""COMPUTED_VALUE"""),1015.0)</f>
        <v>1015</v>
      </c>
    </row>
    <row r="5311">
      <c r="A5311" s="115" t="str">
        <f>IFERROR(__xludf.DUMMYFUNCTION("""COMPUTED_VALUE"""),"EAST")</f>
        <v>EAST</v>
      </c>
      <c r="B5311" s="115" t="str">
        <f>IFERROR(__xludf.DUMMYFUNCTION("""COMPUTED_VALUE"""),"Ashish Ranjan")</f>
        <v>Ashish Ranjan</v>
      </c>
      <c r="C5311" s="115" t="str">
        <f>IFERROR(__xludf.DUMMYFUNCTION("""COMPUTED_VALUE"""),"EXTERNAL")</f>
        <v>EXTERNAL</v>
      </c>
      <c r="D5311" s="115">
        <f>IFERROR(__xludf.DUMMYFUNCTION("""COMPUTED_VALUE"""),37066.0)</f>
        <v>37066</v>
      </c>
      <c r="E5311" s="115">
        <f>IFERROR(__xludf.DUMMYFUNCTION("""COMPUTED_VALUE"""),3796.0)</f>
        <v>3796</v>
      </c>
      <c r="F5311" s="115">
        <f>IFERROR(__xludf.DUMMYFUNCTION("""COMPUTED_VALUE"""),16634.0)</f>
        <v>16634</v>
      </c>
      <c r="G5311" s="115">
        <f>IFERROR(__xludf.DUMMYFUNCTION("""COMPUTED_VALUE"""),1114.0)</f>
        <v>1114</v>
      </c>
      <c r="H5311" s="116">
        <f>IFERROR(__xludf.DUMMYFUNCTION("""COMPUTED_VALUE"""),45910.0)</f>
        <v>45910</v>
      </c>
      <c r="I5311" s="115" t="str">
        <f>IFERROR(__xludf.DUMMYFUNCTION("""COMPUTED_VALUE"""),"16")</f>
        <v>16</v>
      </c>
      <c r="J5311" s="115" t="str">
        <f>IFERROR(__xludf.DUMMYFUNCTION("""COMPUTED_VALUE"""),"Ashish Ranjan2025-09-1016")</f>
        <v>Ashish Ranjan2025-09-1016</v>
      </c>
      <c r="K5311" s="115">
        <f>IFERROR(__xludf.DUMMYFUNCTION("""COMPUTED_VALUE"""),40862.0)</f>
        <v>40862</v>
      </c>
    </row>
    <row r="5312">
      <c r="A5312" s="115" t="str">
        <f>IFERROR(__xludf.DUMMYFUNCTION("""COMPUTED_VALUE"""),"EAST")</f>
        <v>EAST</v>
      </c>
      <c r="B5312" s="115" t="str">
        <f>IFERROR(__xludf.DUMMYFUNCTION("""COMPUTED_VALUE"""),"Ashish Ranjan")</f>
        <v>Ashish Ranjan</v>
      </c>
      <c r="C5312" s="115" t="str">
        <f>IFERROR(__xludf.DUMMYFUNCTION("""COMPUTED_VALUE"""),"FLIPKART")</f>
        <v>FLIPKART</v>
      </c>
      <c r="D5312" s="115">
        <f>IFERROR(__xludf.DUMMYFUNCTION("""COMPUTED_VALUE"""),646341.0)</f>
        <v>646341</v>
      </c>
      <c r="E5312" s="115">
        <f>IFERROR(__xludf.DUMMYFUNCTION("""COMPUTED_VALUE"""),65214.0)</f>
        <v>65214</v>
      </c>
      <c r="F5312" s="115">
        <f>IFERROR(__xludf.DUMMYFUNCTION("""COMPUTED_VALUE"""),473391.0)</f>
        <v>473391</v>
      </c>
      <c r="G5312" s="115">
        <f>IFERROR(__xludf.DUMMYFUNCTION("""COMPUTED_VALUE"""),29275.0)</f>
        <v>29275</v>
      </c>
      <c r="H5312" s="116">
        <f>IFERROR(__xludf.DUMMYFUNCTION("""COMPUTED_VALUE"""),45910.0)</f>
        <v>45910</v>
      </c>
      <c r="I5312" s="115" t="str">
        <f>IFERROR(__xludf.DUMMYFUNCTION("""COMPUTED_VALUE"""),"16")</f>
        <v>16</v>
      </c>
      <c r="J5312" s="115" t="str">
        <f>IFERROR(__xludf.DUMMYFUNCTION("""COMPUTED_VALUE"""),"Ashish Ranjan2025-09-1016")</f>
        <v>Ashish Ranjan2025-09-1016</v>
      </c>
      <c r="K5312" s="115">
        <f>IFERROR(__xludf.DUMMYFUNCTION("""COMPUTED_VALUE"""),711555.0)</f>
        <v>711555</v>
      </c>
    </row>
    <row r="5313">
      <c r="A5313" s="115" t="str">
        <f>IFERROR(__xludf.DUMMYFUNCTION("""COMPUTED_VALUE"""),"EAST")</f>
        <v>EAST</v>
      </c>
      <c r="B5313" s="115" t="str">
        <f>IFERROR(__xludf.DUMMYFUNCTION("""COMPUTED_VALUE"""),"Ashish Ranjan")</f>
        <v>Ashish Ranjan</v>
      </c>
      <c r="C5313" s="115" t="str">
        <f>IFERROR(__xludf.DUMMYFUNCTION("""COMPUTED_VALUE"""),"MYNTRA")</f>
        <v>MYNTRA</v>
      </c>
      <c r="D5313" s="115">
        <f>IFERROR(__xludf.DUMMYFUNCTION("""COMPUTED_VALUE"""),72396.0)</f>
        <v>72396</v>
      </c>
      <c r="E5313" s="115">
        <f>IFERROR(__xludf.DUMMYFUNCTION("""COMPUTED_VALUE"""),16698.0)</f>
        <v>16698</v>
      </c>
      <c r="F5313" s="115">
        <f>IFERROR(__xludf.DUMMYFUNCTION("""COMPUTED_VALUE"""),53745.0)</f>
        <v>53745</v>
      </c>
      <c r="G5313" s="115">
        <f>IFERROR(__xludf.DUMMYFUNCTION("""COMPUTED_VALUE"""),7485.0)</f>
        <v>7485</v>
      </c>
      <c r="H5313" s="116">
        <f>IFERROR(__xludf.DUMMYFUNCTION("""COMPUTED_VALUE"""),45910.0)</f>
        <v>45910</v>
      </c>
      <c r="I5313" s="115" t="str">
        <f>IFERROR(__xludf.DUMMYFUNCTION("""COMPUTED_VALUE"""),"16")</f>
        <v>16</v>
      </c>
      <c r="J5313" s="115" t="str">
        <f>IFERROR(__xludf.DUMMYFUNCTION("""COMPUTED_VALUE"""),"Ashish Ranjan2025-09-1016")</f>
        <v>Ashish Ranjan2025-09-1016</v>
      </c>
      <c r="K5313" s="115">
        <f>IFERROR(__xludf.DUMMYFUNCTION("""COMPUTED_VALUE"""),89094.0)</f>
        <v>89094</v>
      </c>
    </row>
    <row r="5314">
      <c r="A5314" s="115" t="str">
        <f>IFERROR(__xludf.DUMMYFUNCTION("""COMPUTED_VALUE"""),"EAST")</f>
        <v>EAST</v>
      </c>
      <c r="B5314" s="115" t="str">
        <f>IFERROR(__xludf.DUMMYFUNCTION("""COMPUTED_VALUE"""),"Girish Chand")</f>
        <v>Girish Chand</v>
      </c>
      <c r="C5314" s="115" t="str">
        <f>IFERROR(__xludf.DUMMYFUNCTION("""COMPUTED_VALUE"""),"EXTERNAL")</f>
        <v>EXTERNAL</v>
      </c>
      <c r="D5314" s="115">
        <f>IFERROR(__xludf.DUMMYFUNCTION("""COMPUTED_VALUE"""),23453.0)</f>
        <v>23453</v>
      </c>
      <c r="E5314" s="115">
        <f>IFERROR(__xludf.DUMMYFUNCTION("""COMPUTED_VALUE"""),1905.0)</f>
        <v>1905</v>
      </c>
      <c r="F5314" s="115">
        <f>IFERROR(__xludf.DUMMYFUNCTION("""COMPUTED_VALUE"""),8392.0)</f>
        <v>8392</v>
      </c>
      <c r="G5314" s="115">
        <f>IFERROR(__xludf.DUMMYFUNCTION("""COMPUTED_VALUE"""),351.0)</f>
        <v>351</v>
      </c>
      <c r="H5314" s="116">
        <f>IFERROR(__xludf.DUMMYFUNCTION("""COMPUTED_VALUE"""),45910.0)</f>
        <v>45910</v>
      </c>
      <c r="I5314" s="115" t="str">
        <f>IFERROR(__xludf.DUMMYFUNCTION("""COMPUTED_VALUE"""),"16")</f>
        <v>16</v>
      </c>
      <c r="J5314" s="115" t="str">
        <f>IFERROR(__xludf.DUMMYFUNCTION("""COMPUTED_VALUE"""),"Girish Chand2025-09-1016")</f>
        <v>Girish Chand2025-09-1016</v>
      </c>
      <c r="K5314" s="115">
        <f>IFERROR(__xludf.DUMMYFUNCTION("""COMPUTED_VALUE"""),25358.0)</f>
        <v>25358</v>
      </c>
    </row>
    <row r="5315">
      <c r="A5315" s="115" t="str">
        <f>IFERROR(__xludf.DUMMYFUNCTION("""COMPUTED_VALUE"""),"EAST")</f>
        <v>EAST</v>
      </c>
      <c r="B5315" s="115" t="str">
        <f>IFERROR(__xludf.DUMMYFUNCTION("""COMPUTED_VALUE"""),"Girish Chand")</f>
        <v>Girish Chand</v>
      </c>
      <c r="C5315" s="115" t="str">
        <f>IFERROR(__xludf.DUMMYFUNCTION("""COMPUTED_VALUE"""),"FLIPKART")</f>
        <v>FLIPKART</v>
      </c>
      <c r="D5315" s="115">
        <f>IFERROR(__xludf.DUMMYFUNCTION("""COMPUTED_VALUE"""),428883.0)</f>
        <v>428883</v>
      </c>
      <c r="E5315" s="115">
        <f>IFERROR(__xludf.DUMMYFUNCTION("""COMPUTED_VALUE"""),38509.0)</f>
        <v>38509</v>
      </c>
      <c r="F5315" s="115">
        <f>IFERROR(__xludf.DUMMYFUNCTION("""COMPUTED_VALUE"""),269374.0)</f>
        <v>269374</v>
      </c>
      <c r="G5315" s="115">
        <f>IFERROR(__xludf.DUMMYFUNCTION("""COMPUTED_VALUE"""),12552.0)</f>
        <v>12552</v>
      </c>
      <c r="H5315" s="116">
        <f>IFERROR(__xludf.DUMMYFUNCTION("""COMPUTED_VALUE"""),45910.0)</f>
        <v>45910</v>
      </c>
      <c r="I5315" s="115" t="str">
        <f>IFERROR(__xludf.DUMMYFUNCTION("""COMPUTED_VALUE"""),"16")</f>
        <v>16</v>
      </c>
      <c r="J5315" s="115" t="str">
        <f>IFERROR(__xludf.DUMMYFUNCTION("""COMPUTED_VALUE"""),"Girish Chand2025-09-1016")</f>
        <v>Girish Chand2025-09-1016</v>
      </c>
      <c r="K5315" s="115">
        <f>IFERROR(__xludf.DUMMYFUNCTION("""COMPUTED_VALUE"""),467392.0)</f>
        <v>467392</v>
      </c>
    </row>
    <row r="5316">
      <c r="A5316" s="115" t="str">
        <f>IFERROR(__xludf.DUMMYFUNCTION("""COMPUTED_VALUE"""),"EAST")</f>
        <v>EAST</v>
      </c>
      <c r="B5316" s="115" t="str">
        <f>IFERROR(__xludf.DUMMYFUNCTION("""COMPUTED_VALUE"""),"Girish Chand")</f>
        <v>Girish Chand</v>
      </c>
      <c r="C5316" s="115" t="str">
        <f>IFERROR(__xludf.DUMMYFUNCTION("""COMPUTED_VALUE"""),"MYNTRA")</f>
        <v>MYNTRA</v>
      </c>
      <c r="D5316" s="115">
        <f>IFERROR(__xludf.DUMMYFUNCTION("""COMPUTED_VALUE"""),37137.0)</f>
        <v>37137</v>
      </c>
      <c r="E5316" s="115">
        <f>IFERROR(__xludf.DUMMYFUNCTION("""COMPUTED_VALUE"""),8021.0)</f>
        <v>8021</v>
      </c>
      <c r="F5316" s="115">
        <f>IFERROR(__xludf.DUMMYFUNCTION("""COMPUTED_VALUE"""),24572.0)</f>
        <v>24572</v>
      </c>
      <c r="G5316" s="115">
        <f>IFERROR(__xludf.DUMMYFUNCTION("""COMPUTED_VALUE"""),2936.0)</f>
        <v>2936</v>
      </c>
      <c r="H5316" s="116">
        <f>IFERROR(__xludf.DUMMYFUNCTION("""COMPUTED_VALUE"""),45910.0)</f>
        <v>45910</v>
      </c>
      <c r="I5316" s="115" t="str">
        <f>IFERROR(__xludf.DUMMYFUNCTION("""COMPUTED_VALUE"""),"16")</f>
        <v>16</v>
      </c>
      <c r="J5316" s="115" t="str">
        <f>IFERROR(__xludf.DUMMYFUNCTION("""COMPUTED_VALUE"""),"Girish Chand2025-09-1016")</f>
        <v>Girish Chand2025-09-1016</v>
      </c>
      <c r="K5316" s="115">
        <f>IFERROR(__xludf.DUMMYFUNCTION("""COMPUTED_VALUE"""),45158.0)</f>
        <v>45158</v>
      </c>
    </row>
    <row r="5317">
      <c r="A5317" s="115" t="str">
        <f>IFERROR(__xludf.DUMMYFUNCTION("""COMPUTED_VALUE"""),"EAST")</f>
        <v>EAST</v>
      </c>
      <c r="B5317" s="115" t="str">
        <f>IFERROR(__xludf.DUMMYFUNCTION("""COMPUTED_VALUE"""),"Parag Kashyap")</f>
        <v>Parag Kashyap</v>
      </c>
      <c r="C5317" s="115" t="str">
        <f>IFERROR(__xludf.DUMMYFUNCTION("""COMPUTED_VALUE"""),"EXTERNAL")</f>
        <v>EXTERNAL</v>
      </c>
      <c r="D5317" s="115">
        <f>IFERROR(__xludf.DUMMYFUNCTION("""COMPUTED_VALUE"""),16730.0)</f>
        <v>16730</v>
      </c>
      <c r="E5317" s="115">
        <f>IFERROR(__xludf.DUMMYFUNCTION("""COMPUTED_VALUE"""),1083.0)</f>
        <v>1083</v>
      </c>
      <c r="F5317" s="115">
        <f>IFERROR(__xludf.DUMMYFUNCTION("""COMPUTED_VALUE"""),5563.0)</f>
        <v>5563</v>
      </c>
      <c r="G5317" s="115">
        <f>IFERROR(__xludf.DUMMYFUNCTION("""COMPUTED_VALUE"""),125.0)</f>
        <v>125</v>
      </c>
      <c r="H5317" s="116">
        <f>IFERROR(__xludf.DUMMYFUNCTION("""COMPUTED_VALUE"""),45910.0)</f>
        <v>45910</v>
      </c>
      <c r="I5317" s="115" t="str">
        <f>IFERROR(__xludf.DUMMYFUNCTION("""COMPUTED_VALUE"""),"16")</f>
        <v>16</v>
      </c>
      <c r="J5317" s="115" t="str">
        <f>IFERROR(__xludf.DUMMYFUNCTION("""COMPUTED_VALUE"""),"Parag Kashyap2025-09-1016")</f>
        <v>Parag Kashyap2025-09-1016</v>
      </c>
      <c r="K5317" s="115">
        <f>IFERROR(__xludf.DUMMYFUNCTION("""COMPUTED_VALUE"""),17813.0)</f>
        <v>17813</v>
      </c>
    </row>
    <row r="5318">
      <c r="A5318" s="115" t="str">
        <f>IFERROR(__xludf.DUMMYFUNCTION("""COMPUTED_VALUE"""),"EAST")</f>
        <v>EAST</v>
      </c>
      <c r="B5318" s="115" t="str">
        <f>IFERROR(__xludf.DUMMYFUNCTION("""COMPUTED_VALUE"""),"Parag Kashyap")</f>
        <v>Parag Kashyap</v>
      </c>
      <c r="C5318" s="115" t="str">
        <f>IFERROR(__xludf.DUMMYFUNCTION("""COMPUTED_VALUE"""),"FLIPKART")</f>
        <v>FLIPKART</v>
      </c>
      <c r="D5318" s="115">
        <f>IFERROR(__xludf.DUMMYFUNCTION("""COMPUTED_VALUE"""),299133.0)</f>
        <v>299133</v>
      </c>
      <c r="E5318" s="115">
        <f>IFERROR(__xludf.DUMMYFUNCTION("""COMPUTED_VALUE"""),19926.0)</f>
        <v>19926</v>
      </c>
      <c r="F5318" s="115">
        <f>IFERROR(__xludf.DUMMYFUNCTION("""COMPUTED_VALUE"""),176072.0)</f>
        <v>176072</v>
      </c>
      <c r="G5318" s="115">
        <f>IFERROR(__xludf.DUMMYFUNCTION("""COMPUTED_VALUE"""),4487.0)</f>
        <v>4487</v>
      </c>
      <c r="H5318" s="116">
        <f>IFERROR(__xludf.DUMMYFUNCTION("""COMPUTED_VALUE"""),45910.0)</f>
        <v>45910</v>
      </c>
      <c r="I5318" s="115" t="str">
        <f>IFERROR(__xludf.DUMMYFUNCTION("""COMPUTED_VALUE"""),"16")</f>
        <v>16</v>
      </c>
      <c r="J5318" s="115" t="str">
        <f>IFERROR(__xludf.DUMMYFUNCTION("""COMPUTED_VALUE"""),"Parag Kashyap2025-09-1016")</f>
        <v>Parag Kashyap2025-09-1016</v>
      </c>
      <c r="K5318" s="115">
        <f>IFERROR(__xludf.DUMMYFUNCTION("""COMPUTED_VALUE"""),319059.0)</f>
        <v>319059</v>
      </c>
    </row>
    <row r="5319">
      <c r="A5319" s="115" t="str">
        <f>IFERROR(__xludf.DUMMYFUNCTION("""COMPUTED_VALUE"""),"EAST")</f>
        <v>EAST</v>
      </c>
      <c r="B5319" s="115" t="str">
        <f>IFERROR(__xludf.DUMMYFUNCTION("""COMPUTED_VALUE"""),"Parag Kashyap")</f>
        <v>Parag Kashyap</v>
      </c>
      <c r="C5319" s="115" t="str">
        <f>IFERROR(__xludf.DUMMYFUNCTION("""COMPUTED_VALUE"""),"MYNTRA")</f>
        <v>MYNTRA</v>
      </c>
      <c r="D5319" s="115">
        <f>IFERROR(__xludf.DUMMYFUNCTION("""COMPUTED_VALUE"""),38276.0)</f>
        <v>38276</v>
      </c>
      <c r="E5319" s="115">
        <f>IFERROR(__xludf.DUMMYFUNCTION("""COMPUTED_VALUE"""),5927.0)</f>
        <v>5927</v>
      </c>
      <c r="F5319" s="115">
        <f>IFERROR(__xludf.DUMMYFUNCTION("""COMPUTED_VALUE"""),23593.0)</f>
        <v>23593</v>
      </c>
      <c r="G5319" s="115">
        <f>IFERROR(__xludf.DUMMYFUNCTION("""COMPUTED_VALUE"""),1355.0)</f>
        <v>1355</v>
      </c>
      <c r="H5319" s="116">
        <f>IFERROR(__xludf.DUMMYFUNCTION("""COMPUTED_VALUE"""),45910.0)</f>
        <v>45910</v>
      </c>
      <c r="I5319" s="115" t="str">
        <f>IFERROR(__xludf.DUMMYFUNCTION("""COMPUTED_VALUE"""),"16")</f>
        <v>16</v>
      </c>
      <c r="J5319" s="115" t="str">
        <f>IFERROR(__xludf.DUMMYFUNCTION("""COMPUTED_VALUE"""),"Parag Kashyap2025-09-1016")</f>
        <v>Parag Kashyap2025-09-1016</v>
      </c>
      <c r="K5319" s="115">
        <f>IFERROR(__xludf.DUMMYFUNCTION("""COMPUTED_VALUE"""),44203.0)</f>
        <v>44203</v>
      </c>
    </row>
    <row r="5320">
      <c r="A5320" s="115" t="str">
        <f>IFERROR(__xludf.DUMMYFUNCTION("""COMPUTED_VALUE"""),"NORTH")</f>
        <v>NORTH</v>
      </c>
      <c r="B5320" s="115" t="str">
        <f>IFERROR(__xludf.DUMMYFUNCTION("""COMPUTED_VALUE"""),"Amit Kumar Pathak")</f>
        <v>Amit Kumar Pathak</v>
      </c>
      <c r="C5320" s="115" t="str">
        <f>IFERROR(__xludf.DUMMYFUNCTION("""COMPUTED_VALUE"""),"EXTERNAL")</f>
        <v>EXTERNAL</v>
      </c>
      <c r="D5320" s="115">
        <f>IFERROR(__xludf.DUMMYFUNCTION("""COMPUTED_VALUE"""),22362.0)</f>
        <v>22362</v>
      </c>
      <c r="E5320" s="115">
        <f>IFERROR(__xludf.DUMMYFUNCTION("""COMPUTED_VALUE"""),4000.0)</f>
        <v>4000</v>
      </c>
      <c r="F5320" s="115">
        <f>IFERROR(__xludf.DUMMYFUNCTION("""COMPUTED_VALUE"""),5597.0)</f>
        <v>5597</v>
      </c>
      <c r="G5320" s="115">
        <f>IFERROR(__xludf.DUMMYFUNCTION("""COMPUTED_VALUE"""),1196.0)</f>
        <v>1196</v>
      </c>
      <c r="H5320" s="116">
        <f>IFERROR(__xludf.DUMMYFUNCTION("""COMPUTED_VALUE"""),45910.0)</f>
        <v>45910</v>
      </c>
      <c r="I5320" s="115" t="str">
        <f>IFERROR(__xludf.DUMMYFUNCTION("""COMPUTED_VALUE"""),"16")</f>
        <v>16</v>
      </c>
      <c r="J5320" s="115" t="str">
        <f>IFERROR(__xludf.DUMMYFUNCTION("""COMPUTED_VALUE"""),"Amit Kumar Pathak2025-09-1016")</f>
        <v>Amit Kumar Pathak2025-09-1016</v>
      </c>
      <c r="K5320" s="115">
        <f>IFERROR(__xludf.DUMMYFUNCTION("""COMPUTED_VALUE"""),26362.0)</f>
        <v>26362</v>
      </c>
    </row>
    <row r="5321">
      <c r="A5321" s="115" t="str">
        <f>IFERROR(__xludf.DUMMYFUNCTION("""COMPUTED_VALUE"""),"NORTH")</f>
        <v>NORTH</v>
      </c>
      <c r="B5321" s="115" t="str">
        <f>IFERROR(__xludf.DUMMYFUNCTION("""COMPUTED_VALUE"""),"Amit Kumar Pathak")</f>
        <v>Amit Kumar Pathak</v>
      </c>
      <c r="C5321" s="115" t="str">
        <f>IFERROR(__xludf.DUMMYFUNCTION("""COMPUTED_VALUE"""),"FLIPKART")</f>
        <v>FLIPKART</v>
      </c>
      <c r="D5321" s="115">
        <f>IFERROR(__xludf.DUMMYFUNCTION("""COMPUTED_VALUE"""),179998.0)</f>
        <v>179998</v>
      </c>
      <c r="E5321" s="115">
        <f>IFERROR(__xludf.DUMMYFUNCTION("""COMPUTED_VALUE"""),22467.0)</f>
        <v>22467</v>
      </c>
      <c r="F5321" s="115">
        <f>IFERROR(__xludf.DUMMYFUNCTION("""COMPUTED_VALUE"""),97800.0)</f>
        <v>97800</v>
      </c>
      <c r="G5321" s="115">
        <f>IFERROR(__xludf.DUMMYFUNCTION("""COMPUTED_VALUE"""),9363.0)</f>
        <v>9363</v>
      </c>
      <c r="H5321" s="116">
        <f>IFERROR(__xludf.DUMMYFUNCTION("""COMPUTED_VALUE"""),45910.0)</f>
        <v>45910</v>
      </c>
      <c r="I5321" s="115" t="str">
        <f>IFERROR(__xludf.DUMMYFUNCTION("""COMPUTED_VALUE"""),"16")</f>
        <v>16</v>
      </c>
      <c r="J5321" s="115" t="str">
        <f>IFERROR(__xludf.DUMMYFUNCTION("""COMPUTED_VALUE"""),"Amit Kumar Pathak2025-09-1016")</f>
        <v>Amit Kumar Pathak2025-09-1016</v>
      </c>
      <c r="K5321" s="115">
        <f>IFERROR(__xludf.DUMMYFUNCTION("""COMPUTED_VALUE"""),202465.0)</f>
        <v>202465</v>
      </c>
    </row>
    <row r="5322">
      <c r="A5322" s="115" t="str">
        <f>IFERROR(__xludf.DUMMYFUNCTION("""COMPUTED_VALUE"""),"NORTH")</f>
        <v>NORTH</v>
      </c>
      <c r="B5322" s="115" t="str">
        <f>IFERROR(__xludf.DUMMYFUNCTION("""COMPUTED_VALUE"""),"Amit Kumar Pathak")</f>
        <v>Amit Kumar Pathak</v>
      </c>
      <c r="C5322" s="115" t="str">
        <f>IFERROR(__xludf.DUMMYFUNCTION("""COMPUTED_VALUE"""),"MYNTRA")</f>
        <v>MYNTRA</v>
      </c>
      <c r="D5322" s="115">
        <f>IFERROR(__xludf.DUMMYFUNCTION("""COMPUTED_VALUE"""),14522.0)</f>
        <v>14522</v>
      </c>
      <c r="E5322" s="115">
        <f>IFERROR(__xludf.DUMMYFUNCTION("""COMPUTED_VALUE"""),5767.0)</f>
        <v>5767</v>
      </c>
      <c r="F5322" s="115">
        <f>IFERROR(__xludf.DUMMYFUNCTION("""COMPUTED_VALUE"""),9094.0)</f>
        <v>9094</v>
      </c>
      <c r="G5322" s="115">
        <f>IFERROR(__xludf.DUMMYFUNCTION("""COMPUTED_VALUE"""),2734.0)</f>
        <v>2734</v>
      </c>
      <c r="H5322" s="116">
        <f>IFERROR(__xludf.DUMMYFUNCTION("""COMPUTED_VALUE"""),45910.0)</f>
        <v>45910</v>
      </c>
      <c r="I5322" s="115" t="str">
        <f>IFERROR(__xludf.DUMMYFUNCTION("""COMPUTED_VALUE"""),"16")</f>
        <v>16</v>
      </c>
      <c r="J5322" s="115" t="str">
        <f>IFERROR(__xludf.DUMMYFUNCTION("""COMPUTED_VALUE"""),"Amit Kumar Pathak2025-09-1016")</f>
        <v>Amit Kumar Pathak2025-09-1016</v>
      </c>
      <c r="K5322" s="115">
        <f>IFERROR(__xludf.DUMMYFUNCTION("""COMPUTED_VALUE"""),20289.0)</f>
        <v>20289</v>
      </c>
    </row>
    <row r="5323">
      <c r="A5323" s="115" t="str">
        <f>IFERROR(__xludf.DUMMYFUNCTION("""COMPUTED_VALUE"""),"NORTH")</f>
        <v>NORTH</v>
      </c>
      <c r="B5323" s="115" t="str">
        <f>IFERROR(__xludf.DUMMYFUNCTION("""COMPUTED_VALUE"""),"Loveleen Singh")</f>
        <v>Loveleen Singh</v>
      </c>
      <c r="C5323" s="115" t="str">
        <f>IFERROR(__xludf.DUMMYFUNCTION("""COMPUTED_VALUE"""),"EXTERNAL")</f>
        <v>EXTERNAL</v>
      </c>
      <c r="D5323" s="115">
        <f>IFERROR(__xludf.DUMMYFUNCTION("""COMPUTED_VALUE"""),30681.0)</f>
        <v>30681</v>
      </c>
      <c r="E5323" s="115">
        <f>IFERROR(__xludf.DUMMYFUNCTION("""COMPUTED_VALUE"""),2721.0)</f>
        <v>2721</v>
      </c>
      <c r="F5323" s="115">
        <f>IFERROR(__xludf.DUMMYFUNCTION("""COMPUTED_VALUE"""),10117.0)</f>
        <v>10117</v>
      </c>
      <c r="G5323" s="115">
        <f>IFERROR(__xludf.DUMMYFUNCTION("""COMPUTED_VALUE"""),516.0)</f>
        <v>516</v>
      </c>
      <c r="H5323" s="116">
        <f>IFERROR(__xludf.DUMMYFUNCTION("""COMPUTED_VALUE"""),45910.0)</f>
        <v>45910</v>
      </c>
      <c r="I5323" s="115" t="str">
        <f>IFERROR(__xludf.DUMMYFUNCTION("""COMPUTED_VALUE"""),"16")</f>
        <v>16</v>
      </c>
      <c r="J5323" s="115" t="str">
        <f>IFERROR(__xludf.DUMMYFUNCTION("""COMPUTED_VALUE"""),"Loveleen Singh2025-09-1016")</f>
        <v>Loveleen Singh2025-09-1016</v>
      </c>
      <c r="K5323" s="115">
        <f>IFERROR(__xludf.DUMMYFUNCTION("""COMPUTED_VALUE"""),33402.0)</f>
        <v>33402</v>
      </c>
    </row>
    <row r="5324">
      <c r="A5324" s="115" t="str">
        <f>IFERROR(__xludf.DUMMYFUNCTION("""COMPUTED_VALUE"""),"NORTH")</f>
        <v>NORTH</v>
      </c>
      <c r="B5324" s="115" t="str">
        <f>IFERROR(__xludf.DUMMYFUNCTION("""COMPUTED_VALUE"""),"Loveleen Singh")</f>
        <v>Loveleen Singh</v>
      </c>
      <c r="C5324" s="115" t="str">
        <f>IFERROR(__xludf.DUMMYFUNCTION("""COMPUTED_VALUE"""),"FLIPKART")</f>
        <v>FLIPKART</v>
      </c>
      <c r="D5324" s="115">
        <f>IFERROR(__xludf.DUMMYFUNCTION("""COMPUTED_VALUE"""),175842.0)</f>
        <v>175842</v>
      </c>
      <c r="E5324" s="115">
        <f>IFERROR(__xludf.DUMMYFUNCTION("""COMPUTED_VALUE"""),14947.0)</f>
        <v>14947</v>
      </c>
      <c r="F5324" s="115">
        <f>IFERROR(__xludf.DUMMYFUNCTION("""COMPUTED_VALUE"""),111109.0)</f>
        <v>111109</v>
      </c>
      <c r="G5324" s="115">
        <f>IFERROR(__xludf.DUMMYFUNCTION("""COMPUTED_VALUE"""),5149.0)</f>
        <v>5149</v>
      </c>
      <c r="H5324" s="116">
        <f>IFERROR(__xludf.DUMMYFUNCTION("""COMPUTED_VALUE"""),45910.0)</f>
        <v>45910</v>
      </c>
      <c r="I5324" s="115" t="str">
        <f>IFERROR(__xludf.DUMMYFUNCTION("""COMPUTED_VALUE"""),"16")</f>
        <v>16</v>
      </c>
      <c r="J5324" s="115" t="str">
        <f>IFERROR(__xludf.DUMMYFUNCTION("""COMPUTED_VALUE"""),"Loveleen Singh2025-09-1016")</f>
        <v>Loveleen Singh2025-09-1016</v>
      </c>
      <c r="K5324" s="115">
        <f>IFERROR(__xludf.DUMMYFUNCTION("""COMPUTED_VALUE"""),190789.0)</f>
        <v>190789</v>
      </c>
    </row>
    <row r="5325">
      <c r="A5325" s="115" t="str">
        <f>IFERROR(__xludf.DUMMYFUNCTION("""COMPUTED_VALUE"""),"NORTH")</f>
        <v>NORTH</v>
      </c>
      <c r="B5325" s="115" t="str">
        <f>IFERROR(__xludf.DUMMYFUNCTION("""COMPUTED_VALUE"""),"Loveleen Singh")</f>
        <v>Loveleen Singh</v>
      </c>
      <c r="C5325" s="115" t="str">
        <f>IFERROR(__xludf.DUMMYFUNCTION("""COMPUTED_VALUE"""),"MYNTRA")</f>
        <v>MYNTRA</v>
      </c>
      <c r="D5325" s="115">
        <f>IFERROR(__xludf.DUMMYFUNCTION("""COMPUTED_VALUE"""),29293.0)</f>
        <v>29293</v>
      </c>
      <c r="E5325" s="115">
        <f>IFERROR(__xludf.DUMMYFUNCTION("""COMPUTED_VALUE"""),7091.0)</f>
        <v>7091</v>
      </c>
      <c r="F5325" s="115">
        <f>IFERROR(__xludf.DUMMYFUNCTION("""COMPUTED_VALUE"""),20277.0)</f>
        <v>20277</v>
      </c>
      <c r="G5325" s="115">
        <f>IFERROR(__xludf.DUMMYFUNCTION("""COMPUTED_VALUE"""),2931.0)</f>
        <v>2931</v>
      </c>
      <c r="H5325" s="116">
        <f>IFERROR(__xludf.DUMMYFUNCTION("""COMPUTED_VALUE"""),45910.0)</f>
        <v>45910</v>
      </c>
      <c r="I5325" s="115" t="str">
        <f>IFERROR(__xludf.DUMMYFUNCTION("""COMPUTED_VALUE"""),"16")</f>
        <v>16</v>
      </c>
      <c r="J5325" s="115" t="str">
        <f>IFERROR(__xludf.DUMMYFUNCTION("""COMPUTED_VALUE"""),"Loveleen Singh2025-09-1016")</f>
        <v>Loveleen Singh2025-09-1016</v>
      </c>
      <c r="K5325" s="115">
        <f>IFERROR(__xludf.DUMMYFUNCTION("""COMPUTED_VALUE"""),36384.0)</f>
        <v>36384</v>
      </c>
    </row>
    <row r="5326">
      <c r="A5326" s="115" t="str">
        <f>IFERROR(__xludf.DUMMYFUNCTION("""COMPUTED_VALUE"""),"NORTH")</f>
        <v>NORTH</v>
      </c>
      <c r="B5326" s="115" t="str">
        <f>IFERROR(__xludf.DUMMYFUNCTION("""COMPUTED_VALUE"""),"Manoj Harsh")</f>
        <v>Manoj Harsh</v>
      </c>
      <c r="C5326" s="115" t="str">
        <f>IFERROR(__xludf.DUMMYFUNCTION("""COMPUTED_VALUE"""),"EXTERNAL")</f>
        <v>EXTERNAL</v>
      </c>
      <c r="D5326" s="115">
        <f>IFERROR(__xludf.DUMMYFUNCTION("""COMPUTED_VALUE"""),31112.0)</f>
        <v>31112</v>
      </c>
      <c r="E5326" s="115">
        <f>IFERROR(__xludf.DUMMYFUNCTION("""COMPUTED_VALUE"""),3498.0)</f>
        <v>3498</v>
      </c>
      <c r="F5326" s="115">
        <f>IFERROR(__xludf.DUMMYFUNCTION("""COMPUTED_VALUE"""),10984.0)</f>
        <v>10984</v>
      </c>
      <c r="G5326" s="115">
        <f>IFERROR(__xludf.DUMMYFUNCTION("""COMPUTED_VALUE"""),638.0)</f>
        <v>638</v>
      </c>
      <c r="H5326" s="116">
        <f>IFERROR(__xludf.DUMMYFUNCTION("""COMPUTED_VALUE"""),45910.0)</f>
        <v>45910</v>
      </c>
      <c r="I5326" s="115" t="str">
        <f>IFERROR(__xludf.DUMMYFUNCTION("""COMPUTED_VALUE"""),"16")</f>
        <v>16</v>
      </c>
      <c r="J5326" s="115" t="str">
        <f>IFERROR(__xludf.DUMMYFUNCTION("""COMPUTED_VALUE"""),"Manoj Harsh2025-09-1016")</f>
        <v>Manoj Harsh2025-09-1016</v>
      </c>
      <c r="K5326" s="115">
        <f>IFERROR(__xludf.DUMMYFUNCTION("""COMPUTED_VALUE"""),34610.0)</f>
        <v>34610</v>
      </c>
    </row>
    <row r="5327">
      <c r="A5327" s="115" t="str">
        <f>IFERROR(__xludf.DUMMYFUNCTION("""COMPUTED_VALUE"""),"NORTH")</f>
        <v>NORTH</v>
      </c>
      <c r="B5327" s="115" t="str">
        <f>IFERROR(__xludf.DUMMYFUNCTION("""COMPUTED_VALUE"""),"Manoj Harsh")</f>
        <v>Manoj Harsh</v>
      </c>
      <c r="C5327" s="115" t="str">
        <f>IFERROR(__xludf.DUMMYFUNCTION("""COMPUTED_VALUE"""),"FLIPKART")</f>
        <v>FLIPKART</v>
      </c>
      <c r="D5327" s="115">
        <f>IFERROR(__xludf.DUMMYFUNCTION("""COMPUTED_VALUE"""),375901.0)</f>
        <v>375901</v>
      </c>
      <c r="E5327" s="115">
        <f>IFERROR(__xludf.DUMMYFUNCTION("""COMPUTED_VALUE"""),39157.0)</f>
        <v>39157</v>
      </c>
      <c r="F5327" s="115">
        <f>IFERROR(__xludf.DUMMYFUNCTION("""COMPUTED_VALUE"""),228829.0)</f>
        <v>228829</v>
      </c>
      <c r="G5327" s="115">
        <f>IFERROR(__xludf.DUMMYFUNCTION("""COMPUTED_VALUE"""),13645.0)</f>
        <v>13645</v>
      </c>
      <c r="H5327" s="116">
        <f>IFERROR(__xludf.DUMMYFUNCTION("""COMPUTED_VALUE"""),45910.0)</f>
        <v>45910</v>
      </c>
      <c r="I5327" s="115" t="str">
        <f>IFERROR(__xludf.DUMMYFUNCTION("""COMPUTED_VALUE"""),"16")</f>
        <v>16</v>
      </c>
      <c r="J5327" s="115" t="str">
        <f>IFERROR(__xludf.DUMMYFUNCTION("""COMPUTED_VALUE"""),"Manoj Harsh2025-09-1016")</f>
        <v>Manoj Harsh2025-09-1016</v>
      </c>
      <c r="K5327" s="115">
        <f>IFERROR(__xludf.DUMMYFUNCTION("""COMPUTED_VALUE"""),415058.0)</f>
        <v>415058</v>
      </c>
    </row>
    <row r="5328">
      <c r="A5328" s="115" t="str">
        <f>IFERROR(__xludf.DUMMYFUNCTION("""COMPUTED_VALUE"""),"NORTH")</f>
        <v>NORTH</v>
      </c>
      <c r="B5328" s="115" t="str">
        <f>IFERROR(__xludf.DUMMYFUNCTION("""COMPUTED_VALUE"""),"Manoj Harsh")</f>
        <v>Manoj Harsh</v>
      </c>
      <c r="C5328" s="115" t="str">
        <f>IFERROR(__xludf.DUMMYFUNCTION("""COMPUTED_VALUE"""),"MYNTRA")</f>
        <v>MYNTRA</v>
      </c>
      <c r="D5328" s="115">
        <f>IFERROR(__xludf.DUMMYFUNCTION("""COMPUTED_VALUE"""),32210.0)</f>
        <v>32210</v>
      </c>
      <c r="E5328" s="115">
        <f>IFERROR(__xludf.DUMMYFUNCTION("""COMPUTED_VALUE"""),7968.0)</f>
        <v>7968</v>
      </c>
      <c r="F5328" s="115">
        <f>IFERROR(__xludf.DUMMYFUNCTION("""COMPUTED_VALUE"""),21733.0)</f>
        <v>21733</v>
      </c>
      <c r="G5328" s="115">
        <f>IFERROR(__xludf.DUMMYFUNCTION("""COMPUTED_VALUE"""),3382.0)</f>
        <v>3382</v>
      </c>
      <c r="H5328" s="116">
        <f>IFERROR(__xludf.DUMMYFUNCTION("""COMPUTED_VALUE"""),45910.0)</f>
        <v>45910</v>
      </c>
      <c r="I5328" s="115" t="str">
        <f>IFERROR(__xludf.DUMMYFUNCTION("""COMPUTED_VALUE"""),"16")</f>
        <v>16</v>
      </c>
      <c r="J5328" s="115" t="str">
        <f>IFERROR(__xludf.DUMMYFUNCTION("""COMPUTED_VALUE"""),"Manoj Harsh2025-09-1016")</f>
        <v>Manoj Harsh2025-09-1016</v>
      </c>
      <c r="K5328" s="115">
        <f>IFERROR(__xludf.DUMMYFUNCTION("""COMPUTED_VALUE"""),40178.0)</f>
        <v>40178</v>
      </c>
    </row>
    <row r="5329">
      <c r="A5329" s="115" t="str">
        <f>IFERROR(__xludf.DUMMYFUNCTION("""COMPUTED_VALUE"""),"NORTH")</f>
        <v>NORTH</v>
      </c>
      <c r="B5329" s="115" t="str">
        <f>IFERROR(__xludf.DUMMYFUNCTION("""COMPUTED_VALUE"""),"Pradeep Kothari")</f>
        <v>Pradeep Kothari</v>
      </c>
      <c r="C5329" s="115" t="str">
        <f>IFERROR(__xludf.DUMMYFUNCTION("""COMPUTED_VALUE"""),"EXTERNAL")</f>
        <v>EXTERNAL</v>
      </c>
      <c r="D5329" s="115">
        <f>IFERROR(__xludf.DUMMYFUNCTION("""COMPUTED_VALUE"""),17958.0)</f>
        <v>17958</v>
      </c>
      <c r="E5329" s="115">
        <f>IFERROR(__xludf.DUMMYFUNCTION("""COMPUTED_VALUE"""),2370.0)</f>
        <v>2370</v>
      </c>
      <c r="F5329" s="115">
        <f>IFERROR(__xludf.DUMMYFUNCTION("""COMPUTED_VALUE"""),6360.0)</f>
        <v>6360</v>
      </c>
      <c r="G5329" s="115">
        <f>IFERROR(__xludf.DUMMYFUNCTION("""COMPUTED_VALUE"""),588.0)</f>
        <v>588</v>
      </c>
      <c r="H5329" s="116">
        <f>IFERROR(__xludf.DUMMYFUNCTION("""COMPUTED_VALUE"""),45910.0)</f>
        <v>45910</v>
      </c>
      <c r="I5329" s="115" t="str">
        <f>IFERROR(__xludf.DUMMYFUNCTION("""COMPUTED_VALUE"""),"16")</f>
        <v>16</v>
      </c>
      <c r="J5329" s="115" t="str">
        <f>IFERROR(__xludf.DUMMYFUNCTION("""COMPUTED_VALUE"""),"Pradeep Kothari2025-09-1016")</f>
        <v>Pradeep Kothari2025-09-1016</v>
      </c>
      <c r="K5329" s="115">
        <f>IFERROR(__xludf.DUMMYFUNCTION("""COMPUTED_VALUE"""),20328.0)</f>
        <v>20328</v>
      </c>
    </row>
    <row r="5330">
      <c r="A5330" s="115" t="str">
        <f>IFERROR(__xludf.DUMMYFUNCTION("""COMPUTED_VALUE"""),"NORTH")</f>
        <v>NORTH</v>
      </c>
      <c r="B5330" s="115" t="str">
        <f>IFERROR(__xludf.DUMMYFUNCTION("""COMPUTED_VALUE"""),"Pradeep Kothari")</f>
        <v>Pradeep Kothari</v>
      </c>
      <c r="C5330" s="115" t="str">
        <f>IFERROR(__xludf.DUMMYFUNCTION("""COMPUTED_VALUE"""),"FLIPKART")</f>
        <v>FLIPKART</v>
      </c>
      <c r="D5330" s="115">
        <f>IFERROR(__xludf.DUMMYFUNCTION("""COMPUTED_VALUE"""),145779.0)</f>
        <v>145779</v>
      </c>
      <c r="E5330" s="115">
        <f>IFERROR(__xludf.DUMMYFUNCTION("""COMPUTED_VALUE"""),16570.0)</f>
        <v>16570</v>
      </c>
      <c r="F5330" s="115">
        <f>IFERROR(__xludf.DUMMYFUNCTION("""COMPUTED_VALUE"""),97805.0)</f>
        <v>97805</v>
      </c>
      <c r="G5330" s="115">
        <f>IFERROR(__xludf.DUMMYFUNCTION("""COMPUTED_VALUE"""),7650.0)</f>
        <v>7650</v>
      </c>
      <c r="H5330" s="116">
        <f>IFERROR(__xludf.DUMMYFUNCTION("""COMPUTED_VALUE"""),45910.0)</f>
        <v>45910</v>
      </c>
      <c r="I5330" s="115" t="str">
        <f>IFERROR(__xludf.DUMMYFUNCTION("""COMPUTED_VALUE"""),"16")</f>
        <v>16</v>
      </c>
      <c r="J5330" s="115" t="str">
        <f>IFERROR(__xludf.DUMMYFUNCTION("""COMPUTED_VALUE"""),"Pradeep Kothari2025-09-1016")</f>
        <v>Pradeep Kothari2025-09-1016</v>
      </c>
      <c r="K5330" s="115">
        <f>IFERROR(__xludf.DUMMYFUNCTION("""COMPUTED_VALUE"""),162349.0)</f>
        <v>162349</v>
      </c>
    </row>
    <row r="5331">
      <c r="A5331" s="115" t="str">
        <f>IFERROR(__xludf.DUMMYFUNCTION("""COMPUTED_VALUE"""),"NORTH")</f>
        <v>NORTH</v>
      </c>
      <c r="B5331" s="115" t="str">
        <f>IFERROR(__xludf.DUMMYFUNCTION("""COMPUTED_VALUE"""),"Pradeep Kothari")</f>
        <v>Pradeep Kothari</v>
      </c>
      <c r="C5331" s="115" t="str">
        <f>IFERROR(__xludf.DUMMYFUNCTION("""COMPUTED_VALUE"""),"MYNTRA")</f>
        <v>MYNTRA</v>
      </c>
      <c r="D5331" s="115">
        <f>IFERROR(__xludf.DUMMYFUNCTION("""COMPUTED_VALUE"""),23118.0)</f>
        <v>23118</v>
      </c>
      <c r="E5331" s="115">
        <f>IFERROR(__xludf.DUMMYFUNCTION("""COMPUTED_VALUE"""),7133.0)</f>
        <v>7133</v>
      </c>
      <c r="F5331" s="115">
        <f>IFERROR(__xludf.DUMMYFUNCTION("""COMPUTED_VALUE"""),17351.0)</f>
        <v>17351</v>
      </c>
      <c r="G5331" s="115">
        <f>IFERROR(__xludf.DUMMYFUNCTION("""COMPUTED_VALUE"""),3835.0)</f>
        <v>3835</v>
      </c>
      <c r="H5331" s="116">
        <f>IFERROR(__xludf.DUMMYFUNCTION("""COMPUTED_VALUE"""),45910.0)</f>
        <v>45910</v>
      </c>
      <c r="I5331" s="115" t="str">
        <f>IFERROR(__xludf.DUMMYFUNCTION("""COMPUTED_VALUE"""),"16")</f>
        <v>16</v>
      </c>
      <c r="J5331" s="115" t="str">
        <f>IFERROR(__xludf.DUMMYFUNCTION("""COMPUTED_VALUE"""),"Pradeep Kothari2025-09-1016")</f>
        <v>Pradeep Kothari2025-09-1016</v>
      </c>
      <c r="K5331" s="115">
        <f>IFERROR(__xludf.DUMMYFUNCTION("""COMPUTED_VALUE"""),30251.0)</f>
        <v>30251</v>
      </c>
    </row>
    <row r="5332">
      <c r="A5332" s="115" t="str">
        <f>IFERROR(__xludf.DUMMYFUNCTION("""COMPUTED_VALUE"""),"SOUTH")</f>
        <v>SOUTH</v>
      </c>
      <c r="B5332" s="115" t="str">
        <f>IFERROR(__xludf.DUMMYFUNCTION("""COMPUTED_VALUE"""),"0")</f>
        <v>0</v>
      </c>
      <c r="C5332" s="115" t="str">
        <f>IFERROR(__xludf.DUMMYFUNCTION("""COMPUTED_VALUE"""),"EXTERNAL")</f>
        <v>EXTERNAL</v>
      </c>
      <c r="D5332" s="115">
        <f>IFERROR(__xludf.DUMMYFUNCTION("""COMPUTED_VALUE"""),2.0)</f>
        <v>2</v>
      </c>
      <c r="E5332" s="115">
        <f>IFERROR(__xludf.DUMMYFUNCTION("""COMPUTED_VALUE"""),0.0)</f>
        <v>0</v>
      </c>
      <c r="F5332" s="115">
        <f>IFERROR(__xludf.DUMMYFUNCTION("""COMPUTED_VALUE"""),0.0)</f>
        <v>0</v>
      </c>
      <c r="G5332" s="115">
        <f>IFERROR(__xludf.DUMMYFUNCTION("""COMPUTED_VALUE"""),0.0)</f>
        <v>0</v>
      </c>
      <c r="H5332" s="116">
        <f>IFERROR(__xludf.DUMMYFUNCTION("""COMPUTED_VALUE"""),45910.0)</f>
        <v>45910</v>
      </c>
      <c r="I5332" s="115" t="str">
        <f>IFERROR(__xludf.DUMMYFUNCTION("""COMPUTED_VALUE"""),"16")</f>
        <v>16</v>
      </c>
      <c r="J5332" s="115" t="str">
        <f>IFERROR(__xludf.DUMMYFUNCTION("""COMPUTED_VALUE"""),"02025-09-1016")</f>
        <v>02025-09-1016</v>
      </c>
      <c r="K5332" s="115">
        <f>IFERROR(__xludf.DUMMYFUNCTION("""COMPUTED_VALUE"""),2.0)</f>
        <v>2</v>
      </c>
    </row>
    <row r="5333">
      <c r="A5333" s="115" t="str">
        <f>IFERROR(__xludf.DUMMYFUNCTION("""COMPUTED_VALUE"""),"SOUTH")</f>
        <v>SOUTH</v>
      </c>
      <c r="B5333" s="115" t="str">
        <f>IFERROR(__xludf.DUMMYFUNCTION("""COMPUTED_VALUE"""),"0")</f>
        <v>0</v>
      </c>
      <c r="C5333" s="115" t="str">
        <f>IFERROR(__xludf.DUMMYFUNCTION("""COMPUTED_VALUE"""),"FLIPKART")</f>
        <v>FLIPKART</v>
      </c>
      <c r="D5333" s="115">
        <f>IFERROR(__xludf.DUMMYFUNCTION("""COMPUTED_VALUE"""),78.0)</f>
        <v>78</v>
      </c>
      <c r="E5333" s="115">
        <f>IFERROR(__xludf.DUMMYFUNCTION("""COMPUTED_VALUE"""),12.0)</f>
        <v>12</v>
      </c>
      <c r="F5333" s="115">
        <f>IFERROR(__xludf.DUMMYFUNCTION("""COMPUTED_VALUE"""),16.0)</f>
        <v>16</v>
      </c>
      <c r="G5333" s="115">
        <f>IFERROR(__xludf.DUMMYFUNCTION("""COMPUTED_VALUE"""),0.0)</f>
        <v>0</v>
      </c>
      <c r="H5333" s="116">
        <f>IFERROR(__xludf.DUMMYFUNCTION("""COMPUTED_VALUE"""),45910.0)</f>
        <v>45910</v>
      </c>
      <c r="I5333" s="115" t="str">
        <f>IFERROR(__xludf.DUMMYFUNCTION("""COMPUTED_VALUE"""),"16")</f>
        <v>16</v>
      </c>
      <c r="J5333" s="115" t="str">
        <f>IFERROR(__xludf.DUMMYFUNCTION("""COMPUTED_VALUE"""),"02025-09-1016")</f>
        <v>02025-09-1016</v>
      </c>
      <c r="K5333" s="115">
        <f>IFERROR(__xludf.DUMMYFUNCTION("""COMPUTED_VALUE"""),90.0)</f>
        <v>90</v>
      </c>
    </row>
    <row r="5334">
      <c r="A5334" s="115" t="str">
        <f>IFERROR(__xludf.DUMMYFUNCTION("""COMPUTED_VALUE"""),"SOUTH")</f>
        <v>SOUTH</v>
      </c>
      <c r="B5334" s="115" t="str">
        <f>IFERROR(__xludf.DUMMYFUNCTION("""COMPUTED_VALUE"""),"0")</f>
        <v>0</v>
      </c>
      <c r="C5334" s="115" t="str">
        <f>IFERROR(__xludf.DUMMYFUNCTION("""COMPUTED_VALUE"""),"MYNTRA")</f>
        <v>MYNTRA</v>
      </c>
      <c r="D5334" s="115">
        <f>IFERROR(__xludf.DUMMYFUNCTION("""COMPUTED_VALUE"""),14.0)</f>
        <v>14</v>
      </c>
      <c r="E5334" s="115">
        <f>IFERROR(__xludf.DUMMYFUNCTION("""COMPUTED_VALUE"""),9.0)</f>
        <v>9</v>
      </c>
      <c r="F5334" s="115">
        <f>IFERROR(__xludf.DUMMYFUNCTION("""COMPUTED_VALUE"""),0.0)</f>
        <v>0</v>
      </c>
      <c r="G5334" s="115">
        <f>IFERROR(__xludf.DUMMYFUNCTION("""COMPUTED_VALUE"""),1.0)</f>
        <v>1</v>
      </c>
      <c r="H5334" s="116">
        <f>IFERROR(__xludf.DUMMYFUNCTION("""COMPUTED_VALUE"""),45910.0)</f>
        <v>45910</v>
      </c>
      <c r="I5334" s="115" t="str">
        <f>IFERROR(__xludf.DUMMYFUNCTION("""COMPUTED_VALUE"""),"16")</f>
        <v>16</v>
      </c>
      <c r="J5334" s="115" t="str">
        <f>IFERROR(__xludf.DUMMYFUNCTION("""COMPUTED_VALUE"""),"02025-09-1016")</f>
        <v>02025-09-1016</v>
      </c>
      <c r="K5334" s="115">
        <f>IFERROR(__xludf.DUMMYFUNCTION("""COMPUTED_VALUE"""),23.0)</f>
        <v>23</v>
      </c>
    </row>
    <row r="5335">
      <c r="A5335" s="115" t="str">
        <f>IFERROR(__xludf.DUMMYFUNCTION("""COMPUTED_VALUE"""),"SOUTH")</f>
        <v>SOUTH</v>
      </c>
      <c r="B5335" s="115" t="str">
        <f>IFERROR(__xludf.DUMMYFUNCTION("""COMPUTED_VALUE"""),"Kandula Sampath")</f>
        <v>Kandula Sampath</v>
      </c>
      <c r="C5335" s="115" t="str">
        <f>IFERROR(__xludf.DUMMYFUNCTION("""COMPUTED_VALUE"""),"EXTERNAL")</f>
        <v>EXTERNAL</v>
      </c>
      <c r="D5335" s="115">
        <f>IFERROR(__xludf.DUMMYFUNCTION("""COMPUTED_VALUE"""),30678.0)</f>
        <v>30678</v>
      </c>
      <c r="E5335" s="115">
        <f>IFERROR(__xludf.DUMMYFUNCTION("""COMPUTED_VALUE"""),4236.0)</f>
        <v>4236</v>
      </c>
      <c r="F5335" s="115">
        <f>IFERROR(__xludf.DUMMYFUNCTION("""COMPUTED_VALUE"""),10873.0)</f>
        <v>10873</v>
      </c>
      <c r="G5335" s="115">
        <f>IFERROR(__xludf.DUMMYFUNCTION("""COMPUTED_VALUE"""),874.0)</f>
        <v>874</v>
      </c>
      <c r="H5335" s="116">
        <f>IFERROR(__xludf.DUMMYFUNCTION("""COMPUTED_VALUE"""),45910.0)</f>
        <v>45910</v>
      </c>
      <c r="I5335" s="115" t="str">
        <f>IFERROR(__xludf.DUMMYFUNCTION("""COMPUTED_VALUE"""),"16")</f>
        <v>16</v>
      </c>
      <c r="J5335" s="115" t="str">
        <f>IFERROR(__xludf.DUMMYFUNCTION("""COMPUTED_VALUE"""),"Kandula Sampath2025-09-1016")</f>
        <v>Kandula Sampath2025-09-1016</v>
      </c>
      <c r="K5335" s="115">
        <f>IFERROR(__xludf.DUMMYFUNCTION("""COMPUTED_VALUE"""),34914.0)</f>
        <v>34914</v>
      </c>
    </row>
    <row r="5336">
      <c r="A5336" s="115" t="str">
        <f>IFERROR(__xludf.DUMMYFUNCTION("""COMPUTED_VALUE"""),"SOUTH")</f>
        <v>SOUTH</v>
      </c>
      <c r="B5336" s="115" t="str">
        <f>IFERROR(__xludf.DUMMYFUNCTION("""COMPUTED_VALUE"""),"Kandula Sampath")</f>
        <v>Kandula Sampath</v>
      </c>
      <c r="C5336" s="115" t="str">
        <f>IFERROR(__xludf.DUMMYFUNCTION("""COMPUTED_VALUE"""),"FLIPKART")</f>
        <v>FLIPKART</v>
      </c>
      <c r="D5336" s="115">
        <f>IFERROR(__xludf.DUMMYFUNCTION("""COMPUTED_VALUE"""),317697.0)</f>
        <v>317697</v>
      </c>
      <c r="E5336" s="115">
        <f>IFERROR(__xludf.DUMMYFUNCTION("""COMPUTED_VALUE"""),31171.0)</f>
        <v>31171</v>
      </c>
      <c r="F5336" s="115">
        <f>IFERROR(__xludf.DUMMYFUNCTION("""COMPUTED_VALUE"""),190383.0)</f>
        <v>190383</v>
      </c>
      <c r="G5336" s="115">
        <f>IFERROR(__xludf.DUMMYFUNCTION("""COMPUTED_VALUE"""),9592.0)</f>
        <v>9592</v>
      </c>
      <c r="H5336" s="116">
        <f>IFERROR(__xludf.DUMMYFUNCTION("""COMPUTED_VALUE"""),45910.0)</f>
        <v>45910</v>
      </c>
      <c r="I5336" s="115" t="str">
        <f>IFERROR(__xludf.DUMMYFUNCTION("""COMPUTED_VALUE"""),"16")</f>
        <v>16</v>
      </c>
      <c r="J5336" s="115" t="str">
        <f>IFERROR(__xludf.DUMMYFUNCTION("""COMPUTED_VALUE"""),"Kandula Sampath2025-09-1016")</f>
        <v>Kandula Sampath2025-09-1016</v>
      </c>
      <c r="K5336" s="115">
        <f>IFERROR(__xludf.DUMMYFUNCTION("""COMPUTED_VALUE"""),348868.0)</f>
        <v>348868</v>
      </c>
    </row>
    <row r="5337">
      <c r="A5337" s="115" t="str">
        <f>IFERROR(__xludf.DUMMYFUNCTION("""COMPUTED_VALUE"""),"SOUTH")</f>
        <v>SOUTH</v>
      </c>
      <c r="B5337" s="115" t="str">
        <f>IFERROR(__xludf.DUMMYFUNCTION("""COMPUTED_VALUE"""),"Kandula Sampath")</f>
        <v>Kandula Sampath</v>
      </c>
      <c r="C5337" s="115" t="str">
        <f>IFERROR(__xludf.DUMMYFUNCTION("""COMPUTED_VALUE"""),"MYNTRA")</f>
        <v>MYNTRA</v>
      </c>
      <c r="D5337" s="115">
        <f>IFERROR(__xludf.DUMMYFUNCTION("""COMPUTED_VALUE"""),35095.0)</f>
        <v>35095</v>
      </c>
      <c r="E5337" s="115">
        <f>IFERROR(__xludf.DUMMYFUNCTION("""COMPUTED_VALUE"""),9535.0)</f>
        <v>9535</v>
      </c>
      <c r="F5337" s="115">
        <f>IFERROR(__xludf.DUMMYFUNCTION("""COMPUTED_VALUE"""),23294.0)</f>
        <v>23294</v>
      </c>
      <c r="G5337" s="115">
        <f>IFERROR(__xludf.DUMMYFUNCTION("""COMPUTED_VALUE"""),3119.0)</f>
        <v>3119</v>
      </c>
      <c r="H5337" s="116">
        <f>IFERROR(__xludf.DUMMYFUNCTION("""COMPUTED_VALUE"""),45910.0)</f>
        <v>45910</v>
      </c>
      <c r="I5337" s="115" t="str">
        <f>IFERROR(__xludf.DUMMYFUNCTION("""COMPUTED_VALUE"""),"16")</f>
        <v>16</v>
      </c>
      <c r="J5337" s="115" t="str">
        <f>IFERROR(__xludf.DUMMYFUNCTION("""COMPUTED_VALUE"""),"Kandula Sampath2025-09-1016")</f>
        <v>Kandula Sampath2025-09-1016</v>
      </c>
      <c r="K5337" s="115">
        <f>IFERROR(__xludf.DUMMYFUNCTION("""COMPUTED_VALUE"""),44630.0)</f>
        <v>44630</v>
      </c>
    </row>
    <row r="5338">
      <c r="A5338" s="115" t="str">
        <f>IFERROR(__xludf.DUMMYFUNCTION("""COMPUTED_VALUE"""),"SOUTH")</f>
        <v>SOUTH</v>
      </c>
      <c r="B5338" s="115" t="str">
        <f>IFERROR(__xludf.DUMMYFUNCTION("""COMPUTED_VALUE"""),"Martin A")</f>
        <v>Martin A</v>
      </c>
      <c r="C5338" s="115" t="str">
        <f>IFERROR(__xludf.DUMMYFUNCTION("""COMPUTED_VALUE"""),"EXTERNAL")</f>
        <v>EXTERNAL</v>
      </c>
      <c r="D5338" s="115">
        <f>IFERROR(__xludf.DUMMYFUNCTION("""COMPUTED_VALUE"""),30458.0)</f>
        <v>30458</v>
      </c>
      <c r="E5338" s="115">
        <f>IFERROR(__xludf.DUMMYFUNCTION("""COMPUTED_VALUE"""),4149.0)</f>
        <v>4149</v>
      </c>
      <c r="F5338" s="115">
        <f>IFERROR(__xludf.DUMMYFUNCTION("""COMPUTED_VALUE"""),10736.0)</f>
        <v>10736</v>
      </c>
      <c r="G5338" s="115">
        <f>IFERROR(__xludf.DUMMYFUNCTION("""COMPUTED_VALUE"""),1147.0)</f>
        <v>1147</v>
      </c>
      <c r="H5338" s="116">
        <f>IFERROR(__xludf.DUMMYFUNCTION("""COMPUTED_VALUE"""),45910.0)</f>
        <v>45910</v>
      </c>
      <c r="I5338" s="115" t="str">
        <f>IFERROR(__xludf.DUMMYFUNCTION("""COMPUTED_VALUE"""),"16")</f>
        <v>16</v>
      </c>
      <c r="J5338" s="115" t="str">
        <f>IFERROR(__xludf.DUMMYFUNCTION("""COMPUTED_VALUE"""),"Martin A2025-09-1016")</f>
        <v>Martin A2025-09-1016</v>
      </c>
      <c r="K5338" s="115">
        <f>IFERROR(__xludf.DUMMYFUNCTION("""COMPUTED_VALUE"""),34607.0)</f>
        <v>34607</v>
      </c>
    </row>
    <row r="5339">
      <c r="A5339" s="115" t="str">
        <f>IFERROR(__xludf.DUMMYFUNCTION("""COMPUTED_VALUE"""),"SOUTH")</f>
        <v>SOUTH</v>
      </c>
      <c r="B5339" s="115" t="str">
        <f>IFERROR(__xludf.DUMMYFUNCTION("""COMPUTED_VALUE"""),"Martin A")</f>
        <v>Martin A</v>
      </c>
      <c r="C5339" s="115" t="str">
        <f>IFERROR(__xludf.DUMMYFUNCTION("""COMPUTED_VALUE"""),"FLIPKART")</f>
        <v>FLIPKART</v>
      </c>
      <c r="D5339" s="115">
        <f>IFERROR(__xludf.DUMMYFUNCTION("""COMPUTED_VALUE"""),285444.0)</f>
        <v>285444</v>
      </c>
      <c r="E5339" s="115">
        <f>IFERROR(__xludf.DUMMYFUNCTION("""COMPUTED_VALUE"""),27007.0)</f>
        <v>27007</v>
      </c>
      <c r="F5339" s="115">
        <f>IFERROR(__xludf.DUMMYFUNCTION("""COMPUTED_VALUE"""),170033.0)</f>
        <v>170033</v>
      </c>
      <c r="G5339" s="115">
        <f>IFERROR(__xludf.DUMMYFUNCTION("""COMPUTED_VALUE"""),9463.0)</f>
        <v>9463</v>
      </c>
      <c r="H5339" s="116">
        <f>IFERROR(__xludf.DUMMYFUNCTION("""COMPUTED_VALUE"""),45910.0)</f>
        <v>45910</v>
      </c>
      <c r="I5339" s="115" t="str">
        <f>IFERROR(__xludf.DUMMYFUNCTION("""COMPUTED_VALUE"""),"16")</f>
        <v>16</v>
      </c>
      <c r="J5339" s="115" t="str">
        <f>IFERROR(__xludf.DUMMYFUNCTION("""COMPUTED_VALUE"""),"Martin A2025-09-1016")</f>
        <v>Martin A2025-09-1016</v>
      </c>
      <c r="K5339" s="115">
        <f>IFERROR(__xludf.DUMMYFUNCTION("""COMPUTED_VALUE"""),312451.0)</f>
        <v>312451</v>
      </c>
    </row>
    <row r="5340">
      <c r="A5340" s="115" t="str">
        <f>IFERROR(__xludf.DUMMYFUNCTION("""COMPUTED_VALUE"""),"SOUTH")</f>
        <v>SOUTH</v>
      </c>
      <c r="B5340" s="115" t="str">
        <f>IFERROR(__xludf.DUMMYFUNCTION("""COMPUTED_VALUE"""),"Martin A")</f>
        <v>Martin A</v>
      </c>
      <c r="C5340" s="115" t="str">
        <f>IFERROR(__xludf.DUMMYFUNCTION("""COMPUTED_VALUE"""),"MYNTRA")</f>
        <v>MYNTRA</v>
      </c>
      <c r="D5340" s="115">
        <f>IFERROR(__xludf.DUMMYFUNCTION("""COMPUTED_VALUE"""),27894.0)</f>
        <v>27894</v>
      </c>
      <c r="E5340" s="115">
        <f>IFERROR(__xludf.DUMMYFUNCTION("""COMPUTED_VALUE"""),7059.0)</f>
        <v>7059</v>
      </c>
      <c r="F5340" s="115">
        <f>IFERROR(__xludf.DUMMYFUNCTION("""COMPUTED_VALUE"""),19434.0)</f>
        <v>19434</v>
      </c>
      <c r="G5340" s="115">
        <f>IFERROR(__xludf.DUMMYFUNCTION("""COMPUTED_VALUE"""),2831.0)</f>
        <v>2831</v>
      </c>
      <c r="H5340" s="116">
        <f>IFERROR(__xludf.DUMMYFUNCTION("""COMPUTED_VALUE"""),45910.0)</f>
        <v>45910</v>
      </c>
      <c r="I5340" s="115" t="str">
        <f>IFERROR(__xludf.DUMMYFUNCTION("""COMPUTED_VALUE"""),"16")</f>
        <v>16</v>
      </c>
      <c r="J5340" s="115" t="str">
        <f>IFERROR(__xludf.DUMMYFUNCTION("""COMPUTED_VALUE"""),"Martin A2025-09-1016")</f>
        <v>Martin A2025-09-1016</v>
      </c>
      <c r="K5340" s="115">
        <f>IFERROR(__xludf.DUMMYFUNCTION("""COMPUTED_VALUE"""),34953.0)</f>
        <v>34953</v>
      </c>
    </row>
    <row r="5341">
      <c r="A5341" s="115" t="str">
        <f>IFERROR(__xludf.DUMMYFUNCTION("""COMPUTED_VALUE"""),"SOUTH")</f>
        <v>SOUTH</v>
      </c>
      <c r="B5341" s="115" t="str">
        <f>IFERROR(__xludf.DUMMYFUNCTION("""COMPUTED_VALUE"""),"Premkumar M")</f>
        <v>Premkumar M</v>
      </c>
      <c r="C5341" s="115" t="str">
        <f>IFERROR(__xludf.DUMMYFUNCTION("""COMPUTED_VALUE"""),"EXTERNAL")</f>
        <v>EXTERNAL</v>
      </c>
      <c r="D5341" s="115">
        <f>IFERROR(__xludf.DUMMYFUNCTION("""COMPUTED_VALUE"""),25330.0)</f>
        <v>25330</v>
      </c>
      <c r="E5341" s="115">
        <f>IFERROR(__xludf.DUMMYFUNCTION("""COMPUTED_VALUE"""),2097.0)</f>
        <v>2097</v>
      </c>
      <c r="F5341" s="115">
        <f>IFERROR(__xludf.DUMMYFUNCTION("""COMPUTED_VALUE"""),8733.0)</f>
        <v>8733</v>
      </c>
      <c r="G5341" s="115">
        <f>IFERROR(__xludf.DUMMYFUNCTION("""COMPUTED_VALUE"""),246.0)</f>
        <v>246</v>
      </c>
      <c r="H5341" s="116">
        <f>IFERROR(__xludf.DUMMYFUNCTION("""COMPUTED_VALUE"""),45910.0)</f>
        <v>45910</v>
      </c>
      <c r="I5341" s="115" t="str">
        <f>IFERROR(__xludf.DUMMYFUNCTION("""COMPUTED_VALUE"""),"16")</f>
        <v>16</v>
      </c>
      <c r="J5341" s="115" t="str">
        <f>IFERROR(__xludf.DUMMYFUNCTION("""COMPUTED_VALUE"""),"Premkumar M2025-09-1016")</f>
        <v>Premkumar M2025-09-1016</v>
      </c>
      <c r="K5341" s="115">
        <f>IFERROR(__xludf.DUMMYFUNCTION("""COMPUTED_VALUE"""),27427.0)</f>
        <v>27427</v>
      </c>
    </row>
    <row r="5342">
      <c r="A5342" s="115" t="str">
        <f>IFERROR(__xludf.DUMMYFUNCTION("""COMPUTED_VALUE"""),"SOUTH")</f>
        <v>SOUTH</v>
      </c>
      <c r="B5342" s="115" t="str">
        <f>IFERROR(__xludf.DUMMYFUNCTION("""COMPUTED_VALUE"""),"Premkumar M")</f>
        <v>Premkumar M</v>
      </c>
      <c r="C5342" s="115" t="str">
        <f>IFERROR(__xludf.DUMMYFUNCTION("""COMPUTED_VALUE"""),"FLIPKART")</f>
        <v>FLIPKART</v>
      </c>
      <c r="D5342" s="115">
        <f>IFERROR(__xludf.DUMMYFUNCTION("""COMPUTED_VALUE"""),271140.0)</f>
        <v>271140</v>
      </c>
      <c r="E5342" s="115">
        <f>IFERROR(__xludf.DUMMYFUNCTION("""COMPUTED_VALUE"""),18342.0)</f>
        <v>18342</v>
      </c>
      <c r="F5342" s="115">
        <f>IFERROR(__xludf.DUMMYFUNCTION("""COMPUTED_VALUE"""),147207.0)</f>
        <v>147207</v>
      </c>
      <c r="G5342" s="115">
        <f>IFERROR(__xludf.DUMMYFUNCTION("""COMPUTED_VALUE"""),2925.0)</f>
        <v>2925</v>
      </c>
      <c r="H5342" s="116">
        <f>IFERROR(__xludf.DUMMYFUNCTION("""COMPUTED_VALUE"""),45910.0)</f>
        <v>45910</v>
      </c>
      <c r="I5342" s="115" t="str">
        <f>IFERROR(__xludf.DUMMYFUNCTION("""COMPUTED_VALUE"""),"16")</f>
        <v>16</v>
      </c>
      <c r="J5342" s="115" t="str">
        <f>IFERROR(__xludf.DUMMYFUNCTION("""COMPUTED_VALUE"""),"Premkumar M2025-09-1016")</f>
        <v>Premkumar M2025-09-1016</v>
      </c>
      <c r="K5342" s="115">
        <f>IFERROR(__xludf.DUMMYFUNCTION("""COMPUTED_VALUE"""),289482.0)</f>
        <v>289482</v>
      </c>
    </row>
    <row r="5343">
      <c r="A5343" s="115" t="str">
        <f>IFERROR(__xludf.DUMMYFUNCTION("""COMPUTED_VALUE"""),"SOUTH")</f>
        <v>SOUTH</v>
      </c>
      <c r="B5343" s="115" t="str">
        <f>IFERROR(__xludf.DUMMYFUNCTION("""COMPUTED_VALUE"""),"Premkumar M")</f>
        <v>Premkumar M</v>
      </c>
      <c r="C5343" s="115" t="str">
        <f>IFERROR(__xludf.DUMMYFUNCTION("""COMPUTED_VALUE"""),"MYNTRA")</f>
        <v>MYNTRA</v>
      </c>
      <c r="D5343" s="115">
        <f>IFERROR(__xludf.DUMMYFUNCTION("""COMPUTED_VALUE"""),13896.0)</f>
        <v>13896</v>
      </c>
      <c r="E5343" s="115">
        <f>IFERROR(__xludf.DUMMYFUNCTION("""COMPUTED_VALUE"""),3005.0)</f>
        <v>3005</v>
      </c>
      <c r="F5343" s="115">
        <f>IFERROR(__xludf.DUMMYFUNCTION("""COMPUTED_VALUE"""),8615.0)</f>
        <v>8615</v>
      </c>
      <c r="G5343" s="115">
        <f>IFERROR(__xludf.DUMMYFUNCTION("""COMPUTED_VALUE"""),614.0)</f>
        <v>614</v>
      </c>
      <c r="H5343" s="116">
        <f>IFERROR(__xludf.DUMMYFUNCTION("""COMPUTED_VALUE"""),45910.0)</f>
        <v>45910</v>
      </c>
      <c r="I5343" s="115" t="str">
        <f>IFERROR(__xludf.DUMMYFUNCTION("""COMPUTED_VALUE"""),"16")</f>
        <v>16</v>
      </c>
      <c r="J5343" s="115" t="str">
        <f>IFERROR(__xludf.DUMMYFUNCTION("""COMPUTED_VALUE"""),"Premkumar M2025-09-1016")</f>
        <v>Premkumar M2025-09-1016</v>
      </c>
      <c r="K5343" s="115">
        <f>IFERROR(__xludf.DUMMYFUNCTION("""COMPUTED_VALUE"""),16901.0)</f>
        <v>16901</v>
      </c>
    </row>
    <row r="5344">
      <c r="A5344" s="115" t="str">
        <f>IFERROR(__xludf.DUMMYFUNCTION("""COMPUTED_VALUE"""),"SOUTH")</f>
        <v>SOUTH</v>
      </c>
      <c r="B5344" s="115" t="str">
        <f>IFERROR(__xludf.DUMMYFUNCTION("""COMPUTED_VALUE"""),"Vineeth V")</f>
        <v>Vineeth V</v>
      </c>
      <c r="C5344" s="115" t="str">
        <f>IFERROR(__xludf.DUMMYFUNCTION("""COMPUTED_VALUE"""),"EXTERNAL")</f>
        <v>EXTERNAL</v>
      </c>
      <c r="D5344" s="115">
        <f>IFERROR(__xludf.DUMMYFUNCTION("""COMPUTED_VALUE"""),17645.0)</f>
        <v>17645</v>
      </c>
      <c r="E5344" s="115">
        <f>IFERROR(__xludf.DUMMYFUNCTION("""COMPUTED_VALUE"""),675.0)</f>
        <v>675</v>
      </c>
      <c r="F5344" s="115">
        <f>IFERROR(__xludf.DUMMYFUNCTION("""COMPUTED_VALUE"""),6947.0)</f>
        <v>6947</v>
      </c>
      <c r="G5344" s="115">
        <f>IFERROR(__xludf.DUMMYFUNCTION("""COMPUTED_VALUE"""),149.0)</f>
        <v>149</v>
      </c>
      <c r="H5344" s="116">
        <f>IFERROR(__xludf.DUMMYFUNCTION("""COMPUTED_VALUE"""),45910.0)</f>
        <v>45910</v>
      </c>
      <c r="I5344" s="115" t="str">
        <f>IFERROR(__xludf.DUMMYFUNCTION("""COMPUTED_VALUE"""),"16")</f>
        <v>16</v>
      </c>
      <c r="J5344" s="115" t="str">
        <f>IFERROR(__xludf.DUMMYFUNCTION("""COMPUTED_VALUE"""),"Vineeth V2025-09-1016")</f>
        <v>Vineeth V2025-09-1016</v>
      </c>
      <c r="K5344" s="115">
        <f>IFERROR(__xludf.DUMMYFUNCTION("""COMPUTED_VALUE"""),18320.0)</f>
        <v>18320</v>
      </c>
    </row>
    <row r="5345">
      <c r="A5345" s="115" t="str">
        <f>IFERROR(__xludf.DUMMYFUNCTION("""COMPUTED_VALUE"""),"SOUTH")</f>
        <v>SOUTH</v>
      </c>
      <c r="B5345" s="115" t="str">
        <f>IFERROR(__xludf.DUMMYFUNCTION("""COMPUTED_VALUE"""),"Vineeth V")</f>
        <v>Vineeth V</v>
      </c>
      <c r="C5345" s="115" t="str">
        <f>IFERROR(__xludf.DUMMYFUNCTION("""COMPUTED_VALUE"""),"FLIPKART")</f>
        <v>FLIPKART</v>
      </c>
      <c r="D5345" s="115">
        <f>IFERROR(__xludf.DUMMYFUNCTION("""COMPUTED_VALUE"""),188307.0)</f>
        <v>188307</v>
      </c>
      <c r="E5345" s="115">
        <f>IFERROR(__xludf.DUMMYFUNCTION("""COMPUTED_VALUE"""),15939.0)</f>
        <v>15939</v>
      </c>
      <c r="F5345" s="115">
        <f>IFERROR(__xludf.DUMMYFUNCTION("""COMPUTED_VALUE"""),121832.0)</f>
        <v>121832</v>
      </c>
      <c r="G5345" s="115">
        <f>IFERROR(__xludf.DUMMYFUNCTION("""COMPUTED_VALUE"""),3885.0)</f>
        <v>3885</v>
      </c>
      <c r="H5345" s="116">
        <f>IFERROR(__xludf.DUMMYFUNCTION("""COMPUTED_VALUE"""),45910.0)</f>
        <v>45910</v>
      </c>
      <c r="I5345" s="115" t="str">
        <f>IFERROR(__xludf.DUMMYFUNCTION("""COMPUTED_VALUE"""),"16")</f>
        <v>16</v>
      </c>
      <c r="J5345" s="115" t="str">
        <f>IFERROR(__xludf.DUMMYFUNCTION("""COMPUTED_VALUE"""),"Vineeth V2025-09-1016")</f>
        <v>Vineeth V2025-09-1016</v>
      </c>
      <c r="K5345" s="115">
        <f>IFERROR(__xludf.DUMMYFUNCTION("""COMPUTED_VALUE"""),204246.0)</f>
        <v>204246</v>
      </c>
    </row>
    <row r="5346">
      <c r="A5346" s="115" t="str">
        <f>IFERROR(__xludf.DUMMYFUNCTION("""COMPUTED_VALUE"""),"SOUTH")</f>
        <v>SOUTH</v>
      </c>
      <c r="B5346" s="115" t="str">
        <f>IFERROR(__xludf.DUMMYFUNCTION("""COMPUTED_VALUE"""),"Vineeth V")</f>
        <v>Vineeth V</v>
      </c>
      <c r="C5346" s="115" t="str">
        <f>IFERROR(__xludf.DUMMYFUNCTION("""COMPUTED_VALUE"""),"MYNTRA")</f>
        <v>MYNTRA</v>
      </c>
      <c r="D5346" s="115">
        <f>IFERROR(__xludf.DUMMYFUNCTION("""COMPUTED_VALUE"""),15111.0)</f>
        <v>15111</v>
      </c>
      <c r="E5346" s="115">
        <f>IFERROR(__xludf.DUMMYFUNCTION("""COMPUTED_VALUE"""),3930.0)</f>
        <v>3930</v>
      </c>
      <c r="F5346" s="115">
        <f>IFERROR(__xludf.DUMMYFUNCTION("""COMPUTED_VALUE"""),10532.0)</f>
        <v>10532</v>
      </c>
      <c r="G5346" s="115">
        <f>IFERROR(__xludf.DUMMYFUNCTION("""COMPUTED_VALUE"""),1015.0)</f>
        <v>1015</v>
      </c>
      <c r="H5346" s="116">
        <f>IFERROR(__xludf.DUMMYFUNCTION("""COMPUTED_VALUE"""),45910.0)</f>
        <v>45910</v>
      </c>
      <c r="I5346" s="115" t="str">
        <f>IFERROR(__xludf.DUMMYFUNCTION("""COMPUTED_VALUE"""),"16")</f>
        <v>16</v>
      </c>
      <c r="J5346" s="115" t="str">
        <f>IFERROR(__xludf.DUMMYFUNCTION("""COMPUTED_VALUE"""),"Vineeth V2025-09-1016")</f>
        <v>Vineeth V2025-09-1016</v>
      </c>
      <c r="K5346" s="115">
        <f>IFERROR(__xludf.DUMMYFUNCTION("""COMPUTED_VALUE"""),19041.0)</f>
        <v>19041</v>
      </c>
    </row>
    <row r="5347">
      <c r="A5347" s="115" t="str">
        <f>IFERROR(__xludf.DUMMYFUNCTION("""COMPUTED_VALUE"""),"WEST")</f>
        <v>WEST</v>
      </c>
      <c r="B5347" s="115" t="str">
        <f>IFERROR(__xludf.DUMMYFUNCTION("""COMPUTED_VALUE"""),"Ashish Jakar")</f>
        <v>Ashish Jakar</v>
      </c>
      <c r="C5347" s="115" t="str">
        <f>IFERROR(__xludf.DUMMYFUNCTION("""COMPUTED_VALUE"""),"EXTERNAL")</f>
        <v>EXTERNAL</v>
      </c>
      <c r="D5347" s="115">
        <f>IFERROR(__xludf.DUMMYFUNCTION("""COMPUTED_VALUE"""),61913.0)</f>
        <v>61913</v>
      </c>
      <c r="E5347" s="115">
        <f>IFERROR(__xludf.DUMMYFUNCTION("""COMPUTED_VALUE"""),5933.0)</f>
        <v>5933</v>
      </c>
      <c r="F5347" s="115">
        <f>IFERROR(__xludf.DUMMYFUNCTION("""COMPUTED_VALUE"""),21487.0)</f>
        <v>21487</v>
      </c>
      <c r="G5347" s="115">
        <f>IFERROR(__xludf.DUMMYFUNCTION("""COMPUTED_VALUE"""),1642.0)</f>
        <v>1642</v>
      </c>
      <c r="H5347" s="116">
        <f>IFERROR(__xludf.DUMMYFUNCTION("""COMPUTED_VALUE"""),45910.0)</f>
        <v>45910</v>
      </c>
      <c r="I5347" s="115" t="str">
        <f>IFERROR(__xludf.DUMMYFUNCTION("""COMPUTED_VALUE"""),"16")</f>
        <v>16</v>
      </c>
      <c r="J5347" s="115" t="str">
        <f>IFERROR(__xludf.DUMMYFUNCTION("""COMPUTED_VALUE"""),"Ashish Jakar2025-09-1016")</f>
        <v>Ashish Jakar2025-09-1016</v>
      </c>
      <c r="K5347" s="115">
        <f>IFERROR(__xludf.DUMMYFUNCTION("""COMPUTED_VALUE"""),67846.0)</f>
        <v>67846</v>
      </c>
    </row>
    <row r="5348">
      <c r="A5348" s="115" t="str">
        <f>IFERROR(__xludf.DUMMYFUNCTION("""COMPUTED_VALUE"""),"WEST")</f>
        <v>WEST</v>
      </c>
      <c r="B5348" s="115" t="str">
        <f>IFERROR(__xludf.DUMMYFUNCTION("""COMPUTED_VALUE"""),"Ashish Jakar")</f>
        <v>Ashish Jakar</v>
      </c>
      <c r="C5348" s="115" t="str">
        <f>IFERROR(__xludf.DUMMYFUNCTION("""COMPUTED_VALUE"""),"FLIPKART")</f>
        <v>FLIPKART</v>
      </c>
      <c r="D5348" s="115">
        <f>IFERROR(__xludf.DUMMYFUNCTION("""COMPUTED_VALUE"""),390422.0)</f>
        <v>390422</v>
      </c>
      <c r="E5348" s="115">
        <f>IFERROR(__xludf.DUMMYFUNCTION("""COMPUTED_VALUE"""),32970.0)</f>
        <v>32970</v>
      </c>
      <c r="F5348" s="115">
        <f>IFERROR(__xludf.DUMMYFUNCTION("""COMPUTED_VALUE"""),217375.0)</f>
        <v>217375</v>
      </c>
      <c r="G5348" s="115">
        <f>IFERROR(__xludf.DUMMYFUNCTION("""COMPUTED_VALUE"""),10966.0)</f>
        <v>10966</v>
      </c>
      <c r="H5348" s="116">
        <f>IFERROR(__xludf.DUMMYFUNCTION("""COMPUTED_VALUE"""),45910.0)</f>
        <v>45910</v>
      </c>
      <c r="I5348" s="115" t="str">
        <f>IFERROR(__xludf.DUMMYFUNCTION("""COMPUTED_VALUE"""),"16")</f>
        <v>16</v>
      </c>
      <c r="J5348" s="115" t="str">
        <f>IFERROR(__xludf.DUMMYFUNCTION("""COMPUTED_VALUE"""),"Ashish Jakar2025-09-1016")</f>
        <v>Ashish Jakar2025-09-1016</v>
      </c>
      <c r="K5348" s="115">
        <f>IFERROR(__xludf.DUMMYFUNCTION("""COMPUTED_VALUE"""),423392.0)</f>
        <v>423392</v>
      </c>
    </row>
    <row r="5349">
      <c r="A5349" s="115" t="str">
        <f>IFERROR(__xludf.DUMMYFUNCTION("""COMPUTED_VALUE"""),"WEST")</f>
        <v>WEST</v>
      </c>
      <c r="B5349" s="115" t="str">
        <f>IFERROR(__xludf.DUMMYFUNCTION("""COMPUTED_VALUE"""),"Ashish Jakar")</f>
        <v>Ashish Jakar</v>
      </c>
      <c r="C5349" s="115" t="str">
        <f>IFERROR(__xludf.DUMMYFUNCTION("""COMPUTED_VALUE"""),"MYNTRA")</f>
        <v>MYNTRA</v>
      </c>
      <c r="D5349" s="115">
        <f>IFERROR(__xludf.DUMMYFUNCTION("""COMPUTED_VALUE"""),44495.0)</f>
        <v>44495</v>
      </c>
      <c r="E5349" s="115">
        <f>IFERROR(__xludf.DUMMYFUNCTION("""COMPUTED_VALUE"""),11282.0)</f>
        <v>11282</v>
      </c>
      <c r="F5349" s="115">
        <f>IFERROR(__xludf.DUMMYFUNCTION("""COMPUTED_VALUE"""),28935.0)</f>
        <v>28935</v>
      </c>
      <c r="G5349" s="115">
        <f>IFERROR(__xludf.DUMMYFUNCTION("""COMPUTED_VALUE"""),4250.0)</f>
        <v>4250</v>
      </c>
      <c r="H5349" s="116">
        <f>IFERROR(__xludf.DUMMYFUNCTION("""COMPUTED_VALUE"""),45910.0)</f>
        <v>45910</v>
      </c>
      <c r="I5349" s="115" t="str">
        <f>IFERROR(__xludf.DUMMYFUNCTION("""COMPUTED_VALUE"""),"16")</f>
        <v>16</v>
      </c>
      <c r="J5349" s="115" t="str">
        <f>IFERROR(__xludf.DUMMYFUNCTION("""COMPUTED_VALUE"""),"Ashish Jakar2025-09-1016")</f>
        <v>Ashish Jakar2025-09-1016</v>
      </c>
      <c r="K5349" s="115">
        <f>IFERROR(__xludf.DUMMYFUNCTION("""COMPUTED_VALUE"""),55777.0)</f>
        <v>55777</v>
      </c>
    </row>
    <row r="5350">
      <c r="A5350" s="115" t="str">
        <f>IFERROR(__xludf.DUMMYFUNCTION("""COMPUTED_VALUE"""),"WEST")</f>
        <v>WEST</v>
      </c>
      <c r="B5350" s="115" t="str">
        <f>IFERROR(__xludf.DUMMYFUNCTION("""COMPUTED_VALUE"""),"Ashvani Bhatt")</f>
        <v>Ashvani Bhatt</v>
      </c>
      <c r="C5350" s="115" t="str">
        <f>IFERROR(__xludf.DUMMYFUNCTION("""COMPUTED_VALUE"""),"EXTERNAL")</f>
        <v>EXTERNAL</v>
      </c>
      <c r="D5350" s="115">
        <f>IFERROR(__xludf.DUMMYFUNCTION("""COMPUTED_VALUE"""),39135.0)</f>
        <v>39135</v>
      </c>
      <c r="E5350" s="115">
        <f>IFERROR(__xludf.DUMMYFUNCTION("""COMPUTED_VALUE"""),3135.0)</f>
        <v>3135</v>
      </c>
      <c r="F5350" s="115">
        <f>IFERROR(__xludf.DUMMYFUNCTION("""COMPUTED_VALUE"""),13913.0)</f>
        <v>13913</v>
      </c>
      <c r="G5350" s="115">
        <f>IFERROR(__xludf.DUMMYFUNCTION("""COMPUTED_VALUE"""),819.0)</f>
        <v>819</v>
      </c>
      <c r="H5350" s="116">
        <f>IFERROR(__xludf.DUMMYFUNCTION("""COMPUTED_VALUE"""),45910.0)</f>
        <v>45910</v>
      </c>
      <c r="I5350" s="115" t="str">
        <f>IFERROR(__xludf.DUMMYFUNCTION("""COMPUTED_VALUE"""),"16")</f>
        <v>16</v>
      </c>
      <c r="J5350" s="115" t="str">
        <f>IFERROR(__xludf.DUMMYFUNCTION("""COMPUTED_VALUE"""),"Ashvani Bhatt2025-09-1016")</f>
        <v>Ashvani Bhatt2025-09-1016</v>
      </c>
      <c r="K5350" s="115">
        <f>IFERROR(__xludf.DUMMYFUNCTION("""COMPUTED_VALUE"""),42270.0)</f>
        <v>42270</v>
      </c>
    </row>
    <row r="5351">
      <c r="A5351" s="115" t="str">
        <f>IFERROR(__xludf.DUMMYFUNCTION("""COMPUTED_VALUE"""),"WEST")</f>
        <v>WEST</v>
      </c>
      <c r="B5351" s="115" t="str">
        <f>IFERROR(__xludf.DUMMYFUNCTION("""COMPUTED_VALUE"""),"Ashvani Bhatt")</f>
        <v>Ashvani Bhatt</v>
      </c>
      <c r="C5351" s="115" t="str">
        <f>IFERROR(__xludf.DUMMYFUNCTION("""COMPUTED_VALUE"""),"FLIPKART")</f>
        <v>FLIPKART</v>
      </c>
      <c r="D5351" s="115">
        <f>IFERROR(__xludf.DUMMYFUNCTION("""COMPUTED_VALUE"""),276391.0)</f>
        <v>276391</v>
      </c>
      <c r="E5351" s="115">
        <f>IFERROR(__xludf.DUMMYFUNCTION("""COMPUTED_VALUE"""),29375.0)</f>
        <v>29375</v>
      </c>
      <c r="F5351" s="115">
        <f>IFERROR(__xludf.DUMMYFUNCTION("""COMPUTED_VALUE"""),174272.0)</f>
        <v>174272</v>
      </c>
      <c r="G5351" s="115">
        <f>IFERROR(__xludf.DUMMYFUNCTION("""COMPUTED_VALUE"""),10702.0)</f>
        <v>10702</v>
      </c>
      <c r="H5351" s="116">
        <f>IFERROR(__xludf.DUMMYFUNCTION("""COMPUTED_VALUE"""),45910.0)</f>
        <v>45910</v>
      </c>
      <c r="I5351" s="115" t="str">
        <f>IFERROR(__xludf.DUMMYFUNCTION("""COMPUTED_VALUE"""),"16")</f>
        <v>16</v>
      </c>
      <c r="J5351" s="115" t="str">
        <f>IFERROR(__xludf.DUMMYFUNCTION("""COMPUTED_VALUE"""),"Ashvani Bhatt2025-09-1016")</f>
        <v>Ashvani Bhatt2025-09-1016</v>
      </c>
      <c r="K5351" s="115">
        <f>IFERROR(__xludf.DUMMYFUNCTION("""COMPUTED_VALUE"""),305766.0)</f>
        <v>305766</v>
      </c>
    </row>
    <row r="5352">
      <c r="A5352" s="115" t="str">
        <f>IFERROR(__xludf.DUMMYFUNCTION("""COMPUTED_VALUE"""),"WEST")</f>
        <v>WEST</v>
      </c>
      <c r="B5352" s="115" t="str">
        <f>IFERROR(__xludf.DUMMYFUNCTION("""COMPUTED_VALUE"""),"Ashvani Bhatt")</f>
        <v>Ashvani Bhatt</v>
      </c>
      <c r="C5352" s="115" t="str">
        <f>IFERROR(__xludf.DUMMYFUNCTION("""COMPUTED_VALUE"""),"MYNTRA")</f>
        <v>MYNTRA</v>
      </c>
      <c r="D5352" s="115">
        <f>IFERROR(__xludf.DUMMYFUNCTION("""COMPUTED_VALUE"""),34174.0)</f>
        <v>34174</v>
      </c>
      <c r="E5352" s="115">
        <f>IFERROR(__xludf.DUMMYFUNCTION("""COMPUTED_VALUE"""),9590.0)</f>
        <v>9590</v>
      </c>
      <c r="F5352" s="115">
        <f>IFERROR(__xludf.DUMMYFUNCTION("""COMPUTED_VALUE"""),25142.0)</f>
        <v>25142</v>
      </c>
      <c r="G5352" s="115">
        <f>IFERROR(__xludf.DUMMYFUNCTION("""COMPUTED_VALUE"""),4115.0)</f>
        <v>4115</v>
      </c>
      <c r="H5352" s="116">
        <f>IFERROR(__xludf.DUMMYFUNCTION("""COMPUTED_VALUE"""),45910.0)</f>
        <v>45910</v>
      </c>
      <c r="I5352" s="115" t="str">
        <f>IFERROR(__xludf.DUMMYFUNCTION("""COMPUTED_VALUE"""),"16")</f>
        <v>16</v>
      </c>
      <c r="J5352" s="115" t="str">
        <f>IFERROR(__xludf.DUMMYFUNCTION("""COMPUTED_VALUE"""),"Ashvani Bhatt2025-09-1016")</f>
        <v>Ashvani Bhatt2025-09-1016</v>
      </c>
      <c r="K5352" s="115">
        <f>IFERROR(__xludf.DUMMYFUNCTION("""COMPUTED_VALUE"""),43764.0)</f>
        <v>43764</v>
      </c>
    </row>
    <row r="5353">
      <c r="A5353" s="115"/>
      <c r="B5353" s="115"/>
      <c r="C5353" s="115" t="str">
        <f>IFERROR(__xludf.DUMMYFUNCTION("""COMPUTED_VALUE"""),"EXTERNAL")</f>
        <v>EXTERNAL</v>
      </c>
      <c r="D5353" s="115">
        <f>IFERROR(__xludf.DUMMYFUNCTION("""COMPUTED_VALUE"""),720.0)</f>
        <v>720</v>
      </c>
      <c r="E5353" s="115">
        <f>IFERROR(__xludf.DUMMYFUNCTION("""COMPUTED_VALUE"""),173.0)</f>
        <v>173</v>
      </c>
      <c r="F5353" s="115">
        <f>IFERROR(__xludf.DUMMYFUNCTION("""COMPUTED_VALUE"""),245.0)</f>
        <v>245</v>
      </c>
      <c r="G5353" s="115">
        <f>IFERROR(__xludf.DUMMYFUNCTION("""COMPUTED_VALUE"""),63.0)</f>
        <v>63</v>
      </c>
      <c r="H5353" s="116">
        <f>IFERROR(__xludf.DUMMYFUNCTION("""COMPUTED_VALUE"""),45910.0)</f>
        <v>45910</v>
      </c>
      <c r="I5353" s="115" t="str">
        <f>IFERROR(__xludf.DUMMYFUNCTION("""COMPUTED_VALUE"""),"16")</f>
        <v>16</v>
      </c>
      <c r="J5353" s="115" t="str">
        <f>IFERROR(__xludf.DUMMYFUNCTION("""COMPUTED_VALUE"""),"2025-09-1016")</f>
        <v>2025-09-1016</v>
      </c>
      <c r="K5353" s="115">
        <f>IFERROR(__xludf.DUMMYFUNCTION("""COMPUTED_VALUE"""),893.0)</f>
        <v>893</v>
      </c>
    </row>
    <row r="5354">
      <c r="A5354" s="115"/>
      <c r="B5354" s="115"/>
      <c r="C5354" s="115" t="str">
        <f>IFERROR(__xludf.DUMMYFUNCTION("""COMPUTED_VALUE"""),"FLIPKART")</f>
        <v>FLIPKART</v>
      </c>
      <c r="D5354" s="115">
        <f>IFERROR(__xludf.DUMMYFUNCTION("""COMPUTED_VALUE"""),7464.0)</f>
        <v>7464</v>
      </c>
      <c r="E5354" s="115">
        <f>IFERROR(__xludf.DUMMYFUNCTION("""COMPUTED_VALUE"""),841.0)</f>
        <v>841</v>
      </c>
      <c r="F5354" s="115">
        <f>IFERROR(__xludf.DUMMYFUNCTION("""COMPUTED_VALUE"""),3747.0)</f>
        <v>3747</v>
      </c>
      <c r="G5354" s="115">
        <f>IFERROR(__xludf.DUMMYFUNCTION("""COMPUTED_VALUE"""),325.0)</f>
        <v>325</v>
      </c>
      <c r="H5354" s="116">
        <f>IFERROR(__xludf.DUMMYFUNCTION("""COMPUTED_VALUE"""),45910.0)</f>
        <v>45910</v>
      </c>
      <c r="I5354" s="115" t="str">
        <f>IFERROR(__xludf.DUMMYFUNCTION("""COMPUTED_VALUE"""),"16")</f>
        <v>16</v>
      </c>
      <c r="J5354" s="115" t="str">
        <f>IFERROR(__xludf.DUMMYFUNCTION("""COMPUTED_VALUE"""),"2025-09-1016")</f>
        <v>2025-09-1016</v>
      </c>
      <c r="K5354" s="115">
        <f>IFERROR(__xludf.DUMMYFUNCTION("""COMPUTED_VALUE"""),8305.0)</f>
        <v>8305</v>
      </c>
    </row>
    <row r="5355">
      <c r="A5355" s="115"/>
      <c r="B5355" s="115"/>
      <c r="C5355" s="115" t="str">
        <f>IFERROR(__xludf.DUMMYFUNCTION("""COMPUTED_VALUE"""),"MYNTRA")</f>
        <v>MYNTRA</v>
      </c>
      <c r="D5355" s="115">
        <f>IFERROR(__xludf.DUMMYFUNCTION("""COMPUTED_VALUE"""),807.0)</f>
        <v>807</v>
      </c>
      <c r="E5355" s="115">
        <f>IFERROR(__xludf.DUMMYFUNCTION("""COMPUTED_VALUE"""),214.0)</f>
        <v>214</v>
      </c>
      <c r="F5355" s="115">
        <f>IFERROR(__xludf.DUMMYFUNCTION("""COMPUTED_VALUE"""),509.0)</f>
        <v>509</v>
      </c>
      <c r="G5355" s="115">
        <f>IFERROR(__xludf.DUMMYFUNCTION("""COMPUTED_VALUE"""),120.0)</f>
        <v>120</v>
      </c>
      <c r="H5355" s="116">
        <f>IFERROR(__xludf.DUMMYFUNCTION("""COMPUTED_VALUE"""),45910.0)</f>
        <v>45910</v>
      </c>
      <c r="I5355" s="115" t="str">
        <f>IFERROR(__xludf.DUMMYFUNCTION("""COMPUTED_VALUE"""),"16")</f>
        <v>16</v>
      </c>
      <c r="J5355" s="115" t="str">
        <f>IFERROR(__xludf.DUMMYFUNCTION("""COMPUTED_VALUE"""),"2025-09-1016")</f>
        <v>2025-09-1016</v>
      </c>
      <c r="K5355" s="115">
        <f>IFERROR(__xludf.DUMMYFUNCTION("""COMPUTED_VALUE"""),1021.0)</f>
        <v>1021</v>
      </c>
    </row>
    <row r="5356">
      <c r="A5356" s="115" t="str">
        <f>IFERROR(__xludf.DUMMYFUNCTION("""COMPUTED_VALUE"""),"EAST")</f>
        <v>EAST</v>
      </c>
      <c r="B5356" s="115" t="str">
        <f>IFERROR(__xludf.DUMMYFUNCTION("""COMPUTED_VALUE"""),"Ashish Ranjan")</f>
        <v>Ashish Ranjan</v>
      </c>
      <c r="C5356" s="115" t="str">
        <f>IFERROR(__xludf.DUMMYFUNCTION("""COMPUTED_VALUE"""),"EXTERNAL")</f>
        <v>EXTERNAL</v>
      </c>
      <c r="D5356" s="115">
        <f>IFERROR(__xludf.DUMMYFUNCTION("""COMPUTED_VALUE"""),37847.0)</f>
        <v>37847</v>
      </c>
      <c r="E5356" s="115">
        <f>IFERROR(__xludf.DUMMYFUNCTION("""COMPUTED_VALUE"""),3834.0)</f>
        <v>3834</v>
      </c>
      <c r="F5356" s="115">
        <f>IFERROR(__xludf.DUMMYFUNCTION("""COMPUTED_VALUE"""),18132.0)</f>
        <v>18132</v>
      </c>
      <c r="G5356" s="115">
        <f>IFERROR(__xludf.DUMMYFUNCTION("""COMPUTED_VALUE"""),1303.0)</f>
        <v>1303</v>
      </c>
      <c r="H5356" s="116">
        <f>IFERROR(__xludf.DUMMYFUNCTION("""COMPUTED_VALUE"""),45910.0)</f>
        <v>45910</v>
      </c>
      <c r="I5356" s="115" t="str">
        <f>IFERROR(__xludf.DUMMYFUNCTION("""COMPUTED_VALUE"""),"17")</f>
        <v>17</v>
      </c>
      <c r="J5356" s="115"/>
      <c r="K5356" s="115">
        <f>IFERROR(__xludf.DUMMYFUNCTION("""COMPUTED_VALUE"""),41681.0)</f>
        <v>41681</v>
      </c>
    </row>
    <row r="5357">
      <c r="A5357" s="115" t="str">
        <f>IFERROR(__xludf.DUMMYFUNCTION("""COMPUTED_VALUE"""),"EAST")</f>
        <v>EAST</v>
      </c>
      <c r="B5357" s="115" t="str">
        <f>IFERROR(__xludf.DUMMYFUNCTION("""COMPUTED_VALUE"""),"Ashish Ranjan")</f>
        <v>Ashish Ranjan</v>
      </c>
      <c r="C5357" s="115" t="str">
        <f>IFERROR(__xludf.DUMMYFUNCTION("""COMPUTED_VALUE"""),"FLIPKART")</f>
        <v>FLIPKART</v>
      </c>
      <c r="D5357" s="115">
        <f>IFERROR(__xludf.DUMMYFUNCTION("""COMPUTED_VALUE"""),660803.0)</f>
        <v>660803</v>
      </c>
      <c r="E5357" s="115">
        <f>IFERROR(__xludf.DUMMYFUNCTION("""COMPUTED_VALUE"""),66336.0)</f>
        <v>66336</v>
      </c>
      <c r="F5357" s="115">
        <f>IFERROR(__xludf.DUMMYFUNCTION("""COMPUTED_VALUE"""),512851.0)</f>
        <v>512851</v>
      </c>
      <c r="G5357" s="115">
        <f>IFERROR(__xludf.DUMMYFUNCTION("""COMPUTED_VALUE"""),35089.0)</f>
        <v>35089</v>
      </c>
      <c r="H5357" s="116">
        <f>IFERROR(__xludf.DUMMYFUNCTION("""COMPUTED_VALUE"""),45910.0)</f>
        <v>45910</v>
      </c>
      <c r="I5357" s="115" t="str">
        <f>IFERROR(__xludf.DUMMYFUNCTION("""COMPUTED_VALUE"""),"17")</f>
        <v>17</v>
      </c>
      <c r="J5357" s="115"/>
      <c r="K5357" s="115">
        <f>IFERROR(__xludf.DUMMYFUNCTION("""COMPUTED_VALUE"""),727139.0)</f>
        <v>727139</v>
      </c>
    </row>
    <row r="5358">
      <c r="A5358" s="115" t="str">
        <f>IFERROR(__xludf.DUMMYFUNCTION("""COMPUTED_VALUE"""),"EAST")</f>
        <v>EAST</v>
      </c>
      <c r="B5358" s="115" t="str">
        <f>IFERROR(__xludf.DUMMYFUNCTION("""COMPUTED_VALUE"""),"Ashish Ranjan")</f>
        <v>Ashish Ranjan</v>
      </c>
      <c r="C5358" s="115" t="str">
        <f>IFERROR(__xludf.DUMMYFUNCTION("""COMPUTED_VALUE"""),"MYNTRA")</f>
        <v>MYNTRA</v>
      </c>
      <c r="D5358" s="115">
        <f>IFERROR(__xludf.DUMMYFUNCTION("""COMPUTED_VALUE"""),74039.0)</f>
        <v>74039</v>
      </c>
      <c r="E5358" s="115">
        <f>IFERROR(__xludf.DUMMYFUNCTION("""COMPUTED_VALUE"""),16949.0)</f>
        <v>16949</v>
      </c>
      <c r="F5358" s="115">
        <f>IFERROR(__xludf.DUMMYFUNCTION("""COMPUTED_VALUE"""),58177.0)</f>
        <v>58177</v>
      </c>
      <c r="G5358" s="115">
        <f>IFERROR(__xludf.DUMMYFUNCTION("""COMPUTED_VALUE"""),8928.0)</f>
        <v>8928</v>
      </c>
      <c r="H5358" s="116">
        <f>IFERROR(__xludf.DUMMYFUNCTION("""COMPUTED_VALUE"""),45910.0)</f>
        <v>45910</v>
      </c>
      <c r="I5358" s="115" t="str">
        <f>IFERROR(__xludf.DUMMYFUNCTION("""COMPUTED_VALUE"""),"17")</f>
        <v>17</v>
      </c>
      <c r="J5358" s="115"/>
      <c r="K5358" s="115">
        <f>IFERROR(__xludf.DUMMYFUNCTION("""COMPUTED_VALUE"""),90988.0)</f>
        <v>90988</v>
      </c>
    </row>
    <row r="5359">
      <c r="A5359" s="115" t="str">
        <f>IFERROR(__xludf.DUMMYFUNCTION("""COMPUTED_VALUE"""),"EAST")</f>
        <v>EAST</v>
      </c>
      <c r="B5359" s="115" t="str">
        <f>IFERROR(__xludf.DUMMYFUNCTION("""COMPUTED_VALUE"""),"Girish Chand")</f>
        <v>Girish Chand</v>
      </c>
      <c r="C5359" s="115" t="str">
        <f>IFERROR(__xludf.DUMMYFUNCTION("""COMPUTED_VALUE"""),"EXTERNAL")</f>
        <v>EXTERNAL</v>
      </c>
      <c r="D5359" s="115">
        <f>IFERROR(__xludf.DUMMYFUNCTION("""COMPUTED_VALUE"""),23564.0)</f>
        <v>23564</v>
      </c>
      <c r="E5359" s="115">
        <f>IFERROR(__xludf.DUMMYFUNCTION("""COMPUTED_VALUE"""),1912.0)</f>
        <v>1912</v>
      </c>
      <c r="F5359" s="115">
        <f>IFERROR(__xludf.DUMMYFUNCTION("""COMPUTED_VALUE"""),9291.0)</f>
        <v>9291</v>
      </c>
      <c r="G5359" s="115">
        <f>IFERROR(__xludf.DUMMYFUNCTION("""COMPUTED_VALUE"""),468.0)</f>
        <v>468</v>
      </c>
      <c r="H5359" s="116">
        <f>IFERROR(__xludf.DUMMYFUNCTION("""COMPUTED_VALUE"""),45910.0)</f>
        <v>45910</v>
      </c>
      <c r="I5359" s="115" t="str">
        <f>IFERROR(__xludf.DUMMYFUNCTION("""COMPUTED_VALUE"""),"17")</f>
        <v>17</v>
      </c>
      <c r="J5359" s="115"/>
      <c r="K5359" s="115">
        <f>IFERROR(__xludf.DUMMYFUNCTION("""COMPUTED_VALUE"""),25476.0)</f>
        <v>25476</v>
      </c>
    </row>
    <row r="5360">
      <c r="A5360" s="115" t="str">
        <f>IFERROR(__xludf.DUMMYFUNCTION("""COMPUTED_VALUE"""),"EAST")</f>
        <v>EAST</v>
      </c>
      <c r="B5360" s="115" t="str">
        <f>IFERROR(__xludf.DUMMYFUNCTION("""COMPUTED_VALUE"""),"Girish Chand")</f>
        <v>Girish Chand</v>
      </c>
      <c r="C5360" s="115" t="str">
        <f>IFERROR(__xludf.DUMMYFUNCTION("""COMPUTED_VALUE"""),"FLIPKART")</f>
        <v>FLIPKART</v>
      </c>
      <c r="D5360" s="115">
        <f>IFERROR(__xludf.DUMMYFUNCTION("""COMPUTED_VALUE"""),429902.0)</f>
        <v>429902</v>
      </c>
      <c r="E5360" s="115">
        <f>IFERROR(__xludf.DUMMYFUNCTION("""COMPUTED_VALUE"""),39001.0)</f>
        <v>39001</v>
      </c>
      <c r="F5360" s="115">
        <f>IFERROR(__xludf.DUMMYFUNCTION("""COMPUTED_VALUE"""),293420.0)</f>
        <v>293420</v>
      </c>
      <c r="G5360" s="115">
        <f>IFERROR(__xludf.DUMMYFUNCTION("""COMPUTED_VALUE"""),16532.0)</f>
        <v>16532</v>
      </c>
      <c r="H5360" s="116">
        <f>IFERROR(__xludf.DUMMYFUNCTION("""COMPUTED_VALUE"""),45910.0)</f>
        <v>45910</v>
      </c>
      <c r="I5360" s="115" t="str">
        <f>IFERROR(__xludf.DUMMYFUNCTION("""COMPUTED_VALUE"""),"17")</f>
        <v>17</v>
      </c>
      <c r="J5360" s="115"/>
      <c r="K5360" s="115">
        <f>IFERROR(__xludf.DUMMYFUNCTION("""COMPUTED_VALUE"""),468903.0)</f>
        <v>468903</v>
      </c>
    </row>
    <row r="5361">
      <c r="A5361" s="115" t="str">
        <f>IFERROR(__xludf.DUMMYFUNCTION("""COMPUTED_VALUE"""),"EAST")</f>
        <v>EAST</v>
      </c>
      <c r="B5361" s="115" t="str">
        <f>IFERROR(__xludf.DUMMYFUNCTION("""COMPUTED_VALUE"""),"Girish Chand")</f>
        <v>Girish Chand</v>
      </c>
      <c r="C5361" s="115" t="str">
        <f>IFERROR(__xludf.DUMMYFUNCTION("""COMPUTED_VALUE"""),"MYNTRA")</f>
        <v>MYNTRA</v>
      </c>
      <c r="D5361" s="115">
        <f>IFERROR(__xludf.DUMMYFUNCTION("""COMPUTED_VALUE"""),37211.0)</f>
        <v>37211</v>
      </c>
      <c r="E5361" s="115">
        <f>IFERROR(__xludf.DUMMYFUNCTION("""COMPUTED_VALUE"""),8115.0)</f>
        <v>8115</v>
      </c>
      <c r="F5361" s="115">
        <f>IFERROR(__xludf.DUMMYFUNCTION("""COMPUTED_VALUE"""),26646.0)</f>
        <v>26646</v>
      </c>
      <c r="G5361" s="115">
        <f>IFERROR(__xludf.DUMMYFUNCTION("""COMPUTED_VALUE"""),3715.0)</f>
        <v>3715</v>
      </c>
      <c r="H5361" s="116">
        <f>IFERROR(__xludf.DUMMYFUNCTION("""COMPUTED_VALUE"""),45910.0)</f>
        <v>45910</v>
      </c>
      <c r="I5361" s="115" t="str">
        <f>IFERROR(__xludf.DUMMYFUNCTION("""COMPUTED_VALUE"""),"17")</f>
        <v>17</v>
      </c>
      <c r="J5361" s="115"/>
      <c r="K5361" s="115">
        <f>IFERROR(__xludf.DUMMYFUNCTION("""COMPUTED_VALUE"""),45326.0)</f>
        <v>45326</v>
      </c>
    </row>
    <row r="5362">
      <c r="A5362" s="115" t="str">
        <f>IFERROR(__xludf.DUMMYFUNCTION("""COMPUTED_VALUE"""),"EAST")</f>
        <v>EAST</v>
      </c>
      <c r="B5362" s="115" t="str">
        <f>IFERROR(__xludf.DUMMYFUNCTION("""COMPUTED_VALUE"""),"Parag Kashyap")</f>
        <v>Parag Kashyap</v>
      </c>
      <c r="C5362" s="115" t="str">
        <f>IFERROR(__xludf.DUMMYFUNCTION("""COMPUTED_VALUE"""),"EXTERNAL")</f>
        <v>EXTERNAL</v>
      </c>
      <c r="D5362" s="115">
        <f>IFERROR(__xludf.DUMMYFUNCTION("""COMPUTED_VALUE"""),16851.0)</f>
        <v>16851</v>
      </c>
      <c r="E5362" s="115">
        <f>IFERROR(__xludf.DUMMYFUNCTION("""COMPUTED_VALUE"""),1088.0)</f>
        <v>1088</v>
      </c>
      <c r="F5362" s="115">
        <f>IFERROR(__xludf.DUMMYFUNCTION("""COMPUTED_VALUE"""),6333.0)</f>
        <v>6333</v>
      </c>
      <c r="G5362" s="115">
        <f>IFERROR(__xludf.DUMMYFUNCTION("""COMPUTED_VALUE"""),169.0)</f>
        <v>169</v>
      </c>
      <c r="H5362" s="116">
        <f>IFERROR(__xludf.DUMMYFUNCTION("""COMPUTED_VALUE"""),45910.0)</f>
        <v>45910</v>
      </c>
      <c r="I5362" s="115" t="str">
        <f>IFERROR(__xludf.DUMMYFUNCTION("""COMPUTED_VALUE"""),"17")</f>
        <v>17</v>
      </c>
      <c r="J5362" s="115"/>
      <c r="K5362" s="115">
        <f>IFERROR(__xludf.DUMMYFUNCTION("""COMPUTED_VALUE"""),17939.0)</f>
        <v>17939</v>
      </c>
    </row>
    <row r="5363">
      <c r="A5363" s="115" t="str">
        <f>IFERROR(__xludf.DUMMYFUNCTION("""COMPUTED_VALUE"""),"EAST")</f>
        <v>EAST</v>
      </c>
      <c r="B5363" s="115" t="str">
        <f>IFERROR(__xludf.DUMMYFUNCTION("""COMPUTED_VALUE"""),"Parag Kashyap")</f>
        <v>Parag Kashyap</v>
      </c>
      <c r="C5363" s="115" t="str">
        <f>IFERROR(__xludf.DUMMYFUNCTION("""COMPUTED_VALUE"""),"FLIPKART")</f>
        <v>FLIPKART</v>
      </c>
      <c r="D5363" s="115">
        <f>IFERROR(__xludf.DUMMYFUNCTION("""COMPUTED_VALUE"""),300017.0)</f>
        <v>300017</v>
      </c>
      <c r="E5363" s="115">
        <f>IFERROR(__xludf.DUMMYFUNCTION("""COMPUTED_VALUE"""),20266.0)</f>
        <v>20266</v>
      </c>
      <c r="F5363" s="115">
        <f>IFERROR(__xludf.DUMMYFUNCTION("""COMPUTED_VALUE"""),197911.0)</f>
        <v>197911</v>
      </c>
      <c r="G5363" s="115">
        <f>IFERROR(__xludf.DUMMYFUNCTION("""COMPUTED_VALUE"""),6373.0)</f>
        <v>6373</v>
      </c>
      <c r="H5363" s="116">
        <f>IFERROR(__xludf.DUMMYFUNCTION("""COMPUTED_VALUE"""),45910.0)</f>
        <v>45910</v>
      </c>
      <c r="I5363" s="115" t="str">
        <f>IFERROR(__xludf.DUMMYFUNCTION("""COMPUTED_VALUE"""),"17")</f>
        <v>17</v>
      </c>
      <c r="J5363" s="115"/>
      <c r="K5363" s="115">
        <f>IFERROR(__xludf.DUMMYFUNCTION("""COMPUTED_VALUE"""),320283.0)</f>
        <v>320283</v>
      </c>
    </row>
    <row r="5364">
      <c r="A5364" s="115" t="str">
        <f>IFERROR(__xludf.DUMMYFUNCTION("""COMPUTED_VALUE"""),"EAST")</f>
        <v>EAST</v>
      </c>
      <c r="B5364" s="115" t="str">
        <f>IFERROR(__xludf.DUMMYFUNCTION("""COMPUTED_VALUE"""),"Parag Kashyap")</f>
        <v>Parag Kashyap</v>
      </c>
      <c r="C5364" s="115" t="str">
        <f>IFERROR(__xludf.DUMMYFUNCTION("""COMPUTED_VALUE"""),"MYNTRA")</f>
        <v>MYNTRA</v>
      </c>
      <c r="D5364" s="115">
        <f>IFERROR(__xludf.DUMMYFUNCTION("""COMPUTED_VALUE"""),38334.0)</f>
        <v>38334</v>
      </c>
      <c r="E5364" s="115">
        <f>IFERROR(__xludf.DUMMYFUNCTION("""COMPUTED_VALUE"""),5967.0)</f>
        <v>5967</v>
      </c>
      <c r="F5364" s="115">
        <f>IFERROR(__xludf.DUMMYFUNCTION("""COMPUTED_VALUE"""),26320.0)</f>
        <v>26320</v>
      </c>
      <c r="G5364" s="115">
        <f>IFERROR(__xludf.DUMMYFUNCTION("""COMPUTED_VALUE"""),1865.0)</f>
        <v>1865</v>
      </c>
      <c r="H5364" s="116">
        <f>IFERROR(__xludf.DUMMYFUNCTION("""COMPUTED_VALUE"""),45910.0)</f>
        <v>45910</v>
      </c>
      <c r="I5364" s="115" t="str">
        <f>IFERROR(__xludf.DUMMYFUNCTION("""COMPUTED_VALUE"""),"17")</f>
        <v>17</v>
      </c>
      <c r="J5364" s="115"/>
      <c r="K5364" s="115">
        <f>IFERROR(__xludf.DUMMYFUNCTION("""COMPUTED_VALUE"""),44301.0)</f>
        <v>44301</v>
      </c>
    </row>
    <row r="5365">
      <c r="A5365" s="115" t="str">
        <f>IFERROR(__xludf.DUMMYFUNCTION("""COMPUTED_VALUE"""),"NORTH")</f>
        <v>NORTH</v>
      </c>
      <c r="B5365" s="115" t="str">
        <f>IFERROR(__xludf.DUMMYFUNCTION("""COMPUTED_VALUE"""),"Amit Kumar Pathak")</f>
        <v>Amit Kumar Pathak</v>
      </c>
      <c r="C5365" s="115" t="str">
        <f>IFERROR(__xludf.DUMMYFUNCTION("""COMPUTED_VALUE"""),"EXTERNAL")</f>
        <v>EXTERNAL</v>
      </c>
      <c r="D5365" s="115">
        <f>IFERROR(__xludf.DUMMYFUNCTION("""COMPUTED_VALUE"""),23409.0)</f>
        <v>23409</v>
      </c>
      <c r="E5365" s="115">
        <f>IFERROR(__xludf.DUMMYFUNCTION("""COMPUTED_VALUE"""),4023.0)</f>
        <v>4023</v>
      </c>
      <c r="F5365" s="115">
        <f>IFERROR(__xludf.DUMMYFUNCTION("""COMPUTED_VALUE"""),6501.0)</f>
        <v>6501</v>
      </c>
      <c r="G5365" s="115">
        <f>IFERROR(__xludf.DUMMYFUNCTION("""COMPUTED_VALUE"""),1368.0)</f>
        <v>1368</v>
      </c>
      <c r="H5365" s="116">
        <f>IFERROR(__xludf.DUMMYFUNCTION("""COMPUTED_VALUE"""),45910.0)</f>
        <v>45910</v>
      </c>
      <c r="I5365" s="115" t="str">
        <f>IFERROR(__xludf.DUMMYFUNCTION("""COMPUTED_VALUE"""),"17")</f>
        <v>17</v>
      </c>
      <c r="J5365" s="115"/>
      <c r="K5365" s="115">
        <f>IFERROR(__xludf.DUMMYFUNCTION("""COMPUTED_VALUE"""),27432.0)</f>
        <v>27432</v>
      </c>
    </row>
    <row r="5366">
      <c r="A5366" s="115" t="str">
        <f>IFERROR(__xludf.DUMMYFUNCTION("""COMPUTED_VALUE"""),"NORTH")</f>
        <v>NORTH</v>
      </c>
      <c r="B5366" s="115" t="str">
        <f>IFERROR(__xludf.DUMMYFUNCTION("""COMPUTED_VALUE"""),"Amit Kumar Pathak")</f>
        <v>Amit Kumar Pathak</v>
      </c>
      <c r="C5366" s="115" t="str">
        <f>IFERROR(__xludf.DUMMYFUNCTION("""COMPUTED_VALUE"""),"FLIPKART")</f>
        <v>FLIPKART</v>
      </c>
      <c r="D5366" s="115">
        <f>IFERROR(__xludf.DUMMYFUNCTION("""COMPUTED_VALUE"""),189291.0)</f>
        <v>189291</v>
      </c>
      <c r="E5366" s="115">
        <f>IFERROR(__xludf.DUMMYFUNCTION("""COMPUTED_VALUE"""),22829.0)</f>
        <v>22829</v>
      </c>
      <c r="F5366" s="115">
        <f>IFERROR(__xludf.DUMMYFUNCTION("""COMPUTED_VALUE"""),113071.0)</f>
        <v>113071</v>
      </c>
      <c r="G5366" s="115">
        <f>IFERROR(__xludf.DUMMYFUNCTION("""COMPUTED_VALUE"""),10795.0)</f>
        <v>10795</v>
      </c>
      <c r="H5366" s="116">
        <f>IFERROR(__xludf.DUMMYFUNCTION("""COMPUTED_VALUE"""),45910.0)</f>
        <v>45910</v>
      </c>
      <c r="I5366" s="115" t="str">
        <f>IFERROR(__xludf.DUMMYFUNCTION("""COMPUTED_VALUE"""),"17")</f>
        <v>17</v>
      </c>
      <c r="J5366" s="115"/>
      <c r="K5366" s="115">
        <f>IFERROR(__xludf.DUMMYFUNCTION("""COMPUTED_VALUE"""),212120.0)</f>
        <v>212120</v>
      </c>
    </row>
    <row r="5367">
      <c r="A5367" s="115" t="str">
        <f>IFERROR(__xludf.DUMMYFUNCTION("""COMPUTED_VALUE"""),"NORTH")</f>
        <v>NORTH</v>
      </c>
      <c r="B5367" s="115" t="str">
        <f>IFERROR(__xludf.DUMMYFUNCTION("""COMPUTED_VALUE"""),"Amit Kumar Pathak")</f>
        <v>Amit Kumar Pathak</v>
      </c>
      <c r="C5367" s="115" t="str">
        <f>IFERROR(__xludf.DUMMYFUNCTION("""COMPUTED_VALUE"""),"MYNTRA")</f>
        <v>MYNTRA</v>
      </c>
      <c r="D5367" s="115">
        <f>IFERROR(__xludf.DUMMYFUNCTION("""COMPUTED_VALUE"""),15303.0)</f>
        <v>15303</v>
      </c>
      <c r="E5367" s="115">
        <f>IFERROR(__xludf.DUMMYFUNCTION("""COMPUTED_VALUE"""),5851.0)</f>
        <v>5851</v>
      </c>
      <c r="F5367" s="115">
        <f>IFERROR(__xludf.DUMMYFUNCTION("""COMPUTED_VALUE"""),10307.0)</f>
        <v>10307</v>
      </c>
      <c r="G5367" s="115">
        <f>IFERROR(__xludf.DUMMYFUNCTION("""COMPUTED_VALUE"""),3130.0)</f>
        <v>3130</v>
      </c>
      <c r="H5367" s="116">
        <f>IFERROR(__xludf.DUMMYFUNCTION("""COMPUTED_VALUE"""),45910.0)</f>
        <v>45910</v>
      </c>
      <c r="I5367" s="115" t="str">
        <f>IFERROR(__xludf.DUMMYFUNCTION("""COMPUTED_VALUE"""),"17")</f>
        <v>17</v>
      </c>
      <c r="J5367" s="115"/>
      <c r="K5367" s="115">
        <f>IFERROR(__xludf.DUMMYFUNCTION("""COMPUTED_VALUE"""),21154.0)</f>
        <v>21154</v>
      </c>
    </row>
    <row r="5368">
      <c r="A5368" s="115" t="str">
        <f>IFERROR(__xludf.DUMMYFUNCTION("""COMPUTED_VALUE"""),"NORTH")</f>
        <v>NORTH</v>
      </c>
      <c r="B5368" s="115" t="str">
        <f>IFERROR(__xludf.DUMMYFUNCTION("""COMPUTED_VALUE"""),"Loveleen Singh")</f>
        <v>Loveleen Singh</v>
      </c>
      <c r="C5368" s="115" t="str">
        <f>IFERROR(__xludf.DUMMYFUNCTION("""COMPUTED_VALUE"""),"EXTERNAL")</f>
        <v>EXTERNAL</v>
      </c>
      <c r="D5368" s="115">
        <f>IFERROR(__xludf.DUMMYFUNCTION("""COMPUTED_VALUE"""),30760.0)</f>
        <v>30760</v>
      </c>
      <c r="E5368" s="115">
        <f>IFERROR(__xludf.DUMMYFUNCTION("""COMPUTED_VALUE"""),2735.0)</f>
        <v>2735</v>
      </c>
      <c r="F5368" s="115">
        <f>IFERROR(__xludf.DUMMYFUNCTION("""COMPUTED_VALUE"""),11008.0)</f>
        <v>11008</v>
      </c>
      <c r="G5368" s="115">
        <f>IFERROR(__xludf.DUMMYFUNCTION("""COMPUTED_VALUE"""),667.0)</f>
        <v>667</v>
      </c>
      <c r="H5368" s="116">
        <f>IFERROR(__xludf.DUMMYFUNCTION("""COMPUTED_VALUE"""),45910.0)</f>
        <v>45910</v>
      </c>
      <c r="I5368" s="115" t="str">
        <f>IFERROR(__xludf.DUMMYFUNCTION("""COMPUTED_VALUE"""),"17")</f>
        <v>17</v>
      </c>
      <c r="J5368" s="115"/>
      <c r="K5368" s="115">
        <f>IFERROR(__xludf.DUMMYFUNCTION("""COMPUTED_VALUE"""),33495.0)</f>
        <v>33495</v>
      </c>
    </row>
    <row r="5369">
      <c r="A5369" s="115" t="str">
        <f>IFERROR(__xludf.DUMMYFUNCTION("""COMPUTED_VALUE"""),"NORTH")</f>
        <v>NORTH</v>
      </c>
      <c r="B5369" s="115" t="str">
        <f>IFERROR(__xludf.DUMMYFUNCTION("""COMPUTED_VALUE"""),"Loveleen Singh")</f>
        <v>Loveleen Singh</v>
      </c>
      <c r="C5369" s="115" t="str">
        <f>IFERROR(__xludf.DUMMYFUNCTION("""COMPUTED_VALUE"""),"FLIPKART")</f>
        <v>FLIPKART</v>
      </c>
      <c r="D5369" s="115">
        <f>IFERROR(__xludf.DUMMYFUNCTION("""COMPUTED_VALUE"""),176270.0)</f>
        <v>176270</v>
      </c>
      <c r="E5369" s="115">
        <f>IFERROR(__xludf.DUMMYFUNCTION("""COMPUTED_VALUE"""),15093.0)</f>
        <v>15093</v>
      </c>
      <c r="F5369" s="115">
        <f>IFERROR(__xludf.DUMMYFUNCTION("""COMPUTED_VALUE"""),120879.0)</f>
        <v>120879</v>
      </c>
      <c r="G5369" s="115">
        <f>IFERROR(__xludf.DUMMYFUNCTION("""COMPUTED_VALUE"""),6394.0)</f>
        <v>6394</v>
      </c>
      <c r="H5369" s="116">
        <f>IFERROR(__xludf.DUMMYFUNCTION("""COMPUTED_VALUE"""),45910.0)</f>
        <v>45910</v>
      </c>
      <c r="I5369" s="115" t="str">
        <f>IFERROR(__xludf.DUMMYFUNCTION("""COMPUTED_VALUE"""),"17")</f>
        <v>17</v>
      </c>
      <c r="J5369" s="115"/>
      <c r="K5369" s="115">
        <f>IFERROR(__xludf.DUMMYFUNCTION("""COMPUTED_VALUE"""),191363.0)</f>
        <v>191363</v>
      </c>
    </row>
    <row r="5370">
      <c r="A5370" s="115" t="str">
        <f>IFERROR(__xludf.DUMMYFUNCTION("""COMPUTED_VALUE"""),"NORTH")</f>
        <v>NORTH</v>
      </c>
      <c r="B5370" s="115" t="str">
        <f>IFERROR(__xludf.DUMMYFUNCTION("""COMPUTED_VALUE"""),"Loveleen Singh")</f>
        <v>Loveleen Singh</v>
      </c>
      <c r="C5370" s="115" t="str">
        <f>IFERROR(__xludf.DUMMYFUNCTION("""COMPUTED_VALUE"""),"MYNTRA")</f>
        <v>MYNTRA</v>
      </c>
      <c r="D5370" s="115">
        <f>IFERROR(__xludf.DUMMYFUNCTION("""COMPUTED_VALUE"""),29355.0)</f>
        <v>29355</v>
      </c>
      <c r="E5370" s="115">
        <f>IFERROR(__xludf.DUMMYFUNCTION("""COMPUTED_VALUE"""),7134.0)</f>
        <v>7134</v>
      </c>
      <c r="F5370" s="115">
        <f>IFERROR(__xludf.DUMMYFUNCTION("""COMPUTED_VALUE"""),21895.0)</f>
        <v>21895</v>
      </c>
      <c r="G5370" s="115">
        <f>IFERROR(__xludf.DUMMYFUNCTION("""COMPUTED_VALUE"""),3526.0)</f>
        <v>3526</v>
      </c>
      <c r="H5370" s="116">
        <f>IFERROR(__xludf.DUMMYFUNCTION("""COMPUTED_VALUE"""),45910.0)</f>
        <v>45910</v>
      </c>
      <c r="I5370" s="115" t="str">
        <f>IFERROR(__xludf.DUMMYFUNCTION("""COMPUTED_VALUE"""),"17")</f>
        <v>17</v>
      </c>
      <c r="J5370" s="115"/>
      <c r="K5370" s="115">
        <f>IFERROR(__xludf.DUMMYFUNCTION("""COMPUTED_VALUE"""),36489.0)</f>
        <v>36489</v>
      </c>
    </row>
    <row r="5371">
      <c r="A5371" s="115" t="str">
        <f>IFERROR(__xludf.DUMMYFUNCTION("""COMPUTED_VALUE"""),"NORTH")</f>
        <v>NORTH</v>
      </c>
      <c r="B5371" s="115" t="str">
        <f>IFERROR(__xludf.DUMMYFUNCTION("""COMPUTED_VALUE"""),"Manoj Harsh")</f>
        <v>Manoj Harsh</v>
      </c>
      <c r="C5371" s="115" t="str">
        <f>IFERROR(__xludf.DUMMYFUNCTION("""COMPUTED_VALUE"""),"EXTERNAL")</f>
        <v>EXTERNAL</v>
      </c>
      <c r="D5371" s="115">
        <f>IFERROR(__xludf.DUMMYFUNCTION("""COMPUTED_VALUE"""),31292.0)</f>
        <v>31292</v>
      </c>
      <c r="E5371" s="115">
        <f>IFERROR(__xludf.DUMMYFUNCTION("""COMPUTED_VALUE"""),3521.0)</f>
        <v>3521</v>
      </c>
      <c r="F5371" s="115">
        <f>IFERROR(__xludf.DUMMYFUNCTION("""COMPUTED_VALUE"""),12187.0)</f>
        <v>12187</v>
      </c>
      <c r="G5371" s="115">
        <f>IFERROR(__xludf.DUMMYFUNCTION("""COMPUTED_VALUE"""),813.0)</f>
        <v>813</v>
      </c>
      <c r="H5371" s="116">
        <f>IFERROR(__xludf.DUMMYFUNCTION("""COMPUTED_VALUE"""),45910.0)</f>
        <v>45910</v>
      </c>
      <c r="I5371" s="115" t="str">
        <f>IFERROR(__xludf.DUMMYFUNCTION("""COMPUTED_VALUE"""),"17")</f>
        <v>17</v>
      </c>
      <c r="J5371" s="115"/>
      <c r="K5371" s="115">
        <f>IFERROR(__xludf.DUMMYFUNCTION("""COMPUTED_VALUE"""),34813.0)</f>
        <v>34813</v>
      </c>
    </row>
    <row r="5372">
      <c r="A5372" s="115" t="str">
        <f>IFERROR(__xludf.DUMMYFUNCTION("""COMPUTED_VALUE"""),"NORTH")</f>
        <v>NORTH</v>
      </c>
      <c r="B5372" s="115" t="str">
        <f>IFERROR(__xludf.DUMMYFUNCTION("""COMPUTED_VALUE"""),"Manoj Harsh")</f>
        <v>Manoj Harsh</v>
      </c>
      <c r="C5372" s="115" t="str">
        <f>IFERROR(__xludf.DUMMYFUNCTION("""COMPUTED_VALUE"""),"FLIPKART")</f>
        <v>FLIPKART</v>
      </c>
      <c r="D5372" s="115">
        <f>IFERROR(__xludf.DUMMYFUNCTION("""COMPUTED_VALUE"""),377302.0)</f>
        <v>377302</v>
      </c>
      <c r="E5372" s="115">
        <f>IFERROR(__xludf.DUMMYFUNCTION("""COMPUTED_VALUE"""),39596.0)</f>
        <v>39596</v>
      </c>
      <c r="F5372" s="115">
        <f>IFERROR(__xludf.DUMMYFUNCTION("""COMPUTED_VALUE"""),251049.0)</f>
        <v>251049</v>
      </c>
      <c r="G5372" s="115">
        <f>IFERROR(__xludf.DUMMYFUNCTION("""COMPUTED_VALUE"""),17518.0)</f>
        <v>17518</v>
      </c>
      <c r="H5372" s="116">
        <f>IFERROR(__xludf.DUMMYFUNCTION("""COMPUTED_VALUE"""),45910.0)</f>
        <v>45910</v>
      </c>
      <c r="I5372" s="115" t="str">
        <f>IFERROR(__xludf.DUMMYFUNCTION("""COMPUTED_VALUE"""),"17")</f>
        <v>17</v>
      </c>
      <c r="J5372" s="115"/>
      <c r="K5372" s="115">
        <f>IFERROR(__xludf.DUMMYFUNCTION("""COMPUTED_VALUE"""),416898.0)</f>
        <v>416898</v>
      </c>
    </row>
    <row r="5373">
      <c r="A5373" s="115" t="str">
        <f>IFERROR(__xludf.DUMMYFUNCTION("""COMPUTED_VALUE"""),"NORTH")</f>
        <v>NORTH</v>
      </c>
      <c r="B5373" s="115" t="str">
        <f>IFERROR(__xludf.DUMMYFUNCTION("""COMPUTED_VALUE"""),"Manoj Harsh")</f>
        <v>Manoj Harsh</v>
      </c>
      <c r="C5373" s="115" t="str">
        <f>IFERROR(__xludf.DUMMYFUNCTION("""COMPUTED_VALUE"""),"MYNTRA")</f>
        <v>MYNTRA</v>
      </c>
      <c r="D5373" s="115">
        <f>IFERROR(__xludf.DUMMYFUNCTION("""COMPUTED_VALUE"""),32305.0)</f>
        <v>32305</v>
      </c>
      <c r="E5373" s="115">
        <f>IFERROR(__xludf.DUMMYFUNCTION("""COMPUTED_VALUE"""),8032.0)</f>
        <v>8032</v>
      </c>
      <c r="F5373" s="115">
        <f>IFERROR(__xludf.DUMMYFUNCTION("""COMPUTED_VALUE"""),23456.0)</f>
        <v>23456</v>
      </c>
      <c r="G5373" s="115">
        <f>IFERROR(__xludf.DUMMYFUNCTION("""COMPUTED_VALUE"""),4161.0)</f>
        <v>4161</v>
      </c>
      <c r="H5373" s="116">
        <f>IFERROR(__xludf.DUMMYFUNCTION("""COMPUTED_VALUE"""),45910.0)</f>
        <v>45910</v>
      </c>
      <c r="I5373" s="115" t="str">
        <f>IFERROR(__xludf.DUMMYFUNCTION("""COMPUTED_VALUE"""),"17")</f>
        <v>17</v>
      </c>
      <c r="J5373" s="115"/>
      <c r="K5373" s="115">
        <f>IFERROR(__xludf.DUMMYFUNCTION("""COMPUTED_VALUE"""),40337.0)</f>
        <v>40337</v>
      </c>
    </row>
    <row r="5374">
      <c r="A5374" s="115" t="str">
        <f>IFERROR(__xludf.DUMMYFUNCTION("""COMPUTED_VALUE"""),"NORTH")</f>
        <v>NORTH</v>
      </c>
      <c r="B5374" s="115" t="str">
        <f>IFERROR(__xludf.DUMMYFUNCTION("""COMPUTED_VALUE"""),"Pradeep Kothari")</f>
        <v>Pradeep Kothari</v>
      </c>
      <c r="C5374" s="115" t="str">
        <f>IFERROR(__xludf.DUMMYFUNCTION("""COMPUTED_VALUE"""),"EXTERNAL")</f>
        <v>EXTERNAL</v>
      </c>
      <c r="D5374" s="115">
        <f>IFERROR(__xludf.DUMMYFUNCTION("""COMPUTED_VALUE"""),18045.0)</f>
        <v>18045</v>
      </c>
      <c r="E5374" s="115">
        <f>IFERROR(__xludf.DUMMYFUNCTION("""COMPUTED_VALUE"""),2371.0)</f>
        <v>2371</v>
      </c>
      <c r="F5374" s="115">
        <f>IFERROR(__xludf.DUMMYFUNCTION("""COMPUTED_VALUE"""),6851.0)</f>
        <v>6851</v>
      </c>
      <c r="G5374" s="115">
        <f>IFERROR(__xludf.DUMMYFUNCTION("""COMPUTED_VALUE"""),702.0)</f>
        <v>702</v>
      </c>
      <c r="H5374" s="116">
        <f>IFERROR(__xludf.DUMMYFUNCTION("""COMPUTED_VALUE"""),45910.0)</f>
        <v>45910</v>
      </c>
      <c r="I5374" s="115" t="str">
        <f>IFERROR(__xludf.DUMMYFUNCTION("""COMPUTED_VALUE"""),"17")</f>
        <v>17</v>
      </c>
      <c r="J5374" s="115"/>
      <c r="K5374" s="115">
        <f>IFERROR(__xludf.DUMMYFUNCTION("""COMPUTED_VALUE"""),20416.0)</f>
        <v>20416</v>
      </c>
    </row>
    <row r="5375">
      <c r="A5375" s="115" t="str">
        <f>IFERROR(__xludf.DUMMYFUNCTION("""COMPUTED_VALUE"""),"NORTH")</f>
        <v>NORTH</v>
      </c>
      <c r="B5375" s="115" t="str">
        <f>IFERROR(__xludf.DUMMYFUNCTION("""COMPUTED_VALUE"""),"Pradeep Kothari")</f>
        <v>Pradeep Kothari</v>
      </c>
      <c r="C5375" s="115" t="str">
        <f>IFERROR(__xludf.DUMMYFUNCTION("""COMPUTED_VALUE"""),"FLIPKART")</f>
        <v>FLIPKART</v>
      </c>
      <c r="D5375" s="115">
        <f>IFERROR(__xludf.DUMMYFUNCTION("""COMPUTED_VALUE"""),146540.0)</f>
        <v>146540</v>
      </c>
      <c r="E5375" s="115">
        <f>IFERROR(__xludf.DUMMYFUNCTION("""COMPUTED_VALUE"""),16658.0)</f>
        <v>16658</v>
      </c>
      <c r="F5375" s="115">
        <f>IFERROR(__xludf.DUMMYFUNCTION("""COMPUTED_VALUE"""),104260.0)</f>
        <v>104260</v>
      </c>
      <c r="G5375" s="115">
        <f>IFERROR(__xludf.DUMMYFUNCTION("""COMPUTED_VALUE"""),8996.0)</f>
        <v>8996</v>
      </c>
      <c r="H5375" s="116">
        <f>IFERROR(__xludf.DUMMYFUNCTION("""COMPUTED_VALUE"""),45910.0)</f>
        <v>45910</v>
      </c>
      <c r="I5375" s="115" t="str">
        <f>IFERROR(__xludf.DUMMYFUNCTION("""COMPUTED_VALUE"""),"17")</f>
        <v>17</v>
      </c>
      <c r="J5375" s="115"/>
      <c r="K5375" s="115">
        <f>IFERROR(__xludf.DUMMYFUNCTION("""COMPUTED_VALUE"""),163198.0)</f>
        <v>163198</v>
      </c>
    </row>
    <row r="5376">
      <c r="A5376" s="115" t="str">
        <f>IFERROR(__xludf.DUMMYFUNCTION("""COMPUTED_VALUE"""),"NORTH")</f>
        <v>NORTH</v>
      </c>
      <c r="B5376" s="115" t="str">
        <f>IFERROR(__xludf.DUMMYFUNCTION("""COMPUTED_VALUE"""),"Pradeep Kothari")</f>
        <v>Pradeep Kothari</v>
      </c>
      <c r="C5376" s="115" t="str">
        <f>IFERROR(__xludf.DUMMYFUNCTION("""COMPUTED_VALUE"""),"MYNTRA")</f>
        <v>MYNTRA</v>
      </c>
      <c r="D5376" s="115">
        <f>IFERROR(__xludf.DUMMYFUNCTION("""COMPUTED_VALUE"""),23206.0)</f>
        <v>23206</v>
      </c>
      <c r="E5376" s="115">
        <f>IFERROR(__xludf.DUMMYFUNCTION("""COMPUTED_VALUE"""),7157.0)</f>
        <v>7157</v>
      </c>
      <c r="F5376" s="115">
        <f>IFERROR(__xludf.DUMMYFUNCTION("""COMPUTED_VALUE"""),18159.0)</f>
        <v>18159</v>
      </c>
      <c r="G5376" s="115">
        <f>IFERROR(__xludf.DUMMYFUNCTION("""COMPUTED_VALUE"""),4421.0)</f>
        <v>4421</v>
      </c>
      <c r="H5376" s="116">
        <f>IFERROR(__xludf.DUMMYFUNCTION("""COMPUTED_VALUE"""),45910.0)</f>
        <v>45910</v>
      </c>
      <c r="I5376" s="115" t="str">
        <f>IFERROR(__xludf.DUMMYFUNCTION("""COMPUTED_VALUE"""),"17")</f>
        <v>17</v>
      </c>
      <c r="J5376" s="115"/>
      <c r="K5376" s="115">
        <f>IFERROR(__xludf.DUMMYFUNCTION("""COMPUTED_VALUE"""),30363.0)</f>
        <v>30363</v>
      </c>
    </row>
    <row r="5377">
      <c r="A5377" s="115" t="str">
        <f>IFERROR(__xludf.DUMMYFUNCTION("""COMPUTED_VALUE"""),"SOUTH")</f>
        <v>SOUTH</v>
      </c>
      <c r="B5377" s="115" t="str">
        <f>IFERROR(__xludf.DUMMYFUNCTION("""COMPUTED_VALUE"""),"0")</f>
        <v>0</v>
      </c>
      <c r="C5377" s="115" t="str">
        <f>IFERROR(__xludf.DUMMYFUNCTION("""COMPUTED_VALUE"""),"EXTERNAL")</f>
        <v>EXTERNAL</v>
      </c>
      <c r="D5377" s="115">
        <f>IFERROR(__xludf.DUMMYFUNCTION("""COMPUTED_VALUE"""),2.0)</f>
        <v>2</v>
      </c>
      <c r="E5377" s="115">
        <f>IFERROR(__xludf.DUMMYFUNCTION("""COMPUTED_VALUE"""),0.0)</f>
        <v>0</v>
      </c>
      <c r="F5377" s="115">
        <f>IFERROR(__xludf.DUMMYFUNCTION("""COMPUTED_VALUE"""),0.0)</f>
        <v>0</v>
      </c>
      <c r="G5377" s="115">
        <f>IFERROR(__xludf.DUMMYFUNCTION("""COMPUTED_VALUE"""),0.0)</f>
        <v>0</v>
      </c>
      <c r="H5377" s="116">
        <f>IFERROR(__xludf.DUMMYFUNCTION("""COMPUTED_VALUE"""),45910.0)</f>
        <v>45910</v>
      </c>
      <c r="I5377" s="115" t="str">
        <f>IFERROR(__xludf.DUMMYFUNCTION("""COMPUTED_VALUE"""),"17")</f>
        <v>17</v>
      </c>
      <c r="J5377" s="115"/>
      <c r="K5377" s="115">
        <f>IFERROR(__xludf.DUMMYFUNCTION("""COMPUTED_VALUE"""),2.0)</f>
        <v>2</v>
      </c>
    </row>
    <row r="5378">
      <c r="A5378" s="115" t="str">
        <f>IFERROR(__xludf.DUMMYFUNCTION("""COMPUTED_VALUE"""),"SOUTH")</f>
        <v>SOUTH</v>
      </c>
      <c r="B5378" s="115" t="str">
        <f>IFERROR(__xludf.DUMMYFUNCTION("""COMPUTED_VALUE"""),"0")</f>
        <v>0</v>
      </c>
      <c r="C5378" s="115" t="str">
        <f>IFERROR(__xludf.DUMMYFUNCTION("""COMPUTED_VALUE"""),"FLIPKART")</f>
        <v>FLIPKART</v>
      </c>
      <c r="D5378" s="115">
        <f>IFERROR(__xludf.DUMMYFUNCTION("""COMPUTED_VALUE"""),78.0)</f>
        <v>78</v>
      </c>
      <c r="E5378" s="115">
        <f>IFERROR(__xludf.DUMMYFUNCTION("""COMPUTED_VALUE"""),12.0)</f>
        <v>12</v>
      </c>
      <c r="F5378" s="115">
        <f>IFERROR(__xludf.DUMMYFUNCTION("""COMPUTED_VALUE"""),26.0)</f>
        <v>26</v>
      </c>
      <c r="G5378" s="115">
        <f>IFERROR(__xludf.DUMMYFUNCTION("""COMPUTED_VALUE"""),0.0)</f>
        <v>0</v>
      </c>
      <c r="H5378" s="116">
        <f>IFERROR(__xludf.DUMMYFUNCTION("""COMPUTED_VALUE"""),45910.0)</f>
        <v>45910</v>
      </c>
      <c r="I5378" s="115" t="str">
        <f>IFERROR(__xludf.DUMMYFUNCTION("""COMPUTED_VALUE"""),"17")</f>
        <v>17</v>
      </c>
      <c r="J5378" s="115"/>
      <c r="K5378" s="115">
        <f>IFERROR(__xludf.DUMMYFUNCTION("""COMPUTED_VALUE"""),90.0)</f>
        <v>90</v>
      </c>
    </row>
    <row r="5379">
      <c r="A5379" s="115" t="str">
        <f>IFERROR(__xludf.DUMMYFUNCTION("""COMPUTED_VALUE"""),"SOUTH")</f>
        <v>SOUTH</v>
      </c>
      <c r="B5379" s="115" t="str">
        <f>IFERROR(__xludf.DUMMYFUNCTION("""COMPUTED_VALUE"""),"0")</f>
        <v>0</v>
      </c>
      <c r="C5379" s="115" t="str">
        <f>IFERROR(__xludf.DUMMYFUNCTION("""COMPUTED_VALUE"""),"MYNTRA")</f>
        <v>MYNTRA</v>
      </c>
      <c r="D5379" s="115">
        <f>IFERROR(__xludf.DUMMYFUNCTION("""COMPUTED_VALUE"""),14.0)</f>
        <v>14</v>
      </c>
      <c r="E5379" s="115">
        <f>IFERROR(__xludf.DUMMYFUNCTION("""COMPUTED_VALUE"""),9.0)</f>
        <v>9</v>
      </c>
      <c r="F5379" s="115">
        <f>IFERROR(__xludf.DUMMYFUNCTION("""COMPUTED_VALUE"""),2.0)</f>
        <v>2</v>
      </c>
      <c r="G5379" s="115">
        <f>IFERROR(__xludf.DUMMYFUNCTION("""COMPUTED_VALUE"""),1.0)</f>
        <v>1</v>
      </c>
      <c r="H5379" s="116">
        <f>IFERROR(__xludf.DUMMYFUNCTION("""COMPUTED_VALUE"""),45910.0)</f>
        <v>45910</v>
      </c>
      <c r="I5379" s="115" t="str">
        <f>IFERROR(__xludf.DUMMYFUNCTION("""COMPUTED_VALUE"""),"17")</f>
        <v>17</v>
      </c>
      <c r="J5379" s="115"/>
      <c r="K5379" s="115">
        <f>IFERROR(__xludf.DUMMYFUNCTION("""COMPUTED_VALUE"""),23.0)</f>
        <v>23</v>
      </c>
    </row>
    <row r="5380">
      <c r="A5380" s="115" t="str">
        <f>IFERROR(__xludf.DUMMYFUNCTION("""COMPUTED_VALUE"""),"SOUTH")</f>
        <v>SOUTH</v>
      </c>
      <c r="B5380" s="115" t="str">
        <f>IFERROR(__xludf.DUMMYFUNCTION("""COMPUTED_VALUE"""),"Kandula Sampath")</f>
        <v>Kandula Sampath</v>
      </c>
      <c r="C5380" s="115" t="str">
        <f>IFERROR(__xludf.DUMMYFUNCTION("""COMPUTED_VALUE"""),"EXTERNAL")</f>
        <v>EXTERNAL</v>
      </c>
      <c r="D5380" s="115">
        <f>IFERROR(__xludf.DUMMYFUNCTION("""COMPUTED_VALUE"""),30858.0)</f>
        <v>30858</v>
      </c>
      <c r="E5380" s="115">
        <f>IFERROR(__xludf.DUMMYFUNCTION("""COMPUTED_VALUE"""),4273.0)</f>
        <v>4273</v>
      </c>
      <c r="F5380" s="115">
        <f>IFERROR(__xludf.DUMMYFUNCTION("""COMPUTED_VALUE"""),11800.0)</f>
        <v>11800</v>
      </c>
      <c r="G5380" s="115">
        <f>IFERROR(__xludf.DUMMYFUNCTION("""COMPUTED_VALUE"""),1032.0)</f>
        <v>1032</v>
      </c>
      <c r="H5380" s="116">
        <f>IFERROR(__xludf.DUMMYFUNCTION("""COMPUTED_VALUE"""),45910.0)</f>
        <v>45910</v>
      </c>
      <c r="I5380" s="115" t="str">
        <f>IFERROR(__xludf.DUMMYFUNCTION("""COMPUTED_VALUE"""),"17")</f>
        <v>17</v>
      </c>
      <c r="J5380" s="115"/>
      <c r="K5380" s="115">
        <f>IFERROR(__xludf.DUMMYFUNCTION("""COMPUTED_VALUE"""),35131.0)</f>
        <v>35131</v>
      </c>
    </row>
    <row r="5381">
      <c r="A5381" s="115" t="str">
        <f>IFERROR(__xludf.DUMMYFUNCTION("""COMPUTED_VALUE"""),"SOUTH")</f>
        <v>SOUTH</v>
      </c>
      <c r="B5381" s="115" t="str">
        <f>IFERROR(__xludf.DUMMYFUNCTION("""COMPUTED_VALUE"""),"Kandula Sampath")</f>
        <v>Kandula Sampath</v>
      </c>
      <c r="C5381" s="115" t="str">
        <f>IFERROR(__xludf.DUMMYFUNCTION("""COMPUTED_VALUE"""),"FLIPKART")</f>
        <v>FLIPKART</v>
      </c>
      <c r="D5381" s="115">
        <f>IFERROR(__xludf.DUMMYFUNCTION("""COMPUTED_VALUE"""),318705.0)</f>
        <v>318705</v>
      </c>
      <c r="E5381" s="115">
        <f>IFERROR(__xludf.DUMMYFUNCTION("""COMPUTED_VALUE"""),31548.0)</f>
        <v>31548</v>
      </c>
      <c r="F5381" s="115">
        <f>IFERROR(__xludf.DUMMYFUNCTION("""COMPUTED_VALUE"""),206013.0)</f>
        <v>206013</v>
      </c>
      <c r="G5381" s="115">
        <f>IFERROR(__xludf.DUMMYFUNCTION("""COMPUTED_VALUE"""),11745.0)</f>
        <v>11745</v>
      </c>
      <c r="H5381" s="116">
        <f>IFERROR(__xludf.DUMMYFUNCTION("""COMPUTED_VALUE"""),45910.0)</f>
        <v>45910</v>
      </c>
      <c r="I5381" s="115" t="str">
        <f>IFERROR(__xludf.DUMMYFUNCTION("""COMPUTED_VALUE"""),"17")</f>
        <v>17</v>
      </c>
      <c r="J5381" s="115"/>
      <c r="K5381" s="115">
        <f>IFERROR(__xludf.DUMMYFUNCTION("""COMPUTED_VALUE"""),350253.0)</f>
        <v>350253</v>
      </c>
    </row>
    <row r="5382">
      <c r="A5382" s="115" t="str">
        <f>IFERROR(__xludf.DUMMYFUNCTION("""COMPUTED_VALUE"""),"SOUTH")</f>
        <v>SOUTH</v>
      </c>
      <c r="B5382" s="115" t="str">
        <f>IFERROR(__xludf.DUMMYFUNCTION("""COMPUTED_VALUE"""),"Kandula Sampath")</f>
        <v>Kandula Sampath</v>
      </c>
      <c r="C5382" s="115" t="str">
        <f>IFERROR(__xludf.DUMMYFUNCTION("""COMPUTED_VALUE"""),"MYNTRA")</f>
        <v>MYNTRA</v>
      </c>
      <c r="D5382" s="115">
        <f>IFERROR(__xludf.DUMMYFUNCTION("""COMPUTED_VALUE"""),35170.0)</f>
        <v>35170</v>
      </c>
      <c r="E5382" s="115">
        <f>IFERROR(__xludf.DUMMYFUNCTION("""COMPUTED_VALUE"""),9629.0)</f>
        <v>9629</v>
      </c>
      <c r="F5382" s="115">
        <f>IFERROR(__xludf.DUMMYFUNCTION("""COMPUTED_VALUE"""),25098.0)</f>
        <v>25098</v>
      </c>
      <c r="G5382" s="115">
        <f>IFERROR(__xludf.DUMMYFUNCTION("""COMPUTED_VALUE"""),3725.0)</f>
        <v>3725</v>
      </c>
      <c r="H5382" s="116">
        <f>IFERROR(__xludf.DUMMYFUNCTION("""COMPUTED_VALUE"""),45910.0)</f>
        <v>45910</v>
      </c>
      <c r="I5382" s="115" t="str">
        <f>IFERROR(__xludf.DUMMYFUNCTION("""COMPUTED_VALUE"""),"17")</f>
        <v>17</v>
      </c>
      <c r="J5382" s="115"/>
      <c r="K5382" s="115">
        <f>IFERROR(__xludf.DUMMYFUNCTION("""COMPUTED_VALUE"""),44799.0)</f>
        <v>44799</v>
      </c>
    </row>
    <row r="5383">
      <c r="A5383" s="115" t="str">
        <f>IFERROR(__xludf.DUMMYFUNCTION("""COMPUTED_VALUE"""),"SOUTH")</f>
        <v>SOUTH</v>
      </c>
      <c r="B5383" s="115" t="str">
        <f>IFERROR(__xludf.DUMMYFUNCTION("""COMPUTED_VALUE"""),"Martin A")</f>
        <v>Martin A</v>
      </c>
      <c r="C5383" s="115" t="str">
        <f>IFERROR(__xludf.DUMMYFUNCTION("""COMPUTED_VALUE"""),"EXTERNAL")</f>
        <v>EXTERNAL</v>
      </c>
      <c r="D5383" s="115">
        <f>IFERROR(__xludf.DUMMYFUNCTION("""COMPUTED_VALUE"""),31442.0)</f>
        <v>31442</v>
      </c>
      <c r="E5383" s="115">
        <f>IFERROR(__xludf.DUMMYFUNCTION("""COMPUTED_VALUE"""),4203.0)</f>
        <v>4203</v>
      </c>
      <c r="F5383" s="115">
        <f>IFERROR(__xludf.DUMMYFUNCTION("""COMPUTED_VALUE"""),11880.0)</f>
        <v>11880</v>
      </c>
      <c r="G5383" s="115">
        <f>IFERROR(__xludf.DUMMYFUNCTION("""COMPUTED_VALUE"""),1398.0)</f>
        <v>1398</v>
      </c>
      <c r="H5383" s="116">
        <f>IFERROR(__xludf.DUMMYFUNCTION("""COMPUTED_VALUE"""),45910.0)</f>
        <v>45910</v>
      </c>
      <c r="I5383" s="115" t="str">
        <f>IFERROR(__xludf.DUMMYFUNCTION("""COMPUTED_VALUE"""),"17")</f>
        <v>17</v>
      </c>
      <c r="J5383" s="115"/>
      <c r="K5383" s="115">
        <f>IFERROR(__xludf.DUMMYFUNCTION("""COMPUTED_VALUE"""),35645.0)</f>
        <v>35645</v>
      </c>
    </row>
    <row r="5384">
      <c r="A5384" s="115" t="str">
        <f>IFERROR(__xludf.DUMMYFUNCTION("""COMPUTED_VALUE"""),"SOUTH")</f>
        <v>SOUTH</v>
      </c>
      <c r="B5384" s="115" t="str">
        <f>IFERROR(__xludf.DUMMYFUNCTION("""COMPUTED_VALUE"""),"Martin A")</f>
        <v>Martin A</v>
      </c>
      <c r="C5384" s="115" t="str">
        <f>IFERROR(__xludf.DUMMYFUNCTION("""COMPUTED_VALUE"""),"FLIPKART")</f>
        <v>FLIPKART</v>
      </c>
      <c r="D5384" s="115">
        <f>IFERROR(__xludf.DUMMYFUNCTION("""COMPUTED_VALUE"""),293345.0)</f>
        <v>293345</v>
      </c>
      <c r="E5384" s="115">
        <f>IFERROR(__xludf.DUMMYFUNCTION("""COMPUTED_VALUE"""),27390.0)</f>
        <v>27390</v>
      </c>
      <c r="F5384" s="115">
        <f>IFERROR(__xludf.DUMMYFUNCTION("""COMPUTED_VALUE"""),187596.0)</f>
        <v>187596</v>
      </c>
      <c r="G5384" s="115">
        <f>IFERROR(__xludf.DUMMYFUNCTION("""COMPUTED_VALUE"""),11510.0)</f>
        <v>11510</v>
      </c>
      <c r="H5384" s="116">
        <f>IFERROR(__xludf.DUMMYFUNCTION("""COMPUTED_VALUE"""),45910.0)</f>
        <v>45910</v>
      </c>
      <c r="I5384" s="115" t="str">
        <f>IFERROR(__xludf.DUMMYFUNCTION("""COMPUTED_VALUE"""),"17")</f>
        <v>17</v>
      </c>
      <c r="J5384" s="115"/>
      <c r="K5384" s="115">
        <f>IFERROR(__xludf.DUMMYFUNCTION("""COMPUTED_VALUE"""),320735.0)</f>
        <v>320735</v>
      </c>
    </row>
    <row r="5385">
      <c r="A5385" s="115" t="str">
        <f>IFERROR(__xludf.DUMMYFUNCTION("""COMPUTED_VALUE"""),"SOUTH")</f>
        <v>SOUTH</v>
      </c>
      <c r="B5385" s="115" t="str">
        <f>IFERROR(__xludf.DUMMYFUNCTION("""COMPUTED_VALUE"""),"Martin A")</f>
        <v>Martin A</v>
      </c>
      <c r="C5385" s="115" t="str">
        <f>IFERROR(__xludf.DUMMYFUNCTION("""COMPUTED_VALUE"""),"MYNTRA")</f>
        <v>MYNTRA</v>
      </c>
      <c r="D5385" s="115">
        <f>IFERROR(__xludf.DUMMYFUNCTION("""COMPUTED_VALUE"""),28666.0)</f>
        <v>28666</v>
      </c>
      <c r="E5385" s="115">
        <f>IFERROR(__xludf.DUMMYFUNCTION("""COMPUTED_VALUE"""),7124.0)</f>
        <v>7124</v>
      </c>
      <c r="F5385" s="115">
        <f>IFERROR(__xludf.DUMMYFUNCTION("""COMPUTED_VALUE"""),21059.0)</f>
        <v>21059</v>
      </c>
      <c r="G5385" s="115">
        <f>IFERROR(__xludf.DUMMYFUNCTION("""COMPUTED_VALUE"""),3369.0)</f>
        <v>3369</v>
      </c>
      <c r="H5385" s="116">
        <f>IFERROR(__xludf.DUMMYFUNCTION("""COMPUTED_VALUE"""),45910.0)</f>
        <v>45910</v>
      </c>
      <c r="I5385" s="115" t="str">
        <f>IFERROR(__xludf.DUMMYFUNCTION("""COMPUTED_VALUE"""),"17")</f>
        <v>17</v>
      </c>
      <c r="J5385" s="115"/>
      <c r="K5385" s="115">
        <f>IFERROR(__xludf.DUMMYFUNCTION("""COMPUTED_VALUE"""),35790.0)</f>
        <v>35790</v>
      </c>
    </row>
    <row r="5386">
      <c r="A5386" s="115" t="str">
        <f>IFERROR(__xludf.DUMMYFUNCTION("""COMPUTED_VALUE"""),"SOUTH")</f>
        <v>SOUTH</v>
      </c>
      <c r="B5386" s="115" t="str">
        <f>IFERROR(__xludf.DUMMYFUNCTION("""COMPUTED_VALUE"""),"Premkumar M")</f>
        <v>Premkumar M</v>
      </c>
      <c r="C5386" s="115" t="str">
        <f>IFERROR(__xludf.DUMMYFUNCTION("""COMPUTED_VALUE"""),"EXTERNAL")</f>
        <v>EXTERNAL</v>
      </c>
      <c r="D5386" s="115">
        <f>IFERROR(__xludf.DUMMYFUNCTION("""COMPUTED_VALUE"""),25685.0)</f>
        <v>25685</v>
      </c>
      <c r="E5386" s="115">
        <f>IFERROR(__xludf.DUMMYFUNCTION("""COMPUTED_VALUE"""),2121.0)</f>
        <v>2121</v>
      </c>
      <c r="F5386" s="115">
        <f>IFERROR(__xludf.DUMMYFUNCTION("""COMPUTED_VALUE"""),9940.0)</f>
        <v>9940</v>
      </c>
      <c r="G5386" s="115">
        <f>IFERROR(__xludf.DUMMYFUNCTION("""COMPUTED_VALUE"""),329.0)</f>
        <v>329</v>
      </c>
      <c r="H5386" s="116">
        <f>IFERROR(__xludf.DUMMYFUNCTION("""COMPUTED_VALUE"""),45910.0)</f>
        <v>45910</v>
      </c>
      <c r="I5386" s="115" t="str">
        <f>IFERROR(__xludf.DUMMYFUNCTION("""COMPUTED_VALUE"""),"17")</f>
        <v>17</v>
      </c>
      <c r="J5386" s="115"/>
      <c r="K5386" s="115">
        <f>IFERROR(__xludf.DUMMYFUNCTION("""COMPUTED_VALUE"""),27806.0)</f>
        <v>27806</v>
      </c>
    </row>
    <row r="5387">
      <c r="A5387" s="115" t="str">
        <f>IFERROR(__xludf.DUMMYFUNCTION("""COMPUTED_VALUE"""),"SOUTH")</f>
        <v>SOUTH</v>
      </c>
      <c r="B5387" s="115" t="str">
        <f>IFERROR(__xludf.DUMMYFUNCTION("""COMPUTED_VALUE"""),"Premkumar M")</f>
        <v>Premkumar M</v>
      </c>
      <c r="C5387" s="115" t="str">
        <f>IFERROR(__xludf.DUMMYFUNCTION("""COMPUTED_VALUE"""),"FLIPKART")</f>
        <v>FLIPKART</v>
      </c>
      <c r="D5387" s="115">
        <f>IFERROR(__xludf.DUMMYFUNCTION("""COMPUTED_VALUE"""),274775.0)</f>
        <v>274775</v>
      </c>
      <c r="E5387" s="115">
        <f>IFERROR(__xludf.DUMMYFUNCTION("""COMPUTED_VALUE"""),18660.0)</f>
        <v>18660</v>
      </c>
      <c r="F5387" s="115">
        <f>IFERROR(__xludf.DUMMYFUNCTION("""COMPUTED_VALUE"""),166190.0)</f>
        <v>166190</v>
      </c>
      <c r="G5387" s="115">
        <f>IFERROR(__xludf.DUMMYFUNCTION("""COMPUTED_VALUE"""),3956.0)</f>
        <v>3956</v>
      </c>
      <c r="H5387" s="116">
        <f>IFERROR(__xludf.DUMMYFUNCTION("""COMPUTED_VALUE"""),45910.0)</f>
        <v>45910</v>
      </c>
      <c r="I5387" s="115" t="str">
        <f>IFERROR(__xludf.DUMMYFUNCTION("""COMPUTED_VALUE"""),"17")</f>
        <v>17</v>
      </c>
      <c r="J5387" s="115"/>
      <c r="K5387" s="115">
        <f>IFERROR(__xludf.DUMMYFUNCTION("""COMPUTED_VALUE"""),293435.0)</f>
        <v>293435</v>
      </c>
    </row>
    <row r="5388">
      <c r="A5388" s="115" t="str">
        <f>IFERROR(__xludf.DUMMYFUNCTION("""COMPUTED_VALUE"""),"SOUTH")</f>
        <v>SOUTH</v>
      </c>
      <c r="B5388" s="115" t="str">
        <f>IFERROR(__xludf.DUMMYFUNCTION("""COMPUTED_VALUE"""),"Premkumar M")</f>
        <v>Premkumar M</v>
      </c>
      <c r="C5388" s="115" t="str">
        <f>IFERROR(__xludf.DUMMYFUNCTION("""COMPUTED_VALUE"""),"MYNTRA")</f>
        <v>MYNTRA</v>
      </c>
      <c r="D5388" s="115">
        <f>IFERROR(__xludf.DUMMYFUNCTION("""COMPUTED_VALUE"""),14005.0)</f>
        <v>14005</v>
      </c>
      <c r="E5388" s="115">
        <f>IFERROR(__xludf.DUMMYFUNCTION("""COMPUTED_VALUE"""),3039.0)</f>
        <v>3039</v>
      </c>
      <c r="F5388" s="115">
        <f>IFERROR(__xludf.DUMMYFUNCTION("""COMPUTED_VALUE"""),9557.0)</f>
        <v>9557</v>
      </c>
      <c r="G5388" s="115">
        <f>IFERROR(__xludf.DUMMYFUNCTION("""COMPUTED_VALUE"""),763.0)</f>
        <v>763</v>
      </c>
      <c r="H5388" s="116">
        <f>IFERROR(__xludf.DUMMYFUNCTION("""COMPUTED_VALUE"""),45910.0)</f>
        <v>45910</v>
      </c>
      <c r="I5388" s="115" t="str">
        <f>IFERROR(__xludf.DUMMYFUNCTION("""COMPUTED_VALUE"""),"17")</f>
        <v>17</v>
      </c>
      <c r="J5388" s="115"/>
      <c r="K5388" s="115">
        <f>IFERROR(__xludf.DUMMYFUNCTION("""COMPUTED_VALUE"""),17044.0)</f>
        <v>17044</v>
      </c>
    </row>
    <row r="5389">
      <c r="A5389" s="115" t="str">
        <f>IFERROR(__xludf.DUMMYFUNCTION("""COMPUTED_VALUE"""),"SOUTH")</f>
        <v>SOUTH</v>
      </c>
      <c r="B5389" s="115" t="str">
        <f>IFERROR(__xludf.DUMMYFUNCTION("""COMPUTED_VALUE"""),"Vineeth V")</f>
        <v>Vineeth V</v>
      </c>
      <c r="C5389" s="115" t="str">
        <f>IFERROR(__xludf.DUMMYFUNCTION("""COMPUTED_VALUE"""),"EXTERNAL")</f>
        <v>EXTERNAL</v>
      </c>
      <c r="D5389" s="115">
        <f>IFERROR(__xludf.DUMMYFUNCTION("""COMPUTED_VALUE"""),17821.0)</f>
        <v>17821</v>
      </c>
      <c r="E5389" s="115">
        <f>IFERROR(__xludf.DUMMYFUNCTION("""COMPUTED_VALUE"""),679.0)</f>
        <v>679</v>
      </c>
      <c r="F5389" s="115">
        <f>IFERROR(__xludf.DUMMYFUNCTION("""COMPUTED_VALUE"""),7755.0)</f>
        <v>7755</v>
      </c>
      <c r="G5389" s="115">
        <f>IFERROR(__xludf.DUMMYFUNCTION("""COMPUTED_VALUE"""),207.0)</f>
        <v>207</v>
      </c>
      <c r="H5389" s="116">
        <f>IFERROR(__xludf.DUMMYFUNCTION("""COMPUTED_VALUE"""),45910.0)</f>
        <v>45910</v>
      </c>
      <c r="I5389" s="115" t="str">
        <f>IFERROR(__xludf.DUMMYFUNCTION("""COMPUTED_VALUE"""),"17")</f>
        <v>17</v>
      </c>
      <c r="J5389" s="115"/>
      <c r="K5389" s="115">
        <f>IFERROR(__xludf.DUMMYFUNCTION("""COMPUTED_VALUE"""),18500.0)</f>
        <v>18500</v>
      </c>
    </row>
    <row r="5390">
      <c r="A5390" s="115" t="str">
        <f>IFERROR(__xludf.DUMMYFUNCTION("""COMPUTED_VALUE"""),"SOUTH")</f>
        <v>SOUTH</v>
      </c>
      <c r="B5390" s="115" t="str">
        <f>IFERROR(__xludf.DUMMYFUNCTION("""COMPUTED_VALUE"""),"Vineeth V")</f>
        <v>Vineeth V</v>
      </c>
      <c r="C5390" s="115" t="str">
        <f>IFERROR(__xludf.DUMMYFUNCTION("""COMPUTED_VALUE"""),"FLIPKART")</f>
        <v>FLIPKART</v>
      </c>
      <c r="D5390" s="115">
        <f>IFERROR(__xludf.DUMMYFUNCTION("""COMPUTED_VALUE"""),189508.0)</f>
        <v>189508</v>
      </c>
      <c r="E5390" s="115">
        <f>IFERROR(__xludf.DUMMYFUNCTION("""COMPUTED_VALUE"""),16017.0)</f>
        <v>16017</v>
      </c>
      <c r="F5390" s="115">
        <f>IFERROR(__xludf.DUMMYFUNCTION("""COMPUTED_VALUE"""),135455.0)</f>
        <v>135455</v>
      </c>
      <c r="G5390" s="115">
        <f>IFERROR(__xludf.DUMMYFUNCTION("""COMPUTED_VALUE"""),5416.0)</f>
        <v>5416</v>
      </c>
      <c r="H5390" s="116">
        <f>IFERROR(__xludf.DUMMYFUNCTION("""COMPUTED_VALUE"""),45910.0)</f>
        <v>45910</v>
      </c>
      <c r="I5390" s="115" t="str">
        <f>IFERROR(__xludf.DUMMYFUNCTION("""COMPUTED_VALUE"""),"17")</f>
        <v>17</v>
      </c>
      <c r="J5390" s="115"/>
      <c r="K5390" s="115">
        <f>IFERROR(__xludf.DUMMYFUNCTION("""COMPUTED_VALUE"""),205525.0)</f>
        <v>205525</v>
      </c>
    </row>
    <row r="5391">
      <c r="A5391" s="115" t="str">
        <f>IFERROR(__xludf.DUMMYFUNCTION("""COMPUTED_VALUE"""),"SOUTH")</f>
        <v>SOUTH</v>
      </c>
      <c r="B5391" s="115" t="str">
        <f>IFERROR(__xludf.DUMMYFUNCTION("""COMPUTED_VALUE"""),"Vineeth V")</f>
        <v>Vineeth V</v>
      </c>
      <c r="C5391" s="115" t="str">
        <f>IFERROR(__xludf.DUMMYFUNCTION("""COMPUTED_VALUE"""),"MYNTRA")</f>
        <v>MYNTRA</v>
      </c>
      <c r="D5391" s="115">
        <f>IFERROR(__xludf.DUMMYFUNCTION("""COMPUTED_VALUE"""),15192.0)</f>
        <v>15192</v>
      </c>
      <c r="E5391" s="115">
        <f>IFERROR(__xludf.DUMMYFUNCTION("""COMPUTED_VALUE"""),3950.0)</f>
        <v>3950</v>
      </c>
      <c r="F5391" s="115">
        <f>IFERROR(__xludf.DUMMYFUNCTION("""COMPUTED_VALUE"""),11570.0)</f>
        <v>11570</v>
      </c>
      <c r="G5391" s="115">
        <f>IFERROR(__xludf.DUMMYFUNCTION("""COMPUTED_VALUE"""),1417.0)</f>
        <v>1417</v>
      </c>
      <c r="H5391" s="116">
        <f>IFERROR(__xludf.DUMMYFUNCTION("""COMPUTED_VALUE"""),45910.0)</f>
        <v>45910</v>
      </c>
      <c r="I5391" s="115" t="str">
        <f>IFERROR(__xludf.DUMMYFUNCTION("""COMPUTED_VALUE"""),"17")</f>
        <v>17</v>
      </c>
      <c r="J5391" s="115"/>
      <c r="K5391" s="115">
        <f>IFERROR(__xludf.DUMMYFUNCTION("""COMPUTED_VALUE"""),19142.0)</f>
        <v>19142</v>
      </c>
    </row>
    <row r="5392">
      <c r="A5392" s="115" t="str">
        <f>IFERROR(__xludf.DUMMYFUNCTION("""COMPUTED_VALUE"""),"WEST")</f>
        <v>WEST</v>
      </c>
      <c r="B5392" s="115" t="str">
        <f>IFERROR(__xludf.DUMMYFUNCTION("""COMPUTED_VALUE"""),"Ashish Jakar")</f>
        <v>Ashish Jakar</v>
      </c>
      <c r="C5392" s="115" t="str">
        <f>IFERROR(__xludf.DUMMYFUNCTION("""COMPUTED_VALUE"""),"EXTERNAL")</f>
        <v>EXTERNAL</v>
      </c>
      <c r="D5392" s="115">
        <f>IFERROR(__xludf.DUMMYFUNCTION("""COMPUTED_VALUE"""),63539.0)</f>
        <v>63539</v>
      </c>
      <c r="E5392" s="115">
        <f>IFERROR(__xludf.DUMMYFUNCTION("""COMPUTED_VALUE"""),6008.0)</f>
        <v>6008</v>
      </c>
      <c r="F5392" s="115">
        <f>IFERROR(__xludf.DUMMYFUNCTION("""COMPUTED_VALUE"""),24015.0)</f>
        <v>24015</v>
      </c>
      <c r="G5392" s="115">
        <f>IFERROR(__xludf.DUMMYFUNCTION("""COMPUTED_VALUE"""),1965.0)</f>
        <v>1965</v>
      </c>
      <c r="H5392" s="116">
        <f>IFERROR(__xludf.DUMMYFUNCTION("""COMPUTED_VALUE"""),45910.0)</f>
        <v>45910</v>
      </c>
      <c r="I5392" s="115" t="str">
        <f>IFERROR(__xludf.DUMMYFUNCTION("""COMPUTED_VALUE"""),"17")</f>
        <v>17</v>
      </c>
      <c r="J5392" s="115"/>
      <c r="K5392" s="115">
        <f>IFERROR(__xludf.DUMMYFUNCTION("""COMPUTED_VALUE"""),69547.0)</f>
        <v>69547</v>
      </c>
    </row>
    <row r="5393">
      <c r="A5393" s="115" t="str">
        <f>IFERROR(__xludf.DUMMYFUNCTION("""COMPUTED_VALUE"""),"WEST")</f>
        <v>WEST</v>
      </c>
      <c r="B5393" s="115" t="str">
        <f>IFERROR(__xludf.DUMMYFUNCTION("""COMPUTED_VALUE"""),"Ashish Jakar")</f>
        <v>Ashish Jakar</v>
      </c>
      <c r="C5393" s="115" t="str">
        <f>IFERROR(__xludf.DUMMYFUNCTION("""COMPUTED_VALUE"""),"FLIPKART")</f>
        <v>FLIPKART</v>
      </c>
      <c r="D5393" s="115">
        <f>IFERROR(__xludf.DUMMYFUNCTION("""COMPUTED_VALUE"""),399277.0)</f>
        <v>399277</v>
      </c>
      <c r="E5393" s="115">
        <f>IFERROR(__xludf.DUMMYFUNCTION("""COMPUTED_VALUE"""),33374.0)</f>
        <v>33374</v>
      </c>
      <c r="F5393" s="115">
        <f>IFERROR(__xludf.DUMMYFUNCTION("""COMPUTED_VALUE"""),242335.0)</f>
        <v>242335</v>
      </c>
      <c r="G5393" s="115">
        <f>IFERROR(__xludf.DUMMYFUNCTION("""COMPUTED_VALUE"""),13304.0)</f>
        <v>13304</v>
      </c>
      <c r="H5393" s="116">
        <f>IFERROR(__xludf.DUMMYFUNCTION("""COMPUTED_VALUE"""),45910.0)</f>
        <v>45910</v>
      </c>
      <c r="I5393" s="115" t="str">
        <f>IFERROR(__xludf.DUMMYFUNCTION("""COMPUTED_VALUE"""),"17")</f>
        <v>17</v>
      </c>
      <c r="J5393" s="115"/>
      <c r="K5393" s="115">
        <f>IFERROR(__xludf.DUMMYFUNCTION("""COMPUTED_VALUE"""),432651.0)</f>
        <v>432651</v>
      </c>
    </row>
    <row r="5394">
      <c r="A5394" s="115" t="str">
        <f>IFERROR(__xludf.DUMMYFUNCTION("""COMPUTED_VALUE"""),"WEST")</f>
        <v>WEST</v>
      </c>
      <c r="B5394" s="115" t="str">
        <f>IFERROR(__xludf.DUMMYFUNCTION("""COMPUTED_VALUE"""),"Ashish Jakar")</f>
        <v>Ashish Jakar</v>
      </c>
      <c r="C5394" s="115" t="str">
        <f>IFERROR(__xludf.DUMMYFUNCTION("""COMPUTED_VALUE"""),"MYNTRA")</f>
        <v>MYNTRA</v>
      </c>
      <c r="D5394" s="115">
        <f>IFERROR(__xludf.DUMMYFUNCTION("""COMPUTED_VALUE"""),45804.0)</f>
        <v>45804</v>
      </c>
      <c r="E5394" s="115">
        <f>IFERROR(__xludf.DUMMYFUNCTION("""COMPUTED_VALUE"""),11404.0)</f>
        <v>11404</v>
      </c>
      <c r="F5394" s="115">
        <f>IFERROR(__xludf.DUMMYFUNCTION("""COMPUTED_VALUE"""),31771.0)</f>
        <v>31771</v>
      </c>
      <c r="G5394" s="115">
        <f>IFERROR(__xludf.DUMMYFUNCTION("""COMPUTED_VALUE"""),5059.0)</f>
        <v>5059</v>
      </c>
      <c r="H5394" s="116">
        <f>IFERROR(__xludf.DUMMYFUNCTION("""COMPUTED_VALUE"""),45910.0)</f>
        <v>45910</v>
      </c>
      <c r="I5394" s="115" t="str">
        <f>IFERROR(__xludf.DUMMYFUNCTION("""COMPUTED_VALUE"""),"17")</f>
        <v>17</v>
      </c>
      <c r="J5394" s="115"/>
      <c r="K5394" s="115">
        <f>IFERROR(__xludf.DUMMYFUNCTION("""COMPUTED_VALUE"""),57208.0)</f>
        <v>57208</v>
      </c>
    </row>
    <row r="5395">
      <c r="A5395" s="115" t="str">
        <f>IFERROR(__xludf.DUMMYFUNCTION("""COMPUTED_VALUE"""),"WEST")</f>
        <v>WEST</v>
      </c>
      <c r="B5395" s="115" t="str">
        <f>IFERROR(__xludf.DUMMYFUNCTION("""COMPUTED_VALUE"""),"Ashvani Bhatt")</f>
        <v>Ashvani Bhatt</v>
      </c>
      <c r="C5395" s="115" t="str">
        <f>IFERROR(__xludf.DUMMYFUNCTION("""COMPUTED_VALUE"""),"EXTERNAL")</f>
        <v>EXTERNAL</v>
      </c>
      <c r="D5395" s="115">
        <f>IFERROR(__xludf.DUMMYFUNCTION("""COMPUTED_VALUE"""),39703.0)</f>
        <v>39703</v>
      </c>
      <c r="E5395" s="115">
        <f>IFERROR(__xludf.DUMMYFUNCTION("""COMPUTED_VALUE"""),3168.0)</f>
        <v>3168</v>
      </c>
      <c r="F5395" s="115">
        <f>IFERROR(__xludf.DUMMYFUNCTION("""COMPUTED_VALUE"""),15238.0)</f>
        <v>15238</v>
      </c>
      <c r="G5395" s="115">
        <f>IFERROR(__xludf.DUMMYFUNCTION("""COMPUTED_VALUE"""),1001.0)</f>
        <v>1001</v>
      </c>
      <c r="H5395" s="116">
        <f>IFERROR(__xludf.DUMMYFUNCTION("""COMPUTED_VALUE"""),45910.0)</f>
        <v>45910</v>
      </c>
      <c r="I5395" s="115" t="str">
        <f>IFERROR(__xludf.DUMMYFUNCTION("""COMPUTED_VALUE"""),"17")</f>
        <v>17</v>
      </c>
      <c r="J5395" s="115"/>
      <c r="K5395" s="115">
        <f>IFERROR(__xludf.DUMMYFUNCTION("""COMPUTED_VALUE"""),42871.0)</f>
        <v>42871</v>
      </c>
    </row>
    <row r="5396">
      <c r="A5396" s="115" t="str">
        <f>IFERROR(__xludf.DUMMYFUNCTION("""COMPUTED_VALUE"""),"WEST")</f>
        <v>WEST</v>
      </c>
      <c r="B5396" s="115" t="str">
        <f>IFERROR(__xludf.DUMMYFUNCTION("""COMPUTED_VALUE"""),"Ashvani Bhatt")</f>
        <v>Ashvani Bhatt</v>
      </c>
      <c r="C5396" s="115" t="str">
        <f>IFERROR(__xludf.DUMMYFUNCTION("""COMPUTED_VALUE"""),"FLIPKART")</f>
        <v>FLIPKART</v>
      </c>
      <c r="D5396" s="115">
        <f>IFERROR(__xludf.DUMMYFUNCTION("""COMPUTED_VALUE"""),279417.0)</f>
        <v>279417</v>
      </c>
      <c r="E5396" s="115">
        <f>IFERROR(__xludf.DUMMYFUNCTION("""COMPUTED_VALUE"""),29810.0)</f>
        <v>29810</v>
      </c>
      <c r="F5396" s="115">
        <f>IFERROR(__xludf.DUMMYFUNCTION("""COMPUTED_VALUE"""),189014.0)</f>
        <v>189014</v>
      </c>
      <c r="G5396" s="115">
        <f>IFERROR(__xludf.DUMMYFUNCTION("""COMPUTED_VALUE"""),13133.0)</f>
        <v>13133</v>
      </c>
      <c r="H5396" s="116">
        <f>IFERROR(__xludf.DUMMYFUNCTION("""COMPUTED_VALUE"""),45910.0)</f>
        <v>45910</v>
      </c>
      <c r="I5396" s="115" t="str">
        <f>IFERROR(__xludf.DUMMYFUNCTION("""COMPUTED_VALUE"""),"17")</f>
        <v>17</v>
      </c>
      <c r="J5396" s="115"/>
      <c r="K5396" s="115">
        <f>IFERROR(__xludf.DUMMYFUNCTION("""COMPUTED_VALUE"""),309227.0)</f>
        <v>309227</v>
      </c>
    </row>
    <row r="5397">
      <c r="A5397" s="115" t="str">
        <f>IFERROR(__xludf.DUMMYFUNCTION("""COMPUTED_VALUE"""),"WEST")</f>
        <v>WEST</v>
      </c>
      <c r="B5397" s="115" t="str">
        <f>IFERROR(__xludf.DUMMYFUNCTION("""COMPUTED_VALUE"""),"Ashvani Bhatt")</f>
        <v>Ashvani Bhatt</v>
      </c>
      <c r="C5397" s="115" t="str">
        <f>IFERROR(__xludf.DUMMYFUNCTION("""COMPUTED_VALUE"""),"MYNTRA")</f>
        <v>MYNTRA</v>
      </c>
      <c r="D5397" s="115">
        <f>IFERROR(__xludf.DUMMYFUNCTION("""COMPUTED_VALUE"""),34391.0)</f>
        <v>34391</v>
      </c>
      <c r="E5397" s="115">
        <f>IFERROR(__xludf.DUMMYFUNCTION("""COMPUTED_VALUE"""),9658.0)</f>
        <v>9658</v>
      </c>
      <c r="F5397" s="115">
        <f>IFERROR(__xludf.DUMMYFUNCTION("""COMPUTED_VALUE"""),26743.0)</f>
        <v>26743</v>
      </c>
      <c r="G5397" s="115">
        <f>IFERROR(__xludf.DUMMYFUNCTION("""COMPUTED_VALUE"""),4985.0)</f>
        <v>4985</v>
      </c>
      <c r="H5397" s="116">
        <f>IFERROR(__xludf.DUMMYFUNCTION("""COMPUTED_VALUE"""),45910.0)</f>
        <v>45910</v>
      </c>
      <c r="I5397" s="115" t="str">
        <f>IFERROR(__xludf.DUMMYFUNCTION("""COMPUTED_VALUE"""),"17")</f>
        <v>17</v>
      </c>
      <c r="J5397" s="115"/>
      <c r="K5397" s="115">
        <f>IFERROR(__xludf.DUMMYFUNCTION("""COMPUTED_VALUE"""),44049.0)</f>
        <v>44049</v>
      </c>
    </row>
    <row r="5398">
      <c r="A5398" s="115"/>
      <c r="B5398" s="115"/>
      <c r="C5398" s="115" t="str">
        <f>IFERROR(__xludf.DUMMYFUNCTION("""COMPUTED_VALUE"""),"EXTERNAL")</f>
        <v>EXTERNAL</v>
      </c>
      <c r="D5398" s="115">
        <f>IFERROR(__xludf.DUMMYFUNCTION("""COMPUTED_VALUE"""),738.0)</f>
        <v>738</v>
      </c>
      <c r="E5398" s="115">
        <f>IFERROR(__xludf.DUMMYFUNCTION("""COMPUTED_VALUE"""),178.0)</f>
        <v>178</v>
      </c>
      <c r="F5398" s="115">
        <f>IFERROR(__xludf.DUMMYFUNCTION("""COMPUTED_VALUE"""),284.0)</f>
        <v>284</v>
      </c>
      <c r="G5398" s="115">
        <f>IFERROR(__xludf.DUMMYFUNCTION("""COMPUTED_VALUE"""),70.0)</f>
        <v>70</v>
      </c>
      <c r="H5398" s="116">
        <f>IFERROR(__xludf.DUMMYFUNCTION("""COMPUTED_VALUE"""),45910.0)</f>
        <v>45910</v>
      </c>
      <c r="I5398" s="115" t="str">
        <f>IFERROR(__xludf.DUMMYFUNCTION("""COMPUTED_VALUE"""),"17")</f>
        <v>17</v>
      </c>
      <c r="J5398" s="115"/>
      <c r="K5398" s="115">
        <f>IFERROR(__xludf.DUMMYFUNCTION("""COMPUTED_VALUE"""),916.0)</f>
        <v>916</v>
      </c>
    </row>
    <row r="5399">
      <c r="A5399" s="115"/>
      <c r="B5399" s="115"/>
      <c r="C5399" s="115" t="str">
        <f>IFERROR(__xludf.DUMMYFUNCTION("""COMPUTED_VALUE"""),"FLIPKART")</f>
        <v>FLIPKART</v>
      </c>
      <c r="D5399" s="115">
        <f>IFERROR(__xludf.DUMMYFUNCTION("""COMPUTED_VALUE"""),7782.0)</f>
        <v>7782</v>
      </c>
      <c r="E5399" s="115">
        <f>IFERROR(__xludf.DUMMYFUNCTION("""COMPUTED_VALUE"""),889.0)</f>
        <v>889</v>
      </c>
      <c r="F5399" s="115">
        <f>IFERROR(__xludf.DUMMYFUNCTION("""COMPUTED_VALUE"""),4380.0)</f>
        <v>4380</v>
      </c>
      <c r="G5399" s="115">
        <f>IFERROR(__xludf.DUMMYFUNCTION("""COMPUTED_VALUE"""),382.0)</f>
        <v>382</v>
      </c>
      <c r="H5399" s="116">
        <f>IFERROR(__xludf.DUMMYFUNCTION("""COMPUTED_VALUE"""),45910.0)</f>
        <v>45910</v>
      </c>
      <c r="I5399" s="115" t="str">
        <f>IFERROR(__xludf.DUMMYFUNCTION("""COMPUTED_VALUE"""),"17")</f>
        <v>17</v>
      </c>
      <c r="J5399" s="115"/>
      <c r="K5399" s="115">
        <f>IFERROR(__xludf.DUMMYFUNCTION("""COMPUTED_VALUE"""),8671.0)</f>
        <v>8671</v>
      </c>
    </row>
    <row r="5400">
      <c r="A5400" s="115"/>
      <c r="B5400" s="115"/>
      <c r="C5400" s="115" t="str">
        <f>IFERROR(__xludf.DUMMYFUNCTION("""COMPUTED_VALUE"""),"MYNTRA")</f>
        <v>MYNTRA</v>
      </c>
      <c r="D5400" s="115">
        <f>IFERROR(__xludf.DUMMYFUNCTION("""COMPUTED_VALUE"""),813.0)</f>
        <v>813</v>
      </c>
      <c r="E5400" s="115">
        <f>IFERROR(__xludf.DUMMYFUNCTION("""COMPUTED_VALUE"""),233.0)</f>
        <v>233</v>
      </c>
      <c r="F5400" s="115">
        <f>IFERROR(__xludf.DUMMYFUNCTION("""COMPUTED_VALUE"""),562.0)</f>
        <v>562</v>
      </c>
      <c r="G5400" s="115">
        <f>IFERROR(__xludf.DUMMYFUNCTION("""COMPUTED_VALUE"""),135.0)</f>
        <v>135</v>
      </c>
      <c r="H5400" s="116">
        <f>IFERROR(__xludf.DUMMYFUNCTION("""COMPUTED_VALUE"""),45910.0)</f>
        <v>45910</v>
      </c>
      <c r="I5400" s="115" t="str">
        <f>IFERROR(__xludf.DUMMYFUNCTION("""COMPUTED_VALUE"""),"17")</f>
        <v>17</v>
      </c>
      <c r="J5400" s="115"/>
      <c r="K5400" s="115">
        <f>IFERROR(__xludf.DUMMYFUNCTION("""COMPUTED_VALUE"""),1046.0)</f>
        <v>1046</v>
      </c>
    </row>
    <row r="5401">
      <c r="A5401" s="115" t="str">
        <f>IFERROR(__xludf.DUMMYFUNCTION("""COMPUTED_VALUE"""),"EAST")</f>
        <v>EAST</v>
      </c>
      <c r="B5401" s="115" t="str">
        <f>IFERROR(__xludf.DUMMYFUNCTION("""COMPUTED_VALUE"""),"Ashish Ranjan")</f>
        <v>Ashish Ranjan</v>
      </c>
      <c r="C5401" s="115" t="str">
        <f>IFERROR(__xludf.DUMMYFUNCTION("""COMPUTED_VALUE"""),"EXTERNAL")</f>
        <v>EXTERNAL</v>
      </c>
      <c r="D5401" s="115">
        <f>IFERROR(__xludf.DUMMYFUNCTION("""COMPUTED_VALUE"""),38382.0)</f>
        <v>38382</v>
      </c>
      <c r="E5401" s="115">
        <f>IFERROR(__xludf.DUMMYFUNCTION("""COMPUTED_VALUE"""),3868.0)</f>
        <v>3868</v>
      </c>
      <c r="F5401" s="115">
        <f>IFERROR(__xludf.DUMMYFUNCTION("""COMPUTED_VALUE"""),19438.0)</f>
        <v>19438</v>
      </c>
      <c r="G5401" s="115">
        <f>IFERROR(__xludf.DUMMYFUNCTION("""COMPUTED_VALUE"""),1524.0)</f>
        <v>1524</v>
      </c>
      <c r="H5401" s="116">
        <f>IFERROR(__xludf.DUMMYFUNCTION("""COMPUTED_VALUE"""),45910.0)</f>
        <v>45910</v>
      </c>
      <c r="I5401" s="115" t="str">
        <f>IFERROR(__xludf.DUMMYFUNCTION("""COMPUTED_VALUE"""),"18")</f>
        <v>18</v>
      </c>
      <c r="J5401" s="115"/>
      <c r="K5401" s="115">
        <f>IFERROR(__xludf.DUMMYFUNCTION("""COMPUTED_VALUE"""),42250.0)</f>
        <v>42250</v>
      </c>
    </row>
    <row r="5402">
      <c r="A5402" s="115" t="str">
        <f>IFERROR(__xludf.DUMMYFUNCTION("""COMPUTED_VALUE"""),"EAST")</f>
        <v>EAST</v>
      </c>
      <c r="B5402" s="115" t="str">
        <f>IFERROR(__xludf.DUMMYFUNCTION("""COMPUTED_VALUE"""),"Ashish Ranjan")</f>
        <v>Ashish Ranjan</v>
      </c>
      <c r="C5402" s="115" t="str">
        <f>IFERROR(__xludf.DUMMYFUNCTION("""COMPUTED_VALUE"""),"FLIPKART")</f>
        <v>FLIPKART</v>
      </c>
      <c r="D5402" s="115">
        <f>IFERROR(__xludf.DUMMYFUNCTION("""COMPUTED_VALUE"""),669501.0)</f>
        <v>669501</v>
      </c>
      <c r="E5402" s="115">
        <f>IFERROR(__xludf.DUMMYFUNCTION("""COMPUTED_VALUE"""),67216.0)</f>
        <v>67216</v>
      </c>
      <c r="F5402" s="115">
        <f>IFERROR(__xludf.DUMMYFUNCTION("""COMPUTED_VALUE"""),547319.0)</f>
        <v>547319</v>
      </c>
      <c r="G5402" s="115">
        <f>IFERROR(__xludf.DUMMYFUNCTION("""COMPUTED_VALUE"""),41313.0)</f>
        <v>41313</v>
      </c>
      <c r="H5402" s="116">
        <f>IFERROR(__xludf.DUMMYFUNCTION("""COMPUTED_VALUE"""),45910.0)</f>
        <v>45910</v>
      </c>
      <c r="I5402" s="115" t="str">
        <f>IFERROR(__xludf.DUMMYFUNCTION("""COMPUTED_VALUE"""),"18")</f>
        <v>18</v>
      </c>
      <c r="J5402" s="115"/>
      <c r="K5402" s="115">
        <f>IFERROR(__xludf.DUMMYFUNCTION("""COMPUTED_VALUE"""),736717.0)</f>
        <v>736717</v>
      </c>
    </row>
    <row r="5403">
      <c r="A5403" s="115" t="str">
        <f>IFERROR(__xludf.DUMMYFUNCTION("""COMPUTED_VALUE"""),"EAST")</f>
        <v>EAST</v>
      </c>
      <c r="B5403" s="115" t="str">
        <f>IFERROR(__xludf.DUMMYFUNCTION("""COMPUTED_VALUE"""),"Ashish Ranjan")</f>
        <v>Ashish Ranjan</v>
      </c>
      <c r="C5403" s="115" t="str">
        <f>IFERROR(__xludf.DUMMYFUNCTION("""COMPUTED_VALUE"""),"MYNTRA")</f>
        <v>MYNTRA</v>
      </c>
      <c r="D5403" s="115">
        <f>IFERROR(__xludf.DUMMYFUNCTION("""COMPUTED_VALUE"""),75087.0)</f>
        <v>75087</v>
      </c>
      <c r="E5403" s="115">
        <f>IFERROR(__xludf.DUMMYFUNCTION("""COMPUTED_VALUE"""),17041.0)</f>
        <v>17041</v>
      </c>
      <c r="F5403" s="115">
        <f>IFERROR(__xludf.DUMMYFUNCTION("""COMPUTED_VALUE"""),62031.0)</f>
        <v>62031</v>
      </c>
      <c r="G5403" s="115">
        <f>IFERROR(__xludf.DUMMYFUNCTION("""COMPUTED_VALUE"""),10324.0)</f>
        <v>10324</v>
      </c>
      <c r="H5403" s="116">
        <f>IFERROR(__xludf.DUMMYFUNCTION("""COMPUTED_VALUE"""),45910.0)</f>
        <v>45910</v>
      </c>
      <c r="I5403" s="115" t="str">
        <f>IFERROR(__xludf.DUMMYFUNCTION("""COMPUTED_VALUE"""),"18")</f>
        <v>18</v>
      </c>
      <c r="J5403" s="115"/>
      <c r="K5403" s="115">
        <f>IFERROR(__xludf.DUMMYFUNCTION("""COMPUTED_VALUE"""),92128.0)</f>
        <v>92128</v>
      </c>
    </row>
    <row r="5404">
      <c r="A5404" s="115" t="str">
        <f>IFERROR(__xludf.DUMMYFUNCTION("""COMPUTED_VALUE"""),"EAST")</f>
        <v>EAST</v>
      </c>
      <c r="B5404" s="115" t="str">
        <f>IFERROR(__xludf.DUMMYFUNCTION("""COMPUTED_VALUE"""),"Girish Chand")</f>
        <v>Girish Chand</v>
      </c>
      <c r="C5404" s="115" t="str">
        <f>IFERROR(__xludf.DUMMYFUNCTION("""COMPUTED_VALUE"""),"EXTERNAL")</f>
        <v>EXTERNAL</v>
      </c>
      <c r="D5404" s="115">
        <f>IFERROR(__xludf.DUMMYFUNCTION("""COMPUTED_VALUE"""),23602.0)</f>
        <v>23602</v>
      </c>
      <c r="E5404" s="115">
        <f>IFERROR(__xludf.DUMMYFUNCTION("""COMPUTED_VALUE"""),1915.0)</f>
        <v>1915</v>
      </c>
      <c r="F5404" s="115">
        <f>IFERROR(__xludf.DUMMYFUNCTION("""COMPUTED_VALUE"""),9874.0)</f>
        <v>9874</v>
      </c>
      <c r="G5404" s="115">
        <f>IFERROR(__xludf.DUMMYFUNCTION("""COMPUTED_VALUE"""),561.0)</f>
        <v>561</v>
      </c>
      <c r="H5404" s="116">
        <f>IFERROR(__xludf.DUMMYFUNCTION("""COMPUTED_VALUE"""),45910.0)</f>
        <v>45910</v>
      </c>
      <c r="I5404" s="115" t="str">
        <f>IFERROR(__xludf.DUMMYFUNCTION("""COMPUTED_VALUE"""),"18")</f>
        <v>18</v>
      </c>
      <c r="J5404" s="115"/>
      <c r="K5404" s="115">
        <f>IFERROR(__xludf.DUMMYFUNCTION("""COMPUTED_VALUE"""),25517.0)</f>
        <v>25517</v>
      </c>
    </row>
    <row r="5405">
      <c r="A5405" s="115" t="str">
        <f>IFERROR(__xludf.DUMMYFUNCTION("""COMPUTED_VALUE"""),"EAST")</f>
        <v>EAST</v>
      </c>
      <c r="B5405" s="115" t="str">
        <f>IFERROR(__xludf.DUMMYFUNCTION("""COMPUTED_VALUE"""),"Girish Chand")</f>
        <v>Girish Chand</v>
      </c>
      <c r="C5405" s="115" t="str">
        <f>IFERROR(__xludf.DUMMYFUNCTION("""COMPUTED_VALUE"""),"FLIPKART")</f>
        <v>FLIPKART</v>
      </c>
      <c r="D5405" s="115">
        <f>IFERROR(__xludf.DUMMYFUNCTION("""COMPUTED_VALUE"""),430426.0)</f>
        <v>430426</v>
      </c>
      <c r="E5405" s="115">
        <f>IFERROR(__xludf.DUMMYFUNCTION("""COMPUTED_VALUE"""),39341.0)</f>
        <v>39341</v>
      </c>
      <c r="F5405" s="115">
        <f>IFERROR(__xludf.DUMMYFUNCTION("""COMPUTED_VALUE"""),310078.0)</f>
        <v>310078</v>
      </c>
      <c r="G5405" s="115">
        <f>IFERROR(__xludf.DUMMYFUNCTION("""COMPUTED_VALUE"""),20309.0)</f>
        <v>20309</v>
      </c>
      <c r="H5405" s="116">
        <f>IFERROR(__xludf.DUMMYFUNCTION("""COMPUTED_VALUE"""),45910.0)</f>
        <v>45910</v>
      </c>
      <c r="I5405" s="115" t="str">
        <f>IFERROR(__xludf.DUMMYFUNCTION("""COMPUTED_VALUE"""),"18")</f>
        <v>18</v>
      </c>
      <c r="J5405" s="115"/>
      <c r="K5405" s="115">
        <f>IFERROR(__xludf.DUMMYFUNCTION("""COMPUTED_VALUE"""),469767.0)</f>
        <v>469767</v>
      </c>
    </row>
    <row r="5406">
      <c r="A5406" s="115" t="str">
        <f>IFERROR(__xludf.DUMMYFUNCTION("""COMPUTED_VALUE"""),"EAST")</f>
        <v>EAST</v>
      </c>
      <c r="B5406" s="115" t="str">
        <f>IFERROR(__xludf.DUMMYFUNCTION("""COMPUTED_VALUE"""),"Girish Chand")</f>
        <v>Girish Chand</v>
      </c>
      <c r="C5406" s="115" t="str">
        <f>IFERROR(__xludf.DUMMYFUNCTION("""COMPUTED_VALUE"""),"MYNTRA")</f>
        <v>MYNTRA</v>
      </c>
      <c r="D5406" s="115">
        <f>IFERROR(__xludf.DUMMYFUNCTION("""COMPUTED_VALUE"""),37251.0)</f>
        <v>37251</v>
      </c>
      <c r="E5406" s="115">
        <f>IFERROR(__xludf.DUMMYFUNCTION("""COMPUTED_VALUE"""),8174.0)</f>
        <v>8174</v>
      </c>
      <c r="F5406" s="115">
        <f>IFERROR(__xludf.DUMMYFUNCTION("""COMPUTED_VALUE"""),28007.0)</f>
        <v>28007</v>
      </c>
      <c r="G5406" s="115">
        <f>IFERROR(__xludf.DUMMYFUNCTION("""COMPUTED_VALUE"""),4487.0)</f>
        <v>4487</v>
      </c>
      <c r="H5406" s="116">
        <f>IFERROR(__xludf.DUMMYFUNCTION("""COMPUTED_VALUE"""),45910.0)</f>
        <v>45910</v>
      </c>
      <c r="I5406" s="115" t="str">
        <f>IFERROR(__xludf.DUMMYFUNCTION("""COMPUTED_VALUE"""),"18")</f>
        <v>18</v>
      </c>
      <c r="J5406" s="115"/>
      <c r="K5406" s="115">
        <f>IFERROR(__xludf.DUMMYFUNCTION("""COMPUTED_VALUE"""),45425.0)</f>
        <v>45425</v>
      </c>
    </row>
    <row r="5407">
      <c r="A5407" s="115" t="str">
        <f>IFERROR(__xludf.DUMMYFUNCTION("""COMPUTED_VALUE"""),"EAST")</f>
        <v>EAST</v>
      </c>
      <c r="B5407" s="115" t="str">
        <f>IFERROR(__xludf.DUMMYFUNCTION("""COMPUTED_VALUE"""),"Parag Kashyap")</f>
        <v>Parag Kashyap</v>
      </c>
      <c r="C5407" s="115" t="str">
        <f>IFERROR(__xludf.DUMMYFUNCTION("""COMPUTED_VALUE"""),"EXTERNAL")</f>
        <v>EXTERNAL</v>
      </c>
      <c r="D5407" s="115">
        <f>IFERROR(__xludf.DUMMYFUNCTION("""COMPUTED_VALUE"""),16900.0)</f>
        <v>16900</v>
      </c>
      <c r="E5407" s="115">
        <f>IFERROR(__xludf.DUMMYFUNCTION("""COMPUTED_VALUE"""),1083.0)</f>
        <v>1083</v>
      </c>
      <c r="F5407" s="115">
        <f>IFERROR(__xludf.DUMMYFUNCTION("""COMPUTED_VALUE"""),6920.0)</f>
        <v>6920</v>
      </c>
      <c r="G5407" s="115">
        <f>IFERROR(__xludf.DUMMYFUNCTION("""COMPUTED_VALUE"""),253.0)</f>
        <v>253</v>
      </c>
      <c r="H5407" s="116">
        <f>IFERROR(__xludf.DUMMYFUNCTION("""COMPUTED_VALUE"""),45910.0)</f>
        <v>45910</v>
      </c>
      <c r="I5407" s="115" t="str">
        <f>IFERROR(__xludf.DUMMYFUNCTION("""COMPUTED_VALUE"""),"18")</f>
        <v>18</v>
      </c>
      <c r="J5407" s="115"/>
      <c r="K5407" s="115">
        <f>IFERROR(__xludf.DUMMYFUNCTION("""COMPUTED_VALUE"""),17983.0)</f>
        <v>17983</v>
      </c>
    </row>
    <row r="5408">
      <c r="A5408" s="115" t="str">
        <f>IFERROR(__xludf.DUMMYFUNCTION("""COMPUTED_VALUE"""),"EAST")</f>
        <v>EAST</v>
      </c>
      <c r="B5408" s="115" t="str">
        <f>IFERROR(__xludf.DUMMYFUNCTION("""COMPUTED_VALUE"""),"Parag Kashyap")</f>
        <v>Parag Kashyap</v>
      </c>
      <c r="C5408" s="115" t="str">
        <f>IFERROR(__xludf.DUMMYFUNCTION("""COMPUTED_VALUE"""),"FLIPKART")</f>
        <v>FLIPKART</v>
      </c>
      <c r="D5408" s="115">
        <f>IFERROR(__xludf.DUMMYFUNCTION("""COMPUTED_VALUE"""),300284.0)</f>
        <v>300284</v>
      </c>
      <c r="E5408" s="115">
        <f>IFERROR(__xludf.DUMMYFUNCTION("""COMPUTED_VALUE"""),20567.0)</f>
        <v>20567</v>
      </c>
      <c r="F5408" s="115">
        <f>IFERROR(__xludf.DUMMYFUNCTION("""COMPUTED_VALUE"""),214728.0)</f>
        <v>214728</v>
      </c>
      <c r="G5408" s="115">
        <f>IFERROR(__xludf.DUMMYFUNCTION("""COMPUTED_VALUE"""),8807.0)</f>
        <v>8807</v>
      </c>
      <c r="H5408" s="116">
        <f>IFERROR(__xludf.DUMMYFUNCTION("""COMPUTED_VALUE"""),45910.0)</f>
        <v>45910</v>
      </c>
      <c r="I5408" s="115" t="str">
        <f>IFERROR(__xludf.DUMMYFUNCTION("""COMPUTED_VALUE"""),"18")</f>
        <v>18</v>
      </c>
      <c r="J5408" s="115"/>
      <c r="K5408" s="115">
        <f>IFERROR(__xludf.DUMMYFUNCTION("""COMPUTED_VALUE"""),320851.0)</f>
        <v>320851</v>
      </c>
    </row>
    <row r="5409">
      <c r="A5409" s="115" t="str">
        <f>IFERROR(__xludf.DUMMYFUNCTION("""COMPUTED_VALUE"""),"EAST")</f>
        <v>EAST</v>
      </c>
      <c r="B5409" s="115" t="str">
        <f>IFERROR(__xludf.DUMMYFUNCTION("""COMPUTED_VALUE"""),"Parag Kashyap")</f>
        <v>Parag Kashyap</v>
      </c>
      <c r="C5409" s="115" t="str">
        <f>IFERROR(__xludf.DUMMYFUNCTION("""COMPUTED_VALUE"""),"MYNTRA")</f>
        <v>MYNTRA</v>
      </c>
      <c r="D5409" s="115">
        <f>IFERROR(__xludf.DUMMYFUNCTION("""COMPUTED_VALUE"""),38362.0)</f>
        <v>38362</v>
      </c>
      <c r="E5409" s="115">
        <f>IFERROR(__xludf.DUMMYFUNCTION("""COMPUTED_VALUE"""),5999.0)</f>
        <v>5999</v>
      </c>
      <c r="F5409" s="115">
        <f>IFERROR(__xludf.DUMMYFUNCTION("""COMPUTED_VALUE"""),28416.0)</f>
        <v>28416</v>
      </c>
      <c r="G5409" s="115">
        <f>IFERROR(__xludf.DUMMYFUNCTION("""COMPUTED_VALUE"""),2515.0)</f>
        <v>2515</v>
      </c>
      <c r="H5409" s="116">
        <f>IFERROR(__xludf.DUMMYFUNCTION("""COMPUTED_VALUE"""),45910.0)</f>
        <v>45910</v>
      </c>
      <c r="I5409" s="115" t="str">
        <f>IFERROR(__xludf.DUMMYFUNCTION("""COMPUTED_VALUE"""),"18")</f>
        <v>18</v>
      </c>
      <c r="J5409" s="115"/>
      <c r="K5409" s="115">
        <f>IFERROR(__xludf.DUMMYFUNCTION("""COMPUTED_VALUE"""),44361.0)</f>
        <v>44361</v>
      </c>
    </row>
    <row r="5410">
      <c r="A5410" s="115" t="str">
        <f>IFERROR(__xludf.DUMMYFUNCTION("""COMPUTED_VALUE"""),"NORTH")</f>
        <v>NORTH</v>
      </c>
      <c r="B5410" s="115" t="str">
        <f>IFERROR(__xludf.DUMMYFUNCTION("""COMPUTED_VALUE"""),"Amit Kumar Pathak")</f>
        <v>Amit Kumar Pathak</v>
      </c>
      <c r="C5410" s="115" t="str">
        <f>IFERROR(__xludf.DUMMYFUNCTION("""COMPUTED_VALUE"""),"EXTERNAL")</f>
        <v>EXTERNAL</v>
      </c>
      <c r="D5410" s="115">
        <f>IFERROR(__xludf.DUMMYFUNCTION("""COMPUTED_VALUE"""),23590.0)</f>
        <v>23590</v>
      </c>
      <c r="E5410" s="115">
        <f>IFERROR(__xludf.DUMMYFUNCTION("""COMPUTED_VALUE"""),4053.0)</f>
        <v>4053</v>
      </c>
      <c r="F5410" s="115">
        <f>IFERROR(__xludf.DUMMYFUNCTION("""COMPUTED_VALUE"""),7430.0)</f>
        <v>7430</v>
      </c>
      <c r="G5410" s="115">
        <f>IFERROR(__xludf.DUMMYFUNCTION("""COMPUTED_VALUE"""),1574.0)</f>
        <v>1574</v>
      </c>
      <c r="H5410" s="116">
        <f>IFERROR(__xludf.DUMMYFUNCTION("""COMPUTED_VALUE"""),45910.0)</f>
        <v>45910</v>
      </c>
      <c r="I5410" s="115" t="str">
        <f>IFERROR(__xludf.DUMMYFUNCTION("""COMPUTED_VALUE"""),"18")</f>
        <v>18</v>
      </c>
      <c r="J5410" s="115"/>
      <c r="K5410" s="115">
        <f>IFERROR(__xludf.DUMMYFUNCTION("""COMPUTED_VALUE"""),27643.0)</f>
        <v>27643</v>
      </c>
    </row>
    <row r="5411">
      <c r="A5411" s="115" t="str">
        <f>IFERROR(__xludf.DUMMYFUNCTION("""COMPUTED_VALUE"""),"NORTH")</f>
        <v>NORTH</v>
      </c>
      <c r="B5411" s="115" t="str">
        <f>IFERROR(__xludf.DUMMYFUNCTION("""COMPUTED_VALUE"""),"Amit Kumar Pathak")</f>
        <v>Amit Kumar Pathak</v>
      </c>
      <c r="C5411" s="115" t="str">
        <f>IFERROR(__xludf.DUMMYFUNCTION("""COMPUTED_VALUE"""),"FLIPKART")</f>
        <v>FLIPKART</v>
      </c>
      <c r="D5411" s="115">
        <f>IFERROR(__xludf.DUMMYFUNCTION("""COMPUTED_VALUE"""),191184.0)</f>
        <v>191184</v>
      </c>
      <c r="E5411" s="115">
        <f>IFERROR(__xludf.DUMMYFUNCTION("""COMPUTED_VALUE"""),23027.0)</f>
        <v>23027</v>
      </c>
      <c r="F5411" s="115">
        <f>IFERROR(__xludf.DUMMYFUNCTION("""COMPUTED_VALUE"""),128116.0)</f>
        <v>128116</v>
      </c>
      <c r="G5411" s="115">
        <f>IFERROR(__xludf.DUMMYFUNCTION("""COMPUTED_VALUE"""),12310.0)</f>
        <v>12310</v>
      </c>
      <c r="H5411" s="116">
        <f>IFERROR(__xludf.DUMMYFUNCTION("""COMPUTED_VALUE"""),45910.0)</f>
        <v>45910</v>
      </c>
      <c r="I5411" s="115" t="str">
        <f>IFERROR(__xludf.DUMMYFUNCTION("""COMPUTED_VALUE"""),"18")</f>
        <v>18</v>
      </c>
      <c r="J5411" s="115"/>
      <c r="K5411" s="115">
        <f>IFERROR(__xludf.DUMMYFUNCTION("""COMPUTED_VALUE"""),214211.0)</f>
        <v>214211</v>
      </c>
    </row>
    <row r="5412">
      <c r="A5412" s="115" t="str">
        <f>IFERROR(__xludf.DUMMYFUNCTION("""COMPUTED_VALUE"""),"NORTH")</f>
        <v>NORTH</v>
      </c>
      <c r="B5412" s="115" t="str">
        <f>IFERROR(__xludf.DUMMYFUNCTION("""COMPUTED_VALUE"""),"Amit Kumar Pathak")</f>
        <v>Amit Kumar Pathak</v>
      </c>
      <c r="C5412" s="115" t="str">
        <f>IFERROR(__xludf.DUMMYFUNCTION("""COMPUTED_VALUE"""),"MYNTRA")</f>
        <v>MYNTRA</v>
      </c>
      <c r="D5412" s="115">
        <f>IFERROR(__xludf.DUMMYFUNCTION("""COMPUTED_VALUE"""),15423.0)</f>
        <v>15423</v>
      </c>
      <c r="E5412" s="115">
        <f>IFERROR(__xludf.DUMMYFUNCTION("""COMPUTED_VALUE"""),5892.0)</f>
        <v>5892</v>
      </c>
      <c r="F5412" s="115">
        <f>IFERROR(__xludf.DUMMYFUNCTION("""COMPUTED_VALUE"""),11544.0)</f>
        <v>11544</v>
      </c>
      <c r="G5412" s="115">
        <f>IFERROR(__xludf.DUMMYFUNCTION("""COMPUTED_VALUE"""),3529.0)</f>
        <v>3529</v>
      </c>
      <c r="H5412" s="116">
        <f>IFERROR(__xludf.DUMMYFUNCTION("""COMPUTED_VALUE"""),45910.0)</f>
        <v>45910</v>
      </c>
      <c r="I5412" s="115" t="str">
        <f>IFERROR(__xludf.DUMMYFUNCTION("""COMPUTED_VALUE"""),"18")</f>
        <v>18</v>
      </c>
      <c r="J5412" s="115"/>
      <c r="K5412" s="115">
        <f>IFERROR(__xludf.DUMMYFUNCTION("""COMPUTED_VALUE"""),21315.0)</f>
        <v>21315</v>
      </c>
    </row>
    <row r="5413">
      <c r="A5413" s="115" t="str">
        <f>IFERROR(__xludf.DUMMYFUNCTION("""COMPUTED_VALUE"""),"NORTH")</f>
        <v>NORTH</v>
      </c>
      <c r="B5413" s="115" t="str">
        <f>IFERROR(__xludf.DUMMYFUNCTION("""COMPUTED_VALUE"""),"Loveleen Singh")</f>
        <v>Loveleen Singh</v>
      </c>
      <c r="C5413" s="115" t="str">
        <f>IFERROR(__xludf.DUMMYFUNCTION("""COMPUTED_VALUE"""),"EXTERNAL")</f>
        <v>EXTERNAL</v>
      </c>
      <c r="D5413" s="115">
        <f>IFERROR(__xludf.DUMMYFUNCTION("""COMPUTED_VALUE"""),30808.0)</f>
        <v>30808</v>
      </c>
      <c r="E5413" s="115">
        <f>IFERROR(__xludf.DUMMYFUNCTION("""COMPUTED_VALUE"""),2750.0)</f>
        <v>2750</v>
      </c>
      <c r="F5413" s="115">
        <f>IFERROR(__xludf.DUMMYFUNCTION("""COMPUTED_VALUE"""),11668.0)</f>
        <v>11668</v>
      </c>
      <c r="G5413" s="115">
        <f>IFERROR(__xludf.DUMMYFUNCTION("""COMPUTED_VALUE"""),761.0)</f>
        <v>761</v>
      </c>
      <c r="H5413" s="116">
        <f>IFERROR(__xludf.DUMMYFUNCTION("""COMPUTED_VALUE"""),45910.0)</f>
        <v>45910</v>
      </c>
      <c r="I5413" s="115" t="str">
        <f>IFERROR(__xludf.DUMMYFUNCTION("""COMPUTED_VALUE"""),"18")</f>
        <v>18</v>
      </c>
      <c r="J5413" s="115"/>
      <c r="K5413" s="115">
        <f>IFERROR(__xludf.DUMMYFUNCTION("""COMPUTED_VALUE"""),33558.0)</f>
        <v>33558</v>
      </c>
    </row>
    <row r="5414">
      <c r="A5414" s="115" t="str">
        <f>IFERROR(__xludf.DUMMYFUNCTION("""COMPUTED_VALUE"""),"NORTH")</f>
        <v>NORTH</v>
      </c>
      <c r="B5414" s="115" t="str">
        <f>IFERROR(__xludf.DUMMYFUNCTION("""COMPUTED_VALUE"""),"Loveleen Singh")</f>
        <v>Loveleen Singh</v>
      </c>
      <c r="C5414" s="115" t="str">
        <f>IFERROR(__xludf.DUMMYFUNCTION("""COMPUTED_VALUE"""),"FLIPKART")</f>
        <v>FLIPKART</v>
      </c>
      <c r="D5414" s="115">
        <f>IFERROR(__xludf.DUMMYFUNCTION("""COMPUTED_VALUE"""),176514.0)</f>
        <v>176514</v>
      </c>
      <c r="E5414" s="115">
        <f>IFERROR(__xludf.DUMMYFUNCTION("""COMPUTED_VALUE"""),15161.0)</f>
        <v>15161</v>
      </c>
      <c r="F5414" s="115">
        <f>IFERROR(__xludf.DUMMYFUNCTION("""COMPUTED_VALUE"""),127855.0)</f>
        <v>127855</v>
      </c>
      <c r="G5414" s="115">
        <f>IFERROR(__xludf.DUMMYFUNCTION("""COMPUTED_VALUE"""),7722.0)</f>
        <v>7722</v>
      </c>
      <c r="H5414" s="116">
        <f>IFERROR(__xludf.DUMMYFUNCTION("""COMPUTED_VALUE"""),45910.0)</f>
        <v>45910</v>
      </c>
      <c r="I5414" s="115" t="str">
        <f>IFERROR(__xludf.DUMMYFUNCTION("""COMPUTED_VALUE"""),"18")</f>
        <v>18</v>
      </c>
      <c r="J5414" s="115"/>
      <c r="K5414" s="115">
        <f>IFERROR(__xludf.DUMMYFUNCTION("""COMPUTED_VALUE"""),191675.0)</f>
        <v>191675</v>
      </c>
    </row>
    <row r="5415">
      <c r="A5415" s="115" t="str">
        <f>IFERROR(__xludf.DUMMYFUNCTION("""COMPUTED_VALUE"""),"NORTH")</f>
        <v>NORTH</v>
      </c>
      <c r="B5415" s="115" t="str">
        <f>IFERROR(__xludf.DUMMYFUNCTION("""COMPUTED_VALUE"""),"Loveleen Singh")</f>
        <v>Loveleen Singh</v>
      </c>
      <c r="C5415" s="115" t="str">
        <f>IFERROR(__xludf.DUMMYFUNCTION("""COMPUTED_VALUE"""),"MYNTRA")</f>
        <v>MYNTRA</v>
      </c>
      <c r="D5415" s="115">
        <f>IFERROR(__xludf.DUMMYFUNCTION("""COMPUTED_VALUE"""),29378.0)</f>
        <v>29378</v>
      </c>
      <c r="E5415" s="115">
        <f>IFERROR(__xludf.DUMMYFUNCTION("""COMPUTED_VALUE"""),7154.0)</f>
        <v>7154</v>
      </c>
      <c r="F5415" s="115">
        <f>IFERROR(__xludf.DUMMYFUNCTION("""COMPUTED_VALUE"""),23084.0)</f>
        <v>23084</v>
      </c>
      <c r="G5415" s="115">
        <f>IFERROR(__xludf.DUMMYFUNCTION("""COMPUTED_VALUE"""),4140.0)</f>
        <v>4140</v>
      </c>
      <c r="H5415" s="116">
        <f>IFERROR(__xludf.DUMMYFUNCTION("""COMPUTED_VALUE"""),45910.0)</f>
        <v>45910</v>
      </c>
      <c r="I5415" s="115" t="str">
        <f>IFERROR(__xludf.DUMMYFUNCTION("""COMPUTED_VALUE"""),"18")</f>
        <v>18</v>
      </c>
      <c r="J5415" s="115"/>
      <c r="K5415" s="115">
        <f>IFERROR(__xludf.DUMMYFUNCTION("""COMPUTED_VALUE"""),36532.0)</f>
        <v>36532</v>
      </c>
    </row>
    <row r="5416">
      <c r="A5416" s="115" t="str">
        <f>IFERROR(__xludf.DUMMYFUNCTION("""COMPUTED_VALUE"""),"NORTH")</f>
        <v>NORTH</v>
      </c>
      <c r="B5416" s="115" t="str">
        <f>IFERROR(__xludf.DUMMYFUNCTION("""COMPUTED_VALUE"""),"Manoj Harsh")</f>
        <v>Manoj Harsh</v>
      </c>
      <c r="C5416" s="115" t="str">
        <f>IFERROR(__xludf.DUMMYFUNCTION("""COMPUTED_VALUE"""),"EXTERNAL")</f>
        <v>EXTERNAL</v>
      </c>
      <c r="D5416" s="115">
        <f>IFERROR(__xludf.DUMMYFUNCTION("""COMPUTED_VALUE"""),31351.0)</f>
        <v>31351</v>
      </c>
      <c r="E5416" s="115">
        <f>IFERROR(__xludf.DUMMYFUNCTION("""COMPUTED_VALUE"""),3529.0)</f>
        <v>3529</v>
      </c>
      <c r="F5416" s="115">
        <f>IFERROR(__xludf.DUMMYFUNCTION("""COMPUTED_VALUE"""),13085.0)</f>
        <v>13085</v>
      </c>
      <c r="G5416" s="115">
        <f>IFERROR(__xludf.DUMMYFUNCTION("""COMPUTED_VALUE"""),970.0)</f>
        <v>970</v>
      </c>
      <c r="H5416" s="116">
        <f>IFERROR(__xludf.DUMMYFUNCTION("""COMPUTED_VALUE"""),45910.0)</f>
        <v>45910</v>
      </c>
      <c r="I5416" s="115" t="str">
        <f>IFERROR(__xludf.DUMMYFUNCTION("""COMPUTED_VALUE"""),"18")</f>
        <v>18</v>
      </c>
      <c r="J5416" s="115"/>
      <c r="K5416" s="115">
        <f>IFERROR(__xludf.DUMMYFUNCTION("""COMPUTED_VALUE"""),34880.0)</f>
        <v>34880</v>
      </c>
    </row>
    <row r="5417">
      <c r="A5417" s="115" t="str">
        <f>IFERROR(__xludf.DUMMYFUNCTION("""COMPUTED_VALUE"""),"NORTH")</f>
        <v>NORTH</v>
      </c>
      <c r="B5417" s="115" t="str">
        <f>IFERROR(__xludf.DUMMYFUNCTION("""COMPUTED_VALUE"""),"Manoj Harsh")</f>
        <v>Manoj Harsh</v>
      </c>
      <c r="C5417" s="115" t="str">
        <f>IFERROR(__xludf.DUMMYFUNCTION("""COMPUTED_VALUE"""),"FLIPKART")</f>
        <v>FLIPKART</v>
      </c>
      <c r="D5417" s="115">
        <f>IFERROR(__xludf.DUMMYFUNCTION("""COMPUTED_VALUE"""),378084.0)</f>
        <v>378084</v>
      </c>
      <c r="E5417" s="115">
        <f>IFERROR(__xludf.DUMMYFUNCTION("""COMPUTED_VALUE"""),39927.0)</f>
        <v>39927</v>
      </c>
      <c r="F5417" s="115">
        <f>IFERROR(__xludf.DUMMYFUNCTION("""COMPUTED_VALUE"""),267165.0)</f>
        <v>267165</v>
      </c>
      <c r="G5417" s="115">
        <f>IFERROR(__xludf.DUMMYFUNCTION("""COMPUTED_VALUE"""),20954.0)</f>
        <v>20954</v>
      </c>
      <c r="H5417" s="116">
        <f>IFERROR(__xludf.DUMMYFUNCTION("""COMPUTED_VALUE"""),45910.0)</f>
        <v>45910</v>
      </c>
      <c r="I5417" s="115" t="str">
        <f>IFERROR(__xludf.DUMMYFUNCTION("""COMPUTED_VALUE"""),"18")</f>
        <v>18</v>
      </c>
      <c r="J5417" s="115"/>
      <c r="K5417" s="115">
        <f>IFERROR(__xludf.DUMMYFUNCTION("""COMPUTED_VALUE"""),418011.0)</f>
        <v>418011</v>
      </c>
    </row>
    <row r="5418">
      <c r="A5418" s="115" t="str">
        <f>IFERROR(__xludf.DUMMYFUNCTION("""COMPUTED_VALUE"""),"NORTH")</f>
        <v>NORTH</v>
      </c>
      <c r="B5418" s="115" t="str">
        <f>IFERROR(__xludf.DUMMYFUNCTION("""COMPUTED_VALUE"""),"Manoj Harsh")</f>
        <v>Manoj Harsh</v>
      </c>
      <c r="C5418" s="115" t="str">
        <f>IFERROR(__xludf.DUMMYFUNCTION("""COMPUTED_VALUE"""),"MYNTRA")</f>
        <v>MYNTRA</v>
      </c>
      <c r="D5418" s="115">
        <f>IFERROR(__xludf.DUMMYFUNCTION("""COMPUTED_VALUE"""),32342.0)</f>
        <v>32342</v>
      </c>
      <c r="E5418" s="115">
        <f>IFERROR(__xludf.DUMMYFUNCTION("""COMPUTED_VALUE"""),8095.0)</f>
        <v>8095</v>
      </c>
      <c r="F5418" s="115">
        <f>IFERROR(__xludf.DUMMYFUNCTION("""COMPUTED_VALUE"""),24638.0)</f>
        <v>24638</v>
      </c>
      <c r="G5418" s="115">
        <f>IFERROR(__xludf.DUMMYFUNCTION("""COMPUTED_VALUE"""),4851.0)</f>
        <v>4851</v>
      </c>
      <c r="H5418" s="116">
        <f>IFERROR(__xludf.DUMMYFUNCTION("""COMPUTED_VALUE"""),45910.0)</f>
        <v>45910</v>
      </c>
      <c r="I5418" s="115" t="str">
        <f>IFERROR(__xludf.DUMMYFUNCTION("""COMPUTED_VALUE"""),"18")</f>
        <v>18</v>
      </c>
      <c r="J5418" s="115"/>
      <c r="K5418" s="115">
        <f>IFERROR(__xludf.DUMMYFUNCTION("""COMPUTED_VALUE"""),40437.0)</f>
        <v>40437</v>
      </c>
    </row>
    <row r="5419">
      <c r="A5419" s="115" t="str">
        <f>IFERROR(__xludf.DUMMYFUNCTION("""COMPUTED_VALUE"""),"NORTH")</f>
        <v>NORTH</v>
      </c>
      <c r="B5419" s="115" t="str">
        <f>IFERROR(__xludf.DUMMYFUNCTION("""COMPUTED_VALUE"""),"Pradeep Kothari")</f>
        <v>Pradeep Kothari</v>
      </c>
      <c r="C5419" s="115" t="str">
        <f>IFERROR(__xludf.DUMMYFUNCTION("""COMPUTED_VALUE"""),"EXTERNAL")</f>
        <v>EXTERNAL</v>
      </c>
      <c r="D5419" s="115">
        <f>IFERROR(__xludf.DUMMYFUNCTION("""COMPUTED_VALUE"""),18080.0)</f>
        <v>18080</v>
      </c>
      <c r="E5419" s="115">
        <f>IFERROR(__xludf.DUMMYFUNCTION("""COMPUTED_VALUE"""),2375.0)</f>
        <v>2375</v>
      </c>
      <c r="F5419" s="115">
        <f>IFERROR(__xludf.DUMMYFUNCTION("""COMPUTED_VALUE"""),7195.0)</f>
        <v>7195</v>
      </c>
      <c r="G5419" s="115">
        <f>IFERROR(__xludf.DUMMYFUNCTION("""COMPUTED_VALUE"""),771.0)</f>
        <v>771</v>
      </c>
      <c r="H5419" s="116">
        <f>IFERROR(__xludf.DUMMYFUNCTION("""COMPUTED_VALUE"""),45910.0)</f>
        <v>45910</v>
      </c>
      <c r="I5419" s="115" t="str">
        <f>IFERROR(__xludf.DUMMYFUNCTION("""COMPUTED_VALUE"""),"18")</f>
        <v>18</v>
      </c>
      <c r="J5419" s="115"/>
      <c r="K5419" s="115">
        <f>IFERROR(__xludf.DUMMYFUNCTION("""COMPUTED_VALUE"""),20455.0)</f>
        <v>20455</v>
      </c>
    </row>
    <row r="5420">
      <c r="A5420" s="115" t="str">
        <f>IFERROR(__xludf.DUMMYFUNCTION("""COMPUTED_VALUE"""),"NORTH")</f>
        <v>NORTH</v>
      </c>
      <c r="B5420" s="115" t="str">
        <f>IFERROR(__xludf.DUMMYFUNCTION("""COMPUTED_VALUE"""),"Pradeep Kothari")</f>
        <v>Pradeep Kothari</v>
      </c>
      <c r="C5420" s="115" t="str">
        <f>IFERROR(__xludf.DUMMYFUNCTION("""COMPUTED_VALUE"""),"FLIPKART")</f>
        <v>FLIPKART</v>
      </c>
      <c r="D5420" s="115">
        <f>IFERROR(__xludf.DUMMYFUNCTION("""COMPUTED_VALUE"""),147019.0)</f>
        <v>147019</v>
      </c>
      <c r="E5420" s="115">
        <f>IFERROR(__xludf.DUMMYFUNCTION("""COMPUTED_VALUE"""),16737.0)</f>
        <v>16737</v>
      </c>
      <c r="F5420" s="115">
        <f>IFERROR(__xludf.DUMMYFUNCTION("""COMPUTED_VALUE"""),109094.0)</f>
        <v>109094</v>
      </c>
      <c r="G5420" s="115">
        <f>IFERROR(__xludf.DUMMYFUNCTION("""COMPUTED_VALUE"""),9994.0)</f>
        <v>9994</v>
      </c>
      <c r="H5420" s="116">
        <f>IFERROR(__xludf.DUMMYFUNCTION("""COMPUTED_VALUE"""),45910.0)</f>
        <v>45910</v>
      </c>
      <c r="I5420" s="115" t="str">
        <f>IFERROR(__xludf.DUMMYFUNCTION("""COMPUTED_VALUE"""),"18")</f>
        <v>18</v>
      </c>
      <c r="J5420" s="115"/>
      <c r="K5420" s="115">
        <f>IFERROR(__xludf.DUMMYFUNCTION("""COMPUTED_VALUE"""),163756.0)</f>
        <v>163756</v>
      </c>
    </row>
    <row r="5421">
      <c r="A5421" s="115" t="str">
        <f>IFERROR(__xludf.DUMMYFUNCTION("""COMPUTED_VALUE"""),"NORTH")</f>
        <v>NORTH</v>
      </c>
      <c r="B5421" s="115" t="str">
        <f>IFERROR(__xludf.DUMMYFUNCTION("""COMPUTED_VALUE"""),"Pradeep Kothari")</f>
        <v>Pradeep Kothari</v>
      </c>
      <c r="C5421" s="115" t="str">
        <f>IFERROR(__xludf.DUMMYFUNCTION("""COMPUTED_VALUE"""),"MYNTRA")</f>
        <v>MYNTRA</v>
      </c>
      <c r="D5421" s="115">
        <f>IFERROR(__xludf.DUMMYFUNCTION("""COMPUTED_VALUE"""),23235.0)</f>
        <v>23235</v>
      </c>
      <c r="E5421" s="115">
        <f>IFERROR(__xludf.DUMMYFUNCTION("""COMPUTED_VALUE"""),7184.0)</f>
        <v>7184</v>
      </c>
      <c r="F5421" s="115">
        <f>IFERROR(__xludf.DUMMYFUNCTION("""COMPUTED_VALUE"""),18770.0)</f>
        <v>18770</v>
      </c>
      <c r="G5421" s="115">
        <f>IFERROR(__xludf.DUMMYFUNCTION("""COMPUTED_VALUE"""),4839.0)</f>
        <v>4839</v>
      </c>
      <c r="H5421" s="116">
        <f>IFERROR(__xludf.DUMMYFUNCTION("""COMPUTED_VALUE"""),45910.0)</f>
        <v>45910</v>
      </c>
      <c r="I5421" s="115" t="str">
        <f>IFERROR(__xludf.DUMMYFUNCTION("""COMPUTED_VALUE"""),"18")</f>
        <v>18</v>
      </c>
      <c r="J5421" s="115"/>
      <c r="K5421" s="115">
        <f>IFERROR(__xludf.DUMMYFUNCTION("""COMPUTED_VALUE"""),30419.0)</f>
        <v>30419</v>
      </c>
    </row>
    <row r="5422">
      <c r="A5422" s="115" t="str">
        <f>IFERROR(__xludf.DUMMYFUNCTION("""COMPUTED_VALUE"""),"SOUTH")</f>
        <v>SOUTH</v>
      </c>
      <c r="B5422" s="115" t="str">
        <f>IFERROR(__xludf.DUMMYFUNCTION("""COMPUTED_VALUE"""),"0")</f>
        <v>0</v>
      </c>
      <c r="C5422" s="115" t="str">
        <f>IFERROR(__xludf.DUMMYFUNCTION("""COMPUTED_VALUE"""),"EXTERNAL")</f>
        <v>EXTERNAL</v>
      </c>
      <c r="D5422" s="115">
        <f>IFERROR(__xludf.DUMMYFUNCTION("""COMPUTED_VALUE"""),2.0)</f>
        <v>2</v>
      </c>
      <c r="E5422" s="115">
        <f>IFERROR(__xludf.DUMMYFUNCTION("""COMPUTED_VALUE"""),0.0)</f>
        <v>0</v>
      </c>
      <c r="F5422" s="115">
        <f>IFERROR(__xludf.DUMMYFUNCTION("""COMPUTED_VALUE"""),0.0)</f>
        <v>0</v>
      </c>
      <c r="G5422" s="115">
        <f>IFERROR(__xludf.DUMMYFUNCTION("""COMPUTED_VALUE"""),0.0)</f>
        <v>0</v>
      </c>
      <c r="H5422" s="116">
        <f>IFERROR(__xludf.DUMMYFUNCTION("""COMPUTED_VALUE"""),45910.0)</f>
        <v>45910</v>
      </c>
      <c r="I5422" s="115" t="str">
        <f>IFERROR(__xludf.DUMMYFUNCTION("""COMPUTED_VALUE"""),"18")</f>
        <v>18</v>
      </c>
      <c r="J5422" s="115"/>
      <c r="K5422" s="115">
        <f>IFERROR(__xludf.DUMMYFUNCTION("""COMPUTED_VALUE"""),2.0)</f>
        <v>2</v>
      </c>
    </row>
    <row r="5423">
      <c r="A5423" s="115" t="str">
        <f>IFERROR(__xludf.DUMMYFUNCTION("""COMPUTED_VALUE"""),"SOUTH")</f>
        <v>SOUTH</v>
      </c>
      <c r="B5423" s="115" t="str">
        <f>IFERROR(__xludf.DUMMYFUNCTION("""COMPUTED_VALUE"""),"0")</f>
        <v>0</v>
      </c>
      <c r="C5423" s="115" t="str">
        <f>IFERROR(__xludf.DUMMYFUNCTION("""COMPUTED_VALUE"""),"FLIPKART")</f>
        <v>FLIPKART</v>
      </c>
      <c r="D5423" s="115">
        <f>IFERROR(__xludf.DUMMYFUNCTION("""COMPUTED_VALUE"""),78.0)</f>
        <v>78</v>
      </c>
      <c r="E5423" s="115">
        <f>IFERROR(__xludf.DUMMYFUNCTION("""COMPUTED_VALUE"""),12.0)</f>
        <v>12</v>
      </c>
      <c r="F5423" s="115">
        <f>IFERROR(__xludf.DUMMYFUNCTION("""COMPUTED_VALUE"""),36.0)</f>
        <v>36</v>
      </c>
      <c r="G5423" s="115">
        <f>IFERROR(__xludf.DUMMYFUNCTION("""COMPUTED_VALUE"""),1.0)</f>
        <v>1</v>
      </c>
      <c r="H5423" s="116">
        <f>IFERROR(__xludf.DUMMYFUNCTION("""COMPUTED_VALUE"""),45910.0)</f>
        <v>45910</v>
      </c>
      <c r="I5423" s="115" t="str">
        <f>IFERROR(__xludf.DUMMYFUNCTION("""COMPUTED_VALUE"""),"18")</f>
        <v>18</v>
      </c>
      <c r="J5423" s="115"/>
      <c r="K5423" s="115">
        <f>IFERROR(__xludf.DUMMYFUNCTION("""COMPUTED_VALUE"""),90.0)</f>
        <v>90</v>
      </c>
    </row>
    <row r="5424">
      <c r="A5424" s="115" t="str">
        <f>IFERROR(__xludf.DUMMYFUNCTION("""COMPUTED_VALUE"""),"SOUTH")</f>
        <v>SOUTH</v>
      </c>
      <c r="B5424" s="115" t="str">
        <f>IFERROR(__xludf.DUMMYFUNCTION("""COMPUTED_VALUE"""),"0")</f>
        <v>0</v>
      </c>
      <c r="C5424" s="115" t="str">
        <f>IFERROR(__xludf.DUMMYFUNCTION("""COMPUTED_VALUE"""),"MYNTRA")</f>
        <v>MYNTRA</v>
      </c>
      <c r="D5424" s="115">
        <f>IFERROR(__xludf.DUMMYFUNCTION("""COMPUTED_VALUE"""),14.0)</f>
        <v>14</v>
      </c>
      <c r="E5424" s="115">
        <f>IFERROR(__xludf.DUMMYFUNCTION("""COMPUTED_VALUE"""),9.0)</f>
        <v>9</v>
      </c>
      <c r="F5424" s="115">
        <f>IFERROR(__xludf.DUMMYFUNCTION("""COMPUTED_VALUE"""),3.0)</f>
        <v>3</v>
      </c>
      <c r="G5424" s="115">
        <f>IFERROR(__xludf.DUMMYFUNCTION("""COMPUTED_VALUE"""),1.0)</f>
        <v>1</v>
      </c>
      <c r="H5424" s="116">
        <f>IFERROR(__xludf.DUMMYFUNCTION("""COMPUTED_VALUE"""),45910.0)</f>
        <v>45910</v>
      </c>
      <c r="I5424" s="115" t="str">
        <f>IFERROR(__xludf.DUMMYFUNCTION("""COMPUTED_VALUE"""),"18")</f>
        <v>18</v>
      </c>
      <c r="J5424" s="115"/>
      <c r="K5424" s="115">
        <f>IFERROR(__xludf.DUMMYFUNCTION("""COMPUTED_VALUE"""),23.0)</f>
        <v>23</v>
      </c>
    </row>
    <row r="5425">
      <c r="A5425" s="115" t="str">
        <f>IFERROR(__xludf.DUMMYFUNCTION("""COMPUTED_VALUE"""),"SOUTH")</f>
        <v>SOUTH</v>
      </c>
      <c r="B5425" s="115" t="str">
        <f>IFERROR(__xludf.DUMMYFUNCTION("""COMPUTED_VALUE"""),"Kandula Sampath")</f>
        <v>Kandula Sampath</v>
      </c>
      <c r="C5425" s="115" t="str">
        <f>IFERROR(__xludf.DUMMYFUNCTION("""COMPUTED_VALUE"""),"EXTERNAL")</f>
        <v>EXTERNAL</v>
      </c>
      <c r="D5425" s="115">
        <f>IFERROR(__xludf.DUMMYFUNCTION("""COMPUTED_VALUE"""),30922.0)</f>
        <v>30922</v>
      </c>
      <c r="E5425" s="115">
        <f>IFERROR(__xludf.DUMMYFUNCTION("""COMPUTED_VALUE"""),4289.0)</f>
        <v>4289</v>
      </c>
      <c r="F5425" s="115">
        <f>IFERROR(__xludf.DUMMYFUNCTION("""COMPUTED_VALUE"""),12697.0)</f>
        <v>12697</v>
      </c>
      <c r="G5425" s="115">
        <f>IFERROR(__xludf.DUMMYFUNCTION("""COMPUTED_VALUE"""),1231.0)</f>
        <v>1231</v>
      </c>
      <c r="H5425" s="116">
        <f>IFERROR(__xludf.DUMMYFUNCTION("""COMPUTED_VALUE"""),45910.0)</f>
        <v>45910</v>
      </c>
      <c r="I5425" s="115" t="str">
        <f>IFERROR(__xludf.DUMMYFUNCTION("""COMPUTED_VALUE"""),"18")</f>
        <v>18</v>
      </c>
      <c r="J5425" s="115"/>
      <c r="K5425" s="115">
        <f>IFERROR(__xludf.DUMMYFUNCTION("""COMPUTED_VALUE"""),35211.0)</f>
        <v>35211</v>
      </c>
    </row>
    <row r="5426">
      <c r="A5426" s="115" t="str">
        <f>IFERROR(__xludf.DUMMYFUNCTION("""COMPUTED_VALUE"""),"SOUTH")</f>
        <v>SOUTH</v>
      </c>
      <c r="B5426" s="115" t="str">
        <f>IFERROR(__xludf.DUMMYFUNCTION("""COMPUTED_VALUE"""),"Kandula Sampath")</f>
        <v>Kandula Sampath</v>
      </c>
      <c r="C5426" s="115" t="str">
        <f>IFERROR(__xludf.DUMMYFUNCTION("""COMPUTED_VALUE"""),"FLIPKART")</f>
        <v>FLIPKART</v>
      </c>
      <c r="D5426" s="115">
        <f>IFERROR(__xludf.DUMMYFUNCTION("""COMPUTED_VALUE"""),319084.0)</f>
        <v>319084</v>
      </c>
      <c r="E5426" s="115">
        <f>IFERROR(__xludf.DUMMYFUNCTION("""COMPUTED_VALUE"""),31845.0)</f>
        <v>31845</v>
      </c>
      <c r="F5426" s="115">
        <f>IFERROR(__xludf.DUMMYFUNCTION("""COMPUTED_VALUE"""),221045.0)</f>
        <v>221045</v>
      </c>
      <c r="G5426" s="115">
        <f>IFERROR(__xludf.DUMMYFUNCTION("""COMPUTED_VALUE"""),14129.0)</f>
        <v>14129</v>
      </c>
      <c r="H5426" s="116">
        <f>IFERROR(__xludf.DUMMYFUNCTION("""COMPUTED_VALUE"""),45910.0)</f>
        <v>45910</v>
      </c>
      <c r="I5426" s="115" t="str">
        <f>IFERROR(__xludf.DUMMYFUNCTION("""COMPUTED_VALUE"""),"18")</f>
        <v>18</v>
      </c>
      <c r="J5426" s="115"/>
      <c r="K5426" s="115">
        <f>IFERROR(__xludf.DUMMYFUNCTION("""COMPUTED_VALUE"""),350929.0)</f>
        <v>350929</v>
      </c>
    </row>
    <row r="5427">
      <c r="A5427" s="115" t="str">
        <f>IFERROR(__xludf.DUMMYFUNCTION("""COMPUTED_VALUE"""),"SOUTH")</f>
        <v>SOUTH</v>
      </c>
      <c r="B5427" s="115" t="str">
        <f>IFERROR(__xludf.DUMMYFUNCTION("""COMPUTED_VALUE"""),"Kandula Sampath")</f>
        <v>Kandula Sampath</v>
      </c>
      <c r="C5427" s="115" t="str">
        <f>IFERROR(__xludf.DUMMYFUNCTION("""COMPUTED_VALUE"""),"MYNTRA")</f>
        <v>MYNTRA</v>
      </c>
      <c r="D5427" s="115">
        <f>IFERROR(__xludf.DUMMYFUNCTION("""COMPUTED_VALUE"""),35212.0)</f>
        <v>35212</v>
      </c>
      <c r="E5427" s="115">
        <f>IFERROR(__xludf.DUMMYFUNCTION("""COMPUTED_VALUE"""),9686.0)</f>
        <v>9686</v>
      </c>
      <c r="F5427" s="115">
        <f>IFERROR(__xludf.DUMMYFUNCTION("""COMPUTED_VALUE"""),26720.0)</f>
        <v>26720</v>
      </c>
      <c r="G5427" s="115">
        <f>IFERROR(__xludf.DUMMYFUNCTION("""COMPUTED_VALUE"""),4507.0)</f>
        <v>4507</v>
      </c>
      <c r="H5427" s="116">
        <f>IFERROR(__xludf.DUMMYFUNCTION("""COMPUTED_VALUE"""),45910.0)</f>
        <v>45910</v>
      </c>
      <c r="I5427" s="115" t="str">
        <f>IFERROR(__xludf.DUMMYFUNCTION("""COMPUTED_VALUE"""),"18")</f>
        <v>18</v>
      </c>
      <c r="J5427" s="115"/>
      <c r="K5427" s="115">
        <f>IFERROR(__xludf.DUMMYFUNCTION("""COMPUTED_VALUE"""),44898.0)</f>
        <v>44898</v>
      </c>
    </row>
    <row r="5428">
      <c r="A5428" s="115" t="str">
        <f>IFERROR(__xludf.DUMMYFUNCTION("""COMPUTED_VALUE"""),"SOUTH")</f>
        <v>SOUTH</v>
      </c>
      <c r="B5428" s="115" t="str">
        <f>IFERROR(__xludf.DUMMYFUNCTION("""COMPUTED_VALUE"""),"Martin A")</f>
        <v>Martin A</v>
      </c>
      <c r="C5428" s="115" t="str">
        <f>IFERROR(__xludf.DUMMYFUNCTION("""COMPUTED_VALUE"""),"EXTERNAL")</f>
        <v>EXTERNAL</v>
      </c>
      <c r="D5428" s="115">
        <f>IFERROR(__xludf.DUMMYFUNCTION("""COMPUTED_VALUE"""),32018.0)</f>
        <v>32018</v>
      </c>
      <c r="E5428" s="115">
        <f>IFERROR(__xludf.DUMMYFUNCTION("""COMPUTED_VALUE"""),4222.0)</f>
        <v>4222</v>
      </c>
      <c r="F5428" s="115">
        <f>IFERROR(__xludf.DUMMYFUNCTION("""COMPUTED_VALUE"""),13011.0)</f>
        <v>13011</v>
      </c>
      <c r="G5428" s="115">
        <f>IFERROR(__xludf.DUMMYFUNCTION("""COMPUTED_VALUE"""),1612.0)</f>
        <v>1612</v>
      </c>
      <c r="H5428" s="116">
        <f>IFERROR(__xludf.DUMMYFUNCTION("""COMPUTED_VALUE"""),45910.0)</f>
        <v>45910</v>
      </c>
      <c r="I5428" s="115" t="str">
        <f>IFERROR(__xludf.DUMMYFUNCTION("""COMPUTED_VALUE"""),"18")</f>
        <v>18</v>
      </c>
      <c r="J5428" s="115"/>
      <c r="K5428" s="115">
        <f>IFERROR(__xludf.DUMMYFUNCTION("""COMPUTED_VALUE"""),36240.0)</f>
        <v>36240</v>
      </c>
    </row>
    <row r="5429">
      <c r="A5429" s="115" t="str">
        <f>IFERROR(__xludf.DUMMYFUNCTION("""COMPUTED_VALUE"""),"SOUTH")</f>
        <v>SOUTH</v>
      </c>
      <c r="B5429" s="115" t="str">
        <f>IFERROR(__xludf.DUMMYFUNCTION("""COMPUTED_VALUE"""),"Martin A")</f>
        <v>Martin A</v>
      </c>
      <c r="C5429" s="115" t="str">
        <f>IFERROR(__xludf.DUMMYFUNCTION("""COMPUTED_VALUE"""),"FLIPKART")</f>
        <v>FLIPKART</v>
      </c>
      <c r="D5429" s="115">
        <f>IFERROR(__xludf.DUMMYFUNCTION("""COMPUTED_VALUE"""),298639.0)</f>
        <v>298639</v>
      </c>
      <c r="E5429" s="115">
        <f>IFERROR(__xludf.DUMMYFUNCTION("""COMPUTED_VALUE"""),27751.0)</f>
        <v>27751</v>
      </c>
      <c r="F5429" s="115">
        <f>IFERROR(__xludf.DUMMYFUNCTION("""COMPUTED_VALUE"""),204365.0)</f>
        <v>204365</v>
      </c>
      <c r="G5429" s="115">
        <f>IFERROR(__xludf.DUMMYFUNCTION("""COMPUTED_VALUE"""),13564.0)</f>
        <v>13564</v>
      </c>
      <c r="H5429" s="116">
        <f>IFERROR(__xludf.DUMMYFUNCTION("""COMPUTED_VALUE"""),45910.0)</f>
        <v>45910</v>
      </c>
      <c r="I5429" s="115" t="str">
        <f>IFERROR(__xludf.DUMMYFUNCTION("""COMPUTED_VALUE"""),"18")</f>
        <v>18</v>
      </c>
      <c r="J5429" s="115"/>
      <c r="K5429" s="115">
        <f>IFERROR(__xludf.DUMMYFUNCTION("""COMPUTED_VALUE"""),326390.0)</f>
        <v>326390</v>
      </c>
    </row>
    <row r="5430">
      <c r="A5430" s="115" t="str">
        <f>IFERROR(__xludf.DUMMYFUNCTION("""COMPUTED_VALUE"""),"SOUTH")</f>
        <v>SOUTH</v>
      </c>
      <c r="B5430" s="115" t="str">
        <f>IFERROR(__xludf.DUMMYFUNCTION("""COMPUTED_VALUE"""),"Martin A")</f>
        <v>Martin A</v>
      </c>
      <c r="C5430" s="115" t="str">
        <f>IFERROR(__xludf.DUMMYFUNCTION("""COMPUTED_VALUE"""),"MYNTRA")</f>
        <v>MYNTRA</v>
      </c>
      <c r="D5430" s="115">
        <f>IFERROR(__xludf.DUMMYFUNCTION("""COMPUTED_VALUE"""),29148.0)</f>
        <v>29148</v>
      </c>
      <c r="E5430" s="115">
        <f>IFERROR(__xludf.DUMMYFUNCTION("""COMPUTED_VALUE"""),7193.0)</f>
        <v>7193</v>
      </c>
      <c r="F5430" s="115">
        <f>IFERROR(__xludf.DUMMYFUNCTION("""COMPUTED_VALUE"""),22649.0)</f>
        <v>22649</v>
      </c>
      <c r="G5430" s="115">
        <f>IFERROR(__xludf.DUMMYFUNCTION("""COMPUTED_VALUE"""),3871.0)</f>
        <v>3871</v>
      </c>
      <c r="H5430" s="116">
        <f>IFERROR(__xludf.DUMMYFUNCTION("""COMPUTED_VALUE"""),45910.0)</f>
        <v>45910</v>
      </c>
      <c r="I5430" s="115" t="str">
        <f>IFERROR(__xludf.DUMMYFUNCTION("""COMPUTED_VALUE"""),"18")</f>
        <v>18</v>
      </c>
      <c r="J5430" s="115"/>
      <c r="K5430" s="115">
        <f>IFERROR(__xludf.DUMMYFUNCTION("""COMPUTED_VALUE"""),36341.0)</f>
        <v>36341</v>
      </c>
    </row>
    <row r="5431">
      <c r="A5431" s="115" t="str">
        <f>IFERROR(__xludf.DUMMYFUNCTION("""COMPUTED_VALUE"""),"SOUTH")</f>
        <v>SOUTH</v>
      </c>
      <c r="B5431" s="115" t="str">
        <f>IFERROR(__xludf.DUMMYFUNCTION("""COMPUTED_VALUE"""),"Premkumar M")</f>
        <v>Premkumar M</v>
      </c>
      <c r="C5431" s="115" t="str">
        <f>IFERROR(__xludf.DUMMYFUNCTION("""COMPUTED_VALUE"""),"EXTERNAL")</f>
        <v>EXTERNAL</v>
      </c>
      <c r="D5431" s="115">
        <f>IFERROR(__xludf.DUMMYFUNCTION("""COMPUTED_VALUE"""),25856.0)</f>
        <v>25856</v>
      </c>
      <c r="E5431" s="115">
        <f>IFERROR(__xludf.DUMMYFUNCTION("""COMPUTED_VALUE"""),2131.0)</f>
        <v>2131</v>
      </c>
      <c r="F5431" s="115">
        <f>IFERROR(__xludf.DUMMYFUNCTION("""COMPUTED_VALUE"""),11119.0)</f>
        <v>11119</v>
      </c>
      <c r="G5431" s="115">
        <f>IFERROR(__xludf.DUMMYFUNCTION("""COMPUTED_VALUE"""),451.0)</f>
        <v>451</v>
      </c>
      <c r="H5431" s="116">
        <f>IFERROR(__xludf.DUMMYFUNCTION("""COMPUTED_VALUE"""),45910.0)</f>
        <v>45910</v>
      </c>
      <c r="I5431" s="115" t="str">
        <f>IFERROR(__xludf.DUMMYFUNCTION("""COMPUTED_VALUE"""),"18")</f>
        <v>18</v>
      </c>
      <c r="J5431" s="115"/>
      <c r="K5431" s="115">
        <f>IFERROR(__xludf.DUMMYFUNCTION("""COMPUTED_VALUE"""),27987.0)</f>
        <v>27987</v>
      </c>
    </row>
    <row r="5432">
      <c r="A5432" s="115" t="str">
        <f>IFERROR(__xludf.DUMMYFUNCTION("""COMPUTED_VALUE"""),"SOUTH")</f>
        <v>SOUTH</v>
      </c>
      <c r="B5432" s="115" t="str">
        <f>IFERROR(__xludf.DUMMYFUNCTION("""COMPUTED_VALUE"""),"Premkumar M")</f>
        <v>Premkumar M</v>
      </c>
      <c r="C5432" s="115" t="str">
        <f>IFERROR(__xludf.DUMMYFUNCTION("""COMPUTED_VALUE"""),"FLIPKART")</f>
        <v>FLIPKART</v>
      </c>
      <c r="D5432" s="115">
        <f>IFERROR(__xludf.DUMMYFUNCTION("""COMPUTED_VALUE"""),276370.0)</f>
        <v>276370</v>
      </c>
      <c r="E5432" s="115">
        <f>IFERROR(__xludf.DUMMYFUNCTION("""COMPUTED_VALUE"""),18855.0)</f>
        <v>18855</v>
      </c>
      <c r="F5432" s="115">
        <f>IFERROR(__xludf.DUMMYFUNCTION("""COMPUTED_VALUE"""),184450.0)</f>
        <v>184450</v>
      </c>
      <c r="G5432" s="115">
        <f>IFERROR(__xludf.DUMMYFUNCTION("""COMPUTED_VALUE"""),5425.0)</f>
        <v>5425</v>
      </c>
      <c r="H5432" s="116">
        <f>IFERROR(__xludf.DUMMYFUNCTION("""COMPUTED_VALUE"""),45910.0)</f>
        <v>45910</v>
      </c>
      <c r="I5432" s="115" t="str">
        <f>IFERROR(__xludf.DUMMYFUNCTION("""COMPUTED_VALUE"""),"18")</f>
        <v>18</v>
      </c>
      <c r="J5432" s="115"/>
      <c r="K5432" s="115">
        <f>IFERROR(__xludf.DUMMYFUNCTION("""COMPUTED_VALUE"""),295225.0)</f>
        <v>295225</v>
      </c>
    </row>
    <row r="5433">
      <c r="A5433" s="115" t="str">
        <f>IFERROR(__xludf.DUMMYFUNCTION("""COMPUTED_VALUE"""),"SOUTH")</f>
        <v>SOUTH</v>
      </c>
      <c r="B5433" s="115" t="str">
        <f>IFERROR(__xludf.DUMMYFUNCTION("""COMPUTED_VALUE"""),"Premkumar M")</f>
        <v>Premkumar M</v>
      </c>
      <c r="C5433" s="115" t="str">
        <f>IFERROR(__xludf.DUMMYFUNCTION("""COMPUTED_VALUE"""),"MYNTRA")</f>
        <v>MYNTRA</v>
      </c>
      <c r="D5433" s="115">
        <f>IFERROR(__xludf.DUMMYFUNCTION("""COMPUTED_VALUE"""),14076.0)</f>
        <v>14076</v>
      </c>
      <c r="E5433" s="115">
        <f>IFERROR(__xludf.DUMMYFUNCTION("""COMPUTED_VALUE"""),3054.0)</f>
        <v>3054</v>
      </c>
      <c r="F5433" s="115">
        <f>IFERROR(__xludf.DUMMYFUNCTION("""COMPUTED_VALUE"""),10469.0)</f>
        <v>10469</v>
      </c>
      <c r="G5433" s="115">
        <f>IFERROR(__xludf.DUMMYFUNCTION("""COMPUTED_VALUE"""),992.0)</f>
        <v>992</v>
      </c>
      <c r="H5433" s="116">
        <f>IFERROR(__xludf.DUMMYFUNCTION("""COMPUTED_VALUE"""),45910.0)</f>
        <v>45910</v>
      </c>
      <c r="I5433" s="115" t="str">
        <f>IFERROR(__xludf.DUMMYFUNCTION("""COMPUTED_VALUE"""),"18")</f>
        <v>18</v>
      </c>
      <c r="J5433" s="115"/>
      <c r="K5433" s="115">
        <f>IFERROR(__xludf.DUMMYFUNCTION("""COMPUTED_VALUE"""),17130.0)</f>
        <v>17130</v>
      </c>
    </row>
    <row r="5434">
      <c r="A5434" s="115" t="str">
        <f>IFERROR(__xludf.DUMMYFUNCTION("""COMPUTED_VALUE"""),"SOUTH")</f>
        <v>SOUTH</v>
      </c>
      <c r="B5434" s="115" t="str">
        <f>IFERROR(__xludf.DUMMYFUNCTION("""COMPUTED_VALUE"""),"Vineeth V")</f>
        <v>Vineeth V</v>
      </c>
      <c r="C5434" s="115" t="str">
        <f>IFERROR(__xludf.DUMMYFUNCTION("""COMPUTED_VALUE"""),"EXTERNAL")</f>
        <v>EXTERNAL</v>
      </c>
      <c r="D5434" s="115">
        <f>IFERROR(__xludf.DUMMYFUNCTION("""COMPUTED_VALUE"""),17917.0)</f>
        <v>17917</v>
      </c>
      <c r="E5434" s="115">
        <f>IFERROR(__xludf.DUMMYFUNCTION("""COMPUTED_VALUE"""),683.0)</f>
        <v>683</v>
      </c>
      <c r="F5434" s="115">
        <f>IFERROR(__xludf.DUMMYFUNCTION("""COMPUTED_VALUE"""),8393.0)</f>
        <v>8393</v>
      </c>
      <c r="G5434" s="115">
        <f>IFERROR(__xludf.DUMMYFUNCTION("""COMPUTED_VALUE"""),262.0)</f>
        <v>262</v>
      </c>
      <c r="H5434" s="116">
        <f>IFERROR(__xludf.DUMMYFUNCTION("""COMPUTED_VALUE"""),45910.0)</f>
        <v>45910</v>
      </c>
      <c r="I5434" s="115" t="str">
        <f>IFERROR(__xludf.DUMMYFUNCTION("""COMPUTED_VALUE"""),"18")</f>
        <v>18</v>
      </c>
      <c r="J5434" s="115"/>
      <c r="K5434" s="115">
        <f>IFERROR(__xludf.DUMMYFUNCTION("""COMPUTED_VALUE"""),18600.0)</f>
        <v>18600</v>
      </c>
    </row>
    <row r="5435">
      <c r="A5435" s="115" t="str">
        <f>IFERROR(__xludf.DUMMYFUNCTION("""COMPUTED_VALUE"""),"SOUTH")</f>
        <v>SOUTH</v>
      </c>
      <c r="B5435" s="115" t="str">
        <f>IFERROR(__xludf.DUMMYFUNCTION("""COMPUTED_VALUE"""),"Vineeth V")</f>
        <v>Vineeth V</v>
      </c>
      <c r="C5435" s="115" t="str">
        <f>IFERROR(__xludf.DUMMYFUNCTION("""COMPUTED_VALUE"""),"FLIPKART")</f>
        <v>FLIPKART</v>
      </c>
      <c r="D5435" s="115">
        <f>IFERROR(__xludf.DUMMYFUNCTION("""COMPUTED_VALUE"""),189908.0)</f>
        <v>189908</v>
      </c>
      <c r="E5435" s="115">
        <f>IFERROR(__xludf.DUMMYFUNCTION("""COMPUTED_VALUE"""),16077.0)</f>
        <v>16077</v>
      </c>
      <c r="F5435" s="115">
        <f>IFERROR(__xludf.DUMMYFUNCTION("""COMPUTED_VALUE"""),145328.0)</f>
        <v>145328</v>
      </c>
      <c r="G5435" s="115">
        <f>IFERROR(__xludf.DUMMYFUNCTION("""COMPUTED_VALUE"""),6921.0)</f>
        <v>6921</v>
      </c>
      <c r="H5435" s="116">
        <f>IFERROR(__xludf.DUMMYFUNCTION("""COMPUTED_VALUE"""),45910.0)</f>
        <v>45910</v>
      </c>
      <c r="I5435" s="115" t="str">
        <f>IFERROR(__xludf.DUMMYFUNCTION("""COMPUTED_VALUE"""),"18")</f>
        <v>18</v>
      </c>
      <c r="J5435" s="115"/>
      <c r="K5435" s="115">
        <f>IFERROR(__xludf.DUMMYFUNCTION("""COMPUTED_VALUE"""),205985.0)</f>
        <v>205985</v>
      </c>
    </row>
    <row r="5436">
      <c r="A5436" s="115" t="str">
        <f>IFERROR(__xludf.DUMMYFUNCTION("""COMPUTED_VALUE"""),"SOUTH")</f>
        <v>SOUTH</v>
      </c>
      <c r="B5436" s="115" t="str">
        <f>IFERROR(__xludf.DUMMYFUNCTION("""COMPUTED_VALUE"""),"Vineeth V")</f>
        <v>Vineeth V</v>
      </c>
      <c r="C5436" s="115" t="str">
        <f>IFERROR(__xludf.DUMMYFUNCTION("""COMPUTED_VALUE"""),"MYNTRA")</f>
        <v>MYNTRA</v>
      </c>
      <c r="D5436" s="115">
        <f>IFERROR(__xludf.DUMMYFUNCTION("""COMPUTED_VALUE"""),15217.0)</f>
        <v>15217</v>
      </c>
      <c r="E5436" s="115">
        <f>IFERROR(__xludf.DUMMYFUNCTION("""COMPUTED_VALUE"""),3961.0)</f>
        <v>3961</v>
      </c>
      <c r="F5436" s="115">
        <f>IFERROR(__xludf.DUMMYFUNCTION("""COMPUTED_VALUE"""),12325.0)</f>
        <v>12325</v>
      </c>
      <c r="G5436" s="115">
        <f>IFERROR(__xludf.DUMMYFUNCTION("""COMPUTED_VALUE"""),1794.0)</f>
        <v>1794</v>
      </c>
      <c r="H5436" s="116">
        <f>IFERROR(__xludf.DUMMYFUNCTION("""COMPUTED_VALUE"""),45910.0)</f>
        <v>45910</v>
      </c>
      <c r="I5436" s="115" t="str">
        <f>IFERROR(__xludf.DUMMYFUNCTION("""COMPUTED_VALUE"""),"18")</f>
        <v>18</v>
      </c>
      <c r="J5436" s="115"/>
      <c r="K5436" s="115">
        <f>IFERROR(__xludf.DUMMYFUNCTION("""COMPUTED_VALUE"""),19178.0)</f>
        <v>19178</v>
      </c>
    </row>
    <row r="5437">
      <c r="A5437" s="115" t="str">
        <f>IFERROR(__xludf.DUMMYFUNCTION("""COMPUTED_VALUE"""),"WEST")</f>
        <v>WEST</v>
      </c>
      <c r="B5437" s="115" t="str">
        <f>IFERROR(__xludf.DUMMYFUNCTION("""COMPUTED_VALUE"""),"Ashish Jakar")</f>
        <v>Ashish Jakar</v>
      </c>
      <c r="C5437" s="115" t="str">
        <f>IFERROR(__xludf.DUMMYFUNCTION("""COMPUTED_VALUE"""),"EXTERNAL")</f>
        <v>EXTERNAL</v>
      </c>
      <c r="D5437" s="115">
        <f>IFERROR(__xludf.DUMMYFUNCTION("""COMPUTED_VALUE"""),63961.0)</f>
        <v>63961</v>
      </c>
      <c r="E5437" s="115">
        <f>IFERROR(__xludf.DUMMYFUNCTION("""COMPUTED_VALUE"""),6033.0)</f>
        <v>6033</v>
      </c>
      <c r="F5437" s="115">
        <f>IFERROR(__xludf.DUMMYFUNCTION("""COMPUTED_VALUE"""),26220.0)</f>
        <v>26220</v>
      </c>
      <c r="G5437" s="115">
        <f>IFERROR(__xludf.DUMMYFUNCTION("""COMPUTED_VALUE"""),2292.0)</f>
        <v>2292</v>
      </c>
      <c r="H5437" s="116">
        <f>IFERROR(__xludf.DUMMYFUNCTION("""COMPUTED_VALUE"""),45910.0)</f>
        <v>45910</v>
      </c>
      <c r="I5437" s="115" t="str">
        <f>IFERROR(__xludf.DUMMYFUNCTION("""COMPUTED_VALUE"""),"18")</f>
        <v>18</v>
      </c>
      <c r="J5437" s="115"/>
      <c r="K5437" s="115">
        <f>IFERROR(__xludf.DUMMYFUNCTION("""COMPUTED_VALUE"""),69994.0)</f>
        <v>69994</v>
      </c>
    </row>
    <row r="5438">
      <c r="A5438" s="115" t="str">
        <f>IFERROR(__xludf.DUMMYFUNCTION("""COMPUTED_VALUE"""),"WEST")</f>
        <v>WEST</v>
      </c>
      <c r="B5438" s="115" t="str">
        <f>IFERROR(__xludf.DUMMYFUNCTION("""COMPUTED_VALUE"""),"Ashish Jakar")</f>
        <v>Ashish Jakar</v>
      </c>
      <c r="C5438" s="115" t="str">
        <f>IFERROR(__xludf.DUMMYFUNCTION("""COMPUTED_VALUE"""),"FLIPKART")</f>
        <v>FLIPKART</v>
      </c>
      <c r="D5438" s="115">
        <f>IFERROR(__xludf.DUMMYFUNCTION("""COMPUTED_VALUE"""),403130.0)</f>
        <v>403130</v>
      </c>
      <c r="E5438" s="115">
        <f>IFERROR(__xludf.DUMMYFUNCTION("""COMPUTED_VALUE"""),33559.0)</f>
        <v>33559</v>
      </c>
      <c r="F5438" s="115">
        <f>IFERROR(__xludf.DUMMYFUNCTION("""COMPUTED_VALUE"""),264484.0)</f>
        <v>264484</v>
      </c>
      <c r="G5438" s="115">
        <f>IFERROR(__xludf.DUMMYFUNCTION("""COMPUTED_VALUE"""),15684.0)</f>
        <v>15684</v>
      </c>
      <c r="H5438" s="116">
        <f>IFERROR(__xludf.DUMMYFUNCTION("""COMPUTED_VALUE"""),45910.0)</f>
        <v>45910</v>
      </c>
      <c r="I5438" s="115" t="str">
        <f>IFERROR(__xludf.DUMMYFUNCTION("""COMPUTED_VALUE"""),"18")</f>
        <v>18</v>
      </c>
      <c r="J5438" s="115"/>
      <c r="K5438" s="115">
        <f>IFERROR(__xludf.DUMMYFUNCTION("""COMPUTED_VALUE"""),436689.0)</f>
        <v>436689</v>
      </c>
    </row>
    <row r="5439">
      <c r="A5439" s="115" t="str">
        <f>IFERROR(__xludf.DUMMYFUNCTION("""COMPUTED_VALUE"""),"WEST")</f>
        <v>WEST</v>
      </c>
      <c r="B5439" s="115" t="str">
        <f>IFERROR(__xludf.DUMMYFUNCTION("""COMPUTED_VALUE"""),"Ashish Jakar")</f>
        <v>Ashish Jakar</v>
      </c>
      <c r="C5439" s="115" t="str">
        <f>IFERROR(__xludf.DUMMYFUNCTION("""COMPUTED_VALUE"""),"MYNTRA")</f>
        <v>MYNTRA</v>
      </c>
      <c r="D5439" s="115">
        <f>IFERROR(__xludf.DUMMYFUNCTION("""COMPUTED_VALUE"""),46176.0)</f>
        <v>46176</v>
      </c>
      <c r="E5439" s="115">
        <f>IFERROR(__xludf.DUMMYFUNCTION("""COMPUTED_VALUE"""),11456.0)</f>
        <v>11456</v>
      </c>
      <c r="F5439" s="115">
        <f>IFERROR(__xludf.DUMMYFUNCTION("""COMPUTED_VALUE"""),34474.0)</f>
        <v>34474</v>
      </c>
      <c r="G5439" s="115">
        <f>IFERROR(__xludf.DUMMYFUNCTION("""COMPUTED_VALUE"""),5895.0)</f>
        <v>5895</v>
      </c>
      <c r="H5439" s="116">
        <f>IFERROR(__xludf.DUMMYFUNCTION("""COMPUTED_VALUE"""),45910.0)</f>
        <v>45910</v>
      </c>
      <c r="I5439" s="115" t="str">
        <f>IFERROR(__xludf.DUMMYFUNCTION("""COMPUTED_VALUE"""),"18")</f>
        <v>18</v>
      </c>
      <c r="J5439" s="115"/>
      <c r="K5439" s="115">
        <f>IFERROR(__xludf.DUMMYFUNCTION("""COMPUTED_VALUE"""),57632.0)</f>
        <v>57632</v>
      </c>
    </row>
    <row r="5440">
      <c r="A5440" s="115" t="str">
        <f>IFERROR(__xludf.DUMMYFUNCTION("""COMPUTED_VALUE"""),"WEST")</f>
        <v>WEST</v>
      </c>
      <c r="B5440" s="115" t="str">
        <f>IFERROR(__xludf.DUMMYFUNCTION("""COMPUTED_VALUE"""),"Ashvani Bhatt")</f>
        <v>Ashvani Bhatt</v>
      </c>
      <c r="C5440" s="115" t="str">
        <f>IFERROR(__xludf.DUMMYFUNCTION("""COMPUTED_VALUE"""),"EXTERNAL")</f>
        <v>EXTERNAL</v>
      </c>
      <c r="D5440" s="115">
        <f>IFERROR(__xludf.DUMMYFUNCTION("""COMPUTED_VALUE"""),39984.0)</f>
        <v>39984</v>
      </c>
      <c r="E5440" s="115">
        <f>IFERROR(__xludf.DUMMYFUNCTION("""COMPUTED_VALUE"""),3181.0)</f>
        <v>3181</v>
      </c>
      <c r="F5440" s="115">
        <f>IFERROR(__xludf.DUMMYFUNCTION("""COMPUTED_VALUE"""),16237.0)</f>
        <v>16237</v>
      </c>
      <c r="G5440" s="115">
        <f>IFERROR(__xludf.DUMMYFUNCTION("""COMPUTED_VALUE"""),1175.0)</f>
        <v>1175</v>
      </c>
      <c r="H5440" s="116">
        <f>IFERROR(__xludf.DUMMYFUNCTION("""COMPUTED_VALUE"""),45910.0)</f>
        <v>45910</v>
      </c>
      <c r="I5440" s="115" t="str">
        <f>IFERROR(__xludf.DUMMYFUNCTION("""COMPUTED_VALUE"""),"18")</f>
        <v>18</v>
      </c>
      <c r="J5440" s="115"/>
      <c r="K5440" s="115">
        <f>IFERROR(__xludf.DUMMYFUNCTION("""COMPUTED_VALUE"""),43165.0)</f>
        <v>43165</v>
      </c>
    </row>
    <row r="5441">
      <c r="A5441" s="115" t="str">
        <f>IFERROR(__xludf.DUMMYFUNCTION("""COMPUTED_VALUE"""),"WEST")</f>
        <v>WEST</v>
      </c>
      <c r="B5441" s="115" t="str">
        <f>IFERROR(__xludf.DUMMYFUNCTION("""COMPUTED_VALUE"""),"Ashvani Bhatt")</f>
        <v>Ashvani Bhatt</v>
      </c>
      <c r="C5441" s="115" t="str">
        <f>IFERROR(__xludf.DUMMYFUNCTION("""COMPUTED_VALUE"""),"FLIPKART")</f>
        <v>FLIPKART</v>
      </c>
      <c r="D5441" s="115">
        <f>IFERROR(__xludf.DUMMYFUNCTION("""COMPUTED_VALUE"""),280897.0)</f>
        <v>280897</v>
      </c>
      <c r="E5441" s="115">
        <f>IFERROR(__xludf.DUMMYFUNCTION("""COMPUTED_VALUE"""),30073.0)</f>
        <v>30073</v>
      </c>
      <c r="F5441" s="115">
        <f>IFERROR(__xludf.DUMMYFUNCTION("""COMPUTED_VALUE"""),200573.0)</f>
        <v>200573</v>
      </c>
      <c r="G5441" s="115">
        <f>IFERROR(__xludf.DUMMYFUNCTION("""COMPUTED_VALUE"""),15588.0)</f>
        <v>15588</v>
      </c>
      <c r="H5441" s="116">
        <f>IFERROR(__xludf.DUMMYFUNCTION("""COMPUTED_VALUE"""),45910.0)</f>
        <v>45910</v>
      </c>
      <c r="I5441" s="115" t="str">
        <f>IFERROR(__xludf.DUMMYFUNCTION("""COMPUTED_VALUE"""),"18")</f>
        <v>18</v>
      </c>
      <c r="J5441" s="115"/>
      <c r="K5441" s="115">
        <f>IFERROR(__xludf.DUMMYFUNCTION("""COMPUTED_VALUE"""),310970.0)</f>
        <v>310970</v>
      </c>
    </row>
    <row r="5442">
      <c r="A5442" s="115" t="str">
        <f>IFERROR(__xludf.DUMMYFUNCTION("""COMPUTED_VALUE"""),"WEST")</f>
        <v>WEST</v>
      </c>
      <c r="B5442" s="115" t="str">
        <f>IFERROR(__xludf.DUMMYFUNCTION("""COMPUTED_VALUE"""),"Ashvani Bhatt")</f>
        <v>Ashvani Bhatt</v>
      </c>
      <c r="C5442" s="115" t="str">
        <f>IFERROR(__xludf.DUMMYFUNCTION("""COMPUTED_VALUE"""),"MYNTRA")</f>
        <v>MYNTRA</v>
      </c>
      <c r="D5442" s="115">
        <f>IFERROR(__xludf.DUMMYFUNCTION("""COMPUTED_VALUE"""),34472.0)</f>
        <v>34472</v>
      </c>
      <c r="E5442" s="115">
        <f>IFERROR(__xludf.DUMMYFUNCTION("""COMPUTED_VALUE"""),9763.0)</f>
        <v>9763</v>
      </c>
      <c r="F5442" s="115">
        <f>IFERROR(__xludf.DUMMYFUNCTION("""COMPUTED_VALUE"""),27940.0)</f>
        <v>27940</v>
      </c>
      <c r="G5442" s="115">
        <f>IFERROR(__xludf.DUMMYFUNCTION("""COMPUTED_VALUE"""),5893.0)</f>
        <v>5893</v>
      </c>
      <c r="H5442" s="116">
        <f>IFERROR(__xludf.DUMMYFUNCTION("""COMPUTED_VALUE"""),45910.0)</f>
        <v>45910</v>
      </c>
      <c r="I5442" s="115" t="str">
        <f>IFERROR(__xludf.DUMMYFUNCTION("""COMPUTED_VALUE"""),"18")</f>
        <v>18</v>
      </c>
      <c r="J5442" s="115"/>
      <c r="K5442" s="115">
        <f>IFERROR(__xludf.DUMMYFUNCTION("""COMPUTED_VALUE"""),44235.0)</f>
        <v>44235</v>
      </c>
    </row>
    <row r="5443">
      <c r="A5443" s="115"/>
      <c r="B5443" s="115"/>
      <c r="C5443" s="115" t="str">
        <f>IFERROR(__xludf.DUMMYFUNCTION("""COMPUTED_VALUE"""),"EXTERNAL")</f>
        <v>EXTERNAL</v>
      </c>
      <c r="D5443" s="115">
        <f>IFERROR(__xludf.DUMMYFUNCTION("""COMPUTED_VALUE"""),757.0)</f>
        <v>757</v>
      </c>
      <c r="E5443" s="115">
        <f>IFERROR(__xludf.DUMMYFUNCTION("""COMPUTED_VALUE"""),180.0)</f>
        <v>180</v>
      </c>
      <c r="F5443" s="115">
        <f>IFERROR(__xludf.DUMMYFUNCTION("""COMPUTED_VALUE"""),311.0)</f>
        <v>311</v>
      </c>
      <c r="G5443" s="115">
        <f>IFERROR(__xludf.DUMMYFUNCTION("""COMPUTED_VALUE"""),75.0)</f>
        <v>75</v>
      </c>
      <c r="H5443" s="116">
        <f>IFERROR(__xludf.DUMMYFUNCTION("""COMPUTED_VALUE"""),45910.0)</f>
        <v>45910</v>
      </c>
      <c r="I5443" s="115" t="str">
        <f>IFERROR(__xludf.DUMMYFUNCTION("""COMPUTED_VALUE"""),"18")</f>
        <v>18</v>
      </c>
      <c r="J5443" s="115"/>
      <c r="K5443" s="115">
        <f>IFERROR(__xludf.DUMMYFUNCTION("""COMPUTED_VALUE"""),937.0)</f>
        <v>937</v>
      </c>
    </row>
    <row r="5444">
      <c r="A5444" s="115"/>
      <c r="B5444" s="115"/>
      <c r="C5444" s="115" t="str">
        <f>IFERROR(__xludf.DUMMYFUNCTION("""COMPUTED_VALUE"""),"FLIPKART")</f>
        <v>FLIPKART</v>
      </c>
      <c r="D5444" s="115">
        <f>IFERROR(__xludf.DUMMYFUNCTION("""COMPUTED_VALUE"""),7967.0)</f>
        <v>7967</v>
      </c>
      <c r="E5444" s="115">
        <f>IFERROR(__xludf.DUMMYFUNCTION("""COMPUTED_VALUE"""),901.0)</f>
        <v>901</v>
      </c>
      <c r="F5444" s="115">
        <f>IFERROR(__xludf.DUMMYFUNCTION("""COMPUTED_VALUE"""),4936.0)</f>
        <v>4936</v>
      </c>
      <c r="G5444" s="115">
        <f>IFERROR(__xludf.DUMMYFUNCTION("""COMPUTED_VALUE"""),439.0)</f>
        <v>439</v>
      </c>
      <c r="H5444" s="116">
        <f>IFERROR(__xludf.DUMMYFUNCTION("""COMPUTED_VALUE"""),45910.0)</f>
        <v>45910</v>
      </c>
      <c r="I5444" s="115" t="str">
        <f>IFERROR(__xludf.DUMMYFUNCTION("""COMPUTED_VALUE"""),"18")</f>
        <v>18</v>
      </c>
      <c r="J5444" s="115"/>
      <c r="K5444" s="115">
        <f>IFERROR(__xludf.DUMMYFUNCTION("""COMPUTED_VALUE"""),8868.0)</f>
        <v>8868</v>
      </c>
    </row>
    <row r="5445">
      <c r="A5445" s="115"/>
      <c r="B5445" s="115"/>
      <c r="C5445" s="115" t="str">
        <f>IFERROR(__xludf.DUMMYFUNCTION("""COMPUTED_VALUE"""),"MYNTRA")</f>
        <v>MYNTRA</v>
      </c>
      <c r="D5445" s="115">
        <f>IFERROR(__xludf.DUMMYFUNCTION("""COMPUTED_VALUE"""),830.0)</f>
        <v>830</v>
      </c>
      <c r="E5445" s="115">
        <f>IFERROR(__xludf.DUMMYFUNCTION("""COMPUTED_VALUE"""),233.0)</f>
        <v>233</v>
      </c>
      <c r="F5445" s="115">
        <f>IFERROR(__xludf.DUMMYFUNCTION("""COMPUTED_VALUE"""),607.0)</f>
        <v>607</v>
      </c>
      <c r="G5445" s="115">
        <f>IFERROR(__xludf.DUMMYFUNCTION("""COMPUTED_VALUE"""),147.0)</f>
        <v>147</v>
      </c>
      <c r="H5445" s="116">
        <f>IFERROR(__xludf.DUMMYFUNCTION("""COMPUTED_VALUE"""),45910.0)</f>
        <v>45910</v>
      </c>
      <c r="I5445" s="115" t="str">
        <f>IFERROR(__xludf.DUMMYFUNCTION("""COMPUTED_VALUE"""),"18")</f>
        <v>18</v>
      </c>
      <c r="J5445" s="115"/>
      <c r="K5445" s="115">
        <f>IFERROR(__xludf.DUMMYFUNCTION("""COMPUTED_VALUE"""),1063.0)</f>
        <v>1063</v>
      </c>
    </row>
    <row r="5446">
      <c r="A5446" s="115" t="str">
        <f>IFERROR(__xludf.DUMMYFUNCTION("""COMPUTED_VALUE"""),"EAST")</f>
        <v>EAST</v>
      </c>
      <c r="B5446" s="115" t="str">
        <f>IFERROR(__xludf.DUMMYFUNCTION("""COMPUTED_VALUE"""),"Ashish Ranjan")</f>
        <v>Ashish Ranjan</v>
      </c>
      <c r="C5446" s="115" t="str">
        <f>IFERROR(__xludf.DUMMYFUNCTION("""COMPUTED_VALUE"""),"EXTERNAL")</f>
        <v>EXTERNAL</v>
      </c>
      <c r="D5446" s="115">
        <f>IFERROR(__xludf.DUMMYFUNCTION("""COMPUTED_VALUE"""),38561.0)</f>
        <v>38561</v>
      </c>
      <c r="E5446" s="115">
        <f>IFERROR(__xludf.DUMMYFUNCTION("""COMPUTED_VALUE"""),3882.0)</f>
        <v>3882</v>
      </c>
      <c r="F5446" s="115">
        <f>IFERROR(__xludf.DUMMYFUNCTION("""COMPUTED_VALUE"""),20561.0)</f>
        <v>20561</v>
      </c>
      <c r="G5446" s="115">
        <f>IFERROR(__xludf.DUMMYFUNCTION("""COMPUTED_VALUE"""),1747.0)</f>
        <v>1747</v>
      </c>
      <c r="H5446" s="116">
        <f>IFERROR(__xludf.DUMMYFUNCTION("""COMPUTED_VALUE"""),45910.0)</f>
        <v>45910</v>
      </c>
      <c r="I5446" s="115" t="str">
        <f>IFERROR(__xludf.DUMMYFUNCTION("""COMPUTED_VALUE"""),"19")</f>
        <v>19</v>
      </c>
      <c r="J5446" s="115"/>
      <c r="K5446" s="115">
        <f>IFERROR(__xludf.DUMMYFUNCTION("""COMPUTED_VALUE"""),42443.0)</f>
        <v>42443</v>
      </c>
    </row>
    <row r="5447">
      <c r="A5447" s="115" t="str">
        <f>IFERROR(__xludf.DUMMYFUNCTION("""COMPUTED_VALUE"""),"EAST")</f>
        <v>EAST</v>
      </c>
      <c r="B5447" s="115" t="str">
        <f>IFERROR(__xludf.DUMMYFUNCTION("""COMPUTED_VALUE"""),"Ashish Ranjan")</f>
        <v>Ashish Ranjan</v>
      </c>
      <c r="C5447" s="115" t="str">
        <f>IFERROR(__xludf.DUMMYFUNCTION("""COMPUTED_VALUE"""),"FLIPKART")</f>
        <v>FLIPKART</v>
      </c>
      <c r="D5447" s="115">
        <f>IFERROR(__xludf.DUMMYFUNCTION("""COMPUTED_VALUE"""),672459.0)</f>
        <v>672459</v>
      </c>
      <c r="E5447" s="115">
        <f>IFERROR(__xludf.DUMMYFUNCTION("""COMPUTED_VALUE"""),67925.0)</f>
        <v>67925</v>
      </c>
      <c r="F5447" s="115">
        <f>IFERROR(__xludf.DUMMYFUNCTION("""COMPUTED_VALUE"""),573836.0)</f>
        <v>573836</v>
      </c>
      <c r="G5447" s="115">
        <f>IFERROR(__xludf.DUMMYFUNCTION("""COMPUTED_VALUE"""),47251.0)</f>
        <v>47251</v>
      </c>
      <c r="H5447" s="116">
        <f>IFERROR(__xludf.DUMMYFUNCTION("""COMPUTED_VALUE"""),45910.0)</f>
        <v>45910</v>
      </c>
      <c r="I5447" s="115" t="str">
        <f>IFERROR(__xludf.DUMMYFUNCTION("""COMPUTED_VALUE"""),"19")</f>
        <v>19</v>
      </c>
      <c r="J5447" s="115"/>
      <c r="K5447" s="115">
        <f>IFERROR(__xludf.DUMMYFUNCTION("""COMPUTED_VALUE"""),740384.0)</f>
        <v>740384</v>
      </c>
    </row>
    <row r="5448">
      <c r="A5448" s="115" t="str">
        <f>IFERROR(__xludf.DUMMYFUNCTION("""COMPUTED_VALUE"""),"EAST")</f>
        <v>EAST</v>
      </c>
      <c r="B5448" s="115" t="str">
        <f>IFERROR(__xludf.DUMMYFUNCTION("""COMPUTED_VALUE"""),"Ashish Ranjan")</f>
        <v>Ashish Ranjan</v>
      </c>
      <c r="C5448" s="115" t="str">
        <f>IFERROR(__xludf.DUMMYFUNCTION("""COMPUTED_VALUE"""),"MYNTRA")</f>
        <v>MYNTRA</v>
      </c>
      <c r="D5448" s="115">
        <f>IFERROR(__xludf.DUMMYFUNCTION("""COMPUTED_VALUE"""),75474.0)</f>
        <v>75474</v>
      </c>
      <c r="E5448" s="115">
        <f>IFERROR(__xludf.DUMMYFUNCTION("""COMPUTED_VALUE"""),17098.0)</f>
        <v>17098</v>
      </c>
      <c r="F5448" s="115">
        <f>IFERROR(__xludf.DUMMYFUNCTION("""COMPUTED_VALUE"""),65050.0)</f>
        <v>65050</v>
      </c>
      <c r="G5448" s="115">
        <f>IFERROR(__xludf.DUMMYFUNCTION("""COMPUTED_VALUE"""),11648.0)</f>
        <v>11648</v>
      </c>
      <c r="H5448" s="116">
        <f>IFERROR(__xludf.DUMMYFUNCTION("""COMPUTED_VALUE"""),45910.0)</f>
        <v>45910</v>
      </c>
      <c r="I5448" s="115" t="str">
        <f>IFERROR(__xludf.DUMMYFUNCTION("""COMPUTED_VALUE"""),"19")</f>
        <v>19</v>
      </c>
      <c r="J5448" s="115"/>
      <c r="K5448" s="115">
        <f>IFERROR(__xludf.DUMMYFUNCTION("""COMPUTED_VALUE"""),92572.0)</f>
        <v>92572</v>
      </c>
    </row>
    <row r="5449">
      <c r="A5449" s="115" t="str">
        <f>IFERROR(__xludf.DUMMYFUNCTION("""COMPUTED_VALUE"""),"EAST")</f>
        <v>EAST</v>
      </c>
      <c r="B5449" s="115" t="str">
        <f>IFERROR(__xludf.DUMMYFUNCTION("""COMPUTED_VALUE"""),"Girish Chand")</f>
        <v>Girish Chand</v>
      </c>
      <c r="C5449" s="115" t="str">
        <f>IFERROR(__xludf.DUMMYFUNCTION("""COMPUTED_VALUE"""),"EXTERNAL")</f>
        <v>EXTERNAL</v>
      </c>
      <c r="D5449" s="115">
        <f>IFERROR(__xludf.DUMMYFUNCTION("""COMPUTED_VALUE"""),23622.0)</f>
        <v>23622</v>
      </c>
      <c r="E5449" s="115">
        <f>IFERROR(__xludf.DUMMYFUNCTION("""COMPUTED_VALUE"""),1915.0)</f>
        <v>1915</v>
      </c>
      <c r="F5449" s="115">
        <f>IFERROR(__xludf.DUMMYFUNCTION("""COMPUTED_VALUE"""),10275.0)</f>
        <v>10275</v>
      </c>
      <c r="G5449" s="115">
        <f>IFERROR(__xludf.DUMMYFUNCTION("""COMPUTED_VALUE"""),654.0)</f>
        <v>654</v>
      </c>
      <c r="H5449" s="116">
        <f>IFERROR(__xludf.DUMMYFUNCTION("""COMPUTED_VALUE"""),45910.0)</f>
        <v>45910</v>
      </c>
      <c r="I5449" s="115" t="str">
        <f>IFERROR(__xludf.DUMMYFUNCTION("""COMPUTED_VALUE"""),"19")</f>
        <v>19</v>
      </c>
      <c r="J5449" s="115"/>
      <c r="K5449" s="115">
        <f>IFERROR(__xludf.DUMMYFUNCTION("""COMPUTED_VALUE"""),25537.0)</f>
        <v>25537</v>
      </c>
    </row>
    <row r="5450">
      <c r="A5450" s="115" t="str">
        <f>IFERROR(__xludf.DUMMYFUNCTION("""COMPUTED_VALUE"""),"EAST")</f>
        <v>EAST</v>
      </c>
      <c r="B5450" s="115" t="str">
        <f>IFERROR(__xludf.DUMMYFUNCTION("""COMPUTED_VALUE"""),"Girish Chand")</f>
        <v>Girish Chand</v>
      </c>
      <c r="C5450" s="115" t="str">
        <f>IFERROR(__xludf.DUMMYFUNCTION("""COMPUTED_VALUE"""),"FLIPKART")</f>
        <v>FLIPKART</v>
      </c>
      <c r="D5450" s="115">
        <f>IFERROR(__xludf.DUMMYFUNCTION("""COMPUTED_VALUE"""),430711.0)</f>
        <v>430711</v>
      </c>
      <c r="E5450" s="115">
        <f>IFERROR(__xludf.DUMMYFUNCTION("""COMPUTED_VALUE"""),39614.0)</f>
        <v>39614</v>
      </c>
      <c r="F5450" s="115">
        <f>IFERROR(__xludf.DUMMYFUNCTION("""COMPUTED_VALUE"""),319969.0)</f>
        <v>319969</v>
      </c>
      <c r="G5450" s="115">
        <f>IFERROR(__xludf.DUMMYFUNCTION("""COMPUTED_VALUE"""),24095.0)</f>
        <v>24095</v>
      </c>
      <c r="H5450" s="116">
        <f>IFERROR(__xludf.DUMMYFUNCTION("""COMPUTED_VALUE"""),45910.0)</f>
        <v>45910</v>
      </c>
      <c r="I5450" s="115" t="str">
        <f>IFERROR(__xludf.DUMMYFUNCTION("""COMPUTED_VALUE"""),"19")</f>
        <v>19</v>
      </c>
      <c r="J5450" s="115"/>
      <c r="K5450" s="115">
        <f>IFERROR(__xludf.DUMMYFUNCTION("""COMPUTED_VALUE"""),470325.0)</f>
        <v>470325</v>
      </c>
    </row>
    <row r="5451">
      <c r="A5451" s="115" t="str">
        <f>IFERROR(__xludf.DUMMYFUNCTION("""COMPUTED_VALUE"""),"EAST")</f>
        <v>EAST</v>
      </c>
      <c r="B5451" s="115" t="str">
        <f>IFERROR(__xludf.DUMMYFUNCTION("""COMPUTED_VALUE"""),"Girish Chand")</f>
        <v>Girish Chand</v>
      </c>
      <c r="C5451" s="115" t="str">
        <f>IFERROR(__xludf.DUMMYFUNCTION("""COMPUTED_VALUE"""),"MYNTRA")</f>
        <v>MYNTRA</v>
      </c>
      <c r="D5451" s="115">
        <f>IFERROR(__xludf.DUMMYFUNCTION("""COMPUTED_VALUE"""),37263.0)</f>
        <v>37263</v>
      </c>
      <c r="E5451" s="115">
        <f>IFERROR(__xludf.DUMMYFUNCTION("""COMPUTED_VALUE"""),8300.0)</f>
        <v>8300</v>
      </c>
      <c r="F5451" s="115">
        <f>IFERROR(__xludf.DUMMYFUNCTION("""COMPUTED_VALUE"""),28960.0)</f>
        <v>28960</v>
      </c>
      <c r="G5451" s="115">
        <f>IFERROR(__xludf.DUMMYFUNCTION("""COMPUTED_VALUE"""),5349.0)</f>
        <v>5349</v>
      </c>
      <c r="H5451" s="116">
        <f>IFERROR(__xludf.DUMMYFUNCTION("""COMPUTED_VALUE"""),45910.0)</f>
        <v>45910</v>
      </c>
      <c r="I5451" s="115" t="str">
        <f>IFERROR(__xludf.DUMMYFUNCTION("""COMPUTED_VALUE"""),"19")</f>
        <v>19</v>
      </c>
      <c r="J5451" s="115"/>
      <c r="K5451" s="115">
        <f>IFERROR(__xludf.DUMMYFUNCTION("""COMPUTED_VALUE"""),45563.0)</f>
        <v>45563</v>
      </c>
    </row>
    <row r="5452">
      <c r="A5452" s="115" t="str">
        <f>IFERROR(__xludf.DUMMYFUNCTION("""COMPUTED_VALUE"""),"EAST")</f>
        <v>EAST</v>
      </c>
      <c r="B5452" s="115" t="str">
        <f>IFERROR(__xludf.DUMMYFUNCTION("""COMPUTED_VALUE"""),"Parag Kashyap")</f>
        <v>Parag Kashyap</v>
      </c>
      <c r="C5452" s="115" t="str">
        <f>IFERROR(__xludf.DUMMYFUNCTION("""COMPUTED_VALUE"""),"EXTERNAL")</f>
        <v>EXTERNAL</v>
      </c>
      <c r="D5452" s="115">
        <f>IFERROR(__xludf.DUMMYFUNCTION("""COMPUTED_VALUE"""),16924.0)</f>
        <v>16924</v>
      </c>
      <c r="E5452" s="115">
        <f>IFERROR(__xludf.DUMMYFUNCTION("""COMPUTED_VALUE"""),1085.0)</f>
        <v>1085</v>
      </c>
      <c r="F5452" s="115">
        <f>IFERROR(__xludf.DUMMYFUNCTION("""COMPUTED_VALUE"""),7341.0)</f>
        <v>7341</v>
      </c>
      <c r="G5452" s="115">
        <f>IFERROR(__xludf.DUMMYFUNCTION("""COMPUTED_VALUE"""),318.0)</f>
        <v>318</v>
      </c>
      <c r="H5452" s="116">
        <f>IFERROR(__xludf.DUMMYFUNCTION("""COMPUTED_VALUE"""),45910.0)</f>
        <v>45910</v>
      </c>
      <c r="I5452" s="115" t="str">
        <f>IFERROR(__xludf.DUMMYFUNCTION("""COMPUTED_VALUE"""),"19")</f>
        <v>19</v>
      </c>
      <c r="J5452" s="115"/>
      <c r="K5452" s="115">
        <f>IFERROR(__xludf.DUMMYFUNCTION("""COMPUTED_VALUE"""),18009.0)</f>
        <v>18009</v>
      </c>
    </row>
    <row r="5453">
      <c r="A5453" s="115" t="str">
        <f>IFERROR(__xludf.DUMMYFUNCTION("""COMPUTED_VALUE"""),"EAST")</f>
        <v>EAST</v>
      </c>
      <c r="B5453" s="115" t="str">
        <f>IFERROR(__xludf.DUMMYFUNCTION("""COMPUTED_VALUE"""),"Parag Kashyap")</f>
        <v>Parag Kashyap</v>
      </c>
      <c r="C5453" s="115" t="str">
        <f>IFERROR(__xludf.DUMMYFUNCTION("""COMPUTED_VALUE"""),"FLIPKART")</f>
        <v>FLIPKART</v>
      </c>
      <c r="D5453" s="115">
        <f>IFERROR(__xludf.DUMMYFUNCTION("""COMPUTED_VALUE"""),300478.0)</f>
        <v>300478</v>
      </c>
      <c r="E5453" s="115">
        <f>IFERROR(__xludf.DUMMYFUNCTION("""COMPUTED_VALUE"""),20815.0)</f>
        <v>20815</v>
      </c>
      <c r="F5453" s="115">
        <f>IFERROR(__xludf.DUMMYFUNCTION("""COMPUTED_VALUE"""),226057.0)</f>
        <v>226057</v>
      </c>
      <c r="G5453" s="115">
        <f>IFERROR(__xludf.DUMMYFUNCTION("""COMPUTED_VALUE"""),11258.0)</f>
        <v>11258</v>
      </c>
      <c r="H5453" s="116">
        <f>IFERROR(__xludf.DUMMYFUNCTION("""COMPUTED_VALUE"""),45910.0)</f>
        <v>45910</v>
      </c>
      <c r="I5453" s="115" t="str">
        <f>IFERROR(__xludf.DUMMYFUNCTION("""COMPUTED_VALUE"""),"19")</f>
        <v>19</v>
      </c>
      <c r="J5453" s="115"/>
      <c r="K5453" s="115">
        <f>IFERROR(__xludf.DUMMYFUNCTION("""COMPUTED_VALUE"""),321293.0)</f>
        <v>321293</v>
      </c>
    </row>
    <row r="5454">
      <c r="A5454" s="115" t="str">
        <f>IFERROR(__xludf.DUMMYFUNCTION("""COMPUTED_VALUE"""),"EAST")</f>
        <v>EAST</v>
      </c>
      <c r="B5454" s="115" t="str">
        <f>IFERROR(__xludf.DUMMYFUNCTION("""COMPUTED_VALUE"""),"Parag Kashyap")</f>
        <v>Parag Kashyap</v>
      </c>
      <c r="C5454" s="115" t="str">
        <f>IFERROR(__xludf.DUMMYFUNCTION("""COMPUTED_VALUE"""),"MYNTRA")</f>
        <v>MYNTRA</v>
      </c>
      <c r="D5454" s="115">
        <f>IFERROR(__xludf.DUMMYFUNCTION("""COMPUTED_VALUE"""),38380.0)</f>
        <v>38380</v>
      </c>
      <c r="E5454" s="115">
        <f>IFERROR(__xludf.DUMMYFUNCTION("""COMPUTED_VALUE"""),6015.0)</f>
        <v>6015</v>
      </c>
      <c r="F5454" s="115">
        <f>IFERROR(__xludf.DUMMYFUNCTION("""COMPUTED_VALUE"""),29821.0)</f>
        <v>29821</v>
      </c>
      <c r="G5454" s="115">
        <f>IFERROR(__xludf.DUMMYFUNCTION("""COMPUTED_VALUE"""),3221.0)</f>
        <v>3221</v>
      </c>
      <c r="H5454" s="116">
        <f>IFERROR(__xludf.DUMMYFUNCTION("""COMPUTED_VALUE"""),45910.0)</f>
        <v>45910</v>
      </c>
      <c r="I5454" s="115" t="str">
        <f>IFERROR(__xludf.DUMMYFUNCTION("""COMPUTED_VALUE"""),"19")</f>
        <v>19</v>
      </c>
      <c r="J5454" s="115"/>
      <c r="K5454" s="115">
        <f>IFERROR(__xludf.DUMMYFUNCTION("""COMPUTED_VALUE"""),44395.0)</f>
        <v>44395</v>
      </c>
    </row>
    <row r="5455">
      <c r="A5455" s="115" t="str">
        <f>IFERROR(__xludf.DUMMYFUNCTION("""COMPUTED_VALUE"""),"NORTH")</f>
        <v>NORTH</v>
      </c>
      <c r="B5455" s="115" t="str">
        <f>IFERROR(__xludf.DUMMYFUNCTION("""COMPUTED_VALUE"""),"Amit Kumar Pathak")</f>
        <v>Amit Kumar Pathak</v>
      </c>
      <c r="C5455" s="115" t="str">
        <f>IFERROR(__xludf.DUMMYFUNCTION("""COMPUTED_VALUE"""),"EXTERNAL")</f>
        <v>EXTERNAL</v>
      </c>
      <c r="D5455" s="115">
        <f>IFERROR(__xludf.DUMMYFUNCTION("""COMPUTED_VALUE"""),23663.0)</f>
        <v>23663</v>
      </c>
      <c r="E5455" s="115">
        <f>IFERROR(__xludf.DUMMYFUNCTION("""COMPUTED_VALUE"""),4061.0)</f>
        <v>4061</v>
      </c>
      <c r="F5455" s="115">
        <f>IFERROR(__xludf.DUMMYFUNCTION("""COMPUTED_VALUE"""),8123.0)</f>
        <v>8123</v>
      </c>
      <c r="G5455" s="115">
        <f>IFERROR(__xludf.DUMMYFUNCTION("""COMPUTED_VALUE"""),1731.0)</f>
        <v>1731</v>
      </c>
      <c r="H5455" s="116">
        <f>IFERROR(__xludf.DUMMYFUNCTION("""COMPUTED_VALUE"""),45910.0)</f>
        <v>45910</v>
      </c>
      <c r="I5455" s="115" t="str">
        <f>IFERROR(__xludf.DUMMYFUNCTION("""COMPUTED_VALUE"""),"19")</f>
        <v>19</v>
      </c>
      <c r="J5455" s="115"/>
      <c r="K5455" s="115">
        <f>IFERROR(__xludf.DUMMYFUNCTION("""COMPUTED_VALUE"""),27724.0)</f>
        <v>27724</v>
      </c>
    </row>
    <row r="5456">
      <c r="A5456" s="115" t="str">
        <f>IFERROR(__xludf.DUMMYFUNCTION("""COMPUTED_VALUE"""),"NORTH")</f>
        <v>NORTH</v>
      </c>
      <c r="B5456" s="115" t="str">
        <f>IFERROR(__xludf.DUMMYFUNCTION("""COMPUTED_VALUE"""),"Amit Kumar Pathak")</f>
        <v>Amit Kumar Pathak</v>
      </c>
      <c r="C5456" s="115" t="str">
        <f>IFERROR(__xludf.DUMMYFUNCTION("""COMPUTED_VALUE"""),"FLIPKART")</f>
        <v>FLIPKART</v>
      </c>
      <c r="D5456" s="115">
        <f>IFERROR(__xludf.DUMMYFUNCTION("""COMPUTED_VALUE"""),191920.0)</f>
        <v>191920</v>
      </c>
      <c r="E5456" s="115">
        <f>IFERROR(__xludf.DUMMYFUNCTION("""COMPUTED_VALUE"""),23083.0)</f>
        <v>23083</v>
      </c>
      <c r="F5456" s="115">
        <f>IFERROR(__xludf.DUMMYFUNCTION("""COMPUTED_VALUE"""),139462.0)</f>
        <v>139462</v>
      </c>
      <c r="G5456" s="115">
        <f>IFERROR(__xludf.DUMMYFUNCTION("""COMPUTED_VALUE"""),13599.0)</f>
        <v>13599</v>
      </c>
      <c r="H5456" s="116">
        <f>IFERROR(__xludf.DUMMYFUNCTION("""COMPUTED_VALUE"""),45910.0)</f>
        <v>45910</v>
      </c>
      <c r="I5456" s="115" t="str">
        <f>IFERROR(__xludf.DUMMYFUNCTION("""COMPUTED_VALUE"""),"19")</f>
        <v>19</v>
      </c>
      <c r="J5456" s="115"/>
      <c r="K5456" s="115">
        <f>IFERROR(__xludf.DUMMYFUNCTION("""COMPUTED_VALUE"""),215003.0)</f>
        <v>215003</v>
      </c>
    </row>
    <row r="5457">
      <c r="A5457" s="115" t="str">
        <f>IFERROR(__xludf.DUMMYFUNCTION("""COMPUTED_VALUE"""),"NORTH")</f>
        <v>NORTH</v>
      </c>
      <c r="B5457" s="115" t="str">
        <f>IFERROR(__xludf.DUMMYFUNCTION("""COMPUTED_VALUE"""),"Amit Kumar Pathak")</f>
        <v>Amit Kumar Pathak</v>
      </c>
      <c r="C5457" s="115" t="str">
        <f>IFERROR(__xludf.DUMMYFUNCTION("""COMPUTED_VALUE"""),"MYNTRA")</f>
        <v>MYNTRA</v>
      </c>
      <c r="D5457" s="115">
        <f>IFERROR(__xludf.DUMMYFUNCTION("""COMPUTED_VALUE"""),15459.0)</f>
        <v>15459</v>
      </c>
      <c r="E5457" s="115">
        <f>IFERROR(__xludf.DUMMYFUNCTION("""COMPUTED_VALUE"""),5900.0)</f>
        <v>5900</v>
      </c>
      <c r="F5457" s="115">
        <f>IFERROR(__xludf.DUMMYFUNCTION("""COMPUTED_VALUE"""),12394.0)</f>
        <v>12394</v>
      </c>
      <c r="G5457" s="115">
        <f>IFERROR(__xludf.DUMMYFUNCTION("""COMPUTED_VALUE"""),3802.0)</f>
        <v>3802</v>
      </c>
      <c r="H5457" s="116">
        <f>IFERROR(__xludf.DUMMYFUNCTION("""COMPUTED_VALUE"""),45910.0)</f>
        <v>45910</v>
      </c>
      <c r="I5457" s="115" t="str">
        <f>IFERROR(__xludf.DUMMYFUNCTION("""COMPUTED_VALUE"""),"19")</f>
        <v>19</v>
      </c>
      <c r="J5457" s="115"/>
      <c r="K5457" s="115">
        <f>IFERROR(__xludf.DUMMYFUNCTION("""COMPUTED_VALUE"""),21359.0)</f>
        <v>21359</v>
      </c>
    </row>
    <row r="5458">
      <c r="A5458" s="115" t="str">
        <f>IFERROR(__xludf.DUMMYFUNCTION("""COMPUTED_VALUE"""),"NORTH")</f>
        <v>NORTH</v>
      </c>
      <c r="B5458" s="115" t="str">
        <f>IFERROR(__xludf.DUMMYFUNCTION("""COMPUTED_VALUE"""),"Loveleen Singh")</f>
        <v>Loveleen Singh</v>
      </c>
      <c r="C5458" s="115" t="str">
        <f>IFERROR(__xludf.DUMMYFUNCTION("""COMPUTED_VALUE"""),"EXTERNAL")</f>
        <v>EXTERNAL</v>
      </c>
      <c r="D5458" s="115">
        <f>IFERROR(__xludf.DUMMYFUNCTION("""COMPUTED_VALUE"""),30826.0)</f>
        <v>30826</v>
      </c>
      <c r="E5458" s="115">
        <f>IFERROR(__xludf.DUMMYFUNCTION("""COMPUTED_VALUE"""),2750.0)</f>
        <v>2750</v>
      </c>
      <c r="F5458" s="115">
        <f>IFERROR(__xludf.DUMMYFUNCTION("""COMPUTED_VALUE"""),12062.0)</f>
        <v>12062</v>
      </c>
      <c r="G5458" s="115">
        <f>IFERROR(__xludf.DUMMYFUNCTION("""COMPUTED_VALUE"""),821.0)</f>
        <v>821</v>
      </c>
      <c r="H5458" s="116">
        <f>IFERROR(__xludf.DUMMYFUNCTION("""COMPUTED_VALUE"""),45910.0)</f>
        <v>45910</v>
      </c>
      <c r="I5458" s="115" t="str">
        <f>IFERROR(__xludf.DUMMYFUNCTION("""COMPUTED_VALUE"""),"19")</f>
        <v>19</v>
      </c>
      <c r="J5458" s="115"/>
      <c r="K5458" s="115">
        <f>IFERROR(__xludf.DUMMYFUNCTION("""COMPUTED_VALUE"""),33576.0)</f>
        <v>33576</v>
      </c>
    </row>
    <row r="5459">
      <c r="A5459" s="115" t="str">
        <f>IFERROR(__xludf.DUMMYFUNCTION("""COMPUTED_VALUE"""),"NORTH")</f>
        <v>NORTH</v>
      </c>
      <c r="B5459" s="115" t="str">
        <f>IFERROR(__xludf.DUMMYFUNCTION("""COMPUTED_VALUE"""),"Loveleen Singh")</f>
        <v>Loveleen Singh</v>
      </c>
      <c r="C5459" s="115" t="str">
        <f>IFERROR(__xludf.DUMMYFUNCTION("""COMPUTED_VALUE"""),"FLIPKART")</f>
        <v>FLIPKART</v>
      </c>
      <c r="D5459" s="115">
        <f>IFERROR(__xludf.DUMMYFUNCTION("""COMPUTED_VALUE"""),176627.0)</f>
        <v>176627</v>
      </c>
      <c r="E5459" s="115">
        <f>IFERROR(__xludf.DUMMYFUNCTION("""COMPUTED_VALUE"""),15183.0)</f>
        <v>15183</v>
      </c>
      <c r="F5459" s="115">
        <f>IFERROR(__xludf.DUMMYFUNCTION("""COMPUTED_VALUE"""),132159.0)</f>
        <v>132159</v>
      </c>
      <c r="G5459" s="115">
        <f>IFERROR(__xludf.DUMMYFUNCTION("""COMPUTED_VALUE"""),8789.0)</f>
        <v>8789</v>
      </c>
      <c r="H5459" s="116">
        <f>IFERROR(__xludf.DUMMYFUNCTION("""COMPUTED_VALUE"""),45910.0)</f>
        <v>45910</v>
      </c>
      <c r="I5459" s="115" t="str">
        <f>IFERROR(__xludf.DUMMYFUNCTION("""COMPUTED_VALUE"""),"19")</f>
        <v>19</v>
      </c>
      <c r="J5459" s="115"/>
      <c r="K5459" s="115">
        <f>IFERROR(__xludf.DUMMYFUNCTION("""COMPUTED_VALUE"""),191810.0)</f>
        <v>191810</v>
      </c>
    </row>
    <row r="5460">
      <c r="A5460" s="115" t="str">
        <f>IFERROR(__xludf.DUMMYFUNCTION("""COMPUTED_VALUE"""),"NORTH")</f>
        <v>NORTH</v>
      </c>
      <c r="B5460" s="115" t="str">
        <f>IFERROR(__xludf.DUMMYFUNCTION("""COMPUTED_VALUE"""),"Loveleen Singh")</f>
        <v>Loveleen Singh</v>
      </c>
      <c r="C5460" s="115" t="str">
        <f>IFERROR(__xludf.DUMMYFUNCTION("""COMPUTED_VALUE"""),"MYNTRA")</f>
        <v>MYNTRA</v>
      </c>
      <c r="D5460" s="115">
        <f>IFERROR(__xludf.DUMMYFUNCTION("""COMPUTED_VALUE"""),29455.0)</f>
        <v>29455</v>
      </c>
      <c r="E5460" s="115">
        <f>IFERROR(__xludf.DUMMYFUNCTION("""COMPUTED_VALUE"""),7157.0)</f>
        <v>7157</v>
      </c>
      <c r="F5460" s="115">
        <f>IFERROR(__xludf.DUMMYFUNCTION("""COMPUTED_VALUE"""),23844.0)</f>
        <v>23844</v>
      </c>
      <c r="G5460" s="115">
        <f>IFERROR(__xludf.DUMMYFUNCTION("""COMPUTED_VALUE"""),4615.0)</f>
        <v>4615</v>
      </c>
      <c r="H5460" s="116">
        <f>IFERROR(__xludf.DUMMYFUNCTION("""COMPUTED_VALUE"""),45910.0)</f>
        <v>45910</v>
      </c>
      <c r="I5460" s="115" t="str">
        <f>IFERROR(__xludf.DUMMYFUNCTION("""COMPUTED_VALUE"""),"19")</f>
        <v>19</v>
      </c>
      <c r="J5460" s="115"/>
      <c r="K5460" s="115">
        <f>IFERROR(__xludf.DUMMYFUNCTION("""COMPUTED_VALUE"""),36612.0)</f>
        <v>36612</v>
      </c>
    </row>
    <row r="5461">
      <c r="A5461" s="115" t="str">
        <f>IFERROR(__xludf.DUMMYFUNCTION("""COMPUTED_VALUE"""),"NORTH")</f>
        <v>NORTH</v>
      </c>
      <c r="B5461" s="115" t="str">
        <f>IFERROR(__xludf.DUMMYFUNCTION("""COMPUTED_VALUE"""),"Manoj Harsh")</f>
        <v>Manoj Harsh</v>
      </c>
      <c r="C5461" s="115" t="str">
        <f>IFERROR(__xludf.DUMMYFUNCTION("""COMPUTED_VALUE"""),"EXTERNAL")</f>
        <v>EXTERNAL</v>
      </c>
      <c r="D5461" s="115">
        <f>IFERROR(__xludf.DUMMYFUNCTION("""COMPUTED_VALUE"""),31386.0)</f>
        <v>31386</v>
      </c>
      <c r="E5461" s="115">
        <f>IFERROR(__xludf.DUMMYFUNCTION("""COMPUTED_VALUE"""),3533.0)</f>
        <v>3533</v>
      </c>
      <c r="F5461" s="115">
        <f>IFERROR(__xludf.DUMMYFUNCTION("""COMPUTED_VALUE"""),13624.0)</f>
        <v>13624</v>
      </c>
      <c r="G5461" s="115">
        <f>IFERROR(__xludf.DUMMYFUNCTION("""COMPUTED_VALUE"""),1104.0)</f>
        <v>1104</v>
      </c>
      <c r="H5461" s="116">
        <f>IFERROR(__xludf.DUMMYFUNCTION("""COMPUTED_VALUE"""),45910.0)</f>
        <v>45910</v>
      </c>
      <c r="I5461" s="115" t="str">
        <f>IFERROR(__xludf.DUMMYFUNCTION("""COMPUTED_VALUE"""),"19")</f>
        <v>19</v>
      </c>
      <c r="J5461" s="115"/>
      <c r="K5461" s="115">
        <f>IFERROR(__xludf.DUMMYFUNCTION("""COMPUTED_VALUE"""),34919.0)</f>
        <v>34919</v>
      </c>
    </row>
    <row r="5462">
      <c r="A5462" s="115" t="str">
        <f>IFERROR(__xludf.DUMMYFUNCTION("""COMPUTED_VALUE"""),"NORTH")</f>
        <v>NORTH</v>
      </c>
      <c r="B5462" s="115" t="str">
        <f>IFERROR(__xludf.DUMMYFUNCTION("""COMPUTED_VALUE"""),"Manoj Harsh")</f>
        <v>Manoj Harsh</v>
      </c>
      <c r="C5462" s="115" t="str">
        <f>IFERROR(__xludf.DUMMYFUNCTION("""COMPUTED_VALUE"""),"FLIPKART")</f>
        <v>FLIPKART</v>
      </c>
      <c r="D5462" s="115">
        <f>IFERROR(__xludf.DUMMYFUNCTION("""COMPUTED_VALUE"""),378430.0)</f>
        <v>378430</v>
      </c>
      <c r="E5462" s="115">
        <f>IFERROR(__xludf.DUMMYFUNCTION("""COMPUTED_VALUE"""),40105.0)</f>
        <v>40105</v>
      </c>
      <c r="F5462" s="115">
        <f>IFERROR(__xludf.DUMMYFUNCTION("""COMPUTED_VALUE"""),277142.0)</f>
        <v>277142</v>
      </c>
      <c r="G5462" s="115">
        <f>IFERROR(__xludf.DUMMYFUNCTION("""COMPUTED_VALUE"""),23835.0)</f>
        <v>23835</v>
      </c>
      <c r="H5462" s="116">
        <f>IFERROR(__xludf.DUMMYFUNCTION("""COMPUTED_VALUE"""),45910.0)</f>
        <v>45910</v>
      </c>
      <c r="I5462" s="115" t="str">
        <f>IFERROR(__xludf.DUMMYFUNCTION("""COMPUTED_VALUE"""),"19")</f>
        <v>19</v>
      </c>
      <c r="J5462" s="115"/>
      <c r="K5462" s="115">
        <f>IFERROR(__xludf.DUMMYFUNCTION("""COMPUTED_VALUE"""),418535.0)</f>
        <v>418535</v>
      </c>
    </row>
    <row r="5463">
      <c r="A5463" s="115" t="str">
        <f>IFERROR(__xludf.DUMMYFUNCTION("""COMPUTED_VALUE"""),"NORTH")</f>
        <v>NORTH</v>
      </c>
      <c r="B5463" s="115" t="str">
        <f>IFERROR(__xludf.DUMMYFUNCTION("""COMPUTED_VALUE"""),"Manoj Harsh")</f>
        <v>Manoj Harsh</v>
      </c>
      <c r="C5463" s="115" t="str">
        <f>IFERROR(__xludf.DUMMYFUNCTION("""COMPUTED_VALUE"""),"MYNTRA")</f>
        <v>MYNTRA</v>
      </c>
      <c r="D5463" s="115">
        <f>IFERROR(__xludf.DUMMYFUNCTION("""COMPUTED_VALUE"""),32362.0)</f>
        <v>32362</v>
      </c>
      <c r="E5463" s="115">
        <f>IFERROR(__xludf.DUMMYFUNCTION("""COMPUTED_VALUE"""),8130.0)</f>
        <v>8130</v>
      </c>
      <c r="F5463" s="115">
        <f>IFERROR(__xludf.DUMMYFUNCTION("""COMPUTED_VALUE"""),25359.0)</f>
        <v>25359</v>
      </c>
      <c r="G5463" s="115">
        <f>IFERROR(__xludf.DUMMYFUNCTION("""COMPUTED_VALUE"""),5463.0)</f>
        <v>5463</v>
      </c>
      <c r="H5463" s="116">
        <f>IFERROR(__xludf.DUMMYFUNCTION("""COMPUTED_VALUE"""),45910.0)</f>
        <v>45910</v>
      </c>
      <c r="I5463" s="115" t="str">
        <f>IFERROR(__xludf.DUMMYFUNCTION("""COMPUTED_VALUE"""),"19")</f>
        <v>19</v>
      </c>
      <c r="J5463" s="115"/>
      <c r="K5463" s="115">
        <f>IFERROR(__xludf.DUMMYFUNCTION("""COMPUTED_VALUE"""),40492.0)</f>
        <v>40492</v>
      </c>
    </row>
    <row r="5464">
      <c r="A5464" s="115" t="str">
        <f>IFERROR(__xludf.DUMMYFUNCTION("""COMPUTED_VALUE"""),"NORTH")</f>
        <v>NORTH</v>
      </c>
      <c r="B5464" s="115" t="str">
        <f>IFERROR(__xludf.DUMMYFUNCTION("""COMPUTED_VALUE"""),"Pradeep Kothari")</f>
        <v>Pradeep Kothari</v>
      </c>
      <c r="C5464" s="115" t="str">
        <f>IFERROR(__xludf.DUMMYFUNCTION("""COMPUTED_VALUE"""),"EXTERNAL")</f>
        <v>EXTERNAL</v>
      </c>
      <c r="D5464" s="115">
        <f>IFERROR(__xludf.DUMMYFUNCTION("""COMPUTED_VALUE"""),18093.0)</f>
        <v>18093</v>
      </c>
      <c r="E5464" s="115">
        <f>IFERROR(__xludf.DUMMYFUNCTION("""COMPUTED_VALUE"""),2378.0)</f>
        <v>2378</v>
      </c>
      <c r="F5464" s="115">
        <f>IFERROR(__xludf.DUMMYFUNCTION("""COMPUTED_VALUE"""),7419.0)</f>
        <v>7419</v>
      </c>
      <c r="G5464" s="115">
        <f>IFERROR(__xludf.DUMMYFUNCTION("""COMPUTED_VALUE"""),846.0)</f>
        <v>846</v>
      </c>
      <c r="H5464" s="116">
        <f>IFERROR(__xludf.DUMMYFUNCTION("""COMPUTED_VALUE"""),45910.0)</f>
        <v>45910</v>
      </c>
      <c r="I5464" s="115" t="str">
        <f>IFERROR(__xludf.DUMMYFUNCTION("""COMPUTED_VALUE"""),"19")</f>
        <v>19</v>
      </c>
      <c r="J5464" s="115"/>
      <c r="K5464" s="115">
        <f>IFERROR(__xludf.DUMMYFUNCTION("""COMPUTED_VALUE"""),20471.0)</f>
        <v>20471</v>
      </c>
    </row>
    <row r="5465">
      <c r="A5465" s="115" t="str">
        <f>IFERROR(__xludf.DUMMYFUNCTION("""COMPUTED_VALUE"""),"NORTH")</f>
        <v>NORTH</v>
      </c>
      <c r="B5465" s="115" t="str">
        <f>IFERROR(__xludf.DUMMYFUNCTION("""COMPUTED_VALUE"""),"Pradeep Kothari")</f>
        <v>Pradeep Kothari</v>
      </c>
      <c r="C5465" s="115" t="str">
        <f>IFERROR(__xludf.DUMMYFUNCTION("""COMPUTED_VALUE"""),"FLIPKART")</f>
        <v>FLIPKART</v>
      </c>
      <c r="D5465" s="115">
        <f>IFERROR(__xludf.DUMMYFUNCTION("""COMPUTED_VALUE"""),147118.0)</f>
        <v>147118</v>
      </c>
      <c r="E5465" s="115">
        <f>IFERROR(__xludf.DUMMYFUNCTION("""COMPUTED_VALUE"""),16786.0)</f>
        <v>16786</v>
      </c>
      <c r="F5465" s="115">
        <f>IFERROR(__xludf.DUMMYFUNCTION("""COMPUTED_VALUE"""),112145.0)</f>
        <v>112145</v>
      </c>
      <c r="G5465" s="115">
        <f>IFERROR(__xludf.DUMMYFUNCTION("""COMPUTED_VALUE"""),10739.0)</f>
        <v>10739</v>
      </c>
      <c r="H5465" s="116">
        <f>IFERROR(__xludf.DUMMYFUNCTION("""COMPUTED_VALUE"""),45910.0)</f>
        <v>45910</v>
      </c>
      <c r="I5465" s="115" t="str">
        <f>IFERROR(__xludf.DUMMYFUNCTION("""COMPUTED_VALUE"""),"19")</f>
        <v>19</v>
      </c>
      <c r="J5465" s="115"/>
      <c r="K5465" s="115">
        <f>IFERROR(__xludf.DUMMYFUNCTION("""COMPUTED_VALUE"""),163904.0)</f>
        <v>163904</v>
      </c>
    </row>
    <row r="5466">
      <c r="A5466" s="115" t="str">
        <f>IFERROR(__xludf.DUMMYFUNCTION("""COMPUTED_VALUE"""),"NORTH")</f>
        <v>NORTH</v>
      </c>
      <c r="B5466" s="115" t="str">
        <f>IFERROR(__xludf.DUMMYFUNCTION("""COMPUTED_VALUE"""),"Pradeep Kothari")</f>
        <v>Pradeep Kothari</v>
      </c>
      <c r="C5466" s="115" t="str">
        <f>IFERROR(__xludf.DUMMYFUNCTION("""COMPUTED_VALUE"""),"MYNTRA")</f>
        <v>MYNTRA</v>
      </c>
      <c r="D5466" s="115">
        <f>IFERROR(__xludf.DUMMYFUNCTION("""COMPUTED_VALUE"""),23252.0)</f>
        <v>23252</v>
      </c>
      <c r="E5466" s="115">
        <f>IFERROR(__xludf.DUMMYFUNCTION("""COMPUTED_VALUE"""),7197.0)</f>
        <v>7197</v>
      </c>
      <c r="F5466" s="115">
        <f>IFERROR(__xludf.DUMMYFUNCTION("""COMPUTED_VALUE"""),19145.0)</f>
        <v>19145</v>
      </c>
      <c r="G5466" s="115">
        <f>IFERROR(__xludf.DUMMYFUNCTION("""COMPUTED_VALUE"""),5168.0)</f>
        <v>5168</v>
      </c>
      <c r="H5466" s="116">
        <f>IFERROR(__xludf.DUMMYFUNCTION("""COMPUTED_VALUE"""),45910.0)</f>
        <v>45910</v>
      </c>
      <c r="I5466" s="115" t="str">
        <f>IFERROR(__xludf.DUMMYFUNCTION("""COMPUTED_VALUE"""),"19")</f>
        <v>19</v>
      </c>
      <c r="J5466" s="115"/>
      <c r="K5466" s="115">
        <f>IFERROR(__xludf.DUMMYFUNCTION("""COMPUTED_VALUE"""),30449.0)</f>
        <v>30449</v>
      </c>
    </row>
    <row r="5467">
      <c r="A5467" s="115" t="str">
        <f>IFERROR(__xludf.DUMMYFUNCTION("""COMPUTED_VALUE"""),"SOUTH")</f>
        <v>SOUTH</v>
      </c>
      <c r="B5467" s="115" t="str">
        <f>IFERROR(__xludf.DUMMYFUNCTION("""COMPUTED_VALUE"""),"0")</f>
        <v>0</v>
      </c>
      <c r="C5467" s="115" t="str">
        <f>IFERROR(__xludf.DUMMYFUNCTION("""COMPUTED_VALUE"""),"EXTERNAL")</f>
        <v>EXTERNAL</v>
      </c>
      <c r="D5467" s="115">
        <f>IFERROR(__xludf.DUMMYFUNCTION("""COMPUTED_VALUE"""),2.0)</f>
        <v>2</v>
      </c>
      <c r="E5467" s="115">
        <f>IFERROR(__xludf.DUMMYFUNCTION("""COMPUTED_VALUE"""),0.0)</f>
        <v>0</v>
      </c>
      <c r="F5467" s="115">
        <f>IFERROR(__xludf.DUMMYFUNCTION("""COMPUTED_VALUE"""),1.0)</f>
        <v>1</v>
      </c>
      <c r="G5467" s="115">
        <f>IFERROR(__xludf.DUMMYFUNCTION("""COMPUTED_VALUE"""),0.0)</f>
        <v>0</v>
      </c>
      <c r="H5467" s="116">
        <f>IFERROR(__xludf.DUMMYFUNCTION("""COMPUTED_VALUE"""),45910.0)</f>
        <v>45910</v>
      </c>
      <c r="I5467" s="115" t="str">
        <f>IFERROR(__xludf.DUMMYFUNCTION("""COMPUTED_VALUE"""),"19")</f>
        <v>19</v>
      </c>
      <c r="J5467" s="115"/>
      <c r="K5467" s="115">
        <f>IFERROR(__xludf.DUMMYFUNCTION("""COMPUTED_VALUE"""),2.0)</f>
        <v>2</v>
      </c>
    </row>
    <row r="5468">
      <c r="A5468" s="115" t="str">
        <f>IFERROR(__xludf.DUMMYFUNCTION("""COMPUTED_VALUE"""),"SOUTH")</f>
        <v>SOUTH</v>
      </c>
      <c r="B5468" s="115" t="str">
        <f>IFERROR(__xludf.DUMMYFUNCTION("""COMPUTED_VALUE"""),"0")</f>
        <v>0</v>
      </c>
      <c r="C5468" s="115" t="str">
        <f>IFERROR(__xludf.DUMMYFUNCTION("""COMPUTED_VALUE"""),"FLIPKART")</f>
        <v>FLIPKART</v>
      </c>
      <c r="D5468" s="115">
        <f>IFERROR(__xludf.DUMMYFUNCTION("""COMPUTED_VALUE"""),78.0)</f>
        <v>78</v>
      </c>
      <c r="E5468" s="115">
        <f>IFERROR(__xludf.DUMMYFUNCTION("""COMPUTED_VALUE"""),12.0)</f>
        <v>12</v>
      </c>
      <c r="F5468" s="115">
        <f>IFERROR(__xludf.DUMMYFUNCTION("""COMPUTED_VALUE"""),45.0)</f>
        <v>45</v>
      </c>
      <c r="G5468" s="115">
        <f>IFERROR(__xludf.DUMMYFUNCTION("""COMPUTED_VALUE"""),1.0)</f>
        <v>1</v>
      </c>
      <c r="H5468" s="116">
        <f>IFERROR(__xludf.DUMMYFUNCTION("""COMPUTED_VALUE"""),45910.0)</f>
        <v>45910</v>
      </c>
      <c r="I5468" s="115" t="str">
        <f>IFERROR(__xludf.DUMMYFUNCTION("""COMPUTED_VALUE"""),"19")</f>
        <v>19</v>
      </c>
      <c r="J5468" s="115"/>
      <c r="K5468" s="115">
        <f>IFERROR(__xludf.DUMMYFUNCTION("""COMPUTED_VALUE"""),90.0)</f>
        <v>90</v>
      </c>
    </row>
    <row r="5469">
      <c r="A5469" s="115" t="str">
        <f>IFERROR(__xludf.DUMMYFUNCTION("""COMPUTED_VALUE"""),"SOUTH")</f>
        <v>SOUTH</v>
      </c>
      <c r="B5469" s="115" t="str">
        <f>IFERROR(__xludf.DUMMYFUNCTION("""COMPUTED_VALUE"""),"0")</f>
        <v>0</v>
      </c>
      <c r="C5469" s="115" t="str">
        <f>IFERROR(__xludf.DUMMYFUNCTION("""COMPUTED_VALUE"""),"MYNTRA")</f>
        <v>MYNTRA</v>
      </c>
      <c r="D5469" s="115">
        <f>IFERROR(__xludf.DUMMYFUNCTION("""COMPUTED_VALUE"""),14.0)</f>
        <v>14</v>
      </c>
      <c r="E5469" s="115">
        <f>IFERROR(__xludf.DUMMYFUNCTION("""COMPUTED_VALUE"""),9.0)</f>
        <v>9</v>
      </c>
      <c r="F5469" s="115">
        <f>IFERROR(__xludf.DUMMYFUNCTION("""COMPUTED_VALUE"""),5.0)</f>
        <v>5</v>
      </c>
      <c r="G5469" s="115">
        <f>IFERROR(__xludf.DUMMYFUNCTION("""COMPUTED_VALUE"""),1.0)</f>
        <v>1</v>
      </c>
      <c r="H5469" s="116">
        <f>IFERROR(__xludf.DUMMYFUNCTION("""COMPUTED_VALUE"""),45910.0)</f>
        <v>45910</v>
      </c>
      <c r="I5469" s="115" t="str">
        <f>IFERROR(__xludf.DUMMYFUNCTION("""COMPUTED_VALUE"""),"19")</f>
        <v>19</v>
      </c>
      <c r="J5469" s="115"/>
      <c r="K5469" s="115">
        <f>IFERROR(__xludf.DUMMYFUNCTION("""COMPUTED_VALUE"""),23.0)</f>
        <v>23</v>
      </c>
    </row>
    <row r="5470">
      <c r="A5470" s="115" t="str">
        <f>IFERROR(__xludf.DUMMYFUNCTION("""COMPUTED_VALUE"""),"SOUTH")</f>
        <v>SOUTH</v>
      </c>
      <c r="B5470" s="115" t="str">
        <f>IFERROR(__xludf.DUMMYFUNCTION("""COMPUTED_VALUE"""),"Kandula Sampath")</f>
        <v>Kandula Sampath</v>
      </c>
      <c r="C5470" s="115" t="str">
        <f>IFERROR(__xludf.DUMMYFUNCTION("""COMPUTED_VALUE"""),"EXTERNAL")</f>
        <v>EXTERNAL</v>
      </c>
      <c r="D5470" s="115">
        <f>IFERROR(__xludf.DUMMYFUNCTION("""COMPUTED_VALUE"""),30953.0)</f>
        <v>30953</v>
      </c>
      <c r="E5470" s="115">
        <f>IFERROR(__xludf.DUMMYFUNCTION("""COMPUTED_VALUE"""),4295.0)</f>
        <v>4295</v>
      </c>
      <c r="F5470" s="115">
        <f>IFERROR(__xludf.DUMMYFUNCTION("""COMPUTED_VALUE"""),13304.0)</f>
        <v>13304</v>
      </c>
      <c r="G5470" s="115">
        <f>IFERROR(__xludf.DUMMYFUNCTION("""COMPUTED_VALUE"""),1458.0)</f>
        <v>1458</v>
      </c>
      <c r="H5470" s="116">
        <f>IFERROR(__xludf.DUMMYFUNCTION("""COMPUTED_VALUE"""),45910.0)</f>
        <v>45910</v>
      </c>
      <c r="I5470" s="115" t="str">
        <f>IFERROR(__xludf.DUMMYFUNCTION("""COMPUTED_VALUE"""),"19")</f>
        <v>19</v>
      </c>
      <c r="J5470" s="115"/>
      <c r="K5470" s="115">
        <f>IFERROR(__xludf.DUMMYFUNCTION("""COMPUTED_VALUE"""),35248.0)</f>
        <v>35248</v>
      </c>
    </row>
    <row r="5471">
      <c r="A5471" s="115" t="str">
        <f>IFERROR(__xludf.DUMMYFUNCTION("""COMPUTED_VALUE"""),"SOUTH")</f>
        <v>SOUTH</v>
      </c>
      <c r="B5471" s="115" t="str">
        <f>IFERROR(__xludf.DUMMYFUNCTION("""COMPUTED_VALUE"""),"Kandula Sampath")</f>
        <v>Kandula Sampath</v>
      </c>
      <c r="C5471" s="115" t="str">
        <f>IFERROR(__xludf.DUMMYFUNCTION("""COMPUTED_VALUE"""),"FLIPKART")</f>
        <v>FLIPKART</v>
      </c>
      <c r="D5471" s="115">
        <f>IFERROR(__xludf.DUMMYFUNCTION("""COMPUTED_VALUE"""),319203.0)</f>
        <v>319203</v>
      </c>
      <c r="E5471" s="115">
        <f>IFERROR(__xludf.DUMMYFUNCTION("""COMPUTED_VALUE"""),32002.0)</f>
        <v>32002</v>
      </c>
      <c r="F5471" s="115">
        <f>IFERROR(__xludf.DUMMYFUNCTION("""COMPUTED_VALUE"""),231653.0)</f>
        <v>231653</v>
      </c>
      <c r="G5471" s="115">
        <f>IFERROR(__xludf.DUMMYFUNCTION("""COMPUTED_VALUE"""),16705.0)</f>
        <v>16705</v>
      </c>
      <c r="H5471" s="116">
        <f>IFERROR(__xludf.DUMMYFUNCTION("""COMPUTED_VALUE"""),45910.0)</f>
        <v>45910</v>
      </c>
      <c r="I5471" s="115" t="str">
        <f>IFERROR(__xludf.DUMMYFUNCTION("""COMPUTED_VALUE"""),"19")</f>
        <v>19</v>
      </c>
      <c r="J5471" s="115"/>
      <c r="K5471" s="115">
        <f>IFERROR(__xludf.DUMMYFUNCTION("""COMPUTED_VALUE"""),351205.0)</f>
        <v>351205</v>
      </c>
    </row>
    <row r="5472">
      <c r="A5472" s="115" t="str">
        <f>IFERROR(__xludf.DUMMYFUNCTION("""COMPUTED_VALUE"""),"SOUTH")</f>
        <v>SOUTH</v>
      </c>
      <c r="B5472" s="115" t="str">
        <f>IFERROR(__xludf.DUMMYFUNCTION("""COMPUTED_VALUE"""),"Kandula Sampath")</f>
        <v>Kandula Sampath</v>
      </c>
      <c r="C5472" s="115" t="str">
        <f>IFERROR(__xludf.DUMMYFUNCTION("""COMPUTED_VALUE"""),"MYNTRA")</f>
        <v>MYNTRA</v>
      </c>
      <c r="D5472" s="115">
        <f>IFERROR(__xludf.DUMMYFUNCTION("""COMPUTED_VALUE"""),35239.0)</f>
        <v>35239</v>
      </c>
      <c r="E5472" s="115">
        <f>IFERROR(__xludf.DUMMYFUNCTION("""COMPUTED_VALUE"""),9717.0)</f>
        <v>9717</v>
      </c>
      <c r="F5472" s="115">
        <f>IFERROR(__xludf.DUMMYFUNCTION("""COMPUTED_VALUE"""),27867.0)</f>
        <v>27867</v>
      </c>
      <c r="G5472" s="115">
        <f>IFERROR(__xludf.DUMMYFUNCTION("""COMPUTED_VALUE"""),5251.0)</f>
        <v>5251</v>
      </c>
      <c r="H5472" s="116">
        <f>IFERROR(__xludf.DUMMYFUNCTION("""COMPUTED_VALUE"""),45910.0)</f>
        <v>45910</v>
      </c>
      <c r="I5472" s="115" t="str">
        <f>IFERROR(__xludf.DUMMYFUNCTION("""COMPUTED_VALUE"""),"19")</f>
        <v>19</v>
      </c>
      <c r="J5472" s="115"/>
      <c r="K5472" s="115">
        <f>IFERROR(__xludf.DUMMYFUNCTION("""COMPUTED_VALUE"""),44956.0)</f>
        <v>44956</v>
      </c>
    </row>
    <row r="5473">
      <c r="A5473" s="115" t="str">
        <f>IFERROR(__xludf.DUMMYFUNCTION("""COMPUTED_VALUE"""),"SOUTH")</f>
        <v>SOUTH</v>
      </c>
      <c r="B5473" s="115" t="str">
        <f>IFERROR(__xludf.DUMMYFUNCTION("""COMPUTED_VALUE"""),"Martin A")</f>
        <v>Martin A</v>
      </c>
      <c r="C5473" s="115" t="str">
        <f>IFERROR(__xludf.DUMMYFUNCTION("""COMPUTED_VALUE"""),"EXTERNAL")</f>
        <v>EXTERNAL</v>
      </c>
      <c r="D5473" s="115">
        <f>IFERROR(__xludf.DUMMYFUNCTION("""COMPUTED_VALUE"""),32344.0)</f>
        <v>32344</v>
      </c>
      <c r="E5473" s="115">
        <f>IFERROR(__xludf.DUMMYFUNCTION("""COMPUTED_VALUE"""),4240.0)</f>
        <v>4240</v>
      </c>
      <c r="F5473" s="115">
        <f>IFERROR(__xludf.DUMMYFUNCTION("""COMPUTED_VALUE"""),13834.0)</f>
        <v>13834</v>
      </c>
      <c r="G5473" s="115">
        <f>IFERROR(__xludf.DUMMYFUNCTION("""COMPUTED_VALUE"""),1868.0)</f>
        <v>1868</v>
      </c>
      <c r="H5473" s="116">
        <f>IFERROR(__xludf.DUMMYFUNCTION("""COMPUTED_VALUE"""),45910.0)</f>
        <v>45910</v>
      </c>
      <c r="I5473" s="115" t="str">
        <f>IFERROR(__xludf.DUMMYFUNCTION("""COMPUTED_VALUE"""),"19")</f>
        <v>19</v>
      </c>
      <c r="J5473" s="115"/>
      <c r="K5473" s="115">
        <f>IFERROR(__xludf.DUMMYFUNCTION("""COMPUTED_VALUE"""),36584.0)</f>
        <v>36584</v>
      </c>
    </row>
    <row r="5474">
      <c r="A5474" s="115" t="str">
        <f>IFERROR(__xludf.DUMMYFUNCTION("""COMPUTED_VALUE"""),"SOUTH")</f>
        <v>SOUTH</v>
      </c>
      <c r="B5474" s="115" t="str">
        <f>IFERROR(__xludf.DUMMYFUNCTION("""COMPUTED_VALUE"""),"Martin A")</f>
        <v>Martin A</v>
      </c>
      <c r="C5474" s="115" t="str">
        <f>IFERROR(__xludf.DUMMYFUNCTION("""COMPUTED_VALUE"""),"FLIPKART")</f>
        <v>FLIPKART</v>
      </c>
      <c r="D5474" s="115">
        <f>IFERROR(__xludf.DUMMYFUNCTION("""COMPUTED_VALUE"""),301525.0)</f>
        <v>301525</v>
      </c>
      <c r="E5474" s="115">
        <f>IFERROR(__xludf.DUMMYFUNCTION("""COMPUTED_VALUE"""),28037.0)</f>
        <v>28037</v>
      </c>
      <c r="F5474" s="115">
        <f>IFERROR(__xludf.DUMMYFUNCTION("""COMPUTED_VALUE"""),216393.0)</f>
        <v>216393</v>
      </c>
      <c r="G5474" s="115">
        <f>IFERROR(__xludf.DUMMYFUNCTION("""COMPUTED_VALUE"""),15786.0)</f>
        <v>15786</v>
      </c>
      <c r="H5474" s="116">
        <f>IFERROR(__xludf.DUMMYFUNCTION("""COMPUTED_VALUE"""),45910.0)</f>
        <v>45910</v>
      </c>
      <c r="I5474" s="115" t="str">
        <f>IFERROR(__xludf.DUMMYFUNCTION("""COMPUTED_VALUE"""),"19")</f>
        <v>19</v>
      </c>
      <c r="J5474" s="115"/>
      <c r="K5474" s="115">
        <f>IFERROR(__xludf.DUMMYFUNCTION("""COMPUTED_VALUE"""),329562.0)</f>
        <v>329562</v>
      </c>
    </row>
    <row r="5475">
      <c r="A5475" s="115" t="str">
        <f>IFERROR(__xludf.DUMMYFUNCTION("""COMPUTED_VALUE"""),"SOUTH")</f>
        <v>SOUTH</v>
      </c>
      <c r="B5475" s="115" t="str">
        <f>IFERROR(__xludf.DUMMYFUNCTION("""COMPUTED_VALUE"""),"Martin A")</f>
        <v>Martin A</v>
      </c>
      <c r="C5475" s="115" t="str">
        <f>IFERROR(__xludf.DUMMYFUNCTION("""COMPUTED_VALUE"""),"MYNTRA")</f>
        <v>MYNTRA</v>
      </c>
      <c r="D5475" s="115">
        <f>IFERROR(__xludf.DUMMYFUNCTION("""COMPUTED_VALUE"""),29371.0)</f>
        <v>29371</v>
      </c>
      <c r="E5475" s="115">
        <f>IFERROR(__xludf.DUMMYFUNCTION("""COMPUTED_VALUE"""),7221.0)</f>
        <v>7221</v>
      </c>
      <c r="F5475" s="115">
        <f>IFERROR(__xludf.DUMMYFUNCTION("""COMPUTED_VALUE"""),23869.0)</f>
        <v>23869</v>
      </c>
      <c r="G5475" s="115">
        <f>IFERROR(__xludf.DUMMYFUNCTION("""COMPUTED_VALUE"""),4422.0)</f>
        <v>4422</v>
      </c>
      <c r="H5475" s="116">
        <f>IFERROR(__xludf.DUMMYFUNCTION("""COMPUTED_VALUE"""),45910.0)</f>
        <v>45910</v>
      </c>
      <c r="I5475" s="115" t="str">
        <f>IFERROR(__xludf.DUMMYFUNCTION("""COMPUTED_VALUE"""),"19")</f>
        <v>19</v>
      </c>
      <c r="J5475" s="115"/>
      <c r="K5475" s="115">
        <f>IFERROR(__xludf.DUMMYFUNCTION("""COMPUTED_VALUE"""),36592.0)</f>
        <v>36592</v>
      </c>
    </row>
    <row r="5476">
      <c r="A5476" s="115" t="str">
        <f>IFERROR(__xludf.DUMMYFUNCTION("""COMPUTED_VALUE"""),"SOUTH")</f>
        <v>SOUTH</v>
      </c>
      <c r="B5476" s="115" t="str">
        <f>IFERROR(__xludf.DUMMYFUNCTION("""COMPUTED_VALUE"""),"Premkumar M")</f>
        <v>Premkumar M</v>
      </c>
      <c r="C5476" s="115" t="str">
        <f>IFERROR(__xludf.DUMMYFUNCTION("""COMPUTED_VALUE"""),"EXTERNAL")</f>
        <v>EXTERNAL</v>
      </c>
      <c r="D5476" s="115">
        <f>IFERROR(__xludf.DUMMYFUNCTION("""COMPUTED_VALUE"""),25903.0)</f>
        <v>25903</v>
      </c>
      <c r="E5476" s="115">
        <f>IFERROR(__xludf.DUMMYFUNCTION("""COMPUTED_VALUE"""),2140.0)</f>
        <v>2140</v>
      </c>
      <c r="F5476" s="115">
        <f>IFERROR(__xludf.DUMMYFUNCTION("""COMPUTED_VALUE"""),12020.0)</f>
        <v>12020</v>
      </c>
      <c r="G5476" s="115">
        <f>IFERROR(__xludf.DUMMYFUNCTION("""COMPUTED_VALUE"""),589.0)</f>
        <v>589</v>
      </c>
      <c r="H5476" s="116">
        <f>IFERROR(__xludf.DUMMYFUNCTION("""COMPUTED_VALUE"""),45910.0)</f>
        <v>45910</v>
      </c>
      <c r="I5476" s="115" t="str">
        <f>IFERROR(__xludf.DUMMYFUNCTION("""COMPUTED_VALUE"""),"19")</f>
        <v>19</v>
      </c>
      <c r="J5476" s="115"/>
      <c r="K5476" s="115">
        <f>IFERROR(__xludf.DUMMYFUNCTION("""COMPUTED_VALUE"""),28043.0)</f>
        <v>28043</v>
      </c>
    </row>
    <row r="5477">
      <c r="A5477" s="115" t="str">
        <f>IFERROR(__xludf.DUMMYFUNCTION("""COMPUTED_VALUE"""),"SOUTH")</f>
        <v>SOUTH</v>
      </c>
      <c r="B5477" s="115" t="str">
        <f>IFERROR(__xludf.DUMMYFUNCTION("""COMPUTED_VALUE"""),"Premkumar M")</f>
        <v>Premkumar M</v>
      </c>
      <c r="C5477" s="115" t="str">
        <f>IFERROR(__xludf.DUMMYFUNCTION("""COMPUTED_VALUE"""),"FLIPKART")</f>
        <v>FLIPKART</v>
      </c>
      <c r="D5477" s="115">
        <f>IFERROR(__xludf.DUMMYFUNCTION("""COMPUTED_VALUE"""),276984.0)</f>
        <v>276984</v>
      </c>
      <c r="E5477" s="115">
        <f>IFERROR(__xludf.DUMMYFUNCTION("""COMPUTED_VALUE"""),18971.0)</f>
        <v>18971</v>
      </c>
      <c r="F5477" s="115">
        <f>IFERROR(__xludf.DUMMYFUNCTION("""COMPUTED_VALUE"""),199078.0)</f>
        <v>199078</v>
      </c>
      <c r="G5477" s="115">
        <f>IFERROR(__xludf.DUMMYFUNCTION("""COMPUTED_VALUE"""),7002.0)</f>
        <v>7002</v>
      </c>
      <c r="H5477" s="116">
        <f>IFERROR(__xludf.DUMMYFUNCTION("""COMPUTED_VALUE"""),45910.0)</f>
        <v>45910</v>
      </c>
      <c r="I5477" s="115" t="str">
        <f>IFERROR(__xludf.DUMMYFUNCTION("""COMPUTED_VALUE"""),"19")</f>
        <v>19</v>
      </c>
      <c r="J5477" s="115"/>
      <c r="K5477" s="115">
        <f>IFERROR(__xludf.DUMMYFUNCTION("""COMPUTED_VALUE"""),295955.0)</f>
        <v>295955</v>
      </c>
    </row>
    <row r="5478">
      <c r="A5478" s="115" t="str">
        <f>IFERROR(__xludf.DUMMYFUNCTION("""COMPUTED_VALUE"""),"SOUTH")</f>
        <v>SOUTH</v>
      </c>
      <c r="B5478" s="115" t="str">
        <f>IFERROR(__xludf.DUMMYFUNCTION("""COMPUTED_VALUE"""),"Premkumar M")</f>
        <v>Premkumar M</v>
      </c>
      <c r="C5478" s="115" t="str">
        <f>IFERROR(__xludf.DUMMYFUNCTION("""COMPUTED_VALUE"""),"MYNTRA")</f>
        <v>MYNTRA</v>
      </c>
      <c r="D5478" s="115">
        <f>IFERROR(__xludf.DUMMYFUNCTION("""COMPUTED_VALUE"""),14091.0)</f>
        <v>14091</v>
      </c>
      <c r="E5478" s="115">
        <f>IFERROR(__xludf.DUMMYFUNCTION("""COMPUTED_VALUE"""),3060.0)</f>
        <v>3060</v>
      </c>
      <c r="F5478" s="115">
        <f>IFERROR(__xludf.DUMMYFUNCTION("""COMPUTED_VALUE"""),11213.0)</f>
        <v>11213</v>
      </c>
      <c r="G5478" s="115">
        <f>IFERROR(__xludf.DUMMYFUNCTION("""COMPUTED_VALUE"""),1259.0)</f>
        <v>1259</v>
      </c>
      <c r="H5478" s="116">
        <f>IFERROR(__xludf.DUMMYFUNCTION("""COMPUTED_VALUE"""),45910.0)</f>
        <v>45910</v>
      </c>
      <c r="I5478" s="115" t="str">
        <f>IFERROR(__xludf.DUMMYFUNCTION("""COMPUTED_VALUE"""),"19")</f>
        <v>19</v>
      </c>
      <c r="J5478" s="115"/>
      <c r="K5478" s="115">
        <f>IFERROR(__xludf.DUMMYFUNCTION("""COMPUTED_VALUE"""),17151.0)</f>
        <v>17151</v>
      </c>
    </row>
    <row r="5479">
      <c r="A5479" s="115" t="str">
        <f>IFERROR(__xludf.DUMMYFUNCTION("""COMPUTED_VALUE"""),"SOUTH")</f>
        <v>SOUTH</v>
      </c>
      <c r="B5479" s="115" t="str">
        <f>IFERROR(__xludf.DUMMYFUNCTION("""COMPUTED_VALUE"""),"Vineeth V")</f>
        <v>Vineeth V</v>
      </c>
      <c r="C5479" s="115" t="str">
        <f>IFERROR(__xludf.DUMMYFUNCTION("""COMPUTED_VALUE"""),"EXTERNAL")</f>
        <v>EXTERNAL</v>
      </c>
      <c r="D5479" s="115">
        <f>IFERROR(__xludf.DUMMYFUNCTION("""COMPUTED_VALUE"""),18002.0)</f>
        <v>18002</v>
      </c>
      <c r="E5479" s="115">
        <f>IFERROR(__xludf.DUMMYFUNCTION("""COMPUTED_VALUE"""),683.0)</f>
        <v>683</v>
      </c>
      <c r="F5479" s="115">
        <f>IFERROR(__xludf.DUMMYFUNCTION("""COMPUTED_VALUE"""),8810.0)</f>
        <v>8810</v>
      </c>
      <c r="G5479" s="115">
        <f>IFERROR(__xludf.DUMMYFUNCTION("""COMPUTED_VALUE"""),325.0)</f>
        <v>325</v>
      </c>
      <c r="H5479" s="116">
        <f>IFERROR(__xludf.DUMMYFUNCTION("""COMPUTED_VALUE"""),45910.0)</f>
        <v>45910</v>
      </c>
      <c r="I5479" s="115" t="str">
        <f>IFERROR(__xludf.DUMMYFUNCTION("""COMPUTED_VALUE"""),"19")</f>
        <v>19</v>
      </c>
      <c r="J5479" s="115"/>
      <c r="K5479" s="115">
        <f>IFERROR(__xludf.DUMMYFUNCTION("""COMPUTED_VALUE"""),18685.0)</f>
        <v>18685</v>
      </c>
    </row>
    <row r="5480">
      <c r="A5480" s="115" t="str">
        <f>IFERROR(__xludf.DUMMYFUNCTION("""COMPUTED_VALUE"""),"SOUTH")</f>
        <v>SOUTH</v>
      </c>
      <c r="B5480" s="115" t="str">
        <f>IFERROR(__xludf.DUMMYFUNCTION("""COMPUTED_VALUE"""),"Vineeth V")</f>
        <v>Vineeth V</v>
      </c>
      <c r="C5480" s="115" t="str">
        <f>IFERROR(__xludf.DUMMYFUNCTION("""COMPUTED_VALUE"""),"FLIPKART")</f>
        <v>FLIPKART</v>
      </c>
      <c r="D5480" s="115">
        <f>IFERROR(__xludf.DUMMYFUNCTION("""COMPUTED_VALUE"""),190279.0)</f>
        <v>190279</v>
      </c>
      <c r="E5480" s="115">
        <f>IFERROR(__xludf.DUMMYFUNCTION("""COMPUTED_VALUE"""),16116.0)</f>
        <v>16116</v>
      </c>
      <c r="F5480" s="115">
        <f>IFERROR(__xludf.DUMMYFUNCTION("""COMPUTED_VALUE"""),151495.0)</f>
        <v>151495</v>
      </c>
      <c r="G5480" s="115">
        <f>IFERROR(__xludf.DUMMYFUNCTION("""COMPUTED_VALUE"""),8344.0)</f>
        <v>8344</v>
      </c>
      <c r="H5480" s="116">
        <f>IFERROR(__xludf.DUMMYFUNCTION("""COMPUTED_VALUE"""),45910.0)</f>
        <v>45910</v>
      </c>
      <c r="I5480" s="115" t="str">
        <f>IFERROR(__xludf.DUMMYFUNCTION("""COMPUTED_VALUE"""),"19")</f>
        <v>19</v>
      </c>
      <c r="J5480" s="115"/>
      <c r="K5480" s="115">
        <f>IFERROR(__xludf.DUMMYFUNCTION("""COMPUTED_VALUE"""),206395.0)</f>
        <v>206395</v>
      </c>
    </row>
    <row r="5481">
      <c r="A5481" s="115" t="str">
        <f>IFERROR(__xludf.DUMMYFUNCTION("""COMPUTED_VALUE"""),"SOUTH")</f>
        <v>SOUTH</v>
      </c>
      <c r="B5481" s="115" t="str">
        <f>IFERROR(__xludf.DUMMYFUNCTION("""COMPUTED_VALUE"""),"Vineeth V")</f>
        <v>Vineeth V</v>
      </c>
      <c r="C5481" s="115" t="str">
        <f>IFERROR(__xludf.DUMMYFUNCTION("""COMPUTED_VALUE"""),"MYNTRA")</f>
        <v>MYNTRA</v>
      </c>
      <c r="D5481" s="115">
        <f>IFERROR(__xludf.DUMMYFUNCTION("""COMPUTED_VALUE"""),15229.0)</f>
        <v>15229</v>
      </c>
      <c r="E5481" s="115">
        <f>IFERROR(__xludf.DUMMYFUNCTION("""COMPUTED_VALUE"""),3962.0)</f>
        <v>3962</v>
      </c>
      <c r="F5481" s="115">
        <f>IFERROR(__xludf.DUMMYFUNCTION("""COMPUTED_VALUE"""),12789.0)</f>
        <v>12789</v>
      </c>
      <c r="G5481" s="115">
        <f>IFERROR(__xludf.DUMMYFUNCTION("""COMPUTED_VALUE"""),2085.0)</f>
        <v>2085</v>
      </c>
      <c r="H5481" s="116">
        <f>IFERROR(__xludf.DUMMYFUNCTION("""COMPUTED_VALUE"""),45910.0)</f>
        <v>45910</v>
      </c>
      <c r="I5481" s="115" t="str">
        <f>IFERROR(__xludf.DUMMYFUNCTION("""COMPUTED_VALUE"""),"19")</f>
        <v>19</v>
      </c>
      <c r="J5481" s="115"/>
      <c r="K5481" s="115">
        <f>IFERROR(__xludf.DUMMYFUNCTION("""COMPUTED_VALUE"""),19191.0)</f>
        <v>19191</v>
      </c>
    </row>
    <row r="5482">
      <c r="A5482" s="115" t="str">
        <f>IFERROR(__xludf.DUMMYFUNCTION("""COMPUTED_VALUE"""),"WEST")</f>
        <v>WEST</v>
      </c>
      <c r="B5482" s="115" t="str">
        <f>IFERROR(__xludf.DUMMYFUNCTION("""COMPUTED_VALUE"""),"Ashish Jakar")</f>
        <v>Ashish Jakar</v>
      </c>
      <c r="C5482" s="115" t="str">
        <f>IFERROR(__xludf.DUMMYFUNCTION("""COMPUTED_VALUE"""),"EXTERNAL")</f>
        <v>EXTERNAL</v>
      </c>
      <c r="D5482" s="115">
        <f>IFERROR(__xludf.DUMMYFUNCTION("""COMPUTED_VALUE"""),64224.0)</f>
        <v>64224</v>
      </c>
      <c r="E5482" s="115">
        <f>IFERROR(__xludf.DUMMYFUNCTION("""COMPUTED_VALUE"""),6048.0)</f>
        <v>6048</v>
      </c>
      <c r="F5482" s="115">
        <f>IFERROR(__xludf.DUMMYFUNCTION("""COMPUTED_VALUE"""),27912.0)</f>
        <v>27912</v>
      </c>
      <c r="G5482" s="115">
        <f>IFERROR(__xludf.DUMMYFUNCTION("""COMPUTED_VALUE"""),2568.0)</f>
        <v>2568</v>
      </c>
      <c r="H5482" s="116">
        <f>IFERROR(__xludf.DUMMYFUNCTION("""COMPUTED_VALUE"""),45910.0)</f>
        <v>45910</v>
      </c>
      <c r="I5482" s="115" t="str">
        <f>IFERROR(__xludf.DUMMYFUNCTION("""COMPUTED_VALUE"""),"19")</f>
        <v>19</v>
      </c>
      <c r="J5482" s="115"/>
      <c r="K5482" s="115">
        <f>IFERROR(__xludf.DUMMYFUNCTION("""COMPUTED_VALUE"""),70272.0)</f>
        <v>70272</v>
      </c>
    </row>
    <row r="5483">
      <c r="A5483" s="115" t="str">
        <f>IFERROR(__xludf.DUMMYFUNCTION("""COMPUTED_VALUE"""),"WEST")</f>
        <v>WEST</v>
      </c>
      <c r="B5483" s="115" t="str">
        <f>IFERROR(__xludf.DUMMYFUNCTION("""COMPUTED_VALUE"""),"Ashish Jakar")</f>
        <v>Ashish Jakar</v>
      </c>
      <c r="C5483" s="115" t="str">
        <f>IFERROR(__xludf.DUMMYFUNCTION("""COMPUTED_VALUE"""),"FLIPKART")</f>
        <v>FLIPKART</v>
      </c>
      <c r="D5483" s="115">
        <f>IFERROR(__xludf.DUMMYFUNCTION("""COMPUTED_VALUE"""),405073.0)</f>
        <v>405073</v>
      </c>
      <c r="E5483" s="115">
        <f>IFERROR(__xludf.DUMMYFUNCTION("""COMPUTED_VALUE"""),33706.0)</f>
        <v>33706</v>
      </c>
      <c r="F5483" s="115">
        <f>IFERROR(__xludf.DUMMYFUNCTION("""COMPUTED_VALUE"""),281521.0)</f>
        <v>281521</v>
      </c>
      <c r="G5483" s="115">
        <f>IFERROR(__xludf.DUMMYFUNCTION("""COMPUTED_VALUE"""),17884.0)</f>
        <v>17884</v>
      </c>
      <c r="H5483" s="116">
        <f>IFERROR(__xludf.DUMMYFUNCTION("""COMPUTED_VALUE"""),45910.0)</f>
        <v>45910</v>
      </c>
      <c r="I5483" s="115" t="str">
        <f>IFERROR(__xludf.DUMMYFUNCTION("""COMPUTED_VALUE"""),"19")</f>
        <v>19</v>
      </c>
      <c r="J5483" s="115"/>
      <c r="K5483" s="115">
        <f>IFERROR(__xludf.DUMMYFUNCTION("""COMPUTED_VALUE"""),438779.0)</f>
        <v>438779</v>
      </c>
    </row>
    <row r="5484">
      <c r="A5484" s="115" t="str">
        <f>IFERROR(__xludf.DUMMYFUNCTION("""COMPUTED_VALUE"""),"WEST")</f>
        <v>WEST</v>
      </c>
      <c r="B5484" s="115" t="str">
        <f>IFERROR(__xludf.DUMMYFUNCTION("""COMPUTED_VALUE"""),"Ashish Jakar")</f>
        <v>Ashish Jakar</v>
      </c>
      <c r="C5484" s="115" t="str">
        <f>IFERROR(__xludf.DUMMYFUNCTION("""COMPUTED_VALUE"""),"MYNTRA")</f>
        <v>MYNTRA</v>
      </c>
      <c r="D5484" s="115">
        <f>IFERROR(__xludf.DUMMYFUNCTION("""COMPUTED_VALUE"""),46334.0)</f>
        <v>46334</v>
      </c>
      <c r="E5484" s="115">
        <f>IFERROR(__xludf.DUMMYFUNCTION("""COMPUTED_VALUE"""),11477.0)</f>
        <v>11477</v>
      </c>
      <c r="F5484" s="115">
        <f>IFERROR(__xludf.DUMMYFUNCTION("""COMPUTED_VALUE"""),36588.0)</f>
        <v>36588</v>
      </c>
      <c r="G5484" s="115">
        <f>IFERROR(__xludf.DUMMYFUNCTION("""COMPUTED_VALUE"""),6623.0)</f>
        <v>6623</v>
      </c>
      <c r="H5484" s="116">
        <f>IFERROR(__xludf.DUMMYFUNCTION("""COMPUTED_VALUE"""),45910.0)</f>
        <v>45910</v>
      </c>
      <c r="I5484" s="115" t="str">
        <f>IFERROR(__xludf.DUMMYFUNCTION("""COMPUTED_VALUE"""),"19")</f>
        <v>19</v>
      </c>
      <c r="J5484" s="115"/>
      <c r="K5484" s="115">
        <f>IFERROR(__xludf.DUMMYFUNCTION("""COMPUTED_VALUE"""),57811.0)</f>
        <v>57811</v>
      </c>
    </row>
    <row r="5485">
      <c r="A5485" s="115" t="str">
        <f>IFERROR(__xludf.DUMMYFUNCTION("""COMPUTED_VALUE"""),"WEST")</f>
        <v>WEST</v>
      </c>
      <c r="B5485" s="115" t="str">
        <f>IFERROR(__xludf.DUMMYFUNCTION("""COMPUTED_VALUE"""),"Ashvani Bhatt")</f>
        <v>Ashvani Bhatt</v>
      </c>
      <c r="C5485" s="115" t="str">
        <f>IFERROR(__xludf.DUMMYFUNCTION("""COMPUTED_VALUE"""),"EXTERNAL")</f>
        <v>EXTERNAL</v>
      </c>
      <c r="D5485" s="115">
        <f>IFERROR(__xludf.DUMMYFUNCTION("""COMPUTED_VALUE"""),40139.0)</f>
        <v>40139</v>
      </c>
      <c r="E5485" s="115">
        <f>IFERROR(__xludf.DUMMYFUNCTION("""COMPUTED_VALUE"""),3184.0)</f>
        <v>3184</v>
      </c>
      <c r="F5485" s="115">
        <f>IFERROR(__xludf.DUMMYFUNCTION("""COMPUTED_VALUE"""),16988.0)</f>
        <v>16988</v>
      </c>
      <c r="G5485" s="115">
        <f>IFERROR(__xludf.DUMMYFUNCTION("""COMPUTED_VALUE"""),1327.0)</f>
        <v>1327</v>
      </c>
      <c r="H5485" s="116">
        <f>IFERROR(__xludf.DUMMYFUNCTION("""COMPUTED_VALUE"""),45910.0)</f>
        <v>45910</v>
      </c>
      <c r="I5485" s="115" t="str">
        <f>IFERROR(__xludf.DUMMYFUNCTION("""COMPUTED_VALUE"""),"19")</f>
        <v>19</v>
      </c>
      <c r="J5485" s="115"/>
      <c r="K5485" s="115">
        <f>IFERROR(__xludf.DUMMYFUNCTION("""COMPUTED_VALUE"""),43323.0)</f>
        <v>43323</v>
      </c>
    </row>
    <row r="5486">
      <c r="A5486" s="115" t="str">
        <f>IFERROR(__xludf.DUMMYFUNCTION("""COMPUTED_VALUE"""),"WEST")</f>
        <v>WEST</v>
      </c>
      <c r="B5486" s="115" t="str">
        <f>IFERROR(__xludf.DUMMYFUNCTION("""COMPUTED_VALUE"""),"Ashvani Bhatt")</f>
        <v>Ashvani Bhatt</v>
      </c>
      <c r="C5486" s="115" t="str">
        <f>IFERROR(__xludf.DUMMYFUNCTION("""COMPUTED_VALUE"""),"FLIPKART")</f>
        <v>FLIPKART</v>
      </c>
      <c r="D5486" s="115">
        <f>IFERROR(__xludf.DUMMYFUNCTION("""COMPUTED_VALUE"""),281978.0)</f>
        <v>281978</v>
      </c>
      <c r="E5486" s="115">
        <f>IFERROR(__xludf.DUMMYFUNCTION("""COMPUTED_VALUE"""),30200.0)</f>
        <v>30200</v>
      </c>
      <c r="F5486" s="115">
        <f>IFERROR(__xludf.DUMMYFUNCTION("""COMPUTED_VALUE"""),208643.0)</f>
        <v>208643</v>
      </c>
      <c r="G5486" s="115">
        <f>IFERROR(__xludf.DUMMYFUNCTION("""COMPUTED_VALUE"""),17707.0)</f>
        <v>17707</v>
      </c>
      <c r="H5486" s="116">
        <f>IFERROR(__xludf.DUMMYFUNCTION("""COMPUTED_VALUE"""),45910.0)</f>
        <v>45910</v>
      </c>
      <c r="I5486" s="115" t="str">
        <f>IFERROR(__xludf.DUMMYFUNCTION("""COMPUTED_VALUE"""),"19")</f>
        <v>19</v>
      </c>
      <c r="J5486" s="115"/>
      <c r="K5486" s="115">
        <f>IFERROR(__xludf.DUMMYFUNCTION("""COMPUTED_VALUE"""),312178.0)</f>
        <v>312178</v>
      </c>
    </row>
    <row r="5487">
      <c r="A5487" s="115" t="str">
        <f>IFERROR(__xludf.DUMMYFUNCTION("""COMPUTED_VALUE"""),"WEST")</f>
        <v>WEST</v>
      </c>
      <c r="B5487" s="115" t="str">
        <f>IFERROR(__xludf.DUMMYFUNCTION("""COMPUTED_VALUE"""),"Ashvani Bhatt")</f>
        <v>Ashvani Bhatt</v>
      </c>
      <c r="C5487" s="115" t="str">
        <f>IFERROR(__xludf.DUMMYFUNCTION("""COMPUTED_VALUE"""),"MYNTRA")</f>
        <v>MYNTRA</v>
      </c>
      <c r="D5487" s="115">
        <f>IFERROR(__xludf.DUMMYFUNCTION("""COMPUTED_VALUE"""),34605.0)</f>
        <v>34605</v>
      </c>
      <c r="E5487" s="115">
        <f>IFERROR(__xludf.DUMMYFUNCTION("""COMPUTED_VALUE"""),9791.0)</f>
        <v>9791</v>
      </c>
      <c r="F5487" s="115">
        <f>IFERROR(__xludf.DUMMYFUNCTION("""COMPUTED_VALUE"""),28764.0)</f>
        <v>28764</v>
      </c>
      <c r="G5487" s="115">
        <f>IFERROR(__xludf.DUMMYFUNCTION("""COMPUTED_VALUE"""),6477.0)</f>
        <v>6477</v>
      </c>
      <c r="H5487" s="116">
        <f>IFERROR(__xludf.DUMMYFUNCTION("""COMPUTED_VALUE"""),45910.0)</f>
        <v>45910</v>
      </c>
      <c r="I5487" s="115" t="str">
        <f>IFERROR(__xludf.DUMMYFUNCTION("""COMPUTED_VALUE"""),"19")</f>
        <v>19</v>
      </c>
      <c r="J5487" s="115"/>
      <c r="K5487" s="115">
        <f>IFERROR(__xludf.DUMMYFUNCTION("""COMPUTED_VALUE"""),44396.0)</f>
        <v>44396</v>
      </c>
    </row>
    <row r="5488">
      <c r="A5488" s="115"/>
      <c r="B5488" s="115"/>
      <c r="C5488" s="115" t="str">
        <f>IFERROR(__xludf.DUMMYFUNCTION("""COMPUTED_VALUE"""),"EXTERNAL")</f>
        <v>EXTERNAL</v>
      </c>
      <c r="D5488" s="115">
        <f>IFERROR(__xludf.DUMMYFUNCTION("""COMPUTED_VALUE"""),766.0)</f>
        <v>766</v>
      </c>
      <c r="E5488" s="115">
        <f>IFERROR(__xludf.DUMMYFUNCTION("""COMPUTED_VALUE"""),181.0)</f>
        <v>181</v>
      </c>
      <c r="F5488" s="115">
        <f>IFERROR(__xludf.DUMMYFUNCTION("""COMPUTED_VALUE"""),337.0)</f>
        <v>337</v>
      </c>
      <c r="G5488" s="115">
        <f>IFERROR(__xludf.DUMMYFUNCTION("""COMPUTED_VALUE"""),84.0)</f>
        <v>84</v>
      </c>
      <c r="H5488" s="116">
        <f>IFERROR(__xludf.DUMMYFUNCTION("""COMPUTED_VALUE"""),45910.0)</f>
        <v>45910</v>
      </c>
      <c r="I5488" s="115" t="str">
        <f>IFERROR(__xludf.DUMMYFUNCTION("""COMPUTED_VALUE"""),"19")</f>
        <v>19</v>
      </c>
      <c r="J5488" s="115"/>
      <c r="K5488" s="115">
        <f>IFERROR(__xludf.DUMMYFUNCTION("""COMPUTED_VALUE"""),947.0)</f>
        <v>947</v>
      </c>
    </row>
    <row r="5489">
      <c r="A5489" s="115"/>
      <c r="B5489" s="115"/>
      <c r="C5489" s="115" t="str">
        <f>IFERROR(__xludf.DUMMYFUNCTION("""COMPUTED_VALUE"""),"FLIPKART")</f>
        <v>FLIPKART</v>
      </c>
      <c r="D5489" s="115">
        <f>IFERROR(__xludf.DUMMYFUNCTION("""COMPUTED_VALUE"""),7982.0)</f>
        <v>7982</v>
      </c>
      <c r="E5489" s="115">
        <f>IFERROR(__xludf.DUMMYFUNCTION("""COMPUTED_VALUE"""),902.0)</f>
        <v>902</v>
      </c>
      <c r="F5489" s="115">
        <f>IFERROR(__xludf.DUMMYFUNCTION("""COMPUTED_VALUE"""),5335.0)</f>
        <v>5335</v>
      </c>
      <c r="G5489" s="115">
        <f>IFERROR(__xludf.DUMMYFUNCTION("""COMPUTED_VALUE"""),490.0)</f>
        <v>490</v>
      </c>
      <c r="H5489" s="116">
        <f>IFERROR(__xludf.DUMMYFUNCTION("""COMPUTED_VALUE"""),45910.0)</f>
        <v>45910</v>
      </c>
      <c r="I5489" s="115" t="str">
        <f>IFERROR(__xludf.DUMMYFUNCTION("""COMPUTED_VALUE"""),"19")</f>
        <v>19</v>
      </c>
      <c r="J5489" s="115"/>
      <c r="K5489" s="115">
        <f>IFERROR(__xludf.DUMMYFUNCTION("""COMPUTED_VALUE"""),8884.0)</f>
        <v>8884</v>
      </c>
    </row>
    <row r="5490">
      <c r="A5490" s="115"/>
      <c r="B5490" s="115"/>
      <c r="C5490" s="115" t="str">
        <f>IFERROR(__xludf.DUMMYFUNCTION("""COMPUTED_VALUE"""),"MYNTRA")</f>
        <v>MYNTRA</v>
      </c>
      <c r="D5490" s="115">
        <f>IFERROR(__xludf.DUMMYFUNCTION("""COMPUTED_VALUE"""),833.0)</f>
        <v>833</v>
      </c>
      <c r="E5490" s="115">
        <f>IFERROR(__xludf.DUMMYFUNCTION("""COMPUTED_VALUE"""),233.0)</f>
        <v>233</v>
      </c>
      <c r="F5490" s="115">
        <f>IFERROR(__xludf.DUMMYFUNCTION("""COMPUTED_VALUE"""),647.0)</f>
        <v>647</v>
      </c>
      <c r="G5490" s="115">
        <f>IFERROR(__xludf.DUMMYFUNCTION("""COMPUTED_VALUE"""),161.0)</f>
        <v>161</v>
      </c>
      <c r="H5490" s="116">
        <f>IFERROR(__xludf.DUMMYFUNCTION("""COMPUTED_VALUE"""),45910.0)</f>
        <v>45910</v>
      </c>
      <c r="I5490" s="115" t="str">
        <f>IFERROR(__xludf.DUMMYFUNCTION("""COMPUTED_VALUE"""),"19")</f>
        <v>19</v>
      </c>
      <c r="J5490" s="115"/>
      <c r="K5490" s="115">
        <f>IFERROR(__xludf.DUMMYFUNCTION("""COMPUTED_VALUE"""),1066.0)</f>
        <v>1066</v>
      </c>
    </row>
    <row r="5491">
      <c r="A5491" s="115" t="str">
        <f>IFERROR(__xludf.DUMMYFUNCTION("""COMPUTED_VALUE"""),"EAST")</f>
        <v>EAST</v>
      </c>
      <c r="B5491" s="115" t="str">
        <f>IFERROR(__xludf.DUMMYFUNCTION("""COMPUTED_VALUE"""),"Ashish Ranjan")</f>
        <v>Ashish Ranjan</v>
      </c>
      <c r="C5491" s="115" t="str">
        <f>IFERROR(__xludf.DUMMYFUNCTION("""COMPUTED_VALUE"""),"EXTERNAL")</f>
        <v>EXTERNAL</v>
      </c>
      <c r="D5491" s="115">
        <f>IFERROR(__xludf.DUMMYFUNCTION("""COMPUTED_VALUE"""),38612.0)</f>
        <v>38612</v>
      </c>
      <c r="E5491" s="115">
        <f>IFERROR(__xludf.DUMMYFUNCTION("""COMPUTED_VALUE"""),3889.0)</f>
        <v>3889</v>
      </c>
      <c r="F5491" s="115">
        <f>IFERROR(__xludf.DUMMYFUNCTION("""COMPUTED_VALUE"""),21244.0)</f>
        <v>21244</v>
      </c>
      <c r="G5491" s="115">
        <f>IFERROR(__xludf.DUMMYFUNCTION("""COMPUTED_VALUE"""),1961.0)</f>
        <v>1961</v>
      </c>
      <c r="H5491" s="116">
        <f>IFERROR(__xludf.DUMMYFUNCTION("""COMPUTED_VALUE"""),45910.0)</f>
        <v>45910</v>
      </c>
      <c r="I5491" s="115" t="str">
        <f>IFERROR(__xludf.DUMMYFUNCTION("""COMPUTED_VALUE"""),"20")</f>
        <v>20</v>
      </c>
      <c r="J5491" s="115"/>
      <c r="K5491" s="115">
        <f>IFERROR(__xludf.DUMMYFUNCTION("""COMPUTED_VALUE"""),42501.0)</f>
        <v>42501</v>
      </c>
    </row>
    <row r="5492">
      <c r="A5492" s="115" t="str">
        <f>IFERROR(__xludf.DUMMYFUNCTION("""COMPUTED_VALUE"""),"EAST")</f>
        <v>EAST</v>
      </c>
      <c r="B5492" s="115" t="str">
        <f>IFERROR(__xludf.DUMMYFUNCTION("""COMPUTED_VALUE"""),"Ashish Ranjan")</f>
        <v>Ashish Ranjan</v>
      </c>
      <c r="C5492" s="115" t="str">
        <f>IFERROR(__xludf.DUMMYFUNCTION("""COMPUTED_VALUE"""),"FLIPKART")</f>
        <v>FLIPKART</v>
      </c>
      <c r="D5492" s="115">
        <f>IFERROR(__xludf.DUMMYFUNCTION("""COMPUTED_VALUE"""),673121.0)</f>
        <v>673121</v>
      </c>
      <c r="E5492" s="115">
        <f>IFERROR(__xludf.DUMMYFUNCTION("""COMPUTED_VALUE"""),68470.0)</f>
        <v>68470</v>
      </c>
      <c r="F5492" s="115">
        <f>IFERROR(__xludf.DUMMYFUNCTION("""COMPUTED_VALUE"""),590680.0)</f>
        <v>590680</v>
      </c>
      <c r="G5492" s="115">
        <f>IFERROR(__xludf.DUMMYFUNCTION("""COMPUTED_VALUE"""),52133.0)</f>
        <v>52133</v>
      </c>
      <c r="H5492" s="116">
        <f>IFERROR(__xludf.DUMMYFUNCTION("""COMPUTED_VALUE"""),45910.0)</f>
        <v>45910</v>
      </c>
      <c r="I5492" s="115" t="str">
        <f>IFERROR(__xludf.DUMMYFUNCTION("""COMPUTED_VALUE"""),"20")</f>
        <v>20</v>
      </c>
      <c r="J5492" s="115"/>
      <c r="K5492" s="115">
        <f>IFERROR(__xludf.DUMMYFUNCTION("""COMPUTED_VALUE"""),741591.0)</f>
        <v>741591</v>
      </c>
    </row>
    <row r="5493">
      <c r="A5493" s="115" t="str">
        <f>IFERROR(__xludf.DUMMYFUNCTION("""COMPUTED_VALUE"""),"EAST")</f>
        <v>EAST</v>
      </c>
      <c r="B5493" s="115" t="str">
        <f>IFERROR(__xludf.DUMMYFUNCTION("""COMPUTED_VALUE"""),"Ashish Ranjan")</f>
        <v>Ashish Ranjan</v>
      </c>
      <c r="C5493" s="115" t="str">
        <f>IFERROR(__xludf.DUMMYFUNCTION("""COMPUTED_VALUE"""),"MYNTRA")</f>
        <v>MYNTRA</v>
      </c>
      <c r="D5493" s="115">
        <f>IFERROR(__xludf.DUMMYFUNCTION("""COMPUTED_VALUE"""),75553.0)</f>
        <v>75553</v>
      </c>
      <c r="E5493" s="115">
        <f>IFERROR(__xludf.DUMMYFUNCTION("""COMPUTED_VALUE"""),17123.0)</f>
        <v>17123</v>
      </c>
      <c r="F5493" s="115">
        <f>IFERROR(__xludf.DUMMYFUNCTION("""COMPUTED_VALUE"""),67046.0)</f>
        <v>67046</v>
      </c>
      <c r="G5493" s="115">
        <f>IFERROR(__xludf.DUMMYFUNCTION("""COMPUTED_VALUE"""),12779.0)</f>
        <v>12779</v>
      </c>
      <c r="H5493" s="116">
        <f>IFERROR(__xludf.DUMMYFUNCTION("""COMPUTED_VALUE"""),45910.0)</f>
        <v>45910</v>
      </c>
      <c r="I5493" s="115" t="str">
        <f>IFERROR(__xludf.DUMMYFUNCTION("""COMPUTED_VALUE"""),"20")</f>
        <v>20</v>
      </c>
      <c r="J5493" s="115"/>
      <c r="K5493" s="115">
        <f>IFERROR(__xludf.DUMMYFUNCTION("""COMPUTED_VALUE"""),92676.0)</f>
        <v>92676</v>
      </c>
    </row>
    <row r="5494">
      <c r="A5494" s="115" t="str">
        <f>IFERROR(__xludf.DUMMYFUNCTION("""COMPUTED_VALUE"""),"EAST")</f>
        <v>EAST</v>
      </c>
      <c r="B5494" s="115" t="str">
        <f>IFERROR(__xludf.DUMMYFUNCTION("""COMPUTED_VALUE"""),"Girish Chand")</f>
        <v>Girish Chand</v>
      </c>
      <c r="C5494" s="115" t="str">
        <f>IFERROR(__xludf.DUMMYFUNCTION("""COMPUTED_VALUE"""),"EXTERNAL")</f>
        <v>EXTERNAL</v>
      </c>
      <c r="D5494" s="115">
        <f>IFERROR(__xludf.DUMMYFUNCTION("""COMPUTED_VALUE"""),23624.0)</f>
        <v>23624</v>
      </c>
      <c r="E5494" s="115">
        <f>IFERROR(__xludf.DUMMYFUNCTION("""COMPUTED_VALUE"""),1918.0)</f>
        <v>1918</v>
      </c>
      <c r="F5494" s="115">
        <f>IFERROR(__xludf.DUMMYFUNCTION("""COMPUTED_VALUE"""),10470.0)</f>
        <v>10470</v>
      </c>
      <c r="G5494" s="115">
        <f>IFERROR(__xludf.DUMMYFUNCTION("""COMPUTED_VALUE"""),755.0)</f>
        <v>755</v>
      </c>
      <c r="H5494" s="116">
        <f>IFERROR(__xludf.DUMMYFUNCTION("""COMPUTED_VALUE"""),45910.0)</f>
        <v>45910</v>
      </c>
      <c r="I5494" s="115" t="str">
        <f>IFERROR(__xludf.DUMMYFUNCTION("""COMPUTED_VALUE"""),"20")</f>
        <v>20</v>
      </c>
      <c r="J5494" s="115"/>
      <c r="K5494" s="115">
        <f>IFERROR(__xludf.DUMMYFUNCTION("""COMPUTED_VALUE"""),25542.0)</f>
        <v>25542</v>
      </c>
    </row>
    <row r="5495">
      <c r="A5495" s="115" t="str">
        <f>IFERROR(__xludf.DUMMYFUNCTION("""COMPUTED_VALUE"""),"EAST")</f>
        <v>EAST</v>
      </c>
      <c r="B5495" s="115" t="str">
        <f>IFERROR(__xludf.DUMMYFUNCTION("""COMPUTED_VALUE"""),"Girish Chand")</f>
        <v>Girish Chand</v>
      </c>
      <c r="C5495" s="115" t="str">
        <f>IFERROR(__xludf.DUMMYFUNCTION("""COMPUTED_VALUE"""),"FLIPKART")</f>
        <v>FLIPKART</v>
      </c>
      <c r="D5495" s="115">
        <f>IFERROR(__xludf.DUMMYFUNCTION("""COMPUTED_VALUE"""),430812.0)</f>
        <v>430812</v>
      </c>
      <c r="E5495" s="115">
        <f>IFERROR(__xludf.DUMMYFUNCTION("""COMPUTED_VALUE"""),39803.0)</f>
        <v>39803</v>
      </c>
      <c r="F5495" s="115">
        <f>IFERROR(__xludf.DUMMYFUNCTION("""COMPUTED_VALUE"""),324574.0)</f>
        <v>324574</v>
      </c>
      <c r="G5495" s="115">
        <f>IFERROR(__xludf.DUMMYFUNCTION("""COMPUTED_VALUE"""),27002.0)</f>
        <v>27002</v>
      </c>
      <c r="H5495" s="116">
        <f>IFERROR(__xludf.DUMMYFUNCTION("""COMPUTED_VALUE"""),45910.0)</f>
        <v>45910</v>
      </c>
      <c r="I5495" s="115" t="str">
        <f>IFERROR(__xludf.DUMMYFUNCTION("""COMPUTED_VALUE"""),"20")</f>
        <v>20</v>
      </c>
      <c r="J5495" s="115"/>
      <c r="K5495" s="115">
        <f>IFERROR(__xludf.DUMMYFUNCTION("""COMPUTED_VALUE"""),470615.0)</f>
        <v>470615</v>
      </c>
    </row>
    <row r="5496">
      <c r="A5496" s="115" t="str">
        <f>IFERROR(__xludf.DUMMYFUNCTION("""COMPUTED_VALUE"""),"EAST")</f>
        <v>EAST</v>
      </c>
      <c r="B5496" s="115" t="str">
        <f>IFERROR(__xludf.DUMMYFUNCTION("""COMPUTED_VALUE"""),"Girish Chand")</f>
        <v>Girish Chand</v>
      </c>
      <c r="C5496" s="115" t="str">
        <f>IFERROR(__xludf.DUMMYFUNCTION("""COMPUTED_VALUE"""),"MYNTRA")</f>
        <v>MYNTRA</v>
      </c>
      <c r="D5496" s="115">
        <f>IFERROR(__xludf.DUMMYFUNCTION("""COMPUTED_VALUE"""),37269.0)</f>
        <v>37269</v>
      </c>
      <c r="E5496" s="115">
        <f>IFERROR(__xludf.DUMMYFUNCTION("""COMPUTED_VALUE"""),8319.0)</f>
        <v>8319</v>
      </c>
      <c r="F5496" s="115">
        <f>IFERROR(__xludf.DUMMYFUNCTION("""COMPUTED_VALUE"""),29387.0)</f>
        <v>29387</v>
      </c>
      <c r="G5496" s="115">
        <f>IFERROR(__xludf.DUMMYFUNCTION("""COMPUTED_VALUE"""),5917.0)</f>
        <v>5917</v>
      </c>
      <c r="H5496" s="116">
        <f>IFERROR(__xludf.DUMMYFUNCTION("""COMPUTED_VALUE"""),45910.0)</f>
        <v>45910</v>
      </c>
      <c r="I5496" s="115" t="str">
        <f>IFERROR(__xludf.DUMMYFUNCTION("""COMPUTED_VALUE"""),"20")</f>
        <v>20</v>
      </c>
      <c r="J5496" s="115"/>
      <c r="K5496" s="115">
        <f>IFERROR(__xludf.DUMMYFUNCTION("""COMPUTED_VALUE"""),45588.0)</f>
        <v>45588</v>
      </c>
    </row>
    <row r="5497">
      <c r="A5497" s="115" t="str">
        <f>IFERROR(__xludf.DUMMYFUNCTION("""COMPUTED_VALUE"""),"EAST")</f>
        <v>EAST</v>
      </c>
      <c r="B5497" s="115" t="str">
        <f>IFERROR(__xludf.DUMMYFUNCTION("""COMPUTED_VALUE"""),"Parag Kashyap")</f>
        <v>Parag Kashyap</v>
      </c>
      <c r="C5497" s="115" t="str">
        <f>IFERROR(__xludf.DUMMYFUNCTION("""COMPUTED_VALUE"""),"EXTERNAL")</f>
        <v>EXTERNAL</v>
      </c>
      <c r="D5497" s="115">
        <f>IFERROR(__xludf.DUMMYFUNCTION("""COMPUTED_VALUE"""),16945.0)</f>
        <v>16945</v>
      </c>
      <c r="E5497" s="115">
        <f>IFERROR(__xludf.DUMMYFUNCTION("""COMPUTED_VALUE"""),1085.0)</f>
        <v>1085</v>
      </c>
      <c r="F5497" s="115">
        <f>IFERROR(__xludf.DUMMYFUNCTION("""COMPUTED_VALUE"""),7627.0)</f>
        <v>7627</v>
      </c>
      <c r="G5497" s="115">
        <f>IFERROR(__xludf.DUMMYFUNCTION("""COMPUTED_VALUE"""),389.0)</f>
        <v>389</v>
      </c>
      <c r="H5497" s="116">
        <f>IFERROR(__xludf.DUMMYFUNCTION("""COMPUTED_VALUE"""),45910.0)</f>
        <v>45910</v>
      </c>
      <c r="I5497" s="115" t="str">
        <f>IFERROR(__xludf.DUMMYFUNCTION("""COMPUTED_VALUE"""),"20")</f>
        <v>20</v>
      </c>
      <c r="J5497" s="115"/>
      <c r="K5497" s="115">
        <f>IFERROR(__xludf.DUMMYFUNCTION("""COMPUTED_VALUE"""),18030.0)</f>
        <v>18030</v>
      </c>
    </row>
    <row r="5498">
      <c r="A5498" s="115" t="str">
        <f>IFERROR(__xludf.DUMMYFUNCTION("""COMPUTED_VALUE"""),"EAST")</f>
        <v>EAST</v>
      </c>
      <c r="B5498" s="115" t="str">
        <f>IFERROR(__xludf.DUMMYFUNCTION("""COMPUTED_VALUE"""),"Parag Kashyap")</f>
        <v>Parag Kashyap</v>
      </c>
      <c r="C5498" s="115" t="str">
        <f>IFERROR(__xludf.DUMMYFUNCTION("""COMPUTED_VALUE"""),"FLIPKART")</f>
        <v>FLIPKART</v>
      </c>
      <c r="D5498" s="115">
        <f>IFERROR(__xludf.DUMMYFUNCTION("""COMPUTED_VALUE"""),300601.0)</f>
        <v>300601</v>
      </c>
      <c r="E5498" s="115">
        <f>IFERROR(__xludf.DUMMYFUNCTION("""COMPUTED_VALUE"""),21048.0)</f>
        <v>21048</v>
      </c>
      <c r="F5498" s="115">
        <f>IFERROR(__xludf.DUMMYFUNCTION("""COMPUTED_VALUE"""),232704.0)</f>
        <v>232704</v>
      </c>
      <c r="G5498" s="115">
        <f>IFERROR(__xludf.DUMMYFUNCTION("""COMPUTED_VALUE"""),13554.0)</f>
        <v>13554</v>
      </c>
      <c r="H5498" s="116">
        <f>IFERROR(__xludf.DUMMYFUNCTION("""COMPUTED_VALUE"""),45910.0)</f>
        <v>45910</v>
      </c>
      <c r="I5498" s="115" t="str">
        <f>IFERROR(__xludf.DUMMYFUNCTION("""COMPUTED_VALUE"""),"20")</f>
        <v>20</v>
      </c>
      <c r="J5498" s="115"/>
      <c r="K5498" s="115">
        <f>IFERROR(__xludf.DUMMYFUNCTION("""COMPUTED_VALUE"""),321649.0)</f>
        <v>321649</v>
      </c>
    </row>
    <row r="5499">
      <c r="A5499" s="115" t="str">
        <f>IFERROR(__xludf.DUMMYFUNCTION("""COMPUTED_VALUE"""),"EAST")</f>
        <v>EAST</v>
      </c>
      <c r="B5499" s="115" t="str">
        <f>IFERROR(__xludf.DUMMYFUNCTION("""COMPUTED_VALUE"""),"Parag Kashyap")</f>
        <v>Parag Kashyap</v>
      </c>
      <c r="C5499" s="115" t="str">
        <f>IFERROR(__xludf.DUMMYFUNCTION("""COMPUTED_VALUE"""),"MYNTRA")</f>
        <v>MYNTRA</v>
      </c>
      <c r="D5499" s="115">
        <f>IFERROR(__xludf.DUMMYFUNCTION("""COMPUTED_VALUE"""),38394.0)</f>
        <v>38394</v>
      </c>
      <c r="E5499" s="115">
        <f>IFERROR(__xludf.DUMMYFUNCTION("""COMPUTED_VALUE"""),6031.0)</f>
        <v>6031</v>
      </c>
      <c r="F5499" s="115">
        <f>IFERROR(__xludf.DUMMYFUNCTION("""COMPUTED_VALUE"""),30603.0)</f>
        <v>30603</v>
      </c>
      <c r="G5499" s="115">
        <f>IFERROR(__xludf.DUMMYFUNCTION("""COMPUTED_VALUE"""),3922.0)</f>
        <v>3922</v>
      </c>
      <c r="H5499" s="116">
        <f>IFERROR(__xludf.DUMMYFUNCTION("""COMPUTED_VALUE"""),45910.0)</f>
        <v>45910</v>
      </c>
      <c r="I5499" s="115" t="str">
        <f>IFERROR(__xludf.DUMMYFUNCTION("""COMPUTED_VALUE"""),"20")</f>
        <v>20</v>
      </c>
      <c r="J5499" s="115"/>
      <c r="K5499" s="115">
        <f>IFERROR(__xludf.DUMMYFUNCTION("""COMPUTED_VALUE"""),44425.0)</f>
        <v>44425</v>
      </c>
    </row>
    <row r="5500">
      <c r="A5500" s="115" t="str">
        <f>IFERROR(__xludf.DUMMYFUNCTION("""COMPUTED_VALUE"""),"NORTH")</f>
        <v>NORTH</v>
      </c>
      <c r="B5500" s="115" t="str">
        <f>IFERROR(__xludf.DUMMYFUNCTION("""COMPUTED_VALUE"""),"Amit Kumar Pathak")</f>
        <v>Amit Kumar Pathak</v>
      </c>
      <c r="C5500" s="115" t="str">
        <f>IFERROR(__xludf.DUMMYFUNCTION("""COMPUTED_VALUE"""),"EXTERNAL")</f>
        <v>EXTERNAL</v>
      </c>
      <c r="D5500" s="115">
        <f>IFERROR(__xludf.DUMMYFUNCTION("""COMPUTED_VALUE"""),23695.0)</f>
        <v>23695</v>
      </c>
      <c r="E5500" s="115">
        <f>IFERROR(__xludf.DUMMYFUNCTION("""COMPUTED_VALUE"""),4070.0)</f>
        <v>4070</v>
      </c>
      <c r="F5500" s="115">
        <f>IFERROR(__xludf.DUMMYFUNCTION("""COMPUTED_VALUE"""),8582.0)</f>
        <v>8582</v>
      </c>
      <c r="G5500" s="115">
        <f>IFERROR(__xludf.DUMMYFUNCTION("""COMPUTED_VALUE"""),1875.0)</f>
        <v>1875</v>
      </c>
      <c r="H5500" s="116">
        <f>IFERROR(__xludf.DUMMYFUNCTION("""COMPUTED_VALUE"""),45910.0)</f>
        <v>45910</v>
      </c>
      <c r="I5500" s="115" t="str">
        <f>IFERROR(__xludf.DUMMYFUNCTION("""COMPUTED_VALUE"""),"20")</f>
        <v>20</v>
      </c>
      <c r="J5500" s="115"/>
      <c r="K5500" s="115">
        <f>IFERROR(__xludf.DUMMYFUNCTION("""COMPUTED_VALUE"""),27765.0)</f>
        <v>27765</v>
      </c>
    </row>
    <row r="5501">
      <c r="A5501" s="115" t="str">
        <f>IFERROR(__xludf.DUMMYFUNCTION("""COMPUTED_VALUE"""),"NORTH")</f>
        <v>NORTH</v>
      </c>
      <c r="B5501" s="115" t="str">
        <f>IFERROR(__xludf.DUMMYFUNCTION("""COMPUTED_VALUE"""),"Amit Kumar Pathak")</f>
        <v>Amit Kumar Pathak</v>
      </c>
      <c r="C5501" s="115" t="str">
        <f>IFERROR(__xludf.DUMMYFUNCTION("""COMPUTED_VALUE"""),"FLIPKART")</f>
        <v>FLIPKART</v>
      </c>
      <c r="D5501" s="115">
        <f>IFERROR(__xludf.DUMMYFUNCTION("""COMPUTED_VALUE"""),192018.0)</f>
        <v>192018</v>
      </c>
      <c r="E5501" s="115">
        <f>IFERROR(__xludf.DUMMYFUNCTION("""COMPUTED_VALUE"""),23145.0)</f>
        <v>23145</v>
      </c>
      <c r="F5501" s="115">
        <f>IFERROR(__xludf.DUMMYFUNCTION("""COMPUTED_VALUE"""),146959.0)</f>
        <v>146959</v>
      </c>
      <c r="G5501" s="115">
        <f>IFERROR(__xludf.DUMMYFUNCTION("""COMPUTED_VALUE"""),14889.0)</f>
        <v>14889</v>
      </c>
      <c r="H5501" s="116">
        <f>IFERROR(__xludf.DUMMYFUNCTION("""COMPUTED_VALUE"""),45910.0)</f>
        <v>45910</v>
      </c>
      <c r="I5501" s="115" t="str">
        <f>IFERROR(__xludf.DUMMYFUNCTION("""COMPUTED_VALUE"""),"20")</f>
        <v>20</v>
      </c>
      <c r="J5501" s="115"/>
      <c r="K5501" s="115">
        <f>IFERROR(__xludf.DUMMYFUNCTION("""COMPUTED_VALUE"""),215163.0)</f>
        <v>215163</v>
      </c>
    </row>
    <row r="5502">
      <c r="A5502" s="115" t="str">
        <f>IFERROR(__xludf.DUMMYFUNCTION("""COMPUTED_VALUE"""),"NORTH")</f>
        <v>NORTH</v>
      </c>
      <c r="B5502" s="115" t="str">
        <f>IFERROR(__xludf.DUMMYFUNCTION("""COMPUTED_VALUE"""),"Amit Kumar Pathak")</f>
        <v>Amit Kumar Pathak</v>
      </c>
      <c r="C5502" s="115" t="str">
        <f>IFERROR(__xludf.DUMMYFUNCTION("""COMPUTED_VALUE"""),"MYNTRA")</f>
        <v>MYNTRA</v>
      </c>
      <c r="D5502" s="115">
        <f>IFERROR(__xludf.DUMMYFUNCTION("""COMPUTED_VALUE"""),15462.0)</f>
        <v>15462</v>
      </c>
      <c r="E5502" s="115">
        <f>IFERROR(__xludf.DUMMYFUNCTION("""COMPUTED_VALUE"""),5915.0)</f>
        <v>5915</v>
      </c>
      <c r="F5502" s="115">
        <f>IFERROR(__xludf.DUMMYFUNCTION("""COMPUTED_VALUE"""),12984.0)</f>
        <v>12984</v>
      </c>
      <c r="G5502" s="115">
        <f>IFERROR(__xludf.DUMMYFUNCTION("""COMPUTED_VALUE"""),4072.0)</f>
        <v>4072</v>
      </c>
      <c r="H5502" s="116">
        <f>IFERROR(__xludf.DUMMYFUNCTION("""COMPUTED_VALUE"""),45910.0)</f>
        <v>45910</v>
      </c>
      <c r="I5502" s="115" t="str">
        <f>IFERROR(__xludf.DUMMYFUNCTION("""COMPUTED_VALUE"""),"20")</f>
        <v>20</v>
      </c>
      <c r="J5502" s="115"/>
      <c r="K5502" s="115">
        <f>IFERROR(__xludf.DUMMYFUNCTION("""COMPUTED_VALUE"""),21377.0)</f>
        <v>21377</v>
      </c>
    </row>
    <row r="5503">
      <c r="A5503" s="115" t="str">
        <f>IFERROR(__xludf.DUMMYFUNCTION("""COMPUTED_VALUE"""),"NORTH")</f>
        <v>NORTH</v>
      </c>
      <c r="B5503" s="115" t="str">
        <f>IFERROR(__xludf.DUMMYFUNCTION("""COMPUTED_VALUE"""),"Loveleen Singh")</f>
        <v>Loveleen Singh</v>
      </c>
      <c r="C5503" s="115" t="str">
        <f>IFERROR(__xludf.DUMMYFUNCTION("""COMPUTED_VALUE"""),"EXTERNAL")</f>
        <v>EXTERNAL</v>
      </c>
      <c r="D5503" s="115">
        <f>IFERROR(__xludf.DUMMYFUNCTION("""COMPUTED_VALUE"""),30835.0)</f>
        <v>30835</v>
      </c>
      <c r="E5503" s="115">
        <f>IFERROR(__xludf.DUMMYFUNCTION("""COMPUTED_VALUE"""),2752.0)</f>
        <v>2752</v>
      </c>
      <c r="F5503" s="115">
        <f>IFERROR(__xludf.DUMMYFUNCTION("""COMPUTED_VALUE"""),12315.0)</f>
        <v>12315</v>
      </c>
      <c r="G5503" s="115">
        <f>IFERROR(__xludf.DUMMYFUNCTION("""COMPUTED_VALUE"""),928.0)</f>
        <v>928</v>
      </c>
      <c r="H5503" s="116">
        <f>IFERROR(__xludf.DUMMYFUNCTION("""COMPUTED_VALUE"""),45910.0)</f>
        <v>45910</v>
      </c>
      <c r="I5503" s="115" t="str">
        <f>IFERROR(__xludf.DUMMYFUNCTION("""COMPUTED_VALUE"""),"20")</f>
        <v>20</v>
      </c>
      <c r="J5503" s="115"/>
      <c r="K5503" s="115">
        <f>IFERROR(__xludf.DUMMYFUNCTION("""COMPUTED_VALUE"""),33587.0)</f>
        <v>33587</v>
      </c>
    </row>
    <row r="5504">
      <c r="A5504" s="115" t="str">
        <f>IFERROR(__xludf.DUMMYFUNCTION("""COMPUTED_VALUE"""),"NORTH")</f>
        <v>NORTH</v>
      </c>
      <c r="B5504" s="115" t="str">
        <f>IFERROR(__xludf.DUMMYFUNCTION("""COMPUTED_VALUE"""),"Loveleen Singh")</f>
        <v>Loveleen Singh</v>
      </c>
      <c r="C5504" s="115" t="str">
        <f>IFERROR(__xludf.DUMMYFUNCTION("""COMPUTED_VALUE"""),"FLIPKART")</f>
        <v>FLIPKART</v>
      </c>
      <c r="D5504" s="115">
        <f>IFERROR(__xludf.DUMMYFUNCTION("""COMPUTED_VALUE"""),176694.0)</f>
        <v>176694</v>
      </c>
      <c r="E5504" s="115">
        <f>IFERROR(__xludf.DUMMYFUNCTION("""COMPUTED_VALUE"""),15196.0)</f>
        <v>15196</v>
      </c>
      <c r="F5504" s="115">
        <f>IFERROR(__xludf.DUMMYFUNCTION("""COMPUTED_VALUE"""),134291.0)</f>
        <v>134291</v>
      </c>
      <c r="G5504" s="115">
        <f>IFERROR(__xludf.DUMMYFUNCTION("""COMPUTED_VALUE"""),9638.0)</f>
        <v>9638</v>
      </c>
      <c r="H5504" s="116">
        <f>IFERROR(__xludf.DUMMYFUNCTION("""COMPUTED_VALUE"""),45910.0)</f>
        <v>45910</v>
      </c>
      <c r="I5504" s="115" t="str">
        <f>IFERROR(__xludf.DUMMYFUNCTION("""COMPUTED_VALUE"""),"20")</f>
        <v>20</v>
      </c>
      <c r="J5504" s="115"/>
      <c r="K5504" s="115">
        <f>IFERROR(__xludf.DUMMYFUNCTION("""COMPUTED_VALUE"""),191890.0)</f>
        <v>191890</v>
      </c>
    </row>
    <row r="5505">
      <c r="A5505" s="115" t="str">
        <f>IFERROR(__xludf.DUMMYFUNCTION("""COMPUTED_VALUE"""),"NORTH")</f>
        <v>NORTH</v>
      </c>
      <c r="B5505" s="115" t="str">
        <f>IFERROR(__xludf.DUMMYFUNCTION("""COMPUTED_VALUE"""),"Loveleen Singh")</f>
        <v>Loveleen Singh</v>
      </c>
      <c r="C5505" s="115" t="str">
        <f>IFERROR(__xludf.DUMMYFUNCTION("""COMPUTED_VALUE"""),"MYNTRA")</f>
        <v>MYNTRA</v>
      </c>
      <c r="D5505" s="115">
        <f>IFERROR(__xludf.DUMMYFUNCTION("""COMPUTED_VALUE"""),29461.0)</f>
        <v>29461</v>
      </c>
      <c r="E5505" s="115">
        <f>IFERROR(__xludf.DUMMYFUNCTION("""COMPUTED_VALUE"""),7155.0)</f>
        <v>7155</v>
      </c>
      <c r="F5505" s="115">
        <f>IFERROR(__xludf.DUMMYFUNCTION("""COMPUTED_VALUE"""),24292.0)</f>
        <v>24292</v>
      </c>
      <c r="G5505" s="115">
        <f>IFERROR(__xludf.DUMMYFUNCTION("""COMPUTED_VALUE"""),5020.0)</f>
        <v>5020</v>
      </c>
      <c r="H5505" s="116">
        <f>IFERROR(__xludf.DUMMYFUNCTION("""COMPUTED_VALUE"""),45910.0)</f>
        <v>45910</v>
      </c>
      <c r="I5505" s="115" t="str">
        <f>IFERROR(__xludf.DUMMYFUNCTION("""COMPUTED_VALUE"""),"20")</f>
        <v>20</v>
      </c>
      <c r="J5505" s="115"/>
      <c r="K5505" s="115">
        <f>IFERROR(__xludf.DUMMYFUNCTION("""COMPUTED_VALUE"""),36616.0)</f>
        <v>36616</v>
      </c>
    </row>
    <row r="5506">
      <c r="A5506" s="115" t="str">
        <f>IFERROR(__xludf.DUMMYFUNCTION("""COMPUTED_VALUE"""),"NORTH")</f>
        <v>NORTH</v>
      </c>
      <c r="B5506" s="115" t="str">
        <f>IFERROR(__xludf.DUMMYFUNCTION("""COMPUTED_VALUE"""),"Manoj Harsh")</f>
        <v>Manoj Harsh</v>
      </c>
      <c r="C5506" s="115" t="str">
        <f>IFERROR(__xludf.DUMMYFUNCTION("""COMPUTED_VALUE"""),"EXTERNAL")</f>
        <v>EXTERNAL</v>
      </c>
      <c r="D5506" s="115">
        <f>IFERROR(__xludf.DUMMYFUNCTION("""COMPUTED_VALUE"""),31393.0)</f>
        <v>31393</v>
      </c>
      <c r="E5506" s="115">
        <f>IFERROR(__xludf.DUMMYFUNCTION("""COMPUTED_VALUE"""),3534.0)</f>
        <v>3534</v>
      </c>
      <c r="F5506" s="115">
        <f>IFERROR(__xludf.DUMMYFUNCTION("""COMPUTED_VALUE"""),13930.0)</f>
        <v>13930</v>
      </c>
      <c r="G5506" s="115">
        <f>IFERROR(__xludf.DUMMYFUNCTION("""COMPUTED_VALUE"""),1203.0)</f>
        <v>1203</v>
      </c>
      <c r="H5506" s="116">
        <f>IFERROR(__xludf.DUMMYFUNCTION("""COMPUTED_VALUE"""),45910.0)</f>
        <v>45910</v>
      </c>
      <c r="I5506" s="115" t="str">
        <f>IFERROR(__xludf.DUMMYFUNCTION("""COMPUTED_VALUE"""),"20")</f>
        <v>20</v>
      </c>
      <c r="J5506" s="115"/>
      <c r="K5506" s="115">
        <f>IFERROR(__xludf.DUMMYFUNCTION("""COMPUTED_VALUE"""),34927.0)</f>
        <v>34927</v>
      </c>
    </row>
    <row r="5507">
      <c r="A5507" s="115" t="str">
        <f>IFERROR(__xludf.DUMMYFUNCTION("""COMPUTED_VALUE"""),"NORTH")</f>
        <v>NORTH</v>
      </c>
      <c r="B5507" s="115" t="str">
        <f>IFERROR(__xludf.DUMMYFUNCTION("""COMPUTED_VALUE"""),"Manoj Harsh")</f>
        <v>Manoj Harsh</v>
      </c>
      <c r="C5507" s="115" t="str">
        <f>IFERROR(__xludf.DUMMYFUNCTION("""COMPUTED_VALUE"""),"FLIPKART")</f>
        <v>FLIPKART</v>
      </c>
      <c r="D5507" s="115">
        <f>IFERROR(__xludf.DUMMYFUNCTION("""COMPUTED_VALUE"""),378533.0)</f>
        <v>378533</v>
      </c>
      <c r="E5507" s="115">
        <f>IFERROR(__xludf.DUMMYFUNCTION("""COMPUTED_VALUE"""),40218.0)</f>
        <v>40218</v>
      </c>
      <c r="F5507" s="115">
        <f>IFERROR(__xludf.DUMMYFUNCTION("""COMPUTED_VALUE"""),282641.0)</f>
        <v>282641</v>
      </c>
      <c r="G5507" s="115">
        <f>IFERROR(__xludf.DUMMYFUNCTION("""COMPUTED_VALUE"""),26026.0)</f>
        <v>26026</v>
      </c>
      <c r="H5507" s="116">
        <f>IFERROR(__xludf.DUMMYFUNCTION("""COMPUTED_VALUE"""),45910.0)</f>
        <v>45910</v>
      </c>
      <c r="I5507" s="115" t="str">
        <f>IFERROR(__xludf.DUMMYFUNCTION("""COMPUTED_VALUE"""),"20")</f>
        <v>20</v>
      </c>
      <c r="J5507" s="115"/>
      <c r="K5507" s="115">
        <f>IFERROR(__xludf.DUMMYFUNCTION("""COMPUTED_VALUE"""),418751.0)</f>
        <v>418751</v>
      </c>
    </row>
    <row r="5508">
      <c r="A5508" s="115" t="str">
        <f>IFERROR(__xludf.DUMMYFUNCTION("""COMPUTED_VALUE"""),"NORTH")</f>
        <v>NORTH</v>
      </c>
      <c r="B5508" s="115" t="str">
        <f>IFERROR(__xludf.DUMMYFUNCTION("""COMPUTED_VALUE"""),"Manoj Harsh")</f>
        <v>Manoj Harsh</v>
      </c>
      <c r="C5508" s="115" t="str">
        <f>IFERROR(__xludf.DUMMYFUNCTION("""COMPUTED_VALUE"""),"MYNTRA")</f>
        <v>MYNTRA</v>
      </c>
      <c r="D5508" s="115">
        <f>IFERROR(__xludf.DUMMYFUNCTION("""COMPUTED_VALUE"""),32373.0)</f>
        <v>32373</v>
      </c>
      <c r="E5508" s="115">
        <f>IFERROR(__xludf.DUMMYFUNCTION("""COMPUTED_VALUE"""),8140.0)</f>
        <v>8140</v>
      </c>
      <c r="F5508" s="115">
        <f>IFERROR(__xludf.DUMMYFUNCTION("""COMPUTED_VALUE"""),25754.0)</f>
        <v>25754</v>
      </c>
      <c r="G5508" s="115">
        <f>IFERROR(__xludf.DUMMYFUNCTION("""COMPUTED_VALUE"""),5880.0)</f>
        <v>5880</v>
      </c>
      <c r="H5508" s="116">
        <f>IFERROR(__xludf.DUMMYFUNCTION("""COMPUTED_VALUE"""),45910.0)</f>
        <v>45910</v>
      </c>
      <c r="I5508" s="115" t="str">
        <f>IFERROR(__xludf.DUMMYFUNCTION("""COMPUTED_VALUE"""),"20")</f>
        <v>20</v>
      </c>
      <c r="J5508" s="115"/>
      <c r="K5508" s="115">
        <f>IFERROR(__xludf.DUMMYFUNCTION("""COMPUTED_VALUE"""),40513.0)</f>
        <v>40513</v>
      </c>
    </row>
    <row r="5509">
      <c r="A5509" s="115" t="str">
        <f>IFERROR(__xludf.DUMMYFUNCTION("""COMPUTED_VALUE"""),"NORTH")</f>
        <v>NORTH</v>
      </c>
      <c r="B5509" s="115" t="str">
        <f>IFERROR(__xludf.DUMMYFUNCTION("""COMPUTED_VALUE"""),"Pradeep Kothari")</f>
        <v>Pradeep Kothari</v>
      </c>
      <c r="C5509" s="115" t="str">
        <f>IFERROR(__xludf.DUMMYFUNCTION("""COMPUTED_VALUE"""),"EXTERNAL")</f>
        <v>EXTERNAL</v>
      </c>
      <c r="D5509" s="115">
        <f>IFERROR(__xludf.DUMMYFUNCTION("""COMPUTED_VALUE"""),18102.0)</f>
        <v>18102</v>
      </c>
      <c r="E5509" s="115">
        <f>IFERROR(__xludf.DUMMYFUNCTION("""COMPUTED_VALUE"""),2378.0)</f>
        <v>2378</v>
      </c>
      <c r="F5509" s="115">
        <f>IFERROR(__xludf.DUMMYFUNCTION("""COMPUTED_VALUE"""),7529.0)</f>
        <v>7529</v>
      </c>
      <c r="G5509" s="115">
        <f>IFERROR(__xludf.DUMMYFUNCTION("""COMPUTED_VALUE"""),922.0)</f>
        <v>922</v>
      </c>
      <c r="H5509" s="116">
        <f>IFERROR(__xludf.DUMMYFUNCTION("""COMPUTED_VALUE"""),45910.0)</f>
        <v>45910</v>
      </c>
      <c r="I5509" s="115" t="str">
        <f>IFERROR(__xludf.DUMMYFUNCTION("""COMPUTED_VALUE"""),"20")</f>
        <v>20</v>
      </c>
      <c r="J5509" s="115"/>
      <c r="K5509" s="115">
        <f>IFERROR(__xludf.DUMMYFUNCTION("""COMPUTED_VALUE"""),20480.0)</f>
        <v>20480</v>
      </c>
    </row>
    <row r="5510">
      <c r="A5510" s="115" t="str">
        <f>IFERROR(__xludf.DUMMYFUNCTION("""COMPUTED_VALUE"""),"NORTH")</f>
        <v>NORTH</v>
      </c>
      <c r="B5510" s="115" t="str">
        <f>IFERROR(__xludf.DUMMYFUNCTION("""COMPUTED_VALUE"""),"Pradeep Kothari")</f>
        <v>Pradeep Kothari</v>
      </c>
      <c r="C5510" s="115" t="str">
        <f>IFERROR(__xludf.DUMMYFUNCTION("""COMPUTED_VALUE"""),"FLIPKART")</f>
        <v>FLIPKART</v>
      </c>
      <c r="D5510" s="115">
        <f>IFERROR(__xludf.DUMMYFUNCTION("""COMPUTED_VALUE"""),147211.0)</f>
        <v>147211</v>
      </c>
      <c r="E5510" s="115">
        <f>IFERROR(__xludf.DUMMYFUNCTION("""COMPUTED_VALUE"""),16791.0)</f>
        <v>16791</v>
      </c>
      <c r="F5510" s="115">
        <f>IFERROR(__xludf.DUMMYFUNCTION("""COMPUTED_VALUE"""),113773.0)</f>
        <v>113773</v>
      </c>
      <c r="G5510" s="115">
        <f>IFERROR(__xludf.DUMMYFUNCTION("""COMPUTED_VALUE"""),11328.0)</f>
        <v>11328</v>
      </c>
      <c r="H5510" s="116">
        <f>IFERROR(__xludf.DUMMYFUNCTION("""COMPUTED_VALUE"""),45910.0)</f>
        <v>45910</v>
      </c>
      <c r="I5510" s="115" t="str">
        <f>IFERROR(__xludf.DUMMYFUNCTION("""COMPUTED_VALUE"""),"20")</f>
        <v>20</v>
      </c>
      <c r="J5510" s="115"/>
      <c r="K5510" s="115">
        <f>IFERROR(__xludf.DUMMYFUNCTION("""COMPUTED_VALUE"""),164002.0)</f>
        <v>164002</v>
      </c>
    </row>
    <row r="5511">
      <c r="A5511" s="115" t="str">
        <f>IFERROR(__xludf.DUMMYFUNCTION("""COMPUTED_VALUE"""),"NORTH")</f>
        <v>NORTH</v>
      </c>
      <c r="B5511" s="115" t="str">
        <f>IFERROR(__xludf.DUMMYFUNCTION("""COMPUTED_VALUE"""),"Pradeep Kothari")</f>
        <v>Pradeep Kothari</v>
      </c>
      <c r="C5511" s="115" t="str">
        <f>IFERROR(__xludf.DUMMYFUNCTION("""COMPUTED_VALUE"""),"MYNTRA")</f>
        <v>MYNTRA</v>
      </c>
      <c r="D5511" s="115">
        <f>IFERROR(__xludf.DUMMYFUNCTION("""COMPUTED_VALUE"""),23256.0)</f>
        <v>23256</v>
      </c>
      <c r="E5511" s="115">
        <f>IFERROR(__xludf.DUMMYFUNCTION("""COMPUTED_VALUE"""),7199.0)</f>
        <v>7199</v>
      </c>
      <c r="F5511" s="115">
        <f>IFERROR(__xludf.DUMMYFUNCTION("""COMPUTED_VALUE"""),19342.0)</f>
        <v>19342</v>
      </c>
      <c r="G5511" s="115">
        <f>IFERROR(__xludf.DUMMYFUNCTION("""COMPUTED_VALUE"""),5434.0)</f>
        <v>5434</v>
      </c>
      <c r="H5511" s="116">
        <f>IFERROR(__xludf.DUMMYFUNCTION("""COMPUTED_VALUE"""),45910.0)</f>
        <v>45910</v>
      </c>
      <c r="I5511" s="115" t="str">
        <f>IFERROR(__xludf.DUMMYFUNCTION("""COMPUTED_VALUE"""),"20")</f>
        <v>20</v>
      </c>
      <c r="J5511" s="115"/>
      <c r="K5511" s="115">
        <f>IFERROR(__xludf.DUMMYFUNCTION("""COMPUTED_VALUE"""),30455.0)</f>
        <v>30455</v>
      </c>
    </row>
    <row r="5512">
      <c r="A5512" s="115" t="str">
        <f>IFERROR(__xludf.DUMMYFUNCTION("""COMPUTED_VALUE"""),"SOUTH")</f>
        <v>SOUTH</v>
      </c>
      <c r="B5512" s="115" t="str">
        <f>IFERROR(__xludf.DUMMYFUNCTION("""COMPUTED_VALUE"""),"0")</f>
        <v>0</v>
      </c>
      <c r="C5512" s="115" t="str">
        <f>IFERROR(__xludf.DUMMYFUNCTION("""COMPUTED_VALUE"""),"EXTERNAL")</f>
        <v>EXTERNAL</v>
      </c>
      <c r="D5512" s="115">
        <f>IFERROR(__xludf.DUMMYFUNCTION("""COMPUTED_VALUE"""),2.0)</f>
        <v>2</v>
      </c>
      <c r="E5512" s="115">
        <f>IFERROR(__xludf.DUMMYFUNCTION("""COMPUTED_VALUE"""),0.0)</f>
        <v>0</v>
      </c>
      <c r="F5512" s="115">
        <f>IFERROR(__xludf.DUMMYFUNCTION("""COMPUTED_VALUE"""),1.0)</f>
        <v>1</v>
      </c>
      <c r="G5512" s="115">
        <f>IFERROR(__xludf.DUMMYFUNCTION("""COMPUTED_VALUE"""),0.0)</f>
        <v>0</v>
      </c>
      <c r="H5512" s="116">
        <f>IFERROR(__xludf.DUMMYFUNCTION("""COMPUTED_VALUE"""),45910.0)</f>
        <v>45910</v>
      </c>
      <c r="I5512" s="115" t="str">
        <f>IFERROR(__xludf.DUMMYFUNCTION("""COMPUTED_VALUE"""),"20")</f>
        <v>20</v>
      </c>
      <c r="J5512" s="115"/>
      <c r="K5512" s="115">
        <f>IFERROR(__xludf.DUMMYFUNCTION("""COMPUTED_VALUE"""),2.0)</f>
        <v>2</v>
      </c>
    </row>
    <row r="5513">
      <c r="A5513" s="115" t="str">
        <f>IFERROR(__xludf.DUMMYFUNCTION("""COMPUTED_VALUE"""),"SOUTH")</f>
        <v>SOUTH</v>
      </c>
      <c r="B5513" s="115" t="str">
        <f>IFERROR(__xludf.DUMMYFUNCTION("""COMPUTED_VALUE"""),"0")</f>
        <v>0</v>
      </c>
      <c r="C5513" s="115" t="str">
        <f>IFERROR(__xludf.DUMMYFUNCTION("""COMPUTED_VALUE"""),"FLIPKART")</f>
        <v>FLIPKART</v>
      </c>
      <c r="D5513" s="115">
        <f>IFERROR(__xludf.DUMMYFUNCTION("""COMPUTED_VALUE"""),78.0)</f>
        <v>78</v>
      </c>
      <c r="E5513" s="115">
        <f>IFERROR(__xludf.DUMMYFUNCTION("""COMPUTED_VALUE"""),12.0)</f>
        <v>12</v>
      </c>
      <c r="F5513" s="115">
        <f>IFERROR(__xludf.DUMMYFUNCTION("""COMPUTED_VALUE"""),53.0)</f>
        <v>53</v>
      </c>
      <c r="G5513" s="115">
        <f>IFERROR(__xludf.DUMMYFUNCTION("""COMPUTED_VALUE"""),2.0)</f>
        <v>2</v>
      </c>
      <c r="H5513" s="116">
        <f>IFERROR(__xludf.DUMMYFUNCTION("""COMPUTED_VALUE"""),45910.0)</f>
        <v>45910</v>
      </c>
      <c r="I5513" s="115" t="str">
        <f>IFERROR(__xludf.DUMMYFUNCTION("""COMPUTED_VALUE"""),"20")</f>
        <v>20</v>
      </c>
      <c r="J5513" s="115"/>
      <c r="K5513" s="115">
        <f>IFERROR(__xludf.DUMMYFUNCTION("""COMPUTED_VALUE"""),90.0)</f>
        <v>90</v>
      </c>
    </row>
    <row r="5514">
      <c r="A5514" s="115" t="str">
        <f>IFERROR(__xludf.DUMMYFUNCTION("""COMPUTED_VALUE"""),"SOUTH")</f>
        <v>SOUTH</v>
      </c>
      <c r="B5514" s="115" t="str">
        <f>IFERROR(__xludf.DUMMYFUNCTION("""COMPUTED_VALUE"""),"0")</f>
        <v>0</v>
      </c>
      <c r="C5514" s="115" t="str">
        <f>IFERROR(__xludf.DUMMYFUNCTION("""COMPUTED_VALUE"""),"MYNTRA")</f>
        <v>MYNTRA</v>
      </c>
      <c r="D5514" s="115">
        <f>IFERROR(__xludf.DUMMYFUNCTION("""COMPUTED_VALUE"""),14.0)</f>
        <v>14</v>
      </c>
      <c r="E5514" s="115">
        <f>IFERROR(__xludf.DUMMYFUNCTION("""COMPUTED_VALUE"""),9.0)</f>
        <v>9</v>
      </c>
      <c r="F5514" s="115">
        <f>IFERROR(__xludf.DUMMYFUNCTION("""COMPUTED_VALUE"""),10.0)</f>
        <v>10</v>
      </c>
      <c r="G5514" s="115">
        <f>IFERROR(__xludf.DUMMYFUNCTION("""COMPUTED_VALUE"""),1.0)</f>
        <v>1</v>
      </c>
      <c r="H5514" s="116">
        <f>IFERROR(__xludf.DUMMYFUNCTION("""COMPUTED_VALUE"""),45910.0)</f>
        <v>45910</v>
      </c>
      <c r="I5514" s="115" t="str">
        <f>IFERROR(__xludf.DUMMYFUNCTION("""COMPUTED_VALUE"""),"20")</f>
        <v>20</v>
      </c>
      <c r="J5514" s="115"/>
      <c r="K5514" s="115">
        <f>IFERROR(__xludf.DUMMYFUNCTION("""COMPUTED_VALUE"""),23.0)</f>
        <v>23</v>
      </c>
    </row>
    <row r="5515">
      <c r="A5515" s="115" t="str">
        <f>IFERROR(__xludf.DUMMYFUNCTION("""COMPUTED_VALUE"""),"SOUTH")</f>
        <v>SOUTH</v>
      </c>
      <c r="B5515" s="115" t="str">
        <f>IFERROR(__xludf.DUMMYFUNCTION("""COMPUTED_VALUE"""),"Kandula Sampath")</f>
        <v>Kandula Sampath</v>
      </c>
      <c r="C5515" s="115" t="str">
        <f>IFERROR(__xludf.DUMMYFUNCTION("""COMPUTED_VALUE"""),"EXTERNAL")</f>
        <v>EXTERNAL</v>
      </c>
      <c r="D5515" s="115">
        <f>IFERROR(__xludf.DUMMYFUNCTION("""COMPUTED_VALUE"""),30957.0)</f>
        <v>30957</v>
      </c>
      <c r="E5515" s="115">
        <f>IFERROR(__xludf.DUMMYFUNCTION("""COMPUTED_VALUE"""),4295.0)</f>
        <v>4295</v>
      </c>
      <c r="F5515" s="115">
        <f>IFERROR(__xludf.DUMMYFUNCTION("""COMPUTED_VALUE"""),13755.0)</f>
        <v>13755</v>
      </c>
      <c r="G5515" s="115">
        <f>IFERROR(__xludf.DUMMYFUNCTION("""COMPUTED_VALUE"""),1608.0)</f>
        <v>1608</v>
      </c>
      <c r="H5515" s="116">
        <f>IFERROR(__xludf.DUMMYFUNCTION("""COMPUTED_VALUE"""),45910.0)</f>
        <v>45910</v>
      </c>
      <c r="I5515" s="115" t="str">
        <f>IFERROR(__xludf.DUMMYFUNCTION("""COMPUTED_VALUE"""),"20")</f>
        <v>20</v>
      </c>
      <c r="J5515" s="115"/>
      <c r="K5515" s="115">
        <f>IFERROR(__xludf.DUMMYFUNCTION("""COMPUTED_VALUE"""),35252.0)</f>
        <v>35252</v>
      </c>
    </row>
    <row r="5516">
      <c r="A5516" s="115" t="str">
        <f>IFERROR(__xludf.DUMMYFUNCTION("""COMPUTED_VALUE"""),"SOUTH")</f>
        <v>SOUTH</v>
      </c>
      <c r="B5516" s="115" t="str">
        <f>IFERROR(__xludf.DUMMYFUNCTION("""COMPUTED_VALUE"""),"Kandula Sampath")</f>
        <v>Kandula Sampath</v>
      </c>
      <c r="C5516" s="115" t="str">
        <f>IFERROR(__xludf.DUMMYFUNCTION("""COMPUTED_VALUE"""),"FLIPKART")</f>
        <v>FLIPKART</v>
      </c>
      <c r="D5516" s="115">
        <f>IFERROR(__xludf.DUMMYFUNCTION("""COMPUTED_VALUE"""),319261.0)</f>
        <v>319261</v>
      </c>
      <c r="E5516" s="115">
        <f>IFERROR(__xludf.DUMMYFUNCTION("""COMPUTED_VALUE"""),32089.0)</f>
        <v>32089</v>
      </c>
      <c r="F5516" s="115">
        <f>IFERROR(__xludf.DUMMYFUNCTION("""COMPUTED_VALUE"""),238167.0)</f>
        <v>238167</v>
      </c>
      <c r="G5516" s="115">
        <f>IFERROR(__xludf.DUMMYFUNCTION("""COMPUTED_VALUE"""),18774.0)</f>
        <v>18774</v>
      </c>
      <c r="H5516" s="116">
        <f>IFERROR(__xludf.DUMMYFUNCTION("""COMPUTED_VALUE"""),45910.0)</f>
        <v>45910</v>
      </c>
      <c r="I5516" s="115" t="str">
        <f>IFERROR(__xludf.DUMMYFUNCTION("""COMPUTED_VALUE"""),"20")</f>
        <v>20</v>
      </c>
      <c r="J5516" s="115"/>
      <c r="K5516" s="115">
        <f>IFERROR(__xludf.DUMMYFUNCTION("""COMPUTED_VALUE"""),351350.0)</f>
        <v>351350</v>
      </c>
    </row>
    <row r="5517">
      <c r="A5517" s="115" t="str">
        <f>IFERROR(__xludf.DUMMYFUNCTION("""COMPUTED_VALUE"""),"SOUTH")</f>
        <v>SOUTH</v>
      </c>
      <c r="B5517" s="115" t="str">
        <f>IFERROR(__xludf.DUMMYFUNCTION("""COMPUTED_VALUE"""),"Kandula Sampath")</f>
        <v>Kandula Sampath</v>
      </c>
      <c r="C5517" s="115" t="str">
        <f>IFERROR(__xludf.DUMMYFUNCTION("""COMPUTED_VALUE"""),"MYNTRA")</f>
        <v>MYNTRA</v>
      </c>
      <c r="D5517" s="115">
        <f>IFERROR(__xludf.DUMMYFUNCTION("""COMPUTED_VALUE"""),35249.0)</f>
        <v>35249</v>
      </c>
      <c r="E5517" s="115">
        <f>IFERROR(__xludf.DUMMYFUNCTION("""COMPUTED_VALUE"""),9719.0)</f>
        <v>9719</v>
      </c>
      <c r="F5517" s="115">
        <f>IFERROR(__xludf.DUMMYFUNCTION("""COMPUTED_VALUE"""),28571.0)</f>
        <v>28571</v>
      </c>
      <c r="G5517" s="115">
        <f>IFERROR(__xludf.DUMMYFUNCTION("""COMPUTED_VALUE"""),5928.0)</f>
        <v>5928</v>
      </c>
      <c r="H5517" s="116">
        <f>IFERROR(__xludf.DUMMYFUNCTION("""COMPUTED_VALUE"""),45910.0)</f>
        <v>45910</v>
      </c>
      <c r="I5517" s="115" t="str">
        <f>IFERROR(__xludf.DUMMYFUNCTION("""COMPUTED_VALUE"""),"20")</f>
        <v>20</v>
      </c>
      <c r="J5517" s="115"/>
      <c r="K5517" s="115">
        <f>IFERROR(__xludf.DUMMYFUNCTION("""COMPUTED_VALUE"""),44968.0)</f>
        <v>44968</v>
      </c>
    </row>
    <row r="5518">
      <c r="A5518" s="115" t="str">
        <f>IFERROR(__xludf.DUMMYFUNCTION("""COMPUTED_VALUE"""),"SOUTH")</f>
        <v>SOUTH</v>
      </c>
      <c r="B5518" s="115" t="str">
        <f>IFERROR(__xludf.DUMMYFUNCTION("""COMPUTED_VALUE"""),"Martin A")</f>
        <v>Martin A</v>
      </c>
      <c r="C5518" s="115" t="str">
        <f>IFERROR(__xludf.DUMMYFUNCTION("""COMPUTED_VALUE"""),"EXTERNAL")</f>
        <v>EXTERNAL</v>
      </c>
      <c r="D5518" s="115">
        <f>IFERROR(__xludf.DUMMYFUNCTION("""COMPUTED_VALUE"""),32511.0)</f>
        <v>32511</v>
      </c>
      <c r="E5518" s="115">
        <f>IFERROR(__xludf.DUMMYFUNCTION("""COMPUTED_VALUE"""),4261.0)</f>
        <v>4261</v>
      </c>
      <c r="F5518" s="115">
        <f>IFERROR(__xludf.DUMMYFUNCTION("""COMPUTED_VALUE"""),14461.0)</f>
        <v>14461</v>
      </c>
      <c r="G5518" s="115">
        <f>IFERROR(__xludf.DUMMYFUNCTION("""COMPUTED_VALUE"""),2103.0)</f>
        <v>2103</v>
      </c>
      <c r="H5518" s="116">
        <f>IFERROR(__xludf.DUMMYFUNCTION("""COMPUTED_VALUE"""),45910.0)</f>
        <v>45910</v>
      </c>
      <c r="I5518" s="115" t="str">
        <f>IFERROR(__xludf.DUMMYFUNCTION("""COMPUTED_VALUE"""),"20")</f>
        <v>20</v>
      </c>
      <c r="J5518" s="115"/>
      <c r="K5518" s="115">
        <f>IFERROR(__xludf.DUMMYFUNCTION("""COMPUTED_VALUE"""),36772.0)</f>
        <v>36772</v>
      </c>
    </row>
    <row r="5519">
      <c r="A5519" s="115" t="str">
        <f>IFERROR(__xludf.DUMMYFUNCTION("""COMPUTED_VALUE"""),"SOUTH")</f>
        <v>SOUTH</v>
      </c>
      <c r="B5519" s="115" t="str">
        <f>IFERROR(__xludf.DUMMYFUNCTION("""COMPUTED_VALUE"""),"Martin A")</f>
        <v>Martin A</v>
      </c>
      <c r="C5519" s="115" t="str">
        <f>IFERROR(__xludf.DUMMYFUNCTION("""COMPUTED_VALUE"""),"FLIPKART")</f>
        <v>FLIPKART</v>
      </c>
      <c r="D5519" s="115">
        <f>IFERROR(__xludf.DUMMYFUNCTION("""COMPUTED_VALUE"""),302934.0)</f>
        <v>302934</v>
      </c>
      <c r="E5519" s="115">
        <f>IFERROR(__xludf.DUMMYFUNCTION("""COMPUTED_VALUE"""),28160.0)</f>
        <v>28160</v>
      </c>
      <c r="F5519" s="115">
        <f>IFERROR(__xludf.DUMMYFUNCTION("""COMPUTED_VALUE"""),225311.0)</f>
        <v>225311</v>
      </c>
      <c r="G5519" s="115">
        <f>IFERROR(__xludf.DUMMYFUNCTION("""COMPUTED_VALUE"""),17376.0)</f>
        <v>17376</v>
      </c>
      <c r="H5519" s="116">
        <f>IFERROR(__xludf.DUMMYFUNCTION("""COMPUTED_VALUE"""),45910.0)</f>
        <v>45910</v>
      </c>
      <c r="I5519" s="115" t="str">
        <f>IFERROR(__xludf.DUMMYFUNCTION("""COMPUTED_VALUE"""),"20")</f>
        <v>20</v>
      </c>
      <c r="J5519" s="115"/>
      <c r="K5519" s="115">
        <f>IFERROR(__xludf.DUMMYFUNCTION("""COMPUTED_VALUE"""),331094.0)</f>
        <v>331094</v>
      </c>
    </row>
    <row r="5520">
      <c r="A5520" s="115" t="str">
        <f>IFERROR(__xludf.DUMMYFUNCTION("""COMPUTED_VALUE"""),"SOUTH")</f>
        <v>SOUTH</v>
      </c>
      <c r="B5520" s="115" t="str">
        <f>IFERROR(__xludf.DUMMYFUNCTION("""COMPUTED_VALUE"""),"Martin A")</f>
        <v>Martin A</v>
      </c>
      <c r="C5520" s="115" t="str">
        <f>IFERROR(__xludf.DUMMYFUNCTION("""COMPUTED_VALUE"""),"MYNTRA")</f>
        <v>MYNTRA</v>
      </c>
      <c r="D5520" s="115">
        <f>IFERROR(__xludf.DUMMYFUNCTION("""COMPUTED_VALUE"""),29462.0)</f>
        <v>29462</v>
      </c>
      <c r="E5520" s="115">
        <f>IFERROR(__xludf.DUMMYFUNCTION("""COMPUTED_VALUE"""),7251.0)</f>
        <v>7251</v>
      </c>
      <c r="F5520" s="115">
        <f>IFERROR(__xludf.DUMMYFUNCTION("""COMPUTED_VALUE"""),24714.0)</f>
        <v>24714</v>
      </c>
      <c r="G5520" s="115">
        <f>IFERROR(__xludf.DUMMYFUNCTION("""COMPUTED_VALUE"""),4804.0)</f>
        <v>4804</v>
      </c>
      <c r="H5520" s="116">
        <f>IFERROR(__xludf.DUMMYFUNCTION("""COMPUTED_VALUE"""),45910.0)</f>
        <v>45910</v>
      </c>
      <c r="I5520" s="115" t="str">
        <f>IFERROR(__xludf.DUMMYFUNCTION("""COMPUTED_VALUE"""),"20")</f>
        <v>20</v>
      </c>
      <c r="J5520" s="115"/>
      <c r="K5520" s="115">
        <f>IFERROR(__xludf.DUMMYFUNCTION("""COMPUTED_VALUE"""),36713.0)</f>
        <v>36713</v>
      </c>
    </row>
    <row r="5521">
      <c r="A5521" s="115" t="str">
        <f>IFERROR(__xludf.DUMMYFUNCTION("""COMPUTED_VALUE"""),"SOUTH")</f>
        <v>SOUTH</v>
      </c>
      <c r="B5521" s="115" t="str">
        <f>IFERROR(__xludf.DUMMYFUNCTION("""COMPUTED_VALUE"""),"Premkumar M")</f>
        <v>Premkumar M</v>
      </c>
      <c r="C5521" s="115" t="str">
        <f>IFERROR(__xludf.DUMMYFUNCTION("""COMPUTED_VALUE"""),"EXTERNAL")</f>
        <v>EXTERNAL</v>
      </c>
      <c r="D5521" s="115">
        <f>IFERROR(__xludf.DUMMYFUNCTION("""COMPUTED_VALUE"""),25915.0)</f>
        <v>25915</v>
      </c>
      <c r="E5521" s="115">
        <f>IFERROR(__xludf.DUMMYFUNCTION("""COMPUTED_VALUE"""),2142.0)</f>
        <v>2142</v>
      </c>
      <c r="F5521" s="115">
        <f>IFERROR(__xludf.DUMMYFUNCTION("""COMPUTED_VALUE"""),12778.0)</f>
        <v>12778</v>
      </c>
      <c r="G5521" s="115">
        <f>IFERROR(__xludf.DUMMYFUNCTION("""COMPUTED_VALUE"""),709.0)</f>
        <v>709</v>
      </c>
      <c r="H5521" s="116">
        <f>IFERROR(__xludf.DUMMYFUNCTION("""COMPUTED_VALUE"""),45910.0)</f>
        <v>45910</v>
      </c>
      <c r="I5521" s="115" t="str">
        <f>IFERROR(__xludf.DUMMYFUNCTION("""COMPUTED_VALUE"""),"20")</f>
        <v>20</v>
      </c>
      <c r="J5521" s="115"/>
      <c r="K5521" s="115">
        <f>IFERROR(__xludf.DUMMYFUNCTION("""COMPUTED_VALUE"""),28057.0)</f>
        <v>28057</v>
      </c>
    </row>
    <row r="5522">
      <c r="A5522" s="115" t="str">
        <f>IFERROR(__xludf.DUMMYFUNCTION("""COMPUTED_VALUE"""),"SOUTH")</f>
        <v>SOUTH</v>
      </c>
      <c r="B5522" s="115" t="str">
        <f>IFERROR(__xludf.DUMMYFUNCTION("""COMPUTED_VALUE"""),"Premkumar M")</f>
        <v>Premkumar M</v>
      </c>
      <c r="C5522" s="115" t="str">
        <f>IFERROR(__xludf.DUMMYFUNCTION("""COMPUTED_VALUE"""),"FLIPKART")</f>
        <v>FLIPKART</v>
      </c>
      <c r="D5522" s="115">
        <f>IFERROR(__xludf.DUMMYFUNCTION("""COMPUTED_VALUE"""),277240.0)</f>
        <v>277240</v>
      </c>
      <c r="E5522" s="115">
        <f>IFERROR(__xludf.DUMMYFUNCTION("""COMPUTED_VALUE"""),19060.0)</f>
        <v>19060</v>
      </c>
      <c r="F5522" s="115">
        <f>IFERROR(__xludf.DUMMYFUNCTION("""COMPUTED_VALUE"""),209980.0)</f>
        <v>209980</v>
      </c>
      <c r="G5522" s="115">
        <f>IFERROR(__xludf.DUMMYFUNCTION("""COMPUTED_VALUE"""),8617.0)</f>
        <v>8617</v>
      </c>
      <c r="H5522" s="116">
        <f>IFERROR(__xludf.DUMMYFUNCTION("""COMPUTED_VALUE"""),45910.0)</f>
        <v>45910</v>
      </c>
      <c r="I5522" s="115" t="str">
        <f>IFERROR(__xludf.DUMMYFUNCTION("""COMPUTED_VALUE"""),"20")</f>
        <v>20</v>
      </c>
      <c r="J5522" s="115"/>
      <c r="K5522" s="115">
        <f>IFERROR(__xludf.DUMMYFUNCTION("""COMPUTED_VALUE"""),296300.0)</f>
        <v>296300</v>
      </c>
    </row>
    <row r="5523">
      <c r="A5523" s="115" t="str">
        <f>IFERROR(__xludf.DUMMYFUNCTION("""COMPUTED_VALUE"""),"SOUTH")</f>
        <v>SOUTH</v>
      </c>
      <c r="B5523" s="115" t="str">
        <f>IFERROR(__xludf.DUMMYFUNCTION("""COMPUTED_VALUE"""),"Premkumar M")</f>
        <v>Premkumar M</v>
      </c>
      <c r="C5523" s="115" t="str">
        <f>IFERROR(__xludf.DUMMYFUNCTION("""COMPUTED_VALUE"""),"MYNTRA")</f>
        <v>MYNTRA</v>
      </c>
      <c r="D5523" s="115">
        <f>IFERROR(__xludf.DUMMYFUNCTION("""COMPUTED_VALUE"""),14098.0)</f>
        <v>14098</v>
      </c>
      <c r="E5523" s="115">
        <f>IFERROR(__xludf.DUMMYFUNCTION("""COMPUTED_VALUE"""),3067.0)</f>
        <v>3067</v>
      </c>
      <c r="F5523" s="115">
        <f>IFERROR(__xludf.DUMMYFUNCTION("""COMPUTED_VALUE"""),11664.0)</f>
        <v>11664</v>
      </c>
      <c r="G5523" s="115">
        <f>IFERROR(__xludf.DUMMYFUNCTION("""COMPUTED_VALUE"""),1509.0)</f>
        <v>1509</v>
      </c>
      <c r="H5523" s="116">
        <f>IFERROR(__xludf.DUMMYFUNCTION("""COMPUTED_VALUE"""),45910.0)</f>
        <v>45910</v>
      </c>
      <c r="I5523" s="115" t="str">
        <f>IFERROR(__xludf.DUMMYFUNCTION("""COMPUTED_VALUE"""),"20")</f>
        <v>20</v>
      </c>
      <c r="J5523" s="115"/>
      <c r="K5523" s="115">
        <f>IFERROR(__xludf.DUMMYFUNCTION("""COMPUTED_VALUE"""),17165.0)</f>
        <v>17165</v>
      </c>
    </row>
    <row r="5524">
      <c r="A5524" s="115" t="str">
        <f>IFERROR(__xludf.DUMMYFUNCTION("""COMPUTED_VALUE"""),"SOUTH")</f>
        <v>SOUTH</v>
      </c>
      <c r="B5524" s="115" t="str">
        <f>IFERROR(__xludf.DUMMYFUNCTION("""COMPUTED_VALUE"""),"Vineeth V")</f>
        <v>Vineeth V</v>
      </c>
      <c r="C5524" s="115" t="str">
        <f>IFERROR(__xludf.DUMMYFUNCTION("""COMPUTED_VALUE"""),"EXTERNAL")</f>
        <v>EXTERNAL</v>
      </c>
      <c r="D5524" s="115">
        <f>IFERROR(__xludf.DUMMYFUNCTION("""COMPUTED_VALUE"""),18044.0)</f>
        <v>18044</v>
      </c>
      <c r="E5524" s="115">
        <f>IFERROR(__xludf.DUMMYFUNCTION("""COMPUTED_VALUE"""),683.0)</f>
        <v>683</v>
      </c>
      <c r="F5524" s="115">
        <f>IFERROR(__xludf.DUMMYFUNCTION("""COMPUTED_VALUE"""),9030.0)</f>
        <v>9030</v>
      </c>
      <c r="G5524" s="115">
        <f>IFERROR(__xludf.DUMMYFUNCTION("""COMPUTED_VALUE"""),370.0)</f>
        <v>370</v>
      </c>
      <c r="H5524" s="116">
        <f>IFERROR(__xludf.DUMMYFUNCTION("""COMPUTED_VALUE"""),45910.0)</f>
        <v>45910</v>
      </c>
      <c r="I5524" s="115" t="str">
        <f>IFERROR(__xludf.DUMMYFUNCTION("""COMPUTED_VALUE"""),"20")</f>
        <v>20</v>
      </c>
      <c r="J5524" s="115"/>
      <c r="K5524" s="115">
        <f>IFERROR(__xludf.DUMMYFUNCTION("""COMPUTED_VALUE"""),18727.0)</f>
        <v>18727</v>
      </c>
    </row>
    <row r="5525">
      <c r="A5525" s="115" t="str">
        <f>IFERROR(__xludf.DUMMYFUNCTION("""COMPUTED_VALUE"""),"SOUTH")</f>
        <v>SOUTH</v>
      </c>
      <c r="B5525" s="115" t="str">
        <f>IFERROR(__xludf.DUMMYFUNCTION("""COMPUTED_VALUE"""),"Vineeth V")</f>
        <v>Vineeth V</v>
      </c>
      <c r="C5525" s="115" t="str">
        <f>IFERROR(__xludf.DUMMYFUNCTION("""COMPUTED_VALUE"""),"FLIPKART")</f>
        <v>FLIPKART</v>
      </c>
      <c r="D5525" s="115">
        <f>IFERROR(__xludf.DUMMYFUNCTION("""COMPUTED_VALUE"""),190416.0)</f>
        <v>190416</v>
      </c>
      <c r="E5525" s="115">
        <f>IFERROR(__xludf.DUMMYFUNCTION("""COMPUTED_VALUE"""),16134.0)</f>
        <v>16134</v>
      </c>
      <c r="F5525" s="115">
        <f>IFERROR(__xludf.DUMMYFUNCTION("""COMPUTED_VALUE"""),155035.0)</f>
        <v>155035</v>
      </c>
      <c r="G5525" s="115">
        <f>IFERROR(__xludf.DUMMYFUNCTION("""COMPUTED_VALUE"""),9471.0)</f>
        <v>9471</v>
      </c>
      <c r="H5525" s="116">
        <f>IFERROR(__xludf.DUMMYFUNCTION("""COMPUTED_VALUE"""),45910.0)</f>
        <v>45910</v>
      </c>
      <c r="I5525" s="115" t="str">
        <f>IFERROR(__xludf.DUMMYFUNCTION("""COMPUTED_VALUE"""),"20")</f>
        <v>20</v>
      </c>
      <c r="J5525" s="115"/>
      <c r="K5525" s="115">
        <f>IFERROR(__xludf.DUMMYFUNCTION("""COMPUTED_VALUE"""),206550.0)</f>
        <v>206550</v>
      </c>
    </row>
    <row r="5526">
      <c r="A5526" s="115" t="str">
        <f>IFERROR(__xludf.DUMMYFUNCTION("""COMPUTED_VALUE"""),"SOUTH")</f>
        <v>SOUTH</v>
      </c>
      <c r="B5526" s="115" t="str">
        <f>IFERROR(__xludf.DUMMYFUNCTION("""COMPUTED_VALUE"""),"Vineeth V")</f>
        <v>Vineeth V</v>
      </c>
      <c r="C5526" s="115" t="str">
        <f>IFERROR(__xludf.DUMMYFUNCTION("""COMPUTED_VALUE"""),"MYNTRA")</f>
        <v>MYNTRA</v>
      </c>
      <c r="D5526" s="115">
        <f>IFERROR(__xludf.DUMMYFUNCTION("""COMPUTED_VALUE"""),15238.0)</f>
        <v>15238</v>
      </c>
      <c r="E5526" s="115">
        <f>IFERROR(__xludf.DUMMYFUNCTION("""COMPUTED_VALUE"""),3966.0)</f>
        <v>3966</v>
      </c>
      <c r="F5526" s="115">
        <f>IFERROR(__xludf.DUMMYFUNCTION("""COMPUTED_VALUE"""),13038.0)</f>
        <v>13038</v>
      </c>
      <c r="G5526" s="115">
        <f>IFERROR(__xludf.DUMMYFUNCTION("""COMPUTED_VALUE"""),2338.0)</f>
        <v>2338</v>
      </c>
      <c r="H5526" s="116">
        <f>IFERROR(__xludf.DUMMYFUNCTION("""COMPUTED_VALUE"""),45910.0)</f>
        <v>45910</v>
      </c>
      <c r="I5526" s="115" t="str">
        <f>IFERROR(__xludf.DUMMYFUNCTION("""COMPUTED_VALUE"""),"20")</f>
        <v>20</v>
      </c>
      <c r="J5526" s="115"/>
      <c r="K5526" s="115">
        <f>IFERROR(__xludf.DUMMYFUNCTION("""COMPUTED_VALUE"""),19204.0)</f>
        <v>19204</v>
      </c>
    </row>
    <row r="5527">
      <c r="A5527" s="115" t="str">
        <f>IFERROR(__xludf.DUMMYFUNCTION("""COMPUTED_VALUE"""),"WEST")</f>
        <v>WEST</v>
      </c>
      <c r="B5527" s="115" t="str">
        <f>IFERROR(__xludf.DUMMYFUNCTION("""COMPUTED_VALUE"""),"Ashish Jakar")</f>
        <v>Ashish Jakar</v>
      </c>
      <c r="C5527" s="115" t="str">
        <f>IFERROR(__xludf.DUMMYFUNCTION("""COMPUTED_VALUE"""),"EXTERNAL")</f>
        <v>EXTERNAL</v>
      </c>
      <c r="D5527" s="115">
        <f>IFERROR(__xludf.DUMMYFUNCTION("""COMPUTED_VALUE"""),64343.0)</f>
        <v>64343</v>
      </c>
      <c r="E5527" s="115">
        <f>IFERROR(__xludf.DUMMYFUNCTION("""COMPUTED_VALUE"""),6053.0)</f>
        <v>6053</v>
      </c>
      <c r="F5527" s="115">
        <f>IFERROR(__xludf.DUMMYFUNCTION("""COMPUTED_VALUE"""),29077.0)</f>
        <v>29077</v>
      </c>
      <c r="G5527" s="115">
        <f>IFERROR(__xludf.DUMMYFUNCTION("""COMPUTED_VALUE"""),2841.0)</f>
        <v>2841</v>
      </c>
      <c r="H5527" s="116">
        <f>IFERROR(__xludf.DUMMYFUNCTION("""COMPUTED_VALUE"""),45910.0)</f>
        <v>45910</v>
      </c>
      <c r="I5527" s="115" t="str">
        <f>IFERROR(__xludf.DUMMYFUNCTION("""COMPUTED_VALUE"""),"20")</f>
        <v>20</v>
      </c>
      <c r="J5527" s="115"/>
      <c r="K5527" s="115">
        <f>IFERROR(__xludf.DUMMYFUNCTION("""COMPUTED_VALUE"""),70396.0)</f>
        <v>70396</v>
      </c>
    </row>
    <row r="5528">
      <c r="A5528" s="115" t="str">
        <f>IFERROR(__xludf.DUMMYFUNCTION("""COMPUTED_VALUE"""),"WEST")</f>
        <v>WEST</v>
      </c>
      <c r="B5528" s="115" t="str">
        <f>IFERROR(__xludf.DUMMYFUNCTION("""COMPUTED_VALUE"""),"Ashish Jakar")</f>
        <v>Ashish Jakar</v>
      </c>
      <c r="C5528" s="115" t="str">
        <f>IFERROR(__xludf.DUMMYFUNCTION("""COMPUTED_VALUE"""),"FLIPKART")</f>
        <v>FLIPKART</v>
      </c>
      <c r="D5528" s="115">
        <f>IFERROR(__xludf.DUMMYFUNCTION("""COMPUTED_VALUE"""),405876.0)</f>
        <v>405876</v>
      </c>
      <c r="E5528" s="115">
        <f>IFERROR(__xludf.DUMMYFUNCTION("""COMPUTED_VALUE"""),33787.0)</f>
        <v>33787</v>
      </c>
      <c r="F5528" s="115">
        <f>IFERROR(__xludf.DUMMYFUNCTION("""COMPUTED_VALUE"""),293304.0)</f>
        <v>293304</v>
      </c>
      <c r="G5528" s="115">
        <f>IFERROR(__xludf.DUMMYFUNCTION("""COMPUTED_VALUE"""),19899.0)</f>
        <v>19899</v>
      </c>
      <c r="H5528" s="116">
        <f>IFERROR(__xludf.DUMMYFUNCTION("""COMPUTED_VALUE"""),45910.0)</f>
        <v>45910</v>
      </c>
      <c r="I5528" s="115" t="str">
        <f>IFERROR(__xludf.DUMMYFUNCTION("""COMPUTED_VALUE"""),"20")</f>
        <v>20</v>
      </c>
      <c r="J5528" s="115"/>
      <c r="K5528" s="115">
        <f>IFERROR(__xludf.DUMMYFUNCTION("""COMPUTED_VALUE"""),439663.0)</f>
        <v>439663</v>
      </c>
    </row>
    <row r="5529">
      <c r="A5529" s="115" t="str">
        <f>IFERROR(__xludf.DUMMYFUNCTION("""COMPUTED_VALUE"""),"WEST")</f>
        <v>WEST</v>
      </c>
      <c r="B5529" s="115" t="str">
        <f>IFERROR(__xludf.DUMMYFUNCTION("""COMPUTED_VALUE"""),"Ashish Jakar")</f>
        <v>Ashish Jakar</v>
      </c>
      <c r="C5529" s="115" t="str">
        <f>IFERROR(__xludf.DUMMYFUNCTION("""COMPUTED_VALUE"""),"MYNTRA")</f>
        <v>MYNTRA</v>
      </c>
      <c r="D5529" s="115">
        <f>IFERROR(__xludf.DUMMYFUNCTION("""COMPUTED_VALUE"""),46400.0)</f>
        <v>46400</v>
      </c>
      <c r="E5529" s="115">
        <f>IFERROR(__xludf.DUMMYFUNCTION("""COMPUTED_VALUE"""),11492.0)</f>
        <v>11492</v>
      </c>
      <c r="F5529" s="115">
        <f>IFERROR(__xludf.DUMMYFUNCTION("""COMPUTED_VALUE"""),38021.0)</f>
        <v>38021</v>
      </c>
      <c r="G5529" s="115">
        <f>IFERROR(__xludf.DUMMYFUNCTION("""COMPUTED_VALUE"""),7251.0)</f>
        <v>7251</v>
      </c>
      <c r="H5529" s="116">
        <f>IFERROR(__xludf.DUMMYFUNCTION("""COMPUTED_VALUE"""),45910.0)</f>
        <v>45910</v>
      </c>
      <c r="I5529" s="115" t="str">
        <f>IFERROR(__xludf.DUMMYFUNCTION("""COMPUTED_VALUE"""),"20")</f>
        <v>20</v>
      </c>
      <c r="J5529" s="115"/>
      <c r="K5529" s="115">
        <f>IFERROR(__xludf.DUMMYFUNCTION("""COMPUTED_VALUE"""),57892.0)</f>
        <v>57892</v>
      </c>
    </row>
    <row r="5530">
      <c r="A5530" s="115" t="str">
        <f>IFERROR(__xludf.DUMMYFUNCTION("""COMPUTED_VALUE"""),"WEST")</f>
        <v>WEST</v>
      </c>
      <c r="B5530" s="115" t="str">
        <f>IFERROR(__xludf.DUMMYFUNCTION("""COMPUTED_VALUE"""),"Ashvani Bhatt")</f>
        <v>Ashvani Bhatt</v>
      </c>
      <c r="C5530" s="115" t="str">
        <f>IFERROR(__xludf.DUMMYFUNCTION("""COMPUTED_VALUE"""),"EXTERNAL")</f>
        <v>EXTERNAL</v>
      </c>
      <c r="D5530" s="115">
        <f>IFERROR(__xludf.DUMMYFUNCTION("""COMPUTED_VALUE"""),40224.0)</f>
        <v>40224</v>
      </c>
      <c r="E5530" s="115">
        <f>IFERROR(__xludf.DUMMYFUNCTION("""COMPUTED_VALUE"""),3185.0)</f>
        <v>3185</v>
      </c>
      <c r="F5530" s="115">
        <f>IFERROR(__xludf.DUMMYFUNCTION("""COMPUTED_VALUE"""),17494.0)</f>
        <v>17494</v>
      </c>
      <c r="G5530" s="115">
        <f>IFERROR(__xludf.DUMMYFUNCTION("""COMPUTED_VALUE"""),1470.0)</f>
        <v>1470</v>
      </c>
      <c r="H5530" s="116">
        <f>IFERROR(__xludf.DUMMYFUNCTION("""COMPUTED_VALUE"""),45910.0)</f>
        <v>45910</v>
      </c>
      <c r="I5530" s="115" t="str">
        <f>IFERROR(__xludf.DUMMYFUNCTION("""COMPUTED_VALUE"""),"20")</f>
        <v>20</v>
      </c>
      <c r="J5530" s="115"/>
      <c r="K5530" s="115">
        <f>IFERROR(__xludf.DUMMYFUNCTION("""COMPUTED_VALUE"""),43409.0)</f>
        <v>43409</v>
      </c>
    </row>
    <row r="5531">
      <c r="A5531" s="115" t="str">
        <f>IFERROR(__xludf.DUMMYFUNCTION("""COMPUTED_VALUE"""),"WEST")</f>
        <v>WEST</v>
      </c>
      <c r="B5531" s="115" t="str">
        <f>IFERROR(__xludf.DUMMYFUNCTION("""COMPUTED_VALUE"""),"Ashvani Bhatt")</f>
        <v>Ashvani Bhatt</v>
      </c>
      <c r="C5531" s="115" t="str">
        <f>IFERROR(__xludf.DUMMYFUNCTION("""COMPUTED_VALUE"""),"FLIPKART")</f>
        <v>FLIPKART</v>
      </c>
      <c r="D5531" s="115">
        <f>IFERROR(__xludf.DUMMYFUNCTION("""COMPUTED_VALUE"""),282363.0)</f>
        <v>282363</v>
      </c>
      <c r="E5531" s="115">
        <f>IFERROR(__xludf.DUMMYFUNCTION("""COMPUTED_VALUE"""),30269.0)</f>
        <v>30269</v>
      </c>
      <c r="F5531" s="115">
        <f>IFERROR(__xludf.DUMMYFUNCTION("""COMPUTED_VALUE"""),213450.0)</f>
        <v>213450</v>
      </c>
      <c r="G5531" s="115">
        <f>IFERROR(__xludf.DUMMYFUNCTION("""COMPUTED_VALUE"""),19411.0)</f>
        <v>19411</v>
      </c>
      <c r="H5531" s="116">
        <f>IFERROR(__xludf.DUMMYFUNCTION("""COMPUTED_VALUE"""),45910.0)</f>
        <v>45910</v>
      </c>
      <c r="I5531" s="115" t="str">
        <f>IFERROR(__xludf.DUMMYFUNCTION("""COMPUTED_VALUE"""),"20")</f>
        <v>20</v>
      </c>
      <c r="J5531" s="115"/>
      <c r="K5531" s="115">
        <f>IFERROR(__xludf.DUMMYFUNCTION("""COMPUTED_VALUE"""),312632.0)</f>
        <v>312632</v>
      </c>
    </row>
    <row r="5532">
      <c r="A5532" s="115" t="str">
        <f>IFERROR(__xludf.DUMMYFUNCTION("""COMPUTED_VALUE"""),"WEST")</f>
        <v>WEST</v>
      </c>
      <c r="B5532" s="115" t="str">
        <f>IFERROR(__xludf.DUMMYFUNCTION("""COMPUTED_VALUE"""),"Ashvani Bhatt")</f>
        <v>Ashvani Bhatt</v>
      </c>
      <c r="C5532" s="115" t="str">
        <f>IFERROR(__xludf.DUMMYFUNCTION("""COMPUTED_VALUE"""),"MYNTRA")</f>
        <v>MYNTRA</v>
      </c>
      <c r="D5532" s="115">
        <f>IFERROR(__xludf.DUMMYFUNCTION("""COMPUTED_VALUE"""),34635.0)</f>
        <v>34635</v>
      </c>
      <c r="E5532" s="115">
        <f>IFERROR(__xludf.DUMMYFUNCTION("""COMPUTED_VALUE"""),9800.0)</f>
        <v>9800</v>
      </c>
      <c r="F5532" s="115">
        <f>IFERROR(__xludf.DUMMYFUNCTION("""COMPUTED_VALUE"""),29262.0)</f>
        <v>29262</v>
      </c>
      <c r="G5532" s="115">
        <f>IFERROR(__xludf.DUMMYFUNCTION("""COMPUTED_VALUE"""),6999.0)</f>
        <v>6999</v>
      </c>
      <c r="H5532" s="116">
        <f>IFERROR(__xludf.DUMMYFUNCTION("""COMPUTED_VALUE"""),45910.0)</f>
        <v>45910</v>
      </c>
      <c r="I5532" s="115" t="str">
        <f>IFERROR(__xludf.DUMMYFUNCTION("""COMPUTED_VALUE"""),"20")</f>
        <v>20</v>
      </c>
      <c r="J5532" s="115"/>
      <c r="K5532" s="115">
        <f>IFERROR(__xludf.DUMMYFUNCTION("""COMPUTED_VALUE"""),44435.0)</f>
        <v>44435</v>
      </c>
    </row>
    <row r="5533">
      <c r="A5533" s="115"/>
      <c r="B5533" s="115"/>
      <c r="C5533" s="115" t="str">
        <f>IFERROR(__xludf.DUMMYFUNCTION("""COMPUTED_VALUE"""),"EXTERNAL")</f>
        <v>EXTERNAL</v>
      </c>
      <c r="D5533" s="115">
        <f>IFERROR(__xludf.DUMMYFUNCTION("""COMPUTED_VALUE"""),778.0)</f>
        <v>778</v>
      </c>
      <c r="E5533" s="115">
        <f>IFERROR(__xludf.DUMMYFUNCTION("""COMPUTED_VALUE"""),181.0)</f>
        <v>181</v>
      </c>
      <c r="F5533" s="115">
        <f>IFERROR(__xludf.DUMMYFUNCTION("""COMPUTED_VALUE"""),359.0)</f>
        <v>359</v>
      </c>
      <c r="G5533" s="115">
        <f>IFERROR(__xludf.DUMMYFUNCTION("""COMPUTED_VALUE"""),87.0)</f>
        <v>87</v>
      </c>
      <c r="H5533" s="116">
        <f>IFERROR(__xludf.DUMMYFUNCTION("""COMPUTED_VALUE"""),45910.0)</f>
        <v>45910</v>
      </c>
      <c r="I5533" s="115" t="str">
        <f>IFERROR(__xludf.DUMMYFUNCTION("""COMPUTED_VALUE"""),"20")</f>
        <v>20</v>
      </c>
      <c r="J5533" s="115"/>
      <c r="K5533" s="115">
        <f>IFERROR(__xludf.DUMMYFUNCTION("""COMPUTED_VALUE"""),959.0)</f>
        <v>959</v>
      </c>
    </row>
    <row r="5534">
      <c r="A5534" s="115"/>
      <c r="B5534" s="115"/>
      <c r="C5534" s="115" t="str">
        <f>IFERROR(__xludf.DUMMYFUNCTION("""COMPUTED_VALUE"""),"FLIPKART")</f>
        <v>FLIPKART</v>
      </c>
      <c r="D5534" s="115">
        <f>IFERROR(__xludf.DUMMYFUNCTION("""COMPUTED_VALUE"""),8107.0)</f>
        <v>8107</v>
      </c>
      <c r="E5534" s="115">
        <f>IFERROR(__xludf.DUMMYFUNCTION("""COMPUTED_VALUE"""),904.0)</f>
        <v>904</v>
      </c>
      <c r="F5534" s="115">
        <f>IFERROR(__xludf.DUMMYFUNCTION("""COMPUTED_VALUE"""),5706.0)</f>
        <v>5706</v>
      </c>
      <c r="G5534" s="115">
        <f>IFERROR(__xludf.DUMMYFUNCTION("""COMPUTED_VALUE"""),528.0)</f>
        <v>528</v>
      </c>
      <c r="H5534" s="116">
        <f>IFERROR(__xludf.DUMMYFUNCTION("""COMPUTED_VALUE"""),45910.0)</f>
        <v>45910</v>
      </c>
      <c r="I5534" s="115" t="str">
        <f>IFERROR(__xludf.DUMMYFUNCTION("""COMPUTED_VALUE"""),"20")</f>
        <v>20</v>
      </c>
      <c r="J5534" s="115"/>
      <c r="K5534" s="115">
        <f>IFERROR(__xludf.DUMMYFUNCTION("""COMPUTED_VALUE"""),9011.0)</f>
        <v>9011</v>
      </c>
    </row>
    <row r="5535">
      <c r="A5535" s="115"/>
      <c r="B5535" s="115"/>
      <c r="C5535" s="115" t="str">
        <f>IFERROR(__xludf.DUMMYFUNCTION("""COMPUTED_VALUE"""),"MYNTRA")</f>
        <v>MYNTRA</v>
      </c>
      <c r="D5535" s="115">
        <f>IFERROR(__xludf.DUMMYFUNCTION("""COMPUTED_VALUE"""),835.0)</f>
        <v>835</v>
      </c>
      <c r="E5535" s="115">
        <f>IFERROR(__xludf.DUMMYFUNCTION("""COMPUTED_VALUE"""),233.0)</f>
        <v>233</v>
      </c>
      <c r="F5535" s="115">
        <f>IFERROR(__xludf.DUMMYFUNCTION("""COMPUTED_VALUE"""),661.0)</f>
        <v>661</v>
      </c>
      <c r="G5535" s="115">
        <f>IFERROR(__xludf.DUMMYFUNCTION("""COMPUTED_VALUE"""),168.0)</f>
        <v>168</v>
      </c>
      <c r="H5535" s="116">
        <f>IFERROR(__xludf.DUMMYFUNCTION("""COMPUTED_VALUE"""),45910.0)</f>
        <v>45910</v>
      </c>
      <c r="I5535" s="115" t="str">
        <f>IFERROR(__xludf.DUMMYFUNCTION("""COMPUTED_VALUE"""),"20")</f>
        <v>20</v>
      </c>
      <c r="J5535" s="115"/>
      <c r="K5535" s="115">
        <f>IFERROR(__xludf.DUMMYFUNCTION("""COMPUTED_VALUE"""),1068.0)</f>
        <v>1068</v>
      </c>
    </row>
    <row r="5536">
      <c r="A5536" s="115" t="str">
        <f>IFERROR(__xludf.DUMMYFUNCTION("""COMPUTED_VALUE"""),"EAST")</f>
        <v>EAST</v>
      </c>
      <c r="B5536" s="115" t="str">
        <f>IFERROR(__xludf.DUMMYFUNCTION("""COMPUTED_VALUE"""),"Ashish Ranjan")</f>
        <v>Ashish Ranjan</v>
      </c>
      <c r="C5536" s="115" t="str">
        <f>IFERROR(__xludf.DUMMYFUNCTION("""COMPUTED_VALUE"""),"EXTERNAL")</f>
        <v>EXTERNAL</v>
      </c>
      <c r="D5536" s="115">
        <f>IFERROR(__xludf.DUMMYFUNCTION("""COMPUTED_VALUE"""),38625.0)</f>
        <v>38625</v>
      </c>
      <c r="E5536" s="115">
        <f>IFERROR(__xludf.DUMMYFUNCTION("""COMPUTED_VALUE"""),3896.0)</f>
        <v>3896</v>
      </c>
      <c r="F5536" s="115">
        <f>IFERROR(__xludf.DUMMYFUNCTION("""COMPUTED_VALUE"""),21690.0)</f>
        <v>21690</v>
      </c>
      <c r="G5536" s="115">
        <f>IFERROR(__xludf.DUMMYFUNCTION("""COMPUTED_VALUE"""),2090.0)</f>
        <v>2090</v>
      </c>
      <c r="H5536" s="116">
        <f>IFERROR(__xludf.DUMMYFUNCTION("""COMPUTED_VALUE"""),45910.0)</f>
        <v>45910</v>
      </c>
      <c r="I5536" s="115" t="str">
        <f>IFERROR(__xludf.DUMMYFUNCTION("""COMPUTED_VALUE"""),"21")</f>
        <v>21</v>
      </c>
      <c r="J5536" s="115"/>
      <c r="K5536" s="115">
        <f>IFERROR(__xludf.DUMMYFUNCTION("""COMPUTED_VALUE"""),42521.0)</f>
        <v>42521</v>
      </c>
    </row>
    <row r="5537">
      <c r="A5537" s="115" t="str">
        <f>IFERROR(__xludf.DUMMYFUNCTION("""COMPUTED_VALUE"""),"EAST")</f>
        <v>EAST</v>
      </c>
      <c r="B5537" s="115" t="str">
        <f>IFERROR(__xludf.DUMMYFUNCTION("""COMPUTED_VALUE"""),"Ashish Ranjan")</f>
        <v>Ashish Ranjan</v>
      </c>
      <c r="C5537" s="115" t="str">
        <f>IFERROR(__xludf.DUMMYFUNCTION("""COMPUTED_VALUE"""),"FLIPKART")</f>
        <v>FLIPKART</v>
      </c>
      <c r="D5537" s="115">
        <f>IFERROR(__xludf.DUMMYFUNCTION("""COMPUTED_VALUE"""),673624.0)</f>
        <v>673624</v>
      </c>
      <c r="E5537" s="115">
        <f>IFERROR(__xludf.DUMMYFUNCTION("""COMPUTED_VALUE"""),68838.0)</f>
        <v>68838</v>
      </c>
      <c r="F5537" s="115">
        <f>IFERROR(__xludf.DUMMYFUNCTION("""COMPUTED_VALUE"""),599258.0)</f>
        <v>599258</v>
      </c>
      <c r="G5537" s="115">
        <f>IFERROR(__xludf.DUMMYFUNCTION("""COMPUTED_VALUE"""),55348.0)</f>
        <v>55348</v>
      </c>
      <c r="H5537" s="116">
        <f>IFERROR(__xludf.DUMMYFUNCTION("""COMPUTED_VALUE"""),45910.0)</f>
        <v>45910</v>
      </c>
      <c r="I5537" s="115" t="str">
        <f>IFERROR(__xludf.DUMMYFUNCTION("""COMPUTED_VALUE"""),"21")</f>
        <v>21</v>
      </c>
      <c r="J5537" s="115"/>
      <c r="K5537" s="115">
        <f>IFERROR(__xludf.DUMMYFUNCTION("""COMPUTED_VALUE"""),742462.0)</f>
        <v>742462</v>
      </c>
    </row>
    <row r="5538">
      <c r="A5538" s="115" t="str">
        <f>IFERROR(__xludf.DUMMYFUNCTION("""COMPUTED_VALUE"""),"EAST")</f>
        <v>EAST</v>
      </c>
      <c r="B5538" s="115" t="str">
        <f>IFERROR(__xludf.DUMMYFUNCTION("""COMPUTED_VALUE"""),"Ashish Ranjan")</f>
        <v>Ashish Ranjan</v>
      </c>
      <c r="C5538" s="115" t="str">
        <f>IFERROR(__xludf.DUMMYFUNCTION("""COMPUTED_VALUE"""),"MYNTRA")</f>
        <v>MYNTRA</v>
      </c>
      <c r="D5538" s="115">
        <f>IFERROR(__xludf.DUMMYFUNCTION("""COMPUTED_VALUE"""),75590.0)</f>
        <v>75590</v>
      </c>
      <c r="E5538" s="115">
        <f>IFERROR(__xludf.DUMMYFUNCTION("""COMPUTED_VALUE"""),17138.0)</f>
        <v>17138</v>
      </c>
      <c r="F5538" s="115">
        <f>IFERROR(__xludf.DUMMYFUNCTION("""COMPUTED_VALUE"""),68074.0)</f>
        <v>68074</v>
      </c>
      <c r="G5538" s="115">
        <f>IFERROR(__xludf.DUMMYFUNCTION("""COMPUTED_VALUE"""),13607.0)</f>
        <v>13607</v>
      </c>
      <c r="H5538" s="116">
        <f>IFERROR(__xludf.DUMMYFUNCTION("""COMPUTED_VALUE"""),45910.0)</f>
        <v>45910</v>
      </c>
      <c r="I5538" s="115" t="str">
        <f>IFERROR(__xludf.DUMMYFUNCTION("""COMPUTED_VALUE"""),"21")</f>
        <v>21</v>
      </c>
      <c r="J5538" s="115"/>
      <c r="K5538" s="115">
        <f>IFERROR(__xludf.DUMMYFUNCTION("""COMPUTED_VALUE"""),92728.0)</f>
        <v>92728</v>
      </c>
    </row>
    <row r="5539">
      <c r="A5539" s="115" t="str">
        <f>IFERROR(__xludf.DUMMYFUNCTION("""COMPUTED_VALUE"""),"EAST")</f>
        <v>EAST</v>
      </c>
      <c r="B5539" s="115" t="str">
        <f>IFERROR(__xludf.DUMMYFUNCTION("""COMPUTED_VALUE"""),"Girish Chand")</f>
        <v>Girish Chand</v>
      </c>
      <c r="C5539" s="115" t="str">
        <f>IFERROR(__xludf.DUMMYFUNCTION("""COMPUTED_VALUE"""),"EXTERNAL")</f>
        <v>EXTERNAL</v>
      </c>
      <c r="D5539" s="115">
        <f>IFERROR(__xludf.DUMMYFUNCTION("""COMPUTED_VALUE"""),23627.0)</f>
        <v>23627</v>
      </c>
      <c r="E5539" s="115">
        <f>IFERROR(__xludf.DUMMYFUNCTION("""COMPUTED_VALUE"""),1920.0)</f>
        <v>1920</v>
      </c>
      <c r="F5539" s="115">
        <f>IFERROR(__xludf.DUMMYFUNCTION("""COMPUTED_VALUE"""),10555.0)</f>
        <v>10555</v>
      </c>
      <c r="G5539" s="115">
        <f>IFERROR(__xludf.DUMMYFUNCTION("""COMPUTED_VALUE"""),804.0)</f>
        <v>804</v>
      </c>
      <c r="H5539" s="116">
        <f>IFERROR(__xludf.DUMMYFUNCTION("""COMPUTED_VALUE"""),45910.0)</f>
        <v>45910</v>
      </c>
      <c r="I5539" s="115" t="str">
        <f>IFERROR(__xludf.DUMMYFUNCTION("""COMPUTED_VALUE"""),"21")</f>
        <v>21</v>
      </c>
      <c r="J5539" s="115"/>
      <c r="K5539" s="115">
        <f>IFERROR(__xludf.DUMMYFUNCTION("""COMPUTED_VALUE"""),25547.0)</f>
        <v>25547</v>
      </c>
    </row>
    <row r="5540">
      <c r="A5540" s="115" t="str">
        <f>IFERROR(__xludf.DUMMYFUNCTION("""COMPUTED_VALUE"""),"EAST")</f>
        <v>EAST</v>
      </c>
      <c r="B5540" s="115" t="str">
        <f>IFERROR(__xludf.DUMMYFUNCTION("""COMPUTED_VALUE"""),"Girish Chand")</f>
        <v>Girish Chand</v>
      </c>
      <c r="C5540" s="115" t="str">
        <f>IFERROR(__xludf.DUMMYFUNCTION("""COMPUTED_VALUE"""),"FLIPKART")</f>
        <v>FLIPKART</v>
      </c>
      <c r="D5540" s="115">
        <f>IFERROR(__xludf.DUMMYFUNCTION("""COMPUTED_VALUE"""),430856.0)</f>
        <v>430856</v>
      </c>
      <c r="E5540" s="115">
        <f>IFERROR(__xludf.DUMMYFUNCTION("""COMPUTED_VALUE"""),39879.0)</f>
        <v>39879</v>
      </c>
      <c r="F5540" s="115">
        <f>IFERROR(__xludf.DUMMYFUNCTION("""COMPUTED_VALUE"""),326379.0)</f>
        <v>326379</v>
      </c>
      <c r="G5540" s="115">
        <f>IFERROR(__xludf.DUMMYFUNCTION("""COMPUTED_VALUE"""),28584.0)</f>
        <v>28584</v>
      </c>
      <c r="H5540" s="116">
        <f>IFERROR(__xludf.DUMMYFUNCTION("""COMPUTED_VALUE"""),45910.0)</f>
        <v>45910</v>
      </c>
      <c r="I5540" s="115" t="str">
        <f>IFERROR(__xludf.DUMMYFUNCTION("""COMPUTED_VALUE"""),"21")</f>
        <v>21</v>
      </c>
      <c r="J5540" s="115"/>
      <c r="K5540" s="115">
        <f>IFERROR(__xludf.DUMMYFUNCTION("""COMPUTED_VALUE"""),470735.0)</f>
        <v>470735</v>
      </c>
    </row>
    <row r="5541">
      <c r="A5541" s="115" t="str">
        <f>IFERROR(__xludf.DUMMYFUNCTION("""COMPUTED_VALUE"""),"EAST")</f>
        <v>EAST</v>
      </c>
      <c r="B5541" s="115" t="str">
        <f>IFERROR(__xludf.DUMMYFUNCTION("""COMPUTED_VALUE"""),"Girish Chand")</f>
        <v>Girish Chand</v>
      </c>
      <c r="C5541" s="115" t="str">
        <f>IFERROR(__xludf.DUMMYFUNCTION("""COMPUTED_VALUE"""),"MYNTRA")</f>
        <v>MYNTRA</v>
      </c>
      <c r="D5541" s="115">
        <f>IFERROR(__xludf.DUMMYFUNCTION("""COMPUTED_VALUE"""),37271.0)</f>
        <v>37271</v>
      </c>
      <c r="E5541" s="115">
        <f>IFERROR(__xludf.DUMMYFUNCTION("""COMPUTED_VALUE"""),8356.0)</f>
        <v>8356</v>
      </c>
      <c r="F5541" s="115">
        <f>IFERROR(__xludf.DUMMYFUNCTION("""COMPUTED_VALUE"""),29571.0)</f>
        <v>29571</v>
      </c>
      <c r="G5541" s="115">
        <f>IFERROR(__xludf.DUMMYFUNCTION("""COMPUTED_VALUE"""),6233.0)</f>
        <v>6233</v>
      </c>
      <c r="H5541" s="116">
        <f>IFERROR(__xludf.DUMMYFUNCTION("""COMPUTED_VALUE"""),45910.0)</f>
        <v>45910</v>
      </c>
      <c r="I5541" s="115" t="str">
        <f>IFERROR(__xludf.DUMMYFUNCTION("""COMPUTED_VALUE"""),"21")</f>
        <v>21</v>
      </c>
      <c r="J5541" s="115"/>
      <c r="K5541" s="115">
        <f>IFERROR(__xludf.DUMMYFUNCTION("""COMPUTED_VALUE"""),45627.0)</f>
        <v>45627</v>
      </c>
    </row>
    <row r="5542">
      <c r="A5542" s="115" t="str">
        <f>IFERROR(__xludf.DUMMYFUNCTION("""COMPUTED_VALUE"""),"EAST")</f>
        <v>EAST</v>
      </c>
      <c r="B5542" s="115" t="str">
        <f>IFERROR(__xludf.DUMMYFUNCTION("""COMPUTED_VALUE"""),"Parag Kashyap")</f>
        <v>Parag Kashyap</v>
      </c>
      <c r="C5542" s="115" t="str">
        <f>IFERROR(__xludf.DUMMYFUNCTION("""COMPUTED_VALUE"""),"EXTERNAL")</f>
        <v>EXTERNAL</v>
      </c>
      <c r="D5542" s="115">
        <f>IFERROR(__xludf.DUMMYFUNCTION("""COMPUTED_VALUE"""),16956.0)</f>
        <v>16956</v>
      </c>
      <c r="E5542" s="115">
        <f>IFERROR(__xludf.DUMMYFUNCTION("""COMPUTED_VALUE"""),1085.0)</f>
        <v>1085</v>
      </c>
      <c r="F5542" s="115">
        <f>IFERROR(__xludf.DUMMYFUNCTION("""COMPUTED_VALUE"""),7777.0)</f>
        <v>7777</v>
      </c>
      <c r="G5542" s="115">
        <f>IFERROR(__xludf.DUMMYFUNCTION("""COMPUTED_VALUE"""),425.0)</f>
        <v>425</v>
      </c>
      <c r="H5542" s="116">
        <f>IFERROR(__xludf.DUMMYFUNCTION("""COMPUTED_VALUE"""),45910.0)</f>
        <v>45910</v>
      </c>
      <c r="I5542" s="115" t="str">
        <f>IFERROR(__xludf.DUMMYFUNCTION("""COMPUTED_VALUE"""),"21")</f>
        <v>21</v>
      </c>
      <c r="J5542" s="115"/>
      <c r="K5542" s="115">
        <f>IFERROR(__xludf.DUMMYFUNCTION("""COMPUTED_VALUE"""),18041.0)</f>
        <v>18041</v>
      </c>
    </row>
    <row r="5543">
      <c r="A5543" s="115" t="str">
        <f>IFERROR(__xludf.DUMMYFUNCTION("""COMPUTED_VALUE"""),"EAST")</f>
        <v>EAST</v>
      </c>
      <c r="B5543" s="115" t="str">
        <f>IFERROR(__xludf.DUMMYFUNCTION("""COMPUTED_VALUE"""),"Parag Kashyap")</f>
        <v>Parag Kashyap</v>
      </c>
      <c r="C5543" s="115" t="str">
        <f>IFERROR(__xludf.DUMMYFUNCTION("""COMPUTED_VALUE"""),"FLIPKART")</f>
        <v>FLIPKART</v>
      </c>
      <c r="D5543" s="115">
        <f>IFERROR(__xludf.DUMMYFUNCTION("""COMPUTED_VALUE"""),300632.0)</f>
        <v>300632</v>
      </c>
      <c r="E5543" s="115">
        <f>IFERROR(__xludf.DUMMYFUNCTION("""COMPUTED_VALUE"""),21188.0)</f>
        <v>21188</v>
      </c>
      <c r="F5543" s="115">
        <f>IFERROR(__xludf.DUMMYFUNCTION("""COMPUTED_VALUE"""),236181.0)</f>
        <v>236181</v>
      </c>
      <c r="G5543" s="115">
        <f>IFERROR(__xludf.DUMMYFUNCTION("""COMPUTED_VALUE"""),15066.0)</f>
        <v>15066</v>
      </c>
      <c r="H5543" s="116">
        <f>IFERROR(__xludf.DUMMYFUNCTION("""COMPUTED_VALUE"""),45910.0)</f>
        <v>45910</v>
      </c>
      <c r="I5543" s="115" t="str">
        <f>IFERROR(__xludf.DUMMYFUNCTION("""COMPUTED_VALUE"""),"21")</f>
        <v>21</v>
      </c>
      <c r="J5543" s="115"/>
      <c r="K5543" s="115">
        <f>IFERROR(__xludf.DUMMYFUNCTION("""COMPUTED_VALUE"""),321820.0)</f>
        <v>321820</v>
      </c>
    </row>
    <row r="5544">
      <c r="A5544" s="115" t="str">
        <f>IFERROR(__xludf.DUMMYFUNCTION("""COMPUTED_VALUE"""),"EAST")</f>
        <v>EAST</v>
      </c>
      <c r="B5544" s="115" t="str">
        <f>IFERROR(__xludf.DUMMYFUNCTION("""COMPUTED_VALUE"""),"Parag Kashyap")</f>
        <v>Parag Kashyap</v>
      </c>
      <c r="C5544" s="115" t="str">
        <f>IFERROR(__xludf.DUMMYFUNCTION("""COMPUTED_VALUE"""),"MYNTRA")</f>
        <v>MYNTRA</v>
      </c>
      <c r="D5544" s="115">
        <f>IFERROR(__xludf.DUMMYFUNCTION("""COMPUTED_VALUE"""),38396.0)</f>
        <v>38396</v>
      </c>
      <c r="E5544" s="115">
        <f>IFERROR(__xludf.DUMMYFUNCTION("""COMPUTED_VALUE"""),6051.0)</f>
        <v>6051</v>
      </c>
      <c r="F5544" s="115">
        <f>IFERROR(__xludf.DUMMYFUNCTION("""COMPUTED_VALUE"""),31059.0)</f>
        <v>31059</v>
      </c>
      <c r="G5544" s="115">
        <f>IFERROR(__xludf.DUMMYFUNCTION("""COMPUTED_VALUE"""),4306.0)</f>
        <v>4306</v>
      </c>
      <c r="H5544" s="116">
        <f>IFERROR(__xludf.DUMMYFUNCTION("""COMPUTED_VALUE"""),45910.0)</f>
        <v>45910</v>
      </c>
      <c r="I5544" s="115" t="str">
        <f>IFERROR(__xludf.DUMMYFUNCTION("""COMPUTED_VALUE"""),"21")</f>
        <v>21</v>
      </c>
      <c r="J5544" s="115"/>
      <c r="K5544" s="115">
        <f>IFERROR(__xludf.DUMMYFUNCTION("""COMPUTED_VALUE"""),44447.0)</f>
        <v>44447</v>
      </c>
    </row>
    <row r="5545">
      <c r="A5545" s="115" t="str">
        <f>IFERROR(__xludf.DUMMYFUNCTION("""COMPUTED_VALUE"""),"NORTH")</f>
        <v>NORTH</v>
      </c>
      <c r="B5545" s="115" t="str">
        <f>IFERROR(__xludf.DUMMYFUNCTION("""COMPUTED_VALUE"""),"Amit Kumar Pathak")</f>
        <v>Amit Kumar Pathak</v>
      </c>
      <c r="C5545" s="115" t="str">
        <f>IFERROR(__xludf.DUMMYFUNCTION("""COMPUTED_VALUE"""),"EXTERNAL")</f>
        <v>EXTERNAL</v>
      </c>
      <c r="D5545" s="115">
        <f>IFERROR(__xludf.DUMMYFUNCTION("""COMPUTED_VALUE"""),23697.0)</f>
        <v>23697</v>
      </c>
      <c r="E5545" s="115">
        <f>IFERROR(__xludf.DUMMYFUNCTION("""COMPUTED_VALUE"""),4070.0)</f>
        <v>4070</v>
      </c>
      <c r="F5545" s="115">
        <f>IFERROR(__xludf.DUMMYFUNCTION("""COMPUTED_VALUE"""),8838.0)</f>
        <v>8838</v>
      </c>
      <c r="G5545" s="115">
        <f>IFERROR(__xludf.DUMMYFUNCTION("""COMPUTED_VALUE"""),1949.0)</f>
        <v>1949</v>
      </c>
      <c r="H5545" s="116">
        <f>IFERROR(__xludf.DUMMYFUNCTION("""COMPUTED_VALUE"""),45910.0)</f>
        <v>45910</v>
      </c>
      <c r="I5545" s="115" t="str">
        <f>IFERROR(__xludf.DUMMYFUNCTION("""COMPUTED_VALUE"""),"21")</f>
        <v>21</v>
      </c>
      <c r="J5545" s="115"/>
      <c r="K5545" s="115">
        <f>IFERROR(__xludf.DUMMYFUNCTION("""COMPUTED_VALUE"""),27767.0)</f>
        <v>27767</v>
      </c>
    </row>
    <row r="5546">
      <c r="A5546" s="115" t="str">
        <f>IFERROR(__xludf.DUMMYFUNCTION("""COMPUTED_VALUE"""),"NORTH")</f>
        <v>NORTH</v>
      </c>
      <c r="B5546" s="115" t="str">
        <f>IFERROR(__xludf.DUMMYFUNCTION("""COMPUTED_VALUE"""),"Amit Kumar Pathak")</f>
        <v>Amit Kumar Pathak</v>
      </c>
      <c r="C5546" s="115" t="str">
        <f>IFERROR(__xludf.DUMMYFUNCTION("""COMPUTED_VALUE"""),"FLIPKART")</f>
        <v>FLIPKART</v>
      </c>
      <c r="D5546" s="115">
        <f>IFERROR(__xludf.DUMMYFUNCTION("""COMPUTED_VALUE"""),192058.0)</f>
        <v>192058</v>
      </c>
      <c r="E5546" s="115">
        <f>IFERROR(__xludf.DUMMYFUNCTION("""COMPUTED_VALUE"""),23187.0)</f>
        <v>23187</v>
      </c>
      <c r="F5546" s="115">
        <f>IFERROR(__xludf.DUMMYFUNCTION("""COMPUTED_VALUE"""),151069.0)</f>
        <v>151069</v>
      </c>
      <c r="G5546" s="115">
        <f>IFERROR(__xludf.DUMMYFUNCTION("""COMPUTED_VALUE"""),15827.0)</f>
        <v>15827</v>
      </c>
      <c r="H5546" s="116">
        <f>IFERROR(__xludf.DUMMYFUNCTION("""COMPUTED_VALUE"""),45910.0)</f>
        <v>45910</v>
      </c>
      <c r="I5546" s="115" t="str">
        <f>IFERROR(__xludf.DUMMYFUNCTION("""COMPUTED_VALUE"""),"21")</f>
        <v>21</v>
      </c>
      <c r="J5546" s="115"/>
      <c r="K5546" s="115">
        <f>IFERROR(__xludf.DUMMYFUNCTION("""COMPUTED_VALUE"""),215245.0)</f>
        <v>215245</v>
      </c>
    </row>
    <row r="5547">
      <c r="A5547" s="115" t="str">
        <f>IFERROR(__xludf.DUMMYFUNCTION("""COMPUTED_VALUE"""),"NORTH")</f>
        <v>NORTH</v>
      </c>
      <c r="B5547" s="115" t="str">
        <f>IFERROR(__xludf.DUMMYFUNCTION("""COMPUTED_VALUE"""),"Amit Kumar Pathak")</f>
        <v>Amit Kumar Pathak</v>
      </c>
      <c r="C5547" s="115" t="str">
        <f>IFERROR(__xludf.DUMMYFUNCTION("""COMPUTED_VALUE"""),"MYNTRA")</f>
        <v>MYNTRA</v>
      </c>
      <c r="D5547" s="115">
        <f>IFERROR(__xludf.DUMMYFUNCTION("""COMPUTED_VALUE"""),15465.0)</f>
        <v>15465</v>
      </c>
      <c r="E5547" s="115">
        <f>IFERROR(__xludf.DUMMYFUNCTION("""COMPUTED_VALUE"""),5924.0)</f>
        <v>5924</v>
      </c>
      <c r="F5547" s="115">
        <f>IFERROR(__xludf.DUMMYFUNCTION("""COMPUTED_VALUE"""),13272.0)</f>
        <v>13272</v>
      </c>
      <c r="G5547" s="115">
        <f>IFERROR(__xludf.DUMMYFUNCTION("""COMPUTED_VALUE"""),4267.0)</f>
        <v>4267</v>
      </c>
      <c r="H5547" s="116">
        <f>IFERROR(__xludf.DUMMYFUNCTION("""COMPUTED_VALUE"""),45910.0)</f>
        <v>45910</v>
      </c>
      <c r="I5547" s="115" t="str">
        <f>IFERROR(__xludf.DUMMYFUNCTION("""COMPUTED_VALUE"""),"21")</f>
        <v>21</v>
      </c>
      <c r="J5547" s="115"/>
      <c r="K5547" s="115">
        <f>IFERROR(__xludf.DUMMYFUNCTION("""COMPUTED_VALUE"""),21389.0)</f>
        <v>21389</v>
      </c>
    </row>
    <row r="5548">
      <c r="A5548" s="115" t="str">
        <f>IFERROR(__xludf.DUMMYFUNCTION("""COMPUTED_VALUE"""),"NORTH")</f>
        <v>NORTH</v>
      </c>
      <c r="B5548" s="115" t="str">
        <f>IFERROR(__xludf.DUMMYFUNCTION("""COMPUTED_VALUE"""),"Loveleen Singh")</f>
        <v>Loveleen Singh</v>
      </c>
      <c r="C5548" s="115" t="str">
        <f>IFERROR(__xludf.DUMMYFUNCTION("""COMPUTED_VALUE"""),"EXTERNAL")</f>
        <v>EXTERNAL</v>
      </c>
      <c r="D5548" s="115">
        <f>IFERROR(__xludf.DUMMYFUNCTION("""COMPUTED_VALUE"""),30848.0)</f>
        <v>30848</v>
      </c>
      <c r="E5548" s="115">
        <f>IFERROR(__xludf.DUMMYFUNCTION("""COMPUTED_VALUE"""),2752.0)</f>
        <v>2752</v>
      </c>
      <c r="F5548" s="115">
        <f>IFERROR(__xludf.DUMMYFUNCTION("""COMPUTED_VALUE"""),12416.0)</f>
        <v>12416</v>
      </c>
      <c r="G5548" s="115">
        <f>IFERROR(__xludf.DUMMYFUNCTION("""COMPUTED_VALUE"""),970.0)</f>
        <v>970</v>
      </c>
      <c r="H5548" s="116">
        <f>IFERROR(__xludf.DUMMYFUNCTION("""COMPUTED_VALUE"""),45910.0)</f>
        <v>45910</v>
      </c>
      <c r="I5548" s="115" t="str">
        <f>IFERROR(__xludf.DUMMYFUNCTION("""COMPUTED_VALUE"""),"21")</f>
        <v>21</v>
      </c>
      <c r="J5548" s="115"/>
      <c r="K5548" s="115">
        <f>IFERROR(__xludf.DUMMYFUNCTION("""COMPUTED_VALUE"""),33600.0)</f>
        <v>33600</v>
      </c>
    </row>
    <row r="5549">
      <c r="A5549" s="115" t="str">
        <f>IFERROR(__xludf.DUMMYFUNCTION("""COMPUTED_VALUE"""),"NORTH")</f>
        <v>NORTH</v>
      </c>
      <c r="B5549" s="115" t="str">
        <f>IFERROR(__xludf.DUMMYFUNCTION("""COMPUTED_VALUE"""),"Loveleen Singh")</f>
        <v>Loveleen Singh</v>
      </c>
      <c r="C5549" s="115" t="str">
        <f>IFERROR(__xludf.DUMMYFUNCTION("""COMPUTED_VALUE"""),"FLIPKART")</f>
        <v>FLIPKART</v>
      </c>
      <c r="D5549" s="115">
        <f>IFERROR(__xludf.DUMMYFUNCTION("""COMPUTED_VALUE"""),176735.0)</f>
        <v>176735</v>
      </c>
      <c r="E5549" s="115">
        <f>IFERROR(__xludf.DUMMYFUNCTION("""COMPUTED_VALUE"""),15209.0)</f>
        <v>15209</v>
      </c>
      <c r="F5549" s="115">
        <f>IFERROR(__xludf.DUMMYFUNCTION("""COMPUTED_VALUE"""),135252.0)</f>
        <v>135252</v>
      </c>
      <c r="G5549" s="115">
        <f>IFERROR(__xludf.DUMMYFUNCTION("""COMPUTED_VALUE"""),10090.0)</f>
        <v>10090</v>
      </c>
      <c r="H5549" s="116">
        <f>IFERROR(__xludf.DUMMYFUNCTION("""COMPUTED_VALUE"""),45910.0)</f>
        <v>45910</v>
      </c>
      <c r="I5549" s="115" t="str">
        <f>IFERROR(__xludf.DUMMYFUNCTION("""COMPUTED_VALUE"""),"21")</f>
        <v>21</v>
      </c>
      <c r="J5549" s="115"/>
      <c r="K5549" s="115">
        <f>IFERROR(__xludf.DUMMYFUNCTION("""COMPUTED_VALUE"""),191944.0)</f>
        <v>191944</v>
      </c>
    </row>
    <row r="5550">
      <c r="A5550" s="115" t="str">
        <f>IFERROR(__xludf.DUMMYFUNCTION("""COMPUTED_VALUE"""),"NORTH")</f>
        <v>NORTH</v>
      </c>
      <c r="B5550" s="115" t="str">
        <f>IFERROR(__xludf.DUMMYFUNCTION("""COMPUTED_VALUE"""),"Loveleen Singh")</f>
        <v>Loveleen Singh</v>
      </c>
      <c r="C5550" s="115" t="str">
        <f>IFERROR(__xludf.DUMMYFUNCTION("""COMPUTED_VALUE"""),"MYNTRA")</f>
        <v>MYNTRA</v>
      </c>
      <c r="D5550" s="115">
        <f>IFERROR(__xludf.DUMMYFUNCTION("""COMPUTED_VALUE"""),29470.0)</f>
        <v>29470</v>
      </c>
      <c r="E5550" s="115">
        <f>IFERROR(__xludf.DUMMYFUNCTION("""COMPUTED_VALUE"""),7155.0)</f>
        <v>7155</v>
      </c>
      <c r="F5550" s="115">
        <f>IFERROR(__xludf.DUMMYFUNCTION("""COMPUTED_VALUE"""),24546.0)</f>
        <v>24546</v>
      </c>
      <c r="G5550" s="115">
        <f>IFERROR(__xludf.DUMMYFUNCTION("""COMPUTED_VALUE"""),5197.0)</f>
        <v>5197</v>
      </c>
      <c r="H5550" s="116">
        <f>IFERROR(__xludf.DUMMYFUNCTION("""COMPUTED_VALUE"""),45910.0)</f>
        <v>45910</v>
      </c>
      <c r="I5550" s="115" t="str">
        <f>IFERROR(__xludf.DUMMYFUNCTION("""COMPUTED_VALUE"""),"21")</f>
        <v>21</v>
      </c>
      <c r="J5550" s="115"/>
      <c r="K5550" s="115">
        <f>IFERROR(__xludf.DUMMYFUNCTION("""COMPUTED_VALUE"""),36625.0)</f>
        <v>36625</v>
      </c>
    </row>
    <row r="5551">
      <c r="A5551" s="115" t="str">
        <f>IFERROR(__xludf.DUMMYFUNCTION("""COMPUTED_VALUE"""),"NORTH")</f>
        <v>NORTH</v>
      </c>
      <c r="B5551" s="115" t="str">
        <f>IFERROR(__xludf.DUMMYFUNCTION("""COMPUTED_VALUE"""),"Manoj Harsh")</f>
        <v>Manoj Harsh</v>
      </c>
      <c r="C5551" s="115" t="str">
        <f>IFERROR(__xludf.DUMMYFUNCTION("""COMPUTED_VALUE"""),"EXTERNAL")</f>
        <v>EXTERNAL</v>
      </c>
      <c r="D5551" s="115">
        <f>IFERROR(__xludf.DUMMYFUNCTION("""COMPUTED_VALUE"""),31404.0)</f>
        <v>31404</v>
      </c>
      <c r="E5551" s="115">
        <f>IFERROR(__xludf.DUMMYFUNCTION("""COMPUTED_VALUE"""),3531.0)</f>
        <v>3531</v>
      </c>
      <c r="F5551" s="115">
        <f>IFERROR(__xludf.DUMMYFUNCTION("""COMPUTED_VALUE"""),14078.0)</f>
        <v>14078</v>
      </c>
      <c r="G5551" s="115">
        <f>IFERROR(__xludf.DUMMYFUNCTION("""COMPUTED_VALUE"""),1271.0)</f>
        <v>1271</v>
      </c>
      <c r="H5551" s="116">
        <f>IFERROR(__xludf.DUMMYFUNCTION("""COMPUTED_VALUE"""),45910.0)</f>
        <v>45910</v>
      </c>
      <c r="I5551" s="115" t="str">
        <f>IFERROR(__xludf.DUMMYFUNCTION("""COMPUTED_VALUE"""),"21")</f>
        <v>21</v>
      </c>
      <c r="J5551" s="115"/>
      <c r="K5551" s="115">
        <f>IFERROR(__xludf.DUMMYFUNCTION("""COMPUTED_VALUE"""),34935.0)</f>
        <v>34935</v>
      </c>
    </row>
    <row r="5552">
      <c r="A5552" s="115" t="str">
        <f>IFERROR(__xludf.DUMMYFUNCTION("""COMPUTED_VALUE"""),"NORTH")</f>
        <v>NORTH</v>
      </c>
      <c r="B5552" s="115" t="str">
        <f>IFERROR(__xludf.DUMMYFUNCTION("""COMPUTED_VALUE"""),"Manoj Harsh")</f>
        <v>Manoj Harsh</v>
      </c>
      <c r="C5552" s="115" t="str">
        <f>IFERROR(__xludf.DUMMYFUNCTION("""COMPUTED_VALUE"""),"FLIPKART")</f>
        <v>FLIPKART</v>
      </c>
      <c r="D5552" s="115">
        <f>IFERROR(__xludf.DUMMYFUNCTION("""COMPUTED_VALUE"""),378591.0)</f>
        <v>378591</v>
      </c>
      <c r="E5552" s="115">
        <f>IFERROR(__xludf.DUMMYFUNCTION("""COMPUTED_VALUE"""),40280.0)</f>
        <v>40280</v>
      </c>
      <c r="F5552" s="115">
        <f>IFERROR(__xludf.DUMMYFUNCTION("""COMPUTED_VALUE"""),285053.0)</f>
        <v>285053</v>
      </c>
      <c r="G5552" s="115">
        <f>IFERROR(__xludf.DUMMYFUNCTION("""COMPUTED_VALUE"""),27288.0)</f>
        <v>27288</v>
      </c>
      <c r="H5552" s="116">
        <f>IFERROR(__xludf.DUMMYFUNCTION("""COMPUTED_VALUE"""),45910.0)</f>
        <v>45910</v>
      </c>
      <c r="I5552" s="115" t="str">
        <f>IFERROR(__xludf.DUMMYFUNCTION("""COMPUTED_VALUE"""),"21")</f>
        <v>21</v>
      </c>
      <c r="J5552" s="115"/>
      <c r="K5552" s="115">
        <f>IFERROR(__xludf.DUMMYFUNCTION("""COMPUTED_VALUE"""),418871.0)</f>
        <v>418871</v>
      </c>
    </row>
    <row r="5553">
      <c r="A5553" s="115" t="str">
        <f>IFERROR(__xludf.DUMMYFUNCTION("""COMPUTED_VALUE"""),"NORTH")</f>
        <v>NORTH</v>
      </c>
      <c r="B5553" s="115" t="str">
        <f>IFERROR(__xludf.DUMMYFUNCTION("""COMPUTED_VALUE"""),"Manoj Harsh")</f>
        <v>Manoj Harsh</v>
      </c>
      <c r="C5553" s="115" t="str">
        <f>IFERROR(__xludf.DUMMYFUNCTION("""COMPUTED_VALUE"""),"MYNTRA")</f>
        <v>MYNTRA</v>
      </c>
      <c r="D5553" s="115">
        <f>IFERROR(__xludf.DUMMYFUNCTION("""COMPUTED_VALUE"""),32377.0)</f>
        <v>32377</v>
      </c>
      <c r="E5553" s="115">
        <f>IFERROR(__xludf.DUMMYFUNCTION("""COMPUTED_VALUE"""),8141.0)</f>
        <v>8141</v>
      </c>
      <c r="F5553" s="115">
        <f>IFERROR(__xludf.DUMMYFUNCTION("""COMPUTED_VALUE"""),25952.0)</f>
        <v>25952</v>
      </c>
      <c r="G5553" s="115">
        <f>IFERROR(__xludf.DUMMYFUNCTION("""COMPUTED_VALUE"""),6085.0)</f>
        <v>6085</v>
      </c>
      <c r="H5553" s="116">
        <f>IFERROR(__xludf.DUMMYFUNCTION("""COMPUTED_VALUE"""),45910.0)</f>
        <v>45910</v>
      </c>
      <c r="I5553" s="115" t="str">
        <f>IFERROR(__xludf.DUMMYFUNCTION("""COMPUTED_VALUE"""),"21")</f>
        <v>21</v>
      </c>
      <c r="J5553" s="115"/>
      <c r="K5553" s="115">
        <f>IFERROR(__xludf.DUMMYFUNCTION("""COMPUTED_VALUE"""),40518.0)</f>
        <v>40518</v>
      </c>
    </row>
    <row r="5554">
      <c r="A5554" s="115" t="str">
        <f>IFERROR(__xludf.DUMMYFUNCTION("""COMPUTED_VALUE"""),"NORTH")</f>
        <v>NORTH</v>
      </c>
      <c r="B5554" s="115" t="str">
        <f>IFERROR(__xludf.DUMMYFUNCTION("""COMPUTED_VALUE"""),"Pradeep Kothari")</f>
        <v>Pradeep Kothari</v>
      </c>
      <c r="C5554" s="115" t="str">
        <f>IFERROR(__xludf.DUMMYFUNCTION("""COMPUTED_VALUE"""),"EXTERNAL")</f>
        <v>EXTERNAL</v>
      </c>
      <c r="D5554" s="115">
        <f>IFERROR(__xludf.DUMMYFUNCTION("""COMPUTED_VALUE"""),18110.0)</f>
        <v>18110</v>
      </c>
      <c r="E5554" s="115">
        <f>IFERROR(__xludf.DUMMYFUNCTION("""COMPUTED_VALUE"""),2378.0)</f>
        <v>2378</v>
      </c>
      <c r="F5554" s="115">
        <f>IFERROR(__xludf.DUMMYFUNCTION("""COMPUTED_VALUE"""),7590.0)</f>
        <v>7590</v>
      </c>
      <c r="G5554" s="115">
        <f>IFERROR(__xludf.DUMMYFUNCTION("""COMPUTED_VALUE"""),952.0)</f>
        <v>952</v>
      </c>
      <c r="H5554" s="116">
        <f>IFERROR(__xludf.DUMMYFUNCTION("""COMPUTED_VALUE"""),45910.0)</f>
        <v>45910</v>
      </c>
      <c r="I5554" s="115" t="str">
        <f>IFERROR(__xludf.DUMMYFUNCTION("""COMPUTED_VALUE"""),"21")</f>
        <v>21</v>
      </c>
      <c r="J5554" s="115"/>
      <c r="K5554" s="115">
        <f>IFERROR(__xludf.DUMMYFUNCTION("""COMPUTED_VALUE"""),20488.0)</f>
        <v>20488</v>
      </c>
    </row>
    <row r="5555">
      <c r="A5555" s="115" t="str">
        <f>IFERROR(__xludf.DUMMYFUNCTION("""COMPUTED_VALUE"""),"NORTH")</f>
        <v>NORTH</v>
      </c>
      <c r="B5555" s="115" t="str">
        <f>IFERROR(__xludf.DUMMYFUNCTION("""COMPUTED_VALUE"""),"Pradeep Kothari")</f>
        <v>Pradeep Kothari</v>
      </c>
      <c r="C5555" s="115" t="str">
        <f>IFERROR(__xludf.DUMMYFUNCTION("""COMPUTED_VALUE"""),"FLIPKART")</f>
        <v>FLIPKART</v>
      </c>
      <c r="D5555" s="115">
        <f>IFERROR(__xludf.DUMMYFUNCTION("""COMPUTED_VALUE"""),147249.0)</f>
        <v>147249</v>
      </c>
      <c r="E5555" s="115">
        <f>IFERROR(__xludf.DUMMYFUNCTION("""COMPUTED_VALUE"""),16794.0)</f>
        <v>16794</v>
      </c>
      <c r="F5555" s="115">
        <f>IFERROR(__xludf.DUMMYFUNCTION("""COMPUTED_VALUE"""),114489.0)</f>
        <v>114489</v>
      </c>
      <c r="G5555" s="115">
        <f>IFERROR(__xludf.DUMMYFUNCTION("""COMPUTED_VALUE"""),11705.0)</f>
        <v>11705</v>
      </c>
      <c r="H5555" s="116">
        <f>IFERROR(__xludf.DUMMYFUNCTION("""COMPUTED_VALUE"""),45910.0)</f>
        <v>45910</v>
      </c>
      <c r="I5555" s="115" t="str">
        <f>IFERROR(__xludf.DUMMYFUNCTION("""COMPUTED_VALUE"""),"21")</f>
        <v>21</v>
      </c>
      <c r="J5555" s="115"/>
      <c r="K5555" s="115">
        <f>IFERROR(__xludf.DUMMYFUNCTION("""COMPUTED_VALUE"""),164043.0)</f>
        <v>164043</v>
      </c>
    </row>
    <row r="5556">
      <c r="A5556" s="115" t="str">
        <f>IFERROR(__xludf.DUMMYFUNCTION("""COMPUTED_VALUE"""),"NORTH")</f>
        <v>NORTH</v>
      </c>
      <c r="B5556" s="115" t="str">
        <f>IFERROR(__xludf.DUMMYFUNCTION("""COMPUTED_VALUE"""),"Pradeep Kothari")</f>
        <v>Pradeep Kothari</v>
      </c>
      <c r="C5556" s="115" t="str">
        <f>IFERROR(__xludf.DUMMYFUNCTION("""COMPUTED_VALUE"""),"MYNTRA")</f>
        <v>MYNTRA</v>
      </c>
      <c r="D5556" s="115">
        <f>IFERROR(__xludf.DUMMYFUNCTION("""COMPUTED_VALUE"""),23257.0)</f>
        <v>23257</v>
      </c>
      <c r="E5556" s="115">
        <f>IFERROR(__xludf.DUMMYFUNCTION("""COMPUTED_VALUE"""),7211.0)</f>
        <v>7211</v>
      </c>
      <c r="F5556" s="115">
        <f>IFERROR(__xludf.DUMMYFUNCTION("""COMPUTED_VALUE"""),19427.0)</f>
        <v>19427</v>
      </c>
      <c r="G5556" s="115">
        <f>IFERROR(__xludf.DUMMYFUNCTION("""COMPUTED_VALUE"""),5543.0)</f>
        <v>5543</v>
      </c>
      <c r="H5556" s="116">
        <f>IFERROR(__xludf.DUMMYFUNCTION("""COMPUTED_VALUE"""),45910.0)</f>
        <v>45910</v>
      </c>
      <c r="I5556" s="115" t="str">
        <f>IFERROR(__xludf.DUMMYFUNCTION("""COMPUTED_VALUE"""),"21")</f>
        <v>21</v>
      </c>
      <c r="J5556" s="115"/>
      <c r="K5556" s="115">
        <f>IFERROR(__xludf.DUMMYFUNCTION("""COMPUTED_VALUE"""),30468.0)</f>
        <v>30468</v>
      </c>
    </row>
    <row r="5557">
      <c r="A5557" s="115" t="str">
        <f>IFERROR(__xludf.DUMMYFUNCTION("""COMPUTED_VALUE"""),"SOUTH")</f>
        <v>SOUTH</v>
      </c>
      <c r="B5557" s="115" t="str">
        <f>IFERROR(__xludf.DUMMYFUNCTION("""COMPUTED_VALUE"""),"0")</f>
        <v>0</v>
      </c>
      <c r="C5557" s="115" t="str">
        <f>IFERROR(__xludf.DUMMYFUNCTION("""COMPUTED_VALUE"""),"EXTERNAL")</f>
        <v>EXTERNAL</v>
      </c>
      <c r="D5557" s="115">
        <f>IFERROR(__xludf.DUMMYFUNCTION("""COMPUTED_VALUE"""),2.0)</f>
        <v>2</v>
      </c>
      <c r="E5557" s="115">
        <f>IFERROR(__xludf.DUMMYFUNCTION("""COMPUTED_VALUE"""),0.0)</f>
        <v>0</v>
      </c>
      <c r="F5557" s="115">
        <f>IFERROR(__xludf.DUMMYFUNCTION("""COMPUTED_VALUE"""),1.0)</f>
        <v>1</v>
      </c>
      <c r="G5557" s="115">
        <f>IFERROR(__xludf.DUMMYFUNCTION("""COMPUTED_VALUE"""),0.0)</f>
        <v>0</v>
      </c>
      <c r="H5557" s="116">
        <f>IFERROR(__xludf.DUMMYFUNCTION("""COMPUTED_VALUE"""),45910.0)</f>
        <v>45910</v>
      </c>
      <c r="I5557" s="115" t="str">
        <f>IFERROR(__xludf.DUMMYFUNCTION("""COMPUTED_VALUE"""),"21")</f>
        <v>21</v>
      </c>
      <c r="J5557" s="115"/>
      <c r="K5557" s="115">
        <f>IFERROR(__xludf.DUMMYFUNCTION("""COMPUTED_VALUE"""),2.0)</f>
        <v>2</v>
      </c>
    </row>
    <row r="5558">
      <c r="A5558" s="115" t="str">
        <f>IFERROR(__xludf.DUMMYFUNCTION("""COMPUTED_VALUE"""),"SOUTH")</f>
        <v>SOUTH</v>
      </c>
      <c r="B5558" s="115" t="str">
        <f>IFERROR(__xludf.DUMMYFUNCTION("""COMPUTED_VALUE"""),"0")</f>
        <v>0</v>
      </c>
      <c r="C5558" s="115" t="str">
        <f>IFERROR(__xludf.DUMMYFUNCTION("""COMPUTED_VALUE"""),"FLIPKART")</f>
        <v>FLIPKART</v>
      </c>
      <c r="D5558" s="115">
        <f>IFERROR(__xludf.DUMMYFUNCTION("""COMPUTED_VALUE"""),78.0)</f>
        <v>78</v>
      </c>
      <c r="E5558" s="115">
        <f>IFERROR(__xludf.DUMMYFUNCTION("""COMPUTED_VALUE"""),12.0)</f>
        <v>12</v>
      </c>
      <c r="F5558" s="115">
        <f>IFERROR(__xludf.DUMMYFUNCTION("""COMPUTED_VALUE"""),60.0)</f>
        <v>60</v>
      </c>
      <c r="G5558" s="115">
        <f>IFERROR(__xludf.DUMMYFUNCTION("""COMPUTED_VALUE"""),5.0)</f>
        <v>5</v>
      </c>
      <c r="H5558" s="116">
        <f>IFERROR(__xludf.DUMMYFUNCTION("""COMPUTED_VALUE"""),45910.0)</f>
        <v>45910</v>
      </c>
      <c r="I5558" s="115" t="str">
        <f>IFERROR(__xludf.DUMMYFUNCTION("""COMPUTED_VALUE"""),"21")</f>
        <v>21</v>
      </c>
      <c r="J5558" s="115"/>
      <c r="K5558" s="115">
        <f>IFERROR(__xludf.DUMMYFUNCTION("""COMPUTED_VALUE"""),90.0)</f>
        <v>90</v>
      </c>
    </row>
    <row r="5559">
      <c r="A5559" s="115" t="str">
        <f>IFERROR(__xludf.DUMMYFUNCTION("""COMPUTED_VALUE"""),"SOUTH")</f>
        <v>SOUTH</v>
      </c>
      <c r="B5559" s="115" t="str">
        <f>IFERROR(__xludf.DUMMYFUNCTION("""COMPUTED_VALUE"""),"0")</f>
        <v>0</v>
      </c>
      <c r="C5559" s="115" t="str">
        <f>IFERROR(__xludf.DUMMYFUNCTION("""COMPUTED_VALUE"""),"MYNTRA")</f>
        <v>MYNTRA</v>
      </c>
      <c r="D5559" s="115">
        <f>IFERROR(__xludf.DUMMYFUNCTION("""COMPUTED_VALUE"""),14.0)</f>
        <v>14</v>
      </c>
      <c r="E5559" s="115">
        <f>IFERROR(__xludf.DUMMYFUNCTION("""COMPUTED_VALUE"""),9.0)</f>
        <v>9</v>
      </c>
      <c r="F5559" s="115">
        <f>IFERROR(__xludf.DUMMYFUNCTION("""COMPUTED_VALUE"""),11.0)</f>
        <v>11</v>
      </c>
      <c r="G5559" s="115">
        <f>IFERROR(__xludf.DUMMYFUNCTION("""COMPUTED_VALUE"""),3.0)</f>
        <v>3</v>
      </c>
      <c r="H5559" s="116">
        <f>IFERROR(__xludf.DUMMYFUNCTION("""COMPUTED_VALUE"""),45910.0)</f>
        <v>45910</v>
      </c>
      <c r="I5559" s="115" t="str">
        <f>IFERROR(__xludf.DUMMYFUNCTION("""COMPUTED_VALUE"""),"21")</f>
        <v>21</v>
      </c>
      <c r="J5559" s="115"/>
      <c r="K5559" s="115">
        <f>IFERROR(__xludf.DUMMYFUNCTION("""COMPUTED_VALUE"""),23.0)</f>
        <v>23</v>
      </c>
    </row>
    <row r="5560">
      <c r="A5560" s="115" t="str">
        <f>IFERROR(__xludf.DUMMYFUNCTION("""COMPUTED_VALUE"""),"SOUTH")</f>
        <v>SOUTH</v>
      </c>
      <c r="B5560" s="115" t="str">
        <f>IFERROR(__xludf.DUMMYFUNCTION("""COMPUTED_VALUE"""),"Kandula Sampath")</f>
        <v>Kandula Sampath</v>
      </c>
      <c r="C5560" s="115" t="str">
        <f>IFERROR(__xludf.DUMMYFUNCTION("""COMPUTED_VALUE"""),"EXTERNAL")</f>
        <v>EXTERNAL</v>
      </c>
      <c r="D5560" s="115">
        <f>IFERROR(__xludf.DUMMYFUNCTION("""COMPUTED_VALUE"""),30960.0)</f>
        <v>30960</v>
      </c>
      <c r="E5560" s="115">
        <f>IFERROR(__xludf.DUMMYFUNCTION("""COMPUTED_VALUE"""),4296.0)</f>
        <v>4296</v>
      </c>
      <c r="F5560" s="115">
        <f>IFERROR(__xludf.DUMMYFUNCTION("""COMPUTED_VALUE"""),13943.0)</f>
        <v>13943</v>
      </c>
      <c r="G5560" s="115">
        <f>IFERROR(__xludf.DUMMYFUNCTION("""COMPUTED_VALUE"""),1761.0)</f>
        <v>1761</v>
      </c>
      <c r="H5560" s="116">
        <f>IFERROR(__xludf.DUMMYFUNCTION("""COMPUTED_VALUE"""),45910.0)</f>
        <v>45910</v>
      </c>
      <c r="I5560" s="115" t="str">
        <f>IFERROR(__xludf.DUMMYFUNCTION("""COMPUTED_VALUE"""),"21")</f>
        <v>21</v>
      </c>
      <c r="J5560" s="115"/>
      <c r="K5560" s="115">
        <f>IFERROR(__xludf.DUMMYFUNCTION("""COMPUTED_VALUE"""),35256.0)</f>
        <v>35256</v>
      </c>
    </row>
    <row r="5561">
      <c r="A5561" s="115" t="str">
        <f>IFERROR(__xludf.DUMMYFUNCTION("""COMPUTED_VALUE"""),"SOUTH")</f>
        <v>SOUTH</v>
      </c>
      <c r="B5561" s="115" t="str">
        <f>IFERROR(__xludf.DUMMYFUNCTION("""COMPUTED_VALUE"""),"Kandula Sampath")</f>
        <v>Kandula Sampath</v>
      </c>
      <c r="C5561" s="115" t="str">
        <f>IFERROR(__xludf.DUMMYFUNCTION("""COMPUTED_VALUE"""),"FLIPKART")</f>
        <v>FLIPKART</v>
      </c>
      <c r="D5561" s="115">
        <f>IFERROR(__xludf.DUMMYFUNCTION("""COMPUTED_VALUE"""),319309.0)</f>
        <v>319309</v>
      </c>
      <c r="E5561" s="115">
        <f>IFERROR(__xludf.DUMMYFUNCTION("""COMPUTED_VALUE"""),32169.0)</f>
        <v>32169</v>
      </c>
      <c r="F5561" s="115">
        <f>IFERROR(__xludf.DUMMYFUNCTION("""COMPUTED_VALUE"""),241358.0)</f>
        <v>241358</v>
      </c>
      <c r="G5561" s="115">
        <f>IFERROR(__xludf.DUMMYFUNCTION("""COMPUTED_VALUE"""),20241.0)</f>
        <v>20241</v>
      </c>
      <c r="H5561" s="116">
        <f>IFERROR(__xludf.DUMMYFUNCTION("""COMPUTED_VALUE"""),45910.0)</f>
        <v>45910</v>
      </c>
      <c r="I5561" s="115" t="str">
        <f>IFERROR(__xludf.DUMMYFUNCTION("""COMPUTED_VALUE"""),"21")</f>
        <v>21</v>
      </c>
      <c r="J5561" s="115"/>
      <c r="K5561" s="115">
        <f>IFERROR(__xludf.DUMMYFUNCTION("""COMPUTED_VALUE"""),351478.0)</f>
        <v>351478</v>
      </c>
    </row>
    <row r="5562">
      <c r="A5562" s="115" t="str">
        <f>IFERROR(__xludf.DUMMYFUNCTION("""COMPUTED_VALUE"""),"SOUTH")</f>
        <v>SOUTH</v>
      </c>
      <c r="B5562" s="115" t="str">
        <f>IFERROR(__xludf.DUMMYFUNCTION("""COMPUTED_VALUE"""),"Kandula Sampath")</f>
        <v>Kandula Sampath</v>
      </c>
      <c r="C5562" s="115" t="str">
        <f>IFERROR(__xludf.DUMMYFUNCTION("""COMPUTED_VALUE"""),"MYNTRA")</f>
        <v>MYNTRA</v>
      </c>
      <c r="D5562" s="115">
        <f>IFERROR(__xludf.DUMMYFUNCTION("""COMPUTED_VALUE"""),35254.0)</f>
        <v>35254</v>
      </c>
      <c r="E5562" s="115">
        <f>IFERROR(__xludf.DUMMYFUNCTION("""COMPUTED_VALUE"""),9752.0)</f>
        <v>9752</v>
      </c>
      <c r="F5562" s="115">
        <f>IFERROR(__xludf.DUMMYFUNCTION("""COMPUTED_VALUE"""),28895.0)</f>
        <v>28895</v>
      </c>
      <c r="G5562" s="115">
        <f>IFERROR(__xludf.DUMMYFUNCTION("""COMPUTED_VALUE"""),6411.0)</f>
        <v>6411</v>
      </c>
      <c r="H5562" s="116">
        <f>IFERROR(__xludf.DUMMYFUNCTION("""COMPUTED_VALUE"""),45910.0)</f>
        <v>45910</v>
      </c>
      <c r="I5562" s="115" t="str">
        <f>IFERROR(__xludf.DUMMYFUNCTION("""COMPUTED_VALUE"""),"21")</f>
        <v>21</v>
      </c>
      <c r="J5562" s="115"/>
      <c r="K5562" s="115">
        <f>IFERROR(__xludf.DUMMYFUNCTION("""COMPUTED_VALUE"""),45006.0)</f>
        <v>45006</v>
      </c>
    </row>
    <row r="5563">
      <c r="A5563" s="115" t="str">
        <f>IFERROR(__xludf.DUMMYFUNCTION("""COMPUTED_VALUE"""),"SOUTH")</f>
        <v>SOUTH</v>
      </c>
      <c r="B5563" s="115" t="str">
        <f>IFERROR(__xludf.DUMMYFUNCTION("""COMPUTED_VALUE"""),"Martin A")</f>
        <v>Martin A</v>
      </c>
      <c r="C5563" s="115" t="str">
        <f>IFERROR(__xludf.DUMMYFUNCTION("""COMPUTED_VALUE"""),"EXTERNAL")</f>
        <v>EXTERNAL</v>
      </c>
      <c r="D5563" s="115">
        <f>IFERROR(__xludf.DUMMYFUNCTION("""COMPUTED_VALUE"""),32559.0)</f>
        <v>32559</v>
      </c>
      <c r="E5563" s="115">
        <f>IFERROR(__xludf.DUMMYFUNCTION("""COMPUTED_VALUE"""),4274.0)</f>
        <v>4274</v>
      </c>
      <c r="F5563" s="115">
        <f>IFERROR(__xludf.DUMMYFUNCTION("""COMPUTED_VALUE"""),14788.0)</f>
        <v>14788</v>
      </c>
      <c r="G5563" s="115">
        <f>IFERROR(__xludf.DUMMYFUNCTION("""COMPUTED_VALUE"""),2230.0)</f>
        <v>2230</v>
      </c>
      <c r="H5563" s="116">
        <f>IFERROR(__xludf.DUMMYFUNCTION("""COMPUTED_VALUE"""),45910.0)</f>
        <v>45910</v>
      </c>
      <c r="I5563" s="115" t="str">
        <f>IFERROR(__xludf.DUMMYFUNCTION("""COMPUTED_VALUE"""),"21")</f>
        <v>21</v>
      </c>
      <c r="J5563" s="115"/>
      <c r="K5563" s="115">
        <f>IFERROR(__xludf.DUMMYFUNCTION("""COMPUTED_VALUE"""),36833.0)</f>
        <v>36833</v>
      </c>
    </row>
    <row r="5564">
      <c r="A5564" s="115" t="str">
        <f>IFERROR(__xludf.DUMMYFUNCTION("""COMPUTED_VALUE"""),"SOUTH")</f>
        <v>SOUTH</v>
      </c>
      <c r="B5564" s="115" t="str">
        <f>IFERROR(__xludf.DUMMYFUNCTION("""COMPUTED_VALUE"""),"Martin A")</f>
        <v>Martin A</v>
      </c>
      <c r="C5564" s="115" t="str">
        <f>IFERROR(__xludf.DUMMYFUNCTION("""COMPUTED_VALUE"""),"FLIPKART")</f>
        <v>FLIPKART</v>
      </c>
      <c r="D5564" s="115">
        <f>IFERROR(__xludf.DUMMYFUNCTION("""COMPUTED_VALUE"""),303155.0)</f>
        <v>303155</v>
      </c>
      <c r="E5564" s="115">
        <f>IFERROR(__xludf.DUMMYFUNCTION("""COMPUTED_VALUE"""),28233.0)</f>
        <v>28233</v>
      </c>
      <c r="F5564" s="115">
        <f>IFERROR(__xludf.DUMMYFUNCTION("""COMPUTED_VALUE"""),229753.0)</f>
        <v>229753</v>
      </c>
      <c r="G5564" s="115">
        <f>IFERROR(__xludf.DUMMYFUNCTION("""COMPUTED_VALUE"""),18304.0)</f>
        <v>18304</v>
      </c>
      <c r="H5564" s="116">
        <f>IFERROR(__xludf.DUMMYFUNCTION("""COMPUTED_VALUE"""),45910.0)</f>
        <v>45910</v>
      </c>
      <c r="I5564" s="115" t="str">
        <f>IFERROR(__xludf.DUMMYFUNCTION("""COMPUTED_VALUE"""),"21")</f>
        <v>21</v>
      </c>
      <c r="J5564" s="115"/>
      <c r="K5564" s="115">
        <f>IFERROR(__xludf.DUMMYFUNCTION("""COMPUTED_VALUE"""),331388.0)</f>
        <v>331388</v>
      </c>
    </row>
    <row r="5565">
      <c r="A5565" s="115" t="str">
        <f>IFERROR(__xludf.DUMMYFUNCTION("""COMPUTED_VALUE"""),"SOUTH")</f>
        <v>SOUTH</v>
      </c>
      <c r="B5565" s="115" t="str">
        <f>IFERROR(__xludf.DUMMYFUNCTION("""COMPUTED_VALUE"""),"Martin A")</f>
        <v>Martin A</v>
      </c>
      <c r="C5565" s="115" t="str">
        <f>IFERROR(__xludf.DUMMYFUNCTION("""COMPUTED_VALUE"""),"MYNTRA")</f>
        <v>MYNTRA</v>
      </c>
      <c r="D5565" s="115">
        <f>IFERROR(__xludf.DUMMYFUNCTION("""COMPUTED_VALUE"""),29478.0)</f>
        <v>29478</v>
      </c>
      <c r="E5565" s="115">
        <f>IFERROR(__xludf.DUMMYFUNCTION("""COMPUTED_VALUE"""),7261.0)</f>
        <v>7261</v>
      </c>
      <c r="F5565" s="115">
        <f>IFERROR(__xludf.DUMMYFUNCTION("""COMPUTED_VALUE"""),25130.0)</f>
        <v>25130</v>
      </c>
      <c r="G5565" s="115">
        <f>IFERROR(__xludf.DUMMYFUNCTION("""COMPUTED_VALUE"""),5031.0)</f>
        <v>5031</v>
      </c>
      <c r="H5565" s="116">
        <f>IFERROR(__xludf.DUMMYFUNCTION("""COMPUTED_VALUE"""),45910.0)</f>
        <v>45910</v>
      </c>
      <c r="I5565" s="115" t="str">
        <f>IFERROR(__xludf.DUMMYFUNCTION("""COMPUTED_VALUE"""),"21")</f>
        <v>21</v>
      </c>
      <c r="J5565" s="115"/>
      <c r="K5565" s="115">
        <f>IFERROR(__xludf.DUMMYFUNCTION("""COMPUTED_VALUE"""),36739.0)</f>
        <v>36739</v>
      </c>
    </row>
    <row r="5566">
      <c r="A5566" s="115" t="str">
        <f>IFERROR(__xludf.DUMMYFUNCTION("""COMPUTED_VALUE"""),"SOUTH")</f>
        <v>SOUTH</v>
      </c>
      <c r="B5566" s="115" t="str">
        <f>IFERROR(__xludf.DUMMYFUNCTION("""COMPUTED_VALUE"""),"Premkumar M")</f>
        <v>Premkumar M</v>
      </c>
      <c r="C5566" s="115" t="str">
        <f>IFERROR(__xludf.DUMMYFUNCTION("""COMPUTED_VALUE"""),"EXTERNAL")</f>
        <v>EXTERNAL</v>
      </c>
      <c r="D5566" s="115">
        <f>IFERROR(__xludf.DUMMYFUNCTION("""COMPUTED_VALUE"""),25975.0)</f>
        <v>25975</v>
      </c>
      <c r="E5566" s="115">
        <f>IFERROR(__xludf.DUMMYFUNCTION("""COMPUTED_VALUE"""),2149.0)</f>
        <v>2149</v>
      </c>
      <c r="F5566" s="115">
        <f>IFERROR(__xludf.DUMMYFUNCTION("""COMPUTED_VALUE"""),13265.0)</f>
        <v>13265</v>
      </c>
      <c r="G5566" s="115">
        <f>IFERROR(__xludf.DUMMYFUNCTION("""COMPUTED_VALUE"""),862.0)</f>
        <v>862</v>
      </c>
      <c r="H5566" s="116">
        <f>IFERROR(__xludf.DUMMYFUNCTION("""COMPUTED_VALUE"""),45910.0)</f>
        <v>45910</v>
      </c>
      <c r="I5566" s="115" t="str">
        <f>IFERROR(__xludf.DUMMYFUNCTION("""COMPUTED_VALUE"""),"21")</f>
        <v>21</v>
      </c>
      <c r="J5566" s="115"/>
      <c r="K5566" s="115">
        <f>IFERROR(__xludf.DUMMYFUNCTION("""COMPUTED_VALUE"""),28124.0)</f>
        <v>28124</v>
      </c>
    </row>
    <row r="5567">
      <c r="A5567" s="115" t="str">
        <f>IFERROR(__xludf.DUMMYFUNCTION("""COMPUTED_VALUE"""),"SOUTH")</f>
        <v>SOUTH</v>
      </c>
      <c r="B5567" s="115" t="str">
        <f>IFERROR(__xludf.DUMMYFUNCTION("""COMPUTED_VALUE"""),"Premkumar M")</f>
        <v>Premkumar M</v>
      </c>
      <c r="C5567" s="115" t="str">
        <f>IFERROR(__xludf.DUMMYFUNCTION("""COMPUTED_VALUE"""),"FLIPKART")</f>
        <v>FLIPKART</v>
      </c>
      <c r="D5567" s="115">
        <f>IFERROR(__xludf.DUMMYFUNCTION("""COMPUTED_VALUE"""),277358.0)</f>
        <v>277358</v>
      </c>
      <c r="E5567" s="115">
        <f>IFERROR(__xludf.DUMMYFUNCTION("""COMPUTED_VALUE"""),19131.0)</f>
        <v>19131</v>
      </c>
      <c r="F5567" s="115">
        <f>IFERROR(__xludf.DUMMYFUNCTION("""COMPUTED_VALUE"""),216258.0)</f>
        <v>216258</v>
      </c>
      <c r="G5567" s="115">
        <f>IFERROR(__xludf.DUMMYFUNCTION("""COMPUTED_VALUE"""),10146.0)</f>
        <v>10146</v>
      </c>
      <c r="H5567" s="116">
        <f>IFERROR(__xludf.DUMMYFUNCTION("""COMPUTED_VALUE"""),45910.0)</f>
        <v>45910</v>
      </c>
      <c r="I5567" s="115" t="str">
        <f>IFERROR(__xludf.DUMMYFUNCTION("""COMPUTED_VALUE"""),"21")</f>
        <v>21</v>
      </c>
      <c r="J5567" s="115"/>
      <c r="K5567" s="115">
        <f>IFERROR(__xludf.DUMMYFUNCTION("""COMPUTED_VALUE"""),296489.0)</f>
        <v>296489</v>
      </c>
    </row>
    <row r="5568">
      <c r="A5568" s="115" t="str">
        <f>IFERROR(__xludf.DUMMYFUNCTION("""COMPUTED_VALUE"""),"SOUTH")</f>
        <v>SOUTH</v>
      </c>
      <c r="B5568" s="115" t="str">
        <f>IFERROR(__xludf.DUMMYFUNCTION("""COMPUTED_VALUE"""),"Premkumar M")</f>
        <v>Premkumar M</v>
      </c>
      <c r="C5568" s="115" t="str">
        <f>IFERROR(__xludf.DUMMYFUNCTION("""COMPUTED_VALUE"""),"MYNTRA")</f>
        <v>MYNTRA</v>
      </c>
      <c r="D5568" s="115">
        <f>IFERROR(__xludf.DUMMYFUNCTION("""COMPUTED_VALUE"""),14108.0)</f>
        <v>14108</v>
      </c>
      <c r="E5568" s="115">
        <f>IFERROR(__xludf.DUMMYFUNCTION("""COMPUTED_VALUE"""),3072.0)</f>
        <v>3072</v>
      </c>
      <c r="F5568" s="115">
        <f>IFERROR(__xludf.DUMMYFUNCTION("""COMPUTED_VALUE"""),11938.0)</f>
        <v>11938</v>
      </c>
      <c r="G5568" s="115">
        <f>IFERROR(__xludf.DUMMYFUNCTION("""COMPUTED_VALUE"""),1753.0)</f>
        <v>1753</v>
      </c>
      <c r="H5568" s="116">
        <f>IFERROR(__xludf.DUMMYFUNCTION("""COMPUTED_VALUE"""),45910.0)</f>
        <v>45910</v>
      </c>
      <c r="I5568" s="115" t="str">
        <f>IFERROR(__xludf.DUMMYFUNCTION("""COMPUTED_VALUE"""),"21")</f>
        <v>21</v>
      </c>
      <c r="J5568" s="115"/>
      <c r="K5568" s="115">
        <f>IFERROR(__xludf.DUMMYFUNCTION("""COMPUTED_VALUE"""),17180.0)</f>
        <v>17180</v>
      </c>
    </row>
    <row r="5569">
      <c r="A5569" s="115" t="str">
        <f>IFERROR(__xludf.DUMMYFUNCTION("""COMPUTED_VALUE"""),"SOUTH")</f>
        <v>SOUTH</v>
      </c>
      <c r="B5569" s="115" t="str">
        <f>IFERROR(__xludf.DUMMYFUNCTION("""COMPUTED_VALUE"""),"Vineeth V")</f>
        <v>Vineeth V</v>
      </c>
      <c r="C5569" s="115" t="str">
        <f>IFERROR(__xludf.DUMMYFUNCTION("""COMPUTED_VALUE"""),"EXTERNAL")</f>
        <v>EXTERNAL</v>
      </c>
      <c r="D5569" s="115">
        <f>IFERROR(__xludf.DUMMYFUNCTION("""COMPUTED_VALUE"""),18056.0)</f>
        <v>18056</v>
      </c>
      <c r="E5569" s="115">
        <f>IFERROR(__xludf.DUMMYFUNCTION("""COMPUTED_VALUE"""),683.0)</f>
        <v>683</v>
      </c>
      <c r="F5569" s="115">
        <f>IFERROR(__xludf.DUMMYFUNCTION("""COMPUTED_VALUE"""),9188.0)</f>
        <v>9188</v>
      </c>
      <c r="G5569" s="115">
        <f>IFERROR(__xludf.DUMMYFUNCTION("""COMPUTED_VALUE"""),407.0)</f>
        <v>407</v>
      </c>
      <c r="H5569" s="116">
        <f>IFERROR(__xludf.DUMMYFUNCTION("""COMPUTED_VALUE"""),45910.0)</f>
        <v>45910</v>
      </c>
      <c r="I5569" s="115" t="str">
        <f>IFERROR(__xludf.DUMMYFUNCTION("""COMPUTED_VALUE"""),"21")</f>
        <v>21</v>
      </c>
      <c r="J5569" s="115"/>
      <c r="K5569" s="115">
        <f>IFERROR(__xludf.DUMMYFUNCTION("""COMPUTED_VALUE"""),18739.0)</f>
        <v>18739</v>
      </c>
    </row>
    <row r="5570">
      <c r="A5570" s="115" t="str">
        <f>IFERROR(__xludf.DUMMYFUNCTION("""COMPUTED_VALUE"""),"SOUTH")</f>
        <v>SOUTH</v>
      </c>
      <c r="B5570" s="115" t="str">
        <f>IFERROR(__xludf.DUMMYFUNCTION("""COMPUTED_VALUE"""),"Vineeth V")</f>
        <v>Vineeth V</v>
      </c>
      <c r="C5570" s="115" t="str">
        <f>IFERROR(__xludf.DUMMYFUNCTION("""COMPUTED_VALUE"""),"FLIPKART")</f>
        <v>FLIPKART</v>
      </c>
      <c r="D5570" s="115">
        <f>IFERROR(__xludf.DUMMYFUNCTION("""COMPUTED_VALUE"""),190472.0)</f>
        <v>190472</v>
      </c>
      <c r="E5570" s="115">
        <f>IFERROR(__xludf.DUMMYFUNCTION("""COMPUTED_VALUE"""),16149.0)</f>
        <v>16149</v>
      </c>
      <c r="F5570" s="115">
        <f>IFERROR(__xludf.DUMMYFUNCTION("""COMPUTED_VALUE"""),157032.0)</f>
        <v>157032</v>
      </c>
      <c r="G5570" s="115">
        <f>IFERROR(__xludf.DUMMYFUNCTION("""COMPUTED_VALUE"""),10297.0)</f>
        <v>10297</v>
      </c>
      <c r="H5570" s="116">
        <f>IFERROR(__xludf.DUMMYFUNCTION("""COMPUTED_VALUE"""),45910.0)</f>
        <v>45910</v>
      </c>
      <c r="I5570" s="115" t="str">
        <f>IFERROR(__xludf.DUMMYFUNCTION("""COMPUTED_VALUE"""),"21")</f>
        <v>21</v>
      </c>
      <c r="J5570" s="115"/>
      <c r="K5570" s="115">
        <f>IFERROR(__xludf.DUMMYFUNCTION("""COMPUTED_VALUE"""),206621.0)</f>
        <v>206621</v>
      </c>
    </row>
    <row r="5571">
      <c r="A5571" s="115" t="str">
        <f>IFERROR(__xludf.DUMMYFUNCTION("""COMPUTED_VALUE"""),"SOUTH")</f>
        <v>SOUTH</v>
      </c>
      <c r="B5571" s="115" t="str">
        <f>IFERROR(__xludf.DUMMYFUNCTION("""COMPUTED_VALUE"""),"Vineeth V")</f>
        <v>Vineeth V</v>
      </c>
      <c r="C5571" s="115" t="str">
        <f>IFERROR(__xludf.DUMMYFUNCTION("""COMPUTED_VALUE"""),"MYNTRA")</f>
        <v>MYNTRA</v>
      </c>
      <c r="D5571" s="115">
        <f>IFERROR(__xludf.DUMMYFUNCTION("""COMPUTED_VALUE"""),15242.0)</f>
        <v>15242</v>
      </c>
      <c r="E5571" s="115">
        <f>IFERROR(__xludf.DUMMYFUNCTION("""COMPUTED_VALUE"""),3971.0)</f>
        <v>3971</v>
      </c>
      <c r="F5571" s="115">
        <f>IFERROR(__xludf.DUMMYFUNCTION("""COMPUTED_VALUE"""),13207.0)</f>
        <v>13207</v>
      </c>
      <c r="G5571" s="115">
        <f>IFERROR(__xludf.DUMMYFUNCTION("""COMPUTED_VALUE"""),2537.0)</f>
        <v>2537</v>
      </c>
      <c r="H5571" s="116">
        <f>IFERROR(__xludf.DUMMYFUNCTION("""COMPUTED_VALUE"""),45910.0)</f>
        <v>45910</v>
      </c>
      <c r="I5571" s="115" t="str">
        <f>IFERROR(__xludf.DUMMYFUNCTION("""COMPUTED_VALUE"""),"21")</f>
        <v>21</v>
      </c>
      <c r="J5571" s="115"/>
      <c r="K5571" s="115">
        <f>IFERROR(__xludf.DUMMYFUNCTION("""COMPUTED_VALUE"""),19213.0)</f>
        <v>19213</v>
      </c>
    </row>
    <row r="5572">
      <c r="A5572" s="115" t="str">
        <f>IFERROR(__xludf.DUMMYFUNCTION("""COMPUTED_VALUE"""),"WEST")</f>
        <v>WEST</v>
      </c>
      <c r="B5572" s="115" t="str">
        <f>IFERROR(__xludf.DUMMYFUNCTION("""COMPUTED_VALUE"""),"Ashish Jakar")</f>
        <v>Ashish Jakar</v>
      </c>
      <c r="C5572" s="115" t="str">
        <f>IFERROR(__xludf.DUMMYFUNCTION("""COMPUTED_VALUE"""),"EXTERNAL")</f>
        <v>EXTERNAL</v>
      </c>
      <c r="D5572" s="115">
        <f>IFERROR(__xludf.DUMMYFUNCTION("""COMPUTED_VALUE"""),64393.0)</f>
        <v>64393</v>
      </c>
      <c r="E5572" s="115">
        <f>IFERROR(__xludf.DUMMYFUNCTION("""COMPUTED_VALUE"""),6055.0)</f>
        <v>6055</v>
      </c>
      <c r="F5572" s="115">
        <f>IFERROR(__xludf.DUMMYFUNCTION("""COMPUTED_VALUE"""),29789.0)</f>
        <v>29789</v>
      </c>
      <c r="G5572" s="115">
        <f>IFERROR(__xludf.DUMMYFUNCTION("""COMPUTED_VALUE"""),3054.0)</f>
        <v>3054</v>
      </c>
      <c r="H5572" s="116">
        <f>IFERROR(__xludf.DUMMYFUNCTION("""COMPUTED_VALUE"""),45910.0)</f>
        <v>45910</v>
      </c>
      <c r="I5572" s="115" t="str">
        <f>IFERROR(__xludf.DUMMYFUNCTION("""COMPUTED_VALUE"""),"21")</f>
        <v>21</v>
      </c>
      <c r="J5572" s="115"/>
      <c r="K5572" s="115">
        <f>IFERROR(__xludf.DUMMYFUNCTION("""COMPUTED_VALUE"""),70448.0)</f>
        <v>70448</v>
      </c>
    </row>
    <row r="5573">
      <c r="A5573" s="115" t="str">
        <f>IFERROR(__xludf.DUMMYFUNCTION("""COMPUTED_VALUE"""),"WEST")</f>
        <v>WEST</v>
      </c>
      <c r="B5573" s="115" t="str">
        <f>IFERROR(__xludf.DUMMYFUNCTION("""COMPUTED_VALUE"""),"Ashish Jakar")</f>
        <v>Ashish Jakar</v>
      </c>
      <c r="C5573" s="115" t="str">
        <f>IFERROR(__xludf.DUMMYFUNCTION("""COMPUTED_VALUE"""),"FLIPKART")</f>
        <v>FLIPKART</v>
      </c>
      <c r="D5573" s="115">
        <f>IFERROR(__xludf.DUMMYFUNCTION("""COMPUTED_VALUE"""),406167.0)</f>
        <v>406167</v>
      </c>
      <c r="E5573" s="115">
        <f>IFERROR(__xludf.DUMMYFUNCTION("""COMPUTED_VALUE"""),33851.0)</f>
        <v>33851</v>
      </c>
      <c r="F5573" s="115">
        <f>IFERROR(__xludf.DUMMYFUNCTION("""COMPUTED_VALUE"""),300409.0)</f>
        <v>300409</v>
      </c>
      <c r="G5573" s="115">
        <f>IFERROR(__xludf.DUMMYFUNCTION("""COMPUTED_VALUE"""),21233.0)</f>
        <v>21233</v>
      </c>
      <c r="H5573" s="116">
        <f>IFERROR(__xludf.DUMMYFUNCTION("""COMPUTED_VALUE"""),45910.0)</f>
        <v>45910</v>
      </c>
      <c r="I5573" s="115" t="str">
        <f>IFERROR(__xludf.DUMMYFUNCTION("""COMPUTED_VALUE"""),"21")</f>
        <v>21</v>
      </c>
      <c r="J5573" s="115"/>
      <c r="K5573" s="115">
        <f>IFERROR(__xludf.DUMMYFUNCTION("""COMPUTED_VALUE"""),440018.0)</f>
        <v>440018</v>
      </c>
    </row>
    <row r="5574">
      <c r="A5574" s="115" t="str">
        <f>IFERROR(__xludf.DUMMYFUNCTION("""COMPUTED_VALUE"""),"WEST")</f>
        <v>WEST</v>
      </c>
      <c r="B5574" s="115" t="str">
        <f>IFERROR(__xludf.DUMMYFUNCTION("""COMPUTED_VALUE"""),"Ashish Jakar")</f>
        <v>Ashish Jakar</v>
      </c>
      <c r="C5574" s="115" t="str">
        <f>IFERROR(__xludf.DUMMYFUNCTION("""COMPUTED_VALUE"""),"MYNTRA")</f>
        <v>MYNTRA</v>
      </c>
      <c r="D5574" s="115">
        <f>IFERROR(__xludf.DUMMYFUNCTION("""COMPUTED_VALUE"""),46412.0)</f>
        <v>46412</v>
      </c>
      <c r="E5574" s="115">
        <f>IFERROR(__xludf.DUMMYFUNCTION("""COMPUTED_VALUE"""),11511.0)</f>
        <v>11511</v>
      </c>
      <c r="F5574" s="115">
        <f>IFERROR(__xludf.DUMMYFUNCTION("""COMPUTED_VALUE"""),38833.0)</f>
        <v>38833</v>
      </c>
      <c r="G5574" s="115">
        <f>IFERROR(__xludf.DUMMYFUNCTION("""COMPUTED_VALUE"""),7699.0)</f>
        <v>7699</v>
      </c>
      <c r="H5574" s="116">
        <f>IFERROR(__xludf.DUMMYFUNCTION("""COMPUTED_VALUE"""),45910.0)</f>
        <v>45910</v>
      </c>
      <c r="I5574" s="115" t="str">
        <f>IFERROR(__xludf.DUMMYFUNCTION("""COMPUTED_VALUE"""),"21")</f>
        <v>21</v>
      </c>
      <c r="J5574" s="115"/>
      <c r="K5574" s="115">
        <f>IFERROR(__xludf.DUMMYFUNCTION("""COMPUTED_VALUE"""),57923.0)</f>
        <v>57923</v>
      </c>
    </row>
    <row r="5575">
      <c r="A5575" s="115" t="str">
        <f>IFERROR(__xludf.DUMMYFUNCTION("""COMPUTED_VALUE"""),"WEST")</f>
        <v>WEST</v>
      </c>
      <c r="B5575" s="115" t="str">
        <f>IFERROR(__xludf.DUMMYFUNCTION("""COMPUTED_VALUE"""),"Ashvani Bhatt")</f>
        <v>Ashvani Bhatt</v>
      </c>
      <c r="C5575" s="115" t="str">
        <f>IFERROR(__xludf.DUMMYFUNCTION("""COMPUTED_VALUE"""),"EXTERNAL")</f>
        <v>EXTERNAL</v>
      </c>
      <c r="D5575" s="115">
        <f>IFERROR(__xludf.DUMMYFUNCTION("""COMPUTED_VALUE"""),40266.0)</f>
        <v>40266</v>
      </c>
      <c r="E5575" s="115">
        <f>IFERROR(__xludf.DUMMYFUNCTION("""COMPUTED_VALUE"""),3188.0)</f>
        <v>3188</v>
      </c>
      <c r="F5575" s="115">
        <f>IFERROR(__xludf.DUMMYFUNCTION("""COMPUTED_VALUE"""),17727.0)</f>
        <v>17727</v>
      </c>
      <c r="G5575" s="115">
        <f>IFERROR(__xludf.DUMMYFUNCTION("""COMPUTED_VALUE"""),1591.0)</f>
        <v>1591</v>
      </c>
      <c r="H5575" s="116">
        <f>IFERROR(__xludf.DUMMYFUNCTION("""COMPUTED_VALUE"""),45910.0)</f>
        <v>45910</v>
      </c>
      <c r="I5575" s="115" t="str">
        <f>IFERROR(__xludf.DUMMYFUNCTION("""COMPUTED_VALUE"""),"21")</f>
        <v>21</v>
      </c>
      <c r="J5575" s="115"/>
      <c r="K5575" s="115">
        <f>IFERROR(__xludf.DUMMYFUNCTION("""COMPUTED_VALUE"""),43454.0)</f>
        <v>43454</v>
      </c>
    </row>
    <row r="5576">
      <c r="A5576" s="115" t="str">
        <f>IFERROR(__xludf.DUMMYFUNCTION("""COMPUTED_VALUE"""),"WEST")</f>
        <v>WEST</v>
      </c>
      <c r="B5576" s="115" t="str">
        <f>IFERROR(__xludf.DUMMYFUNCTION("""COMPUTED_VALUE"""),"Ashvani Bhatt")</f>
        <v>Ashvani Bhatt</v>
      </c>
      <c r="C5576" s="115" t="str">
        <f>IFERROR(__xludf.DUMMYFUNCTION("""COMPUTED_VALUE"""),"FLIPKART")</f>
        <v>FLIPKART</v>
      </c>
      <c r="D5576" s="115">
        <f>IFERROR(__xludf.DUMMYFUNCTION("""COMPUTED_VALUE"""),282615.0)</f>
        <v>282615</v>
      </c>
      <c r="E5576" s="115">
        <f>IFERROR(__xludf.DUMMYFUNCTION("""COMPUTED_VALUE"""),30324.0)</f>
        <v>30324</v>
      </c>
      <c r="F5576" s="115">
        <f>IFERROR(__xludf.DUMMYFUNCTION("""COMPUTED_VALUE"""),215801.0)</f>
        <v>215801</v>
      </c>
      <c r="G5576" s="115">
        <f>IFERROR(__xludf.DUMMYFUNCTION("""COMPUTED_VALUE"""),20720.0)</f>
        <v>20720</v>
      </c>
      <c r="H5576" s="116">
        <f>IFERROR(__xludf.DUMMYFUNCTION("""COMPUTED_VALUE"""),45910.0)</f>
        <v>45910</v>
      </c>
      <c r="I5576" s="115" t="str">
        <f>IFERROR(__xludf.DUMMYFUNCTION("""COMPUTED_VALUE"""),"21")</f>
        <v>21</v>
      </c>
      <c r="J5576" s="115"/>
      <c r="K5576" s="115">
        <f>IFERROR(__xludf.DUMMYFUNCTION("""COMPUTED_VALUE"""),312939.0)</f>
        <v>312939</v>
      </c>
    </row>
    <row r="5577">
      <c r="A5577" s="115" t="str">
        <f>IFERROR(__xludf.DUMMYFUNCTION("""COMPUTED_VALUE"""),"WEST")</f>
        <v>WEST</v>
      </c>
      <c r="B5577" s="115" t="str">
        <f>IFERROR(__xludf.DUMMYFUNCTION("""COMPUTED_VALUE"""),"Ashvani Bhatt")</f>
        <v>Ashvani Bhatt</v>
      </c>
      <c r="C5577" s="115" t="str">
        <f>IFERROR(__xludf.DUMMYFUNCTION("""COMPUTED_VALUE"""),"MYNTRA")</f>
        <v>MYNTRA</v>
      </c>
      <c r="D5577" s="115">
        <f>IFERROR(__xludf.DUMMYFUNCTION("""COMPUTED_VALUE"""),34653.0)</f>
        <v>34653</v>
      </c>
      <c r="E5577" s="115">
        <f>IFERROR(__xludf.DUMMYFUNCTION("""COMPUTED_VALUE"""),9804.0)</f>
        <v>9804</v>
      </c>
      <c r="F5577" s="115">
        <f>IFERROR(__xludf.DUMMYFUNCTION("""COMPUTED_VALUE"""),29504.0)</f>
        <v>29504</v>
      </c>
      <c r="G5577" s="115">
        <f>IFERROR(__xludf.DUMMYFUNCTION("""COMPUTED_VALUE"""),7374.0)</f>
        <v>7374</v>
      </c>
      <c r="H5577" s="116">
        <f>IFERROR(__xludf.DUMMYFUNCTION("""COMPUTED_VALUE"""),45910.0)</f>
        <v>45910</v>
      </c>
      <c r="I5577" s="115" t="str">
        <f>IFERROR(__xludf.DUMMYFUNCTION("""COMPUTED_VALUE"""),"21")</f>
        <v>21</v>
      </c>
      <c r="J5577" s="115"/>
      <c r="K5577" s="115">
        <f>IFERROR(__xludf.DUMMYFUNCTION("""COMPUTED_VALUE"""),44457.0)</f>
        <v>44457</v>
      </c>
    </row>
    <row r="5578">
      <c r="A5578" s="115"/>
      <c r="B5578" s="115"/>
      <c r="C5578" s="115" t="str">
        <f>IFERROR(__xludf.DUMMYFUNCTION("""COMPUTED_VALUE"""),"EXTERNAL")</f>
        <v>EXTERNAL</v>
      </c>
      <c r="D5578" s="115">
        <f>IFERROR(__xludf.DUMMYFUNCTION("""COMPUTED_VALUE"""),779.0)</f>
        <v>779</v>
      </c>
      <c r="E5578" s="115">
        <f>IFERROR(__xludf.DUMMYFUNCTION("""COMPUTED_VALUE"""),181.0)</f>
        <v>181</v>
      </c>
      <c r="F5578" s="115">
        <f>IFERROR(__xludf.DUMMYFUNCTION("""COMPUTED_VALUE"""),367.0)</f>
        <v>367</v>
      </c>
      <c r="G5578" s="115">
        <f>IFERROR(__xludf.DUMMYFUNCTION("""COMPUTED_VALUE"""),91.0)</f>
        <v>91</v>
      </c>
      <c r="H5578" s="116">
        <f>IFERROR(__xludf.DUMMYFUNCTION("""COMPUTED_VALUE"""),45910.0)</f>
        <v>45910</v>
      </c>
      <c r="I5578" s="115" t="str">
        <f>IFERROR(__xludf.DUMMYFUNCTION("""COMPUTED_VALUE"""),"21")</f>
        <v>21</v>
      </c>
      <c r="J5578" s="115"/>
      <c r="K5578" s="115">
        <f>IFERROR(__xludf.DUMMYFUNCTION("""COMPUTED_VALUE"""),960.0)</f>
        <v>960</v>
      </c>
    </row>
    <row r="5579">
      <c r="A5579" s="115"/>
      <c r="B5579" s="115"/>
      <c r="C5579" s="115" t="str">
        <f>IFERROR(__xludf.DUMMYFUNCTION("""COMPUTED_VALUE"""),"FLIPKART")</f>
        <v>FLIPKART</v>
      </c>
      <c r="D5579" s="115">
        <f>IFERROR(__xludf.DUMMYFUNCTION("""COMPUTED_VALUE"""),8114.0)</f>
        <v>8114</v>
      </c>
      <c r="E5579" s="115">
        <f>IFERROR(__xludf.DUMMYFUNCTION("""COMPUTED_VALUE"""),905.0)</f>
        <v>905</v>
      </c>
      <c r="F5579" s="115">
        <f>IFERROR(__xludf.DUMMYFUNCTION("""COMPUTED_VALUE"""),6018.0)</f>
        <v>6018</v>
      </c>
      <c r="G5579" s="115">
        <f>IFERROR(__xludf.DUMMYFUNCTION("""COMPUTED_VALUE"""),551.0)</f>
        <v>551</v>
      </c>
      <c r="H5579" s="116">
        <f>IFERROR(__xludf.DUMMYFUNCTION("""COMPUTED_VALUE"""),45910.0)</f>
        <v>45910</v>
      </c>
      <c r="I5579" s="115" t="str">
        <f>IFERROR(__xludf.DUMMYFUNCTION("""COMPUTED_VALUE"""),"21")</f>
        <v>21</v>
      </c>
      <c r="J5579" s="115"/>
      <c r="K5579" s="115">
        <f>IFERROR(__xludf.DUMMYFUNCTION("""COMPUTED_VALUE"""),9019.0)</f>
        <v>9019</v>
      </c>
    </row>
    <row r="5580">
      <c r="A5580" s="115"/>
      <c r="B5580" s="115"/>
      <c r="C5580" s="115" t="str">
        <f>IFERROR(__xludf.DUMMYFUNCTION("""COMPUTED_VALUE"""),"MYNTRA")</f>
        <v>MYNTRA</v>
      </c>
      <c r="D5580" s="115">
        <f>IFERROR(__xludf.DUMMYFUNCTION("""COMPUTED_VALUE"""),835.0)</f>
        <v>835</v>
      </c>
      <c r="E5580" s="115">
        <f>IFERROR(__xludf.DUMMYFUNCTION("""COMPUTED_VALUE"""),233.0)</f>
        <v>233</v>
      </c>
      <c r="F5580" s="115">
        <f>IFERROR(__xludf.DUMMYFUNCTION("""COMPUTED_VALUE"""),677.0)</f>
        <v>677</v>
      </c>
      <c r="G5580" s="115">
        <f>IFERROR(__xludf.DUMMYFUNCTION("""COMPUTED_VALUE"""),170.0)</f>
        <v>170</v>
      </c>
      <c r="H5580" s="116">
        <f>IFERROR(__xludf.DUMMYFUNCTION("""COMPUTED_VALUE"""),45910.0)</f>
        <v>45910</v>
      </c>
      <c r="I5580" s="115" t="str">
        <f>IFERROR(__xludf.DUMMYFUNCTION("""COMPUTED_VALUE"""),"21")</f>
        <v>21</v>
      </c>
      <c r="J5580" s="115"/>
      <c r="K5580" s="115">
        <f>IFERROR(__xludf.DUMMYFUNCTION("""COMPUTED_VALUE"""),1068.0)</f>
        <v>1068</v>
      </c>
    </row>
    <row r="5581">
      <c r="A5581" s="115" t="str">
        <f>IFERROR(__xludf.DUMMYFUNCTION("""COMPUTED_VALUE"""),"EAST")</f>
        <v>EAST</v>
      </c>
      <c r="B5581" s="115" t="str">
        <f>IFERROR(__xludf.DUMMYFUNCTION("""COMPUTED_VALUE"""),"Ashish Ranjan")</f>
        <v>Ashish Ranjan</v>
      </c>
      <c r="C5581" s="115" t="str">
        <f>IFERROR(__xludf.DUMMYFUNCTION("""COMPUTED_VALUE"""),"EXTERNAL")</f>
        <v>EXTERNAL</v>
      </c>
      <c r="D5581" s="115">
        <f>IFERROR(__xludf.DUMMYFUNCTION("""COMPUTED_VALUE"""),38639.0)</f>
        <v>38639</v>
      </c>
      <c r="E5581" s="115">
        <f>IFERROR(__xludf.DUMMYFUNCTION("""COMPUTED_VALUE"""),3895.0)</f>
        <v>3895</v>
      </c>
      <c r="F5581" s="115">
        <f>IFERROR(__xludf.DUMMYFUNCTION("""COMPUTED_VALUE"""),21879.0)</f>
        <v>21879</v>
      </c>
      <c r="G5581" s="115">
        <f>IFERROR(__xludf.DUMMYFUNCTION("""COMPUTED_VALUE"""),2169.0)</f>
        <v>2169</v>
      </c>
      <c r="H5581" s="116">
        <f>IFERROR(__xludf.DUMMYFUNCTION("""COMPUTED_VALUE"""),45910.0)</f>
        <v>45910</v>
      </c>
      <c r="I5581" s="115" t="str">
        <f>IFERROR(__xludf.DUMMYFUNCTION("""COMPUTED_VALUE"""),"22")</f>
        <v>22</v>
      </c>
      <c r="J5581" s="115"/>
      <c r="K5581" s="115">
        <f>IFERROR(__xludf.DUMMYFUNCTION("""COMPUTED_VALUE"""),42534.0)</f>
        <v>42534</v>
      </c>
    </row>
    <row r="5582">
      <c r="A5582" s="115" t="str">
        <f>IFERROR(__xludf.DUMMYFUNCTION("""COMPUTED_VALUE"""),"EAST")</f>
        <v>EAST</v>
      </c>
      <c r="B5582" s="115" t="str">
        <f>IFERROR(__xludf.DUMMYFUNCTION("""COMPUTED_VALUE"""),"Ashish Ranjan")</f>
        <v>Ashish Ranjan</v>
      </c>
      <c r="C5582" s="115" t="str">
        <f>IFERROR(__xludf.DUMMYFUNCTION("""COMPUTED_VALUE"""),"FLIPKART")</f>
        <v>FLIPKART</v>
      </c>
      <c r="D5582" s="115">
        <f>IFERROR(__xludf.DUMMYFUNCTION("""COMPUTED_VALUE"""),673950.0)</f>
        <v>673950</v>
      </c>
      <c r="E5582" s="115">
        <f>IFERROR(__xludf.DUMMYFUNCTION("""COMPUTED_VALUE"""),69021.0)</f>
        <v>69021</v>
      </c>
      <c r="F5582" s="115">
        <f>IFERROR(__xludf.DUMMYFUNCTION("""COMPUTED_VALUE"""),603306.0)</f>
        <v>603306</v>
      </c>
      <c r="G5582" s="115">
        <f>IFERROR(__xludf.DUMMYFUNCTION("""COMPUTED_VALUE"""),57290.0)</f>
        <v>57290</v>
      </c>
      <c r="H5582" s="116">
        <f>IFERROR(__xludf.DUMMYFUNCTION("""COMPUTED_VALUE"""),45910.0)</f>
        <v>45910</v>
      </c>
      <c r="I5582" s="115" t="str">
        <f>IFERROR(__xludf.DUMMYFUNCTION("""COMPUTED_VALUE"""),"22")</f>
        <v>22</v>
      </c>
      <c r="J5582" s="115"/>
      <c r="K5582" s="115">
        <f>IFERROR(__xludf.DUMMYFUNCTION("""COMPUTED_VALUE"""),742971.0)</f>
        <v>742971</v>
      </c>
    </row>
    <row r="5583">
      <c r="A5583" s="115" t="str">
        <f>IFERROR(__xludf.DUMMYFUNCTION("""COMPUTED_VALUE"""),"EAST")</f>
        <v>EAST</v>
      </c>
      <c r="B5583" s="115" t="str">
        <f>IFERROR(__xludf.DUMMYFUNCTION("""COMPUTED_VALUE"""),"Ashish Ranjan")</f>
        <v>Ashish Ranjan</v>
      </c>
      <c r="C5583" s="115" t="str">
        <f>IFERROR(__xludf.DUMMYFUNCTION("""COMPUTED_VALUE"""),"MYNTRA")</f>
        <v>MYNTRA</v>
      </c>
      <c r="D5583" s="115">
        <f>IFERROR(__xludf.DUMMYFUNCTION("""COMPUTED_VALUE"""),75597.0)</f>
        <v>75597</v>
      </c>
      <c r="E5583" s="115">
        <f>IFERROR(__xludf.DUMMYFUNCTION("""COMPUTED_VALUE"""),17143.0)</f>
        <v>17143</v>
      </c>
      <c r="F5583" s="115">
        <f>IFERROR(__xludf.DUMMYFUNCTION("""COMPUTED_VALUE"""),68564.0)</f>
        <v>68564</v>
      </c>
      <c r="G5583" s="115">
        <f>IFERROR(__xludf.DUMMYFUNCTION("""COMPUTED_VALUE"""),14089.0)</f>
        <v>14089</v>
      </c>
      <c r="H5583" s="116">
        <f>IFERROR(__xludf.DUMMYFUNCTION("""COMPUTED_VALUE"""),45910.0)</f>
        <v>45910</v>
      </c>
      <c r="I5583" s="115" t="str">
        <f>IFERROR(__xludf.DUMMYFUNCTION("""COMPUTED_VALUE"""),"22")</f>
        <v>22</v>
      </c>
      <c r="J5583" s="115"/>
      <c r="K5583" s="115">
        <f>IFERROR(__xludf.DUMMYFUNCTION("""COMPUTED_VALUE"""),92740.0)</f>
        <v>92740</v>
      </c>
    </row>
    <row r="5584">
      <c r="A5584" s="115" t="str">
        <f>IFERROR(__xludf.DUMMYFUNCTION("""COMPUTED_VALUE"""),"EAST")</f>
        <v>EAST</v>
      </c>
      <c r="B5584" s="115" t="str">
        <f>IFERROR(__xludf.DUMMYFUNCTION("""COMPUTED_VALUE"""),"Girish Chand")</f>
        <v>Girish Chand</v>
      </c>
      <c r="C5584" s="115" t="str">
        <f>IFERROR(__xludf.DUMMYFUNCTION("""COMPUTED_VALUE"""),"EXTERNAL")</f>
        <v>EXTERNAL</v>
      </c>
      <c r="D5584" s="115">
        <f>IFERROR(__xludf.DUMMYFUNCTION("""COMPUTED_VALUE"""),23628.0)</f>
        <v>23628</v>
      </c>
      <c r="E5584" s="115">
        <f>IFERROR(__xludf.DUMMYFUNCTION("""COMPUTED_VALUE"""),1920.0)</f>
        <v>1920</v>
      </c>
      <c r="F5584" s="115">
        <f>IFERROR(__xludf.DUMMYFUNCTION("""COMPUTED_VALUE"""),10588.0)</f>
        <v>10588</v>
      </c>
      <c r="G5584" s="115">
        <f>IFERROR(__xludf.DUMMYFUNCTION("""COMPUTED_VALUE"""),837.0)</f>
        <v>837</v>
      </c>
      <c r="H5584" s="116">
        <f>IFERROR(__xludf.DUMMYFUNCTION("""COMPUTED_VALUE"""),45910.0)</f>
        <v>45910</v>
      </c>
      <c r="I5584" s="115" t="str">
        <f>IFERROR(__xludf.DUMMYFUNCTION("""COMPUTED_VALUE"""),"22")</f>
        <v>22</v>
      </c>
      <c r="J5584" s="115"/>
      <c r="K5584" s="115">
        <f>IFERROR(__xludf.DUMMYFUNCTION("""COMPUTED_VALUE"""),25548.0)</f>
        <v>25548</v>
      </c>
    </row>
    <row r="5585">
      <c r="A5585" s="115" t="str">
        <f>IFERROR(__xludf.DUMMYFUNCTION("""COMPUTED_VALUE"""),"EAST")</f>
        <v>EAST</v>
      </c>
      <c r="B5585" s="115" t="str">
        <f>IFERROR(__xludf.DUMMYFUNCTION("""COMPUTED_VALUE"""),"Girish Chand")</f>
        <v>Girish Chand</v>
      </c>
      <c r="C5585" s="115" t="str">
        <f>IFERROR(__xludf.DUMMYFUNCTION("""COMPUTED_VALUE"""),"FLIPKART")</f>
        <v>FLIPKART</v>
      </c>
      <c r="D5585" s="115">
        <f>IFERROR(__xludf.DUMMYFUNCTION("""COMPUTED_VALUE"""),430914.0)</f>
        <v>430914</v>
      </c>
      <c r="E5585" s="115">
        <f>IFERROR(__xludf.DUMMYFUNCTION("""COMPUTED_VALUE"""),39916.0)</f>
        <v>39916</v>
      </c>
      <c r="F5585" s="115">
        <f>IFERROR(__xludf.DUMMYFUNCTION("""COMPUTED_VALUE"""),326984.0)</f>
        <v>326984</v>
      </c>
      <c r="G5585" s="115">
        <f>IFERROR(__xludf.DUMMYFUNCTION("""COMPUTED_VALUE"""),29555.0)</f>
        <v>29555</v>
      </c>
      <c r="H5585" s="116">
        <f>IFERROR(__xludf.DUMMYFUNCTION("""COMPUTED_VALUE"""),45910.0)</f>
        <v>45910</v>
      </c>
      <c r="I5585" s="115" t="str">
        <f>IFERROR(__xludf.DUMMYFUNCTION("""COMPUTED_VALUE"""),"22")</f>
        <v>22</v>
      </c>
      <c r="J5585" s="115"/>
      <c r="K5585" s="115">
        <f>IFERROR(__xludf.DUMMYFUNCTION("""COMPUTED_VALUE"""),470830.0)</f>
        <v>470830</v>
      </c>
    </row>
    <row r="5586">
      <c r="A5586" s="115" t="str">
        <f>IFERROR(__xludf.DUMMYFUNCTION("""COMPUTED_VALUE"""),"EAST")</f>
        <v>EAST</v>
      </c>
      <c r="B5586" s="115" t="str">
        <f>IFERROR(__xludf.DUMMYFUNCTION("""COMPUTED_VALUE"""),"Girish Chand")</f>
        <v>Girish Chand</v>
      </c>
      <c r="C5586" s="115" t="str">
        <f>IFERROR(__xludf.DUMMYFUNCTION("""COMPUTED_VALUE"""),"MYNTRA")</f>
        <v>MYNTRA</v>
      </c>
      <c r="D5586" s="115">
        <f>IFERROR(__xludf.DUMMYFUNCTION("""COMPUTED_VALUE"""),37271.0)</f>
        <v>37271</v>
      </c>
      <c r="E5586" s="115">
        <f>IFERROR(__xludf.DUMMYFUNCTION("""COMPUTED_VALUE"""),8359.0)</f>
        <v>8359</v>
      </c>
      <c r="F5586" s="115">
        <f>IFERROR(__xludf.DUMMYFUNCTION("""COMPUTED_VALUE"""),29642.0)</f>
        <v>29642</v>
      </c>
      <c r="G5586" s="115">
        <f>IFERROR(__xludf.DUMMYFUNCTION("""COMPUTED_VALUE"""),6394.0)</f>
        <v>6394</v>
      </c>
      <c r="H5586" s="116">
        <f>IFERROR(__xludf.DUMMYFUNCTION("""COMPUTED_VALUE"""),45910.0)</f>
        <v>45910</v>
      </c>
      <c r="I5586" s="115" t="str">
        <f>IFERROR(__xludf.DUMMYFUNCTION("""COMPUTED_VALUE"""),"22")</f>
        <v>22</v>
      </c>
      <c r="J5586" s="115"/>
      <c r="K5586" s="115">
        <f>IFERROR(__xludf.DUMMYFUNCTION("""COMPUTED_VALUE"""),45630.0)</f>
        <v>45630</v>
      </c>
    </row>
    <row r="5587">
      <c r="A5587" s="115" t="str">
        <f>IFERROR(__xludf.DUMMYFUNCTION("""COMPUTED_VALUE"""),"EAST")</f>
        <v>EAST</v>
      </c>
      <c r="B5587" s="115" t="str">
        <f>IFERROR(__xludf.DUMMYFUNCTION("""COMPUTED_VALUE"""),"Parag Kashyap")</f>
        <v>Parag Kashyap</v>
      </c>
      <c r="C5587" s="115" t="str">
        <f>IFERROR(__xludf.DUMMYFUNCTION("""COMPUTED_VALUE"""),"EXTERNAL")</f>
        <v>EXTERNAL</v>
      </c>
      <c r="D5587" s="115">
        <f>IFERROR(__xludf.DUMMYFUNCTION("""COMPUTED_VALUE"""),16956.0)</f>
        <v>16956</v>
      </c>
      <c r="E5587" s="115">
        <f>IFERROR(__xludf.DUMMYFUNCTION("""COMPUTED_VALUE"""),1086.0)</f>
        <v>1086</v>
      </c>
      <c r="F5587" s="115">
        <f>IFERROR(__xludf.DUMMYFUNCTION("""COMPUTED_VALUE"""),7856.0)</f>
        <v>7856</v>
      </c>
      <c r="G5587" s="115">
        <f>IFERROR(__xludf.DUMMYFUNCTION("""COMPUTED_VALUE"""),458.0)</f>
        <v>458</v>
      </c>
      <c r="H5587" s="116">
        <f>IFERROR(__xludf.DUMMYFUNCTION("""COMPUTED_VALUE"""),45910.0)</f>
        <v>45910</v>
      </c>
      <c r="I5587" s="115" t="str">
        <f>IFERROR(__xludf.DUMMYFUNCTION("""COMPUTED_VALUE"""),"22")</f>
        <v>22</v>
      </c>
      <c r="J5587" s="115"/>
      <c r="K5587" s="115">
        <f>IFERROR(__xludf.DUMMYFUNCTION("""COMPUTED_VALUE"""),18042.0)</f>
        <v>18042</v>
      </c>
    </row>
    <row r="5588">
      <c r="A5588" s="115" t="str">
        <f>IFERROR(__xludf.DUMMYFUNCTION("""COMPUTED_VALUE"""),"EAST")</f>
        <v>EAST</v>
      </c>
      <c r="B5588" s="115" t="str">
        <f>IFERROR(__xludf.DUMMYFUNCTION("""COMPUTED_VALUE"""),"Parag Kashyap")</f>
        <v>Parag Kashyap</v>
      </c>
      <c r="C5588" s="115" t="str">
        <f>IFERROR(__xludf.DUMMYFUNCTION("""COMPUTED_VALUE"""),"FLIPKART")</f>
        <v>FLIPKART</v>
      </c>
      <c r="D5588" s="115">
        <f>IFERROR(__xludf.DUMMYFUNCTION("""COMPUTED_VALUE"""),300665.0)</f>
        <v>300665</v>
      </c>
      <c r="E5588" s="115">
        <f>IFERROR(__xludf.DUMMYFUNCTION("""COMPUTED_VALUE"""),21331.0)</f>
        <v>21331</v>
      </c>
      <c r="F5588" s="115">
        <f>IFERROR(__xludf.DUMMYFUNCTION("""COMPUTED_VALUE"""),237981.0)</f>
        <v>237981</v>
      </c>
      <c r="G5588" s="115">
        <f>IFERROR(__xludf.DUMMYFUNCTION("""COMPUTED_VALUE"""),16012.0)</f>
        <v>16012</v>
      </c>
      <c r="H5588" s="116">
        <f>IFERROR(__xludf.DUMMYFUNCTION("""COMPUTED_VALUE"""),45910.0)</f>
        <v>45910</v>
      </c>
      <c r="I5588" s="115" t="str">
        <f>IFERROR(__xludf.DUMMYFUNCTION("""COMPUTED_VALUE"""),"22")</f>
        <v>22</v>
      </c>
      <c r="J5588" s="115"/>
      <c r="K5588" s="115">
        <f>IFERROR(__xludf.DUMMYFUNCTION("""COMPUTED_VALUE"""),321996.0)</f>
        <v>321996</v>
      </c>
    </row>
    <row r="5589">
      <c r="A5589" s="115" t="str">
        <f>IFERROR(__xludf.DUMMYFUNCTION("""COMPUTED_VALUE"""),"EAST")</f>
        <v>EAST</v>
      </c>
      <c r="B5589" s="115" t="str">
        <f>IFERROR(__xludf.DUMMYFUNCTION("""COMPUTED_VALUE"""),"Parag Kashyap")</f>
        <v>Parag Kashyap</v>
      </c>
      <c r="C5589" s="115" t="str">
        <f>IFERROR(__xludf.DUMMYFUNCTION("""COMPUTED_VALUE"""),"MYNTRA")</f>
        <v>MYNTRA</v>
      </c>
      <c r="D5589" s="115">
        <f>IFERROR(__xludf.DUMMYFUNCTION("""COMPUTED_VALUE"""),38398.0)</f>
        <v>38398</v>
      </c>
      <c r="E5589" s="115">
        <f>IFERROR(__xludf.DUMMYFUNCTION("""COMPUTED_VALUE"""),6057.0)</f>
        <v>6057</v>
      </c>
      <c r="F5589" s="115">
        <f>IFERROR(__xludf.DUMMYFUNCTION("""COMPUTED_VALUE"""),31268.0)</f>
        <v>31268</v>
      </c>
      <c r="G5589" s="115">
        <f>IFERROR(__xludf.DUMMYFUNCTION("""COMPUTED_VALUE"""),4550.0)</f>
        <v>4550</v>
      </c>
      <c r="H5589" s="116">
        <f>IFERROR(__xludf.DUMMYFUNCTION("""COMPUTED_VALUE"""),45910.0)</f>
        <v>45910</v>
      </c>
      <c r="I5589" s="115" t="str">
        <f>IFERROR(__xludf.DUMMYFUNCTION("""COMPUTED_VALUE"""),"22")</f>
        <v>22</v>
      </c>
      <c r="J5589" s="115"/>
      <c r="K5589" s="115">
        <f>IFERROR(__xludf.DUMMYFUNCTION("""COMPUTED_VALUE"""),44455.0)</f>
        <v>44455</v>
      </c>
    </row>
    <row r="5590">
      <c r="A5590" s="115" t="str">
        <f>IFERROR(__xludf.DUMMYFUNCTION("""COMPUTED_VALUE"""),"NORTH")</f>
        <v>NORTH</v>
      </c>
      <c r="B5590" s="115" t="str">
        <f>IFERROR(__xludf.DUMMYFUNCTION("""COMPUTED_VALUE"""),"Amit Kumar Pathak")</f>
        <v>Amit Kumar Pathak</v>
      </c>
      <c r="C5590" s="115" t="str">
        <f>IFERROR(__xludf.DUMMYFUNCTION("""COMPUTED_VALUE"""),"EXTERNAL")</f>
        <v>EXTERNAL</v>
      </c>
      <c r="D5590" s="115">
        <f>IFERROR(__xludf.DUMMYFUNCTION("""COMPUTED_VALUE"""),23700.0)</f>
        <v>23700</v>
      </c>
      <c r="E5590" s="115">
        <f>IFERROR(__xludf.DUMMYFUNCTION("""COMPUTED_VALUE"""),4074.0)</f>
        <v>4074</v>
      </c>
      <c r="F5590" s="115">
        <f>IFERROR(__xludf.DUMMYFUNCTION("""COMPUTED_VALUE"""),8928.0)</f>
        <v>8928</v>
      </c>
      <c r="G5590" s="115">
        <f>IFERROR(__xludf.DUMMYFUNCTION("""COMPUTED_VALUE"""),2010.0)</f>
        <v>2010</v>
      </c>
      <c r="H5590" s="116">
        <f>IFERROR(__xludf.DUMMYFUNCTION("""COMPUTED_VALUE"""),45910.0)</f>
        <v>45910</v>
      </c>
      <c r="I5590" s="115" t="str">
        <f>IFERROR(__xludf.DUMMYFUNCTION("""COMPUTED_VALUE"""),"22")</f>
        <v>22</v>
      </c>
      <c r="J5590" s="115"/>
      <c r="K5590" s="115">
        <f>IFERROR(__xludf.DUMMYFUNCTION("""COMPUTED_VALUE"""),27774.0)</f>
        <v>27774</v>
      </c>
    </row>
    <row r="5591">
      <c r="A5591" s="115" t="str">
        <f>IFERROR(__xludf.DUMMYFUNCTION("""COMPUTED_VALUE"""),"NORTH")</f>
        <v>NORTH</v>
      </c>
      <c r="B5591" s="115" t="str">
        <f>IFERROR(__xludf.DUMMYFUNCTION("""COMPUTED_VALUE"""),"Amit Kumar Pathak")</f>
        <v>Amit Kumar Pathak</v>
      </c>
      <c r="C5591" s="115" t="str">
        <f>IFERROR(__xludf.DUMMYFUNCTION("""COMPUTED_VALUE"""),"FLIPKART")</f>
        <v>FLIPKART</v>
      </c>
      <c r="D5591" s="115">
        <f>IFERROR(__xludf.DUMMYFUNCTION("""COMPUTED_VALUE"""),192071.0)</f>
        <v>192071</v>
      </c>
      <c r="E5591" s="115">
        <f>IFERROR(__xludf.DUMMYFUNCTION("""COMPUTED_VALUE"""),23228.0)</f>
        <v>23228</v>
      </c>
      <c r="F5591" s="115">
        <f>IFERROR(__xludf.DUMMYFUNCTION("""COMPUTED_VALUE"""),153094.0)</f>
        <v>153094</v>
      </c>
      <c r="G5591" s="115">
        <f>IFERROR(__xludf.DUMMYFUNCTION("""COMPUTED_VALUE"""),16520.0)</f>
        <v>16520</v>
      </c>
      <c r="H5591" s="116">
        <f>IFERROR(__xludf.DUMMYFUNCTION("""COMPUTED_VALUE"""),45910.0)</f>
        <v>45910</v>
      </c>
      <c r="I5591" s="115" t="str">
        <f>IFERROR(__xludf.DUMMYFUNCTION("""COMPUTED_VALUE"""),"22")</f>
        <v>22</v>
      </c>
      <c r="J5591" s="115"/>
      <c r="K5591" s="115">
        <f>IFERROR(__xludf.DUMMYFUNCTION("""COMPUTED_VALUE"""),215299.0)</f>
        <v>215299</v>
      </c>
    </row>
    <row r="5592">
      <c r="A5592" s="115" t="str">
        <f>IFERROR(__xludf.DUMMYFUNCTION("""COMPUTED_VALUE"""),"NORTH")</f>
        <v>NORTH</v>
      </c>
      <c r="B5592" s="115" t="str">
        <f>IFERROR(__xludf.DUMMYFUNCTION("""COMPUTED_VALUE"""),"Amit Kumar Pathak")</f>
        <v>Amit Kumar Pathak</v>
      </c>
      <c r="C5592" s="115" t="str">
        <f>IFERROR(__xludf.DUMMYFUNCTION("""COMPUTED_VALUE"""),"MYNTRA")</f>
        <v>MYNTRA</v>
      </c>
      <c r="D5592" s="115">
        <f>IFERROR(__xludf.DUMMYFUNCTION("""COMPUTED_VALUE"""),15465.0)</f>
        <v>15465</v>
      </c>
      <c r="E5592" s="115">
        <f>IFERROR(__xludf.DUMMYFUNCTION("""COMPUTED_VALUE"""),5935.0)</f>
        <v>5935</v>
      </c>
      <c r="F5592" s="115">
        <f>IFERROR(__xludf.DUMMYFUNCTION("""COMPUTED_VALUE"""),13405.0)</f>
        <v>13405</v>
      </c>
      <c r="G5592" s="115">
        <f>IFERROR(__xludf.DUMMYFUNCTION("""COMPUTED_VALUE"""),4383.0)</f>
        <v>4383</v>
      </c>
      <c r="H5592" s="116">
        <f>IFERROR(__xludf.DUMMYFUNCTION("""COMPUTED_VALUE"""),45910.0)</f>
        <v>45910</v>
      </c>
      <c r="I5592" s="115" t="str">
        <f>IFERROR(__xludf.DUMMYFUNCTION("""COMPUTED_VALUE"""),"22")</f>
        <v>22</v>
      </c>
      <c r="J5592" s="115"/>
      <c r="K5592" s="115">
        <f>IFERROR(__xludf.DUMMYFUNCTION("""COMPUTED_VALUE"""),21400.0)</f>
        <v>21400</v>
      </c>
    </row>
    <row r="5593">
      <c r="A5593" s="115" t="str">
        <f>IFERROR(__xludf.DUMMYFUNCTION("""COMPUTED_VALUE"""),"NORTH")</f>
        <v>NORTH</v>
      </c>
      <c r="B5593" s="115" t="str">
        <f>IFERROR(__xludf.DUMMYFUNCTION("""COMPUTED_VALUE"""),"Loveleen Singh")</f>
        <v>Loveleen Singh</v>
      </c>
      <c r="C5593" s="115" t="str">
        <f>IFERROR(__xludf.DUMMYFUNCTION("""COMPUTED_VALUE"""),"EXTERNAL")</f>
        <v>EXTERNAL</v>
      </c>
      <c r="D5593" s="115">
        <f>IFERROR(__xludf.DUMMYFUNCTION("""COMPUTED_VALUE"""),30851.0)</f>
        <v>30851</v>
      </c>
      <c r="E5593" s="115">
        <f>IFERROR(__xludf.DUMMYFUNCTION("""COMPUTED_VALUE"""),2752.0)</f>
        <v>2752</v>
      </c>
      <c r="F5593" s="115">
        <f>IFERROR(__xludf.DUMMYFUNCTION("""COMPUTED_VALUE"""),12462.0)</f>
        <v>12462</v>
      </c>
      <c r="G5593" s="115">
        <f>IFERROR(__xludf.DUMMYFUNCTION("""COMPUTED_VALUE"""),1034.0)</f>
        <v>1034</v>
      </c>
      <c r="H5593" s="116">
        <f>IFERROR(__xludf.DUMMYFUNCTION("""COMPUTED_VALUE"""),45910.0)</f>
        <v>45910</v>
      </c>
      <c r="I5593" s="115" t="str">
        <f>IFERROR(__xludf.DUMMYFUNCTION("""COMPUTED_VALUE"""),"22")</f>
        <v>22</v>
      </c>
      <c r="J5593" s="115"/>
      <c r="K5593" s="115">
        <f>IFERROR(__xludf.DUMMYFUNCTION("""COMPUTED_VALUE"""),33603.0)</f>
        <v>33603</v>
      </c>
    </row>
    <row r="5594">
      <c r="A5594" s="115" t="str">
        <f>IFERROR(__xludf.DUMMYFUNCTION("""COMPUTED_VALUE"""),"NORTH")</f>
        <v>NORTH</v>
      </c>
      <c r="B5594" s="115" t="str">
        <f>IFERROR(__xludf.DUMMYFUNCTION("""COMPUTED_VALUE"""),"Loveleen Singh")</f>
        <v>Loveleen Singh</v>
      </c>
      <c r="C5594" s="115" t="str">
        <f>IFERROR(__xludf.DUMMYFUNCTION("""COMPUTED_VALUE"""),"FLIPKART")</f>
        <v>FLIPKART</v>
      </c>
      <c r="D5594" s="115">
        <f>IFERROR(__xludf.DUMMYFUNCTION("""COMPUTED_VALUE"""),176755.0)</f>
        <v>176755</v>
      </c>
      <c r="E5594" s="115">
        <f>IFERROR(__xludf.DUMMYFUNCTION("""COMPUTED_VALUE"""),15225.0)</f>
        <v>15225</v>
      </c>
      <c r="F5594" s="115">
        <f>IFERROR(__xludf.DUMMYFUNCTION("""COMPUTED_VALUE"""),135611.0)</f>
        <v>135611</v>
      </c>
      <c r="G5594" s="115">
        <f>IFERROR(__xludf.DUMMYFUNCTION("""COMPUTED_VALUE"""),10283.0)</f>
        <v>10283</v>
      </c>
      <c r="H5594" s="116">
        <f>IFERROR(__xludf.DUMMYFUNCTION("""COMPUTED_VALUE"""),45910.0)</f>
        <v>45910</v>
      </c>
      <c r="I5594" s="115" t="str">
        <f>IFERROR(__xludf.DUMMYFUNCTION("""COMPUTED_VALUE"""),"22")</f>
        <v>22</v>
      </c>
      <c r="J5594" s="115"/>
      <c r="K5594" s="115">
        <f>IFERROR(__xludf.DUMMYFUNCTION("""COMPUTED_VALUE"""),191980.0)</f>
        <v>191980</v>
      </c>
    </row>
    <row r="5595">
      <c r="A5595" s="115" t="str">
        <f>IFERROR(__xludf.DUMMYFUNCTION("""COMPUTED_VALUE"""),"NORTH")</f>
        <v>NORTH</v>
      </c>
      <c r="B5595" s="115" t="str">
        <f>IFERROR(__xludf.DUMMYFUNCTION("""COMPUTED_VALUE"""),"Loveleen Singh")</f>
        <v>Loveleen Singh</v>
      </c>
      <c r="C5595" s="115" t="str">
        <f>IFERROR(__xludf.DUMMYFUNCTION("""COMPUTED_VALUE"""),"MYNTRA")</f>
        <v>MYNTRA</v>
      </c>
      <c r="D5595" s="115">
        <f>IFERROR(__xludf.DUMMYFUNCTION("""COMPUTED_VALUE"""),29470.0)</f>
        <v>29470</v>
      </c>
      <c r="E5595" s="115">
        <f>IFERROR(__xludf.DUMMYFUNCTION("""COMPUTED_VALUE"""),7158.0)</f>
        <v>7158</v>
      </c>
      <c r="F5595" s="115">
        <f>IFERROR(__xludf.DUMMYFUNCTION("""COMPUTED_VALUE"""),24617.0)</f>
        <v>24617</v>
      </c>
      <c r="G5595" s="115">
        <f>IFERROR(__xludf.DUMMYFUNCTION("""COMPUTED_VALUE"""),5272.0)</f>
        <v>5272</v>
      </c>
      <c r="H5595" s="116">
        <f>IFERROR(__xludf.DUMMYFUNCTION("""COMPUTED_VALUE"""),45910.0)</f>
        <v>45910</v>
      </c>
      <c r="I5595" s="115" t="str">
        <f>IFERROR(__xludf.DUMMYFUNCTION("""COMPUTED_VALUE"""),"22")</f>
        <v>22</v>
      </c>
      <c r="J5595" s="115"/>
      <c r="K5595" s="115">
        <f>IFERROR(__xludf.DUMMYFUNCTION("""COMPUTED_VALUE"""),36628.0)</f>
        <v>36628</v>
      </c>
    </row>
    <row r="5596">
      <c r="A5596" s="115" t="str">
        <f>IFERROR(__xludf.DUMMYFUNCTION("""COMPUTED_VALUE"""),"NORTH")</f>
        <v>NORTH</v>
      </c>
      <c r="B5596" s="115" t="str">
        <f>IFERROR(__xludf.DUMMYFUNCTION("""COMPUTED_VALUE"""),"Manoj Harsh")</f>
        <v>Manoj Harsh</v>
      </c>
      <c r="C5596" s="115" t="str">
        <f>IFERROR(__xludf.DUMMYFUNCTION("""COMPUTED_VALUE"""),"EXTERNAL")</f>
        <v>EXTERNAL</v>
      </c>
      <c r="D5596" s="115">
        <f>IFERROR(__xludf.DUMMYFUNCTION("""COMPUTED_VALUE"""),31413.0)</f>
        <v>31413</v>
      </c>
      <c r="E5596" s="115">
        <f>IFERROR(__xludf.DUMMYFUNCTION("""COMPUTED_VALUE"""),3532.0)</f>
        <v>3532</v>
      </c>
      <c r="F5596" s="115">
        <f>IFERROR(__xludf.DUMMYFUNCTION("""COMPUTED_VALUE"""),14131.0)</f>
        <v>14131</v>
      </c>
      <c r="G5596" s="115">
        <f>IFERROR(__xludf.DUMMYFUNCTION("""COMPUTED_VALUE"""),1307.0)</f>
        <v>1307</v>
      </c>
      <c r="H5596" s="116">
        <f>IFERROR(__xludf.DUMMYFUNCTION("""COMPUTED_VALUE"""),45910.0)</f>
        <v>45910</v>
      </c>
      <c r="I5596" s="115" t="str">
        <f>IFERROR(__xludf.DUMMYFUNCTION("""COMPUTED_VALUE"""),"22")</f>
        <v>22</v>
      </c>
      <c r="J5596" s="115"/>
      <c r="K5596" s="115">
        <f>IFERROR(__xludf.DUMMYFUNCTION("""COMPUTED_VALUE"""),34945.0)</f>
        <v>34945</v>
      </c>
    </row>
    <row r="5597">
      <c r="A5597" s="115" t="str">
        <f>IFERROR(__xludf.DUMMYFUNCTION("""COMPUTED_VALUE"""),"NORTH")</f>
        <v>NORTH</v>
      </c>
      <c r="B5597" s="115" t="str">
        <f>IFERROR(__xludf.DUMMYFUNCTION("""COMPUTED_VALUE"""),"Manoj Harsh")</f>
        <v>Manoj Harsh</v>
      </c>
      <c r="C5597" s="115" t="str">
        <f>IFERROR(__xludf.DUMMYFUNCTION("""COMPUTED_VALUE"""),"FLIPKART")</f>
        <v>FLIPKART</v>
      </c>
      <c r="D5597" s="115">
        <f>IFERROR(__xludf.DUMMYFUNCTION("""COMPUTED_VALUE"""),378625.0)</f>
        <v>378625</v>
      </c>
      <c r="E5597" s="115">
        <f>IFERROR(__xludf.DUMMYFUNCTION("""COMPUTED_VALUE"""),40285.0)</f>
        <v>40285</v>
      </c>
      <c r="F5597" s="115">
        <f>IFERROR(__xludf.DUMMYFUNCTION("""COMPUTED_VALUE"""),285961.0)</f>
        <v>285961</v>
      </c>
      <c r="G5597" s="115">
        <f>IFERROR(__xludf.DUMMYFUNCTION("""COMPUTED_VALUE"""),27949.0)</f>
        <v>27949</v>
      </c>
      <c r="H5597" s="116">
        <f>IFERROR(__xludf.DUMMYFUNCTION("""COMPUTED_VALUE"""),45910.0)</f>
        <v>45910</v>
      </c>
      <c r="I5597" s="115" t="str">
        <f>IFERROR(__xludf.DUMMYFUNCTION("""COMPUTED_VALUE"""),"22")</f>
        <v>22</v>
      </c>
      <c r="J5597" s="115"/>
      <c r="K5597" s="115">
        <f>IFERROR(__xludf.DUMMYFUNCTION("""COMPUTED_VALUE"""),418910.0)</f>
        <v>418910</v>
      </c>
    </row>
    <row r="5598">
      <c r="A5598" s="115" t="str">
        <f>IFERROR(__xludf.DUMMYFUNCTION("""COMPUTED_VALUE"""),"NORTH")</f>
        <v>NORTH</v>
      </c>
      <c r="B5598" s="115" t="str">
        <f>IFERROR(__xludf.DUMMYFUNCTION("""COMPUTED_VALUE"""),"Manoj Harsh")</f>
        <v>Manoj Harsh</v>
      </c>
      <c r="C5598" s="115" t="str">
        <f>IFERROR(__xludf.DUMMYFUNCTION("""COMPUTED_VALUE"""),"MYNTRA")</f>
        <v>MYNTRA</v>
      </c>
      <c r="D5598" s="115">
        <f>IFERROR(__xludf.DUMMYFUNCTION("""COMPUTED_VALUE"""),32380.0)</f>
        <v>32380</v>
      </c>
      <c r="E5598" s="115">
        <f>IFERROR(__xludf.DUMMYFUNCTION("""COMPUTED_VALUE"""),8143.0)</f>
        <v>8143</v>
      </c>
      <c r="F5598" s="115">
        <f>IFERROR(__xludf.DUMMYFUNCTION("""COMPUTED_VALUE"""),26028.0)</f>
        <v>26028</v>
      </c>
      <c r="G5598" s="115">
        <f>IFERROR(__xludf.DUMMYFUNCTION("""COMPUTED_VALUE"""),6204.0)</f>
        <v>6204</v>
      </c>
      <c r="H5598" s="116">
        <f>IFERROR(__xludf.DUMMYFUNCTION("""COMPUTED_VALUE"""),45910.0)</f>
        <v>45910</v>
      </c>
      <c r="I5598" s="115" t="str">
        <f>IFERROR(__xludf.DUMMYFUNCTION("""COMPUTED_VALUE"""),"22")</f>
        <v>22</v>
      </c>
      <c r="J5598" s="115"/>
      <c r="K5598" s="115">
        <f>IFERROR(__xludf.DUMMYFUNCTION("""COMPUTED_VALUE"""),40523.0)</f>
        <v>40523</v>
      </c>
    </row>
    <row r="5599">
      <c r="A5599" s="115" t="str">
        <f>IFERROR(__xludf.DUMMYFUNCTION("""COMPUTED_VALUE"""),"NORTH")</f>
        <v>NORTH</v>
      </c>
      <c r="B5599" s="115" t="str">
        <f>IFERROR(__xludf.DUMMYFUNCTION("""COMPUTED_VALUE"""),"Pradeep Kothari")</f>
        <v>Pradeep Kothari</v>
      </c>
      <c r="C5599" s="115" t="str">
        <f>IFERROR(__xludf.DUMMYFUNCTION("""COMPUTED_VALUE"""),"EXTERNAL")</f>
        <v>EXTERNAL</v>
      </c>
      <c r="D5599" s="115">
        <f>IFERROR(__xludf.DUMMYFUNCTION("""COMPUTED_VALUE"""),18115.0)</f>
        <v>18115</v>
      </c>
      <c r="E5599" s="115">
        <f>IFERROR(__xludf.DUMMYFUNCTION("""COMPUTED_VALUE"""),2379.0)</f>
        <v>2379</v>
      </c>
      <c r="F5599" s="115">
        <f>IFERROR(__xludf.DUMMYFUNCTION("""COMPUTED_VALUE"""),7606.0)</f>
        <v>7606</v>
      </c>
      <c r="G5599" s="115">
        <f>IFERROR(__xludf.DUMMYFUNCTION("""COMPUTED_VALUE"""),975.0)</f>
        <v>975</v>
      </c>
      <c r="H5599" s="116">
        <f>IFERROR(__xludf.DUMMYFUNCTION("""COMPUTED_VALUE"""),45910.0)</f>
        <v>45910</v>
      </c>
      <c r="I5599" s="115" t="str">
        <f>IFERROR(__xludf.DUMMYFUNCTION("""COMPUTED_VALUE"""),"22")</f>
        <v>22</v>
      </c>
      <c r="J5599" s="115"/>
      <c r="K5599" s="115">
        <f>IFERROR(__xludf.DUMMYFUNCTION("""COMPUTED_VALUE"""),20494.0)</f>
        <v>20494</v>
      </c>
    </row>
    <row r="5600">
      <c r="A5600" s="115" t="str">
        <f>IFERROR(__xludf.DUMMYFUNCTION("""COMPUTED_VALUE"""),"NORTH")</f>
        <v>NORTH</v>
      </c>
      <c r="B5600" s="115" t="str">
        <f>IFERROR(__xludf.DUMMYFUNCTION("""COMPUTED_VALUE"""),"Pradeep Kothari")</f>
        <v>Pradeep Kothari</v>
      </c>
      <c r="C5600" s="115" t="str">
        <f>IFERROR(__xludf.DUMMYFUNCTION("""COMPUTED_VALUE"""),"FLIPKART")</f>
        <v>FLIPKART</v>
      </c>
      <c r="D5600" s="115">
        <f>IFERROR(__xludf.DUMMYFUNCTION("""COMPUTED_VALUE"""),147279.0)</f>
        <v>147279</v>
      </c>
      <c r="E5600" s="115">
        <f>IFERROR(__xludf.DUMMYFUNCTION("""COMPUTED_VALUE"""),16797.0)</f>
        <v>16797</v>
      </c>
      <c r="F5600" s="115">
        <f>IFERROR(__xludf.DUMMYFUNCTION("""COMPUTED_VALUE"""),114851.0)</f>
        <v>114851</v>
      </c>
      <c r="G5600" s="115">
        <f>IFERROR(__xludf.DUMMYFUNCTION("""COMPUTED_VALUE"""),11857.0)</f>
        <v>11857</v>
      </c>
      <c r="H5600" s="116">
        <f>IFERROR(__xludf.DUMMYFUNCTION("""COMPUTED_VALUE"""),45910.0)</f>
        <v>45910</v>
      </c>
      <c r="I5600" s="115" t="str">
        <f>IFERROR(__xludf.DUMMYFUNCTION("""COMPUTED_VALUE"""),"22")</f>
        <v>22</v>
      </c>
      <c r="J5600" s="115"/>
      <c r="K5600" s="115">
        <f>IFERROR(__xludf.DUMMYFUNCTION("""COMPUTED_VALUE"""),164076.0)</f>
        <v>164076</v>
      </c>
    </row>
    <row r="5601">
      <c r="A5601" s="115" t="str">
        <f>IFERROR(__xludf.DUMMYFUNCTION("""COMPUTED_VALUE"""),"NORTH")</f>
        <v>NORTH</v>
      </c>
      <c r="B5601" s="115" t="str">
        <f>IFERROR(__xludf.DUMMYFUNCTION("""COMPUTED_VALUE"""),"Pradeep Kothari")</f>
        <v>Pradeep Kothari</v>
      </c>
      <c r="C5601" s="115" t="str">
        <f>IFERROR(__xludf.DUMMYFUNCTION("""COMPUTED_VALUE"""),"MYNTRA")</f>
        <v>MYNTRA</v>
      </c>
      <c r="D5601" s="115">
        <f>IFERROR(__xludf.DUMMYFUNCTION("""COMPUTED_VALUE"""),23257.0)</f>
        <v>23257</v>
      </c>
      <c r="E5601" s="115">
        <f>IFERROR(__xludf.DUMMYFUNCTION("""COMPUTED_VALUE"""),7212.0)</f>
        <v>7212</v>
      </c>
      <c r="F5601" s="115">
        <f>IFERROR(__xludf.DUMMYFUNCTION("""COMPUTED_VALUE"""),19468.0)</f>
        <v>19468</v>
      </c>
      <c r="G5601" s="115">
        <f>IFERROR(__xludf.DUMMYFUNCTION("""COMPUTED_VALUE"""),5607.0)</f>
        <v>5607</v>
      </c>
      <c r="H5601" s="116">
        <f>IFERROR(__xludf.DUMMYFUNCTION("""COMPUTED_VALUE"""),45910.0)</f>
        <v>45910</v>
      </c>
      <c r="I5601" s="115" t="str">
        <f>IFERROR(__xludf.DUMMYFUNCTION("""COMPUTED_VALUE"""),"22")</f>
        <v>22</v>
      </c>
      <c r="J5601" s="115"/>
      <c r="K5601" s="115">
        <f>IFERROR(__xludf.DUMMYFUNCTION("""COMPUTED_VALUE"""),30469.0)</f>
        <v>30469</v>
      </c>
    </row>
    <row r="5602">
      <c r="A5602" s="115" t="str">
        <f>IFERROR(__xludf.DUMMYFUNCTION("""COMPUTED_VALUE"""),"SOUTH")</f>
        <v>SOUTH</v>
      </c>
      <c r="B5602" s="115" t="str">
        <f>IFERROR(__xludf.DUMMYFUNCTION("""COMPUTED_VALUE"""),"0")</f>
        <v>0</v>
      </c>
      <c r="C5602" s="115" t="str">
        <f>IFERROR(__xludf.DUMMYFUNCTION("""COMPUTED_VALUE"""),"EXTERNAL")</f>
        <v>EXTERNAL</v>
      </c>
      <c r="D5602" s="115">
        <f>IFERROR(__xludf.DUMMYFUNCTION("""COMPUTED_VALUE"""),2.0)</f>
        <v>2</v>
      </c>
      <c r="E5602" s="115">
        <f>IFERROR(__xludf.DUMMYFUNCTION("""COMPUTED_VALUE"""),0.0)</f>
        <v>0</v>
      </c>
      <c r="F5602" s="115">
        <f>IFERROR(__xludf.DUMMYFUNCTION("""COMPUTED_VALUE"""),1.0)</f>
        <v>1</v>
      </c>
      <c r="G5602" s="115">
        <f>IFERROR(__xludf.DUMMYFUNCTION("""COMPUTED_VALUE"""),0.0)</f>
        <v>0</v>
      </c>
      <c r="H5602" s="116">
        <f>IFERROR(__xludf.DUMMYFUNCTION("""COMPUTED_VALUE"""),45910.0)</f>
        <v>45910</v>
      </c>
      <c r="I5602" s="115" t="str">
        <f>IFERROR(__xludf.DUMMYFUNCTION("""COMPUTED_VALUE"""),"22")</f>
        <v>22</v>
      </c>
      <c r="J5602" s="115"/>
      <c r="K5602" s="115">
        <f>IFERROR(__xludf.DUMMYFUNCTION("""COMPUTED_VALUE"""),2.0)</f>
        <v>2</v>
      </c>
    </row>
    <row r="5603">
      <c r="A5603" s="115" t="str">
        <f>IFERROR(__xludf.DUMMYFUNCTION("""COMPUTED_VALUE"""),"SOUTH")</f>
        <v>SOUTH</v>
      </c>
      <c r="B5603" s="115" t="str">
        <f>IFERROR(__xludf.DUMMYFUNCTION("""COMPUTED_VALUE"""),"0")</f>
        <v>0</v>
      </c>
      <c r="C5603" s="115" t="str">
        <f>IFERROR(__xludf.DUMMYFUNCTION("""COMPUTED_VALUE"""),"FLIPKART")</f>
        <v>FLIPKART</v>
      </c>
      <c r="D5603" s="115">
        <f>IFERROR(__xludf.DUMMYFUNCTION("""COMPUTED_VALUE"""),78.0)</f>
        <v>78</v>
      </c>
      <c r="E5603" s="115">
        <f>IFERROR(__xludf.DUMMYFUNCTION("""COMPUTED_VALUE"""),12.0)</f>
        <v>12</v>
      </c>
      <c r="F5603" s="115">
        <f>IFERROR(__xludf.DUMMYFUNCTION("""COMPUTED_VALUE"""),64.0)</f>
        <v>64</v>
      </c>
      <c r="G5603" s="115">
        <f>IFERROR(__xludf.DUMMYFUNCTION("""COMPUTED_VALUE"""),6.0)</f>
        <v>6</v>
      </c>
      <c r="H5603" s="116">
        <f>IFERROR(__xludf.DUMMYFUNCTION("""COMPUTED_VALUE"""),45910.0)</f>
        <v>45910</v>
      </c>
      <c r="I5603" s="115" t="str">
        <f>IFERROR(__xludf.DUMMYFUNCTION("""COMPUTED_VALUE"""),"22")</f>
        <v>22</v>
      </c>
      <c r="J5603" s="115"/>
      <c r="K5603" s="115">
        <f>IFERROR(__xludf.DUMMYFUNCTION("""COMPUTED_VALUE"""),90.0)</f>
        <v>90</v>
      </c>
    </row>
    <row r="5604">
      <c r="A5604" s="115" t="str">
        <f>IFERROR(__xludf.DUMMYFUNCTION("""COMPUTED_VALUE"""),"SOUTH")</f>
        <v>SOUTH</v>
      </c>
      <c r="B5604" s="115" t="str">
        <f>IFERROR(__xludf.DUMMYFUNCTION("""COMPUTED_VALUE"""),"0")</f>
        <v>0</v>
      </c>
      <c r="C5604" s="115" t="str">
        <f>IFERROR(__xludf.DUMMYFUNCTION("""COMPUTED_VALUE"""),"MYNTRA")</f>
        <v>MYNTRA</v>
      </c>
      <c r="D5604" s="115">
        <f>IFERROR(__xludf.DUMMYFUNCTION("""COMPUTED_VALUE"""),14.0)</f>
        <v>14</v>
      </c>
      <c r="E5604" s="115">
        <f>IFERROR(__xludf.DUMMYFUNCTION("""COMPUTED_VALUE"""),9.0)</f>
        <v>9</v>
      </c>
      <c r="F5604" s="115">
        <f>IFERROR(__xludf.DUMMYFUNCTION("""COMPUTED_VALUE"""),11.0)</f>
        <v>11</v>
      </c>
      <c r="G5604" s="115">
        <f>IFERROR(__xludf.DUMMYFUNCTION("""COMPUTED_VALUE"""),5.0)</f>
        <v>5</v>
      </c>
      <c r="H5604" s="116">
        <f>IFERROR(__xludf.DUMMYFUNCTION("""COMPUTED_VALUE"""),45910.0)</f>
        <v>45910</v>
      </c>
      <c r="I5604" s="115" t="str">
        <f>IFERROR(__xludf.DUMMYFUNCTION("""COMPUTED_VALUE"""),"22")</f>
        <v>22</v>
      </c>
      <c r="J5604" s="115"/>
      <c r="K5604" s="115">
        <f>IFERROR(__xludf.DUMMYFUNCTION("""COMPUTED_VALUE"""),23.0)</f>
        <v>23</v>
      </c>
    </row>
    <row r="5605">
      <c r="A5605" s="115" t="str">
        <f>IFERROR(__xludf.DUMMYFUNCTION("""COMPUTED_VALUE"""),"SOUTH")</f>
        <v>SOUTH</v>
      </c>
      <c r="B5605" s="115" t="str">
        <f>IFERROR(__xludf.DUMMYFUNCTION("""COMPUTED_VALUE"""),"Kandula Sampath")</f>
        <v>Kandula Sampath</v>
      </c>
      <c r="C5605" s="115" t="str">
        <f>IFERROR(__xludf.DUMMYFUNCTION("""COMPUTED_VALUE"""),"EXTERNAL")</f>
        <v>EXTERNAL</v>
      </c>
      <c r="D5605" s="115">
        <f>IFERROR(__xludf.DUMMYFUNCTION("""COMPUTED_VALUE"""),30965.0)</f>
        <v>30965</v>
      </c>
      <c r="E5605" s="115">
        <f>IFERROR(__xludf.DUMMYFUNCTION("""COMPUTED_VALUE"""),4295.0)</f>
        <v>4295</v>
      </c>
      <c r="F5605" s="115">
        <f>IFERROR(__xludf.DUMMYFUNCTION("""COMPUTED_VALUE"""),14033.0)</f>
        <v>14033</v>
      </c>
      <c r="G5605" s="115">
        <f>IFERROR(__xludf.DUMMYFUNCTION("""COMPUTED_VALUE"""),1861.0)</f>
        <v>1861</v>
      </c>
      <c r="H5605" s="116">
        <f>IFERROR(__xludf.DUMMYFUNCTION("""COMPUTED_VALUE"""),45910.0)</f>
        <v>45910</v>
      </c>
      <c r="I5605" s="115" t="str">
        <f>IFERROR(__xludf.DUMMYFUNCTION("""COMPUTED_VALUE"""),"22")</f>
        <v>22</v>
      </c>
      <c r="J5605" s="115"/>
      <c r="K5605" s="115">
        <f>IFERROR(__xludf.DUMMYFUNCTION("""COMPUTED_VALUE"""),35260.0)</f>
        <v>35260</v>
      </c>
    </row>
    <row r="5606">
      <c r="A5606" s="115" t="str">
        <f>IFERROR(__xludf.DUMMYFUNCTION("""COMPUTED_VALUE"""),"SOUTH")</f>
        <v>SOUTH</v>
      </c>
      <c r="B5606" s="115" t="str">
        <f>IFERROR(__xludf.DUMMYFUNCTION("""COMPUTED_VALUE"""),"Kandula Sampath")</f>
        <v>Kandula Sampath</v>
      </c>
      <c r="C5606" s="115" t="str">
        <f>IFERROR(__xludf.DUMMYFUNCTION("""COMPUTED_VALUE"""),"FLIPKART")</f>
        <v>FLIPKART</v>
      </c>
      <c r="D5606" s="115">
        <f>IFERROR(__xludf.DUMMYFUNCTION("""COMPUTED_VALUE"""),319329.0)</f>
        <v>319329</v>
      </c>
      <c r="E5606" s="115">
        <f>IFERROR(__xludf.DUMMYFUNCTION("""COMPUTED_VALUE"""),32180.0)</f>
        <v>32180</v>
      </c>
      <c r="F5606" s="115">
        <f>IFERROR(__xludf.DUMMYFUNCTION("""COMPUTED_VALUE"""),242628.0)</f>
        <v>242628</v>
      </c>
      <c r="G5606" s="115">
        <f>IFERROR(__xludf.DUMMYFUNCTION("""COMPUTED_VALUE"""),21152.0)</f>
        <v>21152</v>
      </c>
      <c r="H5606" s="116">
        <f>IFERROR(__xludf.DUMMYFUNCTION("""COMPUTED_VALUE"""),45910.0)</f>
        <v>45910</v>
      </c>
      <c r="I5606" s="115" t="str">
        <f>IFERROR(__xludf.DUMMYFUNCTION("""COMPUTED_VALUE"""),"22")</f>
        <v>22</v>
      </c>
      <c r="J5606" s="115"/>
      <c r="K5606" s="115">
        <f>IFERROR(__xludf.DUMMYFUNCTION("""COMPUTED_VALUE"""),351509.0)</f>
        <v>351509</v>
      </c>
    </row>
    <row r="5607">
      <c r="A5607" s="115" t="str">
        <f>IFERROR(__xludf.DUMMYFUNCTION("""COMPUTED_VALUE"""),"SOUTH")</f>
        <v>SOUTH</v>
      </c>
      <c r="B5607" s="115" t="str">
        <f>IFERROR(__xludf.DUMMYFUNCTION("""COMPUTED_VALUE"""),"Kandula Sampath")</f>
        <v>Kandula Sampath</v>
      </c>
      <c r="C5607" s="115" t="str">
        <f>IFERROR(__xludf.DUMMYFUNCTION("""COMPUTED_VALUE"""),"MYNTRA")</f>
        <v>MYNTRA</v>
      </c>
      <c r="D5607" s="115">
        <f>IFERROR(__xludf.DUMMYFUNCTION("""COMPUTED_VALUE"""),35257.0)</f>
        <v>35257</v>
      </c>
      <c r="E5607" s="115">
        <f>IFERROR(__xludf.DUMMYFUNCTION("""COMPUTED_VALUE"""),9753.0)</f>
        <v>9753</v>
      </c>
      <c r="F5607" s="115">
        <f>IFERROR(__xludf.DUMMYFUNCTION("""COMPUTED_VALUE"""),28998.0)</f>
        <v>28998</v>
      </c>
      <c r="G5607" s="115">
        <f>IFERROR(__xludf.DUMMYFUNCTION("""COMPUTED_VALUE"""),6698.0)</f>
        <v>6698</v>
      </c>
      <c r="H5607" s="116">
        <f>IFERROR(__xludf.DUMMYFUNCTION("""COMPUTED_VALUE"""),45910.0)</f>
        <v>45910</v>
      </c>
      <c r="I5607" s="115" t="str">
        <f>IFERROR(__xludf.DUMMYFUNCTION("""COMPUTED_VALUE"""),"22")</f>
        <v>22</v>
      </c>
      <c r="J5607" s="115"/>
      <c r="K5607" s="115">
        <f>IFERROR(__xludf.DUMMYFUNCTION("""COMPUTED_VALUE"""),45010.0)</f>
        <v>45010</v>
      </c>
    </row>
    <row r="5608">
      <c r="A5608" s="115" t="str">
        <f>IFERROR(__xludf.DUMMYFUNCTION("""COMPUTED_VALUE"""),"SOUTH")</f>
        <v>SOUTH</v>
      </c>
      <c r="B5608" s="115" t="str">
        <f>IFERROR(__xludf.DUMMYFUNCTION("""COMPUTED_VALUE"""),"Martin A")</f>
        <v>Martin A</v>
      </c>
      <c r="C5608" s="115" t="str">
        <f>IFERROR(__xludf.DUMMYFUNCTION("""COMPUTED_VALUE"""),"EXTERNAL")</f>
        <v>EXTERNAL</v>
      </c>
      <c r="D5608" s="115">
        <f>IFERROR(__xludf.DUMMYFUNCTION("""COMPUTED_VALUE"""),32561.0)</f>
        <v>32561</v>
      </c>
      <c r="E5608" s="115">
        <f>IFERROR(__xludf.DUMMYFUNCTION("""COMPUTED_VALUE"""),4275.0)</f>
        <v>4275</v>
      </c>
      <c r="F5608" s="115">
        <f>IFERROR(__xludf.DUMMYFUNCTION("""COMPUTED_VALUE"""),14894.0)</f>
        <v>14894</v>
      </c>
      <c r="G5608" s="115">
        <f>IFERROR(__xludf.DUMMYFUNCTION("""COMPUTED_VALUE"""),2322.0)</f>
        <v>2322</v>
      </c>
      <c r="H5608" s="116">
        <f>IFERROR(__xludf.DUMMYFUNCTION("""COMPUTED_VALUE"""),45910.0)</f>
        <v>45910</v>
      </c>
      <c r="I5608" s="115" t="str">
        <f>IFERROR(__xludf.DUMMYFUNCTION("""COMPUTED_VALUE"""),"22")</f>
        <v>22</v>
      </c>
      <c r="J5608" s="115"/>
      <c r="K5608" s="115">
        <f>IFERROR(__xludf.DUMMYFUNCTION("""COMPUTED_VALUE"""),36836.0)</f>
        <v>36836</v>
      </c>
    </row>
    <row r="5609">
      <c r="A5609" s="115" t="str">
        <f>IFERROR(__xludf.DUMMYFUNCTION("""COMPUTED_VALUE"""),"SOUTH")</f>
        <v>SOUTH</v>
      </c>
      <c r="B5609" s="115" t="str">
        <f>IFERROR(__xludf.DUMMYFUNCTION("""COMPUTED_VALUE"""),"Martin A")</f>
        <v>Martin A</v>
      </c>
      <c r="C5609" s="115" t="str">
        <f>IFERROR(__xludf.DUMMYFUNCTION("""COMPUTED_VALUE"""),"FLIPKART")</f>
        <v>FLIPKART</v>
      </c>
      <c r="D5609" s="115">
        <f>IFERROR(__xludf.DUMMYFUNCTION("""COMPUTED_VALUE"""),303221.0)</f>
        <v>303221</v>
      </c>
      <c r="E5609" s="115">
        <f>IFERROR(__xludf.DUMMYFUNCTION("""COMPUTED_VALUE"""),28264.0)</f>
        <v>28264</v>
      </c>
      <c r="F5609" s="115">
        <f>IFERROR(__xludf.DUMMYFUNCTION("""COMPUTED_VALUE"""),231218.0)</f>
        <v>231218</v>
      </c>
      <c r="G5609" s="115">
        <f>IFERROR(__xludf.DUMMYFUNCTION("""COMPUTED_VALUE"""),18864.0)</f>
        <v>18864</v>
      </c>
      <c r="H5609" s="116">
        <f>IFERROR(__xludf.DUMMYFUNCTION("""COMPUTED_VALUE"""),45910.0)</f>
        <v>45910</v>
      </c>
      <c r="I5609" s="115" t="str">
        <f>IFERROR(__xludf.DUMMYFUNCTION("""COMPUTED_VALUE"""),"22")</f>
        <v>22</v>
      </c>
      <c r="J5609" s="115"/>
      <c r="K5609" s="115">
        <f>IFERROR(__xludf.DUMMYFUNCTION("""COMPUTED_VALUE"""),331485.0)</f>
        <v>331485</v>
      </c>
    </row>
    <row r="5610">
      <c r="A5610" s="115" t="str">
        <f>IFERROR(__xludf.DUMMYFUNCTION("""COMPUTED_VALUE"""),"SOUTH")</f>
        <v>SOUTH</v>
      </c>
      <c r="B5610" s="115" t="str">
        <f>IFERROR(__xludf.DUMMYFUNCTION("""COMPUTED_VALUE"""),"Martin A")</f>
        <v>Martin A</v>
      </c>
      <c r="C5610" s="115" t="str">
        <f>IFERROR(__xludf.DUMMYFUNCTION("""COMPUTED_VALUE"""),"MYNTRA")</f>
        <v>MYNTRA</v>
      </c>
      <c r="D5610" s="115">
        <f>IFERROR(__xludf.DUMMYFUNCTION("""COMPUTED_VALUE"""),29478.0)</f>
        <v>29478</v>
      </c>
      <c r="E5610" s="115">
        <f>IFERROR(__xludf.DUMMYFUNCTION("""COMPUTED_VALUE"""),7265.0)</f>
        <v>7265</v>
      </c>
      <c r="F5610" s="115">
        <f>IFERROR(__xludf.DUMMYFUNCTION("""COMPUTED_VALUE"""),25290.0)</f>
        <v>25290</v>
      </c>
      <c r="G5610" s="115">
        <f>IFERROR(__xludf.DUMMYFUNCTION("""COMPUTED_VALUE"""),5139.0)</f>
        <v>5139</v>
      </c>
      <c r="H5610" s="116">
        <f>IFERROR(__xludf.DUMMYFUNCTION("""COMPUTED_VALUE"""),45910.0)</f>
        <v>45910</v>
      </c>
      <c r="I5610" s="115" t="str">
        <f>IFERROR(__xludf.DUMMYFUNCTION("""COMPUTED_VALUE"""),"22")</f>
        <v>22</v>
      </c>
      <c r="J5610" s="115"/>
      <c r="K5610" s="115">
        <f>IFERROR(__xludf.DUMMYFUNCTION("""COMPUTED_VALUE"""),36743.0)</f>
        <v>36743</v>
      </c>
    </row>
    <row r="5611">
      <c r="A5611" s="115" t="str">
        <f>IFERROR(__xludf.DUMMYFUNCTION("""COMPUTED_VALUE"""),"SOUTH")</f>
        <v>SOUTH</v>
      </c>
      <c r="B5611" s="115" t="str">
        <f>IFERROR(__xludf.DUMMYFUNCTION("""COMPUTED_VALUE"""),"Premkumar M")</f>
        <v>Premkumar M</v>
      </c>
      <c r="C5611" s="115" t="str">
        <f>IFERROR(__xludf.DUMMYFUNCTION("""COMPUTED_VALUE"""),"EXTERNAL")</f>
        <v>EXTERNAL</v>
      </c>
      <c r="D5611" s="115">
        <f>IFERROR(__xludf.DUMMYFUNCTION("""COMPUTED_VALUE"""),26000.0)</f>
        <v>26000</v>
      </c>
      <c r="E5611" s="115">
        <f>IFERROR(__xludf.DUMMYFUNCTION("""COMPUTED_VALUE"""),2150.0)</f>
        <v>2150</v>
      </c>
      <c r="F5611" s="115">
        <f>IFERROR(__xludf.DUMMYFUNCTION("""COMPUTED_VALUE"""),13489.0)</f>
        <v>13489</v>
      </c>
      <c r="G5611" s="115">
        <f>IFERROR(__xludf.DUMMYFUNCTION("""COMPUTED_VALUE"""),995.0)</f>
        <v>995</v>
      </c>
      <c r="H5611" s="116">
        <f>IFERROR(__xludf.DUMMYFUNCTION("""COMPUTED_VALUE"""),45910.0)</f>
        <v>45910</v>
      </c>
      <c r="I5611" s="115" t="str">
        <f>IFERROR(__xludf.DUMMYFUNCTION("""COMPUTED_VALUE"""),"22")</f>
        <v>22</v>
      </c>
      <c r="J5611" s="115"/>
      <c r="K5611" s="115">
        <f>IFERROR(__xludf.DUMMYFUNCTION("""COMPUTED_VALUE"""),28150.0)</f>
        <v>28150</v>
      </c>
    </row>
    <row r="5612">
      <c r="A5612" s="115" t="str">
        <f>IFERROR(__xludf.DUMMYFUNCTION("""COMPUTED_VALUE"""),"SOUTH")</f>
        <v>SOUTH</v>
      </c>
      <c r="B5612" s="115" t="str">
        <f>IFERROR(__xludf.DUMMYFUNCTION("""COMPUTED_VALUE"""),"Premkumar M")</f>
        <v>Premkumar M</v>
      </c>
      <c r="C5612" s="115" t="str">
        <f>IFERROR(__xludf.DUMMYFUNCTION("""COMPUTED_VALUE"""),"FLIPKART")</f>
        <v>FLIPKART</v>
      </c>
      <c r="D5612" s="115">
        <f>IFERROR(__xludf.DUMMYFUNCTION("""COMPUTED_VALUE"""),277479.0)</f>
        <v>277479</v>
      </c>
      <c r="E5612" s="115">
        <f>IFERROR(__xludf.DUMMYFUNCTION("""COMPUTED_VALUE"""),19168.0)</f>
        <v>19168</v>
      </c>
      <c r="F5612" s="115">
        <f>IFERROR(__xludf.DUMMYFUNCTION("""COMPUTED_VALUE"""),219197.0)</f>
        <v>219197</v>
      </c>
      <c r="G5612" s="115">
        <f>IFERROR(__xludf.DUMMYFUNCTION("""COMPUTED_VALUE"""),11369.0)</f>
        <v>11369</v>
      </c>
      <c r="H5612" s="116">
        <f>IFERROR(__xludf.DUMMYFUNCTION("""COMPUTED_VALUE"""),45910.0)</f>
        <v>45910</v>
      </c>
      <c r="I5612" s="115" t="str">
        <f>IFERROR(__xludf.DUMMYFUNCTION("""COMPUTED_VALUE"""),"22")</f>
        <v>22</v>
      </c>
      <c r="J5612" s="115"/>
      <c r="K5612" s="115">
        <f>IFERROR(__xludf.DUMMYFUNCTION("""COMPUTED_VALUE"""),296647.0)</f>
        <v>296647</v>
      </c>
    </row>
    <row r="5613">
      <c r="A5613" s="115" t="str">
        <f>IFERROR(__xludf.DUMMYFUNCTION("""COMPUTED_VALUE"""),"SOUTH")</f>
        <v>SOUTH</v>
      </c>
      <c r="B5613" s="115" t="str">
        <f>IFERROR(__xludf.DUMMYFUNCTION("""COMPUTED_VALUE"""),"Premkumar M")</f>
        <v>Premkumar M</v>
      </c>
      <c r="C5613" s="115" t="str">
        <f>IFERROR(__xludf.DUMMYFUNCTION("""COMPUTED_VALUE"""),"MYNTRA")</f>
        <v>MYNTRA</v>
      </c>
      <c r="D5613" s="115">
        <f>IFERROR(__xludf.DUMMYFUNCTION("""COMPUTED_VALUE"""),14129.0)</f>
        <v>14129</v>
      </c>
      <c r="E5613" s="115">
        <f>IFERROR(__xludf.DUMMYFUNCTION("""COMPUTED_VALUE"""),3075.0)</f>
        <v>3075</v>
      </c>
      <c r="F5613" s="115">
        <f>IFERROR(__xludf.DUMMYFUNCTION("""COMPUTED_VALUE"""),12091.0)</f>
        <v>12091</v>
      </c>
      <c r="G5613" s="115">
        <f>IFERROR(__xludf.DUMMYFUNCTION("""COMPUTED_VALUE"""),1976.0)</f>
        <v>1976</v>
      </c>
      <c r="H5613" s="116">
        <f>IFERROR(__xludf.DUMMYFUNCTION("""COMPUTED_VALUE"""),45910.0)</f>
        <v>45910</v>
      </c>
      <c r="I5613" s="115" t="str">
        <f>IFERROR(__xludf.DUMMYFUNCTION("""COMPUTED_VALUE"""),"22")</f>
        <v>22</v>
      </c>
      <c r="J5613" s="115"/>
      <c r="K5613" s="115">
        <f>IFERROR(__xludf.DUMMYFUNCTION("""COMPUTED_VALUE"""),17204.0)</f>
        <v>17204</v>
      </c>
    </row>
    <row r="5614">
      <c r="A5614" s="115" t="str">
        <f>IFERROR(__xludf.DUMMYFUNCTION("""COMPUTED_VALUE"""),"SOUTH")</f>
        <v>SOUTH</v>
      </c>
      <c r="B5614" s="115" t="str">
        <f>IFERROR(__xludf.DUMMYFUNCTION("""COMPUTED_VALUE"""),"Vineeth V")</f>
        <v>Vineeth V</v>
      </c>
      <c r="C5614" s="115" t="str">
        <f>IFERROR(__xludf.DUMMYFUNCTION("""COMPUTED_VALUE"""),"EXTERNAL")</f>
        <v>EXTERNAL</v>
      </c>
      <c r="D5614" s="115">
        <f>IFERROR(__xludf.DUMMYFUNCTION("""COMPUTED_VALUE"""),18061.0)</f>
        <v>18061</v>
      </c>
      <c r="E5614" s="115">
        <f>IFERROR(__xludf.DUMMYFUNCTION("""COMPUTED_VALUE"""),683.0)</f>
        <v>683</v>
      </c>
      <c r="F5614" s="115">
        <f>IFERROR(__xludf.DUMMYFUNCTION("""COMPUTED_VALUE"""),9282.0)</f>
        <v>9282</v>
      </c>
      <c r="G5614" s="115">
        <f>IFERROR(__xludf.DUMMYFUNCTION("""COMPUTED_VALUE"""),442.0)</f>
        <v>442</v>
      </c>
      <c r="H5614" s="116">
        <f>IFERROR(__xludf.DUMMYFUNCTION("""COMPUTED_VALUE"""),45910.0)</f>
        <v>45910</v>
      </c>
      <c r="I5614" s="115" t="str">
        <f>IFERROR(__xludf.DUMMYFUNCTION("""COMPUTED_VALUE"""),"22")</f>
        <v>22</v>
      </c>
      <c r="J5614" s="115"/>
      <c r="K5614" s="115">
        <f>IFERROR(__xludf.DUMMYFUNCTION("""COMPUTED_VALUE"""),18744.0)</f>
        <v>18744</v>
      </c>
    </row>
    <row r="5615">
      <c r="A5615" s="115" t="str">
        <f>IFERROR(__xludf.DUMMYFUNCTION("""COMPUTED_VALUE"""),"SOUTH")</f>
        <v>SOUTH</v>
      </c>
      <c r="B5615" s="115" t="str">
        <f>IFERROR(__xludf.DUMMYFUNCTION("""COMPUTED_VALUE"""),"Vineeth V")</f>
        <v>Vineeth V</v>
      </c>
      <c r="C5615" s="115" t="str">
        <f>IFERROR(__xludf.DUMMYFUNCTION("""COMPUTED_VALUE"""),"FLIPKART")</f>
        <v>FLIPKART</v>
      </c>
      <c r="D5615" s="115">
        <f>IFERROR(__xludf.DUMMYFUNCTION("""COMPUTED_VALUE"""),190530.0)</f>
        <v>190530</v>
      </c>
      <c r="E5615" s="115">
        <f>IFERROR(__xludf.DUMMYFUNCTION("""COMPUTED_VALUE"""),16163.0)</f>
        <v>16163</v>
      </c>
      <c r="F5615" s="115">
        <f>IFERROR(__xludf.DUMMYFUNCTION("""COMPUTED_VALUE"""),157934.0)</f>
        <v>157934</v>
      </c>
      <c r="G5615" s="115">
        <f>IFERROR(__xludf.DUMMYFUNCTION("""COMPUTED_VALUE"""),10850.0)</f>
        <v>10850</v>
      </c>
      <c r="H5615" s="116">
        <f>IFERROR(__xludf.DUMMYFUNCTION("""COMPUTED_VALUE"""),45910.0)</f>
        <v>45910</v>
      </c>
      <c r="I5615" s="115" t="str">
        <f>IFERROR(__xludf.DUMMYFUNCTION("""COMPUTED_VALUE"""),"22")</f>
        <v>22</v>
      </c>
      <c r="J5615" s="115"/>
      <c r="K5615" s="115">
        <f>IFERROR(__xludf.DUMMYFUNCTION("""COMPUTED_VALUE"""),206693.0)</f>
        <v>206693</v>
      </c>
    </row>
    <row r="5616">
      <c r="A5616" s="115" t="str">
        <f>IFERROR(__xludf.DUMMYFUNCTION("""COMPUTED_VALUE"""),"SOUTH")</f>
        <v>SOUTH</v>
      </c>
      <c r="B5616" s="115" t="str">
        <f>IFERROR(__xludf.DUMMYFUNCTION("""COMPUTED_VALUE"""),"Vineeth V")</f>
        <v>Vineeth V</v>
      </c>
      <c r="C5616" s="115" t="str">
        <f>IFERROR(__xludf.DUMMYFUNCTION("""COMPUTED_VALUE"""),"MYNTRA")</f>
        <v>MYNTRA</v>
      </c>
      <c r="D5616" s="115">
        <f>IFERROR(__xludf.DUMMYFUNCTION("""COMPUTED_VALUE"""),15244.0)</f>
        <v>15244</v>
      </c>
      <c r="E5616" s="115">
        <f>IFERROR(__xludf.DUMMYFUNCTION("""COMPUTED_VALUE"""),3973.0)</f>
        <v>3973</v>
      </c>
      <c r="F5616" s="115">
        <f>IFERROR(__xludf.DUMMYFUNCTION("""COMPUTED_VALUE"""),13291.0)</f>
        <v>13291</v>
      </c>
      <c r="G5616" s="115">
        <f>IFERROR(__xludf.DUMMYFUNCTION("""COMPUTED_VALUE"""),2703.0)</f>
        <v>2703</v>
      </c>
      <c r="H5616" s="116">
        <f>IFERROR(__xludf.DUMMYFUNCTION("""COMPUTED_VALUE"""),45910.0)</f>
        <v>45910</v>
      </c>
      <c r="I5616" s="115" t="str">
        <f>IFERROR(__xludf.DUMMYFUNCTION("""COMPUTED_VALUE"""),"22")</f>
        <v>22</v>
      </c>
      <c r="J5616" s="115"/>
      <c r="K5616" s="115">
        <f>IFERROR(__xludf.DUMMYFUNCTION("""COMPUTED_VALUE"""),19217.0)</f>
        <v>19217</v>
      </c>
    </row>
    <row r="5617">
      <c r="A5617" s="115" t="str">
        <f>IFERROR(__xludf.DUMMYFUNCTION("""COMPUTED_VALUE"""),"WEST")</f>
        <v>WEST</v>
      </c>
      <c r="B5617" s="115" t="str">
        <f>IFERROR(__xludf.DUMMYFUNCTION("""COMPUTED_VALUE"""),"Ashish Jakar")</f>
        <v>Ashish Jakar</v>
      </c>
      <c r="C5617" s="115" t="str">
        <f>IFERROR(__xludf.DUMMYFUNCTION("""COMPUTED_VALUE"""),"EXTERNAL")</f>
        <v>EXTERNAL</v>
      </c>
      <c r="D5617" s="115">
        <f>IFERROR(__xludf.DUMMYFUNCTION("""COMPUTED_VALUE"""),64402.0)</f>
        <v>64402</v>
      </c>
      <c r="E5617" s="115">
        <f>IFERROR(__xludf.DUMMYFUNCTION("""COMPUTED_VALUE"""),6053.0)</f>
        <v>6053</v>
      </c>
      <c r="F5617" s="115">
        <f>IFERROR(__xludf.DUMMYFUNCTION("""COMPUTED_VALUE"""),30113.0)</f>
        <v>30113</v>
      </c>
      <c r="G5617" s="115">
        <f>IFERROR(__xludf.DUMMYFUNCTION("""COMPUTED_VALUE"""),3222.0)</f>
        <v>3222</v>
      </c>
      <c r="H5617" s="116">
        <f>IFERROR(__xludf.DUMMYFUNCTION("""COMPUTED_VALUE"""),45910.0)</f>
        <v>45910</v>
      </c>
      <c r="I5617" s="115" t="str">
        <f>IFERROR(__xludf.DUMMYFUNCTION("""COMPUTED_VALUE"""),"22")</f>
        <v>22</v>
      </c>
      <c r="J5617" s="115"/>
      <c r="K5617" s="115">
        <f>IFERROR(__xludf.DUMMYFUNCTION("""COMPUTED_VALUE"""),70455.0)</f>
        <v>70455</v>
      </c>
    </row>
    <row r="5618">
      <c r="A5618" s="115" t="str">
        <f>IFERROR(__xludf.DUMMYFUNCTION("""COMPUTED_VALUE"""),"WEST")</f>
        <v>WEST</v>
      </c>
      <c r="B5618" s="115" t="str">
        <f>IFERROR(__xludf.DUMMYFUNCTION("""COMPUTED_VALUE"""),"Ashish Jakar")</f>
        <v>Ashish Jakar</v>
      </c>
      <c r="C5618" s="115" t="str">
        <f>IFERROR(__xludf.DUMMYFUNCTION("""COMPUTED_VALUE"""),"FLIPKART")</f>
        <v>FLIPKART</v>
      </c>
      <c r="D5618" s="115">
        <f>IFERROR(__xludf.DUMMYFUNCTION("""COMPUTED_VALUE"""),406317.0)</f>
        <v>406317</v>
      </c>
      <c r="E5618" s="115">
        <f>IFERROR(__xludf.DUMMYFUNCTION("""COMPUTED_VALUE"""),33873.0)</f>
        <v>33873</v>
      </c>
      <c r="F5618" s="115">
        <f>IFERROR(__xludf.DUMMYFUNCTION("""COMPUTED_VALUE"""),303661.0)</f>
        <v>303661</v>
      </c>
      <c r="G5618" s="115">
        <f>IFERROR(__xludf.DUMMYFUNCTION("""COMPUTED_VALUE"""),22210.0)</f>
        <v>22210</v>
      </c>
      <c r="H5618" s="116">
        <f>IFERROR(__xludf.DUMMYFUNCTION("""COMPUTED_VALUE"""),45910.0)</f>
        <v>45910</v>
      </c>
      <c r="I5618" s="115" t="str">
        <f>IFERROR(__xludf.DUMMYFUNCTION("""COMPUTED_VALUE"""),"22")</f>
        <v>22</v>
      </c>
      <c r="J5618" s="115"/>
      <c r="K5618" s="115">
        <f>IFERROR(__xludf.DUMMYFUNCTION("""COMPUTED_VALUE"""),440190.0)</f>
        <v>440190</v>
      </c>
    </row>
    <row r="5619">
      <c r="A5619" s="115" t="str">
        <f>IFERROR(__xludf.DUMMYFUNCTION("""COMPUTED_VALUE"""),"WEST")</f>
        <v>WEST</v>
      </c>
      <c r="B5619" s="115" t="str">
        <f>IFERROR(__xludf.DUMMYFUNCTION("""COMPUTED_VALUE"""),"Ashish Jakar")</f>
        <v>Ashish Jakar</v>
      </c>
      <c r="C5619" s="115" t="str">
        <f>IFERROR(__xludf.DUMMYFUNCTION("""COMPUTED_VALUE"""),"MYNTRA")</f>
        <v>MYNTRA</v>
      </c>
      <c r="D5619" s="115">
        <f>IFERROR(__xludf.DUMMYFUNCTION("""COMPUTED_VALUE"""),46438.0)</f>
        <v>46438</v>
      </c>
      <c r="E5619" s="115">
        <f>IFERROR(__xludf.DUMMYFUNCTION("""COMPUTED_VALUE"""),11516.0)</f>
        <v>11516</v>
      </c>
      <c r="F5619" s="115">
        <f>IFERROR(__xludf.DUMMYFUNCTION("""COMPUTED_VALUE"""),39141.0)</f>
        <v>39141</v>
      </c>
      <c r="G5619" s="115">
        <f>IFERROR(__xludf.DUMMYFUNCTION("""COMPUTED_VALUE"""),8002.0)</f>
        <v>8002</v>
      </c>
      <c r="H5619" s="116">
        <f>IFERROR(__xludf.DUMMYFUNCTION("""COMPUTED_VALUE"""),45910.0)</f>
        <v>45910</v>
      </c>
      <c r="I5619" s="115" t="str">
        <f>IFERROR(__xludf.DUMMYFUNCTION("""COMPUTED_VALUE"""),"22")</f>
        <v>22</v>
      </c>
      <c r="J5619" s="115"/>
      <c r="K5619" s="115">
        <f>IFERROR(__xludf.DUMMYFUNCTION("""COMPUTED_VALUE"""),57954.0)</f>
        <v>57954</v>
      </c>
    </row>
    <row r="5620">
      <c r="A5620" s="115" t="str">
        <f>IFERROR(__xludf.DUMMYFUNCTION("""COMPUTED_VALUE"""),"WEST")</f>
        <v>WEST</v>
      </c>
      <c r="B5620" s="115" t="str">
        <f>IFERROR(__xludf.DUMMYFUNCTION("""COMPUTED_VALUE"""),"Ashvani Bhatt")</f>
        <v>Ashvani Bhatt</v>
      </c>
      <c r="C5620" s="115" t="str">
        <f>IFERROR(__xludf.DUMMYFUNCTION("""COMPUTED_VALUE"""),"EXTERNAL")</f>
        <v>EXTERNAL</v>
      </c>
      <c r="D5620" s="115">
        <f>IFERROR(__xludf.DUMMYFUNCTION("""COMPUTED_VALUE"""),40269.0)</f>
        <v>40269</v>
      </c>
      <c r="E5620" s="115">
        <f>IFERROR(__xludf.DUMMYFUNCTION("""COMPUTED_VALUE"""),3190.0)</f>
        <v>3190</v>
      </c>
      <c r="F5620" s="115">
        <f>IFERROR(__xludf.DUMMYFUNCTION("""COMPUTED_VALUE"""),17837.0)</f>
        <v>17837</v>
      </c>
      <c r="G5620" s="115">
        <f>IFERROR(__xludf.DUMMYFUNCTION("""COMPUTED_VALUE"""),1725.0)</f>
        <v>1725</v>
      </c>
      <c r="H5620" s="116">
        <f>IFERROR(__xludf.DUMMYFUNCTION("""COMPUTED_VALUE"""),45910.0)</f>
        <v>45910</v>
      </c>
      <c r="I5620" s="115" t="str">
        <f>IFERROR(__xludf.DUMMYFUNCTION("""COMPUTED_VALUE"""),"22")</f>
        <v>22</v>
      </c>
      <c r="J5620" s="115"/>
      <c r="K5620" s="115">
        <f>IFERROR(__xludf.DUMMYFUNCTION("""COMPUTED_VALUE"""),43459.0)</f>
        <v>43459</v>
      </c>
    </row>
    <row r="5621">
      <c r="A5621" s="115" t="str">
        <f>IFERROR(__xludf.DUMMYFUNCTION("""COMPUTED_VALUE"""),"WEST")</f>
        <v>WEST</v>
      </c>
      <c r="B5621" s="115" t="str">
        <f>IFERROR(__xludf.DUMMYFUNCTION("""COMPUTED_VALUE"""),"Ashvani Bhatt")</f>
        <v>Ashvani Bhatt</v>
      </c>
      <c r="C5621" s="115" t="str">
        <f>IFERROR(__xludf.DUMMYFUNCTION("""COMPUTED_VALUE"""),"FLIPKART")</f>
        <v>FLIPKART</v>
      </c>
      <c r="D5621" s="115">
        <f>IFERROR(__xludf.DUMMYFUNCTION("""COMPUTED_VALUE"""),282673.0)</f>
        <v>282673</v>
      </c>
      <c r="E5621" s="115">
        <f>IFERROR(__xludf.DUMMYFUNCTION("""COMPUTED_VALUE"""),30341.0)</f>
        <v>30341</v>
      </c>
      <c r="F5621" s="115">
        <f>IFERROR(__xludf.DUMMYFUNCTION("""COMPUTED_VALUE"""),216786.0)</f>
        <v>216786</v>
      </c>
      <c r="G5621" s="115">
        <f>IFERROR(__xludf.DUMMYFUNCTION("""COMPUTED_VALUE"""),21676.0)</f>
        <v>21676</v>
      </c>
      <c r="H5621" s="116">
        <f>IFERROR(__xludf.DUMMYFUNCTION("""COMPUTED_VALUE"""),45910.0)</f>
        <v>45910</v>
      </c>
      <c r="I5621" s="115" t="str">
        <f>IFERROR(__xludf.DUMMYFUNCTION("""COMPUTED_VALUE"""),"22")</f>
        <v>22</v>
      </c>
      <c r="J5621" s="115"/>
      <c r="K5621" s="115">
        <f>IFERROR(__xludf.DUMMYFUNCTION("""COMPUTED_VALUE"""),313014.0)</f>
        <v>313014</v>
      </c>
    </row>
    <row r="5622">
      <c r="A5622" s="115" t="str">
        <f>IFERROR(__xludf.DUMMYFUNCTION("""COMPUTED_VALUE"""),"WEST")</f>
        <v>WEST</v>
      </c>
      <c r="B5622" s="115" t="str">
        <f>IFERROR(__xludf.DUMMYFUNCTION("""COMPUTED_VALUE"""),"Ashvani Bhatt")</f>
        <v>Ashvani Bhatt</v>
      </c>
      <c r="C5622" s="115" t="str">
        <f>IFERROR(__xludf.DUMMYFUNCTION("""COMPUTED_VALUE"""),"MYNTRA")</f>
        <v>MYNTRA</v>
      </c>
      <c r="D5622" s="115">
        <f>IFERROR(__xludf.DUMMYFUNCTION("""COMPUTED_VALUE"""),34651.0)</f>
        <v>34651</v>
      </c>
      <c r="E5622" s="115">
        <f>IFERROR(__xludf.DUMMYFUNCTION("""COMPUTED_VALUE"""),9807.0)</f>
        <v>9807</v>
      </c>
      <c r="F5622" s="115">
        <f>IFERROR(__xludf.DUMMYFUNCTION("""COMPUTED_VALUE"""),29593.0)</f>
        <v>29593</v>
      </c>
      <c r="G5622" s="115">
        <f>IFERROR(__xludf.DUMMYFUNCTION("""COMPUTED_VALUE"""),7579.0)</f>
        <v>7579</v>
      </c>
      <c r="H5622" s="116">
        <f>IFERROR(__xludf.DUMMYFUNCTION("""COMPUTED_VALUE"""),45910.0)</f>
        <v>45910</v>
      </c>
      <c r="I5622" s="115" t="str">
        <f>IFERROR(__xludf.DUMMYFUNCTION("""COMPUTED_VALUE"""),"22")</f>
        <v>22</v>
      </c>
      <c r="J5622" s="115"/>
      <c r="K5622" s="115">
        <f>IFERROR(__xludf.DUMMYFUNCTION("""COMPUTED_VALUE"""),44458.0)</f>
        <v>44458</v>
      </c>
    </row>
    <row r="5623">
      <c r="A5623" s="115"/>
      <c r="B5623" s="115"/>
      <c r="C5623" s="115" t="str">
        <f>IFERROR(__xludf.DUMMYFUNCTION("""COMPUTED_VALUE"""),"EXTERNAL")</f>
        <v>EXTERNAL</v>
      </c>
      <c r="D5623" s="115">
        <f>IFERROR(__xludf.DUMMYFUNCTION("""COMPUTED_VALUE"""),780.0)</f>
        <v>780</v>
      </c>
      <c r="E5623" s="115">
        <f>IFERROR(__xludf.DUMMYFUNCTION("""COMPUTED_VALUE"""),181.0)</f>
        <v>181</v>
      </c>
      <c r="F5623" s="115">
        <f>IFERROR(__xludf.DUMMYFUNCTION("""COMPUTED_VALUE"""),371.0)</f>
        <v>371</v>
      </c>
      <c r="G5623" s="115">
        <f>IFERROR(__xludf.DUMMYFUNCTION("""COMPUTED_VALUE"""),93.0)</f>
        <v>93</v>
      </c>
      <c r="H5623" s="116">
        <f>IFERROR(__xludf.DUMMYFUNCTION("""COMPUTED_VALUE"""),45910.0)</f>
        <v>45910</v>
      </c>
      <c r="I5623" s="115" t="str">
        <f>IFERROR(__xludf.DUMMYFUNCTION("""COMPUTED_VALUE"""),"22")</f>
        <v>22</v>
      </c>
      <c r="J5623" s="115"/>
      <c r="K5623" s="115">
        <f>IFERROR(__xludf.DUMMYFUNCTION("""COMPUTED_VALUE"""),961.0)</f>
        <v>961</v>
      </c>
    </row>
    <row r="5624">
      <c r="A5624" s="115"/>
      <c r="B5624" s="115"/>
      <c r="C5624" s="115" t="str">
        <f>IFERROR(__xludf.DUMMYFUNCTION("""COMPUTED_VALUE"""),"FLIPKART")</f>
        <v>FLIPKART</v>
      </c>
      <c r="D5624" s="115">
        <f>IFERROR(__xludf.DUMMYFUNCTION("""COMPUTED_VALUE"""),8122.0)</f>
        <v>8122</v>
      </c>
      <c r="E5624" s="115">
        <f>IFERROR(__xludf.DUMMYFUNCTION("""COMPUTED_VALUE"""),905.0)</f>
        <v>905</v>
      </c>
      <c r="F5624" s="115">
        <f>IFERROR(__xludf.DUMMYFUNCTION("""COMPUTED_VALUE"""),6098.0)</f>
        <v>6098</v>
      </c>
      <c r="G5624" s="115">
        <f>IFERROR(__xludf.DUMMYFUNCTION("""COMPUTED_VALUE"""),568.0)</f>
        <v>568</v>
      </c>
      <c r="H5624" s="116">
        <f>IFERROR(__xludf.DUMMYFUNCTION("""COMPUTED_VALUE"""),45910.0)</f>
        <v>45910</v>
      </c>
      <c r="I5624" s="115" t="str">
        <f>IFERROR(__xludf.DUMMYFUNCTION("""COMPUTED_VALUE"""),"22")</f>
        <v>22</v>
      </c>
      <c r="J5624" s="115"/>
      <c r="K5624" s="115">
        <f>IFERROR(__xludf.DUMMYFUNCTION("""COMPUTED_VALUE"""),9027.0)</f>
        <v>9027</v>
      </c>
    </row>
    <row r="5625">
      <c r="A5625" s="115"/>
      <c r="B5625" s="115"/>
      <c r="C5625" s="115" t="str">
        <f>IFERROR(__xludf.DUMMYFUNCTION("""COMPUTED_VALUE"""),"MYNTRA")</f>
        <v>MYNTRA</v>
      </c>
      <c r="D5625" s="115">
        <f>IFERROR(__xludf.DUMMYFUNCTION("""COMPUTED_VALUE"""),835.0)</f>
        <v>835</v>
      </c>
      <c r="E5625" s="115">
        <f>IFERROR(__xludf.DUMMYFUNCTION("""COMPUTED_VALUE"""),233.0)</f>
        <v>233</v>
      </c>
      <c r="F5625" s="115">
        <f>IFERROR(__xludf.DUMMYFUNCTION("""COMPUTED_VALUE"""),680.0)</f>
        <v>680</v>
      </c>
      <c r="G5625" s="115">
        <f>IFERROR(__xludf.DUMMYFUNCTION("""COMPUTED_VALUE"""),170.0)</f>
        <v>170</v>
      </c>
      <c r="H5625" s="116">
        <f>IFERROR(__xludf.DUMMYFUNCTION("""COMPUTED_VALUE"""),45910.0)</f>
        <v>45910</v>
      </c>
      <c r="I5625" s="115" t="str">
        <f>IFERROR(__xludf.DUMMYFUNCTION("""COMPUTED_VALUE"""),"22")</f>
        <v>22</v>
      </c>
      <c r="J5625" s="115"/>
      <c r="K5625" s="115">
        <f>IFERROR(__xludf.DUMMYFUNCTION("""COMPUTED_VALUE"""),1068.0)</f>
        <v>1068</v>
      </c>
    </row>
    <row r="5626">
      <c r="A5626" s="115" t="str">
        <f>IFERROR(__xludf.DUMMYFUNCTION("""COMPUTED_VALUE"""),"EAST")</f>
        <v>EAST</v>
      </c>
      <c r="B5626" s="115" t="str">
        <f>IFERROR(__xludf.DUMMYFUNCTION("""COMPUTED_VALUE"""),"Ashish Ranjan")</f>
        <v>Ashish Ranjan</v>
      </c>
      <c r="C5626" s="115" t="str">
        <f>IFERROR(__xludf.DUMMYFUNCTION("""COMPUTED_VALUE"""),"EXTERNAL")</f>
        <v>EXTERNAL</v>
      </c>
      <c r="D5626" s="115">
        <f>IFERROR(__xludf.DUMMYFUNCTION("""COMPUTED_VALUE"""),3946.0)</f>
        <v>3946</v>
      </c>
      <c r="E5626" s="115">
        <f>IFERROR(__xludf.DUMMYFUNCTION("""COMPUTED_VALUE"""),243.0)</f>
        <v>243</v>
      </c>
      <c r="F5626" s="115">
        <f>IFERROR(__xludf.DUMMYFUNCTION("""COMPUTED_VALUE"""),21.0)</f>
        <v>21</v>
      </c>
      <c r="G5626" s="115">
        <f>IFERROR(__xludf.DUMMYFUNCTION("""COMPUTED_VALUE"""),2.0)</f>
        <v>2</v>
      </c>
      <c r="H5626" s="116">
        <f>IFERROR(__xludf.DUMMYFUNCTION("""COMPUTED_VALUE"""),45911.0)</f>
        <v>45911</v>
      </c>
      <c r="I5626" s="115" t="str">
        <f>IFERROR(__xludf.DUMMYFUNCTION("""COMPUTED_VALUE"""),"08")</f>
        <v>08</v>
      </c>
      <c r="J5626" s="115"/>
      <c r="K5626" s="115">
        <f>IFERROR(__xludf.DUMMYFUNCTION("""COMPUTED_VALUE"""),4189.0)</f>
        <v>4189</v>
      </c>
    </row>
    <row r="5627">
      <c r="A5627" s="115" t="str">
        <f>IFERROR(__xludf.DUMMYFUNCTION("""COMPUTED_VALUE"""),"EAST")</f>
        <v>EAST</v>
      </c>
      <c r="B5627" s="115" t="str">
        <f>IFERROR(__xludf.DUMMYFUNCTION("""COMPUTED_VALUE"""),"Ashish Ranjan")</f>
        <v>Ashish Ranjan</v>
      </c>
      <c r="C5627" s="115" t="str">
        <f>IFERROR(__xludf.DUMMYFUNCTION("""COMPUTED_VALUE"""),"FLIPKART")</f>
        <v>FLIPKART</v>
      </c>
      <c r="D5627" s="115">
        <f>IFERROR(__xludf.DUMMYFUNCTION("""COMPUTED_VALUE"""),77880.0)</f>
        <v>77880</v>
      </c>
      <c r="E5627" s="115">
        <f>IFERROR(__xludf.DUMMYFUNCTION("""COMPUTED_VALUE"""),5831.0)</f>
        <v>5831</v>
      </c>
      <c r="F5627" s="115">
        <f>IFERROR(__xludf.DUMMYFUNCTION("""COMPUTED_VALUE"""),855.0)</f>
        <v>855</v>
      </c>
      <c r="G5627" s="115">
        <f>IFERROR(__xludf.DUMMYFUNCTION("""COMPUTED_VALUE"""),101.0)</f>
        <v>101</v>
      </c>
      <c r="H5627" s="116">
        <f>IFERROR(__xludf.DUMMYFUNCTION("""COMPUTED_VALUE"""),45911.0)</f>
        <v>45911</v>
      </c>
      <c r="I5627" s="115" t="str">
        <f>IFERROR(__xludf.DUMMYFUNCTION("""COMPUTED_VALUE"""),"08")</f>
        <v>08</v>
      </c>
      <c r="J5627" s="115"/>
      <c r="K5627" s="115">
        <f>IFERROR(__xludf.DUMMYFUNCTION("""COMPUTED_VALUE"""),83711.0)</f>
        <v>83711</v>
      </c>
    </row>
    <row r="5628">
      <c r="A5628" s="115" t="str">
        <f>IFERROR(__xludf.DUMMYFUNCTION("""COMPUTED_VALUE"""),"EAST")</f>
        <v>EAST</v>
      </c>
      <c r="B5628" s="115" t="str">
        <f>IFERROR(__xludf.DUMMYFUNCTION("""COMPUTED_VALUE"""),"Ashish Ranjan")</f>
        <v>Ashish Ranjan</v>
      </c>
      <c r="C5628" s="115" t="str">
        <f>IFERROR(__xludf.DUMMYFUNCTION("""COMPUTED_VALUE"""),"MYNTRA")</f>
        <v>MYNTRA</v>
      </c>
      <c r="D5628" s="115">
        <f>IFERROR(__xludf.DUMMYFUNCTION("""COMPUTED_VALUE"""),7242.0)</f>
        <v>7242</v>
      </c>
      <c r="E5628" s="115">
        <f>IFERROR(__xludf.DUMMYFUNCTION("""COMPUTED_VALUE"""),1543.0)</f>
        <v>1543</v>
      </c>
      <c r="F5628" s="115">
        <f>IFERROR(__xludf.DUMMYFUNCTION("""COMPUTED_VALUE"""),81.0)</f>
        <v>81</v>
      </c>
      <c r="G5628" s="115">
        <f>IFERROR(__xludf.DUMMYFUNCTION("""COMPUTED_VALUE"""),6.0)</f>
        <v>6</v>
      </c>
      <c r="H5628" s="116">
        <f>IFERROR(__xludf.DUMMYFUNCTION("""COMPUTED_VALUE"""),45911.0)</f>
        <v>45911</v>
      </c>
      <c r="I5628" s="115" t="str">
        <f>IFERROR(__xludf.DUMMYFUNCTION("""COMPUTED_VALUE"""),"08")</f>
        <v>08</v>
      </c>
      <c r="J5628" s="115"/>
      <c r="K5628" s="115">
        <f>IFERROR(__xludf.DUMMYFUNCTION("""COMPUTED_VALUE"""),8785.0)</f>
        <v>8785</v>
      </c>
    </row>
    <row r="5629">
      <c r="A5629" s="115" t="str">
        <f>IFERROR(__xludf.DUMMYFUNCTION("""COMPUTED_VALUE"""),"EAST")</f>
        <v>EAST</v>
      </c>
      <c r="B5629" s="115" t="str">
        <f>IFERROR(__xludf.DUMMYFUNCTION("""COMPUTED_VALUE"""),"Girish Chand")</f>
        <v>Girish Chand</v>
      </c>
      <c r="C5629" s="115" t="str">
        <f>IFERROR(__xludf.DUMMYFUNCTION("""COMPUTED_VALUE"""),"EXTERNAL")</f>
        <v>EXTERNAL</v>
      </c>
      <c r="D5629" s="115">
        <f>IFERROR(__xludf.DUMMYFUNCTION("""COMPUTED_VALUE"""),1724.0)</f>
        <v>1724</v>
      </c>
      <c r="E5629" s="115">
        <f>IFERROR(__xludf.DUMMYFUNCTION("""COMPUTED_VALUE"""),142.0)</f>
        <v>142</v>
      </c>
      <c r="F5629" s="115">
        <f>IFERROR(__xludf.DUMMYFUNCTION("""COMPUTED_VALUE"""),3.0)</f>
        <v>3</v>
      </c>
      <c r="G5629" s="115">
        <f>IFERROR(__xludf.DUMMYFUNCTION("""COMPUTED_VALUE"""),0.0)</f>
        <v>0</v>
      </c>
      <c r="H5629" s="116">
        <f>IFERROR(__xludf.DUMMYFUNCTION("""COMPUTED_VALUE"""),45911.0)</f>
        <v>45911</v>
      </c>
      <c r="I5629" s="115" t="str">
        <f>IFERROR(__xludf.DUMMYFUNCTION("""COMPUTED_VALUE"""),"08")</f>
        <v>08</v>
      </c>
      <c r="J5629" s="115"/>
      <c r="K5629" s="115">
        <f>IFERROR(__xludf.DUMMYFUNCTION("""COMPUTED_VALUE"""),1866.0)</f>
        <v>1866</v>
      </c>
    </row>
    <row r="5630">
      <c r="A5630" s="115" t="str">
        <f>IFERROR(__xludf.DUMMYFUNCTION("""COMPUTED_VALUE"""),"EAST")</f>
        <v>EAST</v>
      </c>
      <c r="B5630" s="115" t="str">
        <f>IFERROR(__xludf.DUMMYFUNCTION("""COMPUTED_VALUE"""),"Girish Chand")</f>
        <v>Girish Chand</v>
      </c>
      <c r="C5630" s="115" t="str">
        <f>IFERROR(__xludf.DUMMYFUNCTION("""COMPUTED_VALUE"""),"FLIPKART")</f>
        <v>FLIPKART</v>
      </c>
      <c r="D5630" s="115">
        <f>IFERROR(__xludf.DUMMYFUNCTION("""COMPUTED_VALUE"""),37412.0)</f>
        <v>37412</v>
      </c>
      <c r="E5630" s="115">
        <f>IFERROR(__xludf.DUMMYFUNCTION("""COMPUTED_VALUE"""),3187.0)</f>
        <v>3187</v>
      </c>
      <c r="F5630" s="115">
        <f>IFERROR(__xludf.DUMMYFUNCTION("""COMPUTED_VALUE"""),288.0)</f>
        <v>288</v>
      </c>
      <c r="G5630" s="115">
        <f>IFERROR(__xludf.DUMMYFUNCTION("""COMPUTED_VALUE"""),29.0)</f>
        <v>29</v>
      </c>
      <c r="H5630" s="116">
        <f>IFERROR(__xludf.DUMMYFUNCTION("""COMPUTED_VALUE"""),45911.0)</f>
        <v>45911</v>
      </c>
      <c r="I5630" s="115" t="str">
        <f>IFERROR(__xludf.DUMMYFUNCTION("""COMPUTED_VALUE"""),"08")</f>
        <v>08</v>
      </c>
      <c r="J5630" s="115"/>
      <c r="K5630" s="115">
        <f>IFERROR(__xludf.DUMMYFUNCTION("""COMPUTED_VALUE"""),40599.0)</f>
        <v>40599</v>
      </c>
    </row>
    <row r="5631">
      <c r="A5631" s="115" t="str">
        <f>IFERROR(__xludf.DUMMYFUNCTION("""COMPUTED_VALUE"""),"EAST")</f>
        <v>EAST</v>
      </c>
      <c r="B5631" s="115" t="str">
        <f>IFERROR(__xludf.DUMMYFUNCTION("""COMPUTED_VALUE"""),"Girish Chand")</f>
        <v>Girish Chand</v>
      </c>
      <c r="C5631" s="115" t="str">
        <f>IFERROR(__xludf.DUMMYFUNCTION("""COMPUTED_VALUE"""),"MYNTRA")</f>
        <v>MYNTRA</v>
      </c>
      <c r="D5631" s="115">
        <f>IFERROR(__xludf.DUMMYFUNCTION("""COMPUTED_VALUE"""),3261.0)</f>
        <v>3261</v>
      </c>
      <c r="E5631" s="115">
        <f>IFERROR(__xludf.DUMMYFUNCTION("""COMPUTED_VALUE"""),783.0)</f>
        <v>783</v>
      </c>
      <c r="F5631" s="115">
        <f>IFERROR(__xludf.DUMMYFUNCTION("""COMPUTED_VALUE"""),24.0)</f>
        <v>24</v>
      </c>
      <c r="G5631" s="115">
        <f>IFERROR(__xludf.DUMMYFUNCTION("""COMPUTED_VALUE"""),45.0)</f>
        <v>45</v>
      </c>
      <c r="H5631" s="116">
        <f>IFERROR(__xludf.DUMMYFUNCTION("""COMPUTED_VALUE"""),45911.0)</f>
        <v>45911</v>
      </c>
      <c r="I5631" s="115" t="str">
        <f>IFERROR(__xludf.DUMMYFUNCTION("""COMPUTED_VALUE"""),"08")</f>
        <v>08</v>
      </c>
      <c r="J5631" s="115"/>
      <c r="K5631" s="115">
        <f>IFERROR(__xludf.DUMMYFUNCTION("""COMPUTED_VALUE"""),4044.0)</f>
        <v>4044</v>
      </c>
    </row>
    <row r="5632">
      <c r="A5632" s="115" t="str">
        <f>IFERROR(__xludf.DUMMYFUNCTION("""COMPUTED_VALUE"""),"EAST")</f>
        <v>EAST</v>
      </c>
      <c r="B5632" s="115" t="str">
        <f>IFERROR(__xludf.DUMMYFUNCTION("""COMPUTED_VALUE"""),"Parag Kashyap")</f>
        <v>Parag Kashyap</v>
      </c>
      <c r="C5632" s="115" t="str">
        <f>IFERROR(__xludf.DUMMYFUNCTION("""COMPUTED_VALUE"""),"EXTERNAL")</f>
        <v>EXTERNAL</v>
      </c>
      <c r="D5632" s="115">
        <f>IFERROR(__xludf.DUMMYFUNCTION("""COMPUTED_VALUE"""),1741.0)</f>
        <v>1741</v>
      </c>
      <c r="E5632" s="115">
        <f>IFERROR(__xludf.DUMMYFUNCTION("""COMPUTED_VALUE"""),71.0)</f>
        <v>71</v>
      </c>
      <c r="F5632" s="115">
        <f>IFERROR(__xludf.DUMMYFUNCTION("""COMPUTED_VALUE"""),9.0)</f>
        <v>9</v>
      </c>
      <c r="G5632" s="115">
        <f>IFERROR(__xludf.DUMMYFUNCTION("""COMPUTED_VALUE"""),0.0)</f>
        <v>0</v>
      </c>
      <c r="H5632" s="116">
        <f>IFERROR(__xludf.DUMMYFUNCTION("""COMPUTED_VALUE"""),45911.0)</f>
        <v>45911</v>
      </c>
      <c r="I5632" s="115" t="str">
        <f>IFERROR(__xludf.DUMMYFUNCTION("""COMPUTED_VALUE"""),"08")</f>
        <v>08</v>
      </c>
      <c r="J5632" s="115"/>
      <c r="K5632" s="115">
        <f>IFERROR(__xludf.DUMMYFUNCTION("""COMPUTED_VALUE"""),1812.0)</f>
        <v>1812</v>
      </c>
    </row>
    <row r="5633">
      <c r="A5633" s="115" t="str">
        <f>IFERROR(__xludf.DUMMYFUNCTION("""COMPUTED_VALUE"""),"EAST")</f>
        <v>EAST</v>
      </c>
      <c r="B5633" s="115" t="str">
        <f>IFERROR(__xludf.DUMMYFUNCTION("""COMPUTED_VALUE"""),"Parag Kashyap")</f>
        <v>Parag Kashyap</v>
      </c>
      <c r="C5633" s="115" t="str">
        <f>IFERROR(__xludf.DUMMYFUNCTION("""COMPUTED_VALUE"""),"FLIPKART")</f>
        <v>FLIPKART</v>
      </c>
      <c r="D5633" s="115">
        <f>IFERROR(__xludf.DUMMYFUNCTION("""COMPUTED_VALUE"""),35360.0)</f>
        <v>35360</v>
      </c>
      <c r="E5633" s="115">
        <f>IFERROR(__xludf.DUMMYFUNCTION("""COMPUTED_VALUE"""),1703.0)</f>
        <v>1703</v>
      </c>
      <c r="F5633" s="115">
        <f>IFERROR(__xludf.DUMMYFUNCTION("""COMPUTED_VALUE"""),178.0)</f>
        <v>178</v>
      </c>
      <c r="G5633" s="115">
        <f>IFERROR(__xludf.DUMMYFUNCTION("""COMPUTED_VALUE"""),18.0)</f>
        <v>18</v>
      </c>
      <c r="H5633" s="116">
        <f>IFERROR(__xludf.DUMMYFUNCTION("""COMPUTED_VALUE"""),45911.0)</f>
        <v>45911</v>
      </c>
      <c r="I5633" s="115" t="str">
        <f>IFERROR(__xludf.DUMMYFUNCTION("""COMPUTED_VALUE"""),"08")</f>
        <v>08</v>
      </c>
      <c r="J5633" s="115"/>
      <c r="K5633" s="115">
        <f>IFERROR(__xludf.DUMMYFUNCTION("""COMPUTED_VALUE"""),37063.0)</f>
        <v>37063</v>
      </c>
    </row>
    <row r="5634">
      <c r="A5634" s="115" t="str">
        <f>IFERROR(__xludf.DUMMYFUNCTION("""COMPUTED_VALUE"""),"EAST")</f>
        <v>EAST</v>
      </c>
      <c r="B5634" s="115" t="str">
        <f>IFERROR(__xludf.DUMMYFUNCTION("""COMPUTED_VALUE"""),"Parag Kashyap")</f>
        <v>Parag Kashyap</v>
      </c>
      <c r="C5634" s="115" t="str">
        <f>IFERROR(__xludf.DUMMYFUNCTION("""COMPUTED_VALUE"""),"MYNTRA")</f>
        <v>MYNTRA</v>
      </c>
      <c r="D5634" s="115">
        <f>IFERROR(__xludf.DUMMYFUNCTION("""COMPUTED_VALUE"""),4631.0)</f>
        <v>4631</v>
      </c>
      <c r="E5634" s="115">
        <f>IFERROR(__xludf.DUMMYFUNCTION("""COMPUTED_VALUE"""),622.0)</f>
        <v>622</v>
      </c>
      <c r="F5634" s="115">
        <f>IFERROR(__xludf.DUMMYFUNCTION("""COMPUTED_VALUE"""),49.0)</f>
        <v>49</v>
      </c>
      <c r="G5634" s="115">
        <f>IFERROR(__xludf.DUMMYFUNCTION("""COMPUTED_VALUE"""),0.0)</f>
        <v>0</v>
      </c>
      <c r="H5634" s="116">
        <f>IFERROR(__xludf.DUMMYFUNCTION("""COMPUTED_VALUE"""),45911.0)</f>
        <v>45911</v>
      </c>
      <c r="I5634" s="115" t="str">
        <f>IFERROR(__xludf.DUMMYFUNCTION("""COMPUTED_VALUE"""),"08")</f>
        <v>08</v>
      </c>
      <c r="J5634" s="115"/>
      <c r="K5634" s="115">
        <f>IFERROR(__xludf.DUMMYFUNCTION("""COMPUTED_VALUE"""),5253.0)</f>
        <v>5253</v>
      </c>
    </row>
    <row r="5635">
      <c r="A5635" s="115" t="str">
        <f>IFERROR(__xludf.DUMMYFUNCTION("""COMPUTED_VALUE"""),"NORTH")</f>
        <v>NORTH</v>
      </c>
      <c r="B5635" s="115" t="str">
        <f>IFERROR(__xludf.DUMMYFUNCTION("""COMPUTED_VALUE"""),"Amit Kumar Pathak")</f>
        <v>Amit Kumar Pathak</v>
      </c>
      <c r="C5635" s="115" t="str">
        <f>IFERROR(__xludf.DUMMYFUNCTION("""COMPUTED_VALUE"""),"EXTERNAL")</f>
        <v>EXTERNAL</v>
      </c>
      <c r="D5635" s="115">
        <f>IFERROR(__xludf.DUMMYFUNCTION("""COMPUTED_VALUE"""),6646.0)</f>
        <v>6646</v>
      </c>
      <c r="E5635" s="115">
        <f>IFERROR(__xludf.DUMMYFUNCTION("""COMPUTED_VALUE"""),562.0)</f>
        <v>562</v>
      </c>
      <c r="F5635" s="115">
        <f>IFERROR(__xludf.DUMMYFUNCTION("""COMPUTED_VALUE"""),22.0)</f>
        <v>22</v>
      </c>
      <c r="G5635" s="115">
        <f>IFERROR(__xludf.DUMMYFUNCTION("""COMPUTED_VALUE"""),7.0)</f>
        <v>7</v>
      </c>
      <c r="H5635" s="116">
        <f>IFERROR(__xludf.DUMMYFUNCTION("""COMPUTED_VALUE"""),45911.0)</f>
        <v>45911</v>
      </c>
      <c r="I5635" s="115" t="str">
        <f>IFERROR(__xludf.DUMMYFUNCTION("""COMPUTED_VALUE"""),"08")</f>
        <v>08</v>
      </c>
      <c r="J5635" s="115"/>
      <c r="K5635" s="115">
        <f>IFERROR(__xludf.DUMMYFUNCTION("""COMPUTED_VALUE"""),7208.0)</f>
        <v>7208</v>
      </c>
    </row>
    <row r="5636">
      <c r="A5636" s="115" t="str">
        <f>IFERROR(__xludf.DUMMYFUNCTION("""COMPUTED_VALUE"""),"NORTH")</f>
        <v>NORTH</v>
      </c>
      <c r="B5636" s="115" t="str">
        <f>IFERROR(__xludf.DUMMYFUNCTION("""COMPUTED_VALUE"""),"Amit Kumar Pathak")</f>
        <v>Amit Kumar Pathak</v>
      </c>
      <c r="C5636" s="115" t="str">
        <f>IFERROR(__xludf.DUMMYFUNCTION("""COMPUTED_VALUE"""),"FLIPKART")</f>
        <v>FLIPKART</v>
      </c>
      <c r="D5636" s="115">
        <f>IFERROR(__xludf.DUMMYFUNCTION("""COMPUTED_VALUE"""),48153.0)</f>
        <v>48153</v>
      </c>
      <c r="E5636" s="115">
        <f>IFERROR(__xludf.DUMMYFUNCTION("""COMPUTED_VALUE"""),4660.0)</f>
        <v>4660</v>
      </c>
      <c r="F5636" s="115">
        <f>IFERROR(__xludf.DUMMYFUNCTION("""COMPUTED_VALUE"""),191.0)</f>
        <v>191</v>
      </c>
      <c r="G5636" s="115">
        <f>IFERROR(__xludf.DUMMYFUNCTION("""COMPUTED_VALUE"""),22.0)</f>
        <v>22</v>
      </c>
      <c r="H5636" s="116">
        <f>IFERROR(__xludf.DUMMYFUNCTION("""COMPUTED_VALUE"""),45911.0)</f>
        <v>45911</v>
      </c>
      <c r="I5636" s="115" t="str">
        <f>IFERROR(__xludf.DUMMYFUNCTION("""COMPUTED_VALUE"""),"08")</f>
        <v>08</v>
      </c>
      <c r="J5636" s="115"/>
      <c r="K5636" s="115">
        <f>IFERROR(__xludf.DUMMYFUNCTION("""COMPUTED_VALUE"""),52813.0)</f>
        <v>52813</v>
      </c>
    </row>
    <row r="5637">
      <c r="A5637" s="115" t="str">
        <f>IFERROR(__xludf.DUMMYFUNCTION("""COMPUTED_VALUE"""),"NORTH")</f>
        <v>NORTH</v>
      </c>
      <c r="B5637" s="115" t="str">
        <f>IFERROR(__xludf.DUMMYFUNCTION("""COMPUTED_VALUE"""),"Amit Kumar Pathak")</f>
        <v>Amit Kumar Pathak</v>
      </c>
      <c r="C5637" s="115" t="str">
        <f>IFERROR(__xludf.DUMMYFUNCTION("""COMPUTED_VALUE"""),"MYNTRA")</f>
        <v>MYNTRA</v>
      </c>
      <c r="D5637" s="115">
        <f>IFERROR(__xludf.DUMMYFUNCTION("""COMPUTED_VALUE"""),4038.0)</f>
        <v>4038</v>
      </c>
      <c r="E5637" s="115">
        <f>IFERROR(__xludf.DUMMYFUNCTION("""COMPUTED_VALUE"""),1071.0)</f>
        <v>1071</v>
      </c>
      <c r="F5637" s="115">
        <f>IFERROR(__xludf.DUMMYFUNCTION("""COMPUTED_VALUE"""),23.0)</f>
        <v>23</v>
      </c>
      <c r="G5637" s="115">
        <f>IFERROR(__xludf.DUMMYFUNCTION("""COMPUTED_VALUE"""),1.0)</f>
        <v>1</v>
      </c>
      <c r="H5637" s="116">
        <f>IFERROR(__xludf.DUMMYFUNCTION("""COMPUTED_VALUE"""),45911.0)</f>
        <v>45911</v>
      </c>
      <c r="I5637" s="115" t="str">
        <f>IFERROR(__xludf.DUMMYFUNCTION("""COMPUTED_VALUE"""),"08")</f>
        <v>08</v>
      </c>
      <c r="J5637" s="115"/>
      <c r="K5637" s="115">
        <f>IFERROR(__xludf.DUMMYFUNCTION("""COMPUTED_VALUE"""),5109.0)</f>
        <v>5109</v>
      </c>
    </row>
    <row r="5638">
      <c r="A5638" s="115" t="str">
        <f>IFERROR(__xludf.DUMMYFUNCTION("""COMPUTED_VALUE"""),"NORTH")</f>
        <v>NORTH</v>
      </c>
      <c r="B5638" s="115" t="str">
        <f>IFERROR(__xludf.DUMMYFUNCTION("""COMPUTED_VALUE"""),"Loveleen Singh")</f>
        <v>Loveleen Singh</v>
      </c>
      <c r="C5638" s="115" t="str">
        <f>IFERROR(__xludf.DUMMYFUNCTION("""COMPUTED_VALUE"""),"EXTERNAL")</f>
        <v>EXTERNAL</v>
      </c>
      <c r="D5638" s="115">
        <f>IFERROR(__xludf.DUMMYFUNCTION("""COMPUTED_VALUE"""),1520.0)</f>
        <v>1520</v>
      </c>
      <c r="E5638" s="115">
        <f>IFERROR(__xludf.DUMMYFUNCTION("""COMPUTED_VALUE"""),80.0)</f>
        <v>80</v>
      </c>
      <c r="F5638" s="115">
        <f>IFERROR(__xludf.DUMMYFUNCTION("""COMPUTED_VALUE"""),14.0)</f>
        <v>14</v>
      </c>
      <c r="G5638" s="115">
        <f>IFERROR(__xludf.DUMMYFUNCTION("""COMPUTED_VALUE"""),5.0)</f>
        <v>5</v>
      </c>
      <c r="H5638" s="116">
        <f>IFERROR(__xludf.DUMMYFUNCTION("""COMPUTED_VALUE"""),45911.0)</f>
        <v>45911</v>
      </c>
      <c r="I5638" s="115" t="str">
        <f>IFERROR(__xludf.DUMMYFUNCTION("""COMPUTED_VALUE"""),"08")</f>
        <v>08</v>
      </c>
      <c r="J5638" s="115"/>
      <c r="K5638" s="115">
        <f>IFERROR(__xludf.DUMMYFUNCTION("""COMPUTED_VALUE"""),1600.0)</f>
        <v>1600</v>
      </c>
    </row>
    <row r="5639">
      <c r="A5639" s="115" t="str">
        <f>IFERROR(__xludf.DUMMYFUNCTION("""COMPUTED_VALUE"""),"NORTH")</f>
        <v>NORTH</v>
      </c>
      <c r="B5639" s="115" t="str">
        <f>IFERROR(__xludf.DUMMYFUNCTION("""COMPUTED_VALUE"""),"Loveleen Singh")</f>
        <v>Loveleen Singh</v>
      </c>
      <c r="C5639" s="115" t="str">
        <f>IFERROR(__xludf.DUMMYFUNCTION("""COMPUTED_VALUE"""),"FLIPKART")</f>
        <v>FLIPKART</v>
      </c>
      <c r="D5639" s="115">
        <f>IFERROR(__xludf.DUMMYFUNCTION("""COMPUTED_VALUE"""),13432.0)</f>
        <v>13432</v>
      </c>
      <c r="E5639" s="115">
        <f>IFERROR(__xludf.DUMMYFUNCTION("""COMPUTED_VALUE"""),803.0)</f>
        <v>803</v>
      </c>
      <c r="F5639" s="115">
        <f>IFERROR(__xludf.DUMMYFUNCTION("""COMPUTED_VALUE"""),174.0)</f>
        <v>174</v>
      </c>
      <c r="G5639" s="115">
        <f>IFERROR(__xludf.DUMMYFUNCTION("""COMPUTED_VALUE"""),22.0)</f>
        <v>22</v>
      </c>
      <c r="H5639" s="116">
        <f>IFERROR(__xludf.DUMMYFUNCTION("""COMPUTED_VALUE"""),45911.0)</f>
        <v>45911</v>
      </c>
      <c r="I5639" s="115" t="str">
        <f>IFERROR(__xludf.DUMMYFUNCTION("""COMPUTED_VALUE"""),"08")</f>
        <v>08</v>
      </c>
      <c r="J5639" s="115"/>
      <c r="K5639" s="115">
        <f>IFERROR(__xludf.DUMMYFUNCTION("""COMPUTED_VALUE"""),14235.0)</f>
        <v>14235</v>
      </c>
    </row>
    <row r="5640">
      <c r="A5640" s="115" t="str">
        <f>IFERROR(__xludf.DUMMYFUNCTION("""COMPUTED_VALUE"""),"NORTH")</f>
        <v>NORTH</v>
      </c>
      <c r="B5640" s="115" t="str">
        <f>IFERROR(__xludf.DUMMYFUNCTION("""COMPUTED_VALUE"""),"Loveleen Singh")</f>
        <v>Loveleen Singh</v>
      </c>
      <c r="C5640" s="115" t="str">
        <f>IFERROR(__xludf.DUMMYFUNCTION("""COMPUTED_VALUE"""),"MYNTRA")</f>
        <v>MYNTRA</v>
      </c>
      <c r="D5640" s="115">
        <f>IFERROR(__xludf.DUMMYFUNCTION("""COMPUTED_VALUE"""),2133.0)</f>
        <v>2133</v>
      </c>
      <c r="E5640" s="115">
        <f>IFERROR(__xludf.DUMMYFUNCTION("""COMPUTED_VALUE"""),433.0)</f>
        <v>433</v>
      </c>
      <c r="F5640" s="115">
        <f>IFERROR(__xludf.DUMMYFUNCTION("""COMPUTED_VALUE"""),42.0)</f>
        <v>42</v>
      </c>
      <c r="G5640" s="115">
        <f>IFERROR(__xludf.DUMMYFUNCTION("""COMPUTED_VALUE"""),3.0)</f>
        <v>3</v>
      </c>
      <c r="H5640" s="116">
        <f>IFERROR(__xludf.DUMMYFUNCTION("""COMPUTED_VALUE"""),45911.0)</f>
        <v>45911</v>
      </c>
      <c r="I5640" s="115" t="str">
        <f>IFERROR(__xludf.DUMMYFUNCTION("""COMPUTED_VALUE"""),"08")</f>
        <v>08</v>
      </c>
      <c r="J5640" s="115"/>
      <c r="K5640" s="115">
        <f>IFERROR(__xludf.DUMMYFUNCTION("""COMPUTED_VALUE"""),2566.0)</f>
        <v>2566</v>
      </c>
    </row>
    <row r="5641">
      <c r="A5641" s="115" t="str">
        <f>IFERROR(__xludf.DUMMYFUNCTION("""COMPUTED_VALUE"""),"NORTH")</f>
        <v>NORTH</v>
      </c>
      <c r="B5641" s="115" t="str">
        <f>IFERROR(__xludf.DUMMYFUNCTION("""COMPUTED_VALUE"""),"Manoj Harsh")</f>
        <v>Manoj Harsh</v>
      </c>
      <c r="C5641" s="115" t="str">
        <f>IFERROR(__xludf.DUMMYFUNCTION("""COMPUTED_VALUE"""),"EXTERNAL")</f>
        <v>EXTERNAL</v>
      </c>
      <c r="D5641" s="115">
        <f>IFERROR(__xludf.DUMMYFUNCTION("""COMPUTED_VALUE"""),2147.0)</f>
        <v>2147</v>
      </c>
      <c r="E5641" s="115">
        <f>IFERROR(__xludf.DUMMYFUNCTION("""COMPUTED_VALUE"""),213.0)</f>
        <v>213</v>
      </c>
      <c r="F5641" s="115">
        <f>IFERROR(__xludf.DUMMYFUNCTION("""COMPUTED_VALUE"""),12.0)</f>
        <v>12</v>
      </c>
      <c r="G5641" s="115">
        <f>IFERROR(__xludf.DUMMYFUNCTION("""COMPUTED_VALUE"""),2.0)</f>
        <v>2</v>
      </c>
      <c r="H5641" s="116">
        <f>IFERROR(__xludf.DUMMYFUNCTION("""COMPUTED_VALUE"""),45911.0)</f>
        <v>45911</v>
      </c>
      <c r="I5641" s="115" t="str">
        <f>IFERROR(__xludf.DUMMYFUNCTION("""COMPUTED_VALUE"""),"08")</f>
        <v>08</v>
      </c>
      <c r="J5641" s="115"/>
      <c r="K5641" s="115">
        <f>IFERROR(__xludf.DUMMYFUNCTION("""COMPUTED_VALUE"""),2360.0)</f>
        <v>2360</v>
      </c>
    </row>
    <row r="5642">
      <c r="A5642" s="115" t="str">
        <f>IFERROR(__xludf.DUMMYFUNCTION("""COMPUTED_VALUE"""),"NORTH")</f>
        <v>NORTH</v>
      </c>
      <c r="B5642" s="115" t="str">
        <f>IFERROR(__xludf.DUMMYFUNCTION("""COMPUTED_VALUE"""),"Manoj Harsh")</f>
        <v>Manoj Harsh</v>
      </c>
      <c r="C5642" s="115" t="str">
        <f>IFERROR(__xludf.DUMMYFUNCTION("""COMPUTED_VALUE"""),"FLIPKART")</f>
        <v>FLIPKART</v>
      </c>
      <c r="D5642" s="115">
        <f>IFERROR(__xludf.DUMMYFUNCTION("""COMPUTED_VALUE"""),33358.0)</f>
        <v>33358</v>
      </c>
      <c r="E5642" s="115">
        <f>IFERROR(__xludf.DUMMYFUNCTION("""COMPUTED_VALUE"""),3385.0)</f>
        <v>3385</v>
      </c>
      <c r="F5642" s="115">
        <f>IFERROR(__xludf.DUMMYFUNCTION("""COMPUTED_VALUE"""),330.0)</f>
        <v>330</v>
      </c>
      <c r="G5642" s="115">
        <f>IFERROR(__xludf.DUMMYFUNCTION("""COMPUTED_VALUE"""),26.0)</f>
        <v>26</v>
      </c>
      <c r="H5642" s="116">
        <f>IFERROR(__xludf.DUMMYFUNCTION("""COMPUTED_VALUE"""),45911.0)</f>
        <v>45911</v>
      </c>
      <c r="I5642" s="115" t="str">
        <f>IFERROR(__xludf.DUMMYFUNCTION("""COMPUTED_VALUE"""),"08")</f>
        <v>08</v>
      </c>
      <c r="J5642" s="115"/>
      <c r="K5642" s="115">
        <f>IFERROR(__xludf.DUMMYFUNCTION("""COMPUTED_VALUE"""),36743.0)</f>
        <v>36743</v>
      </c>
    </row>
    <row r="5643">
      <c r="A5643" s="115" t="str">
        <f>IFERROR(__xludf.DUMMYFUNCTION("""COMPUTED_VALUE"""),"NORTH")</f>
        <v>NORTH</v>
      </c>
      <c r="B5643" s="115" t="str">
        <f>IFERROR(__xludf.DUMMYFUNCTION("""COMPUTED_VALUE"""),"Manoj Harsh")</f>
        <v>Manoj Harsh</v>
      </c>
      <c r="C5643" s="115" t="str">
        <f>IFERROR(__xludf.DUMMYFUNCTION("""COMPUTED_VALUE"""),"MYNTRA")</f>
        <v>MYNTRA</v>
      </c>
      <c r="D5643" s="115">
        <f>IFERROR(__xludf.DUMMYFUNCTION("""COMPUTED_VALUE"""),3373.0)</f>
        <v>3373</v>
      </c>
      <c r="E5643" s="115">
        <f>IFERROR(__xludf.DUMMYFUNCTION("""COMPUTED_VALUE"""),756.0)</f>
        <v>756</v>
      </c>
      <c r="F5643" s="115">
        <f>IFERROR(__xludf.DUMMYFUNCTION("""COMPUTED_VALUE"""),51.0)</f>
        <v>51</v>
      </c>
      <c r="G5643" s="115">
        <f>IFERROR(__xludf.DUMMYFUNCTION("""COMPUTED_VALUE"""),3.0)</f>
        <v>3</v>
      </c>
      <c r="H5643" s="116">
        <f>IFERROR(__xludf.DUMMYFUNCTION("""COMPUTED_VALUE"""),45911.0)</f>
        <v>45911</v>
      </c>
      <c r="I5643" s="115" t="str">
        <f>IFERROR(__xludf.DUMMYFUNCTION("""COMPUTED_VALUE"""),"08")</f>
        <v>08</v>
      </c>
      <c r="J5643" s="115"/>
      <c r="K5643" s="115">
        <f>IFERROR(__xludf.DUMMYFUNCTION("""COMPUTED_VALUE"""),4129.0)</f>
        <v>4129</v>
      </c>
    </row>
    <row r="5644">
      <c r="A5644" s="115" t="str">
        <f>IFERROR(__xludf.DUMMYFUNCTION("""COMPUTED_VALUE"""),"NORTH")</f>
        <v>NORTH</v>
      </c>
      <c r="B5644" s="115" t="str">
        <f>IFERROR(__xludf.DUMMYFUNCTION("""COMPUTED_VALUE"""),"Pradeep Kothari")</f>
        <v>Pradeep Kothari</v>
      </c>
      <c r="C5644" s="115" t="str">
        <f>IFERROR(__xludf.DUMMYFUNCTION("""COMPUTED_VALUE"""),"EXTERNAL")</f>
        <v>EXTERNAL</v>
      </c>
      <c r="D5644" s="115">
        <f>IFERROR(__xludf.DUMMYFUNCTION("""COMPUTED_VALUE"""),1172.0)</f>
        <v>1172</v>
      </c>
      <c r="E5644" s="115">
        <f>IFERROR(__xludf.DUMMYFUNCTION("""COMPUTED_VALUE"""),222.0)</f>
        <v>222</v>
      </c>
      <c r="F5644" s="115">
        <f>IFERROR(__xludf.DUMMYFUNCTION("""COMPUTED_VALUE"""),6.0)</f>
        <v>6</v>
      </c>
      <c r="G5644" s="115">
        <f>IFERROR(__xludf.DUMMYFUNCTION("""COMPUTED_VALUE"""),0.0)</f>
        <v>0</v>
      </c>
      <c r="H5644" s="116">
        <f>IFERROR(__xludf.DUMMYFUNCTION("""COMPUTED_VALUE"""),45911.0)</f>
        <v>45911</v>
      </c>
      <c r="I5644" s="115" t="str">
        <f>IFERROR(__xludf.DUMMYFUNCTION("""COMPUTED_VALUE"""),"08")</f>
        <v>08</v>
      </c>
      <c r="J5644" s="115"/>
      <c r="K5644" s="115">
        <f>IFERROR(__xludf.DUMMYFUNCTION("""COMPUTED_VALUE"""),1394.0)</f>
        <v>1394</v>
      </c>
    </row>
    <row r="5645">
      <c r="A5645" s="115" t="str">
        <f>IFERROR(__xludf.DUMMYFUNCTION("""COMPUTED_VALUE"""),"NORTH")</f>
        <v>NORTH</v>
      </c>
      <c r="B5645" s="115" t="str">
        <f>IFERROR(__xludf.DUMMYFUNCTION("""COMPUTED_VALUE"""),"Pradeep Kothari")</f>
        <v>Pradeep Kothari</v>
      </c>
      <c r="C5645" s="115" t="str">
        <f>IFERROR(__xludf.DUMMYFUNCTION("""COMPUTED_VALUE"""),"FLIPKART")</f>
        <v>FLIPKART</v>
      </c>
      <c r="D5645" s="115">
        <f>IFERROR(__xludf.DUMMYFUNCTION("""COMPUTED_VALUE"""),12505.0)</f>
        <v>12505</v>
      </c>
      <c r="E5645" s="115">
        <f>IFERROR(__xludf.DUMMYFUNCTION("""COMPUTED_VALUE"""),1948.0)</f>
        <v>1948</v>
      </c>
      <c r="F5645" s="115">
        <f>IFERROR(__xludf.DUMMYFUNCTION("""COMPUTED_VALUE"""),229.0)</f>
        <v>229</v>
      </c>
      <c r="G5645" s="115">
        <f>IFERROR(__xludf.DUMMYFUNCTION("""COMPUTED_VALUE"""),12.0)</f>
        <v>12</v>
      </c>
      <c r="H5645" s="116">
        <f>IFERROR(__xludf.DUMMYFUNCTION("""COMPUTED_VALUE"""),45911.0)</f>
        <v>45911</v>
      </c>
      <c r="I5645" s="115" t="str">
        <f>IFERROR(__xludf.DUMMYFUNCTION("""COMPUTED_VALUE"""),"08")</f>
        <v>08</v>
      </c>
      <c r="J5645" s="115"/>
      <c r="K5645" s="115">
        <f>IFERROR(__xludf.DUMMYFUNCTION("""COMPUTED_VALUE"""),14453.0)</f>
        <v>14453</v>
      </c>
    </row>
    <row r="5646">
      <c r="A5646" s="115" t="str">
        <f>IFERROR(__xludf.DUMMYFUNCTION("""COMPUTED_VALUE"""),"NORTH")</f>
        <v>NORTH</v>
      </c>
      <c r="B5646" s="115" t="str">
        <f>IFERROR(__xludf.DUMMYFUNCTION("""COMPUTED_VALUE"""),"Pradeep Kothari")</f>
        <v>Pradeep Kothari</v>
      </c>
      <c r="C5646" s="115" t="str">
        <f>IFERROR(__xludf.DUMMYFUNCTION("""COMPUTED_VALUE"""),"MYNTRA")</f>
        <v>MYNTRA</v>
      </c>
      <c r="D5646" s="115">
        <f>IFERROR(__xludf.DUMMYFUNCTION("""COMPUTED_VALUE"""),1987.0)</f>
        <v>1987</v>
      </c>
      <c r="E5646" s="115">
        <f>IFERROR(__xludf.DUMMYFUNCTION("""COMPUTED_VALUE"""),503.0)</f>
        <v>503</v>
      </c>
      <c r="F5646" s="115">
        <f>IFERROR(__xludf.DUMMYFUNCTION("""COMPUTED_VALUE"""),40.0)</f>
        <v>40</v>
      </c>
      <c r="G5646" s="115">
        <f>IFERROR(__xludf.DUMMYFUNCTION("""COMPUTED_VALUE"""),3.0)</f>
        <v>3</v>
      </c>
      <c r="H5646" s="116">
        <f>IFERROR(__xludf.DUMMYFUNCTION("""COMPUTED_VALUE"""),45911.0)</f>
        <v>45911</v>
      </c>
      <c r="I5646" s="115" t="str">
        <f>IFERROR(__xludf.DUMMYFUNCTION("""COMPUTED_VALUE"""),"08")</f>
        <v>08</v>
      </c>
      <c r="J5646" s="115"/>
      <c r="K5646" s="115">
        <f>IFERROR(__xludf.DUMMYFUNCTION("""COMPUTED_VALUE"""),2490.0)</f>
        <v>2490</v>
      </c>
    </row>
    <row r="5647">
      <c r="A5647" s="115" t="str">
        <f>IFERROR(__xludf.DUMMYFUNCTION("""COMPUTED_VALUE"""),"SOUTH")</f>
        <v>SOUTH</v>
      </c>
      <c r="B5647" s="115" t="str">
        <f>IFERROR(__xludf.DUMMYFUNCTION("""COMPUTED_VALUE"""),"Kandula Sampath")</f>
        <v>Kandula Sampath</v>
      </c>
      <c r="C5647" s="115" t="str">
        <f>IFERROR(__xludf.DUMMYFUNCTION("""COMPUTED_VALUE"""),"EXTERNAL")</f>
        <v>EXTERNAL</v>
      </c>
      <c r="D5647" s="115">
        <f>IFERROR(__xludf.DUMMYFUNCTION("""COMPUTED_VALUE"""),4994.0)</f>
        <v>4994</v>
      </c>
      <c r="E5647" s="115">
        <f>IFERROR(__xludf.DUMMYFUNCTION("""COMPUTED_VALUE"""),513.0)</f>
        <v>513</v>
      </c>
      <c r="F5647" s="115">
        <f>IFERROR(__xludf.DUMMYFUNCTION("""COMPUTED_VALUE"""),53.0)</f>
        <v>53</v>
      </c>
      <c r="G5647" s="115">
        <f>IFERROR(__xludf.DUMMYFUNCTION("""COMPUTED_VALUE"""),0.0)</f>
        <v>0</v>
      </c>
      <c r="H5647" s="116">
        <f>IFERROR(__xludf.DUMMYFUNCTION("""COMPUTED_VALUE"""),45911.0)</f>
        <v>45911</v>
      </c>
      <c r="I5647" s="115" t="str">
        <f>IFERROR(__xludf.DUMMYFUNCTION("""COMPUTED_VALUE"""),"08")</f>
        <v>08</v>
      </c>
      <c r="J5647" s="115"/>
      <c r="K5647" s="115">
        <f>IFERROR(__xludf.DUMMYFUNCTION("""COMPUTED_VALUE"""),5507.0)</f>
        <v>5507</v>
      </c>
    </row>
    <row r="5648">
      <c r="A5648" s="115" t="str">
        <f>IFERROR(__xludf.DUMMYFUNCTION("""COMPUTED_VALUE"""),"SOUTH")</f>
        <v>SOUTH</v>
      </c>
      <c r="B5648" s="115" t="str">
        <f>IFERROR(__xludf.DUMMYFUNCTION("""COMPUTED_VALUE"""),"Kandula Sampath")</f>
        <v>Kandula Sampath</v>
      </c>
      <c r="C5648" s="115" t="str">
        <f>IFERROR(__xludf.DUMMYFUNCTION("""COMPUTED_VALUE"""),"FLIPKART")</f>
        <v>FLIPKART</v>
      </c>
      <c r="D5648" s="115">
        <f>IFERROR(__xludf.DUMMYFUNCTION("""COMPUTED_VALUE"""),60750.0)</f>
        <v>60750</v>
      </c>
      <c r="E5648" s="115">
        <f>IFERROR(__xludf.DUMMYFUNCTION("""COMPUTED_VALUE"""),3519.0)</f>
        <v>3519</v>
      </c>
      <c r="F5648" s="115">
        <f>IFERROR(__xludf.DUMMYFUNCTION("""COMPUTED_VALUE"""),1310.0)</f>
        <v>1310</v>
      </c>
      <c r="G5648" s="115">
        <f>IFERROR(__xludf.DUMMYFUNCTION("""COMPUTED_VALUE"""),28.0)</f>
        <v>28</v>
      </c>
      <c r="H5648" s="116">
        <f>IFERROR(__xludf.DUMMYFUNCTION("""COMPUTED_VALUE"""),45911.0)</f>
        <v>45911</v>
      </c>
      <c r="I5648" s="115" t="str">
        <f>IFERROR(__xludf.DUMMYFUNCTION("""COMPUTED_VALUE"""),"08")</f>
        <v>08</v>
      </c>
      <c r="J5648" s="115"/>
      <c r="K5648" s="115">
        <f>IFERROR(__xludf.DUMMYFUNCTION("""COMPUTED_VALUE"""),64269.0)</f>
        <v>64269</v>
      </c>
    </row>
    <row r="5649">
      <c r="A5649" s="115" t="str">
        <f>IFERROR(__xludf.DUMMYFUNCTION("""COMPUTED_VALUE"""),"SOUTH")</f>
        <v>SOUTH</v>
      </c>
      <c r="B5649" s="115" t="str">
        <f>IFERROR(__xludf.DUMMYFUNCTION("""COMPUTED_VALUE"""),"Kandula Sampath")</f>
        <v>Kandula Sampath</v>
      </c>
      <c r="C5649" s="115" t="str">
        <f>IFERROR(__xludf.DUMMYFUNCTION("""COMPUTED_VALUE"""),"MYNTRA")</f>
        <v>MYNTRA</v>
      </c>
      <c r="D5649" s="115">
        <f>IFERROR(__xludf.DUMMYFUNCTION("""COMPUTED_VALUE"""),6151.0)</f>
        <v>6151</v>
      </c>
      <c r="E5649" s="115">
        <f>IFERROR(__xludf.DUMMYFUNCTION("""COMPUTED_VALUE"""),1244.0)</f>
        <v>1244</v>
      </c>
      <c r="F5649" s="115">
        <f>IFERROR(__xludf.DUMMYFUNCTION("""COMPUTED_VALUE"""),133.0)</f>
        <v>133</v>
      </c>
      <c r="G5649" s="115">
        <f>IFERROR(__xludf.DUMMYFUNCTION("""COMPUTED_VALUE"""),12.0)</f>
        <v>12</v>
      </c>
      <c r="H5649" s="116">
        <f>IFERROR(__xludf.DUMMYFUNCTION("""COMPUTED_VALUE"""),45911.0)</f>
        <v>45911</v>
      </c>
      <c r="I5649" s="115" t="str">
        <f>IFERROR(__xludf.DUMMYFUNCTION("""COMPUTED_VALUE"""),"08")</f>
        <v>08</v>
      </c>
      <c r="J5649" s="115"/>
      <c r="K5649" s="115">
        <f>IFERROR(__xludf.DUMMYFUNCTION("""COMPUTED_VALUE"""),7395.0)</f>
        <v>7395</v>
      </c>
    </row>
    <row r="5650">
      <c r="A5650" s="115" t="str">
        <f>IFERROR(__xludf.DUMMYFUNCTION("""COMPUTED_VALUE"""),"SOUTH")</f>
        <v>SOUTH</v>
      </c>
      <c r="B5650" s="115" t="str">
        <f>IFERROR(__xludf.DUMMYFUNCTION("""COMPUTED_VALUE"""),"Martin A")</f>
        <v>Martin A</v>
      </c>
      <c r="C5650" s="115" t="str">
        <f>IFERROR(__xludf.DUMMYFUNCTION("""COMPUTED_VALUE"""),"EXTERNAL")</f>
        <v>EXTERNAL</v>
      </c>
      <c r="D5650" s="115">
        <f>IFERROR(__xludf.DUMMYFUNCTION("""COMPUTED_VALUE"""),4467.0)</f>
        <v>4467</v>
      </c>
      <c r="E5650" s="115">
        <f>IFERROR(__xludf.DUMMYFUNCTION("""COMPUTED_VALUE"""),594.0)</f>
        <v>594</v>
      </c>
      <c r="F5650" s="115">
        <f>IFERROR(__xludf.DUMMYFUNCTION("""COMPUTED_VALUE"""),14.0)</f>
        <v>14</v>
      </c>
      <c r="G5650" s="115">
        <f>IFERROR(__xludf.DUMMYFUNCTION("""COMPUTED_VALUE"""),10.0)</f>
        <v>10</v>
      </c>
      <c r="H5650" s="116">
        <f>IFERROR(__xludf.DUMMYFUNCTION("""COMPUTED_VALUE"""),45911.0)</f>
        <v>45911</v>
      </c>
      <c r="I5650" s="115" t="str">
        <f>IFERROR(__xludf.DUMMYFUNCTION("""COMPUTED_VALUE"""),"08")</f>
        <v>08</v>
      </c>
      <c r="J5650" s="115"/>
      <c r="K5650" s="115">
        <f>IFERROR(__xludf.DUMMYFUNCTION("""COMPUTED_VALUE"""),5061.0)</f>
        <v>5061</v>
      </c>
    </row>
    <row r="5651">
      <c r="A5651" s="115" t="str">
        <f>IFERROR(__xludf.DUMMYFUNCTION("""COMPUTED_VALUE"""),"SOUTH")</f>
        <v>SOUTH</v>
      </c>
      <c r="B5651" s="115" t="str">
        <f>IFERROR(__xludf.DUMMYFUNCTION("""COMPUTED_VALUE"""),"Martin A")</f>
        <v>Martin A</v>
      </c>
      <c r="C5651" s="115" t="str">
        <f>IFERROR(__xludf.DUMMYFUNCTION("""COMPUTED_VALUE"""),"FLIPKART")</f>
        <v>FLIPKART</v>
      </c>
      <c r="D5651" s="115">
        <f>IFERROR(__xludf.DUMMYFUNCTION("""COMPUTED_VALUE"""),46125.0)</f>
        <v>46125</v>
      </c>
      <c r="E5651" s="115">
        <f>IFERROR(__xludf.DUMMYFUNCTION("""COMPUTED_VALUE"""),3715.0)</f>
        <v>3715</v>
      </c>
      <c r="F5651" s="115">
        <f>IFERROR(__xludf.DUMMYFUNCTION("""COMPUTED_VALUE"""),398.0)</f>
        <v>398</v>
      </c>
      <c r="G5651" s="115">
        <f>IFERROR(__xludf.DUMMYFUNCTION("""COMPUTED_VALUE"""),91.0)</f>
        <v>91</v>
      </c>
      <c r="H5651" s="116">
        <f>IFERROR(__xludf.DUMMYFUNCTION("""COMPUTED_VALUE"""),45911.0)</f>
        <v>45911</v>
      </c>
      <c r="I5651" s="115" t="str">
        <f>IFERROR(__xludf.DUMMYFUNCTION("""COMPUTED_VALUE"""),"08")</f>
        <v>08</v>
      </c>
      <c r="J5651" s="115"/>
      <c r="K5651" s="115">
        <f>IFERROR(__xludf.DUMMYFUNCTION("""COMPUTED_VALUE"""),49840.0)</f>
        <v>49840</v>
      </c>
    </row>
    <row r="5652">
      <c r="A5652" s="115" t="str">
        <f>IFERROR(__xludf.DUMMYFUNCTION("""COMPUTED_VALUE"""),"SOUTH")</f>
        <v>SOUTH</v>
      </c>
      <c r="B5652" s="115" t="str">
        <f>IFERROR(__xludf.DUMMYFUNCTION("""COMPUTED_VALUE"""),"Martin A")</f>
        <v>Martin A</v>
      </c>
      <c r="C5652" s="115" t="str">
        <f>IFERROR(__xludf.DUMMYFUNCTION("""COMPUTED_VALUE"""),"MYNTRA")</f>
        <v>MYNTRA</v>
      </c>
      <c r="D5652" s="115">
        <f>IFERROR(__xludf.DUMMYFUNCTION("""COMPUTED_VALUE"""),4255.0)</f>
        <v>4255</v>
      </c>
      <c r="E5652" s="115">
        <f>IFERROR(__xludf.DUMMYFUNCTION("""COMPUTED_VALUE"""),1135.0)</f>
        <v>1135</v>
      </c>
      <c r="F5652" s="115">
        <f>IFERROR(__xludf.DUMMYFUNCTION("""COMPUTED_VALUE"""),57.0)</f>
        <v>57</v>
      </c>
      <c r="G5652" s="115">
        <f>IFERROR(__xludf.DUMMYFUNCTION("""COMPUTED_VALUE"""),15.0)</f>
        <v>15</v>
      </c>
      <c r="H5652" s="116">
        <f>IFERROR(__xludf.DUMMYFUNCTION("""COMPUTED_VALUE"""),45911.0)</f>
        <v>45911</v>
      </c>
      <c r="I5652" s="115" t="str">
        <f>IFERROR(__xludf.DUMMYFUNCTION("""COMPUTED_VALUE"""),"08")</f>
        <v>08</v>
      </c>
      <c r="J5652" s="115"/>
      <c r="K5652" s="115">
        <f>IFERROR(__xludf.DUMMYFUNCTION("""COMPUTED_VALUE"""),5390.0)</f>
        <v>5390</v>
      </c>
    </row>
    <row r="5653">
      <c r="A5653" s="115" t="str">
        <f>IFERROR(__xludf.DUMMYFUNCTION("""COMPUTED_VALUE"""),"SOUTH")</f>
        <v>SOUTH</v>
      </c>
      <c r="B5653" s="115" t="str">
        <f>IFERROR(__xludf.DUMMYFUNCTION("""COMPUTED_VALUE"""),"Premkumar M")</f>
        <v>Premkumar M</v>
      </c>
      <c r="C5653" s="115" t="str">
        <f>IFERROR(__xludf.DUMMYFUNCTION("""COMPUTED_VALUE"""),"EXTERNAL")</f>
        <v>EXTERNAL</v>
      </c>
      <c r="D5653" s="115">
        <f>IFERROR(__xludf.DUMMYFUNCTION("""COMPUTED_VALUE"""),915.0)</f>
        <v>915</v>
      </c>
      <c r="E5653" s="115">
        <f>IFERROR(__xludf.DUMMYFUNCTION("""COMPUTED_VALUE"""),48.0)</f>
        <v>48</v>
      </c>
      <c r="F5653" s="115">
        <f>IFERROR(__xludf.DUMMYFUNCTION("""COMPUTED_VALUE"""),9.0)</f>
        <v>9</v>
      </c>
      <c r="G5653" s="115">
        <f>IFERROR(__xludf.DUMMYFUNCTION("""COMPUTED_VALUE"""),0.0)</f>
        <v>0</v>
      </c>
      <c r="H5653" s="116">
        <f>IFERROR(__xludf.DUMMYFUNCTION("""COMPUTED_VALUE"""),45911.0)</f>
        <v>45911</v>
      </c>
      <c r="I5653" s="115" t="str">
        <f>IFERROR(__xludf.DUMMYFUNCTION("""COMPUTED_VALUE"""),"08")</f>
        <v>08</v>
      </c>
      <c r="J5653" s="115"/>
      <c r="K5653" s="115">
        <f>IFERROR(__xludf.DUMMYFUNCTION("""COMPUTED_VALUE"""),963.0)</f>
        <v>963</v>
      </c>
    </row>
    <row r="5654">
      <c r="A5654" s="115" t="str">
        <f>IFERROR(__xludf.DUMMYFUNCTION("""COMPUTED_VALUE"""),"SOUTH")</f>
        <v>SOUTH</v>
      </c>
      <c r="B5654" s="115" t="str">
        <f>IFERROR(__xludf.DUMMYFUNCTION("""COMPUTED_VALUE"""),"Premkumar M")</f>
        <v>Premkumar M</v>
      </c>
      <c r="C5654" s="115" t="str">
        <f>IFERROR(__xludf.DUMMYFUNCTION("""COMPUTED_VALUE"""),"FLIPKART")</f>
        <v>FLIPKART</v>
      </c>
      <c r="D5654" s="115">
        <f>IFERROR(__xludf.DUMMYFUNCTION("""COMPUTED_VALUE"""),11613.0)</f>
        <v>11613</v>
      </c>
      <c r="E5654" s="115">
        <f>IFERROR(__xludf.DUMMYFUNCTION("""COMPUTED_VALUE"""),588.0)</f>
        <v>588</v>
      </c>
      <c r="F5654" s="115">
        <f>IFERROR(__xludf.DUMMYFUNCTION("""COMPUTED_VALUE"""),175.0)</f>
        <v>175</v>
      </c>
      <c r="G5654" s="115">
        <f>IFERROR(__xludf.DUMMYFUNCTION("""COMPUTED_VALUE"""),23.0)</f>
        <v>23</v>
      </c>
      <c r="H5654" s="116">
        <f>IFERROR(__xludf.DUMMYFUNCTION("""COMPUTED_VALUE"""),45911.0)</f>
        <v>45911</v>
      </c>
      <c r="I5654" s="115" t="str">
        <f>IFERROR(__xludf.DUMMYFUNCTION("""COMPUTED_VALUE"""),"08")</f>
        <v>08</v>
      </c>
      <c r="J5654" s="115"/>
      <c r="K5654" s="115">
        <f>IFERROR(__xludf.DUMMYFUNCTION("""COMPUTED_VALUE"""),12201.0)</f>
        <v>12201</v>
      </c>
    </row>
    <row r="5655">
      <c r="A5655" s="115" t="str">
        <f>IFERROR(__xludf.DUMMYFUNCTION("""COMPUTED_VALUE"""),"SOUTH")</f>
        <v>SOUTH</v>
      </c>
      <c r="B5655" s="115" t="str">
        <f>IFERROR(__xludf.DUMMYFUNCTION("""COMPUTED_VALUE"""),"Premkumar M")</f>
        <v>Premkumar M</v>
      </c>
      <c r="C5655" s="115" t="str">
        <f>IFERROR(__xludf.DUMMYFUNCTION("""COMPUTED_VALUE"""),"MYNTRA")</f>
        <v>MYNTRA</v>
      </c>
      <c r="D5655" s="115">
        <f>IFERROR(__xludf.DUMMYFUNCTION("""COMPUTED_VALUE"""),700.0)</f>
        <v>700</v>
      </c>
      <c r="E5655" s="115">
        <f>IFERROR(__xludf.DUMMYFUNCTION("""COMPUTED_VALUE"""),105.0)</f>
        <v>105</v>
      </c>
      <c r="F5655" s="115">
        <f>IFERROR(__xludf.DUMMYFUNCTION("""COMPUTED_VALUE"""),11.0)</f>
        <v>11</v>
      </c>
      <c r="G5655" s="115">
        <f>IFERROR(__xludf.DUMMYFUNCTION("""COMPUTED_VALUE"""),0.0)</f>
        <v>0</v>
      </c>
      <c r="H5655" s="116">
        <f>IFERROR(__xludf.DUMMYFUNCTION("""COMPUTED_VALUE"""),45911.0)</f>
        <v>45911</v>
      </c>
      <c r="I5655" s="115" t="str">
        <f>IFERROR(__xludf.DUMMYFUNCTION("""COMPUTED_VALUE"""),"08")</f>
        <v>08</v>
      </c>
      <c r="J5655" s="115"/>
      <c r="K5655" s="115">
        <f>IFERROR(__xludf.DUMMYFUNCTION("""COMPUTED_VALUE"""),805.0)</f>
        <v>805</v>
      </c>
    </row>
    <row r="5656">
      <c r="A5656" s="115" t="str">
        <f>IFERROR(__xludf.DUMMYFUNCTION("""COMPUTED_VALUE"""),"SOUTH")</f>
        <v>SOUTH</v>
      </c>
      <c r="B5656" s="115" t="str">
        <f>IFERROR(__xludf.DUMMYFUNCTION("""COMPUTED_VALUE"""),"Vineeth V")</f>
        <v>Vineeth V</v>
      </c>
      <c r="C5656" s="115" t="str">
        <f>IFERROR(__xludf.DUMMYFUNCTION("""COMPUTED_VALUE"""),"EXTERNAL")</f>
        <v>EXTERNAL</v>
      </c>
      <c r="D5656" s="115">
        <f>IFERROR(__xludf.DUMMYFUNCTION("""COMPUTED_VALUE"""),272.0)</f>
        <v>272</v>
      </c>
      <c r="E5656" s="115">
        <f>IFERROR(__xludf.DUMMYFUNCTION("""COMPUTED_VALUE"""),10.0)</f>
        <v>10</v>
      </c>
      <c r="F5656" s="115">
        <f>IFERROR(__xludf.DUMMYFUNCTION("""COMPUTED_VALUE"""),3.0)</f>
        <v>3</v>
      </c>
      <c r="G5656" s="115">
        <f>IFERROR(__xludf.DUMMYFUNCTION("""COMPUTED_VALUE"""),0.0)</f>
        <v>0</v>
      </c>
      <c r="H5656" s="116">
        <f>IFERROR(__xludf.DUMMYFUNCTION("""COMPUTED_VALUE"""),45911.0)</f>
        <v>45911</v>
      </c>
      <c r="I5656" s="115" t="str">
        <f>IFERROR(__xludf.DUMMYFUNCTION("""COMPUTED_VALUE"""),"08")</f>
        <v>08</v>
      </c>
      <c r="J5656" s="115"/>
      <c r="K5656" s="115">
        <f>IFERROR(__xludf.DUMMYFUNCTION("""COMPUTED_VALUE"""),282.0)</f>
        <v>282</v>
      </c>
    </row>
    <row r="5657">
      <c r="A5657" s="115" t="str">
        <f>IFERROR(__xludf.DUMMYFUNCTION("""COMPUTED_VALUE"""),"SOUTH")</f>
        <v>SOUTH</v>
      </c>
      <c r="B5657" s="115" t="str">
        <f>IFERROR(__xludf.DUMMYFUNCTION("""COMPUTED_VALUE"""),"Vineeth V")</f>
        <v>Vineeth V</v>
      </c>
      <c r="C5657" s="115" t="str">
        <f>IFERROR(__xludf.DUMMYFUNCTION("""COMPUTED_VALUE"""),"FLIPKART")</f>
        <v>FLIPKART</v>
      </c>
      <c r="D5657" s="115">
        <f>IFERROR(__xludf.DUMMYFUNCTION("""COMPUTED_VALUE"""),3229.0)</f>
        <v>3229</v>
      </c>
      <c r="E5657" s="115">
        <f>IFERROR(__xludf.DUMMYFUNCTION("""COMPUTED_VALUE"""),153.0)</f>
        <v>153</v>
      </c>
      <c r="F5657" s="115">
        <f>IFERROR(__xludf.DUMMYFUNCTION("""COMPUTED_VALUE"""),35.0)</f>
        <v>35</v>
      </c>
      <c r="G5657" s="115">
        <f>IFERROR(__xludf.DUMMYFUNCTION("""COMPUTED_VALUE"""),3.0)</f>
        <v>3</v>
      </c>
      <c r="H5657" s="116">
        <f>IFERROR(__xludf.DUMMYFUNCTION("""COMPUTED_VALUE"""),45911.0)</f>
        <v>45911</v>
      </c>
      <c r="I5657" s="115" t="str">
        <f>IFERROR(__xludf.DUMMYFUNCTION("""COMPUTED_VALUE"""),"08")</f>
        <v>08</v>
      </c>
      <c r="J5657" s="115"/>
      <c r="K5657" s="115">
        <f>IFERROR(__xludf.DUMMYFUNCTION("""COMPUTED_VALUE"""),3382.0)</f>
        <v>3382</v>
      </c>
    </row>
    <row r="5658">
      <c r="A5658" s="115" t="str">
        <f>IFERROR(__xludf.DUMMYFUNCTION("""COMPUTED_VALUE"""),"SOUTH")</f>
        <v>SOUTH</v>
      </c>
      <c r="B5658" s="115" t="str">
        <f>IFERROR(__xludf.DUMMYFUNCTION("""COMPUTED_VALUE"""),"Vineeth V")</f>
        <v>Vineeth V</v>
      </c>
      <c r="C5658" s="115" t="str">
        <f>IFERROR(__xludf.DUMMYFUNCTION("""COMPUTED_VALUE"""),"MYNTRA")</f>
        <v>MYNTRA</v>
      </c>
      <c r="D5658" s="115">
        <f>IFERROR(__xludf.DUMMYFUNCTION("""COMPUTED_VALUE"""),293.0)</f>
        <v>293</v>
      </c>
      <c r="E5658" s="115">
        <f>IFERROR(__xludf.DUMMYFUNCTION("""COMPUTED_VALUE"""),45.0)</f>
        <v>45</v>
      </c>
      <c r="F5658" s="115">
        <f>IFERROR(__xludf.DUMMYFUNCTION("""COMPUTED_VALUE"""),4.0)</f>
        <v>4</v>
      </c>
      <c r="G5658" s="115">
        <f>IFERROR(__xludf.DUMMYFUNCTION("""COMPUTED_VALUE"""),1.0)</f>
        <v>1</v>
      </c>
      <c r="H5658" s="116">
        <f>IFERROR(__xludf.DUMMYFUNCTION("""COMPUTED_VALUE"""),45911.0)</f>
        <v>45911</v>
      </c>
      <c r="I5658" s="115" t="str">
        <f>IFERROR(__xludf.DUMMYFUNCTION("""COMPUTED_VALUE"""),"08")</f>
        <v>08</v>
      </c>
      <c r="J5658" s="115"/>
      <c r="K5658" s="115">
        <f>IFERROR(__xludf.DUMMYFUNCTION("""COMPUTED_VALUE"""),338.0)</f>
        <v>338</v>
      </c>
    </row>
    <row r="5659">
      <c r="A5659" s="115" t="str">
        <f>IFERROR(__xludf.DUMMYFUNCTION("""COMPUTED_VALUE"""),"WEST")</f>
        <v>WEST</v>
      </c>
      <c r="B5659" s="115" t="str">
        <f>IFERROR(__xludf.DUMMYFUNCTION("""COMPUTED_VALUE"""),"Ashish Jakar")</f>
        <v>Ashish Jakar</v>
      </c>
      <c r="C5659" s="115" t="str">
        <f>IFERROR(__xludf.DUMMYFUNCTION("""COMPUTED_VALUE"""),"EXTERNAL")</f>
        <v>EXTERNAL</v>
      </c>
      <c r="D5659" s="115">
        <f>IFERROR(__xludf.DUMMYFUNCTION("""COMPUTED_VALUE"""),2615.0)</f>
        <v>2615</v>
      </c>
      <c r="E5659" s="115">
        <f>IFERROR(__xludf.DUMMYFUNCTION("""COMPUTED_VALUE"""),493.0)</f>
        <v>493</v>
      </c>
      <c r="F5659" s="115">
        <f>IFERROR(__xludf.DUMMYFUNCTION("""COMPUTED_VALUE"""),6.0)</f>
        <v>6</v>
      </c>
      <c r="G5659" s="115">
        <f>IFERROR(__xludf.DUMMYFUNCTION("""COMPUTED_VALUE"""),0.0)</f>
        <v>0</v>
      </c>
      <c r="H5659" s="116">
        <f>IFERROR(__xludf.DUMMYFUNCTION("""COMPUTED_VALUE"""),45911.0)</f>
        <v>45911</v>
      </c>
      <c r="I5659" s="115" t="str">
        <f>IFERROR(__xludf.DUMMYFUNCTION("""COMPUTED_VALUE"""),"08")</f>
        <v>08</v>
      </c>
      <c r="J5659" s="115"/>
      <c r="K5659" s="115">
        <f>IFERROR(__xludf.DUMMYFUNCTION("""COMPUTED_VALUE"""),3108.0)</f>
        <v>3108</v>
      </c>
    </row>
    <row r="5660">
      <c r="A5660" s="115" t="str">
        <f>IFERROR(__xludf.DUMMYFUNCTION("""COMPUTED_VALUE"""),"WEST")</f>
        <v>WEST</v>
      </c>
      <c r="B5660" s="115" t="str">
        <f>IFERROR(__xludf.DUMMYFUNCTION("""COMPUTED_VALUE"""),"Ashish Jakar")</f>
        <v>Ashish Jakar</v>
      </c>
      <c r="C5660" s="115" t="str">
        <f>IFERROR(__xludf.DUMMYFUNCTION("""COMPUTED_VALUE"""),"FLIPKART")</f>
        <v>FLIPKART</v>
      </c>
      <c r="D5660" s="115">
        <f>IFERROR(__xludf.DUMMYFUNCTION("""COMPUTED_VALUE"""),20898.0)</f>
        <v>20898</v>
      </c>
      <c r="E5660" s="115">
        <f>IFERROR(__xludf.DUMMYFUNCTION("""COMPUTED_VALUE"""),2572.0)</f>
        <v>2572</v>
      </c>
      <c r="F5660" s="115">
        <f>IFERROR(__xludf.DUMMYFUNCTION("""COMPUTED_VALUE"""),111.0)</f>
        <v>111</v>
      </c>
      <c r="G5660" s="115">
        <f>IFERROR(__xludf.DUMMYFUNCTION("""COMPUTED_VALUE"""),7.0)</f>
        <v>7</v>
      </c>
      <c r="H5660" s="116">
        <f>IFERROR(__xludf.DUMMYFUNCTION("""COMPUTED_VALUE"""),45911.0)</f>
        <v>45911</v>
      </c>
      <c r="I5660" s="115" t="str">
        <f>IFERROR(__xludf.DUMMYFUNCTION("""COMPUTED_VALUE"""),"08")</f>
        <v>08</v>
      </c>
      <c r="J5660" s="115"/>
      <c r="K5660" s="115">
        <f>IFERROR(__xludf.DUMMYFUNCTION("""COMPUTED_VALUE"""),23470.0)</f>
        <v>23470</v>
      </c>
    </row>
    <row r="5661">
      <c r="A5661" s="115" t="str">
        <f>IFERROR(__xludf.DUMMYFUNCTION("""COMPUTED_VALUE"""),"WEST")</f>
        <v>WEST</v>
      </c>
      <c r="B5661" s="115" t="str">
        <f>IFERROR(__xludf.DUMMYFUNCTION("""COMPUTED_VALUE"""),"Ashish Jakar")</f>
        <v>Ashish Jakar</v>
      </c>
      <c r="C5661" s="115" t="str">
        <f>IFERROR(__xludf.DUMMYFUNCTION("""COMPUTED_VALUE"""),"MYNTRA")</f>
        <v>MYNTRA</v>
      </c>
      <c r="D5661" s="115">
        <f>IFERROR(__xludf.DUMMYFUNCTION("""COMPUTED_VALUE"""),2540.0)</f>
        <v>2540</v>
      </c>
      <c r="E5661" s="115">
        <f>IFERROR(__xludf.DUMMYFUNCTION("""COMPUTED_VALUE"""),826.0)</f>
        <v>826</v>
      </c>
      <c r="F5661" s="115">
        <f>IFERROR(__xludf.DUMMYFUNCTION("""COMPUTED_VALUE"""),11.0)</f>
        <v>11</v>
      </c>
      <c r="G5661" s="115">
        <f>IFERROR(__xludf.DUMMYFUNCTION("""COMPUTED_VALUE"""),0.0)</f>
        <v>0</v>
      </c>
      <c r="H5661" s="116">
        <f>IFERROR(__xludf.DUMMYFUNCTION("""COMPUTED_VALUE"""),45911.0)</f>
        <v>45911</v>
      </c>
      <c r="I5661" s="115" t="str">
        <f>IFERROR(__xludf.DUMMYFUNCTION("""COMPUTED_VALUE"""),"08")</f>
        <v>08</v>
      </c>
      <c r="J5661" s="115"/>
      <c r="K5661" s="115">
        <f>IFERROR(__xludf.DUMMYFUNCTION("""COMPUTED_VALUE"""),3366.0)</f>
        <v>3366</v>
      </c>
    </row>
    <row r="5662">
      <c r="A5662" s="115" t="str">
        <f>IFERROR(__xludf.DUMMYFUNCTION("""COMPUTED_VALUE"""),"WEST")</f>
        <v>WEST</v>
      </c>
      <c r="B5662" s="115" t="str">
        <f>IFERROR(__xludf.DUMMYFUNCTION("""COMPUTED_VALUE"""),"Ashvani Bhatt")</f>
        <v>Ashvani Bhatt</v>
      </c>
      <c r="C5662" s="115" t="str">
        <f>IFERROR(__xludf.DUMMYFUNCTION("""COMPUTED_VALUE"""),"EXTERNAL")</f>
        <v>EXTERNAL</v>
      </c>
      <c r="D5662" s="115">
        <f>IFERROR(__xludf.DUMMYFUNCTION("""COMPUTED_VALUE"""),2949.0)</f>
        <v>2949</v>
      </c>
      <c r="E5662" s="115">
        <f>IFERROR(__xludf.DUMMYFUNCTION("""COMPUTED_VALUE"""),228.0)</f>
        <v>228</v>
      </c>
      <c r="F5662" s="115">
        <f>IFERROR(__xludf.DUMMYFUNCTION("""COMPUTED_VALUE"""),13.0)</f>
        <v>13</v>
      </c>
      <c r="G5662" s="115">
        <f>IFERROR(__xludf.DUMMYFUNCTION("""COMPUTED_VALUE"""),0.0)</f>
        <v>0</v>
      </c>
      <c r="H5662" s="116">
        <f>IFERROR(__xludf.DUMMYFUNCTION("""COMPUTED_VALUE"""),45911.0)</f>
        <v>45911</v>
      </c>
      <c r="I5662" s="115" t="str">
        <f>IFERROR(__xludf.DUMMYFUNCTION("""COMPUTED_VALUE"""),"08")</f>
        <v>08</v>
      </c>
      <c r="J5662" s="115"/>
      <c r="K5662" s="115">
        <f>IFERROR(__xludf.DUMMYFUNCTION("""COMPUTED_VALUE"""),3177.0)</f>
        <v>3177</v>
      </c>
    </row>
    <row r="5663">
      <c r="A5663" s="115" t="str">
        <f>IFERROR(__xludf.DUMMYFUNCTION("""COMPUTED_VALUE"""),"WEST")</f>
        <v>WEST</v>
      </c>
      <c r="B5663" s="115" t="str">
        <f>IFERROR(__xludf.DUMMYFUNCTION("""COMPUTED_VALUE"""),"Ashvani Bhatt")</f>
        <v>Ashvani Bhatt</v>
      </c>
      <c r="C5663" s="115" t="str">
        <f>IFERROR(__xludf.DUMMYFUNCTION("""COMPUTED_VALUE"""),"FLIPKART")</f>
        <v>FLIPKART</v>
      </c>
      <c r="D5663" s="115">
        <f>IFERROR(__xludf.DUMMYFUNCTION("""COMPUTED_VALUE"""),27617.0)</f>
        <v>27617</v>
      </c>
      <c r="E5663" s="115">
        <f>IFERROR(__xludf.DUMMYFUNCTION("""COMPUTED_VALUE"""),2052.0)</f>
        <v>2052</v>
      </c>
      <c r="F5663" s="115">
        <f>IFERROR(__xludf.DUMMYFUNCTION("""COMPUTED_VALUE"""),288.0)</f>
        <v>288</v>
      </c>
      <c r="G5663" s="115">
        <f>IFERROR(__xludf.DUMMYFUNCTION("""COMPUTED_VALUE"""),10.0)</f>
        <v>10</v>
      </c>
      <c r="H5663" s="116">
        <f>IFERROR(__xludf.DUMMYFUNCTION("""COMPUTED_VALUE"""),45911.0)</f>
        <v>45911</v>
      </c>
      <c r="I5663" s="115" t="str">
        <f>IFERROR(__xludf.DUMMYFUNCTION("""COMPUTED_VALUE"""),"08")</f>
        <v>08</v>
      </c>
      <c r="J5663" s="115"/>
      <c r="K5663" s="115">
        <f>IFERROR(__xludf.DUMMYFUNCTION("""COMPUTED_VALUE"""),29669.0)</f>
        <v>29669</v>
      </c>
    </row>
    <row r="5664">
      <c r="A5664" s="115" t="str">
        <f>IFERROR(__xludf.DUMMYFUNCTION("""COMPUTED_VALUE"""),"WEST")</f>
        <v>WEST</v>
      </c>
      <c r="B5664" s="115" t="str">
        <f>IFERROR(__xludf.DUMMYFUNCTION("""COMPUTED_VALUE"""),"Ashvani Bhatt")</f>
        <v>Ashvani Bhatt</v>
      </c>
      <c r="C5664" s="115" t="str">
        <f>IFERROR(__xludf.DUMMYFUNCTION("""COMPUTED_VALUE"""),"MYNTRA")</f>
        <v>MYNTRA</v>
      </c>
      <c r="D5664" s="115">
        <f>IFERROR(__xludf.DUMMYFUNCTION("""COMPUTED_VALUE"""),4316.0)</f>
        <v>4316</v>
      </c>
      <c r="E5664" s="115">
        <f>IFERROR(__xludf.DUMMYFUNCTION("""COMPUTED_VALUE"""),821.0)</f>
        <v>821</v>
      </c>
      <c r="F5664" s="115">
        <f>IFERROR(__xludf.DUMMYFUNCTION("""COMPUTED_VALUE"""),70.0)</f>
        <v>70</v>
      </c>
      <c r="G5664" s="115">
        <f>IFERROR(__xludf.DUMMYFUNCTION("""COMPUTED_VALUE"""),2.0)</f>
        <v>2</v>
      </c>
      <c r="H5664" s="116">
        <f>IFERROR(__xludf.DUMMYFUNCTION("""COMPUTED_VALUE"""),45911.0)</f>
        <v>45911</v>
      </c>
      <c r="I5664" s="115" t="str">
        <f>IFERROR(__xludf.DUMMYFUNCTION("""COMPUTED_VALUE"""),"08")</f>
        <v>08</v>
      </c>
      <c r="J5664" s="115"/>
      <c r="K5664" s="115">
        <f>IFERROR(__xludf.DUMMYFUNCTION("""COMPUTED_VALUE"""),5137.0)</f>
        <v>5137</v>
      </c>
    </row>
    <row r="5665">
      <c r="A5665" s="115"/>
      <c r="B5665" s="115"/>
      <c r="C5665" s="115" t="str">
        <f>IFERROR(__xludf.DUMMYFUNCTION("""COMPUTED_VALUE"""),"EXTERNAL")</f>
        <v>EXTERNAL</v>
      </c>
      <c r="D5665" s="115">
        <f>IFERROR(__xludf.DUMMYFUNCTION("""COMPUTED_VALUE"""),19.0)</f>
        <v>19</v>
      </c>
      <c r="E5665" s="115">
        <f>IFERROR(__xludf.DUMMYFUNCTION("""COMPUTED_VALUE"""),14.0)</f>
        <v>14</v>
      </c>
      <c r="F5665" s="115">
        <f>IFERROR(__xludf.DUMMYFUNCTION("""COMPUTED_VALUE"""),0.0)</f>
        <v>0</v>
      </c>
      <c r="G5665" s="115">
        <f>IFERROR(__xludf.DUMMYFUNCTION("""COMPUTED_VALUE"""),0.0)</f>
        <v>0</v>
      </c>
      <c r="H5665" s="116">
        <f>IFERROR(__xludf.DUMMYFUNCTION("""COMPUTED_VALUE"""),45911.0)</f>
        <v>45911</v>
      </c>
      <c r="I5665" s="115" t="str">
        <f>IFERROR(__xludf.DUMMYFUNCTION("""COMPUTED_VALUE"""),"08")</f>
        <v>08</v>
      </c>
      <c r="J5665" s="115"/>
      <c r="K5665" s="115">
        <f>IFERROR(__xludf.DUMMYFUNCTION("""COMPUTED_VALUE"""),33.0)</f>
        <v>33</v>
      </c>
    </row>
    <row r="5666">
      <c r="A5666" s="115"/>
      <c r="B5666" s="115"/>
      <c r="C5666" s="115" t="str">
        <f>IFERROR(__xludf.DUMMYFUNCTION("""COMPUTED_VALUE"""),"FLIPKART")</f>
        <v>FLIPKART</v>
      </c>
      <c r="D5666" s="115">
        <f>IFERROR(__xludf.DUMMYFUNCTION("""COMPUTED_VALUE"""),346.0)</f>
        <v>346</v>
      </c>
      <c r="E5666" s="115">
        <f>IFERROR(__xludf.DUMMYFUNCTION("""COMPUTED_VALUE"""),158.0)</f>
        <v>158</v>
      </c>
      <c r="F5666" s="115">
        <f>IFERROR(__xludf.DUMMYFUNCTION("""COMPUTED_VALUE"""),8.0)</f>
        <v>8</v>
      </c>
      <c r="G5666" s="115">
        <f>IFERROR(__xludf.DUMMYFUNCTION("""COMPUTED_VALUE"""),3.0)</f>
        <v>3</v>
      </c>
      <c r="H5666" s="116">
        <f>IFERROR(__xludf.DUMMYFUNCTION("""COMPUTED_VALUE"""),45911.0)</f>
        <v>45911</v>
      </c>
      <c r="I5666" s="115" t="str">
        <f>IFERROR(__xludf.DUMMYFUNCTION("""COMPUTED_VALUE"""),"08")</f>
        <v>08</v>
      </c>
      <c r="J5666" s="115"/>
      <c r="K5666" s="115">
        <f>IFERROR(__xludf.DUMMYFUNCTION("""COMPUTED_VALUE"""),504.0)</f>
        <v>504</v>
      </c>
    </row>
    <row r="5667">
      <c r="A5667" s="115"/>
      <c r="B5667" s="115"/>
      <c r="C5667" s="115" t="str">
        <f>IFERROR(__xludf.DUMMYFUNCTION("""COMPUTED_VALUE"""),"MYNTRA")</f>
        <v>MYNTRA</v>
      </c>
      <c r="D5667" s="115">
        <f>IFERROR(__xludf.DUMMYFUNCTION("""COMPUTED_VALUE"""),15.0)</f>
        <v>15</v>
      </c>
      <c r="E5667" s="115">
        <f>IFERROR(__xludf.DUMMYFUNCTION("""COMPUTED_VALUE"""),46.0)</f>
        <v>46</v>
      </c>
      <c r="F5667" s="115">
        <f>IFERROR(__xludf.DUMMYFUNCTION("""COMPUTED_VALUE"""),0.0)</f>
        <v>0</v>
      </c>
      <c r="G5667" s="115">
        <f>IFERROR(__xludf.DUMMYFUNCTION("""COMPUTED_VALUE"""),1.0)</f>
        <v>1</v>
      </c>
      <c r="H5667" s="116">
        <f>IFERROR(__xludf.DUMMYFUNCTION("""COMPUTED_VALUE"""),45911.0)</f>
        <v>45911</v>
      </c>
      <c r="I5667" s="115" t="str">
        <f>IFERROR(__xludf.DUMMYFUNCTION("""COMPUTED_VALUE"""),"08")</f>
        <v>08</v>
      </c>
      <c r="J5667" s="115"/>
      <c r="K5667" s="115">
        <f>IFERROR(__xludf.DUMMYFUNCTION("""COMPUTED_VALUE"""),61.0)</f>
        <v>61</v>
      </c>
    </row>
    <row r="5668">
      <c r="A5668" s="115" t="str">
        <f>IFERROR(__xludf.DUMMYFUNCTION("""COMPUTED_VALUE"""),"EAST")</f>
        <v>EAST</v>
      </c>
      <c r="B5668" s="115" t="str">
        <f>IFERROR(__xludf.DUMMYFUNCTION("""COMPUTED_VALUE"""),"Ashish Ranjan")</f>
        <v>Ashish Ranjan</v>
      </c>
      <c r="C5668" s="115" t="str">
        <f>IFERROR(__xludf.DUMMYFUNCTION("""COMPUTED_VALUE"""),"EXTERNAL")</f>
        <v>EXTERNAL</v>
      </c>
      <c r="D5668" s="115">
        <f>IFERROR(__xludf.DUMMYFUNCTION("""COMPUTED_VALUE"""),13451.0)</f>
        <v>13451</v>
      </c>
      <c r="E5668" s="115">
        <f>IFERROR(__xludf.DUMMYFUNCTION("""COMPUTED_VALUE"""),1047.0)</f>
        <v>1047</v>
      </c>
      <c r="F5668" s="115">
        <f>IFERROR(__xludf.DUMMYFUNCTION("""COMPUTED_VALUE"""),323.0)</f>
        <v>323</v>
      </c>
      <c r="G5668" s="115">
        <f>IFERROR(__xludf.DUMMYFUNCTION("""COMPUTED_VALUE"""),10.0)</f>
        <v>10</v>
      </c>
      <c r="H5668" s="116">
        <f>IFERROR(__xludf.DUMMYFUNCTION("""COMPUTED_VALUE"""),45911.0)</f>
        <v>45911</v>
      </c>
      <c r="I5668" s="115" t="str">
        <f>IFERROR(__xludf.DUMMYFUNCTION("""COMPUTED_VALUE"""),"09")</f>
        <v>09</v>
      </c>
      <c r="J5668" s="115"/>
      <c r="K5668" s="115">
        <f>IFERROR(__xludf.DUMMYFUNCTION("""COMPUTED_VALUE"""),14498.0)</f>
        <v>14498</v>
      </c>
    </row>
    <row r="5669">
      <c r="A5669" s="115" t="str">
        <f>IFERROR(__xludf.DUMMYFUNCTION("""COMPUTED_VALUE"""),"EAST")</f>
        <v>EAST</v>
      </c>
      <c r="B5669" s="115" t="str">
        <f>IFERROR(__xludf.DUMMYFUNCTION("""COMPUTED_VALUE"""),"Ashish Ranjan")</f>
        <v>Ashish Ranjan</v>
      </c>
      <c r="C5669" s="115" t="str">
        <f>IFERROR(__xludf.DUMMYFUNCTION("""COMPUTED_VALUE"""),"FLIPKART")</f>
        <v>FLIPKART</v>
      </c>
      <c r="D5669" s="115">
        <f>IFERROR(__xludf.DUMMYFUNCTION("""COMPUTED_VALUE"""),260413.0)</f>
        <v>260413</v>
      </c>
      <c r="E5669" s="115">
        <f>IFERROR(__xludf.DUMMYFUNCTION("""COMPUTED_VALUE"""),19797.0)</f>
        <v>19797</v>
      </c>
      <c r="F5669" s="115">
        <f>IFERROR(__xludf.DUMMYFUNCTION("""COMPUTED_VALUE"""),8930.0)</f>
        <v>8930</v>
      </c>
      <c r="G5669" s="115">
        <f>IFERROR(__xludf.DUMMYFUNCTION("""COMPUTED_VALUE"""),294.0)</f>
        <v>294</v>
      </c>
      <c r="H5669" s="116">
        <f>IFERROR(__xludf.DUMMYFUNCTION("""COMPUTED_VALUE"""),45911.0)</f>
        <v>45911</v>
      </c>
      <c r="I5669" s="115" t="str">
        <f>IFERROR(__xludf.DUMMYFUNCTION("""COMPUTED_VALUE"""),"09")</f>
        <v>09</v>
      </c>
      <c r="J5669" s="115"/>
      <c r="K5669" s="115">
        <f>IFERROR(__xludf.DUMMYFUNCTION("""COMPUTED_VALUE"""),280210.0)</f>
        <v>280210</v>
      </c>
    </row>
    <row r="5670">
      <c r="A5670" s="115" t="str">
        <f>IFERROR(__xludf.DUMMYFUNCTION("""COMPUTED_VALUE"""),"EAST")</f>
        <v>EAST</v>
      </c>
      <c r="B5670" s="115" t="str">
        <f>IFERROR(__xludf.DUMMYFUNCTION("""COMPUTED_VALUE"""),"Ashish Ranjan")</f>
        <v>Ashish Ranjan</v>
      </c>
      <c r="C5670" s="115" t="str">
        <f>IFERROR(__xludf.DUMMYFUNCTION("""COMPUTED_VALUE"""),"MYNTRA")</f>
        <v>MYNTRA</v>
      </c>
      <c r="D5670" s="115">
        <f>IFERROR(__xludf.DUMMYFUNCTION("""COMPUTED_VALUE"""),23786.0)</f>
        <v>23786</v>
      </c>
      <c r="E5670" s="115">
        <f>IFERROR(__xludf.DUMMYFUNCTION("""COMPUTED_VALUE"""),4786.0)</f>
        <v>4786</v>
      </c>
      <c r="F5670" s="115">
        <f>IFERROR(__xludf.DUMMYFUNCTION("""COMPUTED_VALUE"""),889.0)</f>
        <v>889</v>
      </c>
      <c r="G5670" s="115">
        <f>IFERROR(__xludf.DUMMYFUNCTION("""COMPUTED_VALUE"""),57.0)</f>
        <v>57</v>
      </c>
      <c r="H5670" s="116">
        <f>IFERROR(__xludf.DUMMYFUNCTION("""COMPUTED_VALUE"""),45911.0)</f>
        <v>45911</v>
      </c>
      <c r="I5670" s="115" t="str">
        <f>IFERROR(__xludf.DUMMYFUNCTION("""COMPUTED_VALUE"""),"09")</f>
        <v>09</v>
      </c>
      <c r="J5670" s="115"/>
      <c r="K5670" s="115">
        <f>IFERROR(__xludf.DUMMYFUNCTION("""COMPUTED_VALUE"""),28572.0)</f>
        <v>28572</v>
      </c>
    </row>
    <row r="5671">
      <c r="A5671" s="115" t="str">
        <f>IFERROR(__xludf.DUMMYFUNCTION("""COMPUTED_VALUE"""),"EAST")</f>
        <v>EAST</v>
      </c>
      <c r="B5671" s="115" t="str">
        <f>IFERROR(__xludf.DUMMYFUNCTION("""COMPUTED_VALUE"""),"Girish Chand")</f>
        <v>Girish Chand</v>
      </c>
      <c r="C5671" s="115" t="str">
        <f>IFERROR(__xludf.DUMMYFUNCTION("""COMPUTED_VALUE"""),"EXTERNAL")</f>
        <v>EXTERNAL</v>
      </c>
      <c r="D5671" s="115">
        <f>IFERROR(__xludf.DUMMYFUNCTION("""COMPUTED_VALUE"""),6496.0)</f>
        <v>6496</v>
      </c>
      <c r="E5671" s="115">
        <f>IFERROR(__xludf.DUMMYFUNCTION("""COMPUTED_VALUE"""),479.0)</f>
        <v>479</v>
      </c>
      <c r="F5671" s="115">
        <f>IFERROR(__xludf.DUMMYFUNCTION("""COMPUTED_VALUE"""),82.0)</f>
        <v>82</v>
      </c>
      <c r="G5671" s="115">
        <f>IFERROR(__xludf.DUMMYFUNCTION("""COMPUTED_VALUE"""),1.0)</f>
        <v>1</v>
      </c>
      <c r="H5671" s="116">
        <f>IFERROR(__xludf.DUMMYFUNCTION("""COMPUTED_VALUE"""),45911.0)</f>
        <v>45911</v>
      </c>
      <c r="I5671" s="115" t="str">
        <f>IFERROR(__xludf.DUMMYFUNCTION("""COMPUTED_VALUE"""),"09")</f>
        <v>09</v>
      </c>
      <c r="J5671" s="115"/>
      <c r="K5671" s="115">
        <f>IFERROR(__xludf.DUMMYFUNCTION("""COMPUTED_VALUE"""),6975.0)</f>
        <v>6975</v>
      </c>
    </row>
    <row r="5672">
      <c r="A5672" s="115" t="str">
        <f>IFERROR(__xludf.DUMMYFUNCTION("""COMPUTED_VALUE"""),"EAST")</f>
        <v>EAST</v>
      </c>
      <c r="B5672" s="115" t="str">
        <f>IFERROR(__xludf.DUMMYFUNCTION("""COMPUTED_VALUE"""),"Girish Chand")</f>
        <v>Girish Chand</v>
      </c>
      <c r="C5672" s="115" t="str">
        <f>IFERROR(__xludf.DUMMYFUNCTION("""COMPUTED_VALUE"""),"FLIPKART")</f>
        <v>FLIPKART</v>
      </c>
      <c r="D5672" s="115">
        <f>IFERROR(__xludf.DUMMYFUNCTION("""COMPUTED_VALUE"""),136259.0)</f>
        <v>136259</v>
      </c>
      <c r="E5672" s="115">
        <f>IFERROR(__xludf.DUMMYFUNCTION("""COMPUTED_VALUE"""),8792.0)</f>
        <v>8792</v>
      </c>
      <c r="F5672" s="115">
        <f>IFERROR(__xludf.DUMMYFUNCTION("""COMPUTED_VALUE"""),2825.0)</f>
        <v>2825</v>
      </c>
      <c r="G5672" s="115">
        <f>IFERROR(__xludf.DUMMYFUNCTION("""COMPUTED_VALUE"""),112.0)</f>
        <v>112</v>
      </c>
      <c r="H5672" s="116">
        <f>IFERROR(__xludf.DUMMYFUNCTION("""COMPUTED_VALUE"""),45911.0)</f>
        <v>45911</v>
      </c>
      <c r="I5672" s="115" t="str">
        <f>IFERROR(__xludf.DUMMYFUNCTION("""COMPUTED_VALUE"""),"09")</f>
        <v>09</v>
      </c>
      <c r="J5672" s="115"/>
      <c r="K5672" s="115">
        <f>IFERROR(__xludf.DUMMYFUNCTION("""COMPUTED_VALUE"""),145051.0)</f>
        <v>145051</v>
      </c>
    </row>
    <row r="5673">
      <c r="A5673" s="115" t="str">
        <f>IFERROR(__xludf.DUMMYFUNCTION("""COMPUTED_VALUE"""),"EAST")</f>
        <v>EAST</v>
      </c>
      <c r="B5673" s="115" t="str">
        <f>IFERROR(__xludf.DUMMYFUNCTION("""COMPUTED_VALUE"""),"Girish Chand")</f>
        <v>Girish Chand</v>
      </c>
      <c r="C5673" s="115" t="str">
        <f>IFERROR(__xludf.DUMMYFUNCTION("""COMPUTED_VALUE"""),"MYNTRA")</f>
        <v>MYNTRA</v>
      </c>
      <c r="D5673" s="115">
        <f>IFERROR(__xludf.DUMMYFUNCTION("""COMPUTED_VALUE"""),11074.0)</f>
        <v>11074</v>
      </c>
      <c r="E5673" s="115">
        <f>IFERROR(__xludf.DUMMYFUNCTION("""COMPUTED_VALUE"""),1958.0)</f>
        <v>1958</v>
      </c>
      <c r="F5673" s="115">
        <f>IFERROR(__xludf.DUMMYFUNCTION("""COMPUTED_VALUE"""),275.0)</f>
        <v>275</v>
      </c>
      <c r="G5673" s="115">
        <f>IFERROR(__xludf.DUMMYFUNCTION("""COMPUTED_VALUE"""),64.0)</f>
        <v>64</v>
      </c>
      <c r="H5673" s="116">
        <f>IFERROR(__xludf.DUMMYFUNCTION("""COMPUTED_VALUE"""),45911.0)</f>
        <v>45911</v>
      </c>
      <c r="I5673" s="115" t="str">
        <f>IFERROR(__xludf.DUMMYFUNCTION("""COMPUTED_VALUE"""),"09")</f>
        <v>09</v>
      </c>
      <c r="J5673" s="115"/>
      <c r="K5673" s="115">
        <f>IFERROR(__xludf.DUMMYFUNCTION("""COMPUTED_VALUE"""),13032.0)</f>
        <v>13032</v>
      </c>
    </row>
    <row r="5674">
      <c r="A5674" s="115" t="str">
        <f>IFERROR(__xludf.DUMMYFUNCTION("""COMPUTED_VALUE"""),"EAST")</f>
        <v>EAST</v>
      </c>
      <c r="B5674" s="115" t="str">
        <f>IFERROR(__xludf.DUMMYFUNCTION("""COMPUTED_VALUE"""),"Parag Kashyap")</f>
        <v>Parag Kashyap</v>
      </c>
      <c r="C5674" s="115" t="str">
        <f>IFERROR(__xludf.DUMMYFUNCTION("""COMPUTED_VALUE"""),"EXTERNAL")</f>
        <v>EXTERNAL</v>
      </c>
      <c r="D5674" s="115">
        <f>IFERROR(__xludf.DUMMYFUNCTION("""COMPUTED_VALUE"""),5162.0)</f>
        <v>5162</v>
      </c>
      <c r="E5674" s="115">
        <f>IFERROR(__xludf.DUMMYFUNCTION("""COMPUTED_VALUE"""),257.0)</f>
        <v>257</v>
      </c>
      <c r="F5674" s="115">
        <f>IFERROR(__xludf.DUMMYFUNCTION("""COMPUTED_VALUE"""),52.0)</f>
        <v>52</v>
      </c>
      <c r="G5674" s="115">
        <f>IFERROR(__xludf.DUMMYFUNCTION("""COMPUTED_VALUE"""),4.0)</f>
        <v>4</v>
      </c>
      <c r="H5674" s="116">
        <f>IFERROR(__xludf.DUMMYFUNCTION("""COMPUTED_VALUE"""),45911.0)</f>
        <v>45911</v>
      </c>
      <c r="I5674" s="115" t="str">
        <f>IFERROR(__xludf.DUMMYFUNCTION("""COMPUTED_VALUE"""),"09")</f>
        <v>09</v>
      </c>
      <c r="J5674" s="115"/>
      <c r="K5674" s="115">
        <f>IFERROR(__xludf.DUMMYFUNCTION("""COMPUTED_VALUE"""),5419.0)</f>
        <v>5419</v>
      </c>
    </row>
    <row r="5675">
      <c r="A5675" s="115" t="str">
        <f>IFERROR(__xludf.DUMMYFUNCTION("""COMPUTED_VALUE"""),"EAST")</f>
        <v>EAST</v>
      </c>
      <c r="B5675" s="115" t="str">
        <f>IFERROR(__xludf.DUMMYFUNCTION("""COMPUTED_VALUE"""),"Parag Kashyap")</f>
        <v>Parag Kashyap</v>
      </c>
      <c r="C5675" s="115" t="str">
        <f>IFERROR(__xludf.DUMMYFUNCTION("""COMPUTED_VALUE"""),"FLIPKART")</f>
        <v>FLIPKART</v>
      </c>
      <c r="D5675" s="115">
        <f>IFERROR(__xludf.DUMMYFUNCTION("""COMPUTED_VALUE"""),101917.0)</f>
        <v>101917</v>
      </c>
      <c r="E5675" s="115">
        <f>IFERROR(__xludf.DUMMYFUNCTION("""COMPUTED_VALUE"""),4723.0)</f>
        <v>4723</v>
      </c>
      <c r="F5675" s="115">
        <f>IFERROR(__xludf.DUMMYFUNCTION("""COMPUTED_VALUE"""),1850.0)</f>
        <v>1850</v>
      </c>
      <c r="G5675" s="115">
        <f>IFERROR(__xludf.DUMMYFUNCTION("""COMPUTED_VALUE"""),78.0)</f>
        <v>78</v>
      </c>
      <c r="H5675" s="116">
        <f>IFERROR(__xludf.DUMMYFUNCTION("""COMPUTED_VALUE"""),45911.0)</f>
        <v>45911</v>
      </c>
      <c r="I5675" s="115" t="str">
        <f>IFERROR(__xludf.DUMMYFUNCTION("""COMPUTED_VALUE"""),"09")</f>
        <v>09</v>
      </c>
      <c r="J5675" s="115"/>
      <c r="K5675" s="115">
        <f>IFERROR(__xludf.DUMMYFUNCTION("""COMPUTED_VALUE"""),106640.0)</f>
        <v>106640</v>
      </c>
    </row>
    <row r="5676">
      <c r="A5676" s="115" t="str">
        <f>IFERROR(__xludf.DUMMYFUNCTION("""COMPUTED_VALUE"""),"EAST")</f>
        <v>EAST</v>
      </c>
      <c r="B5676" s="115" t="str">
        <f>IFERROR(__xludf.DUMMYFUNCTION("""COMPUTED_VALUE"""),"Parag Kashyap")</f>
        <v>Parag Kashyap</v>
      </c>
      <c r="C5676" s="115" t="str">
        <f>IFERROR(__xludf.DUMMYFUNCTION("""COMPUTED_VALUE"""),"MYNTRA")</f>
        <v>MYNTRA</v>
      </c>
      <c r="D5676" s="115">
        <f>IFERROR(__xludf.DUMMYFUNCTION("""COMPUTED_VALUE"""),13317.0)</f>
        <v>13317</v>
      </c>
      <c r="E5676" s="115">
        <f>IFERROR(__xludf.DUMMYFUNCTION("""COMPUTED_VALUE"""),1704.0)</f>
        <v>1704</v>
      </c>
      <c r="F5676" s="115">
        <f>IFERROR(__xludf.DUMMYFUNCTION("""COMPUTED_VALUE"""),312.0)</f>
        <v>312</v>
      </c>
      <c r="G5676" s="115">
        <f>IFERROR(__xludf.DUMMYFUNCTION("""COMPUTED_VALUE"""),12.0)</f>
        <v>12</v>
      </c>
      <c r="H5676" s="116">
        <f>IFERROR(__xludf.DUMMYFUNCTION("""COMPUTED_VALUE"""),45911.0)</f>
        <v>45911</v>
      </c>
      <c r="I5676" s="115" t="str">
        <f>IFERROR(__xludf.DUMMYFUNCTION("""COMPUTED_VALUE"""),"09")</f>
        <v>09</v>
      </c>
      <c r="J5676" s="115"/>
      <c r="K5676" s="115">
        <f>IFERROR(__xludf.DUMMYFUNCTION("""COMPUTED_VALUE"""),15021.0)</f>
        <v>15021</v>
      </c>
    </row>
    <row r="5677">
      <c r="A5677" s="115" t="str">
        <f>IFERROR(__xludf.DUMMYFUNCTION("""COMPUTED_VALUE"""),"NORTH")</f>
        <v>NORTH</v>
      </c>
      <c r="B5677" s="115" t="str">
        <f>IFERROR(__xludf.DUMMYFUNCTION("""COMPUTED_VALUE"""),"Amit Kumar Pathak")</f>
        <v>Amit Kumar Pathak</v>
      </c>
      <c r="C5677" s="115" t="str">
        <f>IFERROR(__xludf.DUMMYFUNCTION("""COMPUTED_VALUE"""),"EXTERNAL")</f>
        <v>EXTERNAL</v>
      </c>
      <c r="D5677" s="115">
        <f>IFERROR(__xludf.DUMMYFUNCTION("""COMPUTED_VALUE"""),11850.0)</f>
        <v>11850</v>
      </c>
      <c r="E5677" s="115">
        <f>IFERROR(__xludf.DUMMYFUNCTION("""COMPUTED_VALUE"""),1237.0)</f>
        <v>1237</v>
      </c>
      <c r="F5677" s="115">
        <f>IFERROR(__xludf.DUMMYFUNCTION("""COMPUTED_VALUE"""),186.0)</f>
        <v>186</v>
      </c>
      <c r="G5677" s="115">
        <f>IFERROR(__xludf.DUMMYFUNCTION("""COMPUTED_VALUE"""),28.0)</f>
        <v>28</v>
      </c>
      <c r="H5677" s="116">
        <f>IFERROR(__xludf.DUMMYFUNCTION("""COMPUTED_VALUE"""),45911.0)</f>
        <v>45911</v>
      </c>
      <c r="I5677" s="115" t="str">
        <f>IFERROR(__xludf.DUMMYFUNCTION("""COMPUTED_VALUE"""),"09")</f>
        <v>09</v>
      </c>
      <c r="J5677" s="115"/>
      <c r="K5677" s="115">
        <f>IFERROR(__xludf.DUMMYFUNCTION("""COMPUTED_VALUE"""),13087.0)</f>
        <v>13087</v>
      </c>
    </row>
    <row r="5678">
      <c r="A5678" s="115" t="str">
        <f>IFERROR(__xludf.DUMMYFUNCTION("""COMPUTED_VALUE"""),"NORTH")</f>
        <v>NORTH</v>
      </c>
      <c r="B5678" s="115" t="str">
        <f>IFERROR(__xludf.DUMMYFUNCTION("""COMPUTED_VALUE"""),"Amit Kumar Pathak")</f>
        <v>Amit Kumar Pathak</v>
      </c>
      <c r="C5678" s="115" t="str">
        <f>IFERROR(__xludf.DUMMYFUNCTION("""COMPUTED_VALUE"""),"FLIPKART")</f>
        <v>FLIPKART</v>
      </c>
      <c r="D5678" s="115">
        <f>IFERROR(__xludf.DUMMYFUNCTION("""COMPUTED_VALUE"""),84053.0)</f>
        <v>84053</v>
      </c>
      <c r="E5678" s="115">
        <f>IFERROR(__xludf.DUMMYFUNCTION("""COMPUTED_VALUE"""),9376.0)</f>
        <v>9376</v>
      </c>
      <c r="F5678" s="115">
        <f>IFERROR(__xludf.DUMMYFUNCTION("""COMPUTED_VALUE"""),2343.0)</f>
        <v>2343</v>
      </c>
      <c r="G5678" s="115">
        <f>IFERROR(__xludf.DUMMYFUNCTION("""COMPUTED_VALUE"""),144.0)</f>
        <v>144</v>
      </c>
      <c r="H5678" s="116">
        <f>IFERROR(__xludf.DUMMYFUNCTION("""COMPUTED_VALUE"""),45911.0)</f>
        <v>45911</v>
      </c>
      <c r="I5678" s="115" t="str">
        <f>IFERROR(__xludf.DUMMYFUNCTION("""COMPUTED_VALUE"""),"09")</f>
        <v>09</v>
      </c>
      <c r="J5678" s="115"/>
      <c r="K5678" s="115">
        <f>IFERROR(__xludf.DUMMYFUNCTION("""COMPUTED_VALUE"""),93429.0)</f>
        <v>93429</v>
      </c>
    </row>
    <row r="5679">
      <c r="A5679" s="115" t="str">
        <f>IFERROR(__xludf.DUMMYFUNCTION("""COMPUTED_VALUE"""),"NORTH")</f>
        <v>NORTH</v>
      </c>
      <c r="B5679" s="115" t="str">
        <f>IFERROR(__xludf.DUMMYFUNCTION("""COMPUTED_VALUE"""),"Amit Kumar Pathak")</f>
        <v>Amit Kumar Pathak</v>
      </c>
      <c r="C5679" s="115" t="str">
        <f>IFERROR(__xludf.DUMMYFUNCTION("""COMPUTED_VALUE"""),"MYNTRA")</f>
        <v>MYNTRA</v>
      </c>
      <c r="D5679" s="115">
        <f>IFERROR(__xludf.DUMMYFUNCTION("""COMPUTED_VALUE"""),6991.0)</f>
        <v>6991</v>
      </c>
      <c r="E5679" s="115">
        <f>IFERROR(__xludf.DUMMYFUNCTION("""COMPUTED_VALUE"""),2301.0)</f>
        <v>2301</v>
      </c>
      <c r="F5679" s="115">
        <f>IFERROR(__xludf.DUMMYFUNCTION("""COMPUTED_VALUE"""),215.0)</f>
        <v>215</v>
      </c>
      <c r="G5679" s="115">
        <f>IFERROR(__xludf.DUMMYFUNCTION("""COMPUTED_VALUE"""),29.0)</f>
        <v>29</v>
      </c>
      <c r="H5679" s="116">
        <f>IFERROR(__xludf.DUMMYFUNCTION("""COMPUTED_VALUE"""),45911.0)</f>
        <v>45911</v>
      </c>
      <c r="I5679" s="115" t="str">
        <f>IFERROR(__xludf.DUMMYFUNCTION("""COMPUTED_VALUE"""),"09")</f>
        <v>09</v>
      </c>
      <c r="J5679" s="115"/>
      <c r="K5679" s="115">
        <f>IFERROR(__xludf.DUMMYFUNCTION("""COMPUTED_VALUE"""),9292.0)</f>
        <v>9292</v>
      </c>
    </row>
    <row r="5680">
      <c r="A5680" s="115" t="str">
        <f>IFERROR(__xludf.DUMMYFUNCTION("""COMPUTED_VALUE"""),"NORTH")</f>
        <v>NORTH</v>
      </c>
      <c r="B5680" s="115" t="str">
        <f>IFERROR(__xludf.DUMMYFUNCTION("""COMPUTED_VALUE"""),"Loveleen Singh")</f>
        <v>Loveleen Singh</v>
      </c>
      <c r="C5680" s="115" t="str">
        <f>IFERROR(__xludf.DUMMYFUNCTION("""COMPUTED_VALUE"""),"EXTERNAL")</f>
        <v>EXTERNAL</v>
      </c>
      <c r="D5680" s="115">
        <f>IFERROR(__xludf.DUMMYFUNCTION("""COMPUTED_VALUE"""),6251.0)</f>
        <v>6251</v>
      </c>
      <c r="E5680" s="115">
        <f>IFERROR(__xludf.DUMMYFUNCTION("""COMPUTED_VALUE"""),348.0)</f>
        <v>348</v>
      </c>
      <c r="F5680" s="115">
        <f>IFERROR(__xludf.DUMMYFUNCTION("""COMPUTED_VALUE"""),125.0)</f>
        <v>125</v>
      </c>
      <c r="G5680" s="115">
        <f>IFERROR(__xludf.DUMMYFUNCTION("""COMPUTED_VALUE"""),8.0)</f>
        <v>8</v>
      </c>
      <c r="H5680" s="116">
        <f>IFERROR(__xludf.DUMMYFUNCTION("""COMPUTED_VALUE"""),45911.0)</f>
        <v>45911</v>
      </c>
      <c r="I5680" s="115" t="str">
        <f>IFERROR(__xludf.DUMMYFUNCTION("""COMPUTED_VALUE"""),"09")</f>
        <v>09</v>
      </c>
      <c r="J5680" s="115"/>
      <c r="K5680" s="115">
        <f>IFERROR(__xludf.DUMMYFUNCTION("""COMPUTED_VALUE"""),6599.0)</f>
        <v>6599</v>
      </c>
    </row>
    <row r="5681">
      <c r="A5681" s="115" t="str">
        <f>IFERROR(__xludf.DUMMYFUNCTION("""COMPUTED_VALUE"""),"NORTH")</f>
        <v>NORTH</v>
      </c>
      <c r="B5681" s="115" t="str">
        <f>IFERROR(__xludf.DUMMYFUNCTION("""COMPUTED_VALUE"""),"Loveleen Singh")</f>
        <v>Loveleen Singh</v>
      </c>
      <c r="C5681" s="115" t="str">
        <f>IFERROR(__xludf.DUMMYFUNCTION("""COMPUTED_VALUE"""),"FLIPKART")</f>
        <v>FLIPKART</v>
      </c>
      <c r="D5681" s="115">
        <f>IFERROR(__xludf.DUMMYFUNCTION("""COMPUTED_VALUE"""),45201.0)</f>
        <v>45201</v>
      </c>
      <c r="E5681" s="115">
        <f>IFERROR(__xludf.DUMMYFUNCTION("""COMPUTED_VALUE"""),2608.0)</f>
        <v>2608</v>
      </c>
      <c r="F5681" s="115">
        <f>IFERROR(__xludf.DUMMYFUNCTION("""COMPUTED_VALUE"""),1851.0)</f>
        <v>1851</v>
      </c>
      <c r="G5681" s="115">
        <f>IFERROR(__xludf.DUMMYFUNCTION("""COMPUTED_VALUE"""),57.0)</f>
        <v>57</v>
      </c>
      <c r="H5681" s="116">
        <f>IFERROR(__xludf.DUMMYFUNCTION("""COMPUTED_VALUE"""),45911.0)</f>
        <v>45911</v>
      </c>
      <c r="I5681" s="115" t="str">
        <f>IFERROR(__xludf.DUMMYFUNCTION("""COMPUTED_VALUE"""),"09")</f>
        <v>09</v>
      </c>
      <c r="J5681" s="115"/>
      <c r="K5681" s="115">
        <f>IFERROR(__xludf.DUMMYFUNCTION("""COMPUTED_VALUE"""),47809.0)</f>
        <v>47809</v>
      </c>
    </row>
    <row r="5682">
      <c r="A5682" s="115" t="str">
        <f>IFERROR(__xludf.DUMMYFUNCTION("""COMPUTED_VALUE"""),"NORTH")</f>
        <v>NORTH</v>
      </c>
      <c r="B5682" s="115" t="str">
        <f>IFERROR(__xludf.DUMMYFUNCTION("""COMPUTED_VALUE"""),"Loveleen Singh")</f>
        <v>Loveleen Singh</v>
      </c>
      <c r="C5682" s="115" t="str">
        <f>IFERROR(__xludf.DUMMYFUNCTION("""COMPUTED_VALUE"""),"MYNTRA")</f>
        <v>MYNTRA</v>
      </c>
      <c r="D5682" s="115">
        <f>IFERROR(__xludf.DUMMYFUNCTION("""COMPUTED_VALUE"""),7146.0)</f>
        <v>7146</v>
      </c>
      <c r="E5682" s="115">
        <f>IFERROR(__xludf.DUMMYFUNCTION("""COMPUTED_VALUE"""),1180.0)</f>
        <v>1180</v>
      </c>
      <c r="F5682" s="115">
        <f>IFERROR(__xludf.DUMMYFUNCTION("""COMPUTED_VALUE"""),366.0)</f>
        <v>366</v>
      </c>
      <c r="G5682" s="115">
        <f>IFERROR(__xludf.DUMMYFUNCTION("""COMPUTED_VALUE"""),36.0)</f>
        <v>36</v>
      </c>
      <c r="H5682" s="116">
        <f>IFERROR(__xludf.DUMMYFUNCTION("""COMPUTED_VALUE"""),45911.0)</f>
        <v>45911</v>
      </c>
      <c r="I5682" s="115" t="str">
        <f>IFERROR(__xludf.DUMMYFUNCTION("""COMPUTED_VALUE"""),"09")</f>
        <v>09</v>
      </c>
      <c r="J5682" s="115"/>
      <c r="K5682" s="115">
        <f>IFERROR(__xludf.DUMMYFUNCTION("""COMPUTED_VALUE"""),8326.0)</f>
        <v>8326</v>
      </c>
    </row>
    <row r="5683">
      <c r="A5683" s="115" t="str">
        <f>IFERROR(__xludf.DUMMYFUNCTION("""COMPUTED_VALUE"""),"NORTH")</f>
        <v>NORTH</v>
      </c>
      <c r="B5683" s="115" t="str">
        <f>IFERROR(__xludf.DUMMYFUNCTION("""COMPUTED_VALUE"""),"Manoj Harsh")</f>
        <v>Manoj Harsh</v>
      </c>
      <c r="C5683" s="115" t="str">
        <f>IFERROR(__xludf.DUMMYFUNCTION("""COMPUTED_VALUE"""),"EXTERNAL")</f>
        <v>EXTERNAL</v>
      </c>
      <c r="D5683" s="115">
        <f>IFERROR(__xludf.DUMMYFUNCTION("""COMPUTED_VALUE"""),7896.0)</f>
        <v>7896</v>
      </c>
      <c r="E5683" s="115">
        <f>IFERROR(__xludf.DUMMYFUNCTION("""COMPUTED_VALUE"""),608.0)</f>
        <v>608</v>
      </c>
      <c r="F5683" s="115">
        <f>IFERROR(__xludf.DUMMYFUNCTION("""COMPUTED_VALUE"""),93.0)</f>
        <v>93</v>
      </c>
      <c r="G5683" s="115">
        <f>IFERROR(__xludf.DUMMYFUNCTION("""COMPUTED_VALUE"""),5.0)</f>
        <v>5</v>
      </c>
      <c r="H5683" s="116">
        <f>IFERROR(__xludf.DUMMYFUNCTION("""COMPUTED_VALUE"""),45911.0)</f>
        <v>45911</v>
      </c>
      <c r="I5683" s="115" t="str">
        <f>IFERROR(__xludf.DUMMYFUNCTION("""COMPUTED_VALUE"""),"09")</f>
        <v>09</v>
      </c>
      <c r="J5683" s="115"/>
      <c r="K5683" s="115">
        <f>IFERROR(__xludf.DUMMYFUNCTION("""COMPUTED_VALUE"""),8504.0)</f>
        <v>8504</v>
      </c>
    </row>
    <row r="5684">
      <c r="A5684" s="115" t="str">
        <f>IFERROR(__xludf.DUMMYFUNCTION("""COMPUTED_VALUE"""),"NORTH")</f>
        <v>NORTH</v>
      </c>
      <c r="B5684" s="115" t="str">
        <f>IFERROR(__xludf.DUMMYFUNCTION("""COMPUTED_VALUE"""),"Manoj Harsh")</f>
        <v>Manoj Harsh</v>
      </c>
      <c r="C5684" s="115" t="str">
        <f>IFERROR(__xludf.DUMMYFUNCTION("""COMPUTED_VALUE"""),"FLIPKART")</f>
        <v>FLIPKART</v>
      </c>
      <c r="D5684" s="115">
        <f>IFERROR(__xludf.DUMMYFUNCTION("""COMPUTED_VALUE"""),119426.0)</f>
        <v>119426</v>
      </c>
      <c r="E5684" s="115">
        <f>IFERROR(__xludf.DUMMYFUNCTION("""COMPUTED_VALUE"""),8382.0)</f>
        <v>8382</v>
      </c>
      <c r="F5684" s="115">
        <f>IFERROR(__xludf.DUMMYFUNCTION("""COMPUTED_VALUE"""),2797.0)</f>
        <v>2797</v>
      </c>
      <c r="G5684" s="115">
        <f>IFERROR(__xludf.DUMMYFUNCTION("""COMPUTED_VALUE"""),139.0)</f>
        <v>139</v>
      </c>
      <c r="H5684" s="116">
        <f>IFERROR(__xludf.DUMMYFUNCTION("""COMPUTED_VALUE"""),45911.0)</f>
        <v>45911</v>
      </c>
      <c r="I5684" s="115" t="str">
        <f>IFERROR(__xludf.DUMMYFUNCTION("""COMPUTED_VALUE"""),"09")</f>
        <v>09</v>
      </c>
      <c r="J5684" s="115"/>
      <c r="K5684" s="115">
        <f>IFERROR(__xludf.DUMMYFUNCTION("""COMPUTED_VALUE"""),127808.0)</f>
        <v>127808</v>
      </c>
    </row>
    <row r="5685">
      <c r="A5685" s="115" t="str">
        <f>IFERROR(__xludf.DUMMYFUNCTION("""COMPUTED_VALUE"""),"NORTH")</f>
        <v>NORTH</v>
      </c>
      <c r="B5685" s="115" t="str">
        <f>IFERROR(__xludf.DUMMYFUNCTION("""COMPUTED_VALUE"""),"Manoj Harsh")</f>
        <v>Manoj Harsh</v>
      </c>
      <c r="C5685" s="115" t="str">
        <f>IFERROR(__xludf.DUMMYFUNCTION("""COMPUTED_VALUE"""),"MYNTRA")</f>
        <v>MYNTRA</v>
      </c>
      <c r="D5685" s="115">
        <f>IFERROR(__xludf.DUMMYFUNCTION("""COMPUTED_VALUE"""),10588.0)</f>
        <v>10588</v>
      </c>
      <c r="E5685" s="115">
        <f>IFERROR(__xludf.DUMMYFUNCTION("""COMPUTED_VALUE"""),1888.0)</f>
        <v>1888</v>
      </c>
      <c r="F5685" s="115">
        <f>IFERROR(__xludf.DUMMYFUNCTION("""COMPUTED_VALUE"""),321.0)</f>
        <v>321</v>
      </c>
      <c r="G5685" s="115">
        <f>IFERROR(__xludf.DUMMYFUNCTION("""COMPUTED_VALUE"""),25.0)</f>
        <v>25</v>
      </c>
      <c r="H5685" s="116">
        <f>IFERROR(__xludf.DUMMYFUNCTION("""COMPUTED_VALUE"""),45911.0)</f>
        <v>45911</v>
      </c>
      <c r="I5685" s="115" t="str">
        <f>IFERROR(__xludf.DUMMYFUNCTION("""COMPUTED_VALUE"""),"09")</f>
        <v>09</v>
      </c>
      <c r="J5685" s="115"/>
      <c r="K5685" s="115">
        <f>IFERROR(__xludf.DUMMYFUNCTION("""COMPUTED_VALUE"""),12476.0)</f>
        <v>12476</v>
      </c>
    </row>
    <row r="5686">
      <c r="A5686" s="115" t="str">
        <f>IFERROR(__xludf.DUMMYFUNCTION("""COMPUTED_VALUE"""),"NORTH")</f>
        <v>NORTH</v>
      </c>
      <c r="B5686" s="115" t="str">
        <f>IFERROR(__xludf.DUMMYFUNCTION("""COMPUTED_VALUE"""),"Pradeep Kothari")</f>
        <v>Pradeep Kothari</v>
      </c>
      <c r="C5686" s="115" t="str">
        <f>IFERROR(__xludf.DUMMYFUNCTION("""COMPUTED_VALUE"""),"EXTERNAL")</f>
        <v>EXTERNAL</v>
      </c>
      <c r="D5686" s="115">
        <f>IFERROR(__xludf.DUMMYFUNCTION("""COMPUTED_VALUE"""),4922.0)</f>
        <v>4922</v>
      </c>
      <c r="E5686" s="115">
        <f>IFERROR(__xludf.DUMMYFUNCTION("""COMPUTED_VALUE"""),586.0)</f>
        <v>586</v>
      </c>
      <c r="F5686" s="115">
        <f>IFERROR(__xludf.DUMMYFUNCTION("""COMPUTED_VALUE"""),93.0)</f>
        <v>93</v>
      </c>
      <c r="G5686" s="115">
        <f>IFERROR(__xludf.DUMMYFUNCTION("""COMPUTED_VALUE"""),2.0)</f>
        <v>2</v>
      </c>
      <c r="H5686" s="116">
        <f>IFERROR(__xludf.DUMMYFUNCTION("""COMPUTED_VALUE"""),45911.0)</f>
        <v>45911</v>
      </c>
      <c r="I5686" s="115" t="str">
        <f>IFERROR(__xludf.DUMMYFUNCTION("""COMPUTED_VALUE"""),"09")</f>
        <v>09</v>
      </c>
      <c r="J5686" s="115"/>
      <c r="K5686" s="115">
        <f>IFERROR(__xludf.DUMMYFUNCTION("""COMPUTED_VALUE"""),5508.0)</f>
        <v>5508</v>
      </c>
    </row>
    <row r="5687">
      <c r="A5687" s="115" t="str">
        <f>IFERROR(__xludf.DUMMYFUNCTION("""COMPUTED_VALUE"""),"NORTH")</f>
        <v>NORTH</v>
      </c>
      <c r="B5687" s="115" t="str">
        <f>IFERROR(__xludf.DUMMYFUNCTION("""COMPUTED_VALUE"""),"Pradeep Kothari")</f>
        <v>Pradeep Kothari</v>
      </c>
      <c r="C5687" s="115" t="str">
        <f>IFERROR(__xludf.DUMMYFUNCTION("""COMPUTED_VALUE"""),"FLIPKART")</f>
        <v>FLIPKART</v>
      </c>
      <c r="D5687" s="115">
        <f>IFERROR(__xludf.DUMMYFUNCTION("""COMPUTED_VALUE"""),48431.0)</f>
        <v>48431</v>
      </c>
      <c r="E5687" s="115">
        <f>IFERROR(__xludf.DUMMYFUNCTION("""COMPUTED_VALUE"""),4913.0)</f>
        <v>4913</v>
      </c>
      <c r="F5687" s="115">
        <f>IFERROR(__xludf.DUMMYFUNCTION("""COMPUTED_VALUE"""),1990.0)</f>
        <v>1990</v>
      </c>
      <c r="G5687" s="115">
        <f>IFERROR(__xludf.DUMMYFUNCTION("""COMPUTED_VALUE"""),95.0)</f>
        <v>95</v>
      </c>
      <c r="H5687" s="116">
        <f>IFERROR(__xludf.DUMMYFUNCTION("""COMPUTED_VALUE"""),45911.0)</f>
        <v>45911</v>
      </c>
      <c r="I5687" s="115" t="str">
        <f>IFERROR(__xludf.DUMMYFUNCTION("""COMPUTED_VALUE"""),"09")</f>
        <v>09</v>
      </c>
      <c r="J5687" s="115"/>
      <c r="K5687" s="115">
        <f>IFERROR(__xludf.DUMMYFUNCTION("""COMPUTED_VALUE"""),53344.0)</f>
        <v>53344</v>
      </c>
    </row>
    <row r="5688">
      <c r="A5688" s="115" t="str">
        <f>IFERROR(__xludf.DUMMYFUNCTION("""COMPUTED_VALUE"""),"NORTH")</f>
        <v>NORTH</v>
      </c>
      <c r="B5688" s="115" t="str">
        <f>IFERROR(__xludf.DUMMYFUNCTION("""COMPUTED_VALUE"""),"Pradeep Kothari")</f>
        <v>Pradeep Kothari</v>
      </c>
      <c r="C5688" s="115" t="str">
        <f>IFERROR(__xludf.DUMMYFUNCTION("""COMPUTED_VALUE"""),"MYNTRA")</f>
        <v>MYNTRA</v>
      </c>
      <c r="D5688" s="115">
        <f>IFERROR(__xludf.DUMMYFUNCTION("""COMPUTED_VALUE"""),7281.0)</f>
        <v>7281</v>
      </c>
      <c r="E5688" s="115">
        <f>IFERROR(__xludf.DUMMYFUNCTION("""COMPUTED_VALUE"""),1668.0)</f>
        <v>1668</v>
      </c>
      <c r="F5688" s="115">
        <f>IFERROR(__xludf.DUMMYFUNCTION("""COMPUTED_VALUE"""),527.0)</f>
        <v>527</v>
      </c>
      <c r="G5688" s="115">
        <f>IFERROR(__xludf.DUMMYFUNCTION("""COMPUTED_VALUE"""),33.0)</f>
        <v>33</v>
      </c>
      <c r="H5688" s="116">
        <f>IFERROR(__xludf.DUMMYFUNCTION("""COMPUTED_VALUE"""),45911.0)</f>
        <v>45911</v>
      </c>
      <c r="I5688" s="115" t="str">
        <f>IFERROR(__xludf.DUMMYFUNCTION("""COMPUTED_VALUE"""),"09")</f>
        <v>09</v>
      </c>
      <c r="J5688" s="115"/>
      <c r="K5688" s="115">
        <f>IFERROR(__xludf.DUMMYFUNCTION("""COMPUTED_VALUE"""),8949.0)</f>
        <v>8949</v>
      </c>
    </row>
    <row r="5689">
      <c r="A5689" s="115" t="str">
        <f>IFERROR(__xludf.DUMMYFUNCTION("""COMPUTED_VALUE"""),"SOUTH")</f>
        <v>SOUTH</v>
      </c>
      <c r="B5689" s="115" t="str">
        <f>IFERROR(__xludf.DUMMYFUNCTION("""COMPUTED_VALUE"""),"Kandula Sampath")</f>
        <v>Kandula Sampath</v>
      </c>
      <c r="C5689" s="115" t="str">
        <f>IFERROR(__xludf.DUMMYFUNCTION("""COMPUTED_VALUE"""),"EXTERNAL")</f>
        <v>EXTERNAL</v>
      </c>
      <c r="D5689" s="115">
        <f>IFERROR(__xludf.DUMMYFUNCTION("""COMPUTED_VALUE"""),13200.0)</f>
        <v>13200</v>
      </c>
      <c r="E5689" s="115">
        <f>IFERROR(__xludf.DUMMYFUNCTION("""COMPUTED_VALUE"""),1447.0)</f>
        <v>1447</v>
      </c>
      <c r="F5689" s="115">
        <f>IFERROR(__xludf.DUMMYFUNCTION("""COMPUTED_VALUE"""),366.0)</f>
        <v>366</v>
      </c>
      <c r="G5689" s="115">
        <f>IFERROR(__xludf.DUMMYFUNCTION("""COMPUTED_VALUE"""),18.0)</f>
        <v>18</v>
      </c>
      <c r="H5689" s="116">
        <f>IFERROR(__xludf.DUMMYFUNCTION("""COMPUTED_VALUE"""),45911.0)</f>
        <v>45911</v>
      </c>
      <c r="I5689" s="115" t="str">
        <f>IFERROR(__xludf.DUMMYFUNCTION("""COMPUTED_VALUE"""),"09")</f>
        <v>09</v>
      </c>
      <c r="J5689" s="115"/>
      <c r="K5689" s="115">
        <f>IFERROR(__xludf.DUMMYFUNCTION("""COMPUTED_VALUE"""),14647.0)</f>
        <v>14647</v>
      </c>
    </row>
    <row r="5690">
      <c r="A5690" s="115" t="str">
        <f>IFERROR(__xludf.DUMMYFUNCTION("""COMPUTED_VALUE"""),"SOUTH")</f>
        <v>SOUTH</v>
      </c>
      <c r="B5690" s="115" t="str">
        <f>IFERROR(__xludf.DUMMYFUNCTION("""COMPUTED_VALUE"""),"Kandula Sampath")</f>
        <v>Kandula Sampath</v>
      </c>
      <c r="C5690" s="115" t="str">
        <f>IFERROR(__xludf.DUMMYFUNCTION("""COMPUTED_VALUE"""),"FLIPKART")</f>
        <v>FLIPKART</v>
      </c>
      <c r="D5690" s="115">
        <f>IFERROR(__xludf.DUMMYFUNCTION("""COMPUTED_VALUE"""),153067.0)</f>
        <v>153067</v>
      </c>
      <c r="E5690" s="115">
        <f>IFERROR(__xludf.DUMMYFUNCTION("""COMPUTED_VALUE"""),9187.0)</f>
        <v>9187</v>
      </c>
      <c r="F5690" s="115">
        <f>IFERROR(__xludf.DUMMYFUNCTION("""COMPUTED_VALUE"""),8345.0)</f>
        <v>8345</v>
      </c>
      <c r="G5690" s="115">
        <f>IFERROR(__xludf.DUMMYFUNCTION("""COMPUTED_VALUE"""),93.0)</f>
        <v>93</v>
      </c>
      <c r="H5690" s="116">
        <f>IFERROR(__xludf.DUMMYFUNCTION("""COMPUTED_VALUE"""),45911.0)</f>
        <v>45911</v>
      </c>
      <c r="I5690" s="115" t="str">
        <f>IFERROR(__xludf.DUMMYFUNCTION("""COMPUTED_VALUE"""),"09")</f>
        <v>09</v>
      </c>
      <c r="J5690" s="115"/>
      <c r="K5690" s="115">
        <f>IFERROR(__xludf.DUMMYFUNCTION("""COMPUTED_VALUE"""),162254.0)</f>
        <v>162254</v>
      </c>
    </row>
    <row r="5691">
      <c r="A5691" s="115" t="str">
        <f>IFERROR(__xludf.DUMMYFUNCTION("""COMPUTED_VALUE"""),"SOUTH")</f>
        <v>SOUTH</v>
      </c>
      <c r="B5691" s="115" t="str">
        <f>IFERROR(__xludf.DUMMYFUNCTION("""COMPUTED_VALUE"""),"Kandula Sampath")</f>
        <v>Kandula Sampath</v>
      </c>
      <c r="C5691" s="115" t="str">
        <f>IFERROR(__xludf.DUMMYFUNCTION("""COMPUTED_VALUE"""),"MYNTRA")</f>
        <v>MYNTRA</v>
      </c>
      <c r="D5691" s="115">
        <f>IFERROR(__xludf.DUMMYFUNCTION("""COMPUTED_VALUE"""),15404.0)</f>
        <v>15404</v>
      </c>
      <c r="E5691" s="115">
        <f>IFERROR(__xludf.DUMMYFUNCTION("""COMPUTED_VALUE"""),2931.0)</f>
        <v>2931</v>
      </c>
      <c r="F5691" s="115">
        <f>IFERROR(__xludf.DUMMYFUNCTION("""COMPUTED_VALUE"""),994.0)</f>
        <v>994</v>
      </c>
      <c r="G5691" s="115">
        <f>IFERROR(__xludf.DUMMYFUNCTION("""COMPUTED_VALUE"""),33.0)</f>
        <v>33</v>
      </c>
      <c r="H5691" s="116">
        <f>IFERROR(__xludf.DUMMYFUNCTION("""COMPUTED_VALUE"""),45911.0)</f>
        <v>45911</v>
      </c>
      <c r="I5691" s="115" t="str">
        <f>IFERROR(__xludf.DUMMYFUNCTION("""COMPUTED_VALUE"""),"09")</f>
        <v>09</v>
      </c>
      <c r="J5691" s="115"/>
      <c r="K5691" s="115">
        <f>IFERROR(__xludf.DUMMYFUNCTION("""COMPUTED_VALUE"""),18335.0)</f>
        <v>18335</v>
      </c>
    </row>
    <row r="5692">
      <c r="A5692" s="115" t="str">
        <f>IFERROR(__xludf.DUMMYFUNCTION("""COMPUTED_VALUE"""),"SOUTH")</f>
        <v>SOUTH</v>
      </c>
      <c r="B5692" s="115" t="str">
        <f>IFERROR(__xludf.DUMMYFUNCTION("""COMPUTED_VALUE"""),"Martin A")</f>
        <v>Martin A</v>
      </c>
      <c r="C5692" s="115" t="str">
        <f>IFERROR(__xludf.DUMMYFUNCTION("""COMPUTED_VALUE"""),"EXTERNAL")</f>
        <v>EXTERNAL</v>
      </c>
      <c r="D5692" s="115">
        <f>IFERROR(__xludf.DUMMYFUNCTION("""COMPUTED_VALUE"""),11656.0)</f>
        <v>11656</v>
      </c>
      <c r="E5692" s="115">
        <f>IFERROR(__xludf.DUMMYFUNCTION("""COMPUTED_VALUE"""),1384.0)</f>
        <v>1384</v>
      </c>
      <c r="F5692" s="115">
        <f>IFERROR(__xludf.DUMMYFUNCTION("""COMPUTED_VALUE"""),259.0)</f>
        <v>259</v>
      </c>
      <c r="G5692" s="115">
        <f>IFERROR(__xludf.DUMMYFUNCTION("""COMPUTED_VALUE"""),25.0)</f>
        <v>25</v>
      </c>
      <c r="H5692" s="116">
        <f>IFERROR(__xludf.DUMMYFUNCTION("""COMPUTED_VALUE"""),45911.0)</f>
        <v>45911</v>
      </c>
      <c r="I5692" s="115" t="str">
        <f>IFERROR(__xludf.DUMMYFUNCTION("""COMPUTED_VALUE"""),"09")</f>
        <v>09</v>
      </c>
      <c r="J5692" s="115"/>
      <c r="K5692" s="115">
        <f>IFERROR(__xludf.DUMMYFUNCTION("""COMPUTED_VALUE"""),13040.0)</f>
        <v>13040</v>
      </c>
    </row>
    <row r="5693">
      <c r="A5693" s="115" t="str">
        <f>IFERROR(__xludf.DUMMYFUNCTION("""COMPUTED_VALUE"""),"SOUTH")</f>
        <v>SOUTH</v>
      </c>
      <c r="B5693" s="115" t="str">
        <f>IFERROR(__xludf.DUMMYFUNCTION("""COMPUTED_VALUE"""),"Martin A")</f>
        <v>Martin A</v>
      </c>
      <c r="C5693" s="115" t="str">
        <f>IFERROR(__xludf.DUMMYFUNCTION("""COMPUTED_VALUE"""),"FLIPKART")</f>
        <v>FLIPKART</v>
      </c>
      <c r="D5693" s="115">
        <f>IFERROR(__xludf.DUMMYFUNCTION("""COMPUTED_VALUE"""),117290.0)</f>
        <v>117290</v>
      </c>
      <c r="E5693" s="115">
        <f>IFERROR(__xludf.DUMMYFUNCTION("""COMPUTED_VALUE"""),9711.0)</f>
        <v>9711</v>
      </c>
      <c r="F5693" s="115">
        <f>IFERROR(__xludf.DUMMYFUNCTION("""COMPUTED_VALUE"""),4507.0)</f>
        <v>4507</v>
      </c>
      <c r="G5693" s="115">
        <f>IFERROR(__xludf.DUMMYFUNCTION("""COMPUTED_VALUE"""),186.0)</f>
        <v>186</v>
      </c>
      <c r="H5693" s="116">
        <f>IFERROR(__xludf.DUMMYFUNCTION("""COMPUTED_VALUE"""),45911.0)</f>
        <v>45911</v>
      </c>
      <c r="I5693" s="115" t="str">
        <f>IFERROR(__xludf.DUMMYFUNCTION("""COMPUTED_VALUE"""),"09")</f>
        <v>09</v>
      </c>
      <c r="J5693" s="115"/>
      <c r="K5693" s="115">
        <f>IFERROR(__xludf.DUMMYFUNCTION("""COMPUTED_VALUE"""),127001.0)</f>
        <v>127001</v>
      </c>
    </row>
    <row r="5694">
      <c r="A5694" s="115" t="str">
        <f>IFERROR(__xludf.DUMMYFUNCTION("""COMPUTED_VALUE"""),"SOUTH")</f>
        <v>SOUTH</v>
      </c>
      <c r="B5694" s="115" t="str">
        <f>IFERROR(__xludf.DUMMYFUNCTION("""COMPUTED_VALUE"""),"Martin A")</f>
        <v>Martin A</v>
      </c>
      <c r="C5694" s="115" t="str">
        <f>IFERROR(__xludf.DUMMYFUNCTION("""COMPUTED_VALUE"""),"MYNTRA")</f>
        <v>MYNTRA</v>
      </c>
      <c r="D5694" s="115">
        <f>IFERROR(__xludf.DUMMYFUNCTION("""COMPUTED_VALUE"""),10706.0)</f>
        <v>10706</v>
      </c>
      <c r="E5694" s="115">
        <f>IFERROR(__xludf.DUMMYFUNCTION("""COMPUTED_VALUE"""),2799.0)</f>
        <v>2799</v>
      </c>
      <c r="F5694" s="115">
        <f>IFERROR(__xludf.DUMMYFUNCTION("""COMPUTED_VALUE"""),533.0)</f>
        <v>533</v>
      </c>
      <c r="G5694" s="115">
        <f>IFERROR(__xludf.DUMMYFUNCTION("""COMPUTED_VALUE"""),40.0)</f>
        <v>40</v>
      </c>
      <c r="H5694" s="116">
        <f>IFERROR(__xludf.DUMMYFUNCTION("""COMPUTED_VALUE"""),45911.0)</f>
        <v>45911</v>
      </c>
      <c r="I5694" s="115" t="str">
        <f>IFERROR(__xludf.DUMMYFUNCTION("""COMPUTED_VALUE"""),"09")</f>
        <v>09</v>
      </c>
      <c r="J5694" s="115"/>
      <c r="K5694" s="115">
        <f>IFERROR(__xludf.DUMMYFUNCTION("""COMPUTED_VALUE"""),13505.0)</f>
        <v>13505</v>
      </c>
    </row>
    <row r="5695">
      <c r="A5695" s="115" t="str">
        <f>IFERROR(__xludf.DUMMYFUNCTION("""COMPUTED_VALUE"""),"SOUTH")</f>
        <v>SOUTH</v>
      </c>
      <c r="B5695" s="115" t="str">
        <f>IFERROR(__xludf.DUMMYFUNCTION("""COMPUTED_VALUE"""),"Premkumar M")</f>
        <v>Premkumar M</v>
      </c>
      <c r="C5695" s="115" t="str">
        <f>IFERROR(__xludf.DUMMYFUNCTION("""COMPUTED_VALUE"""),"EXTERNAL")</f>
        <v>EXTERNAL</v>
      </c>
      <c r="D5695" s="115">
        <f>IFERROR(__xludf.DUMMYFUNCTION("""COMPUTED_VALUE"""),4247.0)</f>
        <v>4247</v>
      </c>
      <c r="E5695" s="115">
        <f>IFERROR(__xludf.DUMMYFUNCTION("""COMPUTED_VALUE"""),201.0)</f>
        <v>201</v>
      </c>
      <c r="F5695" s="115">
        <f>IFERROR(__xludf.DUMMYFUNCTION("""COMPUTED_VALUE"""),72.0)</f>
        <v>72</v>
      </c>
      <c r="G5695" s="115">
        <f>IFERROR(__xludf.DUMMYFUNCTION("""COMPUTED_VALUE"""),0.0)</f>
        <v>0</v>
      </c>
      <c r="H5695" s="116">
        <f>IFERROR(__xludf.DUMMYFUNCTION("""COMPUTED_VALUE"""),45911.0)</f>
        <v>45911</v>
      </c>
      <c r="I5695" s="115" t="str">
        <f>IFERROR(__xludf.DUMMYFUNCTION("""COMPUTED_VALUE"""),"09")</f>
        <v>09</v>
      </c>
      <c r="J5695" s="115"/>
      <c r="K5695" s="115">
        <f>IFERROR(__xludf.DUMMYFUNCTION("""COMPUTED_VALUE"""),4448.0)</f>
        <v>4448</v>
      </c>
    </row>
    <row r="5696">
      <c r="A5696" s="115" t="str">
        <f>IFERROR(__xludf.DUMMYFUNCTION("""COMPUTED_VALUE"""),"SOUTH")</f>
        <v>SOUTH</v>
      </c>
      <c r="B5696" s="115" t="str">
        <f>IFERROR(__xludf.DUMMYFUNCTION("""COMPUTED_VALUE"""),"Premkumar M")</f>
        <v>Premkumar M</v>
      </c>
      <c r="C5696" s="115" t="str">
        <f>IFERROR(__xludf.DUMMYFUNCTION("""COMPUTED_VALUE"""),"FLIPKART")</f>
        <v>FLIPKART</v>
      </c>
      <c r="D5696" s="115">
        <f>IFERROR(__xludf.DUMMYFUNCTION("""COMPUTED_VALUE"""),50995.0)</f>
        <v>50995</v>
      </c>
      <c r="E5696" s="115">
        <f>IFERROR(__xludf.DUMMYFUNCTION("""COMPUTED_VALUE"""),2333.0)</f>
        <v>2333</v>
      </c>
      <c r="F5696" s="115">
        <f>IFERROR(__xludf.DUMMYFUNCTION("""COMPUTED_VALUE"""),1380.0)</f>
        <v>1380</v>
      </c>
      <c r="G5696" s="115">
        <f>IFERROR(__xludf.DUMMYFUNCTION("""COMPUTED_VALUE"""),43.0)</f>
        <v>43</v>
      </c>
      <c r="H5696" s="116">
        <f>IFERROR(__xludf.DUMMYFUNCTION("""COMPUTED_VALUE"""),45911.0)</f>
        <v>45911</v>
      </c>
      <c r="I5696" s="115" t="str">
        <f>IFERROR(__xludf.DUMMYFUNCTION("""COMPUTED_VALUE"""),"09")</f>
        <v>09</v>
      </c>
      <c r="J5696" s="115"/>
      <c r="K5696" s="115">
        <f>IFERROR(__xludf.DUMMYFUNCTION("""COMPUTED_VALUE"""),53328.0)</f>
        <v>53328</v>
      </c>
    </row>
    <row r="5697">
      <c r="A5697" s="115" t="str">
        <f>IFERROR(__xludf.DUMMYFUNCTION("""COMPUTED_VALUE"""),"SOUTH")</f>
        <v>SOUTH</v>
      </c>
      <c r="B5697" s="115" t="str">
        <f>IFERROR(__xludf.DUMMYFUNCTION("""COMPUTED_VALUE"""),"Premkumar M")</f>
        <v>Premkumar M</v>
      </c>
      <c r="C5697" s="115" t="str">
        <f>IFERROR(__xludf.DUMMYFUNCTION("""COMPUTED_VALUE"""),"MYNTRA")</f>
        <v>MYNTRA</v>
      </c>
      <c r="D5697" s="115">
        <f>IFERROR(__xludf.DUMMYFUNCTION("""COMPUTED_VALUE"""),2723.0)</f>
        <v>2723</v>
      </c>
      <c r="E5697" s="115">
        <f>IFERROR(__xludf.DUMMYFUNCTION("""COMPUTED_VALUE"""),446.0)</f>
        <v>446</v>
      </c>
      <c r="F5697" s="115">
        <f>IFERROR(__xludf.DUMMYFUNCTION("""COMPUTED_VALUE"""),100.0)</f>
        <v>100</v>
      </c>
      <c r="G5697" s="115">
        <f>IFERROR(__xludf.DUMMYFUNCTION("""COMPUTED_VALUE"""),3.0)</f>
        <v>3</v>
      </c>
      <c r="H5697" s="116">
        <f>IFERROR(__xludf.DUMMYFUNCTION("""COMPUTED_VALUE"""),45911.0)</f>
        <v>45911</v>
      </c>
      <c r="I5697" s="115" t="str">
        <f>IFERROR(__xludf.DUMMYFUNCTION("""COMPUTED_VALUE"""),"09")</f>
        <v>09</v>
      </c>
      <c r="J5697" s="115"/>
      <c r="K5697" s="115">
        <f>IFERROR(__xludf.DUMMYFUNCTION("""COMPUTED_VALUE"""),3169.0)</f>
        <v>3169</v>
      </c>
    </row>
    <row r="5698">
      <c r="A5698" s="115" t="str">
        <f>IFERROR(__xludf.DUMMYFUNCTION("""COMPUTED_VALUE"""),"SOUTH")</f>
        <v>SOUTH</v>
      </c>
      <c r="B5698" s="115" t="str">
        <f>IFERROR(__xludf.DUMMYFUNCTION("""COMPUTED_VALUE"""),"Vineeth V")</f>
        <v>Vineeth V</v>
      </c>
      <c r="C5698" s="115" t="str">
        <f>IFERROR(__xludf.DUMMYFUNCTION("""COMPUTED_VALUE"""),"EXTERNAL")</f>
        <v>EXTERNAL</v>
      </c>
      <c r="D5698" s="115">
        <f>IFERROR(__xludf.DUMMYFUNCTION("""COMPUTED_VALUE"""),2041.0)</f>
        <v>2041</v>
      </c>
      <c r="E5698" s="115">
        <f>IFERROR(__xludf.DUMMYFUNCTION("""COMPUTED_VALUE"""),43.0)</f>
        <v>43</v>
      </c>
      <c r="F5698" s="115">
        <f>IFERROR(__xludf.DUMMYFUNCTION("""COMPUTED_VALUE"""),29.0)</f>
        <v>29</v>
      </c>
      <c r="G5698" s="115">
        <f>IFERROR(__xludf.DUMMYFUNCTION("""COMPUTED_VALUE"""),0.0)</f>
        <v>0</v>
      </c>
      <c r="H5698" s="116">
        <f>IFERROR(__xludf.DUMMYFUNCTION("""COMPUTED_VALUE"""),45911.0)</f>
        <v>45911</v>
      </c>
      <c r="I5698" s="115" t="str">
        <f>IFERROR(__xludf.DUMMYFUNCTION("""COMPUTED_VALUE"""),"09")</f>
        <v>09</v>
      </c>
      <c r="J5698" s="115"/>
      <c r="K5698" s="115">
        <f>IFERROR(__xludf.DUMMYFUNCTION("""COMPUTED_VALUE"""),2084.0)</f>
        <v>2084</v>
      </c>
    </row>
    <row r="5699">
      <c r="A5699" s="115" t="str">
        <f>IFERROR(__xludf.DUMMYFUNCTION("""COMPUTED_VALUE"""),"SOUTH")</f>
        <v>SOUTH</v>
      </c>
      <c r="B5699" s="115" t="str">
        <f>IFERROR(__xludf.DUMMYFUNCTION("""COMPUTED_VALUE"""),"Vineeth V")</f>
        <v>Vineeth V</v>
      </c>
      <c r="C5699" s="115" t="str">
        <f>IFERROR(__xludf.DUMMYFUNCTION("""COMPUTED_VALUE"""),"FLIPKART")</f>
        <v>FLIPKART</v>
      </c>
      <c r="D5699" s="115">
        <f>IFERROR(__xludf.DUMMYFUNCTION("""COMPUTED_VALUE"""),22000.0)</f>
        <v>22000</v>
      </c>
      <c r="E5699" s="115">
        <f>IFERROR(__xludf.DUMMYFUNCTION("""COMPUTED_VALUE"""),1030.0)</f>
        <v>1030</v>
      </c>
      <c r="F5699" s="115">
        <f>IFERROR(__xludf.DUMMYFUNCTION("""COMPUTED_VALUE"""),463.0)</f>
        <v>463</v>
      </c>
      <c r="G5699" s="115">
        <f>IFERROR(__xludf.DUMMYFUNCTION("""COMPUTED_VALUE"""),13.0)</f>
        <v>13</v>
      </c>
      <c r="H5699" s="116">
        <f>IFERROR(__xludf.DUMMYFUNCTION("""COMPUTED_VALUE"""),45911.0)</f>
        <v>45911</v>
      </c>
      <c r="I5699" s="115" t="str">
        <f>IFERROR(__xludf.DUMMYFUNCTION("""COMPUTED_VALUE"""),"09")</f>
        <v>09</v>
      </c>
      <c r="J5699" s="115"/>
      <c r="K5699" s="115">
        <f>IFERROR(__xludf.DUMMYFUNCTION("""COMPUTED_VALUE"""),23030.0)</f>
        <v>23030</v>
      </c>
    </row>
    <row r="5700">
      <c r="A5700" s="115" t="str">
        <f>IFERROR(__xludf.DUMMYFUNCTION("""COMPUTED_VALUE"""),"SOUTH")</f>
        <v>SOUTH</v>
      </c>
      <c r="B5700" s="115" t="str">
        <f>IFERROR(__xludf.DUMMYFUNCTION("""COMPUTED_VALUE"""),"Vineeth V")</f>
        <v>Vineeth V</v>
      </c>
      <c r="C5700" s="115" t="str">
        <f>IFERROR(__xludf.DUMMYFUNCTION("""COMPUTED_VALUE"""),"MYNTRA")</f>
        <v>MYNTRA</v>
      </c>
      <c r="D5700" s="115">
        <f>IFERROR(__xludf.DUMMYFUNCTION("""COMPUTED_VALUE"""),1867.0)</f>
        <v>1867</v>
      </c>
      <c r="E5700" s="115">
        <f>IFERROR(__xludf.DUMMYFUNCTION("""COMPUTED_VALUE"""),245.0)</f>
        <v>245</v>
      </c>
      <c r="F5700" s="115">
        <f>IFERROR(__xludf.DUMMYFUNCTION("""COMPUTED_VALUE"""),52.0)</f>
        <v>52</v>
      </c>
      <c r="G5700" s="115">
        <f>IFERROR(__xludf.DUMMYFUNCTION("""COMPUTED_VALUE"""),1.0)</f>
        <v>1</v>
      </c>
      <c r="H5700" s="116">
        <f>IFERROR(__xludf.DUMMYFUNCTION("""COMPUTED_VALUE"""),45911.0)</f>
        <v>45911</v>
      </c>
      <c r="I5700" s="115" t="str">
        <f>IFERROR(__xludf.DUMMYFUNCTION("""COMPUTED_VALUE"""),"09")</f>
        <v>09</v>
      </c>
      <c r="J5700" s="115"/>
      <c r="K5700" s="115">
        <f>IFERROR(__xludf.DUMMYFUNCTION("""COMPUTED_VALUE"""),2112.0)</f>
        <v>2112</v>
      </c>
    </row>
    <row r="5701">
      <c r="A5701" s="115" t="str">
        <f>IFERROR(__xludf.DUMMYFUNCTION("""COMPUTED_VALUE"""),"WEST")</f>
        <v>WEST</v>
      </c>
      <c r="B5701" s="115" t="str">
        <f>IFERROR(__xludf.DUMMYFUNCTION("""COMPUTED_VALUE"""),"Ashish Jakar")</f>
        <v>Ashish Jakar</v>
      </c>
      <c r="C5701" s="115" t="str">
        <f>IFERROR(__xludf.DUMMYFUNCTION("""COMPUTED_VALUE"""),"EXTERNAL")</f>
        <v>EXTERNAL</v>
      </c>
      <c r="D5701" s="115">
        <f>IFERROR(__xludf.DUMMYFUNCTION("""COMPUTED_VALUE"""),13849.0)</f>
        <v>13849</v>
      </c>
      <c r="E5701" s="115">
        <f>IFERROR(__xludf.DUMMYFUNCTION("""COMPUTED_VALUE"""),1741.0)</f>
        <v>1741</v>
      </c>
      <c r="F5701" s="115">
        <f>IFERROR(__xludf.DUMMYFUNCTION("""COMPUTED_VALUE"""),232.0)</f>
        <v>232</v>
      </c>
      <c r="G5701" s="115">
        <f>IFERROR(__xludf.DUMMYFUNCTION("""COMPUTED_VALUE"""),15.0)</f>
        <v>15</v>
      </c>
      <c r="H5701" s="116">
        <f>IFERROR(__xludf.DUMMYFUNCTION("""COMPUTED_VALUE"""),45911.0)</f>
        <v>45911</v>
      </c>
      <c r="I5701" s="115" t="str">
        <f>IFERROR(__xludf.DUMMYFUNCTION("""COMPUTED_VALUE"""),"09")</f>
        <v>09</v>
      </c>
      <c r="J5701" s="115"/>
      <c r="K5701" s="115">
        <f>IFERROR(__xludf.DUMMYFUNCTION("""COMPUTED_VALUE"""),15590.0)</f>
        <v>15590</v>
      </c>
    </row>
    <row r="5702">
      <c r="A5702" s="115" t="str">
        <f>IFERROR(__xludf.DUMMYFUNCTION("""COMPUTED_VALUE"""),"WEST")</f>
        <v>WEST</v>
      </c>
      <c r="B5702" s="115" t="str">
        <f>IFERROR(__xludf.DUMMYFUNCTION("""COMPUTED_VALUE"""),"Ashish Jakar")</f>
        <v>Ashish Jakar</v>
      </c>
      <c r="C5702" s="115" t="str">
        <f>IFERROR(__xludf.DUMMYFUNCTION("""COMPUTED_VALUE"""),"FLIPKART")</f>
        <v>FLIPKART</v>
      </c>
      <c r="D5702" s="115">
        <f>IFERROR(__xludf.DUMMYFUNCTION("""COMPUTED_VALUE"""),102280.0)</f>
        <v>102280</v>
      </c>
      <c r="E5702" s="115">
        <f>IFERROR(__xludf.DUMMYFUNCTION("""COMPUTED_VALUE"""),8375.0)</f>
        <v>8375</v>
      </c>
      <c r="F5702" s="115">
        <f>IFERROR(__xludf.DUMMYFUNCTION("""COMPUTED_VALUE"""),2419.0)</f>
        <v>2419</v>
      </c>
      <c r="G5702" s="115">
        <f>IFERROR(__xludf.DUMMYFUNCTION("""COMPUTED_VALUE"""),61.0)</f>
        <v>61</v>
      </c>
      <c r="H5702" s="116">
        <f>IFERROR(__xludf.DUMMYFUNCTION("""COMPUTED_VALUE"""),45911.0)</f>
        <v>45911</v>
      </c>
      <c r="I5702" s="115" t="str">
        <f>IFERROR(__xludf.DUMMYFUNCTION("""COMPUTED_VALUE"""),"09")</f>
        <v>09</v>
      </c>
      <c r="J5702" s="115"/>
      <c r="K5702" s="115">
        <f>IFERROR(__xludf.DUMMYFUNCTION("""COMPUTED_VALUE"""),110655.0)</f>
        <v>110655</v>
      </c>
    </row>
    <row r="5703">
      <c r="A5703" s="115" t="str">
        <f>IFERROR(__xludf.DUMMYFUNCTION("""COMPUTED_VALUE"""),"WEST")</f>
        <v>WEST</v>
      </c>
      <c r="B5703" s="115" t="str">
        <f>IFERROR(__xludf.DUMMYFUNCTION("""COMPUTED_VALUE"""),"Ashish Jakar")</f>
        <v>Ashish Jakar</v>
      </c>
      <c r="C5703" s="115" t="str">
        <f>IFERROR(__xludf.DUMMYFUNCTION("""COMPUTED_VALUE"""),"MYNTRA")</f>
        <v>MYNTRA</v>
      </c>
      <c r="D5703" s="115">
        <f>IFERROR(__xludf.DUMMYFUNCTION("""COMPUTED_VALUE"""),12321.0)</f>
        <v>12321</v>
      </c>
      <c r="E5703" s="115">
        <f>IFERROR(__xludf.DUMMYFUNCTION("""COMPUTED_VALUE"""),2990.0)</f>
        <v>2990</v>
      </c>
      <c r="F5703" s="115">
        <f>IFERROR(__xludf.DUMMYFUNCTION("""COMPUTED_VALUE"""),366.0)</f>
        <v>366</v>
      </c>
      <c r="G5703" s="115">
        <f>IFERROR(__xludf.DUMMYFUNCTION("""COMPUTED_VALUE"""),33.0)</f>
        <v>33</v>
      </c>
      <c r="H5703" s="116">
        <f>IFERROR(__xludf.DUMMYFUNCTION("""COMPUTED_VALUE"""),45911.0)</f>
        <v>45911</v>
      </c>
      <c r="I5703" s="115" t="str">
        <f>IFERROR(__xludf.DUMMYFUNCTION("""COMPUTED_VALUE"""),"09")</f>
        <v>09</v>
      </c>
      <c r="J5703" s="115"/>
      <c r="K5703" s="115">
        <f>IFERROR(__xludf.DUMMYFUNCTION("""COMPUTED_VALUE"""),15311.0)</f>
        <v>15311</v>
      </c>
    </row>
    <row r="5704">
      <c r="A5704" s="115" t="str">
        <f>IFERROR(__xludf.DUMMYFUNCTION("""COMPUTED_VALUE"""),"WEST")</f>
        <v>WEST</v>
      </c>
      <c r="B5704" s="115" t="str">
        <f>IFERROR(__xludf.DUMMYFUNCTION("""COMPUTED_VALUE"""),"Ashvani Bhatt")</f>
        <v>Ashvani Bhatt</v>
      </c>
      <c r="C5704" s="115" t="str">
        <f>IFERROR(__xludf.DUMMYFUNCTION("""COMPUTED_VALUE"""),"EXTERNAL")</f>
        <v>EXTERNAL</v>
      </c>
      <c r="D5704" s="115">
        <f>IFERROR(__xludf.DUMMYFUNCTION("""COMPUTED_VALUE"""),10925.0)</f>
        <v>10925</v>
      </c>
      <c r="E5704" s="115">
        <f>IFERROR(__xludf.DUMMYFUNCTION("""COMPUTED_VALUE"""),852.0)</f>
        <v>852</v>
      </c>
      <c r="F5704" s="115">
        <f>IFERROR(__xludf.DUMMYFUNCTION("""COMPUTED_VALUE"""),173.0)</f>
        <v>173</v>
      </c>
      <c r="G5704" s="115">
        <f>IFERROR(__xludf.DUMMYFUNCTION("""COMPUTED_VALUE"""),4.0)</f>
        <v>4</v>
      </c>
      <c r="H5704" s="116">
        <f>IFERROR(__xludf.DUMMYFUNCTION("""COMPUTED_VALUE"""),45911.0)</f>
        <v>45911</v>
      </c>
      <c r="I5704" s="115" t="str">
        <f>IFERROR(__xludf.DUMMYFUNCTION("""COMPUTED_VALUE"""),"09")</f>
        <v>09</v>
      </c>
      <c r="J5704" s="115"/>
      <c r="K5704" s="115">
        <f>IFERROR(__xludf.DUMMYFUNCTION("""COMPUTED_VALUE"""),11777.0)</f>
        <v>11777</v>
      </c>
    </row>
    <row r="5705">
      <c r="A5705" s="115" t="str">
        <f>IFERROR(__xludf.DUMMYFUNCTION("""COMPUTED_VALUE"""),"WEST")</f>
        <v>WEST</v>
      </c>
      <c r="B5705" s="115" t="str">
        <f>IFERROR(__xludf.DUMMYFUNCTION("""COMPUTED_VALUE"""),"Ashvani Bhatt")</f>
        <v>Ashvani Bhatt</v>
      </c>
      <c r="C5705" s="115" t="str">
        <f>IFERROR(__xludf.DUMMYFUNCTION("""COMPUTED_VALUE"""),"FLIPKART")</f>
        <v>FLIPKART</v>
      </c>
      <c r="D5705" s="115">
        <f>IFERROR(__xludf.DUMMYFUNCTION("""COMPUTED_VALUE"""),95171.0)</f>
        <v>95171</v>
      </c>
      <c r="E5705" s="115">
        <f>IFERROR(__xludf.DUMMYFUNCTION("""COMPUTED_VALUE"""),5999.0)</f>
        <v>5999</v>
      </c>
      <c r="F5705" s="115">
        <f>IFERROR(__xludf.DUMMYFUNCTION("""COMPUTED_VALUE"""),2986.0)</f>
        <v>2986</v>
      </c>
      <c r="G5705" s="115">
        <f>IFERROR(__xludf.DUMMYFUNCTION("""COMPUTED_VALUE"""),73.0)</f>
        <v>73</v>
      </c>
      <c r="H5705" s="116">
        <f>IFERROR(__xludf.DUMMYFUNCTION("""COMPUTED_VALUE"""),45911.0)</f>
        <v>45911</v>
      </c>
      <c r="I5705" s="115" t="str">
        <f>IFERROR(__xludf.DUMMYFUNCTION("""COMPUTED_VALUE"""),"09")</f>
        <v>09</v>
      </c>
      <c r="J5705" s="115"/>
      <c r="K5705" s="115">
        <f>IFERROR(__xludf.DUMMYFUNCTION("""COMPUTED_VALUE"""),101170.0)</f>
        <v>101170</v>
      </c>
    </row>
    <row r="5706">
      <c r="A5706" s="115" t="str">
        <f>IFERROR(__xludf.DUMMYFUNCTION("""COMPUTED_VALUE"""),"WEST")</f>
        <v>WEST</v>
      </c>
      <c r="B5706" s="115" t="str">
        <f>IFERROR(__xludf.DUMMYFUNCTION("""COMPUTED_VALUE"""),"Ashvani Bhatt")</f>
        <v>Ashvani Bhatt</v>
      </c>
      <c r="C5706" s="115" t="str">
        <f>IFERROR(__xludf.DUMMYFUNCTION("""COMPUTED_VALUE"""),"MYNTRA")</f>
        <v>MYNTRA</v>
      </c>
      <c r="D5706" s="115">
        <f>IFERROR(__xludf.DUMMYFUNCTION("""COMPUTED_VALUE"""),12258.0)</f>
        <v>12258</v>
      </c>
      <c r="E5706" s="115">
        <f>IFERROR(__xludf.DUMMYFUNCTION("""COMPUTED_VALUE"""),2103.0)</f>
        <v>2103</v>
      </c>
      <c r="F5706" s="115">
        <f>IFERROR(__xludf.DUMMYFUNCTION("""COMPUTED_VALUE"""),562.0)</f>
        <v>562</v>
      </c>
      <c r="G5706" s="115">
        <f>IFERROR(__xludf.DUMMYFUNCTION("""COMPUTED_VALUE"""),31.0)</f>
        <v>31</v>
      </c>
      <c r="H5706" s="116">
        <f>IFERROR(__xludf.DUMMYFUNCTION("""COMPUTED_VALUE"""),45911.0)</f>
        <v>45911</v>
      </c>
      <c r="I5706" s="115" t="str">
        <f>IFERROR(__xludf.DUMMYFUNCTION("""COMPUTED_VALUE"""),"09")</f>
        <v>09</v>
      </c>
      <c r="J5706" s="115"/>
      <c r="K5706" s="115">
        <f>IFERROR(__xludf.DUMMYFUNCTION("""COMPUTED_VALUE"""),14361.0)</f>
        <v>14361</v>
      </c>
    </row>
    <row r="5707">
      <c r="A5707" s="115"/>
      <c r="B5707" s="115"/>
      <c r="C5707" s="115" t="str">
        <f>IFERROR(__xludf.DUMMYFUNCTION("""COMPUTED_VALUE"""),"EXTERNAL")</f>
        <v>EXTERNAL</v>
      </c>
      <c r="D5707" s="115">
        <f>IFERROR(__xludf.DUMMYFUNCTION("""COMPUTED_VALUE"""),172.0)</f>
        <v>172</v>
      </c>
      <c r="E5707" s="115">
        <f>IFERROR(__xludf.DUMMYFUNCTION("""COMPUTED_VALUE"""),104.0)</f>
        <v>104</v>
      </c>
      <c r="F5707" s="115">
        <f>IFERROR(__xludf.DUMMYFUNCTION("""COMPUTED_VALUE"""),1.0)</f>
        <v>1</v>
      </c>
      <c r="G5707" s="115">
        <f>IFERROR(__xludf.DUMMYFUNCTION("""COMPUTED_VALUE"""),0.0)</f>
        <v>0</v>
      </c>
      <c r="H5707" s="116">
        <f>IFERROR(__xludf.DUMMYFUNCTION("""COMPUTED_VALUE"""),45911.0)</f>
        <v>45911</v>
      </c>
      <c r="I5707" s="115" t="str">
        <f>IFERROR(__xludf.DUMMYFUNCTION("""COMPUTED_VALUE"""),"09")</f>
        <v>09</v>
      </c>
      <c r="J5707" s="115"/>
      <c r="K5707" s="115">
        <f>IFERROR(__xludf.DUMMYFUNCTION("""COMPUTED_VALUE"""),276.0)</f>
        <v>276</v>
      </c>
    </row>
    <row r="5708">
      <c r="A5708" s="115"/>
      <c r="B5708" s="115"/>
      <c r="C5708" s="115" t="str">
        <f>IFERROR(__xludf.DUMMYFUNCTION("""COMPUTED_VALUE"""),"FLIPKART")</f>
        <v>FLIPKART</v>
      </c>
      <c r="D5708" s="115">
        <f>IFERROR(__xludf.DUMMYFUNCTION("""COMPUTED_VALUE"""),2032.0)</f>
        <v>2032</v>
      </c>
      <c r="E5708" s="115">
        <f>IFERROR(__xludf.DUMMYFUNCTION("""COMPUTED_VALUE"""),459.0)</f>
        <v>459</v>
      </c>
      <c r="F5708" s="115">
        <f>IFERROR(__xludf.DUMMYFUNCTION("""COMPUTED_VALUE"""),12.0)</f>
        <v>12</v>
      </c>
      <c r="G5708" s="115">
        <f>IFERROR(__xludf.DUMMYFUNCTION("""COMPUTED_VALUE"""),17.0)</f>
        <v>17</v>
      </c>
      <c r="H5708" s="116">
        <f>IFERROR(__xludf.DUMMYFUNCTION("""COMPUTED_VALUE"""),45911.0)</f>
        <v>45911</v>
      </c>
      <c r="I5708" s="115" t="str">
        <f>IFERROR(__xludf.DUMMYFUNCTION("""COMPUTED_VALUE"""),"09")</f>
        <v>09</v>
      </c>
      <c r="J5708" s="115"/>
      <c r="K5708" s="115">
        <f>IFERROR(__xludf.DUMMYFUNCTION("""COMPUTED_VALUE"""),2491.0)</f>
        <v>2491</v>
      </c>
    </row>
    <row r="5709">
      <c r="A5709" s="115"/>
      <c r="B5709" s="115"/>
      <c r="C5709" s="115" t="str">
        <f>IFERROR(__xludf.DUMMYFUNCTION("""COMPUTED_VALUE"""),"MYNTRA")</f>
        <v>MYNTRA</v>
      </c>
      <c r="D5709" s="115">
        <f>IFERROR(__xludf.DUMMYFUNCTION("""COMPUTED_VALUE"""),190.0)</f>
        <v>190</v>
      </c>
      <c r="E5709" s="115">
        <f>IFERROR(__xludf.DUMMYFUNCTION("""COMPUTED_VALUE"""),140.0)</f>
        <v>140</v>
      </c>
      <c r="F5709" s="115">
        <f>IFERROR(__xludf.DUMMYFUNCTION("""COMPUTED_VALUE"""),0.0)</f>
        <v>0</v>
      </c>
      <c r="G5709" s="115">
        <f>IFERROR(__xludf.DUMMYFUNCTION("""COMPUTED_VALUE"""),2.0)</f>
        <v>2</v>
      </c>
      <c r="H5709" s="116">
        <f>IFERROR(__xludf.DUMMYFUNCTION("""COMPUTED_VALUE"""),45911.0)</f>
        <v>45911</v>
      </c>
      <c r="I5709" s="115" t="str">
        <f>IFERROR(__xludf.DUMMYFUNCTION("""COMPUTED_VALUE"""),"09")</f>
        <v>09</v>
      </c>
      <c r="J5709" s="115"/>
      <c r="K5709" s="115">
        <f>IFERROR(__xludf.DUMMYFUNCTION("""COMPUTED_VALUE"""),330.0)</f>
        <v>330</v>
      </c>
    </row>
    <row r="5710">
      <c r="A5710" s="115" t="str">
        <f>IFERROR(__xludf.DUMMYFUNCTION("""COMPUTED_VALUE"""),"EAST")</f>
        <v>EAST</v>
      </c>
      <c r="B5710" s="115" t="str">
        <f>IFERROR(__xludf.DUMMYFUNCTION("""COMPUTED_VALUE"""),"Ashish Ranjan")</f>
        <v>Ashish Ranjan</v>
      </c>
      <c r="C5710" s="115" t="str">
        <f>IFERROR(__xludf.DUMMYFUNCTION("""COMPUTED_VALUE"""),"EXTERNAL")</f>
        <v>EXTERNAL</v>
      </c>
      <c r="D5710" s="115">
        <f>IFERROR(__xludf.DUMMYFUNCTION("""COMPUTED_VALUE"""),24151.0)</f>
        <v>24151</v>
      </c>
      <c r="E5710" s="115">
        <f>IFERROR(__xludf.DUMMYFUNCTION("""COMPUTED_VALUE"""),2216.0)</f>
        <v>2216</v>
      </c>
      <c r="F5710" s="115">
        <f>IFERROR(__xludf.DUMMYFUNCTION("""COMPUTED_VALUE"""),1565.0)</f>
        <v>1565</v>
      </c>
      <c r="G5710" s="115">
        <f>IFERROR(__xludf.DUMMYFUNCTION("""COMPUTED_VALUE"""),27.0)</f>
        <v>27</v>
      </c>
      <c r="H5710" s="116">
        <f>IFERROR(__xludf.DUMMYFUNCTION("""COMPUTED_VALUE"""),45911.0)</f>
        <v>45911</v>
      </c>
      <c r="I5710" s="115" t="str">
        <f>IFERROR(__xludf.DUMMYFUNCTION("""COMPUTED_VALUE"""),"10")</f>
        <v>10</v>
      </c>
      <c r="J5710" s="115"/>
      <c r="K5710" s="115">
        <f>IFERROR(__xludf.DUMMYFUNCTION("""COMPUTED_VALUE"""),26367.0)</f>
        <v>26367</v>
      </c>
    </row>
    <row r="5711">
      <c r="A5711" s="115" t="str">
        <f>IFERROR(__xludf.DUMMYFUNCTION("""COMPUTED_VALUE"""),"EAST")</f>
        <v>EAST</v>
      </c>
      <c r="B5711" s="115" t="str">
        <f>IFERROR(__xludf.DUMMYFUNCTION("""COMPUTED_VALUE"""),"Ashish Ranjan")</f>
        <v>Ashish Ranjan</v>
      </c>
      <c r="C5711" s="115" t="str">
        <f>IFERROR(__xludf.DUMMYFUNCTION("""COMPUTED_VALUE"""),"FLIPKART")</f>
        <v>FLIPKART</v>
      </c>
      <c r="D5711" s="115">
        <f>IFERROR(__xludf.DUMMYFUNCTION("""COMPUTED_VALUE"""),442966.0)</f>
        <v>442966</v>
      </c>
      <c r="E5711" s="115">
        <f>IFERROR(__xludf.DUMMYFUNCTION("""COMPUTED_VALUE"""),36198.0)</f>
        <v>36198</v>
      </c>
      <c r="F5711" s="115">
        <f>IFERROR(__xludf.DUMMYFUNCTION("""COMPUTED_VALUE"""),46906.0)</f>
        <v>46906</v>
      </c>
      <c r="G5711" s="115">
        <f>IFERROR(__xludf.DUMMYFUNCTION("""COMPUTED_VALUE"""),1172.0)</f>
        <v>1172</v>
      </c>
      <c r="H5711" s="116">
        <f>IFERROR(__xludf.DUMMYFUNCTION("""COMPUTED_VALUE"""),45911.0)</f>
        <v>45911</v>
      </c>
      <c r="I5711" s="115" t="str">
        <f>IFERROR(__xludf.DUMMYFUNCTION("""COMPUTED_VALUE"""),"10")</f>
        <v>10</v>
      </c>
      <c r="J5711" s="115"/>
      <c r="K5711" s="115">
        <f>IFERROR(__xludf.DUMMYFUNCTION("""COMPUTED_VALUE"""),479164.0)</f>
        <v>479164</v>
      </c>
    </row>
    <row r="5712">
      <c r="A5712" s="115" t="str">
        <f>IFERROR(__xludf.DUMMYFUNCTION("""COMPUTED_VALUE"""),"EAST")</f>
        <v>EAST</v>
      </c>
      <c r="B5712" s="115" t="str">
        <f>IFERROR(__xludf.DUMMYFUNCTION("""COMPUTED_VALUE"""),"Ashish Ranjan")</f>
        <v>Ashish Ranjan</v>
      </c>
      <c r="C5712" s="115" t="str">
        <f>IFERROR(__xludf.DUMMYFUNCTION("""COMPUTED_VALUE"""),"MYNTRA")</f>
        <v>MYNTRA</v>
      </c>
      <c r="D5712" s="115">
        <f>IFERROR(__xludf.DUMMYFUNCTION("""COMPUTED_VALUE"""),41952.0)</f>
        <v>41952</v>
      </c>
      <c r="E5712" s="115">
        <f>IFERROR(__xludf.DUMMYFUNCTION("""COMPUTED_VALUE"""),8843.0)</f>
        <v>8843</v>
      </c>
      <c r="F5712" s="115">
        <f>IFERROR(__xludf.DUMMYFUNCTION("""COMPUTED_VALUE"""),4592.0)</f>
        <v>4592</v>
      </c>
      <c r="G5712" s="115">
        <f>IFERROR(__xludf.DUMMYFUNCTION("""COMPUTED_VALUE"""),257.0)</f>
        <v>257</v>
      </c>
      <c r="H5712" s="116">
        <f>IFERROR(__xludf.DUMMYFUNCTION("""COMPUTED_VALUE"""),45911.0)</f>
        <v>45911</v>
      </c>
      <c r="I5712" s="115" t="str">
        <f>IFERROR(__xludf.DUMMYFUNCTION("""COMPUTED_VALUE"""),"10")</f>
        <v>10</v>
      </c>
      <c r="J5712" s="115"/>
      <c r="K5712" s="115">
        <f>IFERROR(__xludf.DUMMYFUNCTION("""COMPUTED_VALUE"""),50795.0)</f>
        <v>50795</v>
      </c>
    </row>
    <row r="5713">
      <c r="A5713" s="115" t="str">
        <f>IFERROR(__xludf.DUMMYFUNCTION("""COMPUTED_VALUE"""),"EAST")</f>
        <v>EAST</v>
      </c>
      <c r="B5713" s="115" t="str">
        <f>IFERROR(__xludf.DUMMYFUNCTION("""COMPUTED_VALUE"""),"Girish Chand")</f>
        <v>Girish Chand</v>
      </c>
      <c r="C5713" s="115" t="str">
        <f>IFERROR(__xludf.DUMMYFUNCTION("""COMPUTED_VALUE"""),"EXTERNAL")</f>
        <v>EXTERNAL</v>
      </c>
      <c r="D5713" s="115">
        <f>IFERROR(__xludf.DUMMYFUNCTION("""COMPUTED_VALUE"""),12669.0)</f>
        <v>12669</v>
      </c>
      <c r="E5713" s="115">
        <f>IFERROR(__xludf.DUMMYFUNCTION("""COMPUTED_VALUE"""),1106.0)</f>
        <v>1106</v>
      </c>
      <c r="F5713" s="115">
        <f>IFERROR(__xludf.DUMMYFUNCTION("""COMPUTED_VALUE"""),427.0)</f>
        <v>427</v>
      </c>
      <c r="G5713" s="115">
        <f>IFERROR(__xludf.DUMMYFUNCTION("""COMPUTED_VALUE"""),8.0)</f>
        <v>8</v>
      </c>
      <c r="H5713" s="116">
        <f>IFERROR(__xludf.DUMMYFUNCTION("""COMPUTED_VALUE"""),45911.0)</f>
        <v>45911</v>
      </c>
      <c r="I5713" s="115" t="str">
        <f>IFERROR(__xludf.DUMMYFUNCTION("""COMPUTED_VALUE"""),"10")</f>
        <v>10</v>
      </c>
      <c r="J5713" s="115"/>
      <c r="K5713" s="115">
        <f>IFERROR(__xludf.DUMMYFUNCTION("""COMPUTED_VALUE"""),13775.0)</f>
        <v>13775</v>
      </c>
    </row>
    <row r="5714">
      <c r="A5714" s="115" t="str">
        <f>IFERROR(__xludf.DUMMYFUNCTION("""COMPUTED_VALUE"""),"EAST")</f>
        <v>EAST</v>
      </c>
      <c r="B5714" s="115" t="str">
        <f>IFERROR(__xludf.DUMMYFUNCTION("""COMPUTED_VALUE"""),"Girish Chand")</f>
        <v>Girish Chand</v>
      </c>
      <c r="C5714" s="115" t="str">
        <f>IFERROR(__xludf.DUMMYFUNCTION("""COMPUTED_VALUE"""),"FLIPKART")</f>
        <v>FLIPKART</v>
      </c>
      <c r="D5714" s="115">
        <f>IFERROR(__xludf.DUMMYFUNCTION("""COMPUTED_VALUE"""),259230.0)</f>
        <v>259230</v>
      </c>
      <c r="E5714" s="115">
        <f>IFERROR(__xludf.DUMMYFUNCTION("""COMPUTED_VALUE"""),17715.0)</f>
        <v>17715</v>
      </c>
      <c r="F5714" s="115">
        <f>IFERROR(__xludf.DUMMYFUNCTION("""COMPUTED_VALUE"""),14364.0)</f>
        <v>14364</v>
      </c>
      <c r="G5714" s="115">
        <f>IFERROR(__xludf.DUMMYFUNCTION("""COMPUTED_VALUE"""),475.0)</f>
        <v>475</v>
      </c>
      <c r="H5714" s="116">
        <f>IFERROR(__xludf.DUMMYFUNCTION("""COMPUTED_VALUE"""),45911.0)</f>
        <v>45911</v>
      </c>
      <c r="I5714" s="115" t="str">
        <f>IFERROR(__xludf.DUMMYFUNCTION("""COMPUTED_VALUE"""),"10")</f>
        <v>10</v>
      </c>
      <c r="J5714" s="115"/>
      <c r="K5714" s="115">
        <f>IFERROR(__xludf.DUMMYFUNCTION("""COMPUTED_VALUE"""),276945.0)</f>
        <v>276945</v>
      </c>
    </row>
    <row r="5715">
      <c r="A5715" s="115" t="str">
        <f>IFERROR(__xludf.DUMMYFUNCTION("""COMPUTED_VALUE"""),"EAST")</f>
        <v>EAST</v>
      </c>
      <c r="B5715" s="115" t="str">
        <f>IFERROR(__xludf.DUMMYFUNCTION("""COMPUTED_VALUE"""),"Girish Chand")</f>
        <v>Girish Chand</v>
      </c>
      <c r="C5715" s="115" t="str">
        <f>IFERROR(__xludf.DUMMYFUNCTION("""COMPUTED_VALUE"""),"MYNTRA")</f>
        <v>MYNTRA</v>
      </c>
      <c r="D5715" s="115">
        <f>IFERROR(__xludf.DUMMYFUNCTION("""COMPUTED_VALUE"""),20660.0)</f>
        <v>20660</v>
      </c>
      <c r="E5715" s="115">
        <f>IFERROR(__xludf.DUMMYFUNCTION("""COMPUTED_VALUE"""),3628.0)</f>
        <v>3628</v>
      </c>
      <c r="F5715" s="115">
        <f>IFERROR(__xludf.DUMMYFUNCTION("""COMPUTED_VALUE"""),1281.0)</f>
        <v>1281</v>
      </c>
      <c r="G5715" s="115">
        <f>IFERROR(__xludf.DUMMYFUNCTION("""COMPUTED_VALUE"""),112.0)</f>
        <v>112</v>
      </c>
      <c r="H5715" s="116">
        <f>IFERROR(__xludf.DUMMYFUNCTION("""COMPUTED_VALUE"""),45911.0)</f>
        <v>45911</v>
      </c>
      <c r="I5715" s="115" t="str">
        <f>IFERROR(__xludf.DUMMYFUNCTION("""COMPUTED_VALUE"""),"10")</f>
        <v>10</v>
      </c>
      <c r="J5715" s="115"/>
      <c r="K5715" s="115">
        <f>IFERROR(__xludf.DUMMYFUNCTION("""COMPUTED_VALUE"""),24288.0)</f>
        <v>24288</v>
      </c>
    </row>
    <row r="5716">
      <c r="A5716" s="115" t="str">
        <f>IFERROR(__xludf.DUMMYFUNCTION("""COMPUTED_VALUE"""),"EAST")</f>
        <v>EAST</v>
      </c>
      <c r="B5716" s="115" t="str">
        <f>IFERROR(__xludf.DUMMYFUNCTION("""COMPUTED_VALUE"""),"Parag Kashyap")</f>
        <v>Parag Kashyap</v>
      </c>
      <c r="C5716" s="115" t="str">
        <f>IFERROR(__xludf.DUMMYFUNCTION("""COMPUTED_VALUE"""),"EXTERNAL")</f>
        <v>EXTERNAL</v>
      </c>
      <c r="D5716" s="115">
        <f>IFERROR(__xludf.DUMMYFUNCTION("""COMPUTED_VALUE"""),9442.0)</f>
        <v>9442</v>
      </c>
      <c r="E5716" s="115">
        <f>IFERROR(__xludf.DUMMYFUNCTION("""COMPUTED_VALUE"""),514.0)</f>
        <v>514</v>
      </c>
      <c r="F5716" s="115">
        <f>IFERROR(__xludf.DUMMYFUNCTION("""COMPUTED_VALUE"""),269.0)</f>
        <v>269</v>
      </c>
      <c r="G5716" s="115">
        <f>IFERROR(__xludf.DUMMYFUNCTION("""COMPUTED_VALUE"""),5.0)</f>
        <v>5</v>
      </c>
      <c r="H5716" s="116">
        <f>IFERROR(__xludf.DUMMYFUNCTION("""COMPUTED_VALUE"""),45911.0)</f>
        <v>45911</v>
      </c>
      <c r="I5716" s="115" t="str">
        <f>IFERROR(__xludf.DUMMYFUNCTION("""COMPUTED_VALUE"""),"10")</f>
        <v>10</v>
      </c>
      <c r="J5716" s="115"/>
      <c r="K5716" s="115">
        <f>IFERROR(__xludf.DUMMYFUNCTION("""COMPUTED_VALUE"""),9956.0)</f>
        <v>9956</v>
      </c>
    </row>
    <row r="5717">
      <c r="A5717" s="115" t="str">
        <f>IFERROR(__xludf.DUMMYFUNCTION("""COMPUTED_VALUE"""),"EAST")</f>
        <v>EAST</v>
      </c>
      <c r="B5717" s="115" t="str">
        <f>IFERROR(__xludf.DUMMYFUNCTION("""COMPUTED_VALUE"""),"Parag Kashyap")</f>
        <v>Parag Kashyap</v>
      </c>
      <c r="C5717" s="115" t="str">
        <f>IFERROR(__xludf.DUMMYFUNCTION("""COMPUTED_VALUE"""),"FLIPKART")</f>
        <v>FLIPKART</v>
      </c>
      <c r="D5717" s="115">
        <f>IFERROR(__xludf.DUMMYFUNCTION("""COMPUTED_VALUE"""),181122.0)</f>
        <v>181122</v>
      </c>
      <c r="E5717" s="115">
        <f>IFERROR(__xludf.DUMMYFUNCTION("""COMPUTED_VALUE"""),8989.0)</f>
        <v>8989</v>
      </c>
      <c r="F5717" s="115">
        <f>IFERROR(__xludf.DUMMYFUNCTION("""COMPUTED_VALUE"""),9440.0)</f>
        <v>9440</v>
      </c>
      <c r="G5717" s="115">
        <f>IFERROR(__xludf.DUMMYFUNCTION("""COMPUTED_VALUE"""),157.0)</f>
        <v>157</v>
      </c>
      <c r="H5717" s="116">
        <f>IFERROR(__xludf.DUMMYFUNCTION("""COMPUTED_VALUE"""),45911.0)</f>
        <v>45911</v>
      </c>
      <c r="I5717" s="115" t="str">
        <f>IFERROR(__xludf.DUMMYFUNCTION("""COMPUTED_VALUE"""),"10")</f>
        <v>10</v>
      </c>
      <c r="J5717" s="115"/>
      <c r="K5717" s="115">
        <f>IFERROR(__xludf.DUMMYFUNCTION("""COMPUTED_VALUE"""),190111.0)</f>
        <v>190111</v>
      </c>
    </row>
    <row r="5718">
      <c r="A5718" s="115" t="str">
        <f>IFERROR(__xludf.DUMMYFUNCTION("""COMPUTED_VALUE"""),"EAST")</f>
        <v>EAST</v>
      </c>
      <c r="B5718" s="115" t="str">
        <f>IFERROR(__xludf.DUMMYFUNCTION("""COMPUTED_VALUE"""),"Parag Kashyap")</f>
        <v>Parag Kashyap</v>
      </c>
      <c r="C5718" s="115" t="str">
        <f>IFERROR(__xludf.DUMMYFUNCTION("""COMPUTED_VALUE"""),"MYNTRA")</f>
        <v>MYNTRA</v>
      </c>
      <c r="D5718" s="115">
        <f>IFERROR(__xludf.DUMMYFUNCTION("""COMPUTED_VALUE"""),23198.0)</f>
        <v>23198</v>
      </c>
      <c r="E5718" s="115">
        <f>IFERROR(__xludf.DUMMYFUNCTION("""COMPUTED_VALUE"""),3014.0)</f>
        <v>3014</v>
      </c>
      <c r="F5718" s="115">
        <f>IFERROR(__xludf.DUMMYFUNCTION("""COMPUTED_VALUE"""),1563.0)</f>
        <v>1563</v>
      </c>
      <c r="G5718" s="115">
        <f>IFERROR(__xludf.DUMMYFUNCTION("""COMPUTED_VALUE"""),30.0)</f>
        <v>30</v>
      </c>
      <c r="H5718" s="116">
        <f>IFERROR(__xludf.DUMMYFUNCTION("""COMPUTED_VALUE"""),45911.0)</f>
        <v>45911</v>
      </c>
      <c r="I5718" s="115" t="str">
        <f>IFERROR(__xludf.DUMMYFUNCTION("""COMPUTED_VALUE"""),"10")</f>
        <v>10</v>
      </c>
      <c r="J5718" s="115"/>
      <c r="K5718" s="115">
        <f>IFERROR(__xludf.DUMMYFUNCTION("""COMPUTED_VALUE"""),26212.0)</f>
        <v>26212</v>
      </c>
    </row>
    <row r="5719">
      <c r="A5719" s="115" t="str">
        <f>IFERROR(__xludf.DUMMYFUNCTION("""COMPUTED_VALUE"""),"NORTH")</f>
        <v>NORTH</v>
      </c>
      <c r="B5719" s="115" t="str">
        <f>IFERROR(__xludf.DUMMYFUNCTION("""COMPUTED_VALUE"""),"Amit Kumar Pathak")</f>
        <v>Amit Kumar Pathak</v>
      </c>
      <c r="C5719" s="115" t="str">
        <f>IFERROR(__xludf.DUMMYFUNCTION("""COMPUTED_VALUE"""),"EXTERNAL")</f>
        <v>EXTERNAL</v>
      </c>
      <c r="D5719" s="115">
        <f>IFERROR(__xludf.DUMMYFUNCTION("""COMPUTED_VALUE"""),16616.0)</f>
        <v>16616</v>
      </c>
      <c r="E5719" s="115">
        <f>IFERROR(__xludf.DUMMYFUNCTION("""COMPUTED_VALUE"""),2128.0)</f>
        <v>2128</v>
      </c>
      <c r="F5719" s="115">
        <f>IFERROR(__xludf.DUMMYFUNCTION("""COMPUTED_VALUE"""),773.0)</f>
        <v>773</v>
      </c>
      <c r="G5719" s="115">
        <f>IFERROR(__xludf.DUMMYFUNCTION("""COMPUTED_VALUE"""),76.0)</f>
        <v>76</v>
      </c>
      <c r="H5719" s="116">
        <f>IFERROR(__xludf.DUMMYFUNCTION("""COMPUTED_VALUE"""),45911.0)</f>
        <v>45911</v>
      </c>
      <c r="I5719" s="115" t="str">
        <f>IFERROR(__xludf.DUMMYFUNCTION("""COMPUTED_VALUE"""),"10")</f>
        <v>10</v>
      </c>
      <c r="J5719" s="115"/>
      <c r="K5719" s="115">
        <f>IFERROR(__xludf.DUMMYFUNCTION("""COMPUTED_VALUE"""),18744.0)</f>
        <v>18744</v>
      </c>
    </row>
    <row r="5720">
      <c r="A5720" s="115" t="str">
        <f>IFERROR(__xludf.DUMMYFUNCTION("""COMPUTED_VALUE"""),"NORTH")</f>
        <v>NORTH</v>
      </c>
      <c r="B5720" s="115" t="str">
        <f>IFERROR(__xludf.DUMMYFUNCTION("""COMPUTED_VALUE"""),"Amit Kumar Pathak")</f>
        <v>Amit Kumar Pathak</v>
      </c>
      <c r="C5720" s="115" t="str">
        <f>IFERROR(__xludf.DUMMYFUNCTION("""COMPUTED_VALUE"""),"FLIPKART")</f>
        <v>FLIPKART</v>
      </c>
      <c r="D5720" s="115">
        <f>IFERROR(__xludf.DUMMYFUNCTION("""COMPUTED_VALUE"""),119345.0)</f>
        <v>119345</v>
      </c>
      <c r="E5720" s="115">
        <f>IFERROR(__xludf.DUMMYFUNCTION("""COMPUTED_VALUE"""),14658.0)</f>
        <v>14658</v>
      </c>
      <c r="F5720" s="115">
        <f>IFERROR(__xludf.DUMMYFUNCTION("""COMPUTED_VALUE"""),9604.0)</f>
        <v>9604</v>
      </c>
      <c r="G5720" s="115">
        <f>IFERROR(__xludf.DUMMYFUNCTION("""COMPUTED_VALUE"""),576.0)</f>
        <v>576</v>
      </c>
      <c r="H5720" s="116">
        <f>IFERROR(__xludf.DUMMYFUNCTION("""COMPUTED_VALUE"""),45911.0)</f>
        <v>45911</v>
      </c>
      <c r="I5720" s="115" t="str">
        <f>IFERROR(__xludf.DUMMYFUNCTION("""COMPUTED_VALUE"""),"10")</f>
        <v>10</v>
      </c>
      <c r="J5720" s="115"/>
      <c r="K5720" s="115">
        <f>IFERROR(__xludf.DUMMYFUNCTION("""COMPUTED_VALUE"""),134003.0)</f>
        <v>134003</v>
      </c>
    </row>
    <row r="5721">
      <c r="A5721" s="115" t="str">
        <f>IFERROR(__xludf.DUMMYFUNCTION("""COMPUTED_VALUE"""),"NORTH")</f>
        <v>NORTH</v>
      </c>
      <c r="B5721" s="115" t="str">
        <f>IFERROR(__xludf.DUMMYFUNCTION("""COMPUTED_VALUE"""),"Amit Kumar Pathak")</f>
        <v>Amit Kumar Pathak</v>
      </c>
      <c r="C5721" s="115" t="str">
        <f>IFERROR(__xludf.DUMMYFUNCTION("""COMPUTED_VALUE"""),"MYNTRA")</f>
        <v>MYNTRA</v>
      </c>
      <c r="D5721" s="115">
        <f>IFERROR(__xludf.DUMMYFUNCTION("""COMPUTED_VALUE"""),9499.0)</f>
        <v>9499</v>
      </c>
      <c r="E5721" s="115">
        <f>IFERROR(__xludf.DUMMYFUNCTION("""COMPUTED_VALUE"""),3568.0)</f>
        <v>3568</v>
      </c>
      <c r="F5721" s="115">
        <f>IFERROR(__xludf.DUMMYFUNCTION("""COMPUTED_VALUE"""),974.0)</f>
        <v>974</v>
      </c>
      <c r="G5721" s="115">
        <f>IFERROR(__xludf.DUMMYFUNCTION("""COMPUTED_VALUE"""),150.0)</f>
        <v>150</v>
      </c>
      <c r="H5721" s="116">
        <f>IFERROR(__xludf.DUMMYFUNCTION("""COMPUTED_VALUE"""),45911.0)</f>
        <v>45911</v>
      </c>
      <c r="I5721" s="115" t="str">
        <f>IFERROR(__xludf.DUMMYFUNCTION("""COMPUTED_VALUE"""),"10")</f>
        <v>10</v>
      </c>
      <c r="J5721" s="115"/>
      <c r="K5721" s="115">
        <f>IFERROR(__xludf.DUMMYFUNCTION("""COMPUTED_VALUE"""),13067.0)</f>
        <v>13067</v>
      </c>
    </row>
    <row r="5722">
      <c r="A5722" s="115" t="str">
        <f>IFERROR(__xludf.DUMMYFUNCTION("""COMPUTED_VALUE"""),"NORTH")</f>
        <v>NORTH</v>
      </c>
      <c r="B5722" s="115" t="str">
        <f>IFERROR(__xludf.DUMMYFUNCTION("""COMPUTED_VALUE"""),"Loveleen Singh")</f>
        <v>Loveleen Singh</v>
      </c>
      <c r="C5722" s="115" t="str">
        <f>IFERROR(__xludf.DUMMYFUNCTION("""COMPUTED_VALUE"""),"EXTERNAL")</f>
        <v>EXTERNAL</v>
      </c>
      <c r="D5722" s="115">
        <f>IFERROR(__xludf.DUMMYFUNCTION("""COMPUTED_VALUE"""),14832.0)</f>
        <v>14832</v>
      </c>
      <c r="E5722" s="115">
        <f>IFERROR(__xludf.DUMMYFUNCTION("""COMPUTED_VALUE"""),919.0)</f>
        <v>919</v>
      </c>
      <c r="F5722" s="115">
        <f>IFERROR(__xludf.DUMMYFUNCTION("""COMPUTED_VALUE"""),519.0)</f>
        <v>519</v>
      </c>
      <c r="G5722" s="115">
        <f>IFERROR(__xludf.DUMMYFUNCTION("""COMPUTED_VALUE"""),15.0)</f>
        <v>15</v>
      </c>
      <c r="H5722" s="116">
        <f>IFERROR(__xludf.DUMMYFUNCTION("""COMPUTED_VALUE"""),45911.0)</f>
        <v>45911</v>
      </c>
      <c r="I5722" s="115" t="str">
        <f>IFERROR(__xludf.DUMMYFUNCTION("""COMPUTED_VALUE"""),"10")</f>
        <v>10</v>
      </c>
      <c r="J5722" s="115"/>
      <c r="K5722" s="115">
        <f>IFERROR(__xludf.DUMMYFUNCTION("""COMPUTED_VALUE"""),15751.0)</f>
        <v>15751</v>
      </c>
    </row>
    <row r="5723">
      <c r="A5723" s="115" t="str">
        <f>IFERROR(__xludf.DUMMYFUNCTION("""COMPUTED_VALUE"""),"NORTH")</f>
        <v>NORTH</v>
      </c>
      <c r="B5723" s="115" t="str">
        <f>IFERROR(__xludf.DUMMYFUNCTION("""COMPUTED_VALUE"""),"Loveleen Singh")</f>
        <v>Loveleen Singh</v>
      </c>
      <c r="C5723" s="115" t="str">
        <f>IFERROR(__xludf.DUMMYFUNCTION("""COMPUTED_VALUE"""),"FLIPKART")</f>
        <v>FLIPKART</v>
      </c>
      <c r="D5723" s="115">
        <f>IFERROR(__xludf.DUMMYFUNCTION("""COMPUTED_VALUE"""),102928.0)</f>
        <v>102928</v>
      </c>
      <c r="E5723" s="115">
        <f>IFERROR(__xludf.DUMMYFUNCTION("""COMPUTED_VALUE"""),6116.0)</f>
        <v>6116</v>
      </c>
      <c r="F5723" s="115">
        <f>IFERROR(__xludf.DUMMYFUNCTION("""COMPUTED_VALUE"""),7427.0)</f>
        <v>7427</v>
      </c>
      <c r="G5723" s="115">
        <f>IFERROR(__xludf.DUMMYFUNCTION("""COMPUTED_VALUE"""),171.0)</f>
        <v>171</v>
      </c>
      <c r="H5723" s="116">
        <f>IFERROR(__xludf.DUMMYFUNCTION("""COMPUTED_VALUE"""),45911.0)</f>
        <v>45911</v>
      </c>
      <c r="I5723" s="115" t="str">
        <f>IFERROR(__xludf.DUMMYFUNCTION("""COMPUTED_VALUE"""),"10")</f>
        <v>10</v>
      </c>
      <c r="J5723" s="115"/>
      <c r="K5723" s="115">
        <f>IFERROR(__xludf.DUMMYFUNCTION("""COMPUTED_VALUE"""),109044.0)</f>
        <v>109044</v>
      </c>
    </row>
    <row r="5724">
      <c r="A5724" s="115" t="str">
        <f>IFERROR(__xludf.DUMMYFUNCTION("""COMPUTED_VALUE"""),"NORTH")</f>
        <v>NORTH</v>
      </c>
      <c r="B5724" s="115" t="str">
        <f>IFERROR(__xludf.DUMMYFUNCTION("""COMPUTED_VALUE"""),"Loveleen Singh")</f>
        <v>Loveleen Singh</v>
      </c>
      <c r="C5724" s="115" t="str">
        <f>IFERROR(__xludf.DUMMYFUNCTION("""COMPUTED_VALUE"""),"MYNTRA")</f>
        <v>MYNTRA</v>
      </c>
      <c r="D5724" s="115">
        <f>IFERROR(__xludf.DUMMYFUNCTION("""COMPUTED_VALUE"""),15830.0)</f>
        <v>15830</v>
      </c>
      <c r="E5724" s="115">
        <f>IFERROR(__xludf.DUMMYFUNCTION("""COMPUTED_VALUE"""),2841.0)</f>
        <v>2841</v>
      </c>
      <c r="F5724" s="115">
        <f>IFERROR(__xludf.DUMMYFUNCTION("""COMPUTED_VALUE"""),1471.0)</f>
        <v>1471</v>
      </c>
      <c r="G5724" s="115">
        <f>IFERROR(__xludf.DUMMYFUNCTION("""COMPUTED_VALUE"""),119.0)</f>
        <v>119</v>
      </c>
      <c r="H5724" s="116">
        <f>IFERROR(__xludf.DUMMYFUNCTION("""COMPUTED_VALUE"""),45911.0)</f>
        <v>45911</v>
      </c>
      <c r="I5724" s="115" t="str">
        <f>IFERROR(__xludf.DUMMYFUNCTION("""COMPUTED_VALUE"""),"10")</f>
        <v>10</v>
      </c>
      <c r="J5724" s="115"/>
      <c r="K5724" s="115">
        <f>IFERROR(__xludf.DUMMYFUNCTION("""COMPUTED_VALUE"""),18671.0)</f>
        <v>18671</v>
      </c>
    </row>
    <row r="5725">
      <c r="A5725" s="115" t="str">
        <f>IFERROR(__xludf.DUMMYFUNCTION("""COMPUTED_VALUE"""),"NORTH")</f>
        <v>NORTH</v>
      </c>
      <c r="B5725" s="115" t="str">
        <f>IFERROR(__xludf.DUMMYFUNCTION("""COMPUTED_VALUE"""),"Manoj Harsh")</f>
        <v>Manoj Harsh</v>
      </c>
      <c r="C5725" s="115" t="str">
        <f>IFERROR(__xludf.DUMMYFUNCTION("""COMPUTED_VALUE"""),"EXTERNAL")</f>
        <v>EXTERNAL</v>
      </c>
      <c r="D5725" s="115">
        <f>IFERROR(__xludf.DUMMYFUNCTION("""COMPUTED_VALUE"""),16993.0)</f>
        <v>16993</v>
      </c>
      <c r="E5725" s="115">
        <f>IFERROR(__xludf.DUMMYFUNCTION("""COMPUTED_VALUE"""),1235.0)</f>
        <v>1235</v>
      </c>
      <c r="F5725" s="115">
        <f>IFERROR(__xludf.DUMMYFUNCTION("""COMPUTED_VALUE"""),453.0)</f>
        <v>453</v>
      </c>
      <c r="G5725" s="115">
        <f>IFERROR(__xludf.DUMMYFUNCTION("""COMPUTED_VALUE"""),14.0)</f>
        <v>14</v>
      </c>
      <c r="H5725" s="116">
        <f>IFERROR(__xludf.DUMMYFUNCTION("""COMPUTED_VALUE"""),45911.0)</f>
        <v>45911</v>
      </c>
      <c r="I5725" s="115" t="str">
        <f>IFERROR(__xludf.DUMMYFUNCTION("""COMPUTED_VALUE"""),"10")</f>
        <v>10</v>
      </c>
      <c r="J5725" s="115"/>
      <c r="K5725" s="115">
        <f>IFERROR(__xludf.DUMMYFUNCTION("""COMPUTED_VALUE"""),18228.0)</f>
        <v>18228</v>
      </c>
    </row>
    <row r="5726">
      <c r="A5726" s="115" t="str">
        <f>IFERROR(__xludf.DUMMYFUNCTION("""COMPUTED_VALUE"""),"NORTH")</f>
        <v>NORTH</v>
      </c>
      <c r="B5726" s="115" t="str">
        <f>IFERROR(__xludf.DUMMYFUNCTION("""COMPUTED_VALUE"""),"Manoj Harsh")</f>
        <v>Manoj Harsh</v>
      </c>
      <c r="C5726" s="115" t="str">
        <f>IFERROR(__xludf.DUMMYFUNCTION("""COMPUTED_VALUE"""),"FLIPKART")</f>
        <v>FLIPKART</v>
      </c>
      <c r="D5726" s="115">
        <f>IFERROR(__xludf.DUMMYFUNCTION("""COMPUTED_VALUE"""),251865.0)</f>
        <v>251865</v>
      </c>
      <c r="E5726" s="115">
        <f>IFERROR(__xludf.DUMMYFUNCTION("""COMPUTED_VALUE"""),16654.0)</f>
        <v>16654</v>
      </c>
      <c r="F5726" s="115">
        <f>IFERROR(__xludf.DUMMYFUNCTION("""COMPUTED_VALUE"""),13705.0)</f>
        <v>13705</v>
      </c>
      <c r="G5726" s="115">
        <f>IFERROR(__xludf.DUMMYFUNCTION("""COMPUTED_VALUE"""),367.0)</f>
        <v>367</v>
      </c>
      <c r="H5726" s="116">
        <f>IFERROR(__xludf.DUMMYFUNCTION("""COMPUTED_VALUE"""),45911.0)</f>
        <v>45911</v>
      </c>
      <c r="I5726" s="115" t="str">
        <f>IFERROR(__xludf.DUMMYFUNCTION("""COMPUTED_VALUE"""),"10")</f>
        <v>10</v>
      </c>
      <c r="J5726" s="115"/>
      <c r="K5726" s="115">
        <f>IFERROR(__xludf.DUMMYFUNCTION("""COMPUTED_VALUE"""),268519.0)</f>
        <v>268519</v>
      </c>
    </row>
    <row r="5727">
      <c r="A5727" s="115" t="str">
        <f>IFERROR(__xludf.DUMMYFUNCTION("""COMPUTED_VALUE"""),"NORTH")</f>
        <v>NORTH</v>
      </c>
      <c r="B5727" s="115" t="str">
        <f>IFERROR(__xludf.DUMMYFUNCTION("""COMPUTED_VALUE"""),"Manoj Harsh")</f>
        <v>Manoj Harsh</v>
      </c>
      <c r="C5727" s="115" t="str">
        <f>IFERROR(__xludf.DUMMYFUNCTION("""COMPUTED_VALUE"""),"MYNTRA")</f>
        <v>MYNTRA</v>
      </c>
      <c r="D5727" s="115">
        <f>IFERROR(__xludf.DUMMYFUNCTION("""COMPUTED_VALUE"""),20783.0)</f>
        <v>20783</v>
      </c>
      <c r="E5727" s="115">
        <f>IFERROR(__xludf.DUMMYFUNCTION("""COMPUTED_VALUE"""),3593.0)</f>
        <v>3593</v>
      </c>
      <c r="F5727" s="115">
        <f>IFERROR(__xludf.DUMMYFUNCTION("""COMPUTED_VALUE"""),1354.0)</f>
        <v>1354</v>
      </c>
      <c r="G5727" s="115">
        <f>IFERROR(__xludf.DUMMYFUNCTION("""COMPUTED_VALUE"""),65.0)</f>
        <v>65</v>
      </c>
      <c r="H5727" s="116">
        <f>IFERROR(__xludf.DUMMYFUNCTION("""COMPUTED_VALUE"""),45911.0)</f>
        <v>45911</v>
      </c>
      <c r="I5727" s="115" t="str">
        <f>IFERROR(__xludf.DUMMYFUNCTION("""COMPUTED_VALUE"""),"10")</f>
        <v>10</v>
      </c>
      <c r="J5727" s="115"/>
      <c r="K5727" s="115">
        <f>IFERROR(__xludf.DUMMYFUNCTION("""COMPUTED_VALUE"""),24376.0)</f>
        <v>24376</v>
      </c>
    </row>
    <row r="5728">
      <c r="A5728" s="115" t="str">
        <f>IFERROR(__xludf.DUMMYFUNCTION("""COMPUTED_VALUE"""),"NORTH")</f>
        <v>NORTH</v>
      </c>
      <c r="B5728" s="115" t="str">
        <f>IFERROR(__xludf.DUMMYFUNCTION("""COMPUTED_VALUE"""),"Pradeep Kothari")</f>
        <v>Pradeep Kothari</v>
      </c>
      <c r="C5728" s="115" t="str">
        <f>IFERROR(__xludf.DUMMYFUNCTION("""COMPUTED_VALUE"""),"EXTERNAL")</f>
        <v>EXTERNAL</v>
      </c>
      <c r="D5728" s="115">
        <f>IFERROR(__xludf.DUMMYFUNCTION("""COMPUTED_VALUE"""),11350.0)</f>
        <v>11350</v>
      </c>
      <c r="E5728" s="115">
        <f>IFERROR(__xludf.DUMMYFUNCTION("""COMPUTED_VALUE"""),1133.0)</f>
        <v>1133</v>
      </c>
      <c r="F5728" s="115">
        <f>IFERROR(__xludf.DUMMYFUNCTION("""COMPUTED_VALUE"""),424.0)</f>
        <v>424</v>
      </c>
      <c r="G5728" s="115">
        <f>IFERROR(__xludf.DUMMYFUNCTION("""COMPUTED_VALUE"""),26.0)</f>
        <v>26</v>
      </c>
      <c r="H5728" s="116">
        <f>IFERROR(__xludf.DUMMYFUNCTION("""COMPUTED_VALUE"""),45911.0)</f>
        <v>45911</v>
      </c>
      <c r="I5728" s="115" t="str">
        <f>IFERROR(__xludf.DUMMYFUNCTION("""COMPUTED_VALUE"""),"10")</f>
        <v>10</v>
      </c>
      <c r="J5728" s="115"/>
      <c r="K5728" s="115">
        <f>IFERROR(__xludf.DUMMYFUNCTION("""COMPUTED_VALUE"""),12483.0)</f>
        <v>12483</v>
      </c>
    </row>
    <row r="5729">
      <c r="A5729" s="115" t="str">
        <f>IFERROR(__xludf.DUMMYFUNCTION("""COMPUTED_VALUE"""),"NORTH")</f>
        <v>NORTH</v>
      </c>
      <c r="B5729" s="115" t="str">
        <f>IFERROR(__xludf.DUMMYFUNCTION("""COMPUTED_VALUE"""),"Pradeep Kothari")</f>
        <v>Pradeep Kothari</v>
      </c>
      <c r="C5729" s="115" t="str">
        <f>IFERROR(__xludf.DUMMYFUNCTION("""COMPUTED_VALUE"""),"FLIPKART")</f>
        <v>FLIPKART</v>
      </c>
      <c r="D5729" s="115">
        <f>IFERROR(__xludf.DUMMYFUNCTION("""COMPUTED_VALUE"""),104917.0)</f>
        <v>104917</v>
      </c>
      <c r="E5729" s="115">
        <f>IFERROR(__xludf.DUMMYFUNCTION("""COMPUTED_VALUE"""),9156.0)</f>
        <v>9156</v>
      </c>
      <c r="F5729" s="115">
        <f>IFERROR(__xludf.DUMMYFUNCTION("""COMPUTED_VALUE"""),8633.0)</f>
        <v>8633</v>
      </c>
      <c r="G5729" s="115">
        <f>IFERROR(__xludf.DUMMYFUNCTION("""COMPUTED_VALUE"""),308.0)</f>
        <v>308</v>
      </c>
      <c r="H5729" s="116">
        <f>IFERROR(__xludf.DUMMYFUNCTION("""COMPUTED_VALUE"""),45911.0)</f>
        <v>45911</v>
      </c>
      <c r="I5729" s="115" t="str">
        <f>IFERROR(__xludf.DUMMYFUNCTION("""COMPUTED_VALUE"""),"10")</f>
        <v>10</v>
      </c>
      <c r="J5729" s="115"/>
      <c r="K5729" s="115">
        <f>IFERROR(__xludf.DUMMYFUNCTION("""COMPUTED_VALUE"""),114073.0)</f>
        <v>114073</v>
      </c>
    </row>
    <row r="5730">
      <c r="A5730" s="115" t="str">
        <f>IFERROR(__xludf.DUMMYFUNCTION("""COMPUTED_VALUE"""),"NORTH")</f>
        <v>NORTH</v>
      </c>
      <c r="B5730" s="115" t="str">
        <f>IFERROR(__xludf.DUMMYFUNCTION("""COMPUTED_VALUE"""),"Pradeep Kothari")</f>
        <v>Pradeep Kothari</v>
      </c>
      <c r="C5730" s="115" t="str">
        <f>IFERROR(__xludf.DUMMYFUNCTION("""COMPUTED_VALUE"""),"MYNTRA")</f>
        <v>MYNTRA</v>
      </c>
      <c r="D5730" s="115">
        <f>IFERROR(__xludf.DUMMYFUNCTION("""COMPUTED_VALUE"""),15747.0)</f>
        <v>15747</v>
      </c>
      <c r="E5730" s="115">
        <f>IFERROR(__xludf.DUMMYFUNCTION("""COMPUTED_VALUE"""),3140.0)</f>
        <v>3140</v>
      </c>
      <c r="F5730" s="115">
        <f>IFERROR(__xludf.DUMMYFUNCTION("""COMPUTED_VALUE"""),1960.0)</f>
        <v>1960</v>
      </c>
      <c r="G5730" s="115">
        <f>IFERROR(__xludf.DUMMYFUNCTION("""COMPUTED_VALUE"""),104.0)</f>
        <v>104</v>
      </c>
      <c r="H5730" s="116">
        <f>IFERROR(__xludf.DUMMYFUNCTION("""COMPUTED_VALUE"""),45911.0)</f>
        <v>45911</v>
      </c>
      <c r="I5730" s="115" t="str">
        <f>IFERROR(__xludf.DUMMYFUNCTION("""COMPUTED_VALUE"""),"10")</f>
        <v>10</v>
      </c>
      <c r="J5730" s="115"/>
      <c r="K5730" s="115">
        <f>IFERROR(__xludf.DUMMYFUNCTION("""COMPUTED_VALUE"""),18887.0)</f>
        <v>18887</v>
      </c>
    </row>
    <row r="5731">
      <c r="A5731" s="115" t="str">
        <f>IFERROR(__xludf.DUMMYFUNCTION("""COMPUTED_VALUE"""),"SOUTH")</f>
        <v>SOUTH</v>
      </c>
      <c r="B5731" s="115" t="str">
        <f>IFERROR(__xludf.DUMMYFUNCTION("""COMPUTED_VALUE"""),"Kandula Sampath")</f>
        <v>Kandula Sampath</v>
      </c>
      <c r="C5731" s="115" t="str">
        <f>IFERROR(__xludf.DUMMYFUNCTION("""COMPUTED_VALUE"""),"EXTERNAL")</f>
        <v>EXTERNAL</v>
      </c>
      <c r="D5731" s="115">
        <f>IFERROR(__xludf.DUMMYFUNCTION("""COMPUTED_VALUE"""),23108.0)</f>
        <v>23108</v>
      </c>
      <c r="E5731" s="115">
        <f>IFERROR(__xludf.DUMMYFUNCTION("""COMPUTED_VALUE"""),2758.0)</f>
        <v>2758</v>
      </c>
      <c r="F5731" s="115">
        <f>IFERROR(__xludf.DUMMYFUNCTION("""COMPUTED_VALUE"""),1296.0)</f>
        <v>1296</v>
      </c>
      <c r="G5731" s="115">
        <f>IFERROR(__xludf.DUMMYFUNCTION("""COMPUTED_VALUE"""),32.0)</f>
        <v>32</v>
      </c>
      <c r="H5731" s="116">
        <f>IFERROR(__xludf.DUMMYFUNCTION("""COMPUTED_VALUE"""),45911.0)</f>
        <v>45911</v>
      </c>
      <c r="I5731" s="115" t="str">
        <f>IFERROR(__xludf.DUMMYFUNCTION("""COMPUTED_VALUE"""),"10")</f>
        <v>10</v>
      </c>
      <c r="J5731" s="115"/>
      <c r="K5731" s="115">
        <f>IFERROR(__xludf.DUMMYFUNCTION("""COMPUTED_VALUE"""),25866.0)</f>
        <v>25866</v>
      </c>
    </row>
    <row r="5732">
      <c r="A5732" s="115" t="str">
        <f>IFERROR(__xludf.DUMMYFUNCTION("""COMPUTED_VALUE"""),"SOUTH")</f>
        <v>SOUTH</v>
      </c>
      <c r="B5732" s="115" t="str">
        <f>IFERROR(__xludf.DUMMYFUNCTION("""COMPUTED_VALUE"""),"Kandula Sampath")</f>
        <v>Kandula Sampath</v>
      </c>
      <c r="C5732" s="115" t="str">
        <f>IFERROR(__xludf.DUMMYFUNCTION("""COMPUTED_VALUE"""),"FLIPKART")</f>
        <v>FLIPKART</v>
      </c>
      <c r="D5732" s="115">
        <f>IFERROR(__xludf.DUMMYFUNCTION("""COMPUTED_VALUE"""),259528.0)</f>
        <v>259528</v>
      </c>
      <c r="E5732" s="115">
        <f>IFERROR(__xludf.DUMMYFUNCTION("""COMPUTED_VALUE"""),16581.0)</f>
        <v>16581</v>
      </c>
      <c r="F5732" s="115">
        <f>IFERROR(__xludf.DUMMYFUNCTION("""COMPUTED_VALUE"""),26513.0)</f>
        <v>26513</v>
      </c>
      <c r="G5732" s="115">
        <f>IFERROR(__xludf.DUMMYFUNCTION("""COMPUTED_VALUE"""),297.0)</f>
        <v>297</v>
      </c>
      <c r="H5732" s="116">
        <f>IFERROR(__xludf.DUMMYFUNCTION("""COMPUTED_VALUE"""),45911.0)</f>
        <v>45911</v>
      </c>
      <c r="I5732" s="115" t="str">
        <f>IFERROR(__xludf.DUMMYFUNCTION("""COMPUTED_VALUE"""),"10")</f>
        <v>10</v>
      </c>
      <c r="J5732" s="115"/>
      <c r="K5732" s="115">
        <f>IFERROR(__xludf.DUMMYFUNCTION("""COMPUTED_VALUE"""),276109.0)</f>
        <v>276109</v>
      </c>
    </row>
    <row r="5733">
      <c r="A5733" s="115" t="str">
        <f>IFERROR(__xludf.DUMMYFUNCTION("""COMPUTED_VALUE"""),"SOUTH")</f>
        <v>SOUTH</v>
      </c>
      <c r="B5733" s="115" t="str">
        <f>IFERROR(__xludf.DUMMYFUNCTION("""COMPUTED_VALUE"""),"Kandula Sampath")</f>
        <v>Kandula Sampath</v>
      </c>
      <c r="C5733" s="115" t="str">
        <f>IFERROR(__xludf.DUMMYFUNCTION("""COMPUTED_VALUE"""),"MYNTRA")</f>
        <v>MYNTRA</v>
      </c>
      <c r="D5733" s="115">
        <f>IFERROR(__xludf.DUMMYFUNCTION("""COMPUTED_VALUE"""),26474.0)</f>
        <v>26474</v>
      </c>
      <c r="E5733" s="115">
        <f>IFERROR(__xludf.DUMMYFUNCTION("""COMPUTED_VALUE"""),5321.0)</f>
        <v>5321</v>
      </c>
      <c r="F5733" s="115">
        <f>IFERROR(__xludf.DUMMYFUNCTION("""COMPUTED_VALUE"""),3080.0)</f>
        <v>3080</v>
      </c>
      <c r="G5733" s="115">
        <f>IFERROR(__xludf.DUMMYFUNCTION("""COMPUTED_VALUE"""),86.0)</f>
        <v>86</v>
      </c>
      <c r="H5733" s="116">
        <f>IFERROR(__xludf.DUMMYFUNCTION("""COMPUTED_VALUE"""),45911.0)</f>
        <v>45911</v>
      </c>
      <c r="I5733" s="115" t="str">
        <f>IFERROR(__xludf.DUMMYFUNCTION("""COMPUTED_VALUE"""),"10")</f>
        <v>10</v>
      </c>
      <c r="J5733" s="115"/>
      <c r="K5733" s="115">
        <f>IFERROR(__xludf.DUMMYFUNCTION("""COMPUTED_VALUE"""),31795.0)</f>
        <v>31795</v>
      </c>
    </row>
    <row r="5734">
      <c r="A5734" s="115" t="str">
        <f>IFERROR(__xludf.DUMMYFUNCTION("""COMPUTED_VALUE"""),"SOUTH")</f>
        <v>SOUTH</v>
      </c>
      <c r="B5734" s="115" t="str">
        <f>IFERROR(__xludf.DUMMYFUNCTION("""COMPUTED_VALUE"""),"Martin A")</f>
        <v>Martin A</v>
      </c>
      <c r="C5734" s="115" t="str">
        <f>IFERROR(__xludf.DUMMYFUNCTION("""COMPUTED_VALUE"""),"EXTERNAL")</f>
        <v>EXTERNAL</v>
      </c>
      <c r="D5734" s="115">
        <f>IFERROR(__xludf.DUMMYFUNCTION("""COMPUTED_VALUE"""),17954.0)</f>
        <v>17954</v>
      </c>
      <c r="E5734" s="115">
        <f>IFERROR(__xludf.DUMMYFUNCTION("""COMPUTED_VALUE"""),2342.0)</f>
        <v>2342</v>
      </c>
      <c r="F5734" s="115">
        <f>IFERROR(__xludf.DUMMYFUNCTION("""COMPUTED_VALUE"""),1086.0)</f>
        <v>1086</v>
      </c>
      <c r="G5734" s="115">
        <f>IFERROR(__xludf.DUMMYFUNCTION("""COMPUTED_VALUE"""),76.0)</f>
        <v>76</v>
      </c>
      <c r="H5734" s="116">
        <f>IFERROR(__xludf.DUMMYFUNCTION("""COMPUTED_VALUE"""),45911.0)</f>
        <v>45911</v>
      </c>
      <c r="I5734" s="115" t="str">
        <f>IFERROR(__xludf.DUMMYFUNCTION("""COMPUTED_VALUE"""),"10")</f>
        <v>10</v>
      </c>
      <c r="J5734" s="115"/>
      <c r="K5734" s="115">
        <f>IFERROR(__xludf.DUMMYFUNCTION("""COMPUTED_VALUE"""),20296.0)</f>
        <v>20296</v>
      </c>
    </row>
    <row r="5735">
      <c r="A5735" s="115" t="str">
        <f>IFERROR(__xludf.DUMMYFUNCTION("""COMPUTED_VALUE"""),"SOUTH")</f>
        <v>SOUTH</v>
      </c>
      <c r="B5735" s="115" t="str">
        <f>IFERROR(__xludf.DUMMYFUNCTION("""COMPUTED_VALUE"""),"Martin A")</f>
        <v>Martin A</v>
      </c>
      <c r="C5735" s="115" t="str">
        <f>IFERROR(__xludf.DUMMYFUNCTION("""COMPUTED_VALUE"""),"FLIPKART")</f>
        <v>FLIPKART</v>
      </c>
      <c r="D5735" s="115">
        <f>IFERROR(__xludf.DUMMYFUNCTION("""COMPUTED_VALUE"""),179957.0)</f>
        <v>179957</v>
      </c>
      <c r="E5735" s="115">
        <f>IFERROR(__xludf.DUMMYFUNCTION("""COMPUTED_VALUE"""),15562.0)</f>
        <v>15562</v>
      </c>
      <c r="F5735" s="115">
        <f>IFERROR(__xludf.DUMMYFUNCTION("""COMPUTED_VALUE"""),17925.0)</f>
        <v>17925</v>
      </c>
      <c r="G5735" s="115">
        <f>IFERROR(__xludf.DUMMYFUNCTION("""COMPUTED_VALUE"""),613.0)</f>
        <v>613</v>
      </c>
      <c r="H5735" s="116">
        <f>IFERROR(__xludf.DUMMYFUNCTION("""COMPUTED_VALUE"""),45911.0)</f>
        <v>45911</v>
      </c>
      <c r="I5735" s="115" t="str">
        <f>IFERROR(__xludf.DUMMYFUNCTION("""COMPUTED_VALUE"""),"10")</f>
        <v>10</v>
      </c>
      <c r="J5735" s="115"/>
      <c r="K5735" s="115">
        <f>IFERROR(__xludf.DUMMYFUNCTION("""COMPUTED_VALUE"""),195519.0)</f>
        <v>195519</v>
      </c>
    </row>
    <row r="5736">
      <c r="A5736" s="115" t="str">
        <f>IFERROR(__xludf.DUMMYFUNCTION("""COMPUTED_VALUE"""),"SOUTH")</f>
        <v>SOUTH</v>
      </c>
      <c r="B5736" s="115" t="str">
        <f>IFERROR(__xludf.DUMMYFUNCTION("""COMPUTED_VALUE"""),"Martin A")</f>
        <v>Martin A</v>
      </c>
      <c r="C5736" s="115" t="str">
        <f>IFERROR(__xludf.DUMMYFUNCTION("""COMPUTED_VALUE"""),"MYNTRA")</f>
        <v>MYNTRA</v>
      </c>
      <c r="D5736" s="115">
        <f>IFERROR(__xludf.DUMMYFUNCTION("""COMPUTED_VALUE"""),15884.0)</f>
        <v>15884</v>
      </c>
      <c r="E5736" s="115">
        <f>IFERROR(__xludf.DUMMYFUNCTION("""COMPUTED_VALUE"""),4487.0)</f>
        <v>4487</v>
      </c>
      <c r="F5736" s="115">
        <f>IFERROR(__xludf.DUMMYFUNCTION("""COMPUTED_VALUE"""),2040.0)</f>
        <v>2040</v>
      </c>
      <c r="G5736" s="115">
        <f>IFERROR(__xludf.DUMMYFUNCTION("""COMPUTED_VALUE"""),146.0)</f>
        <v>146</v>
      </c>
      <c r="H5736" s="116">
        <f>IFERROR(__xludf.DUMMYFUNCTION("""COMPUTED_VALUE"""),45911.0)</f>
        <v>45911</v>
      </c>
      <c r="I5736" s="115" t="str">
        <f>IFERROR(__xludf.DUMMYFUNCTION("""COMPUTED_VALUE"""),"10")</f>
        <v>10</v>
      </c>
      <c r="J5736" s="115"/>
      <c r="K5736" s="115">
        <f>IFERROR(__xludf.DUMMYFUNCTION("""COMPUTED_VALUE"""),20371.0)</f>
        <v>20371</v>
      </c>
    </row>
    <row r="5737">
      <c r="A5737" s="115" t="str">
        <f>IFERROR(__xludf.DUMMYFUNCTION("""COMPUTED_VALUE"""),"SOUTH")</f>
        <v>SOUTH</v>
      </c>
      <c r="B5737" s="115" t="str">
        <f>IFERROR(__xludf.DUMMYFUNCTION("""COMPUTED_VALUE"""),"Premkumar M")</f>
        <v>Premkumar M</v>
      </c>
      <c r="C5737" s="115" t="str">
        <f>IFERROR(__xludf.DUMMYFUNCTION("""COMPUTED_VALUE"""),"EXTERNAL")</f>
        <v>EXTERNAL</v>
      </c>
      <c r="D5737" s="115">
        <f>IFERROR(__xludf.DUMMYFUNCTION("""COMPUTED_VALUE"""),9779.0)</f>
        <v>9779</v>
      </c>
      <c r="E5737" s="115">
        <f>IFERROR(__xludf.DUMMYFUNCTION("""COMPUTED_VALUE"""),494.0)</f>
        <v>494</v>
      </c>
      <c r="F5737" s="115">
        <f>IFERROR(__xludf.DUMMYFUNCTION("""COMPUTED_VALUE"""),336.0)</f>
        <v>336</v>
      </c>
      <c r="G5737" s="115">
        <f>IFERROR(__xludf.DUMMYFUNCTION("""COMPUTED_VALUE"""),1.0)</f>
        <v>1</v>
      </c>
      <c r="H5737" s="116">
        <f>IFERROR(__xludf.DUMMYFUNCTION("""COMPUTED_VALUE"""),45911.0)</f>
        <v>45911</v>
      </c>
      <c r="I5737" s="115" t="str">
        <f>IFERROR(__xludf.DUMMYFUNCTION("""COMPUTED_VALUE"""),"10")</f>
        <v>10</v>
      </c>
      <c r="J5737" s="115"/>
      <c r="K5737" s="115">
        <f>IFERROR(__xludf.DUMMYFUNCTION("""COMPUTED_VALUE"""),10273.0)</f>
        <v>10273</v>
      </c>
    </row>
    <row r="5738">
      <c r="A5738" s="115" t="str">
        <f>IFERROR(__xludf.DUMMYFUNCTION("""COMPUTED_VALUE"""),"SOUTH")</f>
        <v>SOUTH</v>
      </c>
      <c r="B5738" s="115" t="str">
        <f>IFERROR(__xludf.DUMMYFUNCTION("""COMPUTED_VALUE"""),"Premkumar M")</f>
        <v>Premkumar M</v>
      </c>
      <c r="C5738" s="115" t="str">
        <f>IFERROR(__xludf.DUMMYFUNCTION("""COMPUTED_VALUE"""),"FLIPKART")</f>
        <v>FLIPKART</v>
      </c>
      <c r="D5738" s="115">
        <f>IFERROR(__xludf.DUMMYFUNCTION("""COMPUTED_VALUE"""),115163.0)</f>
        <v>115163</v>
      </c>
      <c r="E5738" s="115">
        <f>IFERROR(__xludf.DUMMYFUNCTION("""COMPUTED_VALUE"""),5130.0)</f>
        <v>5130</v>
      </c>
      <c r="F5738" s="115">
        <f>IFERROR(__xludf.DUMMYFUNCTION("""COMPUTED_VALUE"""),6748.0)</f>
        <v>6748</v>
      </c>
      <c r="G5738" s="115">
        <f>IFERROR(__xludf.DUMMYFUNCTION("""COMPUTED_VALUE"""),79.0)</f>
        <v>79</v>
      </c>
      <c r="H5738" s="116">
        <f>IFERROR(__xludf.DUMMYFUNCTION("""COMPUTED_VALUE"""),45911.0)</f>
        <v>45911</v>
      </c>
      <c r="I5738" s="115" t="str">
        <f>IFERROR(__xludf.DUMMYFUNCTION("""COMPUTED_VALUE"""),"10")</f>
        <v>10</v>
      </c>
      <c r="J5738" s="115"/>
      <c r="K5738" s="115">
        <f>IFERROR(__xludf.DUMMYFUNCTION("""COMPUTED_VALUE"""),120293.0)</f>
        <v>120293</v>
      </c>
    </row>
    <row r="5739">
      <c r="A5739" s="115" t="str">
        <f>IFERROR(__xludf.DUMMYFUNCTION("""COMPUTED_VALUE"""),"SOUTH")</f>
        <v>SOUTH</v>
      </c>
      <c r="B5739" s="115" t="str">
        <f>IFERROR(__xludf.DUMMYFUNCTION("""COMPUTED_VALUE"""),"Premkumar M")</f>
        <v>Premkumar M</v>
      </c>
      <c r="C5739" s="115" t="str">
        <f>IFERROR(__xludf.DUMMYFUNCTION("""COMPUTED_VALUE"""),"MYNTRA")</f>
        <v>MYNTRA</v>
      </c>
      <c r="D5739" s="115">
        <f>IFERROR(__xludf.DUMMYFUNCTION("""COMPUTED_VALUE"""),5860.0)</f>
        <v>5860</v>
      </c>
      <c r="E5739" s="115">
        <f>IFERROR(__xludf.DUMMYFUNCTION("""COMPUTED_VALUE"""),903.0)</f>
        <v>903</v>
      </c>
      <c r="F5739" s="115">
        <f>IFERROR(__xludf.DUMMYFUNCTION("""COMPUTED_VALUE"""),423.0)</f>
        <v>423</v>
      </c>
      <c r="G5739" s="115">
        <f>IFERROR(__xludf.DUMMYFUNCTION("""COMPUTED_VALUE"""),8.0)</f>
        <v>8</v>
      </c>
      <c r="H5739" s="116">
        <f>IFERROR(__xludf.DUMMYFUNCTION("""COMPUTED_VALUE"""),45911.0)</f>
        <v>45911</v>
      </c>
      <c r="I5739" s="115" t="str">
        <f>IFERROR(__xludf.DUMMYFUNCTION("""COMPUTED_VALUE"""),"10")</f>
        <v>10</v>
      </c>
      <c r="J5739" s="115"/>
      <c r="K5739" s="115">
        <f>IFERROR(__xludf.DUMMYFUNCTION("""COMPUTED_VALUE"""),6763.0)</f>
        <v>6763</v>
      </c>
    </row>
    <row r="5740">
      <c r="A5740" s="115" t="str">
        <f>IFERROR(__xludf.DUMMYFUNCTION("""COMPUTED_VALUE"""),"SOUTH")</f>
        <v>SOUTH</v>
      </c>
      <c r="B5740" s="115" t="str">
        <f>IFERROR(__xludf.DUMMYFUNCTION("""COMPUTED_VALUE"""),"Vineeth V")</f>
        <v>Vineeth V</v>
      </c>
      <c r="C5740" s="115" t="str">
        <f>IFERROR(__xludf.DUMMYFUNCTION("""COMPUTED_VALUE"""),"EXTERNAL")</f>
        <v>EXTERNAL</v>
      </c>
      <c r="D5740" s="115">
        <f>IFERROR(__xludf.DUMMYFUNCTION("""COMPUTED_VALUE"""),6729.0)</f>
        <v>6729</v>
      </c>
      <c r="E5740" s="115">
        <f>IFERROR(__xludf.DUMMYFUNCTION("""COMPUTED_VALUE"""),136.0)</f>
        <v>136</v>
      </c>
      <c r="F5740" s="115">
        <f>IFERROR(__xludf.DUMMYFUNCTION("""COMPUTED_VALUE"""),146.0)</f>
        <v>146</v>
      </c>
      <c r="G5740" s="115">
        <f>IFERROR(__xludf.DUMMYFUNCTION("""COMPUTED_VALUE"""),0.0)</f>
        <v>0</v>
      </c>
      <c r="H5740" s="116">
        <f>IFERROR(__xludf.DUMMYFUNCTION("""COMPUTED_VALUE"""),45911.0)</f>
        <v>45911</v>
      </c>
      <c r="I5740" s="115" t="str">
        <f>IFERROR(__xludf.DUMMYFUNCTION("""COMPUTED_VALUE"""),"10")</f>
        <v>10</v>
      </c>
      <c r="J5740" s="115"/>
      <c r="K5740" s="115">
        <f>IFERROR(__xludf.DUMMYFUNCTION("""COMPUTED_VALUE"""),6865.0)</f>
        <v>6865</v>
      </c>
    </row>
    <row r="5741">
      <c r="A5741" s="115" t="str">
        <f>IFERROR(__xludf.DUMMYFUNCTION("""COMPUTED_VALUE"""),"SOUTH")</f>
        <v>SOUTH</v>
      </c>
      <c r="B5741" s="115" t="str">
        <f>IFERROR(__xludf.DUMMYFUNCTION("""COMPUTED_VALUE"""),"Vineeth V")</f>
        <v>Vineeth V</v>
      </c>
      <c r="C5741" s="115" t="str">
        <f>IFERROR(__xludf.DUMMYFUNCTION("""COMPUTED_VALUE"""),"FLIPKART")</f>
        <v>FLIPKART</v>
      </c>
      <c r="D5741" s="115">
        <f>IFERROR(__xludf.DUMMYFUNCTION("""COMPUTED_VALUE"""),71946.0)</f>
        <v>71946</v>
      </c>
      <c r="E5741" s="115">
        <f>IFERROR(__xludf.DUMMYFUNCTION("""COMPUTED_VALUE"""),3298.0)</f>
        <v>3298</v>
      </c>
      <c r="F5741" s="115">
        <f>IFERROR(__xludf.DUMMYFUNCTION("""COMPUTED_VALUE"""),2830.0)</f>
        <v>2830</v>
      </c>
      <c r="G5741" s="115">
        <f>IFERROR(__xludf.DUMMYFUNCTION("""COMPUTED_VALUE"""),33.0)</f>
        <v>33</v>
      </c>
      <c r="H5741" s="116">
        <f>IFERROR(__xludf.DUMMYFUNCTION("""COMPUTED_VALUE"""),45911.0)</f>
        <v>45911</v>
      </c>
      <c r="I5741" s="115" t="str">
        <f>IFERROR(__xludf.DUMMYFUNCTION("""COMPUTED_VALUE"""),"10")</f>
        <v>10</v>
      </c>
      <c r="J5741" s="115"/>
      <c r="K5741" s="115">
        <f>IFERROR(__xludf.DUMMYFUNCTION("""COMPUTED_VALUE"""),75244.0)</f>
        <v>75244</v>
      </c>
    </row>
    <row r="5742">
      <c r="A5742" s="115" t="str">
        <f>IFERROR(__xludf.DUMMYFUNCTION("""COMPUTED_VALUE"""),"SOUTH")</f>
        <v>SOUTH</v>
      </c>
      <c r="B5742" s="115" t="str">
        <f>IFERROR(__xludf.DUMMYFUNCTION("""COMPUTED_VALUE"""),"Vineeth V")</f>
        <v>Vineeth V</v>
      </c>
      <c r="C5742" s="115" t="str">
        <f>IFERROR(__xludf.DUMMYFUNCTION("""COMPUTED_VALUE"""),"MYNTRA")</f>
        <v>MYNTRA</v>
      </c>
      <c r="D5742" s="115">
        <f>IFERROR(__xludf.DUMMYFUNCTION("""COMPUTED_VALUE"""),5694.0)</f>
        <v>5694</v>
      </c>
      <c r="E5742" s="115">
        <f>IFERROR(__xludf.DUMMYFUNCTION("""COMPUTED_VALUE"""),877.0)</f>
        <v>877</v>
      </c>
      <c r="F5742" s="115">
        <f>IFERROR(__xludf.DUMMYFUNCTION("""COMPUTED_VALUE"""),308.0)</f>
        <v>308</v>
      </c>
      <c r="G5742" s="115">
        <f>IFERROR(__xludf.DUMMYFUNCTION("""COMPUTED_VALUE"""),2.0)</f>
        <v>2</v>
      </c>
      <c r="H5742" s="116">
        <f>IFERROR(__xludf.DUMMYFUNCTION("""COMPUTED_VALUE"""),45911.0)</f>
        <v>45911</v>
      </c>
      <c r="I5742" s="115" t="str">
        <f>IFERROR(__xludf.DUMMYFUNCTION("""COMPUTED_VALUE"""),"10")</f>
        <v>10</v>
      </c>
      <c r="J5742" s="115"/>
      <c r="K5742" s="115">
        <f>IFERROR(__xludf.DUMMYFUNCTION("""COMPUTED_VALUE"""),6571.0)</f>
        <v>6571</v>
      </c>
    </row>
    <row r="5743">
      <c r="A5743" s="115" t="str">
        <f>IFERROR(__xludf.DUMMYFUNCTION("""COMPUTED_VALUE"""),"WEST")</f>
        <v>WEST</v>
      </c>
      <c r="B5743" s="115" t="str">
        <f>IFERROR(__xludf.DUMMYFUNCTION("""COMPUTED_VALUE"""),"Ashish Jakar")</f>
        <v>Ashish Jakar</v>
      </c>
      <c r="C5743" s="115" t="str">
        <f>IFERROR(__xludf.DUMMYFUNCTION("""COMPUTED_VALUE"""),"EXTERNAL")</f>
        <v>EXTERNAL</v>
      </c>
      <c r="D5743" s="115">
        <f>IFERROR(__xludf.DUMMYFUNCTION("""COMPUTED_VALUE"""),30393.0)</f>
        <v>30393</v>
      </c>
      <c r="E5743" s="115">
        <f>IFERROR(__xludf.DUMMYFUNCTION("""COMPUTED_VALUE"""),4116.0)</f>
        <v>4116</v>
      </c>
      <c r="F5743" s="115">
        <f>IFERROR(__xludf.DUMMYFUNCTION("""COMPUTED_VALUE"""),1223.0)</f>
        <v>1223</v>
      </c>
      <c r="G5743" s="115">
        <f>IFERROR(__xludf.DUMMYFUNCTION("""COMPUTED_VALUE"""),82.0)</f>
        <v>82</v>
      </c>
      <c r="H5743" s="116">
        <f>IFERROR(__xludf.DUMMYFUNCTION("""COMPUTED_VALUE"""),45911.0)</f>
        <v>45911</v>
      </c>
      <c r="I5743" s="115" t="str">
        <f>IFERROR(__xludf.DUMMYFUNCTION("""COMPUTED_VALUE"""),"10")</f>
        <v>10</v>
      </c>
      <c r="J5743" s="115"/>
      <c r="K5743" s="115">
        <f>IFERROR(__xludf.DUMMYFUNCTION("""COMPUTED_VALUE"""),34509.0)</f>
        <v>34509</v>
      </c>
    </row>
    <row r="5744">
      <c r="A5744" s="115" t="str">
        <f>IFERROR(__xludf.DUMMYFUNCTION("""COMPUTED_VALUE"""),"WEST")</f>
        <v>WEST</v>
      </c>
      <c r="B5744" s="115" t="str">
        <f>IFERROR(__xludf.DUMMYFUNCTION("""COMPUTED_VALUE"""),"Ashish Jakar")</f>
        <v>Ashish Jakar</v>
      </c>
      <c r="C5744" s="115" t="str">
        <f>IFERROR(__xludf.DUMMYFUNCTION("""COMPUTED_VALUE"""),"FLIPKART")</f>
        <v>FLIPKART</v>
      </c>
      <c r="D5744" s="115">
        <f>IFERROR(__xludf.DUMMYFUNCTION("""COMPUTED_VALUE"""),218467.0)</f>
        <v>218467</v>
      </c>
      <c r="E5744" s="115">
        <f>IFERROR(__xludf.DUMMYFUNCTION("""COMPUTED_VALUE"""),18456.0)</f>
        <v>18456</v>
      </c>
      <c r="F5744" s="115">
        <f>IFERROR(__xludf.DUMMYFUNCTION("""COMPUTED_VALUE"""),13931.0)</f>
        <v>13931</v>
      </c>
      <c r="G5744" s="115">
        <f>IFERROR(__xludf.DUMMYFUNCTION("""COMPUTED_VALUE"""),363.0)</f>
        <v>363</v>
      </c>
      <c r="H5744" s="116">
        <f>IFERROR(__xludf.DUMMYFUNCTION("""COMPUTED_VALUE"""),45911.0)</f>
        <v>45911</v>
      </c>
      <c r="I5744" s="115" t="str">
        <f>IFERROR(__xludf.DUMMYFUNCTION("""COMPUTED_VALUE"""),"10")</f>
        <v>10</v>
      </c>
      <c r="J5744" s="115"/>
      <c r="K5744" s="115">
        <f>IFERROR(__xludf.DUMMYFUNCTION("""COMPUTED_VALUE"""),236923.0)</f>
        <v>236923</v>
      </c>
    </row>
    <row r="5745">
      <c r="A5745" s="115" t="str">
        <f>IFERROR(__xludf.DUMMYFUNCTION("""COMPUTED_VALUE"""),"WEST")</f>
        <v>WEST</v>
      </c>
      <c r="B5745" s="115" t="str">
        <f>IFERROR(__xludf.DUMMYFUNCTION("""COMPUTED_VALUE"""),"Ashish Jakar")</f>
        <v>Ashish Jakar</v>
      </c>
      <c r="C5745" s="115" t="str">
        <f>IFERROR(__xludf.DUMMYFUNCTION("""COMPUTED_VALUE"""),"MYNTRA")</f>
        <v>MYNTRA</v>
      </c>
      <c r="D5745" s="115">
        <f>IFERROR(__xludf.DUMMYFUNCTION("""COMPUTED_VALUE"""),25497.0)</f>
        <v>25497</v>
      </c>
      <c r="E5745" s="115">
        <f>IFERROR(__xludf.DUMMYFUNCTION("""COMPUTED_VALUE"""),6295.0)</f>
        <v>6295</v>
      </c>
      <c r="F5745" s="115">
        <f>IFERROR(__xludf.DUMMYFUNCTION("""COMPUTED_VALUE"""),2020.0)</f>
        <v>2020</v>
      </c>
      <c r="G5745" s="115">
        <f>IFERROR(__xludf.DUMMYFUNCTION("""COMPUTED_VALUE"""),149.0)</f>
        <v>149</v>
      </c>
      <c r="H5745" s="116">
        <f>IFERROR(__xludf.DUMMYFUNCTION("""COMPUTED_VALUE"""),45911.0)</f>
        <v>45911</v>
      </c>
      <c r="I5745" s="115" t="str">
        <f>IFERROR(__xludf.DUMMYFUNCTION("""COMPUTED_VALUE"""),"10")</f>
        <v>10</v>
      </c>
      <c r="J5745" s="115"/>
      <c r="K5745" s="115">
        <f>IFERROR(__xludf.DUMMYFUNCTION("""COMPUTED_VALUE"""),31792.0)</f>
        <v>31792</v>
      </c>
    </row>
    <row r="5746">
      <c r="A5746" s="115" t="str">
        <f>IFERROR(__xludf.DUMMYFUNCTION("""COMPUTED_VALUE"""),"WEST")</f>
        <v>WEST</v>
      </c>
      <c r="B5746" s="115" t="str">
        <f>IFERROR(__xludf.DUMMYFUNCTION("""COMPUTED_VALUE"""),"Ashvani Bhatt")</f>
        <v>Ashvani Bhatt</v>
      </c>
      <c r="C5746" s="115" t="str">
        <f>IFERROR(__xludf.DUMMYFUNCTION("""COMPUTED_VALUE"""),"EXTERNAL")</f>
        <v>EXTERNAL</v>
      </c>
      <c r="D5746" s="115">
        <f>IFERROR(__xludf.DUMMYFUNCTION("""COMPUTED_VALUE"""),20844.0)</f>
        <v>20844</v>
      </c>
      <c r="E5746" s="115">
        <f>IFERROR(__xludf.DUMMYFUNCTION("""COMPUTED_VALUE"""),1815.0)</f>
        <v>1815</v>
      </c>
      <c r="F5746" s="115">
        <f>IFERROR(__xludf.DUMMYFUNCTION("""COMPUTED_VALUE"""),908.0)</f>
        <v>908</v>
      </c>
      <c r="G5746" s="115">
        <f>IFERROR(__xludf.DUMMYFUNCTION("""COMPUTED_VALUE"""),22.0)</f>
        <v>22</v>
      </c>
      <c r="H5746" s="116">
        <f>IFERROR(__xludf.DUMMYFUNCTION("""COMPUTED_VALUE"""),45911.0)</f>
        <v>45911</v>
      </c>
      <c r="I5746" s="115" t="str">
        <f>IFERROR(__xludf.DUMMYFUNCTION("""COMPUTED_VALUE"""),"10")</f>
        <v>10</v>
      </c>
      <c r="J5746" s="115"/>
      <c r="K5746" s="115">
        <f>IFERROR(__xludf.DUMMYFUNCTION("""COMPUTED_VALUE"""),22659.0)</f>
        <v>22659</v>
      </c>
    </row>
    <row r="5747">
      <c r="A5747" s="115" t="str">
        <f>IFERROR(__xludf.DUMMYFUNCTION("""COMPUTED_VALUE"""),"WEST")</f>
        <v>WEST</v>
      </c>
      <c r="B5747" s="115" t="str">
        <f>IFERROR(__xludf.DUMMYFUNCTION("""COMPUTED_VALUE"""),"Ashvani Bhatt")</f>
        <v>Ashvani Bhatt</v>
      </c>
      <c r="C5747" s="115" t="str">
        <f>IFERROR(__xludf.DUMMYFUNCTION("""COMPUTED_VALUE"""),"FLIPKART")</f>
        <v>FLIPKART</v>
      </c>
      <c r="D5747" s="115">
        <f>IFERROR(__xludf.DUMMYFUNCTION("""COMPUTED_VALUE"""),173542.0)</f>
        <v>173542</v>
      </c>
      <c r="E5747" s="115">
        <f>IFERROR(__xludf.DUMMYFUNCTION("""COMPUTED_VALUE"""),12629.0)</f>
        <v>12629</v>
      </c>
      <c r="F5747" s="115">
        <f>IFERROR(__xludf.DUMMYFUNCTION("""COMPUTED_VALUE"""),15213.0)</f>
        <v>15213</v>
      </c>
      <c r="G5747" s="115">
        <f>IFERROR(__xludf.DUMMYFUNCTION("""COMPUTED_VALUE"""),315.0)</f>
        <v>315</v>
      </c>
      <c r="H5747" s="116">
        <f>IFERROR(__xludf.DUMMYFUNCTION("""COMPUTED_VALUE"""),45911.0)</f>
        <v>45911</v>
      </c>
      <c r="I5747" s="115" t="str">
        <f>IFERROR(__xludf.DUMMYFUNCTION("""COMPUTED_VALUE"""),"10")</f>
        <v>10</v>
      </c>
      <c r="J5747" s="115"/>
      <c r="K5747" s="115">
        <f>IFERROR(__xludf.DUMMYFUNCTION("""COMPUTED_VALUE"""),186171.0)</f>
        <v>186171</v>
      </c>
    </row>
    <row r="5748">
      <c r="A5748" s="115" t="str">
        <f>IFERROR(__xludf.DUMMYFUNCTION("""COMPUTED_VALUE"""),"WEST")</f>
        <v>WEST</v>
      </c>
      <c r="B5748" s="115" t="str">
        <f>IFERROR(__xludf.DUMMYFUNCTION("""COMPUTED_VALUE"""),"Ashvani Bhatt")</f>
        <v>Ashvani Bhatt</v>
      </c>
      <c r="C5748" s="115" t="str">
        <f>IFERROR(__xludf.DUMMYFUNCTION("""COMPUTED_VALUE"""),"MYNTRA")</f>
        <v>MYNTRA</v>
      </c>
      <c r="D5748" s="115">
        <f>IFERROR(__xludf.DUMMYFUNCTION("""COMPUTED_VALUE"""),22019.0)</f>
        <v>22019</v>
      </c>
      <c r="E5748" s="115">
        <f>IFERROR(__xludf.DUMMYFUNCTION("""COMPUTED_VALUE"""),4457.0)</f>
        <v>4457</v>
      </c>
      <c r="F5748" s="115">
        <f>IFERROR(__xludf.DUMMYFUNCTION("""COMPUTED_VALUE"""),2441.0)</f>
        <v>2441</v>
      </c>
      <c r="G5748" s="115">
        <f>IFERROR(__xludf.DUMMYFUNCTION("""COMPUTED_VALUE"""),110.0)</f>
        <v>110</v>
      </c>
      <c r="H5748" s="116">
        <f>IFERROR(__xludf.DUMMYFUNCTION("""COMPUTED_VALUE"""),45911.0)</f>
        <v>45911</v>
      </c>
      <c r="I5748" s="115" t="str">
        <f>IFERROR(__xludf.DUMMYFUNCTION("""COMPUTED_VALUE"""),"10")</f>
        <v>10</v>
      </c>
      <c r="J5748" s="115"/>
      <c r="K5748" s="115">
        <f>IFERROR(__xludf.DUMMYFUNCTION("""COMPUTED_VALUE"""),26476.0)</f>
        <v>26476</v>
      </c>
    </row>
    <row r="5749">
      <c r="A5749" s="115"/>
      <c r="B5749" s="115"/>
      <c r="C5749" s="115" t="str">
        <f>IFERROR(__xludf.DUMMYFUNCTION("""COMPUTED_VALUE"""),"EXTERNAL")</f>
        <v>EXTERNAL</v>
      </c>
      <c r="D5749" s="115">
        <f>IFERROR(__xludf.DUMMYFUNCTION("""COMPUTED_VALUE"""),328.0)</f>
        <v>328</v>
      </c>
      <c r="E5749" s="115">
        <f>IFERROR(__xludf.DUMMYFUNCTION("""COMPUTED_VALUE"""),125.0)</f>
        <v>125</v>
      </c>
      <c r="F5749" s="115">
        <f>IFERROR(__xludf.DUMMYFUNCTION("""COMPUTED_VALUE"""),9.0)</f>
        <v>9</v>
      </c>
      <c r="G5749" s="115">
        <f>IFERROR(__xludf.DUMMYFUNCTION("""COMPUTED_VALUE"""),2.0)</f>
        <v>2</v>
      </c>
      <c r="H5749" s="116">
        <f>IFERROR(__xludf.DUMMYFUNCTION("""COMPUTED_VALUE"""),45911.0)</f>
        <v>45911</v>
      </c>
      <c r="I5749" s="115" t="str">
        <f>IFERROR(__xludf.DUMMYFUNCTION("""COMPUTED_VALUE"""),"10")</f>
        <v>10</v>
      </c>
      <c r="J5749" s="115"/>
      <c r="K5749" s="115">
        <f>IFERROR(__xludf.DUMMYFUNCTION("""COMPUTED_VALUE"""),453.0)</f>
        <v>453</v>
      </c>
    </row>
    <row r="5750">
      <c r="A5750" s="115"/>
      <c r="B5750" s="115"/>
      <c r="C5750" s="115" t="str">
        <f>IFERROR(__xludf.DUMMYFUNCTION("""COMPUTED_VALUE"""),"FLIPKART")</f>
        <v>FLIPKART</v>
      </c>
      <c r="D5750" s="115">
        <f>IFERROR(__xludf.DUMMYFUNCTION("""COMPUTED_VALUE"""),3762.0)</f>
        <v>3762</v>
      </c>
      <c r="E5750" s="115">
        <f>IFERROR(__xludf.DUMMYFUNCTION("""COMPUTED_VALUE"""),610.0)</f>
        <v>610</v>
      </c>
      <c r="F5750" s="115">
        <f>IFERROR(__xludf.DUMMYFUNCTION("""COMPUTED_VALUE"""),104.0)</f>
        <v>104</v>
      </c>
      <c r="G5750" s="115">
        <f>IFERROR(__xludf.DUMMYFUNCTION("""COMPUTED_VALUE"""),39.0)</f>
        <v>39</v>
      </c>
      <c r="H5750" s="116">
        <f>IFERROR(__xludf.DUMMYFUNCTION("""COMPUTED_VALUE"""),45911.0)</f>
        <v>45911</v>
      </c>
      <c r="I5750" s="115" t="str">
        <f>IFERROR(__xludf.DUMMYFUNCTION("""COMPUTED_VALUE"""),"10")</f>
        <v>10</v>
      </c>
      <c r="J5750" s="115"/>
      <c r="K5750" s="115">
        <f>IFERROR(__xludf.DUMMYFUNCTION("""COMPUTED_VALUE"""),4372.0)</f>
        <v>4372</v>
      </c>
    </row>
    <row r="5751">
      <c r="A5751" s="115"/>
      <c r="B5751" s="115"/>
      <c r="C5751" s="115" t="str">
        <f>IFERROR(__xludf.DUMMYFUNCTION("""COMPUTED_VALUE"""),"MYNTRA")</f>
        <v>MYNTRA</v>
      </c>
      <c r="D5751" s="115">
        <f>IFERROR(__xludf.DUMMYFUNCTION("""COMPUTED_VALUE"""),414.0)</f>
        <v>414</v>
      </c>
      <c r="E5751" s="115">
        <f>IFERROR(__xludf.DUMMYFUNCTION("""COMPUTED_VALUE"""),174.0)</f>
        <v>174</v>
      </c>
      <c r="F5751" s="115">
        <f>IFERROR(__xludf.DUMMYFUNCTION("""COMPUTED_VALUE"""),7.0)</f>
        <v>7</v>
      </c>
      <c r="G5751" s="115">
        <f>IFERROR(__xludf.DUMMYFUNCTION("""COMPUTED_VALUE"""),8.0)</f>
        <v>8</v>
      </c>
      <c r="H5751" s="116">
        <f>IFERROR(__xludf.DUMMYFUNCTION("""COMPUTED_VALUE"""),45911.0)</f>
        <v>45911</v>
      </c>
      <c r="I5751" s="115" t="str">
        <f>IFERROR(__xludf.DUMMYFUNCTION("""COMPUTED_VALUE"""),"10")</f>
        <v>10</v>
      </c>
      <c r="J5751" s="115"/>
      <c r="K5751" s="115">
        <f>IFERROR(__xludf.DUMMYFUNCTION("""COMPUTED_VALUE"""),588.0)</f>
        <v>588</v>
      </c>
    </row>
    <row r="5752">
      <c r="A5752" s="115" t="str">
        <f>IFERROR(__xludf.DUMMYFUNCTION("""COMPUTED_VALUE"""),"EAST")</f>
        <v>EAST</v>
      </c>
      <c r="B5752" s="115" t="str">
        <f>IFERROR(__xludf.DUMMYFUNCTION("""COMPUTED_VALUE"""),"Ashish Ranjan")</f>
        <v>Ashish Ranjan</v>
      </c>
      <c r="C5752" s="115" t="str">
        <f>IFERROR(__xludf.DUMMYFUNCTION("""COMPUTED_VALUE"""),"EXTERNAL")</f>
        <v>EXTERNAL</v>
      </c>
      <c r="D5752" s="115">
        <f>IFERROR(__xludf.DUMMYFUNCTION("""COMPUTED_VALUE"""),30817.0)</f>
        <v>30817</v>
      </c>
      <c r="E5752" s="115">
        <f>IFERROR(__xludf.DUMMYFUNCTION("""COMPUTED_VALUE"""),3210.0)</f>
        <v>3210</v>
      </c>
      <c r="F5752" s="115">
        <f>IFERROR(__xludf.DUMMYFUNCTION("""COMPUTED_VALUE"""),4265.0)</f>
        <v>4265</v>
      </c>
      <c r="G5752" s="115">
        <f>IFERROR(__xludf.DUMMYFUNCTION("""COMPUTED_VALUE"""),120.0)</f>
        <v>120</v>
      </c>
      <c r="H5752" s="116">
        <f>IFERROR(__xludf.DUMMYFUNCTION("""COMPUTED_VALUE"""),45911.0)</f>
        <v>45911</v>
      </c>
      <c r="I5752" s="115" t="str">
        <f>IFERROR(__xludf.DUMMYFUNCTION("""COMPUTED_VALUE"""),"11")</f>
        <v>11</v>
      </c>
      <c r="J5752" s="115"/>
      <c r="K5752" s="115">
        <f>IFERROR(__xludf.DUMMYFUNCTION("""COMPUTED_VALUE"""),34027.0)</f>
        <v>34027</v>
      </c>
    </row>
    <row r="5753">
      <c r="A5753" s="115" t="str">
        <f>IFERROR(__xludf.DUMMYFUNCTION("""COMPUTED_VALUE"""),"EAST")</f>
        <v>EAST</v>
      </c>
      <c r="B5753" s="115" t="str">
        <f>IFERROR(__xludf.DUMMYFUNCTION("""COMPUTED_VALUE"""),"Ashish Ranjan")</f>
        <v>Ashish Ranjan</v>
      </c>
      <c r="C5753" s="115" t="str">
        <f>IFERROR(__xludf.DUMMYFUNCTION("""COMPUTED_VALUE"""),"FLIPKART")</f>
        <v>FLIPKART</v>
      </c>
      <c r="D5753" s="115">
        <f>IFERROR(__xludf.DUMMYFUNCTION("""COMPUTED_VALUE"""),556049.0)</f>
        <v>556049</v>
      </c>
      <c r="E5753" s="115">
        <f>IFERROR(__xludf.DUMMYFUNCTION("""COMPUTED_VALUE"""),48344.0)</f>
        <v>48344</v>
      </c>
      <c r="F5753" s="115">
        <f>IFERROR(__xludf.DUMMYFUNCTION("""COMPUTED_VALUE"""),123457.0)</f>
        <v>123457</v>
      </c>
      <c r="G5753" s="115">
        <f>IFERROR(__xludf.DUMMYFUNCTION("""COMPUTED_VALUE"""),3119.0)</f>
        <v>3119</v>
      </c>
      <c r="H5753" s="116">
        <f>IFERROR(__xludf.DUMMYFUNCTION("""COMPUTED_VALUE"""),45911.0)</f>
        <v>45911</v>
      </c>
      <c r="I5753" s="115" t="str">
        <f>IFERROR(__xludf.DUMMYFUNCTION("""COMPUTED_VALUE"""),"11")</f>
        <v>11</v>
      </c>
      <c r="J5753" s="115"/>
      <c r="K5753" s="115">
        <f>IFERROR(__xludf.DUMMYFUNCTION("""COMPUTED_VALUE"""),604393.0)</f>
        <v>604393</v>
      </c>
    </row>
    <row r="5754">
      <c r="A5754" s="115" t="str">
        <f>IFERROR(__xludf.DUMMYFUNCTION("""COMPUTED_VALUE"""),"EAST")</f>
        <v>EAST</v>
      </c>
      <c r="B5754" s="115" t="str">
        <f>IFERROR(__xludf.DUMMYFUNCTION("""COMPUTED_VALUE"""),"Ashish Ranjan")</f>
        <v>Ashish Ranjan</v>
      </c>
      <c r="C5754" s="115" t="str">
        <f>IFERROR(__xludf.DUMMYFUNCTION("""COMPUTED_VALUE"""),"MYNTRA")</f>
        <v>MYNTRA</v>
      </c>
      <c r="D5754" s="115">
        <f>IFERROR(__xludf.DUMMYFUNCTION("""COMPUTED_VALUE"""),54131.0)</f>
        <v>54131</v>
      </c>
      <c r="E5754" s="115">
        <f>IFERROR(__xludf.DUMMYFUNCTION("""COMPUTED_VALUE"""),12233.0)</f>
        <v>12233</v>
      </c>
      <c r="F5754" s="115">
        <f>IFERROR(__xludf.DUMMYFUNCTION("""COMPUTED_VALUE"""),12165.0)</f>
        <v>12165</v>
      </c>
      <c r="G5754" s="115">
        <f>IFERROR(__xludf.DUMMYFUNCTION("""COMPUTED_VALUE"""),723.0)</f>
        <v>723</v>
      </c>
      <c r="H5754" s="116">
        <f>IFERROR(__xludf.DUMMYFUNCTION("""COMPUTED_VALUE"""),45911.0)</f>
        <v>45911</v>
      </c>
      <c r="I5754" s="115" t="str">
        <f>IFERROR(__xludf.DUMMYFUNCTION("""COMPUTED_VALUE"""),"11")</f>
        <v>11</v>
      </c>
      <c r="J5754" s="115"/>
      <c r="K5754" s="115">
        <f>IFERROR(__xludf.DUMMYFUNCTION("""COMPUTED_VALUE"""),66364.0)</f>
        <v>66364</v>
      </c>
    </row>
    <row r="5755">
      <c r="A5755" s="115" t="str">
        <f>IFERROR(__xludf.DUMMYFUNCTION("""COMPUTED_VALUE"""),"EAST")</f>
        <v>EAST</v>
      </c>
      <c r="B5755" s="115" t="str">
        <f>IFERROR(__xludf.DUMMYFUNCTION("""COMPUTED_VALUE"""),"Girish Chand")</f>
        <v>Girish Chand</v>
      </c>
      <c r="C5755" s="115" t="str">
        <f>IFERROR(__xludf.DUMMYFUNCTION("""COMPUTED_VALUE"""),"EXTERNAL")</f>
        <v>EXTERNAL</v>
      </c>
      <c r="D5755" s="115">
        <f>IFERROR(__xludf.DUMMYFUNCTION("""COMPUTED_VALUE"""),17361.0)</f>
        <v>17361</v>
      </c>
      <c r="E5755" s="115">
        <f>IFERROR(__xludf.DUMMYFUNCTION("""COMPUTED_VALUE"""),1661.0)</f>
        <v>1661</v>
      </c>
      <c r="F5755" s="115">
        <f>IFERROR(__xludf.DUMMYFUNCTION("""COMPUTED_VALUE"""),1307.0)</f>
        <v>1307</v>
      </c>
      <c r="G5755" s="115">
        <f>IFERROR(__xludf.DUMMYFUNCTION("""COMPUTED_VALUE"""),18.0)</f>
        <v>18</v>
      </c>
      <c r="H5755" s="116">
        <f>IFERROR(__xludf.DUMMYFUNCTION("""COMPUTED_VALUE"""),45911.0)</f>
        <v>45911</v>
      </c>
      <c r="I5755" s="115" t="str">
        <f>IFERROR(__xludf.DUMMYFUNCTION("""COMPUTED_VALUE"""),"11")</f>
        <v>11</v>
      </c>
      <c r="J5755" s="115"/>
      <c r="K5755" s="115">
        <f>IFERROR(__xludf.DUMMYFUNCTION("""COMPUTED_VALUE"""),19022.0)</f>
        <v>19022</v>
      </c>
    </row>
    <row r="5756">
      <c r="A5756" s="115" t="str">
        <f>IFERROR(__xludf.DUMMYFUNCTION("""COMPUTED_VALUE"""),"EAST")</f>
        <v>EAST</v>
      </c>
      <c r="B5756" s="115" t="str">
        <f>IFERROR(__xludf.DUMMYFUNCTION("""COMPUTED_VALUE"""),"Girish Chand")</f>
        <v>Girish Chand</v>
      </c>
      <c r="C5756" s="115" t="str">
        <f>IFERROR(__xludf.DUMMYFUNCTION("""COMPUTED_VALUE"""),"FLIPKART")</f>
        <v>FLIPKART</v>
      </c>
      <c r="D5756" s="115">
        <f>IFERROR(__xludf.DUMMYFUNCTION("""COMPUTED_VALUE"""),354257.0)</f>
        <v>354257</v>
      </c>
      <c r="E5756" s="115">
        <f>IFERROR(__xludf.DUMMYFUNCTION("""COMPUTED_VALUE"""),26005.0)</f>
        <v>26005</v>
      </c>
      <c r="F5756" s="115">
        <f>IFERROR(__xludf.DUMMYFUNCTION("""COMPUTED_VALUE"""),44848.0)</f>
        <v>44848</v>
      </c>
      <c r="G5756" s="115">
        <f>IFERROR(__xludf.DUMMYFUNCTION("""COMPUTED_VALUE"""),1106.0)</f>
        <v>1106</v>
      </c>
      <c r="H5756" s="116">
        <f>IFERROR(__xludf.DUMMYFUNCTION("""COMPUTED_VALUE"""),45911.0)</f>
        <v>45911</v>
      </c>
      <c r="I5756" s="115" t="str">
        <f>IFERROR(__xludf.DUMMYFUNCTION("""COMPUTED_VALUE"""),"11")</f>
        <v>11</v>
      </c>
      <c r="J5756" s="115"/>
      <c r="K5756" s="115">
        <f>IFERROR(__xludf.DUMMYFUNCTION("""COMPUTED_VALUE"""),380262.0)</f>
        <v>380262</v>
      </c>
    </row>
    <row r="5757">
      <c r="A5757" s="115" t="str">
        <f>IFERROR(__xludf.DUMMYFUNCTION("""COMPUTED_VALUE"""),"EAST")</f>
        <v>EAST</v>
      </c>
      <c r="B5757" s="115" t="str">
        <f>IFERROR(__xludf.DUMMYFUNCTION("""COMPUTED_VALUE"""),"Girish Chand")</f>
        <v>Girish Chand</v>
      </c>
      <c r="C5757" s="115" t="str">
        <f>IFERROR(__xludf.DUMMYFUNCTION("""COMPUTED_VALUE"""),"MYNTRA")</f>
        <v>MYNTRA</v>
      </c>
      <c r="D5757" s="115">
        <f>IFERROR(__xludf.DUMMYFUNCTION("""COMPUTED_VALUE"""),27717.0)</f>
        <v>27717</v>
      </c>
      <c r="E5757" s="115">
        <f>IFERROR(__xludf.DUMMYFUNCTION("""COMPUTED_VALUE"""),5239.0)</f>
        <v>5239</v>
      </c>
      <c r="F5757" s="115">
        <f>IFERROR(__xludf.DUMMYFUNCTION("""COMPUTED_VALUE"""),3865.0)</f>
        <v>3865</v>
      </c>
      <c r="G5757" s="115">
        <f>IFERROR(__xludf.DUMMYFUNCTION("""COMPUTED_VALUE"""),225.0)</f>
        <v>225</v>
      </c>
      <c r="H5757" s="116">
        <f>IFERROR(__xludf.DUMMYFUNCTION("""COMPUTED_VALUE"""),45911.0)</f>
        <v>45911</v>
      </c>
      <c r="I5757" s="115" t="str">
        <f>IFERROR(__xludf.DUMMYFUNCTION("""COMPUTED_VALUE"""),"11")</f>
        <v>11</v>
      </c>
      <c r="J5757" s="115"/>
      <c r="K5757" s="115">
        <f>IFERROR(__xludf.DUMMYFUNCTION("""COMPUTED_VALUE"""),32956.0)</f>
        <v>32956</v>
      </c>
    </row>
    <row r="5758">
      <c r="A5758" s="115" t="str">
        <f>IFERROR(__xludf.DUMMYFUNCTION("""COMPUTED_VALUE"""),"EAST")</f>
        <v>EAST</v>
      </c>
      <c r="B5758" s="115" t="str">
        <f>IFERROR(__xludf.DUMMYFUNCTION("""COMPUTED_VALUE"""),"Parag Kashyap")</f>
        <v>Parag Kashyap</v>
      </c>
      <c r="C5758" s="115" t="str">
        <f>IFERROR(__xludf.DUMMYFUNCTION("""COMPUTED_VALUE"""),"EXTERNAL")</f>
        <v>EXTERNAL</v>
      </c>
      <c r="D5758" s="115">
        <f>IFERROR(__xludf.DUMMYFUNCTION("""COMPUTED_VALUE"""),12684.0)</f>
        <v>12684</v>
      </c>
      <c r="E5758" s="115">
        <f>IFERROR(__xludf.DUMMYFUNCTION("""COMPUTED_VALUE"""),773.0)</f>
        <v>773</v>
      </c>
      <c r="F5758" s="115">
        <f>IFERROR(__xludf.DUMMYFUNCTION("""COMPUTED_VALUE"""),851.0)</f>
        <v>851</v>
      </c>
      <c r="G5758" s="115">
        <f>IFERROR(__xludf.DUMMYFUNCTION("""COMPUTED_VALUE"""),13.0)</f>
        <v>13</v>
      </c>
      <c r="H5758" s="116">
        <f>IFERROR(__xludf.DUMMYFUNCTION("""COMPUTED_VALUE"""),45911.0)</f>
        <v>45911</v>
      </c>
      <c r="I5758" s="115" t="str">
        <f>IFERROR(__xludf.DUMMYFUNCTION("""COMPUTED_VALUE"""),"11")</f>
        <v>11</v>
      </c>
      <c r="J5758" s="115"/>
      <c r="K5758" s="115">
        <f>IFERROR(__xludf.DUMMYFUNCTION("""COMPUTED_VALUE"""),13457.0)</f>
        <v>13457</v>
      </c>
    </row>
    <row r="5759">
      <c r="A5759" s="115" t="str">
        <f>IFERROR(__xludf.DUMMYFUNCTION("""COMPUTED_VALUE"""),"EAST")</f>
        <v>EAST</v>
      </c>
      <c r="B5759" s="115" t="str">
        <f>IFERROR(__xludf.DUMMYFUNCTION("""COMPUTED_VALUE"""),"Parag Kashyap")</f>
        <v>Parag Kashyap</v>
      </c>
      <c r="C5759" s="115" t="str">
        <f>IFERROR(__xludf.DUMMYFUNCTION("""COMPUTED_VALUE"""),"FLIPKART")</f>
        <v>FLIPKART</v>
      </c>
      <c r="D5759" s="115">
        <f>IFERROR(__xludf.DUMMYFUNCTION("""COMPUTED_VALUE"""),236887.0)</f>
        <v>236887</v>
      </c>
      <c r="E5759" s="115">
        <f>IFERROR(__xludf.DUMMYFUNCTION("""COMPUTED_VALUE"""),13080.0)</f>
        <v>13080</v>
      </c>
      <c r="F5759" s="115">
        <f>IFERROR(__xludf.DUMMYFUNCTION("""COMPUTED_VALUE"""),28788.0)</f>
        <v>28788</v>
      </c>
      <c r="G5759" s="115">
        <f>IFERROR(__xludf.DUMMYFUNCTION("""COMPUTED_VALUE"""),333.0)</f>
        <v>333</v>
      </c>
      <c r="H5759" s="116">
        <f>IFERROR(__xludf.DUMMYFUNCTION("""COMPUTED_VALUE"""),45911.0)</f>
        <v>45911</v>
      </c>
      <c r="I5759" s="115" t="str">
        <f>IFERROR(__xludf.DUMMYFUNCTION("""COMPUTED_VALUE"""),"11")</f>
        <v>11</v>
      </c>
      <c r="J5759" s="115"/>
      <c r="K5759" s="115">
        <f>IFERROR(__xludf.DUMMYFUNCTION("""COMPUTED_VALUE"""),249967.0)</f>
        <v>249967</v>
      </c>
    </row>
    <row r="5760">
      <c r="A5760" s="115" t="str">
        <f>IFERROR(__xludf.DUMMYFUNCTION("""COMPUTED_VALUE"""),"EAST")</f>
        <v>EAST</v>
      </c>
      <c r="B5760" s="115" t="str">
        <f>IFERROR(__xludf.DUMMYFUNCTION("""COMPUTED_VALUE"""),"Parag Kashyap")</f>
        <v>Parag Kashyap</v>
      </c>
      <c r="C5760" s="115" t="str">
        <f>IFERROR(__xludf.DUMMYFUNCTION("""COMPUTED_VALUE"""),"MYNTRA")</f>
        <v>MYNTRA</v>
      </c>
      <c r="D5760" s="115">
        <f>IFERROR(__xludf.DUMMYFUNCTION("""COMPUTED_VALUE"""),30130.0)</f>
        <v>30130</v>
      </c>
      <c r="E5760" s="115">
        <f>IFERROR(__xludf.DUMMYFUNCTION("""COMPUTED_VALUE"""),4328.0)</f>
        <v>4328</v>
      </c>
      <c r="F5760" s="115">
        <f>IFERROR(__xludf.DUMMYFUNCTION("""COMPUTED_VALUE"""),4398.0)</f>
        <v>4398</v>
      </c>
      <c r="G5760" s="115">
        <f>IFERROR(__xludf.DUMMYFUNCTION("""COMPUTED_VALUE"""),68.0)</f>
        <v>68</v>
      </c>
      <c r="H5760" s="116">
        <f>IFERROR(__xludf.DUMMYFUNCTION("""COMPUTED_VALUE"""),45911.0)</f>
        <v>45911</v>
      </c>
      <c r="I5760" s="115" t="str">
        <f>IFERROR(__xludf.DUMMYFUNCTION("""COMPUTED_VALUE"""),"11")</f>
        <v>11</v>
      </c>
      <c r="J5760" s="115"/>
      <c r="K5760" s="115">
        <f>IFERROR(__xludf.DUMMYFUNCTION("""COMPUTED_VALUE"""),34458.0)</f>
        <v>34458</v>
      </c>
    </row>
    <row r="5761">
      <c r="A5761" s="115" t="str">
        <f>IFERROR(__xludf.DUMMYFUNCTION("""COMPUTED_VALUE"""),"NORTH")</f>
        <v>NORTH</v>
      </c>
      <c r="B5761" s="115" t="str">
        <f>IFERROR(__xludf.DUMMYFUNCTION("""COMPUTED_VALUE"""),"Amit Kumar Pathak")</f>
        <v>Amit Kumar Pathak</v>
      </c>
      <c r="C5761" s="115" t="str">
        <f>IFERROR(__xludf.DUMMYFUNCTION("""COMPUTED_VALUE"""),"EXTERNAL")</f>
        <v>EXTERNAL</v>
      </c>
      <c r="D5761" s="115">
        <f>IFERROR(__xludf.DUMMYFUNCTION("""COMPUTED_VALUE"""),19672.0)</f>
        <v>19672</v>
      </c>
      <c r="E5761" s="115">
        <f>IFERROR(__xludf.DUMMYFUNCTION("""COMPUTED_VALUE"""),2593.0)</f>
        <v>2593</v>
      </c>
      <c r="F5761" s="115">
        <f>IFERROR(__xludf.DUMMYFUNCTION("""COMPUTED_VALUE"""),1865.0)</f>
        <v>1865</v>
      </c>
      <c r="G5761" s="115">
        <f>IFERROR(__xludf.DUMMYFUNCTION("""COMPUTED_VALUE"""),227.0)</f>
        <v>227</v>
      </c>
      <c r="H5761" s="116">
        <f>IFERROR(__xludf.DUMMYFUNCTION("""COMPUTED_VALUE"""),45911.0)</f>
        <v>45911</v>
      </c>
      <c r="I5761" s="115" t="str">
        <f>IFERROR(__xludf.DUMMYFUNCTION("""COMPUTED_VALUE"""),"11")</f>
        <v>11</v>
      </c>
      <c r="J5761" s="115"/>
      <c r="K5761" s="115">
        <f>IFERROR(__xludf.DUMMYFUNCTION("""COMPUTED_VALUE"""),22265.0)</f>
        <v>22265</v>
      </c>
    </row>
    <row r="5762">
      <c r="A5762" s="115" t="str">
        <f>IFERROR(__xludf.DUMMYFUNCTION("""COMPUTED_VALUE"""),"NORTH")</f>
        <v>NORTH</v>
      </c>
      <c r="B5762" s="115" t="str">
        <f>IFERROR(__xludf.DUMMYFUNCTION("""COMPUTED_VALUE"""),"Amit Kumar Pathak")</f>
        <v>Amit Kumar Pathak</v>
      </c>
      <c r="C5762" s="115" t="str">
        <f>IFERROR(__xludf.DUMMYFUNCTION("""COMPUTED_VALUE"""),"FLIPKART")</f>
        <v>FLIPKART</v>
      </c>
      <c r="D5762" s="115">
        <f>IFERROR(__xludf.DUMMYFUNCTION("""COMPUTED_VALUE"""),141807.0)</f>
        <v>141807</v>
      </c>
      <c r="E5762" s="115">
        <f>IFERROR(__xludf.DUMMYFUNCTION("""COMPUTED_VALUE"""),17471.0)</f>
        <v>17471</v>
      </c>
      <c r="F5762" s="115">
        <f>IFERROR(__xludf.DUMMYFUNCTION("""COMPUTED_VALUE"""),24492.0)</f>
        <v>24492</v>
      </c>
      <c r="G5762" s="115">
        <f>IFERROR(__xludf.DUMMYFUNCTION("""COMPUTED_VALUE"""),1709.0)</f>
        <v>1709</v>
      </c>
      <c r="H5762" s="116">
        <f>IFERROR(__xludf.DUMMYFUNCTION("""COMPUTED_VALUE"""),45911.0)</f>
        <v>45911</v>
      </c>
      <c r="I5762" s="115" t="str">
        <f>IFERROR(__xludf.DUMMYFUNCTION("""COMPUTED_VALUE"""),"11")</f>
        <v>11</v>
      </c>
      <c r="J5762" s="115"/>
      <c r="K5762" s="115">
        <f>IFERROR(__xludf.DUMMYFUNCTION("""COMPUTED_VALUE"""),159278.0)</f>
        <v>159278</v>
      </c>
    </row>
    <row r="5763">
      <c r="A5763" s="115" t="str">
        <f>IFERROR(__xludf.DUMMYFUNCTION("""COMPUTED_VALUE"""),"NORTH")</f>
        <v>NORTH</v>
      </c>
      <c r="B5763" s="115" t="str">
        <f>IFERROR(__xludf.DUMMYFUNCTION("""COMPUTED_VALUE"""),"Amit Kumar Pathak")</f>
        <v>Amit Kumar Pathak</v>
      </c>
      <c r="C5763" s="115" t="str">
        <f>IFERROR(__xludf.DUMMYFUNCTION("""COMPUTED_VALUE"""),"MYNTRA")</f>
        <v>MYNTRA</v>
      </c>
      <c r="D5763" s="115">
        <f>IFERROR(__xludf.DUMMYFUNCTION("""COMPUTED_VALUE"""),11012.0)</f>
        <v>11012</v>
      </c>
      <c r="E5763" s="115">
        <f>IFERROR(__xludf.DUMMYFUNCTION("""COMPUTED_VALUE"""),4209.0)</f>
        <v>4209</v>
      </c>
      <c r="F5763" s="115">
        <f>IFERROR(__xludf.DUMMYFUNCTION("""COMPUTED_VALUE"""),2415.0)</f>
        <v>2415</v>
      </c>
      <c r="G5763" s="115">
        <f>IFERROR(__xludf.DUMMYFUNCTION("""COMPUTED_VALUE"""),459.0)</f>
        <v>459</v>
      </c>
      <c r="H5763" s="116">
        <f>IFERROR(__xludf.DUMMYFUNCTION("""COMPUTED_VALUE"""),45911.0)</f>
        <v>45911</v>
      </c>
      <c r="I5763" s="115" t="str">
        <f>IFERROR(__xludf.DUMMYFUNCTION("""COMPUTED_VALUE"""),"11")</f>
        <v>11</v>
      </c>
      <c r="J5763" s="115"/>
      <c r="K5763" s="115">
        <f>IFERROR(__xludf.DUMMYFUNCTION("""COMPUTED_VALUE"""),15221.0)</f>
        <v>15221</v>
      </c>
    </row>
    <row r="5764">
      <c r="A5764" s="115" t="str">
        <f>IFERROR(__xludf.DUMMYFUNCTION("""COMPUTED_VALUE"""),"NORTH")</f>
        <v>NORTH</v>
      </c>
      <c r="B5764" s="115" t="str">
        <f>IFERROR(__xludf.DUMMYFUNCTION("""COMPUTED_VALUE"""),"Loveleen Singh")</f>
        <v>Loveleen Singh</v>
      </c>
      <c r="C5764" s="115" t="str">
        <f>IFERROR(__xludf.DUMMYFUNCTION("""COMPUTED_VALUE"""),"EXTERNAL")</f>
        <v>EXTERNAL</v>
      </c>
      <c r="D5764" s="115">
        <f>IFERROR(__xludf.DUMMYFUNCTION("""COMPUTED_VALUE"""),22527.0)</f>
        <v>22527</v>
      </c>
      <c r="E5764" s="115">
        <f>IFERROR(__xludf.DUMMYFUNCTION("""COMPUTED_VALUE"""),1456.0)</f>
        <v>1456</v>
      </c>
      <c r="F5764" s="115">
        <f>IFERROR(__xludf.DUMMYFUNCTION("""COMPUTED_VALUE"""),1561.0)</f>
        <v>1561</v>
      </c>
      <c r="G5764" s="115">
        <f>IFERROR(__xludf.DUMMYFUNCTION("""COMPUTED_VALUE"""),31.0)</f>
        <v>31</v>
      </c>
      <c r="H5764" s="116">
        <f>IFERROR(__xludf.DUMMYFUNCTION("""COMPUTED_VALUE"""),45911.0)</f>
        <v>45911</v>
      </c>
      <c r="I5764" s="115" t="str">
        <f>IFERROR(__xludf.DUMMYFUNCTION("""COMPUTED_VALUE"""),"11")</f>
        <v>11</v>
      </c>
      <c r="J5764" s="115"/>
      <c r="K5764" s="115">
        <f>IFERROR(__xludf.DUMMYFUNCTION("""COMPUTED_VALUE"""),23983.0)</f>
        <v>23983</v>
      </c>
    </row>
    <row r="5765">
      <c r="A5765" s="115" t="str">
        <f>IFERROR(__xludf.DUMMYFUNCTION("""COMPUTED_VALUE"""),"NORTH")</f>
        <v>NORTH</v>
      </c>
      <c r="B5765" s="115" t="str">
        <f>IFERROR(__xludf.DUMMYFUNCTION("""COMPUTED_VALUE"""),"Loveleen Singh")</f>
        <v>Loveleen Singh</v>
      </c>
      <c r="C5765" s="115" t="str">
        <f>IFERROR(__xludf.DUMMYFUNCTION("""COMPUTED_VALUE"""),"FLIPKART")</f>
        <v>FLIPKART</v>
      </c>
      <c r="D5765" s="115">
        <f>IFERROR(__xludf.DUMMYFUNCTION("""COMPUTED_VALUE"""),152303.0)</f>
        <v>152303</v>
      </c>
      <c r="E5765" s="115">
        <f>IFERROR(__xludf.DUMMYFUNCTION("""COMPUTED_VALUE"""),9061.0)</f>
        <v>9061</v>
      </c>
      <c r="F5765" s="115">
        <f>IFERROR(__xludf.DUMMYFUNCTION("""COMPUTED_VALUE"""),21114.0)</f>
        <v>21114</v>
      </c>
      <c r="G5765" s="115">
        <f>IFERROR(__xludf.DUMMYFUNCTION("""COMPUTED_VALUE"""),472.0)</f>
        <v>472</v>
      </c>
      <c r="H5765" s="116">
        <f>IFERROR(__xludf.DUMMYFUNCTION("""COMPUTED_VALUE"""),45911.0)</f>
        <v>45911</v>
      </c>
      <c r="I5765" s="115" t="str">
        <f>IFERROR(__xludf.DUMMYFUNCTION("""COMPUTED_VALUE"""),"11")</f>
        <v>11</v>
      </c>
      <c r="J5765" s="115"/>
      <c r="K5765" s="115">
        <f>IFERROR(__xludf.DUMMYFUNCTION("""COMPUTED_VALUE"""),161364.0)</f>
        <v>161364</v>
      </c>
    </row>
    <row r="5766">
      <c r="A5766" s="115" t="str">
        <f>IFERROR(__xludf.DUMMYFUNCTION("""COMPUTED_VALUE"""),"NORTH")</f>
        <v>NORTH</v>
      </c>
      <c r="B5766" s="115" t="str">
        <f>IFERROR(__xludf.DUMMYFUNCTION("""COMPUTED_VALUE"""),"Loveleen Singh")</f>
        <v>Loveleen Singh</v>
      </c>
      <c r="C5766" s="115" t="str">
        <f>IFERROR(__xludf.DUMMYFUNCTION("""COMPUTED_VALUE"""),"MYNTRA")</f>
        <v>MYNTRA</v>
      </c>
      <c r="D5766" s="115">
        <f>IFERROR(__xludf.DUMMYFUNCTION("""COMPUTED_VALUE"""),23236.0)</f>
        <v>23236</v>
      </c>
      <c r="E5766" s="115">
        <f>IFERROR(__xludf.DUMMYFUNCTION("""COMPUTED_VALUE"""),4235.0)</f>
        <v>4235</v>
      </c>
      <c r="F5766" s="115">
        <f>IFERROR(__xludf.DUMMYFUNCTION("""COMPUTED_VALUE"""),4002.0)</f>
        <v>4002</v>
      </c>
      <c r="G5766" s="115">
        <f>IFERROR(__xludf.DUMMYFUNCTION("""COMPUTED_VALUE"""),235.0)</f>
        <v>235</v>
      </c>
      <c r="H5766" s="116">
        <f>IFERROR(__xludf.DUMMYFUNCTION("""COMPUTED_VALUE"""),45911.0)</f>
        <v>45911</v>
      </c>
      <c r="I5766" s="115" t="str">
        <f>IFERROR(__xludf.DUMMYFUNCTION("""COMPUTED_VALUE"""),"11")</f>
        <v>11</v>
      </c>
      <c r="J5766" s="115"/>
      <c r="K5766" s="115">
        <f>IFERROR(__xludf.DUMMYFUNCTION("""COMPUTED_VALUE"""),27471.0)</f>
        <v>27471</v>
      </c>
    </row>
    <row r="5767">
      <c r="A5767" s="115" t="str">
        <f>IFERROR(__xludf.DUMMYFUNCTION("""COMPUTED_VALUE"""),"NORTH")</f>
        <v>NORTH</v>
      </c>
      <c r="B5767" s="115" t="str">
        <f>IFERROR(__xludf.DUMMYFUNCTION("""COMPUTED_VALUE"""),"Manoj Harsh")</f>
        <v>Manoj Harsh</v>
      </c>
      <c r="C5767" s="115" t="str">
        <f>IFERROR(__xludf.DUMMYFUNCTION("""COMPUTED_VALUE"""),"EXTERNAL")</f>
        <v>EXTERNAL</v>
      </c>
      <c r="D5767" s="115">
        <f>IFERROR(__xludf.DUMMYFUNCTION("""COMPUTED_VALUE"""),24376.0)</f>
        <v>24376</v>
      </c>
      <c r="E5767" s="115">
        <f>IFERROR(__xludf.DUMMYFUNCTION("""COMPUTED_VALUE"""),1869.0)</f>
        <v>1869</v>
      </c>
      <c r="F5767" s="115">
        <f>IFERROR(__xludf.DUMMYFUNCTION("""COMPUTED_VALUE"""),1538.0)</f>
        <v>1538</v>
      </c>
      <c r="G5767" s="115">
        <f>IFERROR(__xludf.DUMMYFUNCTION("""COMPUTED_VALUE"""),47.0)</f>
        <v>47</v>
      </c>
      <c r="H5767" s="116">
        <f>IFERROR(__xludf.DUMMYFUNCTION("""COMPUTED_VALUE"""),45911.0)</f>
        <v>45911</v>
      </c>
      <c r="I5767" s="115" t="str">
        <f>IFERROR(__xludf.DUMMYFUNCTION("""COMPUTED_VALUE"""),"11")</f>
        <v>11</v>
      </c>
      <c r="J5767" s="115"/>
      <c r="K5767" s="115">
        <f>IFERROR(__xludf.DUMMYFUNCTION("""COMPUTED_VALUE"""),26245.0)</f>
        <v>26245</v>
      </c>
    </row>
    <row r="5768">
      <c r="A5768" s="115" t="str">
        <f>IFERROR(__xludf.DUMMYFUNCTION("""COMPUTED_VALUE"""),"NORTH")</f>
        <v>NORTH</v>
      </c>
      <c r="B5768" s="115" t="str">
        <f>IFERROR(__xludf.DUMMYFUNCTION("""COMPUTED_VALUE"""),"Manoj Harsh")</f>
        <v>Manoj Harsh</v>
      </c>
      <c r="C5768" s="115" t="str">
        <f>IFERROR(__xludf.DUMMYFUNCTION("""COMPUTED_VALUE"""),"FLIPKART")</f>
        <v>FLIPKART</v>
      </c>
      <c r="D5768" s="115">
        <f>IFERROR(__xludf.DUMMYFUNCTION("""COMPUTED_VALUE"""),353099.0)</f>
        <v>353099</v>
      </c>
      <c r="E5768" s="115">
        <f>IFERROR(__xludf.DUMMYFUNCTION("""COMPUTED_VALUE"""),24864.0)</f>
        <v>24864</v>
      </c>
      <c r="F5768" s="115">
        <f>IFERROR(__xludf.DUMMYFUNCTION("""COMPUTED_VALUE"""),42856.0)</f>
        <v>42856</v>
      </c>
      <c r="G5768" s="115">
        <f>IFERROR(__xludf.DUMMYFUNCTION("""COMPUTED_VALUE"""),991.0)</f>
        <v>991</v>
      </c>
      <c r="H5768" s="116">
        <f>IFERROR(__xludf.DUMMYFUNCTION("""COMPUTED_VALUE"""),45911.0)</f>
        <v>45911</v>
      </c>
      <c r="I5768" s="115" t="str">
        <f>IFERROR(__xludf.DUMMYFUNCTION("""COMPUTED_VALUE"""),"11")</f>
        <v>11</v>
      </c>
      <c r="J5768" s="115"/>
      <c r="K5768" s="115">
        <f>IFERROR(__xludf.DUMMYFUNCTION("""COMPUTED_VALUE"""),377963.0)</f>
        <v>377963</v>
      </c>
    </row>
    <row r="5769">
      <c r="A5769" s="115" t="str">
        <f>IFERROR(__xludf.DUMMYFUNCTION("""COMPUTED_VALUE"""),"NORTH")</f>
        <v>NORTH</v>
      </c>
      <c r="B5769" s="115" t="str">
        <f>IFERROR(__xludf.DUMMYFUNCTION("""COMPUTED_VALUE"""),"Manoj Harsh")</f>
        <v>Manoj Harsh</v>
      </c>
      <c r="C5769" s="115" t="str">
        <f>IFERROR(__xludf.DUMMYFUNCTION("""COMPUTED_VALUE"""),"MYNTRA")</f>
        <v>MYNTRA</v>
      </c>
      <c r="D5769" s="115">
        <f>IFERROR(__xludf.DUMMYFUNCTION("""COMPUTED_VALUE"""),28472.0)</f>
        <v>28472</v>
      </c>
      <c r="E5769" s="115">
        <f>IFERROR(__xludf.DUMMYFUNCTION("""COMPUTED_VALUE"""),5202.0)</f>
        <v>5202</v>
      </c>
      <c r="F5769" s="115">
        <f>IFERROR(__xludf.DUMMYFUNCTION("""COMPUTED_VALUE"""),4261.0)</f>
        <v>4261</v>
      </c>
      <c r="G5769" s="115">
        <f>IFERROR(__xludf.DUMMYFUNCTION("""COMPUTED_VALUE"""),200.0)</f>
        <v>200</v>
      </c>
      <c r="H5769" s="116">
        <f>IFERROR(__xludf.DUMMYFUNCTION("""COMPUTED_VALUE"""),45911.0)</f>
        <v>45911</v>
      </c>
      <c r="I5769" s="115" t="str">
        <f>IFERROR(__xludf.DUMMYFUNCTION("""COMPUTED_VALUE"""),"11")</f>
        <v>11</v>
      </c>
      <c r="J5769" s="115"/>
      <c r="K5769" s="115">
        <f>IFERROR(__xludf.DUMMYFUNCTION("""COMPUTED_VALUE"""),33674.0)</f>
        <v>33674</v>
      </c>
    </row>
    <row r="5770">
      <c r="A5770" s="115" t="str">
        <f>IFERROR(__xludf.DUMMYFUNCTION("""COMPUTED_VALUE"""),"NORTH")</f>
        <v>NORTH</v>
      </c>
      <c r="B5770" s="115" t="str">
        <f>IFERROR(__xludf.DUMMYFUNCTION("""COMPUTED_VALUE"""),"Pradeep Kothari")</f>
        <v>Pradeep Kothari</v>
      </c>
      <c r="C5770" s="115" t="str">
        <f>IFERROR(__xludf.DUMMYFUNCTION("""COMPUTED_VALUE"""),"EXTERNAL")</f>
        <v>EXTERNAL</v>
      </c>
      <c r="D5770" s="115">
        <f>IFERROR(__xludf.DUMMYFUNCTION("""COMPUTED_VALUE"""),15571.0)</f>
        <v>15571</v>
      </c>
      <c r="E5770" s="115">
        <f>IFERROR(__xludf.DUMMYFUNCTION("""COMPUTED_VALUE"""),1626.0)</f>
        <v>1626</v>
      </c>
      <c r="F5770" s="115">
        <f>IFERROR(__xludf.DUMMYFUNCTION("""COMPUTED_VALUE"""),1344.0)</f>
        <v>1344</v>
      </c>
      <c r="G5770" s="115">
        <f>IFERROR(__xludf.DUMMYFUNCTION("""COMPUTED_VALUE"""),70.0)</f>
        <v>70</v>
      </c>
      <c r="H5770" s="116">
        <f>IFERROR(__xludf.DUMMYFUNCTION("""COMPUTED_VALUE"""),45911.0)</f>
        <v>45911</v>
      </c>
      <c r="I5770" s="115" t="str">
        <f>IFERROR(__xludf.DUMMYFUNCTION("""COMPUTED_VALUE"""),"11")</f>
        <v>11</v>
      </c>
      <c r="J5770" s="115"/>
      <c r="K5770" s="115">
        <f>IFERROR(__xludf.DUMMYFUNCTION("""COMPUTED_VALUE"""),17197.0)</f>
        <v>17197</v>
      </c>
    </row>
    <row r="5771">
      <c r="A5771" s="115" t="str">
        <f>IFERROR(__xludf.DUMMYFUNCTION("""COMPUTED_VALUE"""),"NORTH")</f>
        <v>NORTH</v>
      </c>
      <c r="B5771" s="115" t="str">
        <f>IFERROR(__xludf.DUMMYFUNCTION("""COMPUTED_VALUE"""),"Pradeep Kothari")</f>
        <v>Pradeep Kothari</v>
      </c>
      <c r="C5771" s="115" t="str">
        <f>IFERROR(__xludf.DUMMYFUNCTION("""COMPUTED_VALUE"""),"FLIPKART")</f>
        <v>FLIPKART</v>
      </c>
      <c r="D5771" s="115">
        <f>IFERROR(__xludf.DUMMYFUNCTION("""COMPUTED_VALUE"""),139231.0)</f>
        <v>139231</v>
      </c>
      <c r="E5771" s="115">
        <f>IFERROR(__xludf.DUMMYFUNCTION("""COMPUTED_VALUE"""),12933.0)</f>
        <v>12933</v>
      </c>
      <c r="F5771" s="115">
        <f>IFERROR(__xludf.DUMMYFUNCTION("""COMPUTED_VALUE"""),23912.0)</f>
        <v>23912</v>
      </c>
      <c r="G5771" s="115">
        <f>IFERROR(__xludf.DUMMYFUNCTION("""COMPUTED_VALUE"""),781.0)</f>
        <v>781</v>
      </c>
      <c r="H5771" s="116">
        <f>IFERROR(__xludf.DUMMYFUNCTION("""COMPUTED_VALUE"""),45911.0)</f>
        <v>45911</v>
      </c>
      <c r="I5771" s="115" t="str">
        <f>IFERROR(__xludf.DUMMYFUNCTION("""COMPUTED_VALUE"""),"11")</f>
        <v>11</v>
      </c>
      <c r="J5771" s="115"/>
      <c r="K5771" s="115">
        <f>IFERROR(__xludf.DUMMYFUNCTION("""COMPUTED_VALUE"""),152164.0)</f>
        <v>152164</v>
      </c>
    </row>
    <row r="5772">
      <c r="A5772" s="115" t="str">
        <f>IFERROR(__xludf.DUMMYFUNCTION("""COMPUTED_VALUE"""),"NORTH")</f>
        <v>NORTH</v>
      </c>
      <c r="B5772" s="115" t="str">
        <f>IFERROR(__xludf.DUMMYFUNCTION("""COMPUTED_VALUE"""),"Pradeep Kothari")</f>
        <v>Pradeep Kothari</v>
      </c>
      <c r="C5772" s="115" t="str">
        <f>IFERROR(__xludf.DUMMYFUNCTION("""COMPUTED_VALUE"""),"MYNTRA")</f>
        <v>MYNTRA</v>
      </c>
      <c r="D5772" s="115">
        <f>IFERROR(__xludf.DUMMYFUNCTION("""COMPUTED_VALUE"""),21061.0)</f>
        <v>21061</v>
      </c>
      <c r="E5772" s="115">
        <f>IFERROR(__xludf.DUMMYFUNCTION("""COMPUTED_VALUE"""),4621.0)</f>
        <v>4621</v>
      </c>
      <c r="F5772" s="115">
        <f>IFERROR(__xludf.DUMMYFUNCTION("""COMPUTED_VALUE"""),4769.0)</f>
        <v>4769</v>
      </c>
      <c r="G5772" s="115">
        <f>IFERROR(__xludf.DUMMYFUNCTION("""COMPUTED_VALUE"""),350.0)</f>
        <v>350</v>
      </c>
      <c r="H5772" s="116">
        <f>IFERROR(__xludf.DUMMYFUNCTION("""COMPUTED_VALUE"""),45911.0)</f>
        <v>45911</v>
      </c>
      <c r="I5772" s="115" t="str">
        <f>IFERROR(__xludf.DUMMYFUNCTION("""COMPUTED_VALUE"""),"11")</f>
        <v>11</v>
      </c>
      <c r="J5772" s="115"/>
      <c r="K5772" s="115">
        <f>IFERROR(__xludf.DUMMYFUNCTION("""COMPUTED_VALUE"""),25682.0)</f>
        <v>25682</v>
      </c>
    </row>
    <row r="5773">
      <c r="A5773" s="115" t="str">
        <f>IFERROR(__xludf.DUMMYFUNCTION("""COMPUTED_VALUE"""),"SOUTH")</f>
        <v>SOUTH</v>
      </c>
      <c r="B5773" s="115" t="str">
        <f>IFERROR(__xludf.DUMMYFUNCTION("""COMPUTED_VALUE"""),"Kandula Sampath")</f>
        <v>Kandula Sampath</v>
      </c>
      <c r="C5773" s="115" t="str">
        <f>IFERROR(__xludf.DUMMYFUNCTION("""COMPUTED_VALUE"""),"EXTERNAL")</f>
        <v>EXTERNAL</v>
      </c>
      <c r="D5773" s="115">
        <f>IFERROR(__xludf.DUMMYFUNCTION("""COMPUTED_VALUE"""),29028.0)</f>
        <v>29028</v>
      </c>
      <c r="E5773" s="115">
        <f>IFERROR(__xludf.DUMMYFUNCTION("""COMPUTED_VALUE"""),3878.0)</f>
        <v>3878</v>
      </c>
      <c r="F5773" s="115">
        <f>IFERROR(__xludf.DUMMYFUNCTION("""COMPUTED_VALUE"""),3022.0)</f>
        <v>3022</v>
      </c>
      <c r="G5773" s="115">
        <f>IFERROR(__xludf.DUMMYFUNCTION("""COMPUTED_VALUE"""),89.0)</f>
        <v>89</v>
      </c>
      <c r="H5773" s="116">
        <f>IFERROR(__xludf.DUMMYFUNCTION("""COMPUTED_VALUE"""),45911.0)</f>
        <v>45911</v>
      </c>
      <c r="I5773" s="115" t="str">
        <f>IFERROR(__xludf.DUMMYFUNCTION("""COMPUTED_VALUE"""),"11")</f>
        <v>11</v>
      </c>
      <c r="J5773" s="115"/>
      <c r="K5773" s="115">
        <f>IFERROR(__xludf.DUMMYFUNCTION("""COMPUTED_VALUE"""),32906.0)</f>
        <v>32906</v>
      </c>
    </row>
    <row r="5774">
      <c r="A5774" s="115" t="str">
        <f>IFERROR(__xludf.DUMMYFUNCTION("""COMPUTED_VALUE"""),"SOUTH")</f>
        <v>SOUTH</v>
      </c>
      <c r="B5774" s="115" t="str">
        <f>IFERROR(__xludf.DUMMYFUNCTION("""COMPUTED_VALUE"""),"Kandula Sampath")</f>
        <v>Kandula Sampath</v>
      </c>
      <c r="C5774" s="115" t="str">
        <f>IFERROR(__xludf.DUMMYFUNCTION("""COMPUTED_VALUE"""),"FLIPKART")</f>
        <v>FLIPKART</v>
      </c>
      <c r="D5774" s="115">
        <f>IFERROR(__xludf.DUMMYFUNCTION("""COMPUTED_VALUE"""),315710.0)</f>
        <v>315710</v>
      </c>
      <c r="E5774" s="115">
        <f>IFERROR(__xludf.DUMMYFUNCTION("""COMPUTED_VALUE"""),23111.0)</f>
        <v>23111</v>
      </c>
      <c r="F5774" s="115">
        <f>IFERROR(__xludf.DUMMYFUNCTION("""COMPUTED_VALUE"""),59514.0)</f>
        <v>59514</v>
      </c>
      <c r="G5774" s="115">
        <f>IFERROR(__xludf.DUMMYFUNCTION("""COMPUTED_VALUE"""),729.0)</f>
        <v>729</v>
      </c>
      <c r="H5774" s="116">
        <f>IFERROR(__xludf.DUMMYFUNCTION("""COMPUTED_VALUE"""),45911.0)</f>
        <v>45911</v>
      </c>
      <c r="I5774" s="115" t="str">
        <f>IFERROR(__xludf.DUMMYFUNCTION("""COMPUTED_VALUE"""),"11")</f>
        <v>11</v>
      </c>
      <c r="J5774" s="115"/>
      <c r="K5774" s="115">
        <f>IFERROR(__xludf.DUMMYFUNCTION("""COMPUTED_VALUE"""),338821.0)</f>
        <v>338821</v>
      </c>
    </row>
    <row r="5775">
      <c r="A5775" s="115" t="str">
        <f>IFERROR(__xludf.DUMMYFUNCTION("""COMPUTED_VALUE"""),"SOUTH")</f>
        <v>SOUTH</v>
      </c>
      <c r="B5775" s="115" t="str">
        <f>IFERROR(__xludf.DUMMYFUNCTION("""COMPUTED_VALUE"""),"Kandula Sampath")</f>
        <v>Kandula Sampath</v>
      </c>
      <c r="C5775" s="115" t="str">
        <f>IFERROR(__xludf.DUMMYFUNCTION("""COMPUTED_VALUE"""),"MYNTRA")</f>
        <v>MYNTRA</v>
      </c>
      <c r="D5775" s="115">
        <f>IFERROR(__xludf.DUMMYFUNCTION("""COMPUTED_VALUE"""),32423.0)</f>
        <v>32423</v>
      </c>
      <c r="E5775" s="115">
        <f>IFERROR(__xludf.DUMMYFUNCTION("""COMPUTED_VALUE"""),7191.0)</f>
        <v>7191</v>
      </c>
      <c r="F5775" s="115">
        <f>IFERROR(__xludf.DUMMYFUNCTION("""COMPUTED_VALUE"""),6798.0)</f>
        <v>6798</v>
      </c>
      <c r="G5775" s="115">
        <f>IFERROR(__xludf.DUMMYFUNCTION("""COMPUTED_VALUE"""),266.0)</f>
        <v>266</v>
      </c>
      <c r="H5775" s="116">
        <f>IFERROR(__xludf.DUMMYFUNCTION("""COMPUTED_VALUE"""),45911.0)</f>
        <v>45911</v>
      </c>
      <c r="I5775" s="115" t="str">
        <f>IFERROR(__xludf.DUMMYFUNCTION("""COMPUTED_VALUE"""),"11")</f>
        <v>11</v>
      </c>
      <c r="J5775" s="115"/>
      <c r="K5775" s="115">
        <f>IFERROR(__xludf.DUMMYFUNCTION("""COMPUTED_VALUE"""),39614.0)</f>
        <v>39614</v>
      </c>
    </row>
    <row r="5776">
      <c r="A5776" s="115" t="str">
        <f>IFERROR(__xludf.DUMMYFUNCTION("""COMPUTED_VALUE"""),"SOUTH")</f>
        <v>SOUTH</v>
      </c>
      <c r="B5776" s="115" t="str">
        <f>IFERROR(__xludf.DUMMYFUNCTION("""COMPUTED_VALUE"""),"Martin A")</f>
        <v>Martin A</v>
      </c>
      <c r="C5776" s="115" t="str">
        <f>IFERROR(__xludf.DUMMYFUNCTION("""COMPUTED_VALUE"""),"EXTERNAL")</f>
        <v>EXTERNAL</v>
      </c>
      <c r="D5776" s="115">
        <f>IFERROR(__xludf.DUMMYFUNCTION("""COMPUTED_VALUE"""),22771.0)</f>
        <v>22771</v>
      </c>
      <c r="E5776" s="115">
        <f>IFERROR(__xludf.DUMMYFUNCTION("""COMPUTED_VALUE"""),3052.0)</f>
        <v>3052</v>
      </c>
      <c r="F5776" s="115">
        <f>IFERROR(__xludf.DUMMYFUNCTION("""COMPUTED_VALUE"""),2650.0)</f>
        <v>2650</v>
      </c>
      <c r="G5776" s="115">
        <f>IFERROR(__xludf.DUMMYFUNCTION("""COMPUTED_VALUE"""),206.0)</f>
        <v>206</v>
      </c>
      <c r="H5776" s="116">
        <f>IFERROR(__xludf.DUMMYFUNCTION("""COMPUTED_VALUE"""),45911.0)</f>
        <v>45911</v>
      </c>
      <c r="I5776" s="115" t="str">
        <f>IFERROR(__xludf.DUMMYFUNCTION("""COMPUTED_VALUE"""),"11")</f>
        <v>11</v>
      </c>
      <c r="J5776" s="115"/>
      <c r="K5776" s="115">
        <f>IFERROR(__xludf.DUMMYFUNCTION("""COMPUTED_VALUE"""),25823.0)</f>
        <v>25823</v>
      </c>
    </row>
    <row r="5777">
      <c r="A5777" s="115" t="str">
        <f>IFERROR(__xludf.DUMMYFUNCTION("""COMPUTED_VALUE"""),"SOUTH")</f>
        <v>SOUTH</v>
      </c>
      <c r="B5777" s="115" t="str">
        <f>IFERROR(__xludf.DUMMYFUNCTION("""COMPUTED_VALUE"""),"Martin A")</f>
        <v>Martin A</v>
      </c>
      <c r="C5777" s="115" t="str">
        <f>IFERROR(__xludf.DUMMYFUNCTION("""COMPUTED_VALUE"""),"FLIPKART")</f>
        <v>FLIPKART</v>
      </c>
      <c r="D5777" s="115">
        <f>IFERROR(__xludf.DUMMYFUNCTION("""COMPUTED_VALUE"""),224983.0)</f>
        <v>224983</v>
      </c>
      <c r="E5777" s="115">
        <f>IFERROR(__xludf.DUMMYFUNCTION("""COMPUTED_VALUE"""),20627.0)</f>
        <v>20627</v>
      </c>
      <c r="F5777" s="115">
        <f>IFERROR(__xludf.DUMMYFUNCTION("""COMPUTED_VALUE"""),42906.0)</f>
        <v>42906</v>
      </c>
      <c r="G5777" s="115">
        <f>IFERROR(__xludf.DUMMYFUNCTION("""COMPUTED_VALUE"""),1323.0)</f>
        <v>1323</v>
      </c>
      <c r="H5777" s="116">
        <f>IFERROR(__xludf.DUMMYFUNCTION("""COMPUTED_VALUE"""),45911.0)</f>
        <v>45911</v>
      </c>
      <c r="I5777" s="115" t="str">
        <f>IFERROR(__xludf.DUMMYFUNCTION("""COMPUTED_VALUE"""),"11")</f>
        <v>11</v>
      </c>
      <c r="J5777" s="115"/>
      <c r="K5777" s="115">
        <f>IFERROR(__xludf.DUMMYFUNCTION("""COMPUTED_VALUE"""),245610.0)</f>
        <v>245610</v>
      </c>
    </row>
    <row r="5778">
      <c r="A5778" s="115" t="str">
        <f>IFERROR(__xludf.DUMMYFUNCTION("""COMPUTED_VALUE"""),"SOUTH")</f>
        <v>SOUTH</v>
      </c>
      <c r="B5778" s="115" t="str">
        <f>IFERROR(__xludf.DUMMYFUNCTION("""COMPUTED_VALUE"""),"Martin A")</f>
        <v>Martin A</v>
      </c>
      <c r="C5778" s="115" t="str">
        <f>IFERROR(__xludf.DUMMYFUNCTION("""COMPUTED_VALUE"""),"MYNTRA")</f>
        <v>MYNTRA</v>
      </c>
      <c r="D5778" s="115">
        <f>IFERROR(__xludf.DUMMYFUNCTION("""COMPUTED_VALUE"""),19256.0)</f>
        <v>19256</v>
      </c>
      <c r="E5778" s="115">
        <f>IFERROR(__xludf.DUMMYFUNCTION("""COMPUTED_VALUE"""),5839.0)</f>
        <v>5839</v>
      </c>
      <c r="F5778" s="115">
        <f>IFERROR(__xludf.DUMMYFUNCTION("""COMPUTED_VALUE"""),4499.0)</f>
        <v>4499</v>
      </c>
      <c r="G5778" s="115">
        <f>IFERROR(__xludf.DUMMYFUNCTION("""COMPUTED_VALUE"""),373.0)</f>
        <v>373</v>
      </c>
      <c r="H5778" s="116">
        <f>IFERROR(__xludf.DUMMYFUNCTION("""COMPUTED_VALUE"""),45911.0)</f>
        <v>45911</v>
      </c>
      <c r="I5778" s="115" t="str">
        <f>IFERROR(__xludf.DUMMYFUNCTION("""COMPUTED_VALUE"""),"11")</f>
        <v>11</v>
      </c>
      <c r="J5778" s="115"/>
      <c r="K5778" s="115">
        <f>IFERROR(__xludf.DUMMYFUNCTION("""COMPUTED_VALUE"""),25095.0)</f>
        <v>25095</v>
      </c>
    </row>
    <row r="5779">
      <c r="A5779" s="115" t="str">
        <f>IFERROR(__xludf.DUMMYFUNCTION("""COMPUTED_VALUE"""),"SOUTH")</f>
        <v>SOUTH</v>
      </c>
      <c r="B5779" s="115" t="str">
        <f>IFERROR(__xludf.DUMMYFUNCTION("""COMPUTED_VALUE"""),"Premkumar M")</f>
        <v>Premkumar M</v>
      </c>
      <c r="C5779" s="115" t="str">
        <f>IFERROR(__xludf.DUMMYFUNCTION("""COMPUTED_VALUE"""),"EXTERNAL")</f>
        <v>EXTERNAL</v>
      </c>
      <c r="D5779" s="115">
        <f>IFERROR(__xludf.DUMMYFUNCTION("""COMPUTED_VALUE"""),16470.0)</f>
        <v>16470</v>
      </c>
      <c r="E5779" s="115">
        <f>IFERROR(__xludf.DUMMYFUNCTION("""COMPUTED_VALUE"""),1013.0)</f>
        <v>1013</v>
      </c>
      <c r="F5779" s="115">
        <f>IFERROR(__xludf.DUMMYFUNCTION("""COMPUTED_VALUE"""),1126.0)</f>
        <v>1126</v>
      </c>
      <c r="G5779" s="115">
        <f>IFERROR(__xludf.DUMMYFUNCTION("""COMPUTED_VALUE"""),4.0)</f>
        <v>4</v>
      </c>
      <c r="H5779" s="116">
        <f>IFERROR(__xludf.DUMMYFUNCTION("""COMPUTED_VALUE"""),45911.0)</f>
        <v>45911</v>
      </c>
      <c r="I5779" s="115" t="str">
        <f>IFERROR(__xludf.DUMMYFUNCTION("""COMPUTED_VALUE"""),"11")</f>
        <v>11</v>
      </c>
      <c r="J5779" s="115"/>
      <c r="K5779" s="115">
        <f>IFERROR(__xludf.DUMMYFUNCTION("""COMPUTED_VALUE"""),17483.0)</f>
        <v>17483</v>
      </c>
    </row>
    <row r="5780">
      <c r="A5780" s="115" t="str">
        <f>IFERROR(__xludf.DUMMYFUNCTION("""COMPUTED_VALUE"""),"SOUTH")</f>
        <v>SOUTH</v>
      </c>
      <c r="B5780" s="115" t="str">
        <f>IFERROR(__xludf.DUMMYFUNCTION("""COMPUTED_VALUE"""),"Premkumar M")</f>
        <v>Premkumar M</v>
      </c>
      <c r="C5780" s="115" t="str">
        <f>IFERROR(__xludf.DUMMYFUNCTION("""COMPUTED_VALUE"""),"FLIPKART")</f>
        <v>FLIPKART</v>
      </c>
      <c r="D5780" s="115">
        <f>IFERROR(__xludf.DUMMYFUNCTION("""COMPUTED_VALUE"""),189059.0)</f>
        <v>189059</v>
      </c>
      <c r="E5780" s="115">
        <f>IFERROR(__xludf.DUMMYFUNCTION("""COMPUTED_VALUE"""),9223.0)</f>
        <v>9223</v>
      </c>
      <c r="F5780" s="115">
        <f>IFERROR(__xludf.DUMMYFUNCTION("""COMPUTED_VALUE"""),20618.0)</f>
        <v>20618</v>
      </c>
      <c r="G5780" s="115">
        <f>IFERROR(__xludf.DUMMYFUNCTION("""COMPUTED_VALUE"""),162.0)</f>
        <v>162</v>
      </c>
      <c r="H5780" s="116">
        <f>IFERROR(__xludf.DUMMYFUNCTION("""COMPUTED_VALUE"""),45911.0)</f>
        <v>45911</v>
      </c>
      <c r="I5780" s="115" t="str">
        <f>IFERROR(__xludf.DUMMYFUNCTION("""COMPUTED_VALUE"""),"11")</f>
        <v>11</v>
      </c>
      <c r="J5780" s="115"/>
      <c r="K5780" s="115">
        <f>IFERROR(__xludf.DUMMYFUNCTION("""COMPUTED_VALUE"""),198282.0)</f>
        <v>198282</v>
      </c>
    </row>
    <row r="5781">
      <c r="A5781" s="115" t="str">
        <f>IFERROR(__xludf.DUMMYFUNCTION("""COMPUTED_VALUE"""),"SOUTH")</f>
        <v>SOUTH</v>
      </c>
      <c r="B5781" s="115" t="str">
        <f>IFERROR(__xludf.DUMMYFUNCTION("""COMPUTED_VALUE"""),"Premkumar M")</f>
        <v>Premkumar M</v>
      </c>
      <c r="C5781" s="115" t="str">
        <f>IFERROR(__xludf.DUMMYFUNCTION("""COMPUTED_VALUE"""),"MYNTRA")</f>
        <v>MYNTRA</v>
      </c>
      <c r="D5781" s="115">
        <f>IFERROR(__xludf.DUMMYFUNCTION("""COMPUTED_VALUE"""),9309.0)</f>
        <v>9309</v>
      </c>
      <c r="E5781" s="115">
        <f>IFERROR(__xludf.DUMMYFUNCTION("""COMPUTED_VALUE"""),1575.0)</f>
        <v>1575</v>
      </c>
      <c r="F5781" s="115">
        <f>IFERROR(__xludf.DUMMYFUNCTION("""COMPUTED_VALUE"""),1280.0)</f>
        <v>1280</v>
      </c>
      <c r="G5781" s="115">
        <f>IFERROR(__xludf.DUMMYFUNCTION("""COMPUTED_VALUE"""),31.0)</f>
        <v>31</v>
      </c>
      <c r="H5781" s="116">
        <f>IFERROR(__xludf.DUMMYFUNCTION("""COMPUTED_VALUE"""),45911.0)</f>
        <v>45911</v>
      </c>
      <c r="I5781" s="115" t="str">
        <f>IFERROR(__xludf.DUMMYFUNCTION("""COMPUTED_VALUE"""),"11")</f>
        <v>11</v>
      </c>
      <c r="J5781" s="115"/>
      <c r="K5781" s="115">
        <f>IFERROR(__xludf.DUMMYFUNCTION("""COMPUTED_VALUE"""),10884.0)</f>
        <v>10884</v>
      </c>
    </row>
    <row r="5782">
      <c r="A5782" s="115" t="str">
        <f>IFERROR(__xludf.DUMMYFUNCTION("""COMPUTED_VALUE"""),"SOUTH")</f>
        <v>SOUTH</v>
      </c>
      <c r="B5782" s="115" t="str">
        <f>IFERROR(__xludf.DUMMYFUNCTION("""COMPUTED_VALUE"""),"Vineeth V")</f>
        <v>Vineeth V</v>
      </c>
      <c r="C5782" s="115" t="str">
        <f>IFERROR(__xludf.DUMMYFUNCTION("""COMPUTED_VALUE"""),"EXTERNAL")</f>
        <v>EXTERNAL</v>
      </c>
      <c r="D5782" s="115">
        <f>IFERROR(__xludf.DUMMYFUNCTION("""COMPUTED_VALUE"""),13931.0)</f>
        <v>13931</v>
      </c>
      <c r="E5782" s="115">
        <f>IFERROR(__xludf.DUMMYFUNCTION("""COMPUTED_VALUE"""),296.0)</f>
        <v>296</v>
      </c>
      <c r="F5782" s="115">
        <f>IFERROR(__xludf.DUMMYFUNCTION("""COMPUTED_VALUE"""),707.0)</f>
        <v>707</v>
      </c>
      <c r="G5782" s="115">
        <f>IFERROR(__xludf.DUMMYFUNCTION("""COMPUTED_VALUE"""),3.0)</f>
        <v>3</v>
      </c>
      <c r="H5782" s="116">
        <f>IFERROR(__xludf.DUMMYFUNCTION("""COMPUTED_VALUE"""),45911.0)</f>
        <v>45911</v>
      </c>
      <c r="I5782" s="115" t="str">
        <f>IFERROR(__xludf.DUMMYFUNCTION("""COMPUTED_VALUE"""),"11")</f>
        <v>11</v>
      </c>
      <c r="J5782" s="115"/>
      <c r="K5782" s="115">
        <f>IFERROR(__xludf.DUMMYFUNCTION("""COMPUTED_VALUE"""),14227.0)</f>
        <v>14227</v>
      </c>
    </row>
    <row r="5783">
      <c r="A5783" s="115" t="str">
        <f>IFERROR(__xludf.DUMMYFUNCTION("""COMPUTED_VALUE"""),"SOUTH")</f>
        <v>SOUTH</v>
      </c>
      <c r="B5783" s="115" t="str">
        <f>IFERROR(__xludf.DUMMYFUNCTION("""COMPUTED_VALUE"""),"Vineeth V")</f>
        <v>Vineeth V</v>
      </c>
      <c r="C5783" s="115" t="str">
        <f>IFERROR(__xludf.DUMMYFUNCTION("""COMPUTED_VALUE"""),"FLIPKART")</f>
        <v>FLIPKART</v>
      </c>
      <c r="D5783" s="115">
        <f>IFERROR(__xludf.DUMMYFUNCTION("""COMPUTED_VALUE"""),144337.0)</f>
        <v>144337</v>
      </c>
      <c r="E5783" s="115">
        <f>IFERROR(__xludf.DUMMYFUNCTION("""COMPUTED_VALUE"""),6480.0)</f>
        <v>6480</v>
      </c>
      <c r="F5783" s="115">
        <f>IFERROR(__xludf.DUMMYFUNCTION("""COMPUTED_VALUE"""),11548.0)</f>
        <v>11548</v>
      </c>
      <c r="G5783" s="115">
        <f>IFERROR(__xludf.DUMMYFUNCTION("""COMPUTED_VALUE"""),79.0)</f>
        <v>79</v>
      </c>
      <c r="H5783" s="116">
        <f>IFERROR(__xludf.DUMMYFUNCTION("""COMPUTED_VALUE"""),45911.0)</f>
        <v>45911</v>
      </c>
      <c r="I5783" s="115" t="str">
        <f>IFERROR(__xludf.DUMMYFUNCTION("""COMPUTED_VALUE"""),"11")</f>
        <v>11</v>
      </c>
      <c r="J5783" s="115"/>
      <c r="K5783" s="115">
        <f>IFERROR(__xludf.DUMMYFUNCTION("""COMPUTED_VALUE"""),150817.0)</f>
        <v>150817</v>
      </c>
    </row>
    <row r="5784">
      <c r="A5784" s="115" t="str">
        <f>IFERROR(__xludf.DUMMYFUNCTION("""COMPUTED_VALUE"""),"SOUTH")</f>
        <v>SOUTH</v>
      </c>
      <c r="B5784" s="115" t="str">
        <f>IFERROR(__xludf.DUMMYFUNCTION("""COMPUTED_VALUE"""),"Vineeth V")</f>
        <v>Vineeth V</v>
      </c>
      <c r="C5784" s="115" t="str">
        <f>IFERROR(__xludf.DUMMYFUNCTION("""COMPUTED_VALUE"""),"MYNTRA")</f>
        <v>MYNTRA</v>
      </c>
      <c r="D5784" s="115">
        <f>IFERROR(__xludf.DUMMYFUNCTION("""COMPUTED_VALUE"""),10765.0)</f>
        <v>10765</v>
      </c>
      <c r="E5784" s="115">
        <f>IFERROR(__xludf.DUMMYFUNCTION("""COMPUTED_VALUE"""),1698.0)</f>
        <v>1698</v>
      </c>
      <c r="F5784" s="115">
        <f>IFERROR(__xludf.DUMMYFUNCTION("""COMPUTED_VALUE"""),1044.0)</f>
        <v>1044</v>
      </c>
      <c r="G5784" s="115">
        <f>IFERROR(__xludf.DUMMYFUNCTION("""COMPUTED_VALUE"""),15.0)</f>
        <v>15</v>
      </c>
      <c r="H5784" s="116">
        <f>IFERROR(__xludf.DUMMYFUNCTION("""COMPUTED_VALUE"""),45911.0)</f>
        <v>45911</v>
      </c>
      <c r="I5784" s="115" t="str">
        <f>IFERROR(__xludf.DUMMYFUNCTION("""COMPUTED_VALUE"""),"11")</f>
        <v>11</v>
      </c>
      <c r="J5784" s="115"/>
      <c r="K5784" s="115">
        <f>IFERROR(__xludf.DUMMYFUNCTION("""COMPUTED_VALUE"""),12463.0)</f>
        <v>12463</v>
      </c>
    </row>
    <row r="5785">
      <c r="A5785" s="115" t="str">
        <f>IFERROR(__xludf.DUMMYFUNCTION("""COMPUTED_VALUE"""),"WEST")</f>
        <v>WEST</v>
      </c>
      <c r="B5785" s="115" t="str">
        <f>IFERROR(__xludf.DUMMYFUNCTION("""COMPUTED_VALUE"""),"Ashish Jakar")</f>
        <v>Ashish Jakar</v>
      </c>
      <c r="C5785" s="115" t="str">
        <f>IFERROR(__xludf.DUMMYFUNCTION("""COMPUTED_VALUE"""),"EXTERNAL")</f>
        <v>EXTERNAL</v>
      </c>
      <c r="D5785" s="115">
        <f>IFERROR(__xludf.DUMMYFUNCTION("""COMPUTED_VALUE"""),43294.0)</f>
        <v>43294</v>
      </c>
      <c r="E5785" s="115">
        <f>IFERROR(__xludf.DUMMYFUNCTION("""COMPUTED_VALUE"""),5658.0)</f>
        <v>5658</v>
      </c>
      <c r="F5785" s="115">
        <f>IFERROR(__xludf.DUMMYFUNCTION("""COMPUTED_VALUE"""),3569.0)</f>
        <v>3569</v>
      </c>
      <c r="G5785" s="115">
        <f>IFERROR(__xludf.DUMMYFUNCTION("""COMPUTED_VALUE"""),245.0)</f>
        <v>245</v>
      </c>
      <c r="H5785" s="116">
        <f>IFERROR(__xludf.DUMMYFUNCTION("""COMPUTED_VALUE"""),45911.0)</f>
        <v>45911</v>
      </c>
      <c r="I5785" s="115" t="str">
        <f>IFERROR(__xludf.DUMMYFUNCTION("""COMPUTED_VALUE"""),"11")</f>
        <v>11</v>
      </c>
      <c r="J5785" s="115"/>
      <c r="K5785" s="115">
        <f>IFERROR(__xludf.DUMMYFUNCTION("""COMPUTED_VALUE"""),48952.0)</f>
        <v>48952</v>
      </c>
    </row>
    <row r="5786">
      <c r="A5786" s="115" t="str">
        <f>IFERROR(__xludf.DUMMYFUNCTION("""COMPUTED_VALUE"""),"WEST")</f>
        <v>WEST</v>
      </c>
      <c r="B5786" s="115" t="str">
        <f>IFERROR(__xludf.DUMMYFUNCTION("""COMPUTED_VALUE"""),"Ashish Jakar")</f>
        <v>Ashish Jakar</v>
      </c>
      <c r="C5786" s="115" t="str">
        <f>IFERROR(__xludf.DUMMYFUNCTION("""COMPUTED_VALUE"""),"FLIPKART")</f>
        <v>FLIPKART</v>
      </c>
      <c r="D5786" s="115">
        <f>IFERROR(__xludf.DUMMYFUNCTION("""COMPUTED_VALUE"""),299097.0)</f>
        <v>299097</v>
      </c>
      <c r="E5786" s="115">
        <f>IFERROR(__xludf.DUMMYFUNCTION("""COMPUTED_VALUE"""),25578.0)</f>
        <v>25578</v>
      </c>
      <c r="F5786" s="115">
        <f>IFERROR(__xludf.DUMMYFUNCTION("""COMPUTED_VALUE"""),40815.0)</f>
        <v>40815</v>
      </c>
      <c r="G5786" s="115">
        <f>IFERROR(__xludf.DUMMYFUNCTION("""COMPUTED_VALUE"""),1112.0)</f>
        <v>1112</v>
      </c>
      <c r="H5786" s="116">
        <f>IFERROR(__xludf.DUMMYFUNCTION("""COMPUTED_VALUE"""),45911.0)</f>
        <v>45911</v>
      </c>
      <c r="I5786" s="115" t="str">
        <f>IFERROR(__xludf.DUMMYFUNCTION("""COMPUTED_VALUE"""),"11")</f>
        <v>11</v>
      </c>
      <c r="J5786" s="115"/>
      <c r="K5786" s="115">
        <f>IFERROR(__xludf.DUMMYFUNCTION("""COMPUTED_VALUE"""),324675.0)</f>
        <v>324675</v>
      </c>
    </row>
    <row r="5787">
      <c r="A5787" s="115" t="str">
        <f>IFERROR(__xludf.DUMMYFUNCTION("""COMPUTED_VALUE"""),"WEST")</f>
        <v>WEST</v>
      </c>
      <c r="B5787" s="115" t="str">
        <f>IFERROR(__xludf.DUMMYFUNCTION("""COMPUTED_VALUE"""),"Ashish Jakar")</f>
        <v>Ashish Jakar</v>
      </c>
      <c r="C5787" s="115" t="str">
        <f>IFERROR(__xludf.DUMMYFUNCTION("""COMPUTED_VALUE"""),"MYNTRA")</f>
        <v>MYNTRA</v>
      </c>
      <c r="D5787" s="115">
        <f>IFERROR(__xludf.DUMMYFUNCTION("""COMPUTED_VALUE"""),34297.0)</f>
        <v>34297</v>
      </c>
      <c r="E5787" s="115">
        <f>IFERROR(__xludf.DUMMYFUNCTION("""COMPUTED_VALUE"""),8621.0)</f>
        <v>8621</v>
      </c>
      <c r="F5787" s="115">
        <f>IFERROR(__xludf.DUMMYFUNCTION("""COMPUTED_VALUE"""),5764.0)</f>
        <v>5764</v>
      </c>
      <c r="G5787" s="115">
        <f>IFERROR(__xludf.DUMMYFUNCTION("""COMPUTED_VALUE"""),447.0)</f>
        <v>447</v>
      </c>
      <c r="H5787" s="116">
        <f>IFERROR(__xludf.DUMMYFUNCTION("""COMPUTED_VALUE"""),45911.0)</f>
        <v>45911</v>
      </c>
      <c r="I5787" s="115" t="str">
        <f>IFERROR(__xludf.DUMMYFUNCTION("""COMPUTED_VALUE"""),"11")</f>
        <v>11</v>
      </c>
      <c r="J5787" s="115"/>
      <c r="K5787" s="115">
        <f>IFERROR(__xludf.DUMMYFUNCTION("""COMPUTED_VALUE"""),42918.0)</f>
        <v>42918</v>
      </c>
    </row>
    <row r="5788">
      <c r="A5788" s="115" t="str">
        <f>IFERROR(__xludf.DUMMYFUNCTION("""COMPUTED_VALUE"""),"WEST")</f>
        <v>WEST</v>
      </c>
      <c r="B5788" s="115" t="str">
        <f>IFERROR(__xludf.DUMMYFUNCTION("""COMPUTED_VALUE"""),"Ashvani Bhatt")</f>
        <v>Ashvani Bhatt</v>
      </c>
      <c r="C5788" s="115" t="str">
        <f>IFERROR(__xludf.DUMMYFUNCTION("""COMPUTED_VALUE"""),"EXTERNAL")</f>
        <v>EXTERNAL</v>
      </c>
      <c r="D5788" s="115">
        <f>IFERROR(__xludf.DUMMYFUNCTION("""COMPUTED_VALUE"""),29539.0)</f>
        <v>29539</v>
      </c>
      <c r="E5788" s="115">
        <f>IFERROR(__xludf.DUMMYFUNCTION("""COMPUTED_VALUE"""),2795.0)</f>
        <v>2795</v>
      </c>
      <c r="F5788" s="115">
        <f>IFERROR(__xludf.DUMMYFUNCTION("""COMPUTED_VALUE"""),2740.0)</f>
        <v>2740</v>
      </c>
      <c r="G5788" s="115">
        <f>IFERROR(__xludf.DUMMYFUNCTION("""COMPUTED_VALUE"""),68.0)</f>
        <v>68</v>
      </c>
      <c r="H5788" s="116">
        <f>IFERROR(__xludf.DUMMYFUNCTION("""COMPUTED_VALUE"""),45911.0)</f>
        <v>45911</v>
      </c>
      <c r="I5788" s="115" t="str">
        <f>IFERROR(__xludf.DUMMYFUNCTION("""COMPUTED_VALUE"""),"11")</f>
        <v>11</v>
      </c>
      <c r="J5788" s="115"/>
      <c r="K5788" s="115">
        <f>IFERROR(__xludf.DUMMYFUNCTION("""COMPUTED_VALUE"""),32334.0)</f>
        <v>32334</v>
      </c>
    </row>
    <row r="5789">
      <c r="A5789" s="115" t="str">
        <f>IFERROR(__xludf.DUMMYFUNCTION("""COMPUTED_VALUE"""),"WEST")</f>
        <v>WEST</v>
      </c>
      <c r="B5789" s="115" t="str">
        <f>IFERROR(__xludf.DUMMYFUNCTION("""COMPUTED_VALUE"""),"Ashvani Bhatt")</f>
        <v>Ashvani Bhatt</v>
      </c>
      <c r="C5789" s="115" t="str">
        <f>IFERROR(__xludf.DUMMYFUNCTION("""COMPUTED_VALUE"""),"FLIPKART")</f>
        <v>FLIPKART</v>
      </c>
      <c r="D5789" s="115">
        <f>IFERROR(__xludf.DUMMYFUNCTION("""COMPUTED_VALUE"""),237078.0)</f>
        <v>237078</v>
      </c>
      <c r="E5789" s="115">
        <f>IFERROR(__xludf.DUMMYFUNCTION("""COMPUTED_VALUE"""),18901.0)</f>
        <v>18901</v>
      </c>
      <c r="F5789" s="115">
        <f>IFERROR(__xludf.DUMMYFUNCTION("""COMPUTED_VALUE"""),42364.0)</f>
        <v>42364</v>
      </c>
      <c r="G5789" s="115">
        <f>IFERROR(__xludf.DUMMYFUNCTION("""COMPUTED_VALUE"""),778.0)</f>
        <v>778</v>
      </c>
      <c r="H5789" s="116">
        <f>IFERROR(__xludf.DUMMYFUNCTION("""COMPUTED_VALUE"""),45911.0)</f>
        <v>45911</v>
      </c>
      <c r="I5789" s="115" t="str">
        <f>IFERROR(__xludf.DUMMYFUNCTION("""COMPUTED_VALUE"""),"11")</f>
        <v>11</v>
      </c>
      <c r="J5789" s="115"/>
      <c r="K5789" s="115">
        <f>IFERROR(__xludf.DUMMYFUNCTION("""COMPUTED_VALUE"""),255979.0)</f>
        <v>255979</v>
      </c>
    </row>
    <row r="5790">
      <c r="A5790" s="115" t="str">
        <f>IFERROR(__xludf.DUMMYFUNCTION("""COMPUTED_VALUE"""),"WEST")</f>
        <v>WEST</v>
      </c>
      <c r="B5790" s="115" t="str">
        <f>IFERROR(__xludf.DUMMYFUNCTION("""COMPUTED_VALUE"""),"Ashvani Bhatt")</f>
        <v>Ashvani Bhatt</v>
      </c>
      <c r="C5790" s="115" t="str">
        <f>IFERROR(__xludf.DUMMYFUNCTION("""COMPUTED_VALUE"""),"MYNTRA")</f>
        <v>MYNTRA</v>
      </c>
      <c r="D5790" s="115">
        <f>IFERROR(__xludf.DUMMYFUNCTION("""COMPUTED_VALUE"""),29493.0)</f>
        <v>29493</v>
      </c>
      <c r="E5790" s="115">
        <f>IFERROR(__xludf.DUMMYFUNCTION("""COMPUTED_VALUE"""),6484.0)</f>
        <v>6484</v>
      </c>
      <c r="F5790" s="115">
        <f>IFERROR(__xludf.DUMMYFUNCTION("""COMPUTED_VALUE"""),6472.0)</f>
        <v>6472</v>
      </c>
      <c r="G5790" s="115">
        <f>IFERROR(__xludf.DUMMYFUNCTION("""COMPUTED_VALUE"""),350.0)</f>
        <v>350</v>
      </c>
      <c r="H5790" s="116">
        <f>IFERROR(__xludf.DUMMYFUNCTION("""COMPUTED_VALUE"""),45911.0)</f>
        <v>45911</v>
      </c>
      <c r="I5790" s="115" t="str">
        <f>IFERROR(__xludf.DUMMYFUNCTION("""COMPUTED_VALUE"""),"11")</f>
        <v>11</v>
      </c>
      <c r="J5790" s="115"/>
      <c r="K5790" s="115">
        <f>IFERROR(__xludf.DUMMYFUNCTION("""COMPUTED_VALUE"""),35977.0)</f>
        <v>35977</v>
      </c>
    </row>
    <row r="5791">
      <c r="A5791" s="115"/>
      <c r="B5791" s="115"/>
      <c r="C5791" s="115" t="str">
        <f>IFERROR(__xludf.DUMMYFUNCTION("""COMPUTED_VALUE"""),"EXTERNAL")</f>
        <v>EXTERNAL</v>
      </c>
      <c r="D5791" s="115">
        <f>IFERROR(__xludf.DUMMYFUNCTION("""COMPUTED_VALUE"""),552.0)</f>
        <v>552</v>
      </c>
      <c r="E5791" s="115">
        <f>IFERROR(__xludf.DUMMYFUNCTION("""COMPUTED_VALUE"""),235.0)</f>
        <v>235</v>
      </c>
      <c r="F5791" s="115">
        <f>IFERROR(__xludf.DUMMYFUNCTION("""COMPUTED_VALUE"""),35.0)</f>
        <v>35</v>
      </c>
      <c r="G5791" s="115">
        <f>IFERROR(__xludf.DUMMYFUNCTION("""COMPUTED_VALUE"""),7.0)</f>
        <v>7</v>
      </c>
      <c r="H5791" s="116">
        <f>IFERROR(__xludf.DUMMYFUNCTION("""COMPUTED_VALUE"""),45911.0)</f>
        <v>45911</v>
      </c>
      <c r="I5791" s="115" t="str">
        <f>IFERROR(__xludf.DUMMYFUNCTION("""COMPUTED_VALUE"""),"11")</f>
        <v>11</v>
      </c>
      <c r="J5791" s="115"/>
      <c r="K5791" s="115">
        <f>IFERROR(__xludf.DUMMYFUNCTION("""COMPUTED_VALUE"""),787.0)</f>
        <v>787</v>
      </c>
    </row>
    <row r="5792">
      <c r="A5792" s="115"/>
      <c r="B5792" s="115"/>
      <c r="C5792" s="115" t="str">
        <f>IFERROR(__xludf.DUMMYFUNCTION("""COMPUTED_VALUE"""),"FLIPKART")</f>
        <v>FLIPKART</v>
      </c>
      <c r="D5792" s="115">
        <f>IFERROR(__xludf.DUMMYFUNCTION("""COMPUTED_VALUE"""),6545.0)</f>
        <v>6545</v>
      </c>
      <c r="E5792" s="115">
        <f>IFERROR(__xludf.DUMMYFUNCTION("""COMPUTED_VALUE"""),791.0)</f>
        <v>791</v>
      </c>
      <c r="F5792" s="115">
        <f>IFERROR(__xludf.DUMMYFUNCTION("""COMPUTED_VALUE"""),430.0)</f>
        <v>430</v>
      </c>
      <c r="G5792" s="115">
        <f>IFERROR(__xludf.DUMMYFUNCTION("""COMPUTED_VALUE"""),83.0)</f>
        <v>83</v>
      </c>
      <c r="H5792" s="116">
        <f>IFERROR(__xludf.DUMMYFUNCTION("""COMPUTED_VALUE"""),45911.0)</f>
        <v>45911</v>
      </c>
      <c r="I5792" s="115" t="str">
        <f>IFERROR(__xludf.DUMMYFUNCTION("""COMPUTED_VALUE"""),"11")</f>
        <v>11</v>
      </c>
      <c r="J5792" s="115"/>
      <c r="K5792" s="115">
        <f>IFERROR(__xludf.DUMMYFUNCTION("""COMPUTED_VALUE"""),7336.0)</f>
        <v>7336</v>
      </c>
    </row>
    <row r="5793">
      <c r="A5793" s="115"/>
      <c r="B5793" s="115"/>
      <c r="C5793" s="115" t="str">
        <f>IFERROR(__xludf.DUMMYFUNCTION("""COMPUTED_VALUE"""),"MYNTRA")</f>
        <v>MYNTRA</v>
      </c>
      <c r="D5793" s="115">
        <f>IFERROR(__xludf.DUMMYFUNCTION("""COMPUTED_VALUE"""),694.0)</f>
        <v>694</v>
      </c>
      <c r="E5793" s="115">
        <f>IFERROR(__xludf.DUMMYFUNCTION("""COMPUTED_VALUE"""),228.0)</f>
        <v>228</v>
      </c>
      <c r="F5793" s="115">
        <f>IFERROR(__xludf.DUMMYFUNCTION("""COMPUTED_VALUE"""),36.0)</f>
        <v>36</v>
      </c>
      <c r="G5793" s="115">
        <f>IFERROR(__xludf.DUMMYFUNCTION("""COMPUTED_VALUE"""),17.0)</f>
        <v>17</v>
      </c>
      <c r="H5793" s="116">
        <f>IFERROR(__xludf.DUMMYFUNCTION("""COMPUTED_VALUE"""),45911.0)</f>
        <v>45911</v>
      </c>
      <c r="I5793" s="115" t="str">
        <f>IFERROR(__xludf.DUMMYFUNCTION("""COMPUTED_VALUE"""),"11")</f>
        <v>11</v>
      </c>
      <c r="J5793" s="115"/>
      <c r="K5793" s="115">
        <f>IFERROR(__xludf.DUMMYFUNCTION("""COMPUTED_VALUE"""),922.0)</f>
        <v>922</v>
      </c>
    </row>
    <row r="5794">
      <c r="A5794" s="115" t="str">
        <f>IFERROR(__xludf.DUMMYFUNCTION("""COMPUTED_VALUE"""),"EAST")</f>
        <v>EAST</v>
      </c>
      <c r="B5794" s="115" t="str">
        <f>IFERROR(__xludf.DUMMYFUNCTION("""COMPUTED_VALUE"""),"Ashish Ranjan")</f>
        <v>Ashish Ranjan</v>
      </c>
      <c r="C5794" s="115" t="str">
        <f>IFERROR(__xludf.DUMMYFUNCTION("""COMPUTED_VALUE"""),"EXTERNAL")</f>
        <v>EXTERNAL</v>
      </c>
      <c r="D5794" s="115">
        <f>IFERROR(__xludf.DUMMYFUNCTION("""COMPUTED_VALUE"""),33726.0)</f>
        <v>33726</v>
      </c>
      <c r="E5794" s="115">
        <f>IFERROR(__xludf.DUMMYFUNCTION("""COMPUTED_VALUE"""),3690.0)</f>
        <v>3690</v>
      </c>
      <c r="F5794" s="115">
        <f>IFERROR(__xludf.DUMMYFUNCTION("""COMPUTED_VALUE"""),7466.0)</f>
        <v>7466</v>
      </c>
      <c r="G5794" s="115">
        <f>IFERROR(__xludf.DUMMYFUNCTION("""COMPUTED_VALUE"""),244.0)</f>
        <v>244</v>
      </c>
      <c r="H5794" s="116">
        <f>IFERROR(__xludf.DUMMYFUNCTION("""COMPUTED_VALUE"""),45911.0)</f>
        <v>45911</v>
      </c>
      <c r="I5794" s="115" t="str">
        <f>IFERROR(__xludf.DUMMYFUNCTION("""COMPUTED_VALUE"""),"12")</f>
        <v>12</v>
      </c>
      <c r="J5794" s="115"/>
      <c r="K5794" s="115">
        <f>IFERROR(__xludf.DUMMYFUNCTION("""COMPUTED_VALUE"""),37416.0)</f>
        <v>37416</v>
      </c>
    </row>
    <row r="5795">
      <c r="A5795" s="115" t="str">
        <f>IFERROR(__xludf.DUMMYFUNCTION("""COMPUTED_VALUE"""),"EAST")</f>
        <v>EAST</v>
      </c>
      <c r="B5795" s="115" t="str">
        <f>IFERROR(__xludf.DUMMYFUNCTION("""COMPUTED_VALUE"""),"Ashish Ranjan")</f>
        <v>Ashish Ranjan</v>
      </c>
      <c r="C5795" s="115" t="str">
        <f>IFERROR(__xludf.DUMMYFUNCTION("""COMPUTED_VALUE"""),"FLIPKART")</f>
        <v>FLIPKART</v>
      </c>
      <c r="D5795" s="115">
        <f>IFERROR(__xludf.DUMMYFUNCTION("""COMPUTED_VALUE"""),601698.0)</f>
        <v>601698</v>
      </c>
      <c r="E5795" s="115">
        <f>IFERROR(__xludf.DUMMYFUNCTION("""COMPUTED_VALUE"""),54707.0)</f>
        <v>54707</v>
      </c>
      <c r="F5795" s="115">
        <f>IFERROR(__xludf.DUMMYFUNCTION("""COMPUTED_VALUE"""),219656.0)</f>
        <v>219656</v>
      </c>
      <c r="G5795" s="115">
        <f>IFERROR(__xludf.DUMMYFUNCTION("""COMPUTED_VALUE"""),6401.0)</f>
        <v>6401</v>
      </c>
      <c r="H5795" s="116">
        <f>IFERROR(__xludf.DUMMYFUNCTION("""COMPUTED_VALUE"""),45911.0)</f>
        <v>45911</v>
      </c>
      <c r="I5795" s="115" t="str">
        <f>IFERROR(__xludf.DUMMYFUNCTION("""COMPUTED_VALUE"""),"12")</f>
        <v>12</v>
      </c>
      <c r="J5795" s="115"/>
      <c r="K5795" s="115">
        <f>IFERROR(__xludf.DUMMYFUNCTION("""COMPUTED_VALUE"""),656405.0)</f>
        <v>656405</v>
      </c>
    </row>
    <row r="5796">
      <c r="A5796" s="115" t="str">
        <f>IFERROR(__xludf.DUMMYFUNCTION("""COMPUTED_VALUE"""),"EAST")</f>
        <v>EAST</v>
      </c>
      <c r="B5796" s="115" t="str">
        <f>IFERROR(__xludf.DUMMYFUNCTION("""COMPUTED_VALUE"""),"Ashish Ranjan")</f>
        <v>Ashish Ranjan</v>
      </c>
      <c r="C5796" s="115" t="str">
        <f>IFERROR(__xludf.DUMMYFUNCTION("""COMPUTED_VALUE"""),"MYNTRA")</f>
        <v>MYNTRA</v>
      </c>
      <c r="D5796" s="115">
        <f>IFERROR(__xludf.DUMMYFUNCTION("""COMPUTED_VALUE"""),59141.0)</f>
        <v>59141</v>
      </c>
      <c r="E5796" s="115">
        <f>IFERROR(__xludf.DUMMYFUNCTION("""COMPUTED_VALUE"""),13948.0)</f>
        <v>13948</v>
      </c>
      <c r="F5796" s="115">
        <f>IFERROR(__xludf.DUMMYFUNCTION("""COMPUTED_VALUE"""),21727.0)</f>
        <v>21727</v>
      </c>
      <c r="G5796" s="115">
        <f>IFERROR(__xludf.DUMMYFUNCTION("""COMPUTED_VALUE"""),1557.0)</f>
        <v>1557</v>
      </c>
      <c r="H5796" s="116">
        <f>IFERROR(__xludf.DUMMYFUNCTION("""COMPUTED_VALUE"""),45911.0)</f>
        <v>45911</v>
      </c>
      <c r="I5796" s="115" t="str">
        <f>IFERROR(__xludf.DUMMYFUNCTION("""COMPUTED_VALUE"""),"12")</f>
        <v>12</v>
      </c>
      <c r="J5796" s="115"/>
      <c r="K5796" s="115">
        <f>IFERROR(__xludf.DUMMYFUNCTION("""COMPUTED_VALUE"""),73089.0)</f>
        <v>73089</v>
      </c>
    </row>
    <row r="5797">
      <c r="A5797" s="115" t="str">
        <f>IFERROR(__xludf.DUMMYFUNCTION("""COMPUTED_VALUE"""),"EAST")</f>
        <v>EAST</v>
      </c>
      <c r="B5797" s="115" t="str">
        <f>IFERROR(__xludf.DUMMYFUNCTION("""COMPUTED_VALUE"""),"Girish Chand")</f>
        <v>Girish Chand</v>
      </c>
      <c r="C5797" s="115" t="str">
        <f>IFERROR(__xludf.DUMMYFUNCTION("""COMPUTED_VALUE"""),"EXTERNAL")</f>
        <v>EXTERNAL</v>
      </c>
      <c r="D5797" s="115">
        <f>IFERROR(__xludf.DUMMYFUNCTION("""COMPUTED_VALUE"""),19322.0)</f>
        <v>19322</v>
      </c>
      <c r="E5797" s="115">
        <f>IFERROR(__xludf.DUMMYFUNCTION("""COMPUTED_VALUE"""),2113.0)</f>
        <v>2113</v>
      </c>
      <c r="F5797" s="115">
        <f>IFERROR(__xludf.DUMMYFUNCTION("""COMPUTED_VALUE"""),2659.0)</f>
        <v>2659</v>
      </c>
      <c r="G5797" s="115">
        <f>IFERROR(__xludf.DUMMYFUNCTION("""COMPUTED_VALUE"""),56.0)</f>
        <v>56</v>
      </c>
      <c r="H5797" s="116">
        <f>IFERROR(__xludf.DUMMYFUNCTION("""COMPUTED_VALUE"""),45911.0)</f>
        <v>45911</v>
      </c>
      <c r="I5797" s="115" t="str">
        <f>IFERROR(__xludf.DUMMYFUNCTION("""COMPUTED_VALUE"""),"12")</f>
        <v>12</v>
      </c>
      <c r="J5797" s="115"/>
      <c r="K5797" s="115">
        <f>IFERROR(__xludf.DUMMYFUNCTION("""COMPUTED_VALUE"""),21435.0)</f>
        <v>21435</v>
      </c>
    </row>
    <row r="5798">
      <c r="A5798" s="115" t="str">
        <f>IFERROR(__xludf.DUMMYFUNCTION("""COMPUTED_VALUE"""),"EAST")</f>
        <v>EAST</v>
      </c>
      <c r="B5798" s="115" t="str">
        <f>IFERROR(__xludf.DUMMYFUNCTION("""COMPUTED_VALUE"""),"Girish Chand")</f>
        <v>Girish Chand</v>
      </c>
      <c r="C5798" s="115" t="str">
        <f>IFERROR(__xludf.DUMMYFUNCTION("""COMPUTED_VALUE"""),"FLIPKART")</f>
        <v>FLIPKART</v>
      </c>
      <c r="D5798" s="115">
        <f>IFERROR(__xludf.DUMMYFUNCTION("""COMPUTED_VALUE"""),393830.0)</f>
        <v>393830</v>
      </c>
      <c r="E5798" s="115">
        <f>IFERROR(__xludf.DUMMYFUNCTION("""COMPUTED_VALUE"""),32160.0)</f>
        <v>32160</v>
      </c>
      <c r="F5798" s="115">
        <f>IFERROR(__xludf.DUMMYFUNCTION("""COMPUTED_VALUE"""),92402.0)</f>
        <v>92402</v>
      </c>
      <c r="G5798" s="115">
        <f>IFERROR(__xludf.DUMMYFUNCTION("""COMPUTED_VALUE"""),2019.0)</f>
        <v>2019</v>
      </c>
      <c r="H5798" s="116">
        <f>IFERROR(__xludf.DUMMYFUNCTION("""COMPUTED_VALUE"""),45911.0)</f>
        <v>45911</v>
      </c>
      <c r="I5798" s="115" t="str">
        <f>IFERROR(__xludf.DUMMYFUNCTION("""COMPUTED_VALUE"""),"12")</f>
        <v>12</v>
      </c>
      <c r="J5798" s="115"/>
      <c r="K5798" s="115">
        <f>IFERROR(__xludf.DUMMYFUNCTION("""COMPUTED_VALUE"""),425990.0)</f>
        <v>425990</v>
      </c>
    </row>
    <row r="5799">
      <c r="A5799" s="115" t="str">
        <f>IFERROR(__xludf.DUMMYFUNCTION("""COMPUTED_VALUE"""),"EAST")</f>
        <v>EAST</v>
      </c>
      <c r="B5799" s="115" t="str">
        <f>IFERROR(__xludf.DUMMYFUNCTION("""COMPUTED_VALUE"""),"Girish Chand")</f>
        <v>Girish Chand</v>
      </c>
      <c r="C5799" s="115" t="str">
        <f>IFERROR(__xludf.DUMMYFUNCTION("""COMPUTED_VALUE"""),"MYNTRA")</f>
        <v>MYNTRA</v>
      </c>
      <c r="D5799" s="115">
        <f>IFERROR(__xludf.DUMMYFUNCTION("""COMPUTED_VALUE"""),30792.0)</f>
        <v>30792</v>
      </c>
      <c r="E5799" s="115">
        <f>IFERROR(__xludf.DUMMYFUNCTION("""COMPUTED_VALUE"""),6707.0)</f>
        <v>6707</v>
      </c>
      <c r="F5799" s="115">
        <f>IFERROR(__xludf.DUMMYFUNCTION("""COMPUTED_VALUE"""),7789.0)</f>
        <v>7789</v>
      </c>
      <c r="G5799" s="115">
        <f>IFERROR(__xludf.DUMMYFUNCTION("""COMPUTED_VALUE"""),570.0)</f>
        <v>570</v>
      </c>
      <c r="H5799" s="116">
        <f>IFERROR(__xludf.DUMMYFUNCTION("""COMPUTED_VALUE"""),45911.0)</f>
        <v>45911</v>
      </c>
      <c r="I5799" s="115" t="str">
        <f>IFERROR(__xludf.DUMMYFUNCTION("""COMPUTED_VALUE"""),"12")</f>
        <v>12</v>
      </c>
      <c r="J5799" s="115"/>
      <c r="K5799" s="115">
        <f>IFERROR(__xludf.DUMMYFUNCTION("""COMPUTED_VALUE"""),37499.0)</f>
        <v>37499</v>
      </c>
    </row>
    <row r="5800">
      <c r="A5800" s="115" t="str">
        <f>IFERROR(__xludf.DUMMYFUNCTION("""COMPUTED_VALUE"""),"EAST")</f>
        <v>EAST</v>
      </c>
      <c r="B5800" s="115" t="str">
        <f>IFERROR(__xludf.DUMMYFUNCTION("""COMPUTED_VALUE"""),"Parag Kashyap")</f>
        <v>Parag Kashyap</v>
      </c>
      <c r="C5800" s="115" t="str">
        <f>IFERROR(__xludf.DUMMYFUNCTION("""COMPUTED_VALUE"""),"EXTERNAL")</f>
        <v>EXTERNAL</v>
      </c>
      <c r="D5800" s="115">
        <f>IFERROR(__xludf.DUMMYFUNCTION("""COMPUTED_VALUE"""),14539.0)</f>
        <v>14539</v>
      </c>
      <c r="E5800" s="115">
        <f>IFERROR(__xludf.DUMMYFUNCTION("""COMPUTED_VALUE"""),938.0)</f>
        <v>938</v>
      </c>
      <c r="F5800" s="115">
        <f>IFERROR(__xludf.DUMMYFUNCTION("""COMPUTED_VALUE"""),1788.0)</f>
        <v>1788</v>
      </c>
      <c r="G5800" s="115">
        <f>IFERROR(__xludf.DUMMYFUNCTION("""COMPUTED_VALUE"""),23.0)</f>
        <v>23</v>
      </c>
      <c r="H5800" s="116">
        <f>IFERROR(__xludf.DUMMYFUNCTION("""COMPUTED_VALUE"""),45911.0)</f>
        <v>45911</v>
      </c>
      <c r="I5800" s="115" t="str">
        <f>IFERROR(__xludf.DUMMYFUNCTION("""COMPUTED_VALUE"""),"12")</f>
        <v>12</v>
      </c>
      <c r="J5800" s="115"/>
      <c r="K5800" s="115">
        <f>IFERROR(__xludf.DUMMYFUNCTION("""COMPUTED_VALUE"""),15477.0)</f>
        <v>15477</v>
      </c>
    </row>
    <row r="5801">
      <c r="A5801" s="115" t="str">
        <f>IFERROR(__xludf.DUMMYFUNCTION("""COMPUTED_VALUE"""),"EAST")</f>
        <v>EAST</v>
      </c>
      <c r="B5801" s="115" t="str">
        <f>IFERROR(__xludf.DUMMYFUNCTION("""COMPUTED_VALUE"""),"Parag Kashyap")</f>
        <v>Parag Kashyap</v>
      </c>
      <c r="C5801" s="115" t="str">
        <f>IFERROR(__xludf.DUMMYFUNCTION("""COMPUTED_VALUE"""),"FLIPKART")</f>
        <v>FLIPKART</v>
      </c>
      <c r="D5801" s="115">
        <f>IFERROR(__xludf.DUMMYFUNCTION("""COMPUTED_VALUE"""),265653.0)</f>
        <v>265653</v>
      </c>
      <c r="E5801" s="115">
        <f>IFERROR(__xludf.DUMMYFUNCTION("""COMPUTED_VALUE"""),15495.0)</f>
        <v>15495</v>
      </c>
      <c r="F5801" s="115">
        <f>IFERROR(__xludf.DUMMYFUNCTION("""COMPUTED_VALUE"""),58122.0)</f>
        <v>58122</v>
      </c>
      <c r="G5801" s="115">
        <f>IFERROR(__xludf.DUMMYFUNCTION("""COMPUTED_VALUE"""),632.0)</f>
        <v>632</v>
      </c>
      <c r="H5801" s="116">
        <f>IFERROR(__xludf.DUMMYFUNCTION("""COMPUTED_VALUE"""),45911.0)</f>
        <v>45911</v>
      </c>
      <c r="I5801" s="115" t="str">
        <f>IFERROR(__xludf.DUMMYFUNCTION("""COMPUTED_VALUE"""),"12")</f>
        <v>12</v>
      </c>
      <c r="J5801" s="115"/>
      <c r="K5801" s="115">
        <f>IFERROR(__xludf.DUMMYFUNCTION("""COMPUTED_VALUE"""),281148.0)</f>
        <v>281148</v>
      </c>
    </row>
    <row r="5802">
      <c r="A5802" s="115" t="str">
        <f>IFERROR(__xludf.DUMMYFUNCTION("""COMPUTED_VALUE"""),"EAST")</f>
        <v>EAST</v>
      </c>
      <c r="B5802" s="115" t="str">
        <f>IFERROR(__xludf.DUMMYFUNCTION("""COMPUTED_VALUE"""),"Parag Kashyap")</f>
        <v>Parag Kashyap</v>
      </c>
      <c r="C5802" s="115" t="str">
        <f>IFERROR(__xludf.DUMMYFUNCTION("""COMPUTED_VALUE"""),"MYNTRA")</f>
        <v>MYNTRA</v>
      </c>
      <c r="D5802" s="115">
        <f>IFERROR(__xludf.DUMMYFUNCTION("""COMPUTED_VALUE"""),34019.0)</f>
        <v>34019</v>
      </c>
      <c r="E5802" s="115">
        <f>IFERROR(__xludf.DUMMYFUNCTION("""COMPUTED_VALUE"""),4976.0)</f>
        <v>4976</v>
      </c>
      <c r="F5802" s="115">
        <f>IFERROR(__xludf.DUMMYFUNCTION("""COMPUTED_VALUE"""),8478.0)</f>
        <v>8478</v>
      </c>
      <c r="G5802" s="115">
        <f>IFERROR(__xludf.DUMMYFUNCTION("""COMPUTED_VALUE"""),178.0)</f>
        <v>178</v>
      </c>
      <c r="H5802" s="116">
        <f>IFERROR(__xludf.DUMMYFUNCTION("""COMPUTED_VALUE"""),45911.0)</f>
        <v>45911</v>
      </c>
      <c r="I5802" s="115" t="str">
        <f>IFERROR(__xludf.DUMMYFUNCTION("""COMPUTED_VALUE"""),"12")</f>
        <v>12</v>
      </c>
      <c r="J5802" s="115"/>
      <c r="K5802" s="115">
        <f>IFERROR(__xludf.DUMMYFUNCTION("""COMPUTED_VALUE"""),38995.0)</f>
        <v>38995</v>
      </c>
    </row>
    <row r="5803">
      <c r="A5803" s="115" t="str">
        <f>IFERROR(__xludf.DUMMYFUNCTION("""COMPUTED_VALUE"""),"NORTH")</f>
        <v>NORTH</v>
      </c>
      <c r="B5803" s="115" t="str">
        <f>IFERROR(__xludf.DUMMYFUNCTION("""COMPUTED_VALUE"""),"Amit Kumar Pathak")</f>
        <v>Amit Kumar Pathak</v>
      </c>
      <c r="C5803" s="115" t="str">
        <f>IFERROR(__xludf.DUMMYFUNCTION("""COMPUTED_VALUE"""),"EXTERNAL")</f>
        <v>EXTERNAL</v>
      </c>
      <c r="D5803" s="115">
        <f>IFERROR(__xludf.DUMMYFUNCTION("""COMPUTED_VALUE"""),21339.0)</f>
        <v>21339</v>
      </c>
      <c r="E5803" s="115">
        <f>IFERROR(__xludf.DUMMYFUNCTION("""COMPUTED_VALUE"""),2837.0)</f>
        <v>2837</v>
      </c>
      <c r="F5803" s="115">
        <f>IFERROR(__xludf.DUMMYFUNCTION("""COMPUTED_VALUE"""),3285.0)</f>
        <v>3285</v>
      </c>
      <c r="G5803" s="115">
        <f>IFERROR(__xludf.DUMMYFUNCTION("""COMPUTED_VALUE"""),410.0)</f>
        <v>410</v>
      </c>
      <c r="H5803" s="116">
        <f>IFERROR(__xludf.DUMMYFUNCTION("""COMPUTED_VALUE"""),45911.0)</f>
        <v>45911</v>
      </c>
      <c r="I5803" s="115" t="str">
        <f>IFERROR(__xludf.DUMMYFUNCTION("""COMPUTED_VALUE"""),"12")</f>
        <v>12</v>
      </c>
      <c r="J5803" s="115"/>
      <c r="K5803" s="115">
        <f>IFERROR(__xludf.DUMMYFUNCTION("""COMPUTED_VALUE"""),24176.0)</f>
        <v>24176</v>
      </c>
    </row>
    <row r="5804">
      <c r="A5804" s="115" t="str">
        <f>IFERROR(__xludf.DUMMYFUNCTION("""COMPUTED_VALUE"""),"NORTH")</f>
        <v>NORTH</v>
      </c>
      <c r="B5804" s="115" t="str">
        <f>IFERROR(__xludf.DUMMYFUNCTION("""COMPUTED_VALUE"""),"Amit Kumar Pathak")</f>
        <v>Amit Kumar Pathak</v>
      </c>
      <c r="C5804" s="115" t="str">
        <f>IFERROR(__xludf.DUMMYFUNCTION("""COMPUTED_VALUE"""),"FLIPKART")</f>
        <v>FLIPKART</v>
      </c>
      <c r="D5804" s="115">
        <f>IFERROR(__xludf.DUMMYFUNCTION("""COMPUTED_VALUE"""),151840.0)</f>
        <v>151840</v>
      </c>
      <c r="E5804" s="115">
        <f>IFERROR(__xludf.DUMMYFUNCTION("""COMPUTED_VALUE"""),19061.0)</f>
        <v>19061</v>
      </c>
      <c r="F5804" s="115">
        <f>IFERROR(__xludf.DUMMYFUNCTION("""COMPUTED_VALUE"""),42754.0)</f>
        <v>42754</v>
      </c>
      <c r="G5804" s="115">
        <f>IFERROR(__xludf.DUMMYFUNCTION("""COMPUTED_VALUE"""),3235.0)</f>
        <v>3235</v>
      </c>
      <c r="H5804" s="116">
        <f>IFERROR(__xludf.DUMMYFUNCTION("""COMPUTED_VALUE"""),45911.0)</f>
        <v>45911</v>
      </c>
      <c r="I5804" s="115" t="str">
        <f>IFERROR(__xludf.DUMMYFUNCTION("""COMPUTED_VALUE"""),"12")</f>
        <v>12</v>
      </c>
      <c r="J5804" s="115"/>
      <c r="K5804" s="115">
        <f>IFERROR(__xludf.DUMMYFUNCTION("""COMPUTED_VALUE"""),170901.0)</f>
        <v>170901</v>
      </c>
    </row>
    <row r="5805">
      <c r="A5805" s="115" t="str">
        <f>IFERROR(__xludf.DUMMYFUNCTION("""COMPUTED_VALUE"""),"NORTH")</f>
        <v>NORTH</v>
      </c>
      <c r="B5805" s="115" t="str">
        <f>IFERROR(__xludf.DUMMYFUNCTION("""COMPUTED_VALUE"""),"Amit Kumar Pathak")</f>
        <v>Amit Kumar Pathak</v>
      </c>
      <c r="C5805" s="115" t="str">
        <f>IFERROR(__xludf.DUMMYFUNCTION("""COMPUTED_VALUE"""),"MYNTRA")</f>
        <v>MYNTRA</v>
      </c>
      <c r="D5805" s="115">
        <f>IFERROR(__xludf.DUMMYFUNCTION("""COMPUTED_VALUE"""),11829.0)</f>
        <v>11829</v>
      </c>
      <c r="E5805" s="115">
        <f>IFERROR(__xludf.DUMMYFUNCTION("""COMPUTED_VALUE"""),4592.0)</f>
        <v>4592</v>
      </c>
      <c r="F5805" s="115">
        <f>IFERROR(__xludf.DUMMYFUNCTION("""COMPUTED_VALUE"""),4118.0)</f>
        <v>4118</v>
      </c>
      <c r="G5805" s="115">
        <f>IFERROR(__xludf.DUMMYFUNCTION("""COMPUTED_VALUE"""),885.0)</f>
        <v>885</v>
      </c>
      <c r="H5805" s="116">
        <f>IFERROR(__xludf.DUMMYFUNCTION("""COMPUTED_VALUE"""),45911.0)</f>
        <v>45911</v>
      </c>
      <c r="I5805" s="115" t="str">
        <f>IFERROR(__xludf.DUMMYFUNCTION("""COMPUTED_VALUE"""),"12")</f>
        <v>12</v>
      </c>
      <c r="J5805" s="115"/>
      <c r="K5805" s="115">
        <f>IFERROR(__xludf.DUMMYFUNCTION("""COMPUTED_VALUE"""),16421.0)</f>
        <v>16421</v>
      </c>
    </row>
    <row r="5806">
      <c r="A5806" s="115" t="str">
        <f>IFERROR(__xludf.DUMMYFUNCTION("""COMPUTED_VALUE"""),"NORTH")</f>
        <v>NORTH</v>
      </c>
      <c r="B5806" s="115" t="str">
        <f>IFERROR(__xludf.DUMMYFUNCTION("""COMPUTED_VALUE"""),"Loveleen Singh")</f>
        <v>Loveleen Singh</v>
      </c>
      <c r="C5806" s="115" t="str">
        <f>IFERROR(__xludf.DUMMYFUNCTION("""COMPUTED_VALUE"""),"EXTERNAL")</f>
        <v>EXTERNAL</v>
      </c>
      <c r="D5806" s="115">
        <f>IFERROR(__xludf.DUMMYFUNCTION("""COMPUTED_VALUE"""),26569.0)</f>
        <v>26569</v>
      </c>
      <c r="E5806" s="115">
        <f>IFERROR(__xludf.DUMMYFUNCTION("""COMPUTED_VALUE"""),1831.0)</f>
        <v>1831</v>
      </c>
      <c r="F5806" s="115">
        <f>IFERROR(__xludf.DUMMYFUNCTION("""COMPUTED_VALUE"""),3331.0)</f>
        <v>3331</v>
      </c>
      <c r="G5806" s="115">
        <f>IFERROR(__xludf.DUMMYFUNCTION("""COMPUTED_VALUE"""),75.0)</f>
        <v>75</v>
      </c>
      <c r="H5806" s="116">
        <f>IFERROR(__xludf.DUMMYFUNCTION("""COMPUTED_VALUE"""),45911.0)</f>
        <v>45911</v>
      </c>
      <c r="I5806" s="115" t="str">
        <f>IFERROR(__xludf.DUMMYFUNCTION("""COMPUTED_VALUE"""),"12")</f>
        <v>12</v>
      </c>
      <c r="J5806" s="115"/>
      <c r="K5806" s="115">
        <f>IFERROR(__xludf.DUMMYFUNCTION("""COMPUTED_VALUE"""),28400.0)</f>
        <v>28400</v>
      </c>
    </row>
    <row r="5807">
      <c r="A5807" s="115" t="str">
        <f>IFERROR(__xludf.DUMMYFUNCTION("""COMPUTED_VALUE"""),"NORTH")</f>
        <v>NORTH</v>
      </c>
      <c r="B5807" s="115" t="str">
        <f>IFERROR(__xludf.DUMMYFUNCTION("""COMPUTED_VALUE"""),"Loveleen Singh")</f>
        <v>Loveleen Singh</v>
      </c>
      <c r="C5807" s="115" t="str">
        <f>IFERROR(__xludf.DUMMYFUNCTION("""COMPUTED_VALUE"""),"FLIPKART")</f>
        <v>FLIPKART</v>
      </c>
      <c r="D5807" s="115">
        <f>IFERROR(__xludf.DUMMYFUNCTION("""COMPUTED_VALUE"""),177176.0)</f>
        <v>177176</v>
      </c>
      <c r="E5807" s="115">
        <f>IFERROR(__xludf.DUMMYFUNCTION("""COMPUTED_VALUE"""),11394.0)</f>
        <v>11394</v>
      </c>
      <c r="F5807" s="115">
        <f>IFERROR(__xludf.DUMMYFUNCTION("""COMPUTED_VALUE"""),42191.0)</f>
        <v>42191</v>
      </c>
      <c r="G5807" s="115">
        <f>IFERROR(__xludf.DUMMYFUNCTION("""COMPUTED_VALUE"""),939.0)</f>
        <v>939</v>
      </c>
      <c r="H5807" s="116">
        <f>IFERROR(__xludf.DUMMYFUNCTION("""COMPUTED_VALUE"""),45911.0)</f>
        <v>45911</v>
      </c>
      <c r="I5807" s="115" t="str">
        <f>IFERROR(__xludf.DUMMYFUNCTION("""COMPUTED_VALUE"""),"12")</f>
        <v>12</v>
      </c>
      <c r="J5807" s="115"/>
      <c r="K5807" s="115">
        <f>IFERROR(__xludf.DUMMYFUNCTION("""COMPUTED_VALUE"""),188570.0)</f>
        <v>188570</v>
      </c>
    </row>
    <row r="5808">
      <c r="A5808" s="115" t="str">
        <f>IFERROR(__xludf.DUMMYFUNCTION("""COMPUTED_VALUE"""),"NORTH")</f>
        <v>NORTH</v>
      </c>
      <c r="B5808" s="115" t="str">
        <f>IFERROR(__xludf.DUMMYFUNCTION("""COMPUTED_VALUE"""),"Loveleen Singh")</f>
        <v>Loveleen Singh</v>
      </c>
      <c r="C5808" s="115" t="str">
        <f>IFERROR(__xludf.DUMMYFUNCTION("""COMPUTED_VALUE"""),"MYNTRA")</f>
        <v>MYNTRA</v>
      </c>
      <c r="D5808" s="115">
        <f>IFERROR(__xludf.DUMMYFUNCTION("""COMPUTED_VALUE"""),26878.0)</f>
        <v>26878</v>
      </c>
      <c r="E5808" s="115">
        <f>IFERROR(__xludf.DUMMYFUNCTION("""COMPUTED_VALUE"""),5334.0)</f>
        <v>5334</v>
      </c>
      <c r="F5808" s="115">
        <f>IFERROR(__xludf.DUMMYFUNCTION("""COMPUTED_VALUE"""),7614.0)</f>
        <v>7614</v>
      </c>
      <c r="G5808" s="115">
        <f>IFERROR(__xludf.DUMMYFUNCTION("""COMPUTED_VALUE"""),499.0)</f>
        <v>499</v>
      </c>
      <c r="H5808" s="116">
        <f>IFERROR(__xludf.DUMMYFUNCTION("""COMPUTED_VALUE"""),45911.0)</f>
        <v>45911</v>
      </c>
      <c r="I5808" s="115" t="str">
        <f>IFERROR(__xludf.DUMMYFUNCTION("""COMPUTED_VALUE"""),"12")</f>
        <v>12</v>
      </c>
      <c r="J5808" s="115"/>
      <c r="K5808" s="115">
        <f>IFERROR(__xludf.DUMMYFUNCTION("""COMPUTED_VALUE"""),32212.0)</f>
        <v>32212</v>
      </c>
    </row>
    <row r="5809">
      <c r="A5809" s="115" t="str">
        <f>IFERROR(__xludf.DUMMYFUNCTION("""COMPUTED_VALUE"""),"NORTH")</f>
        <v>NORTH</v>
      </c>
      <c r="B5809" s="115" t="str">
        <f>IFERROR(__xludf.DUMMYFUNCTION("""COMPUTED_VALUE"""),"Manoj Harsh")</f>
        <v>Manoj Harsh</v>
      </c>
      <c r="C5809" s="115" t="str">
        <f>IFERROR(__xludf.DUMMYFUNCTION("""COMPUTED_VALUE"""),"EXTERNAL")</f>
        <v>EXTERNAL</v>
      </c>
      <c r="D5809" s="115">
        <f>IFERROR(__xludf.DUMMYFUNCTION("""COMPUTED_VALUE"""),29131.0)</f>
        <v>29131</v>
      </c>
      <c r="E5809" s="115">
        <f>IFERROR(__xludf.DUMMYFUNCTION("""COMPUTED_VALUE"""),2315.0)</f>
        <v>2315</v>
      </c>
      <c r="F5809" s="115">
        <f>IFERROR(__xludf.DUMMYFUNCTION("""COMPUTED_VALUE"""),3513.0)</f>
        <v>3513</v>
      </c>
      <c r="G5809" s="115">
        <f>IFERROR(__xludf.DUMMYFUNCTION("""COMPUTED_VALUE"""),101.0)</f>
        <v>101</v>
      </c>
      <c r="H5809" s="116">
        <f>IFERROR(__xludf.DUMMYFUNCTION("""COMPUTED_VALUE"""),45911.0)</f>
        <v>45911</v>
      </c>
      <c r="I5809" s="115" t="str">
        <f>IFERROR(__xludf.DUMMYFUNCTION("""COMPUTED_VALUE"""),"12")</f>
        <v>12</v>
      </c>
      <c r="J5809" s="115"/>
      <c r="K5809" s="115">
        <f>IFERROR(__xludf.DUMMYFUNCTION("""COMPUTED_VALUE"""),31446.0)</f>
        <v>31446</v>
      </c>
    </row>
    <row r="5810">
      <c r="A5810" s="115" t="str">
        <f>IFERROR(__xludf.DUMMYFUNCTION("""COMPUTED_VALUE"""),"NORTH")</f>
        <v>NORTH</v>
      </c>
      <c r="B5810" s="115" t="str">
        <f>IFERROR(__xludf.DUMMYFUNCTION("""COMPUTED_VALUE"""),"Manoj Harsh")</f>
        <v>Manoj Harsh</v>
      </c>
      <c r="C5810" s="115" t="str">
        <f>IFERROR(__xludf.DUMMYFUNCTION("""COMPUTED_VALUE"""),"FLIPKART")</f>
        <v>FLIPKART</v>
      </c>
      <c r="D5810" s="115">
        <f>IFERROR(__xludf.DUMMYFUNCTION("""COMPUTED_VALUE"""),396488.0)</f>
        <v>396488</v>
      </c>
      <c r="E5810" s="115">
        <f>IFERROR(__xludf.DUMMYFUNCTION("""COMPUTED_VALUE"""),30273.0)</f>
        <v>30273</v>
      </c>
      <c r="F5810" s="115">
        <f>IFERROR(__xludf.DUMMYFUNCTION("""COMPUTED_VALUE"""),89810.0)</f>
        <v>89810</v>
      </c>
      <c r="G5810" s="115">
        <f>IFERROR(__xludf.DUMMYFUNCTION("""COMPUTED_VALUE"""),2047.0)</f>
        <v>2047</v>
      </c>
      <c r="H5810" s="116">
        <f>IFERROR(__xludf.DUMMYFUNCTION("""COMPUTED_VALUE"""),45911.0)</f>
        <v>45911</v>
      </c>
      <c r="I5810" s="115" t="str">
        <f>IFERROR(__xludf.DUMMYFUNCTION("""COMPUTED_VALUE"""),"12")</f>
        <v>12</v>
      </c>
      <c r="J5810" s="115"/>
      <c r="K5810" s="115">
        <f>IFERROR(__xludf.DUMMYFUNCTION("""COMPUTED_VALUE"""),426761.0)</f>
        <v>426761</v>
      </c>
    </row>
    <row r="5811">
      <c r="A5811" s="115" t="str">
        <f>IFERROR(__xludf.DUMMYFUNCTION("""COMPUTED_VALUE"""),"NORTH")</f>
        <v>NORTH</v>
      </c>
      <c r="B5811" s="115" t="str">
        <f>IFERROR(__xludf.DUMMYFUNCTION("""COMPUTED_VALUE"""),"Manoj Harsh")</f>
        <v>Manoj Harsh</v>
      </c>
      <c r="C5811" s="115" t="str">
        <f>IFERROR(__xludf.DUMMYFUNCTION("""COMPUTED_VALUE"""),"MYNTRA")</f>
        <v>MYNTRA</v>
      </c>
      <c r="D5811" s="115">
        <f>IFERROR(__xludf.DUMMYFUNCTION("""COMPUTED_VALUE"""),31265.0)</f>
        <v>31265</v>
      </c>
      <c r="E5811" s="115">
        <f>IFERROR(__xludf.DUMMYFUNCTION("""COMPUTED_VALUE"""),6217.0)</f>
        <v>6217</v>
      </c>
      <c r="F5811" s="115">
        <f>IFERROR(__xludf.DUMMYFUNCTION("""COMPUTED_VALUE"""),8544.0)</f>
        <v>8544</v>
      </c>
      <c r="G5811" s="115">
        <f>IFERROR(__xludf.DUMMYFUNCTION("""COMPUTED_VALUE"""),453.0)</f>
        <v>453</v>
      </c>
      <c r="H5811" s="116">
        <f>IFERROR(__xludf.DUMMYFUNCTION("""COMPUTED_VALUE"""),45911.0)</f>
        <v>45911</v>
      </c>
      <c r="I5811" s="115" t="str">
        <f>IFERROR(__xludf.DUMMYFUNCTION("""COMPUTED_VALUE"""),"12")</f>
        <v>12</v>
      </c>
      <c r="J5811" s="115"/>
      <c r="K5811" s="115">
        <f>IFERROR(__xludf.DUMMYFUNCTION("""COMPUTED_VALUE"""),37482.0)</f>
        <v>37482</v>
      </c>
    </row>
    <row r="5812">
      <c r="A5812" s="115" t="str">
        <f>IFERROR(__xludf.DUMMYFUNCTION("""COMPUTED_VALUE"""),"NORTH")</f>
        <v>NORTH</v>
      </c>
      <c r="B5812" s="115" t="str">
        <f>IFERROR(__xludf.DUMMYFUNCTION("""COMPUTED_VALUE"""),"Pradeep Kothari")</f>
        <v>Pradeep Kothari</v>
      </c>
      <c r="C5812" s="115" t="str">
        <f>IFERROR(__xludf.DUMMYFUNCTION("""COMPUTED_VALUE"""),"EXTERNAL")</f>
        <v>EXTERNAL</v>
      </c>
      <c r="D5812" s="115">
        <f>IFERROR(__xludf.DUMMYFUNCTION("""COMPUTED_VALUE"""),17070.0)</f>
        <v>17070</v>
      </c>
      <c r="E5812" s="115">
        <f>IFERROR(__xludf.DUMMYFUNCTION("""COMPUTED_VALUE"""),1849.0)</f>
        <v>1849</v>
      </c>
      <c r="F5812" s="115">
        <f>IFERROR(__xludf.DUMMYFUNCTION("""COMPUTED_VALUE"""),2783.0)</f>
        <v>2783</v>
      </c>
      <c r="G5812" s="115">
        <f>IFERROR(__xludf.DUMMYFUNCTION("""COMPUTED_VALUE"""),140.0)</f>
        <v>140</v>
      </c>
      <c r="H5812" s="116">
        <f>IFERROR(__xludf.DUMMYFUNCTION("""COMPUTED_VALUE"""),45911.0)</f>
        <v>45911</v>
      </c>
      <c r="I5812" s="115" t="str">
        <f>IFERROR(__xludf.DUMMYFUNCTION("""COMPUTED_VALUE"""),"12")</f>
        <v>12</v>
      </c>
      <c r="J5812" s="115"/>
      <c r="K5812" s="115">
        <f>IFERROR(__xludf.DUMMYFUNCTION("""COMPUTED_VALUE"""),18919.0)</f>
        <v>18919</v>
      </c>
    </row>
    <row r="5813">
      <c r="A5813" s="115" t="str">
        <f>IFERROR(__xludf.DUMMYFUNCTION("""COMPUTED_VALUE"""),"NORTH")</f>
        <v>NORTH</v>
      </c>
      <c r="B5813" s="115" t="str">
        <f>IFERROR(__xludf.DUMMYFUNCTION("""COMPUTED_VALUE"""),"Pradeep Kothari")</f>
        <v>Pradeep Kothari</v>
      </c>
      <c r="C5813" s="115" t="str">
        <f>IFERROR(__xludf.DUMMYFUNCTION("""COMPUTED_VALUE"""),"FLIPKART")</f>
        <v>FLIPKART</v>
      </c>
      <c r="D5813" s="115">
        <f>IFERROR(__xludf.DUMMYFUNCTION("""COMPUTED_VALUE"""),151402.0)</f>
        <v>151402</v>
      </c>
      <c r="E5813" s="115">
        <f>IFERROR(__xludf.DUMMYFUNCTION("""COMPUTED_VALUE"""),14715.0)</f>
        <v>14715</v>
      </c>
      <c r="F5813" s="115">
        <f>IFERROR(__xludf.DUMMYFUNCTION("""COMPUTED_VALUE"""),45711.0)</f>
        <v>45711</v>
      </c>
      <c r="G5813" s="115">
        <f>IFERROR(__xludf.DUMMYFUNCTION("""COMPUTED_VALUE"""),1707.0)</f>
        <v>1707</v>
      </c>
      <c r="H5813" s="116">
        <f>IFERROR(__xludf.DUMMYFUNCTION("""COMPUTED_VALUE"""),45911.0)</f>
        <v>45911</v>
      </c>
      <c r="I5813" s="115" t="str">
        <f>IFERROR(__xludf.DUMMYFUNCTION("""COMPUTED_VALUE"""),"12")</f>
        <v>12</v>
      </c>
      <c r="J5813" s="115"/>
      <c r="K5813" s="115">
        <f>IFERROR(__xludf.DUMMYFUNCTION("""COMPUTED_VALUE"""),166117.0)</f>
        <v>166117</v>
      </c>
    </row>
    <row r="5814">
      <c r="A5814" s="115" t="str">
        <f>IFERROR(__xludf.DUMMYFUNCTION("""COMPUTED_VALUE"""),"NORTH")</f>
        <v>NORTH</v>
      </c>
      <c r="B5814" s="115" t="str">
        <f>IFERROR(__xludf.DUMMYFUNCTION("""COMPUTED_VALUE"""),"Pradeep Kothari")</f>
        <v>Pradeep Kothari</v>
      </c>
      <c r="C5814" s="115" t="str">
        <f>IFERROR(__xludf.DUMMYFUNCTION("""COMPUTED_VALUE"""),"MYNTRA")</f>
        <v>MYNTRA</v>
      </c>
      <c r="D5814" s="115">
        <f>IFERROR(__xludf.DUMMYFUNCTION("""COMPUTED_VALUE"""),22782.0)</f>
        <v>22782</v>
      </c>
      <c r="E5814" s="115">
        <f>IFERROR(__xludf.DUMMYFUNCTION("""COMPUTED_VALUE"""),5409.0)</f>
        <v>5409</v>
      </c>
      <c r="F5814" s="115">
        <f>IFERROR(__xludf.DUMMYFUNCTION("""COMPUTED_VALUE"""),8445.0)</f>
        <v>8445</v>
      </c>
      <c r="G5814" s="115">
        <f>IFERROR(__xludf.DUMMYFUNCTION("""COMPUTED_VALUE"""),772.0)</f>
        <v>772</v>
      </c>
      <c r="H5814" s="116">
        <f>IFERROR(__xludf.DUMMYFUNCTION("""COMPUTED_VALUE"""),45911.0)</f>
        <v>45911</v>
      </c>
      <c r="I5814" s="115" t="str">
        <f>IFERROR(__xludf.DUMMYFUNCTION("""COMPUTED_VALUE"""),"12")</f>
        <v>12</v>
      </c>
      <c r="J5814" s="115"/>
      <c r="K5814" s="115">
        <f>IFERROR(__xludf.DUMMYFUNCTION("""COMPUTED_VALUE"""),28191.0)</f>
        <v>28191</v>
      </c>
    </row>
    <row r="5815">
      <c r="A5815" s="115" t="str">
        <f>IFERROR(__xludf.DUMMYFUNCTION("""COMPUTED_VALUE"""),"SOUTH")</f>
        <v>SOUTH</v>
      </c>
      <c r="B5815" s="115" t="str">
        <f>IFERROR(__xludf.DUMMYFUNCTION("""COMPUTED_VALUE"""),"0")</f>
        <v>0</v>
      </c>
      <c r="C5815" s="115" t="str">
        <f>IFERROR(__xludf.DUMMYFUNCTION("""COMPUTED_VALUE"""),"FLIPKART")</f>
        <v>FLIPKART</v>
      </c>
      <c r="D5815" s="115">
        <f>IFERROR(__xludf.DUMMYFUNCTION("""COMPUTED_VALUE"""),4.0)</f>
        <v>4</v>
      </c>
      <c r="E5815" s="115">
        <f>IFERROR(__xludf.DUMMYFUNCTION("""COMPUTED_VALUE"""),0.0)</f>
        <v>0</v>
      </c>
      <c r="F5815" s="115">
        <f>IFERROR(__xludf.DUMMYFUNCTION("""COMPUTED_VALUE"""),0.0)</f>
        <v>0</v>
      </c>
      <c r="G5815" s="115">
        <f>IFERROR(__xludf.DUMMYFUNCTION("""COMPUTED_VALUE"""),0.0)</f>
        <v>0</v>
      </c>
      <c r="H5815" s="116">
        <f>IFERROR(__xludf.DUMMYFUNCTION("""COMPUTED_VALUE"""),45911.0)</f>
        <v>45911</v>
      </c>
      <c r="I5815" s="115" t="str">
        <f>IFERROR(__xludf.DUMMYFUNCTION("""COMPUTED_VALUE"""),"12")</f>
        <v>12</v>
      </c>
      <c r="J5815" s="115"/>
      <c r="K5815" s="115">
        <f>IFERROR(__xludf.DUMMYFUNCTION("""COMPUTED_VALUE"""),4.0)</f>
        <v>4</v>
      </c>
    </row>
    <row r="5816">
      <c r="A5816" s="115" t="str">
        <f>IFERROR(__xludf.DUMMYFUNCTION("""COMPUTED_VALUE"""),"SOUTH")</f>
        <v>SOUTH</v>
      </c>
      <c r="B5816" s="115" t="str">
        <f>IFERROR(__xludf.DUMMYFUNCTION("""COMPUTED_VALUE"""),"0")</f>
        <v>0</v>
      </c>
      <c r="C5816" s="115" t="str">
        <f>IFERROR(__xludf.DUMMYFUNCTION("""COMPUTED_VALUE"""),"MYNTRA")</f>
        <v>MYNTRA</v>
      </c>
      <c r="D5816" s="115">
        <f>IFERROR(__xludf.DUMMYFUNCTION("""COMPUTED_VALUE"""),3.0)</f>
        <v>3</v>
      </c>
      <c r="E5816" s="115">
        <f>IFERROR(__xludf.DUMMYFUNCTION("""COMPUTED_VALUE"""),0.0)</f>
        <v>0</v>
      </c>
      <c r="F5816" s="115">
        <f>IFERROR(__xludf.DUMMYFUNCTION("""COMPUTED_VALUE"""),0.0)</f>
        <v>0</v>
      </c>
      <c r="G5816" s="115">
        <f>IFERROR(__xludf.DUMMYFUNCTION("""COMPUTED_VALUE"""),0.0)</f>
        <v>0</v>
      </c>
      <c r="H5816" s="116">
        <f>IFERROR(__xludf.DUMMYFUNCTION("""COMPUTED_VALUE"""),45911.0)</f>
        <v>45911</v>
      </c>
      <c r="I5816" s="115" t="str">
        <f>IFERROR(__xludf.DUMMYFUNCTION("""COMPUTED_VALUE"""),"12")</f>
        <v>12</v>
      </c>
      <c r="J5816" s="115"/>
      <c r="K5816" s="115">
        <f>IFERROR(__xludf.DUMMYFUNCTION("""COMPUTED_VALUE"""),3.0)</f>
        <v>3</v>
      </c>
    </row>
    <row r="5817">
      <c r="A5817" s="115" t="str">
        <f>IFERROR(__xludf.DUMMYFUNCTION("""COMPUTED_VALUE"""),"SOUTH")</f>
        <v>SOUTH</v>
      </c>
      <c r="B5817" s="115" t="str">
        <f>IFERROR(__xludf.DUMMYFUNCTION("""COMPUTED_VALUE"""),"Kandula Sampath")</f>
        <v>Kandula Sampath</v>
      </c>
      <c r="C5817" s="115" t="str">
        <f>IFERROR(__xludf.DUMMYFUNCTION("""COMPUTED_VALUE"""),"EXTERNAL")</f>
        <v>EXTERNAL</v>
      </c>
      <c r="D5817" s="115">
        <f>IFERROR(__xludf.DUMMYFUNCTION("""COMPUTED_VALUE"""),31711.0)</f>
        <v>31711</v>
      </c>
      <c r="E5817" s="115">
        <f>IFERROR(__xludf.DUMMYFUNCTION("""COMPUTED_VALUE"""),4464.0)</f>
        <v>4464</v>
      </c>
      <c r="F5817" s="115">
        <f>IFERROR(__xludf.DUMMYFUNCTION("""COMPUTED_VALUE"""),5313.0)</f>
        <v>5313</v>
      </c>
      <c r="G5817" s="115">
        <f>IFERROR(__xludf.DUMMYFUNCTION("""COMPUTED_VALUE"""),175.0)</f>
        <v>175</v>
      </c>
      <c r="H5817" s="116">
        <f>IFERROR(__xludf.DUMMYFUNCTION("""COMPUTED_VALUE"""),45911.0)</f>
        <v>45911</v>
      </c>
      <c r="I5817" s="115" t="str">
        <f>IFERROR(__xludf.DUMMYFUNCTION("""COMPUTED_VALUE"""),"12")</f>
        <v>12</v>
      </c>
      <c r="J5817" s="115"/>
      <c r="K5817" s="115">
        <f>IFERROR(__xludf.DUMMYFUNCTION("""COMPUTED_VALUE"""),36175.0)</f>
        <v>36175</v>
      </c>
    </row>
    <row r="5818">
      <c r="A5818" s="115" t="str">
        <f>IFERROR(__xludf.DUMMYFUNCTION("""COMPUTED_VALUE"""),"SOUTH")</f>
        <v>SOUTH</v>
      </c>
      <c r="B5818" s="115" t="str">
        <f>IFERROR(__xludf.DUMMYFUNCTION("""COMPUTED_VALUE"""),"Kandula Sampath")</f>
        <v>Kandula Sampath</v>
      </c>
      <c r="C5818" s="115" t="str">
        <f>IFERROR(__xludf.DUMMYFUNCTION("""COMPUTED_VALUE"""),"FLIPKART")</f>
        <v>FLIPKART</v>
      </c>
      <c r="D5818" s="115">
        <f>IFERROR(__xludf.DUMMYFUNCTION("""COMPUTED_VALUE"""),338846.0)</f>
        <v>338846</v>
      </c>
      <c r="E5818" s="115">
        <f>IFERROR(__xludf.DUMMYFUNCTION("""COMPUTED_VALUE"""),26541.0)</f>
        <v>26541</v>
      </c>
      <c r="F5818" s="115">
        <f>IFERROR(__xludf.DUMMYFUNCTION("""COMPUTED_VALUE"""),99445.0)</f>
        <v>99445</v>
      </c>
      <c r="G5818" s="115">
        <f>IFERROR(__xludf.DUMMYFUNCTION("""COMPUTED_VALUE"""),1571.0)</f>
        <v>1571</v>
      </c>
      <c r="H5818" s="116">
        <f>IFERROR(__xludf.DUMMYFUNCTION("""COMPUTED_VALUE"""),45911.0)</f>
        <v>45911</v>
      </c>
      <c r="I5818" s="115" t="str">
        <f>IFERROR(__xludf.DUMMYFUNCTION("""COMPUTED_VALUE"""),"12")</f>
        <v>12</v>
      </c>
      <c r="J5818" s="115"/>
      <c r="K5818" s="115">
        <f>IFERROR(__xludf.DUMMYFUNCTION("""COMPUTED_VALUE"""),365387.0)</f>
        <v>365387</v>
      </c>
    </row>
    <row r="5819">
      <c r="A5819" s="115" t="str">
        <f>IFERROR(__xludf.DUMMYFUNCTION("""COMPUTED_VALUE"""),"SOUTH")</f>
        <v>SOUTH</v>
      </c>
      <c r="B5819" s="115" t="str">
        <f>IFERROR(__xludf.DUMMYFUNCTION("""COMPUTED_VALUE"""),"Kandula Sampath")</f>
        <v>Kandula Sampath</v>
      </c>
      <c r="C5819" s="115" t="str">
        <f>IFERROR(__xludf.DUMMYFUNCTION("""COMPUTED_VALUE"""),"MYNTRA")</f>
        <v>MYNTRA</v>
      </c>
      <c r="D5819" s="115">
        <f>IFERROR(__xludf.DUMMYFUNCTION("""COMPUTED_VALUE"""),34590.0)</f>
        <v>34590</v>
      </c>
      <c r="E5819" s="115">
        <f>IFERROR(__xludf.DUMMYFUNCTION("""COMPUTED_VALUE"""),8141.0)</f>
        <v>8141</v>
      </c>
      <c r="F5819" s="115">
        <f>IFERROR(__xludf.DUMMYFUNCTION("""COMPUTED_VALUE"""),11265.0)</f>
        <v>11265</v>
      </c>
      <c r="G5819" s="115">
        <f>IFERROR(__xludf.DUMMYFUNCTION("""COMPUTED_VALUE"""),497.0)</f>
        <v>497</v>
      </c>
      <c r="H5819" s="116">
        <f>IFERROR(__xludf.DUMMYFUNCTION("""COMPUTED_VALUE"""),45911.0)</f>
        <v>45911</v>
      </c>
      <c r="I5819" s="115" t="str">
        <f>IFERROR(__xludf.DUMMYFUNCTION("""COMPUTED_VALUE"""),"12")</f>
        <v>12</v>
      </c>
      <c r="J5819" s="115"/>
      <c r="K5819" s="115">
        <f>IFERROR(__xludf.DUMMYFUNCTION("""COMPUTED_VALUE"""),42731.0)</f>
        <v>42731</v>
      </c>
    </row>
    <row r="5820">
      <c r="A5820" s="115" t="str">
        <f>IFERROR(__xludf.DUMMYFUNCTION("""COMPUTED_VALUE"""),"SOUTH")</f>
        <v>SOUTH</v>
      </c>
      <c r="B5820" s="115" t="str">
        <f>IFERROR(__xludf.DUMMYFUNCTION("""COMPUTED_VALUE"""),"Martin A")</f>
        <v>Martin A</v>
      </c>
      <c r="C5820" s="115" t="str">
        <f>IFERROR(__xludf.DUMMYFUNCTION("""COMPUTED_VALUE"""),"EXTERNAL")</f>
        <v>EXTERNAL</v>
      </c>
      <c r="D5820" s="115">
        <f>IFERROR(__xludf.DUMMYFUNCTION("""COMPUTED_VALUE"""),25538.0)</f>
        <v>25538</v>
      </c>
      <c r="E5820" s="115">
        <f>IFERROR(__xludf.DUMMYFUNCTION("""COMPUTED_VALUE"""),3639.0)</f>
        <v>3639</v>
      </c>
      <c r="F5820" s="115">
        <f>IFERROR(__xludf.DUMMYFUNCTION("""COMPUTED_VALUE"""),4502.0)</f>
        <v>4502</v>
      </c>
      <c r="G5820" s="115">
        <f>IFERROR(__xludf.DUMMYFUNCTION("""COMPUTED_VALUE"""),366.0)</f>
        <v>366</v>
      </c>
      <c r="H5820" s="116">
        <f>IFERROR(__xludf.DUMMYFUNCTION("""COMPUTED_VALUE"""),45911.0)</f>
        <v>45911</v>
      </c>
      <c r="I5820" s="115" t="str">
        <f>IFERROR(__xludf.DUMMYFUNCTION("""COMPUTED_VALUE"""),"12")</f>
        <v>12</v>
      </c>
      <c r="J5820" s="115"/>
      <c r="K5820" s="115">
        <f>IFERROR(__xludf.DUMMYFUNCTION("""COMPUTED_VALUE"""),29177.0)</f>
        <v>29177</v>
      </c>
    </row>
    <row r="5821">
      <c r="A5821" s="115" t="str">
        <f>IFERROR(__xludf.DUMMYFUNCTION("""COMPUTED_VALUE"""),"SOUTH")</f>
        <v>SOUTH</v>
      </c>
      <c r="B5821" s="115" t="str">
        <f>IFERROR(__xludf.DUMMYFUNCTION("""COMPUTED_VALUE"""),"Martin A")</f>
        <v>Martin A</v>
      </c>
      <c r="C5821" s="115" t="str">
        <f>IFERROR(__xludf.DUMMYFUNCTION("""COMPUTED_VALUE"""),"FLIPKART")</f>
        <v>FLIPKART</v>
      </c>
      <c r="D5821" s="115">
        <f>IFERROR(__xludf.DUMMYFUNCTION("""COMPUTED_VALUE"""),247735.0)</f>
        <v>247735</v>
      </c>
      <c r="E5821" s="115">
        <f>IFERROR(__xludf.DUMMYFUNCTION("""COMPUTED_VALUE"""),23471.0)</f>
        <v>23471</v>
      </c>
      <c r="F5821" s="115">
        <f>IFERROR(__xludf.DUMMYFUNCTION("""COMPUTED_VALUE"""),74816.0)</f>
        <v>74816</v>
      </c>
      <c r="G5821" s="115">
        <f>IFERROR(__xludf.DUMMYFUNCTION("""COMPUTED_VALUE"""),2317.0)</f>
        <v>2317</v>
      </c>
      <c r="H5821" s="116">
        <f>IFERROR(__xludf.DUMMYFUNCTION("""COMPUTED_VALUE"""),45911.0)</f>
        <v>45911</v>
      </c>
      <c r="I5821" s="115" t="str">
        <f>IFERROR(__xludf.DUMMYFUNCTION("""COMPUTED_VALUE"""),"12")</f>
        <v>12</v>
      </c>
      <c r="J5821" s="115"/>
      <c r="K5821" s="115">
        <f>IFERROR(__xludf.DUMMYFUNCTION("""COMPUTED_VALUE"""),271206.0)</f>
        <v>271206</v>
      </c>
    </row>
    <row r="5822">
      <c r="A5822" s="115" t="str">
        <f>IFERROR(__xludf.DUMMYFUNCTION("""COMPUTED_VALUE"""),"SOUTH")</f>
        <v>SOUTH</v>
      </c>
      <c r="B5822" s="115" t="str">
        <f>IFERROR(__xludf.DUMMYFUNCTION("""COMPUTED_VALUE"""),"Martin A")</f>
        <v>Martin A</v>
      </c>
      <c r="C5822" s="115" t="str">
        <f>IFERROR(__xludf.DUMMYFUNCTION("""COMPUTED_VALUE"""),"MYNTRA")</f>
        <v>MYNTRA</v>
      </c>
      <c r="D5822" s="115">
        <f>IFERROR(__xludf.DUMMYFUNCTION("""COMPUTED_VALUE"""),20797.0)</f>
        <v>20797</v>
      </c>
      <c r="E5822" s="115">
        <f>IFERROR(__xludf.DUMMYFUNCTION("""COMPUTED_VALUE"""),6606.0)</f>
        <v>6606</v>
      </c>
      <c r="F5822" s="115">
        <f>IFERROR(__xludf.DUMMYFUNCTION("""COMPUTED_VALUE"""),7570.0)</f>
        <v>7570</v>
      </c>
      <c r="G5822" s="115">
        <f>IFERROR(__xludf.DUMMYFUNCTION("""COMPUTED_VALUE"""),692.0)</f>
        <v>692</v>
      </c>
      <c r="H5822" s="116">
        <f>IFERROR(__xludf.DUMMYFUNCTION("""COMPUTED_VALUE"""),45911.0)</f>
        <v>45911</v>
      </c>
      <c r="I5822" s="115" t="str">
        <f>IFERROR(__xludf.DUMMYFUNCTION("""COMPUTED_VALUE"""),"12")</f>
        <v>12</v>
      </c>
      <c r="J5822" s="115"/>
      <c r="K5822" s="115">
        <f>IFERROR(__xludf.DUMMYFUNCTION("""COMPUTED_VALUE"""),27403.0)</f>
        <v>27403</v>
      </c>
    </row>
    <row r="5823">
      <c r="A5823" s="115" t="str">
        <f>IFERROR(__xludf.DUMMYFUNCTION("""COMPUTED_VALUE"""),"SOUTH")</f>
        <v>SOUTH</v>
      </c>
      <c r="B5823" s="115" t="str">
        <f>IFERROR(__xludf.DUMMYFUNCTION("""COMPUTED_VALUE"""),"Premkumar M")</f>
        <v>Premkumar M</v>
      </c>
      <c r="C5823" s="115" t="str">
        <f>IFERROR(__xludf.DUMMYFUNCTION("""COMPUTED_VALUE"""),"EXTERNAL")</f>
        <v>EXTERNAL</v>
      </c>
      <c r="D5823" s="115">
        <f>IFERROR(__xludf.DUMMYFUNCTION("""COMPUTED_VALUE"""),21494.0)</f>
        <v>21494</v>
      </c>
      <c r="E5823" s="115">
        <f>IFERROR(__xludf.DUMMYFUNCTION("""COMPUTED_VALUE"""),1550.0)</f>
        <v>1550</v>
      </c>
      <c r="F5823" s="115">
        <f>IFERROR(__xludf.DUMMYFUNCTION("""COMPUTED_VALUE"""),2610.0)</f>
        <v>2610</v>
      </c>
      <c r="G5823" s="115">
        <f>IFERROR(__xludf.DUMMYFUNCTION("""COMPUTED_VALUE"""),12.0)</f>
        <v>12</v>
      </c>
      <c r="H5823" s="116">
        <f>IFERROR(__xludf.DUMMYFUNCTION("""COMPUTED_VALUE"""),45911.0)</f>
        <v>45911</v>
      </c>
      <c r="I5823" s="115" t="str">
        <f>IFERROR(__xludf.DUMMYFUNCTION("""COMPUTED_VALUE"""),"12")</f>
        <v>12</v>
      </c>
      <c r="J5823" s="115"/>
      <c r="K5823" s="115">
        <f>IFERROR(__xludf.DUMMYFUNCTION("""COMPUTED_VALUE"""),23044.0)</f>
        <v>23044</v>
      </c>
    </row>
    <row r="5824">
      <c r="A5824" s="115" t="str">
        <f>IFERROR(__xludf.DUMMYFUNCTION("""COMPUTED_VALUE"""),"SOUTH")</f>
        <v>SOUTH</v>
      </c>
      <c r="B5824" s="115" t="str">
        <f>IFERROR(__xludf.DUMMYFUNCTION("""COMPUTED_VALUE"""),"Premkumar M")</f>
        <v>Premkumar M</v>
      </c>
      <c r="C5824" s="115" t="str">
        <f>IFERROR(__xludf.DUMMYFUNCTION("""COMPUTED_VALUE"""),"FLIPKART")</f>
        <v>FLIPKART</v>
      </c>
      <c r="D5824" s="115">
        <f>IFERROR(__xludf.DUMMYFUNCTION("""COMPUTED_VALUE"""),239464.0)</f>
        <v>239464</v>
      </c>
      <c r="E5824" s="115">
        <f>IFERROR(__xludf.DUMMYFUNCTION("""COMPUTED_VALUE"""),13002.0)</f>
        <v>13002</v>
      </c>
      <c r="F5824" s="115">
        <f>IFERROR(__xludf.DUMMYFUNCTION("""COMPUTED_VALUE"""),44840.0)</f>
        <v>44840</v>
      </c>
      <c r="G5824" s="115">
        <f>IFERROR(__xludf.DUMMYFUNCTION("""COMPUTED_VALUE"""),320.0)</f>
        <v>320</v>
      </c>
      <c r="H5824" s="116">
        <f>IFERROR(__xludf.DUMMYFUNCTION("""COMPUTED_VALUE"""),45911.0)</f>
        <v>45911</v>
      </c>
      <c r="I5824" s="115" t="str">
        <f>IFERROR(__xludf.DUMMYFUNCTION("""COMPUTED_VALUE"""),"12")</f>
        <v>12</v>
      </c>
      <c r="J5824" s="115"/>
      <c r="K5824" s="115">
        <f>IFERROR(__xludf.DUMMYFUNCTION("""COMPUTED_VALUE"""),252466.0)</f>
        <v>252466</v>
      </c>
    </row>
    <row r="5825">
      <c r="A5825" s="115" t="str">
        <f>IFERROR(__xludf.DUMMYFUNCTION("""COMPUTED_VALUE"""),"SOUTH")</f>
        <v>SOUTH</v>
      </c>
      <c r="B5825" s="115" t="str">
        <f>IFERROR(__xludf.DUMMYFUNCTION("""COMPUTED_VALUE"""),"Premkumar M")</f>
        <v>Premkumar M</v>
      </c>
      <c r="C5825" s="115" t="str">
        <f>IFERROR(__xludf.DUMMYFUNCTION("""COMPUTED_VALUE"""),"MYNTRA")</f>
        <v>MYNTRA</v>
      </c>
      <c r="D5825" s="115">
        <f>IFERROR(__xludf.DUMMYFUNCTION("""COMPUTED_VALUE"""),11859.0)</f>
        <v>11859</v>
      </c>
      <c r="E5825" s="115">
        <f>IFERROR(__xludf.DUMMYFUNCTION("""COMPUTED_VALUE"""),2246.0)</f>
        <v>2246</v>
      </c>
      <c r="F5825" s="115">
        <f>IFERROR(__xludf.DUMMYFUNCTION("""COMPUTED_VALUE"""),2737.0)</f>
        <v>2737</v>
      </c>
      <c r="G5825" s="115">
        <f>IFERROR(__xludf.DUMMYFUNCTION("""COMPUTED_VALUE"""),67.0)</f>
        <v>67</v>
      </c>
      <c r="H5825" s="116">
        <f>IFERROR(__xludf.DUMMYFUNCTION("""COMPUTED_VALUE"""),45911.0)</f>
        <v>45911</v>
      </c>
      <c r="I5825" s="115" t="str">
        <f>IFERROR(__xludf.DUMMYFUNCTION("""COMPUTED_VALUE"""),"12")</f>
        <v>12</v>
      </c>
      <c r="J5825" s="115"/>
      <c r="K5825" s="115">
        <f>IFERROR(__xludf.DUMMYFUNCTION("""COMPUTED_VALUE"""),14105.0)</f>
        <v>14105</v>
      </c>
    </row>
    <row r="5826">
      <c r="A5826" s="115" t="str">
        <f>IFERROR(__xludf.DUMMYFUNCTION("""COMPUTED_VALUE"""),"SOUTH")</f>
        <v>SOUTH</v>
      </c>
      <c r="B5826" s="115" t="str">
        <f>IFERROR(__xludf.DUMMYFUNCTION("""COMPUTED_VALUE"""),"Vineeth V")</f>
        <v>Vineeth V</v>
      </c>
      <c r="C5826" s="115" t="str">
        <f>IFERROR(__xludf.DUMMYFUNCTION("""COMPUTED_VALUE"""),"EXTERNAL")</f>
        <v>EXTERNAL</v>
      </c>
      <c r="D5826" s="115">
        <f>IFERROR(__xludf.DUMMYFUNCTION("""COMPUTED_VALUE"""),18805.0)</f>
        <v>18805</v>
      </c>
      <c r="E5826" s="115">
        <f>IFERROR(__xludf.DUMMYFUNCTION("""COMPUTED_VALUE"""),472.0)</f>
        <v>472</v>
      </c>
      <c r="F5826" s="115">
        <f>IFERROR(__xludf.DUMMYFUNCTION("""COMPUTED_VALUE"""),2005.0)</f>
        <v>2005</v>
      </c>
      <c r="G5826" s="115">
        <f>IFERROR(__xludf.DUMMYFUNCTION("""COMPUTED_VALUE"""),6.0)</f>
        <v>6</v>
      </c>
      <c r="H5826" s="116">
        <f>IFERROR(__xludf.DUMMYFUNCTION("""COMPUTED_VALUE"""),45911.0)</f>
        <v>45911</v>
      </c>
      <c r="I5826" s="115" t="str">
        <f>IFERROR(__xludf.DUMMYFUNCTION("""COMPUTED_VALUE"""),"12")</f>
        <v>12</v>
      </c>
      <c r="J5826" s="115"/>
      <c r="K5826" s="115">
        <f>IFERROR(__xludf.DUMMYFUNCTION("""COMPUTED_VALUE"""),19277.0)</f>
        <v>19277</v>
      </c>
    </row>
    <row r="5827">
      <c r="A5827" s="115" t="str">
        <f>IFERROR(__xludf.DUMMYFUNCTION("""COMPUTED_VALUE"""),"SOUTH")</f>
        <v>SOUTH</v>
      </c>
      <c r="B5827" s="115" t="str">
        <f>IFERROR(__xludf.DUMMYFUNCTION("""COMPUTED_VALUE"""),"Vineeth V")</f>
        <v>Vineeth V</v>
      </c>
      <c r="C5827" s="115" t="str">
        <f>IFERROR(__xludf.DUMMYFUNCTION("""COMPUTED_VALUE"""),"FLIPKART")</f>
        <v>FLIPKART</v>
      </c>
      <c r="D5827" s="115">
        <f>IFERROR(__xludf.DUMMYFUNCTION("""COMPUTED_VALUE"""),190246.0)</f>
        <v>190246</v>
      </c>
      <c r="E5827" s="115">
        <f>IFERROR(__xludf.DUMMYFUNCTION("""COMPUTED_VALUE"""),10342.0)</f>
        <v>10342</v>
      </c>
      <c r="F5827" s="115">
        <f>IFERROR(__xludf.DUMMYFUNCTION("""COMPUTED_VALUE"""),31619.0)</f>
        <v>31619</v>
      </c>
      <c r="G5827" s="115">
        <f>IFERROR(__xludf.DUMMYFUNCTION("""COMPUTED_VALUE"""),181.0)</f>
        <v>181</v>
      </c>
      <c r="H5827" s="116">
        <f>IFERROR(__xludf.DUMMYFUNCTION("""COMPUTED_VALUE"""),45911.0)</f>
        <v>45911</v>
      </c>
      <c r="I5827" s="115" t="str">
        <f>IFERROR(__xludf.DUMMYFUNCTION("""COMPUTED_VALUE"""),"12")</f>
        <v>12</v>
      </c>
      <c r="J5827" s="115"/>
      <c r="K5827" s="115">
        <f>IFERROR(__xludf.DUMMYFUNCTION("""COMPUTED_VALUE"""),200588.0)</f>
        <v>200588</v>
      </c>
    </row>
    <row r="5828">
      <c r="A5828" s="115" t="str">
        <f>IFERROR(__xludf.DUMMYFUNCTION("""COMPUTED_VALUE"""),"SOUTH")</f>
        <v>SOUTH</v>
      </c>
      <c r="B5828" s="115" t="str">
        <f>IFERROR(__xludf.DUMMYFUNCTION("""COMPUTED_VALUE"""),"Vineeth V")</f>
        <v>Vineeth V</v>
      </c>
      <c r="C5828" s="115" t="str">
        <f>IFERROR(__xludf.DUMMYFUNCTION("""COMPUTED_VALUE"""),"MYNTRA")</f>
        <v>MYNTRA</v>
      </c>
      <c r="D5828" s="115">
        <f>IFERROR(__xludf.DUMMYFUNCTION("""COMPUTED_VALUE"""),13808.0)</f>
        <v>13808</v>
      </c>
      <c r="E5828" s="115">
        <f>IFERROR(__xludf.DUMMYFUNCTION("""COMPUTED_VALUE"""),2632.0)</f>
        <v>2632</v>
      </c>
      <c r="F5828" s="115">
        <f>IFERROR(__xludf.DUMMYFUNCTION("""COMPUTED_VALUE"""),2657.0)</f>
        <v>2657</v>
      </c>
      <c r="G5828" s="115">
        <f>IFERROR(__xludf.DUMMYFUNCTION("""COMPUTED_VALUE"""),41.0)</f>
        <v>41</v>
      </c>
      <c r="H5828" s="116">
        <f>IFERROR(__xludf.DUMMYFUNCTION("""COMPUTED_VALUE"""),45911.0)</f>
        <v>45911</v>
      </c>
      <c r="I5828" s="115" t="str">
        <f>IFERROR(__xludf.DUMMYFUNCTION("""COMPUTED_VALUE"""),"12")</f>
        <v>12</v>
      </c>
      <c r="J5828" s="115"/>
      <c r="K5828" s="115">
        <f>IFERROR(__xludf.DUMMYFUNCTION("""COMPUTED_VALUE"""),16440.0)</f>
        <v>16440</v>
      </c>
    </row>
    <row r="5829">
      <c r="A5829" s="115" t="str">
        <f>IFERROR(__xludf.DUMMYFUNCTION("""COMPUTED_VALUE"""),"WEST")</f>
        <v>WEST</v>
      </c>
      <c r="B5829" s="115" t="str">
        <f>IFERROR(__xludf.DUMMYFUNCTION("""COMPUTED_VALUE"""),"Ashish Jakar")</f>
        <v>Ashish Jakar</v>
      </c>
      <c r="C5829" s="115" t="str">
        <f>IFERROR(__xludf.DUMMYFUNCTION("""COMPUTED_VALUE"""),"EXTERNAL")</f>
        <v>EXTERNAL</v>
      </c>
      <c r="D5829" s="115">
        <f>IFERROR(__xludf.DUMMYFUNCTION("""COMPUTED_VALUE"""),51313.0)</f>
        <v>51313</v>
      </c>
      <c r="E5829" s="115">
        <f>IFERROR(__xludf.DUMMYFUNCTION("""COMPUTED_VALUE"""),6643.0)</f>
        <v>6643</v>
      </c>
      <c r="F5829" s="115">
        <f>IFERROR(__xludf.DUMMYFUNCTION("""COMPUTED_VALUE"""),6728.0)</f>
        <v>6728</v>
      </c>
      <c r="G5829" s="115">
        <f>IFERROR(__xludf.DUMMYFUNCTION("""COMPUTED_VALUE"""),495.0)</f>
        <v>495</v>
      </c>
      <c r="H5829" s="116">
        <f>IFERROR(__xludf.DUMMYFUNCTION("""COMPUTED_VALUE"""),45911.0)</f>
        <v>45911</v>
      </c>
      <c r="I5829" s="115" t="str">
        <f>IFERROR(__xludf.DUMMYFUNCTION("""COMPUTED_VALUE"""),"12")</f>
        <v>12</v>
      </c>
      <c r="J5829" s="115"/>
      <c r="K5829" s="115">
        <f>IFERROR(__xludf.DUMMYFUNCTION("""COMPUTED_VALUE"""),57956.0)</f>
        <v>57956</v>
      </c>
    </row>
    <row r="5830">
      <c r="A5830" s="115" t="str">
        <f>IFERROR(__xludf.DUMMYFUNCTION("""COMPUTED_VALUE"""),"WEST")</f>
        <v>WEST</v>
      </c>
      <c r="B5830" s="115" t="str">
        <f>IFERROR(__xludf.DUMMYFUNCTION("""COMPUTED_VALUE"""),"Ashish Jakar")</f>
        <v>Ashish Jakar</v>
      </c>
      <c r="C5830" s="115" t="str">
        <f>IFERROR(__xludf.DUMMYFUNCTION("""COMPUTED_VALUE"""),"FLIPKART")</f>
        <v>FLIPKART</v>
      </c>
      <c r="D5830" s="115">
        <f>IFERROR(__xludf.DUMMYFUNCTION("""COMPUTED_VALUE"""),346151.0)</f>
        <v>346151</v>
      </c>
      <c r="E5830" s="115">
        <f>IFERROR(__xludf.DUMMYFUNCTION("""COMPUTED_VALUE"""),29918.0)</f>
        <v>29918</v>
      </c>
      <c r="F5830" s="115">
        <f>IFERROR(__xludf.DUMMYFUNCTION("""COMPUTED_VALUE"""),79736.0)</f>
        <v>79736</v>
      </c>
      <c r="G5830" s="115">
        <f>IFERROR(__xludf.DUMMYFUNCTION("""COMPUTED_VALUE"""),2465.0)</f>
        <v>2465</v>
      </c>
      <c r="H5830" s="116">
        <f>IFERROR(__xludf.DUMMYFUNCTION("""COMPUTED_VALUE"""),45911.0)</f>
        <v>45911</v>
      </c>
      <c r="I5830" s="115" t="str">
        <f>IFERROR(__xludf.DUMMYFUNCTION("""COMPUTED_VALUE"""),"12")</f>
        <v>12</v>
      </c>
      <c r="J5830" s="115"/>
      <c r="K5830" s="115">
        <f>IFERROR(__xludf.DUMMYFUNCTION("""COMPUTED_VALUE"""),376069.0)</f>
        <v>376069</v>
      </c>
    </row>
    <row r="5831">
      <c r="A5831" s="115" t="str">
        <f>IFERROR(__xludf.DUMMYFUNCTION("""COMPUTED_VALUE"""),"WEST")</f>
        <v>WEST</v>
      </c>
      <c r="B5831" s="115" t="str">
        <f>IFERROR(__xludf.DUMMYFUNCTION("""COMPUTED_VALUE"""),"Ashish Jakar")</f>
        <v>Ashish Jakar</v>
      </c>
      <c r="C5831" s="115" t="str">
        <f>IFERROR(__xludf.DUMMYFUNCTION("""COMPUTED_VALUE"""),"MYNTRA")</f>
        <v>MYNTRA</v>
      </c>
      <c r="D5831" s="115">
        <f>IFERROR(__xludf.DUMMYFUNCTION("""COMPUTED_VALUE"""),39342.0)</f>
        <v>39342</v>
      </c>
      <c r="E5831" s="115">
        <f>IFERROR(__xludf.DUMMYFUNCTION("""COMPUTED_VALUE"""),9936.0)</f>
        <v>9936</v>
      </c>
      <c r="F5831" s="115">
        <f>IFERROR(__xludf.DUMMYFUNCTION("""COMPUTED_VALUE"""),11046.0)</f>
        <v>11046</v>
      </c>
      <c r="G5831" s="115">
        <f>IFERROR(__xludf.DUMMYFUNCTION("""COMPUTED_VALUE"""),1014.0)</f>
        <v>1014</v>
      </c>
      <c r="H5831" s="116">
        <f>IFERROR(__xludf.DUMMYFUNCTION("""COMPUTED_VALUE"""),45911.0)</f>
        <v>45911</v>
      </c>
      <c r="I5831" s="115" t="str">
        <f>IFERROR(__xludf.DUMMYFUNCTION("""COMPUTED_VALUE"""),"12")</f>
        <v>12</v>
      </c>
      <c r="J5831" s="115"/>
      <c r="K5831" s="115">
        <f>IFERROR(__xludf.DUMMYFUNCTION("""COMPUTED_VALUE"""),49278.0)</f>
        <v>49278</v>
      </c>
    </row>
    <row r="5832">
      <c r="A5832" s="115" t="str">
        <f>IFERROR(__xludf.DUMMYFUNCTION("""COMPUTED_VALUE"""),"WEST")</f>
        <v>WEST</v>
      </c>
      <c r="B5832" s="115" t="str">
        <f>IFERROR(__xludf.DUMMYFUNCTION("""COMPUTED_VALUE"""),"Ashvani Bhatt")</f>
        <v>Ashvani Bhatt</v>
      </c>
      <c r="C5832" s="115" t="str">
        <f>IFERROR(__xludf.DUMMYFUNCTION("""COMPUTED_VALUE"""),"EXTERNAL")</f>
        <v>EXTERNAL</v>
      </c>
      <c r="D5832" s="115">
        <f>IFERROR(__xludf.DUMMYFUNCTION("""COMPUTED_VALUE"""),34066.0)</f>
        <v>34066</v>
      </c>
      <c r="E5832" s="115">
        <f>IFERROR(__xludf.DUMMYFUNCTION("""COMPUTED_VALUE"""),3490.0)</f>
        <v>3490</v>
      </c>
      <c r="F5832" s="115">
        <f>IFERROR(__xludf.DUMMYFUNCTION("""COMPUTED_VALUE"""),5330.0)</f>
        <v>5330</v>
      </c>
      <c r="G5832" s="115">
        <f>IFERROR(__xludf.DUMMYFUNCTION("""COMPUTED_VALUE"""),148.0)</f>
        <v>148</v>
      </c>
      <c r="H5832" s="116">
        <f>IFERROR(__xludf.DUMMYFUNCTION("""COMPUTED_VALUE"""),45911.0)</f>
        <v>45911</v>
      </c>
      <c r="I5832" s="115" t="str">
        <f>IFERROR(__xludf.DUMMYFUNCTION("""COMPUTED_VALUE"""),"12")</f>
        <v>12</v>
      </c>
      <c r="J5832" s="115"/>
      <c r="K5832" s="115">
        <f>IFERROR(__xludf.DUMMYFUNCTION("""COMPUTED_VALUE"""),37556.0)</f>
        <v>37556</v>
      </c>
    </row>
    <row r="5833">
      <c r="A5833" s="115" t="str">
        <f>IFERROR(__xludf.DUMMYFUNCTION("""COMPUTED_VALUE"""),"WEST")</f>
        <v>WEST</v>
      </c>
      <c r="B5833" s="115" t="str">
        <f>IFERROR(__xludf.DUMMYFUNCTION("""COMPUTED_VALUE"""),"Ashvani Bhatt")</f>
        <v>Ashvani Bhatt</v>
      </c>
      <c r="C5833" s="115" t="str">
        <f>IFERROR(__xludf.DUMMYFUNCTION("""COMPUTED_VALUE"""),"FLIPKART")</f>
        <v>FLIPKART</v>
      </c>
      <c r="D5833" s="115">
        <f>IFERROR(__xludf.DUMMYFUNCTION("""COMPUTED_VALUE"""),271600.0)</f>
        <v>271600</v>
      </c>
      <c r="E5833" s="115">
        <f>IFERROR(__xludf.DUMMYFUNCTION("""COMPUTED_VALUE"""),23218.0)</f>
        <v>23218</v>
      </c>
      <c r="F5833" s="115">
        <f>IFERROR(__xludf.DUMMYFUNCTION("""COMPUTED_VALUE"""),79269.0)</f>
        <v>79269</v>
      </c>
      <c r="G5833" s="115">
        <f>IFERROR(__xludf.DUMMYFUNCTION("""COMPUTED_VALUE"""),1631.0)</f>
        <v>1631</v>
      </c>
      <c r="H5833" s="116">
        <f>IFERROR(__xludf.DUMMYFUNCTION("""COMPUTED_VALUE"""),45911.0)</f>
        <v>45911</v>
      </c>
      <c r="I5833" s="115" t="str">
        <f>IFERROR(__xludf.DUMMYFUNCTION("""COMPUTED_VALUE"""),"12")</f>
        <v>12</v>
      </c>
      <c r="J5833" s="115"/>
      <c r="K5833" s="115">
        <f>IFERROR(__xludf.DUMMYFUNCTION("""COMPUTED_VALUE"""),294818.0)</f>
        <v>294818</v>
      </c>
    </row>
    <row r="5834">
      <c r="A5834" s="115" t="str">
        <f>IFERROR(__xludf.DUMMYFUNCTION("""COMPUTED_VALUE"""),"WEST")</f>
        <v>WEST</v>
      </c>
      <c r="B5834" s="115" t="str">
        <f>IFERROR(__xludf.DUMMYFUNCTION("""COMPUTED_VALUE"""),"Ashvani Bhatt")</f>
        <v>Ashvani Bhatt</v>
      </c>
      <c r="C5834" s="115" t="str">
        <f>IFERROR(__xludf.DUMMYFUNCTION("""COMPUTED_VALUE"""),"MYNTRA")</f>
        <v>MYNTRA</v>
      </c>
      <c r="D5834" s="115">
        <f>IFERROR(__xludf.DUMMYFUNCTION("""COMPUTED_VALUE"""),32787.0)</f>
        <v>32787</v>
      </c>
      <c r="E5834" s="115">
        <f>IFERROR(__xludf.DUMMYFUNCTION("""COMPUTED_VALUE"""),7951.0)</f>
        <v>7951</v>
      </c>
      <c r="F5834" s="115">
        <f>IFERROR(__xludf.DUMMYFUNCTION("""COMPUTED_VALUE"""),11708.0)</f>
        <v>11708</v>
      </c>
      <c r="G5834" s="115">
        <f>IFERROR(__xludf.DUMMYFUNCTION("""COMPUTED_VALUE"""),767.0)</f>
        <v>767</v>
      </c>
      <c r="H5834" s="116">
        <f>IFERROR(__xludf.DUMMYFUNCTION("""COMPUTED_VALUE"""),45911.0)</f>
        <v>45911</v>
      </c>
      <c r="I5834" s="115" t="str">
        <f>IFERROR(__xludf.DUMMYFUNCTION("""COMPUTED_VALUE"""),"12")</f>
        <v>12</v>
      </c>
      <c r="J5834" s="115"/>
      <c r="K5834" s="115">
        <f>IFERROR(__xludf.DUMMYFUNCTION("""COMPUTED_VALUE"""),40738.0)</f>
        <v>40738</v>
      </c>
    </row>
    <row r="5835">
      <c r="A5835" s="115"/>
      <c r="B5835" s="115"/>
      <c r="C5835" s="115" t="str">
        <f>IFERROR(__xludf.DUMMYFUNCTION("""COMPUTED_VALUE"""),"EXTERNAL")</f>
        <v>EXTERNAL</v>
      </c>
      <c r="D5835" s="115">
        <f>IFERROR(__xludf.DUMMYFUNCTION("""COMPUTED_VALUE"""),723.0)</f>
        <v>723</v>
      </c>
      <c r="E5835" s="115">
        <f>IFERROR(__xludf.DUMMYFUNCTION("""COMPUTED_VALUE"""),299.0)</f>
        <v>299</v>
      </c>
      <c r="F5835" s="115">
        <f>IFERROR(__xludf.DUMMYFUNCTION("""COMPUTED_VALUE"""),70.0)</f>
        <v>70</v>
      </c>
      <c r="G5835" s="115">
        <f>IFERROR(__xludf.DUMMYFUNCTION("""COMPUTED_VALUE"""),18.0)</f>
        <v>18</v>
      </c>
      <c r="H5835" s="116">
        <f>IFERROR(__xludf.DUMMYFUNCTION("""COMPUTED_VALUE"""),45911.0)</f>
        <v>45911</v>
      </c>
      <c r="I5835" s="115" t="str">
        <f>IFERROR(__xludf.DUMMYFUNCTION("""COMPUTED_VALUE"""),"12")</f>
        <v>12</v>
      </c>
      <c r="J5835" s="115"/>
      <c r="K5835" s="115">
        <f>IFERROR(__xludf.DUMMYFUNCTION("""COMPUTED_VALUE"""),1022.0)</f>
        <v>1022</v>
      </c>
    </row>
    <row r="5836">
      <c r="A5836" s="115"/>
      <c r="B5836" s="115"/>
      <c r="C5836" s="115" t="str">
        <f>IFERROR(__xludf.DUMMYFUNCTION("""COMPUTED_VALUE"""),"FLIPKART")</f>
        <v>FLIPKART</v>
      </c>
      <c r="D5836" s="115">
        <f>IFERROR(__xludf.DUMMYFUNCTION("""COMPUTED_VALUE"""),8774.0)</f>
        <v>8774</v>
      </c>
      <c r="E5836" s="115">
        <f>IFERROR(__xludf.DUMMYFUNCTION("""COMPUTED_VALUE"""),949.0)</f>
        <v>949</v>
      </c>
      <c r="F5836" s="115">
        <f>IFERROR(__xludf.DUMMYFUNCTION("""COMPUTED_VALUE"""),1157.0)</f>
        <v>1157</v>
      </c>
      <c r="G5836" s="115">
        <f>IFERROR(__xludf.DUMMYFUNCTION("""COMPUTED_VALUE"""),127.0)</f>
        <v>127</v>
      </c>
      <c r="H5836" s="116">
        <f>IFERROR(__xludf.DUMMYFUNCTION("""COMPUTED_VALUE"""),45911.0)</f>
        <v>45911</v>
      </c>
      <c r="I5836" s="115" t="str">
        <f>IFERROR(__xludf.DUMMYFUNCTION("""COMPUTED_VALUE"""),"12")</f>
        <v>12</v>
      </c>
      <c r="J5836" s="115"/>
      <c r="K5836" s="115">
        <f>IFERROR(__xludf.DUMMYFUNCTION("""COMPUTED_VALUE"""),9723.0)</f>
        <v>9723</v>
      </c>
    </row>
    <row r="5837">
      <c r="A5837" s="115"/>
      <c r="B5837" s="115"/>
      <c r="C5837" s="115" t="str">
        <f>IFERROR(__xludf.DUMMYFUNCTION("""COMPUTED_VALUE"""),"MYNTRA")</f>
        <v>MYNTRA</v>
      </c>
      <c r="D5837" s="115">
        <f>IFERROR(__xludf.DUMMYFUNCTION("""COMPUTED_VALUE"""),1073.0)</f>
        <v>1073</v>
      </c>
      <c r="E5837" s="115">
        <f>IFERROR(__xludf.DUMMYFUNCTION("""COMPUTED_VALUE"""),272.0)</f>
        <v>272</v>
      </c>
      <c r="F5837" s="115">
        <f>IFERROR(__xludf.DUMMYFUNCTION("""COMPUTED_VALUE"""),155.0)</f>
        <v>155</v>
      </c>
      <c r="G5837" s="115">
        <f>IFERROR(__xludf.DUMMYFUNCTION("""COMPUTED_VALUE"""),34.0)</f>
        <v>34</v>
      </c>
      <c r="H5837" s="116">
        <f>IFERROR(__xludf.DUMMYFUNCTION("""COMPUTED_VALUE"""),45911.0)</f>
        <v>45911</v>
      </c>
      <c r="I5837" s="115" t="str">
        <f>IFERROR(__xludf.DUMMYFUNCTION("""COMPUTED_VALUE"""),"12")</f>
        <v>12</v>
      </c>
      <c r="J5837" s="115"/>
      <c r="K5837" s="115">
        <f>IFERROR(__xludf.DUMMYFUNCTION("""COMPUTED_VALUE"""),1345.0)</f>
        <v>1345</v>
      </c>
    </row>
    <row r="5838">
      <c r="A5838" s="115" t="str">
        <f>IFERROR(__xludf.DUMMYFUNCTION("""COMPUTED_VALUE"""),"EAST")</f>
        <v>EAST</v>
      </c>
      <c r="B5838" s="115" t="str">
        <f>IFERROR(__xludf.DUMMYFUNCTION("""COMPUTED_VALUE"""),"Ashish Ranjan")</f>
        <v>Ashish Ranjan</v>
      </c>
      <c r="C5838" s="115" t="str">
        <f>IFERROR(__xludf.DUMMYFUNCTION("""COMPUTED_VALUE"""),"EXTERNAL")</f>
        <v>EXTERNAL</v>
      </c>
      <c r="D5838" s="115">
        <f>IFERROR(__xludf.DUMMYFUNCTION("""COMPUTED_VALUE"""),35235.0)</f>
        <v>35235</v>
      </c>
      <c r="E5838" s="115">
        <f>IFERROR(__xludf.DUMMYFUNCTION("""COMPUTED_VALUE"""),3947.0)</f>
        <v>3947</v>
      </c>
      <c r="F5838" s="115">
        <f>IFERROR(__xludf.DUMMYFUNCTION("""COMPUTED_VALUE"""),10770.0)</f>
        <v>10770</v>
      </c>
      <c r="G5838" s="115">
        <f>IFERROR(__xludf.DUMMYFUNCTION("""COMPUTED_VALUE"""),467.0)</f>
        <v>467</v>
      </c>
      <c r="H5838" s="116">
        <f>IFERROR(__xludf.DUMMYFUNCTION("""COMPUTED_VALUE"""),45911.0)</f>
        <v>45911</v>
      </c>
      <c r="I5838" s="115" t="str">
        <f>IFERROR(__xludf.DUMMYFUNCTION("""COMPUTED_VALUE"""),"13")</f>
        <v>13</v>
      </c>
      <c r="J5838" s="115"/>
      <c r="K5838" s="115"/>
    </row>
    <row r="5839">
      <c r="A5839" s="115" t="str">
        <f>IFERROR(__xludf.DUMMYFUNCTION("""COMPUTED_VALUE"""),"EAST")</f>
        <v>EAST</v>
      </c>
      <c r="B5839" s="115" t="str">
        <f>IFERROR(__xludf.DUMMYFUNCTION("""COMPUTED_VALUE"""),"Ashish Ranjan")</f>
        <v>Ashish Ranjan</v>
      </c>
      <c r="C5839" s="115" t="str">
        <f>IFERROR(__xludf.DUMMYFUNCTION("""COMPUTED_VALUE"""),"FLIPKART")</f>
        <v>FLIPKART</v>
      </c>
      <c r="D5839" s="115">
        <f>IFERROR(__xludf.DUMMYFUNCTION("""COMPUTED_VALUE"""),624205.0)</f>
        <v>624205</v>
      </c>
      <c r="E5839" s="115">
        <f>IFERROR(__xludf.DUMMYFUNCTION("""COMPUTED_VALUE"""),57974.0)</f>
        <v>57974</v>
      </c>
      <c r="F5839" s="115">
        <f>IFERROR(__xludf.DUMMYFUNCTION("""COMPUTED_VALUE"""),312087.0)</f>
        <v>312087</v>
      </c>
      <c r="G5839" s="115">
        <f>IFERROR(__xludf.DUMMYFUNCTION("""COMPUTED_VALUE"""),11181.0)</f>
        <v>11181</v>
      </c>
      <c r="H5839" s="116">
        <f>IFERROR(__xludf.DUMMYFUNCTION("""COMPUTED_VALUE"""),45911.0)</f>
        <v>45911</v>
      </c>
      <c r="I5839" s="115" t="str">
        <f>IFERROR(__xludf.DUMMYFUNCTION("""COMPUTED_VALUE"""),"13")</f>
        <v>13</v>
      </c>
      <c r="J5839" s="115"/>
      <c r="K5839" s="115"/>
    </row>
    <row r="5840">
      <c r="A5840" s="115" t="str">
        <f>IFERROR(__xludf.DUMMYFUNCTION("""COMPUTED_VALUE"""),"EAST")</f>
        <v>EAST</v>
      </c>
      <c r="B5840" s="115" t="str">
        <f>IFERROR(__xludf.DUMMYFUNCTION("""COMPUTED_VALUE"""),"Ashish Ranjan")</f>
        <v>Ashish Ranjan</v>
      </c>
      <c r="C5840" s="115" t="str">
        <f>IFERROR(__xludf.DUMMYFUNCTION("""COMPUTED_VALUE"""),"MYNTRA")</f>
        <v>MYNTRA</v>
      </c>
      <c r="D5840" s="115">
        <f>IFERROR(__xludf.DUMMYFUNCTION("""COMPUTED_VALUE"""),61856.0)</f>
        <v>61856</v>
      </c>
      <c r="E5840" s="115">
        <f>IFERROR(__xludf.DUMMYFUNCTION("""COMPUTED_VALUE"""),14835.0)</f>
        <v>14835</v>
      </c>
      <c r="F5840" s="115">
        <f>IFERROR(__xludf.DUMMYFUNCTION("""COMPUTED_VALUE"""),31020.0)</f>
        <v>31020</v>
      </c>
      <c r="G5840" s="115">
        <f>IFERROR(__xludf.DUMMYFUNCTION("""COMPUTED_VALUE"""),2768.0)</f>
        <v>2768</v>
      </c>
      <c r="H5840" s="116">
        <f>IFERROR(__xludf.DUMMYFUNCTION("""COMPUTED_VALUE"""),45911.0)</f>
        <v>45911</v>
      </c>
      <c r="I5840" s="115" t="str">
        <f>IFERROR(__xludf.DUMMYFUNCTION("""COMPUTED_VALUE"""),"13")</f>
        <v>13</v>
      </c>
      <c r="J5840" s="115"/>
      <c r="K5840" s="115"/>
    </row>
    <row r="5841">
      <c r="A5841" s="115" t="str">
        <f>IFERROR(__xludf.DUMMYFUNCTION("""COMPUTED_VALUE"""),"EAST")</f>
        <v>EAST</v>
      </c>
      <c r="B5841" s="115" t="str">
        <f>IFERROR(__xludf.DUMMYFUNCTION("""COMPUTED_VALUE"""),"Girish Chand")</f>
        <v>Girish Chand</v>
      </c>
      <c r="C5841" s="115" t="str">
        <f>IFERROR(__xludf.DUMMYFUNCTION("""COMPUTED_VALUE"""),"EXTERNAL")</f>
        <v>EXTERNAL</v>
      </c>
      <c r="D5841" s="115">
        <f>IFERROR(__xludf.DUMMYFUNCTION("""COMPUTED_VALUE"""),20292.0)</f>
        <v>20292</v>
      </c>
      <c r="E5841" s="115">
        <f>IFERROR(__xludf.DUMMYFUNCTION("""COMPUTED_VALUE"""),2341.0)</f>
        <v>2341</v>
      </c>
      <c r="F5841" s="115">
        <f>IFERROR(__xludf.DUMMYFUNCTION("""COMPUTED_VALUE"""),4137.0)</f>
        <v>4137</v>
      </c>
      <c r="G5841" s="115">
        <f>IFERROR(__xludf.DUMMYFUNCTION("""COMPUTED_VALUE"""),101.0)</f>
        <v>101</v>
      </c>
      <c r="H5841" s="116">
        <f>IFERROR(__xludf.DUMMYFUNCTION("""COMPUTED_VALUE"""),45911.0)</f>
        <v>45911</v>
      </c>
      <c r="I5841" s="115" t="str">
        <f>IFERROR(__xludf.DUMMYFUNCTION("""COMPUTED_VALUE"""),"13")</f>
        <v>13</v>
      </c>
      <c r="J5841" s="115"/>
      <c r="K5841" s="115"/>
    </row>
    <row r="5842">
      <c r="A5842" s="115" t="str">
        <f>IFERROR(__xludf.DUMMYFUNCTION("""COMPUTED_VALUE"""),"EAST")</f>
        <v>EAST</v>
      </c>
      <c r="B5842" s="115" t="str">
        <f>IFERROR(__xludf.DUMMYFUNCTION("""COMPUTED_VALUE"""),"Girish Chand")</f>
        <v>Girish Chand</v>
      </c>
      <c r="C5842" s="115" t="str">
        <f>IFERROR(__xludf.DUMMYFUNCTION("""COMPUTED_VALUE"""),"FLIPKART")</f>
        <v>FLIPKART</v>
      </c>
      <c r="D5842" s="115">
        <f>IFERROR(__xludf.DUMMYFUNCTION("""COMPUTED_VALUE"""),409088.0)</f>
        <v>409088</v>
      </c>
      <c r="E5842" s="115">
        <f>IFERROR(__xludf.DUMMYFUNCTION("""COMPUTED_VALUE"""),34860.0)</f>
        <v>34860</v>
      </c>
      <c r="F5842" s="115">
        <f>IFERROR(__xludf.DUMMYFUNCTION("""COMPUTED_VALUE"""),146226.0)</f>
        <v>146226</v>
      </c>
      <c r="G5842" s="115">
        <f>IFERROR(__xludf.DUMMYFUNCTION("""COMPUTED_VALUE"""),3361.0)</f>
        <v>3361</v>
      </c>
      <c r="H5842" s="116">
        <f>IFERROR(__xludf.DUMMYFUNCTION("""COMPUTED_VALUE"""),45911.0)</f>
        <v>45911</v>
      </c>
      <c r="I5842" s="115" t="str">
        <f>IFERROR(__xludf.DUMMYFUNCTION("""COMPUTED_VALUE"""),"13")</f>
        <v>13</v>
      </c>
      <c r="J5842" s="115"/>
      <c r="K5842" s="115"/>
    </row>
    <row r="5843">
      <c r="A5843" s="115" t="str">
        <f>IFERROR(__xludf.DUMMYFUNCTION("""COMPUTED_VALUE"""),"EAST")</f>
        <v>EAST</v>
      </c>
      <c r="B5843" s="115" t="str">
        <f>IFERROR(__xludf.DUMMYFUNCTION("""COMPUTED_VALUE"""),"Girish Chand")</f>
        <v>Girish Chand</v>
      </c>
      <c r="C5843" s="115" t="str">
        <f>IFERROR(__xludf.DUMMYFUNCTION("""COMPUTED_VALUE"""),"MYNTRA")</f>
        <v>MYNTRA</v>
      </c>
      <c r="D5843" s="115">
        <f>IFERROR(__xludf.DUMMYFUNCTION("""COMPUTED_VALUE"""),32147.0)</f>
        <v>32147</v>
      </c>
      <c r="E5843" s="115">
        <f>IFERROR(__xludf.DUMMYFUNCTION("""COMPUTED_VALUE"""),7252.0)</f>
        <v>7252</v>
      </c>
      <c r="F5843" s="115">
        <f>IFERROR(__xludf.DUMMYFUNCTION("""COMPUTED_VALUE"""),12305.0)</f>
        <v>12305</v>
      </c>
      <c r="G5843" s="115">
        <f>IFERROR(__xludf.DUMMYFUNCTION("""COMPUTED_VALUE"""),959.0)</f>
        <v>959</v>
      </c>
      <c r="H5843" s="116">
        <f>IFERROR(__xludf.DUMMYFUNCTION("""COMPUTED_VALUE"""),45911.0)</f>
        <v>45911</v>
      </c>
      <c r="I5843" s="115" t="str">
        <f>IFERROR(__xludf.DUMMYFUNCTION("""COMPUTED_VALUE"""),"13")</f>
        <v>13</v>
      </c>
      <c r="J5843" s="115"/>
      <c r="K5843" s="115"/>
    </row>
    <row r="5844">
      <c r="A5844" s="115" t="str">
        <f>IFERROR(__xludf.DUMMYFUNCTION("""COMPUTED_VALUE"""),"EAST")</f>
        <v>EAST</v>
      </c>
      <c r="B5844" s="115" t="str">
        <f>IFERROR(__xludf.DUMMYFUNCTION("""COMPUTED_VALUE"""),"Parag Kashyap")</f>
        <v>Parag Kashyap</v>
      </c>
      <c r="C5844" s="115" t="str">
        <f>IFERROR(__xludf.DUMMYFUNCTION("""COMPUTED_VALUE"""),"EXTERNAL")</f>
        <v>EXTERNAL</v>
      </c>
      <c r="D5844" s="115">
        <f>IFERROR(__xludf.DUMMYFUNCTION("""COMPUTED_VALUE"""),15310.0)</f>
        <v>15310</v>
      </c>
      <c r="E5844" s="115">
        <f>IFERROR(__xludf.DUMMYFUNCTION("""COMPUTED_VALUE"""),1032.0)</f>
        <v>1032</v>
      </c>
      <c r="F5844" s="115">
        <f>IFERROR(__xludf.DUMMYFUNCTION("""COMPUTED_VALUE"""),2864.0)</f>
        <v>2864</v>
      </c>
      <c r="G5844" s="115">
        <f>IFERROR(__xludf.DUMMYFUNCTION("""COMPUTED_VALUE"""),40.0)</f>
        <v>40</v>
      </c>
      <c r="H5844" s="116">
        <f>IFERROR(__xludf.DUMMYFUNCTION("""COMPUTED_VALUE"""),45911.0)</f>
        <v>45911</v>
      </c>
      <c r="I5844" s="115" t="str">
        <f>IFERROR(__xludf.DUMMYFUNCTION("""COMPUTED_VALUE"""),"13")</f>
        <v>13</v>
      </c>
      <c r="J5844" s="115"/>
      <c r="K5844" s="115"/>
    </row>
    <row r="5845">
      <c r="A5845" s="115" t="str">
        <f>IFERROR(__xludf.DUMMYFUNCTION("""COMPUTED_VALUE"""),"EAST")</f>
        <v>EAST</v>
      </c>
      <c r="B5845" s="115" t="str">
        <f>IFERROR(__xludf.DUMMYFUNCTION("""COMPUTED_VALUE"""),"Parag Kashyap")</f>
        <v>Parag Kashyap</v>
      </c>
      <c r="C5845" s="115" t="str">
        <f>IFERROR(__xludf.DUMMYFUNCTION("""COMPUTED_VALUE"""),"FLIPKART")</f>
        <v>FLIPKART</v>
      </c>
      <c r="D5845" s="115">
        <f>IFERROR(__xludf.DUMMYFUNCTION("""COMPUTED_VALUE"""),277117.0)</f>
        <v>277117</v>
      </c>
      <c r="E5845" s="115">
        <f>IFERROR(__xludf.DUMMYFUNCTION("""COMPUTED_VALUE"""),16840.0)</f>
        <v>16840</v>
      </c>
      <c r="F5845" s="115">
        <f>IFERROR(__xludf.DUMMYFUNCTION("""COMPUTED_VALUE"""),91193.0)</f>
        <v>91193</v>
      </c>
      <c r="G5845" s="115">
        <f>IFERROR(__xludf.DUMMYFUNCTION("""COMPUTED_VALUE"""),1055.0)</f>
        <v>1055</v>
      </c>
      <c r="H5845" s="116">
        <f>IFERROR(__xludf.DUMMYFUNCTION("""COMPUTED_VALUE"""),45911.0)</f>
        <v>45911</v>
      </c>
      <c r="I5845" s="115" t="str">
        <f>IFERROR(__xludf.DUMMYFUNCTION("""COMPUTED_VALUE"""),"13")</f>
        <v>13</v>
      </c>
      <c r="J5845" s="115"/>
      <c r="K5845" s="115"/>
    </row>
    <row r="5846">
      <c r="A5846" s="115" t="str">
        <f>IFERROR(__xludf.DUMMYFUNCTION("""COMPUTED_VALUE"""),"EAST")</f>
        <v>EAST</v>
      </c>
      <c r="B5846" s="115" t="str">
        <f>IFERROR(__xludf.DUMMYFUNCTION("""COMPUTED_VALUE"""),"Parag Kashyap")</f>
        <v>Parag Kashyap</v>
      </c>
      <c r="C5846" s="115" t="str">
        <f>IFERROR(__xludf.DUMMYFUNCTION("""COMPUTED_VALUE"""),"MYNTRA")</f>
        <v>MYNTRA</v>
      </c>
      <c r="D5846" s="115">
        <f>IFERROR(__xludf.DUMMYFUNCTION("""COMPUTED_VALUE"""),35962.0)</f>
        <v>35962</v>
      </c>
      <c r="E5846" s="115">
        <f>IFERROR(__xludf.DUMMYFUNCTION("""COMPUTED_VALUE"""),5364.0)</f>
        <v>5364</v>
      </c>
      <c r="F5846" s="115">
        <f>IFERROR(__xludf.DUMMYFUNCTION("""COMPUTED_VALUE"""),12953.0)</f>
        <v>12953</v>
      </c>
      <c r="G5846" s="115">
        <f>IFERROR(__xludf.DUMMYFUNCTION("""COMPUTED_VALUE"""),333.0)</f>
        <v>333</v>
      </c>
      <c r="H5846" s="116">
        <f>IFERROR(__xludf.DUMMYFUNCTION("""COMPUTED_VALUE"""),45911.0)</f>
        <v>45911</v>
      </c>
      <c r="I5846" s="115" t="str">
        <f>IFERROR(__xludf.DUMMYFUNCTION("""COMPUTED_VALUE"""),"13")</f>
        <v>13</v>
      </c>
      <c r="J5846" s="115"/>
      <c r="K5846" s="115"/>
    </row>
    <row r="5847">
      <c r="A5847" s="115" t="str">
        <f>IFERROR(__xludf.DUMMYFUNCTION("""COMPUTED_VALUE"""),"NORTH")</f>
        <v>NORTH</v>
      </c>
      <c r="B5847" s="115" t="str">
        <f>IFERROR(__xludf.DUMMYFUNCTION("""COMPUTED_VALUE"""),"Amit Kumar Pathak")</f>
        <v>Amit Kumar Pathak</v>
      </c>
      <c r="C5847" s="115" t="str">
        <f>IFERROR(__xludf.DUMMYFUNCTION("""COMPUTED_VALUE"""),"EXTERNAL")</f>
        <v>EXTERNAL</v>
      </c>
      <c r="D5847" s="115">
        <f>IFERROR(__xludf.DUMMYFUNCTION("""COMPUTED_VALUE"""),22107.0)</f>
        <v>22107</v>
      </c>
      <c r="E5847" s="115">
        <f>IFERROR(__xludf.DUMMYFUNCTION("""COMPUTED_VALUE"""),2955.0)</f>
        <v>2955</v>
      </c>
      <c r="F5847" s="115">
        <f>IFERROR(__xludf.DUMMYFUNCTION("""COMPUTED_VALUE"""),4672.0)</f>
        <v>4672</v>
      </c>
      <c r="G5847" s="115">
        <f>IFERROR(__xludf.DUMMYFUNCTION("""COMPUTED_VALUE"""),602.0)</f>
        <v>602</v>
      </c>
      <c r="H5847" s="116">
        <f>IFERROR(__xludf.DUMMYFUNCTION("""COMPUTED_VALUE"""),45911.0)</f>
        <v>45911</v>
      </c>
      <c r="I5847" s="115" t="str">
        <f>IFERROR(__xludf.DUMMYFUNCTION("""COMPUTED_VALUE"""),"13")</f>
        <v>13</v>
      </c>
      <c r="J5847" s="115"/>
      <c r="K5847" s="115"/>
    </row>
    <row r="5848">
      <c r="A5848" s="115" t="str">
        <f>IFERROR(__xludf.DUMMYFUNCTION("""COMPUTED_VALUE"""),"NORTH")</f>
        <v>NORTH</v>
      </c>
      <c r="B5848" s="115" t="str">
        <f>IFERROR(__xludf.DUMMYFUNCTION("""COMPUTED_VALUE"""),"Amit Kumar Pathak")</f>
        <v>Amit Kumar Pathak</v>
      </c>
      <c r="C5848" s="115" t="str">
        <f>IFERROR(__xludf.DUMMYFUNCTION("""COMPUTED_VALUE"""),"FLIPKART")</f>
        <v>FLIPKART</v>
      </c>
      <c r="D5848" s="115">
        <f>IFERROR(__xludf.DUMMYFUNCTION("""COMPUTED_VALUE"""),156620.0)</f>
        <v>156620</v>
      </c>
      <c r="E5848" s="115">
        <f>IFERROR(__xludf.DUMMYFUNCTION("""COMPUTED_VALUE"""),20068.0)</f>
        <v>20068</v>
      </c>
      <c r="F5848" s="115">
        <f>IFERROR(__xludf.DUMMYFUNCTION("""COMPUTED_VALUE"""),60807.0)</f>
        <v>60807</v>
      </c>
      <c r="G5848" s="115">
        <f>IFERROR(__xludf.DUMMYFUNCTION("""COMPUTED_VALUE"""),4834.0)</f>
        <v>4834</v>
      </c>
      <c r="H5848" s="116">
        <f>IFERROR(__xludf.DUMMYFUNCTION("""COMPUTED_VALUE"""),45911.0)</f>
        <v>45911</v>
      </c>
      <c r="I5848" s="115" t="str">
        <f>IFERROR(__xludf.DUMMYFUNCTION("""COMPUTED_VALUE"""),"13")</f>
        <v>13</v>
      </c>
      <c r="J5848" s="115"/>
      <c r="K5848" s="115"/>
    </row>
    <row r="5849">
      <c r="A5849" s="115" t="str">
        <f>IFERROR(__xludf.DUMMYFUNCTION("""COMPUTED_VALUE"""),"NORTH")</f>
        <v>NORTH</v>
      </c>
      <c r="B5849" s="115" t="str">
        <f>IFERROR(__xludf.DUMMYFUNCTION("""COMPUTED_VALUE"""),"Amit Kumar Pathak")</f>
        <v>Amit Kumar Pathak</v>
      </c>
      <c r="C5849" s="115" t="str">
        <f>IFERROR(__xludf.DUMMYFUNCTION("""COMPUTED_VALUE"""),"MYNTRA")</f>
        <v>MYNTRA</v>
      </c>
      <c r="D5849" s="115">
        <f>IFERROR(__xludf.DUMMYFUNCTION("""COMPUTED_VALUE"""),12207.0)</f>
        <v>12207</v>
      </c>
      <c r="E5849" s="115">
        <f>IFERROR(__xludf.DUMMYFUNCTION("""COMPUTED_VALUE"""),4827.0)</f>
        <v>4827</v>
      </c>
      <c r="F5849" s="115">
        <f>IFERROR(__xludf.DUMMYFUNCTION("""COMPUTED_VALUE"""),5734.0)</f>
        <v>5734</v>
      </c>
      <c r="G5849" s="115">
        <f>IFERROR(__xludf.DUMMYFUNCTION("""COMPUTED_VALUE"""),1307.0)</f>
        <v>1307</v>
      </c>
      <c r="H5849" s="116">
        <f>IFERROR(__xludf.DUMMYFUNCTION("""COMPUTED_VALUE"""),45911.0)</f>
        <v>45911</v>
      </c>
      <c r="I5849" s="115" t="str">
        <f>IFERROR(__xludf.DUMMYFUNCTION("""COMPUTED_VALUE"""),"13")</f>
        <v>13</v>
      </c>
      <c r="J5849" s="115"/>
      <c r="K5849" s="115"/>
    </row>
    <row r="5850">
      <c r="A5850" s="115" t="str">
        <f>IFERROR(__xludf.DUMMYFUNCTION("""COMPUTED_VALUE"""),"NORTH")</f>
        <v>NORTH</v>
      </c>
      <c r="B5850" s="115" t="str">
        <f>IFERROR(__xludf.DUMMYFUNCTION("""COMPUTED_VALUE"""),"Loveleen Singh")</f>
        <v>Loveleen Singh</v>
      </c>
      <c r="C5850" s="115" t="str">
        <f>IFERROR(__xludf.DUMMYFUNCTION("""COMPUTED_VALUE"""),"EXTERNAL")</f>
        <v>EXTERNAL</v>
      </c>
      <c r="D5850" s="115">
        <f>IFERROR(__xludf.DUMMYFUNCTION("""COMPUTED_VALUE"""),28864.0)</f>
        <v>28864</v>
      </c>
      <c r="E5850" s="115">
        <f>IFERROR(__xludf.DUMMYFUNCTION("""COMPUTED_VALUE"""),2082.0)</f>
        <v>2082</v>
      </c>
      <c r="F5850" s="115">
        <f>IFERROR(__xludf.DUMMYFUNCTION("""COMPUTED_VALUE"""),5343.0)</f>
        <v>5343</v>
      </c>
      <c r="G5850" s="115">
        <f>IFERROR(__xludf.DUMMYFUNCTION("""COMPUTED_VALUE"""),130.0)</f>
        <v>130</v>
      </c>
      <c r="H5850" s="116">
        <f>IFERROR(__xludf.DUMMYFUNCTION("""COMPUTED_VALUE"""),45911.0)</f>
        <v>45911</v>
      </c>
      <c r="I5850" s="115" t="str">
        <f>IFERROR(__xludf.DUMMYFUNCTION("""COMPUTED_VALUE"""),"13")</f>
        <v>13</v>
      </c>
      <c r="J5850" s="115"/>
      <c r="K5850" s="115"/>
    </row>
    <row r="5851">
      <c r="A5851" s="115" t="str">
        <f>IFERROR(__xludf.DUMMYFUNCTION("""COMPUTED_VALUE"""),"NORTH")</f>
        <v>NORTH</v>
      </c>
      <c r="B5851" s="115" t="str">
        <f>IFERROR(__xludf.DUMMYFUNCTION("""COMPUTED_VALUE"""),"Loveleen Singh")</f>
        <v>Loveleen Singh</v>
      </c>
      <c r="C5851" s="115" t="str">
        <f>IFERROR(__xludf.DUMMYFUNCTION("""COMPUTED_VALUE"""),"FLIPKART")</f>
        <v>FLIPKART</v>
      </c>
      <c r="D5851" s="115">
        <f>IFERROR(__xludf.DUMMYFUNCTION("""COMPUTED_VALUE"""),188743.0)</f>
        <v>188743</v>
      </c>
      <c r="E5851" s="115">
        <f>IFERROR(__xludf.DUMMYFUNCTION("""COMPUTED_VALUE"""),12960.0)</f>
        <v>12960</v>
      </c>
      <c r="F5851" s="115">
        <f>IFERROR(__xludf.DUMMYFUNCTION("""COMPUTED_VALUE"""),65972.0)</f>
        <v>65972</v>
      </c>
      <c r="G5851" s="115">
        <f>IFERROR(__xludf.DUMMYFUNCTION("""COMPUTED_VALUE"""),1634.0)</f>
        <v>1634</v>
      </c>
      <c r="H5851" s="116">
        <f>IFERROR(__xludf.DUMMYFUNCTION("""COMPUTED_VALUE"""),45911.0)</f>
        <v>45911</v>
      </c>
      <c r="I5851" s="115" t="str">
        <f>IFERROR(__xludf.DUMMYFUNCTION("""COMPUTED_VALUE"""),"13")</f>
        <v>13</v>
      </c>
      <c r="J5851" s="115"/>
      <c r="K5851" s="115"/>
    </row>
    <row r="5852">
      <c r="A5852" s="115" t="str">
        <f>IFERROR(__xludf.DUMMYFUNCTION("""COMPUTED_VALUE"""),"NORTH")</f>
        <v>NORTH</v>
      </c>
      <c r="B5852" s="115" t="str">
        <f>IFERROR(__xludf.DUMMYFUNCTION("""COMPUTED_VALUE"""),"Loveleen Singh")</f>
        <v>Loveleen Singh</v>
      </c>
      <c r="C5852" s="115" t="str">
        <f>IFERROR(__xludf.DUMMYFUNCTION("""COMPUTED_VALUE"""),"MYNTRA")</f>
        <v>MYNTRA</v>
      </c>
      <c r="D5852" s="115">
        <f>IFERROR(__xludf.DUMMYFUNCTION("""COMPUTED_VALUE"""),28404.0)</f>
        <v>28404</v>
      </c>
      <c r="E5852" s="115">
        <f>IFERROR(__xludf.DUMMYFUNCTION("""COMPUTED_VALUE"""),6062.0)</f>
        <v>6062</v>
      </c>
      <c r="F5852" s="115">
        <f>IFERROR(__xludf.DUMMYFUNCTION("""COMPUTED_VALUE"""),11601.0)</f>
        <v>11601</v>
      </c>
      <c r="G5852" s="115">
        <f>IFERROR(__xludf.DUMMYFUNCTION("""COMPUTED_VALUE"""),940.0)</f>
        <v>940</v>
      </c>
      <c r="H5852" s="116">
        <f>IFERROR(__xludf.DUMMYFUNCTION("""COMPUTED_VALUE"""),45911.0)</f>
        <v>45911</v>
      </c>
      <c r="I5852" s="115" t="str">
        <f>IFERROR(__xludf.DUMMYFUNCTION("""COMPUTED_VALUE"""),"13")</f>
        <v>13</v>
      </c>
      <c r="J5852" s="115"/>
      <c r="K5852" s="115"/>
    </row>
    <row r="5853">
      <c r="A5853" s="115" t="str">
        <f>IFERROR(__xludf.DUMMYFUNCTION("""COMPUTED_VALUE"""),"NORTH")</f>
        <v>NORTH</v>
      </c>
      <c r="B5853" s="115" t="str">
        <f>IFERROR(__xludf.DUMMYFUNCTION("""COMPUTED_VALUE"""),"Manoj Harsh")</f>
        <v>Manoj Harsh</v>
      </c>
      <c r="C5853" s="115" t="str">
        <f>IFERROR(__xludf.DUMMYFUNCTION("""COMPUTED_VALUE"""),"EXTERNAL")</f>
        <v>EXTERNAL</v>
      </c>
      <c r="D5853" s="115">
        <f>IFERROR(__xludf.DUMMYFUNCTION("""COMPUTED_VALUE"""),30694.0)</f>
        <v>30694</v>
      </c>
      <c r="E5853" s="115">
        <f>IFERROR(__xludf.DUMMYFUNCTION("""COMPUTED_VALUE"""),2530.0)</f>
        <v>2530</v>
      </c>
      <c r="F5853" s="115">
        <f>IFERROR(__xludf.DUMMYFUNCTION("""COMPUTED_VALUE"""),6079.0)</f>
        <v>6079</v>
      </c>
      <c r="G5853" s="115">
        <f>IFERROR(__xludf.DUMMYFUNCTION("""COMPUTED_VALUE"""),172.0)</f>
        <v>172</v>
      </c>
      <c r="H5853" s="116">
        <f>IFERROR(__xludf.DUMMYFUNCTION("""COMPUTED_VALUE"""),45911.0)</f>
        <v>45911</v>
      </c>
      <c r="I5853" s="115" t="str">
        <f>IFERROR(__xludf.DUMMYFUNCTION("""COMPUTED_VALUE"""),"13")</f>
        <v>13</v>
      </c>
      <c r="J5853" s="115"/>
      <c r="K5853" s="115"/>
    </row>
    <row r="5854">
      <c r="A5854" s="115" t="str">
        <f>IFERROR(__xludf.DUMMYFUNCTION("""COMPUTED_VALUE"""),"NORTH")</f>
        <v>NORTH</v>
      </c>
      <c r="B5854" s="115" t="str">
        <f>IFERROR(__xludf.DUMMYFUNCTION("""COMPUTED_VALUE"""),"Manoj Harsh")</f>
        <v>Manoj Harsh</v>
      </c>
      <c r="C5854" s="115" t="str">
        <f>IFERROR(__xludf.DUMMYFUNCTION("""COMPUTED_VALUE"""),"FLIPKART")</f>
        <v>FLIPKART</v>
      </c>
      <c r="D5854" s="115">
        <f>IFERROR(__xludf.DUMMYFUNCTION("""COMPUTED_VALUE"""),417683.0)</f>
        <v>417683</v>
      </c>
      <c r="E5854" s="115">
        <f>IFERROR(__xludf.DUMMYFUNCTION("""COMPUTED_VALUE"""),33011.0)</f>
        <v>33011</v>
      </c>
      <c r="F5854" s="115">
        <f>IFERROR(__xludf.DUMMYFUNCTION("""COMPUTED_VALUE"""),141644.0)</f>
        <v>141644</v>
      </c>
      <c r="G5854" s="115">
        <f>IFERROR(__xludf.DUMMYFUNCTION("""COMPUTED_VALUE"""),3578.0)</f>
        <v>3578</v>
      </c>
      <c r="H5854" s="116">
        <f>IFERROR(__xludf.DUMMYFUNCTION("""COMPUTED_VALUE"""),45911.0)</f>
        <v>45911</v>
      </c>
      <c r="I5854" s="115" t="str">
        <f>IFERROR(__xludf.DUMMYFUNCTION("""COMPUTED_VALUE"""),"13")</f>
        <v>13</v>
      </c>
      <c r="J5854" s="115"/>
      <c r="K5854" s="115"/>
    </row>
    <row r="5855">
      <c r="A5855" s="115" t="str">
        <f>IFERROR(__xludf.DUMMYFUNCTION("""COMPUTED_VALUE"""),"NORTH")</f>
        <v>NORTH</v>
      </c>
      <c r="B5855" s="115" t="str">
        <f>IFERROR(__xludf.DUMMYFUNCTION("""COMPUTED_VALUE"""),"Manoj Harsh")</f>
        <v>Manoj Harsh</v>
      </c>
      <c r="C5855" s="115" t="str">
        <f>IFERROR(__xludf.DUMMYFUNCTION("""COMPUTED_VALUE"""),"MYNTRA")</f>
        <v>MYNTRA</v>
      </c>
      <c r="D5855" s="115">
        <f>IFERROR(__xludf.DUMMYFUNCTION("""COMPUTED_VALUE"""),32493.0)</f>
        <v>32493</v>
      </c>
      <c r="E5855" s="115">
        <f>IFERROR(__xludf.DUMMYFUNCTION("""COMPUTED_VALUE"""),6773.0)</f>
        <v>6773</v>
      </c>
      <c r="F5855" s="115">
        <f>IFERROR(__xludf.DUMMYFUNCTION("""COMPUTED_VALUE"""),12894.0)</f>
        <v>12894</v>
      </c>
      <c r="G5855" s="115">
        <f>IFERROR(__xludf.DUMMYFUNCTION("""COMPUTED_VALUE"""),844.0)</f>
        <v>844</v>
      </c>
      <c r="H5855" s="116">
        <f>IFERROR(__xludf.DUMMYFUNCTION("""COMPUTED_VALUE"""),45911.0)</f>
        <v>45911</v>
      </c>
      <c r="I5855" s="115" t="str">
        <f>IFERROR(__xludf.DUMMYFUNCTION("""COMPUTED_VALUE"""),"13")</f>
        <v>13</v>
      </c>
      <c r="J5855" s="115"/>
      <c r="K5855" s="115"/>
    </row>
    <row r="5856">
      <c r="A5856" s="115" t="str">
        <f>IFERROR(__xludf.DUMMYFUNCTION("""COMPUTED_VALUE"""),"NORTH")</f>
        <v>NORTH</v>
      </c>
      <c r="B5856" s="115" t="str">
        <f>IFERROR(__xludf.DUMMYFUNCTION("""COMPUTED_VALUE"""),"Pradeep Kothari")</f>
        <v>Pradeep Kothari</v>
      </c>
      <c r="C5856" s="115" t="str">
        <f>IFERROR(__xludf.DUMMYFUNCTION("""COMPUTED_VALUE"""),"EXTERNAL")</f>
        <v>EXTERNAL</v>
      </c>
      <c r="D5856" s="115">
        <f>IFERROR(__xludf.DUMMYFUNCTION("""COMPUTED_VALUE"""),17864.0)</f>
        <v>17864</v>
      </c>
      <c r="E5856" s="115">
        <f>IFERROR(__xludf.DUMMYFUNCTION("""COMPUTED_VALUE"""),1975.0)</f>
        <v>1975</v>
      </c>
      <c r="F5856" s="115">
        <f>IFERROR(__xludf.DUMMYFUNCTION("""COMPUTED_VALUE"""),4200.0)</f>
        <v>4200</v>
      </c>
      <c r="G5856" s="115">
        <f>IFERROR(__xludf.DUMMYFUNCTION("""COMPUTED_VALUE"""),242.0)</f>
        <v>242</v>
      </c>
      <c r="H5856" s="116">
        <f>IFERROR(__xludf.DUMMYFUNCTION("""COMPUTED_VALUE"""),45911.0)</f>
        <v>45911</v>
      </c>
      <c r="I5856" s="115" t="str">
        <f>IFERROR(__xludf.DUMMYFUNCTION("""COMPUTED_VALUE"""),"13")</f>
        <v>13</v>
      </c>
      <c r="J5856" s="115"/>
      <c r="K5856" s="115"/>
    </row>
    <row r="5857">
      <c r="A5857" s="115" t="str">
        <f>IFERROR(__xludf.DUMMYFUNCTION("""COMPUTED_VALUE"""),"NORTH")</f>
        <v>NORTH</v>
      </c>
      <c r="B5857" s="115" t="str">
        <f>IFERROR(__xludf.DUMMYFUNCTION("""COMPUTED_VALUE"""),"Pradeep Kothari")</f>
        <v>Pradeep Kothari</v>
      </c>
      <c r="C5857" s="115" t="str">
        <f>IFERROR(__xludf.DUMMYFUNCTION("""COMPUTED_VALUE"""),"FLIPKART")</f>
        <v>FLIPKART</v>
      </c>
      <c r="D5857" s="115">
        <f>IFERROR(__xludf.DUMMYFUNCTION("""COMPUTED_VALUE"""),157048.0)</f>
        <v>157048</v>
      </c>
      <c r="E5857" s="115">
        <f>IFERROR(__xludf.DUMMYFUNCTION("""COMPUTED_VALUE"""),15840.0)</f>
        <v>15840</v>
      </c>
      <c r="F5857" s="115">
        <f>IFERROR(__xludf.DUMMYFUNCTION("""COMPUTED_VALUE"""),67405.0)</f>
        <v>67405</v>
      </c>
      <c r="G5857" s="115">
        <f>IFERROR(__xludf.DUMMYFUNCTION("""COMPUTED_VALUE"""),3004.0)</f>
        <v>3004</v>
      </c>
      <c r="H5857" s="116">
        <f>IFERROR(__xludf.DUMMYFUNCTION("""COMPUTED_VALUE"""),45911.0)</f>
        <v>45911</v>
      </c>
      <c r="I5857" s="115" t="str">
        <f>IFERROR(__xludf.DUMMYFUNCTION("""COMPUTED_VALUE"""),"13")</f>
        <v>13</v>
      </c>
      <c r="J5857" s="115"/>
      <c r="K5857" s="115"/>
    </row>
    <row r="5858">
      <c r="A5858" s="115" t="str">
        <f>IFERROR(__xludf.DUMMYFUNCTION("""COMPUTED_VALUE"""),"NORTH")</f>
        <v>NORTH</v>
      </c>
      <c r="B5858" s="115" t="str">
        <f>IFERROR(__xludf.DUMMYFUNCTION("""COMPUTED_VALUE"""),"Pradeep Kothari")</f>
        <v>Pradeep Kothari</v>
      </c>
      <c r="C5858" s="115" t="str">
        <f>IFERROR(__xludf.DUMMYFUNCTION("""COMPUTED_VALUE"""),"MYNTRA")</f>
        <v>MYNTRA</v>
      </c>
      <c r="D5858" s="115">
        <f>IFERROR(__xludf.DUMMYFUNCTION("""COMPUTED_VALUE"""),23556.0)</f>
        <v>23556</v>
      </c>
      <c r="E5858" s="115">
        <f>IFERROR(__xludf.DUMMYFUNCTION("""COMPUTED_VALUE"""),5855.0)</f>
        <v>5855</v>
      </c>
      <c r="F5858" s="115">
        <f>IFERROR(__xludf.DUMMYFUNCTION("""COMPUTED_VALUE"""),11877.0)</f>
        <v>11877</v>
      </c>
      <c r="G5858" s="115">
        <f>IFERROR(__xludf.DUMMYFUNCTION("""COMPUTED_VALUE"""),1395.0)</f>
        <v>1395</v>
      </c>
      <c r="H5858" s="116">
        <f>IFERROR(__xludf.DUMMYFUNCTION("""COMPUTED_VALUE"""),45911.0)</f>
        <v>45911</v>
      </c>
      <c r="I5858" s="115" t="str">
        <f>IFERROR(__xludf.DUMMYFUNCTION("""COMPUTED_VALUE"""),"13")</f>
        <v>13</v>
      </c>
      <c r="J5858" s="115"/>
      <c r="K5858" s="115"/>
    </row>
    <row r="5859">
      <c r="A5859" s="115" t="str">
        <f>IFERROR(__xludf.DUMMYFUNCTION("""COMPUTED_VALUE"""),"SOUTH")</f>
        <v>SOUTH</v>
      </c>
      <c r="B5859" s="115" t="str">
        <f>IFERROR(__xludf.DUMMYFUNCTION("""COMPUTED_VALUE"""),"0")</f>
        <v>0</v>
      </c>
      <c r="C5859" s="115" t="str">
        <f>IFERROR(__xludf.DUMMYFUNCTION("""COMPUTED_VALUE"""),"FLIPKART")</f>
        <v>FLIPKART</v>
      </c>
      <c r="D5859" s="115">
        <f>IFERROR(__xludf.DUMMYFUNCTION("""COMPUTED_VALUE"""),6.0)</f>
        <v>6</v>
      </c>
      <c r="E5859" s="115">
        <f>IFERROR(__xludf.DUMMYFUNCTION("""COMPUTED_VALUE"""),27.0)</f>
        <v>27</v>
      </c>
      <c r="F5859" s="115">
        <f>IFERROR(__xludf.DUMMYFUNCTION("""COMPUTED_VALUE"""),0.0)</f>
        <v>0</v>
      </c>
      <c r="G5859" s="115">
        <f>IFERROR(__xludf.DUMMYFUNCTION("""COMPUTED_VALUE"""),1.0)</f>
        <v>1</v>
      </c>
      <c r="H5859" s="116">
        <f>IFERROR(__xludf.DUMMYFUNCTION("""COMPUTED_VALUE"""),45911.0)</f>
        <v>45911</v>
      </c>
      <c r="I5859" s="115" t="str">
        <f>IFERROR(__xludf.DUMMYFUNCTION("""COMPUTED_VALUE"""),"13")</f>
        <v>13</v>
      </c>
      <c r="J5859" s="115"/>
      <c r="K5859" s="115"/>
    </row>
    <row r="5860">
      <c r="A5860" s="115" t="str">
        <f>IFERROR(__xludf.DUMMYFUNCTION("""COMPUTED_VALUE"""),"SOUTH")</f>
        <v>SOUTH</v>
      </c>
      <c r="B5860" s="115" t="str">
        <f>IFERROR(__xludf.DUMMYFUNCTION("""COMPUTED_VALUE"""),"0")</f>
        <v>0</v>
      </c>
      <c r="C5860" s="115" t="str">
        <f>IFERROR(__xludf.DUMMYFUNCTION("""COMPUTED_VALUE"""),"MYNTRA")</f>
        <v>MYNTRA</v>
      </c>
      <c r="D5860" s="115">
        <f>IFERROR(__xludf.DUMMYFUNCTION("""COMPUTED_VALUE"""),6.0)</f>
        <v>6</v>
      </c>
      <c r="E5860" s="115">
        <f>IFERROR(__xludf.DUMMYFUNCTION("""COMPUTED_VALUE"""),7.0)</f>
        <v>7</v>
      </c>
      <c r="F5860" s="115">
        <f>IFERROR(__xludf.DUMMYFUNCTION("""COMPUTED_VALUE"""),2.0)</f>
        <v>2</v>
      </c>
      <c r="G5860" s="115">
        <f>IFERROR(__xludf.DUMMYFUNCTION("""COMPUTED_VALUE"""),0.0)</f>
        <v>0</v>
      </c>
      <c r="H5860" s="116">
        <f>IFERROR(__xludf.DUMMYFUNCTION("""COMPUTED_VALUE"""),45911.0)</f>
        <v>45911</v>
      </c>
      <c r="I5860" s="115" t="str">
        <f>IFERROR(__xludf.DUMMYFUNCTION("""COMPUTED_VALUE"""),"13")</f>
        <v>13</v>
      </c>
      <c r="J5860" s="115"/>
      <c r="K5860" s="115"/>
    </row>
    <row r="5861">
      <c r="A5861" s="115" t="str">
        <f>IFERROR(__xludf.DUMMYFUNCTION("""COMPUTED_VALUE"""),"SOUTH")</f>
        <v>SOUTH</v>
      </c>
      <c r="B5861" s="115" t="str">
        <f>IFERROR(__xludf.DUMMYFUNCTION("""COMPUTED_VALUE"""),"Kandula Sampath")</f>
        <v>Kandula Sampath</v>
      </c>
      <c r="C5861" s="115" t="str">
        <f>IFERROR(__xludf.DUMMYFUNCTION("""COMPUTED_VALUE"""),"EXTERNAL")</f>
        <v>EXTERNAL</v>
      </c>
      <c r="D5861" s="115">
        <f>IFERROR(__xludf.DUMMYFUNCTION("""COMPUTED_VALUE"""),32674.0)</f>
        <v>32674</v>
      </c>
      <c r="E5861" s="115">
        <f>IFERROR(__xludf.DUMMYFUNCTION("""COMPUTED_VALUE"""),4759.0)</f>
        <v>4759</v>
      </c>
      <c r="F5861" s="115">
        <f>IFERROR(__xludf.DUMMYFUNCTION("""COMPUTED_VALUE"""),7542.0)</f>
        <v>7542</v>
      </c>
      <c r="G5861" s="115">
        <f>IFERROR(__xludf.DUMMYFUNCTION("""COMPUTED_VALUE"""),317.0)</f>
        <v>317</v>
      </c>
      <c r="H5861" s="116">
        <f>IFERROR(__xludf.DUMMYFUNCTION("""COMPUTED_VALUE"""),45911.0)</f>
        <v>45911</v>
      </c>
      <c r="I5861" s="115" t="str">
        <f>IFERROR(__xludf.DUMMYFUNCTION("""COMPUTED_VALUE"""),"13")</f>
        <v>13</v>
      </c>
      <c r="J5861" s="115"/>
      <c r="K5861" s="115"/>
    </row>
    <row r="5862">
      <c r="A5862" s="115" t="str">
        <f>IFERROR(__xludf.DUMMYFUNCTION("""COMPUTED_VALUE"""),"SOUTH")</f>
        <v>SOUTH</v>
      </c>
      <c r="B5862" s="115" t="str">
        <f>IFERROR(__xludf.DUMMYFUNCTION("""COMPUTED_VALUE"""),"Kandula Sampath")</f>
        <v>Kandula Sampath</v>
      </c>
      <c r="C5862" s="115" t="str">
        <f>IFERROR(__xludf.DUMMYFUNCTION("""COMPUTED_VALUE"""),"FLIPKART")</f>
        <v>FLIPKART</v>
      </c>
      <c r="D5862" s="115">
        <f>IFERROR(__xludf.DUMMYFUNCTION("""COMPUTED_VALUE"""),346598.0)</f>
        <v>346598</v>
      </c>
      <c r="E5862" s="115">
        <f>IFERROR(__xludf.DUMMYFUNCTION("""COMPUTED_VALUE"""),28253.0)</f>
        <v>28253</v>
      </c>
      <c r="F5862" s="115">
        <f>IFERROR(__xludf.DUMMYFUNCTION("""COMPUTED_VALUE"""),136646.0)</f>
        <v>136646</v>
      </c>
      <c r="G5862" s="115">
        <f>IFERROR(__xludf.DUMMYFUNCTION("""COMPUTED_VALUE"""),3046.0)</f>
        <v>3046</v>
      </c>
      <c r="H5862" s="116">
        <f>IFERROR(__xludf.DUMMYFUNCTION("""COMPUTED_VALUE"""),45911.0)</f>
        <v>45911</v>
      </c>
      <c r="I5862" s="115" t="str">
        <f>IFERROR(__xludf.DUMMYFUNCTION("""COMPUTED_VALUE"""),"13")</f>
        <v>13</v>
      </c>
      <c r="J5862" s="115"/>
      <c r="K5862" s="115"/>
    </row>
    <row r="5863">
      <c r="A5863" s="115" t="str">
        <f>IFERROR(__xludf.DUMMYFUNCTION("""COMPUTED_VALUE"""),"SOUTH")</f>
        <v>SOUTH</v>
      </c>
      <c r="B5863" s="115" t="str">
        <f>IFERROR(__xludf.DUMMYFUNCTION("""COMPUTED_VALUE"""),"Kandula Sampath")</f>
        <v>Kandula Sampath</v>
      </c>
      <c r="C5863" s="115" t="str">
        <f>IFERROR(__xludf.DUMMYFUNCTION("""COMPUTED_VALUE"""),"MYNTRA")</f>
        <v>MYNTRA</v>
      </c>
      <c r="D5863" s="115">
        <f>IFERROR(__xludf.DUMMYFUNCTION("""COMPUTED_VALUE"""),35176.0)</f>
        <v>35176</v>
      </c>
      <c r="E5863" s="115">
        <f>IFERROR(__xludf.DUMMYFUNCTION("""COMPUTED_VALUE"""),8595.0)</f>
        <v>8595</v>
      </c>
      <c r="F5863" s="115">
        <f>IFERROR(__xludf.DUMMYFUNCTION("""COMPUTED_VALUE"""),15447.0)</f>
        <v>15447</v>
      </c>
      <c r="G5863" s="115">
        <f>IFERROR(__xludf.DUMMYFUNCTION("""COMPUTED_VALUE"""),944.0)</f>
        <v>944</v>
      </c>
      <c r="H5863" s="116">
        <f>IFERROR(__xludf.DUMMYFUNCTION("""COMPUTED_VALUE"""),45911.0)</f>
        <v>45911</v>
      </c>
      <c r="I5863" s="115" t="str">
        <f>IFERROR(__xludf.DUMMYFUNCTION("""COMPUTED_VALUE"""),"13")</f>
        <v>13</v>
      </c>
      <c r="J5863" s="115"/>
      <c r="K5863" s="115"/>
    </row>
    <row r="5864">
      <c r="A5864" s="115" t="str">
        <f>IFERROR(__xludf.DUMMYFUNCTION("""COMPUTED_VALUE"""),"SOUTH")</f>
        <v>SOUTH</v>
      </c>
      <c r="B5864" s="115" t="str">
        <f>IFERROR(__xludf.DUMMYFUNCTION("""COMPUTED_VALUE"""),"Martin A")</f>
        <v>Martin A</v>
      </c>
      <c r="C5864" s="115" t="str">
        <f>IFERROR(__xludf.DUMMYFUNCTION("""COMPUTED_VALUE"""),"EXTERNAL")</f>
        <v>EXTERNAL</v>
      </c>
      <c r="D5864" s="115">
        <f>IFERROR(__xludf.DUMMYFUNCTION("""COMPUTED_VALUE"""),27182.0)</f>
        <v>27182</v>
      </c>
      <c r="E5864" s="115">
        <f>IFERROR(__xludf.DUMMYFUNCTION("""COMPUTED_VALUE"""),3913.0)</f>
        <v>3913</v>
      </c>
      <c r="F5864" s="115">
        <f>IFERROR(__xludf.DUMMYFUNCTION("""COMPUTED_VALUE"""),6405.0)</f>
        <v>6405</v>
      </c>
      <c r="G5864" s="115">
        <f>IFERROR(__xludf.DUMMYFUNCTION("""COMPUTED_VALUE"""),547.0)</f>
        <v>547</v>
      </c>
      <c r="H5864" s="116">
        <f>IFERROR(__xludf.DUMMYFUNCTION("""COMPUTED_VALUE"""),45911.0)</f>
        <v>45911</v>
      </c>
      <c r="I5864" s="115" t="str">
        <f>IFERROR(__xludf.DUMMYFUNCTION("""COMPUTED_VALUE"""),"13")</f>
        <v>13</v>
      </c>
      <c r="J5864" s="115"/>
      <c r="K5864" s="115"/>
    </row>
    <row r="5865">
      <c r="A5865" s="115" t="str">
        <f>IFERROR(__xludf.DUMMYFUNCTION("""COMPUTED_VALUE"""),"SOUTH")</f>
        <v>SOUTH</v>
      </c>
      <c r="B5865" s="115" t="str">
        <f>IFERROR(__xludf.DUMMYFUNCTION("""COMPUTED_VALUE"""),"Martin A")</f>
        <v>Martin A</v>
      </c>
      <c r="C5865" s="115" t="str">
        <f>IFERROR(__xludf.DUMMYFUNCTION("""COMPUTED_VALUE"""),"FLIPKART")</f>
        <v>FLIPKART</v>
      </c>
      <c r="D5865" s="115">
        <f>IFERROR(__xludf.DUMMYFUNCTION("""COMPUTED_VALUE"""),260192.0)</f>
        <v>260192</v>
      </c>
      <c r="E5865" s="115">
        <f>IFERROR(__xludf.DUMMYFUNCTION("""COMPUTED_VALUE"""),25135.0)</f>
        <v>25135</v>
      </c>
      <c r="F5865" s="115">
        <f>IFERROR(__xludf.DUMMYFUNCTION("""COMPUTED_VALUE"""),106482.0)</f>
        <v>106482</v>
      </c>
      <c r="G5865" s="115">
        <f>IFERROR(__xludf.DUMMYFUNCTION("""COMPUTED_VALUE"""),3693.0)</f>
        <v>3693</v>
      </c>
      <c r="H5865" s="116">
        <f>IFERROR(__xludf.DUMMYFUNCTION("""COMPUTED_VALUE"""),45911.0)</f>
        <v>45911</v>
      </c>
      <c r="I5865" s="115" t="str">
        <f>IFERROR(__xludf.DUMMYFUNCTION("""COMPUTED_VALUE"""),"13")</f>
        <v>13</v>
      </c>
      <c r="J5865" s="115"/>
      <c r="K5865" s="115"/>
    </row>
    <row r="5866">
      <c r="A5866" s="115" t="str">
        <f>IFERROR(__xludf.DUMMYFUNCTION("""COMPUTED_VALUE"""),"SOUTH")</f>
        <v>SOUTH</v>
      </c>
      <c r="B5866" s="115" t="str">
        <f>IFERROR(__xludf.DUMMYFUNCTION("""COMPUTED_VALUE"""),"Martin A")</f>
        <v>Martin A</v>
      </c>
      <c r="C5866" s="115" t="str">
        <f>IFERROR(__xludf.DUMMYFUNCTION("""COMPUTED_VALUE"""),"MYNTRA")</f>
        <v>MYNTRA</v>
      </c>
      <c r="D5866" s="115">
        <f>IFERROR(__xludf.DUMMYFUNCTION("""COMPUTED_VALUE"""),21553.0)</f>
        <v>21553</v>
      </c>
      <c r="E5866" s="115">
        <f>IFERROR(__xludf.DUMMYFUNCTION("""COMPUTED_VALUE"""),6965.0)</f>
        <v>6965</v>
      </c>
      <c r="F5866" s="115">
        <f>IFERROR(__xludf.DUMMYFUNCTION("""COMPUTED_VALUE"""),10447.0)</f>
        <v>10447</v>
      </c>
      <c r="G5866" s="115">
        <f>IFERROR(__xludf.DUMMYFUNCTION("""COMPUTED_VALUE"""),1120.0)</f>
        <v>1120</v>
      </c>
      <c r="H5866" s="116">
        <f>IFERROR(__xludf.DUMMYFUNCTION("""COMPUTED_VALUE"""),45911.0)</f>
        <v>45911</v>
      </c>
      <c r="I5866" s="115" t="str">
        <f>IFERROR(__xludf.DUMMYFUNCTION("""COMPUTED_VALUE"""),"13")</f>
        <v>13</v>
      </c>
      <c r="J5866" s="115"/>
      <c r="K5866" s="115"/>
    </row>
    <row r="5867">
      <c r="A5867" s="115" t="str">
        <f>IFERROR(__xludf.DUMMYFUNCTION("""COMPUTED_VALUE"""),"SOUTH")</f>
        <v>SOUTH</v>
      </c>
      <c r="B5867" s="115" t="str">
        <f>IFERROR(__xludf.DUMMYFUNCTION("""COMPUTED_VALUE"""),"Premkumar M")</f>
        <v>Premkumar M</v>
      </c>
      <c r="C5867" s="115" t="str">
        <f>IFERROR(__xludf.DUMMYFUNCTION("""COMPUTED_VALUE"""),"EXTERNAL")</f>
        <v>EXTERNAL</v>
      </c>
      <c r="D5867" s="115">
        <f>IFERROR(__xludf.DUMMYFUNCTION("""COMPUTED_VALUE"""),23961.0)</f>
        <v>23961</v>
      </c>
      <c r="E5867" s="115">
        <f>IFERROR(__xludf.DUMMYFUNCTION("""COMPUTED_VALUE"""),1870.0)</f>
        <v>1870</v>
      </c>
      <c r="F5867" s="115">
        <f>IFERROR(__xludf.DUMMYFUNCTION("""COMPUTED_VALUE"""),4339.0)</f>
        <v>4339</v>
      </c>
      <c r="G5867" s="115">
        <f>IFERROR(__xludf.DUMMYFUNCTION("""COMPUTED_VALUE"""),53.0)</f>
        <v>53</v>
      </c>
      <c r="H5867" s="116">
        <f>IFERROR(__xludf.DUMMYFUNCTION("""COMPUTED_VALUE"""),45911.0)</f>
        <v>45911</v>
      </c>
      <c r="I5867" s="115" t="str">
        <f>IFERROR(__xludf.DUMMYFUNCTION("""COMPUTED_VALUE"""),"13")</f>
        <v>13</v>
      </c>
      <c r="J5867" s="115"/>
      <c r="K5867" s="115"/>
    </row>
    <row r="5868">
      <c r="A5868" s="115" t="str">
        <f>IFERROR(__xludf.DUMMYFUNCTION("""COMPUTED_VALUE"""),"SOUTH")</f>
        <v>SOUTH</v>
      </c>
      <c r="B5868" s="115" t="str">
        <f>IFERROR(__xludf.DUMMYFUNCTION("""COMPUTED_VALUE"""),"Premkumar M")</f>
        <v>Premkumar M</v>
      </c>
      <c r="C5868" s="115" t="str">
        <f>IFERROR(__xludf.DUMMYFUNCTION("""COMPUTED_VALUE"""),"FLIPKART")</f>
        <v>FLIPKART</v>
      </c>
      <c r="D5868" s="115">
        <f>IFERROR(__xludf.DUMMYFUNCTION("""COMPUTED_VALUE"""),263951.0)</f>
        <v>263951</v>
      </c>
      <c r="E5868" s="115">
        <f>IFERROR(__xludf.DUMMYFUNCTION("""COMPUTED_VALUE"""),15060.0)</f>
        <v>15060</v>
      </c>
      <c r="F5868" s="115">
        <f>IFERROR(__xludf.DUMMYFUNCTION("""COMPUTED_VALUE"""),74349.0)</f>
        <v>74349</v>
      </c>
      <c r="G5868" s="115">
        <f>IFERROR(__xludf.DUMMYFUNCTION("""COMPUTED_VALUE"""),701.0)</f>
        <v>701</v>
      </c>
      <c r="H5868" s="116">
        <f>IFERROR(__xludf.DUMMYFUNCTION("""COMPUTED_VALUE"""),45911.0)</f>
        <v>45911</v>
      </c>
      <c r="I5868" s="115" t="str">
        <f>IFERROR(__xludf.DUMMYFUNCTION("""COMPUTED_VALUE"""),"13")</f>
        <v>13</v>
      </c>
      <c r="J5868" s="115"/>
      <c r="K5868" s="115"/>
    </row>
    <row r="5869">
      <c r="A5869" s="115" t="str">
        <f>IFERROR(__xludf.DUMMYFUNCTION("""COMPUTED_VALUE"""),"SOUTH")</f>
        <v>SOUTH</v>
      </c>
      <c r="B5869" s="115" t="str">
        <f>IFERROR(__xludf.DUMMYFUNCTION("""COMPUTED_VALUE"""),"Premkumar M")</f>
        <v>Premkumar M</v>
      </c>
      <c r="C5869" s="115" t="str">
        <f>IFERROR(__xludf.DUMMYFUNCTION("""COMPUTED_VALUE"""),"MYNTRA")</f>
        <v>MYNTRA</v>
      </c>
      <c r="D5869" s="115">
        <f>IFERROR(__xludf.DUMMYFUNCTION("""COMPUTED_VALUE"""),12887.0)</f>
        <v>12887</v>
      </c>
      <c r="E5869" s="115">
        <f>IFERROR(__xludf.DUMMYFUNCTION("""COMPUTED_VALUE"""),2551.0)</f>
        <v>2551</v>
      </c>
      <c r="F5869" s="115">
        <f>IFERROR(__xludf.DUMMYFUNCTION("""COMPUTED_VALUE"""),4333.0)</f>
        <v>4333</v>
      </c>
      <c r="G5869" s="115">
        <f>IFERROR(__xludf.DUMMYFUNCTION("""COMPUTED_VALUE"""),163.0)</f>
        <v>163</v>
      </c>
      <c r="H5869" s="116">
        <f>IFERROR(__xludf.DUMMYFUNCTION("""COMPUTED_VALUE"""),45911.0)</f>
        <v>45911</v>
      </c>
      <c r="I5869" s="115" t="str">
        <f>IFERROR(__xludf.DUMMYFUNCTION("""COMPUTED_VALUE"""),"13")</f>
        <v>13</v>
      </c>
      <c r="J5869" s="115"/>
      <c r="K5869" s="115"/>
    </row>
    <row r="5870">
      <c r="A5870" s="115" t="str">
        <f>IFERROR(__xludf.DUMMYFUNCTION("""COMPUTED_VALUE"""),"SOUTH")</f>
        <v>SOUTH</v>
      </c>
      <c r="B5870" s="115" t="str">
        <f>IFERROR(__xludf.DUMMYFUNCTION("""COMPUTED_VALUE"""),"Vineeth V")</f>
        <v>Vineeth V</v>
      </c>
      <c r="C5870" s="115" t="str">
        <f>IFERROR(__xludf.DUMMYFUNCTION("""COMPUTED_VALUE"""),"EXTERNAL")</f>
        <v>EXTERNAL</v>
      </c>
      <c r="D5870" s="115">
        <f>IFERROR(__xludf.DUMMYFUNCTION("""COMPUTED_VALUE"""),20834.0)</f>
        <v>20834</v>
      </c>
      <c r="E5870" s="115">
        <f>IFERROR(__xludf.DUMMYFUNCTION("""COMPUTED_VALUE"""),566.0)</f>
        <v>566</v>
      </c>
      <c r="F5870" s="115">
        <f>IFERROR(__xludf.DUMMYFUNCTION("""COMPUTED_VALUE"""),3825.0)</f>
        <v>3825</v>
      </c>
      <c r="G5870" s="115">
        <f>IFERROR(__xludf.DUMMYFUNCTION("""COMPUTED_VALUE"""),11.0)</f>
        <v>11</v>
      </c>
      <c r="H5870" s="116">
        <f>IFERROR(__xludf.DUMMYFUNCTION("""COMPUTED_VALUE"""),45911.0)</f>
        <v>45911</v>
      </c>
      <c r="I5870" s="115" t="str">
        <f>IFERROR(__xludf.DUMMYFUNCTION("""COMPUTED_VALUE"""),"13")</f>
        <v>13</v>
      </c>
      <c r="J5870" s="115"/>
      <c r="K5870" s="115"/>
    </row>
    <row r="5871">
      <c r="A5871" s="115" t="str">
        <f>IFERROR(__xludf.DUMMYFUNCTION("""COMPUTED_VALUE"""),"SOUTH")</f>
        <v>SOUTH</v>
      </c>
      <c r="B5871" s="115" t="str">
        <f>IFERROR(__xludf.DUMMYFUNCTION("""COMPUTED_VALUE"""),"Vineeth V")</f>
        <v>Vineeth V</v>
      </c>
      <c r="C5871" s="115" t="str">
        <f>IFERROR(__xludf.DUMMYFUNCTION("""COMPUTED_VALUE"""),"FLIPKART")</f>
        <v>FLIPKART</v>
      </c>
      <c r="D5871" s="115">
        <f>IFERROR(__xludf.DUMMYFUNCTION("""COMPUTED_VALUE"""),207368.0)</f>
        <v>207368</v>
      </c>
      <c r="E5871" s="115">
        <f>IFERROR(__xludf.DUMMYFUNCTION("""COMPUTED_VALUE"""),12080.0)</f>
        <v>12080</v>
      </c>
      <c r="F5871" s="115">
        <f>IFERROR(__xludf.DUMMYFUNCTION("""COMPUTED_VALUE"""),59529.0)</f>
        <v>59529</v>
      </c>
      <c r="G5871" s="115">
        <f>IFERROR(__xludf.DUMMYFUNCTION("""COMPUTED_VALUE"""),433.0)</f>
        <v>433</v>
      </c>
      <c r="H5871" s="116">
        <f>IFERROR(__xludf.DUMMYFUNCTION("""COMPUTED_VALUE"""),45911.0)</f>
        <v>45911</v>
      </c>
      <c r="I5871" s="115" t="str">
        <f>IFERROR(__xludf.DUMMYFUNCTION("""COMPUTED_VALUE"""),"13")</f>
        <v>13</v>
      </c>
      <c r="J5871" s="115"/>
      <c r="K5871" s="115"/>
    </row>
    <row r="5872">
      <c r="A5872" s="115" t="str">
        <f>IFERROR(__xludf.DUMMYFUNCTION("""COMPUTED_VALUE"""),"SOUTH")</f>
        <v>SOUTH</v>
      </c>
      <c r="B5872" s="115" t="str">
        <f>IFERROR(__xludf.DUMMYFUNCTION("""COMPUTED_VALUE"""),"Vineeth V")</f>
        <v>Vineeth V</v>
      </c>
      <c r="C5872" s="115" t="str">
        <f>IFERROR(__xludf.DUMMYFUNCTION("""COMPUTED_VALUE"""),"MYNTRA")</f>
        <v>MYNTRA</v>
      </c>
      <c r="D5872" s="115">
        <f>IFERROR(__xludf.DUMMYFUNCTION("""COMPUTED_VALUE"""),15043.0)</f>
        <v>15043</v>
      </c>
      <c r="E5872" s="115">
        <f>IFERROR(__xludf.DUMMYFUNCTION("""COMPUTED_VALUE"""),3063.0)</f>
        <v>3063</v>
      </c>
      <c r="F5872" s="115">
        <f>IFERROR(__xludf.DUMMYFUNCTION("""COMPUTED_VALUE"""),4831.0)</f>
        <v>4831</v>
      </c>
      <c r="G5872" s="115">
        <f>IFERROR(__xludf.DUMMYFUNCTION("""COMPUTED_VALUE"""),89.0)</f>
        <v>89</v>
      </c>
      <c r="H5872" s="116">
        <f>IFERROR(__xludf.DUMMYFUNCTION("""COMPUTED_VALUE"""),45911.0)</f>
        <v>45911</v>
      </c>
      <c r="I5872" s="115" t="str">
        <f>IFERROR(__xludf.DUMMYFUNCTION("""COMPUTED_VALUE"""),"13")</f>
        <v>13</v>
      </c>
      <c r="J5872" s="115"/>
      <c r="K5872" s="115"/>
    </row>
    <row r="5873">
      <c r="A5873" s="115" t="str">
        <f>IFERROR(__xludf.DUMMYFUNCTION("""COMPUTED_VALUE"""),"WEST")</f>
        <v>WEST</v>
      </c>
      <c r="B5873" s="115" t="str">
        <f>IFERROR(__xludf.DUMMYFUNCTION("""COMPUTED_VALUE"""),"Ashish Jakar")</f>
        <v>Ashish Jakar</v>
      </c>
      <c r="C5873" s="115" t="str">
        <f>IFERROR(__xludf.DUMMYFUNCTION("""COMPUTED_VALUE"""),"EXTERNAL")</f>
        <v>EXTERNAL</v>
      </c>
      <c r="D5873" s="115">
        <f>IFERROR(__xludf.DUMMYFUNCTION("""COMPUTED_VALUE"""),55043.0)</f>
        <v>55043</v>
      </c>
      <c r="E5873" s="115">
        <f>IFERROR(__xludf.DUMMYFUNCTION("""COMPUTED_VALUE"""),7041.0)</f>
        <v>7041</v>
      </c>
      <c r="F5873" s="115">
        <f>IFERROR(__xludf.DUMMYFUNCTION("""COMPUTED_VALUE"""),10287.0)</f>
        <v>10287</v>
      </c>
      <c r="G5873" s="115">
        <f>IFERROR(__xludf.DUMMYFUNCTION("""COMPUTED_VALUE"""),841.0)</f>
        <v>841</v>
      </c>
      <c r="H5873" s="116">
        <f>IFERROR(__xludf.DUMMYFUNCTION("""COMPUTED_VALUE"""),45911.0)</f>
        <v>45911</v>
      </c>
      <c r="I5873" s="115" t="str">
        <f>IFERROR(__xludf.DUMMYFUNCTION("""COMPUTED_VALUE"""),"13")</f>
        <v>13</v>
      </c>
      <c r="J5873" s="115"/>
      <c r="K5873" s="115"/>
    </row>
    <row r="5874">
      <c r="A5874" s="115" t="str">
        <f>IFERROR(__xludf.DUMMYFUNCTION("""COMPUTED_VALUE"""),"WEST")</f>
        <v>WEST</v>
      </c>
      <c r="B5874" s="115" t="str">
        <f>IFERROR(__xludf.DUMMYFUNCTION("""COMPUTED_VALUE"""),"Ashish Jakar")</f>
        <v>Ashish Jakar</v>
      </c>
      <c r="C5874" s="115" t="str">
        <f>IFERROR(__xludf.DUMMYFUNCTION("""COMPUTED_VALUE"""),"FLIPKART")</f>
        <v>FLIPKART</v>
      </c>
      <c r="D5874" s="115">
        <f>IFERROR(__xludf.DUMMYFUNCTION("""COMPUTED_VALUE"""),369876.0)</f>
        <v>369876</v>
      </c>
      <c r="E5874" s="115">
        <f>IFERROR(__xludf.DUMMYFUNCTION("""COMPUTED_VALUE"""),32106.0)</f>
        <v>32106</v>
      </c>
      <c r="F5874" s="115">
        <f>IFERROR(__xludf.DUMMYFUNCTION("""COMPUTED_VALUE"""),122887.0)</f>
        <v>122887</v>
      </c>
      <c r="G5874" s="115">
        <f>IFERROR(__xludf.DUMMYFUNCTION("""COMPUTED_VALUE"""),4303.0)</f>
        <v>4303</v>
      </c>
      <c r="H5874" s="116">
        <f>IFERROR(__xludf.DUMMYFUNCTION("""COMPUTED_VALUE"""),45911.0)</f>
        <v>45911</v>
      </c>
      <c r="I5874" s="115" t="str">
        <f>IFERROR(__xludf.DUMMYFUNCTION("""COMPUTED_VALUE"""),"13")</f>
        <v>13</v>
      </c>
      <c r="J5874" s="115"/>
      <c r="K5874" s="115"/>
    </row>
    <row r="5875">
      <c r="A5875" s="115" t="str">
        <f>IFERROR(__xludf.DUMMYFUNCTION("""COMPUTED_VALUE"""),"WEST")</f>
        <v>WEST</v>
      </c>
      <c r="B5875" s="115" t="str">
        <f>IFERROR(__xludf.DUMMYFUNCTION("""COMPUTED_VALUE"""),"Ashish Jakar")</f>
        <v>Ashish Jakar</v>
      </c>
      <c r="C5875" s="115" t="str">
        <f>IFERROR(__xludf.DUMMYFUNCTION("""COMPUTED_VALUE"""),"MYNTRA")</f>
        <v>MYNTRA</v>
      </c>
      <c r="D5875" s="115">
        <f>IFERROR(__xludf.DUMMYFUNCTION("""COMPUTED_VALUE"""),41593.0)</f>
        <v>41593</v>
      </c>
      <c r="E5875" s="115">
        <f>IFERROR(__xludf.DUMMYFUNCTION("""COMPUTED_VALUE"""),10612.0)</f>
        <v>10612</v>
      </c>
      <c r="F5875" s="115">
        <f>IFERROR(__xludf.DUMMYFUNCTION("""COMPUTED_VALUE"""),16614.0)</f>
        <v>16614</v>
      </c>
      <c r="G5875" s="115">
        <f>IFERROR(__xludf.DUMMYFUNCTION("""COMPUTED_VALUE"""),1715.0)</f>
        <v>1715</v>
      </c>
      <c r="H5875" s="116">
        <f>IFERROR(__xludf.DUMMYFUNCTION("""COMPUTED_VALUE"""),45911.0)</f>
        <v>45911</v>
      </c>
      <c r="I5875" s="115" t="str">
        <f>IFERROR(__xludf.DUMMYFUNCTION("""COMPUTED_VALUE"""),"13")</f>
        <v>13</v>
      </c>
      <c r="J5875" s="115"/>
      <c r="K5875" s="115"/>
    </row>
    <row r="5876">
      <c r="A5876" s="115" t="str">
        <f>IFERROR(__xludf.DUMMYFUNCTION("""COMPUTED_VALUE"""),"WEST")</f>
        <v>WEST</v>
      </c>
      <c r="B5876" s="115" t="str">
        <f>IFERROR(__xludf.DUMMYFUNCTION("""COMPUTED_VALUE"""),"Ashvani Bhatt")</f>
        <v>Ashvani Bhatt</v>
      </c>
      <c r="C5876" s="115" t="str">
        <f>IFERROR(__xludf.DUMMYFUNCTION("""COMPUTED_VALUE"""),"EXTERNAL")</f>
        <v>EXTERNAL</v>
      </c>
      <c r="D5876" s="115">
        <f>IFERROR(__xludf.DUMMYFUNCTION("""COMPUTED_VALUE"""),36578.0)</f>
        <v>36578</v>
      </c>
      <c r="E5876" s="115">
        <f>IFERROR(__xludf.DUMMYFUNCTION("""COMPUTED_VALUE"""),3826.0)</f>
        <v>3826</v>
      </c>
      <c r="F5876" s="115">
        <f>IFERROR(__xludf.DUMMYFUNCTION("""COMPUTED_VALUE"""),8028.0)</f>
        <v>8028</v>
      </c>
      <c r="G5876" s="115">
        <f>IFERROR(__xludf.DUMMYFUNCTION("""COMPUTED_VALUE"""),243.0)</f>
        <v>243</v>
      </c>
      <c r="H5876" s="116">
        <f>IFERROR(__xludf.DUMMYFUNCTION("""COMPUTED_VALUE"""),45911.0)</f>
        <v>45911</v>
      </c>
      <c r="I5876" s="115" t="str">
        <f>IFERROR(__xludf.DUMMYFUNCTION("""COMPUTED_VALUE"""),"13")</f>
        <v>13</v>
      </c>
      <c r="J5876" s="115"/>
      <c r="K5876" s="115"/>
    </row>
    <row r="5877">
      <c r="A5877" s="115" t="str">
        <f>IFERROR(__xludf.DUMMYFUNCTION("""COMPUTED_VALUE"""),"WEST")</f>
        <v>WEST</v>
      </c>
      <c r="B5877" s="115" t="str">
        <f>IFERROR(__xludf.DUMMYFUNCTION("""COMPUTED_VALUE"""),"Ashvani Bhatt")</f>
        <v>Ashvani Bhatt</v>
      </c>
      <c r="C5877" s="115" t="str">
        <f>IFERROR(__xludf.DUMMYFUNCTION("""COMPUTED_VALUE"""),"FLIPKART")</f>
        <v>FLIPKART</v>
      </c>
      <c r="D5877" s="115">
        <f>IFERROR(__xludf.DUMMYFUNCTION("""COMPUTED_VALUE"""),287941.0)</f>
        <v>287941</v>
      </c>
      <c r="E5877" s="115">
        <f>IFERROR(__xludf.DUMMYFUNCTION("""COMPUTED_VALUE"""),25439.0)</f>
        <v>25439</v>
      </c>
      <c r="F5877" s="115">
        <f>IFERROR(__xludf.DUMMYFUNCTION("""COMPUTED_VALUE"""),116856.0)</f>
        <v>116856</v>
      </c>
      <c r="G5877" s="115">
        <f>IFERROR(__xludf.DUMMYFUNCTION("""COMPUTED_VALUE"""),2992.0)</f>
        <v>2992</v>
      </c>
      <c r="H5877" s="116">
        <f>IFERROR(__xludf.DUMMYFUNCTION("""COMPUTED_VALUE"""),45911.0)</f>
        <v>45911</v>
      </c>
      <c r="I5877" s="115" t="str">
        <f>IFERROR(__xludf.DUMMYFUNCTION("""COMPUTED_VALUE"""),"13")</f>
        <v>13</v>
      </c>
      <c r="J5877" s="115"/>
      <c r="K5877" s="115"/>
    </row>
    <row r="5878">
      <c r="A5878" s="115" t="str">
        <f>IFERROR(__xludf.DUMMYFUNCTION("""COMPUTED_VALUE"""),"WEST")</f>
        <v>WEST</v>
      </c>
      <c r="B5878" s="115" t="str">
        <f>IFERROR(__xludf.DUMMYFUNCTION("""COMPUTED_VALUE"""),"Ashvani Bhatt")</f>
        <v>Ashvani Bhatt</v>
      </c>
      <c r="C5878" s="115" t="str">
        <f>IFERROR(__xludf.DUMMYFUNCTION("""COMPUTED_VALUE"""),"MYNTRA")</f>
        <v>MYNTRA</v>
      </c>
      <c r="D5878" s="115">
        <f>IFERROR(__xludf.DUMMYFUNCTION("""COMPUTED_VALUE"""),34414.0)</f>
        <v>34414</v>
      </c>
      <c r="E5878" s="115">
        <f>IFERROR(__xludf.DUMMYFUNCTION("""COMPUTED_VALUE"""),8601.0)</f>
        <v>8601</v>
      </c>
      <c r="F5878" s="115">
        <f>IFERROR(__xludf.DUMMYFUNCTION("""COMPUTED_VALUE"""),16806.0)</f>
        <v>16806</v>
      </c>
      <c r="G5878" s="115">
        <f>IFERROR(__xludf.DUMMYFUNCTION("""COMPUTED_VALUE"""),1380.0)</f>
        <v>1380</v>
      </c>
      <c r="H5878" s="116">
        <f>IFERROR(__xludf.DUMMYFUNCTION("""COMPUTED_VALUE"""),45911.0)</f>
        <v>45911</v>
      </c>
      <c r="I5878" s="115" t="str">
        <f>IFERROR(__xludf.DUMMYFUNCTION("""COMPUTED_VALUE"""),"13")</f>
        <v>13</v>
      </c>
      <c r="J5878" s="115"/>
      <c r="K5878" s="115"/>
    </row>
    <row r="5879">
      <c r="A5879" s="115"/>
      <c r="B5879" s="115"/>
      <c r="C5879" s="115" t="str">
        <f>IFERROR(__xludf.DUMMYFUNCTION("""COMPUTED_VALUE"""),"EXTERNAL")</f>
        <v>EXTERNAL</v>
      </c>
      <c r="D5879" s="115">
        <f>IFERROR(__xludf.DUMMYFUNCTION("""COMPUTED_VALUE"""),829.0)</f>
        <v>829</v>
      </c>
      <c r="E5879" s="115">
        <f>IFERROR(__xludf.DUMMYFUNCTION("""COMPUTED_VALUE"""),336.0)</f>
        <v>336</v>
      </c>
      <c r="F5879" s="115">
        <f>IFERROR(__xludf.DUMMYFUNCTION("""COMPUTED_VALUE"""),132.0)</f>
        <v>132</v>
      </c>
      <c r="G5879" s="115">
        <f>IFERROR(__xludf.DUMMYFUNCTION("""COMPUTED_VALUE"""),35.0)</f>
        <v>35</v>
      </c>
      <c r="H5879" s="116">
        <f>IFERROR(__xludf.DUMMYFUNCTION("""COMPUTED_VALUE"""),45911.0)</f>
        <v>45911</v>
      </c>
      <c r="I5879" s="115" t="str">
        <f>IFERROR(__xludf.DUMMYFUNCTION("""COMPUTED_VALUE"""),"13")</f>
        <v>13</v>
      </c>
      <c r="J5879" s="115"/>
      <c r="K5879" s="115"/>
    </row>
    <row r="5880">
      <c r="A5880" s="115"/>
      <c r="B5880" s="115"/>
      <c r="C5880" s="115" t="str">
        <f>IFERROR(__xludf.DUMMYFUNCTION("""COMPUTED_VALUE"""),"FLIPKART")</f>
        <v>FLIPKART</v>
      </c>
      <c r="D5880" s="115">
        <f>IFERROR(__xludf.DUMMYFUNCTION("""COMPUTED_VALUE"""),10102.0)</f>
        <v>10102</v>
      </c>
      <c r="E5880" s="115">
        <f>IFERROR(__xludf.DUMMYFUNCTION("""COMPUTED_VALUE"""),1046.0)</f>
        <v>1046</v>
      </c>
      <c r="F5880" s="115">
        <f>IFERROR(__xludf.DUMMYFUNCTION("""COMPUTED_VALUE"""),2278.0)</f>
        <v>2278</v>
      </c>
      <c r="G5880" s="115">
        <f>IFERROR(__xludf.DUMMYFUNCTION("""COMPUTED_VALUE"""),172.0)</f>
        <v>172</v>
      </c>
      <c r="H5880" s="116">
        <f>IFERROR(__xludf.DUMMYFUNCTION("""COMPUTED_VALUE"""),45911.0)</f>
        <v>45911</v>
      </c>
      <c r="I5880" s="115" t="str">
        <f>IFERROR(__xludf.DUMMYFUNCTION("""COMPUTED_VALUE"""),"13")</f>
        <v>13</v>
      </c>
      <c r="J5880" s="115"/>
      <c r="K5880" s="115"/>
    </row>
    <row r="5881">
      <c r="A5881" s="115"/>
      <c r="B5881" s="115"/>
      <c r="C5881" s="115" t="str">
        <f>IFERROR(__xludf.DUMMYFUNCTION("""COMPUTED_VALUE"""),"MYNTRA")</f>
        <v>MYNTRA</v>
      </c>
      <c r="D5881" s="115">
        <f>IFERROR(__xludf.DUMMYFUNCTION("""COMPUTED_VALUE"""),1194.0)</f>
        <v>1194</v>
      </c>
      <c r="E5881" s="115">
        <f>IFERROR(__xludf.DUMMYFUNCTION("""COMPUTED_VALUE"""),304.0)</f>
        <v>304</v>
      </c>
      <c r="F5881" s="115">
        <f>IFERROR(__xludf.DUMMYFUNCTION("""COMPUTED_VALUE"""),324.0)</f>
        <v>324</v>
      </c>
      <c r="G5881" s="115">
        <f>IFERROR(__xludf.DUMMYFUNCTION("""COMPUTED_VALUE"""),59.0)</f>
        <v>59</v>
      </c>
      <c r="H5881" s="116">
        <f>IFERROR(__xludf.DUMMYFUNCTION("""COMPUTED_VALUE"""),45911.0)</f>
        <v>45911</v>
      </c>
      <c r="I5881" s="115" t="str">
        <f>IFERROR(__xludf.DUMMYFUNCTION("""COMPUTED_VALUE"""),"13")</f>
        <v>13</v>
      </c>
      <c r="J5881" s="115"/>
      <c r="K5881" s="115"/>
    </row>
    <row r="5882">
      <c r="A5882" s="115" t="str">
        <f>IFERROR(__xludf.DUMMYFUNCTION("""COMPUTED_VALUE"""),"EAST")</f>
        <v>EAST</v>
      </c>
      <c r="B5882" s="115" t="str">
        <f>IFERROR(__xludf.DUMMYFUNCTION("""COMPUTED_VALUE"""),"Ashish Ranjan")</f>
        <v>Ashish Ranjan</v>
      </c>
      <c r="C5882" s="115" t="str">
        <f>IFERROR(__xludf.DUMMYFUNCTION("""COMPUTED_VALUE"""),"EXTERNAL")</f>
        <v>EXTERNAL</v>
      </c>
      <c r="D5882" s="115">
        <f>IFERROR(__xludf.DUMMYFUNCTION("""COMPUTED_VALUE"""),36923.0)</f>
        <v>36923</v>
      </c>
      <c r="E5882" s="115">
        <f>IFERROR(__xludf.DUMMYFUNCTION("""COMPUTED_VALUE"""),4120.0)</f>
        <v>4120</v>
      </c>
      <c r="F5882" s="115">
        <f>IFERROR(__xludf.DUMMYFUNCTION("""COMPUTED_VALUE"""),15552.0)</f>
        <v>15552</v>
      </c>
      <c r="G5882" s="115">
        <f>IFERROR(__xludf.DUMMYFUNCTION("""COMPUTED_VALUE"""),873.0)</f>
        <v>873</v>
      </c>
      <c r="H5882" s="116">
        <f>IFERROR(__xludf.DUMMYFUNCTION("""COMPUTED_VALUE"""),45911.0)</f>
        <v>45911</v>
      </c>
      <c r="I5882" s="115" t="str">
        <f>IFERROR(__xludf.DUMMYFUNCTION("""COMPUTED_VALUE"""),"15")</f>
        <v>15</v>
      </c>
      <c r="J5882" s="115"/>
      <c r="K5882" s="115"/>
    </row>
    <row r="5883">
      <c r="A5883" s="115" t="str">
        <f>IFERROR(__xludf.DUMMYFUNCTION("""COMPUTED_VALUE"""),"EAST")</f>
        <v>EAST</v>
      </c>
      <c r="B5883" s="115" t="str">
        <f>IFERROR(__xludf.DUMMYFUNCTION("""COMPUTED_VALUE"""),"Ashish Ranjan")</f>
        <v>Ashish Ranjan</v>
      </c>
      <c r="C5883" s="115" t="str">
        <f>IFERROR(__xludf.DUMMYFUNCTION("""COMPUTED_VALUE"""),"FLIPKART")</f>
        <v>FLIPKART</v>
      </c>
      <c r="D5883" s="115">
        <f>IFERROR(__xludf.DUMMYFUNCTION("""COMPUTED_VALUE"""),655186.0)</f>
        <v>655186</v>
      </c>
      <c r="E5883" s="115">
        <f>IFERROR(__xludf.DUMMYFUNCTION("""COMPUTED_VALUE"""),61155.0)</f>
        <v>61155</v>
      </c>
      <c r="F5883" s="115">
        <f>IFERROR(__xludf.DUMMYFUNCTION("""COMPUTED_VALUE"""),443744.0)</f>
        <v>443744</v>
      </c>
      <c r="G5883" s="115">
        <f>IFERROR(__xludf.DUMMYFUNCTION("""COMPUTED_VALUE"""),22202.0)</f>
        <v>22202</v>
      </c>
      <c r="H5883" s="116">
        <f>IFERROR(__xludf.DUMMYFUNCTION("""COMPUTED_VALUE"""),45911.0)</f>
        <v>45911</v>
      </c>
      <c r="I5883" s="115" t="str">
        <f>IFERROR(__xludf.DUMMYFUNCTION("""COMPUTED_VALUE"""),"15")</f>
        <v>15</v>
      </c>
      <c r="J5883" s="115"/>
      <c r="K5883" s="115"/>
    </row>
    <row r="5884">
      <c r="A5884" s="115" t="str">
        <f>IFERROR(__xludf.DUMMYFUNCTION("""COMPUTED_VALUE"""),"EAST")</f>
        <v>EAST</v>
      </c>
      <c r="B5884" s="115" t="str">
        <f>IFERROR(__xludf.DUMMYFUNCTION("""COMPUTED_VALUE"""),"Ashish Ranjan")</f>
        <v>Ashish Ranjan</v>
      </c>
      <c r="C5884" s="115" t="str">
        <f>IFERROR(__xludf.DUMMYFUNCTION("""COMPUTED_VALUE"""),"MYNTRA")</f>
        <v>MYNTRA</v>
      </c>
      <c r="D5884" s="115">
        <f>IFERROR(__xludf.DUMMYFUNCTION("""COMPUTED_VALUE"""),65242.0)</f>
        <v>65242</v>
      </c>
      <c r="E5884" s="115">
        <f>IFERROR(__xludf.DUMMYFUNCTION("""COMPUTED_VALUE"""),15632.0)</f>
        <v>15632</v>
      </c>
      <c r="F5884" s="115">
        <f>IFERROR(__xludf.DUMMYFUNCTION("""COMPUTED_VALUE"""),44471.0)</f>
        <v>44471</v>
      </c>
      <c r="G5884" s="115">
        <f>IFERROR(__xludf.DUMMYFUNCTION("""COMPUTED_VALUE"""),5608.0)</f>
        <v>5608</v>
      </c>
      <c r="H5884" s="116">
        <f>IFERROR(__xludf.DUMMYFUNCTION("""COMPUTED_VALUE"""),45911.0)</f>
        <v>45911</v>
      </c>
      <c r="I5884" s="115" t="str">
        <f>IFERROR(__xludf.DUMMYFUNCTION("""COMPUTED_VALUE"""),"15")</f>
        <v>15</v>
      </c>
      <c r="J5884" s="115"/>
      <c r="K5884" s="115"/>
    </row>
    <row r="5885">
      <c r="A5885" s="115" t="str">
        <f>IFERROR(__xludf.DUMMYFUNCTION("""COMPUTED_VALUE"""),"EAST")</f>
        <v>EAST</v>
      </c>
      <c r="B5885" s="115" t="str">
        <f>IFERROR(__xludf.DUMMYFUNCTION("""COMPUTED_VALUE"""),"Girish Chand")</f>
        <v>Girish Chand</v>
      </c>
      <c r="C5885" s="115" t="str">
        <f>IFERROR(__xludf.DUMMYFUNCTION("""COMPUTED_VALUE"""),"EXTERNAL")</f>
        <v>EXTERNAL</v>
      </c>
      <c r="D5885" s="115">
        <f>IFERROR(__xludf.DUMMYFUNCTION("""COMPUTED_VALUE"""),20954.0)</f>
        <v>20954</v>
      </c>
      <c r="E5885" s="115">
        <f>IFERROR(__xludf.DUMMYFUNCTION("""COMPUTED_VALUE"""),2468.0)</f>
        <v>2468</v>
      </c>
      <c r="F5885" s="115">
        <f>IFERROR(__xludf.DUMMYFUNCTION("""COMPUTED_VALUE"""),6438.0)</f>
        <v>6438</v>
      </c>
      <c r="G5885" s="115">
        <f>IFERROR(__xludf.DUMMYFUNCTION("""COMPUTED_VALUE"""),246.0)</f>
        <v>246</v>
      </c>
      <c r="H5885" s="116">
        <f>IFERROR(__xludf.DUMMYFUNCTION("""COMPUTED_VALUE"""),45911.0)</f>
        <v>45911</v>
      </c>
      <c r="I5885" s="115" t="str">
        <f>IFERROR(__xludf.DUMMYFUNCTION("""COMPUTED_VALUE"""),"15")</f>
        <v>15</v>
      </c>
      <c r="J5885" s="115"/>
      <c r="K5885" s="115"/>
    </row>
    <row r="5886">
      <c r="A5886" s="115" t="str">
        <f>IFERROR(__xludf.DUMMYFUNCTION("""COMPUTED_VALUE"""),"EAST")</f>
        <v>EAST</v>
      </c>
      <c r="B5886" s="115" t="str">
        <f>IFERROR(__xludf.DUMMYFUNCTION("""COMPUTED_VALUE"""),"Girish Chand")</f>
        <v>Girish Chand</v>
      </c>
      <c r="C5886" s="115" t="str">
        <f>IFERROR(__xludf.DUMMYFUNCTION("""COMPUTED_VALUE"""),"FLIPKART")</f>
        <v>FLIPKART</v>
      </c>
      <c r="D5886" s="115">
        <f>IFERROR(__xludf.DUMMYFUNCTION("""COMPUTED_VALUE"""),418776.0)</f>
        <v>418776</v>
      </c>
      <c r="E5886" s="115">
        <f>IFERROR(__xludf.DUMMYFUNCTION("""COMPUTED_VALUE"""),36819.0)</f>
        <v>36819</v>
      </c>
      <c r="F5886" s="115">
        <f>IFERROR(__xludf.DUMMYFUNCTION("""COMPUTED_VALUE"""),232053.0)</f>
        <v>232053</v>
      </c>
      <c r="G5886" s="115">
        <f>IFERROR(__xludf.DUMMYFUNCTION("""COMPUTED_VALUE"""),8219.0)</f>
        <v>8219</v>
      </c>
      <c r="H5886" s="116">
        <f>IFERROR(__xludf.DUMMYFUNCTION("""COMPUTED_VALUE"""),45911.0)</f>
        <v>45911</v>
      </c>
      <c r="I5886" s="115" t="str">
        <f>IFERROR(__xludf.DUMMYFUNCTION("""COMPUTED_VALUE"""),"15")</f>
        <v>15</v>
      </c>
      <c r="J5886" s="115"/>
      <c r="K5886" s="115"/>
    </row>
    <row r="5887">
      <c r="A5887" s="115" t="str">
        <f>IFERROR(__xludf.DUMMYFUNCTION("""COMPUTED_VALUE"""),"EAST")</f>
        <v>EAST</v>
      </c>
      <c r="B5887" s="115" t="str">
        <f>IFERROR(__xludf.DUMMYFUNCTION("""COMPUTED_VALUE"""),"Girish Chand")</f>
        <v>Girish Chand</v>
      </c>
      <c r="C5887" s="115" t="str">
        <f>IFERROR(__xludf.DUMMYFUNCTION("""COMPUTED_VALUE"""),"MYNTRA")</f>
        <v>MYNTRA</v>
      </c>
      <c r="D5887" s="115">
        <f>IFERROR(__xludf.DUMMYFUNCTION("""COMPUTED_VALUE"""),32936.0)</f>
        <v>32936</v>
      </c>
      <c r="E5887" s="115">
        <f>IFERROR(__xludf.DUMMYFUNCTION("""COMPUTED_VALUE"""),7644.0)</f>
        <v>7644</v>
      </c>
      <c r="F5887" s="115">
        <f>IFERROR(__xludf.DUMMYFUNCTION("""COMPUTED_VALUE"""),19412.0)</f>
        <v>19412</v>
      </c>
      <c r="G5887" s="115">
        <f>IFERROR(__xludf.DUMMYFUNCTION("""COMPUTED_VALUE"""),2058.0)</f>
        <v>2058</v>
      </c>
      <c r="H5887" s="116">
        <f>IFERROR(__xludf.DUMMYFUNCTION("""COMPUTED_VALUE"""),45911.0)</f>
        <v>45911</v>
      </c>
      <c r="I5887" s="115" t="str">
        <f>IFERROR(__xludf.DUMMYFUNCTION("""COMPUTED_VALUE"""),"15")</f>
        <v>15</v>
      </c>
      <c r="J5887" s="115"/>
      <c r="K5887" s="115"/>
    </row>
    <row r="5888">
      <c r="A5888" s="115" t="str">
        <f>IFERROR(__xludf.DUMMYFUNCTION("""COMPUTED_VALUE"""),"EAST")</f>
        <v>EAST</v>
      </c>
      <c r="B5888" s="115" t="str">
        <f>IFERROR(__xludf.DUMMYFUNCTION("""COMPUTED_VALUE"""),"Parag Kashyap")</f>
        <v>Parag Kashyap</v>
      </c>
      <c r="C5888" s="115" t="str">
        <f>IFERROR(__xludf.DUMMYFUNCTION("""COMPUTED_VALUE"""),"EXTERNAL")</f>
        <v>EXTERNAL</v>
      </c>
      <c r="D5888" s="115">
        <f>IFERROR(__xludf.DUMMYFUNCTION("""COMPUTED_VALUE"""),16023.0)</f>
        <v>16023</v>
      </c>
      <c r="E5888" s="115">
        <f>IFERROR(__xludf.DUMMYFUNCTION("""COMPUTED_VALUE"""),1133.0)</f>
        <v>1133</v>
      </c>
      <c r="F5888" s="115">
        <f>IFERROR(__xludf.DUMMYFUNCTION("""COMPUTED_VALUE"""),4818.0)</f>
        <v>4818</v>
      </c>
      <c r="G5888" s="115">
        <f>IFERROR(__xludf.DUMMYFUNCTION("""COMPUTED_VALUE"""),103.0)</f>
        <v>103</v>
      </c>
      <c r="H5888" s="116">
        <f>IFERROR(__xludf.DUMMYFUNCTION("""COMPUTED_VALUE"""),45911.0)</f>
        <v>45911</v>
      </c>
      <c r="I5888" s="115" t="str">
        <f>IFERROR(__xludf.DUMMYFUNCTION("""COMPUTED_VALUE"""),"15")</f>
        <v>15</v>
      </c>
      <c r="J5888" s="115"/>
      <c r="K5888" s="115"/>
    </row>
    <row r="5889">
      <c r="A5889" s="115" t="str">
        <f>IFERROR(__xludf.DUMMYFUNCTION("""COMPUTED_VALUE"""),"EAST")</f>
        <v>EAST</v>
      </c>
      <c r="B5889" s="115" t="str">
        <f>IFERROR(__xludf.DUMMYFUNCTION("""COMPUTED_VALUE"""),"Parag Kashyap")</f>
        <v>Parag Kashyap</v>
      </c>
      <c r="C5889" s="115" t="str">
        <f>IFERROR(__xludf.DUMMYFUNCTION("""COMPUTED_VALUE"""),"FLIPKART")</f>
        <v>FLIPKART</v>
      </c>
      <c r="D5889" s="115">
        <f>IFERROR(__xludf.DUMMYFUNCTION("""COMPUTED_VALUE"""),285590.0)</f>
        <v>285590</v>
      </c>
      <c r="E5889" s="115">
        <f>IFERROR(__xludf.DUMMYFUNCTION("""COMPUTED_VALUE"""),18702.0)</f>
        <v>18702</v>
      </c>
      <c r="F5889" s="115">
        <f>IFERROR(__xludf.DUMMYFUNCTION("""COMPUTED_VALUE"""),149454.0)</f>
        <v>149454</v>
      </c>
      <c r="G5889" s="115">
        <f>IFERROR(__xludf.DUMMYFUNCTION("""COMPUTED_VALUE"""),2972.0)</f>
        <v>2972</v>
      </c>
      <c r="H5889" s="116">
        <f>IFERROR(__xludf.DUMMYFUNCTION("""COMPUTED_VALUE"""),45911.0)</f>
        <v>45911</v>
      </c>
      <c r="I5889" s="115" t="str">
        <f>IFERROR(__xludf.DUMMYFUNCTION("""COMPUTED_VALUE"""),"15")</f>
        <v>15</v>
      </c>
      <c r="J5889" s="115"/>
      <c r="K5889" s="115"/>
    </row>
    <row r="5890">
      <c r="A5890" s="115" t="str">
        <f>IFERROR(__xludf.DUMMYFUNCTION("""COMPUTED_VALUE"""),"EAST")</f>
        <v>EAST</v>
      </c>
      <c r="B5890" s="115" t="str">
        <f>IFERROR(__xludf.DUMMYFUNCTION("""COMPUTED_VALUE"""),"Parag Kashyap")</f>
        <v>Parag Kashyap</v>
      </c>
      <c r="C5890" s="115" t="str">
        <f>IFERROR(__xludf.DUMMYFUNCTION("""COMPUTED_VALUE"""),"MYNTRA")</f>
        <v>MYNTRA</v>
      </c>
      <c r="D5890" s="115">
        <f>IFERROR(__xludf.DUMMYFUNCTION("""COMPUTED_VALUE"""),37405.0)</f>
        <v>37405</v>
      </c>
      <c r="E5890" s="115">
        <f>IFERROR(__xludf.DUMMYFUNCTION("""COMPUTED_VALUE"""),5985.0)</f>
        <v>5985</v>
      </c>
      <c r="F5890" s="115">
        <f>IFERROR(__xludf.DUMMYFUNCTION("""COMPUTED_VALUE"""),20740.0)</f>
        <v>20740</v>
      </c>
      <c r="G5890" s="115">
        <f>IFERROR(__xludf.DUMMYFUNCTION("""COMPUTED_VALUE"""),938.0)</f>
        <v>938</v>
      </c>
      <c r="H5890" s="116">
        <f>IFERROR(__xludf.DUMMYFUNCTION("""COMPUTED_VALUE"""),45911.0)</f>
        <v>45911</v>
      </c>
      <c r="I5890" s="115" t="str">
        <f>IFERROR(__xludf.DUMMYFUNCTION("""COMPUTED_VALUE"""),"15")</f>
        <v>15</v>
      </c>
      <c r="J5890" s="115"/>
      <c r="K5890" s="115"/>
    </row>
    <row r="5891">
      <c r="A5891" s="115" t="str">
        <f>IFERROR(__xludf.DUMMYFUNCTION("""COMPUTED_VALUE"""),"NORTH")</f>
        <v>NORTH</v>
      </c>
      <c r="B5891" s="115" t="str">
        <f>IFERROR(__xludf.DUMMYFUNCTION("""COMPUTED_VALUE"""),"Amit Kumar Pathak")</f>
        <v>Amit Kumar Pathak</v>
      </c>
      <c r="C5891" s="115" t="str">
        <f>IFERROR(__xludf.DUMMYFUNCTION("""COMPUTED_VALUE"""),"EXTERNAL")</f>
        <v>EXTERNAL</v>
      </c>
      <c r="D5891" s="115">
        <f>IFERROR(__xludf.DUMMYFUNCTION("""COMPUTED_VALUE"""),24835.0)</f>
        <v>24835</v>
      </c>
      <c r="E5891" s="115">
        <f>IFERROR(__xludf.DUMMYFUNCTION("""COMPUTED_VALUE"""),3053.0)</f>
        <v>3053</v>
      </c>
      <c r="F5891" s="115">
        <f>IFERROR(__xludf.DUMMYFUNCTION("""COMPUTED_VALUE"""),6899.0)</f>
        <v>6899</v>
      </c>
      <c r="G5891" s="115">
        <f>IFERROR(__xludf.DUMMYFUNCTION("""COMPUTED_VALUE"""),912.0)</f>
        <v>912</v>
      </c>
      <c r="H5891" s="116">
        <f>IFERROR(__xludf.DUMMYFUNCTION("""COMPUTED_VALUE"""),45911.0)</f>
        <v>45911</v>
      </c>
      <c r="I5891" s="115" t="str">
        <f>IFERROR(__xludf.DUMMYFUNCTION("""COMPUTED_VALUE"""),"15")</f>
        <v>15</v>
      </c>
      <c r="J5891" s="115"/>
      <c r="K5891" s="115"/>
    </row>
    <row r="5892">
      <c r="A5892" s="115" t="str">
        <f>IFERROR(__xludf.DUMMYFUNCTION("""COMPUTED_VALUE"""),"NORTH")</f>
        <v>NORTH</v>
      </c>
      <c r="B5892" s="115" t="str">
        <f>IFERROR(__xludf.DUMMYFUNCTION("""COMPUTED_VALUE"""),"Amit Kumar Pathak")</f>
        <v>Amit Kumar Pathak</v>
      </c>
      <c r="C5892" s="115" t="str">
        <f>IFERROR(__xludf.DUMMYFUNCTION("""COMPUTED_VALUE"""),"FLIPKART")</f>
        <v>FLIPKART</v>
      </c>
      <c r="D5892" s="115">
        <f>IFERROR(__xludf.DUMMYFUNCTION("""COMPUTED_VALUE"""),176705.0)</f>
        <v>176705</v>
      </c>
      <c r="E5892" s="115">
        <f>IFERROR(__xludf.DUMMYFUNCTION("""COMPUTED_VALUE"""),21154.0)</f>
        <v>21154</v>
      </c>
      <c r="F5892" s="115">
        <f>IFERROR(__xludf.DUMMYFUNCTION("""COMPUTED_VALUE"""),90902.0)</f>
        <v>90902</v>
      </c>
      <c r="G5892" s="115">
        <f>IFERROR(__xludf.DUMMYFUNCTION("""COMPUTED_VALUE"""),7479.0)</f>
        <v>7479</v>
      </c>
      <c r="H5892" s="116">
        <f>IFERROR(__xludf.DUMMYFUNCTION("""COMPUTED_VALUE"""),45911.0)</f>
        <v>45911</v>
      </c>
      <c r="I5892" s="115" t="str">
        <f>IFERROR(__xludf.DUMMYFUNCTION("""COMPUTED_VALUE"""),"15")</f>
        <v>15</v>
      </c>
      <c r="J5892" s="115"/>
      <c r="K5892" s="115"/>
    </row>
    <row r="5893">
      <c r="A5893" s="115" t="str">
        <f>IFERROR(__xludf.DUMMYFUNCTION("""COMPUTED_VALUE"""),"NORTH")</f>
        <v>NORTH</v>
      </c>
      <c r="B5893" s="115" t="str">
        <f>IFERROR(__xludf.DUMMYFUNCTION("""COMPUTED_VALUE"""),"Amit Kumar Pathak")</f>
        <v>Amit Kumar Pathak</v>
      </c>
      <c r="C5893" s="115" t="str">
        <f>IFERROR(__xludf.DUMMYFUNCTION("""COMPUTED_VALUE"""),"MYNTRA")</f>
        <v>MYNTRA</v>
      </c>
      <c r="D5893" s="115">
        <f>IFERROR(__xludf.DUMMYFUNCTION("""COMPUTED_VALUE"""),13967.0)</f>
        <v>13967</v>
      </c>
      <c r="E5893" s="115">
        <f>IFERROR(__xludf.DUMMYFUNCTION("""COMPUTED_VALUE"""),5091.0)</f>
        <v>5091</v>
      </c>
      <c r="F5893" s="115">
        <f>IFERROR(__xludf.DUMMYFUNCTION("""COMPUTED_VALUE"""),8251.0)</f>
        <v>8251</v>
      </c>
      <c r="G5893" s="115">
        <f>IFERROR(__xludf.DUMMYFUNCTION("""COMPUTED_VALUE"""),2020.0)</f>
        <v>2020</v>
      </c>
      <c r="H5893" s="116">
        <f>IFERROR(__xludf.DUMMYFUNCTION("""COMPUTED_VALUE"""),45911.0)</f>
        <v>45911</v>
      </c>
      <c r="I5893" s="115" t="str">
        <f>IFERROR(__xludf.DUMMYFUNCTION("""COMPUTED_VALUE"""),"15")</f>
        <v>15</v>
      </c>
      <c r="J5893" s="115"/>
      <c r="K5893" s="115"/>
    </row>
    <row r="5894">
      <c r="A5894" s="115" t="str">
        <f>IFERROR(__xludf.DUMMYFUNCTION("""COMPUTED_VALUE"""),"NORTH")</f>
        <v>NORTH</v>
      </c>
      <c r="B5894" s="115" t="str">
        <f>IFERROR(__xludf.DUMMYFUNCTION("""COMPUTED_VALUE"""),"Loveleen Singh")</f>
        <v>Loveleen Singh</v>
      </c>
      <c r="C5894" s="115" t="str">
        <f>IFERROR(__xludf.DUMMYFUNCTION("""COMPUTED_VALUE"""),"EXTERNAL")</f>
        <v>EXTERNAL</v>
      </c>
      <c r="D5894" s="115">
        <f>IFERROR(__xludf.DUMMYFUNCTION("""COMPUTED_VALUE"""),30195.0)</f>
        <v>30195</v>
      </c>
      <c r="E5894" s="115">
        <f>IFERROR(__xludf.DUMMYFUNCTION("""COMPUTED_VALUE"""),2296.0)</f>
        <v>2296</v>
      </c>
      <c r="F5894" s="115">
        <f>IFERROR(__xludf.DUMMYFUNCTION("""COMPUTED_VALUE"""),8746.0)</f>
        <v>8746</v>
      </c>
      <c r="G5894" s="115">
        <f>IFERROR(__xludf.DUMMYFUNCTION("""COMPUTED_VALUE"""),285.0)</f>
        <v>285</v>
      </c>
      <c r="H5894" s="116">
        <f>IFERROR(__xludf.DUMMYFUNCTION("""COMPUTED_VALUE"""),45911.0)</f>
        <v>45911</v>
      </c>
      <c r="I5894" s="115" t="str">
        <f>IFERROR(__xludf.DUMMYFUNCTION("""COMPUTED_VALUE"""),"15")</f>
        <v>15</v>
      </c>
      <c r="J5894" s="115"/>
      <c r="K5894" s="115"/>
    </row>
    <row r="5895">
      <c r="A5895" s="115" t="str">
        <f>IFERROR(__xludf.DUMMYFUNCTION("""COMPUTED_VALUE"""),"NORTH")</f>
        <v>NORTH</v>
      </c>
      <c r="B5895" s="115" t="str">
        <f>IFERROR(__xludf.DUMMYFUNCTION("""COMPUTED_VALUE"""),"Loveleen Singh")</f>
        <v>Loveleen Singh</v>
      </c>
      <c r="C5895" s="115" t="str">
        <f>IFERROR(__xludf.DUMMYFUNCTION("""COMPUTED_VALUE"""),"FLIPKART")</f>
        <v>FLIPKART</v>
      </c>
      <c r="D5895" s="115">
        <f>IFERROR(__xludf.DUMMYFUNCTION("""COMPUTED_VALUE"""),194471.0)</f>
        <v>194471</v>
      </c>
      <c r="E5895" s="115">
        <f>IFERROR(__xludf.DUMMYFUNCTION("""COMPUTED_VALUE"""),14212.0)</f>
        <v>14212</v>
      </c>
      <c r="F5895" s="115">
        <f>IFERROR(__xludf.DUMMYFUNCTION("""COMPUTED_VALUE"""),106084.0)</f>
        <v>106084</v>
      </c>
      <c r="G5895" s="115">
        <f>IFERROR(__xludf.DUMMYFUNCTION("""COMPUTED_VALUE"""),3497.0)</f>
        <v>3497</v>
      </c>
      <c r="H5895" s="116">
        <f>IFERROR(__xludf.DUMMYFUNCTION("""COMPUTED_VALUE"""),45911.0)</f>
        <v>45911</v>
      </c>
      <c r="I5895" s="115" t="str">
        <f>IFERROR(__xludf.DUMMYFUNCTION("""COMPUTED_VALUE"""),"15")</f>
        <v>15</v>
      </c>
      <c r="J5895" s="115"/>
      <c r="K5895" s="115"/>
    </row>
    <row r="5896">
      <c r="A5896" s="115" t="str">
        <f>IFERROR(__xludf.DUMMYFUNCTION("""COMPUTED_VALUE"""),"NORTH")</f>
        <v>NORTH</v>
      </c>
      <c r="B5896" s="115" t="str">
        <f>IFERROR(__xludf.DUMMYFUNCTION("""COMPUTED_VALUE"""),"Loveleen Singh")</f>
        <v>Loveleen Singh</v>
      </c>
      <c r="C5896" s="115" t="str">
        <f>IFERROR(__xludf.DUMMYFUNCTION("""COMPUTED_VALUE"""),"MYNTRA")</f>
        <v>MYNTRA</v>
      </c>
      <c r="D5896" s="115">
        <f>IFERROR(__xludf.DUMMYFUNCTION("""COMPUTED_VALUE"""),29005.0)</f>
        <v>29005</v>
      </c>
      <c r="E5896" s="115">
        <f>IFERROR(__xludf.DUMMYFUNCTION("""COMPUTED_VALUE"""),6523.0)</f>
        <v>6523</v>
      </c>
      <c r="F5896" s="115">
        <f>IFERROR(__xludf.DUMMYFUNCTION("""COMPUTED_VALUE"""),17734.0)</f>
        <v>17734</v>
      </c>
      <c r="G5896" s="115">
        <f>IFERROR(__xludf.DUMMYFUNCTION("""COMPUTED_VALUE"""),1896.0)</f>
        <v>1896</v>
      </c>
      <c r="H5896" s="116">
        <f>IFERROR(__xludf.DUMMYFUNCTION("""COMPUTED_VALUE"""),45911.0)</f>
        <v>45911</v>
      </c>
      <c r="I5896" s="115" t="str">
        <f>IFERROR(__xludf.DUMMYFUNCTION("""COMPUTED_VALUE"""),"15")</f>
        <v>15</v>
      </c>
      <c r="J5896" s="115"/>
      <c r="K5896" s="115"/>
    </row>
    <row r="5897">
      <c r="A5897" s="115" t="str">
        <f>IFERROR(__xludf.DUMMYFUNCTION("""COMPUTED_VALUE"""),"NORTH")</f>
        <v>NORTH</v>
      </c>
      <c r="B5897" s="115" t="str">
        <f>IFERROR(__xludf.DUMMYFUNCTION("""COMPUTED_VALUE"""),"Manoj Harsh")</f>
        <v>Manoj Harsh</v>
      </c>
      <c r="C5897" s="115" t="str">
        <f>IFERROR(__xludf.DUMMYFUNCTION("""COMPUTED_VALUE"""),"EXTERNAL")</f>
        <v>EXTERNAL</v>
      </c>
      <c r="D5897" s="115">
        <f>IFERROR(__xludf.DUMMYFUNCTION("""COMPUTED_VALUE"""),32602.0)</f>
        <v>32602</v>
      </c>
      <c r="E5897" s="115">
        <f>IFERROR(__xludf.DUMMYFUNCTION("""COMPUTED_VALUE"""),2788.0)</f>
        <v>2788</v>
      </c>
      <c r="F5897" s="115">
        <f>IFERROR(__xludf.DUMMYFUNCTION("""COMPUTED_VALUE"""),10488.0)</f>
        <v>10488</v>
      </c>
      <c r="G5897" s="115">
        <f>IFERROR(__xludf.DUMMYFUNCTION("""COMPUTED_VALUE"""),383.0)</f>
        <v>383</v>
      </c>
      <c r="H5897" s="116">
        <f>IFERROR(__xludf.DUMMYFUNCTION("""COMPUTED_VALUE"""),45911.0)</f>
        <v>45911</v>
      </c>
      <c r="I5897" s="115" t="str">
        <f>IFERROR(__xludf.DUMMYFUNCTION("""COMPUTED_VALUE"""),"15")</f>
        <v>15</v>
      </c>
      <c r="J5897" s="115"/>
      <c r="K5897" s="115"/>
    </row>
    <row r="5898">
      <c r="A5898" s="115" t="str">
        <f>IFERROR(__xludf.DUMMYFUNCTION("""COMPUTED_VALUE"""),"NORTH")</f>
        <v>NORTH</v>
      </c>
      <c r="B5898" s="115" t="str">
        <f>IFERROR(__xludf.DUMMYFUNCTION("""COMPUTED_VALUE"""),"Manoj Harsh")</f>
        <v>Manoj Harsh</v>
      </c>
      <c r="C5898" s="115" t="str">
        <f>IFERROR(__xludf.DUMMYFUNCTION("""COMPUTED_VALUE"""),"FLIPKART")</f>
        <v>FLIPKART</v>
      </c>
      <c r="D5898" s="115">
        <f>IFERROR(__xludf.DUMMYFUNCTION("""COMPUTED_VALUE"""),438352.0)</f>
        <v>438352</v>
      </c>
      <c r="E5898" s="115">
        <f>IFERROR(__xludf.DUMMYFUNCTION("""COMPUTED_VALUE"""),35884.0)</f>
        <v>35884</v>
      </c>
      <c r="F5898" s="115">
        <f>IFERROR(__xludf.DUMMYFUNCTION("""COMPUTED_VALUE"""),233152.0)</f>
        <v>233152</v>
      </c>
      <c r="G5898" s="115">
        <f>IFERROR(__xludf.DUMMYFUNCTION("""COMPUTED_VALUE"""),8205.0)</f>
        <v>8205</v>
      </c>
      <c r="H5898" s="116">
        <f>IFERROR(__xludf.DUMMYFUNCTION("""COMPUTED_VALUE"""),45911.0)</f>
        <v>45911</v>
      </c>
      <c r="I5898" s="115" t="str">
        <f>IFERROR(__xludf.DUMMYFUNCTION("""COMPUTED_VALUE"""),"15")</f>
        <v>15</v>
      </c>
      <c r="J5898" s="115"/>
      <c r="K5898" s="115"/>
    </row>
    <row r="5899">
      <c r="A5899" s="115" t="str">
        <f>IFERROR(__xludf.DUMMYFUNCTION("""COMPUTED_VALUE"""),"NORTH")</f>
        <v>NORTH</v>
      </c>
      <c r="B5899" s="115" t="str">
        <f>IFERROR(__xludf.DUMMYFUNCTION("""COMPUTED_VALUE"""),"Manoj Harsh")</f>
        <v>Manoj Harsh</v>
      </c>
      <c r="C5899" s="115" t="str">
        <f>IFERROR(__xludf.DUMMYFUNCTION("""COMPUTED_VALUE"""),"MYNTRA")</f>
        <v>MYNTRA</v>
      </c>
      <c r="D5899" s="115">
        <f>IFERROR(__xludf.DUMMYFUNCTION("""COMPUTED_VALUE"""),33675.0)</f>
        <v>33675</v>
      </c>
      <c r="E5899" s="115">
        <f>IFERROR(__xludf.DUMMYFUNCTION("""COMPUTED_VALUE"""),7319.0)</f>
        <v>7319</v>
      </c>
      <c r="F5899" s="115">
        <f>IFERROR(__xludf.DUMMYFUNCTION("""COMPUTED_VALUE"""),20151.0)</f>
        <v>20151</v>
      </c>
      <c r="G5899" s="115">
        <f>IFERROR(__xludf.DUMMYFUNCTION("""COMPUTED_VALUE"""),2051.0)</f>
        <v>2051</v>
      </c>
      <c r="H5899" s="116">
        <f>IFERROR(__xludf.DUMMYFUNCTION("""COMPUTED_VALUE"""),45911.0)</f>
        <v>45911</v>
      </c>
      <c r="I5899" s="115" t="str">
        <f>IFERROR(__xludf.DUMMYFUNCTION("""COMPUTED_VALUE"""),"15")</f>
        <v>15</v>
      </c>
      <c r="J5899" s="115"/>
      <c r="K5899" s="115"/>
    </row>
    <row r="5900">
      <c r="A5900" s="115" t="str">
        <f>IFERROR(__xludf.DUMMYFUNCTION("""COMPUTED_VALUE"""),"NORTH")</f>
        <v>NORTH</v>
      </c>
      <c r="B5900" s="115" t="str">
        <f>IFERROR(__xludf.DUMMYFUNCTION("""COMPUTED_VALUE"""),"Pradeep Kothari")</f>
        <v>Pradeep Kothari</v>
      </c>
      <c r="C5900" s="115" t="str">
        <f>IFERROR(__xludf.DUMMYFUNCTION("""COMPUTED_VALUE"""),"EXTERNAL")</f>
        <v>EXTERNAL</v>
      </c>
      <c r="D5900" s="115">
        <f>IFERROR(__xludf.DUMMYFUNCTION("""COMPUTED_VALUE"""),18502.0)</f>
        <v>18502</v>
      </c>
      <c r="E5900" s="115">
        <f>IFERROR(__xludf.DUMMYFUNCTION("""COMPUTED_VALUE"""),2037.0)</f>
        <v>2037</v>
      </c>
      <c r="F5900" s="115">
        <f>IFERROR(__xludf.DUMMYFUNCTION("""COMPUTED_VALUE"""),6372.0)</f>
        <v>6372</v>
      </c>
      <c r="G5900" s="115">
        <f>IFERROR(__xludf.DUMMYFUNCTION("""COMPUTED_VALUE"""),488.0)</f>
        <v>488</v>
      </c>
      <c r="H5900" s="116">
        <f>IFERROR(__xludf.DUMMYFUNCTION("""COMPUTED_VALUE"""),45911.0)</f>
        <v>45911</v>
      </c>
      <c r="I5900" s="115" t="str">
        <f>IFERROR(__xludf.DUMMYFUNCTION("""COMPUTED_VALUE"""),"15")</f>
        <v>15</v>
      </c>
      <c r="J5900" s="115"/>
      <c r="K5900" s="115"/>
    </row>
    <row r="5901">
      <c r="A5901" s="115" t="str">
        <f>IFERROR(__xludf.DUMMYFUNCTION("""COMPUTED_VALUE"""),"NORTH")</f>
        <v>NORTH</v>
      </c>
      <c r="B5901" s="115" t="str">
        <f>IFERROR(__xludf.DUMMYFUNCTION("""COMPUTED_VALUE"""),"Pradeep Kothari")</f>
        <v>Pradeep Kothari</v>
      </c>
      <c r="C5901" s="115" t="str">
        <f>IFERROR(__xludf.DUMMYFUNCTION("""COMPUTED_VALUE"""),"FLIPKART")</f>
        <v>FLIPKART</v>
      </c>
      <c r="D5901" s="115">
        <f>IFERROR(__xludf.DUMMYFUNCTION("""COMPUTED_VALUE"""),160889.0)</f>
        <v>160889</v>
      </c>
      <c r="E5901" s="115">
        <f>IFERROR(__xludf.DUMMYFUNCTION("""COMPUTED_VALUE"""),16512.0)</f>
        <v>16512</v>
      </c>
      <c r="F5901" s="115">
        <f>IFERROR(__xludf.DUMMYFUNCTION("""COMPUTED_VALUE"""),98456.0)</f>
        <v>98456</v>
      </c>
      <c r="G5901" s="115">
        <f>IFERROR(__xludf.DUMMYFUNCTION("""COMPUTED_VALUE"""),5792.0)</f>
        <v>5792</v>
      </c>
      <c r="H5901" s="116">
        <f>IFERROR(__xludf.DUMMYFUNCTION("""COMPUTED_VALUE"""),45911.0)</f>
        <v>45911</v>
      </c>
      <c r="I5901" s="115" t="str">
        <f>IFERROR(__xludf.DUMMYFUNCTION("""COMPUTED_VALUE"""),"15")</f>
        <v>15</v>
      </c>
      <c r="J5901" s="115"/>
      <c r="K5901" s="115"/>
    </row>
    <row r="5902">
      <c r="A5902" s="115" t="str">
        <f>IFERROR(__xludf.DUMMYFUNCTION("""COMPUTED_VALUE"""),"NORTH")</f>
        <v>NORTH</v>
      </c>
      <c r="B5902" s="115" t="str">
        <f>IFERROR(__xludf.DUMMYFUNCTION("""COMPUTED_VALUE"""),"Pradeep Kothari")</f>
        <v>Pradeep Kothari</v>
      </c>
      <c r="C5902" s="115" t="str">
        <f>IFERROR(__xludf.DUMMYFUNCTION("""COMPUTED_VALUE"""),"MYNTRA")</f>
        <v>MYNTRA</v>
      </c>
      <c r="D5902" s="115">
        <f>IFERROR(__xludf.DUMMYFUNCTION("""COMPUTED_VALUE"""),24114.0)</f>
        <v>24114</v>
      </c>
      <c r="E5902" s="115">
        <f>IFERROR(__xludf.DUMMYFUNCTION("""COMPUTED_VALUE"""),6224.0)</f>
        <v>6224</v>
      </c>
      <c r="F5902" s="115">
        <f>IFERROR(__xludf.DUMMYFUNCTION("""COMPUTED_VALUE"""),16529.0)</f>
        <v>16529</v>
      </c>
      <c r="G5902" s="115">
        <f>IFERROR(__xludf.DUMMYFUNCTION("""COMPUTED_VALUE"""),2612.0)</f>
        <v>2612</v>
      </c>
      <c r="H5902" s="116">
        <f>IFERROR(__xludf.DUMMYFUNCTION("""COMPUTED_VALUE"""),45911.0)</f>
        <v>45911</v>
      </c>
      <c r="I5902" s="115" t="str">
        <f>IFERROR(__xludf.DUMMYFUNCTION("""COMPUTED_VALUE"""),"15")</f>
        <v>15</v>
      </c>
      <c r="J5902" s="115"/>
      <c r="K5902" s="115"/>
    </row>
    <row r="5903">
      <c r="A5903" s="115" t="str">
        <f>IFERROR(__xludf.DUMMYFUNCTION("""COMPUTED_VALUE"""),"SOUTH")</f>
        <v>SOUTH</v>
      </c>
      <c r="B5903" s="115" t="str">
        <f>IFERROR(__xludf.DUMMYFUNCTION("""COMPUTED_VALUE"""),"Kandula Sampath")</f>
        <v>Kandula Sampath</v>
      </c>
      <c r="C5903" s="115" t="str">
        <f>IFERROR(__xludf.DUMMYFUNCTION("""COMPUTED_VALUE"""),"EXTERNAL")</f>
        <v>EXTERNAL</v>
      </c>
      <c r="D5903" s="115">
        <f>IFERROR(__xludf.DUMMYFUNCTION("""COMPUTED_VALUE"""),33750.0)</f>
        <v>33750</v>
      </c>
      <c r="E5903" s="115">
        <f>IFERROR(__xludf.DUMMYFUNCTION("""COMPUTED_VALUE"""),4878.0)</f>
        <v>4878</v>
      </c>
      <c r="F5903" s="115">
        <f>IFERROR(__xludf.DUMMYFUNCTION("""COMPUTED_VALUE"""),10892.0)</f>
        <v>10892</v>
      </c>
      <c r="G5903" s="115">
        <f>IFERROR(__xludf.DUMMYFUNCTION("""COMPUTED_VALUE"""),605.0)</f>
        <v>605</v>
      </c>
      <c r="H5903" s="116">
        <f>IFERROR(__xludf.DUMMYFUNCTION("""COMPUTED_VALUE"""),45911.0)</f>
        <v>45911</v>
      </c>
      <c r="I5903" s="115" t="str">
        <f>IFERROR(__xludf.DUMMYFUNCTION("""COMPUTED_VALUE"""),"15")</f>
        <v>15</v>
      </c>
      <c r="J5903" s="115"/>
      <c r="K5903" s="115"/>
    </row>
    <row r="5904">
      <c r="A5904" s="115" t="str">
        <f>IFERROR(__xludf.DUMMYFUNCTION("""COMPUTED_VALUE"""),"SOUTH")</f>
        <v>SOUTH</v>
      </c>
      <c r="B5904" s="115" t="str">
        <f>IFERROR(__xludf.DUMMYFUNCTION("""COMPUTED_VALUE"""),"Kandula Sampath")</f>
        <v>Kandula Sampath</v>
      </c>
      <c r="C5904" s="115" t="str">
        <f>IFERROR(__xludf.DUMMYFUNCTION("""COMPUTED_VALUE"""),"FLIPKART")</f>
        <v>FLIPKART</v>
      </c>
      <c r="D5904" s="115">
        <f>IFERROR(__xludf.DUMMYFUNCTION("""COMPUTED_VALUE"""),354197.0)</f>
        <v>354197</v>
      </c>
      <c r="E5904" s="115">
        <f>IFERROR(__xludf.DUMMYFUNCTION("""COMPUTED_VALUE"""),29258.0)</f>
        <v>29258</v>
      </c>
      <c r="F5904" s="115">
        <f>IFERROR(__xludf.DUMMYFUNCTION("""COMPUTED_VALUE"""),188904.0)</f>
        <v>188904</v>
      </c>
      <c r="G5904" s="115">
        <f>IFERROR(__xludf.DUMMYFUNCTION("""COMPUTED_VALUE"""),6391.0)</f>
        <v>6391</v>
      </c>
      <c r="H5904" s="116">
        <f>IFERROR(__xludf.DUMMYFUNCTION("""COMPUTED_VALUE"""),45911.0)</f>
        <v>45911</v>
      </c>
      <c r="I5904" s="115" t="str">
        <f>IFERROR(__xludf.DUMMYFUNCTION("""COMPUTED_VALUE"""),"15")</f>
        <v>15</v>
      </c>
      <c r="J5904" s="115"/>
      <c r="K5904" s="115"/>
    </row>
    <row r="5905">
      <c r="A5905" s="115" t="str">
        <f>IFERROR(__xludf.DUMMYFUNCTION("""COMPUTED_VALUE"""),"SOUTH")</f>
        <v>SOUTH</v>
      </c>
      <c r="B5905" s="115" t="str">
        <f>IFERROR(__xludf.DUMMYFUNCTION("""COMPUTED_VALUE"""),"Kandula Sampath")</f>
        <v>Kandula Sampath</v>
      </c>
      <c r="C5905" s="115" t="str">
        <f>IFERROR(__xludf.DUMMYFUNCTION("""COMPUTED_VALUE"""),"MYNTRA")</f>
        <v>MYNTRA</v>
      </c>
      <c r="D5905" s="115">
        <f>IFERROR(__xludf.DUMMYFUNCTION("""COMPUTED_VALUE"""),35841.0)</f>
        <v>35841</v>
      </c>
      <c r="E5905" s="115">
        <f>IFERROR(__xludf.DUMMYFUNCTION("""COMPUTED_VALUE"""),8873.0)</f>
        <v>8873</v>
      </c>
      <c r="F5905" s="115">
        <f>IFERROR(__xludf.DUMMYFUNCTION("""COMPUTED_VALUE"""),21153.0)</f>
        <v>21153</v>
      </c>
      <c r="G5905" s="115">
        <f>IFERROR(__xludf.DUMMYFUNCTION("""COMPUTED_VALUE"""),2070.0)</f>
        <v>2070</v>
      </c>
      <c r="H5905" s="116">
        <f>IFERROR(__xludf.DUMMYFUNCTION("""COMPUTED_VALUE"""),45911.0)</f>
        <v>45911</v>
      </c>
      <c r="I5905" s="115" t="str">
        <f>IFERROR(__xludf.DUMMYFUNCTION("""COMPUTED_VALUE"""),"15")</f>
        <v>15</v>
      </c>
      <c r="J5905" s="115"/>
      <c r="K5905" s="115"/>
    </row>
    <row r="5906">
      <c r="A5906" s="115" t="str">
        <f>IFERROR(__xludf.DUMMYFUNCTION("""COMPUTED_VALUE"""),"SOUTH")</f>
        <v>SOUTH</v>
      </c>
      <c r="B5906" s="115" t="str">
        <f>IFERROR(__xludf.DUMMYFUNCTION("""COMPUTED_VALUE"""),"Martin A")</f>
        <v>Martin A</v>
      </c>
      <c r="C5906" s="115" t="str">
        <f>IFERROR(__xludf.DUMMYFUNCTION("""COMPUTED_VALUE"""),"EXTERNAL")</f>
        <v>EXTERNAL</v>
      </c>
      <c r="D5906" s="115">
        <f>IFERROR(__xludf.DUMMYFUNCTION("""COMPUTED_VALUE"""),28682.0)</f>
        <v>28682</v>
      </c>
      <c r="E5906" s="115">
        <f>IFERROR(__xludf.DUMMYFUNCTION("""COMPUTED_VALUE"""),4149.0)</f>
        <v>4149</v>
      </c>
      <c r="F5906" s="115">
        <f>IFERROR(__xludf.DUMMYFUNCTION("""COMPUTED_VALUE"""),9429.0)</f>
        <v>9429</v>
      </c>
      <c r="G5906" s="115">
        <f>IFERROR(__xludf.DUMMYFUNCTION("""COMPUTED_VALUE"""),1053.0)</f>
        <v>1053</v>
      </c>
      <c r="H5906" s="116">
        <f>IFERROR(__xludf.DUMMYFUNCTION("""COMPUTED_VALUE"""),45911.0)</f>
        <v>45911</v>
      </c>
      <c r="I5906" s="115" t="str">
        <f>IFERROR(__xludf.DUMMYFUNCTION("""COMPUTED_VALUE"""),"15")</f>
        <v>15</v>
      </c>
      <c r="J5906" s="115"/>
      <c r="K5906" s="115"/>
    </row>
    <row r="5907">
      <c r="A5907" s="115" t="str">
        <f>IFERROR(__xludf.DUMMYFUNCTION("""COMPUTED_VALUE"""),"SOUTH")</f>
        <v>SOUTH</v>
      </c>
      <c r="B5907" s="115" t="str">
        <f>IFERROR(__xludf.DUMMYFUNCTION("""COMPUTED_VALUE"""),"Martin A")</f>
        <v>Martin A</v>
      </c>
      <c r="C5907" s="115" t="str">
        <f>IFERROR(__xludf.DUMMYFUNCTION("""COMPUTED_VALUE"""),"FLIPKART")</f>
        <v>FLIPKART</v>
      </c>
      <c r="D5907" s="115">
        <f>IFERROR(__xludf.DUMMYFUNCTION("""COMPUTED_VALUE"""),272317.0)</f>
        <v>272317</v>
      </c>
      <c r="E5907" s="115">
        <f>IFERROR(__xludf.DUMMYFUNCTION("""COMPUTED_VALUE"""),26766.0)</f>
        <v>26766</v>
      </c>
      <c r="F5907" s="115">
        <f>IFERROR(__xludf.DUMMYFUNCTION("""COMPUTED_VALUE"""),153797.0)</f>
        <v>153797</v>
      </c>
      <c r="G5907" s="115">
        <f>IFERROR(__xludf.DUMMYFUNCTION("""COMPUTED_VALUE"""),7556.0)</f>
        <v>7556</v>
      </c>
      <c r="H5907" s="116">
        <f>IFERROR(__xludf.DUMMYFUNCTION("""COMPUTED_VALUE"""),45911.0)</f>
        <v>45911</v>
      </c>
      <c r="I5907" s="115" t="str">
        <f>IFERROR(__xludf.DUMMYFUNCTION("""COMPUTED_VALUE"""),"15")</f>
        <v>15</v>
      </c>
      <c r="J5907" s="115"/>
      <c r="K5907" s="115"/>
    </row>
    <row r="5908">
      <c r="A5908" s="115" t="str">
        <f>IFERROR(__xludf.DUMMYFUNCTION("""COMPUTED_VALUE"""),"SOUTH")</f>
        <v>SOUTH</v>
      </c>
      <c r="B5908" s="115" t="str">
        <f>IFERROR(__xludf.DUMMYFUNCTION("""COMPUTED_VALUE"""),"Martin A")</f>
        <v>Martin A</v>
      </c>
      <c r="C5908" s="115" t="str">
        <f>IFERROR(__xludf.DUMMYFUNCTION("""COMPUTED_VALUE"""),"MYNTRA")</f>
        <v>MYNTRA</v>
      </c>
      <c r="D5908" s="115">
        <f>IFERROR(__xludf.DUMMYFUNCTION("""COMPUTED_VALUE"""),22442.0)</f>
        <v>22442</v>
      </c>
      <c r="E5908" s="115">
        <f>IFERROR(__xludf.DUMMYFUNCTION("""COMPUTED_VALUE"""),7255.0)</f>
        <v>7255</v>
      </c>
      <c r="F5908" s="115">
        <f>IFERROR(__xludf.DUMMYFUNCTION("""COMPUTED_VALUE"""),14742.0)</f>
        <v>14742</v>
      </c>
      <c r="G5908" s="115">
        <f>IFERROR(__xludf.DUMMYFUNCTION("""COMPUTED_VALUE"""),2414.0)</f>
        <v>2414</v>
      </c>
      <c r="H5908" s="116">
        <f>IFERROR(__xludf.DUMMYFUNCTION("""COMPUTED_VALUE"""),45911.0)</f>
        <v>45911</v>
      </c>
      <c r="I5908" s="115" t="str">
        <f>IFERROR(__xludf.DUMMYFUNCTION("""COMPUTED_VALUE"""),"15")</f>
        <v>15</v>
      </c>
      <c r="J5908" s="115"/>
      <c r="K5908" s="115"/>
    </row>
    <row r="5909">
      <c r="A5909" s="115" t="str">
        <f>IFERROR(__xludf.DUMMYFUNCTION("""COMPUTED_VALUE"""),"SOUTH")</f>
        <v>SOUTH</v>
      </c>
      <c r="B5909" s="115" t="str">
        <f>IFERROR(__xludf.DUMMYFUNCTION("""COMPUTED_VALUE"""),"Premkumar M")</f>
        <v>Premkumar M</v>
      </c>
      <c r="C5909" s="115" t="str">
        <f>IFERROR(__xludf.DUMMYFUNCTION("""COMPUTED_VALUE"""),"EXTERNAL")</f>
        <v>EXTERNAL</v>
      </c>
      <c r="D5909" s="115">
        <f>IFERROR(__xludf.DUMMYFUNCTION("""COMPUTED_VALUE"""),26132.0)</f>
        <v>26132</v>
      </c>
      <c r="E5909" s="115">
        <f>IFERROR(__xludf.DUMMYFUNCTION("""COMPUTED_VALUE"""),2102.0)</f>
        <v>2102</v>
      </c>
      <c r="F5909" s="115">
        <f>IFERROR(__xludf.DUMMYFUNCTION("""COMPUTED_VALUE"""),7861.0)</f>
        <v>7861</v>
      </c>
      <c r="G5909" s="115">
        <f>IFERROR(__xludf.DUMMYFUNCTION("""COMPUTED_VALUE"""),123.0)</f>
        <v>123</v>
      </c>
      <c r="H5909" s="116">
        <f>IFERROR(__xludf.DUMMYFUNCTION("""COMPUTED_VALUE"""),45911.0)</f>
        <v>45911</v>
      </c>
      <c r="I5909" s="115" t="str">
        <f>IFERROR(__xludf.DUMMYFUNCTION("""COMPUTED_VALUE"""),"15")</f>
        <v>15</v>
      </c>
      <c r="J5909" s="115"/>
      <c r="K5909" s="115"/>
    </row>
    <row r="5910">
      <c r="A5910" s="115" t="str">
        <f>IFERROR(__xludf.DUMMYFUNCTION("""COMPUTED_VALUE"""),"SOUTH")</f>
        <v>SOUTH</v>
      </c>
      <c r="B5910" s="115" t="str">
        <f>IFERROR(__xludf.DUMMYFUNCTION("""COMPUTED_VALUE"""),"Premkumar M")</f>
        <v>Premkumar M</v>
      </c>
      <c r="C5910" s="115" t="str">
        <f>IFERROR(__xludf.DUMMYFUNCTION("""COMPUTED_VALUE"""),"FLIPKART")</f>
        <v>FLIPKART</v>
      </c>
      <c r="D5910" s="115">
        <f>IFERROR(__xludf.DUMMYFUNCTION("""COMPUTED_VALUE"""),283133.0)</f>
        <v>283133</v>
      </c>
      <c r="E5910" s="115">
        <f>IFERROR(__xludf.DUMMYFUNCTION("""COMPUTED_VALUE"""),16903.0)</f>
        <v>16903</v>
      </c>
      <c r="F5910" s="115">
        <f>IFERROR(__xludf.DUMMYFUNCTION("""COMPUTED_VALUE"""),129916.0)</f>
        <v>129916</v>
      </c>
      <c r="G5910" s="115">
        <f>IFERROR(__xludf.DUMMYFUNCTION("""COMPUTED_VALUE"""),1796.0)</f>
        <v>1796</v>
      </c>
      <c r="H5910" s="116">
        <f>IFERROR(__xludf.DUMMYFUNCTION("""COMPUTED_VALUE"""),45911.0)</f>
        <v>45911</v>
      </c>
      <c r="I5910" s="115" t="str">
        <f>IFERROR(__xludf.DUMMYFUNCTION("""COMPUTED_VALUE"""),"15")</f>
        <v>15</v>
      </c>
      <c r="J5910" s="115"/>
      <c r="K5910" s="115"/>
    </row>
    <row r="5911">
      <c r="A5911" s="115" t="str">
        <f>IFERROR(__xludf.DUMMYFUNCTION("""COMPUTED_VALUE"""),"SOUTH")</f>
        <v>SOUTH</v>
      </c>
      <c r="B5911" s="115" t="str">
        <f>IFERROR(__xludf.DUMMYFUNCTION("""COMPUTED_VALUE"""),"Premkumar M")</f>
        <v>Premkumar M</v>
      </c>
      <c r="C5911" s="115" t="str">
        <f>IFERROR(__xludf.DUMMYFUNCTION("""COMPUTED_VALUE"""),"MYNTRA")</f>
        <v>MYNTRA</v>
      </c>
      <c r="D5911" s="115">
        <f>IFERROR(__xludf.DUMMYFUNCTION("""COMPUTED_VALUE"""),13828.0)</f>
        <v>13828</v>
      </c>
      <c r="E5911" s="115">
        <f>IFERROR(__xludf.DUMMYFUNCTION("""COMPUTED_VALUE"""),2781.0)</f>
        <v>2781</v>
      </c>
      <c r="F5911" s="115">
        <f>IFERROR(__xludf.DUMMYFUNCTION("""COMPUTED_VALUE"""),7309.0)</f>
        <v>7309</v>
      </c>
      <c r="G5911" s="115">
        <f>IFERROR(__xludf.DUMMYFUNCTION("""COMPUTED_VALUE"""),364.0)</f>
        <v>364</v>
      </c>
      <c r="H5911" s="116">
        <f>IFERROR(__xludf.DUMMYFUNCTION("""COMPUTED_VALUE"""),45911.0)</f>
        <v>45911</v>
      </c>
      <c r="I5911" s="115" t="str">
        <f>IFERROR(__xludf.DUMMYFUNCTION("""COMPUTED_VALUE"""),"15")</f>
        <v>15</v>
      </c>
      <c r="J5911" s="115"/>
      <c r="K5911" s="115"/>
    </row>
    <row r="5912">
      <c r="A5912" s="115" t="str">
        <f>IFERROR(__xludf.DUMMYFUNCTION("""COMPUTED_VALUE"""),"SOUTH")</f>
        <v>SOUTH</v>
      </c>
      <c r="B5912" s="115" t="str">
        <f>IFERROR(__xludf.DUMMYFUNCTION("""COMPUTED_VALUE"""),"Vineeth V")</f>
        <v>Vineeth V</v>
      </c>
      <c r="C5912" s="115" t="str">
        <f>IFERROR(__xludf.DUMMYFUNCTION("""COMPUTED_VALUE"""),"EXTERNAL")</f>
        <v>EXTERNAL</v>
      </c>
      <c r="D5912" s="115">
        <f>IFERROR(__xludf.DUMMYFUNCTION("""COMPUTED_VALUE"""),22062.0)</f>
        <v>22062</v>
      </c>
      <c r="E5912" s="115">
        <f>IFERROR(__xludf.DUMMYFUNCTION("""COMPUTED_VALUE"""),633.0)</f>
        <v>633</v>
      </c>
      <c r="F5912" s="115">
        <f>IFERROR(__xludf.DUMMYFUNCTION("""COMPUTED_VALUE"""),7649.0)</f>
        <v>7649</v>
      </c>
      <c r="G5912" s="115">
        <f>IFERROR(__xludf.DUMMYFUNCTION("""COMPUTED_VALUE"""),46.0)</f>
        <v>46</v>
      </c>
      <c r="H5912" s="116">
        <f>IFERROR(__xludf.DUMMYFUNCTION("""COMPUTED_VALUE"""),45911.0)</f>
        <v>45911</v>
      </c>
      <c r="I5912" s="115" t="str">
        <f>IFERROR(__xludf.DUMMYFUNCTION("""COMPUTED_VALUE"""),"15")</f>
        <v>15</v>
      </c>
      <c r="J5912" s="115"/>
      <c r="K5912" s="115"/>
    </row>
    <row r="5913">
      <c r="A5913" s="115" t="str">
        <f>IFERROR(__xludf.DUMMYFUNCTION("""COMPUTED_VALUE"""),"SOUTH")</f>
        <v>SOUTH</v>
      </c>
      <c r="B5913" s="115" t="str">
        <f>IFERROR(__xludf.DUMMYFUNCTION("""COMPUTED_VALUE"""),"Vineeth V")</f>
        <v>Vineeth V</v>
      </c>
      <c r="C5913" s="115" t="str">
        <f>IFERROR(__xludf.DUMMYFUNCTION("""COMPUTED_VALUE"""),"FLIPKART")</f>
        <v>FLIPKART</v>
      </c>
      <c r="D5913" s="115">
        <f>IFERROR(__xludf.DUMMYFUNCTION("""COMPUTED_VALUE"""),216696.0)</f>
        <v>216696</v>
      </c>
      <c r="E5913" s="115">
        <f>IFERROR(__xludf.DUMMYFUNCTION("""COMPUTED_VALUE"""),13156.0)</f>
        <v>13156</v>
      </c>
      <c r="F5913" s="115">
        <f>IFERROR(__xludf.DUMMYFUNCTION("""COMPUTED_VALUE"""),115498.0)</f>
        <v>115498</v>
      </c>
      <c r="G5913" s="115">
        <f>IFERROR(__xludf.DUMMYFUNCTION("""COMPUTED_VALUE"""),1553.0)</f>
        <v>1553</v>
      </c>
      <c r="H5913" s="116">
        <f>IFERROR(__xludf.DUMMYFUNCTION("""COMPUTED_VALUE"""),45911.0)</f>
        <v>45911</v>
      </c>
      <c r="I5913" s="115" t="str">
        <f>IFERROR(__xludf.DUMMYFUNCTION("""COMPUTED_VALUE"""),"15")</f>
        <v>15</v>
      </c>
      <c r="J5913" s="115"/>
      <c r="K5913" s="115"/>
    </row>
    <row r="5914">
      <c r="A5914" s="115" t="str">
        <f>IFERROR(__xludf.DUMMYFUNCTION("""COMPUTED_VALUE"""),"SOUTH")</f>
        <v>SOUTH</v>
      </c>
      <c r="B5914" s="115" t="str">
        <f>IFERROR(__xludf.DUMMYFUNCTION("""COMPUTED_VALUE"""),"Vineeth V")</f>
        <v>Vineeth V</v>
      </c>
      <c r="C5914" s="115" t="str">
        <f>IFERROR(__xludf.DUMMYFUNCTION("""COMPUTED_VALUE"""),"MYNTRA")</f>
        <v>MYNTRA</v>
      </c>
      <c r="D5914" s="115">
        <f>IFERROR(__xludf.DUMMYFUNCTION("""COMPUTED_VALUE"""),15683.0)</f>
        <v>15683</v>
      </c>
      <c r="E5914" s="115">
        <f>IFERROR(__xludf.DUMMYFUNCTION("""COMPUTED_VALUE"""),3285.0)</f>
        <v>3285</v>
      </c>
      <c r="F5914" s="115">
        <f>IFERROR(__xludf.DUMMYFUNCTION("""COMPUTED_VALUE"""),8839.0)</f>
        <v>8839</v>
      </c>
      <c r="G5914" s="115">
        <f>IFERROR(__xludf.DUMMYFUNCTION("""COMPUTED_VALUE"""),400.0)</f>
        <v>400</v>
      </c>
      <c r="H5914" s="116">
        <f>IFERROR(__xludf.DUMMYFUNCTION("""COMPUTED_VALUE"""),45911.0)</f>
        <v>45911</v>
      </c>
      <c r="I5914" s="115" t="str">
        <f>IFERROR(__xludf.DUMMYFUNCTION("""COMPUTED_VALUE"""),"15")</f>
        <v>15</v>
      </c>
      <c r="J5914" s="115"/>
      <c r="K5914" s="115"/>
    </row>
    <row r="5915">
      <c r="A5915" s="115" t="str">
        <f>IFERROR(__xludf.DUMMYFUNCTION("""COMPUTED_VALUE"""),"WEST")</f>
        <v>WEST</v>
      </c>
      <c r="B5915" s="115" t="str">
        <f>IFERROR(__xludf.DUMMYFUNCTION("""COMPUTED_VALUE"""),"Ashish Jakar")</f>
        <v>Ashish Jakar</v>
      </c>
      <c r="C5915" s="115" t="str">
        <f>IFERROR(__xludf.DUMMYFUNCTION("""COMPUTED_VALUE"""),"EXTERNAL")</f>
        <v>EXTERNAL</v>
      </c>
      <c r="D5915" s="115">
        <f>IFERROR(__xludf.DUMMYFUNCTION("""COMPUTED_VALUE"""),58645.0)</f>
        <v>58645</v>
      </c>
      <c r="E5915" s="115">
        <f>IFERROR(__xludf.DUMMYFUNCTION("""COMPUTED_VALUE"""),7349.0)</f>
        <v>7349</v>
      </c>
      <c r="F5915" s="115">
        <f>IFERROR(__xludf.DUMMYFUNCTION("""COMPUTED_VALUE"""),16586.0)</f>
        <v>16586</v>
      </c>
      <c r="G5915" s="115">
        <f>IFERROR(__xludf.DUMMYFUNCTION("""COMPUTED_VALUE"""),1490.0)</f>
        <v>1490</v>
      </c>
      <c r="H5915" s="116">
        <f>IFERROR(__xludf.DUMMYFUNCTION("""COMPUTED_VALUE"""),45911.0)</f>
        <v>45911</v>
      </c>
      <c r="I5915" s="115" t="str">
        <f>IFERROR(__xludf.DUMMYFUNCTION("""COMPUTED_VALUE"""),"15")</f>
        <v>15</v>
      </c>
      <c r="J5915" s="115"/>
      <c r="K5915" s="115"/>
    </row>
    <row r="5916">
      <c r="A5916" s="115" t="str">
        <f>IFERROR(__xludf.DUMMYFUNCTION("""COMPUTED_VALUE"""),"WEST")</f>
        <v>WEST</v>
      </c>
      <c r="B5916" s="115" t="str">
        <f>IFERROR(__xludf.DUMMYFUNCTION("""COMPUTED_VALUE"""),"Ashish Jakar")</f>
        <v>Ashish Jakar</v>
      </c>
      <c r="C5916" s="115" t="str">
        <f>IFERROR(__xludf.DUMMYFUNCTION("""COMPUTED_VALUE"""),"FLIPKART")</f>
        <v>FLIPKART</v>
      </c>
      <c r="D5916" s="115">
        <f>IFERROR(__xludf.DUMMYFUNCTION("""COMPUTED_VALUE"""),391847.0)</f>
        <v>391847</v>
      </c>
      <c r="E5916" s="115">
        <f>IFERROR(__xludf.DUMMYFUNCTION("""COMPUTED_VALUE"""),33753.0)</f>
        <v>33753</v>
      </c>
      <c r="F5916" s="115">
        <f>IFERROR(__xludf.DUMMYFUNCTION("""COMPUTED_VALUE"""),195557.0)</f>
        <v>195557</v>
      </c>
      <c r="G5916" s="115">
        <f>IFERROR(__xludf.DUMMYFUNCTION("""COMPUTED_VALUE"""),8680.0)</f>
        <v>8680</v>
      </c>
      <c r="H5916" s="116">
        <f>IFERROR(__xludf.DUMMYFUNCTION("""COMPUTED_VALUE"""),45911.0)</f>
        <v>45911</v>
      </c>
      <c r="I5916" s="115" t="str">
        <f>IFERROR(__xludf.DUMMYFUNCTION("""COMPUTED_VALUE"""),"15")</f>
        <v>15</v>
      </c>
      <c r="J5916" s="115"/>
      <c r="K5916" s="115"/>
    </row>
    <row r="5917">
      <c r="A5917" s="115" t="str">
        <f>IFERROR(__xludf.DUMMYFUNCTION("""COMPUTED_VALUE"""),"WEST")</f>
        <v>WEST</v>
      </c>
      <c r="B5917" s="115" t="str">
        <f>IFERROR(__xludf.DUMMYFUNCTION("""COMPUTED_VALUE"""),"Ashish Jakar")</f>
        <v>Ashish Jakar</v>
      </c>
      <c r="C5917" s="115" t="str">
        <f>IFERROR(__xludf.DUMMYFUNCTION("""COMPUTED_VALUE"""),"MYNTRA")</f>
        <v>MYNTRA</v>
      </c>
      <c r="D5917" s="115">
        <f>IFERROR(__xludf.DUMMYFUNCTION("""COMPUTED_VALUE"""),43722.0)</f>
        <v>43722</v>
      </c>
      <c r="E5917" s="115">
        <f>IFERROR(__xludf.DUMMYFUNCTION("""COMPUTED_VALUE"""),11139.0)</f>
        <v>11139</v>
      </c>
      <c r="F5917" s="115">
        <f>IFERROR(__xludf.DUMMYFUNCTION("""COMPUTED_VALUE"""),25697.0)</f>
        <v>25697</v>
      </c>
      <c r="G5917" s="115">
        <f>IFERROR(__xludf.DUMMYFUNCTION("""COMPUTED_VALUE"""),3449.0)</f>
        <v>3449</v>
      </c>
      <c r="H5917" s="116">
        <f>IFERROR(__xludf.DUMMYFUNCTION("""COMPUTED_VALUE"""),45911.0)</f>
        <v>45911</v>
      </c>
      <c r="I5917" s="115" t="str">
        <f>IFERROR(__xludf.DUMMYFUNCTION("""COMPUTED_VALUE"""),"15")</f>
        <v>15</v>
      </c>
      <c r="J5917" s="115"/>
      <c r="K5917" s="115"/>
    </row>
    <row r="5918">
      <c r="A5918" s="115" t="str">
        <f>IFERROR(__xludf.DUMMYFUNCTION("""COMPUTED_VALUE"""),"WEST")</f>
        <v>WEST</v>
      </c>
      <c r="B5918" s="115" t="str">
        <f>IFERROR(__xludf.DUMMYFUNCTION("""COMPUTED_VALUE"""),"Ashvani Bhatt")</f>
        <v>Ashvani Bhatt</v>
      </c>
      <c r="C5918" s="115" t="str">
        <f>IFERROR(__xludf.DUMMYFUNCTION("""COMPUTED_VALUE"""),"EXTERNAL")</f>
        <v>EXTERNAL</v>
      </c>
      <c r="D5918" s="115">
        <f>IFERROR(__xludf.DUMMYFUNCTION("""COMPUTED_VALUE"""),39157.0)</f>
        <v>39157</v>
      </c>
      <c r="E5918" s="115">
        <f>IFERROR(__xludf.DUMMYFUNCTION("""COMPUTED_VALUE"""),4103.0)</f>
        <v>4103</v>
      </c>
      <c r="F5918" s="115">
        <f>IFERROR(__xludf.DUMMYFUNCTION("""COMPUTED_VALUE"""),12343.0)</f>
        <v>12343</v>
      </c>
      <c r="G5918" s="115">
        <f>IFERROR(__xludf.DUMMYFUNCTION("""COMPUTED_VALUE"""),567.0)</f>
        <v>567</v>
      </c>
      <c r="H5918" s="116">
        <f>IFERROR(__xludf.DUMMYFUNCTION("""COMPUTED_VALUE"""),45911.0)</f>
        <v>45911</v>
      </c>
      <c r="I5918" s="115" t="str">
        <f>IFERROR(__xludf.DUMMYFUNCTION("""COMPUTED_VALUE"""),"15")</f>
        <v>15</v>
      </c>
      <c r="J5918" s="115"/>
      <c r="K5918" s="115"/>
    </row>
    <row r="5919">
      <c r="A5919" s="115" t="str">
        <f>IFERROR(__xludf.DUMMYFUNCTION("""COMPUTED_VALUE"""),"WEST")</f>
        <v>WEST</v>
      </c>
      <c r="B5919" s="115" t="str">
        <f>IFERROR(__xludf.DUMMYFUNCTION("""COMPUTED_VALUE"""),"Ashvani Bhatt")</f>
        <v>Ashvani Bhatt</v>
      </c>
      <c r="C5919" s="115" t="str">
        <f>IFERROR(__xludf.DUMMYFUNCTION("""COMPUTED_VALUE"""),"FLIPKART")</f>
        <v>FLIPKART</v>
      </c>
      <c r="D5919" s="115">
        <f>IFERROR(__xludf.DUMMYFUNCTION("""COMPUTED_VALUE"""),304264.0)</f>
        <v>304264</v>
      </c>
      <c r="E5919" s="115">
        <f>IFERROR(__xludf.DUMMYFUNCTION("""COMPUTED_VALUE"""),27285.0)</f>
        <v>27285</v>
      </c>
      <c r="F5919" s="115">
        <f>IFERROR(__xludf.DUMMYFUNCTION("""COMPUTED_VALUE"""),174962.0)</f>
        <v>174962</v>
      </c>
      <c r="G5919" s="115">
        <f>IFERROR(__xludf.DUMMYFUNCTION("""COMPUTED_VALUE"""),6923.0)</f>
        <v>6923</v>
      </c>
      <c r="H5919" s="116">
        <f>IFERROR(__xludf.DUMMYFUNCTION("""COMPUTED_VALUE"""),45911.0)</f>
        <v>45911</v>
      </c>
      <c r="I5919" s="115" t="str">
        <f>IFERROR(__xludf.DUMMYFUNCTION("""COMPUTED_VALUE"""),"15")</f>
        <v>15</v>
      </c>
      <c r="J5919" s="115"/>
      <c r="K5919" s="115"/>
    </row>
    <row r="5920">
      <c r="A5920" s="115" t="str">
        <f>IFERROR(__xludf.DUMMYFUNCTION("""COMPUTED_VALUE"""),"WEST")</f>
        <v>WEST</v>
      </c>
      <c r="B5920" s="115" t="str">
        <f>IFERROR(__xludf.DUMMYFUNCTION("""COMPUTED_VALUE"""),"Ashvani Bhatt")</f>
        <v>Ashvani Bhatt</v>
      </c>
      <c r="C5920" s="115" t="str">
        <f>IFERROR(__xludf.DUMMYFUNCTION("""COMPUTED_VALUE"""),"MYNTRA")</f>
        <v>MYNTRA</v>
      </c>
      <c r="D5920" s="115">
        <f>IFERROR(__xludf.DUMMYFUNCTION("""COMPUTED_VALUE"""),35800.0)</f>
        <v>35800</v>
      </c>
      <c r="E5920" s="115">
        <f>IFERROR(__xludf.DUMMYFUNCTION("""COMPUTED_VALUE"""),9250.0)</f>
        <v>9250</v>
      </c>
      <c r="F5920" s="115">
        <f>IFERROR(__xludf.DUMMYFUNCTION("""COMPUTED_VALUE"""),23859.0)</f>
        <v>23859</v>
      </c>
      <c r="G5920" s="115">
        <f>IFERROR(__xludf.DUMMYFUNCTION("""COMPUTED_VALUE"""),3031.0)</f>
        <v>3031</v>
      </c>
      <c r="H5920" s="116">
        <f>IFERROR(__xludf.DUMMYFUNCTION("""COMPUTED_VALUE"""),45911.0)</f>
        <v>45911</v>
      </c>
      <c r="I5920" s="115" t="str">
        <f>IFERROR(__xludf.DUMMYFUNCTION("""COMPUTED_VALUE"""),"15")</f>
        <v>15</v>
      </c>
      <c r="J5920" s="115"/>
      <c r="K5920" s="115"/>
    </row>
    <row r="5921">
      <c r="A5921" s="115"/>
      <c r="B5921" s="115"/>
      <c r="C5921" s="115" t="str">
        <f>IFERROR(__xludf.DUMMYFUNCTION("""COMPUTED_VALUE"""),"EXTERNAL")</f>
        <v>EXTERNAL</v>
      </c>
      <c r="D5921" s="115">
        <f>IFERROR(__xludf.DUMMYFUNCTION("""COMPUTED_VALUE"""),937.0)</f>
        <v>937</v>
      </c>
      <c r="E5921" s="115">
        <f>IFERROR(__xludf.DUMMYFUNCTION("""COMPUTED_VALUE"""),361.0)</f>
        <v>361</v>
      </c>
      <c r="F5921" s="115">
        <f>IFERROR(__xludf.DUMMYFUNCTION("""COMPUTED_VALUE"""),272.0)</f>
        <v>272</v>
      </c>
      <c r="G5921" s="115">
        <f>IFERROR(__xludf.DUMMYFUNCTION("""COMPUTED_VALUE"""),81.0)</f>
        <v>81</v>
      </c>
      <c r="H5921" s="116">
        <f>IFERROR(__xludf.DUMMYFUNCTION("""COMPUTED_VALUE"""),45911.0)</f>
        <v>45911</v>
      </c>
      <c r="I5921" s="115" t="str">
        <f>IFERROR(__xludf.DUMMYFUNCTION("""COMPUTED_VALUE"""),"15")</f>
        <v>15</v>
      </c>
      <c r="J5921" s="115"/>
      <c r="K5921" s="115"/>
    </row>
    <row r="5922">
      <c r="A5922" s="115"/>
      <c r="B5922" s="115"/>
      <c r="C5922" s="115" t="str">
        <f>IFERROR(__xludf.DUMMYFUNCTION("""COMPUTED_VALUE"""),"FLIPKART")</f>
        <v>FLIPKART</v>
      </c>
      <c r="D5922" s="115">
        <f>IFERROR(__xludf.DUMMYFUNCTION("""COMPUTED_VALUE"""),11138.0)</f>
        <v>11138</v>
      </c>
      <c r="E5922" s="115">
        <f>IFERROR(__xludf.DUMMYFUNCTION("""COMPUTED_VALUE"""),1101.0)</f>
        <v>1101</v>
      </c>
      <c r="F5922" s="115">
        <f>IFERROR(__xludf.DUMMYFUNCTION("""COMPUTED_VALUE"""),4737.0)</f>
        <v>4737</v>
      </c>
      <c r="G5922" s="115">
        <f>IFERROR(__xludf.DUMMYFUNCTION("""COMPUTED_VALUE"""),293.0)</f>
        <v>293</v>
      </c>
      <c r="H5922" s="116">
        <f>IFERROR(__xludf.DUMMYFUNCTION("""COMPUTED_VALUE"""),45911.0)</f>
        <v>45911</v>
      </c>
      <c r="I5922" s="115" t="str">
        <f>IFERROR(__xludf.DUMMYFUNCTION("""COMPUTED_VALUE"""),"15")</f>
        <v>15</v>
      </c>
      <c r="J5922" s="115"/>
      <c r="K5922" s="115"/>
    </row>
    <row r="5923">
      <c r="A5923" s="115"/>
      <c r="B5923" s="115"/>
      <c r="C5923" s="115" t="str">
        <f>IFERROR(__xludf.DUMMYFUNCTION("""COMPUTED_VALUE"""),"MYNTRA")</f>
        <v>MYNTRA</v>
      </c>
      <c r="D5923" s="115">
        <f>IFERROR(__xludf.DUMMYFUNCTION("""COMPUTED_VALUE"""),1263.0)</f>
        <v>1263</v>
      </c>
      <c r="E5923" s="115">
        <f>IFERROR(__xludf.DUMMYFUNCTION("""COMPUTED_VALUE"""),314.0)</f>
        <v>314</v>
      </c>
      <c r="F5923" s="115">
        <f>IFERROR(__xludf.DUMMYFUNCTION("""COMPUTED_VALUE"""),675.0)</f>
        <v>675</v>
      </c>
      <c r="G5923" s="115">
        <f>IFERROR(__xludf.DUMMYFUNCTION("""COMPUTED_VALUE"""),104.0)</f>
        <v>104</v>
      </c>
      <c r="H5923" s="116">
        <f>IFERROR(__xludf.DUMMYFUNCTION("""COMPUTED_VALUE"""),45911.0)</f>
        <v>45911</v>
      </c>
      <c r="I5923" s="115" t="str">
        <f>IFERROR(__xludf.DUMMYFUNCTION("""COMPUTED_VALUE"""),"15")</f>
        <v>15</v>
      </c>
      <c r="J5923" s="115"/>
      <c r="K5923" s="115"/>
    </row>
    <row r="5924">
      <c r="A5924" s="115" t="str">
        <f>IFERROR(__xludf.DUMMYFUNCTION("""COMPUTED_VALUE"""),"EAST")</f>
        <v>EAST</v>
      </c>
      <c r="B5924" s="115" t="str">
        <f>IFERROR(__xludf.DUMMYFUNCTION("""COMPUTED_VALUE"""),"Ashish Ranjan")</f>
        <v>Ashish Ranjan</v>
      </c>
      <c r="C5924" s="115" t="str">
        <f>IFERROR(__xludf.DUMMYFUNCTION("""COMPUTED_VALUE"""),"EXTERNAL")</f>
        <v>EXTERNAL</v>
      </c>
      <c r="D5924" s="115">
        <f>IFERROR(__xludf.DUMMYFUNCTION("""COMPUTED_VALUE"""),36982.0)</f>
        <v>36982</v>
      </c>
      <c r="E5924" s="115">
        <f>IFERROR(__xludf.DUMMYFUNCTION("""COMPUTED_VALUE"""),4122.0)</f>
        <v>4122</v>
      </c>
      <c r="F5924" s="115">
        <f>IFERROR(__xludf.DUMMYFUNCTION("""COMPUTED_VALUE"""),17171.0)</f>
        <v>17171</v>
      </c>
      <c r="G5924" s="115">
        <f>IFERROR(__xludf.DUMMYFUNCTION("""COMPUTED_VALUE"""),1091.0)</f>
        <v>1091</v>
      </c>
      <c r="H5924" s="116">
        <f>IFERROR(__xludf.DUMMYFUNCTION("""COMPUTED_VALUE"""),45911.0)</f>
        <v>45911</v>
      </c>
      <c r="I5924" s="115" t="str">
        <f>IFERROR(__xludf.DUMMYFUNCTION("""COMPUTED_VALUE"""),"16")</f>
        <v>16</v>
      </c>
      <c r="J5924" s="115"/>
      <c r="K5924" s="115"/>
    </row>
    <row r="5925">
      <c r="A5925" s="115" t="str">
        <f>IFERROR(__xludf.DUMMYFUNCTION("""COMPUTED_VALUE"""),"EAST")</f>
        <v>EAST</v>
      </c>
      <c r="B5925" s="115" t="str">
        <f>IFERROR(__xludf.DUMMYFUNCTION("""COMPUTED_VALUE"""),"Ashish Ranjan")</f>
        <v>Ashish Ranjan</v>
      </c>
      <c r="C5925" s="115" t="str">
        <f>IFERROR(__xludf.DUMMYFUNCTION("""COMPUTED_VALUE"""),"FLIPKART")</f>
        <v>FLIPKART</v>
      </c>
      <c r="D5925" s="115">
        <f>IFERROR(__xludf.DUMMYFUNCTION("""COMPUTED_VALUE"""),656646.0)</f>
        <v>656646</v>
      </c>
      <c r="E5925" s="115">
        <f>IFERROR(__xludf.DUMMYFUNCTION("""COMPUTED_VALUE"""),61239.0)</f>
        <v>61239</v>
      </c>
      <c r="F5925" s="115">
        <f>IFERROR(__xludf.DUMMYFUNCTION("""COMPUTED_VALUE"""),487651.0)</f>
        <v>487651</v>
      </c>
      <c r="G5925" s="115">
        <f>IFERROR(__xludf.DUMMYFUNCTION("""COMPUTED_VALUE"""),27463.0)</f>
        <v>27463</v>
      </c>
      <c r="H5925" s="116">
        <f>IFERROR(__xludf.DUMMYFUNCTION("""COMPUTED_VALUE"""),45911.0)</f>
        <v>45911</v>
      </c>
      <c r="I5925" s="115" t="str">
        <f>IFERROR(__xludf.DUMMYFUNCTION("""COMPUTED_VALUE"""),"16")</f>
        <v>16</v>
      </c>
      <c r="J5925" s="115"/>
      <c r="K5925" s="115"/>
    </row>
    <row r="5926">
      <c r="A5926" s="115" t="str">
        <f>IFERROR(__xludf.DUMMYFUNCTION("""COMPUTED_VALUE"""),"EAST")</f>
        <v>EAST</v>
      </c>
      <c r="B5926" s="115" t="str">
        <f>IFERROR(__xludf.DUMMYFUNCTION("""COMPUTED_VALUE"""),"Ashish Ranjan")</f>
        <v>Ashish Ranjan</v>
      </c>
      <c r="C5926" s="115" t="str">
        <f>IFERROR(__xludf.DUMMYFUNCTION("""COMPUTED_VALUE"""),"MYNTRA")</f>
        <v>MYNTRA</v>
      </c>
      <c r="D5926" s="115">
        <f>IFERROR(__xludf.DUMMYFUNCTION("""COMPUTED_VALUE"""),65372.0)</f>
        <v>65372</v>
      </c>
      <c r="E5926" s="115">
        <f>IFERROR(__xludf.DUMMYFUNCTION("""COMPUTED_VALUE"""),15649.0)</f>
        <v>15649</v>
      </c>
      <c r="F5926" s="115">
        <f>IFERROR(__xludf.DUMMYFUNCTION("""COMPUTED_VALUE"""),49062.0)</f>
        <v>49062</v>
      </c>
      <c r="G5926" s="115">
        <f>IFERROR(__xludf.DUMMYFUNCTION("""COMPUTED_VALUE"""),6944.0)</f>
        <v>6944</v>
      </c>
      <c r="H5926" s="116">
        <f>IFERROR(__xludf.DUMMYFUNCTION("""COMPUTED_VALUE"""),45911.0)</f>
        <v>45911</v>
      </c>
      <c r="I5926" s="115" t="str">
        <f>IFERROR(__xludf.DUMMYFUNCTION("""COMPUTED_VALUE"""),"16")</f>
        <v>16</v>
      </c>
      <c r="J5926" s="115"/>
      <c r="K5926" s="115"/>
    </row>
    <row r="5927">
      <c r="A5927" s="115" t="str">
        <f>IFERROR(__xludf.DUMMYFUNCTION("""COMPUTED_VALUE"""),"EAST")</f>
        <v>EAST</v>
      </c>
      <c r="B5927" s="115" t="str">
        <f>IFERROR(__xludf.DUMMYFUNCTION("""COMPUTED_VALUE"""),"Girish Chand")</f>
        <v>Girish Chand</v>
      </c>
      <c r="C5927" s="115" t="str">
        <f>IFERROR(__xludf.DUMMYFUNCTION("""COMPUTED_VALUE"""),"EXTERNAL")</f>
        <v>EXTERNAL</v>
      </c>
      <c r="D5927" s="115">
        <f>IFERROR(__xludf.DUMMYFUNCTION("""COMPUTED_VALUE"""),20975.0)</f>
        <v>20975</v>
      </c>
      <c r="E5927" s="115">
        <f>IFERROR(__xludf.DUMMYFUNCTION("""COMPUTED_VALUE"""),2469.0)</f>
        <v>2469</v>
      </c>
      <c r="F5927" s="115">
        <f>IFERROR(__xludf.DUMMYFUNCTION("""COMPUTED_VALUE"""),7341.0)</f>
        <v>7341</v>
      </c>
      <c r="G5927" s="115">
        <f>IFERROR(__xludf.DUMMYFUNCTION("""COMPUTED_VALUE"""),361.0)</f>
        <v>361</v>
      </c>
      <c r="H5927" s="116">
        <f>IFERROR(__xludf.DUMMYFUNCTION("""COMPUTED_VALUE"""),45911.0)</f>
        <v>45911</v>
      </c>
      <c r="I5927" s="115" t="str">
        <f>IFERROR(__xludf.DUMMYFUNCTION("""COMPUTED_VALUE"""),"16")</f>
        <v>16</v>
      </c>
      <c r="J5927" s="115"/>
      <c r="K5927" s="115"/>
    </row>
    <row r="5928">
      <c r="A5928" s="115" t="str">
        <f>IFERROR(__xludf.DUMMYFUNCTION("""COMPUTED_VALUE"""),"EAST")</f>
        <v>EAST</v>
      </c>
      <c r="B5928" s="115" t="str">
        <f>IFERROR(__xludf.DUMMYFUNCTION("""COMPUTED_VALUE"""),"Girish Chand")</f>
        <v>Girish Chand</v>
      </c>
      <c r="C5928" s="115" t="str">
        <f>IFERROR(__xludf.DUMMYFUNCTION("""COMPUTED_VALUE"""),"FLIPKART")</f>
        <v>FLIPKART</v>
      </c>
      <c r="D5928" s="115">
        <f>IFERROR(__xludf.DUMMYFUNCTION("""COMPUTED_VALUE"""),419085.0)</f>
        <v>419085</v>
      </c>
      <c r="E5928" s="115">
        <f>IFERROR(__xludf.DUMMYFUNCTION("""COMPUTED_VALUE"""),36831.0)</f>
        <v>36831</v>
      </c>
      <c r="F5928" s="115">
        <f>IFERROR(__xludf.DUMMYFUNCTION("""COMPUTED_VALUE"""),263986.0)</f>
        <v>263986</v>
      </c>
      <c r="G5928" s="115">
        <f>IFERROR(__xludf.DUMMYFUNCTION("""COMPUTED_VALUE"""),11896.0)</f>
        <v>11896</v>
      </c>
      <c r="H5928" s="116">
        <f>IFERROR(__xludf.DUMMYFUNCTION("""COMPUTED_VALUE"""),45911.0)</f>
        <v>45911</v>
      </c>
      <c r="I5928" s="115" t="str">
        <f>IFERROR(__xludf.DUMMYFUNCTION("""COMPUTED_VALUE"""),"16")</f>
        <v>16</v>
      </c>
      <c r="J5928" s="115"/>
      <c r="K5928" s="115"/>
    </row>
    <row r="5929">
      <c r="A5929" s="115" t="str">
        <f>IFERROR(__xludf.DUMMYFUNCTION("""COMPUTED_VALUE"""),"EAST")</f>
        <v>EAST</v>
      </c>
      <c r="B5929" s="115" t="str">
        <f>IFERROR(__xludf.DUMMYFUNCTION("""COMPUTED_VALUE"""),"Girish Chand")</f>
        <v>Girish Chand</v>
      </c>
      <c r="C5929" s="115" t="str">
        <f>IFERROR(__xludf.DUMMYFUNCTION("""COMPUTED_VALUE"""),"MYNTRA")</f>
        <v>MYNTRA</v>
      </c>
      <c r="D5929" s="115">
        <f>IFERROR(__xludf.DUMMYFUNCTION("""COMPUTED_VALUE"""),32961.0)</f>
        <v>32961</v>
      </c>
      <c r="E5929" s="115">
        <f>IFERROR(__xludf.DUMMYFUNCTION("""COMPUTED_VALUE"""),7645.0)</f>
        <v>7645</v>
      </c>
      <c r="F5929" s="115">
        <f>IFERROR(__xludf.DUMMYFUNCTION("""COMPUTED_VALUE"""),21908.0)</f>
        <v>21908</v>
      </c>
      <c r="G5929" s="115">
        <f>IFERROR(__xludf.DUMMYFUNCTION("""COMPUTED_VALUE"""),2787.0)</f>
        <v>2787</v>
      </c>
      <c r="H5929" s="116">
        <f>IFERROR(__xludf.DUMMYFUNCTION("""COMPUTED_VALUE"""),45911.0)</f>
        <v>45911</v>
      </c>
      <c r="I5929" s="115" t="str">
        <f>IFERROR(__xludf.DUMMYFUNCTION("""COMPUTED_VALUE"""),"16")</f>
        <v>16</v>
      </c>
      <c r="J5929" s="115"/>
      <c r="K5929" s="115"/>
    </row>
    <row r="5930">
      <c r="A5930" s="115" t="str">
        <f>IFERROR(__xludf.DUMMYFUNCTION("""COMPUTED_VALUE"""),"EAST")</f>
        <v>EAST</v>
      </c>
      <c r="B5930" s="115" t="str">
        <f>IFERROR(__xludf.DUMMYFUNCTION("""COMPUTED_VALUE"""),"Parag Kashyap")</f>
        <v>Parag Kashyap</v>
      </c>
      <c r="C5930" s="115" t="str">
        <f>IFERROR(__xludf.DUMMYFUNCTION("""COMPUTED_VALUE"""),"EXTERNAL")</f>
        <v>EXTERNAL</v>
      </c>
      <c r="D5930" s="115">
        <f>IFERROR(__xludf.DUMMYFUNCTION("""COMPUTED_VALUE"""),16042.0)</f>
        <v>16042</v>
      </c>
      <c r="E5930" s="115">
        <f>IFERROR(__xludf.DUMMYFUNCTION("""COMPUTED_VALUE"""),1134.0)</f>
        <v>1134</v>
      </c>
      <c r="F5930" s="115">
        <f>IFERROR(__xludf.DUMMYFUNCTION("""COMPUTED_VALUE"""),5580.0)</f>
        <v>5580</v>
      </c>
      <c r="G5930" s="115">
        <f>IFERROR(__xludf.DUMMYFUNCTION("""COMPUTED_VALUE"""),138.0)</f>
        <v>138</v>
      </c>
      <c r="H5930" s="116">
        <f>IFERROR(__xludf.DUMMYFUNCTION("""COMPUTED_VALUE"""),45911.0)</f>
        <v>45911</v>
      </c>
      <c r="I5930" s="115" t="str">
        <f>IFERROR(__xludf.DUMMYFUNCTION("""COMPUTED_VALUE"""),"16")</f>
        <v>16</v>
      </c>
      <c r="J5930" s="115"/>
      <c r="K5930" s="115"/>
    </row>
    <row r="5931">
      <c r="A5931" s="115" t="str">
        <f>IFERROR(__xludf.DUMMYFUNCTION("""COMPUTED_VALUE"""),"EAST")</f>
        <v>EAST</v>
      </c>
      <c r="B5931" s="115" t="str">
        <f>IFERROR(__xludf.DUMMYFUNCTION("""COMPUTED_VALUE"""),"Parag Kashyap")</f>
        <v>Parag Kashyap</v>
      </c>
      <c r="C5931" s="115" t="str">
        <f>IFERROR(__xludf.DUMMYFUNCTION("""COMPUTED_VALUE"""),"FLIPKART")</f>
        <v>FLIPKART</v>
      </c>
      <c r="D5931" s="115">
        <f>IFERROR(__xludf.DUMMYFUNCTION("""COMPUTED_VALUE"""),285769.0)</f>
        <v>285769</v>
      </c>
      <c r="E5931" s="115">
        <f>IFERROR(__xludf.DUMMYFUNCTION("""COMPUTED_VALUE"""),18731.0)</f>
        <v>18731</v>
      </c>
      <c r="F5931" s="115">
        <f>IFERROR(__xludf.DUMMYFUNCTION("""COMPUTED_VALUE"""),173351.0)</f>
        <v>173351</v>
      </c>
      <c r="G5931" s="115">
        <f>IFERROR(__xludf.DUMMYFUNCTION("""COMPUTED_VALUE"""),4326.0)</f>
        <v>4326</v>
      </c>
      <c r="H5931" s="116">
        <f>IFERROR(__xludf.DUMMYFUNCTION("""COMPUTED_VALUE"""),45911.0)</f>
        <v>45911</v>
      </c>
      <c r="I5931" s="115" t="str">
        <f>IFERROR(__xludf.DUMMYFUNCTION("""COMPUTED_VALUE"""),"16")</f>
        <v>16</v>
      </c>
      <c r="J5931" s="115"/>
      <c r="K5931" s="115"/>
    </row>
    <row r="5932">
      <c r="A5932" s="115" t="str">
        <f>IFERROR(__xludf.DUMMYFUNCTION("""COMPUTED_VALUE"""),"EAST")</f>
        <v>EAST</v>
      </c>
      <c r="B5932" s="115" t="str">
        <f>IFERROR(__xludf.DUMMYFUNCTION("""COMPUTED_VALUE"""),"Parag Kashyap")</f>
        <v>Parag Kashyap</v>
      </c>
      <c r="C5932" s="115" t="str">
        <f>IFERROR(__xludf.DUMMYFUNCTION("""COMPUTED_VALUE"""),"MYNTRA")</f>
        <v>MYNTRA</v>
      </c>
      <c r="D5932" s="115">
        <f>IFERROR(__xludf.DUMMYFUNCTION("""COMPUTED_VALUE"""),37441.0)</f>
        <v>37441</v>
      </c>
      <c r="E5932" s="115">
        <f>IFERROR(__xludf.DUMMYFUNCTION("""COMPUTED_VALUE"""),5990.0)</f>
        <v>5990</v>
      </c>
      <c r="F5932" s="115">
        <f>IFERROR(__xludf.DUMMYFUNCTION("""COMPUTED_VALUE"""),23893.0)</f>
        <v>23893</v>
      </c>
      <c r="G5932" s="115">
        <f>IFERROR(__xludf.DUMMYFUNCTION("""COMPUTED_VALUE"""),1391.0)</f>
        <v>1391</v>
      </c>
      <c r="H5932" s="116">
        <f>IFERROR(__xludf.DUMMYFUNCTION("""COMPUTED_VALUE"""),45911.0)</f>
        <v>45911</v>
      </c>
      <c r="I5932" s="115" t="str">
        <f>IFERROR(__xludf.DUMMYFUNCTION("""COMPUTED_VALUE"""),"16")</f>
        <v>16</v>
      </c>
      <c r="J5932" s="115"/>
      <c r="K5932" s="115"/>
    </row>
    <row r="5933">
      <c r="A5933" s="115" t="str">
        <f>IFERROR(__xludf.DUMMYFUNCTION("""COMPUTED_VALUE"""),"NORTH")</f>
        <v>NORTH</v>
      </c>
      <c r="B5933" s="115" t="str">
        <f>IFERROR(__xludf.DUMMYFUNCTION("""COMPUTED_VALUE"""),"Amit Kumar Pathak")</f>
        <v>Amit Kumar Pathak</v>
      </c>
      <c r="C5933" s="115" t="str">
        <f>IFERROR(__xludf.DUMMYFUNCTION("""COMPUTED_VALUE"""),"EXTERNAL")</f>
        <v>EXTERNAL</v>
      </c>
      <c r="D5933" s="115">
        <f>IFERROR(__xludf.DUMMYFUNCTION("""COMPUTED_VALUE"""),24895.0)</f>
        <v>24895</v>
      </c>
      <c r="E5933" s="115">
        <f>IFERROR(__xludf.DUMMYFUNCTION("""COMPUTED_VALUE"""),3055.0)</f>
        <v>3055</v>
      </c>
      <c r="F5933" s="115">
        <f>IFERROR(__xludf.DUMMYFUNCTION("""COMPUTED_VALUE"""),7960.0)</f>
        <v>7960</v>
      </c>
      <c r="G5933" s="115">
        <f>IFERROR(__xludf.DUMMYFUNCTION("""COMPUTED_VALUE"""),1076.0)</f>
        <v>1076</v>
      </c>
      <c r="H5933" s="116">
        <f>IFERROR(__xludf.DUMMYFUNCTION("""COMPUTED_VALUE"""),45911.0)</f>
        <v>45911</v>
      </c>
      <c r="I5933" s="115" t="str">
        <f>IFERROR(__xludf.DUMMYFUNCTION("""COMPUTED_VALUE"""),"16")</f>
        <v>16</v>
      </c>
      <c r="J5933" s="115"/>
      <c r="K5933" s="115"/>
    </row>
    <row r="5934">
      <c r="A5934" s="115" t="str">
        <f>IFERROR(__xludf.DUMMYFUNCTION("""COMPUTED_VALUE"""),"NORTH")</f>
        <v>NORTH</v>
      </c>
      <c r="B5934" s="115" t="str">
        <f>IFERROR(__xludf.DUMMYFUNCTION("""COMPUTED_VALUE"""),"Amit Kumar Pathak")</f>
        <v>Amit Kumar Pathak</v>
      </c>
      <c r="C5934" s="115" t="str">
        <f>IFERROR(__xludf.DUMMYFUNCTION("""COMPUTED_VALUE"""),"FLIPKART")</f>
        <v>FLIPKART</v>
      </c>
      <c r="D5934" s="115">
        <f>IFERROR(__xludf.DUMMYFUNCTION("""COMPUTED_VALUE"""),177148.0)</f>
        <v>177148</v>
      </c>
      <c r="E5934" s="115">
        <f>IFERROR(__xludf.DUMMYFUNCTION("""COMPUTED_VALUE"""),21173.0)</f>
        <v>21173</v>
      </c>
      <c r="F5934" s="115">
        <f>IFERROR(__xludf.DUMMYFUNCTION("""COMPUTED_VALUE"""),104823.0)</f>
        <v>104823</v>
      </c>
      <c r="G5934" s="115">
        <f>IFERROR(__xludf.DUMMYFUNCTION("""COMPUTED_VALUE"""),8904.0)</f>
        <v>8904</v>
      </c>
      <c r="H5934" s="116">
        <f>IFERROR(__xludf.DUMMYFUNCTION("""COMPUTED_VALUE"""),45911.0)</f>
        <v>45911</v>
      </c>
      <c r="I5934" s="115" t="str">
        <f>IFERROR(__xludf.DUMMYFUNCTION("""COMPUTED_VALUE"""),"16")</f>
        <v>16</v>
      </c>
      <c r="J5934" s="115"/>
      <c r="K5934" s="115"/>
    </row>
    <row r="5935">
      <c r="A5935" s="115" t="str">
        <f>IFERROR(__xludf.DUMMYFUNCTION("""COMPUTED_VALUE"""),"NORTH")</f>
        <v>NORTH</v>
      </c>
      <c r="B5935" s="115" t="str">
        <f>IFERROR(__xludf.DUMMYFUNCTION("""COMPUTED_VALUE"""),"Amit Kumar Pathak")</f>
        <v>Amit Kumar Pathak</v>
      </c>
      <c r="C5935" s="115" t="str">
        <f>IFERROR(__xludf.DUMMYFUNCTION("""COMPUTED_VALUE"""),"MYNTRA")</f>
        <v>MYNTRA</v>
      </c>
      <c r="D5935" s="115">
        <f>IFERROR(__xludf.DUMMYFUNCTION("""COMPUTED_VALUE"""),13995.0)</f>
        <v>13995</v>
      </c>
      <c r="E5935" s="115">
        <f>IFERROR(__xludf.DUMMYFUNCTION("""COMPUTED_VALUE"""),5101.0)</f>
        <v>5101</v>
      </c>
      <c r="F5935" s="115">
        <f>IFERROR(__xludf.DUMMYFUNCTION("""COMPUTED_VALUE"""),9432.0)</f>
        <v>9432</v>
      </c>
      <c r="G5935" s="115">
        <f>IFERROR(__xludf.DUMMYFUNCTION("""COMPUTED_VALUE"""),2380.0)</f>
        <v>2380</v>
      </c>
      <c r="H5935" s="116">
        <f>IFERROR(__xludf.DUMMYFUNCTION("""COMPUTED_VALUE"""),45911.0)</f>
        <v>45911</v>
      </c>
      <c r="I5935" s="115" t="str">
        <f>IFERROR(__xludf.DUMMYFUNCTION("""COMPUTED_VALUE"""),"16")</f>
        <v>16</v>
      </c>
      <c r="J5935" s="115"/>
      <c r="K5935" s="115"/>
    </row>
    <row r="5936">
      <c r="A5936" s="115" t="str">
        <f>IFERROR(__xludf.DUMMYFUNCTION("""COMPUTED_VALUE"""),"NORTH")</f>
        <v>NORTH</v>
      </c>
      <c r="B5936" s="115" t="str">
        <f>IFERROR(__xludf.DUMMYFUNCTION("""COMPUTED_VALUE"""),"Loveleen Singh")</f>
        <v>Loveleen Singh</v>
      </c>
      <c r="C5936" s="115" t="str">
        <f>IFERROR(__xludf.DUMMYFUNCTION("""COMPUTED_VALUE"""),"EXTERNAL")</f>
        <v>EXTERNAL</v>
      </c>
      <c r="D5936" s="115">
        <f>IFERROR(__xludf.DUMMYFUNCTION("""COMPUTED_VALUE"""),30201.0)</f>
        <v>30201</v>
      </c>
      <c r="E5936" s="115">
        <f>IFERROR(__xludf.DUMMYFUNCTION("""COMPUTED_VALUE"""),2297.0)</f>
        <v>2297</v>
      </c>
      <c r="F5936" s="115">
        <f>IFERROR(__xludf.DUMMYFUNCTION("""COMPUTED_VALUE"""),10153.0)</f>
        <v>10153</v>
      </c>
      <c r="G5936" s="115">
        <f>IFERROR(__xludf.DUMMYFUNCTION("""COMPUTED_VALUE"""),414.0)</f>
        <v>414</v>
      </c>
      <c r="H5936" s="116">
        <f>IFERROR(__xludf.DUMMYFUNCTION("""COMPUTED_VALUE"""),45911.0)</f>
        <v>45911</v>
      </c>
      <c r="I5936" s="115" t="str">
        <f>IFERROR(__xludf.DUMMYFUNCTION("""COMPUTED_VALUE"""),"16")</f>
        <v>16</v>
      </c>
      <c r="J5936" s="115"/>
      <c r="K5936" s="115"/>
    </row>
    <row r="5937">
      <c r="A5937" s="115" t="str">
        <f>IFERROR(__xludf.DUMMYFUNCTION("""COMPUTED_VALUE"""),"NORTH")</f>
        <v>NORTH</v>
      </c>
      <c r="B5937" s="115" t="str">
        <f>IFERROR(__xludf.DUMMYFUNCTION("""COMPUTED_VALUE"""),"Loveleen Singh")</f>
        <v>Loveleen Singh</v>
      </c>
      <c r="C5937" s="115" t="str">
        <f>IFERROR(__xludf.DUMMYFUNCTION("""COMPUTED_VALUE"""),"FLIPKART")</f>
        <v>FLIPKART</v>
      </c>
      <c r="D5937" s="115">
        <f>IFERROR(__xludf.DUMMYFUNCTION("""COMPUTED_VALUE"""),194486.0)</f>
        <v>194486</v>
      </c>
      <c r="E5937" s="115">
        <f>IFERROR(__xludf.DUMMYFUNCTION("""COMPUTED_VALUE"""),14215.0)</f>
        <v>14215</v>
      </c>
      <c r="F5937" s="115">
        <f>IFERROR(__xludf.DUMMYFUNCTION("""COMPUTED_VALUE"""),121325.0)</f>
        <v>121325</v>
      </c>
      <c r="G5937" s="115">
        <f>IFERROR(__xludf.DUMMYFUNCTION("""COMPUTED_VALUE"""),4681.0)</f>
        <v>4681</v>
      </c>
      <c r="H5937" s="116">
        <f>IFERROR(__xludf.DUMMYFUNCTION("""COMPUTED_VALUE"""),45911.0)</f>
        <v>45911</v>
      </c>
      <c r="I5937" s="115" t="str">
        <f>IFERROR(__xludf.DUMMYFUNCTION("""COMPUTED_VALUE"""),"16")</f>
        <v>16</v>
      </c>
      <c r="J5937" s="115"/>
      <c r="K5937" s="115"/>
    </row>
    <row r="5938">
      <c r="A5938" s="115" t="str">
        <f>IFERROR(__xludf.DUMMYFUNCTION("""COMPUTED_VALUE"""),"NORTH")</f>
        <v>NORTH</v>
      </c>
      <c r="B5938" s="115" t="str">
        <f>IFERROR(__xludf.DUMMYFUNCTION("""COMPUTED_VALUE"""),"Loveleen Singh")</f>
        <v>Loveleen Singh</v>
      </c>
      <c r="C5938" s="115" t="str">
        <f>IFERROR(__xludf.DUMMYFUNCTION("""COMPUTED_VALUE"""),"MYNTRA")</f>
        <v>MYNTRA</v>
      </c>
      <c r="D5938" s="115">
        <f>IFERROR(__xludf.DUMMYFUNCTION("""COMPUTED_VALUE"""),29005.0)</f>
        <v>29005</v>
      </c>
      <c r="E5938" s="115">
        <f>IFERROR(__xludf.DUMMYFUNCTION("""COMPUTED_VALUE"""),6527.0)</f>
        <v>6527</v>
      </c>
      <c r="F5938" s="115">
        <f>IFERROR(__xludf.DUMMYFUNCTION("""COMPUTED_VALUE"""),19978.0)</f>
        <v>19978</v>
      </c>
      <c r="G5938" s="115">
        <f>IFERROR(__xludf.DUMMYFUNCTION("""COMPUTED_VALUE"""),2547.0)</f>
        <v>2547</v>
      </c>
      <c r="H5938" s="116">
        <f>IFERROR(__xludf.DUMMYFUNCTION("""COMPUTED_VALUE"""),45911.0)</f>
        <v>45911</v>
      </c>
      <c r="I5938" s="115" t="str">
        <f>IFERROR(__xludf.DUMMYFUNCTION("""COMPUTED_VALUE"""),"16")</f>
        <v>16</v>
      </c>
      <c r="J5938" s="115"/>
      <c r="K5938" s="115"/>
    </row>
    <row r="5939">
      <c r="A5939" s="115" t="str">
        <f>IFERROR(__xludf.DUMMYFUNCTION("""COMPUTED_VALUE"""),"NORTH")</f>
        <v>NORTH</v>
      </c>
      <c r="B5939" s="115" t="str">
        <f>IFERROR(__xludf.DUMMYFUNCTION("""COMPUTED_VALUE"""),"Manoj Harsh")</f>
        <v>Manoj Harsh</v>
      </c>
      <c r="C5939" s="115" t="str">
        <f>IFERROR(__xludf.DUMMYFUNCTION("""COMPUTED_VALUE"""),"EXTERNAL")</f>
        <v>EXTERNAL</v>
      </c>
      <c r="D5939" s="115">
        <f>IFERROR(__xludf.DUMMYFUNCTION("""COMPUTED_VALUE"""),32619.0)</f>
        <v>32619</v>
      </c>
      <c r="E5939" s="115">
        <f>IFERROR(__xludf.DUMMYFUNCTION("""COMPUTED_VALUE"""),2788.0)</f>
        <v>2788</v>
      </c>
      <c r="F5939" s="115">
        <f>IFERROR(__xludf.DUMMYFUNCTION("""COMPUTED_VALUE"""),12091.0)</f>
        <v>12091</v>
      </c>
      <c r="G5939" s="115">
        <f>IFERROR(__xludf.DUMMYFUNCTION("""COMPUTED_VALUE"""),548.0)</f>
        <v>548</v>
      </c>
      <c r="H5939" s="116">
        <f>IFERROR(__xludf.DUMMYFUNCTION("""COMPUTED_VALUE"""),45911.0)</f>
        <v>45911</v>
      </c>
      <c r="I5939" s="115" t="str">
        <f>IFERROR(__xludf.DUMMYFUNCTION("""COMPUTED_VALUE"""),"16")</f>
        <v>16</v>
      </c>
      <c r="J5939" s="115"/>
      <c r="K5939" s="115"/>
    </row>
    <row r="5940">
      <c r="A5940" s="115" t="str">
        <f>IFERROR(__xludf.DUMMYFUNCTION("""COMPUTED_VALUE"""),"NORTH")</f>
        <v>NORTH</v>
      </c>
      <c r="B5940" s="115" t="str">
        <f>IFERROR(__xludf.DUMMYFUNCTION("""COMPUTED_VALUE"""),"Manoj Harsh")</f>
        <v>Manoj Harsh</v>
      </c>
      <c r="C5940" s="115" t="str">
        <f>IFERROR(__xludf.DUMMYFUNCTION("""COMPUTED_VALUE"""),"FLIPKART")</f>
        <v>FLIPKART</v>
      </c>
      <c r="D5940" s="115">
        <f>IFERROR(__xludf.DUMMYFUNCTION("""COMPUTED_VALUE"""),438535.0)</f>
        <v>438535</v>
      </c>
      <c r="E5940" s="115">
        <f>IFERROR(__xludf.DUMMYFUNCTION("""COMPUTED_VALUE"""),35908.0)</f>
        <v>35908</v>
      </c>
      <c r="F5940" s="115">
        <f>IFERROR(__xludf.DUMMYFUNCTION("""COMPUTED_VALUE"""),270400.0)</f>
        <v>270400</v>
      </c>
      <c r="G5940" s="115">
        <f>IFERROR(__xludf.DUMMYFUNCTION("""COMPUTED_VALUE"""),11553.0)</f>
        <v>11553</v>
      </c>
      <c r="H5940" s="116">
        <f>IFERROR(__xludf.DUMMYFUNCTION("""COMPUTED_VALUE"""),45911.0)</f>
        <v>45911</v>
      </c>
      <c r="I5940" s="115" t="str">
        <f>IFERROR(__xludf.DUMMYFUNCTION("""COMPUTED_VALUE"""),"16")</f>
        <v>16</v>
      </c>
      <c r="J5940" s="115"/>
      <c r="K5940" s="115"/>
    </row>
    <row r="5941">
      <c r="A5941" s="115" t="str">
        <f>IFERROR(__xludf.DUMMYFUNCTION("""COMPUTED_VALUE"""),"NORTH")</f>
        <v>NORTH</v>
      </c>
      <c r="B5941" s="115" t="str">
        <f>IFERROR(__xludf.DUMMYFUNCTION("""COMPUTED_VALUE"""),"Manoj Harsh")</f>
        <v>Manoj Harsh</v>
      </c>
      <c r="C5941" s="115" t="str">
        <f>IFERROR(__xludf.DUMMYFUNCTION("""COMPUTED_VALUE"""),"MYNTRA")</f>
        <v>MYNTRA</v>
      </c>
      <c r="D5941" s="115">
        <f>IFERROR(__xludf.DUMMYFUNCTION("""COMPUTED_VALUE"""),33691.0)</f>
        <v>33691</v>
      </c>
      <c r="E5941" s="115">
        <f>IFERROR(__xludf.DUMMYFUNCTION("""COMPUTED_VALUE"""),7324.0)</f>
        <v>7324</v>
      </c>
      <c r="F5941" s="115">
        <f>IFERROR(__xludf.DUMMYFUNCTION("""COMPUTED_VALUE"""),22752.0)</f>
        <v>22752</v>
      </c>
      <c r="G5941" s="115">
        <f>IFERROR(__xludf.DUMMYFUNCTION("""COMPUTED_VALUE"""),2854.0)</f>
        <v>2854</v>
      </c>
      <c r="H5941" s="116">
        <f>IFERROR(__xludf.DUMMYFUNCTION("""COMPUTED_VALUE"""),45911.0)</f>
        <v>45911</v>
      </c>
      <c r="I5941" s="115" t="str">
        <f>IFERROR(__xludf.DUMMYFUNCTION("""COMPUTED_VALUE"""),"16")</f>
        <v>16</v>
      </c>
      <c r="J5941" s="115"/>
      <c r="K5941" s="115"/>
    </row>
    <row r="5942">
      <c r="A5942" s="115" t="str">
        <f>IFERROR(__xludf.DUMMYFUNCTION("""COMPUTED_VALUE"""),"NORTH")</f>
        <v>NORTH</v>
      </c>
      <c r="B5942" s="115" t="str">
        <f>IFERROR(__xludf.DUMMYFUNCTION("""COMPUTED_VALUE"""),"Pradeep Kothari")</f>
        <v>Pradeep Kothari</v>
      </c>
      <c r="C5942" s="115" t="str">
        <f>IFERROR(__xludf.DUMMYFUNCTION("""COMPUTED_VALUE"""),"EXTERNAL")</f>
        <v>EXTERNAL</v>
      </c>
      <c r="D5942" s="115">
        <f>IFERROR(__xludf.DUMMYFUNCTION("""COMPUTED_VALUE"""),18502.0)</f>
        <v>18502</v>
      </c>
      <c r="E5942" s="115">
        <f>IFERROR(__xludf.DUMMYFUNCTION("""COMPUTED_VALUE"""),2038.0)</f>
        <v>2038</v>
      </c>
      <c r="F5942" s="115">
        <f>IFERROR(__xludf.DUMMYFUNCTION("""COMPUTED_VALUE"""),7098.0)</f>
        <v>7098</v>
      </c>
      <c r="G5942" s="115">
        <f>IFERROR(__xludf.DUMMYFUNCTION("""COMPUTED_VALUE"""),603.0)</f>
        <v>603</v>
      </c>
      <c r="H5942" s="116">
        <f>IFERROR(__xludf.DUMMYFUNCTION("""COMPUTED_VALUE"""),45911.0)</f>
        <v>45911</v>
      </c>
      <c r="I5942" s="115" t="str">
        <f>IFERROR(__xludf.DUMMYFUNCTION("""COMPUTED_VALUE"""),"16")</f>
        <v>16</v>
      </c>
      <c r="J5942" s="115"/>
      <c r="K5942" s="115"/>
    </row>
    <row r="5943">
      <c r="A5943" s="115" t="str">
        <f>IFERROR(__xludf.DUMMYFUNCTION("""COMPUTED_VALUE"""),"NORTH")</f>
        <v>NORTH</v>
      </c>
      <c r="B5943" s="115" t="str">
        <f>IFERROR(__xludf.DUMMYFUNCTION("""COMPUTED_VALUE"""),"Pradeep Kothari")</f>
        <v>Pradeep Kothari</v>
      </c>
      <c r="C5943" s="115" t="str">
        <f>IFERROR(__xludf.DUMMYFUNCTION("""COMPUTED_VALUE"""),"FLIPKART")</f>
        <v>FLIPKART</v>
      </c>
      <c r="D5943" s="115">
        <f>IFERROR(__xludf.DUMMYFUNCTION("""COMPUTED_VALUE"""),160933.0)</f>
        <v>160933</v>
      </c>
      <c r="E5943" s="115">
        <f>IFERROR(__xludf.DUMMYFUNCTION("""COMPUTED_VALUE"""),16516.0)</f>
        <v>16516</v>
      </c>
      <c r="F5943" s="115">
        <f>IFERROR(__xludf.DUMMYFUNCTION("""COMPUTED_VALUE"""),109243.0)</f>
        <v>109243</v>
      </c>
      <c r="G5943" s="115">
        <f>IFERROR(__xludf.DUMMYFUNCTION("""COMPUTED_VALUE"""),7217.0)</f>
        <v>7217</v>
      </c>
      <c r="H5943" s="116">
        <f>IFERROR(__xludf.DUMMYFUNCTION("""COMPUTED_VALUE"""),45911.0)</f>
        <v>45911</v>
      </c>
      <c r="I5943" s="115" t="str">
        <f>IFERROR(__xludf.DUMMYFUNCTION("""COMPUTED_VALUE"""),"16")</f>
        <v>16</v>
      </c>
      <c r="J5943" s="115"/>
      <c r="K5943" s="115"/>
    </row>
    <row r="5944">
      <c r="A5944" s="115" t="str">
        <f>IFERROR(__xludf.DUMMYFUNCTION("""COMPUTED_VALUE"""),"NORTH")</f>
        <v>NORTH</v>
      </c>
      <c r="B5944" s="115" t="str">
        <f>IFERROR(__xludf.DUMMYFUNCTION("""COMPUTED_VALUE"""),"Pradeep Kothari")</f>
        <v>Pradeep Kothari</v>
      </c>
      <c r="C5944" s="115" t="str">
        <f>IFERROR(__xludf.DUMMYFUNCTION("""COMPUTED_VALUE"""),"MYNTRA")</f>
        <v>MYNTRA</v>
      </c>
      <c r="D5944" s="115">
        <f>IFERROR(__xludf.DUMMYFUNCTION("""COMPUTED_VALUE"""),24115.0)</f>
        <v>24115</v>
      </c>
      <c r="E5944" s="115">
        <f>IFERROR(__xludf.DUMMYFUNCTION("""COMPUTED_VALUE"""),6224.0)</f>
        <v>6224</v>
      </c>
      <c r="F5944" s="115">
        <f>IFERROR(__xludf.DUMMYFUNCTION("""COMPUTED_VALUE"""),18015.0)</f>
        <v>18015</v>
      </c>
      <c r="G5944" s="115">
        <f>IFERROR(__xludf.DUMMYFUNCTION("""COMPUTED_VALUE"""),3229.0)</f>
        <v>3229</v>
      </c>
      <c r="H5944" s="116">
        <f>IFERROR(__xludf.DUMMYFUNCTION("""COMPUTED_VALUE"""),45911.0)</f>
        <v>45911</v>
      </c>
      <c r="I5944" s="115" t="str">
        <f>IFERROR(__xludf.DUMMYFUNCTION("""COMPUTED_VALUE"""),"16")</f>
        <v>16</v>
      </c>
      <c r="J5944" s="115"/>
      <c r="K5944" s="115"/>
    </row>
    <row r="5945">
      <c r="A5945" s="115" t="str">
        <f>IFERROR(__xludf.DUMMYFUNCTION("""COMPUTED_VALUE"""),"SOUTH")</f>
        <v>SOUTH</v>
      </c>
      <c r="B5945" s="115" t="str">
        <f>IFERROR(__xludf.DUMMYFUNCTION("""COMPUTED_VALUE"""),"Kandula Sampath")</f>
        <v>Kandula Sampath</v>
      </c>
      <c r="C5945" s="115" t="str">
        <f>IFERROR(__xludf.DUMMYFUNCTION("""COMPUTED_VALUE"""),"EXTERNAL")</f>
        <v>EXTERNAL</v>
      </c>
      <c r="D5945" s="115">
        <f>IFERROR(__xludf.DUMMYFUNCTION("""COMPUTED_VALUE"""),33750.0)</f>
        <v>33750</v>
      </c>
      <c r="E5945" s="115">
        <f>IFERROR(__xludf.DUMMYFUNCTION("""COMPUTED_VALUE"""),4878.0)</f>
        <v>4878</v>
      </c>
      <c r="F5945" s="115">
        <f>IFERROR(__xludf.DUMMYFUNCTION("""COMPUTED_VALUE"""),12206.0)</f>
        <v>12206</v>
      </c>
      <c r="G5945" s="115">
        <f>IFERROR(__xludf.DUMMYFUNCTION("""COMPUTED_VALUE"""),784.0)</f>
        <v>784</v>
      </c>
      <c r="H5945" s="116">
        <f>IFERROR(__xludf.DUMMYFUNCTION("""COMPUTED_VALUE"""),45911.0)</f>
        <v>45911</v>
      </c>
      <c r="I5945" s="115" t="str">
        <f>IFERROR(__xludf.DUMMYFUNCTION("""COMPUTED_VALUE"""),"16")</f>
        <v>16</v>
      </c>
      <c r="J5945" s="115"/>
      <c r="K5945" s="115"/>
    </row>
    <row r="5946">
      <c r="A5946" s="115" t="str">
        <f>IFERROR(__xludf.DUMMYFUNCTION("""COMPUTED_VALUE"""),"SOUTH")</f>
        <v>SOUTH</v>
      </c>
      <c r="B5946" s="115" t="str">
        <f>IFERROR(__xludf.DUMMYFUNCTION("""COMPUTED_VALUE"""),"Kandula Sampath")</f>
        <v>Kandula Sampath</v>
      </c>
      <c r="C5946" s="115" t="str">
        <f>IFERROR(__xludf.DUMMYFUNCTION("""COMPUTED_VALUE"""),"FLIPKART")</f>
        <v>FLIPKART</v>
      </c>
      <c r="D5946" s="115">
        <f>IFERROR(__xludf.DUMMYFUNCTION("""COMPUTED_VALUE"""),354197.0)</f>
        <v>354197</v>
      </c>
      <c r="E5946" s="115">
        <f>IFERROR(__xludf.DUMMYFUNCTION("""COMPUTED_VALUE"""),29258.0)</f>
        <v>29258</v>
      </c>
      <c r="F5946" s="115">
        <f>IFERROR(__xludf.DUMMYFUNCTION("""COMPUTED_VALUE"""),210066.0)</f>
        <v>210066</v>
      </c>
      <c r="G5946" s="115">
        <f>IFERROR(__xludf.DUMMYFUNCTION("""COMPUTED_VALUE"""),8058.0)</f>
        <v>8058</v>
      </c>
      <c r="H5946" s="116">
        <f>IFERROR(__xludf.DUMMYFUNCTION("""COMPUTED_VALUE"""),45911.0)</f>
        <v>45911</v>
      </c>
      <c r="I5946" s="115" t="str">
        <f>IFERROR(__xludf.DUMMYFUNCTION("""COMPUTED_VALUE"""),"16")</f>
        <v>16</v>
      </c>
      <c r="J5946" s="115"/>
      <c r="K5946" s="115"/>
    </row>
    <row r="5947">
      <c r="A5947" s="115" t="str">
        <f>IFERROR(__xludf.DUMMYFUNCTION("""COMPUTED_VALUE"""),"SOUTH")</f>
        <v>SOUTH</v>
      </c>
      <c r="B5947" s="115" t="str">
        <f>IFERROR(__xludf.DUMMYFUNCTION("""COMPUTED_VALUE"""),"Kandula Sampath")</f>
        <v>Kandula Sampath</v>
      </c>
      <c r="C5947" s="115" t="str">
        <f>IFERROR(__xludf.DUMMYFUNCTION("""COMPUTED_VALUE"""),"MYNTRA")</f>
        <v>MYNTRA</v>
      </c>
      <c r="D5947" s="115">
        <f>IFERROR(__xludf.DUMMYFUNCTION("""COMPUTED_VALUE"""),35841.0)</f>
        <v>35841</v>
      </c>
      <c r="E5947" s="115">
        <f>IFERROR(__xludf.DUMMYFUNCTION("""COMPUTED_VALUE"""),8873.0)</f>
        <v>8873</v>
      </c>
      <c r="F5947" s="115">
        <f>IFERROR(__xludf.DUMMYFUNCTION("""COMPUTED_VALUE"""),23275.0)</f>
        <v>23275</v>
      </c>
      <c r="G5947" s="115">
        <f>IFERROR(__xludf.DUMMYFUNCTION("""COMPUTED_VALUE"""),2664.0)</f>
        <v>2664</v>
      </c>
      <c r="H5947" s="116">
        <f>IFERROR(__xludf.DUMMYFUNCTION("""COMPUTED_VALUE"""),45911.0)</f>
        <v>45911</v>
      </c>
      <c r="I5947" s="115" t="str">
        <f>IFERROR(__xludf.DUMMYFUNCTION("""COMPUTED_VALUE"""),"16")</f>
        <v>16</v>
      </c>
      <c r="J5947" s="115"/>
      <c r="K5947" s="115"/>
    </row>
    <row r="5948">
      <c r="A5948" s="115" t="str">
        <f>IFERROR(__xludf.DUMMYFUNCTION("""COMPUTED_VALUE"""),"SOUTH")</f>
        <v>SOUTH</v>
      </c>
      <c r="B5948" s="115" t="str">
        <f>IFERROR(__xludf.DUMMYFUNCTION("""COMPUTED_VALUE"""),"Martin A")</f>
        <v>Martin A</v>
      </c>
      <c r="C5948" s="115" t="str">
        <f>IFERROR(__xludf.DUMMYFUNCTION("""COMPUTED_VALUE"""),"EXTERNAL")</f>
        <v>EXTERNAL</v>
      </c>
      <c r="D5948" s="115">
        <f>IFERROR(__xludf.DUMMYFUNCTION("""COMPUTED_VALUE"""),28682.0)</f>
        <v>28682</v>
      </c>
      <c r="E5948" s="115">
        <f>IFERROR(__xludf.DUMMYFUNCTION("""COMPUTED_VALUE"""),4149.0)</f>
        <v>4149</v>
      </c>
      <c r="F5948" s="115">
        <f>IFERROR(__xludf.DUMMYFUNCTION("""COMPUTED_VALUE"""),10552.0)</f>
        <v>10552</v>
      </c>
      <c r="G5948" s="115">
        <f>IFERROR(__xludf.DUMMYFUNCTION("""COMPUTED_VALUE"""),1303.0)</f>
        <v>1303</v>
      </c>
      <c r="H5948" s="116">
        <f>IFERROR(__xludf.DUMMYFUNCTION("""COMPUTED_VALUE"""),45911.0)</f>
        <v>45911</v>
      </c>
      <c r="I5948" s="115" t="str">
        <f>IFERROR(__xludf.DUMMYFUNCTION("""COMPUTED_VALUE"""),"16")</f>
        <v>16</v>
      </c>
      <c r="J5948" s="115"/>
      <c r="K5948" s="115"/>
    </row>
    <row r="5949">
      <c r="A5949" s="115" t="str">
        <f>IFERROR(__xludf.DUMMYFUNCTION("""COMPUTED_VALUE"""),"SOUTH")</f>
        <v>SOUTH</v>
      </c>
      <c r="B5949" s="115" t="str">
        <f>IFERROR(__xludf.DUMMYFUNCTION("""COMPUTED_VALUE"""),"Martin A")</f>
        <v>Martin A</v>
      </c>
      <c r="C5949" s="115" t="str">
        <f>IFERROR(__xludf.DUMMYFUNCTION("""COMPUTED_VALUE"""),"FLIPKART")</f>
        <v>FLIPKART</v>
      </c>
      <c r="D5949" s="115">
        <f>IFERROR(__xludf.DUMMYFUNCTION("""COMPUTED_VALUE"""),272317.0)</f>
        <v>272317</v>
      </c>
      <c r="E5949" s="115">
        <f>IFERROR(__xludf.DUMMYFUNCTION("""COMPUTED_VALUE"""),26766.0)</f>
        <v>26766</v>
      </c>
      <c r="F5949" s="115">
        <f>IFERROR(__xludf.DUMMYFUNCTION("""COMPUTED_VALUE"""),171338.0)</f>
        <v>171338</v>
      </c>
      <c r="G5949" s="115">
        <f>IFERROR(__xludf.DUMMYFUNCTION("""COMPUTED_VALUE"""),9789.0)</f>
        <v>9789</v>
      </c>
      <c r="H5949" s="116">
        <f>IFERROR(__xludf.DUMMYFUNCTION("""COMPUTED_VALUE"""),45911.0)</f>
        <v>45911</v>
      </c>
      <c r="I5949" s="115" t="str">
        <f>IFERROR(__xludf.DUMMYFUNCTION("""COMPUTED_VALUE"""),"16")</f>
        <v>16</v>
      </c>
      <c r="J5949" s="115"/>
      <c r="K5949" s="115"/>
    </row>
    <row r="5950">
      <c r="A5950" s="115" t="str">
        <f>IFERROR(__xludf.DUMMYFUNCTION("""COMPUTED_VALUE"""),"SOUTH")</f>
        <v>SOUTH</v>
      </c>
      <c r="B5950" s="115" t="str">
        <f>IFERROR(__xludf.DUMMYFUNCTION("""COMPUTED_VALUE"""),"Martin A")</f>
        <v>Martin A</v>
      </c>
      <c r="C5950" s="115" t="str">
        <f>IFERROR(__xludf.DUMMYFUNCTION("""COMPUTED_VALUE"""),"MYNTRA")</f>
        <v>MYNTRA</v>
      </c>
      <c r="D5950" s="115">
        <f>IFERROR(__xludf.DUMMYFUNCTION("""COMPUTED_VALUE"""),22442.0)</f>
        <v>22442</v>
      </c>
      <c r="E5950" s="115">
        <f>IFERROR(__xludf.DUMMYFUNCTION("""COMPUTED_VALUE"""),7255.0)</f>
        <v>7255</v>
      </c>
      <c r="F5950" s="115">
        <f>IFERROR(__xludf.DUMMYFUNCTION("""COMPUTED_VALUE"""),16126.0)</f>
        <v>16126</v>
      </c>
      <c r="G5950" s="115">
        <f>IFERROR(__xludf.DUMMYFUNCTION("""COMPUTED_VALUE"""),3035.0)</f>
        <v>3035</v>
      </c>
      <c r="H5950" s="116">
        <f>IFERROR(__xludf.DUMMYFUNCTION("""COMPUTED_VALUE"""),45911.0)</f>
        <v>45911</v>
      </c>
      <c r="I5950" s="115" t="str">
        <f>IFERROR(__xludf.DUMMYFUNCTION("""COMPUTED_VALUE"""),"16")</f>
        <v>16</v>
      </c>
      <c r="J5950" s="115"/>
      <c r="K5950" s="115"/>
    </row>
    <row r="5951">
      <c r="A5951" s="115" t="str">
        <f>IFERROR(__xludf.DUMMYFUNCTION("""COMPUTED_VALUE"""),"SOUTH")</f>
        <v>SOUTH</v>
      </c>
      <c r="B5951" s="115" t="str">
        <f>IFERROR(__xludf.DUMMYFUNCTION("""COMPUTED_VALUE"""),"Premkumar M")</f>
        <v>Premkumar M</v>
      </c>
      <c r="C5951" s="115" t="str">
        <f>IFERROR(__xludf.DUMMYFUNCTION("""COMPUTED_VALUE"""),"EXTERNAL")</f>
        <v>EXTERNAL</v>
      </c>
      <c r="D5951" s="115">
        <f>IFERROR(__xludf.DUMMYFUNCTION("""COMPUTED_VALUE"""),26132.0)</f>
        <v>26132</v>
      </c>
      <c r="E5951" s="115">
        <f>IFERROR(__xludf.DUMMYFUNCTION("""COMPUTED_VALUE"""),2102.0)</f>
        <v>2102</v>
      </c>
      <c r="F5951" s="115">
        <f>IFERROR(__xludf.DUMMYFUNCTION("""COMPUTED_VALUE"""),9414.0)</f>
        <v>9414</v>
      </c>
      <c r="G5951" s="115">
        <f>IFERROR(__xludf.DUMMYFUNCTION("""COMPUTED_VALUE"""),188.0)</f>
        <v>188</v>
      </c>
      <c r="H5951" s="116">
        <f>IFERROR(__xludf.DUMMYFUNCTION("""COMPUTED_VALUE"""),45911.0)</f>
        <v>45911</v>
      </c>
      <c r="I5951" s="115" t="str">
        <f>IFERROR(__xludf.DUMMYFUNCTION("""COMPUTED_VALUE"""),"16")</f>
        <v>16</v>
      </c>
      <c r="J5951" s="115"/>
      <c r="K5951" s="115"/>
    </row>
    <row r="5952">
      <c r="A5952" s="115" t="str">
        <f>IFERROR(__xludf.DUMMYFUNCTION("""COMPUTED_VALUE"""),"SOUTH")</f>
        <v>SOUTH</v>
      </c>
      <c r="B5952" s="115" t="str">
        <f>IFERROR(__xludf.DUMMYFUNCTION("""COMPUTED_VALUE"""),"Premkumar M")</f>
        <v>Premkumar M</v>
      </c>
      <c r="C5952" s="115" t="str">
        <f>IFERROR(__xludf.DUMMYFUNCTION("""COMPUTED_VALUE"""),"FLIPKART")</f>
        <v>FLIPKART</v>
      </c>
      <c r="D5952" s="115">
        <f>IFERROR(__xludf.DUMMYFUNCTION("""COMPUTED_VALUE"""),283133.0)</f>
        <v>283133</v>
      </c>
      <c r="E5952" s="115">
        <f>IFERROR(__xludf.DUMMYFUNCTION("""COMPUTED_VALUE"""),16903.0)</f>
        <v>16903</v>
      </c>
      <c r="F5952" s="115">
        <f>IFERROR(__xludf.DUMMYFUNCTION("""COMPUTED_VALUE"""),153444.0)</f>
        <v>153444</v>
      </c>
      <c r="G5952" s="115">
        <f>IFERROR(__xludf.DUMMYFUNCTION("""COMPUTED_VALUE"""),2605.0)</f>
        <v>2605</v>
      </c>
      <c r="H5952" s="116">
        <f>IFERROR(__xludf.DUMMYFUNCTION("""COMPUTED_VALUE"""),45911.0)</f>
        <v>45911</v>
      </c>
      <c r="I5952" s="115" t="str">
        <f>IFERROR(__xludf.DUMMYFUNCTION("""COMPUTED_VALUE"""),"16")</f>
        <v>16</v>
      </c>
      <c r="J5952" s="115"/>
      <c r="K5952" s="115"/>
    </row>
    <row r="5953">
      <c r="A5953" s="115" t="str">
        <f>IFERROR(__xludf.DUMMYFUNCTION("""COMPUTED_VALUE"""),"SOUTH")</f>
        <v>SOUTH</v>
      </c>
      <c r="B5953" s="115" t="str">
        <f>IFERROR(__xludf.DUMMYFUNCTION("""COMPUTED_VALUE"""),"Premkumar M")</f>
        <v>Premkumar M</v>
      </c>
      <c r="C5953" s="115" t="str">
        <f>IFERROR(__xludf.DUMMYFUNCTION("""COMPUTED_VALUE"""),"MYNTRA")</f>
        <v>MYNTRA</v>
      </c>
      <c r="D5953" s="115">
        <f>IFERROR(__xludf.DUMMYFUNCTION("""COMPUTED_VALUE"""),13828.0)</f>
        <v>13828</v>
      </c>
      <c r="E5953" s="115">
        <f>IFERROR(__xludf.DUMMYFUNCTION("""COMPUTED_VALUE"""),2781.0)</f>
        <v>2781</v>
      </c>
      <c r="F5953" s="115">
        <f>IFERROR(__xludf.DUMMYFUNCTION("""COMPUTED_VALUE"""),8440.0)</f>
        <v>8440</v>
      </c>
      <c r="G5953" s="115">
        <f>IFERROR(__xludf.DUMMYFUNCTION("""COMPUTED_VALUE"""),514.0)</f>
        <v>514</v>
      </c>
      <c r="H5953" s="116">
        <f>IFERROR(__xludf.DUMMYFUNCTION("""COMPUTED_VALUE"""),45911.0)</f>
        <v>45911</v>
      </c>
      <c r="I5953" s="115" t="str">
        <f>IFERROR(__xludf.DUMMYFUNCTION("""COMPUTED_VALUE"""),"16")</f>
        <v>16</v>
      </c>
      <c r="J5953" s="115"/>
      <c r="K5953" s="115"/>
    </row>
    <row r="5954">
      <c r="A5954" s="115" t="str">
        <f>IFERROR(__xludf.DUMMYFUNCTION("""COMPUTED_VALUE"""),"SOUTH")</f>
        <v>SOUTH</v>
      </c>
      <c r="B5954" s="115" t="str">
        <f>IFERROR(__xludf.DUMMYFUNCTION("""COMPUTED_VALUE"""),"Vineeth V")</f>
        <v>Vineeth V</v>
      </c>
      <c r="C5954" s="115" t="str">
        <f>IFERROR(__xludf.DUMMYFUNCTION("""COMPUTED_VALUE"""),"EXTERNAL")</f>
        <v>EXTERNAL</v>
      </c>
      <c r="D5954" s="115">
        <f>IFERROR(__xludf.DUMMYFUNCTION("""COMPUTED_VALUE"""),22062.0)</f>
        <v>22062</v>
      </c>
      <c r="E5954" s="115">
        <f>IFERROR(__xludf.DUMMYFUNCTION("""COMPUTED_VALUE"""),633.0)</f>
        <v>633</v>
      </c>
      <c r="F5954" s="115">
        <f>IFERROR(__xludf.DUMMYFUNCTION("""COMPUTED_VALUE"""),9283.0)</f>
        <v>9283</v>
      </c>
      <c r="G5954" s="115">
        <f>IFERROR(__xludf.DUMMYFUNCTION("""COMPUTED_VALUE"""),93.0)</f>
        <v>93</v>
      </c>
      <c r="H5954" s="116">
        <f>IFERROR(__xludf.DUMMYFUNCTION("""COMPUTED_VALUE"""),45911.0)</f>
        <v>45911</v>
      </c>
      <c r="I5954" s="115" t="str">
        <f>IFERROR(__xludf.DUMMYFUNCTION("""COMPUTED_VALUE"""),"16")</f>
        <v>16</v>
      </c>
      <c r="J5954" s="115"/>
      <c r="K5954" s="115"/>
    </row>
    <row r="5955">
      <c r="A5955" s="115" t="str">
        <f>IFERROR(__xludf.DUMMYFUNCTION("""COMPUTED_VALUE"""),"SOUTH")</f>
        <v>SOUTH</v>
      </c>
      <c r="B5955" s="115" t="str">
        <f>IFERROR(__xludf.DUMMYFUNCTION("""COMPUTED_VALUE"""),"Vineeth V")</f>
        <v>Vineeth V</v>
      </c>
      <c r="C5955" s="115" t="str">
        <f>IFERROR(__xludf.DUMMYFUNCTION("""COMPUTED_VALUE"""),"FLIPKART")</f>
        <v>FLIPKART</v>
      </c>
      <c r="D5955" s="115">
        <f>IFERROR(__xludf.DUMMYFUNCTION("""COMPUTED_VALUE"""),216696.0)</f>
        <v>216696</v>
      </c>
      <c r="E5955" s="115">
        <f>IFERROR(__xludf.DUMMYFUNCTION("""COMPUTED_VALUE"""),13156.0)</f>
        <v>13156</v>
      </c>
      <c r="F5955" s="115">
        <f>IFERROR(__xludf.DUMMYFUNCTION("""COMPUTED_VALUE"""),138746.0)</f>
        <v>138746</v>
      </c>
      <c r="G5955" s="115">
        <f>IFERROR(__xludf.DUMMYFUNCTION("""COMPUTED_VALUE"""),2509.0)</f>
        <v>2509</v>
      </c>
      <c r="H5955" s="116">
        <f>IFERROR(__xludf.DUMMYFUNCTION("""COMPUTED_VALUE"""),45911.0)</f>
        <v>45911</v>
      </c>
      <c r="I5955" s="115" t="str">
        <f>IFERROR(__xludf.DUMMYFUNCTION("""COMPUTED_VALUE"""),"16")</f>
        <v>16</v>
      </c>
      <c r="J5955" s="115"/>
      <c r="K5955" s="115"/>
    </row>
    <row r="5956">
      <c r="A5956" s="115" t="str">
        <f>IFERROR(__xludf.DUMMYFUNCTION("""COMPUTED_VALUE"""),"SOUTH")</f>
        <v>SOUTH</v>
      </c>
      <c r="B5956" s="115" t="str">
        <f>IFERROR(__xludf.DUMMYFUNCTION("""COMPUTED_VALUE"""),"Vineeth V")</f>
        <v>Vineeth V</v>
      </c>
      <c r="C5956" s="115" t="str">
        <f>IFERROR(__xludf.DUMMYFUNCTION("""COMPUTED_VALUE"""),"MYNTRA")</f>
        <v>MYNTRA</v>
      </c>
      <c r="D5956" s="115">
        <f>IFERROR(__xludf.DUMMYFUNCTION("""COMPUTED_VALUE"""),15683.0)</f>
        <v>15683</v>
      </c>
      <c r="E5956" s="115">
        <f>IFERROR(__xludf.DUMMYFUNCTION("""COMPUTED_VALUE"""),3285.0)</f>
        <v>3285</v>
      </c>
      <c r="F5956" s="115">
        <f>IFERROR(__xludf.DUMMYFUNCTION("""COMPUTED_VALUE"""),10573.0)</f>
        <v>10573</v>
      </c>
      <c r="G5956" s="115">
        <f>IFERROR(__xludf.DUMMYFUNCTION("""COMPUTED_VALUE"""),675.0)</f>
        <v>675</v>
      </c>
      <c r="H5956" s="116">
        <f>IFERROR(__xludf.DUMMYFUNCTION("""COMPUTED_VALUE"""),45911.0)</f>
        <v>45911</v>
      </c>
      <c r="I5956" s="115" t="str">
        <f>IFERROR(__xludf.DUMMYFUNCTION("""COMPUTED_VALUE"""),"16")</f>
        <v>16</v>
      </c>
      <c r="J5956" s="115"/>
      <c r="K5956" s="115"/>
    </row>
    <row r="5957">
      <c r="A5957" s="115" t="str">
        <f>IFERROR(__xludf.DUMMYFUNCTION("""COMPUTED_VALUE"""),"WEST")</f>
        <v>WEST</v>
      </c>
      <c r="B5957" s="115" t="str">
        <f>IFERROR(__xludf.DUMMYFUNCTION("""COMPUTED_VALUE"""),"Ashish Jakar")</f>
        <v>Ashish Jakar</v>
      </c>
      <c r="C5957" s="115" t="str">
        <f>IFERROR(__xludf.DUMMYFUNCTION("""COMPUTED_VALUE"""),"EXTERNAL")</f>
        <v>EXTERNAL</v>
      </c>
      <c r="D5957" s="115">
        <f>IFERROR(__xludf.DUMMYFUNCTION("""COMPUTED_VALUE"""),58760.0)</f>
        <v>58760</v>
      </c>
      <c r="E5957" s="115">
        <f>IFERROR(__xludf.DUMMYFUNCTION("""COMPUTED_VALUE"""),7350.0)</f>
        <v>7350</v>
      </c>
      <c r="F5957" s="115">
        <f>IFERROR(__xludf.DUMMYFUNCTION("""COMPUTED_VALUE"""),19240.0)</f>
        <v>19240</v>
      </c>
      <c r="G5957" s="115">
        <f>IFERROR(__xludf.DUMMYFUNCTION("""COMPUTED_VALUE"""),1804.0)</f>
        <v>1804</v>
      </c>
      <c r="H5957" s="116">
        <f>IFERROR(__xludf.DUMMYFUNCTION("""COMPUTED_VALUE"""),45911.0)</f>
        <v>45911</v>
      </c>
      <c r="I5957" s="115" t="str">
        <f>IFERROR(__xludf.DUMMYFUNCTION("""COMPUTED_VALUE"""),"16")</f>
        <v>16</v>
      </c>
      <c r="J5957" s="115"/>
      <c r="K5957" s="115"/>
    </row>
    <row r="5958">
      <c r="A5958" s="115" t="str">
        <f>IFERROR(__xludf.DUMMYFUNCTION("""COMPUTED_VALUE"""),"WEST")</f>
        <v>WEST</v>
      </c>
      <c r="B5958" s="115" t="str">
        <f>IFERROR(__xludf.DUMMYFUNCTION("""COMPUTED_VALUE"""),"Ashish Jakar")</f>
        <v>Ashish Jakar</v>
      </c>
      <c r="C5958" s="115" t="str">
        <f>IFERROR(__xludf.DUMMYFUNCTION("""COMPUTED_VALUE"""),"FLIPKART")</f>
        <v>FLIPKART</v>
      </c>
      <c r="D5958" s="115">
        <f>IFERROR(__xludf.DUMMYFUNCTION("""COMPUTED_VALUE"""),392721.0)</f>
        <v>392721</v>
      </c>
      <c r="E5958" s="115">
        <f>IFERROR(__xludf.DUMMYFUNCTION("""COMPUTED_VALUE"""),33778.0)</f>
        <v>33778</v>
      </c>
      <c r="F5958" s="115">
        <f>IFERROR(__xludf.DUMMYFUNCTION("""COMPUTED_VALUE"""),224979.0)</f>
        <v>224979</v>
      </c>
      <c r="G5958" s="115">
        <f>IFERROR(__xludf.DUMMYFUNCTION("""COMPUTED_VALUE"""),11116.0)</f>
        <v>11116</v>
      </c>
      <c r="H5958" s="116">
        <f>IFERROR(__xludf.DUMMYFUNCTION("""COMPUTED_VALUE"""),45911.0)</f>
        <v>45911</v>
      </c>
      <c r="I5958" s="115" t="str">
        <f>IFERROR(__xludf.DUMMYFUNCTION("""COMPUTED_VALUE"""),"16")</f>
        <v>16</v>
      </c>
      <c r="J5958" s="115"/>
      <c r="K5958" s="115"/>
    </row>
    <row r="5959">
      <c r="A5959" s="115" t="str">
        <f>IFERROR(__xludf.DUMMYFUNCTION("""COMPUTED_VALUE"""),"WEST")</f>
        <v>WEST</v>
      </c>
      <c r="B5959" s="115" t="str">
        <f>IFERROR(__xludf.DUMMYFUNCTION("""COMPUTED_VALUE"""),"Ashish Jakar")</f>
        <v>Ashish Jakar</v>
      </c>
      <c r="C5959" s="115" t="str">
        <f>IFERROR(__xludf.DUMMYFUNCTION("""COMPUTED_VALUE"""),"MYNTRA")</f>
        <v>MYNTRA</v>
      </c>
      <c r="D5959" s="115">
        <f>IFERROR(__xludf.DUMMYFUNCTION("""COMPUTED_VALUE"""),43820.0)</f>
        <v>43820</v>
      </c>
      <c r="E5959" s="115">
        <f>IFERROR(__xludf.DUMMYFUNCTION("""COMPUTED_VALUE"""),11153.0)</f>
        <v>11153</v>
      </c>
      <c r="F5959" s="115">
        <f>IFERROR(__xludf.DUMMYFUNCTION("""COMPUTED_VALUE"""),29210.0)</f>
        <v>29210</v>
      </c>
      <c r="G5959" s="115">
        <f>IFERROR(__xludf.DUMMYFUNCTION("""COMPUTED_VALUE"""),4303.0)</f>
        <v>4303</v>
      </c>
      <c r="H5959" s="116">
        <f>IFERROR(__xludf.DUMMYFUNCTION("""COMPUTED_VALUE"""),45911.0)</f>
        <v>45911</v>
      </c>
      <c r="I5959" s="115" t="str">
        <f>IFERROR(__xludf.DUMMYFUNCTION("""COMPUTED_VALUE"""),"16")</f>
        <v>16</v>
      </c>
      <c r="J5959" s="115"/>
      <c r="K5959" s="115"/>
    </row>
    <row r="5960">
      <c r="A5960" s="115" t="str">
        <f>IFERROR(__xludf.DUMMYFUNCTION("""COMPUTED_VALUE"""),"WEST")</f>
        <v>WEST</v>
      </c>
      <c r="B5960" s="115" t="str">
        <f>IFERROR(__xludf.DUMMYFUNCTION("""COMPUTED_VALUE"""),"Ashvani Bhatt")</f>
        <v>Ashvani Bhatt</v>
      </c>
      <c r="C5960" s="115" t="str">
        <f>IFERROR(__xludf.DUMMYFUNCTION("""COMPUTED_VALUE"""),"EXTERNAL")</f>
        <v>EXTERNAL</v>
      </c>
      <c r="D5960" s="115">
        <f>IFERROR(__xludf.DUMMYFUNCTION("""COMPUTED_VALUE"""),39237.0)</f>
        <v>39237</v>
      </c>
      <c r="E5960" s="115">
        <f>IFERROR(__xludf.DUMMYFUNCTION("""COMPUTED_VALUE"""),4121.0)</f>
        <v>4121</v>
      </c>
      <c r="F5960" s="115">
        <f>IFERROR(__xludf.DUMMYFUNCTION("""COMPUTED_VALUE"""),14045.0)</f>
        <v>14045</v>
      </c>
      <c r="G5960" s="115">
        <f>IFERROR(__xludf.DUMMYFUNCTION("""COMPUTED_VALUE"""),756.0)</f>
        <v>756</v>
      </c>
      <c r="H5960" s="116">
        <f>IFERROR(__xludf.DUMMYFUNCTION("""COMPUTED_VALUE"""),45911.0)</f>
        <v>45911</v>
      </c>
      <c r="I5960" s="115" t="str">
        <f>IFERROR(__xludf.DUMMYFUNCTION("""COMPUTED_VALUE"""),"16")</f>
        <v>16</v>
      </c>
      <c r="J5960" s="115"/>
      <c r="K5960" s="115"/>
    </row>
    <row r="5961">
      <c r="A5961" s="115" t="str">
        <f>IFERROR(__xludf.DUMMYFUNCTION("""COMPUTED_VALUE"""),"WEST")</f>
        <v>WEST</v>
      </c>
      <c r="B5961" s="115" t="str">
        <f>IFERROR(__xludf.DUMMYFUNCTION("""COMPUTED_VALUE"""),"Ashvani Bhatt")</f>
        <v>Ashvani Bhatt</v>
      </c>
      <c r="C5961" s="115" t="str">
        <f>IFERROR(__xludf.DUMMYFUNCTION("""COMPUTED_VALUE"""),"FLIPKART")</f>
        <v>FLIPKART</v>
      </c>
      <c r="D5961" s="115">
        <f>IFERROR(__xludf.DUMMYFUNCTION("""COMPUTED_VALUE"""),304671.0)</f>
        <v>304671</v>
      </c>
      <c r="E5961" s="115">
        <f>IFERROR(__xludf.DUMMYFUNCTION("""COMPUTED_VALUE"""),27364.0)</f>
        <v>27364</v>
      </c>
      <c r="F5961" s="115">
        <f>IFERROR(__xludf.DUMMYFUNCTION("""COMPUTED_VALUE"""),196302.0)</f>
        <v>196302</v>
      </c>
      <c r="G5961" s="115">
        <f>IFERROR(__xludf.DUMMYFUNCTION("""COMPUTED_VALUE"""),9409.0)</f>
        <v>9409</v>
      </c>
      <c r="H5961" s="116">
        <f>IFERROR(__xludf.DUMMYFUNCTION("""COMPUTED_VALUE"""),45911.0)</f>
        <v>45911</v>
      </c>
      <c r="I5961" s="115" t="str">
        <f>IFERROR(__xludf.DUMMYFUNCTION("""COMPUTED_VALUE"""),"16")</f>
        <v>16</v>
      </c>
      <c r="J5961" s="115"/>
      <c r="K5961" s="115"/>
    </row>
    <row r="5962">
      <c r="A5962" s="115" t="str">
        <f>IFERROR(__xludf.DUMMYFUNCTION("""COMPUTED_VALUE"""),"WEST")</f>
        <v>WEST</v>
      </c>
      <c r="B5962" s="115" t="str">
        <f>IFERROR(__xludf.DUMMYFUNCTION("""COMPUTED_VALUE"""),"Ashvani Bhatt")</f>
        <v>Ashvani Bhatt</v>
      </c>
      <c r="C5962" s="115" t="str">
        <f>IFERROR(__xludf.DUMMYFUNCTION("""COMPUTED_VALUE"""),"MYNTRA")</f>
        <v>MYNTRA</v>
      </c>
      <c r="D5962" s="115">
        <f>IFERROR(__xludf.DUMMYFUNCTION("""COMPUTED_VALUE"""),35837.0)</f>
        <v>35837</v>
      </c>
      <c r="E5962" s="115">
        <f>IFERROR(__xludf.DUMMYFUNCTION("""COMPUTED_VALUE"""),9269.0)</f>
        <v>9269</v>
      </c>
      <c r="F5962" s="115">
        <f>IFERROR(__xludf.DUMMYFUNCTION("""COMPUTED_VALUE"""),26256.0)</f>
        <v>26256</v>
      </c>
      <c r="G5962" s="115">
        <f>IFERROR(__xludf.DUMMYFUNCTION("""COMPUTED_VALUE"""),3940.0)</f>
        <v>3940</v>
      </c>
      <c r="H5962" s="116">
        <f>IFERROR(__xludf.DUMMYFUNCTION("""COMPUTED_VALUE"""),45911.0)</f>
        <v>45911</v>
      </c>
      <c r="I5962" s="115" t="str">
        <f>IFERROR(__xludf.DUMMYFUNCTION("""COMPUTED_VALUE"""),"16")</f>
        <v>16</v>
      </c>
      <c r="J5962" s="115"/>
      <c r="K5962" s="115"/>
    </row>
    <row r="5963">
      <c r="A5963" s="115"/>
      <c r="B5963" s="115"/>
      <c r="C5963" s="115" t="str">
        <f>IFERROR(__xludf.DUMMYFUNCTION("""COMPUTED_VALUE"""),"EXTERNAL")</f>
        <v>EXTERNAL</v>
      </c>
      <c r="D5963" s="115">
        <f>IFERROR(__xludf.DUMMYFUNCTION("""COMPUTED_VALUE"""),937.0)</f>
        <v>937</v>
      </c>
      <c r="E5963" s="115">
        <f>IFERROR(__xludf.DUMMYFUNCTION("""COMPUTED_VALUE"""),361.0)</f>
        <v>361</v>
      </c>
      <c r="F5963" s="115">
        <f>IFERROR(__xludf.DUMMYFUNCTION("""COMPUTED_VALUE"""),344.0)</f>
        <v>344</v>
      </c>
      <c r="G5963" s="115">
        <f>IFERROR(__xludf.DUMMYFUNCTION("""COMPUTED_VALUE"""),103.0)</f>
        <v>103</v>
      </c>
      <c r="H5963" s="116">
        <f>IFERROR(__xludf.DUMMYFUNCTION("""COMPUTED_VALUE"""),45911.0)</f>
        <v>45911</v>
      </c>
      <c r="I5963" s="115" t="str">
        <f>IFERROR(__xludf.DUMMYFUNCTION("""COMPUTED_VALUE"""),"16")</f>
        <v>16</v>
      </c>
      <c r="J5963" s="115"/>
      <c r="K5963" s="115"/>
    </row>
    <row r="5964">
      <c r="A5964" s="115"/>
      <c r="B5964" s="115"/>
      <c r="C5964" s="115" t="str">
        <f>IFERROR(__xludf.DUMMYFUNCTION("""COMPUTED_VALUE"""),"FLIPKART")</f>
        <v>FLIPKART</v>
      </c>
      <c r="D5964" s="115">
        <f>IFERROR(__xludf.DUMMYFUNCTION("""COMPUTED_VALUE"""),11138.0)</f>
        <v>11138</v>
      </c>
      <c r="E5964" s="115">
        <f>IFERROR(__xludf.DUMMYFUNCTION("""COMPUTED_VALUE"""),1101.0)</f>
        <v>1101</v>
      </c>
      <c r="F5964" s="115">
        <f>IFERROR(__xludf.DUMMYFUNCTION("""COMPUTED_VALUE"""),5917.0)</f>
        <v>5917</v>
      </c>
      <c r="G5964" s="115">
        <f>IFERROR(__xludf.DUMMYFUNCTION("""COMPUTED_VALUE"""),345.0)</f>
        <v>345</v>
      </c>
      <c r="H5964" s="116">
        <f>IFERROR(__xludf.DUMMYFUNCTION("""COMPUTED_VALUE"""),45911.0)</f>
        <v>45911</v>
      </c>
      <c r="I5964" s="115" t="str">
        <f>IFERROR(__xludf.DUMMYFUNCTION("""COMPUTED_VALUE"""),"16")</f>
        <v>16</v>
      </c>
      <c r="J5964" s="115"/>
      <c r="K5964" s="115"/>
    </row>
    <row r="5965">
      <c r="A5965" s="115"/>
      <c r="B5965" s="115"/>
      <c r="C5965" s="115" t="str">
        <f>IFERROR(__xludf.DUMMYFUNCTION("""COMPUTED_VALUE"""),"MYNTRA")</f>
        <v>MYNTRA</v>
      </c>
      <c r="D5965" s="115">
        <f>IFERROR(__xludf.DUMMYFUNCTION("""COMPUTED_VALUE"""),1263.0)</f>
        <v>1263</v>
      </c>
      <c r="E5965" s="115">
        <f>IFERROR(__xludf.DUMMYFUNCTION("""COMPUTED_VALUE"""),314.0)</f>
        <v>314</v>
      </c>
      <c r="F5965" s="115">
        <f>IFERROR(__xludf.DUMMYFUNCTION("""COMPUTED_VALUE"""),827.0)</f>
        <v>827</v>
      </c>
      <c r="G5965" s="115">
        <f>IFERROR(__xludf.DUMMYFUNCTION("""COMPUTED_VALUE"""),123.0)</f>
        <v>123</v>
      </c>
      <c r="H5965" s="116">
        <f>IFERROR(__xludf.DUMMYFUNCTION("""COMPUTED_VALUE"""),45911.0)</f>
        <v>45911</v>
      </c>
      <c r="I5965" s="115" t="str">
        <f>IFERROR(__xludf.DUMMYFUNCTION("""COMPUTED_VALUE"""),"16")</f>
        <v>16</v>
      </c>
      <c r="J5965" s="115"/>
      <c r="K5965" s="115"/>
    </row>
    <row r="5966">
      <c r="A5966" s="115" t="str">
        <f>IFERROR(__xludf.DUMMYFUNCTION("""COMPUTED_VALUE"""),"EAST")</f>
        <v>EAST</v>
      </c>
      <c r="B5966" s="115" t="str">
        <f>IFERROR(__xludf.DUMMYFUNCTION("""COMPUTED_VALUE"""),"Ashish Ranjan")</f>
        <v>Ashish Ranjan</v>
      </c>
      <c r="C5966" s="115" t="str">
        <f>IFERROR(__xludf.DUMMYFUNCTION("""COMPUTED_VALUE"""),"EXTERNAL")</f>
        <v>EXTERNAL</v>
      </c>
      <c r="D5966" s="115">
        <f>IFERROR(__xludf.DUMMYFUNCTION("""COMPUTED_VALUE"""),36982.0)</f>
        <v>36982</v>
      </c>
      <c r="E5966" s="115">
        <f>IFERROR(__xludf.DUMMYFUNCTION("""COMPUTED_VALUE"""),4122.0)</f>
        <v>4122</v>
      </c>
      <c r="F5966" s="115">
        <f>IFERROR(__xludf.DUMMYFUNCTION("""COMPUTED_VALUE"""),18582.0)</f>
        <v>18582</v>
      </c>
      <c r="G5966" s="115">
        <f>IFERROR(__xludf.DUMMYFUNCTION("""COMPUTED_VALUE"""),1293.0)</f>
        <v>1293</v>
      </c>
      <c r="H5966" s="116">
        <f>IFERROR(__xludf.DUMMYFUNCTION("""COMPUTED_VALUE"""),45911.0)</f>
        <v>45911</v>
      </c>
      <c r="I5966" s="115" t="str">
        <f>IFERROR(__xludf.DUMMYFUNCTION("""COMPUTED_VALUE"""),"17")</f>
        <v>17</v>
      </c>
      <c r="J5966" s="115"/>
      <c r="K5966" s="115"/>
    </row>
    <row r="5967">
      <c r="A5967" s="115" t="str">
        <f>IFERROR(__xludf.DUMMYFUNCTION("""COMPUTED_VALUE"""),"EAST")</f>
        <v>EAST</v>
      </c>
      <c r="B5967" s="115" t="str">
        <f>IFERROR(__xludf.DUMMYFUNCTION("""COMPUTED_VALUE"""),"Ashish Ranjan")</f>
        <v>Ashish Ranjan</v>
      </c>
      <c r="C5967" s="115" t="str">
        <f>IFERROR(__xludf.DUMMYFUNCTION("""COMPUTED_VALUE"""),"FLIPKART")</f>
        <v>FLIPKART</v>
      </c>
      <c r="D5967" s="115">
        <f>IFERROR(__xludf.DUMMYFUNCTION("""COMPUTED_VALUE"""),656646.0)</f>
        <v>656646</v>
      </c>
      <c r="E5967" s="115">
        <f>IFERROR(__xludf.DUMMYFUNCTION("""COMPUTED_VALUE"""),61239.0)</f>
        <v>61239</v>
      </c>
      <c r="F5967" s="115">
        <f>IFERROR(__xludf.DUMMYFUNCTION("""COMPUTED_VALUE"""),525834.0)</f>
        <v>525834</v>
      </c>
      <c r="G5967" s="115">
        <f>IFERROR(__xludf.DUMMYFUNCTION("""COMPUTED_VALUE"""),32485.0)</f>
        <v>32485</v>
      </c>
      <c r="H5967" s="116">
        <f>IFERROR(__xludf.DUMMYFUNCTION("""COMPUTED_VALUE"""),45911.0)</f>
        <v>45911</v>
      </c>
      <c r="I5967" s="115" t="str">
        <f>IFERROR(__xludf.DUMMYFUNCTION("""COMPUTED_VALUE"""),"17")</f>
        <v>17</v>
      </c>
      <c r="J5967" s="115"/>
      <c r="K5967" s="115"/>
    </row>
    <row r="5968">
      <c r="A5968" s="115" t="str">
        <f>IFERROR(__xludf.DUMMYFUNCTION("""COMPUTED_VALUE"""),"EAST")</f>
        <v>EAST</v>
      </c>
      <c r="B5968" s="115" t="str">
        <f>IFERROR(__xludf.DUMMYFUNCTION("""COMPUTED_VALUE"""),"Ashish Ranjan")</f>
        <v>Ashish Ranjan</v>
      </c>
      <c r="C5968" s="115" t="str">
        <f>IFERROR(__xludf.DUMMYFUNCTION("""COMPUTED_VALUE"""),"MYNTRA")</f>
        <v>MYNTRA</v>
      </c>
      <c r="D5968" s="115">
        <f>IFERROR(__xludf.DUMMYFUNCTION("""COMPUTED_VALUE"""),65372.0)</f>
        <v>65372</v>
      </c>
      <c r="E5968" s="115">
        <f>IFERROR(__xludf.DUMMYFUNCTION("""COMPUTED_VALUE"""),15649.0)</f>
        <v>15649</v>
      </c>
      <c r="F5968" s="115">
        <f>IFERROR(__xludf.DUMMYFUNCTION("""COMPUTED_VALUE"""),52769.0)</f>
        <v>52769</v>
      </c>
      <c r="G5968" s="115">
        <f>IFERROR(__xludf.DUMMYFUNCTION("""COMPUTED_VALUE"""),8277.0)</f>
        <v>8277</v>
      </c>
      <c r="H5968" s="116">
        <f>IFERROR(__xludf.DUMMYFUNCTION("""COMPUTED_VALUE"""),45911.0)</f>
        <v>45911</v>
      </c>
      <c r="I5968" s="115" t="str">
        <f>IFERROR(__xludf.DUMMYFUNCTION("""COMPUTED_VALUE"""),"17")</f>
        <v>17</v>
      </c>
      <c r="J5968" s="115"/>
      <c r="K5968" s="115"/>
    </row>
    <row r="5969">
      <c r="A5969" s="115" t="str">
        <f>IFERROR(__xludf.DUMMYFUNCTION("""COMPUTED_VALUE"""),"EAST")</f>
        <v>EAST</v>
      </c>
      <c r="B5969" s="115" t="str">
        <f>IFERROR(__xludf.DUMMYFUNCTION("""COMPUTED_VALUE"""),"Girish Chand")</f>
        <v>Girish Chand</v>
      </c>
      <c r="C5969" s="115" t="str">
        <f>IFERROR(__xludf.DUMMYFUNCTION("""COMPUTED_VALUE"""),"EXTERNAL")</f>
        <v>EXTERNAL</v>
      </c>
      <c r="D5969" s="115">
        <f>IFERROR(__xludf.DUMMYFUNCTION("""COMPUTED_VALUE"""),20975.0)</f>
        <v>20975</v>
      </c>
      <c r="E5969" s="115">
        <f>IFERROR(__xludf.DUMMYFUNCTION("""COMPUTED_VALUE"""),2469.0)</f>
        <v>2469</v>
      </c>
      <c r="F5969" s="115">
        <f>IFERROR(__xludf.DUMMYFUNCTION("""COMPUTED_VALUE"""),8131.0)</f>
        <v>8131</v>
      </c>
      <c r="G5969" s="115">
        <f>IFERROR(__xludf.DUMMYFUNCTION("""COMPUTED_VALUE"""),469.0)</f>
        <v>469</v>
      </c>
      <c r="H5969" s="116">
        <f>IFERROR(__xludf.DUMMYFUNCTION("""COMPUTED_VALUE"""),45911.0)</f>
        <v>45911</v>
      </c>
      <c r="I5969" s="115" t="str">
        <f>IFERROR(__xludf.DUMMYFUNCTION("""COMPUTED_VALUE"""),"17")</f>
        <v>17</v>
      </c>
      <c r="J5969" s="115"/>
      <c r="K5969" s="115"/>
    </row>
    <row r="5970">
      <c r="A5970" s="115" t="str">
        <f>IFERROR(__xludf.DUMMYFUNCTION("""COMPUTED_VALUE"""),"EAST")</f>
        <v>EAST</v>
      </c>
      <c r="B5970" s="115" t="str">
        <f>IFERROR(__xludf.DUMMYFUNCTION("""COMPUTED_VALUE"""),"Girish Chand")</f>
        <v>Girish Chand</v>
      </c>
      <c r="C5970" s="115" t="str">
        <f>IFERROR(__xludf.DUMMYFUNCTION("""COMPUTED_VALUE"""),"FLIPKART")</f>
        <v>FLIPKART</v>
      </c>
      <c r="D5970" s="115">
        <f>IFERROR(__xludf.DUMMYFUNCTION("""COMPUTED_VALUE"""),419085.0)</f>
        <v>419085</v>
      </c>
      <c r="E5970" s="115">
        <f>IFERROR(__xludf.DUMMYFUNCTION("""COMPUTED_VALUE"""),36831.0)</f>
        <v>36831</v>
      </c>
      <c r="F5970" s="115">
        <f>IFERROR(__xludf.DUMMYFUNCTION("""COMPUTED_VALUE"""),289313.0)</f>
        <v>289313</v>
      </c>
      <c r="G5970" s="115">
        <f>IFERROR(__xludf.DUMMYFUNCTION("""COMPUTED_VALUE"""),15707.0)</f>
        <v>15707</v>
      </c>
      <c r="H5970" s="116">
        <f>IFERROR(__xludf.DUMMYFUNCTION("""COMPUTED_VALUE"""),45911.0)</f>
        <v>45911</v>
      </c>
      <c r="I5970" s="115" t="str">
        <f>IFERROR(__xludf.DUMMYFUNCTION("""COMPUTED_VALUE"""),"17")</f>
        <v>17</v>
      </c>
      <c r="J5970" s="115"/>
      <c r="K5970" s="115"/>
    </row>
    <row r="5971">
      <c r="A5971" s="115" t="str">
        <f>IFERROR(__xludf.DUMMYFUNCTION("""COMPUTED_VALUE"""),"EAST")</f>
        <v>EAST</v>
      </c>
      <c r="B5971" s="115" t="str">
        <f>IFERROR(__xludf.DUMMYFUNCTION("""COMPUTED_VALUE"""),"Girish Chand")</f>
        <v>Girish Chand</v>
      </c>
      <c r="C5971" s="115" t="str">
        <f>IFERROR(__xludf.DUMMYFUNCTION("""COMPUTED_VALUE"""),"MYNTRA")</f>
        <v>MYNTRA</v>
      </c>
      <c r="D5971" s="115">
        <f>IFERROR(__xludf.DUMMYFUNCTION("""COMPUTED_VALUE"""),32961.0)</f>
        <v>32961</v>
      </c>
      <c r="E5971" s="115">
        <f>IFERROR(__xludf.DUMMYFUNCTION("""COMPUTED_VALUE"""),7645.0)</f>
        <v>7645</v>
      </c>
      <c r="F5971" s="115">
        <f>IFERROR(__xludf.DUMMYFUNCTION("""COMPUTED_VALUE"""),23850.0)</f>
        <v>23850</v>
      </c>
      <c r="G5971" s="115">
        <f>IFERROR(__xludf.DUMMYFUNCTION("""COMPUTED_VALUE"""),3528.0)</f>
        <v>3528</v>
      </c>
      <c r="H5971" s="116">
        <f>IFERROR(__xludf.DUMMYFUNCTION("""COMPUTED_VALUE"""),45911.0)</f>
        <v>45911</v>
      </c>
      <c r="I5971" s="115" t="str">
        <f>IFERROR(__xludf.DUMMYFUNCTION("""COMPUTED_VALUE"""),"17")</f>
        <v>17</v>
      </c>
      <c r="J5971" s="115"/>
      <c r="K5971" s="115"/>
    </row>
    <row r="5972">
      <c r="A5972" s="115" t="str">
        <f>IFERROR(__xludf.DUMMYFUNCTION("""COMPUTED_VALUE"""),"EAST")</f>
        <v>EAST</v>
      </c>
      <c r="B5972" s="115" t="str">
        <f>IFERROR(__xludf.DUMMYFUNCTION("""COMPUTED_VALUE"""),"Parag Kashyap")</f>
        <v>Parag Kashyap</v>
      </c>
      <c r="C5972" s="115" t="str">
        <f>IFERROR(__xludf.DUMMYFUNCTION("""COMPUTED_VALUE"""),"EXTERNAL")</f>
        <v>EXTERNAL</v>
      </c>
      <c r="D5972" s="115">
        <f>IFERROR(__xludf.DUMMYFUNCTION("""COMPUTED_VALUE"""),16042.0)</f>
        <v>16042</v>
      </c>
      <c r="E5972" s="115">
        <f>IFERROR(__xludf.DUMMYFUNCTION("""COMPUTED_VALUE"""),1134.0)</f>
        <v>1134</v>
      </c>
      <c r="F5972" s="115">
        <f>IFERROR(__xludf.DUMMYFUNCTION("""COMPUTED_VALUE"""),6314.0)</f>
        <v>6314</v>
      </c>
      <c r="G5972" s="115">
        <f>IFERROR(__xludf.DUMMYFUNCTION("""COMPUTED_VALUE"""),207.0)</f>
        <v>207</v>
      </c>
      <c r="H5972" s="116">
        <f>IFERROR(__xludf.DUMMYFUNCTION("""COMPUTED_VALUE"""),45911.0)</f>
        <v>45911</v>
      </c>
      <c r="I5972" s="115" t="str">
        <f>IFERROR(__xludf.DUMMYFUNCTION("""COMPUTED_VALUE"""),"17")</f>
        <v>17</v>
      </c>
      <c r="J5972" s="115"/>
      <c r="K5972" s="115"/>
    </row>
    <row r="5973">
      <c r="A5973" s="115" t="str">
        <f>IFERROR(__xludf.DUMMYFUNCTION("""COMPUTED_VALUE"""),"EAST")</f>
        <v>EAST</v>
      </c>
      <c r="B5973" s="115" t="str">
        <f>IFERROR(__xludf.DUMMYFUNCTION("""COMPUTED_VALUE"""),"Parag Kashyap")</f>
        <v>Parag Kashyap</v>
      </c>
      <c r="C5973" s="115" t="str">
        <f>IFERROR(__xludf.DUMMYFUNCTION("""COMPUTED_VALUE"""),"FLIPKART")</f>
        <v>FLIPKART</v>
      </c>
      <c r="D5973" s="115">
        <f>IFERROR(__xludf.DUMMYFUNCTION("""COMPUTED_VALUE"""),285769.0)</f>
        <v>285769</v>
      </c>
      <c r="E5973" s="115">
        <f>IFERROR(__xludf.DUMMYFUNCTION("""COMPUTED_VALUE"""),18731.0)</f>
        <v>18731</v>
      </c>
      <c r="F5973" s="115">
        <f>IFERROR(__xludf.DUMMYFUNCTION("""COMPUTED_VALUE"""),193932.0)</f>
        <v>193932</v>
      </c>
      <c r="G5973" s="115">
        <f>IFERROR(__xludf.DUMMYFUNCTION("""COMPUTED_VALUE"""),5866.0)</f>
        <v>5866</v>
      </c>
      <c r="H5973" s="116">
        <f>IFERROR(__xludf.DUMMYFUNCTION("""COMPUTED_VALUE"""),45911.0)</f>
        <v>45911</v>
      </c>
      <c r="I5973" s="115" t="str">
        <f>IFERROR(__xludf.DUMMYFUNCTION("""COMPUTED_VALUE"""),"17")</f>
        <v>17</v>
      </c>
      <c r="J5973" s="115"/>
      <c r="K5973" s="115"/>
    </row>
    <row r="5974">
      <c r="A5974" s="115" t="str">
        <f>IFERROR(__xludf.DUMMYFUNCTION("""COMPUTED_VALUE"""),"EAST")</f>
        <v>EAST</v>
      </c>
      <c r="B5974" s="115" t="str">
        <f>IFERROR(__xludf.DUMMYFUNCTION("""COMPUTED_VALUE"""),"Parag Kashyap")</f>
        <v>Parag Kashyap</v>
      </c>
      <c r="C5974" s="115" t="str">
        <f>IFERROR(__xludf.DUMMYFUNCTION("""COMPUTED_VALUE"""),"MYNTRA")</f>
        <v>MYNTRA</v>
      </c>
      <c r="D5974" s="115">
        <f>IFERROR(__xludf.DUMMYFUNCTION("""COMPUTED_VALUE"""),37441.0)</f>
        <v>37441</v>
      </c>
      <c r="E5974" s="115">
        <f>IFERROR(__xludf.DUMMYFUNCTION("""COMPUTED_VALUE"""),5990.0)</f>
        <v>5990</v>
      </c>
      <c r="F5974" s="115">
        <f>IFERROR(__xludf.DUMMYFUNCTION("""COMPUTED_VALUE"""),26363.0)</f>
        <v>26363</v>
      </c>
      <c r="G5974" s="115">
        <f>IFERROR(__xludf.DUMMYFUNCTION("""COMPUTED_VALUE"""),1972.0)</f>
        <v>1972</v>
      </c>
      <c r="H5974" s="116">
        <f>IFERROR(__xludf.DUMMYFUNCTION("""COMPUTED_VALUE"""),45911.0)</f>
        <v>45911</v>
      </c>
      <c r="I5974" s="115" t="str">
        <f>IFERROR(__xludf.DUMMYFUNCTION("""COMPUTED_VALUE"""),"17")</f>
        <v>17</v>
      </c>
      <c r="J5974" s="115"/>
      <c r="K5974" s="115"/>
    </row>
    <row r="5975">
      <c r="A5975" s="115" t="str">
        <f>IFERROR(__xludf.DUMMYFUNCTION("""COMPUTED_VALUE"""),"NORTH")</f>
        <v>NORTH</v>
      </c>
      <c r="B5975" s="115" t="str">
        <f>IFERROR(__xludf.DUMMYFUNCTION("""COMPUTED_VALUE"""),"Amit Kumar Pathak")</f>
        <v>Amit Kumar Pathak</v>
      </c>
      <c r="C5975" s="115" t="str">
        <f>IFERROR(__xludf.DUMMYFUNCTION("""COMPUTED_VALUE"""),"EXTERNAL")</f>
        <v>EXTERNAL</v>
      </c>
      <c r="D5975" s="115">
        <f>IFERROR(__xludf.DUMMYFUNCTION("""COMPUTED_VALUE"""),24895.0)</f>
        <v>24895</v>
      </c>
      <c r="E5975" s="115">
        <f>IFERROR(__xludf.DUMMYFUNCTION("""COMPUTED_VALUE"""),3055.0)</f>
        <v>3055</v>
      </c>
      <c r="F5975" s="115">
        <f>IFERROR(__xludf.DUMMYFUNCTION("""COMPUTED_VALUE"""),8969.0)</f>
        <v>8969</v>
      </c>
      <c r="G5975" s="115">
        <f>IFERROR(__xludf.DUMMYFUNCTION("""COMPUTED_VALUE"""),1228.0)</f>
        <v>1228</v>
      </c>
      <c r="H5975" s="116">
        <f>IFERROR(__xludf.DUMMYFUNCTION("""COMPUTED_VALUE"""),45911.0)</f>
        <v>45911</v>
      </c>
      <c r="I5975" s="115" t="str">
        <f>IFERROR(__xludf.DUMMYFUNCTION("""COMPUTED_VALUE"""),"17")</f>
        <v>17</v>
      </c>
      <c r="J5975" s="115"/>
      <c r="K5975" s="115"/>
    </row>
    <row r="5976">
      <c r="A5976" s="115" t="str">
        <f>IFERROR(__xludf.DUMMYFUNCTION("""COMPUTED_VALUE"""),"NORTH")</f>
        <v>NORTH</v>
      </c>
      <c r="B5976" s="115" t="str">
        <f>IFERROR(__xludf.DUMMYFUNCTION("""COMPUTED_VALUE"""),"Amit Kumar Pathak")</f>
        <v>Amit Kumar Pathak</v>
      </c>
      <c r="C5976" s="115" t="str">
        <f>IFERROR(__xludf.DUMMYFUNCTION("""COMPUTED_VALUE"""),"FLIPKART")</f>
        <v>FLIPKART</v>
      </c>
      <c r="D5976" s="115">
        <f>IFERROR(__xludf.DUMMYFUNCTION("""COMPUTED_VALUE"""),177148.0)</f>
        <v>177148</v>
      </c>
      <c r="E5976" s="115">
        <f>IFERROR(__xludf.DUMMYFUNCTION("""COMPUTED_VALUE"""),21173.0)</f>
        <v>21173</v>
      </c>
      <c r="F5976" s="115">
        <f>IFERROR(__xludf.DUMMYFUNCTION("""COMPUTED_VALUE"""),117320.0)</f>
        <v>117320</v>
      </c>
      <c r="G5976" s="115">
        <f>IFERROR(__xludf.DUMMYFUNCTION("""COMPUTED_VALUE"""),10306.0)</f>
        <v>10306</v>
      </c>
      <c r="H5976" s="116">
        <f>IFERROR(__xludf.DUMMYFUNCTION("""COMPUTED_VALUE"""),45911.0)</f>
        <v>45911</v>
      </c>
      <c r="I5976" s="115" t="str">
        <f>IFERROR(__xludf.DUMMYFUNCTION("""COMPUTED_VALUE"""),"17")</f>
        <v>17</v>
      </c>
      <c r="J5976" s="115"/>
      <c r="K5976" s="115"/>
    </row>
    <row r="5977">
      <c r="A5977" s="115" t="str">
        <f>IFERROR(__xludf.DUMMYFUNCTION("""COMPUTED_VALUE"""),"NORTH")</f>
        <v>NORTH</v>
      </c>
      <c r="B5977" s="115" t="str">
        <f>IFERROR(__xludf.DUMMYFUNCTION("""COMPUTED_VALUE"""),"Amit Kumar Pathak")</f>
        <v>Amit Kumar Pathak</v>
      </c>
      <c r="C5977" s="115" t="str">
        <f>IFERROR(__xludf.DUMMYFUNCTION("""COMPUTED_VALUE"""),"MYNTRA")</f>
        <v>MYNTRA</v>
      </c>
      <c r="D5977" s="115">
        <f>IFERROR(__xludf.DUMMYFUNCTION("""COMPUTED_VALUE"""),13995.0)</f>
        <v>13995</v>
      </c>
      <c r="E5977" s="115">
        <f>IFERROR(__xludf.DUMMYFUNCTION("""COMPUTED_VALUE"""),5101.0)</f>
        <v>5101</v>
      </c>
      <c r="F5977" s="115">
        <f>IFERROR(__xludf.DUMMYFUNCTION("""COMPUTED_VALUE"""),10531.0)</f>
        <v>10531</v>
      </c>
      <c r="G5977" s="115">
        <f>IFERROR(__xludf.DUMMYFUNCTION("""COMPUTED_VALUE"""),2740.0)</f>
        <v>2740</v>
      </c>
      <c r="H5977" s="116">
        <f>IFERROR(__xludf.DUMMYFUNCTION("""COMPUTED_VALUE"""),45911.0)</f>
        <v>45911</v>
      </c>
      <c r="I5977" s="115" t="str">
        <f>IFERROR(__xludf.DUMMYFUNCTION("""COMPUTED_VALUE"""),"17")</f>
        <v>17</v>
      </c>
      <c r="J5977" s="115"/>
      <c r="K5977" s="115"/>
    </row>
    <row r="5978">
      <c r="A5978" s="115" t="str">
        <f>IFERROR(__xludf.DUMMYFUNCTION("""COMPUTED_VALUE"""),"NORTH")</f>
        <v>NORTH</v>
      </c>
      <c r="B5978" s="115" t="str">
        <f>IFERROR(__xludf.DUMMYFUNCTION("""COMPUTED_VALUE"""),"Loveleen Singh")</f>
        <v>Loveleen Singh</v>
      </c>
      <c r="C5978" s="115" t="str">
        <f>IFERROR(__xludf.DUMMYFUNCTION("""COMPUTED_VALUE"""),"EXTERNAL")</f>
        <v>EXTERNAL</v>
      </c>
      <c r="D5978" s="115">
        <f>IFERROR(__xludf.DUMMYFUNCTION("""COMPUTED_VALUE"""),30201.0)</f>
        <v>30201</v>
      </c>
      <c r="E5978" s="115">
        <f>IFERROR(__xludf.DUMMYFUNCTION("""COMPUTED_VALUE"""),2297.0)</f>
        <v>2297</v>
      </c>
      <c r="F5978" s="115">
        <f>IFERROR(__xludf.DUMMYFUNCTION("""COMPUTED_VALUE"""),11278.0)</f>
        <v>11278</v>
      </c>
      <c r="G5978" s="115">
        <f>IFERROR(__xludf.DUMMYFUNCTION("""COMPUTED_VALUE"""),541.0)</f>
        <v>541</v>
      </c>
      <c r="H5978" s="116">
        <f>IFERROR(__xludf.DUMMYFUNCTION("""COMPUTED_VALUE"""),45911.0)</f>
        <v>45911</v>
      </c>
      <c r="I5978" s="115" t="str">
        <f>IFERROR(__xludf.DUMMYFUNCTION("""COMPUTED_VALUE"""),"17")</f>
        <v>17</v>
      </c>
      <c r="J5978" s="115"/>
      <c r="K5978" s="115"/>
    </row>
    <row r="5979">
      <c r="A5979" s="115" t="str">
        <f>IFERROR(__xludf.DUMMYFUNCTION("""COMPUTED_VALUE"""),"NORTH")</f>
        <v>NORTH</v>
      </c>
      <c r="B5979" s="115" t="str">
        <f>IFERROR(__xludf.DUMMYFUNCTION("""COMPUTED_VALUE"""),"Loveleen Singh")</f>
        <v>Loveleen Singh</v>
      </c>
      <c r="C5979" s="115" t="str">
        <f>IFERROR(__xludf.DUMMYFUNCTION("""COMPUTED_VALUE"""),"FLIPKART")</f>
        <v>FLIPKART</v>
      </c>
      <c r="D5979" s="115">
        <f>IFERROR(__xludf.DUMMYFUNCTION("""COMPUTED_VALUE"""),194486.0)</f>
        <v>194486</v>
      </c>
      <c r="E5979" s="115">
        <f>IFERROR(__xludf.DUMMYFUNCTION("""COMPUTED_VALUE"""),14215.0)</f>
        <v>14215</v>
      </c>
      <c r="F5979" s="115">
        <f>IFERROR(__xludf.DUMMYFUNCTION("""COMPUTED_VALUE"""),134047.0)</f>
        <v>134047</v>
      </c>
      <c r="G5979" s="115">
        <f>IFERROR(__xludf.DUMMYFUNCTION("""COMPUTED_VALUE"""),5717.0)</f>
        <v>5717</v>
      </c>
      <c r="H5979" s="116">
        <f>IFERROR(__xludf.DUMMYFUNCTION("""COMPUTED_VALUE"""),45911.0)</f>
        <v>45911</v>
      </c>
      <c r="I5979" s="115" t="str">
        <f>IFERROR(__xludf.DUMMYFUNCTION("""COMPUTED_VALUE"""),"17")</f>
        <v>17</v>
      </c>
      <c r="J5979" s="115"/>
      <c r="K5979" s="115"/>
    </row>
    <row r="5980">
      <c r="A5980" s="115" t="str">
        <f>IFERROR(__xludf.DUMMYFUNCTION("""COMPUTED_VALUE"""),"NORTH")</f>
        <v>NORTH</v>
      </c>
      <c r="B5980" s="115" t="str">
        <f>IFERROR(__xludf.DUMMYFUNCTION("""COMPUTED_VALUE"""),"Loveleen Singh")</f>
        <v>Loveleen Singh</v>
      </c>
      <c r="C5980" s="115" t="str">
        <f>IFERROR(__xludf.DUMMYFUNCTION("""COMPUTED_VALUE"""),"MYNTRA")</f>
        <v>MYNTRA</v>
      </c>
      <c r="D5980" s="115">
        <f>IFERROR(__xludf.DUMMYFUNCTION("""COMPUTED_VALUE"""),29005.0)</f>
        <v>29005</v>
      </c>
      <c r="E5980" s="115">
        <f>IFERROR(__xludf.DUMMYFUNCTION("""COMPUTED_VALUE"""),6527.0)</f>
        <v>6527</v>
      </c>
      <c r="F5980" s="115">
        <f>IFERROR(__xludf.DUMMYFUNCTION("""COMPUTED_VALUE"""),21732.0)</f>
        <v>21732</v>
      </c>
      <c r="G5980" s="115">
        <f>IFERROR(__xludf.DUMMYFUNCTION("""COMPUTED_VALUE"""),3113.0)</f>
        <v>3113</v>
      </c>
      <c r="H5980" s="116">
        <f>IFERROR(__xludf.DUMMYFUNCTION("""COMPUTED_VALUE"""),45911.0)</f>
        <v>45911</v>
      </c>
      <c r="I5980" s="115" t="str">
        <f>IFERROR(__xludf.DUMMYFUNCTION("""COMPUTED_VALUE"""),"17")</f>
        <v>17</v>
      </c>
      <c r="J5980" s="115"/>
      <c r="K5980" s="115"/>
    </row>
    <row r="5981">
      <c r="A5981" s="115" t="str">
        <f>IFERROR(__xludf.DUMMYFUNCTION("""COMPUTED_VALUE"""),"NORTH")</f>
        <v>NORTH</v>
      </c>
      <c r="B5981" s="115" t="str">
        <f>IFERROR(__xludf.DUMMYFUNCTION("""COMPUTED_VALUE"""),"Manoj Harsh")</f>
        <v>Manoj Harsh</v>
      </c>
      <c r="C5981" s="115" t="str">
        <f>IFERROR(__xludf.DUMMYFUNCTION("""COMPUTED_VALUE"""),"EXTERNAL")</f>
        <v>EXTERNAL</v>
      </c>
      <c r="D5981" s="115">
        <f>IFERROR(__xludf.DUMMYFUNCTION("""COMPUTED_VALUE"""),32619.0)</f>
        <v>32619</v>
      </c>
      <c r="E5981" s="115">
        <f>IFERROR(__xludf.DUMMYFUNCTION("""COMPUTED_VALUE"""),2788.0)</f>
        <v>2788</v>
      </c>
      <c r="F5981" s="115">
        <f>IFERROR(__xludf.DUMMYFUNCTION("""COMPUTED_VALUE"""),13480.0)</f>
        <v>13480</v>
      </c>
      <c r="G5981" s="115">
        <f>IFERROR(__xludf.DUMMYFUNCTION("""COMPUTED_VALUE"""),718.0)</f>
        <v>718</v>
      </c>
      <c r="H5981" s="116">
        <f>IFERROR(__xludf.DUMMYFUNCTION("""COMPUTED_VALUE"""),45911.0)</f>
        <v>45911</v>
      </c>
      <c r="I5981" s="115" t="str">
        <f>IFERROR(__xludf.DUMMYFUNCTION("""COMPUTED_VALUE"""),"17")</f>
        <v>17</v>
      </c>
      <c r="J5981" s="115"/>
      <c r="K5981" s="115"/>
    </row>
    <row r="5982">
      <c r="A5982" s="115" t="str">
        <f>IFERROR(__xludf.DUMMYFUNCTION("""COMPUTED_VALUE"""),"NORTH")</f>
        <v>NORTH</v>
      </c>
      <c r="B5982" s="115" t="str">
        <f>IFERROR(__xludf.DUMMYFUNCTION("""COMPUTED_VALUE"""),"Manoj Harsh")</f>
        <v>Manoj Harsh</v>
      </c>
      <c r="C5982" s="115" t="str">
        <f>IFERROR(__xludf.DUMMYFUNCTION("""COMPUTED_VALUE"""),"FLIPKART")</f>
        <v>FLIPKART</v>
      </c>
      <c r="D5982" s="115">
        <f>IFERROR(__xludf.DUMMYFUNCTION("""COMPUTED_VALUE"""),438535.0)</f>
        <v>438535</v>
      </c>
      <c r="E5982" s="115">
        <f>IFERROR(__xludf.DUMMYFUNCTION("""COMPUTED_VALUE"""),35908.0)</f>
        <v>35908</v>
      </c>
      <c r="F5982" s="115">
        <f>IFERROR(__xludf.DUMMYFUNCTION("""COMPUTED_VALUE"""),300321.0)</f>
        <v>300321</v>
      </c>
      <c r="G5982" s="115">
        <f>IFERROR(__xludf.DUMMYFUNCTION("""COMPUTED_VALUE"""),15046.0)</f>
        <v>15046</v>
      </c>
      <c r="H5982" s="116">
        <f>IFERROR(__xludf.DUMMYFUNCTION("""COMPUTED_VALUE"""),45911.0)</f>
        <v>45911</v>
      </c>
      <c r="I5982" s="115" t="str">
        <f>IFERROR(__xludf.DUMMYFUNCTION("""COMPUTED_VALUE"""),"17")</f>
        <v>17</v>
      </c>
      <c r="J5982" s="115"/>
      <c r="K5982" s="115"/>
    </row>
    <row r="5983">
      <c r="A5983" s="115" t="str">
        <f>IFERROR(__xludf.DUMMYFUNCTION("""COMPUTED_VALUE"""),"NORTH")</f>
        <v>NORTH</v>
      </c>
      <c r="B5983" s="115" t="str">
        <f>IFERROR(__xludf.DUMMYFUNCTION("""COMPUTED_VALUE"""),"Manoj Harsh")</f>
        <v>Manoj Harsh</v>
      </c>
      <c r="C5983" s="115" t="str">
        <f>IFERROR(__xludf.DUMMYFUNCTION("""COMPUTED_VALUE"""),"MYNTRA")</f>
        <v>MYNTRA</v>
      </c>
      <c r="D5983" s="115">
        <f>IFERROR(__xludf.DUMMYFUNCTION("""COMPUTED_VALUE"""),33691.0)</f>
        <v>33691</v>
      </c>
      <c r="E5983" s="115">
        <f>IFERROR(__xludf.DUMMYFUNCTION("""COMPUTED_VALUE"""),7324.0)</f>
        <v>7324</v>
      </c>
      <c r="F5983" s="115">
        <f>IFERROR(__xludf.DUMMYFUNCTION("""COMPUTED_VALUE"""),24891.0)</f>
        <v>24891</v>
      </c>
      <c r="G5983" s="115">
        <f>IFERROR(__xludf.DUMMYFUNCTION("""COMPUTED_VALUE"""),3526.0)</f>
        <v>3526</v>
      </c>
      <c r="H5983" s="116">
        <f>IFERROR(__xludf.DUMMYFUNCTION("""COMPUTED_VALUE"""),45911.0)</f>
        <v>45911</v>
      </c>
      <c r="I5983" s="115" t="str">
        <f>IFERROR(__xludf.DUMMYFUNCTION("""COMPUTED_VALUE"""),"17")</f>
        <v>17</v>
      </c>
      <c r="J5983" s="115"/>
      <c r="K5983" s="115"/>
    </row>
    <row r="5984">
      <c r="A5984" s="115" t="str">
        <f>IFERROR(__xludf.DUMMYFUNCTION("""COMPUTED_VALUE"""),"NORTH")</f>
        <v>NORTH</v>
      </c>
      <c r="B5984" s="115" t="str">
        <f>IFERROR(__xludf.DUMMYFUNCTION("""COMPUTED_VALUE"""),"Pradeep Kothari")</f>
        <v>Pradeep Kothari</v>
      </c>
      <c r="C5984" s="115" t="str">
        <f>IFERROR(__xludf.DUMMYFUNCTION("""COMPUTED_VALUE"""),"EXTERNAL")</f>
        <v>EXTERNAL</v>
      </c>
      <c r="D5984" s="115">
        <f>IFERROR(__xludf.DUMMYFUNCTION("""COMPUTED_VALUE"""),18502.0)</f>
        <v>18502</v>
      </c>
      <c r="E5984" s="115">
        <f>IFERROR(__xludf.DUMMYFUNCTION("""COMPUTED_VALUE"""),2038.0)</f>
        <v>2038</v>
      </c>
      <c r="F5984" s="115">
        <f>IFERROR(__xludf.DUMMYFUNCTION("""COMPUTED_VALUE"""),7645.0)</f>
        <v>7645</v>
      </c>
      <c r="G5984" s="115">
        <f>IFERROR(__xludf.DUMMYFUNCTION("""COMPUTED_VALUE"""),716.0)</f>
        <v>716</v>
      </c>
      <c r="H5984" s="116">
        <f>IFERROR(__xludf.DUMMYFUNCTION("""COMPUTED_VALUE"""),45911.0)</f>
        <v>45911</v>
      </c>
      <c r="I5984" s="115" t="str">
        <f>IFERROR(__xludf.DUMMYFUNCTION("""COMPUTED_VALUE"""),"17")</f>
        <v>17</v>
      </c>
      <c r="J5984" s="115"/>
      <c r="K5984" s="115"/>
    </row>
    <row r="5985">
      <c r="A5985" s="115" t="str">
        <f>IFERROR(__xludf.DUMMYFUNCTION("""COMPUTED_VALUE"""),"NORTH")</f>
        <v>NORTH</v>
      </c>
      <c r="B5985" s="115" t="str">
        <f>IFERROR(__xludf.DUMMYFUNCTION("""COMPUTED_VALUE"""),"Pradeep Kothari")</f>
        <v>Pradeep Kothari</v>
      </c>
      <c r="C5985" s="115" t="str">
        <f>IFERROR(__xludf.DUMMYFUNCTION("""COMPUTED_VALUE"""),"FLIPKART")</f>
        <v>FLIPKART</v>
      </c>
      <c r="D5985" s="115">
        <f>IFERROR(__xludf.DUMMYFUNCTION("""COMPUTED_VALUE"""),160933.0)</f>
        <v>160933</v>
      </c>
      <c r="E5985" s="115">
        <f>IFERROR(__xludf.DUMMYFUNCTION("""COMPUTED_VALUE"""),16516.0)</f>
        <v>16516</v>
      </c>
      <c r="F5985" s="115">
        <f>IFERROR(__xludf.DUMMYFUNCTION("""COMPUTED_VALUE"""),117527.0)</f>
        <v>117527</v>
      </c>
      <c r="G5985" s="115">
        <f>IFERROR(__xludf.DUMMYFUNCTION("""COMPUTED_VALUE"""),8508.0)</f>
        <v>8508</v>
      </c>
      <c r="H5985" s="116">
        <f>IFERROR(__xludf.DUMMYFUNCTION("""COMPUTED_VALUE"""),45911.0)</f>
        <v>45911</v>
      </c>
      <c r="I5985" s="115" t="str">
        <f>IFERROR(__xludf.DUMMYFUNCTION("""COMPUTED_VALUE"""),"17")</f>
        <v>17</v>
      </c>
      <c r="J5985" s="115"/>
      <c r="K5985" s="115"/>
    </row>
    <row r="5986">
      <c r="A5986" s="115" t="str">
        <f>IFERROR(__xludf.DUMMYFUNCTION("""COMPUTED_VALUE"""),"NORTH")</f>
        <v>NORTH</v>
      </c>
      <c r="B5986" s="115" t="str">
        <f>IFERROR(__xludf.DUMMYFUNCTION("""COMPUTED_VALUE"""),"Pradeep Kothari")</f>
        <v>Pradeep Kothari</v>
      </c>
      <c r="C5986" s="115" t="str">
        <f>IFERROR(__xludf.DUMMYFUNCTION("""COMPUTED_VALUE"""),"MYNTRA")</f>
        <v>MYNTRA</v>
      </c>
      <c r="D5986" s="115">
        <f>IFERROR(__xludf.DUMMYFUNCTION("""COMPUTED_VALUE"""),24115.0)</f>
        <v>24115</v>
      </c>
      <c r="E5986" s="115">
        <f>IFERROR(__xludf.DUMMYFUNCTION("""COMPUTED_VALUE"""),6224.0)</f>
        <v>6224</v>
      </c>
      <c r="F5986" s="115">
        <f>IFERROR(__xludf.DUMMYFUNCTION("""COMPUTED_VALUE"""),19118.0)</f>
        <v>19118</v>
      </c>
      <c r="G5986" s="115">
        <f>IFERROR(__xludf.DUMMYFUNCTION("""COMPUTED_VALUE"""),3760.0)</f>
        <v>3760</v>
      </c>
      <c r="H5986" s="116">
        <f>IFERROR(__xludf.DUMMYFUNCTION("""COMPUTED_VALUE"""),45911.0)</f>
        <v>45911</v>
      </c>
      <c r="I5986" s="115" t="str">
        <f>IFERROR(__xludf.DUMMYFUNCTION("""COMPUTED_VALUE"""),"17")</f>
        <v>17</v>
      </c>
      <c r="J5986" s="115"/>
      <c r="K5986" s="115"/>
    </row>
    <row r="5987">
      <c r="A5987" s="115" t="str">
        <f>IFERROR(__xludf.DUMMYFUNCTION("""COMPUTED_VALUE"""),"SOUTH")</f>
        <v>SOUTH</v>
      </c>
      <c r="B5987" s="115" t="str">
        <f>IFERROR(__xludf.DUMMYFUNCTION("""COMPUTED_VALUE"""),"Kandula Sampath")</f>
        <v>Kandula Sampath</v>
      </c>
      <c r="C5987" s="115" t="str">
        <f>IFERROR(__xludf.DUMMYFUNCTION("""COMPUTED_VALUE"""),"EXTERNAL")</f>
        <v>EXTERNAL</v>
      </c>
      <c r="D5987" s="115">
        <f>IFERROR(__xludf.DUMMYFUNCTION("""COMPUTED_VALUE"""),33750.0)</f>
        <v>33750</v>
      </c>
      <c r="E5987" s="115">
        <f>IFERROR(__xludf.DUMMYFUNCTION("""COMPUTED_VALUE"""),4878.0)</f>
        <v>4878</v>
      </c>
      <c r="F5987" s="115">
        <f>IFERROR(__xludf.DUMMYFUNCTION("""COMPUTED_VALUE"""),13420.0)</f>
        <v>13420</v>
      </c>
      <c r="G5987" s="115">
        <f>IFERROR(__xludf.DUMMYFUNCTION("""COMPUTED_VALUE"""),973.0)</f>
        <v>973</v>
      </c>
      <c r="H5987" s="116">
        <f>IFERROR(__xludf.DUMMYFUNCTION("""COMPUTED_VALUE"""),45911.0)</f>
        <v>45911</v>
      </c>
      <c r="I5987" s="115" t="str">
        <f>IFERROR(__xludf.DUMMYFUNCTION("""COMPUTED_VALUE"""),"17")</f>
        <v>17</v>
      </c>
      <c r="J5987" s="115"/>
      <c r="K5987" s="115"/>
    </row>
    <row r="5988">
      <c r="A5988" s="115" t="str">
        <f>IFERROR(__xludf.DUMMYFUNCTION("""COMPUTED_VALUE"""),"SOUTH")</f>
        <v>SOUTH</v>
      </c>
      <c r="B5988" s="115" t="str">
        <f>IFERROR(__xludf.DUMMYFUNCTION("""COMPUTED_VALUE"""),"Kandula Sampath")</f>
        <v>Kandula Sampath</v>
      </c>
      <c r="C5988" s="115" t="str">
        <f>IFERROR(__xludf.DUMMYFUNCTION("""COMPUTED_VALUE"""),"FLIPKART")</f>
        <v>FLIPKART</v>
      </c>
      <c r="D5988" s="115">
        <f>IFERROR(__xludf.DUMMYFUNCTION("""COMPUTED_VALUE"""),354197.0)</f>
        <v>354197</v>
      </c>
      <c r="E5988" s="115">
        <f>IFERROR(__xludf.DUMMYFUNCTION("""COMPUTED_VALUE"""),29258.0)</f>
        <v>29258</v>
      </c>
      <c r="F5988" s="115">
        <f>IFERROR(__xludf.DUMMYFUNCTION("""COMPUTED_VALUE"""),229768.0)</f>
        <v>229768</v>
      </c>
      <c r="G5988" s="115">
        <f>IFERROR(__xludf.DUMMYFUNCTION("""COMPUTED_VALUE"""),9941.0)</f>
        <v>9941</v>
      </c>
      <c r="H5988" s="116">
        <f>IFERROR(__xludf.DUMMYFUNCTION("""COMPUTED_VALUE"""),45911.0)</f>
        <v>45911</v>
      </c>
      <c r="I5988" s="115" t="str">
        <f>IFERROR(__xludf.DUMMYFUNCTION("""COMPUTED_VALUE"""),"17")</f>
        <v>17</v>
      </c>
      <c r="J5988" s="115"/>
      <c r="K5988" s="115"/>
    </row>
    <row r="5989">
      <c r="A5989" s="115" t="str">
        <f>IFERROR(__xludf.DUMMYFUNCTION("""COMPUTED_VALUE"""),"SOUTH")</f>
        <v>SOUTH</v>
      </c>
      <c r="B5989" s="115" t="str">
        <f>IFERROR(__xludf.DUMMYFUNCTION("""COMPUTED_VALUE"""),"Kandula Sampath")</f>
        <v>Kandula Sampath</v>
      </c>
      <c r="C5989" s="115" t="str">
        <f>IFERROR(__xludf.DUMMYFUNCTION("""COMPUTED_VALUE"""),"MYNTRA")</f>
        <v>MYNTRA</v>
      </c>
      <c r="D5989" s="115">
        <f>IFERROR(__xludf.DUMMYFUNCTION("""COMPUTED_VALUE"""),35841.0)</f>
        <v>35841</v>
      </c>
      <c r="E5989" s="115">
        <f>IFERROR(__xludf.DUMMYFUNCTION("""COMPUTED_VALUE"""),8873.0)</f>
        <v>8873</v>
      </c>
      <c r="F5989" s="115">
        <f>IFERROR(__xludf.DUMMYFUNCTION("""COMPUTED_VALUE"""),25231.0)</f>
        <v>25231</v>
      </c>
      <c r="G5989" s="115">
        <f>IFERROR(__xludf.DUMMYFUNCTION("""COMPUTED_VALUE"""),3272.0)</f>
        <v>3272</v>
      </c>
      <c r="H5989" s="116">
        <f>IFERROR(__xludf.DUMMYFUNCTION("""COMPUTED_VALUE"""),45911.0)</f>
        <v>45911</v>
      </c>
      <c r="I5989" s="115" t="str">
        <f>IFERROR(__xludf.DUMMYFUNCTION("""COMPUTED_VALUE"""),"17")</f>
        <v>17</v>
      </c>
      <c r="J5989" s="115"/>
      <c r="K5989" s="115"/>
    </row>
    <row r="5990">
      <c r="A5990" s="115" t="str">
        <f>IFERROR(__xludf.DUMMYFUNCTION("""COMPUTED_VALUE"""),"SOUTH")</f>
        <v>SOUTH</v>
      </c>
      <c r="B5990" s="115" t="str">
        <f>IFERROR(__xludf.DUMMYFUNCTION("""COMPUTED_VALUE"""),"Martin A")</f>
        <v>Martin A</v>
      </c>
      <c r="C5990" s="115" t="str">
        <f>IFERROR(__xludf.DUMMYFUNCTION("""COMPUTED_VALUE"""),"EXTERNAL")</f>
        <v>EXTERNAL</v>
      </c>
      <c r="D5990" s="115">
        <f>IFERROR(__xludf.DUMMYFUNCTION("""COMPUTED_VALUE"""),28682.0)</f>
        <v>28682</v>
      </c>
      <c r="E5990" s="115">
        <f>IFERROR(__xludf.DUMMYFUNCTION("""COMPUTED_VALUE"""),4149.0)</f>
        <v>4149</v>
      </c>
      <c r="F5990" s="115">
        <f>IFERROR(__xludf.DUMMYFUNCTION("""COMPUTED_VALUE"""),11516.0)</f>
        <v>11516</v>
      </c>
      <c r="G5990" s="115">
        <f>IFERROR(__xludf.DUMMYFUNCTION("""COMPUTED_VALUE"""),1533.0)</f>
        <v>1533</v>
      </c>
      <c r="H5990" s="116">
        <f>IFERROR(__xludf.DUMMYFUNCTION("""COMPUTED_VALUE"""),45911.0)</f>
        <v>45911</v>
      </c>
      <c r="I5990" s="115" t="str">
        <f>IFERROR(__xludf.DUMMYFUNCTION("""COMPUTED_VALUE"""),"17")</f>
        <v>17</v>
      </c>
      <c r="J5990" s="115"/>
      <c r="K5990" s="115"/>
    </row>
    <row r="5991">
      <c r="A5991" s="115" t="str">
        <f>IFERROR(__xludf.DUMMYFUNCTION("""COMPUTED_VALUE"""),"SOUTH")</f>
        <v>SOUTH</v>
      </c>
      <c r="B5991" s="115" t="str">
        <f>IFERROR(__xludf.DUMMYFUNCTION("""COMPUTED_VALUE"""),"Martin A")</f>
        <v>Martin A</v>
      </c>
      <c r="C5991" s="115" t="str">
        <f>IFERROR(__xludf.DUMMYFUNCTION("""COMPUTED_VALUE"""),"FLIPKART")</f>
        <v>FLIPKART</v>
      </c>
      <c r="D5991" s="115">
        <f>IFERROR(__xludf.DUMMYFUNCTION("""COMPUTED_VALUE"""),272317.0)</f>
        <v>272317</v>
      </c>
      <c r="E5991" s="115">
        <f>IFERROR(__xludf.DUMMYFUNCTION("""COMPUTED_VALUE"""),26766.0)</f>
        <v>26766</v>
      </c>
      <c r="F5991" s="115">
        <f>IFERROR(__xludf.DUMMYFUNCTION("""COMPUTED_VALUE"""),185749.0)</f>
        <v>185749</v>
      </c>
      <c r="G5991" s="115">
        <f>IFERROR(__xludf.DUMMYFUNCTION("""COMPUTED_VALUE"""),11771.0)</f>
        <v>11771</v>
      </c>
      <c r="H5991" s="116">
        <f>IFERROR(__xludf.DUMMYFUNCTION("""COMPUTED_VALUE"""),45911.0)</f>
        <v>45911</v>
      </c>
      <c r="I5991" s="115" t="str">
        <f>IFERROR(__xludf.DUMMYFUNCTION("""COMPUTED_VALUE"""),"17")</f>
        <v>17</v>
      </c>
      <c r="J5991" s="115"/>
      <c r="K5991" s="115"/>
    </row>
    <row r="5992">
      <c r="A5992" s="115" t="str">
        <f>IFERROR(__xludf.DUMMYFUNCTION("""COMPUTED_VALUE"""),"SOUTH")</f>
        <v>SOUTH</v>
      </c>
      <c r="B5992" s="115" t="str">
        <f>IFERROR(__xludf.DUMMYFUNCTION("""COMPUTED_VALUE"""),"Martin A")</f>
        <v>Martin A</v>
      </c>
      <c r="C5992" s="115" t="str">
        <f>IFERROR(__xludf.DUMMYFUNCTION("""COMPUTED_VALUE"""),"MYNTRA")</f>
        <v>MYNTRA</v>
      </c>
      <c r="D5992" s="115">
        <f>IFERROR(__xludf.DUMMYFUNCTION("""COMPUTED_VALUE"""),22442.0)</f>
        <v>22442</v>
      </c>
      <c r="E5992" s="115">
        <f>IFERROR(__xludf.DUMMYFUNCTION("""COMPUTED_VALUE"""),7255.0)</f>
        <v>7255</v>
      </c>
      <c r="F5992" s="115">
        <f>IFERROR(__xludf.DUMMYFUNCTION("""COMPUTED_VALUE"""),17230.0)</f>
        <v>17230</v>
      </c>
      <c r="G5992" s="115">
        <f>IFERROR(__xludf.DUMMYFUNCTION("""COMPUTED_VALUE"""),3698.0)</f>
        <v>3698</v>
      </c>
      <c r="H5992" s="116">
        <f>IFERROR(__xludf.DUMMYFUNCTION("""COMPUTED_VALUE"""),45911.0)</f>
        <v>45911</v>
      </c>
      <c r="I5992" s="115" t="str">
        <f>IFERROR(__xludf.DUMMYFUNCTION("""COMPUTED_VALUE"""),"17")</f>
        <v>17</v>
      </c>
      <c r="J5992" s="115"/>
      <c r="K5992" s="115"/>
    </row>
    <row r="5993">
      <c r="A5993" s="115" t="str">
        <f>IFERROR(__xludf.DUMMYFUNCTION("""COMPUTED_VALUE"""),"SOUTH")</f>
        <v>SOUTH</v>
      </c>
      <c r="B5993" s="115" t="str">
        <f>IFERROR(__xludf.DUMMYFUNCTION("""COMPUTED_VALUE"""),"Premkumar M")</f>
        <v>Premkumar M</v>
      </c>
      <c r="C5993" s="115" t="str">
        <f>IFERROR(__xludf.DUMMYFUNCTION("""COMPUTED_VALUE"""),"EXTERNAL")</f>
        <v>EXTERNAL</v>
      </c>
      <c r="D5993" s="115">
        <f>IFERROR(__xludf.DUMMYFUNCTION("""COMPUTED_VALUE"""),26132.0)</f>
        <v>26132</v>
      </c>
      <c r="E5993" s="115">
        <f>IFERROR(__xludf.DUMMYFUNCTION("""COMPUTED_VALUE"""),2102.0)</f>
        <v>2102</v>
      </c>
      <c r="F5993" s="115">
        <f>IFERROR(__xludf.DUMMYFUNCTION("""COMPUTED_VALUE"""),10850.0)</f>
        <v>10850</v>
      </c>
      <c r="G5993" s="115">
        <f>IFERROR(__xludf.DUMMYFUNCTION("""COMPUTED_VALUE"""),275.0)</f>
        <v>275</v>
      </c>
      <c r="H5993" s="116">
        <f>IFERROR(__xludf.DUMMYFUNCTION("""COMPUTED_VALUE"""),45911.0)</f>
        <v>45911</v>
      </c>
      <c r="I5993" s="115" t="str">
        <f>IFERROR(__xludf.DUMMYFUNCTION("""COMPUTED_VALUE"""),"17")</f>
        <v>17</v>
      </c>
      <c r="J5993" s="115"/>
      <c r="K5993" s="115"/>
    </row>
    <row r="5994">
      <c r="A5994" s="115" t="str">
        <f>IFERROR(__xludf.DUMMYFUNCTION("""COMPUTED_VALUE"""),"SOUTH")</f>
        <v>SOUTH</v>
      </c>
      <c r="B5994" s="115" t="str">
        <f>IFERROR(__xludf.DUMMYFUNCTION("""COMPUTED_VALUE"""),"Premkumar M")</f>
        <v>Premkumar M</v>
      </c>
      <c r="C5994" s="115" t="str">
        <f>IFERROR(__xludf.DUMMYFUNCTION("""COMPUTED_VALUE"""),"FLIPKART")</f>
        <v>FLIPKART</v>
      </c>
      <c r="D5994" s="115">
        <f>IFERROR(__xludf.DUMMYFUNCTION("""COMPUTED_VALUE"""),283133.0)</f>
        <v>283133</v>
      </c>
      <c r="E5994" s="115">
        <f>IFERROR(__xludf.DUMMYFUNCTION("""COMPUTED_VALUE"""),16903.0)</f>
        <v>16903</v>
      </c>
      <c r="F5994" s="115">
        <f>IFERROR(__xludf.DUMMYFUNCTION("""COMPUTED_VALUE"""),175130.0)</f>
        <v>175130</v>
      </c>
      <c r="G5994" s="115">
        <f>IFERROR(__xludf.DUMMYFUNCTION("""COMPUTED_VALUE"""),3500.0)</f>
        <v>3500</v>
      </c>
      <c r="H5994" s="116">
        <f>IFERROR(__xludf.DUMMYFUNCTION("""COMPUTED_VALUE"""),45911.0)</f>
        <v>45911</v>
      </c>
      <c r="I5994" s="115" t="str">
        <f>IFERROR(__xludf.DUMMYFUNCTION("""COMPUTED_VALUE"""),"17")</f>
        <v>17</v>
      </c>
      <c r="J5994" s="115"/>
      <c r="K5994" s="115"/>
    </row>
    <row r="5995">
      <c r="A5995" s="115" t="str">
        <f>IFERROR(__xludf.DUMMYFUNCTION("""COMPUTED_VALUE"""),"SOUTH")</f>
        <v>SOUTH</v>
      </c>
      <c r="B5995" s="115" t="str">
        <f>IFERROR(__xludf.DUMMYFUNCTION("""COMPUTED_VALUE"""),"Premkumar M")</f>
        <v>Premkumar M</v>
      </c>
      <c r="C5995" s="115" t="str">
        <f>IFERROR(__xludf.DUMMYFUNCTION("""COMPUTED_VALUE"""),"MYNTRA")</f>
        <v>MYNTRA</v>
      </c>
      <c r="D5995" s="115">
        <f>IFERROR(__xludf.DUMMYFUNCTION("""COMPUTED_VALUE"""),13828.0)</f>
        <v>13828</v>
      </c>
      <c r="E5995" s="115">
        <f>IFERROR(__xludf.DUMMYFUNCTION("""COMPUTED_VALUE"""),2781.0)</f>
        <v>2781</v>
      </c>
      <c r="F5995" s="115">
        <f>IFERROR(__xludf.DUMMYFUNCTION("""COMPUTED_VALUE"""),9580.0)</f>
        <v>9580</v>
      </c>
      <c r="G5995" s="115">
        <f>IFERROR(__xludf.DUMMYFUNCTION("""COMPUTED_VALUE"""),692.0)</f>
        <v>692</v>
      </c>
      <c r="H5995" s="116">
        <f>IFERROR(__xludf.DUMMYFUNCTION("""COMPUTED_VALUE"""),45911.0)</f>
        <v>45911</v>
      </c>
      <c r="I5995" s="115" t="str">
        <f>IFERROR(__xludf.DUMMYFUNCTION("""COMPUTED_VALUE"""),"17")</f>
        <v>17</v>
      </c>
      <c r="J5995" s="115"/>
      <c r="K5995" s="115"/>
    </row>
    <row r="5996">
      <c r="A5996" s="115" t="str">
        <f>IFERROR(__xludf.DUMMYFUNCTION("""COMPUTED_VALUE"""),"SOUTH")</f>
        <v>SOUTH</v>
      </c>
      <c r="B5996" s="115" t="str">
        <f>IFERROR(__xludf.DUMMYFUNCTION("""COMPUTED_VALUE"""),"Vineeth V")</f>
        <v>Vineeth V</v>
      </c>
      <c r="C5996" s="115" t="str">
        <f>IFERROR(__xludf.DUMMYFUNCTION("""COMPUTED_VALUE"""),"EXTERNAL")</f>
        <v>EXTERNAL</v>
      </c>
      <c r="D5996" s="115">
        <f>IFERROR(__xludf.DUMMYFUNCTION("""COMPUTED_VALUE"""),22062.0)</f>
        <v>22062</v>
      </c>
      <c r="E5996" s="115">
        <f>IFERROR(__xludf.DUMMYFUNCTION("""COMPUTED_VALUE"""),633.0)</f>
        <v>633</v>
      </c>
      <c r="F5996" s="115">
        <f>IFERROR(__xludf.DUMMYFUNCTION("""COMPUTED_VALUE"""),10697.0)</f>
        <v>10697</v>
      </c>
      <c r="G5996" s="115">
        <f>IFERROR(__xludf.DUMMYFUNCTION("""COMPUTED_VALUE"""),148.0)</f>
        <v>148</v>
      </c>
      <c r="H5996" s="116">
        <f>IFERROR(__xludf.DUMMYFUNCTION("""COMPUTED_VALUE"""),45911.0)</f>
        <v>45911</v>
      </c>
      <c r="I5996" s="115" t="str">
        <f>IFERROR(__xludf.DUMMYFUNCTION("""COMPUTED_VALUE"""),"17")</f>
        <v>17</v>
      </c>
      <c r="J5996" s="115"/>
      <c r="K5996" s="115"/>
    </row>
    <row r="5997">
      <c r="A5997" s="115" t="str">
        <f>IFERROR(__xludf.DUMMYFUNCTION("""COMPUTED_VALUE"""),"SOUTH")</f>
        <v>SOUTH</v>
      </c>
      <c r="B5997" s="115" t="str">
        <f>IFERROR(__xludf.DUMMYFUNCTION("""COMPUTED_VALUE"""),"Vineeth V")</f>
        <v>Vineeth V</v>
      </c>
      <c r="C5997" s="115" t="str">
        <f>IFERROR(__xludf.DUMMYFUNCTION("""COMPUTED_VALUE"""),"FLIPKART")</f>
        <v>FLIPKART</v>
      </c>
      <c r="D5997" s="115">
        <f>IFERROR(__xludf.DUMMYFUNCTION("""COMPUTED_VALUE"""),216696.0)</f>
        <v>216696</v>
      </c>
      <c r="E5997" s="115">
        <f>IFERROR(__xludf.DUMMYFUNCTION("""COMPUTED_VALUE"""),13156.0)</f>
        <v>13156</v>
      </c>
      <c r="F5997" s="115">
        <f>IFERROR(__xludf.DUMMYFUNCTION("""COMPUTED_VALUE"""),158141.0)</f>
        <v>158141</v>
      </c>
      <c r="G5997" s="115">
        <f>IFERROR(__xludf.DUMMYFUNCTION("""COMPUTED_VALUE"""),3743.0)</f>
        <v>3743</v>
      </c>
      <c r="H5997" s="116">
        <f>IFERROR(__xludf.DUMMYFUNCTION("""COMPUTED_VALUE"""),45911.0)</f>
        <v>45911</v>
      </c>
      <c r="I5997" s="115" t="str">
        <f>IFERROR(__xludf.DUMMYFUNCTION("""COMPUTED_VALUE"""),"17")</f>
        <v>17</v>
      </c>
      <c r="J5997" s="115"/>
      <c r="K5997" s="115"/>
    </row>
    <row r="5998">
      <c r="A5998" s="115" t="str">
        <f>IFERROR(__xludf.DUMMYFUNCTION("""COMPUTED_VALUE"""),"SOUTH")</f>
        <v>SOUTH</v>
      </c>
      <c r="B5998" s="115" t="str">
        <f>IFERROR(__xludf.DUMMYFUNCTION("""COMPUTED_VALUE"""),"Vineeth V")</f>
        <v>Vineeth V</v>
      </c>
      <c r="C5998" s="115" t="str">
        <f>IFERROR(__xludf.DUMMYFUNCTION("""COMPUTED_VALUE"""),"MYNTRA")</f>
        <v>MYNTRA</v>
      </c>
      <c r="D5998" s="115">
        <f>IFERROR(__xludf.DUMMYFUNCTION("""COMPUTED_VALUE"""),15683.0)</f>
        <v>15683</v>
      </c>
      <c r="E5998" s="115">
        <f>IFERROR(__xludf.DUMMYFUNCTION("""COMPUTED_VALUE"""),3285.0)</f>
        <v>3285</v>
      </c>
      <c r="F5998" s="115">
        <f>IFERROR(__xludf.DUMMYFUNCTION("""COMPUTED_VALUE"""),11987.0)</f>
        <v>11987</v>
      </c>
      <c r="G5998" s="115">
        <f>IFERROR(__xludf.DUMMYFUNCTION("""COMPUTED_VALUE"""),1032.0)</f>
        <v>1032</v>
      </c>
      <c r="H5998" s="116">
        <f>IFERROR(__xludf.DUMMYFUNCTION("""COMPUTED_VALUE"""),45911.0)</f>
        <v>45911</v>
      </c>
      <c r="I5998" s="115" t="str">
        <f>IFERROR(__xludf.DUMMYFUNCTION("""COMPUTED_VALUE"""),"17")</f>
        <v>17</v>
      </c>
      <c r="J5998" s="115"/>
      <c r="K5998" s="115"/>
    </row>
    <row r="5999">
      <c r="A5999" s="115" t="str">
        <f>IFERROR(__xludf.DUMMYFUNCTION("""COMPUTED_VALUE"""),"WEST")</f>
        <v>WEST</v>
      </c>
      <c r="B5999" s="115" t="str">
        <f>IFERROR(__xludf.DUMMYFUNCTION("""COMPUTED_VALUE"""),"Ashish Jakar")</f>
        <v>Ashish Jakar</v>
      </c>
      <c r="C5999" s="115" t="str">
        <f>IFERROR(__xludf.DUMMYFUNCTION("""COMPUTED_VALUE"""),"EXTERNAL")</f>
        <v>EXTERNAL</v>
      </c>
      <c r="D5999" s="115">
        <f>IFERROR(__xludf.DUMMYFUNCTION("""COMPUTED_VALUE"""),58760.0)</f>
        <v>58760</v>
      </c>
      <c r="E5999" s="115">
        <f>IFERROR(__xludf.DUMMYFUNCTION("""COMPUTED_VALUE"""),7350.0)</f>
        <v>7350</v>
      </c>
      <c r="F5999" s="115">
        <f>IFERROR(__xludf.DUMMYFUNCTION("""COMPUTED_VALUE"""),21647.0)</f>
        <v>21647</v>
      </c>
      <c r="G5999" s="115">
        <f>IFERROR(__xludf.DUMMYFUNCTION("""COMPUTED_VALUE"""),2150.0)</f>
        <v>2150</v>
      </c>
      <c r="H5999" s="116">
        <f>IFERROR(__xludf.DUMMYFUNCTION("""COMPUTED_VALUE"""),45911.0)</f>
        <v>45911</v>
      </c>
      <c r="I5999" s="115" t="str">
        <f>IFERROR(__xludf.DUMMYFUNCTION("""COMPUTED_VALUE"""),"17")</f>
        <v>17</v>
      </c>
      <c r="J5999" s="115"/>
      <c r="K5999" s="115"/>
    </row>
    <row r="6000">
      <c r="A6000" s="115" t="str">
        <f>IFERROR(__xludf.DUMMYFUNCTION("""COMPUTED_VALUE"""),"WEST")</f>
        <v>WEST</v>
      </c>
      <c r="B6000" s="115" t="str">
        <f>IFERROR(__xludf.DUMMYFUNCTION("""COMPUTED_VALUE"""),"Ashish Jakar")</f>
        <v>Ashish Jakar</v>
      </c>
      <c r="C6000" s="115" t="str">
        <f>IFERROR(__xludf.DUMMYFUNCTION("""COMPUTED_VALUE"""),"FLIPKART")</f>
        <v>FLIPKART</v>
      </c>
      <c r="D6000" s="115">
        <f>IFERROR(__xludf.DUMMYFUNCTION("""COMPUTED_VALUE"""),392721.0)</f>
        <v>392721</v>
      </c>
      <c r="E6000" s="115">
        <f>IFERROR(__xludf.DUMMYFUNCTION("""COMPUTED_VALUE"""),33778.0)</f>
        <v>33778</v>
      </c>
      <c r="F6000" s="115">
        <f>IFERROR(__xludf.DUMMYFUNCTION("""COMPUTED_VALUE"""),250731.0)</f>
        <v>250731</v>
      </c>
      <c r="G6000" s="115">
        <f>IFERROR(__xludf.DUMMYFUNCTION("""COMPUTED_VALUE"""),13605.0)</f>
        <v>13605</v>
      </c>
      <c r="H6000" s="116">
        <f>IFERROR(__xludf.DUMMYFUNCTION("""COMPUTED_VALUE"""),45911.0)</f>
        <v>45911</v>
      </c>
      <c r="I6000" s="115" t="str">
        <f>IFERROR(__xludf.DUMMYFUNCTION("""COMPUTED_VALUE"""),"17")</f>
        <v>17</v>
      </c>
      <c r="J6000" s="115"/>
      <c r="K6000" s="115"/>
    </row>
    <row r="6001">
      <c r="A6001" s="115" t="str">
        <f>IFERROR(__xludf.DUMMYFUNCTION("""COMPUTED_VALUE"""),"WEST")</f>
        <v>WEST</v>
      </c>
      <c r="B6001" s="115" t="str">
        <f>IFERROR(__xludf.DUMMYFUNCTION("""COMPUTED_VALUE"""),"Ashish Jakar")</f>
        <v>Ashish Jakar</v>
      </c>
      <c r="C6001" s="115" t="str">
        <f>IFERROR(__xludf.DUMMYFUNCTION("""COMPUTED_VALUE"""),"MYNTRA")</f>
        <v>MYNTRA</v>
      </c>
      <c r="D6001" s="115">
        <f>IFERROR(__xludf.DUMMYFUNCTION("""COMPUTED_VALUE"""),43820.0)</f>
        <v>43820</v>
      </c>
      <c r="E6001" s="115">
        <f>IFERROR(__xludf.DUMMYFUNCTION("""COMPUTED_VALUE"""),11153.0)</f>
        <v>11153</v>
      </c>
      <c r="F6001" s="115">
        <f>IFERROR(__xludf.DUMMYFUNCTION("""COMPUTED_VALUE"""),32012.0)</f>
        <v>32012</v>
      </c>
      <c r="G6001" s="115">
        <f>IFERROR(__xludf.DUMMYFUNCTION("""COMPUTED_VALUE"""),5157.0)</f>
        <v>5157</v>
      </c>
      <c r="H6001" s="116">
        <f>IFERROR(__xludf.DUMMYFUNCTION("""COMPUTED_VALUE"""),45911.0)</f>
        <v>45911</v>
      </c>
      <c r="I6001" s="115" t="str">
        <f>IFERROR(__xludf.DUMMYFUNCTION("""COMPUTED_VALUE"""),"17")</f>
        <v>17</v>
      </c>
      <c r="J6001" s="115"/>
      <c r="K6001" s="115"/>
    </row>
    <row r="6002">
      <c r="A6002" s="115" t="str">
        <f>IFERROR(__xludf.DUMMYFUNCTION("""COMPUTED_VALUE"""),"WEST")</f>
        <v>WEST</v>
      </c>
      <c r="B6002" s="115" t="str">
        <f>IFERROR(__xludf.DUMMYFUNCTION("""COMPUTED_VALUE"""),"Ashvani Bhatt")</f>
        <v>Ashvani Bhatt</v>
      </c>
      <c r="C6002" s="115" t="str">
        <f>IFERROR(__xludf.DUMMYFUNCTION("""COMPUTED_VALUE"""),"EXTERNAL")</f>
        <v>EXTERNAL</v>
      </c>
      <c r="D6002" s="115">
        <f>IFERROR(__xludf.DUMMYFUNCTION("""COMPUTED_VALUE"""),39237.0)</f>
        <v>39237</v>
      </c>
      <c r="E6002" s="115">
        <f>IFERROR(__xludf.DUMMYFUNCTION("""COMPUTED_VALUE"""),4121.0)</f>
        <v>4121</v>
      </c>
      <c r="F6002" s="115">
        <f>IFERROR(__xludf.DUMMYFUNCTION("""COMPUTED_VALUE"""),15411.0)</f>
        <v>15411</v>
      </c>
      <c r="G6002" s="115">
        <f>IFERROR(__xludf.DUMMYFUNCTION("""COMPUTED_VALUE"""),942.0)</f>
        <v>942</v>
      </c>
      <c r="H6002" s="116">
        <f>IFERROR(__xludf.DUMMYFUNCTION("""COMPUTED_VALUE"""),45911.0)</f>
        <v>45911</v>
      </c>
      <c r="I6002" s="115" t="str">
        <f>IFERROR(__xludf.DUMMYFUNCTION("""COMPUTED_VALUE"""),"17")</f>
        <v>17</v>
      </c>
      <c r="J6002" s="115"/>
      <c r="K6002" s="115"/>
    </row>
    <row r="6003">
      <c r="A6003" s="115" t="str">
        <f>IFERROR(__xludf.DUMMYFUNCTION("""COMPUTED_VALUE"""),"WEST")</f>
        <v>WEST</v>
      </c>
      <c r="B6003" s="115" t="str">
        <f>IFERROR(__xludf.DUMMYFUNCTION("""COMPUTED_VALUE"""),"Ashvani Bhatt")</f>
        <v>Ashvani Bhatt</v>
      </c>
      <c r="C6003" s="115" t="str">
        <f>IFERROR(__xludf.DUMMYFUNCTION("""COMPUTED_VALUE"""),"FLIPKART")</f>
        <v>FLIPKART</v>
      </c>
      <c r="D6003" s="115">
        <f>IFERROR(__xludf.DUMMYFUNCTION("""COMPUTED_VALUE"""),304671.0)</f>
        <v>304671</v>
      </c>
      <c r="E6003" s="115">
        <f>IFERROR(__xludf.DUMMYFUNCTION("""COMPUTED_VALUE"""),27364.0)</f>
        <v>27364</v>
      </c>
      <c r="F6003" s="115">
        <f>IFERROR(__xludf.DUMMYFUNCTION("""COMPUTED_VALUE"""),214358.0)</f>
        <v>214358</v>
      </c>
      <c r="G6003" s="115">
        <f>IFERROR(__xludf.DUMMYFUNCTION("""COMPUTED_VALUE"""),11628.0)</f>
        <v>11628</v>
      </c>
      <c r="H6003" s="116">
        <f>IFERROR(__xludf.DUMMYFUNCTION("""COMPUTED_VALUE"""),45911.0)</f>
        <v>45911</v>
      </c>
      <c r="I6003" s="115" t="str">
        <f>IFERROR(__xludf.DUMMYFUNCTION("""COMPUTED_VALUE"""),"17")</f>
        <v>17</v>
      </c>
      <c r="J6003" s="115"/>
      <c r="K6003" s="115"/>
    </row>
    <row r="6004">
      <c r="A6004" s="115" t="str">
        <f>IFERROR(__xludf.DUMMYFUNCTION("""COMPUTED_VALUE"""),"WEST")</f>
        <v>WEST</v>
      </c>
      <c r="B6004" s="115" t="str">
        <f>IFERROR(__xludf.DUMMYFUNCTION("""COMPUTED_VALUE"""),"Ashvani Bhatt")</f>
        <v>Ashvani Bhatt</v>
      </c>
      <c r="C6004" s="115" t="str">
        <f>IFERROR(__xludf.DUMMYFUNCTION("""COMPUTED_VALUE"""),"MYNTRA")</f>
        <v>MYNTRA</v>
      </c>
      <c r="D6004" s="115">
        <f>IFERROR(__xludf.DUMMYFUNCTION("""COMPUTED_VALUE"""),35837.0)</f>
        <v>35837</v>
      </c>
      <c r="E6004" s="115">
        <f>IFERROR(__xludf.DUMMYFUNCTION("""COMPUTED_VALUE"""),9269.0)</f>
        <v>9269</v>
      </c>
      <c r="F6004" s="115">
        <f>IFERROR(__xludf.DUMMYFUNCTION("""COMPUTED_VALUE"""),28134.0)</f>
        <v>28134</v>
      </c>
      <c r="G6004" s="115">
        <f>IFERROR(__xludf.DUMMYFUNCTION("""COMPUTED_VALUE"""),4711.0)</f>
        <v>4711</v>
      </c>
      <c r="H6004" s="116">
        <f>IFERROR(__xludf.DUMMYFUNCTION("""COMPUTED_VALUE"""),45911.0)</f>
        <v>45911</v>
      </c>
      <c r="I6004" s="115" t="str">
        <f>IFERROR(__xludf.DUMMYFUNCTION("""COMPUTED_VALUE"""),"17")</f>
        <v>17</v>
      </c>
      <c r="J6004" s="115"/>
      <c r="K6004" s="115"/>
    </row>
    <row r="6005">
      <c r="A6005" s="115"/>
      <c r="B6005" s="115"/>
      <c r="C6005" s="115" t="str">
        <f>IFERROR(__xludf.DUMMYFUNCTION("""COMPUTED_VALUE"""),"EXTERNAL")</f>
        <v>EXTERNAL</v>
      </c>
      <c r="D6005" s="115">
        <f>IFERROR(__xludf.DUMMYFUNCTION("""COMPUTED_VALUE"""),937.0)</f>
        <v>937</v>
      </c>
      <c r="E6005" s="115">
        <f>IFERROR(__xludf.DUMMYFUNCTION("""COMPUTED_VALUE"""),361.0)</f>
        <v>361</v>
      </c>
      <c r="F6005" s="115">
        <f>IFERROR(__xludf.DUMMYFUNCTION("""COMPUTED_VALUE"""),417.0)</f>
        <v>417</v>
      </c>
      <c r="G6005" s="115">
        <f>IFERROR(__xludf.DUMMYFUNCTION("""COMPUTED_VALUE"""),125.0)</f>
        <v>125</v>
      </c>
      <c r="H6005" s="116">
        <f>IFERROR(__xludf.DUMMYFUNCTION("""COMPUTED_VALUE"""),45911.0)</f>
        <v>45911</v>
      </c>
      <c r="I6005" s="115" t="str">
        <f>IFERROR(__xludf.DUMMYFUNCTION("""COMPUTED_VALUE"""),"17")</f>
        <v>17</v>
      </c>
      <c r="J6005" s="115"/>
      <c r="K6005" s="115"/>
    </row>
    <row r="6006">
      <c r="A6006" s="115"/>
      <c r="B6006" s="115"/>
      <c r="C6006" s="115" t="str">
        <f>IFERROR(__xludf.DUMMYFUNCTION("""COMPUTED_VALUE"""),"FLIPKART")</f>
        <v>FLIPKART</v>
      </c>
      <c r="D6006" s="115">
        <f>IFERROR(__xludf.DUMMYFUNCTION("""COMPUTED_VALUE"""),11138.0)</f>
        <v>11138</v>
      </c>
      <c r="E6006" s="115">
        <f>IFERROR(__xludf.DUMMYFUNCTION("""COMPUTED_VALUE"""),1101.0)</f>
        <v>1101</v>
      </c>
      <c r="F6006" s="115">
        <f>IFERROR(__xludf.DUMMYFUNCTION("""COMPUTED_VALUE"""),6954.0)</f>
        <v>6954</v>
      </c>
      <c r="G6006" s="115">
        <f>IFERROR(__xludf.DUMMYFUNCTION("""COMPUTED_VALUE"""),430.0)</f>
        <v>430</v>
      </c>
      <c r="H6006" s="116">
        <f>IFERROR(__xludf.DUMMYFUNCTION("""COMPUTED_VALUE"""),45911.0)</f>
        <v>45911</v>
      </c>
      <c r="I6006" s="115" t="str">
        <f>IFERROR(__xludf.DUMMYFUNCTION("""COMPUTED_VALUE"""),"17")</f>
        <v>17</v>
      </c>
      <c r="J6006" s="115"/>
      <c r="K6006" s="115"/>
    </row>
    <row r="6007">
      <c r="A6007" s="115"/>
      <c r="B6007" s="115"/>
      <c r="C6007" s="115" t="str">
        <f>IFERROR(__xludf.DUMMYFUNCTION("""COMPUTED_VALUE"""),"MYNTRA")</f>
        <v>MYNTRA</v>
      </c>
      <c r="D6007" s="115">
        <f>IFERROR(__xludf.DUMMYFUNCTION("""COMPUTED_VALUE"""),1263.0)</f>
        <v>1263</v>
      </c>
      <c r="E6007" s="115">
        <f>IFERROR(__xludf.DUMMYFUNCTION("""COMPUTED_VALUE"""),314.0)</f>
        <v>314</v>
      </c>
      <c r="F6007" s="115">
        <f>IFERROR(__xludf.DUMMYFUNCTION("""COMPUTED_VALUE"""),907.0)</f>
        <v>907</v>
      </c>
      <c r="G6007" s="115">
        <f>IFERROR(__xludf.DUMMYFUNCTION("""COMPUTED_VALUE"""),156.0)</f>
        <v>156</v>
      </c>
      <c r="H6007" s="116">
        <f>IFERROR(__xludf.DUMMYFUNCTION("""COMPUTED_VALUE"""),45911.0)</f>
        <v>45911</v>
      </c>
      <c r="I6007" s="115" t="str">
        <f>IFERROR(__xludf.DUMMYFUNCTION("""COMPUTED_VALUE"""),"17")</f>
        <v>17</v>
      </c>
      <c r="J6007" s="115"/>
      <c r="K6007" s="115"/>
    </row>
    <row r="6008">
      <c r="A6008" s="115" t="str">
        <f>IFERROR(__xludf.DUMMYFUNCTION("""COMPUTED_VALUE"""),"EAST")</f>
        <v>EAST</v>
      </c>
      <c r="B6008" s="115" t="str">
        <f>IFERROR(__xludf.DUMMYFUNCTION("""COMPUTED_VALUE"""),"Ashish Ranjan")</f>
        <v>Ashish Ranjan</v>
      </c>
      <c r="C6008" s="115" t="str">
        <f>IFERROR(__xludf.DUMMYFUNCTION("""COMPUTED_VALUE"""),"EXTERNAL")</f>
        <v>EXTERNAL</v>
      </c>
      <c r="D6008" s="115">
        <f>IFERROR(__xludf.DUMMYFUNCTION("""COMPUTED_VALUE"""),37437.0)</f>
        <v>37437</v>
      </c>
      <c r="E6008" s="115">
        <f>IFERROR(__xludf.DUMMYFUNCTION("""COMPUTED_VALUE"""),4144.0)</f>
        <v>4144</v>
      </c>
      <c r="F6008" s="115">
        <f>IFERROR(__xludf.DUMMYFUNCTION("""COMPUTED_VALUE"""),19795.0)</f>
        <v>19795</v>
      </c>
      <c r="G6008" s="115">
        <f>IFERROR(__xludf.DUMMYFUNCTION("""COMPUTED_VALUE"""),1508.0)</f>
        <v>1508</v>
      </c>
      <c r="H6008" s="116">
        <f>IFERROR(__xludf.DUMMYFUNCTION("""COMPUTED_VALUE"""),45911.0)</f>
        <v>45911</v>
      </c>
      <c r="I6008" s="115" t="str">
        <f>IFERROR(__xludf.DUMMYFUNCTION("""COMPUTED_VALUE"""),"18")</f>
        <v>18</v>
      </c>
      <c r="J6008" s="115"/>
      <c r="K6008" s="115"/>
    </row>
    <row r="6009">
      <c r="A6009" s="115" t="str">
        <f>IFERROR(__xludf.DUMMYFUNCTION("""COMPUTED_VALUE"""),"EAST")</f>
        <v>EAST</v>
      </c>
      <c r="B6009" s="115" t="str">
        <f>IFERROR(__xludf.DUMMYFUNCTION("""COMPUTED_VALUE"""),"Ashish Ranjan")</f>
        <v>Ashish Ranjan</v>
      </c>
      <c r="C6009" s="115" t="str">
        <f>IFERROR(__xludf.DUMMYFUNCTION("""COMPUTED_VALUE"""),"FLIPKART")</f>
        <v>FLIPKART</v>
      </c>
      <c r="D6009" s="115">
        <f>IFERROR(__xludf.DUMMYFUNCTION("""COMPUTED_VALUE"""),665386.0)</f>
        <v>665386</v>
      </c>
      <c r="E6009" s="115">
        <f>IFERROR(__xludf.DUMMYFUNCTION("""COMPUTED_VALUE"""),61700.0)</f>
        <v>61700</v>
      </c>
      <c r="F6009" s="115">
        <f>IFERROR(__xludf.DUMMYFUNCTION("""COMPUTED_VALUE"""),559115.0)</f>
        <v>559115</v>
      </c>
      <c r="G6009" s="115">
        <f>IFERROR(__xludf.DUMMYFUNCTION("""COMPUTED_VALUE"""),37795.0)</f>
        <v>37795</v>
      </c>
      <c r="H6009" s="116">
        <f>IFERROR(__xludf.DUMMYFUNCTION("""COMPUTED_VALUE"""),45911.0)</f>
        <v>45911</v>
      </c>
      <c r="I6009" s="115" t="str">
        <f>IFERROR(__xludf.DUMMYFUNCTION("""COMPUTED_VALUE"""),"18")</f>
        <v>18</v>
      </c>
      <c r="J6009" s="115"/>
      <c r="K6009" s="115"/>
    </row>
    <row r="6010">
      <c r="A6010" s="115" t="str">
        <f>IFERROR(__xludf.DUMMYFUNCTION("""COMPUTED_VALUE"""),"EAST")</f>
        <v>EAST</v>
      </c>
      <c r="B6010" s="115" t="str">
        <f>IFERROR(__xludf.DUMMYFUNCTION("""COMPUTED_VALUE"""),"Ashish Ranjan")</f>
        <v>Ashish Ranjan</v>
      </c>
      <c r="C6010" s="115" t="str">
        <f>IFERROR(__xludf.DUMMYFUNCTION("""COMPUTED_VALUE"""),"MYNTRA")</f>
        <v>MYNTRA</v>
      </c>
      <c r="D6010" s="115">
        <f>IFERROR(__xludf.DUMMYFUNCTION("""COMPUTED_VALUE"""),66320.0)</f>
        <v>66320</v>
      </c>
      <c r="E6010" s="115">
        <f>IFERROR(__xludf.DUMMYFUNCTION("""COMPUTED_VALUE"""),15722.0)</f>
        <v>15722</v>
      </c>
      <c r="F6010" s="115">
        <f>IFERROR(__xludf.DUMMYFUNCTION("""COMPUTED_VALUE"""),55927.0)</f>
        <v>55927</v>
      </c>
      <c r="G6010" s="115">
        <f>IFERROR(__xludf.DUMMYFUNCTION("""COMPUTED_VALUE"""),9688.0)</f>
        <v>9688</v>
      </c>
      <c r="H6010" s="116">
        <f>IFERROR(__xludf.DUMMYFUNCTION("""COMPUTED_VALUE"""),45911.0)</f>
        <v>45911</v>
      </c>
      <c r="I6010" s="115" t="str">
        <f>IFERROR(__xludf.DUMMYFUNCTION("""COMPUTED_VALUE"""),"18")</f>
        <v>18</v>
      </c>
      <c r="J6010" s="115"/>
      <c r="K6010" s="115"/>
    </row>
    <row r="6011">
      <c r="A6011" s="115" t="str">
        <f>IFERROR(__xludf.DUMMYFUNCTION("""COMPUTED_VALUE"""),"EAST")</f>
        <v>EAST</v>
      </c>
      <c r="B6011" s="115" t="str">
        <f>IFERROR(__xludf.DUMMYFUNCTION("""COMPUTED_VALUE"""),"Girish Chand")</f>
        <v>Girish Chand</v>
      </c>
      <c r="C6011" s="115" t="str">
        <f>IFERROR(__xludf.DUMMYFUNCTION("""COMPUTED_VALUE"""),"EXTERNAL")</f>
        <v>EXTERNAL</v>
      </c>
      <c r="D6011" s="115">
        <f>IFERROR(__xludf.DUMMYFUNCTION("""COMPUTED_VALUE"""),21100.0)</f>
        <v>21100</v>
      </c>
      <c r="E6011" s="115">
        <f>IFERROR(__xludf.DUMMYFUNCTION("""COMPUTED_VALUE"""),2483.0)</f>
        <v>2483</v>
      </c>
      <c r="F6011" s="115">
        <f>IFERROR(__xludf.DUMMYFUNCTION("""COMPUTED_VALUE"""),8697.0)</f>
        <v>8697</v>
      </c>
      <c r="G6011" s="115">
        <f>IFERROR(__xludf.DUMMYFUNCTION("""COMPUTED_VALUE"""),577.0)</f>
        <v>577</v>
      </c>
      <c r="H6011" s="116">
        <f>IFERROR(__xludf.DUMMYFUNCTION("""COMPUTED_VALUE"""),45911.0)</f>
        <v>45911</v>
      </c>
      <c r="I6011" s="115" t="str">
        <f>IFERROR(__xludf.DUMMYFUNCTION("""COMPUTED_VALUE"""),"18")</f>
        <v>18</v>
      </c>
      <c r="J6011" s="115"/>
      <c r="K6011" s="115"/>
    </row>
    <row r="6012">
      <c r="A6012" s="115" t="str">
        <f>IFERROR(__xludf.DUMMYFUNCTION("""COMPUTED_VALUE"""),"EAST")</f>
        <v>EAST</v>
      </c>
      <c r="B6012" s="115" t="str">
        <f>IFERROR(__xludf.DUMMYFUNCTION("""COMPUTED_VALUE"""),"Girish Chand")</f>
        <v>Girish Chand</v>
      </c>
      <c r="C6012" s="115" t="str">
        <f>IFERROR(__xludf.DUMMYFUNCTION("""COMPUTED_VALUE"""),"FLIPKART")</f>
        <v>FLIPKART</v>
      </c>
      <c r="D6012" s="115">
        <f>IFERROR(__xludf.DUMMYFUNCTION("""COMPUTED_VALUE"""),420864.0)</f>
        <v>420864</v>
      </c>
      <c r="E6012" s="115">
        <f>IFERROR(__xludf.DUMMYFUNCTION("""COMPUTED_VALUE"""),37041.0)</f>
        <v>37041</v>
      </c>
      <c r="F6012" s="115">
        <f>IFERROR(__xludf.DUMMYFUNCTION("""COMPUTED_VALUE"""),305738.0)</f>
        <v>305738</v>
      </c>
      <c r="G6012" s="115">
        <f>IFERROR(__xludf.DUMMYFUNCTION("""COMPUTED_VALUE"""),19582.0)</f>
        <v>19582</v>
      </c>
      <c r="H6012" s="116">
        <f>IFERROR(__xludf.DUMMYFUNCTION("""COMPUTED_VALUE"""),45911.0)</f>
        <v>45911</v>
      </c>
      <c r="I6012" s="115" t="str">
        <f>IFERROR(__xludf.DUMMYFUNCTION("""COMPUTED_VALUE"""),"18")</f>
        <v>18</v>
      </c>
      <c r="J6012" s="115"/>
      <c r="K6012" s="115"/>
    </row>
    <row r="6013">
      <c r="A6013" s="115" t="str">
        <f>IFERROR(__xludf.DUMMYFUNCTION("""COMPUTED_VALUE"""),"EAST")</f>
        <v>EAST</v>
      </c>
      <c r="B6013" s="115" t="str">
        <f>IFERROR(__xludf.DUMMYFUNCTION("""COMPUTED_VALUE"""),"Girish Chand")</f>
        <v>Girish Chand</v>
      </c>
      <c r="C6013" s="115" t="str">
        <f>IFERROR(__xludf.DUMMYFUNCTION("""COMPUTED_VALUE"""),"MYNTRA")</f>
        <v>MYNTRA</v>
      </c>
      <c r="D6013" s="115">
        <f>IFERROR(__xludf.DUMMYFUNCTION("""COMPUTED_VALUE"""),33150.0)</f>
        <v>33150</v>
      </c>
      <c r="E6013" s="115">
        <f>IFERROR(__xludf.DUMMYFUNCTION("""COMPUTED_VALUE"""),7679.0)</f>
        <v>7679</v>
      </c>
      <c r="F6013" s="115">
        <f>IFERROR(__xludf.DUMMYFUNCTION("""COMPUTED_VALUE"""),25120.0)</f>
        <v>25120</v>
      </c>
      <c r="G6013" s="115">
        <f>IFERROR(__xludf.DUMMYFUNCTION("""COMPUTED_VALUE"""),4344.0)</f>
        <v>4344</v>
      </c>
      <c r="H6013" s="116">
        <f>IFERROR(__xludf.DUMMYFUNCTION("""COMPUTED_VALUE"""),45911.0)</f>
        <v>45911</v>
      </c>
      <c r="I6013" s="115" t="str">
        <f>IFERROR(__xludf.DUMMYFUNCTION("""COMPUTED_VALUE"""),"18")</f>
        <v>18</v>
      </c>
      <c r="J6013" s="115"/>
      <c r="K6013" s="115"/>
    </row>
    <row r="6014">
      <c r="A6014" s="115" t="str">
        <f>IFERROR(__xludf.DUMMYFUNCTION("""COMPUTED_VALUE"""),"EAST")</f>
        <v>EAST</v>
      </c>
      <c r="B6014" s="115" t="str">
        <f>IFERROR(__xludf.DUMMYFUNCTION("""COMPUTED_VALUE"""),"Parag Kashyap")</f>
        <v>Parag Kashyap</v>
      </c>
      <c r="C6014" s="115" t="str">
        <f>IFERROR(__xludf.DUMMYFUNCTION("""COMPUTED_VALUE"""),"EXTERNAL")</f>
        <v>EXTERNAL</v>
      </c>
      <c r="D6014" s="115">
        <f>IFERROR(__xludf.DUMMYFUNCTION("""COMPUTED_VALUE"""),16124.0)</f>
        <v>16124</v>
      </c>
      <c r="E6014" s="115">
        <f>IFERROR(__xludf.DUMMYFUNCTION("""COMPUTED_VALUE"""),1188.0)</f>
        <v>1188</v>
      </c>
      <c r="F6014" s="115">
        <f>IFERROR(__xludf.DUMMYFUNCTION("""COMPUTED_VALUE"""),6820.0)</f>
        <v>6820</v>
      </c>
      <c r="G6014" s="115">
        <f>IFERROR(__xludf.DUMMYFUNCTION("""COMPUTED_VALUE"""),288.0)</f>
        <v>288</v>
      </c>
      <c r="H6014" s="116">
        <f>IFERROR(__xludf.DUMMYFUNCTION("""COMPUTED_VALUE"""),45911.0)</f>
        <v>45911</v>
      </c>
      <c r="I6014" s="115" t="str">
        <f>IFERROR(__xludf.DUMMYFUNCTION("""COMPUTED_VALUE"""),"18")</f>
        <v>18</v>
      </c>
      <c r="J6014" s="115"/>
      <c r="K6014" s="115"/>
    </row>
    <row r="6015">
      <c r="A6015" s="115" t="str">
        <f>IFERROR(__xludf.DUMMYFUNCTION("""COMPUTED_VALUE"""),"EAST")</f>
        <v>EAST</v>
      </c>
      <c r="B6015" s="115" t="str">
        <f>IFERROR(__xludf.DUMMYFUNCTION("""COMPUTED_VALUE"""),"Parag Kashyap")</f>
        <v>Parag Kashyap</v>
      </c>
      <c r="C6015" s="115" t="str">
        <f>IFERROR(__xludf.DUMMYFUNCTION("""COMPUTED_VALUE"""),"FLIPKART")</f>
        <v>FLIPKART</v>
      </c>
      <c r="D6015" s="115">
        <f>IFERROR(__xludf.DUMMYFUNCTION("""COMPUTED_VALUE"""),286590.0)</f>
        <v>286590</v>
      </c>
      <c r="E6015" s="115">
        <f>IFERROR(__xludf.DUMMYFUNCTION("""COMPUTED_VALUE"""),19081.0)</f>
        <v>19081</v>
      </c>
      <c r="F6015" s="115">
        <f>IFERROR(__xludf.DUMMYFUNCTION("""COMPUTED_VALUE"""),208891.0)</f>
        <v>208891</v>
      </c>
      <c r="G6015" s="115">
        <f>IFERROR(__xludf.DUMMYFUNCTION("""COMPUTED_VALUE"""),7894.0)</f>
        <v>7894</v>
      </c>
      <c r="H6015" s="116">
        <f>IFERROR(__xludf.DUMMYFUNCTION("""COMPUTED_VALUE"""),45911.0)</f>
        <v>45911</v>
      </c>
      <c r="I6015" s="115" t="str">
        <f>IFERROR(__xludf.DUMMYFUNCTION("""COMPUTED_VALUE"""),"18")</f>
        <v>18</v>
      </c>
      <c r="J6015" s="115"/>
      <c r="K6015" s="115"/>
    </row>
    <row r="6016">
      <c r="A6016" s="115" t="str">
        <f>IFERROR(__xludf.DUMMYFUNCTION("""COMPUTED_VALUE"""),"EAST")</f>
        <v>EAST</v>
      </c>
      <c r="B6016" s="115" t="str">
        <f>IFERROR(__xludf.DUMMYFUNCTION("""COMPUTED_VALUE"""),"Parag Kashyap")</f>
        <v>Parag Kashyap</v>
      </c>
      <c r="C6016" s="115" t="str">
        <f>IFERROR(__xludf.DUMMYFUNCTION("""COMPUTED_VALUE"""),"MYNTRA")</f>
        <v>MYNTRA</v>
      </c>
      <c r="D6016" s="115">
        <f>IFERROR(__xludf.DUMMYFUNCTION("""COMPUTED_VALUE"""),37505.0)</f>
        <v>37505</v>
      </c>
      <c r="E6016" s="115">
        <f>IFERROR(__xludf.DUMMYFUNCTION("""COMPUTED_VALUE"""),6047.0)</f>
        <v>6047</v>
      </c>
      <c r="F6016" s="115">
        <f>IFERROR(__xludf.DUMMYFUNCTION("""COMPUTED_VALUE"""),28285.0)</f>
        <v>28285</v>
      </c>
      <c r="G6016" s="115">
        <f>IFERROR(__xludf.DUMMYFUNCTION("""COMPUTED_VALUE"""),2569.0)</f>
        <v>2569</v>
      </c>
      <c r="H6016" s="116">
        <f>IFERROR(__xludf.DUMMYFUNCTION("""COMPUTED_VALUE"""),45911.0)</f>
        <v>45911</v>
      </c>
      <c r="I6016" s="115" t="str">
        <f>IFERROR(__xludf.DUMMYFUNCTION("""COMPUTED_VALUE"""),"18")</f>
        <v>18</v>
      </c>
      <c r="J6016" s="115"/>
      <c r="K6016" s="115"/>
    </row>
    <row r="6017">
      <c r="A6017" s="115" t="str">
        <f>IFERROR(__xludf.DUMMYFUNCTION("""COMPUTED_VALUE"""),"NORTH")</f>
        <v>NORTH</v>
      </c>
      <c r="B6017" s="115" t="str">
        <f>IFERROR(__xludf.DUMMYFUNCTION("""COMPUTED_VALUE"""),"Amit Kumar Pathak")</f>
        <v>Amit Kumar Pathak</v>
      </c>
      <c r="C6017" s="115" t="str">
        <f>IFERROR(__xludf.DUMMYFUNCTION("""COMPUTED_VALUE"""),"EXTERNAL")</f>
        <v>EXTERNAL</v>
      </c>
      <c r="D6017" s="115">
        <f>IFERROR(__xludf.DUMMYFUNCTION("""COMPUTED_VALUE"""),26184.0)</f>
        <v>26184</v>
      </c>
      <c r="E6017" s="115">
        <f>IFERROR(__xludf.DUMMYFUNCTION("""COMPUTED_VALUE"""),3109.0)</f>
        <v>3109</v>
      </c>
      <c r="F6017" s="115">
        <f>IFERROR(__xludf.DUMMYFUNCTION("""COMPUTED_VALUE"""),10132.0)</f>
        <v>10132</v>
      </c>
      <c r="G6017" s="115">
        <f>IFERROR(__xludf.DUMMYFUNCTION("""COMPUTED_VALUE"""),1385.0)</f>
        <v>1385</v>
      </c>
      <c r="H6017" s="116">
        <f>IFERROR(__xludf.DUMMYFUNCTION("""COMPUTED_VALUE"""),45911.0)</f>
        <v>45911</v>
      </c>
      <c r="I6017" s="115" t="str">
        <f>IFERROR(__xludf.DUMMYFUNCTION("""COMPUTED_VALUE"""),"18")</f>
        <v>18</v>
      </c>
      <c r="J6017" s="115"/>
      <c r="K6017" s="115"/>
    </row>
    <row r="6018">
      <c r="A6018" s="115" t="str">
        <f>IFERROR(__xludf.DUMMYFUNCTION("""COMPUTED_VALUE"""),"NORTH")</f>
        <v>NORTH</v>
      </c>
      <c r="B6018" s="115" t="str">
        <f>IFERROR(__xludf.DUMMYFUNCTION("""COMPUTED_VALUE"""),"Amit Kumar Pathak")</f>
        <v>Amit Kumar Pathak</v>
      </c>
      <c r="C6018" s="115" t="str">
        <f>IFERROR(__xludf.DUMMYFUNCTION("""COMPUTED_VALUE"""),"FLIPKART")</f>
        <v>FLIPKART</v>
      </c>
      <c r="D6018" s="115">
        <f>IFERROR(__xludf.DUMMYFUNCTION("""COMPUTED_VALUE"""),187636.0)</f>
        <v>187636</v>
      </c>
      <c r="E6018" s="115">
        <f>IFERROR(__xludf.DUMMYFUNCTION("""COMPUTED_VALUE"""),21548.0)</f>
        <v>21548</v>
      </c>
      <c r="F6018" s="115">
        <f>IFERROR(__xludf.DUMMYFUNCTION("""COMPUTED_VALUE"""),131862.0)</f>
        <v>131862</v>
      </c>
      <c r="G6018" s="115">
        <f>IFERROR(__xludf.DUMMYFUNCTION("""COMPUTED_VALUE"""),11677.0)</f>
        <v>11677</v>
      </c>
      <c r="H6018" s="116">
        <f>IFERROR(__xludf.DUMMYFUNCTION("""COMPUTED_VALUE"""),45911.0)</f>
        <v>45911</v>
      </c>
      <c r="I6018" s="115" t="str">
        <f>IFERROR(__xludf.DUMMYFUNCTION("""COMPUTED_VALUE"""),"18")</f>
        <v>18</v>
      </c>
      <c r="J6018" s="115"/>
      <c r="K6018" s="115"/>
    </row>
    <row r="6019">
      <c r="A6019" s="115" t="str">
        <f>IFERROR(__xludf.DUMMYFUNCTION("""COMPUTED_VALUE"""),"NORTH")</f>
        <v>NORTH</v>
      </c>
      <c r="B6019" s="115" t="str">
        <f>IFERROR(__xludf.DUMMYFUNCTION("""COMPUTED_VALUE"""),"Amit Kumar Pathak")</f>
        <v>Amit Kumar Pathak</v>
      </c>
      <c r="C6019" s="115" t="str">
        <f>IFERROR(__xludf.DUMMYFUNCTION("""COMPUTED_VALUE"""),"MYNTRA")</f>
        <v>MYNTRA</v>
      </c>
      <c r="D6019" s="115">
        <f>IFERROR(__xludf.DUMMYFUNCTION("""COMPUTED_VALUE"""),14928.0)</f>
        <v>14928</v>
      </c>
      <c r="E6019" s="115">
        <f>IFERROR(__xludf.DUMMYFUNCTION("""COMPUTED_VALUE"""),5181.0)</f>
        <v>5181</v>
      </c>
      <c r="F6019" s="115">
        <f>IFERROR(__xludf.DUMMYFUNCTION("""COMPUTED_VALUE"""),11758.0)</f>
        <v>11758</v>
      </c>
      <c r="G6019" s="115">
        <f>IFERROR(__xludf.DUMMYFUNCTION("""COMPUTED_VALUE"""),3113.0)</f>
        <v>3113</v>
      </c>
      <c r="H6019" s="116">
        <f>IFERROR(__xludf.DUMMYFUNCTION("""COMPUTED_VALUE"""),45911.0)</f>
        <v>45911</v>
      </c>
      <c r="I6019" s="115" t="str">
        <f>IFERROR(__xludf.DUMMYFUNCTION("""COMPUTED_VALUE"""),"18")</f>
        <v>18</v>
      </c>
      <c r="J6019" s="115"/>
      <c r="K6019" s="115"/>
    </row>
    <row r="6020">
      <c r="A6020" s="115" t="str">
        <f>IFERROR(__xludf.DUMMYFUNCTION("""COMPUTED_VALUE"""),"NORTH")</f>
        <v>NORTH</v>
      </c>
      <c r="B6020" s="115" t="str">
        <f>IFERROR(__xludf.DUMMYFUNCTION("""COMPUTED_VALUE"""),"Loveleen Singh")</f>
        <v>Loveleen Singh</v>
      </c>
      <c r="C6020" s="115" t="str">
        <f>IFERROR(__xludf.DUMMYFUNCTION("""COMPUTED_VALUE"""),"EXTERNAL")</f>
        <v>EXTERNAL</v>
      </c>
      <c r="D6020" s="115">
        <f>IFERROR(__xludf.DUMMYFUNCTION("""COMPUTED_VALUE"""),30342.0)</f>
        <v>30342</v>
      </c>
      <c r="E6020" s="115">
        <f>IFERROR(__xludf.DUMMYFUNCTION("""COMPUTED_VALUE"""),2321.0)</f>
        <v>2321</v>
      </c>
      <c r="F6020" s="115">
        <f>IFERROR(__xludf.DUMMYFUNCTION("""COMPUTED_VALUE"""),12153.0)</f>
        <v>12153</v>
      </c>
      <c r="G6020" s="115">
        <f>IFERROR(__xludf.DUMMYFUNCTION("""COMPUTED_VALUE"""),653.0)</f>
        <v>653</v>
      </c>
      <c r="H6020" s="116">
        <f>IFERROR(__xludf.DUMMYFUNCTION("""COMPUTED_VALUE"""),45911.0)</f>
        <v>45911</v>
      </c>
      <c r="I6020" s="115" t="str">
        <f>IFERROR(__xludf.DUMMYFUNCTION("""COMPUTED_VALUE"""),"18")</f>
        <v>18</v>
      </c>
      <c r="J6020" s="115"/>
      <c r="K6020" s="115"/>
    </row>
    <row r="6021">
      <c r="A6021" s="115" t="str">
        <f>IFERROR(__xludf.DUMMYFUNCTION("""COMPUTED_VALUE"""),"NORTH")</f>
        <v>NORTH</v>
      </c>
      <c r="B6021" s="115" t="str">
        <f>IFERROR(__xludf.DUMMYFUNCTION("""COMPUTED_VALUE"""),"Loveleen Singh")</f>
        <v>Loveleen Singh</v>
      </c>
      <c r="C6021" s="115" t="str">
        <f>IFERROR(__xludf.DUMMYFUNCTION("""COMPUTED_VALUE"""),"FLIPKART")</f>
        <v>FLIPKART</v>
      </c>
      <c r="D6021" s="115">
        <f>IFERROR(__xludf.DUMMYFUNCTION("""COMPUTED_VALUE"""),195154.0)</f>
        <v>195154</v>
      </c>
      <c r="E6021" s="115">
        <f>IFERROR(__xludf.DUMMYFUNCTION("""COMPUTED_VALUE"""),14329.0)</f>
        <v>14329</v>
      </c>
      <c r="F6021" s="115">
        <f>IFERROR(__xludf.DUMMYFUNCTION("""COMPUTED_VALUE"""),143279.0)</f>
        <v>143279</v>
      </c>
      <c r="G6021" s="115">
        <f>IFERROR(__xludf.DUMMYFUNCTION("""COMPUTED_VALUE"""),6842.0)</f>
        <v>6842</v>
      </c>
      <c r="H6021" s="116">
        <f>IFERROR(__xludf.DUMMYFUNCTION("""COMPUTED_VALUE"""),45911.0)</f>
        <v>45911</v>
      </c>
      <c r="I6021" s="115" t="str">
        <f>IFERROR(__xludf.DUMMYFUNCTION("""COMPUTED_VALUE"""),"18")</f>
        <v>18</v>
      </c>
      <c r="J6021" s="115"/>
      <c r="K6021" s="115"/>
    </row>
    <row r="6022">
      <c r="A6022" s="115" t="str">
        <f>IFERROR(__xludf.DUMMYFUNCTION("""COMPUTED_VALUE"""),"NORTH")</f>
        <v>NORTH</v>
      </c>
      <c r="B6022" s="115" t="str">
        <f>IFERROR(__xludf.DUMMYFUNCTION("""COMPUTED_VALUE"""),"Loveleen Singh")</f>
        <v>Loveleen Singh</v>
      </c>
      <c r="C6022" s="115" t="str">
        <f>IFERROR(__xludf.DUMMYFUNCTION("""COMPUTED_VALUE"""),"MYNTRA")</f>
        <v>MYNTRA</v>
      </c>
      <c r="D6022" s="115">
        <f>IFERROR(__xludf.DUMMYFUNCTION("""COMPUTED_VALUE"""),29115.0)</f>
        <v>29115</v>
      </c>
      <c r="E6022" s="115">
        <f>IFERROR(__xludf.DUMMYFUNCTION("""COMPUTED_VALUE"""),6581.0)</f>
        <v>6581</v>
      </c>
      <c r="F6022" s="115">
        <f>IFERROR(__xludf.DUMMYFUNCTION("""COMPUTED_VALUE"""),22988.0)</f>
        <v>22988</v>
      </c>
      <c r="G6022" s="115">
        <f>IFERROR(__xludf.DUMMYFUNCTION("""COMPUTED_VALUE"""),3608.0)</f>
        <v>3608</v>
      </c>
      <c r="H6022" s="116">
        <f>IFERROR(__xludf.DUMMYFUNCTION("""COMPUTED_VALUE"""),45911.0)</f>
        <v>45911</v>
      </c>
      <c r="I6022" s="115" t="str">
        <f>IFERROR(__xludf.DUMMYFUNCTION("""COMPUTED_VALUE"""),"18")</f>
        <v>18</v>
      </c>
      <c r="J6022" s="115"/>
      <c r="K6022" s="115"/>
    </row>
    <row r="6023">
      <c r="A6023" s="115" t="str">
        <f>IFERROR(__xludf.DUMMYFUNCTION("""COMPUTED_VALUE"""),"NORTH")</f>
        <v>NORTH</v>
      </c>
      <c r="B6023" s="115" t="str">
        <f>IFERROR(__xludf.DUMMYFUNCTION("""COMPUTED_VALUE"""),"Manoj Harsh")</f>
        <v>Manoj Harsh</v>
      </c>
      <c r="C6023" s="115" t="str">
        <f>IFERROR(__xludf.DUMMYFUNCTION("""COMPUTED_VALUE"""),"EXTERNAL")</f>
        <v>EXTERNAL</v>
      </c>
      <c r="D6023" s="115">
        <f>IFERROR(__xludf.DUMMYFUNCTION("""COMPUTED_VALUE"""),32808.0)</f>
        <v>32808</v>
      </c>
      <c r="E6023" s="115">
        <f>IFERROR(__xludf.DUMMYFUNCTION("""COMPUTED_VALUE"""),2807.0)</f>
        <v>2807</v>
      </c>
      <c r="F6023" s="115">
        <f>IFERROR(__xludf.DUMMYFUNCTION("""COMPUTED_VALUE"""),14578.0)</f>
        <v>14578</v>
      </c>
      <c r="G6023" s="115">
        <f>IFERROR(__xludf.DUMMYFUNCTION("""COMPUTED_VALUE"""),880.0)</f>
        <v>880</v>
      </c>
      <c r="H6023" s="116">
        <f>IFERROR(__xludf.DUMMYFUNCTION("""COMPUTED_VALUE"""),45911.0)</f>
        <v>45911</v>
      </c>
      <c r="I6023" s="115" t="str">
        <f>IFERROR(__xludf.DUMMYFUNCTION("""COMPUTED_VALUE"""),"18")</f>
        <v>18</v>
      </c>
      <c r="J6023" s="115"/>
      <c r="K6023" s="115"/>
    </row>
    <row r="6024">
      <c r="A6024" s="115" t="str">
        <f>IFERROR(__xludf.DUMMYFUNCTION("""COMPUTED_VALUE"""),"NORTH")</f>
        <v>NORTH</v>
      </c>
      <c r="B6024" s="115" t="str">
        <f>IFERROR(__xludf.DUMMYFUNCTION("""COMPUTED_VALUE"""),"Manoj Harsh")</f>
        <v>Manoj Harsh</v>
      </c>
      <c r="C6024" s="115" t="str">
        <f>IFERROR(__xludf.DUMMYFUNCTION("""COMPUTED_VALUE"""),"FLIPKART")</f>
        <v>FLIPKART</v>
      </c>
      <c r="D6024" s="115">
        <f>IFERROR(__xludf.DUMMYFUNCTION("""COMPUTED_VALUE"""),440393.0)</f>
        <v>440393</v>
      </c>
      <c r="E6024" s="115">
        <f>IFERROR(__xludf.DUMMYFUNCTION("""COMPUTED_VALUE"""),36308.0)</f>
        <v>36308</v>
      </c>
      <c r="F6024" s="115">
        <f>IFERROR(__xludf.DUMMYFUNCTION("""COMPUTED_VALUE"""),321267.0)</f>
        <v>321267</v>
      </c>
      <c r="G6024" s="115">
        <f>IFERROR(__xludf.DUMMYFUNCTION("""COMPUTED_VALUE"""),18448.0)</f>
        <v>18448</v>
      </c>
      <c r="H6024" s="116">
        <f>IFERROR(__xludf.DUMMYFUNCTION("""COMPUTED_VALUE"""),45911.0)</f>
        <v>45911</v>
      </c>
      <c r="I6024" s="115" t="str">
        <f>IFERROR(__xludf.DUMMYFUNCTION("""COMPUTED_VALUE"""),"18")</f>
        <v>18</v>
      </c>
      <c r="J6024" s="115"/>
      <c r="K6024" s="115"/>
    </row>
    <row r="6025">
      <c r="A6025" s="115" t="str">
        <f>IFERROR(__xludf.DUMMYFUNCTION("""COMPUTED_VALUE"""),"NORTH")</f>
        <v>NORTH</v>
      </c>
      <c r="B6025" s="115" t="str">
        <f>IFERROR(__xludf.DUMMYFUNCTION("""COMPUTED_VALUE"""),"Manoj Harsh")</f>
        <v>Manoj Harsh</v>
      </c>
      <c r="C6025" s="115" t="str">
        <f>IFERROR(__xludf.DUMMYFUNCTION("""COMPUTED_VALUE"""),"MYNTRA")</f>
        <v>MYNTRA</v>
      </c>
      <c r="D6025" s="115">
        <f>IFERROR(__xludf.DUMMYFUNCTION("""COMPUTED_VALUE"""),33794.0)</f>
        <v>33794</v>
      </c>
      <c r="E6025" s="115">
        <f>IFERROR(__xludf.DUMMYFUNCTION("""COMPUTED_VALUE"""),7454.0)</f>
        <v>7454</v>
      </c>
      <c r="F6025" s="115">
        <f>IFERROR(__xludf.DUMMYFUNCTION("""COMPUTED_VALUE"""),26251.0)</f>
        <v>26251</v>
      </c>
      <c r="G6025" s="115">
        <f>IFERROR(__xludf.DUMMYFUNCTION("""COMPUTED_VALUE"""),4255.0)</f>
        <v>4255</v>
      </c>
      <c r="H6025" s="116">
        <f>IFERROR(__xludf.DUMMYFUNCTION("""COMPUTED_VALUE"""),45911.0)</f>
        <v>45911</v>
      </c>
      <c r="I6025" s="115" t="str">
        <f>IFERROR(__xludf.DUMMYFUNCTION("""COMPUTED_VALUE"""),"18")</f>
        <v>18</v>
      </c>
      <c r="J6025" s="115"/>
      <c r="K6025" s="115"/>
    </row>
    <row r="6026">
      <c r="A6026" s="115" t="str">
        <f>IFERROR(__xludf.DUMMYFUNCTION("""COMPUTED_VALUE"""),"NORTH")</f>
        <v>NORTH</v>
      </c>
      <c r="B6026" s="115" t="str">
        <f>IFERROR(__xludf.DUMMYFUNCTION("""COMPUTED_VALUE"""),"Pradeep Kothari")</f>
        <v>Pradeep Kothari</v>
      </c>
      <c r="C6026" s="115" t="str">
        <f>IFERROR(__xludf.DUMMYFUNCTION("""COMPUTED_VALUE"""),"EXTERNAL")</f>
        <v>EXTERNAL</v>
      </c>
      <c r="D6026" s="115">
        <f>IFERROR(__xludf.DUMMYFUNCTION("""COMPUTED_VALUE"""),18617.0)</f>
        <v>18617</v>
      </c>
      <c r="E6026" s="115">
        <f>IFERROR(__xludf.DUMMYFUNCTION("""COMPUTED_VALUE"""),2048.0)</f>
        <v>2048</v>
      </c>
      <c r="F6026" s="115">
        <f>IFERROR(__xludf.DUMMYFUNCTION("""COMPUTED_VALUE"""),8029.0)</f>
        <v>8029</v>
      </c>
      <c r="G6026" s="115">
        <f>IFERROR(__xludf.DUMMYFUNCTION("""COMPUTED_VALUE"""),794.0)</f>
        <v>794</v>
      </c>
      <c r="H6026" s="116">
        <f>IFERROR(__xludf.DUMMYFUNCTION("""COMPUTED_VALUE"""),45911.0)</f>
        <v>45911</v>
      </c>
      <c r="I6026" s="115" t="str">
        <f>IFERROR(__xludf.DUMMYFUNCTION("""COMPUTED_VALUE"""),"18")</f>
        <v>18</v>
      </c>
      <c r="J6026" s="115"/>
      <c r="K6026" s="115"/>
    </row>
    <row r="6027">
      <c r="A6027" s="115" t="str">
        <f>IFERROR(__xludf.DUMMYFUNCTION("""COMPUTED_VALUE"""),"NORTH")</f>
        <v>NORTH</v>
      </c>
      <c r="B6027" s="115" t="str">
        <f>IFERROR(__xludf.DUMMYFUNCTION("""COMPUTED_VALUE"""),"Pradeep Kothari")</f>
        <v>Pradeep Kothari</v>
      </c>
      <c r="C6027" s="115" t="str">
        <f>IFERROR(__xludf.DUMMYFUNCTION("""COMPUTED_VALUE"""),"FLIPKART")</f>
        <v>FLIPKART</v>
      </c>
      <c r="D6027" s="115">
        <f>IFERROR(__xludf.DUMMYFUNCTION("""COMPUTED_VALUE"""),161898.0)</f>
        <v>161898</v>
      </c>
      <c r="E6027" s="115">
        <f>IFERROR(__xludf.DUMMYFUNCTION("""COMPUTED_VALUE"""),16640.0)</f>
        <v>16640</v>
      </c>
      <c r="F6027" s="115">
        <f>IFERROR(__xludf.DUMMYFUNCTION("""COMPUTED_VALUE"""),123017.0)</f>
        <v>123017</v>
      </c>
      <c r="G6027" s="115">
        <f>IFERROR(__xludf.DUMMYFUNCTION("""COMPUTED_VALUE"""),9590.0)</f>
        <v>9590</v>
      </c>
      <c r="H6027" s="116">
        <f>IFERROR(__xludf.DUMMYFUNCTION("""COMPUTED_VALUE"""),45911.0)</f>
        <v>45911</v>
      </c>
      <c r="I6027" s="115" t="str">
        <f>IFERROR(__xludf.DUMMYFUNCTION("""COMPUTED_VALUE"""),"18")</f>
        <v>18</v>
      </c>
      <c r="J6027" s="115"/>
      <c r="K6027" s="115"/>
    </row>
    <row r="6028">
      <c r="A6028" s="115" t="str">
        <f>IFERROR(__xludf.DUMMYFUNCTION("""COMPUTED_VALUE"""),"NORTH")</f>
        <v>NORTH</v>
      </c>
      <c r="B6028" s="115" t="str">
        <f>IFERROR(__xludf.DUMMYFUNCTION("""COMPUTED_VALUE"""),"Pradeep Kothari")</f>
        <v>Pradeep Kothari</v>
      </c>
      <c r="C6028" s="115" t="str">
        <f>IFERROR(__xludf.DUMMYFUNCTION("""COMPUTED_VALUE"""),"MYNTRA")</f>
        <v>MYNTRA</v>
      </c>
      <c r="D6028" s="115">
        <f>IFERROR(__xludf.DUMMYFUNCTION("""COMPUTED_VALUE"""),24232.0)</f>
        <v>24232</v>
      </c>
      <c r="E6028" s="115">
        <f>IFERROR(__xludf.DUMMYFUNCTION("""COMPUTED_VALUE"""),6272.0)</f>
        <v>6272</v>
      </c>
      <c r="F6028" s="115">
        <f>IFERROR(__xludf.DUMMYFUNCTION("""COMPUTED_VALUE"""),19829.0)</f>
        <v>19829</v>
      </c>
      <c r="G6028" s="115">
        <f>IFERROR(__xludf.DUMMYFUNCTION("""COMPUTED_VALUE"""),4177.0)</f>
        <v>4177</v>
      </c>
      <c r="H6028" s="116">
        <f>IFERROR(__xludf.DUMMYFUNCTION("""COMPUTED_VALUE"""),45911.0)</f>
        <v>45911</v>
      </c>
      <c r="I6028" s="115" t="str">
        <f>IFERROR(__xludf.DUMMYFUNCTION("""COMPUTED_VALUE"""),"18")</f>
        <v>18</v>
      </c>
      <c r="J6028" s="115"/>
      <c r="K6028" s="115"/>
    </row>
    <row r="6029">
      <c r="A6029" s="115" t="str">
        <f>IFERROR(__xludf.DUMMYFUNCTION("""COMPUTED_VALUE"""),"SOUTH")</f>
        <v>SOUTH</v>
      </c>
      <c r="B6029" s="115" t="str">
        <f>IFERROR(__xludf.DUMMYFUNCTION("""COMPUTED_VALUE"""),"Kandula Sampath")</f>
        <v>Kandula Sampath</v>
      </c>
      <c r="C6029" s="115" t="str">
        <f>IFERROR(__xludf.DUMMYFUNCTION("""COMPUTED_VALUE"""),"EXTERNAL")</f>
        <v>EXTERNAL</v>
      </c>
      <c r="D6029" s="115">
        <f>IFERROR(__xludf.DUMMYFUNCTION("""COMPUTED_VALUE"""),34042.0)</f>
        <v>34042</v>
      </c>
      <c r="E6029" s="115">
        <f>IFERROR(__xludf.DUMMYFUNCTION("""COMPUTED_VALUE"""),4905.0)</f>
        <v>4905</v>
      </c>
      <c r="F6029" s="115">
        <f>IFERROR(__xludf.DUMMYFUNCTION("""COMPUTED_VALUE"""),14437.0)</f>
        <v>14437</v>
      </c>
      <c r="G6029" s="115">
        <f>IFERROR(__xludf.DUMMYFUNCTION("""COMPUTED_VALUE"""),1140.0)</f>
        <v>1140</v>
      </c>
      <c r="H6029" s="116">
        <f>IFERROR(__xludf.DUMMYFUNCTION("""COMPUTED_VALUE"""),45911.0)</f>
        <v>45911</v>
      </c>
      <c r="I6029" s="115" t="str">
        <f>IFERROR(__xludf.DUMMYFUNCTION("""COMPUTED_VALUE"""),"18")</f>
        <v>18</v>
      </c>
      <c r="J6029" s="115"/>
      <c r="K6029" s="115"/>
    </row>
    <row r="6030">
      <c r="A6030" s="115" t="str">
        <f>IFERROR(__xludf.DUMMYFUNCTION("""COMPUTED_VALUE"""),"SOUTH")</f>
        <v>SOUTH</v>
      </c>
      <c r="B6030" s="115" t="str">
        <f>IFERROR(__xludf.DUMMYFUNCTION("""COMPUTED_VALUE"""),"Kandula Sampath")</f>
        <v>Kandula Sampath</v>
      </c>
      <c r="C6030" s="115" t="str">
        <f>IFERROR(__xludf.DUMMYFUNCTION("""COMPUTED_VALUE"""),"FLIPKART")</f>
        <v>FLIPKART</v>
      </c>
      <c r="D6030" s="115">
        <f>IFERROR(__xludf.DUMMYFUNCTION("""COMPUTED_VALUE"""),356058.0)</f>
        <v>356058</v>
      </c>
      <c r="E6030" s="115">
        <f>IFERROR(__xludf.DUMMYFUNCTION("""COMPUTED_VALUE"""),29578.0)</f>
        <v>29578</v>
      </c>
      <c r="F6030" s="115">
        <f>IFERROR(__xludf.DUMMYFUNCTION("""COMPUTED_VALUE"""),247002.0)</f>
        <v>247002</v>
      </c>
      <c r="G6030" s="115">
        <f>IFERROR(__xludf.DUMMYFUNCTION("""COMPUTED_VALUE"""),11928.0)</f>
        <v>11928</v>
      </c>
      <c r="H6030" s="116">
        <f>IFERROR(__xludf.DUMMYFUNCTION("""COMPUTED_VALUE"""),45911.0)</f>
        <v>45911</v>
      </c>
      <c r="I6030" s="115" t="str">
        <f>IFERROR(__xludf.DUMMYFUNCTION("""COMPUTED_VALUE"""),"18")</f>
        <v>18</v>
      </c>
      <c r="J6030" s="115"/>
      <c r="K6030" s="115"/>
    </row>
    <row r="6031">
      <c r="A6031" s="115" t="str">
        <f>IFERROR(__xludf.DUMMYFUNCTION("""COMPUTED_VALUE"""),"SOUTH")</f>
        <v>SOUTH</v>
      </c>
      <c r="B6031" s="115" t="str">
        <f>IFERROR(__xludf.DUMMYFUNCTION("""COMPUTED_VALUE"""),"Kandula Sampath")</f>
        <v>Kandula Sampath</v>
      </c>
      <c r="C6031" s="115" t="str">
        <f>IFERROR(__xludf.DUMMYFUNCTION("""COMPUTED_VALUE"""),"MYNTRA")</f>
        <v>MYNTRA</v>
      </c>
      <c r="D6031" s="115">
        <f>IFERROR(__xludf.DUMMYFUNCTION("""COMPUTED_VALUE"""),36001.0)</f>
        <v>36001</v>
      </c>
      <c r="E6031" s="115">
        <f>IFERROR(__xludf.DUMMYFUNCTION("""COMPUTED_VALUE"""),8930.0)</f>
        <v>8930</v>
      </c>
      <c r="F6031" s="115">
        <f>IFERROR(__xludf.DUMMYFUNCTION("""COMPUTED_VALUE"""),26923.0)</f>
        <v>26923</v>
      </c>
      <c r="G6031" s="115">
        <f>IFERROR(__xludf.DUMMYFUNCTION("""COMPUTED_VALUE"""),3877.0)</f>
        <v>3877</v>
      </c>
      <c r="H6031" s="116">
        <f>IFERROR(__xludf.DUMMYFUNCTION("""COMPUTED_VALUE"""),45911.0)</f>
        <v>45911</v>
      </c>
      <c r="I6031" s="115" t="str">
        <f>IFERROR(__xludf.DUMMYFUNCTION("""COMPUTED_VALUE"""),"18")</f>
        <v>18</v>
      </c>
      <c r="J6031" s="115"/>
      <c r="K6031" s="115"/>
    </row>
    <row r="6032">
      <c r="A6032" s="115" t="str">
        <f>IFERROR(__xludf.DUMMYFUNCTION("""COMPUTED_VALUE"""),"SOUTH")</f>
        <v>SOUTH</v>
      </c>
      <c r="B6032" s="115" t="str">
        <f>IFERROR(__xludf.DUMMYFUNCTION("""COMPUTED_VALUE"""),"Martin A")</f>
        <v>Martin A</v>
      </c>
      <c r="C6032" s="115" t="str">
        <f>IFERROR(__xludf.DUMMYFUNCTION("""COMPUTED_VALUE"""),"EXTERNAL")</f>
        <v>EXTERNAL</v>
      </c>
      <c r="D6032" s="115">
        <f>IFERROR(__xludf.DUMMYFUNCTION("""COMPUTED_VALUE"""),29061.0)</f>
        <v>29061</v>
      </c>
      <c r="E6032" s="115">
        <f>IFERROR(__xludf.DUMMYFUNCTION("""COMPUTED_VALUE"""),4199.0)</f>
        <v>4199</v>
      </c>
      <c r="F6032" s="115">
        <f>IFERROR(__xludf.DUMMYFUNCTION("""COMPUTED_VALUE"""),12365.0)</f>
        <v>12365</v>
      </c>
      <c r="G6032" s="115">
        <f>IFERROR(__xludf.DUMMYFUNCTION("""COMPUTED_VALUE"""),1752.0)</f>
        <v>1752</v>
      </c>
      <c r="H6032" s="116">
        <f>IFERROR(__xludf.DUMMYFUNCTION("""COMPUTED_VALUE"""),45911.0)</f>
        <v>45911</v>
      </c>
      <c r="I6032" s="115" t="str">
        <f>IFERROR(__xludf.DUMMYFUNCTION("""COMPUTED_VALUE"""),"18")</f>
        <v>18</v>
      </c>
      <c r="J6032" s="115"/>
      <c r="K6032" s="115"/>
    </row>
    <row r="6033">
      <c r="A6033" s="115" t="str">
        <f>IFERROR(__xludf.DUMMYFUNCTION("""COMPUTED_VALUE"""),"SOUTH")</f>
        <v>SOUTH</v>
      </c>
      <c r="B6033" s="115" t="str">
        <f>IFERROR(__xludf.DUMMYFUNCTION("""COMPUTED_VALUE"""),"Martin A")</f>
        <v>Martin A</v>
      </c>
      <c r="C6033" s="115" t="str">
        <f>IFERROR(__xludf.DUMMYFUNCTION("""COMPUTED_VALUE"""),"FLIPKART")</f>
        <v>FLIPKART</v>
      </c>
      <c r="D6033" s="115">
        <f>IFERROR(__xludf.DUMMYFUNCTION("""COMPUTED_VALUE"""),275947.0)</f>
        <v>275947</v>
      </c>
      <c r="E6033" s="115">
        <f>IFERROR(__xludf.DUMMYFUNCTION("""COMPUTED_VALUE"""),27205.0)</f>
        <v>27205</v>
      </c>
      <c r="F6033" s="115">
        <f>IFERROR(__xludf.DUMMYFUNCTION("""COMPUTED_VALUE"""),198502.0)</f>
        <v>198502</v>
      </c>
      <c r="G6033" s="115">
        <f>IFERROR(__xludf.DUMMYFUNCTION("""COMPUTED_VALUE"""),13795.0)</f>
        <v>13795</v>
      </c>
      <c r="H6033" s="116">
        <f>IFERROR(__xludf.DUMMYFUNCTION("""COMPUTED_VALUE"""),45911.0)</f>
        <v>45911</v>
      </c>
      <c r="I6033" s="115" t="str">
        <f>IFERROR(__xludf.DUMMYFUNCTION("""COMPUTED_VALUE"""),"18")</f>
        <v>18</v>
      </c>
      <c r="J6033" s="115"/>
      <c r="K6033" s="115"/>
    </row>
    <row r="6034">
      <c r="A6034" s="115" t="str">
        <f>IFERROR(__xludf.DUMMYFUNCTION("""COMPUTED_VALUE"""),"SOUTH")</f>
        <v>SOUTH</v>
      </c>
      <c r="B6034" s="115" t="str">
        <f>IFERROR(__xludf.DUMMYFUNCTION("""COMPUTED_VALUE"""),"Martin A")</f>
        <v>Martin A</v>
      </c>
      <c r="C6034" s="115" t="str">
        <f>IFERROR(__xludf.DUMMYFUNCTION("""COMPUTED_VALUE"""),"MYNTRA")</f>
        <v>MYNTRA</v>
      </c>
      <c r="D6034" s="115">
        <f>IFERROR(__xludf.DUMMYFUNCTION("""COMPUTED_VALUE"""),22814.0)</f>
        <v>22814</v>
      </c>
      <c r="E6034" s="115">
        <f>IFERROR(__xludf.DUMMYFUNCTION("""COMPUTED_VALUE"""),7355.0)</f>
        <v>7355</v>
      </c>
      <c r="F6034" s="115">
        <f>IFERROR(__xludf.DUMMYFUNCTION("""COMPUTED_VALUE"""),18286.0)</f>
        <v>18286</v>
      </c>
      <c r="G6034" s="115">
        <f>IFERROR(__xludf.DUMMYFUNCTION("""COMPUTED_VALUE"""),4220.0)</f>
        <v>4220</v>
      </c>
      <c r="H6034" s="116">
        <f>IFERROR(__xludf.DUMMYFUNCTION("""COMPUTED_VALUE"""),45911.0)</f>
        <v>45911</v>
      </c>
      <c r="I6034" s="115" t="str">
        <f>IFERROR(__xludf.DUMMYFUNCTION("""COMPUTED_VALUE"""),"18")</f>
        <v>18</v>
      </c>
      <c r="J6034" s="115"/>
      <c r="K6034" s="115"/>
    </row>
    <row r="6035">
      <c r="A6035" s="115" t="str">
        <f>IFERROR(__xludf.DUMMYFUNCTION("""COMPUTED_VALUE"""),"SOUTH")</f>
        <v>SOUTH</v>
      </c>
      <c r="B6035" s="115" t="str">
        <f>IFERROR(__xludf.DUMMYFUNCTION("""COMPUTED_VALUE"""),"Premkumar M")</f>
        <v>Premkumar M</v>
      </c>
      <c r="C6035" s="115" t="str">
        <f>IFERROR(__xludf.DUMMYFUNCTION("""COMPUTED_VALUE"""),"EXTERNAL")</f>
        <v>EXTERNAL</v>
      </c>
      <c r="D6035" s="115">
        <f>IFERROR(__xludf.DUMMYFUNCTION("""COMPUTED_VALUE"""),26601.0)</f>
        <v>26601</v>
      </c>
      <c r="E6035" s="115">
        <f>IFERROR(__xludf.DUMMYFUNCTION("""COMPUTED_VALUE"""),2141.0)</f>
        <v>2141</v>
      </c>
      <c r="F6035" s="115">
        <f>IFERROR(__xludf.DUMMYFUNCTION("""COMPUTED_VALUE"""),12127.0)</f>
        <v>12127</v>
      </c>
      <c r="G6035" s="115">
        <f>IFERROR(__xludf.DUMMYFUNCTION("""COMPUTED_VALUE"""),393.0)</f>
        <v>393</v>
      </c>
      <c r="H6035" s="116">
        <f>IFERROR(__xludf.DUMMYFUNCTION("""COMPUTED_VALUE"""),45911.0)</f>
        <v>45911</v>
      </c>
      <c r="I6035" s="115" t="str">
        <f>IFERROR(__xludf.DUMMYFUNCTION("""COMPUTED_VALUE"""),"18")</f>
        <v>18</v>
      </c>
      <c r="J6035" s="115"/>
      <c r="K6035" s="115"/>
    </row>
    <row r="6036">
      <c r="A6036" s="115" t="str">
        <f>IFERROR(__xludf.DUMMYFUNCTION("""COMPUTED_VALUE"""),"SOUTH")</f>
        <v>SOUTH</v>
      </c>
      <c r="B6036" s="115" t="str">
        <f>IFERROR(__xludf.DUMMYFUNCTION("""COMPUTED_VALUE"""),"Premkumar M")</f>
        <v>Premkumar M</v>
      </c>
      <c r="C6036" s="115" t="str">
        <f>IFERROR(__xludf.DUMMYFUNCTION("""COMPUTED_VALUE"""),"FLIPKART")</f>
        <v>FLIPKART</v>
      </c>
      <c r="D6036" s="115">
        <f>IFERROR(__xludf.DUMMYFUNCTION("""COMPUTED_VALUE"""),287218.0)</f>
        <v>287218</v>
      </c>
      <c r="E6036" s="115">
        <f>IFERROR(__xludf.DUMMYFUNCTION("""COMPUTED_VALUE"""),17320.0)</f>
        <v>17320</v>
      </c>
      <c r="F6036" s="115">
        <f>IFERROR(__xludf.DUMMYFUNCTION("""COMPUTED_VALUE"""),195441.0)</f>
        <v>195441</v>
      </c>
      <c r="G6036" s="115">
        <f>IFERROR(__xludf.DUMMYFUNCTION("""COMPUTED_VALUE"""),4769.0)</f>
        <v>4769</v>
      </c>
      <c r="H6036" s="116">
        <f>IFERROR(__xludf.DUMMYFUNCTION("""COMPUTED_VALUE"""),45911.0)</f>
        <v>45911</v>
      </c>
      <c r="I6036" s="115" t="str">
        <f>IFERROR(__xludf.DUMMYFUNCTION("""COMPUTED_VALUE"""),"18")</f>
        <v>18</v>
      </c>
      <c r="J6036" s="115"/>
      <c r="K6036" s="115"/>
    </row>
    <row r="6037">
      <c r="A6037" s="115" t="str">
        <f>IFERROR(__xludf.DUMMYFUNCTION("""COMPUTED_VALUE"""),"SOUTH")</f>
        <v>SOUTH</v>
      </c>
      <c r="B6037" s="115" t="str">
        <f>IFERROR(__xludf.DUMMYFUNCTION("""COMPUTED_VALUE"""),"Premkumar M")</f>
        <v>Premkumar M</v>
      </c>
      <c r="C6037" s="115" t="str">
        <f>IFERROR(__xludf.DUMMYFUNCTION("""COMPUTED_VALUE"""),"MYNTRA")</f>
        <v>MYNTRA</v>
      </c>
      <c r="D6037" s="115">
        <f>IFERROR(__xludf.DUMMYFUNCTION("""COMPUTED_VALUE"""),13998.0)</f>
        <v>13998</v>
      </c>
      <c r="E6037" s="115">
        <f>IFERROR(__xludf.DUMMYFUNCTION("""COMPUTED_VALUE"""),2812.0)</f>
        <v>2812</v>
      </c>
      <c r="F6037" s="115">
        <f>IFERROR(__xludf.DUMMYFUNCTION("""COMPUTED_VALUE"""),10542.0)</f>
        <v>10542</v>
      </c>
      <c r="G6037" s="115">
        <f>IFERROR(__xludf.DUMMYFUNCTION("""COMPUTED_VALUE"""),911.0)</f>
        <v>911</v>
      </c>
      <c r="H6037" s="116">
        <f>IFERROR(__xludf.DUMMYFUNCTION("""COMPUTED_VALUE"""),45911.0)</f>
        <v>45911</v>
      </c>
      <c r="I6037" s="115" t="str">
        <f>IFERROR(__xludf.DUMMYFUNCTION("""COMPUTED_VALUE"""),"18")</f>
        <v>18</v>
      </c>
      <c r="J6037" s="115"/>
      <c r="K6037" s="115"/>
    </row>
    <row r="6038">
      <c r="A6038" s="115" t="str">
        <f>IFERROR(__xludf.DUMMYFUNCTION("""COMPUTED_VALUE"""),"SOUTH")</f>
        <v>SOUTH</v>
      </c>
      <c r="B6038" s="115" t="str">
        <f>IFERROR(__xludf.DUMMYFUNCTION("""COMPUTED_VALUE"""),"Vineeth V")</f>
        <v>Vineeth V</v>
      </c>
      <c r="C6038" s="115" t="str">
        <f>IFERROR(__xludf.DUMMYFUNCTION("""COMPUTED_VALUE"""),"EXTERNAL")</f>
        <v>EXTERNAL</v>
      </c>
      <c r="D6038" s="115">
        <f>IFERROR(__xludf.DUMMYFUNCTION("""COMPUTED_VALUE"""),22231.0)</f>
        <v>22231</v>
      </c>
      <c r="E6038" s="115">
        <f>IFERROR(__xludf.DUMMYFUNCTION("""COMPUTED_VALUE"""),639.0)</f>
        <v>639</v>
      </c>
      <c r="F6038" s="115">
        <f>IFERROR(__xludf.DUMMYFUNCTION("""COMPUTED_VALUE"""),11737.0)</f>
        <v>11737</v>
      </c>
      <c r="G6038" s="115">
        <f>IFERROR(__xludf.DUMMYFUNCTION("""COMPUTED_VALUE"""),210.0)</f>
        <v>210</v>
      </c>
      <c r="H6038" s="116">
        <f>IFERROR(__xludf.DUMMYFUNCTION("""COMPUTED_VALUE"""),45911.0)</f>
        <v>45911</v>
      </c>
      <c r="I6038" s="115" t="str">
        <f>IFERROR(__xludf.DUMMYFUNCTION("""COMPUTED_VALUE"""),"18")</f>
        <v>18</v>
      </c>
      <c r="J6038" s="115"/>
      <c r="K6038" s="115"/>
    </row>
    <row r="6039">
      <c r="A6039" s="115" t="str">
        <f>IFERROR(__xludf.DUMMYFUNCTION("""COMPUTED_VALUE"""),"SOUTH")</f>
        <v>SOUTH</v>
      </c>
      <c r="B6039" s="115" t="str">
        <f>IFERROR(__xludf.DUMMYFUNCTION("""COMPUTED_VALUE"""),"Vineeth V")</f>
        <v>Vineeth V</v>
      </c>
      <c r="C6039" s="115" t="str">
        <f>IFERROR(__xludf.DUMMYFUNCTION("""COMPUTED_VALUE"""),"FLIPKART")</f>
        <v>FLIPKART</v>
      </c>
      <c r="D6039" s="115">
        <f>IFERROR(__xludf.DUMMYFUNCTION("""COMPUTED_VALUE"""),217908.0)</f>
        <v>217908</v>
      </c>
      <c r="E6039" s="115">
        <f>IFERROR(__xludf.DUMMYFUNCTION("""COMPUTED_VALUE"""),13370.0)</f>
        <v>13370</v>
      </c>
      <c r="F6039" s="115">
        <f>IFERROR(__xludf.DUMMYFUNCTION("""COMPUTED_VALUE"""),171600.0)</f>
        <v>171600</v>
      </c>
      <c r="G6039" s="115">
        <f>IFERROR(__xludf.DUMMYFUNCTION("""COMPUTED_VALUE"""),5069.0)</f>
        <v>5069</v>
      </c>
      <c r="H6039" s="116">
        <f>IFERROR(__xludf.DUMMYFUNCTION("""COMPUTED_VALUE"""),45911.0)</f>
        <v>45911</v>
      </c>
      <c r="I6039" s="115" t="str">
        <f>IFERROR(__xludf.DUMMYFUNCTION("""COMPUTED_VALUE"""),"18")</f>
        <v>18</v>
      </c>
      <c r="J6039" s="115"/>
      <c r="K6039" s="115"/>
    </row>
    <row r="6040">
      <c r="A6040" s="115" t="str">
        <f>IFERROR(__xludf.DUMMYFUNCTION("""COMPUTED_VALUE"""),"SOUTH")</f>
        <v>SOUTH</v>
      </c>
      <c r="B6040" s="115" t="str">
        <f>IFERROR(__xludf.DUMMYFUNCTION("""COMPUTED_VALUE"""),"Vineeth V")</f>
        <v>Vineeth V</v>
      </c>
      <c r="C6040" s="115" t="str">
        <f>IFERROR(__xludf.DUMMYFUNCTION("""COMPUTED_VALUE"""),"MYNTRA")</f>
        <v>MYNTRA</v>
      </c>
      <c r="D6040" s="115">
        <f>IFERROR(__xludf.DUMMYFUNCTION("""COMPUTED_VALUE"""),15770.0)</f>
        <v>15770</v>
      </c>
      <c r="E6040" s="115">
        <f>IFERROR(__xludf.DUMMYFUNCTION("""COMPUTED_VALUE"""),3331.0)</f>
        <v>3331</v>
      </c>
      <c r="F6040" s="115">
        <f>IFERROR(__xludf.DUMMYFUNCTION("""COMPUTED_VALUE"""),12920.0)</f>
        <v>12920</v>
      </c>
      <c r="G6040" s="115">
        <f>IFERROR(__xludf.DUMMYFUNCTION("""COMPUTED_VALUE"""),1340.0)</f>
        <v>1340</v>
      </c>
      <c r="H6040" s="116">
        <f>IFERROR(__xludf.DUMMYFUNCTION("""COMPUTED_VALUE"""),45911.0)</f>
        <v>45911</v>
      </c>
      <c r="I6040" s="115" t="str">
        <f>IFERROR(__xludf.DUMMYFUNCTION("""COMPUTED_VALUE"""),"18")</f>
        <v>18</v>
      </c>
      <c r="J6040" s="115"/>
      <c r="K6040" s="115"/>
    </row>
    <row r="6041">
      <c r="A6041" s="115" t="str">
        <f>IFERROR(__xludf.DUMMYFUNCTION("""COMPUTED_VALUE"""),"WEST")</f>
        <v>WEST</v>
      </c>
      <c r="B6041" s="115" t="str">
        <f>IFERROR(__xludf.DUMMYFUNCTION("""COMPUTED_VALUE"""),"Ashish Jakar")</f>
        <v>Ashish Jakar</v>
      </c>
      <c r="C6041" s="115" t="str">
        <f>IFERROR(__xludf.DUMMYFUNCTION("""COMPUTED_VALUE"""),"EXTERNAL")</f>
        <v>EXTERNAL</v>
      </c>
      <c r="D6041" s="115">
        <f>IFERROR(__xludf.DUMMYFUNCTION("""COMPUTED_VALUE"""),59506.0)</f>
        <v>59506</v>
      </c>
      <c r="E6041" s="115">
        <f>IFERROR(__xludf.DUMMYFUNCTION("""COMPUTED_VALUE"""),7375.0)</f>
        <v>7375</v>
      </c>
      <c r="F6041" s="115">
        <f>IFERROR(__xludf.DUMMYFUNCTION("""COMPUTED_VALUE"""),23521.0)</f>
        <v>23521</v>
      </c>
      <c r="G6041" s="115">
        <f>IFERROR(__xludf.DUMMYFUNCTION("""COMPUTED_VALUE"""),2560.0)</f>
        <v>2560</v>
      </c>
      <c r="H6041" s="116">
        <f>IFERROR(__xludf.DUMMYFUNCTION("""COMPUTED_VALUE"""),45911.0)</f>
        <v>45911</v>
      </c>
      <c r="I6041" s="115" t="str">
        <f>IFERROR(__xludf.DUMMYFUNCTION("""COMPUTED_VALUE"""),"18")</f>
        <v>18</v>
      </c>
      <c r="J6041" s="115"/>
      <c r="K6041" s="115"/>
    </row>
    <row r="6042">
      <c r="A6042" s="115" t="str">
        <f>IFERROR(__xludf.DUMMYFUNCTION("""COMPUTED_VALUE"""),"WEST")</f>
        <v>WEST</v>
      </c>
      <c r="B6042" s="115" t="str">
        <f>IFERROR(__xludf.DUMMYFUNCTION("""COMPUTED_VALUE"""),"Ashish Jakar")</f>
        <v>Ashish Jakar</v>
      </c>
      <c r="C6042" s="115" t="str">
        <f>IFERROR(__xludf.DUMMYFUNCTION("""COMPUTED_VALUE"""),"FLIPKART")</f>
        <v>FLIPKART</v>
      </c>
      <c r="D6042" s="115">
        <f>IFERROR(__xludf.DUMMYFUNCTION("""COMPUTED_VALUE"""),397560.0)</f>
        <v>397560</v>
      </c>
      <c r="E6042" s="115">
        <f>IFERROR(__xludf.DUMMYFUNCTION("""COMPUTED_VALUE"""),33963.0)</f>
        <v>33963</v>
      </c>
      <c r="F6042" s="115">
        <f>IFERROR(__xludf.DUMMYFUNCTION("""COMPUTED_VALUE"""),271405.0)</f>
        <v>271405</v>
      </c>
      <c r="G6042" s="115">
        <f>IFERROR(__xludf.DUMMYFUNCTION("""COMPUTED_VALUE"""),16179.0)</f>
        <v>16179</v>
      </c>
      <c r="H6042" s="116">
        <f>IFERROR(__xludf.DUMMYFUNCTION("""COMPUTED_VALUE"""),45911.0)</f>
        <v>45911</v>
      </c>
      <c r="I6042" s="115" t="str">
        <f>IFERROR(__xludf.DUMMYFUNCTION("""COMPUTED_VALUE"""),"18")</f>
        <v>18</v>
      </c>
      <c r="J6042" s="115"/>
      <c r="K6042" s="115"/>
    </row>
    <row r="6043">
      <c r="A6043" s="115" t="str">
        <f>IFERROR(__xludf.DUMMYFUNCTION("""COMPUTED_VALUE"""),"WEST")</f>
        <v>WEST</v>
      </c>
      <c r="B6043" s="115" t="str">
        <f>IFERROR(__xludf.DUMMYFUNCTION("""COMPUTED_VALUE"""),"Ashish Jakar")</f>
        <v>Ashish Jakar</v>
      </c>
      <c r="C6043" s="115" t="str">
        <f>IFERROR(__xludf.DUMMYFUNCTION("""COMPUTED_VALUE"""),"MYNTRA")</f>
        <v>MYNTRA</v>
      </c>
      <c r="D6043" s="115">
        <f>IFERROR(__xludf.DUMMYFUNCTION("""COMPUTED_VALUE"""),44351.0)</f>
        <v>44351</v>
      </c>
      <c r="E6043" s="115">
        <f>IFERROR(__xludf.DUMMYFUNCTION("""COMPUTED_VALUE"""),11207.0)</f>
        <v>11207</v>
      </c>
      <c r="F6043" s="115">
        <f>IFERROR(__xludf.DUMMYFUNCTION("""COMPUTED_VALUE"""),34333.0)</f>
        <v>34333</v>
      </c>
      <c r="G6043" s="115">
        <f>IFERROR(__xludf.DUMMYFUNCTION("""COMPUTED_VALUE"""),5924.0)</f>
        <v>5924</v>
      </c>
      <c r="H6043" s="116">
        <f>IFERROR(__xludf.DUMMYFUNCTION("""COMPUTED_VALUE"""),45911.0)</f>
        <v>45911</v>
      </c>
      <c r="I6043" s="115" t="str">
        <f>IFERROR(__xludf.DUMMYFUNCTION("""COMPUTED_VALUE"""),"18")</f>
        <v>18</v>
      </c>
      <c r="J6043" s="115"/>
      <c r="K6043" s="115"/>
    </row>
    <row r="6044">
      <c r="A6044" s="115" t="str">
        <f>IFERROR(__xludf.DUMMYFUNCTION("""COMPUTED_VALUE"""),"WEST")</f>
        <v>WEST</v>
      </c>
      <c r="B6044" s="115" t="str">
        <f>IFERROR(__xludf.DUMMYFUNCTION("""COMPUTED_VALUE"""),"Ashvani Bhatt")</f>
        <v>Ashvani Bhatt</v>
      </c>
      <c r="C6044" s="115" t="str">
        <f>IFERROR(__xludf.DUMMYFUNCTION("""COMPUTED_VALUE"""),"EXTERNAL")</f>
        <v>EXTERNAL</v>
      </c>
      <c r="D6044" s="115">
        <f>IFERROR(__xludf.DUMMYFUNCTION("""COMPUTED_VALUE"""),39558.0)</f>
        <v>39558</v>
      </c>
      <c r="E6044" s="115">
        <f>IFERROR(__xludf.DUMMYFUNCTION("""COMPUTED_VALUE"""),4160.0)</f>
        <v>4160</v>
      </c>
      <c r="F6044" s="115">
        <f>IFERROR(__xludf.DUMMYFUNCTION("""COMPUTED_VALUE"""),16543.0)</f>
        <v>16543</v>
      </c>
      <c r="G6044" s="115">
        <f>IFERROR(__xludf.DUMMYFUNCTION("""COMPUTED_VALUE"""),1130.0)</f>
        <v>1130</v>
      </c>
      <c r="H6044" s="116">
        <f>IFERROR(__xludf.DUMMYFUNCTION("""COMPUTED_VALUE"""),45911.0)</f>
        <v>45911</v>
      </c>
      <c r="I6044" s="115" t="str">
        <f>IFERROR(__xludf.DUMMYFUNCTION("""COMPUTED_VALUE"""),"18")</f>
        <v>18</v>
      </c>
      <c r="J6044" s="115"/>
      <c r="K6044" s="115"/>
    </row>
    <row r="6045">
      <c r="A6045" s="115" t="str">
        <f>IFERROR(__xludf.DUMMYFUNCTION("""COMPUTED_VALUE"""),"WEST")</f>
        <v>WEST</v>
      </c>
      <c r="B6045" s="115" t="str">
        <f>IFERROR(__xludf.DUMMYFUNCTION("""COMPUTED_VALUE"""),"Ashvani Bhatt")</f>
        <v>Ashvani Bhatt</v>
      </c>
      <c r="C6045" s="115" t="str">
        <f>IFERROR(__xludf.DUMMYFUNCTION("""COMPUTED_VALUE"""),"FLIPKART")</f>
        <v>FLIPKART</v>
      </c>
      <c r="D6045" s="115">
        <f>IFERROR(__xludf.DUMMYFUNCTION("""COMPUTED_VALUE"""),306623.0)</f>
        <v>306623</v>
      </c>
      <c r="E6045" s="115">
        <f>IFERROR(__xludf.DUMMYFUNCTION("""COMPUTED_VALUE"""),27671.0)</f>
        <v>27671</v>
      </c>
      <c r="F6045" s="115">
        <f>IFERROR(__xludf.DUMMYFUNCTION("""COMPUTED_VALUE"""),227450.0)</f>
        <v>227450</v>
      </c>
      <c r="G6045" s="115">
        <f>IFERROR(__xludf.DUMMYFUNCTION("""COMPUTED_VALUE"""),13933.0)</f>
        <v>13933</v>
      </c>
      <c r="H6045" s="116">
        <f>IFERROR(__xludf.DUMMYFUNCTION("""COMPUTED_VALUE"""),45911.0)</f>
        <v>45911</v>
      </c>
      <c r="I6045" s="115" t="str">
        <f>IFERROR(__xludf.DUMMYFUNCTION("""COMPUTED_VALUE"""),"18")</f>
        <v>18</v>
      </c>
      <c r="J6045" s="115"/>
      <c r="K6045" s="115"/>
    </row>
    <row r="6046">
      <c r="A6046" s="115" t="str">
        <f>IFERROR(__xludf.DUMMYFUNCTION("""COMPUTED_VALUE"""),"WEST")</f>
        <v>WEST</v>
      </c>
      <c r="B6046" s="115" t="str">
        <f>IFERROR(__xludf.DUMMYFUNCTION("""COMPUTED_VALUE"""),"Ashvani Bhatt")</f>
        <v>Ashvani Bhatt</v>
      </c>
      <c r="C6046" s="115" t="str">
        <f>IFERROR(__xludf.DUMMYFUNCTION("""COMPUTED_VALUE"""),"MYNTRA")</f>
        <v>MYNTRA</v>
      </c>
      <c r="D6046" s="115">
        <f>IFERROR(__xludf.DUMMYFUNCTION("""COMPUTED_VALUE"""),35945.0)</f>
        <v>35945</v>
      </c>
      <c r="E6046" s="115">
        <f>IFERROR(__xludf.DUMMYFUNCTION("""COMPUTED_VALUE"""),9333.0)</f>
        <v>9333</v>
      </c>
      <c r="F6046" s="115">
        <f>IFERROR(__xludf.DUMMYFUNCTION("""COMPUTED_VALUE"""),29439.0)</f>
        <v>29439</v>
      </c>
      <c r="G6046" s="115">
        <f>IFERROR(__xludf.DUMMYFUNCTION("""COMPUTED_VALUE"""),5474.0)</f>
        <v>5474</v>
      </c>
      <c r="H6046" s="116">
        <f>IFERROR(__xludf.DUMMYFUNCTION("""COMPUTED_VALUE"""),45911.0)</f>
        <v>45911</v>
      </c>
      <c r="I6046" s="115" t="str">
        <f>IFERROR(__xludf.DUMMYFUNCTION("""COMPUTED_VALUE"""),"18")</f>
        <v>18</v>
      </c>
      <c r="J6046" s="115"/>
      <c r="K6046" s="115"/>
    </row>
    <row r="6047">
      <c r="A6047" s="115"/>
      <c r="B6047" s="115"/>
      <c r="C6047" s="115" t="str">
        <f>IFERROR(__xludf.DUMMYFUNCTION("""COMPUTED_VALUE"""),"EXTERNAL")</f>
        <v>EXTERNAL</v>
      </c>
      <c r="D6047" s="115">
        <f>IFERROR(__xludf.DUMMYFUNCTION("""COMPUTED_VALUE"""),959.0)</f>
        <v>959</v>
      </c>
      <c r="E6047" s="115">
        <f>IFERROR(__xludf.DUMMYFUNCTION("""COMPUTED_VALUE"""),364.0)</f>
        <v>364</v>
      </c>
      <c r="F6047" s="115">
        <f>IFERROR(__xludf.DUMMYFUNCTION("""COMPUTED_VALUE"""),455.0)</f>
        <v>455</v>
      </c>
      <c r="G6047" s="115">
        <f>IFERROR(__xludf.DUMMYFUNCTION("""COMPUTED_VALUE"""),163.0)</f>
        <v>163</v>
      </c>
      <c r="H6047" s="116">
        <f>IFERROR(__xludf.DUMMYFUNCTION("""COMPUTED_VALUE"""),45911.0)</f>
        <v>45911</v>
      </c>
      <c r="I6047" s="115" t="str">
        <f>IFERROR(__xludf.DUMMYFUNCTION("""COMPUTED_VALUE"""),"18")</f>
        <v>18</v>
      </c>
      <c r="J6047" s="115"/>
      <c r="K6047" s="115"/>
    </row>
    <row r="6048">
      <c r="A6048" s="115"/>
      <c r="B6048" s="115"/>
      <c r="C6048" s="115" t="str">
        <f>IFERROR(__xludf.DUMMYFUNCTION("""COMPUTED_VALUE"""),"FLIPKART")</f>
        <v>FLIPKART</v>
      </c>
      <c r="D6048" s="115">
        <f>IFERROR(__xludf.DUMMYFUNCTION("""COMPUTED_VALUE"""),11243.0)</f>
        <v>11243</v>
      </c>
      <c r="E6048" s="115">
        <f>IFERROR(__xludf.DUMMYFUNCTION("""COMPUTED_VALUE"""),1113.0)</f>
        <v>1113</v>
      </c>
      <c r="F6048" s="115">
        <f>IFERROR(__xludf.DUMMYFUNCTION("""COMPUTED_VALUE"""),7732.0)</f>
        <v>7732</v>
      </c>
      <c r="G6048" s="115">
        <f>IFERROR(__xludf.DUMMYFUNCTION("""COMPUTED_VALUE"""),476.0)</f>
        <v>476</v>
      </c>
      <c r="H6048" s="116">
        <f>IFERROR(__xludf.DUMMYFUNCTION("""COMPUTED_VALUE"""),45911.0)</f>
        <v>45911</v>
      </c>
      <c r="I6048" s="115" t="str">
        <f>IFERROR(__xludf.DUMMYFUNCTION("""COMPUTED_VALUE"""),"18")</f>
        <v>18</v>
      </c>
      <c r="J6048" s="115"/>
      <c r="K6048" s="115"/>
    </row>
    <row r="6049">
      <c r="A6049" s="115"/>
      <c r="B6049" s="115"/>
      <c r="C6049" s="115" t="str">
        <f>IFERROR(__xludf.DUMMYFUNCTION("""COMPUTED_VALUE"""),"MYNTRA")</f>
        <v>MYNTRA</v>
      </c>
      <c r="D6049" s="115">
        <f>IFERROR(__xludf.DUMMYFUNCTION("""COMPUTED_VALUE"""),1272.0)</f>
        <v>1272</v>
      </c>
      <c r="E6049" s="115">
        <f>IFERROR(__xludf.DUMMYFUNCTION("""COMPUTED_VALUE"""),314.0)</f>
        <v>314</v>
      </c>
      <c r="F6049" s="115">
        <f>IFERROR(__xludf.DUMMYFUNCTION("""COMPUTED_VALUE"""),968.0)</f>
        <v>968</v>
      </c>
      <c r="G6049" s="115">
        <f>IFERROR(__xludf.DUMMYFUNCTION("""COMPUTED_VALUE"""),187.0)</f>
        <v>187</v>
      </c>
      <c r="H6049" s="116">
        <f>IFERROR(__xludf.DUMMYFUNCTION("""COMPUTED_VALUE"""),45911.0)</f>
        <v>45911</v>
      </c>
      <c r="I6049" s="115" t="str">
        <f>IFERROR(__xludf.DUMMYFUNCTION("""COMPUTED_VALUE"""),"18")</f>
        <v>18</v>
      </c>
      <c r="J6049" s="115"/>
      <c r="K6049" s="115"/>
    </row>
    <row r="6050">
      <c r="A6050" s="115" t="str">
        <f>IFERROR(__xludf.DUMMYFUNCTION("""COMPUTED_VALUE"""),"EAST")</f>
        <v>EAST</v>
      </c>
      <c r="B6050" s="115" t="str">
        <f>IFERROR(__xludf.DUMMYFUNCTION("""COMPUTED_VALUE"""),"Ashish Ranjan")</f>
        <v>Ashish Ranjan</v>
      </c>
      <c r="C6050" s="115" t="str">
        <f>IFERROR(__xludf.DUMMYFUNCTION("""COMPUTED_VALUE"""),"EXTERNAL")</f>
        <v>EXTERNAL</v>
      </c>
      <c r="D6050" s="115">
        <f>IFERROR(__xludf.DUMMYFUNCTION("""COMPUTED_VALUE"""),37959.0)</f>
        <v>37959</v>
      </c>
      <c r="E6050" s="115">
        <f>IFERROR(__xludf.DUMMYFUNCTION("""COMPUTED_VALUE"""),4172.0)</f>
        <v>4172</v>
      </c>
      <c r="F6050" s="115">
        <f>IFERROR(__xludf.DUMMYFUNCTION("""COMPUTED_VALUE"""),20835.0)</f>
        <v>20835</v>
      </c>
      <c r="G6050" s="115">
        <f>IFERROR(__xludf.DUMMYFUNCTION("""COMPUTED_VALUE"""),1688.0)</f>
        <v>1688</v>
      </c>
      <c r="H6050" s="116">
        <f>IFERROR(__xludf.DUMMYFUNCTION("""COMPUTED_VALUE"""),45911.0)</f>
        <v>45911</v>
      </c>
      <c r="I6050" s="115" t="str">
        <f>IFERROR(__xludf.DUMMYFUNCTION("""COMPUTED_VALUE"""),"19")</f>
        <v>19</v>
      </c>
      <c r="J6050" s="115"/>
      <c r="K6050" s="115"/>
    </row>
    <row r="6051">
      <c r="A6051" s="115" t="str">
        <f>IFERROR(__xludf.DUMMYFUNCTION("""COMPUTED_VALUE"""),"EAST")</f>
        <v>EAST</v>
      </c>
      <c r="B6051" s="115" t="str">
        <f>IFERROR(__xludf.DUMMYFUNCTION("""COMPUTED_VALUE"""),"Ashish Ranjan")</f>
        <v>Ashish Ranjan</v>
      </c>
      <c r="C6051" s="115" t="str">
        <f>IFERROR(__xludf.DUMMYFUNCTION("""COMPUTED_VALUE"""),"FLIPKART")</f>
        <v>FLIPKART</v>
      </c>
      <c r="D6051" s="115">
        <f>IFERROR(__xludf.DUMMYFUNCTION("""COMPUTED_VALUE"""),673085.0)</f>
        <v>673085</v>
      </c>
      <c r="E6051" s="115">
        <f>IFERROR(__xludf.DUMMYFUNCTION("""COMPUTED_VALUE"""),62205.0)</f>
        <v>62205</v>
      </c>
      <c r="F6051" s="115">
        <f>IFERROR(__xludf.DUMMYFUNCTION("""COMPUTED_VALUE"""),584295.0)</f>
        <v>584295</v>
      </c>
      <c r="G6051" s="115">
        <f>IFERROR(__xludf.DUMMYFUNCTION("""COMPUTED_VALUE"""),42757.0)</f>
        <v>42757</v>
      </c>
      <c r="H6051" s="116">
        <f>IFERROR(__xludf.DUMMYFUNCTION("""COMPUTED_VALUE"""),45911.0)</f>
        <v>45911</v>
      </c>
      <c r="I6051" s="115" t="str">
        <f>IFERROR(__xludf.DUMMYFUNCTION("""COMPUTED_VALUE"""),"19")</f>
        <v>19</v>
      </c>
      <c r="J6051" s="115"/>
      <c r="K6051" s="115"/>
    </row>
    <row r="6052">
      <c r="A6052" s="115" t="str">
        <f>IFERROR(__xludf.DUMMYFUNCTION("""COMPUTED_VALUE"""),"EAST")</f>
        <v>EAST</v>
      </c>
      <c r="B6052" s="115" t="str">
        <f>IFERROR(__xludf.DUMMYFUNCTION("""COMPUTED_VALUE"""),"Ashish Ranjan")</f>
        <v>Ashish Ranjan</v>
      </c>
      <c r="C6052" s="115" t="str">
        <f>IFERROR(__xludf.DUMMYFUNCTION("""COMPUTED_VALUE"""),"MYNTRA")</f>
        <v>MYNTRA</v>
      </c>
      <c r="D6052" s="115">
        <f>IFERROR(__xludf.DUMMYFUNCTION("""COMPUTED_VALUE"""),67093.0)</f>
        <v>67093</v>
      </c>
      <c r="E6052" s="115">
        <f>IFERROR(__xludf.DUMMYFUNCTION("""COMPUTED_VALUE"""),15814.0)</f>
        <v>15814</v>
      </c>
      <c r="F6052" s="115">
        <f>IFERROR(__xludf.DUMMYFUNCTION("""COMPUTED_VALUE"""),58460.0)</f>
        <v>58460</v>
      </c>
      <c r="G6052" s="115">
        <f>IFERROR(__xludf.DUMMYFUNCTION("""COMPUTED_VALUE"""),10869.0)</f>
        <v>10869</v>
      </c>
      <c r="H6052" s="116">
        <f>IFERROR(__xludf.DUMMYFUNCTION("""COMPUTED_VALUE"""),45911.0)</f>
        <v>45911</v>
      </c>
      <c r="I6052" s="115" t="str">
        <f>IFERROR(__xludf.DUMMYFUNCTION("""COMPUTED_VALUE"""),"19")</f>
        <v>19</v>
      </c>
      <c r="J6052" s="115"/>
      <c r="K6052" s="115"/>
    </row>
    <row r="6053">
      <c r="A6053" s="115" t="str">
        <f>IFERROR(__xludf.DUMMYFUNCTION("""COMPUTED_VALUE"""),"EAST")</f>
        <v>EAST</v>
      </c>
      <c r="B6053" s="115" t="str">
        <f>IFERROR(__xludf.DUMMYFUNCTION("""COMPUTED_VALUE"""),"Girish Chand")</f>
        <v>Girish Chand</v>
      </c>
      <c r="C6053" s="115" t="str">
        <f>IFERROR(__xludf.DUMMYFUNCTION("""COMPUTED_VALUE"""),"EXTERNAL")</f>
        <v>EXTERNAL</v>
      </c>
      <c r="D6053" s="115">
        <f>IFERROR(__xludf.DUMMYFUNCTION("""COMPUTED_VALUE"""),21179.0)</f>
        <v>21179</v>
      </c>
      <c r="E6053" s="115">
        <f>IFERROR(__xludf.DUMMYFUNCTION("""COMPUTED_VALUE"""),2488.0)</f>
        <v>2488</v>
      </c>
      <c r="F6053" s="115">
        <f>IFERROR(__xludf.DUMMYFUNCTION("""COMPUTED_VALUE"""),9084.0)</f>
        <v>9084</v>
      </c>
      <c r="G6053" s="115">
        <f>IFERROR(__xludf.DUMMYFUNCTION("""COMPUTED_VALUE"""),677.0)</f>
        <v>677</v>
      </c>
      <c r="H6053" s="116">
        <f>IFERROR(__xludf.DUMMYFUNCTION("""COMPUTED_VALUE"""),45911.0)</f>
        <v>45911</v>
      </c>
      <c r="I6053" s="115" t="str">
        <f>IFERROR(__xludf.DUMMYFUNCTION("""COMPUTED_VALUE"""),"19")</f>
        <v>19</v>
      </c>
      <c r="J6053" s="115"/>
      <c r="K6053" s="115"/>
    </row>
    <row r="6054">
      <c r="A6054" s="115" t="str">
        <f>IFERROR(__xludf.DUMMYFUNCTION("""COMPUTED_VALUE"""),"EAST")</f>
        <v>EAST</v>
      </c>
      <c r="B6054" s="115" t="str">
        <f>IFERROR(__xludf.DUMMYFUNCTION("""COMPUTED_VALUE"""),"Girish Chand")</f>
        <v>Girish Chand</v>
      </c>
      <c r="C6054" s="115" t="str">
        <f>IFERROR(__xludf.DUMMYFUNCTION("""COMPUTED_VALUE"""),"FLIPKART")</f>
        <v>FLIPKART</v>
      </c>
      <c r="D6054" s="115">
        <f>IFERROR(__xludf.DUMMYFUNCTION("""COMPUTED_VALUE"""),421942.0)</f>
        <v>421942</v>
      </c>
      <c r="E6054" s="115">
        <f>IFERROR(__xludf.DUMMYFUNCTION("""COMPUTED_VALUE"""),37229.0)</f>
        <v>37229</v>
      </c>
      <c r="F6054" s="115">
        <f>IFERROR(__xludf.DUMMYFUNCTION("""COMPUTED_VALUE"""),315499.0)</f>
        <v>315499</v>
      </c>
      <c r="G6054" s="115">
        <f>IFERROR(__xludf.DUMMYFUNCTION("""COMPUTED_VALUE"""),23256.0)</f>
        <v>23256</v>
      </c>
      <c r="H6054" s="116">
        <f>IFERROR(__xludf.DUMMYFUNCTION("""COMPUTED_VALUE"""),45911.0)</f>
        <v>45911</v>
      </c>
      <c r="I6054" s="115" t="str">
        <f>IFERROR(__xludf.DUMMYFUNCTION("""COMPUTED_VALUE"""),"19")</f>
        <v>19</v>
      </c>
      <c r="J6054" s="115"/>
      <c r="K6054" s="115"/>
    </row>
    <row r="6055">
      <c r="A6055" s="115" t="str">
        <f>IFERROR(__xludf.DUMMYFUNCTION("""COMPUTED_VALUE"""),"EAST")</f>
        <v>EAST</v>
      </c>
      <c r="B6055" s="115" t="str">
        <f>IFERROR(__xludf.DUMMYFUNCTION("""COMPUTED_VALUE"""),"Girish Chand")</f>
        <v>Girish Chand</v>
      </c>
      <c r="C6055" s="115" t="str">
        <f>IFERROR(__xludf.DUMMYFUNCTION("""COMPUTED_VALUE"""),"MYNTRA")</f>
        <v>MYNTRA</v>
      </c>
      <c r="D6055" s="115">
        <f>IFERROR(__xludf.DUMMYFUNCTION("""COMPUTED_VALUE"""),33233.0)</f>
        <v>33233</v>
      </c>
      <c r="E6055" s="115">
        <f>IFERROR(__xludf.DUMMYFUNCTION("""COMPUTED_VALUE"""),7707.0)</f>
        <v>7707</v>
      </c>
      <c r="F6055" s="115">
        <f>IFERROR(__xludf.DUMMYFUNCTION("""COMPUTED_VALUE"""),25830.0)</f>
        <v>25830</v>
      </c>
      <c r="G6055" s="115">
        <f>IFERROR(__xludf.DUMMYFUNCTION("""COMPUTED_VALUE"""),5070.0)</f>
        <v>5070</v>
      </c>
      <c r="H6055" s="116">
        <f>IFERROR(__xludf.DUMMYFUNCTION("""COMPUTED_VALUE"""),45911.0)</f>
        <v>45911</v>
      </c>
      <c r="I6055" s="115" t="str">
        <f>IFERROR(__xludf.DUMMYFUNCTION("""COMPUTED_VALUE"""),"19")</f>
        <v>19</v>
      </c>
      <c r="J6055" s="115"/>
      <c r="K6055" s="115"/>
    </row>
    <row r="6056">
      <c r="A6056" s="115" t="str">
        <f>IFERROR(__xludf.DUMMYFUNCTION("""COMPUTED_VALUE"""),"EAST")</f>
        <v>EAST</v>
      </c>
      <c r="B6056" s="115" t="str">
        <f>IFERROR(__xludf.DUMMYFUNCTION("""COMPUTED_VALUE"""),"Parag Kashyap")</f>
        <v>Parag Kashyap</v>
      </c>
      <c r="C6056" s="115" t="str">
        <f>IFERROR(__xludf.DUMMYFUNCTION("""COMPUTED_VALUE"""),"EXTERNAL")</f>
        <v>EXTERNAL</v>
      </c>
      <c r="D6056" s="115">
        <f>IFERROR(__xludf.DUMMYFUNCTION("""COMPUTED_VALUE"""),16203.0)</f>
        <v>16203</v>
      </c>
      <c r="E6056" s="115">
        <f>IFERROR(__xludf.DUMMYFUNCTION("""COMPUTED_VALUE"""),1216.0)</f>
        <v>1216</v>
      </c>
      <c r="F6056" s="115">
        <f>IFERROR(__xludf.DUMMYFUNCTION("""COMPUTED_VALUE"""),7170.0)</f>
        <v>7170</v>
      </c>
      <c r="G6056" s="115">
        <f>IFERROR(__xludf.DUMMYFUNCTION("""COMPUTED_VALUE"""),369.0)</f>
        <v>369</v>
      </c>
      <c r="H6056" s="116">
        <f>IFERROR(__xludf.DUMMYFUNCTION("""COMPUTED_VALUE"""),45911.0)</f>
        <v>45911</v>
      </c>
      <c r="I6056" s="115" t="str">
        <f>IFERROR(__xludf.DUMMYFUNCTION("""COMPUTED_VALUE"""),"19")</f>
        <v>19</v>
      </c>
      <c r="J6056" s="115"/>
      <c r="K6056" s="115"/>
    </row>
    <row r="6057">
      <c r="A6057" s="115" t="str">
        <f>IFERROR(__xludf.DUMMYFUNCTION("""COMPUTED_VALUE"""),"EAST")</f>
        <v>EAST</v>
      </c>
      <c r="B6057" s="115" t="str">
        <f>IFERROR(__xludf.DUMMYFUNCTION("""COMPUTED_VALUE"""),"Parag Kashyap")</f>
        <v>Parag Kashyap</v>
      </c>
      <c r="C6057" s="115" t="str">
        <f>IFERROR(__xludf.DUMMYFUNCTION("""COMPUTED_VALUE"""),"FLIPKART")</f>
        <v>FLIPKART</v>
      </c>
      <c r="D6057" s="115">
        <f>IFERROR(__xludf.DUMMYFUNCTION("""COMPUTED_VALUE"""),287161.0)</f>
        <v>287161</v>
      </c>
      <c r="E6057" s="115">
        <f>IFERROR(__xludf.DUMMYFUNCTION("""COMPUTED_VALUE"""),19382.0)</f>
        <v>19382</v>
      </c>
      <c r="F6057" s="115">
        <f>IFERROR(__xludf.DUMMYFUNCTION("""COMPUTED_VALUE"""),218960.0)</f>
        <v>218960</v>
      </c>
      <c r="G6057" s="115">
        <f>IFERROR(__xludf.DUMMYFUNCTION("""COMPUTED_VALUE"""),10189.0)</f>
        <v>10189</v>
      </c>
      <c r="H6057" s="116">
        <f>IFERROR(__xludf.DUMMYFUNCTION("""COMPUTED_VALUE"""),45911.0)</f>
        <v>45911</v>
      </c>
      <c r="I6057" s="115" t="str">
        <f>IFERROR(__xludf.DUMMYFUNCTION("""COMPUTED_VALUE"""),"19")</f>
        <v>19</v>
      </c>
      <c r="J6057" s="115"/>
      <c r="K6057" s="115"/>
    </row>
    <row r="6058">
      <c r="A6058" s="115" t="str">
        <f>IFERROR(__xludf.DUMMYFUNCTION("""COMPUTED_VALUE"""),"EAST")</f>
        <v>EAST</v>
      </c>
      <c r="B6058" s="115" t="str">
        <f>IFERROR(__xludf.DUMMYFUNCTION("""COMPUTED_VALUE"""),"Parag Kashyap")</f>
        <v>Parag Kashyap</v>
      </c>
      <c r="C6058" s="115" t="str">
        <f>IFERROR(__xludf.DUMMYFUNCTION("""COMPUTED_VALUE"""),"MYNTRA")</f>
        <v>MYNTRA</v>
      </c>
      <c r="D6058" s="115">
        <f>IFERROR(__xludf.DUMMYFUNCTION("""COMPUTED_VALUE"""),37558.0)</f>
        <v>37558</v>
      </c>
      <c r="E6058" s="115">
        <f>IFERROR(__xludf.DUMMYFUNCTION("""COMPUTED_VALUE"""),6159.0)</f>
        <v>6159</v>
      </c>
      <c r="F6058" s="115">
        <f>IFERROR(__xludf.DUMMYFUNCTION("""COMPUTED_VALUE"""),29505.0)</f>
        <v>29505</v>
      </c>
      <c r="G6058" s="115">
        <f>IFERROR(__xludf.DUMMYFUNCTION("""COMPUTED_VALUE"""),3275.0)</f>
        <v>3275</v>
      </c>
      <c r="H6058" s="116">
        <f>IFERROR(__xludf.DUMMYFUNCTION("""COMPUTED_VALUE"""),45911.0)</f>
        <v>45911</v>
      </c>
      <c r="I6058" s="115" t="str">
        <f>IFERROR(__xludf.DUMMYFUNCTION("""COMPUTED_VALUE"""),"19")</f>
        <v>19</v>
      </c>
      <c r="J6058" s="115"/>
      <c r="K6058" s="115"/>
    </row>
    <row r="6059">
      <c r="A6059" s="115" t="str">
        <f>IFERROR(__xludf.DUMMYFUNCTION("""COMPUTED_VALUE"""),"NORTH")</f>
        <v>NORTH</v>
      </c>
      <c r="B6059" s="115" t="str">
        <f>IFERROR(__xludf.DUMMYFUNCTION("""COMPUTED_VALUE"""),"Amit Kumar Pathak")</f>
        <v>Amit Kumar Pathak</v>
      </c>
      <c r="C6059" s="115" t="str">
        <f>IFERROR(__xludf.DUMMYFUNCTION("""COMPUTED_VALUE"""),"EXTERNAL")</f>
        <v>EXTERNAL</v>
      </c>
      <c r="D6059" s="115">
        <f>IFERROR(__xludf.DUMMYFUNCTION("""COMPUTED_VALUE"""),26778.0)</f>
        <v>26778</v>
      </c>
      <c r="E6059" s="115">
        <f>IFERROR(__xludf.DUMMYFUNCTION("""COMPUTED_VALUE"""),3124.0)</f>
        <v>3124</v>
      </c>
      <c r="F6059" s="115">
        <f>IFERROR(__xludf.DUMMYFUNCTION("""COMPUTED_VALUE"""),10993.0)</f>
        <v>10993</v>
      </c>
      <c r="G6059" s="115">
        <f>IFERROR(__xludf.DUMMYFUNCTION("""COMPUTED_VALUE"""),1524.0)</f>
        <v>1524</v>
      </c>
      <c r="H6059" s="116">
        <f>IFERROR(__xludf.DUMMYFUNCTION("""COMPUTED_VALUE"""),45911.0)</f>
        <v>45911</v>
      </c>
      <c r="I6059" s="115" t="str">
        <f>IFERROR(__xludf.DUMMYFUNCTION("""COMPUTED_VALUE"""),"19")</f>
        <v>19</v>
      </c>
      <c r="J6059" s="115"/>
      <c r="K6059" s="115"/>
    </row>
    <row r="6060">
      <c r="A6060" s="115" t="str">
        <f>IFERROR(__xludf.DUMMYFUNCTION("""COMPUTED_VALUE"""),"NORTH")</f>
        <v>NORTH</v>
      </c>
      <c r="B6060" s="115" t="str">
        <f>IFERROR(__xludf.DUMMYFUNCTION("""COMPUTED_VALUE"""),"Amit Kumar Pathak")</f>
        <v>Amit Kumar Pathak</v>
      </c>
      <c r="C6060" s="115" t="str">
        <f>IFERROR(__xludf.DUMMYFUNCTION("""COMPUTED_VALUE"""),"FLIPKART")</f>
        <v>FLIPKART</v>
      </c>
      <c r="D6060" s="115">
        <f>IFERROR(__xludf.DUMMYFUNCTION("""COMPUTED_VALUE"""),193400.0)</f>
        <v>193400</v>
      </c>
      <c r="E6060" s="115">
        <f>IFERROR(__xludf.DUMMYFUNCTION("""COMPUTED_VALUE"""),21750.0)</f>
        <v>21750</v>
      </c>
      <c r="F6060" s="115">
        <f>IFERROR(__xludf.DUMMYFUNCTION("""COMPUTED_VALUE"""),143219.0)</f>
        <v>143219</v>
      </c>
      <c r="G6060" s="115">
        <f>IFERROR(__xludf.DUMMYFUNCTION("""COMPUTED_VALUE"""),12932.0)</f>
        <v>12932</v>
      </c>
      <c r="H6060" s="116">
        <f>IFERROR(__xludf.DUMMYFUNCTION("""COMPUTED_VALUE"""),45911.0)</f>
        <v>45911</v>
      </c>
      <c r="I6060" s="115" t="str">
        <f>IFERROR(__xludf.DUMMYFUNCTION("""COMPUTED_VALUE"""),"19")</f>
        <v>19</v>
      </c>
      <c r="J6060" s="115"/>
      <c r="K6060" s="115"/>
    </row>
    <row r="6061">
      <c r="A6061" s="115" t="str">
        <f>IFERROR(__xludf.DUMMYFUNCTION("""COMPUTED_VALUE"""),"NORTH")</f>
        <v>NORTH</v>
      </c>
      <c r="B6061" s="115" t="str">
        <f>IFERROR(__xludf.DUMMYFUNCTION("""COMPUTED_VALUE"""),"Amit Kumar Pathak")</f>
        <v>Amit Kumar Pathak</v>
      </c>
      <c r="C6061" s="115" t="str">
        <f>IFERROR(__xludf.DUMMYFUNCTION("""COMPUTED_VALUE"""),"MYNTRA")</f>
        <v>MYNTRA</v>
      </c>
      <c r="D6061" s="115">
        <f>IFERROR(__xludf.DUMMYFUNCTION("""COMPUTED_VALUE"""),15316.0)</f>
        <v>15316</v>
      </c>
      <c r="E6061" s="115">
        <f>IFERROR(__xludf.DUMMYFUNCTION("""COMPUTED_VALUE"""),5227.0)</f>
        <v>5227</v>
      </c>
      <c r="F6061" s="115">
        <f>IFERROR(__xludf.DUMMYFUNCTION("""COMPUTED_VALUE"""),12683.0)</f>
        <v>12683</v>
      </c>
      <c r="G6061" s="115">
        <f>IFERROR(__xludf.DUMMYFUNCTION("""COMPUTED_VALUE"""),3365.0)</f>
        <v>3365</v>
      </c>
      <c r="H6061" s="116">
        <f>IFERROR(__xludf.DUMMYFUNCTION("""COMPUTED_VALUE"""),45911.0)</f>
        <v>45911</v>
      </c>
      <c r="I6061" s="115" t="str">
        <f>IFERROR(__xludf.DUMMYFUNCTION("""COMPUTED_VALUE"""),"19")</f>
        <v>19</v>
      </c>
      <c r="J6061" s="115"/>
      <c r="K6061" s="115"/>
    </row>
    <row r="6062">
      <c r="A6062" s="115" t="str">
        <f>IFERROR(__xludf.DUMMYFUNCTION("""COMPUTED_VALUE"""),"NORTH")</f>
        <v>NORTH</v>
      </c>
      <c r="B6062" s="115" t="str">
        <f>IFERROR(__xludf.DUMMYFUNCTION("""COMPUTED_VALUE"""),"Loveleen Singh")</f>
        <v>Loveleen Singh</v>
      </c>
      <c r="C6062" s="115" t="str">
        <f>IFERROR(__xludf.DUMMYFUNCTION("""COMPUTED_VALUE"""),"EXTERNAL")</f>
        <v>EXTERNAL</v>
      </c>
      <c r="D6062" s="115">
        <f>IFERROR(__xludf.DUMMYFUNCTION("""COMPUTED_VALUE"""),30446.0)</f>
        <v>30446</v>
      </c>
      <c r="E6062" s="115">
        <f>IFERROR(__xludf.DUMMYFUNCTION("""COMPUTED_VALUE"""),2326.0)</f>
        <v>2326</v>
      </c>
      <c r="F6062" s="115">
        <f>IFERROR(__xludf.DUMMYFUNCTION("""COMPUTED_VALUE"""),12653.0)</f>
        <v>12653</v>
      </c>
      <c r="G6062" s="115">
        <f>IFERROR(__xludf.DUMMYFUNCTION("""COMPUTED_VALUE"""),770.0)</f>
        <v>770</v>
      </c>
      <c r="H6062" s="116">
        <f>IFERROR(__xludf.DUMMYFUNCTION("""COMPUTED_VALUE"""),45911.0)</f>
        <v>45911</v>
      </c>
      <c r="I6062" s="115" t="str">
        <f>IFERROR(__xludf.DUMMYFUNCTION("""COMPUTED_VALUE"""),"19")</f>
        <v>19</v>
      </c>
      <c r="J6062" s="115"/>
      <c r="K6062" s="115"/>
    </row>
    <row r="6063">
      <c r="A6063" s="115" t="str">
        <f>IFERROR(__xludf.DUMMYFUNCTION("""COMPUTED_VALUE"""),"NORTH")</f>
        <v>NORTH</v>
      </c>
      <c r="B6063" s="115" t="str">
        <f>IFERROR(__xludf.DUMMYFUNCTION("""COMPUTED_VALUE"""),"Loveleen Singh")</f>
        <v>Loveleen Singh</v>
      </c>
      <c r="C6063" s="115" t="str">
        <f>IFERROR(__xludf.DUMMYFUNCTION("""COMPUTED_VALUE"""),"FLIPKART")</f>
        <v>FLIPKART</v>
      </c>
      <c r="D6063" s="115">
        <f>IFERROR(__xludf.DUMMYFUNCTION("""COMPUTED_VALUE"""),195592.0)</f>
        <v>195592</v>
      </c>
      <c r="E6063" s="115">
        <f>IFERROR(__xludf.DUMMYFUNCTION("""COMPUTED_VALUE"""),14404.0)</f>
        <v>14404</v>
      </c>
      <c r="F6063" s="115">
        <f>IFERROR(__xludf.DUMMYFUNCTION("""COMPUTED_VALUE"""),148861.0)</f>
        <v>148861</v>
      </c>
      <c r="G6063" s="115">
        <f>IFERROR(__xludf.DUMMYFUNCTION("""COMPUTED_VALUE"""),7881.0)</f>
        <v>7881</v>
      </c>
      <c r="H6063" s="116">
        <f>IFERROR(__xludf.DUMMYFUNCTION("""COMPUTED_VALUE"""),45911.0)</f>
        <v>45911</v>
      </c>
      <c r="I6063" s="115" t="str">
        <f>IFERROR(__xludf.DUMMYFUNCTION("""COMPUTED_VALUE"""),"19")</f>
        <v>19</v>
      </c>
      <c r="J6063" s="115"/>
      <c r="K6063" s="115"/>
    </row>
    <row r="6064">
      <c r="A6064" s="115" t="str">
        <f>IFERROR(__xludf.DUMMYFUNCTION("""COMPUTED_VALUE"""),"NORTH")</f>
        <v>NORTH</v>
      </c>
      <c r="B6064" s="115" t="str">
        <f>IFERROR(__xludf.DUMMYFUNCTION("""COMPUTED_VALUE"""),"Loveleen Singh")</f>
        <v>Loveleen Singh</v>
      </c>
      <c r="C6064" s="115" t="str">
        <f>IFERROR(__xludf.DUMMYFUNCTION("""COMPUTED_VALUE"""),"MYNTRA")</f>
        <v>MYNTRA</v>
      </c>
      <c r="D6064" s="115">
        <f>IFERROR(__xludf.DUMMYFUNCTION("""COMPUTED_VALUE"""),29339.0)</f>
        <v>29339</v>
      </c>
      <c r="E6064" s="115">
        <f>IFERROR(__xludf.DUMMYFUNCTION("""COMPUTED_VALUE"""),6603.0)</f>
        <v>6603</v>
      </c>
      <c r="F6064" s="115">
        <f>IFERROR(__xludf.DUMMYFUNCTION("""COMPUTED_VALUE"""),23946.0)</f>
        <v>23946</v>
      </c>
      <c r="G6064" s="115">
        <f>IFERROR(__xludf.DUMMYFUNCTION("""COMPUTED_VALUE"""),4131.0)</f>
        <v>4131</v>
      </c>
      <c r="H6064" s="116">
        <f>IFERROR(__xludf.DUMMYFUNCTION("""COMPUTED_VALUE"""),45911.0)</f>
        <v>45911</v>
      </c>
      <c r="I6064" s="115" t="str">
        <f>IFERROR(__xludf.DUMMYFUNCTION("""COMPUTED_VALUE"""),"19")</f>
        <v>19</v>
      </c>
      <c r="J6064" s="115"/>
      <c r="K6064" s="115"/>
    </row>
    <row r="6065">
      <c r="A6065" s="115" t="str">
        <f>IFERROR(__xludf.DUMMYFUNCTION("""COMPUTED_VALUE"""),"NORTH")</f>
        <v>NORTH</v>
      </c>
      <c r="B6065" s="115" t="str">
        <f>IFERROR(__xludf.DUMMYFUNCTION("""COMPUTED_VALUE"""),"Manoj Harsh")</f>
        <v>Manoj Harsh</v>
      </c>
      <c r="C6065" s="115" t="str">
        <f>IFERROR(__xludf.DUMMYFUNCTION("""COMPUTED_VALUE"""),"EXTERNAL")</f>
        <v>EXTERNAL</v>
      </c>
      <c r="D6065" s="115">
        <f>IFERROR(__xludf.DUMMYFUNCTION("""COMPUTED_VALUE"""),32919.0)</f>
        <v>32919</v>
      </c>
      <c r="E6065" s="115">
        <f>IFERROR(__xludf.DUMMYFUNCTION("""COMPUTED_VALUE"""),2822.0)</f>
        <v>2822</v>
      </c>
      <c r="F6065" s="115">
        <f>IFERROR(__xludf.DUMMYFUNCTION("""COMPUTED_VALUE"""),15224.0)</f>
        <v>15224</v>
      </c>
      <c r="G6065" s="115">
        <f>IFERROR(__xludf.DUMMYFUNCTION("""COMPUTED_VALUE"""),1016.0)</f>
        <v>1016</v>
      </c>
      <c r="H6065" s="116">
        <f>IFERROR(__xludf.DUMMYFUNCTION("""COMPUTED_VALUE"""),45911.0)</f>
        <v>45911</v>
      </c>
      <c r="I6065" s="115" t="str">
        <f>IFERROR(__xludf.DUMMYFUNCTION("""COMPUTED_VALUE"""),"19")</f>
        <v>19</v>
      </c>
      <c r="J6065" s="115"/>
      <c r="K6065" s="115"/>
    </row>
    <row r="6066">
      <c r="A6066" s="115" t="str">
        <f>IFERROR(__xludf.DUMMYFUNCTION("""COMPUTED_VALUE"""),"NORTH")</f>
        <v>NORTH</v>
      </c>
      <c r="B6066" s="115" t="str">
        <f>IFERROR(__xludf.DUMMYFUNCTION("""COMPUTED_VALUE"""),"Manoj Harsh")</f>
        <v>Manoj Harsh</v>
      </c>
      <c r="C6066" s="115" t="str">
        <f>IFERROR(__xludf.DUMMYFUNCTION("""COMPUTED_VALUE"""),"FLIPKART")</f>
        <v>FLIPKART</v>
      </c>
      <c r="D6066" s="115">
        <f>IFERROR(__xludf.DUMMYFUNCTION("""COMPUTED_VALUE"""),441237.0)</f>
        <v>441237</v>
      </c>
      <c r="E6066" s="115">
        <f>IFERROR(__xludf.DUMMYFUNCTION("""COMPUTED_VALUE"""),36449.0)</f>
        <v>36449</v>
      </c>
      <c r="F6066" s="115">
        <f>IFERROR(__xludf.DUMMYFUNCTION("""COMPUTED_VALUE"""),333845.0)</f>
        <v>333845</v>
      </c>
      <c r="G6066" s="115">
        <f>IFERROR(__xludf.DUMMYFUNCTION("""COMPUTED_VALUE"""),21568.0)</f>
        <v>21568</v>
      </c>
      <c r="H6066" s="116">
        <f>IFERROR(__xludf.DUMMYFUNCTION("""COMPUTED_VALUE"""),45911.0)</f>
        <v>45911</v>
      </c>
      <c r="I6066" s="115" t="str">
        <f>IFERROR(__xludf.DUMMYFUNCTION("""COMPUTED_VALUE"""),"19")</f>
        <v>19</v>
      </c>
      <c r="J6066" s="115"/>
      <c r="K6066" s="115"/>
    </row>
    <row r="6067">
      <c r="A6067" s="115" t="str">
        <f>IFERROR(__xludf.DUMMYFUNCTION("""COMPUTED_VALUE"""),"NORTH")</f>
        <v>NORTH</v>
      </c>
      <c r="B6067" s="115" t="str">
        <f>IFERROR(__xludf.DUMMYFUNCTION("""COMPUTED_VALUE"""),"Manoj Harsh")</f>
        <v>Manoj Harsh</v>
      </c>
      <c r="C6067" s="115" t="str">
        <f>IFERROR(__xludf.DUMMYFUNCTION("""COMPUTED_VALUE"""),"MYNTRA")</f>
        <v>MYNTRA</v>
      </c>
      <c r="D6067" s="115">
        <f>IFERROR(__xludf.DUMMYFUNCTION("""COMPUTED_VALUE"""),33827.0)</f>
        <v>33827</v>
      </c>
      <c r="E6067" s="115">
        <f>IFERROR(__xludf.DUMMYFUNCTION("""COMPUTED_VALUE"""),7473.0)</f>
        <v>7473</v>
      </c>
      <c r="F6067" s="115">
        <f>IFERROR(__xludf.DUMMYFUNCTION("""COMPUTED_VALUE"""),26982.0)</f>
        <v>26982</v>
      </c>
      <c r="G6067" s="115">
        <f>IFERROR(__xludf.DUMMYFUNCTION("""COMPUTED_VALUE"""),4803.0)</f>
        <v>4803</v>
      </c>
      <c r="H6067" s="116">
        <f>IFERROR(__xludf.DUMMYFUNCTION("""COMPUTED_VALUE"""),45911.0)</f>
        <v>45911</v>
      </c>
      <c r="I6067" s="115" t="str">
        <f>IFERROR(__xludf.DUMMYFUNCTION("""COMPUTED_VALUE"""),"19")</f>
        <v>19</v>
      </c>
      <c r="J6067" s="115"/>
      <c r="K6067" s="115"/>
    </row>
    <row r="6068">
      <c r="A6068" s="115" t="str">
        <f>IFERROR(__xludf.DUMMYFUNCTION("""COMPUTED_VALUE"""),"NORTH")</f>
        <v>NORTH</v>
      </c>
      <c r="B6068" s="115" t="str">
        <f>IFERROR(__xludf.DUMMYFUNCTION("""COMPUTED_VALUE"""),"Pradeep Kothari")</f>
        <v>Pradeep Kothari</v>
      </c>
      <c r="C6068" s="115" t="str">
        <f>IFERROR(__xludf.DUMMYFUNCTION("""COMPUTED_VALUE"""),"EXTERNAL")</f>
        <v>EXTERNAL</v>
      </c>
      <c r="D6068" s="115">
        <f>IFERROR(__xludf.DUMMYFUNCTION("""COMPUTED_VALUE"""),18723.0)</f>
        <v>18723</v>
      </c>
      <c r="E6068" s="115">
        <f>IFERROR(__xludf.DUMMYFUNCTION("""COMPUTED_VALUE"""),2051.0)</f>
        <v>2051</v>
      </c>
      <c r="F6068" s="115">
        <f>IFERROR(__xludf.DUMMYFUNCTION("""COMPUTED_VALUE"""),8320.0)</f>
        <v>8320</v>
      </c>
      <c r="G6068" s="115">
        <f>IFERROR(__xludf.DUMMYFUNCTION("""COMPUTED_VALUE"""),890.0)</f>
        <v>890</v>
      </c>
      <c r="H6068" s="116">
        <f>IFERROR(__xludf.DUMMYFUNCTION("""COMPUTED_VALUE"""),45911.0)</f>
        <v>45911</v>
      </c>
      <c r="I6068" s="115" t="str">
        <f>IFERROR(__xludf.DUMMYFUNCTION("""COMPUTED_VALUE"""),"19")</f>
        <v>19</v>
      </c>
      <c r="J6068" s="115"/>
      <c r="K6068" s="115"/>
    </row>
    <row r="6069">
      <c r="A6069" s="115" t="str">
        <f>IFERROR(__xludf.DUMMYFUNCTION("""COMPUTED_VALUE"""),"NORTH")</f>
        <v>NORTH</v>
      </c>
      <c r="B6069" s="115" t="str">
        <f>IFERROR(__xludf.DUMMYFUNCTION("""COMPUTED_VALUE"""),"Pradeep Kothari")</f>
        <v>Pradeep Kothari</v>
      </c>
      <c r="C6069" s="115" t="str">
        <f>IFERROR(__xludf.DUMMYFUNCTION("""COMPUTED_VALUE"""),"FLIPKART")</f>
        <v>FLIPKART</v>
      </c>
      <c r="D6069" s="115">
        <f>IFERROR(__xludf.DUMMYFUNCTION("""COMPUTED_VALUE"""),162767.0)</f>
        <v>162767</v>
      </c>
      <c r="E6069" s="115">
        <f>IFERROR(__xludf.DUMMYFUNCTION("""COMPUTED_VALUE"""),16691.0)</f>
        <v>16691</v>
      </c>
      <c r="F6069" s="115">
        <f>IFERROR(__xludf.DUMMYFUNCTION("""COMPUTED_VALUE"""),126683.0)</f>
        <v>126683</v>
      </c>
      <c r="G6069" s="115">
        <f>IFERROR(__xludf.DUMMYFUNCTION("""COMPUTED_VALUE"""),10494.0)</f>
        <v>10494</v>
      </c>
      <c r="H6069" s="116">
        <f>IFERROR(__xludf.DUMMYFUNCTION("""COMPUTED_VALUE"""),45911.0)</f>
        <v>45911</v>
      </c>
      <c r="I6069" s="115" t="str">
        <f>IFERROR(__xludf.DUMMYFUNCTION("""COMPUTED_VALUE"""),"19")</f>
        <v>19</v>
      </c>
      <c r="J6069" s="115"/>
      <c r="K6069" s="115"/>
    </row>
    <row r="6070">
      <c r="A6070" s="115" t="str">
        <f>IFERROR(__xludf.DUMMYFUNCTION("""COMPUTED_VALUE"""),"NORTH")</f>
        <v>NORTH</v>
      </c>
      <c r="B6070" s="115" t="str">
        <f>IFERROR(__xludf.DUMMYFUNCTION("""COMPUTED_VALUE"""),"Pradeep Kothari")</f>
        <v>Pradeep Kothari</v>
      </c>
      <c r="C6070" s="115" t="str">
        <f>IFERROR(__xludf.DUMMYFUNCTION("""COMPUTED_VALUE"""),"MYNTRA")</f>
        <v>MYNTRA</v>
      </c>
      <c r="D6070" s="115">
        <f>IFERROR(__xludf.DUMMYFUNCTION("""COMPUTED_VALUE"""),24357.0)</f>
        <v>24357</v>
      </c>
      <c r="E6070" s="115">
        <f>IFERROR(__xludf.DUMMYFUNCTION("""COMPUTED_VALUE"""),6293.0)</f>
        <v>6293</v>
      </c>
      <c r="F6070" s="115">
        <f>IFERROR(__xludf.DUMMYFUNCTION("""COMPUTED_VALUE"""),20253.0)</f>
        <v>20253</v>
      </c>
      <c r="G6070" s="115">
        <f>IFERROR(__xludf.DUMMYFUNCTION("""COMPUTED_VALUE"""),4506.0)</f>
        <v>4506</v>
      </c>
      <c r="H6070" s="116">
        <f>IFERROR(__xludf.DUMMYFUNCTION("""COMPUTED_VALUE"""),45911.0)</f>
        <v>45911</v>
      </c>
      <c r="I6070" s="115" t="str">
        <f>IFERROR(__xludf.DUMMYFUNCTION("""COMPUTED_VALUE"""),"19")</f>
        <v>19</v>
      </c>
      <c r="J6070" s="115"/>
      <c r="K6070" s="115"/>
    </row>
    <row r="6071">
      <c r="A6071" s="115" t="str">
        <f>IFERROR(__xludf.DUMMYFUNCTION("""COMPUTED_VALUE"""),"SOUTH")</f>
        <v>SOUTH</v>
      </c>
      <c r="B6071" s="115" t="str">
        <f>IFERROR(__xludf.DUMMYFUNCTION("""COMPUTED_VALUE"""),"Kandula Sampath")</f>
        <v>Kandula Sampath</v>
      </c>
      <c r="C6071" s="115" t="str">
        <f>IFERROR(__xludf.DUMMYFUNCTION("""COMPUTED_VALUE"""),"EXTERNAL")</f>
        <v>EXTERNAL</v>
      </c>
      <c r="D6071" s="115">
        <f>IFERROR(__xludf.DUMMYFUNCTION("""COMPUTED_VALUE"""),34270.0)</f>
        <v>34270</v>
      </c>
      <c r="E6071" s="115">
        <f>IFERROR(__xludf.DUMMYFUNCTION("""COMPUTED_VALUE"""),4913.0)</f>
        <v>4913</v>
      </c>
      <c r="F6071" s="115">
        <f>IFERROR(__xludf.DUMMYFUNCTION("""COMPUTED_VALUE"""),15158.0)</f>
        <v>15158</v>
      </c>
      <c r="G6071" s="115">
        <f>IFERROR(__xludf.DUMMYFUNCTION("""COMPUTED_VALUE"""),1330.0)</f>
        <v>1330</v>
      </c>
      <c r="H6071" s="116">
        <f>IFERROR(__xludf.DUMMYFUNCTION("""COMPUTED_VALUE"""),45911.0)</f>
        <v>45911</v>
      </c>
      <c r="I6071" s="115" t="str">
        <f>IFERROR(__xludf.DUMMYFUNCTION("""COMPUTED_VALUE"""),"19")</f>
        <v>19</v>
      </c>
      <c r="J6071" s="115"/>
      <c r="K6071" s="115"/>
    </row>
    <row r="6072">
      <c r="A6072" s="115" t="str">
        <f>IFERROR(__xludf.DUMMYFUNCTION("""COMPUTED_VALUE"""),"SOUTH")</f>
        <v>SOUTH</v>
      </c>
      <c r="B6072" s="115" t="str">
        <f>IFERROR(__xludf.DUMMYFUNCTION("""COMPUTED_VALUE"""),"Kandula Sampath")</f>
        <v>Kandula Sampath</v>
      </c>
      <c r="C6072" s="115" t="str">
        <f>IFERROR(__xludf.DUMMYFUNCTION("""COMPUTED_VALUE"""),"FLIPKART")</f>
        <v>FLIPKART</v>
      </c>
      <c r="D6072" s="115">
        <f>IFERROR(__xludf.DUMMYFUNCTION("""COMPUTED_VALUE"""),357231.0)</f>
        <v>357231</v>
      </c>
      <c r="E6072" s="115">
        <f>IFERROR(__xludf.DUMMYFUNCTION("""COMPUTED_VALUE"""),29710.0)</f>
        <v>29710</v>
      </c>
      <c r="F6072" s="115">
        <f>IFERROR(__xludf.DUMMYFUNCTION("""COMPUTED_VALUE"""),258376.0)</f>
        <v>258376</v>
      </c>
      <c r="G6072" s="115">
        <f>IFERROR(__xludf.DUMMYFUNCTION("""COMPUTED_VALUE"""),14107.0)</f>
        <v>14107</v>
      </c>
      <c r="H6072" s="116">
        <f>IFERROR(__xludf.DUMMYFUNCTION("""COMPUTED_VALUE"""),45911.0)</f>
        <v>45911</v>
      </c>
      <c r="I6072" s="115" t="str">
        <f>IFERROR(__xludf.DUMMYFUNCTION("""COMPUTED_VALUE"""),"19")</f>
        <v>19</v>
      </c>
      <c r="J6072" s="115"/>
      <c r="K6072" s="115"/>
    </row>
    <row r="6073">
      <c r="A6073" s="115" t="str">
        <f>IFERROR(__xludf.DUMMYFUNCTION("""COMPUTED_VALUE"""),"SOUTH")</f>
        <v>SOUTH</v>
      </c>
      <c r="B6073" s="115" t="str">
        <f>IFERROR(__xludf.DUMMYFUNCTION("""COMPUTED_VALUE"""),"Kandula Sampath")</f>
        <v>Kandula Sampath</v>
      </c>
      <c r="C6073" s="115" t="str">
        <f>IFERROR(__xludf.DUMMYFUNCTION("""COMPUTED_VALUE"""),"MYNTRA")</f>
        <v>MYNTRA</v>
      </c>
      <c r="D6073" s="115">
        <f>IFERROR(__xludf.DUMMYFUNCTION("""COMPUTED_VALUE"""),36087.0)</f>
        <v>36087</v>
      </c>
      <c r="E6073" s="115">
        <f>IFERROR(__xludf.DUMMYFUNCTION("""COMPUTED_VALUE"""),8947.0)</f>
        <v>8947</v>
      </c>
      <c r="F6073" s="115">
        <f>IFERROR(__xludf.DUMMYFUNCTION("""COMPUTED_VALUE"""),28132.0)</f>
        <v>28132</v>
      </c>
      <c r="G6073" s="115">
        <f>IFERROR(__xludf.DUMMYFUNCTION("""COMPUTED_VALUE"""),4533.0)</f>
        <v>4533</v>
      </c>
      <c r="H6073" s="116">
        <f>IFERROR(__xludf.DUMMYFUNCTION("""COMPUTED_VALUE"""),45911.0)</f>
        <v>45911</v>
      </c>
      <c r="I6073" s="115" t="str">
        <f>IFERROR(__xludf.DUMMYFUNCTION("""COMPUTED_VALUE"""),"19")</f>
        <v>19</v>
      </c>
      <c r="J6073" s="115"/>
      <c r="K6073" s="115"/>
    </row>
    <row r="6074">
      <c r="A6074" s="115" t="str">
        <f>IFERROR(__xludf.DUMMYFUNCTION("""COMPUTED_VALUE"""),"SOUTH")</f>
        <v>SOUTH</v>
      </c>
      <c r="B6074" s="115" t="str">
        <f>IFERROR(__xludf.DUMMYFUNCTION("""COMPUTED_VALUE"""),"Martin A")</f>
        <v>Martin A</v>
      </c>
      <c r="C6074" s="115" t="str">
        <f>IFERROR(__xludf.DUMMYFUNCTION("""COMPUTED_VALUE"""),"EXTERNAL")</f>
        <v>EXTERNAL</v>
      </c>
      <c r="D6074" s="115">
        <f>IFERROR(__xludf.DUMMYFUNCTION("""COMPUTED_VALUE"""),29440.0)</f>
        <v>29440</v>
      </c>
      <c r="E6074" s="115">
        <f>IFERROR(__xludf.DUMMYFUNCTION("""COMPUTED_VALUE"""),4215.0)</f>
        <v>4215</v>
      </c>
      <c r="F6074" s="115">
        <f>IFERROR(__xludf.DUMMYFUNCTION("""COMPUTED_VALUE"""),13062.0)</f>
        <v>13062</v>
      </c>
      <c r="G6074" s="115">
        <f>IFERROR(__xludf.DUMMYFUNCTION("""COMPUTED_VALUE"""),1976.0)</f>
        <v>1976</v>
      </c>
      <c r="H6074" s="116">
        <f>IFERROR(__xludf.DUMMYFUNCTION("""COMPUTED_VALUE"""),45911.0)</f>
        <v>45911</v>
      </c>
      <c r="I6074" s="115" t="str">
        <f>IFERROR(__xludf.DUMMYFUNCTION("""COMPUTED_VALUE"""),"19")</f>
        <v>19</v>
      </c>
      <c r="J6074" s="115"/>
      <c r="K6074" s="115"/>
    </row>
    <row r="6075">
      <c r="A6075" s="115" t="str">
        <f>IFERROR(__xludf.DUMMYFUNCTION("""COMPUTED_VALUE"""),"SOUTH")</f>
        <v>SOUTH</v>
      </c>
      <c r="B6075" s="115" t="str">
        <f>IFERROR(__xludf.DUMMYFUNCTION("""COMPUTED_VALUE"""),"Martin A")</f>
        <v>Martin A</v>
      </c>
      <c r="C6075" s="115" t="str">
        <f>IFERROR(__xludf.DUMMYFUNCTION("""COMPUTED_VALUE"""),"FLIPKART")</f>
        <v>FLIPKART</v>
      </c>
      <c r="D6075" s="115">
        <f>IFERROR(__xludf.DUMMYFUNCTION("""COMPUTED_VALUE"""),279468.0)</f>
        <v>279468</v>
      </c>
      <c r="E6075" s="115">
        <f>IFERROR(__xludf.DUMMYFUNCTION("""COMPUTED_VALUE"""),27372.0)</f>
        <v>27372</v>
      </c>
      <c r="F6075" s="115">
        <f>IFERROR(__xludf.DUMMYFUNCTION("""COMPUTED_VALUE"""),208674.0)</f>
        <v>208674</v>
      </c>
      <c r="G6075" s="115">
        <f>IFERROR(__xludf.DUMMYFUNCTION("""COMPUTED_VALUE"""),15954.0)</f>
        <v>15954</v>
      </c>
      <c r="H6075" s="116">
        <f>IFERROR(__xludf.DUMMYFUNCTION("""COMPUTED_VALUE"""),45911.0)</f>
        <v>45911</v>
      </c>
      <c r="I6075" s="115" t="str">
        <f>IFERROR(__xludf.DUMMYFUNCTION("""COMPUTED_VALUE"""),"19")</f>
        <v>19</v>
      </c>
      <c r="J6075" s="115"/>
      <c r="K6075" s="115"/>
    </row>
    <row r="6076">
      <c r="A6076" s="115" t="str">
        <f>IFERROR(__xludf.DUMMYFUNCTION("""COMPUTED_VALUE"""),"SOUTH")</f>
        <v>SOUTH</v>
      </c>
      <c r="B6076" s="115" t="str">
        <f>IFERROR(__xludf.DUMMYFUNCTION("""COMPUTED_VALUE"""),"Martin A")</f>
        <v>Martin A</v>
      </c>
      <c r="C6076" s="115" t="str">
        <f>IFERROR(__xludf.DUMMYFUNCTION("""COMPUTED_VALUE"""),"MYNTRA")</f>
        <v>MYNTRA</v>
      </c>
      <c r="D6076" s="115">
        <f>IFERROR(__xludf.DUMMYFUNCTION("""COMPUTED_VALUE"""),23152.0)</f>
        <v>23152</v>
      </c>
      <c r="E6076" s="115">
        <f>IFERROR(__xludf.DUMMYFUNCTION("""COMPUTED_VALUE"""),7378.0)</f>
        <v>7378</v>
      </c>
      <c r="F6076" s="115">
        <f>IFERROR(__xludf.DUMMYFUNCTION("""COMPUTED_VALUE"""),19103.0)</f>
        <v>19103</v>
      </c>
      <c r="G6076" s="115">
        <f>IFERROR(__xludf.DUMMYFUNCTION("""COMPUTED_VALUE"""),4719.0)</f>
        <v>4719</v>
      </c>
      <c r="H6076" s="116">
        <f>IFERROR(__xludf.DUMMYFUNCTION("""COMPUTED_VALUE"""),45911.0)</f>
        <v>45911</v>
      </c>
      <c r="I6076" s="115" t="str">
        <f>IFERROR(__xludf.DUMMYFUNCTION("""COMPUTED_VALUE"""),"19")</f>
        <v>19</v>
      </c>
      <c r="J6076" s="115"/>
      <c r="K6076" s="115"/>
    </row>
    <row r="6077">
      <c r="A6077" s="115" t="str">
        <f>IFERROR(__xludf.DUMMYFUNCTION("""COMPUTED_VALUE"""),"SOUTH")</f>
        <v>SOUTH</v>
      </c>
      <c r="B6077" s="115" t="str">
        <f>IFERROR(__xludf.DUMMYFUNCTION("""COMPUTED_VALUE"""),"Premkumar M")</f>
        <v>Premkumar M</v>
      </c>
      <c r="C6077" s="115" t="str">
        <f>IFERROR(__xludf.DUMMYFUNCTION("""COMPUTED_VALUE"""),"EXTERNAL")</f>
        <v>EXTERNAL</v>
      </c>
      <c r="D6077" s="115">
        <f>IFERROR(__xludf.DUMMYFUNCTION("""COMPUTED_VALUE"""),26715.0)</f>
        <v>26715</v>
      </c>
      <c r="E6077" s="115">
        <f>IFERROR(__xludf.DUMMYFUNCTION("""COMPUTED_VALUE"""),2146.0)</f>
        <v>2146</v>
      </c>
      <c r="F6077" s="115">
        <f>IFERROR(__xludf.DUMMYFUNCTION("""COMPUTED_VALUE"""),13258.0)</f>
        <v>13258</v>
      </c>
      <c r="G6077" s="115">
        <f>IFERROR(__xludf.DUMMYFUNCTION("""COMPUTED_VALUE"""),543.0)</f>
        <v>543</v>
      </c>
      <c r="H6077" s="116">
        <f>IFERROR(__xludf.DUMMYFUNCTION("""COMPUTED_VALUE"""),45911.0)</f>
        <v>45911</v>
      </c>
      <c r="I6077" s="115" t="str">
        <f>IFERROR(__xludf.DUMMYFUNCTION("""COMPUTED_VALUE"""),"19")</f>
        <v>19</v>
      </c>
      <c r="J6077" s="115"/>
      <c r="K6077" s="115"/>
    </row>
    <row r="6078">
      <c r="A6078" s="115" t="str">
        <f>IFERROR(__xludf.DUMMYFUNCTION("""COMPUTED_VALUE"""),"SOUTH")</f>
        <v>SOUTH</v>
      </c>
      <c r="B6078" s="115" t="str">
        <f>IFERROR(__xludf.DUMMYFUNCTION("""COMPUTED_VALUE"""),"Premkumar M")</f>
        <v>Premkumar M</v>
      </c>
      <c r="C6078" s="115" t="str">
        <f>IFERROR(__xludf.DUMMYFUNCTION("""COMPUTED_VALUE"""),"FLIPKART")</f>
        <v>FLIPKART</v>
      </c>
      <c r="D6078" s="115">
        <f>IFERROR(__xludf.DUMMYFUNCTION("""COMPUTED_VALUE"""),288889.0)</f>
        <v>288889</v>
      </c>
      <c r="E6078" s="115">
        <f>IFERROR(__xludf.DUMMYFUNCTION("""COMPUTED_VALUE"""),17393.0)</f>
        <v>17393</v>
      </c>
      <c r="F6078" s="115">
        <f>IFERROR(__xludf.DUMMYFUNCTION("""COMPUTED_VALUE"""),211324.0)</f>
        <v>211324</v>
      </c>
      <c r="G6078" s="115">
        <f>IFERROR(__xludf.DUMMYFUNCTION("""COMPUTED_VALUE"""),6181.0)</f>
        <v>6181</v>
      </c>
      <c r="H6078" s="116">
        <f>IFERROR(__xludf.DUMMYFUNCTION("""COMPUTED_VALUE"""),45911.0)</f>
        <v>45911</v>
      </c>
      <c r="I6078" s="115" t="str">
        <f>IFERROR(__xludf.DUMMYFUNCTION("""COMPUTED_VALUE"""),"19")</f>
        <v>19</v>
      </c>
      <c r="J6078" s="115"/>
      <c r="K6078" s="115"/>
    </row>
    <row r="6079">
      <c r="A6079" s="115" t="str">
        <f>IFERROR(__xludf.DUMMYFUNCTION("""COMPUTED_VALUE"""),"SOUTH")</f>
        <v>SOUTH</v>
      </c>
      <c r="B6079" s="115" t="str">
        <f>IFERROR(__xludf.DUMMYFUNCTION("""COMPUTED_VALUE"""),"Premkumar M")</f>
        <v>Premkumar M</v>
      </c>
      <c r="C6079" s="115" t="str">
        <f>IFERROR(__xludf.DUMMYFUNCTION("""COMPUTED_VALUE"""),"MYNTRA")</f>
        <v>MYNTRA</v>
      </c>
      <c r="D6079" s="115">
        <f>IFERROR(__xludf.DUMMYFUNCTION("""COMPUTED_VALUE"""),14045.0)</f>
        <v>14045</v>
      </c>
      <c r="E6079" s="115">
        <f>IFERROR(__xludf.DUMMYFUNCTION("""COMPUTED_VALUE"""),2822.0)</f>
        <v>2822</v>
      </c>
      <c r="F6079" s="115">
        <f>IFERROR(__xludf.DUMMYFUNCTION("""COMPUTED_VALUE"""),11251.0)</f>
        <v>11251</v>
      </c>
      <c r="G6079" s="115">
        <f>IFERROR(__xludf.DUMMYFUNCTION("""COMPUTED_VALUE"""),1154.0)</f>
        <v>1154</v>
      </c>
      <c r="H6079" s="116">
        <f>IFERROR(__xludf.DUMMYFUNCTION("""COMPUTED_VALUE"""),45911.0)</f>
        <v>45911</v>
      </c>
      <c r="I6079" s="115" t="str">
        <f>IFERROR(__xludf.DUMMYFUNCTION("""COMPUTED_VALUE"""),"19")</f>
        <v>19</v>
      </c>
      <c r="J6079" s="115"/>
      <c r="K6079" s="115"/>
    </row>
    <row r="6080">
      <c r="A6080" s="115" t="str">
        <f>IFERROR(__xludf.DUMMYFUNCTION("""COMPUTED_VALUE"""),"SOUTH")</f>
        <v>SOUTH</v>
      </c>
      <c r="B6080" s="115" t="str">
        <f>IFERROR(__xludf.DUMMYFUNCTION("""COMPUTED_VALUE"""),"Vineeth V")</f>
        <v>Vineeth V</v>
      </c>
      <c r="C6080" s="115" t="str">
        <f>IFERROR(__xludf.DUMMYFUNCTION("""COMPUTED_VALUE"""),"EXTERNAL")</f>
        <v>EXTERNAL</v>
      </c>
      <c r="D6080" s="115">
        <f>IFERROR(__xludf.DUMMYFUNCTION("""COMPUTED_VALUE"""),22292.0)</f>
        <v>22292</v>
      </c>
      <c r="E6080" s="115">
        <f>IFERROR(__xludf.DUMMYFUNCTION("""COMPUTED_VALUE"""),640.0)</f>
        <v>640</v>
      </c>
      <c r="F6080" s="115">
        <f>IFERROR(__xludf.DUMMYFUNCTION("""COMPUTED_VALUE"""),12327.0)</f>
        <v>12327</v>
      </c>
      <c r="G6080" s="115">
        <f>IFERROR(__xludf.DUMMYFUNCTION("""COMPUTED_VALUE"""),256.0)</f>
        <v>256</v>
      </c>
      <c r="H6080" s="116">
        <f>IFERROR(__xludf.DUMMYFUNCTION("""COMPUTED_VALUE"""),45911.0)</f>
        <v>45911</v>
      </c>
      <c r="I6080" s="115" t="str">
        <f>IFERROR(__xludf.DUMMYFUNCTION("""COMPUTED_VALUE"""),"19")</f>
        <v>19</v>
      </c>
      <c r="J6080" s="115"/>
      <c r="K6080" s="115"/>
    </row>
    <row r="6081">
      <c r="A6081" s="115" t="str">
        <f>IFERROR(__xludf.DUMMYFUNCTION("""COMPUTED_VALUE"""),"SOUTH")</f>
        <v>SOUTH</v>
      </c>
      <c r="B6081" s="115" t="str">
        <f>IFERROR(__xludf.DUMMYFUNCTION("""COMPUTED_VALUE"""),"Vineeth V")</f>
        <v>Vineeth V</v>
      </c>
      <c r="C6081" s="115" t="str">
        <f>IFERROR(__xludf.DUMMYFUNCTION("""COMPUTED_VALUE"""),"FLIPKART")</f>
        <v>FLIPKART</v>
      </c>
      <c r="D6081" s="115">
        <f>IFERROR(__xludf.DUMMYFUNCTION("""COMPUTED_VALUE"""),218279.0)</f>
        <v>218279</v>
      </c>
      <c r="E6081" s="115">
        <f>IFERROR(__xludf.DUMMYFUNCTION("""COMPUTED_VALUE"""),13398.0)</f>
        <v>13398</v>
      </c>
      <c r="F6081" s="115">
        <f>IFERROR(__xludf.DUMMYFUNCTION("""COMPUTED_VALUE"""),179950.0)</f>
        <v>179950</v>
      </c>
      <c r="G6081" s="115">
        <f>IFERROR(__xludf.DUMMYFUNCTION("""COMPUTED_VALUE"""),6253.0)</f>
        <v>6253</v>
      </c>
      <c r="H6081" s="116">
        <f>IFERROR(__xludf.DUMMYFUNCTION("""COMPUTED_VALUE"""),45911.0)</f>
        <v>45911</v>
      </c>
      <c r="I6081" s="115" t="str">
        <f>IFERROR(__xludf.DUMMYFUNCTION("""COMPUTED_VALUE"""),"19")</f>
        <v>19</v>
      </c>
      <c r="J6081" s="115"/>
      <c r="K6081" s="115"/>
    </row>
    <row r="6082">
      <c r="A6082" s="115" t="str">
        <f>IFERROR(__xludf.DUMMYFUNCTION("""COMPUTED_VALUE"""),"SOUTH")</f>
        <v>SOUTH</v>
      </c>
      <c r="B6082" s="115" t="str">
        <f>IFERROR(__xludf.DUMMYFUNCTION("""COMPUTED_VALUE"""),"Vineeth V")</f>
        <v>Vineeth V</v>
      </c>
      <c r="C6082" s="115" t="str">
        <f>IFERROR(__xludf.DUMMYFUNCTION("""COMPUTED_VALUE"""),"MYNTRA")</f>
        <v>MYNTRA</v>
      </c>
      <c r="D6082" s="115">
        <f>IFERROR(__xludf.DUMMYFUNCTION("""COMPUTED_VALUE"""),15788.0)</f>
        <v>15788</v>
      </c>
      <c r="E6082" s="115">
        <f>IFERROR(__xludf.DUMMYFUNCTION("""COMPUTED_VALUE"""),3334.0)</f>
        <v>3334</v>
      </c>
      <c r="F6082" s="115">
        <f>IFERROR(__xludf.DUMMYFUNCTION("""COMPUTED_VALUE"""),13532.0)</f>
        <v>13532</v>
      </c>
      <c r="G6082" s="115">
        <f>IFERROR(__xludf.DUMMYFUNCTION("""COMPUTED_VALUE"""),1663.0)</f>
        <v>1663</v>
      </c>
      <c r="H6082" s="116">
        <f>IFERROR(__xludf.DUMMYFUNCTION("""COMPUTED_VALUE"""),45911.0)</f>
        <v>45911</v>
      </c>
      <c r="I6082" s="115" t="str">
        <f>IFERROR(__xludf.DUMMYFUNCTION("""COMPUTED_VALUE"""),"19")</f>
        <v>19</v>
      </c>
      <c r="J6082" s="115"/>
      <c r="K6082" s="115"/>
    </row>
    <row r="6083">
      <c r="A6083" s="115" t="str">
        <f>IFERROR(__xludf.DUMMYFUNCTION("""COMPUTED_VALUE"""),"WEST")</f>
        <v>WEST</v>
      </c>
      <c r="B6083" s="115" t="str">
        <f>IFERROR(__xludf.DUMMYFUNCTION("""COMPUTED_VALUE"""),"Ashish Jakar")</f>
        <v>Ashish Jakar</v>
      </c>
      <c r="C6083" s="115" t="str">
        <f>IFERROR(__xludf.DUMMYFUNCTION("""COMPUTED_VALUE"""),"EXTERNAL")</f>
        <v>EXTERNAL</v>
      </c>
      <c r="D6083" s="115">
        <f>IFERROR(__xludf.DUMMYFUNCTION("""COMPUTED_VALUE"""),60321.0)</f>
        <v>60321</v>
      </c>
      <c r="E6083" s="115">
        <f>IFERROR(__xludf.DUMMYFUNCTION("""COMPUTED_VALUE"""),7434.0)</f>
        <v>7434</v>
      </c>
      <c r="F6083" s="115">
        <f>IFERROR(__xludf.DUMMYFUNCTION("""COMPUTED_VALUE"""),25056.0)</f>
        <v>25056</v>
      </c>
      <c r="G6083" s="115">
        <f>IFERROR(__xludf.DUMMYFUNCTION("""COMPUTED_VALUE"""),2888.0)</f>
        <v>2888</v>
      </c>
      <c r="H6083" s="116">
        <f>IFERROR(__xludf.DUMMYFUNCTION("""COMPUTED_VALUE"""),45911.0)</f>
        <v>45911</v>
      </c>
      <c r="I6083" s="115" t="str">
        <f>IFERROR(__xludf.DUMMYFUNCTION("""COMPUTED_VALUE"""),"19")</f>
        <v>19</v>
      </c>
      <c r="J6083" s="115"/>
      <c r="K6083" s="115"/>
    </row>
    <row r="6084">
      <c r="A6084" s="115" t="str">
        <f>IFERROR(__xludf.DUMMYFUNCTION("""COMPUTED_VALUE"""),"WEST")</f>
        <v>WEST</v>
      </c>
      <c r="B6084" s="115" t="str">
        <f>IFERROR(__xludf.DUMMYFUNCTION("""COMPUTED_VALUE"""),"Ashish Jakar")</f>
        <v>Ashish Jakar</v>
      </c>
      <c r="C6084" s="115" t="str">
        <f>IFERROR(__xludf.DUMMYFUNCTION("""COMPUTED_VALUE"""),"FLIPKART")</f>
        <v>FLIPKART</v>
      </c>
      <c r="D6084" s="115">
        <f>IFERROR(__xludf.DUMMYFUNCTION("""COMPUTED_VALUE"""),402850.0)</f>
        <v>402850</v>
      </c>
      <c r="E6084" s="115">
        <f>IFERROR(__xludf.DUMMYFUNCTION("""COMPUTED_VALUE"""),34325.0)</f>
        <v>34325</v>
      </c>
      <c r="F6084" s="115">
        <f>IFERROR(__xludf.DUMMYFUNCTION("""COMPUTED_VALUE"""),287469.0)</f>
        <v>287469</v>
      </c>
      <c r="G6084" s="115">
        <f>IFERROR(__xludf.DUMMYFUNCTION("""COMPUTED_VALUE"""),18719.0)</f>
        <v>18719</v>
      </c>
      <c r="H6084" s="116">
        <f>IFERROR(__xludf.DUMMYFUNCTION("""COMPUTED_VALUE"""),45911.0)</f>
        <v>45911</v>
      </c>
      <c r="I6084" s="115" t="str">
        <f>IFERROR(__xludf.DUMMYFUNCTION("""COMPUTED_VALUE"""),"19")</f>
        <v>19</v>
      </c>
      <c r="J6084" s="115"/>
      <c r="K6084" s="115"/>
    </row>
    <row r="6085">
      <c r="A6085" s="115" t="str">
        <f>IFERROR(__xludf.DUMMYFUNCTION("""COMPUTED_VALUE"""),"WEST")</f>
        <v>WEST</v>
      </c>
      <c r="B6085" s="115" t="str">
        <f>IFERROR(__xludf.DUMMYFUNCTION("""COMPUTED_VALUE"""),"Ashish Jakar")</f>
        <v>Ashish Jakar</v>
      </c>
      <c r="C6085" s="115" t="str">
        <f>IFERROR(__xludf.DUMMYFUNCTION("""COMPUTED_VALUE"""),"MYNTRA")</f>
        <v>MYNTRA</v>
      </c>
      <c r="D6085" s="115">
        <f>IFERROR(__xludf.DUMMYFUNCTION("""COMPUTED_VALUE"""),45059.0)</f>
        <v>45059</v>
      </c>
      <c r="E6085" s="115">
        <f>IFERROR(__xludf.DUMMYFUNCTION("""COMPUTED_VALUE"""),11286.0)</f>
        <v>11286</v>
      </c>
      <c r="F6085" s="115">
        <f>IFERROR(__xludf.DUMMYFUNCTION("""COMPUTED_VALUE"""),36271.0)</f>
        <v>36271</v>
      </c>
      <c r="G6085" s="115">
        <f>IFERROR(__xludf.DUMMYFUNCTION("""COMPUTED_VALUE"""),6649.0)</f>
        <v>6649</v>
      </c>
      <c r="H6085" s="116">
        <f>IFERROR(__xludf.DUMMYFUNCTION("""COMPUTED_VALUE"""),45911.0)</f>
        <v>45911</v>
      </c>
      <c r="I6085" s="115" t="str">
        <f>IFERROR(__xludf.DUMMYFUNCTION("""COMPUTED_VALUE"""),"19")</f>
        <v>19</v>
      </c>
      <c r="J6085" s="115"/>
      <c r="K6085" s="115"/>
    </row>
    <row r="6086">
      <c r="A6086" s="115" t="str">
        <f>IFERROR(__xludf.DUMMYFUNCTION("""COMPUTED_VALUE"""),"WEST")</f>
        <v>WEST</v>
      </c>
      <c r="B6086" s="115" t="str">
        <f>IFERROR(__xludf.DUMMYFUNCTION("""COMPUTED_VALUE"""),"Ashvani Bhatt")</f>
        <v>Ashvani Bhatt</v>
      </c>
      <c r="C6086" s="115" t="str">
        <f>IFERROR(__xludf.DUMMYFUNCTION("""COMPUTED_VALUE"""),"EXTERNAL")</f>
        <v>EXTERNAL</v>
      </c>
      <c r="D6086" s="115">
        <f>IFERROR(__xludf.DUMMYFUNCTION("""COMPUTED_VALUE"""),39897.0)</f>
        <v>39897</v>
      </c>
      <c r="E6086" s="115">
        <f>IFERROR(__xludf.DUMMYFUNCTION("""COMPUTED_VALUE"""),4209.0)</f>
        <v>4209</v>
      </c>
      <c r="F6086" s="115">
        <f>IFERROR(__xludf.DUMMYFUNCTION("""COMPUTED_VALUE"""),17275.0)</f>
        <v>17275</v>
      </c>
      <c r="G6086" s="115">
        <f>IFERROR(__xludf.DUMMYFUNCTION("""COMPUTED_VALUE"""),1274.0)</f>
        <v>1274</v>
      </c>
      <c r="H6086" s="116">
        <f>IFERROR(__xludf.DUMMYFUNCTION("""COMPUTED_VALUE"""),45911.0)</f>
        <v>45911</v>
      </c>
      <c r="I6086" s="115" t="str">
        <f>IFERROR(__xludf.DUMMYFUNCTION("""COMPUTED_VALUE"""),"19")</f>
        <v>19</v>
      </c>
      <c r="J6086" s="115"/>
      <c r="K6086" s="115"/>
    </row>
    <row r="6087">
      <c r="A6087" s="115" t="str">
        <f>IFERROR(__xludf.DUMMYFUNCTION("""COMPUTED_VALUE"""),"WEST")</f>
        <v>WEST</v>
      </c>
      <c r="B6087" s="115" t="str">
        <f>IFERROR(__xludf.DUMMYFUNCTION("""COMPUTED_VALUE"""),"Ashvani Bhatt")</f>
        <v>Ashvani Bhatt</v>
      </c>
      <c r="C6087" s="115" t="str">
        <f>IFERROR(__xludf.DUMMYFUNCTION("""COMPUTED_VALUE"""),"FLIPKART")</f>
        <v>FLIPKART</v>
      </c>
      <c r="D6087" s="115">
        <f>IFERROR(__xludf.DUMMYFUNCTION("""COMPUTED_VALUE"""),308312.0)</f>
        <v>308312</v>
      </c>
      <c r="E6087" s="115">
        <f>IFERROR(__xludf.DUMMYFUNCTION("""COMPUTED_VALUE"""),27921.0)</f>
        <v>27921</v>
      </c>
      <c r="F6087" s="115">
        <f>IFERROR(__xludf.DUMMYFUNCTION("""COMPUTED_VALUE"""),236423.0)</f>
        <v>236423</v>
      </c>
      <c r="G6087" s="115">
        <f>IFERROR(__xludf.DUMMYFUNCTION("""COMPUTED_VALUE"""),15976.0)</f>
        <v>15976</v>
      </c>
      <c r="H6087" s="116">
        <f>IFERROR(__xludf.DUMMYFUNCTION("""COMPUTED_VALUE"""),45911.0)</f>
        <v>45911</v>
      </c>
      <c r="I6087" s="115" t="str">
        <f>IFERROR(__xludf.DUMMYFUNCTION("""COMPUTED_VALUE"""),"19")</f>
        <v>19</v>
      </c>
      <c r="J6087" s="115"/>
      <c r="K6087" s="115"/>
    </row>
    <row r="6088">
      <c r="A6088" s="115" t="str">
        <f>IFERROR(__xludf.DUMMYFUNCTION("""COMPUTED_VALUE"""),"WEST")</f>
        <v>WEST</v>
      </c>
      <c r="B6088" s="115" t="str">
        <f>IFERROR(__xludf.DUMMYFUNCTION("""COMPUTED_VALUE"""),"Ashvani Bhatt")</f>
        <v>Ashvani Bhatt</v>
      </c>
      <c r="C6088" s="115" t="str">
        <f>IFERROR(__xludf.DUMMYFUNCTION("""COMPUTED_VALUE"""),"MYNTRA")</f>
        <v>MYNTRA</v>
      </c>
      <c r="D6088" s="115">
        <f>IFERROR(__xludf.DUMMYFUNCTION("""COMPUTED_VALUE"""),36098.0)</f>
        <v>36098</v>
      </c>
      <c r="E6088" s="115">
        <f>IFERROR(__xludf.DUMMYFUNCTION("""COMPUTED_VALUE"""),9390.0)</f>
        <v>9390</v>
      </c>
      <c r="F6088" s="115">
        <f>IFERROR(__xludf.DUMMYFUNCTION("""COMPUTED_VALUE"""),30363.0)</f>
        <v>30363</v>
      </c>
      <c r="G6088" s="115">
        <f>IFERROR(__xludf.DUMMYFUNCTION("""COMPUTED_VALUE"""),6125.0)</f>
        <v>6125</v>
      </c>
      <c r="H6088" s="116">
        <f>IFERROR(__xludf.DUMMYFUNCTION("""COMPUTED_VALUE"""),45911.0)</f>
        <v>45911</v>
      </c>
      <c r="I6088" s="115" t="str">
        <f>IFERROR(__xludf.DUMMYFUNCTION("""COMPUTED_VALUE"""),"19")</f>
        <v>19</v>
      </c>
      <c r="J6088" s="115"/>
      <c r="K6088" s="115"/>
    </row>
    <row r="6089">
      <c r="A6089" s="115"/>
      <c r="B6089" s="115"/>
      <c r="C6089" s="115" t="str">
        <f>IFERROR(__xludf.DUMMYFUNCTION("""COMPUTED_VALUE"""),"EXTERNAL")</f>
        <v>EXTERNAL</v>
      </c>
      <c r="D6089" s="115">
        <f>IFERROR(__xludf.DUMMYFUNCTION("""COMPUTED_VALUE"""),961.0)</f>
        <v>961</v>
      </c>
      <c r="E6089" s="115">
        <f>IFERROR(__xludf.DUMMYFUNCTION("""COMPUTED_VALUE"""),365.0)</f>
        <v>365</v>
      </c>
      <c r="F6089" s="115">
        <f>IFERROR(__xludf.DUMMYFUNCTION("""COMPUTED_VALUE"""),476.0)</f>
        <v>476</v>
      </c>
      <c r="G6089" s="115">
        <f>IFERROR(__xludf.DUMMYFUNCTION("""COMPUTED_VALUE"""),198.0)</f>
        <v>198</v>
      </c>
      <c r="H6089" s="116">
        <f>IFERROR(__xludf.DUMMYFUNCTION("""COMPUTED_VALUE"""),45911.0)</f>
        <v>45911</v>
      </c>
      <c r="I6089" s="115" t="str">
        <f>IFERROR(__xludf.DUMMYFUNCTION("""COMPUTED_VALUE"""),"19")</f>
        <v>19</v>
      </c>
      <c r="J6089" s="115"/>
      <c r="K6089" s="115"/>
    </row>
    <row r="6090">
      <c r="A6090" s="115"/>
      <c r="B6090" s="115"/>
      <c r="C6090" s="115" t="str">
        <f>IFERROR(__xludf.DUMMYFUNCTION("""COMPUTED_VALUE"""),"FLIPKART")</f>
        <v>FLIPKART</v>
      </c>
      <c r="D6090" s="115">
        <f>IFERROR(__xludf.DUMMYFUNCTION("""COMPUTED_VALUE"""),11269.0)</f>
        <v>11269</v>
      </c>
      <c r="E6090" s="115">
        <f>IFERROR(__xludf.DUMMYFUNCTION("""COMPUTED_VALUE"""),1115.0)</f>
        <v>1115</v>
      </c>
      <c r="F6090" s="115">
        <f>IFERROR(__xludf.DUMMYFUNCTION("""COMPUTED_VALUE"""),8290.0)</f>
        <v>8290</v>
      </c>
      <c r="G6090" s="115">
        <f>IFERROR(__xludf.DUMMYFUNCTION("""COMPUTED_VALUE"""),550.0)</f>
        <v>550</v>
      </c>
      <c r="H6090" s="116">
        <f>IFERROR(__xludf.DUMMYFUNCTION("""COMPUTED_VALUE"""),45911.0)</f>
        <v>45911</v>
      </c>
      <c r="I6090" s="115" t="str">
        <f>IFERROR(__xludf.DUMMYFUNCTION("""COMPUTED_VALUE"""),"19")</f>
        <v>19</v>
      </c>
      <c r="J6090" s="115"/>
      <c r="K6090" s="115"/>
    </row>
    <row r="6091">
      <c r="A6091" s="115"/>
      <c r="B6091" s="115"/>
      <c r="C6091" s="115" t="str">
        <f>IFERROR(__xludf.DUMMYFUNCTION("""COMPUTED_VALUE"""),"MYNTRA")</f>
        <v>MYNTRA</v>
      </c>
      <c r="D6091" s="115">
        <f>IFERROR(__xludf.DUMMYFUNCTION("""COMPUTED_VALUE"""),1279.0)</f>
        <v>1279</v>
      </c>
      <c r="E6091" s="115">
        <f>IFERROR(__xludf.DUMMYFUNCTION("""COMPUTED_VALUE"""),317.0)</f>
        <v>317</v>
      </c>
      <c r="F6091" s="115">
        <f>IFERROR(__xludf.DUMMYFUNCTION("""COMPUTED_VALUE"""),1014.0)</f>
        <v>1014</v>
      </c>
      <c r="G6091" s="115">
        <f>IFERROR(__xludf.DUMMYFUNCTION("""COMPUTED_VALUE"""),205.0)</f>
        <v>205</v>
      </c>
      <c r="H6091" s="116">
        <f>IFERROR(__xludf.DUMMYFUNCTION("""COMPUTED_VALUE"""),45911.0)</f>
        <v>45911</v>
      </c>
      <c r="I6091" s="115" t="str">
        <f>IFERROR(__xludf.DUMMYFUNCTION("""COMPUTED_VALUE"""),"19")</f>
        <v>19</v>
      </c>
      <c r="J6091" s="115"/>
      <c r="K6091" s="115"/>
    </row>
    <row r="6092">
      <c r="A6092" s="115" t="str">
        <f>IFERROR(__xludf.DUMMYFUNCTION("""COMPUTED_VALUE"""),"EAST")</f>
        <v>EAST</v>
      </c>
      <c r="B6092" s="115" t="str">
        <f>IFERROR(__xludf.DUMMYFUNCTION("""COMPUTED_VALUE"""),"Ashish Ranjan")</f>
        <v>Ashish Ranjan</v>
      </c>
      <c r="C6092" s="115" t="str">
        <f>IFERROR(__xludf.DUMMYFUNCTION("""COMPUTED_VALUE"""),"EXTERNAL")</f>
        <v>EXTERNAL</v>
      </c>
      <c r="D6092" s="115">
        <f>IFERROR(__xludf.DUMMYFUNCTION("""COMPUTED_VALUE"""),39968.0)</f>
        <v>39968</v>
      </c>
      <c r="E6092" s="115">
        <f>IFERROR(__xludf.DUMMYFUNCTION("""COMPUTED_VALUE"""),4228.0)</f>
        <v>4228</v>
      </c>
      <c r="F6092" s="115">
        <f>IFERROR(__xludf.DUMMYFUNCTION("""COMPUTED_VALUE"""),22666.0)</f>
        <v>22666</v>
      </c>
      <c r="G6092" s="115">
        <f>IFERROR(__xludf.DUMMYFUNCTION("""COMPUTED_VALUE"""),1924.0)</f>
        <v>1924</v>
      </c>
      <c r="H6092" s="116">
        <f>IFERROR(__xludf.DUMMYFUNCTION("""COMPUTED_VALUE"""),45911.0)</f>
        <v>45911</v>
      </c>
      <c r="I6092" s="115" t="str">
        <f>IFERROR(__xludf.DUMMYFUNCTION("""COMPUTED_VALUE"""),"20")</f>
        <v>20</v>
      </c>
      <c r="J6092" s="115"/>
      <c r="K6092" s="115"/>
    </row>
    <row r="6093">
      <c r="A6093" s="115" t="str">
        <f>IFERROR(__xludf.DUMMYFUNCTION("""COMPUTED_VALUE"""),"EAST")</f>
        <v>EAST</v>
      </c>
      <c r="B6093" s="115" t="str">
        <f>IFERROR(__xludf.DUMMYFUNCTION("""COMPUTED_VALUE"""),"Ashish Ranjan")</f>
        <v>Ashish Ranjan</v>
      </c>
      <c r="C6093" s="115" t="str">
        <f>IFERROR(__xludf.DUMMYFUNCTION("""COMPUTED_VALUE"""),"FLIPKART")</f>
        <v>FLIPKART</v>
      </c>
      <c r="D6093" s="115">
        <f>IFERROR(__xludf.DUMMYFUNCTION("""COMPUTED_VALUE"""),709619.0)</f>
        <v>709619</v>
      </c>
      <c r="E6093" s="115">
        <f>IFERROR(__xludf.DUMMYFUNCTION("""COMPUTED_VALUE"""),64375.0)</f>
        <v>64375</v>
      </c>
      <c r="F6093" s="115">
        <f>IFERROR(__xludf.DUMMYFUNCTION("""COMPUTED_VALUE"""),624193.0)</f>
        <v>624193</v>
      </c>
      <c r="G6093" s="115">
        <f>IFERROR(__xludf.DUMMYFUNCTION("""COMPUTED_VALUE"""),48585.0)</f>
        <v>48585</v>
      </c>
      <c r="H6093" s="116">
        <f>IFERROR(__xludf.DUMMYFUNCTION("""COMPUTED_VALUE"""),45911.0)</f>
        <v>45911</v>
      </c>
      <c r="I6093" s="115" t="str">
        <f>IFERROR(__xludf.DUMMYFUNCTION("""COMPUTED_VALUE"""),"20")</f>
        <v>20</v>
      </c>
      <c r="J6093" s="115"/>
      <c r="K6093" s="115"/>
    </row>
    <row r="6094">
      <c r="A6094" s="115" t="str">
        <f>IFERROR(__xludf.DUMMYFUNCTION("""COMPUTED_VALUE"""),"EAST")</f>
        <v>EAST</v>
      </c>
      <c r="B6094" s="115" t="str">
        <f>IFERROR(__xludf.DUMMYFUNCTION("""COMPUTED_VALUE"""),"Ashish Ranjan")</f>
        <v>Ashish Ranjan</v>
      </c>
      <c r="C6094" s="115" t="str">
        <f>IFERROR(__xludf.DUMMYFUNCTION("""COMPUTED_VALUE"""),"MYNTRA")</f>
        <v>MYNTRA</v>
      </c>
      <c r="D6094" s="115">
        <f>IFERROR(__xludf.DUMMYFUNCTION("""COMPUTED_VALUE"""),71273.0)</f>
        <v>71273</v>
      </c>
      <c r="E6094" s="115">
        <f>IFERROR(__xludf.DUMMYFUNCTION("""COMPUTED_VALUE"""),16120.0)</f>
        <v>16120</v>
      </c>
      <c r="F6094" s="115">
        <f>IFERROR(__xludf.DUMMYFUNCTION("""COMPUTED_VALUE"""),62994.0)</f>
        <v>62994</v>
      </c>
      <c r="G6094" s="115">
        <f>IFERROR(__xludf.DUMMYFUNCTION("""COMPUTED_VALUE"""),12022.0)</f>
        <v>12022</v>
      </c>
      <c r="H6094" s="116">
        <f>IFERROR(__xludf.DUMMYFUNCTION("""COMPUTED_VALUE"""),45911.0)</f>
        <v>45911</v>
      </c>
      <c r="I6094" s="115" t="str">
        <f>IFERROR(__xludf.DUMMYFUNCTION("""COMPUTED_VALUE"""),"20")</f>
        <v>20</v>
      </c>
      <c r="J6094" s="115"/>
      <c r="K6094" s="115"/>
    </row>
    <row r="6095">
      <c r="A6095" s="115" t="str">
        <f>IFERROR(__xludf.DUMMYFUNCTION("""COMPUTED_VALUE"""),"EAST")</f>
        <v>EAST</v>
      </c>
      <c r="B6095" s="115" t="str">
        <f>IFERROR(__xludf.DUMMYFUNCTION("""COMPUTED_VALUE"""),"Girish Chand")</f>
        <v>Girish Chand</v>
      </c>
      <c r="C6095" s="115" t="str">
        <f>IFERROR(__xludf.DUMMYFUNCTION("""COMPUTED_VALUE"""),"EXTERNAL")</f>
        <v>EXTERNAL</v>
      </c>
      <c r="D6095" s="115">
        <f>IFERROR(__xludf.DUMMYFUNCTION("""COMPUTED_VALUE"""),21338.0)</f>
        <v>21338</v>
      </c>
      <c r="E6095" s="115">
        <f>IFERROR(__xludf.DUMMYFUNCTION("""COMPUTED_VALUE"""),2493.0)</f>
        <v>2493</v>
      </c>
      <c r="F6095" s="115">
        <f>IFERROR(__xludf.DUMMYFUNCTION("""COMPUTED_VALUE"""),9303.0)</f>
        <v>9303</v>
      </c>
      <c r="G6095" s="115">
        <f>IFERROR(__xludf.DUMMYFUNCTION("""COMPUTED_VALUE"""),746.0)</f>
        <v>746</v>
      </c>
      <c r="H6095" s="116">
        <f>IFERROR(__xludf.DUMMYFUNCTION("""COMPUTED_VALUE"""),45911.0)</f>
        <v>45911</v>
      </c>
      <c r="I6095" s="115" t="str">
        <f>IFERROR(__xludf.DUMMYFUNCTION("""COMPUTED_VALUE"""),"20")</f>
        <v>20</v>
      </c>
      <c r="J6095" s="115"/>
      <c r="K6095" s="115"/>
    </row>
    <row r="6096">
      <c r="A6096" s="115" t="str">
        <f>IFERROR(__xludf.DUMMYFUNCTION("""COMPUTED_VALUE"""),"EAST")</f>
        <v>EAST</v>
      </c>
      <c r="B6096" s="115" t="str">
        <f>IFERROR(__xludf.DUMMYFUNCTION("""COMPUTED_VALUE"""),"Girish Chand")</f>
        <v>Girish Chand</v>
      </c>
      <c r="C6096" s="115" t="str">
        <f>IFERROR(__xludf.DUMMYFUNCTION("""COMPUTED_VALUE"""),"FLIPKART")</f>
        <v>FLIPKART</v>
      </c>
      <c r="D6096" s="115">
        <f>IFERROR(__xludf.DUMMYFUNCTION("""COMPUTED_VALUE"""),424459.0)</f>
        <v>424459</v>
      </c>
      <c r="E6096" s="115">
        <f>IFERROR(__xludf.DUMMYFUNCTION("""COMPUTED_VALUE"""),37898.0)</f>
        <v>37898</v>
      </c>
      <c r="F6096" s="115">
        <f>IFERROR(__xludf.DUMMYFUNCTION("""COMPUTED_VALUE"""),321276.0)</f>
        <v>321276</v>
      </c>
      <c r="G6096" s="115">
        <f>IFERROR(__xludf.DUMMYFUNCTION("""COMPUTED_VALUE"""),26171.0)</f>
        <v>26171</v>
      </c>
      <c r="H6096" s="116">
        <f>IFERROR(__xludf.DUMMYFUNCTION("""COMPUTED_VALUE"""),45911.0)</f>
        <v>45911</v>
      </c>
      <c r="I6096" s="115" t="str">
        <f>IFERROR(__xludf.DUMMYFUNCTION("""COMPUTED_VALUE"""),"20")</f>
        <v>20</v>
      </c>
      <c r="J6096" s="115"/>
      <c r="K6096" s="115"/>
    </row>
    <row r="6097">
      <c r="A6097" s="115" t="str">
        <f>IFERROR(__xludf.DUMMYFUNCTION("""COMPUTED_VALUE"""),"EAST")</f>
        <v>EAST</v>
      </c>
      <c r="B6097" s="115" t="str">
        <f>IFERROR(__xludf.DUMMYFUNCTION("""COMPUTED_VALUE"""),"Girish Chand")</f>
        <v>Girish Chand</v>
      </c>
      <c r="C6097" s="115" t="str">
        <f>IFERROR(__xludf.DUMMYFUNCTION("""COMPUTED_VALUE"""),"MYNTRA")</f>
        <v>MYNTRA</v>
      </c>
      <c r="D6097" s="115">
        <f>IFERROR(__xludf.DUMMYFUNCTION("""COMPUTED_VALUE"""),33449.0)</f>
        <v>33449</v>
      </c>
      <c r="E6097" s="115">
        <f>IFERROR(__xludf.DUMMYFUNCTION("""COMPUTED_VALUE"""),7781.0)</f>
        <v>7781</v>
      </c>
      <c r="F6097" s="115">
        <f>IFERROR(__xludf.DUMMYFUNCTION("""COMPUTED_VALUE"""),26360.0)</f>
        <v>26360</v>
      </c>
      <c r="G6097" s="115">
        <f>IFERROR(__xludf.DUMMYFUNCTION("""COMPUTED_VALUE"""),5633.0)</f>
        <v>5633</v>
      </c>
      <c r="H6097" s="116">
        <f>IFERROR(__xludf.DUMMYFUNCTION("""COMPUTED_VALUE"""),45911.0)</f>
        <v>45911</v>
      </c>
      <c r="I6097" s="115" t="str">
        <f>IFERROR(__xludf.DUMMYFUNCTION("""COMPUTED_VALUE"""),"20")</f>
        <v>20</v>
      </c>
      <c r="J6097" s="115"/>
      <c r="K6097" s="115"/>
    </row>
    <row r="6098">
      <c r="A6098" s="115" t="str">
        <f>IFERROR(__xludf.DUMMYFUNCTION("""COMPUTED_VALUE"""),"EAST")</f>
        <v>EAST</v>
      </c>
      <c r="B6098" s="115" t="str">
        <f>IFERROR(__xludf.DUMMYFUNCTION("""COMPUTED_VALUE"""),"Parag Kashyap")</f>
        <v>Parag Kashyap</v>
      </c>
      <c r="C6098" s="115" t="str">
        <f>IFERROR(__xludf.DUMMYFUNCTION("""COMPUTED_VALUE"""),"EXTERNAL")</f>
        <v>EXTERNAL</v>
      </c>
      <c r="D6098" s="115">
        <f>IFERROR(__xludf.DUMMYFUNCTION("""COMPUTED_VALUE"""),16338.0)</f>
        <v>16338</v>
      </c>
      <c r="E6098" s="115">
        <f>IFERROR(__xludf.DUMMYFUNCTION("""COMPUTED_VALUE"""),1186.0)</f>
        <v>1186</v>
      </c>
      <c r="F6098" s="115">
        <f>IFERROR(__xludf.DUMMYFUNCTION("""COMPUTED_VALUE"""),7415.0)</f>
        <v>7415</v>
      </c>
      <c r="G6098" s="115">
        <f>IFERROR(__xludf.DUMMYFUNCTION("""COMPUTED_VALUE"""),423.0)</f>
        <v>423</v>
      </c>
      <c r="H6098" s="116">
        <f>IFERROR(__xludf.DUMMYFUNCTION("""COMPUTED_VALUE"""),45911.0)</f>
        <v>45911</v>
      </c>
      <c r="I6098" s="115" t="str">
        <f>IFERROR(__xludf.DUMMYFUNCTION("""COMPUTED_VALUE"""),"20")</f>
        <v>20</v>
      </c>
      <c r="J6098" s="115"/>
      <c r="K6098" s="115"/>
    </row>
    <row r="6099">
      <c r="A6099" s="115" t="str">
        <f>IFERROR(__xludf.DUMMYFUNCTION("""COMPUTED_VALUE"""),"EAST")</f>
        <v>EAST</v>
      </c>
      <c r="B6099" s="115" t="str">
        <f>IFERROR(__xludf.DUMMYFUNCTION("""COMPUTED_VALUE"""),"Parag Kashyap")</f>
        <v>Parag Kashyap</v>
      </c>
      <c r="C6099" s="115" t="str">
        <f>IFERROR(__xludf.DUMMYFUNCTION("""COMPUTED_VALUE"""),"FLIPKART")</f>
        <v>FLIPKART</v>
      </c>
      <c r="D6099" s="115">
        <f>IFERROR(__xludf.DUMMYFUNCTION("""COMPUTED_VALUE"""),288545.0)</f>
        <v>288545</v>
      </c>
      <c r="E6099" s="115">
        <f>IFERROR(__xludf.DUMMYFUNCTION("""COMPUTED_VALUE"""),20006.0)</f>
        <v>20006</v>
      </c>
      <c r="F6099" s="115">
        <f>IFERROR(__xludf.DUMMYFUNCTION("""COMPUTED_VALUE"""),225223.0)</f>
        <v>225223</v>
      </c>
      <c r="G6099" s="115">
        <f>IFERROR(__xludf.DUMMYFUNCTION("""COMPUTED_VALUE"""),12689.0)</f>
        <v>12689</v>
      </c>
      <c r="H6099" s="116">
        <f>IFERROR(__xludf.DUMMYFUNCTION("""COMPUTED_VALUE"""),45911.0)</f>
        <v>45911</v>
      </c>
      <c r="I6099" s="115" t="str">
        <f>IFERROR(__xludf.DUMMYFUNCTION("""COMPUTED_VALUE"""),"20")</f>
        <v>20</v>
      </c>
      <c r="J6099" s="115"/>
      <c r="K6099" s="115"/>
    </row>
    <row r="6100">
      <c r="A6100" s="115" t="str">
        <f>IFERROR(__xludf.DUMMYFUNCTION("""COMPUTED_VALUE"""),"EAST")</f>
        <v>EAST</v>
      </c>
      <c r="B6100" s="115" t="str">
        <f>IFERROR(__xludf.DUMMYFUNCTION("""COMPUTED_VALUE"""),"Parag Kashyap")</f>
        <v>Parag Kashyap</v>
      </c>
      <c r="C6100" s="115" t="str">
        <f>IFERROR(__xludf.DUMMYFUNCTION("""COMPUTED_VALUE"""),"MYNTRA")</f>
        <v>MYNTRA</v>
      </c>
      <c r="D6100" s="115">
        <f>IFERROR(__xludf.DUMMYFUNCTION("""COMPUTED_VALUE"""),37691.0)</f>
        <v>37691</v>
      </c>
      <c r="E6100" s="115">
        <f>IFERROR(__xludf.DUMMYFUNCTION("""COMPUTED_VALUE"""),6317.0)</f>
        <v>6317</v>
      </c>
      <c r="F6100" s="115">
        <f>IFERROR(__xludf.DUMMYFUNCTION("""COMPUTED_VALUE"""),30312.0)</f>
        <v>30312</v>
      </c>
      <c r="G6100" s="115">
        <f>IFERROR(__xludf.DUMMYFUNCTION("""COMPUTED_VALUE"""),3992.0)</f>
        <v>3992</v>
      </c>
      <c r="H6100" s="116">
        <f>IFERROR(__xludf.DUMMYFUNCTION("""COMPUTED_VALUE"""),45911.0)</f>
        <v>45911</v>
      </c>
      <c r="I6100" s="115" t="str">
        <f>IFERROR(__xludf.DUMMYFUNCTION("""COMPUTED_VALUE"""),"20")</f>
        <v>20</v>
      </c>
      <c r="J6100" s="115"/>
      <c r="K6100" s="115"/>
    </row>
    <row r="6101">
      <c r="A6101" s="115" t="str">
        <f>IFERROR(__xludf.DUMMYFUNCTION("""COMPUTED_VALUE"""),"NORTH")</f>
        <v>NORTH</v>
      </c>
      <c r="B6101" s="115" t="str">
        <f>IFERROR(__xludf.DUMMYFUNCTION("""COMPUTED_VALUE"""),"Amit Kumar Pathak")</f>
        <v>Amit Kumar Pathak</v>
      </c>
      <c r="C6101" s="115" t="str">
        <f>IFERROR(__xludf.DUMMYFUNCTION("""COMPUTED_VALUE"""),"EXTERNAL")</f>
        <v>EXTERNAL</v>
      </c>
      <c r="D6101" s="115">
        <f>IFERROR(__xludf.DUMMYFUNCTION("""COMPUTED_VALUE"""),28325.0)</f>
        <v>28325</v>
      </c>
      <c r="E6101" s="115">
        <f>IFERROR(__xludf.DUMMYFUNCTION("""COMPUTED_VALUE"""),3185.0)</f>
        <v>3185</v>
      </c>
      <c r="F6101" s="115">
        <f>IFERROR(__xludf.DUMMYFUNCTION("""COMPUTED_VALUE"""),11968.0)</f>
        <v>11968</v>
      </c>
      <c r="G6101" s="115">
        <f>IFERROR(__xludf.DUMMYFUNCTION("""COMPUTED_VALUE"""),1664.0)</f>
        <v>1664</v>
      </c>
      <c r="H6101" s="116">
        <f>IFERROR(__xludf.DUMMYFUNCTION("""COMPUTED_VALUE"""),45911.0)</f>
        <v>45911</v>
      </c>
      <c r="I6101" s="115" t="str">
        <f>IFERROR(__xludf.DUMMYFUNCTION("""COMPUTED_VALUE"""),"20")</f>
        <v>20</v>
      </c>
      <c r="J6101" s="115"/>
      <c r="K6101" s="115"/>
    </row>
    <row r="6102">
      <c r="A6102" s="115" t="str">
        <f>IFERROR(__xludf.DUMMYFUNCTION("""COMPUTED_VALUE"""),"NORTH")</f>
        <v>NORTH</v>
      </c>
      <c r="B6102" s="115" t="str">
        <f>IFERROR(__xludf.DUMMYFUNCTION("""COMPUTED_VALUE"""),"Amit Kumar Pathak")</f>
        <v>Amit Kumar Pathak</v>
      </c>
      <c r="C6102" s="115" t="str">
        <f>IFERROR(__xludf.DUMMYFUNCTION("""COMPUTED_VALUE"""),"FLIPKART")</f>
        <v>FLIPKART</v>
      </c>
      <c r="D6102" s="115">
        <f>IFERROR(__xludf.DUMMYFUNCTION("""COMPUTED_VALUE"""),206216.0)</f>
        <v>206216</v>
      </c>
      <c r="E6102" s="115">
        <f>IFERROR(__xludf.DUMMYFUNCTION("""COMPUTED_VALUE"""),22378.0)</f>
        <v>22378</v>
      </c>
      <c r="F6102" s="115">
        <f>IFERROR(__xludf.DUMMYFUNCTION("""COMPUTED_VALUE"""),157407.0)</f>
        <v>157407</v>
      </c>
      <c r="G6102" s="115">
        <f>IFERROR(__xludf.DUMMYFUNCTION("""COMPUTED_VALUE"""),14335.0)</f>
        <v>14335</v>
      </c>
      <c r="H6102" s="116">
        <f>IFERROR(__xludf.DUMMYFUNCTION("""COMPUTED_VALUE"""),45911.0)</f>
        <v>45911</v>
      </c>
      <c r="I6102" s="115" t="str">
        <f>IFERROR(__xludf.DUMMYFUNCTION("""COMPUTED_VALUE"""),"20")</f>
        <v>20</v>
      </c>
      <c r="J6102" s="115"/>
      <c r="K6102" s="115"/>
    </row>
    <row r="6103">
      <c r="A6103" s="115" t="str">
        <f>IFERROR(__xludf.DUMMYFUNCTION("""COMPUTED_VALUE"""),"NORTH")</f>
        <v>NORTH</v>
      </c>
      <c r="B6103" s="115" t="str">
        <f>IFERROR(__xludf.DUMMYFUNCTION("""COMPUTED_VALUE"""),"Amit Kumar Pathak")</f>
        <v>Amit Kumar Pathak</v>
      </c>
      <c r="C6103" s="115" t="str">
        <f>IFERROR(__xludf.DUMMYFUNCTION("""COMPUTED_VALUE"""),"MYNTRA")</f>
        <v>MYNTRA</v>
      </c>
      <c r="D6103" s="115">
        <f>IFERROR(__xludf.DUMMYFUNCTION("""COMPUTED_VALUE"""),16358.0)</f>
        <v>16358</v>
      </c>
      <c r="E6103" s="115">
        <f>IFERROR(__xludf.DUMMYFUNCTION("""COMPUTED_VALUE"""),5359.0)</f>
        <v>5359</v>
      </c>
      <c r="F6103" s="115">
        <f>IFERROR(__xludf.DUMMYFUNCTION("""COMPUTED_VALUE"""),13841.0)</f>
        <v>13841</v>
      </c>
      <c r="G6103" s="115">
        <f>IFERROR(__xludf.DUMMYFUNCTION("""COMPUTED_VALUE"""),3653.0)</f>
        <v>3653</v>
      </c>
      <c r="H6103" s="116">
        <f>IFERROR(__xludf.DUMMYFUNCTION("""COMPUTED_VALUE"""),45911.0)</f>
        <v>45911</v>
      </c>
      <c r="I6103" s="115" t="str">
        <f>IFERROR(__xludf.DUMMYFUNCTION("""COMPUTED_VALUE"""),"20")</f>
        <v>20</v>
      </c>
      <c r="J6103" s="115"/>
      <c r="K6103" s="115"/>
    </row>
    <row r="6104">
      <c r="A6104" s="115" t="str">
        <f>IFERROR(__xludf.DUMMYFUNCTION("""COMPUTED_VALUE"""),"NORTH")</f>
        <v>NORTH</v>
      </c>
      <c r="B6104" s="115" t="str">
        <f>IFERROR(__xludf.DUMMYFUNCTION("""COMPUTED_VALUE"""),"Loveleen Singh")</f>
        <v>Loveleen Singh</v>
      </c>
      <c r="C6104" s="115" t="str">
        <f>IFERROR(__xludf.DUMMYFUNCTION("""COMPUTED_VALUE"""),"EXTERNAL")</f>
        <v>EXTERNAL</v>
      </c>
      <c r="D6104" s="115">
        <f>IFERROR(__xludf.DUMMYFUNCTION("""COMPUTED_VALUE"""),30619.0)</f>
        <v>30619</v>
      </c>
      <c r="E6104" s="115">
        <f>IFERROR(__xludf.DUMMYFUNCTION("""COMPUTED_VALUE"""),2339.0)</f>
        <v>2339</v>
      </c>
      <c r="F6104" s="115">
        <f>IFERROR(__xludf.DUMMYFUNCTION("""COMPUTED_VALUE"""),12984.0)</f>
        <v>12984</v>
      </c>
      <c r="G6104" s="115">
        <f>IFERROR(__xludf.DUMMYFUNCTION("""COMPUTED_VALUE"""),873.0)</f>
        <v>873</v>
      </c>
      <c r="H6104" s="116">
        <f>IFERROR(__xludf.DUMMYFUNCTION("""COMPUTED_VALUE"""),45911.0)</f>
        <v>45911</v>
      </c>
      <c r="I6104" s="115" t="str">
        <f>IFERROR(__xludf.DUMMYFUNCTION("""COMPUTED_VALUE"""),"20")</f>
        <v>20</v>
      </c>
      <c r="J6104" s="115"/>
      <c r="K6104" s="115"/>
    </row>
    <row r="6105">
      <c r="A6105" s="115" t="str">
        <f>IFERROR(__xludf.DUMMYFUNCTION("""COMPUTED_VALUE"""),"NORTH")</f>
        <v>NORTH</v>
      </c>
      <c r="B6105" s="115" t="str">
        <f>IFERROR(__xludf.DUMMYFUNCTION("""COMPUTED_VALUE"""),"Loveleen Singh")</f>
        <v>Loveleen Singh</v>
      </c>
      <c r="C6105" s="115" t="str">
        <f>IFERROR(__xludf.DUMMYFUNCTION("""COMPUTED_VALUE"""),"FLIPKART")</f>
        <v>FLIPKART</v>
      </c>
      <c r="D6105" s="115">
        <f>IFERROR(__xludf.DUMMYFUNCTION("""COMPUTED_VALUE"""),196596.0)</f>
        <v>196596</v>
      </c>
      <c r="E6105" s="115">
        <f>IFERROR(__xludf.DUMMYFUNCTION("""COMPUTED_VALUE"""),14559.0)</f>
        <v>14559</v>
      </c>
      <c r="F6105" s="115">
        <f>IFERROR(__xludf.DUMMYFUNCTION("""COMPUTED_VALUE"""),152172.0)</f>
        <v>152172</v>
      </c>
      <c r="G6105" s="115">
        <f>IFERROR(__xludf.DUMMYFUNCTION("""COMPUTED_VALUE"""),8782.0)</f>
        <v>8782</v>
      </c>
      <c r="H6105" s="116">
        <f>IFERROR(__xludf.DUMMYFUNCTION("""COMPUTED_VALUE"""),45911.0)</f>
        <v>45911</v>
      </c>
      <c r="I6105" s="115" t="str">
        <f>IFERROR(__xludf.DUMMYFUNCTION("""COMPUTED_VALUE"""),"20")</f>
        <v>20</v>
      </c>
      <c r="J6105" s="115"/>
      <c r="K6105" s="115"/>
    </row>
    <row r="6106">
      <c r="A6106" s="115" t="str">
        <f>IFERROR(__xludf.DUMMYFUNCTION("""COMPUTED_VALUE"""),"NORTH")</f>
        <v>NORTH</v>
      </c>
      <c r="B6106" s="115" t="str">
        <f>IFERROR(__xludf.DUMMYFUNCTION("""COMPUTED_VALUE"""),"Loveleen Singh")</f>
        <v>Loveleen Singh</v>
      </c>
      <c r="C6106" s="115" t="str">
        <f>IFERROR(__xludf.DUMMYFUNCTION("""COMPUTED_VALUE"""),"MYNTRA")</f>
        <v>MYNTRA</v>
      </c>
      <c r="D6106" s="115">
        <f>IFERROR(__xludf.DUMMYFUNCTION("""COMPUTED_VALUE"""),29560.0)</f>
        <v>29560</v>
      </c>
      <c r="E6106" s="115">
        <f>IFERROR(__xludf.DUMMYFUNCTION("""COMPUTED_VALUE"""),6689.0)</f>
        <v>6689</v>
      </c>
      <c r="F6106" s="115">
        <f>IFERROR(__xludf.DUMMYFUNCTION("""COMPUTED_VALUE"""),24485.0)</f>
        <v>24485</v>
      </c>
      <c r="G6106" s="115">
        <f>IFERROR(__xludf.DUMMYFUNCTION("""COMPUTED_VALUE"""),4496.0)</f>
        <v>4496</v>
      </c>
      <c r="H6106" s="116">
        <f>IFERROR(__xludf.DUMMYFUNCTION("""COMPUTED_VALUE"""),45911.0)</f>
        <v>45911</v>
      </c>
      <c r="I6106" s="115" t="str">
        <f>IFERROR(__xludf.DUMMYFUNCTION("""COMPUTED_VALUE"""),"20")</f>
        <v>20</v>
      </c>
      <c r="J6106" s="115"/>
      <c r="K6106" s="115"/>
    </row>
    <row r="6107">
      <c r="A6107" s="115" t="str">
        <f>IFERROR(__xludf.DUMMYFUNCTION("""COMPUTED_VALUE"""),"NORTH")</f>
        <v>NORTH</v>
      </c>
      <c r="B6107" s="115" t="str">
        <f>IFERROR(__xludf.DUMMYFUNCTION("""COMPUTED_VALUE"""),"Manoj Harsh")</f>
        <v>Manoj Harsh</v>
      </c>
      <c r="C6107" s="115" t="str">
        <f>IFERROR(__xludf.DUMMYFUNCTION("""COMPUTED_VALUE"""),"EXTERNAL")</f>
        <v>EXTERNAL</v>
      </c>
      <c r="D6107" s="115">
        <f>IFERROR(__xludf.DUMMYFUNCTION("""COMPUTED_VALUE"""),33193.0)</f>
        <v>33193</v>
      </c>
      <c r="E6107" s="115">
        <f>IFERROR(__xludf.DUMMYFUNCTION("""COMPUTED_VALUE"""),2854.0)</f>
        <v>2854</v>
      </c>
      <c r="F6107" s="115">
        <f>IFERROR(__xludf.DUMMYFUNCTION("""COMPUTED_VALUE"""),15626.0)</f>
        <v>15626</v>
      </c>
      <c r="G6107" s="115">
        <f>IFERROR(__xludf.DUMMYFUNCTION("""COMPUTED_VALUE"""),1115.0)</f>
        <v>1115</v>
      </c>
      <c r="H6107" s="116">
        <f>IFERROR(__xludf.DUMMYFUNCTION("""COMPUTED_VALUE"""),45911.0)</f>
        <v>45911</v>
      </c>
      <c r="I6107" s="115" t="str">
        <f>IFERROR(__xludf.DUMMYFUNCTION("""COMPUTED_VALUE"""),"20")</f>
        <v>20</v>
      </c>
      <c r="J6107" s="115"/>
      <c r="K6107" s="115"/>
    </row>
    <row r="6108">
      <c r="A6108" s="115" t="str">
        <f>IFERROR(__xludf.DUMMYFUNCTION("""COMPUTED_VALUE"""),"NORTH")</f>
        <v>NORTH</v>
      </c>
      <c r="B6108" s="115" t="str">
        <f>IFERROR(__xludf.DUMMYFUNCTION("""COMPUTED_VALUE"""),"Manoj Harsh")</f>
        <v>Manoj Harsh</v>
      </c>
      <c r="C6108" s="115" t="str">
        <f>IFERROR(__xludf.DUMMYFUNCTION("""COMPUTED_VALUE"""),"FLIPKART")</f>
        <v>FLIPKART</v>
      </c>
      <c r="D6108" s="115">
        <f>IFERROR(__xludf.DUMMYFUNCTION("""COMPUTED_VALUE"""),443853.0)</f>
        <v>443853</v>
      </c>
      <c r="E6108" s="115">
        <f>IFERROR(__xludf.DUMMYFUNCTION("""COMPUTED_VALUE"""),37337.0)</f>
        <v>37337</v>
      </c>
      <c r="F6108" s="115">
        <f>IFERROR(__xludf.DUMMYFUNCTION("""COMPUTED_VALUE"""),341353.0)</f>
        <v>341353</v>
      </c>
      <c r="G6108" s="115">
        <f>IFERROR(__xludf.DUMMYFUNCTION("""COMPUTED_VALUE"""),24106.0)</f>
        <v>24106</v>
      </c>
      <c r="H6108" s="116">
        <f>IFERROR(__xludf.DUMMYFUNCTION("""COMPUTED_VALUE"""),45911.0)</f>
        <v>45911</v>
      </c>
      <c r="I6108" s="115" t="str">
        <f>IFERROR(__xludf.DUMMYFUNCTION("""COMPUTED_VALUE"""),"20")</f>
        <v>20</v>
      </c>
      <c r="J6108" s="115"/>
      <c r="K6108" s="115"/>
    </row>
    <row r="6109">
      <c r="A6109" s="115" t="str">
        <f>IFERROR(__xludf.DUMMYFUNCTION("""COMPUTED_VALUE"""),"NORTH")</f>
        <v>NORTH</v>
      </c>
      <c r="B6109" s="115" t="str">
        <f>IFERROR(__xludf.DUMMYFUNCTION("""COMPUTED_VALUE"""),"Manoj Harsh")</f>
        <v>Manoj Harsh</v>
      </c>
      <c r="C6109" s="115" t="str">
        <f>IFERROR(__xludf.DUMMYFUNCTION("""COMPUTED_VALUE"""),"MYNTRA")</f>
        <v>MYNTRA</v>
      </c>
      <c r="D6109" s="115">
        <f>IFERROR(__xludf.DUMMYFUNCTION("""COMPUTED_VALUE"""),34027.0)</f>
        <v>34027</v>
      </c>
      <c r="E6109" s="115">
        <f>IFERROR(__xludf.DUMMYFUNCTION("""COMPUTED_VALUE"""),7696.0)</f>
        <v>7696</v>
      </c>
      <c r="F6109" s="115">
        <f>IFERROR(__xludf.DUMMYFUNCTION("""COMPUTED_VALUE"""),27528.0)</f>
        <v>27528</v>
      </c>
      <c r="G6109" s="115">
        <f>IFERROR(__xludf.DUMMYFUNCTION("""COMPUTED_VALUE"""),5339.0)</f>
        <v>5339</v>
      </c>
      <c r="H6109" s="116">
        <f>IFERROR(__xludf.DUMMYFUNCTION("""COMPUTED_VALUE"""),45911.0)</f>
        <v>45911</v>
      </c>
      <c r="I6109" s="115" t="str">
        <f>IFERROR(__xludf.DUMMYFUNCTION("""COMPUTED_VALUE"""),"20")</f>
        <v>20</v>
      </c>
      <c r="J6109" s="115"/>
      <c r="K6109" s="115"/>
    </row>
    <row r="6110">
      <c r="A6110" s="115" t="str">
        <f>IFERROR(__xludf.DUMMYFUNCTION("""COMPUTED_VALUE"""),"NORTH")</f>
        <v>NORTH</v>
      </c>
      <c r="B6110" s="115" t="str">
        <f>IFERROR(__xludf.DUMMYFUNCTION("""COMPUTED_VALUE"""),"Pradeep Kothari")</f>
        <v>Pradeep Kothari</v>
      </c>
      <c r="C6110" s="115" t="str">
        <f>IFERROR(__xludf.DUMMYFUNCTION("""COMPUTED_VALUE"""),"EXTERNAL")</f>
        <v>EXTERNAL</v>
      </c>
      <c r="D6110" s="115">
        <f>IFERROR(__xludf.DUMMYFUNCTION("""COMPUTED_VALUE"""),18878.0)</f>
        <v>18878</v>
      </c>
      <c r="E6110" s="115">
        <f>IFERROR(__xludf.DUMMYFUNCTION("""COMPUTED_VALUE"""),2065.0)</f>
        <v>2065</v>
      </c>
      <c r="F6110" s="115">
        <f>IFERROR(__xludf.DUMMYFUNCTION("""COMPUTED_VALUE"""),8504.0)</f>
        <v>8504</v>
      </c>
      <c r="G6110" s="115">
        <f>IFERROR(__xludf.DUMMYFUNCTION("""COMPUTED_VALUE"""),962.0)</f>
        <v>962</v>
      </c>
      <c r="H6110" s="116">
        <f>IFERROR(__xludf.DUMMYFUNCTION("""COMPUTED_VALUE"""),45911.0)</f>
        <v>45911</v>
      </c>
      <c r="I6110" s="115" t="str">
        <f>IFERROR(__xludf.DUMMYFUNCTION("""COMPUTED_VALUE"""),"20")</f>
        <v>20</v>
      </c>
      <c r="J6110" s="115"/>
      <c r="K6110" s="115"/>
    </row>
    <row r="6111">
      <c r="A6111" s="115" t="str">
        <f>IFERROR(__xludf.DUMMYFUNCTION("""COMPUTED_VALUE"""),"NORTH")</f>
        <v>NORTH</v>
      </c>
      <c r="B6111" s="115" t="str">
        <f>IFERROR(__xludf.DUMMYFUNCTION("""COMPUTED_VALUE"""),"Pradeep Kothari")</f>
        <v>Pradeep Kothari</v>
      </c>
      <c r="C6111" s="115" t="str">
        <f>IFERROR(__xludf.DUMMYFUNCTION("""COMPUTED_VALUE"""),"FLIPKART")</f>
        <v>FLIPKART</v>
      </c>
      <c r="D6111" s="115">
        <f>IFERROR(__xludf.DUMMYFUNCTION("""COMPUTED_VALUE"""),164104.0)</f>
        <v>164104</v>
      </c>
      <c r="E6111" s="115">
        <f>IFERROR(__xludf.DUMMYFUNCTION("""COMPUTED_VALUE"""),16885.0)</f>
        <v>16885</v>
      </c>
      <c r="F6111" s="115">
        <f>IFERROR(__xludf.DUMMYFUNCTION("""COMPUTED_VALUE"""),129181.0)</f>
        <v>129181</v>
      </c>
      <c r="G6111" s="115">
        <f>IFERROR(__xludf.DUMMYFUNCTION("""COMPUTED_VALUE"""),11332.0)</f>
        <v>11332</v>
      </c>
      <c r="H6111" s="116">
        <f>IFERROR(__xludf.DUMMYFUNCTION("""COMPUTED_VALUE"""),45911.0)</f>
        <v>45911</v>
      </c>
      <c r="I6111" s="115" t="str">
        <f>IFERROR(__xludf.DUMMYFUNCTION("""COMPUTED_VALUE"""),"20")</f>
        <v>20</v>
      </c>
      <c r="J6111" s="115"/>
      <c r="K6111" s="115"/>
    </row>
    <row r="6112">
      <c r="A6112" s="115" t="str">
        <f>IFERROR(__xludf.DUMMYFUNCTION("""COMPUTED_VALUE"""),"NORTH")</f>
        <v>NORTH</v>
      </c>
      <c r="B6112" s="115" t="str">
        <f>IFERROR(__xludf.DUMMYFUNCTION("""COMPUTED_VALUE"""),"Pradeep Kothari")</f>
        <v>Pradeep Kothari</v>
      </c>
      <c r="C6112" s="115" t="str">
        <f>IFERROR(__xludf.DUMMYFUNCTION("""COMPUTED_VALUE"""),"MYNTRA")</f>
        <v>MYNTRA</v>
      </c>
      <c r="D6112" s="115">
        <f>IFERROR(__xludf.DUMMYFUNCTION("""COMPUTED_VALUE"""),24557.0)</f>
        <v>24557</v>
      </c>
      <c r="E6112" s="115">
        <f>IFERROR(__xludf.DUMMYFUNCTION("""COMPUTED_VALUE"""),6354.0)</f>
        <v>6354</v>
      </c>
      <c r="F6112" s="115">
        <f>IFERROR(__xludf.DUMMYFUNCTION("""COMPUTED_VALUE"""),20627.0)</f>
        <v>20627</v>
      </c>
      <c r="G6112" s="115">
        <f>IFERROR(__xludf.DUMMYFUNCTION("""COMPUTED_VALUE"""),4769.0)</f>
        <v>4769</v>
      </c>
      <c r="H6112" s="116">
        <f>IFERROR(__xludf.DUMMYFUNCTION("""COMPUTED_VALUE"""),45911.0)</f>
        <v>45911</v>
      </c>
      <c r="I6112" s="115" t="str">
        <f>IFERROR(__xludf.DUMMYFUNCTION("""COMPUTED_VALUE"""),"20")</f>
        <v>20</v>
      </c>
      <c r="J6112" s="115"/>
      <c r="K6112" s="115"/>
    </row>
    <row r="6113">
      <c r="A6113" s="115" t="str">
        <f>IFERROR(__xludf.DUMMYFUNCTION("""COMPUTED_VALUE"""),"SOUTH")</f>
        <v>SOUTH</v>
      </c>
      <c r="B6113" s="115" t="str">
        <f>IFERROR(__xludf.DUMMYFUNCTION("""COMPUTED_VALUE"""),"Kandula Sampath")</f>
        <v>Kandula Sampath</v>
      </c>
      <c r="C6113" s="115" t="str">
        <f>IFERROR(__xludf.DUMMYFUNCTION("""COMPUTED_VALUE"""),"EXTERNAL")</f>
        <v>EXTERNAL</v>
      </c>
      <c r="D6113" s="115">
        <f>IFERROR(__xludf.DUMMYFUNCTION("""COMPUTED_VALUE"""),34601.0)</f>
        <v>34601</v>
      </c>
      <c r="E6113" s="115">
        <f>IFERROR(__xludf.DUMMYFUNCTION("""COMPUTED_VALUE"""),4948.0)</f>
        <v>4948</v>
      </c>
      <c r="F6113" s="115">
        <f>IFERROR(__xludf.DUMMYFUNCTION("""COMPUTED_VALUE"""),15624.0)</f>
        <v>15624</v>
      </c>
      <c r="G6113" s="115">
        <f>IFERROR(__xludf.DUMMYFUNCTION("""COMPUTED_VALUE"""),1483.0)</f>
        <v>1483</v>
      </c>
      <c r="H6113" s="116">
        <f>IFERROR(__xludf.DUMMYFUNCTION("""COMPUTED_VALUE"""),45911.0)</f>
        <v>45911</v>
      </c>
      <c r="I6113" s="115" t="str">
        <f>IFERROR(__xludf.DUMMYFUNCTION("""COMPUTED_VALUE"""),"20")</f>
        <v>20</v>
      </c>
      <c r="J6113" s="115"/>
      <c r="K6113" s="115"/>
    </row>
    <row r="6114">
      <c r="A6114" s="115" t="str">
        <f>IFERROR(__xludf.DUMMYFUNCTION("""COMPUTED_VALUE"""),"SOUTH")</f>
        <v>SOUTH</v>
      </c>
      <c r="B6114" s="115" t="str">
        <f>IFERROR(__xludf.DUMMYFUNCTION("""COMPUTED_VALUE"""),"Kandula Sampath")</f>
        <v>Kandula Sampath</v>
      </c>
      <c r="C6114" s="115" t="str">
        <f>IFERROR(__xludf.DUMMYFUNCTION("""COMPUTED_VALUE"""),"FLIPKART")</f>
        <v>FLIPKART</v>
      </c>
      <c r="D6114" s="115">
        <f>IFERROR(__xludf.DUMMYFUNCTION("""COMPUTED_VALUE"""),359340.0)</f>
        <v>359340</v>
      </c>
      <c r="E6114" s="115">
        <f>IFERROR(__xludf.DUMMYFUNCTION("""COMPUTED_VALUE"""),30402.0)</f>
        <v>30402</v>
      </c>
      <c r="F6114" s="115">
        <f>IFERROR(__xludf.DUMMYFUNCTION("""COMPUTED_VALUE"""),266593.0)</f>
        <v>266593</v>
      </c>
      <c r="G6114" s="115">
        <f>IFERROR(__xludf.DUMMYFUNCTION("""COMPUTED_VALUE"""),16360.0)</f>
        <v>16360</v>
      </c>
      <c r="H6114" s="116">
        <f>IFERROR(__xludf.DUMMYFUNCTION("""COMPUTED_VALUE"""),45911.0)</f>
        <v>45911</v>
      </c>
      <c r="I6114" s="115" t="str">
        <f>IFERROR(__xludf.DUMMYFUNCTION("""COMPUTED_VALUE"""),"20")</f>
        <v>20</v>
      </c>
      <c r="J6114" s="115"/>
      <c r="K6114" s="115"/>
    </row>
    <row r="6115">
      <c r="A6115" s="115" t="str">
        <f>IFERROR(__xludf.DUMMYFUNCTION("""COMPUTED_VALUE"""),"SOUTH")</f>
        <v>SOUTH</v>
      </c>
      <c r="B6115" s="115" t="str">
        <f>IFERROR(__xludf.DUMMYFUNCTION("""COMPUTED_VALUE"""),"Kandula Sampath")</f>
        <v>Kandula Sampath</v>
      </c>
      <c r="C6115" s="115" t="str">
        <f>IFERROR(__xludf.DUMMYFUNCTION("""COMPUTED_VALUE"""),"MYNTRA")</f>
        <v>MYNTRA</v>
      </c>
      <c r="D6115" s="115">
        <f>IFERROR(__xludf.DUMMYFUNCTION("""COMPUTED_VALUE"""),36271.0)</f>
        <v>36271</v>
      </c>
      <c r="E6115" s="115">
        <f>IFERROR(__xludf.DUMMYFUNCTION("""COMPUTED_VALUE"""),9054.0)</f>
        <v>9054</v>
      </c>
      <c r="F6115" s="115">
        <f>IFERROR(__xludf.DUMMYFUNCTION("""COMPUTED_VALUE"""),29040.0)</f>
        <v>29040</v>
      </c>
      <c r="G6115" s="115">
        <f>IFERROR(__xludf.DUMMYFUNCTION("""COMPUTED_VALUE"""),5169.0)</f>
        <v>5169</v>
      </c>
      <c r="H6115" s="116">
        <f>IFERROR(__xludf.DUMMYFUNCTION("""COMPUTED_VALUE"""),45911.0)</f>
        <v>45911</v>
      </c>
      <c r="I6115" s="115" t="str">
        <f>IFERROR(__xludf.DUMMYFUNCTION("""COMPUTED_VALUE"""),"20")</f>
        <v>20</v>
      </c>
      <c r="J6115" s="115"/>
      <c r="K6115" s="115"/>
    </row>
    <row r="6116">
      <c r="A6116" s="115" t="str">
        <f>IFERROR(__xludf.DUMMYFUNCTION("""COMPUTED_VALUE"""),"SOUTH")</f>
        <v>SOUTH</v>
      </c>
      <c r="B6116" s="115" t="str">
        <f>IFERROR(__xludf.DUMMYFUNCTION("""COMPUTED_VALUE"""),"Martin A")</f>
        <v>Martin A</v>
      </c>
      <c r="C6116" s="115" t="str">
        <f>IFERROR(__xludf.DUMMYFUNCTION("""COMPUTED_VALUE"""),"EXTERNAL")</f>
        <v>EXTERNAL</v>
      </c>
      <c r="D6116" s="115">
        <f>IFERROR(__xludf.DUMMYFUNCTION("""COMPUTED_VALUE"""),31643.0)</f>
        <v>31643</v>
      </c>
      <c r="E6116" s="115">
        <f>IFERROR(__xludf.DUMMYFUNCTION("""COMPUTED_VALUE"""),4286.0)</f>
        <v>4286</v>
      </c>
      <c r="F6116" s="115">
        <f>IFERROR(__xludf.DUMMYFUNCTION("""COMPUTED_VALUE"""),14280.0)</f>
        <v>14280</v>
      </c>
      <c r="G6116" s="115">
        <f>IFERROR(__xludf.DUMMYFUNCTION("""COMPUTED_VALUE"""),2154.0)</f>
        <v>2154</v>
      </c>
      <c r="H6116" s="116">
        <f>IFERROR(__xludf.DUMMYFUNCTION("""COMPUTED_VALUE"""),45911.0)</f>
        <v>45911</v>
      </c>
      <c r="I6116" s="115" t="str">
        <f>IFERROR(__xludf.DUMMYFUNCTION("""COMPUTED_VALUE"""),"20")</f>
        <v>20</v>
      </c>
      <c r="J6116" s="115"/>
      <c r="K6116" s="115"/>
    </row>
    <row r="6117">
      <c r="A6117" s="115" t="str">
        <f>IFERROR(__xludf.DUMMYFUNCTION("""COMPUTED_VALUE"""),"SOUTH")</f>
        <v>SOUTH</v>
      </c>
      <c r="B6117" s="115" t="str">
        <f>IFERROR(__xludf.DUMMYFUNCTION("""COMPUTED_VALUE"""),"Martin A")</f>
        <v>Martin A</v>
      </c>
      <c r="C6117" s="115" t="str">
        <f>IFERROR(__xludf.DUMMYFUNCTION("""COMPUTED_VALUE"""),"FLIPKART")</f>
        <v>FLIPKART</v>
      </c>
      <c r="D6117" s="115">
        <f>IFERROR(__xludf.DUMMYFUNCTION("""COMPUTED_VALUE"""),301530.0)</f>
        <v>301530</v>
      </c>
      <c r="E6117" s="115">
        <f>IFERROR(__xludf.DUMMYFUNCTION("""COMPUTED_VALUE"""),28398.0)</f>
        <v>28398</v>
      </c>
      <c r="F6117" s="115">
        <f>IFERROR(__xludf.DUMMYFUNCTION("""COMPUTED_VALUE"""),227647.0)</f>
        <v>227647</v>
      </c>
      <c r="G6117" s="115">
        <f>IFERROR(__xludf.DUMMYFUNCTION("""COMPUTED_VALUE"""),18087.0)</f>
        <v>18087</v>
      </c>
      <c r="H6117" s="116">
        <f>IFERROR(__xludf.DUMMYFUNCTION("""COMPUTED_VALUE"""),45911.0)</f>
        <v>45911</v>
      </c>
      <c r="I6117" s="115" t="str">
        <f>IFERROR(__xludf.DUMMYFUNCTION("""COMPUTED_VALUE"""),"20")</f>
        <v>20</v>
      </c>
      <c r="J6117" s="115"/>
      <c r="K6117" s="115"/>
    </row>
    <row r="6118">
      <c r="A6118" s="115" t="str">
        <f>IFERROR(__xludf.DUMMYFUNCTION("""COMPUTED_VALUE"""),"SOUTH")</f>
        <v>SOUTH</v>
      </c>
      <c r="B6118" s="115" t="str">
        <f>IFERROR(__xludf.DUMMYFUNCTION("""COMPUTED_VALUE"""),"Martin A")</f>
        <v>Martin A</v>
      </c>
      <c r="C6118" s="115" t="str">
        <f>IFERROR(__xludf.DUMMYFUNCTION("""COMPUTED_VALUE"""),"MYNTRA")</f>
        <v>MYNTRA</v>
      </c>
      <c r="D6118" s="115">
        <f>IFERROR(__xludf.DUMMYFUNCTION("""COMPUTED_VALUE"""),25226.0)</f>
        <v>25226</v>
      </c>
      <c r="E6118" s="115">
        <f>IFERROR(__xludf.DUMMYFUNCTION("""COMPUTED_VALUE"""),7538.0)</f>
        <v>7538</v>
      </c>
      <c r="F6118" s="115">
        <f>IFERROR(__xludf.DUMMYFUNCTION("""COMPUTED_VALUE"""),20947.0)</f>
        <v>20947</v>
      </c>
      <c r="G6118" s="115">
        <f>IFERROR(__xludf.DUMMYFUNCTION("""COMPUTED_VALUE"""),5194.0)</f>
        <v>5194</v>
      </c>
      <c r="H6118" s="116">
        <f>IFERROR(__xludf.DUMMYFUNCTION("""COMPUTED_VALUE"""),45911.0)</f>
        <v>45911</v>
      </c>
      <c r="I6118" s="115" t="str">
        <f>IFERROR(__xludf.DUMMYFUNCTION("""COMPUTED_VALUE"""),"20")</f>
        <v>20</v>
      </c>
      <c r="J6118" s="115"/>
      <c r="K6118" s="115"/>
    </row>
    <row r="6119">
      <c r="A6119" s="115" t="str">
        <f>IFERROR(__xludf.DUMMYFUNCTION("""COMPUTED_VALUE"""),"SOUTH")</f>
        <v>SOUTH</v>
      </c>
      <c r="B6119" s="115" t="str">
        <f>IFERROR(__xludf.DUMMYFUNCTION("""COMPUTED_VALUE"""),"Premkumar M")</f>
        <v>Premkumar M</v>
      </c>
      <c r="C6119" s="115" t="str">
        <f>IFERROR(__xludf.DUMMYFUNCTION("""COMPUTED_VALUE"""),"EXTERNAL")</f>
        <v>EXTERNAL</v>
      </c>
      <c r="D6119" s="115">
        <f>IFERROR(__xludf.DUMMYFUNCTION("""COMPUTED_VALUE"""),27480.0)</f>
        <v>27480</v>
      </c>
      <c r="E6119" s="115">
        <f>IFERROR(__xludf.DUMMYFUNCTION("""COMPUTED_VALUE"""),2196.0)</f>
        <v>2196</v>
      </c>
      <c r="F6119" s="115">
        <f>IFERROR(__xludf.DUMMYFUNCTION("""COMPUTED_VALUE"""),14238.0)</f>
        <v>14238</v>
      </c>
      <c r="G6119" s="115">
        <f>IFERROR(__xludf.DUMMYFUNCTION("""COMPUTED_VALUE"""),675.0)</f>
        <v>675</v>
      </c>
      <c r="H6119" s="116">
        <f>IFERROR(__xludf.DUMMYFUNCTION("""COMPUTED_VALUE"""),45911.0)</f>
        <v>45911</v>
      </c>
      <c r="I6119" s="115" t="str">
        <f>IFERROR(__xludf.DUMMYFUNCTION("""COMPUTED_VALUE"""),"20")</f>
        <v>20</v>
      </c>
      <c r="J6119" s="115"/>
      <c r="K6119" s="115"/>
    </row>
    <row r="6120">
      <c r="A6120" s="115" t="str">
        <f>IFERROR(__xludf.DUMMYFUNCTION("""COMPUTED_VALUE"""),"SOUTH")</f>
        <v>SOUTH</v>
      </c>
      <c r="B6120" s="115" t="str">
        <f>IFERROR(__xludf.DUMMYFUNCTION("""COMPUTED_VALUE"""),"Premkumar M")</f>
        <v>Premkumar M</v>
      </c>
      <c r="C6120" s="115" t="str">
        <f>IFERROR(__xludf.DUMMYFUNCTION("""COMPUTED_VALUE"""),"FLIPKART")</f>
        <v>FLIPKART</v>
      </c>
      <c r="D6120" s="115">
        <f>IFERROR(__xludf.DUMMYFUNCTION("""COMPUTED_VALUE"""),296745.0)</f>
        <v>296745</v>
      </c>
      <c r="E6120" s="115">
        <f>IFERROR(__xludf.DUMMYFUNCTION("""COMPUTED_VALUE"""),17949.0)</f>
        <v>17949</v>
      </c>
      <c r="F6120" s="115">
        <f>IFERROR(__xludf.DUMMYFUNCTION("""COMPUTED_VALUE"""),226186.0)</f>
        <v>226186</v>
      </c>
      <c r="G6120" s="115">
        <f>IFERROR(__xludf.DUMMYFUNCTION("""COMPUTED_VALUE"""),7936.0)</f>
        <v>7936</v>
      </c>
      <c r="H6120" s="116">
        <f>IFERROR(__xludf.DUMMYFUNCTION("""COMPUTED_VALUE"""),45911.0)</f>
        <v>45911</v>
      </c>
      <c r="I6120" s="115" t="str">
        <f>IFERROR(__xludf.DUMMYFUNCTION("""COMPUTED_VALUE"""),"20")</f>
        <v>20</v>
      </c>
      <c r="J6120" s="115"/>
      <c r="K6120" s="115"/>
    </row>
    <row r="6121">
      <c r="A6121" s="115" t="str">
        <f>IFERROR(__xludf.DUMMYFUNCTION("""COMPUTED_VALUE"""),"SOUTH")</f>
        <v>SOUTH</v>
      </c>
      <c r="B6121" s="115" t="str">
        <f>IFERROR(__xludf.DUMMYFUNCTION("""COMPUTED_VALUE"""),"Premkumar M")</f>
        <v>Premkumar M</v>
      </c>
      <c r="C6121" s="115" t="str">
        <f>IFERROR(__xludf.DUMMYFUNCTION("""COMPUTED_VALUE"""),"MYNTRA")</f>
        <v>MYNTRA</v>
      </c>
      <c r="D6121" s="115">
        <f>IFERROR(__xludf.DUMMYFUNCTION("""COMPUTED_VALUE"""),14265.0)</f>
        <v>14265</v>
      </c>
      <c r="E6121" s="115">
        <f>IFERROR(__xludf.DUMMYFUNCTION("""COMPUTED_VALUE"""),2863.0)</f>
        <v>2863</v>
      </c>
      <c r="F6121" s="115">
        <f>IFERROR(__xludf.DUMMYFUNCTION("""COMPUTED_VALUE"""),11894.0)</f>
        <v>11894</v>
      </c>
      <c r="G6121" s="115">
        <f>IFERROR(__xludf.DUMMYFUNCTION("""COMPUTED_VALUE"""),1429.0)</f>
        <v>1429</v>
      </c>
      <c r="H6121" s="116">
        <f>IFERROR(__xludf.DUMMYFUNCTION("""COMPUTED_VALUE"""),45911.0)</f>
        <v>45911</v>
      </c>
      <c r="I6121" s="115" t="str">
        <f>IFERROR(__xludf.DUMMYFUNCTION("""COMPUTED_VALUE"""),"20")</f>
        <v>20</v>
      </c>
      <c r="J6121" s="115"/>
      <c r="K6121" s="115"/>
    </row>
    <row r="6122">
      <c r="A6122" s="115" t="str">
        <f>IFERROR(__xludf.DUMMYFUNCTION("""COMPUTED_VALUE"""),"SOUTH")</f>
        <v>SOUTH</v>
      </c>
      <c r="B6122" s="115" t="str">
        <f>IFERROR(__xludf.DUMMYFUNCTION("""COMPUTED_VALUE"""),"Vineeth V")</f>
        <v>Vineeth V</v>
      </c>
      <c r="C6122" s="115" t="str">
        <f>IFERROR(__xludf.DUMMYFUNCTION("""COMPUTED_VALUE"""),"EXTERNAL")</f>
        <v>EXTERNAL</v>
      </c>
      <c r="D6122" s="115">
        <f>IFERROR(__xludf.DUMMYFUNCTION("""COMPUTED_VALUE"""),22550.0)</f>
        <v>22550</v>
      </c>
      <c r="E6122" s="115">
        <f>IFERROR(__xludf.DUMMYFUNCTION("""COMPUTED_VALUE"""),648.0)</f>
        <v>648</v>
      </c>
      <c r="F6122" s="115">
        <f>IFERROR(__xludf.DUMMYFUNCTION("""COMPUTED_VALUE"""),12728.0)</f>
        <v>12728</v>
      </c>
      <c r="G6122" s="115">
        <f>IFERROR(__xludf.DUMMYFUNCTION("""COMPUTED_VALUE"""),310.0)</f>
        <v>310</v>
      </c>
      <c r="H6122" s="116">
        <f>IFERROR(__xludf.DUMMYFUNCTION("""COMPUTED_VALUE"""),45911.0)</f>
        <v>45911</v>
      </c>
      <c r="I6122" s="115" t="str">
        <f>IFERROR(__xludf.DUMMYFUNCTION("""COMPUTED_VALUE"""),"20")</f>
        <v>20</v>
      </c>
      <c r="J6122" s="115"/>
      <c r="K6122" s="115"/>
    </row>
    <row r="6123">
      <c r="A6123" s="115" t="str">
        <f>IFERROR(__xludf.DUMMYFUNCTION("""COMPUTED_VALUE"""),"SOUTH")</f>
        <v>SOUTH</v>
      </c>
      <c r="B6123" s="115" t="str">
        <f>IFERROR(__xludf.DUMMYFUNCTION("""COMPUTED_VALUE"""),"Vineeth V")</f>
        <v>Vineeth V</v>
      </c>
      <c r="C6123" s="115" t="str">
        <f>IFERROR(__xludf.DUMMYFUNCTION("""COMPUTED_VALUE"""),"FLIPKART")</f>
        <v>FLIPKART</v>
      </c>
      <c r="D6123" s="115">
        <f>IFERROR(__xludf.DUMMYFUNCTION("""COMPUTED_VALUE"""),220115.0)</f>
        <v>220115</v>
      </c>
      <c r="E6123" s="115">
        <f>IFERROR(__xludf.DUMMYFUNCTION("""COMPUTED_VALUE"""),13545.0)</f>
        <v>13545</v>
      </c>
      <c r="F6123" s="115">
        <f>IFERROR(__xludf.DUMMYFUNCTION("""COMPUTED_VALUE"""),185317.0)</f>
        <v>185317</v>
      </c>
      <c r="G6123" s="115">
        <f>IFERROR(__xludf.DUMMYFUNCTION("""COMPUTED_VALUE"""),7538.0)</f>
        <v>7538</v>
      </c>
      <c r="H6123" s="116">
        <f>IFERROR(__xludf.DUMMYFUNCTION("""COMPUTED_VALUE"""),45911.0)</f>
        <v>45911</v>
      </c>
      <c r="I6123" s="115" t="str">
        <f>IFERROR(__xludf.DUMMYFUNCTION("""COMPUTED_VALUE"""),"20")</f>
        <v>20</v>
      </c>
      <c r="J6123" s="115"/>
      <c r="K6123" s="115"/>
    </row>
    <row r="6124">
      <c r="A6124" s="115" t="str">
        <f>IFERROR(__xludf.DUMMYFUNCTION("""COMPUTED_VALUE"""),"SOUTH")</f>
        <v>SOUTH</v>
      </c>
      <c r="B6124" s="115" t="str">
        <f>IFERROR(__xludf.DUMMYFUNCTION("""COMPUTED_VALUE"""),"Vineeth V")</f>
        <v>Vineeth V</v>
      </c>
      <c r="C6124" s="115" t="str">
        <f>IFERROR(__xludf.DUMMYFUNCTION("""COMPUTED_VALUE"""),"MYNTRA")</f>
        <v>MYNTRA</v>
      </c>
      <c r="D6124" s="115">
        <f>IFERROR(__xludf.DUMMYFUNCTION("""COMPUTED_VALUE"""),15884.0)</f>
        <v>15884</v>
      </c>
      <c r="E6124" s="115">
        <f>IFERROR(__xludf.DUMMYFUNCTION("""COMPUTED_VALUE"""),3375.0)</f>
        <v>3375</v>
      </c>
      <c r="F6124" s="115">
        <f>IFERROR(__xludf.DUMMYFUNCTION("""COMPUTED_VALUE"""),13884.0)</f>
        <v>13884</v>
      </c>
      <c r="G6124" s="115">
        <f>IFERROR(__xludf.DUMMYFUNCTION("""COMPUTED_VALUE"""),1975.0)</f>
        <v>1975</v>
      </c>
      <c r="H6124" s="116">
        <f>IFERROR(__xludf.DUMMYFUNCTION("""COMPUTED_VALUE"""),45911.0)</f>
        <v>45911</v>
      </c>
      <c r="I6124" s="115" t="str">
        <f>IFERROR(__xludf.DUMMYFUNCTION("""COMPUTED_VALUE"""),"20")</f>
        <v>20</v>
      </c>
      <c r="J6124" s="115"/>
      <c r="K6124" s="115"/>
    </row>
    <row r="6125">
      <c r="A6125" s="115" t="str">
        <f>IFERROR(__xludf.DUMMYFUNCTION("""COMPUTED_VALUE"""),"WEST")</f>
        <v>WEST</v>
      </c>
      <c r="B6125" s="115" t="str">
        <f>IFERROR(__xludf.DUMMYFUNCTION("""COMPUTED_VALUE"""),"Ashish Jakar")</f>
        <v>Ashish Jakar</v>
      </c>
      <c r="C6125" s="115" t="str">
        <f>IFERROR(__xludf.DUMMYFUNCTION("""COMPUTED_VALUE"""),"EXTERNAL")</f>
        <v>EXTERNAL</v>
      </c>
      <c r="D6125" s="115">
        <f>IFERROR(__xludf.DUMMYFUNCTION("""COMPUTED_VALUE"""),62706.0)</f>
        <v>62706</v>
      </c>
      <c r="E6125" s="115">
        <f>IFERROR(__xludf.DUMMYFUNCTION("""COMPUTED_VALUE"""),7523.0)</f>
        <v>7523</v>
      </c>
      <c r="F6125" s="115">
        <f>IFERROR(__xludf.DUMMYFUNCTION("""COMPUTED_VALUE"""),26599.0)</f>
        <v>26599</v>
      </c>
      <c r="G6125" s="115">
        <f>IFERROR(__xludf.DUMMYFUNCTION("""COMPUTED_VALUE"""),3177.0)</f>
        <v>3177</v>
      </c>
      <c r="H6125" s="116">
        <f>IFERROR(__xludf.DUMMYFUNCTION("""COMPUTED_VALUE"""),45911.0)</f>
        <v>45911</v>
      </c>
      <c r="I6125" s="115" t="str">
        <f>IFERROR(__xludf.DUMMYFUNCTION("""COMPUTED_VALUE"""),"20")</f>
        <v>20</v>
      </c>
      <c r="J6125" s="115"/>
      <c r="K6125" s="115"/>
    </row>
    <row r="6126">
      <c r="A6126" s="115" t="str">
        <f>IFERROR(__xludf.DUMMYFUNCTION("""COMPUTED_VALUE"""),"WEST")</f>
        <v>WEST</v>
      </c>
      <c r="B6126" s="115" t="str">
        <f>IFERROR(__xludf.DUMMYFUNCTION("""COMPUTED_VALUE"""),"Ashish Jakar")</f>
        <v>Ashish Jakar</v>
      </c>
      <c r="C6126" s="115" t="str">
        <f>IFERROR(__xludf.DUMMYFUNCTION("""COMPUTED_VALUE"""),"FLIPKART")</f>
        <v>FLIPKART</v>
      </c>
      <c r="D6126" s="115">
        <f>IFERROR(__xludf.DUMMYFUNCTION("""COMPUTED_VALUE"""),415856.0)</f>
        <v>415856</v>
      </c>
      <c r="E6126" s="115">
        <f>IFERROR(__xludf.DUMMYFUNCTION("""COMPUTED_VALUE"""),34866.0)</f>
        <v>34866</v>
      </c>
      <c r="F6126" s="115">
        <f>IFERROR(__xludf.DUMMYFUNCTION("""COMPUTED_VALUE"""),302985.0)</f>
        <v>302985</v>
      </c>
      <c r="G6126" s="115">
        <f>IFERROR(__xludf.DUMMYFUNCTION("""COMPUTED_VALUE"""),20753.0)</f>
        <v>20753</v>
      </c>
      <c r="H6126" s="116">
        <f>IFERROR(__xludf.DUMMYFUNCTION("""COMPUTED_VALUE"""),45911.0)</f>
        <v>45911</v>
      </c>
      <c r="I6126" s="115" t="str">
        <f>IFERROR(__xludf.DUMMYFUNCTION("""COMPUTED_VALUE"""),"20")</f>
        <v>20</v>
      </c>
      <c r="J6126" s="115"/>
      <c r="K6126" s="115"/>
    </row>
    <row r="6127">
      <c r="A6127" s="115" t="str">
        <f>IFERROR(__xludf.DUMMYFUNCTION("""COMPUTED_VALUE"""),"WEST")</f>
        <v>WEST</v>
      </c>
      <c r="B6127" s="115" t="str">
        <f>IFERROR(__xludf.DUMMYFUNCTION("""COMPUTED_VALUE"""),"Ashish Jakar")</f>
        <v>Ashish Jakar</v>
      </c>
      <c r="C6127" s="115" t="str">
        <f>IFERROR(__xludf.DUMMYFUNCTION("""COMPUTED_VALUE"""),"MYNTRA")</f>
        <v>MYNTRA</v>
      </c>
      <c r="D6127" s="115">
        <f>IFERROR(__xludf.DUMMYFUNCTION("""COMPUTED_VALUE"""),46424.0)</f>
        <v>46424</v>
      </c>
      <c r="E6127" s="115">
        <f>IFERROR(__xludf.DUMMYFUNCTION("""COMPUTED_VALUE"""),11415.0)</f>
        <v>11415</v>
      </c>
      <c r="F6127" s="115">
        <f>IFERROR(__xludf.DUMMYFUNCTION("""COMPUTED_VALUE"""),38168.0)</f>
        <v>38168</v>
      </c>
      <c r="G6127" s="115">
        <f>IFERROR(__xludf.DUMMYFUNCTION("""COMPUTED_VALUE"""),7326.0)</f>
        <v>7326</v>
      </c>
      <c r="H6127" s="116">
        <f>IFERROR(__xludf.DUMMYFUNCTION("""COMPUTED_VALUE"""),45911.0)</f>
        <v>45911</v>
      </c>
      <c r="I6127" s="115" t="str">
        <f>IFERROR(__xludf.DUMMYFUNCTION("""COMPUTED_VALUE"""),"20")</f>
        <v>20</v>
      </c>
      <c r="J6127" s="115"/>
      <c r="K6127" s="115"/>
    </row>
    <row r="6128">
      <c r="A6128" s="115" t="str">
        <f>IFERROR(__xludf.DUMMYFUNCTION("""COMPUTED_VALUE"""),"WEST")</f>
        <v>WEST</v>
      </c>
      <c r="B6128" s="115" t="str">
        <f>IFERROR(__xludf.DUMMYFUNCTION("""COMPUTED_VALUE"""),"Ashvani Bhatt")</f>
        <v>Ashvani Bhatt</v>
      </c>
      <c r="C6128" s="115" t="str">
        <f>IFERROR(__xludf.DUMMYFUNCTION("""COMPUTED_VALUE"""),"EXTERNAL")</f>
        <v>EXTERNAL</v>
      </c>
      <c r="D6128" s="115">
        <f>IFERROR(__xludf.DUMMYFUNCTION("""COMPUTED_VALUE"""),40691.0)</f>
        <v>40691</v>
      </c>
      <c r="E6128" s="115">
        <f>IFERROR(__xludf.DUMMYFUNCTION("""COMPUTED_VALUE"""),4233.0)</f>
        <v>4233</v>
      </c>
      <c r="F6128" s="115">
        <f>IFERROR(__xludf.DUMMYFUNCTION("""COMPUTED_VALUE"""),17914.0)</f>
        <v>17914</v>
      </c>
      <c r="G6128" s="115">
        <f>IFERROR(__xludf.DUMMYFUNCTION("""COMPUTED_VALUE"""),1462.0)</f>
        <v>1462</v>
      </c>
      <c r="H6128" s="116">
        <f>IFERROR(__xludf.DUMMYFUNCTION("""COMPUTED_VALUE"""),45911.0)</f>
        <v>45911</v>
      </c>
      <c r="I6128" s="115" t="str">
        <f>IFERROR(__xludf.DUMMYFUNCTION("""COMPUTED_VALUE"""),"20")</f>
        <v>20</v>
      </c>
      <c r="J6128" s="115"/>
      <c r="K6128" s="115"/>
    </row>
    <row r="6129">
      <c r="A6129" s="115" t="str">
        <f>IFERROR(__xludf.DUMMYFUNCTION("""COMPUTED_VALUE"""),"WEST")</f>
        <v>WEST</v>
      </c>
      <c r="B6129" s="115" t="str">
        <f>IFERROR(__xludf.DUMMYFUNCTION("""COMPUTED_VALUE"""),"Ashvani Bhatt")</f>
        <v>Ashvani Bhatt</v>
      </c>
      <c r="C6129" s="115" t="str">
        <f>IFERROR(__xludf.DUMMYFUNCTION("""COMPUTED_VALUE"""),"FLIPKART")</f>
        <v>FLIPKART</v>
      </c>
      <c r="D6129" s="115">
        <f>IFERROR(__xludf.DUMMYFUNCTION("""COMPUTED_VALUE"""),313067.0)</f>
        <v>313067</v>
      </c>
      <c r="E6129" s="115">
        <f>IFERROR(__xludf.DUMMYFUNCTION("""COMPUTED_VALUE"""),28390.0)</f>
        <v>28390</v>
      </c>
      <c r="F6129" s="115">
        <f>IFERROR(__xludf.DUMMYFUNCTION("""COMPUTED_VALUE"""),243976.0)</f>
        <v>243976</v>
      </c>
      <c r="G6129" s="115">
        <f>IFERROR(__xludf.DUMMYFUNCTION("""COMPUTED_VALUE"""),18248.0)</f>
        <v>18248</v>
      </c>
      <c r="H6129" s="116">
        <f>IFERROR(__xludf.DUMMYFUNCTION("""COMPUTED_VALUE"""),45911.0)</f>
        <v>45911</v>
      </c>
      <c r="I6129" s="115" t="str">
        <f>IFERROR(__xludf.DUMMYFUNCTION("""COMPUTED_VALUE"""),"20")</f>
        <v>20</v>
      </c>
      <c r="J6129" s="115"/>
      <c r="K6129" s="115"/>
    </row>
    <row r="6130">
      <c r="A6130" s="115" t="str">
        <f>IFERROR(__xludf.DUMMYFUNCTION("""COMPUTED_VALUE"""),"WEST")</f>
        <v>WEST</v>
      </c>
      <c r="B6130" s="115" t="str">
        <f>IFERROR(__xludf.DUMMYFUNCTION("""COMPUTED_VALUE"""),"Ashvani Bhatt")</f>
        <v>Ashvani Bhatt</v>
      </c>
      <c r="C6130" s="115" t="str">
        <f>IFERROR(__xludf.DUMMYFUNCTION("""COMPUTED_VALUE"""),"MYNTRA")</f>
        <v>MYNTRA</v>
      </c>
      <c r="D6130" s="115">
        <f>IFERROR(__xludf.DUMMYFUNCTION("""COMPUTED_VALUE"""),36493.0)</f>
        <v>36493</v>
      </c>
      <c r="E6130" s="115">
        <f>IFERROR(__xludf.DUMMYFUNCTION("""COMPUTED_VALUE"""),9525.0)</f>
        <v>9525</v>
      </c>
      <c r="F6130" s="115">
        <f>IFERROR(__xludf.DUMMYFUNCTION("""COMPUTED_VALUE"""),31116.0)</f>
        <v>31116</v>
      </c>
      <c r="G6130" s="115">
        <f>IFERROR(__xludf.DUMMYFUNCTION("""COMPUTED_VALUE"""),6721.0)</f>
        <v>6721</v>
      </c>
      <c r="H6130" s="116">
        <f>IFERROR(__xludf.DUMMYFUNCTION("""COMPUTED_VALUE"""),45911.0)</f>
        <v>45911</v>
      </c>
      <c r="I6130" s="115" t="str">
        <f>IFERROR(__xludf.DUMMYFUNCTION("""COMPUTED_VALUE"""),"20")</f>
        <v>20</v>
      </c>
      <c r="J6130" s="115"/>
      <c r="K6130" s="115"/>
    </row>
    <row r="6131">
      <c r="A6131" s="115"/>
      <c r="B6131" s="115"/>
      <c r="C6131" s="115" t="str">
        <f>IFERROR(__xludf.DUMMYFUNCTION("""COMPUTED_VALUE"""),"EXTERNAL")</f>
        <v>EXTERNAL</v>
      </c>
      <c r="D6131" s="115">
        <f>IFERROR(__xludf.DUMMYFUNCTION("""COMPUTED_VALUE"""),1013.0)</f>
        <v>1013</v>
      </c>
      <c r="E6131" s="115">
        <f>IFERROR(__xludf.DUMMYFUNCTION("""COMPUTED_VALUE"""),366.0)</f>
        <v>366</v>
      </c>
      <c r="F6131" s="115">
        <f>IFERROR(__xludf.DUMMYFUNCTION("""COMPUTED_VALUE"""),504.0)</f>
        <v>504</v>
      </c>
      <c r="G6131" s="115">
        <f>IFERROR(__xludf.DUMMYFUNCTION("""COMPUTED_VALUE"""),218.0)</f>
        <v>218</v>
      </c>
      <c r="H6131" s="116">
        <f>IFERROR(__xludf.DUMMYFUNCTION("""COMPUTED_VALUE"""),45911.0)</f>
        <v>45911</v>
      </c>
      <c r="I6131" s="115" t="str">
        <f>IFERROR(__xludf.DUMMYFUNCTION("""COMPUTED_VALUE"""),"20")</f>
        <v>20</v>
      </c>
      <c r="J6131" s="115"/>
      <c r="K6131" s="115"/>
    </row>
    <row r="6132">
      <c r="A6132" s="115"/>
      <c r="B6132" s="115"/>
      <c r="C6132" s="115" t="str">
        <f>IFERROR(__xludf.DUMMYFUNCTION("""COMPUTED_VALUE"""),"FLIPKART")</f>
        <v>FLIPKART</v>
      </c>
      <c r="D6132" s="115">
        <f>IFERROR(__xludf.DUMMYFUNCTION("""COMPUTED_VALUE"""),11897.0)</f>
        <v>11897</v>
      </c>
      <c r="E6132" s="115">
        <f>IFERROR(__xludf.DUMMYFUNCTION("""COMPUTED_VALUE"""),1126.0)</f>
        <v>1126</v>
      </c>
      <c r="F6132" s="115">
        <f>IFERROR(__xludf.DUMMYFUNCTION("""COMPUTED_VALUE"""),8918.0)</f>
        <v>8918</v>
      </c>
      <c r="G6132" s="115">
        <f>IFERROR(__xludf.DUMMYFUNCTION("""COMPUTED_VALUE"""),626.0)</f>
        <v>626</v>
      </c>
      <c r="H6132" s="116">
        <f>IFERROR(__xludf.DUMMYFUNCTION("""COMPUTED_VALUE"""),45911.0)</f>
        <v>45911</v>
      </c>
      <c r="I6132" s="115" t="str">
        <f>IFERROR(__xludf.DUMMYFUNCTION("""COMPUTED_VALUE"""),"20")</f>
        <v>20</v>
      </c>
      <c r="J6132" s="115"/>
      <c r="K6132" s="115"/>
    </row>
    <row r="6133">
      <c r="A6133" s="115"/>
      <c r="B6133" s="115"/>
      <c r="C6133" s="115" t="str">
        <f>IFERROR(__xludf.DUMMYFUNCTION("""COMPUTED_VALUE"""),"MYNTRA")</f>
        <v>MYNTRA</v>
      </c>
      <c r="D6133" s="115">
        <f>IFERROR(__xludf.DUMMYFUNCTION("""COMPUTED_VALUE"""),1314.0)</f>
        <v>1314</v>
      </c>
      <c r="E6133" s="115">
        <f>IFERROR(__xludf.DUMMYFUNCTION("""COMPUTED_VALUE"""),321.0)</f>
        <v>321</v>
      </c>
      <c r="F6133" s="115">
        <f>IFERROR(__xludf.DUMMYFUNCTION("""COMPUTED_VALUE"""),1057.0)</f>
        <v>1057</v>
      </c>
      <c r="G6133" s="115">
        <f>IFERROR(__xludf.DUMMYFUNCTION("""COMPUTED_VALUE"""),214.0)</f>
        <v>214</v>
      </c>
      <c r="H6133" s="116">
        <f>IFERROR(__xludf.DUMMYFUNCTION("""COMPUTED_VALUE"""),45911.0)</f>
        <v>45911</v>
      </c>
      <c r="I6133" s="115" t="str">
        <f>IFERROR(__xludf.DUMMYFUNCTION("""COMPUTED_VALUE"""),"20")</f>
        <v>20</v>
      </c>
      <c r="J6133" s="115"/>
      <c r="K6133" s="115"/>
    </row>
    <row r="6134">
      <c r="A6134" s="115" t="str">
        <f>IFERROR(__xludf.DUMMYFUNCTION("""COMPUTED_VALUE"""),"EAST")</f>
        <v>EAST</v>
      </c>
      <c r="B6134" s="115" t="str">
        <f>IFERROR(__xludf.DUMMYFUNCTION("""COMPUTED_VALUE"""),"Ashish Ranjan")</f>
        <v>Ashish Ranjan</v>
      </c>
      <c r="C6134" s="115" t="str">
        <f>IFERROR(__xludf.DUMMYFUNCTION("""COMPUTED_VALUE"""),"EXTERNAL")</f>
        <v>EXTERNAL</v>
      </c>
      <c r="D6134" s="115">
        <f>IFERROR(__xludf.DUMMYFUNCTION("""COMPUTED_VALUE"""),40354.0)</f>
        <v>40354</v>
      </c>
      <c r="E6134" s="115">
        <f>IFERROR(__xludf.DUMMYFUNCTION("""COMPUTED_VALUE"""),4253.0)</f>
        <v>4253</v>
      </c>
      <c r="F6134" s="115">
        <f>IFERROR(__xludf.DUMMYFUNCTION("""COMPUTED_VALUE"""),23295.0)</f>
        <v>23295</v>
      </c>
      <c r="G6134" s="115">
        <f>IFERROR(__xludf.DUMMYFUNCTION("""COMPUTED_VALUE"""),2082.0)</f>
        <v>2082</v>
      </c>
      <c r="H6134" s="116">
        <f>IFERROR(__xludf.DUMMYFUNCTION("""COMPUTED_VALUE"""),45911.0)</f>
        <v>45911</v>
      </c>
      <c r="I6134" s="115" t="str">
        <f>IFERROR(__xludf.DUMMYFUNCTION("""COMPUTED_VALUE"""),"21")</f>
        <v>21</v>
      </c>
      <c r="J6134" s="115"/>
      <c r="K6134" s="115"/>
    </row>
    <row r="6135">
      <c r="A6135" s="115" t="str">
        <f>IFERROR(__xludf.DUMMYFUNCTION("""COMPUTED_VALUE"""),"EAST")</f>
        <v>EAST</v>
      </c>
      <c r="B6135" s="115" t="str">
        <f>IFERROR(__xludf.DUMMYFUNCTION("""COMPUTED_VALUE"""),"Ashish Ranjan")</f>
        <v>Ashish Ranjan</v>
      </c>
      <c r="C6135" s="115" t="str">
        <f>IFERROR(__xludf.DUMMYFUNCTION("""COMPUTED_VALUE"""),"FLIPKART")</f>
        <v>FLIPKART</v>
      </c>
      <c r="D6135" s="115">
        <f>IFERROR(__xludf.DUMMYFUNCTION("""COMPUTED_VALUE"""),717957.0)</f>
        <v>717957</v>
      </c>
      <c r="E6135" s="115">
        <f>IFERROR(__xludf.DUMMYFUNCTION("""COMPUTED_VALUE"""),65860.0)</f>
        <v>65860</v>
      </c>
      <c r="F6135" s="115">
        <f>IFERROR(__xludf.DUMMYFUNCTION("""COMPUTED_VALUE"""),639464.0)</f>
        <v>639464</v>
      </c>
      <c r="G6135" s="115">
        <f>IFERROR(__xludf.DUMMYFUNCTION("""COMPUTED_VALUE"""),52714.0)</f>
        <v>52714</v>
      </c>
      <c r="H6135" s="116">
        <f>IFERROR(__xludf.DUMMYFUNCTION("""COMPUTED_VALUE"""),45911.0)</f>
        <v>45911</v>
      </c>
      <c r="I6135" s="115" t="str">
        <f>IFERROR(__xludf.DUMMYFUNCTION("""COMPUTED_VALUE"""),"21")</f>
        <v>21</v>
      </c>
      <c r="J6135" s="115"/>
      <c r="K6135" s="115"/>
    </row>
    <row r="6136">
      <c r="A6136" s="115" t="str">
        <f>IFERROR(__xludf.DUMMYFUNCTION("""COMPUTED_VALUE"""),"EAST")</f>
        <v>EAST</v>
      </c>
      <c r="B6136" s="115" t="str">
        <f>IFERROR(__xludf.DUMMYFUNCTION("""COMPUTED_VALUE"""),"Ashish Ranjan")</f>
        <v>Ashish Ranjan</v>
      </c>
      <c r="C6136" s="115" t="str">
        <f>IFERROR(__xludf.DUMMYFUNCTION("""COMPUTED_VALUE"""),"MYNTRA")</f>
        <v>MYNTRA</v>
      </c>
      <c r="D6136" s="115">
        <f>IFERROR(__xludf.DUMMYFUNCTION("""COMPUTED_VALUE"""),72037.0)</f>
        <v>72037</v>
      </c>
      <c r="E6136" s="115">
        <f>IFERROR(__xludf.DUMMYFUNCTION("""COMPUTED_VALUE"""),16187.0)</f>
        <v>16187</v>
      </c>
      <c r="F6136" s="115">
        <f>IFERROR(__xludf.DUMMYFUNCTION("""COMPUTED_VALUE"""),64628.0)</f>
        <v>64628</v>
      </c>
      <c r="G6136" s="115">
        <f>IFERROR(__xludf.DUMMYFUNCTION("""COMPUTED_VALUE"""),12831.0)</f>
        <v>12831</v>
      </c>
      <c r="H6136" s="116">
        <f>IFERROR(__xludf.DUMMYFUNCTION("""COMPUTED_VALUE"""),45911.0)</f>
        <v>45911</v>
      </c>
      <c r="I6136" s="115" t="str">
        <f>IFERROR(__xludf.DUMMYFUNCTION("""COMPUTED_VALUE"""),"21")</f>
        <v>21</v>
      </c>
      <c r="J6136" s="115"/>
      <c r="K6136" s="115"/>
    </row>
    <row r="6137">
      <c r="A6137" s="115" t="str">
        <f>IFERROR(__xludf.DUMMYFUNCTION("""COMPUTED_VALUE"""),"EAST")</f>
        <v>EAST</v>
      </c>
      <c r="B6137" s="115" t="str">
        <f>IFERROR(__xludf.DUMMYFUNCTION("""COMPUTED_VALUE"""),"Girish Chand")</f>
        <v>Girish Chand</v>
      </c>
      <c r="C6137" s="115" t="str">
        <f>IFERROR(__xludf.DUMMYFUNCTION("""COMPUTED_VALUE"""),"EXTERNAL")</f>
        <v>EXTERNAL</v>
      </c>
      <c r="D6137" s="115">
        <f>IFERROR(__xludf.DUMMYFUNCTION("""COMPUTED_VALUE"""),21364.0)</f>
        <v>21364</v>
      </c>
      <c r="E6137" s="115">
        <f>IFERROR(__xludf.DUMMYFUNCTION("""COMPUTED_VALUE"""),2503.0)</f>
        <v>2503</v>
      </c>
      <c r="F6137" s="115">
        <f>IFERROR(__xludf.DUMMYFUNCTION("""COMPUTED_VALUE"""),9405.0)</f>
        <v>9405</v>
      </c>
      <c r="G6137" s="115">
        <f>IFERROR(__xludf.DUMMYFUNCTION("""COMPUTED_VALUE"""),819.0)</f>
        <v>819</v>
      </c>
      <c r="H6137" s="116">
        <f>IFERROR(__xludf.DUMMYFUNCTION("""COMPUTED_VALUE"""),45911.0)</f>
        <v>45911</v>
      </c>
      <c r="I6137" s="115" t="str">
        <f>IFERROR(__xludf.DUMMYFUNCTION("""COMPUTED_VALUE"""),"21")</f>
        <v>21</v>
      </c>
      <c r="J6137" s="115"/>
      <c r="K6137" s="115"/>
    </row>
    <row r="6138">
      <c r="A6138" s="115" t="str">
        <f>IFERROR(__xludf.DUMMYFUNCTION("""COMPUTED_VALUE"""),"EAST")</f>
        <v>EAST</v>
      </c>
      <c r="B6138" s="115" t="str">
        <f>IFERROR(__xludf.DUMMYFUNCTION("""COMPUTED_VALUE"""),"Girish Chand")</f>
        <v>Girish Chand</v>
      </c>
      <c r="C6138" s="115" t="str">
        <f>IFERROR(__xludf.DUMMYFUNCTION("""COMPUTED_VALUE"""),"FLIPKART")</f>
        <v>FLIPKART</v>
      </c>
      <c r="D6138" s="115">
        <f>IFERROR(__xludf.DUMMYFUNCTION("""COMPUTED_VALUE"""),424793.0)</f>
        <v>424793</v>
      </c>
      <c r="E6138" s="115">
        <f>IFERROR(__xludf.DUMMYFUNCTION("""COMPUTED_VALUE"""),38312.0)</f>
        <v>38312</v>
      </c>
      <c r="F6138" s="115">
        <f>IFERROR(__xludf.DUMMYFUNCTION("""COMPUTED_VALUE"""),323305.0)</f>
        <v>323305</v>
      </c>
      <c r="G6138" s="115">
        <f>IFERROR(__xludf.DUMMYFUNCTION("""COMPUTED_VALUE"""),27869.0)</f>
        <v>27869</v>
      </c>
      <c r="H6138" s="116">
        <f>IFERROR(__xludf.DUMMYFUNCTION("""COMPUTED_VALUE"""),45911.0)</f>
        <v>45911</v>
      </c>
      <c r="I6138" s="115" t="str">
        <f>IFERROR(__xludf.DUMMYFUNCTION("""COMPUTED_VALUE"""),"21")</f>
        <v>21</v>
      </c>
      <c r="J6138" s="115"/>
      <c r="K6138" s="115"/>
    </row>
    <row r="6139">
      <c r="A6139" s="115" t="str">
        <f>IFERROR(__xludf.DUMMYFUNCTION("""COMPUTED_VALUE"""),"EAST")</f>
        <v>EAST</v>
      </c>
      <c r="B6139" s="115" t="str">
        <f>IFERROR(__xludf.DUMMYFUNCTION("""COMPUTED_VALUE"""),"Girish Chand")</f>
        <v>Girish Chand</v>
      </c>
      <c r="C6139" s="115" t="str">
        <f>IFERROR(__xludf.DUMMYFUNCTION("""COMPUTED_VALUE"""),"MYNTRA")</f>
        <v>MYNTRA</v>
      </c>
      <c r="D6139" s="115">
        <f>IFERROR(__xludf.DUMMYFUNCTION("""COMPUTED_VALUE"""),33492.0)</f>
        <v>33492</v>
      </c>
      <c r="E6139" s="115">
        <f>IFERROR(__xludf.DUMMYFUNCTION("""COMPUTED_VALUE"""),7820.0)</f>
        <v>7820</v>
      </c>
      <c r="F6139" s="115">
        <f>IFERROR(__xludf.DUMMYFUNCTION("""COMPUTED_VALUE"""),26572.0)</f>
        <v>26572</v>
      </c>
      <c r="G6139" s="115">
        <f>IFERROR(__xludf.DUMMYFUNCTION("""COMPUTED_VALUE"""),5927.0)</f>
        <v>5927</v>
      </c>
      <c r="H6139" s="116">
        <f>IFERROR(__xludf.DUMMYFUNCTION("""COMPUTED_VALUE"""),45911.0)</f>
        <v>45911</v>
      </c>
      <c r="I6139" s="115" t="str">
        <f>IFERROR(__xludf.DUMMYFUNCTION("""COMPUTED_VALUE"""),"21")</f>
        <v>21</v>
      </c>
      <c r="J6139" s="115"/>
      <c r="K6139" s="115"/>
    </row>
    <row r="6140">
      <c r="A6140" s="115" t="str">
        <f>IFERROR(__xludf.DUMMYFUNCTION("""COMPUTED_VALUE"""),"EAST")</f>
        <v>EAST</v>
      </c>
      <c r="B6140" s="115" t="str">
        <f>IFERROR(__xludf.DUMMYFUNCTION("""COMPUTED_VALUE"""),"Parag Kashyap")</f>
        <v>Parag Kashyap</v>
      </c>
      <c r="C6140" s="115" t="str">
        <f>IFERROR(__xludf.DUMMYFUNCTION("""COMPUTED_VALUE"""),"EXTERNAL")</f>
        <v>EXTERNAL</v>
      </c>
      <c r="D6140" s="115">
        <f>IFERROR(__xludf.DUMMYFUNCTION("""COMPUTED_VALUE"""),16341.0)</f>
        <v>16341</v>
      </c>
      <c r="E6140" s="115">
        <f>IFERROR(__xludf.DUMMYFUNCTION("""COMPUTED_VALUE"""),1191.0)</f>
        <v>1191</v>
      </c>
      <c r="F6140" s="115">
        <f>IFERROR(__xludf.DUMMYFUNCTION("""COMPUTED_VALUE"""),7536.0)</f>
        <v>7536</v>
      </c>
      <c r="G6140" s="115">
        <f>IFERROR(__xludf.DUMMYFUNCTION("""COMPUTED_VALUE"""),471.0)</f>
        <v>471</v>
      </c>
      <c r="H6140" s="116">
        <f>IFERROR(__xludf.DUMMYFUNCTION("""COMPUTED_VALUE"""),45911.0)</f>
        <v>45911</v>
      </c>
      <c r="I6140" s="115" t="str">
        <f>IFERROR(__xludf.DUMMYFUNCTION("""COMPUTED_VALUE"""),"21")</f>
        <v>21</v>
      </c>
      <c r="J6140" s="115"/>
      <c r="K6140" s="115"/>
    </row>
    <row r="6141">
      <c r="A6141" s="115" t="str">
        <f>IFERROR(__xludf.DUMMYFUNCTION("""COMPUTED_VALUE"""),"EAST")</f>
        <v>EAST</v>
      </c>
      <c r="B6141" s="115" t="str">
        <f>IFERROR(__xludf.DUMMYFUNCTION("""COMPUTED_VALUE"""),"Parag Kashyap")</f>
        <v>Parag Kashyap</v>
      </c>
      <c r="C6141" s="115" t="str">
        <f>IFERROR(__xludf.DUMMYFUNCTION("""COMPUTED_VALUE"""),"FLIPKART")</f>
        <v>FLIPKART</v>
      </c>
      <c r="D6141" s="115">
        <f>IFERROR(__xludf.DUMMYFUNCTION("""COMPUTED_VALUE"""),288690.0)</f>
        <v>288690</v>
      </c>
      <c r="E6141" s="115">
        <f>IFERROR(__xludf.DUMMYFUNCTION("""COMPUTED_VALUE"""),20659.0)</f>
        <v>20659</v>
      </c>
      <c r="F6141" s="115">
        <f>IFERROR(__xludf.DUMMYFUNCTION("""COMPUTED_VALUE"""),228472.0)</f>
        <v>228472</v>
      </c>
      <c r="G6141" s="115">
        <f>IFERROR(__xludf.DUMMYFUNCTION("""COMPUTED_VALUE"""),14593.0)</f>
        <v>14593</v>
      </c>
      <c r="H6141" s="116">
        <f>IFERROR(__xludf.DUMMYFUNCTION("""COMPUTED_VALUE"""),45911.0)</f>
        <v>45911</v>
      </c>
      <c r="I6141" s="115" t="str">
        <f>IFERROR(__xludf.DUMMYFUNCTION("""COMPUTED_VALUE"""),"21")</f>
        <v>21</v>
      </c>
      <c r="J6141" s="115"/>
      <c r="K6141" s="115"/>
    </row>
    <row r="6142">
      <c r="A6142" s="115" t="str">
        <f>IFERROR(__xludf.DUMMYFUNCTION("""COMPUTED_VALUE"""),"EAST")</f>
        <v>EAST</v>
      </c>
      <c r="B6142" s="115" t="str">
        <f>IFERROR(__xludf.DUMMYFUNCTION("""COMPUTED_VALUE"""),"Parag Kashyap")</f>
        <v>Parag Kashyap</v>
      </c>
      <c r="C6142" s="115" t="str">
        <f>IFERROR(__xludf.DUMMYFUNCTION("""COMPUTED_VALUE"""),"MYNTRA")</f>
        <v>MYNTRA</v>
      </c>
      <c r="D6142" s="115">
        <f>IFERROR(__xludf.DUMMYFUNCTION("""COMPUTED_VALUE"""),37719.0)</f>
        <v>37719</v>
      </c>
      <c r="E6142" s="115">
        <f>IFERROR(__xludf.DUMMYFUNCTION("""COMPUTED_VALUE"""),6344.0)</f>
        <v>6344</v>
      </c>
      <c r="F6142" s="115">
        <f>IFERROR(__xludf.DUMMYFUNCTION("""COMPUTED_VALUE"""),30735.0)</f>
        <v>30735</v>
      </c>
      <c r="G6142" s="115">
        <f>IFERROR(__xludf.DUMMYFUNCTION("""COMPUTED_VALUE"""),4503.0)</f>
        <v>4503</v>
      </c>
      <c r="H6142" s="116">
        <f>IFERROR(__xludf.DUMMYFUNCTION("""COMPUTED_VALUE"""),45911.0)</f>
        <v>45911</v>
      </c>
      <c r="I6142" s="115" t="str">
        <f>IFERROR(__xludf.DUMMYFUNCTION("""COMPUTED_VALUE"""),"21")</f>
        <v>21</v>
      </c>
      <c r="J6142" s="115"/>
      <c r="K6142" s="115"/>
    </row>
    <row r="6143">
      <c r="A6143" s="115" t="str">
        <f>IFERROR(__xludf.DUMMYFUNCTION("""COMPUTED_VALUE"""),"NORTH")</f>
        <v>NORTH</v>
      </c>
      <c r="B6143" s="115" t="str">
        <f>IFERROR(__xludf.DUMMYFUNCTION("""COMPUTED_VALUE"""),"Amit Kumar Pathak")</f>
        <v>Amit Kumar Pathak</v>
      </c>
      <c r="C6143" s="115" t="str">
        <f>IFERROR(__xludf.DUMMYFUNCTION("""COMPUTED_VALUE"""),"EXTERNAL")</f>
        <v>EXTERNAL</v>
      </c>
      <c r="D6143" s="115">
        <f>IFERROR(__xludf.DUMMYFUNCTION("""COMPUTED_VALUE"""),28363.0)</f>
        <v>28363</v>
      </c>
      <c r="E6143" s="115">
        <f>IFERROR(__xludf.DUMMYFUNCTION("""COMPUTED_VALUE"""),3194.0)</f>
        <v>3194</v>
      </c>
      <c r="F6143" s="115">
        <f>IFERROR(__xludf.DUMMYFUNCTION("""COMPUTED_VALUE"""),12269.0)</f>
        <v>12269</v>
      </c>
      <c r="G6143" s="115">
        <f>IFERROR(__xludf.DUMMYFUNCTION("""COMPUTED_VALUE"""),1763.0)</f>
        <v>1763</v>
      </c>
      <c r="H6143" s="116">
        <f>IFERROR(__xludf.DUMMYFUNCTION("""COMPUTED_VALUE"""),45911.0)</f>
        <v>45911</v>
      </c>
      <c r="I6143" s="115" t="str">
        <f>IFERROR(__xludf.DUMMYFUNCTION("""COMPUTED_VALUE"""),"21")</f>
        <v>21</v>
      </c>
      <c r="J6143" s="115"/>
      <c r="K6143" s="115"/>
    </row>
    <row r="6144">
      <c r="A6144" s="115" t="str">
        <f>IFERROR(__xludf.DUMMYFUNCTION("""COMPUTED_VALUE"""),"NORTH")</f>
        <v>NORTH</v>
      </c>
      <c r="B6144" s="115" t="str">
        <f>IFERROR(__xludf.DUMMYFUNCTION("""COMPUTED_VALUE"""),"Amit Kumar Pathak")</f>
        <v>Amit Kumar Pathak</v>
      </c>
      <c r="C6144" s="115" t="str">
        <f>IFERROR(__xludf.DUMMYFUNCTION("""COMPUTED_VALUE"""),"FLIPKART")</f>
        <v>FLIPKART</v>
      </c>
      <c r="D6144" s="115">
        <f>IFERROR(__xludf.DUMMYFUNCTION("""COMPUTED_VALUE"""),207612.0)</f>
        <v>207612</v>
      </c>
      <c r="E6144" s="115">
        <f>IFERROR(__xludf.DUMMYFUNCTION("""COMPUTED_VALUE"""),22552.0)</f>
        <v>22552</v>
      </c>
      <c r="F6144" s="115">
        <f>IFERROR(__xludf.DUMMYFUNCTION("""COMPUTED_VALUE"""),161798.0)</f>
        <v>161798</v>
      </c>
      <c r="G6144" s="115">
        <f>IFERROR(__xludf.DUMMYFUNCTION("""COMPUTED_VALUE"""),15569.0)</f>
        <v>15569</v>
      </c>
      <c r="H6144" s="116">
        <f>IFERROR(__xludf.DUMMYFUNCTION("""COMPUTED_VALUE"""),45911.0)</f>
        <v>45911</v>
      </c>
      <c r="I6144" s="115" t="str">
        <f>IFERROR(__xludf.DUMMYFUNCTION("""COMPUTED_VALUE"""),"21")</f>
        <v>21</v>
      </c>
      <c r="J6144" s="115"/>
      <c r="K6144" s="115"/>
    </row>
    <row r="6145">
      <c r="A6145" s="115" t="str">
        <f>IFERROR(__xludf.DUMMYFUNCTION("""COMPUTED_VALUE"""),"NORTH")</f>
        <v>NORTH</v>
      </c>
      <c r="B6145" s="115" t="str">
        <f>IFERROR(__xludf.DUMMYFUNCTION("""COMPUTED_VALUE"""),"Amit Kumar Pathak")</f>
        <v>Amit Kumar Pathak</v>
      </c>
      <c r="C6145" s="115" t="str">
        <f>IFERROR(__xludf.DUMMYFUNCTION("""COMPUTED_VALUE"""),"MYNTRA")</f>
        <v>MYNTRA</v>
      </c>
      <c r="D6145" s="115">
        <f>IFERROR(__xludf.DUMMYFUNCTION("""COMPUTED_VALUE"""),16371.0)</f>
        <v>16371</v>
      </c>
      <c r="E6145" s="115">
        <f>IFERROR(__xludf.DUMMYFUNCTION("""COMPUTED_VALUE"""),5381.0)</f>
        <v>5381</v>
      </c>
      <c r="F6145" s="115">
        <f>IFERROR(__xludf.DUMMYFUNCTION("""COMPUTED_VALUE"""),14173.0)</f>
        <v>14173</v>
      </c>
      <c r="G6145" s="115">
        <f>IFERROR(__xludf.DUMMYFUNCTION("""COMPUTED_VALUE"""),3870.0)</f>
        <v>3870</v>
      </c>
      <c r="H6145" s="116">
        <f>IFERROR(__xludf.DUMMYFUNCTION("""COMPUTED_VALUE"""),45911.0)</f>
        <v>45911</v>
      </c>
      <c r="I6145" s="115" t="str">
        <f>IFERROR(__xludf.DUMMYFUNCTION("""COMPUTED_VALUE"""),"21")</f>
        <v>21</v>
      </c>
      <c r="J6145" s="115"/>
      <c r="K6145" s="115"/>
    </row>
    <row r="6146">
      <c r="A6146" s="115" t="str">
        <f>IFERROR(__xludf.DUMMYFUNCTION("""COMPUTED_VALUE"""),"NORTH")</f>
        <v>NORTH</v>
      </c>
      <c r="B6146" s="115" t="str">
        <f>IFERROR(__xludf.DUMMYFUNCTION("""COMPUTED_VALUE"""),"Loveleen Singh")</f>
        <v>Loveleen Singh</v>
      </c>
      <c r="C6146" s="115" t="str">
        <f>IFERROR(__xludf.DUMMYFUNCTION("""COMPUTED_VALUE"""),"EXTERNAL")</f>
        <v>EXTERNAL</v>
      </c>
      <c r="D6146" s="115">
        <f>IFERROR(__xludf.DUMMYFUNCTION("""COMPUTED_VALUE"""),30628.0)</f>
        <v>30628</v>
      </c>
      <c r="E6146" s="115">
        <f>IFERROR(__xludf.DUMMYFUNCTION("""COMPUTED_VALUE"""),2344.0)</f>
        <v>2344</v>
      </c>
      <c r="F6146" s="115">
        <f>IFERROR(__xludf.DUMMYFUNCTION("""COMPUTED_VALUE"""),13122.0)</f>
        <v>13122</v>
      </c>
      <c r="G6146" s="115">
        <f>IFERROR(__xludf.DUMMYFUNCTION("""COMPUTED_VALUE"""),928.0)</f>
        <v>928</v>
      </c>
      <c r="H6146" s="116">
        <f>IFERROR(__xludf.DUMMYFUNCTION("""COMPUTED_VALUE"""),45911.0)</f>
        <v>45911</v>
      </c>
      <c r="I6146" s="115" t="str">
        <f>IFERROR(__xludf.DUMMYFUNCTION("""COMPUTED_VALUE"""),"21")</f>
        <v>21</v>
      </c>
      <c r="J6146" s="115"/>
      <c r="K6146" s="115"/>
    </row>
    <row r="6147">
      <c r="A6147" s="115" t="str">
        <f>IFERROR(__xludf.DUMMYFUNCTION("""COMPUTED_VALUE"""),"NORTH")</f>
        <v>NORTH</v>
      </c>
      <c r="B6147" s="115" t="str">
        <f>IFERROR(__xludf.DUMMYFUNCTION("""COMPUTED_VALUE"""),"Loveleen Singh")</f>
        <v>Loveleen Singh</v>
      </c>
      <c r="C6147" s="115" t="str">
        <f>IFERROR(__xludf.DUMMYFUNCTION("""COMPUTED_VALUE"""),"FLIPKART")</f>
        <v>FLIPKART</v>
      </c>
      <c r="D6147" s="115">
        <f>IFERROR(__xludf.DUMMYFUNCTION("""COMPUTED_VALUE"""),196778.0)</f>
        <v>196778</v>
      </c>
      <c r="E6147" s="115">
        <f>IFERROR(__xludf.DUMMYFUNCTION("""COMPUTED_VALUE"""),14617.0)</f>
        <v>14617</v>
      </c>
      <c r="F6147" s="115">
        <f>IFERROR(__xludf.DUMMYFUNCTION("""COMPUTED_VALUE"""),153601.0)</f>
        <v>153601</v>
      </c>
      <c r="G6147" s="115">
        <f>IFERROR(__xludf.DUMMYFUNCTION("""COMPUTED_VALUE"""),9424.0)</f>
        <v>9424</v>
      </c>
      <c r="H6147" s="116">
        <f>IFERROR(__xludf.DUMMYFUNCTION("""COMPUTED_VALUE"""),45911.0)</f>
        <v>45911</v>
      </c>
      <c r="I6147" s="115" t="str">
        <f>IFERROR(__xludf.DUMMYFUNCTION("""COMPUTED_VALUE"""),"21")</f>
        <v>21</v>
      </c>
      <c r="J6147" s="115"/>
      <c r="K6147" s="115"/>
    </row>
    <row r="6148">
      <c r="A6148" s="115" t="str">
        <f>IFERROR(__xludf.DUMMYFUNCTION("""COMPUTED_VALUE"""),"NORTH")</f>
        <v>NORTH</v>
      </c>
      <c r="B6148" s="115" t="str">
        <f>IFERROR(__xludf.DUMMYFUNCTION("""COMPUTED_VALUE"""),"Loveleen Singh")</f>
        <v>Loveleen Singh</v>
      </c>
      <c r="C6148" s="115" t="str">
        <f>IFERROR(__xludf.DUMMYFUNCTION("""COMPUTED_VALUE"""),"MYNTRA")</f>
        <v>MYNTRA</v>
      </c>
      <c r="D6148" s="115">
        <f>IFERROR(__xludf.DUMMYFUNCTION("""COMPUTED_VALUE"""),29601.0)</f>
        <v>29601</v>
      </c>
      <c r="E6148" s="115">
        <f>IFERROR(__xludf.DUMMYFUNCTION("""COMPUTED_VALUE"""),6828.0)</f>
        <v>6828</v>
      </c>
      <c r="F6148" s="115">
        <f>IFERROR(__xludf.DUMMYFUNCTION("""COMPUTED_VALUE"""),24720.0)</f>
        <v>24720</v>
      </c>
      <c r="G6148" s="115">
        <f>IFERROR(__xludf.DUMMYFUNCTION("""COMPUTED_VALUE"""),4821.0)</f>
        <v>4821</v>
      </c>
      <c r="H6148" s="116">
        <f>IFERROR(__xludf.DUMMYFUNCTION("""COMPUTED_VALUE"""),45911.0)</f>
        <v>45911</v>
      </c>
      <c r="I6148" s="115" t="str">
        <f>IFERROR(__xludf.DUMMYFUNCTION("""COMPUTED_VALUE"""),"21")</f>
        <v>21</v>
      </c>
      <c r="J6148" s="115"/>
      <c r="K6148" s="115"/>
    </row>
    <row r="6149">
      <c r="A6149" s="115" t="str">
        <f>IFERROR(__xludf.DUMMYFUNCTION("""COMPUTED_VALUE"""),"NORTH")</f>
        <v>NORTH</v>
      </c>
      <c r="B6149" s="115" t="str">
        <f>IFERROR(__xludf.DUMMYFUNCTION("""COMPUTED_VALUE"""),"Manoj Harsh")</f>
        <v>Manoj Harsh</v>
      </c>
      <c r="C6149" s="115" t="str">
        <f>IFERROR(__xludf.DUMMYFUNCTION("""COMPUTED_VALUE"""),"EXTERNAL")</f>
        <v>EXTERNAL</v>
      </c>
      <c r="D6149" s="115">
        <f>IFERROR(__xludf.DUMMYFUNCTION("""COMPUTED_VALUE"""),33229.0)</f>
        <v>33229</v>
      </c>
      <c r="E6149" s="115">
        <f>IFERROR(__xludf.DUMMYFUNCTION("""COMPUTED_VALUE"""),2853.0)</f>
        <v>2853</v>
      </c>
      <c r="F6149" s="115">
        <f>IFERROR(__xludf.DUMMYFUNCTION("""COMPUTED_VALUE"""),15821.0)</f>
        <v>15821</v>
      </c>
      <c r="G6149" s="115">
        <f>IFERROR(__xludf.DUMMYFUNCTION("""COMPUTED_VALUE"""),1175.0)</f>
        <v>1175</v>
      </c>
      <c r="H6149" s="116">
        <f>IFERROR(__xludf.DUMMYFUNCTION("""COMPUTED_VALUE"""),45911.0)</f>
        <v>45911</v>
      </c>
      <c r="I6149" s="115" t="str">
        <f>IFERROR(__xludf.DUMMYFUNCTION("""COMPUTED_VALUE"""),"21")</f>
        <v>21</v>
      </c>
      <c r="J6149" s="115"/>
      <c r="K6149" s="115"/>
    </row>
    <row r="6150">
      <c r="A6150" s="115" t="str">
        <f>IFERROR(__xludf.DUMMYFUNCTION("""COMPUTED_VALUE"""),"NORTH")</f>
        <v>NORTH</v>
      </c>
      <c r="B6150" s="115" t="str">
        <f>IFERROR(__xludf.DUMMYFUNCTION("""COMPUTED_VALUE"""),"Manoj Harsh")</f>
        <v>Manoj Harsh</v>
      </c>
      <c r="C6150" s="115" t="str">
        <f>IFERROR(__xludf.DUMMYFUNCTION("""COMPUTED_VALUE"""),"FLIPKART")</f>
        <v>FLIPKART</v>
      </c>
      <c r="D6150" s="115">
        <f>IFERROR(__xludf.DUMMYFUNCTION("""COMPUTED_VALUE"""),444119.0)</f>
        <v>444119</v>
      </c>
      <c r="E6150" s="115">
        <f>IFERROR(__xludf.DUMMYFUNCTION("""COMPUTED_VALUE"""),37645.0)</f>
        <v>37645</v>
      </c>
      <c r="F6150" s="115">
        <f>IFERROR(__xludf.DUMMYFUNCTION("""COMPUTED_VALUE"""),344293.0)</f>
        <v>344293</v>
      </c>
      <c r="G6150" s="115">
        <f>IFERROR(__xludf.DUMMYFUNCTION("""COMPUTED_VALUE"""),25530.0)</f>
        <v>25530</v>
      </c>
      <c r="H6150" s="116">
        <f>IFERROR(__xludf.DUMMYFUNCTION("""COMPUTED_VALUE"""),45911.0)</f>
        <v>45911</v>
      </c>
      <c r="I6150" s="115" t="str">
        <f>IFERROR(__xludf.DUMMYFUNCTION("""COMPUTED_VALUE"""),"21")</f>
        <v>21</v>
      </c>
      <c r="J6150" s="115"/>
      <c r="K6150" s="115"/>
    </row>
    <row r="6151">
      <c r="A6151" s="115" t="str">
        <f>IFERROR(__xludf.DUMMYFUNCTION("""COMPUTED_VALUE"""),"NORTH")</f>
        <v>NORTH</v>
      </c>
      <c r="B6151" s="115" t="str">
        <f>IFERROR(__xludf.DUMMYFUNCTION("""COMPUTED_VALUE"""),"Manoj Harsh")</f>
        <v>Manoj Harsh</v>
      </c>
      <c r="C6151" s="115" t="str">
        <f>IFERROR(__xludf.DUMMYFUNCTION("""COMPUTED_VALUE"""),"MYNTRA")</f>
        <v>MYNTRA</v>
      </c>
      <c r="D6151" s="115">
        <f>IFERROR(__xludf.DUMMYFUNCTION("""COMPUTED_VALUE"""),34040.0)</f>
        <v>34040</v>
      </c>
      <c r="E6151" s="115">
        <f>IFERROR(__xludf.DUMMYFUNCTION("""COMPUTED_VALUE"""),7750.0)</f>
        <v>7750</v>
      </c>
      <c r="F6151" s="115">
        <f>IFERROR(__xludf.DUMMYFUNCTION("""COMPUTED_VALUE"""),27721.0)</f>
        <v>27721</v>
      </c>
      <c r="G6151" s="115">
        <f>IFERROR(__xludf.DUMMYFUNCTION("""COMPUTED_VALUE"""),5571.0)</f>
        <v>5571</v>
      </c>
      <c r="H6151" s="116">
        <f>IFERROR(__xludf.DUMMYFUNCTION("""COMPUTED_VALUE"""),45911.0)</f>
        <v>45911</v>
      </c>
      <c r="I6151" s="115" t="str">
        <f>IFERROR(__xludf.DUMMYFUNCTION("""COMPUTED_VALUE"""),"21")</f>
        <v>21</v>
      </c>
      <c r="J6151" s="115"/>
      <c r="K6151" s="115"/>
    </row>
    <row r="6152">
      <c r="A6152" s="115" t="str">
        <f>IFERROR(__xludf.DUMMYFUNCTION("""COMPUTED_VALUE"""),"NORTH")</f>
        <v>NORTH</v>
      </c>
      <c r="B6152" s="115" t="str">
        <f>IFERROR(__xludf.DUMMYFUNCTION("""COMPUTED_VALUE"""),"Pradeep Kothari")</f>
        <v>Pradeep Kothari</v>
      </c>
      <c r="C6152" s="115" t="str">
        <f>IFERROR(__xludf.DUMMYFUNCTION("""COMPUTED_VALUE"""),"EXTERNAL")</f>
        <v>EXTERNAL</v>
      </c>
      <c r="D6152" s="115">
        <f>IFERROR(__xludf.DUMMYFUNCTION("""COMPUTED_VALUE"""),18888.0)</f>
        <v>18888</v>
      </c>
      <c r="E6152" s="115">
        <f>IFERROR(__xludf.DUMMYFUNCTION("""COMPUTED_VALUE"""),2069.0)</f>
        <v>2069</v>
      </c>
      <c r="F6152" s="115">
        <f>IFERROR(__xludf.DUMMYFUNCTION("""COMPUTED_VALUE"""),8547.0)</f>
        <v>8547</v>
      </c>
      <c r="G6152" s="115">
        <f>IFERROR(__xludf.DUMMYFUNCTION("""COMPUTED_VALUE"""),991.0)</f>
        <v>991</v>
      </c>
      <c r="H6152" s="116">
        <f>IFERROR(__xludf.DUMMYFUNCTION("""COMPUTED_VALUE"""),45911.0)</f>
        <v>45911</v>
      </c>
      <c r="I6152" s="115" t="str">
        <f>IFERROR(__xludf.DUMMYFUNCTION("""COMPUTED_VALUE"""),"21")</f>
        <v>21</v>
      </c>
      <c r="J6152" s="115"/>
      <c r="K6152" s="115"/>
    </row>
    <row r="6153">
      <c r="A6153" s="115" t="str">
        <f>IFERROR(__xludf.DUMMYFUNCTION("""COMPUTED_VALUE"""),"NORTH")</f>
        <v>NORTH</v>
      </c>
      <c r="B6153" s="115" t="str">
        <f>IFERROR(__xludf.DUMMYFUNCTION("""COMPUTED_VALUE"""),"Pradeep Kothari")</f>
        <v>Pradeep Kothari</v>
      </c>
      <c r="C6153" s="115" t="str">
        <f>IFERROR(__xludf.DUMMYFUNCTION("""COMPUTED_VALUE"""),"FLIPKART")</f>
        <v>FLIPKART</v>
      </c>
      <c r="D6153" s="115">
        <f>IFERROR(__xludf.DUMMYFUNCTION("""COMPUTED_VALUE"""),164335.0)</f>
        <v>164335</v>
      </c>
      <c r="E6153" s="115">
        <f>IFERROR(__xludf.DUMMYFUNCTION("""COMPUTED_VALUE"""),16932.0)</f>
        <v>16932</v>
      </c>
      <c r="F6153" s="115">
        <f>IFERROR(__xludf.DUMMYFUNCTION("""COMPUTED_VALUE"""),130177.0)</f>
        <v>130177</v>
      </c>
      <c r="G6153" s="115">
        <f>IFERROR(__xludf.DUMMYFUNCTION("""COMPUTED_VALUE"""),11726.0)</f>
        <v>11726</v>
      </c>
      <c r="H6153" s="116">
        <f>IFERROR(__xludf.DUMMYFUNCTION("""COMPUTED_VALUE"""),45911.0)</f>
        <v>45911</v>
      </c>
      <c r="I6153" s="115" t="str">
        <f>IFERROR(__xludf.DUMMYFUNCTION("""COMPUTED_VALUE"""),"21")</f>
        <v>21</v>
      </c>
      <c r="J6153" s="115"/>
      <c r="K6153" s="115"/>
    </row>
    <row r="6154">
      <c r="A6154" s="115" t="str">
        <f>IFERROR(__xludf.DUMMYFUNCTION("""COMPUTED_VALUE"""),"NORTH")</f>
        <v>NORTH</v>
      </c>
      <c r="B6154" s="115" t="str">
        <f>IFERROR(__xludf.DUMMYFUNCTION("""COMPUTED_VALUE"""),"Pradeep Kothari")</f>
        <v>Pradeep Kothari</v>
      </c>
      <c r="C6154" s="115" t="str">
        <f>IFERROR(__xludf.DUMMYFUNCTION("""COMPUTED_VALUE"""),"MYNTRA")</f>
        <v>MYNTRA</v>
      </c>
      <c r="D6154" s="115">
        <f>IFERROR(__xludf.DUMMYFUNCTION("""COMPUTED_VALUE"""),24580.0)</f>
        <v>24580</v>
      </c>
      <c r="E6154" s="115">
        <f>IFERROR(__xludf.DUMMYFUNCTION("""COMPUTED_VALUE"""),6364.0)</f>
        <v>6364</v>
      </c>
      <c r="F6154" s="115">
        <f>IFERROR(__xludf.DUMMYFUNCTION("""COMPUTED_VALUE"""),20731.0)</f>
        <v>20731</v>
      </c>
      <c r="G6154" s="115">
        <f>IFERROR(__xludf.DUMMYFUNCTION("""COMPUTED_VALUE"""),4891.0)</f>
        <v>4891</v>
      </c>
      <c r="H6154" s="116">
        <f>IFERROR(__xludf.DUMMYFUNCTION("""COMPUTED_VALUE"""),45911.0)</f>
        <v>45911</v>
      </c>
      <c r="I6154" s="115" t="str">
        <f>IFERROR(__xludf.DUMMYFUNCTION("""COMPUTED_VALUE"""),"21")</f>
        <v>21</v>
      </c>
      <c r="J6154" s="115"/>
      <c r="K6154" s="115"/>
    </row>
    <row r="6155">
      <c r="A6155" s="115" t="str">
        <f>IFERROR(__xludf.DUMMYFUNCTION("""COMPUTED_VALUE"""),"SOUTH")</f>
        <v>SOUTH</v>
      </c>
      <c r="B6155" s="115" t="str">
        <f>IFERROR(__xludf.DUMMYFUNCTION("""COMPUTED_VALUE"""),"Kandula Sampath")</f>
        <v>Kandula Sampath</v>
      </c>
      <c r="C6155" s="115" t="str">
        <f>IFERROR(__xludf.DUMMYFUNCTION("""COMPUTED_VALUE"""),"EXTERNAL")</f>
        <v>EXTERNAL</v>
      </c>
      <c r="D6155" s="115">
        <f>IFERROR(__xludf.DUMMYFUNCTION("""COMPUTED_VALUE"""),34613.0)</f>
        <v>34613</v>
      </c>
      <c r="E6155" s="115">
        <f>IFERROR(__xludf.DUMMYFUNCTION("""COMPUTED_VALUE"""),4949.0)</f>
        <v>4949</v>
      </c>
      <c r="F6155" s="115">
        <f>IFERROR(__xludf.DUMMYFUNCTION("""COMPUTED_VALUE"""),15865.0)</f>
        <v>15865</v>
      </c>
      <c r="G6155" s="115">
        <f>IFERROR(__xludf.DUMMYFUNCTION("""COMPUTED_VALUE"""),1592.0)</f>
        <v>1592</v>
      </c>
      <c r="H6155" s="116">
        <f>IFERROR(__xludf.DUMMYFUNCTION("""COMPUTED_VALUE"""),45911.0)</f>
        <v>45911</v>
      </c>
      <c r="I6155" s="115" t="str">
        <f>IFERROR(__xludf.DUMMYFUNCTION("""COMPUTED_VALUE"""),"21")</f>
        <v>21</v>
      </c>
      <c r="J6155" s="115"/>
      <c r="K6155" s="115"/>
    </row>
    <row r="6156">
      <c r="A6156" s="115" t="str">
        <f>IFERROR(__xludf.DUMMYFUNCTION("""COMPUTED_VALUE"""),"SOUTH")</f>
        <v>SOUTH</v>
      </c>
      <c r="B6156" s="115" t="str">
        <f>IFERROR(__xludf.DUMMYFUNCTION("""COMPUTED_VALUE"""),"Kandula Sampath")</f>
        <v>Kandula Sampath</v>
      </c>
      <c r="C6156" s="115" t="str">
        <f>IFERROR(__xludf.DUMMYFUNCTION("""COMPUTED_VALUE"""),"FLIPKART")</f>
        <v>FLIPKART</v>
      </c>
      <c r="D6156" s="115">
        <f>IFERROR(__xludf.DUMMYFUNCTION("""COMPUTED_VALUE"""),359538.0)</f>
        <v>359538</v>
      </c>
      <c r="E6156" s="115">
        <f>IFERROR(__xludf.DUMMYFUNCTION("""COMPUTED_VALUE"""),30709.0)</f>
        <v>30709</v>
      </c>
      <c r="F6156" s="115">
        <f>IFERROR(__xludf.DUMMYFUNCTION("""COMPUTED_VALUE"""),270434.0)</f>
        <v>270434</v>
      </c>
      <c r="G6156" s="115">
        <f>IFERROR(__xludf.DUMMYFUNCTION("""COMPUTED_VALUE"""),17907.0)</f>
        <v>17907</v>
      </c>
      <c r="H6156" s="116">
        <f>IFERROR(__xludf.DUMMYFUNCTION("""COMPUTED_VALUE"""),45911.0)</f>
        <v>45911</v>
      </c>
      <c r="I6156" s="115" t="str">
        <f>IFERROR(__xludf.DUMMYFUNCTION("""COMPUTED_VALUE"""),"21")</f>
        <v>21</v>
      </c>
      <c r="J6156" s="115"/>
      <c r="K6156" s="115"/>
    </row>
    <row r="6157">
      <c r="A6157" s="115" t="str">
        <f>IFERROR(__xludf.DUMMYFUNCTION("""COMPUTED_VALUE"""),"SOUTH")</f>
        <v>SOUTH</v>
      </c>
      <c r="B6157" s="115" t="str">
        <f>IFERROR(__xludf.DUMMYFUNCTION("""COMPUTED_VALUE"""),"Kandula Sampath")</f>
        <v>Kandula Sampath</v>
      </c>
      <c r="C6157" s="115" t="str">
        <f>IFERROR(__xludf.DUMMYFUNCTION("""COMPUTED_VALUE"""),"MYNTRA")</f>
        <v>MYNTRA</v>
      </c>
      <c r="D6157" s="115">
        <f>IFERROR(__xludf.DUMMYFUNCTION("""COMPUTED_VALUE"""),36286.0)</f>
        <v>36286</v>
      </c>
      <c r="E6157" s="115">
        <f>IFERROR(__xludf.DUMMYFUNCTION("""COMPUTED_VALUE"""),9074.0)</f>
        <v>9074</v>
      </c>
      <c r="F6157" s="115">
        <f>IFERROR(__xludf.DUMMYFUNCTION("""COMPUTED_VALUE"""),29488.0)</f>
        <v>29488</v>
      </c>
      <c r="G6157" s="115">
        <f>IFERROR(__xludf.DUMMYFUNCTION("""COMPUTED_VALUE"""),5621.0)</f>
        <v>5621</v>
      </c>
      <c r="H6157" s="116">
        <f>IFERROR(__xludf.DUMMYFUNCTION("""COMPUTED_VALUE"""),45911.0)</f>
        <v>45911</v>
      </c>
      <c r="I6157" s="115" t="str">
        <f>IFERROR(__xludf.DUMMYFUNCTION("""COMPUTED_VALUE"""),"21")</f>
        <v>21</v>
      </c>
      <c r="J6157" s="115"/>
      <c r="K6157" s="115"/>
    </row>
    <row r="6158">
      <c r="A6158" s="115" t="str">
        <f>IFERROR(__xludf.DUMMYFUNCTION("""COMPUTED_VALUE"""),"SOUTH")</f>
        <v>SOUTH</v>
      </c>
      <c r="B6158" s="115" t="str">
        <f>IFERROR(__xludf.DUMMYFUNCTION("""COMPUTED_VALUE"""),"Martin A")</f>
        <v>Martin A</v>
      </c>
      <c r="C6158" s="115" t="str">
        <f>IFERROR(__xludf.DUMMYFUNCTION("""COMPUTED_VALUE"""),"EXTERNAL")</f>
        <v>EXTERNAL</v>
      </c>
      <c r="D6158" s="115">
        <f>IFERROR(__xludf.DUMMYFUNCTION("""COMPUTED_VALUE"""),31871.0)</f>
        <v>31871</v>
      </c>
      <c r="E6158" s="115">
        <f>IFERROR(__xludf.DUMMYFUNCTION("""COMPUTED_VALUE"""),4305.0)</f>
        <v>4305</v>
      </c>
      <c r="F6158" s="115">
        <f>IFERROR(__xludf.DUMMYFUNCTION("""COMPUTED_VALUE"""),14656.0)</f>
        <v>14656</v>
      </c>
      <c r="G6158" s="115">
        <f>IFERROR(__xludf.DUMMYFUNCTION("""COMPUTED_VALUE"""),2278.0)</f>
        <v>2278</v>
      </c>
      <c r="H6158" s="116">
        <f>IFERROR(__xludf.DUMMYFUNCTION("""COMPUTED_VALUE"""),45911.0)</f>
        <v>45911</v>
      </c>
      <c r="I6158" s="115" t="str">
        <f>IFERROR(__xludf.DUMMYFUNCTION("""COMPUTED_VALUE"""),"21")</f>
        <v>21</v>
      </c>
      <c r="J6158" s="115"/>
      <c r="K6158" s="115"/>
    </row>
    <row r="6159">
      <c r="A6159" s="115" t="str">
        <f>IFERROR(__xludf.DUMMYFUNCTION("""COMPUTED_VALUE"""),"SOUTH")</f>
        <v>SOUTH</v>
      </c>
      <c r="B6159" s="115" t="str">
        <f>IFERROR(__xludf.DUMMYFUNCTION("""COMPUTED_VALUE"""),"Martin A")</f>
        <v>Martin A</v>
      </c>
      <c r="C6159" s="115" t="str">
        <f>IFERROR(__xludf.DUMMYFUNCTION("""COMPUTED_VALUE"""),"FLIPKART")</f>
        <v>FLIPKART</v>
      </c>
      <c r="D6159" s="115">
        <f>IFERROR(__xludf.DUMMYFUNCTION("""COMPUTED_VALUE"""),304020.0)</f>
        <v>304020</v>
      </c>
      <c r="E6159" s="115">
        <f>IFERROR(__xludf.DUMMYFUNCTION("""COMPUTED_VALUE"""),28794.0)</f>
        <v>28794</v>
      </c>
      <c r="F6159" s="115">
        <f>IFERROR(__xludf.DUMMYFUNCTION("""COMPUTED_VALUE"""),233566.0)</f>
        <v>233566</v>
      </c>
      <c r="G6159" s="115">
        <f>IFERROR(__xludf.DUMMYFUNCTION("""COMPUTED_VALUE"""),19413.0)</f>
        <v>19413</v>
      </c>
      <c r="H6159" s="116">
        <f>IFERROR(__xludf.DUMMYFUNCTION("""COMPUTED_VALUE"""),45911.0)</f>
        <v>45911</v>
      </c>
      <c r="I6159" s="115" t="str">
        <f>IFERROR(__xludf.DUMMYFUNCTION("""COMPUTED_VALUE"""),"21")</f>
        <v>21</v>
      </c>
      <c r="J6159" s="115"/>
      <c r="K6159" s="115"/>
    </row>
    <row r="6160">
      <c r="A6160" s="115" t="str">
        <f>IFERROR(__xludf.DUMMYFUNCTION("""COMPUTED_VALUE"""),"SOUTH")</f>
        <v>SOUTH</v>
      </c>
      <c r="B6160" s="115" t="str">
        <f>IFERROR(__xludf.DUMMYFUNCTION("""COMPUTED_VALUE"""),"Martin A")</f>
        <v>Martin A</v>
      </c>
      <c r="C6160" s="115" t="str">
        <f>IFERROR(__xludf.DUMMYFUNCTION("""COMPUTED_VALUE"""),"MYNTRA")</f>
        <v>MYNTRA</v>
      </c>
      <c r="D6160" s="115">
        <f>IFERROR(__xludf.DUMMYFUNCTION("""COMPUTED_VALUE"""),25400.0)</f>
        <v>25400</v>
      </c>
      <c r="E6160" s="115">
        <f>IFERROR(__xludf.DUMMYFUNCTION("""COMPUTED_VALUE"""),7579.0)</f>
        <v>7579</v>
      </c>
      <c r="F6160" s="115">
        <f>IFERROR(__xludf.DUMMYFUNCTION("""COMPUTED_VALUE"""),21418.0)</f>
        <v>21418</v>
      </c>
      <c r="G6160" s="115">
        <f>IFERROR(__xludf.DUMMYFUNCTION("""COMPUTED_VALUE"""),5467.0)</f>
        <v>5467</v>
      </c>
      <c r="H6160" s="116">
        <f>IFERROR(__xludf.DUMMYFUNCTION("""COMPUTED_VALUE"""),45911.0)</f>
        <v>45911</v>
      </c>
      <c r="I6160" s="115" t="str">
        <f>IFERROR(__xludf.DUMMYFUNCTION("""COMPUTED_VALUE"""),"21")</f>
        <v>21</v>
      </c>
      <c r="J6160" s="115"/>
      <c r="K6160" s="115"/>
    </row>
    <row r="6161">
      <c r="A6161" s="115" t="str">
        <f>IFERROR(__xludf.DUMMYFUNCTION("""COMPUTED_VALUE"""),"SOUTH")</f>
        <v>SOUTH</v>
      </c>
      <c r="B6161" s="115" t="str">
        <f>IFERROR(__xludf.DUMMYFUNCTION("""COMPUTED_VALUE"""),"Premkumar M")</f>
        <v>Premkumar M</v>
      </c>
      <c r="C6161" s="115" t="str">
        <f>IFERROR(__xludf.DUMMYFUNCTION("""COMPUTED_VALUE"""),"EXTERNAL")</f>
        <v>EXTERNAL</v>
      </c>
      <c r="D6161" s="115">
        <f>IFERROR(__xludf.DUMMYFUNCTION("""COMPUTED_VALUE"""),27634.0)</f>
        <v>27634</v>
      </c>
      <c r="E6161" s="115">
        <f>IFERROR(__xludf.DUMMYFUNCTION("""COMPUTED_VALUE"""),2215.0)</f>
        <v>2215</v>
      </c>
      <c r="F6161" s="115">
        <f>IFERROR(__xludf.DUMMYFUNCTION("""COMPUTED_VALUE"""),14832.0)</f>
        <v>14832</v>
      </c>
      <c r="G6161" s="115">
        <f>IFERROR(__xludf.DUMMYFUNCTION("""COMPUTED_VALUE"""),842.0)</f>
        <v>842</v>
      </c>
      <c r="H6161" s="116">
        <f>IFERROR(__xludf.DUMMYFUNCTION("""COMPUTED_VALUE"""),45911.0)</f>
        <v>45911</v>
      </c>
      <c r="I6161" s="115" t="str">
        <f>IFERROR(__xludf.DUMMYFUNCTION("""COMPUTED_VALUE"""),"21")</f>
        <v>21</v>
      </c>
      <c r="J6161" s="115"/>
      <c r="K6161" s="115"/>
    </row>
    <row r="6162">
      <c r="A6162" s="115" t="str">
        <f>IFERROR(__xludf.DUMMYFUNCTION("""COMPUTED_VALUE"""),"SOUTH")</f>
        <v>SOUTH</v>
      </c>
      <c r="B6162" s="115" t="str">
        <f>IFERROR(__xludf.DUMMYFUNCTION("""COMPUTED_VALUE"""),"Premkumar M")</f>
        <v>Premkumar M</v>
      </c>
      <c r="C6162" s="115" t="str">
        <f>IFERROR(__xludf.DUMMYFUNCTION("""COMPUTED_VALUE"""),"FLIPKART")</f>
        <v>FLIPKART</v>
      </c>
      <c r="D6162" s="115">
        <f>IFERROR(__xludf.DUMMYFUNCTION("""COMPUTED_VALUE"""),297875.0)</f>
        <v>297875</v>
      </c>
      <c r="E6162" s="115">
        <f>IFERROR(__xludf.DUMMYFUNCTION("""COMPUTED_VALUE"""),18171.0)</f>
        <v>18171</v>
      </c>
      <c r="F6162" s="115">
        <f>IFERROR(__xludf.DUMMYFUNCTION("""COMPUTED_VALUE"""),233840.0)</f>
        <v>233840</v>
      </c>
      <c r="G6162" s="115">
        <f>IFERROR(__xludf.DUMMYFUNCTION("""COMPUTED_VALUE"""),9670.0)</f>
        <v>9670</v>
      </c>
      <c r="H6162" s="116">
        <f>IFERROR(__xludf.DUMMYFUNCTION("""COMPUTED_VALUE"""),45911.0)</f>
        <v>45911</v>
      </c>
      <c r="I6162" s="115" t="str">
        <f>IFERROR(__xludf.DUMMYFUNCTION("""COMPUTED_VALUE"""),"21")</f>
        <v>21</v>
      </c>
      <c r="J6162" s="115"/>
      <c r="K6162" s="115"/>
    </row>
    <row r="6163">
      <c r="A6163" s="115" t="str">
        <f>IFERROR(__xludf.DUMMYFUNCTION("""COMPUTED_VALUE"""),"SOUTH")</f>
        <v>SOUTH</v>
      </c>
      <c r="B6163" s="115" t="str">
        <f>IFERROR(__xludf.DUMMYFUNCTION("""COMPUTED_VALUE"""),"Premkumar M")</f>
        <v>Premkumar M</v>
      </c>
      <c r="C6163" s="115" t="str">
        <f>IFERROR(__xludf.DUMMYFUNCTION("""COMPUTED_VALUE"""),"MYNTRA")</f>
        <v>MYNTRA</v>
      </c>
      <c r="D6163" s="115">
        <f>IFERROR(__xludf.DUMMYFUNCTION("""COMPUTED_VALUE"""),14320.0)</f>
        <v>14320</v>
      </c>
      <c r="E6163" s="115">
        <f>IFERROR(__xludf.DUMMYFUNCTION("""COMPUTED_VALUE"""),2869.0)</f>
        <v>2869</v>
      </c>
      <c r="F6163" s="115">
        <f>IFERROR(__xludf.DUMMYFUNCTION("""COMPUTED_VALUE"""),12191.0)</f>
        <v>12191</v>
      </c>
      <c r="G6163" s="115">
        <f>IFERROR(__xludf.DUMMYFUNCTION("""COMPUTED_VALUE"""),1706.0)</f>
        <v>1706</v>
      </c>
      <c r="H6163" s="116">
        <f>IFERROR(__xludf.DUMMYFUNCTION("""COMPUTED_VALUE"""),45911.0)</f>
        <v>45911</v>
      </c>
      <c r="I6163" s="115" t="str">
        <f>IFERROR(__xludf.DUMMYFUNCTION("""COMPUTED_VALUE"""),"21")</f>
        <v>21</v>
      </c>
      <c r="J6163" s="115"/>
      <c r="K6163" s="115"/>
    </row>
    <row r="6164">
      <c r="A6164" s="115" t="str">
        <f>IFERROR(__xludf.DUMMYFUNCTION("""COMPUTED_VALUE"""),"SOUTH")</f>
        <v>SOUTH</v>
      </c>
      <c r="B6164" s="115" t="str">
        <f>IFERROR(__xludf.DUMMYFUNCTION("""COMPUTED_VALUE"""),"Vineeth V")</f>
        <v>Vineeth V</v>
      </c>
      <c r="C6164" s="115" t="str">
        <f>IFERROR(__xludf.DUMMYFUNCTION("""COMPUTED_VALUE"""),"EXTERNAL")</f>
        <v>EXTERNAL</v>
      </c>
      <c r="D6164" s="115">
        <f>IFERROR(__xludf.DUMMYFUNCTION("""COMPUTED_VALUE"""),22579.0)</f>
        <v>22579</v>
      </c>
      <c r="E6164" s="115">
        <f>IFERROR(__xludf.DUMMYFUNCTION("""COMPUTED_VALUE"""),649.0)</f>
        <v>649</v>
      </c>
      <c r="F6164" s="115">
        <f>IFERROR(__xludf.DUMMYFUNCTION("""COMPUTED_VALUE"""),12943.0)</f>
        <v>12943</v>
      </c>
      <c r="G6164" s="115">
        <f>IFERROR(__xludf.DUMMYFUNCTION("""COMPUTED_VALUE"""),350.0)</f>
        <v>350</v>
      </c>
      <c r="H6164" s="116">
        <f>IFERROR(__xludf.DUMMYFUNCTION("""COMPUTED_VALUE"""),45911.0)</f>
        <v>45911</v>
      </c>
      <c r="I6164" s="115" t="str">
        <f>IFERROR(__xludf.DUMMYFUNCTION("""COMPUTED_VALUE"""),"21")</f>
        <v>21</v>
      </c>
      <c r="J6164" s="115"/>
      <c r="K6164" s="115"/>
    </row>
    <row r="6165">
      <c r="A6165" s="115" t="str">
        <f>IFERROR(__xludf.DUMMYFUNCTION("""COMPUTED_VALUE"""),"SOUTH")</f>
        <v>SOUTH</v>
      </c>
      <c r="B6165" s="115" t="str">
        <f>IFERROR(__xludf.DUMMYFUNCTION("""COMPUTED_VALUE"""),"Vineeth V")</f>
        <v>Vineeth V</v>
      </c>
      <c r="C6165" s="115" t="str">
        <f>IFERROR(__xludf.DUMMYFUNCTION("""COMPUTED_VALUE"""),"FLIPKART")</f>
        <v>FLIPKART</v>
      </c>
      <c r="D6165" s="115">
        <f>IFERROR(__xludf.DUMMYFUNCTION("""COMPUTED_VALUE"""),220388.0)</f>
        <v>220388</v>
      </c>
      <c r="E6165" s="115">
        <f>IFERROR(__xludf.DUMMYFUNCTION("""COMPUTED_VALUE"""),13617.0)</f>
        <v>13617</v>
      </c>
      <c r="F6165" s="115">
        <f>IFERROR(__xludf.DUMMYFUNCTION("""COMPUTED_VALUE"""),187934.0)</f>
        <v>187934</v>
      </c>
      <c r="G6165" s="115">
        <f>IFERROR(__xludf.DUMMYFUNCTION("""COMPUTED_VALUE"""),8476.0)</f>
        <v>8476</v>
      </c>
      <c r="H6165" s="116">
        <f>IFERROR(__xludf.DUMMYFUNCTION("""COMPUTED_VALUE"""),45911.0)</f>
        <v>45911</v>
      </c>
      <c r="I6165" s="115" t="str">
        <f>IFERROR(__xludf.DUMMYFUNCTION("""COMPUTED_VALUE"""),"21")</f>
        <v>21</v>
      </c>
      <c r="J6165" s="115"/>
      <c r="K6165" s="115"/>
    </row>
    <row r="6166">
      <c r="A6166" s="115" t="str">
        <f>IFERROR(__xludf.DUMMYFUNCTION("""COMPUTED_VALUE"""),"SOUTH")</f>
        <v>SOUTH</v>
      </c>
      <c r="B6166" s="115" t="str">
        <f>IFERROR(__xludf.DUMMYFUNCTION("""COMPUTED_VALUE"""),"Vineeth V")</f>
        <v>Vineeth V</v>
      </c>
      <c r="C6166" s="115" t="str">
        <f>IFERROR(__xludf.DUMMYFUNCTION("""COMPUTED_VALUE"""),"MYNTRA")</f>
        <v>MYNTRA</v>
      </c>
      <c r="D6166" s="115">
        <f>IFERROR(__xludf.DUMMYFUNCTION("""COMPUTED_VALUE"""),15896.0)</f>
        <v>15896</v>
      </c>
      <c r="E6166" s="115">
        <f>IFERROR(__xludf.DUMMYFUNCTION("""COMPUTED_VALUE"""),3406.0)</f>
        <v>3406</v>
      </c>
      <c r="F6166" s="115">
        <f>IFERROR(__xludf.DUMMYFUNCTION("""COMPUTED_VALUE"""),14067.0)</f>
        <v>14067</v>
      </c>
      <c r="G6166" s="115">
        <f>IFERROR(__xludf.DUMMYFUNCTION("""COMPUTED_VALUE"""),2223.0)</f>
        <v>2223</v>
      </c>
      <c r="H6166" s="116">
        <f>IFERROR(__xludf.DUMMYFUNCTION("""COMPUTED_VALUE"""),45911.0)</f>
        <v>45911</v>
      </c>
      <c r="I6166" s="115" t="str">
        <f>IFERROR(__xludf.DUMMYFUNCTION("""COMPUTED_VALUE"""),"21")</f>
        <v>21</v>
      </c>
      <c r="J6166" s="115"/>
      <c r="K6166" s="115"/>
    </row>
    <row r="6167">
      <c r="A6167" s="115" t="str">
        <f>IFERROR(__xludf.DUMMYFUNCTION("""COMPUTED_VALUE"""),"WEST")</f>
        <v>WEST</v>
      </c>
      <c r="B6167" s="115" t="str">
        <f>IFERROR(__xludf.DUMMYFUNCTION("""COMPUTED_VALUE"""),"Ashish Jakar")</f>
        <v>Ashish Jakar</v>
      </c>
      <c r="C6167" s="115" t="str">
        <f>IFERROR(__xludf.DUMMYFUNCTION("""COMPUTED_VALUE"""),"EXTERNAL")</f>
        <v>EXTERNAL</v>
      </c>
      <c r="D6167" s="115">
        <f>IFERROR(__xludf.DUMMYFUNCTION("""COMPUTED_VALUE"""),63002.0)</f>
        <v>63002</v>
      </c>
      <c r="E6167" s="115">
        <f>IFERROR(__xludf.DUMMYFUNCTION("""COMPUTED_VALUE"""),7605.0)</f>
        <v>7605</v>
      </c>
      <c r="F6167" s="115">
        <f>IFERROR(__xludf.DUMMYFUNCTION("""COMPUTED_VALUE"""),27248.0)</f>
        <v>27248</v>
      </c>
      <c r="G6167" s="115">
        <f>IFERROR(__xludf.DUMMYFUNCTION("""COMPUTED_VALUE"""),3441.0)</f>
        <v>3441</v>
      </c>
      <c r="H6167" s="116">
        <f>IFERROR(__xludf.DUMMYFUNCTION("""COMPUTED_VALUE"""),45911.0)</f>
        <v>45911</v>
      </c>
      <c r="I6167" s="115" t="str">
        <f>IFERROR(__xludf.DUMMYFUNCTION("""COMPUTED_VALUE"""),"21")</f>
        <v>21</v>
      </c>
      <c r="J6167" s="115"/>
      <c r="K6167" s="115"/>
    </row>
    <row r="6168">
      <c r="A6168" s="115" t="str">
        <f>IFERROR(__xludf.DUMMYFUNCTION("""COMPUTED_VALUE"""),"WEST")</f>
        <v>WEST</v>
      </c>
      <c r="B6168" s="115" t="str">
        <f>IFERROR(__xludf.DUMMYFUNCTION("""COMPUTED_VALUE"""),"Ashish Jakar")</f>
        <v>Ashish Jakar</v>
      </c>
      <c r="C6168" s="115" t="str">
        <f>IFERROR(__xludf.DUMMYFUNCTION("""COMPUTED_VALUE"""),"FLIPKART")</f>
        <v>FLIPKART</v>
      </c>
      <c r="D6168" s="115">
        <f>IFERROR(__xludf.DUMMYFUNCTION("""COMPUTED_VALUE"""),417826.0)</f>
        <v>417826</v>
      </c>
      <c r="E6168" s="115">
        <f>IFERROR(__xludf.DUMMYFUNCTION("""COMPUTED_VALUE"""),35290.0)</f>
        <v>35290</v>
      </c>
      <c r="F6168" s="115">
        <f>IFERROR(__xludf.DUMMYFUNCTION("""COMPUTED_VALUE"""),309832.0)</f>
        <v>309832</v>
      </c>
      <c r="G6168" s="115">
        <f>IFERROR(__xludf.DUMMYFUNCTION("""COMPUTED_VALUE"""),22273.0)</f>
        <v>22273</v>
      </c>
      <c r="H6168" s="116">
        <f>IFERROR(__xludf.DUMMYFUNCTION("""COMPUTED_VALUE"""),45911.0)</f>
        <v>45911</v>
      </c>
      <c r="I6168" s="115" t="str">
        <f>IFERROR(__xludf.DUMMYFUNCTION("""COMPUTED_VALUE"""),"21")</f>
        <v>21</v>
      </c>
      <c r="J6168" s="115"/>
      <c r="K6168" s="115"/>
    </row>
    <row r="6169">
      <c r="A6169" s="115" t="str">
        <f>IFERROR(__xludf.DUMMYFUNCTION("""COMPUTED_VALUE"""),"WEST")</f>
        <v>WEST</v>
      </c>
      <c r="B6169" s="115" t="str">
        <f>IFERROR(__xludf.DUMMYFUNCTION("""COMPUTED_VALUE"""),"Ashish Jakar")</f>
        <v>Ashish Jakar</v>
      </c>
      <c r="C6169" s="115" t="str">
        <f>IFERROR(__xludf.DUMMYFUNCTION("""COMPUTED_VALUE"""),"MYNTRA")</f>
        <v>MYNTRA</v>
      </c>
      <c r="D6169" s="115">
        <f>IFERROR(__xludf.DUMMYFUNCTION("""COMPUTED_VALUE"""),46579.0)</f>
        <v>46579</v>
      </c>
      <c r="E6169" s="115">
        <f>IFERROR(__xludf.DUMMYFUNCTION("""COMPUTED_VALUE"""),11500.0)</f>
        <v>11500</v>
      </c>
      <c r="F6169" s="115">
        <f>IFERROR(__xludf.DUMMYFUNCTION("""COMPUTED_VALUE"""),38902.0)</f>
        <v>38902</v>
      </c>
      <c r="G6169" s="115">
        <f>IFERROR(__xludf.DUMMYFUNCTION("""COMPUTED_VALUE"""),7783.0)</f>
        <v>7783</v>
      </c>
      <c r="H6169" s="116">
        <f>IFERROR(__xludf.DUMMYFUNCTION("""COMPUTED_VALUE"""),45911.0)</f>
        <v>45911</v>
      </c>
      <c r="I6169" s="115" t="str">
        <f>IFERROR(__xludf.DUMMYFUNCTION("""COMPUTED_VALUE"""),"21")</f>
        <v>21</v>
      </c>
      <c r="J6169" s="115"/>
      <c r="K6169" s="115"/>
    </row>
    <row r="6170">
      <c r="A6170" s="115" t="str">
        <f>IFERROR(__xludf.DUMMYFUNCTION("""COMPUTED_VALUE"""),"WEST")</f>
        <v>WEST</v>
      </c>
      <c r="B6170" s="115" t="str">
        <f>IFERROR(__xludf.DUMMYFUNCTION("""COMPUTED_VALUE"""),"Ashvani Bhatt")</f>
        <v>Ashvani Bhatt</v>
      </c>
      <c r="C6170" s="115" t="str">
        <f>IFERROR(__xludf.DUMMYFUNCTION("""COMPUTED_VALUE"""),"EXTERNAL")</f>
        <v>EXTERNAL</v>
      </c>
      <c r="D6170" s="115">
        <f>IFERROR(__xludf.DUMMYFUNCTION("""COMPUTED_VALUE"""),40810.0)</f>
        <v>40810</v>
      </c>
      <c r="E6170" s="115">
        <f>IFERROR(__xludf.DUMMYFUNCTION("""COMPUTED_VALUE"""),4239.0)</f>
        <v>4239</v>
      </c>
      <c r="F6170" s="115">
        <f>IFERROR(__xludf.DUMMYFUNCTION("""COMPUTED_VALUE"""),18183.0)</f>
        <v>18183</v>
      </c>
      <c r="G6170" s="115">
        <f>IFERROR(__xludf.DUMMYFUNCTION("""COMPUTED_VALUE"""),1585.0)</f>
        <v>1585</v>
      </c>
      <c r="H6170" s="116">
        <f>IFERROR(__xludf.DUMMYFUNCTION("""COMPUTED_VALUE"""),45911.0)</f>
        <v>45911</v>
      </c>
      <c r="I6170" s="115" t="str">
        <f>IFERROR(__xludf.DUMMYFUNCTION("""COMPUTED_VALUE"""),"21")</f>
        <v>21</v>
      </c>
      <c r="J6170" s="115"/>
      <c r="K6170" s="115"/>
    </row>
    <row r="6171">
      <c r="A6171" s="115" t="str">
        <f>IFERROR(__xludf.DUMMYFUNCTION("""COMPUTED_VALUE"""),"WEST")</f>
        <v>WEST</v>
      </c>
      <c r="B6171" s="115" t="str">
        <f>IFERROR(__xludf.DUMMYFUNCTION("""COMPUTED_VALUE"""),"Ashvani Bhatt")</f>
        <v>Ashvani Bhatt</v>
      </c>
      <c r="C6171" s="115" t="str">
        <f>IFERROR(__xludf.DUMMYFUNCTION("""COMPUTED_VALUE"""),"FLIPKART")</f>
        <v>FLIPKART</v>
      </c>
      <c r="D6171" s="115">
        <f>IFERROR(__xludf.DUMMYFUNCTION("""COMPUTED_VALUE"""),314072.0)</f>
        <v>314072</v>
      </c>
      <c r="E6171" s="115">
        <f>IFERROR(__xludf.DUMMYFUNCTION("""COMPUTED_VALUE"""),28597.0)</f>
        <v>28597</v>
      </c>
      <c r="F6171" s="115">
        <f>IFERROR(__xludf.DUMMYFUNCTION("""COMPUTED_VALUE"""),247120.0)</f>
        <v>247120</v>
      </c>
      <c r="G6171" s="115">
        <f>IFERROR(__xludf.DUMMYFUNCTION("""COMPUTED_VALUE"""),19612.0)</f>
        <v>19612</v>
      </c>
      <c r="H6171" s="116">
        <f>IFERROR(__xludf.DUMMYFUNCTION("""COMPUTED_VALUE"""),45911.0)</f>
        <v>45911</v>
      </c>
      <c r="I6171" s="115" t="str">
        <f>IFERROR(__xludf.DUMMYFUNCTION("""COMPUTED_VALUE"""),"21")</f>
        <v>21</v>
      </c>
      <c r="J6171" s="115"/>
      <c r="K6171" s="115"/>
    </row>
    <row r="6172">
      <c r="A6172" s="115" t="str">
        <f>IFERROR(__xludf.DUMMYFUNCTION("""COMPUTED_VALUE"""),"WEST")</f>
        <v>WEST</v>
      </c>
      <c r="B6172" s="115" t="str">
        <f>IFERROR(__xludf.DUMMYFUNCTION("""COMPUTED_VALUE"""),"Ashvani Bhatt")</f>
        <v>Ashvani Bhatt</v>
      </c>
      <c r="C6172" s="115" t="str">
        <f>IFERROR(__xludf.DUMMYFUNCTION("""COMPUTED_VALUE"""),"MYNTRA")</f>
        <v>MYNTRA</v>
      </c>
      <c r="D6172" s="115">
        <f>IFERROR(__xludf.DUMMYFUNCTION("""COMPUTED_VALUE"""),36572.0)</f>
        <v>36572</v>
      </c>
      <c r="E6172" s="115">
        <f>IFERROR(__xludf.DUMMYFUNCTION("""COMPUTED_VALUE"""),9562.0)</f>
        <v>9562</v>
      </c>
      <c r="F6172" s="115">
        <f>IFERROR(__xludf.DUMMYFUNCTION("""COMPUTED_VALUE"""),31416.0)</f>
        <v>31416</v>
      </c>
      <c r="G6172" s="115">
        <f>IFERROR(__xludf.DUMMYFUNCTION("""COMPUTED_VALUE"""),7147.0)</f>
        <v>7147</v>
      </c>
      <c r="H6172" s="116">
        <f>IFERROR(__xludf.DUMMYFUNCTION("""COMPUTED_VALUE"""),45911.0)</f>
        <v>45911</v>
      </c>
      <c r="I6172" s="115" t="str">
        <f>IFERROR(__xludf.DUMMYFUNCTION("""COMPUTED_VALUE"""),"21")</f>
        <v>21</v>
      </c>
      <c r="J6172" s="115"/>
      <c r="K6172" s="115"/>
    </row>
    <row r="6173">
      <c r="A6173" s="115"/>
      <c r="B6173" s="115"/>
      <c r="C6173" s="115" t="str">
        <f>IFERROR(__xludf.DUMMYFUNCTION("""COMPUTED_VALUE"""),"EXTERNAL")</f>
        <v>EXTERNAL</v>
      </c>
      <c r="D6173" s="115">
        <f>IFERROR(__xludf.DUMMYFUNCTION("""COMPUTED_VALUE"""),1035.0)</f>
        <v>1035</v>
      </c>
      <c r="E6173" s="115">
        <f>IFERROR(__xludf.DUMMYFUNCTION("""COMPUTED_VALUE"""),365.0)</f>
        <v>365</v>
      </c>
      <c r="F6173" s="115">
        <f>IFERROR(__xludf.DUMMYFUNCTION("""COMPUTED_VALUE"""),511.0)</f>
        <v>511</v>
      </c>
      <c r="G6173" s="115">
        <f>IFERROR(__xludf.DUMMYFUNCTION("""COMPUTED_VALUE"""),225.0)</f>
        <v>225</v>
      </c>
      <c r="H6173" s="116">
        <f>IFERROR(__xludf.DUMMYFUNCTION("""COMPUTED_VALUE"""),45911.0)</f>
        <v>45911</v>
      </c>
      <c r="I6173" s="115" t="str">
        <f>IFERROR(__xludf.DUMMYFUNCTION("""COMPUTED_VALUE"""),"21")</f>
        <v>21</v>
      </c>
      <c r="J6173" s="115"/>
      <c r="K6173" s="115"/>
    </row>
    <row r="6174">
      <c r="A6174" s="115"/>
      <c r="B6174" s="115"/>
      <c r="C6174" s="115" t="str">
        <f>IFERROR(__xludf.DUMMYFUNCTION("""COMPUTED_VALUE"""),"FLIPKART")</f>
        <v>FLIPKART</v>
      </c>
      <c r="D6174" s="115">
        <f>IFERROR(__xludf.DUMMYFUNCTION("""COMPUTED_VALUE"""),12074.0)</f>
        <v>12074</v>
      </c>
      <c r="E6174" s="115">
        <f>IFERROR(__xludf.DUMMYFUNCTION("""COMPUTED_VALUE"""),1129.0)</f>
        <v>1129</v>
      </c>
      <c r="F6174" s="115">
        <f>IFERROR(__xludf.DUMMYFUNCTION("""COMPUTED_VALUE"""),9090.0)</f>
        <v>9090</v>
      </c>
      <c r="G6174" s="115">
        <f>IFERROR(__xludf.DUMMYFUNCTION("""COMPUTED_VALUE"""),658.0)</f>
        <v>658</v>
      </c>
      <c r="H6174" s="116">
        <f>IFERROR(__xludf.DUMMYFUNCTION("""COMPUTED_VALUE"""),45911.0)</f>
        <v>45911</v>
      </c>
      <c r="I6174" s="115" t="str">
        <f>IFERROR(__xludf.DUMMYFUNCTION("""COMPUTED_VALUE"""),"21")</f>
        <v>21</v>
      </c>
      <c r="J6174" s="115"/>
      <c r="K6174" s="115"/>
    </row>
    <row r="6175">
      <c r="A6175" s="115"/>
      <c r="B6175" s="115"/>
      <c r="C6175" s="115" t="str">
        <f>IFERROR(__xludf.DUMMYFUNCTION("""COMPUTED_VALUE"""),"MYNTRA")</f>
        <v>MYNTRA</v>
      </c>
      <c r="D6175" s="115">
        <f>IFERROR(__xludf.DUMMYFUNCTION("""COMPUTED_VALUE"""),1319.0)</f>
        <v>1319</v>
      </c>
      <c r="E6175" s="115">
        <f>IFERROR(__xludf.DUMMYFUNCTION("""COMPUTED_VALUE"""),319.0)</f>
        <v>319</v>
      </c>
      <c r="F6175" s="115">
        <f>IFERROR(__xludf.DUMMYFUNCTION("""COMPUTED_VALUE"""),1075.0)</f>
        <v>1075</v>
      </c>
      <c r="G6175" s="115">
        <f>IFERROR(__xludf.DUMMYFUNCTION("""COMPUTED_VALUE"""),220.0)</f>
        <v>220</v>
      </c>
      <c r="H6175" s="116">
        <f>IFERROR(__xludf.DUMMYFUNCTION("""COMPUTED_VALUE"""),45911.0)</f>
        <v>45911</v>
      </c>
      <c r="I6175" s="115" t="str">
        <f>IFERROR(__xludf.DUMMYFUNCTION("""COMPUTED_VALUE"""),"21")</f>
        <v>21</v>
      </c>
      <c r="J6175" s="115"/>
      <c r="K6175" s="115"/>
    </row>
    <row r="6176">
      <c r="A6176" s="115" t="str">
        <f>IFERROR(__xludf.DUMMYFUNCTION("""COMPUTED_VALUE"""),"EAST")</f>
        <v>EAST</v>
      </c>
      <c r="B6176" s="115" t="str">
        <f>IFERROR(__xludf.DUMMYFUNCTION("""COMPUTED_VALUE"""),"Ashish Ranjan")</f>
        <v>Ashish Ranjan</v>
      </c>
      <c r="C6176" s="115" t="str">
        <f>IFERROR(__xludf.DUMMYFUNCTION("""COMPUTED_VALUE"""),"EXTERNAL")</f>
        <v>EXTERNAL</v>
      </c>
      <c r="D6176" s="115">
        <f>IFERROR(__xludf.DUMMYFUNCTION("""COMPUTED_VALUE"""),40358.0)</f>
        <v>40358</v>
      </c>
      <c r="E6176" s="115">
        <f>IFERROR(__xludf.DUMMYFUNCTION("""COMPUTED_VALUE"""),4257.0)</f>
        <v>4257</v>
      </c>
      <c r="F6176" s="115">
        <f>IFERROR(__xludf.DUMMYFUNCTION("""COMPUTED_VALUE"""),23543.0)</f>
        <v>23543</v>
      </c>
      <c r="G6176" s="115">
        <f>IFERROR(__xludf.DUMMYFUNCTION("""COMPUTED_VALUE"""),2207.0)</f>
        <v>2207</v>
      </c>
      <c r="H6176" s="116">
        <f>IFERROR(__xludf.DUMMYFUNCTION("""COMPUTED_VALUE"""),45911.0)</f>
        <v>45911</v>
      </c>
      <c r="I6176" s="115" t="str">
        <f>IFERROR(__xludf.DUMMYFUNCTION("""COMPUTED_VALUE"""),"22")</f>
        <v>22</v>
      </c>
      <c r="J6176" s="115"/>
      <c r="K6176" s="115"/>
    </row>
    <row r="6177">
      <c r="A6177" s="115" t="str">
        <f>IFERROR(__xludf.DUMMYFUNCTION("""COMPUTED_VALUE"""),"EAST")</f>
        <v>EAST</v>
      </c>
      <c r="B6177" s="115" t="str">
        <f>IFERROR(__xludf.DUMMYFUNCTION("""COMPUTED_VALUE"""),"Ashish Ranjan")</f>
        <v>Ashish Ranjan</v>
      </c>
      <c r="C6177" s="115" t="str">
        <f>IFERROR(__xludf.DUMMYFUNCTION("""COMPUTED_VALUE"""),"FLIPKART")</f>
        <v>FLIPKART</v>
      </c>
      <c r="D6177" s="115">
        <f>IFERROR(__xludf.DUMMYFUNCTION("""COMPUTED_VALUE"""),718155.0)</f>
        <v>718155</v>
      </c>
      <c r="E6177" s="115">
        <f>IFERROR(__xludf.DUMMYFUNCTION("""COMPUTED_VALUE"""),66040.0)</f>
        <v>66040</v>
      </c>
      <c r="F6177" s="115">
        <f>IFERROR(__xludf.DUMMYFUNCTION("""COMPUTED_VALUE"""),645144.0)</f>
        <v>645144</v>
      </c>
      <c r="G6177" s="115">
        <f>IFERROR(__xludf.DUMMYFUNCTION("""COMPUTED_VALUE"""),54912.0)</f>
        <v>54912</v>
      </c>
      <c r="H6177" s="116">
        <f>IFERROR(__xludf.DUMMYFUNCTION("""COMPUTED_VALUE"""),45911.0)</f>
        <v>45911</v>
      </c>
      <c r="I6177" s="115" t="str">
        <f>IFERROR(__xludf.DUMMYFUNCTION("""COMPUTED_VALUE"""),"22")</f>
        <v>22</v>
      </c>
      <c r="J6177" s="115"/>
      <c r="K6177" s="115"/>
    </row>
    <row r="6178">
      <c r="A6178" s="115" t="str">
        <f>IFERROR(__xludf.DUMMYFUNCTION("""COMPUTED_VALUE"""),"EAST")</f>
        <v>EAST</v>
      </c>
      <c r="B6178" s="115" t="str">
        <f>IFERROR(__xludf.DUMMYFUNCTION("""COMPUTED_VALUE"""),"Ashish Ranjan")</f>
        <v>Ashish Ranjan</v>
      </c>
      <c r="C6178" s="115" t="str">
        <f>IFERROR(__xludf.DUMMYFUNCTION("""COMPUTED_VALUE"""),"MYNTRA")</f>
        <v>MYNTRA</v>
      </c>
      <c r="D6178" s="115">
        <f>IFERROR(__xludf.DUMMYFUNCTION("""COMPUTED_VALUE"""),72046.0)</f>
        <v>72046</v>
      </c>
      <c r="E6178" s="115">
        <f>IFERROR(__xludf.DUMMYFUNCTION("""COMPUTED_VALUE"""),16196.0)</f>
        <v>16196</v>
      </c>
      <c r="F6178" s="115">
        <f>IFERROR(__xludf.DUMMYFUNCTION("""COMPUTED_VALUE"""),65219.0)</f>
        <v>65219</v>
      </c>
      <c r="G6178" s="115">
        <f>IFERROR(__xludf.DUMMYFUNCTION("""COMPUTED_VALUE"""),13382.0)</f>
        <v>13382</v>
      </c>
      <c r="H6178" s="116">
        <f>IFERROR(__xludf.DUMMYFUNCTION("""COMPUTED_VALUE"""),45911.0)</f>
        <v>45911</v>
      </c>
      <c r="I6178" s="115" t="str">
        <f>IFERROR(__xludf.DUMMYFUNCTION("""COMPUTED_VALUE"""),"22")</f>
        <v>22</v>
      </c>
      <c r="J6178" s="115"/>
      <c r="K6178" s="115"/>
    </row>
    <row r="6179">
      <c r="A6179" s="115" t="str">
        <f>IFERROR(__xludf.DUMMYFUNCTION("""COMPUTED_VALUE"""),"EAST")</f>
        <v>EAST</v>
      </c>
      <c r="B6179" s="115" t="str">
        <f>IFERROR(__xludf.DUMMYFUNCTION("""COMPUTED_VALUE"""),"Girish Chand")</f>
        <v>Girish Chand</v>
      </c>
      <c r="C6179" s="115" t="str">
        <f>IFERROR(__xludf.DUMMYFUNCTION("""COMPUTED_VALUE"""),"EXTERNAL")</f>
        <v>EXTERNAL</v>
      </c>
      <c r="D6179" s="115">
        <f>IFERROR(__xludf.DUMMYFUNCTION("""COMPUTED_VALUE"""),21369.0)</f>
        <v>21369</v>
      </c>
      <c r="E6179" s="115">
        <f>IFERROR(__xludf.DUMMYFUNCTION("""COMPUTED_VALUE"""),2506.0)</f>
        <v>2506</v>
      </c>
      <c r="F6179" s="115">
        <f>IFERROR(__xludf.DUMMYFUNCTION("""COMPUTED_VALUE"""),9426.0)</f>
        <v>9426</v>
      </c>
      <c r="G6179" s="115">
        <f>IFERROR(__xludf.DUMMYFUNCTION("""COMPUTED_VALUE"""),852.0)</f>
        <v>852</v>
      </c>
      <c r="H6179" s="116">
        <f>IFERROR(__xludf.DUMMYFUNCTION("""COMPUTED_VALUE"""),45911.0)</f>
        <v>45911</v>
      </c>
      <c r="I6179" s="115" t="str">
        <f>IFERROR(__xludf.DUMMYFUNCTION("""COMPUTED_VALUE"""),"22")</f>
        <v>22</v>
      </c>
      <c r="J6179" s="115"/>
      <c r="K6179" s="115"/>
    </row>
    <row r="6180">
      <c r="A6180" s="115" t="str">
        <f>IFERROR(__xludf.DUMMYFUNCTION("""COMPUTED_VALUE"""),"EAST")</f>
        <v>EAST</v>
      </c>
      <c r="B6180" s="115" t="str">
        <f>IFERROR(__xludf.DUMMYFUNCTION("""COMPUTED_VALUE"""),"Girish Chand")</f>
        <v>Girish Chand</v>
      </c>
      <c r="C6180" s="115" t="str">
        <f>IFERROR(__xludf.DUMMYFUNCTION("""COMPUTED_VALUE"""),"FLIPKART")</f>
        <v>FLIPKART</v>
      </c>
      <c r="D6180" s="115">
        <f>IFERROR(__xludf.DUMMYFUNCTION("""COMPUTED_VALUE"""),424836.0)</f>
        <v>424836</v>
      </c>
      <c r="E6180" s="115">
        <f>IFERROR(__xludf.DUMMYFUNCTION("""COMPUTED_VALUE"""),38335.0)</f>
        <v>38335</v>
      </c>
      <c r="F6180" s="115">
        <f>IFERROR(__xludf.DUMMYFUNCTION("""COMPUTED_VALUE"""),323831.0)</f>
        <v>323831</v>
      </c>
      <c r="G6180" s="115">
        <f>IFERROR(__xludf.DUMMYFUNCTION("""COMPUTED_VALUE"""),28775.0)</f>
        <v>28775</v>
      </c>
      <c r="H6180" s="116">
        <f>IFERROR(__xludf.DUMMYFUNCTION("""COMPUTED_VALUE"""),45911.0)</f>
        <v>45911</v>
      </c>
      <c r="I6180" s="115" t="str">
        <f>IFERROR(__xludf.DUMMYFUNCTION("""COMPUTED_VALUE"""),"22")</f>
        <v>22</v>
      </c>
      <c r="J6180" s="115"/>
      <c r="K6180" s="115"/>
    </row>
    <row r="6181">
      <c r="A6181" s="115" t="str">
        <f>IFERROR(__xludf.DUMMYFUNCTION("""COMPUTED_VALUE"""),"EAST")</f>
        <v>EAST</v>
      </c>
      <c r="B6181" s="115" t="str">
        <f>IFERROR(__xludf.DUMMYFUNCTION("""COMPUTED_VALUE"""),"Girish Chand")</f>
        <v>Girish Chand</v>
      </c>
      <c r="C6181" s="115" t="str">
        <f>IFERROR(__xludf.DUMMYFUNCTION("""COMPUTED_VALUE"""),"MYNTRA")</f>
        <v>MYNTRA</v>
      </c>
      <c r="D6181" s="115">
        <f>IFERROR(__xludf.DUMMYFUNCTION("""COMPUTED_VALUE"""),33497.0)</f>
        <v>33497</v>
      </c>
      <c r="E6181" s="115">
        <f>IFERROR(__xludf.DUMMYFUNCTION("""COMPUTED_VALUE"""),7820.0)</f>
        <v>7820</v>
      </c>
      <c r="F6181" s="115">
        <f>IFERROR(__xludf.DUMMYFUNCTION("""COMPUTED_VALUE"""),26613.0)</f>
        <v>26613</v>
      </c>
      <c r="G6181" s="115">
        <f>IFERROR(__xludf.DUMMYFUNCTION("""COMPUTED_VALUE"""),6030.0)</f>
        <v>6030</v>
      </c>
      <c r="H6181" s="116">
        <f>IFERROR(__xludf.DUMMYFUNCTION("""COMPUTED_VALUE"""),45911.0)</f>
        <v>45911</v>
      </c>
      <c r="I6181" s="115" t="str">
        <f>IFERROR(__xludf.DUMMYFUNCTION("""COMPUTED_VALUE"""),"22")</f>
        <v>22</v>
      </c>
      <c r="J6181" s="115"/>
      <c r="K6181" s="115"/>
    </row>
    <row r="6182">
      <c r="A6182" s="115" t="str">
        <f>IFERROR(__xludf.DUMMYFUNCTION("""COMPUTED_VALUE"""),"EAST")</f>
        <v>EAST</v>
      </c>
      <c r="B6182" s="115" t="str">
        <f>IFERROR(__xludf.DUMMYFUNCTION("""COMPUTED_VALUE"""),"Parag Kashyap")</f>
        <v>Parag Kashyap</v>
      </c>
      <c r="C6182" s="115" t="str">
        <f>IFERROR(__xludf.DUMMYFUNCTION("""COMPUTED_VALUE"""),"EXTERNAL")</f>
        <v>EXTERNAL</v>
      </c>
      <c r="D6182" s="115">
        <f>IFERROR(__xludf.DUMMYFUNCTION("""COMPUTED_VALUE"""),16342.0)</f>
        <v>16342</v>
      </c>
      <c r="E6182" s="115">
        <f>IFERROR(__xludf.DUMMYFUNCTION("""COMPUTED_VALUE"""),1191.0)</f>
        <v>1191</v>
      </c>
      <c r="F6182" s="115">
        <f>IFERROR(__xludf.DUMMYFUNCTION("""COMPUTED_VALUE"""),7596.0)</f>
        <v>7596</v>
      </c>
      <c r="G6182" s="115">
        <f>IFERROR(__xludf.DUMMYFUNCTION("""COMPUTED_VALUE"""),515.0)</f>
        <v>515</v>
      </c>
      <c r="H6182" s="116">
        <f>IFERROR(__xludf.DUMMYFUNCTION("""COMPUTED_VALUE"""),45911.0)</f>
        <v>45911</v>
      </c>
      <c r="I6182" s="115" t="str">
        <f>IFERROR(__xludf.DUMMYFUNCTION("""COMPUTED_VALUE"""),"22")</f>
        <v>22</v>
      </c>
      <c r="J6182" s="115"/>
      <c r="K6182" s="115"/>
    </row>
    <row r="6183">
      <c r="A6183" s="115" t="str">
        <f>IFERROR(__xludf.DUMMYFUNCTION("""COMPUTED_VALUE"""),"EAST")</f>
        <v>EAST</v>
      </c>
      <c r="B6183" s="115" t="str">
        <f>IFERROR(__xludf.DUMMYFUNCTION("""COMPUTED_VALUE"""),"Parag Kashyap")</f>
        <v>Parag Kashyap</v>
      </c>
      <c r="C6183" s="115" t="str">
        <f>IFERROR(__xludf.DUMMYFUNCTION("""COMPUTED_VALUE"""),"FLIPKART")</f>
        <v>FLIPKART</v>
      </c>
      <c r="D6183" s="115">
        <f>IFERROR(__xludf.DUMMYFUNCTION("""COMPUTED_VALUE"""),288710.0)</f>
        <v>288710</v>
      </c>
      <c r="E6183" s="115">
        <f>IFERROR(__xludf.DUMMYFUNCTION("""COMPUTED_VALUE"""),20754.0)</f>
        <v>20754</v>
      </c>
      <c r="F6183" s="115">
        <f>IFERROR(__xludf.DUMMYFUNCTION("""COMPUTED_VALUE"""),229692.0)</f>
        <v>229692</v>
      </c>
      <c r="G6183" s="115">
        <f>IFERROR(__xludf.DUMMYFUNCTION("""COMPUTED_VALUE"""),15695.0)</f>
        <v>15695</v>
      </c>
      <c r="H6183" s="116">
        <f>IFERROR(__xludf.DUMMYFUNCTION("""COMPUTED_VALUE"""),45911.0)</f>
        <v>45911</v>
      </c>
      <c r="I6183" s="115" t="str">
        <f>IFERROR(__xludf.DUMMYFUNCTION("""COMPUTED_VALUE"""),"22")</f>
        <v>22</v>
      </c>
      <c r="J6183" s="115"/>
      <c r="K6183" s="115"/>
    </row>
    <row r="6184">
      <c r="A6184" s="115" t="str">
        <f>IFERROR(__xludf.DUMMYFUNCTION("""COMPUTED_VALUE"""),"EAST")</f>
        <v>EAST</v>
      </c>
      <c r="B6184" s="115" t="str">
        <f>IFERROR(__xludf.DUMMYFUNCTION("""COMPUTED_VALUE"""),"Parag Kashyap")</f>
        <v>Parag Kashyap</v>
      </c>
      <c r="C6184" s="115" t="str">
        <f>IFERROR(__xludf.DUMMYFUNCTION("""COMPUTED_VALUE"""),"MYNTRA")</f>
        <v>MYNTRA</v>
      </c>
      <c r="D6184" s="115">
        <f>IFERROR(__xludf.DUMMYFUNCTION("""COMPUTED_VALUE"""),37719.0)</f>
        <v>37719</v>
      </c>
      <c r="E6184" s="115">
        <f>IFERROR(__xludf.DUMMYFUNCTION("""COMPUTED_VALUE"""),6348.0)</f>
        <v>6348</v>
      </c>
      <c r="F6184" s="115">
        <f>IFERROR(__xludf.DUMMYFUNCTION("""COMPUTED_VALUE"""),30895.0)</f>
        <v>30895</v>
      </c>
      <c r="G6184" s="115">
        <f>IFERROR(__xludf.DUMMYFUNCTION("""COMPUTED_VALUE"""),4777.0)</f>
        <v>4777</v>
      </c>
      <c r="H6184" s="116">
        <f>IFERROR(__xludf.DUMMYFUNCTION("""COMPUTED_VALUE"""),45911.0)</f>
        <v>45911</v>
      </c>
      <c r="I6184" s="115" t="str">
        <f>IFERROR(__xludf.DUMMYFUNCTION("""COMPUTED_VALUE"""),"22")</f>
        <v>22</v>
      </c>
      <c r="J6184" s="115"/>
      <c r="K6184" s="115"/>
    </row>
    <row r="6185">
      <c r="A6185" s="115" t="str">
        <f>IFERROR(__xludf.DUMMYFUNCTION("""COMPUTED_VALUE"""),"NORTH")</f>
        <v>NORTH</v>
      </c>
      <c r="B6185" s="115" t="str">
        <f>IFERROR(__xludf.DUMMYFUNCTION("""COMPUTED_VALUE"""),"Amit Kumar Pathak")</f>
        <v>Amit Kumar Pathak</v>
      </c>
      <c r="C6185" s="115" t="str">
        <f>IFERROR(__xludf.DUMMYFUNCTION("""COMPUTED_VALUE"""),"EXTERNAL")</f>
        <v>EXTERNAL</v>
      </c>
      <c r="D6185" s="115">
        <f>IFERROR(__xludf.DUMMYFUNCTION("""COMPUTED_VALUE"""),28355.0)</f>
        <v>28355</v>
      </c>
      <c r="E6185" s="115">
        <f>IFERROR(__xludf.DUMMYFUNCTION("""COMPUTED_VALUE"""),3194.0)</f>
        <v>3194</v>
      </c>
      <c r="F6185" s="115">
        <f>IFERROR(__xludf.DUMMYFUNCTION("""COMPUTED_VALUE"""),12402.0)</f>
        <v>12402</v>
      </c>
      <c r="G6185" s="115">
        <f>IFERROR(__xludf.DUMMYFUNCTION("""COMPUTED_VALUE"""),1836.0)</f>
        <v>1836</v>
      </c>
      <c r="H6185" s="116">
        <f>IFERROR(__xludf.DUMMYFUNCTION("""COMPUTED_VALUE"""),45911.0)</f>
        <v>45911</v>
      </c>
      <c r="I6185" s="115" t="str">
        <f>IFERROR(__xludf.DUMMYFUNCTION("""COMPUTED_VALUE"""),"22")</f>
        <v>22</v>
      </c>
      <c r="J6185" s="115"/>
      <c r="K6185" s="115"/>
    </row>
    <row r="6186">
      <c r="A6186" s="115" t="str">
        <f>IFERROR(__xludf.DUMMYFUNCTION("""COMPUTED_VALUE"""),"NORTH")</f>
        <v>NORTH</v>
      </c>
      <c r="B6186" s="115" t="str">
        <f>IFERROR(__xludf.DUMMYFUNCTION("""COMPUTED_VALUE"""),"Amit Kumar Pathak")</f>
        <v>Amit Kumar Pathak</v>
      </c>
      <c r="C6186" s="115" t="str">
        <f>IFERROR(__xludf.DUMMYFUNCTION("""COMPUTED_VALUE"""),"FLIPKART")</f>
        <v>FLIPKART</v>
      </c>
      <c r="D6186" s="115">
        <f>IFERROR(__xludf.DUMMYFUNCTION("""COMPUTED_VALUE"""),207647.0)</f>
        <v>207647</v>
      </c>
      <c r="E6186" s="115">
        <f>IFERROR(__xludf.DUMMYFUNCTION("""COMPUTED_VALUE"""),22570.0)</f>
        <v>22570</v>
      </c>
      <c r="F6186" s="115">
        <f>IFERROR(__xludf.DUMMYFUNCTION("""COMPUTED_VALUE"""),164420.0)</f>
        <v>164420</v>
      </c>
      <c r="G6186" s="115">
        <f>IFERROR(__xludf.DUMMYFUNCTION("""COMPUTED_VALUE"""),16312.0)</f>
        <v>16312</v>
      </c>
      <c r="H6186" s="116">
        <f>IFERROR(__xludf.DUMMYFUNCTION("""COMPUTED_VALUE"""),45911.0)</f>
        <v>45911</v>
      </c>
      <c r="I6186" s="115" t="str">
        <f>IFERROR(__xludf.DUMMYFUNCTION("""COMPUTED_VALUE"""),"22")</f>
        <v>22</v>
      </c>
      <c r="J6186" s="115"/>
      <c r="K6186" s="115"/>
    </row>
    <row r="6187">
      <c r="A6187" s="115" t="str">
        <f>IFERROR(__xludf.DUMMYFUNCTION("""COMPUTED_VALUE"""),"NORTH")</f>
        <v>NORTH</v>
      </c>
      <c r="B6187" s="115" t="str">
        <f>IFERROR(__xludf.DUMMYFUNCTION("""COMPUTED_VALUE"""),"Amit Kumar Pathak")</f>
        <v>Amit Kumar Pathak</v>
      </c>
      <c r="C6187" s="115" t="str">
        <f>IFERROR(__xludf.DUMMYFUNCTION("""COMPUTED_VALUE"""),"MYNTRA")</f>
        <v>MYNTRA</v>
      </c>
      <c r="D6187" s="115">
        <f>IFERROR(__xludf.DUMMYFUNCTION("""COMPUTED_VALUE"""),16373.0)</f>
        <v>16373</v>
      </c>
      <c r="E6187" s="115">
        <f>IFERROR(__xludf.DUMMYFUNCTION("""COMPUTED_VALUE"""),5382.0)</f>
        <v>5382</v>
      </c>
      <c r="F6187" s="115">
        <f>IFERROR(__xludf.DUMMYFUNCTION("""COMPUTED_VALUE"""),14322.0)</f>
        <v>14322</v>
      </c>
      <c r="G6187" s="115">
        <f>IFERROR(__xludf.DUMMYFUNCTION("""COMPUTED_VALUE"""),4023.0)</f>
        <v>4023</v>
      </c>
      <c r="H6187" s="116">
        <f>IFERROR(__xludf.DUMMYFUNCTION("""COMPUTED_VALUE"""),45911.0)</f>
        <v>45911</v>
      </c>
      <c r="I6187" s="115" t="str">
        <f>IFERROR(__xludf.DUMMYFUNCTION("""COMPUTED_VALUE"""),"22")</f>
        <v>22</v>
      </c>
      <c r="J6187" s="115"/>
      <c r="K6187" s="115"/>
    </row>
    <row r="6188">
      <c r="A6188" s="115" t="str">
        <f>IFERROR(__xludf.DUMMYFUNCTION("""COMPUTED_VALUE"""),"NORTH")</f>
        <v>NORTH</v>
      </c>
      <c r="B6188" s="115" t="str">
        <f>IFERROR(__xludf.DUMMYFUNCTION("""COMPUTED_VALUE"""),"Loveleen Singh")</f>
        <v>Loveleen Singh</v>
      </c>
      <c r="C6188" s="115" t="str">
        <f>IFERROR(__xludf.DUMMYFUNCTION("""COMPUTED_VALUE"""),"EXTERNAL")</f>
        <v>EXTERNAL</v>
      </c>
      <c r="D6188" s="115">
        <f>IFERROR(__xludf.DUMMYFUNCTION("""COMPUTED_VALUE"""),30628.0)</f>
        <v>30628</v>
      </c>
      <c r="E6188" s="115">
        <f>IFERROR(__xludf.DUMMYFUNCTION("""COMPUTED_VALUE"""),2345.0)</f>
        <v>2345</v>
      </c>
      <c r="F6188" s="115">
        <f>IFERROR(__xludf.DUMMYFUNCTION("""COMPUTED_VALUE"""),13182.0)</f>
        <v>13182</v>
      </c>
      <c r="G6188" s="115">
        <f>IFERROR(__xludf.DUMMYFUNCTION("""COMPUTED_VALUE"""),970.0)</f>
        <v>970</v>
      </c>
      <c r="H6188" s="116">
        <f>IFERROR(__xludf.DUMMYFUNCTION("""COMPUTED_VALUE"""),45911.0)</f>
        <v>45911</v>
      </c>
      <c r="I6188" s="115" t="str">
        <f>IFERROR(__xludf.DUMMYFUNCTION("""COMPUTED_VALUE"""),"22")</f>
        <v>22</v>
      </c>
      <c r="J6188" s="115"/>
      <c r="K6188" s="115"/>
    </row>
    <row r="6189">
      <c r="A6189" s="115" t="str">
        <f>IFERROR(__xludf.DUMMYFUNCTION("""COMPUTED_VALUE"""),"NORTH")</f>
        <v>NORTH</v>
      </c>
      <c r="B6189" s="115" t="str">
        <f>IFERROR(__xludf.DUMMYFUNCTION("""COMPUTED_VALUE"""),"Loveleen Singh")</f>
        <v>Loveleen Singh</v>
      </c>
      <c r="C6189" s="115" t="str">
        <f>IFERROR(__xludf.DUMMYFUNCTION("""COMPUTED_VALUE"""),"FLIPKART")</f>
        <v>FLIPKART</v>
      </c>
      <c r="D6189" s="115">
        <f>IFERROR(__xludf.DUMMYFUNCTION("""COMPUTED_VALUE"""),196794.0)</f>
        <v>196794</v>
      </c>
      <c r="E6189" s="115">
        <f>IFERROR(__xludf.DUMMYFUNCTION("""COMPUTED_VALUE"""),14636.0)</f>
        <v>14636</v>
      </c>
      <c r="F6189" s="115">
        <f>IFERROR(__xludf.DUMMYFUNCTION("""COMPUTED_VALUE"""),154138.0)</f>
        <v>154138</v>
      </c>
      <c r="G6189" s="115">
        <f>IFERROR(__xludf.DUMMYFUNCTION("""COMPUTED_VALUE"""),9744.0)</f>
        <v>9744</v>
      </c>
      <c r="H6189" s="116">
        <f>IFERROR(__xludf.DUMMYFUNCTION("""COMPUTED_VALUE"""),45911.0)</f>
        <v>45911</v>
      </c>
      <c r="I6189" s="115" t="str">
        <f>IFERROR(__xludf.DUMMYFUNCTION("""COMPUTED_VALUE"""),"22")</f>
        <v>22</v>
      </c>
      <c r="J6189" s="115"/>
      <c r="K6189" s="115"/>
    </row>
    <row r="6190">
      <c r="A6190" s="115" t="str">
        <f>IFERROR(__xludf.DUMMYFUNCTION("""COMPUTED_VALUE"""),"NORTH")</f>
        <v>NORTH</v>
      </c>
      <c r="B6190" s="115" t="str">
        <f>IFERROR(__xludf.DUMMYFUNCTION("""COMPUTED_VALUE"""),"Loveleen Singh")</f>
        <v>Loveleen Singh</v>
      </c>
      <c r="C6190" s="115" t="str">
        <f>IFERROR(__xludf.DUMMYFUNCTION("""COMPUTED_VALUE"""),"MYNTRA")</f>
        <v>MYNTRA</v>
      </c>
      <c r="D6190" s="115">
        <f>IFERROR(__xludf.DUMMYFUNCTION("""COMPUTED_VALUE"""),29601.0)</f>
        <v>29601</v>
      </c>
      <c r="E6190" s="115">
        <f>IFERROR(__xludf.DUMMYFUNCTION("""COMPUTED_VALUE"""),6830.0)</f>
        <v>6830</v>
      </c>
      <c r="F6190" s="115">
        <f>IFERROR(__xludf.DUMMYFUNCTION("""COMPUTED_VALUE"""),24791.0)</f>
        <v>24791</v>
      </c>
      <c r="G6190" s="115">
        <f>IFERROR(__xludf.DUMMYFUNCTION("""COMPUTED_VALUE"""),4973.0)</f>
        <v>4973</v>
      </c>
      <c r="H6190" s="116">
        <f>IFERROR(__xludf.DUMMYFUNCTION("""COMPUTED_VALUE"""),45911.0)</f>
        <v>45911</v>
      </c>
      <c r="I6190" s="115" t="str">
        <f>IFERROR(__xludf.DUMMYFUNCTION("""COMPUTED_VALUE"""),"22")</f>
        <v>22</v>
      </c>
      <c r="J6190" s="115"/>
      <c r="K6190" s="115"/>
    </row>
    <row r="6191">
      <c r="A6191" s="115" t="str">
        <f>IFERROR(__xludf.DUMMYFUNCTION("""COMPUTED_VALUE"""),"NORTH")</f>
        <v>NORTH</v>
      </c>
      <c r="B6191" s="115" t="str">
        <f>IFERROR(__xludf.DUMMYFUNCTION("""COMPUTED_VALUE"""),"Manoj Harsh")</f>
        <v>Manoj Harsh</v>
      </c>
      <c r="C6191" s="115" t="str">
        <f>IFERROR(__xludf.DUMMYFUNCTION("""COMPUTED_VALUE"""),"EXTERNAL")</f>
        <v>EXTERNAL</v>
      </c>
      <c r="D6191" s="115">
        <f>IFERROR(__xludf.DUMMYFUNCTION("""COMPUTED_VALUE"""),33243.0)</f>
        <v>33243</v>
      </c>
      <c r="E6191" s="115">
        <f>IFERROR(__xludf.DUMMYFUNCTION("""COMPUTED_VALUE"""),2860.0)</f>
        <v>2860</v>
      </c>
      <c r="F6191" s="115">
        <f>IFERROR(__xludf.DUMMYFUNCTION("""COMPUTED_VALUE"""),15895.0)</f>
        <v>15895</v>
      </c>
      <c r="G6191" s="115">
        <f>IFERROR(__xludf.DUMMYFUNCTION("""COMPUTED_VALUE"""),1218.0)</f>
        <v>1218</v>
      </c>
      <c r="H6191" s="116">
        <f>IFERROR(__xludf.DUMMYFUNCTION("""COMPUTED_VALUE"""),45911.0)</f>
        <v>45911</v>
      </c>
      <c r="I6191" s="115" t="str">
        <f>IFERROR(__xludf.DUMMYFUNCTION("""COMPUTED_VALUE"""),"22")</f>
        <v>22</v>
      </c>
      <c r="J6191" s="115"/>
      <c r="K6191" s="115"/>
    </row>
    <row r="6192">
      <c r="A6192" s="115" t="str">
        <f>IFERROR(__xludf.DUMMYFUNCTION("""COMPUTED_VALUE"""),"NORTH")</f>
        <v>NORTH</v>
      </c>
      <c r="B6192" s="115" t="str">
        <f>IFERROR(__xludf.DUMMYFUNCTION("""COMPUTED_VALUE"""),"Manoj Harsh")</f>
        <v>Manoj Harsh</v>
      </c>
      <c r="C6192" s="115" t="str">
        <f>IFERROR(__xludf.DUMMYFUNCTION("""COMPUTED_VALUE"""),"FLIPKART")</f>
        <v>FLIPKART</v>
      </c>
      <c r="D6192" s="115">
        <f>IFERROR(__xludf.DUMMYFUNCTION("""COMPUTED_VALUE"""),444198.0)</f>
        <v>444198</v>
      </c>
      <c r="E6192" s="115">
        <f>IFERROR(__xludf.DUMMYFUNCTION("""COMPUTED_VALUE"""),37679.0)</f>
        <v>37679</v>
      </c>
      <c r="F6192" s="115">
        <f>IFERROR(__xludf.DUMMYFUNCTION("""COMPUTED_VALUE"""),345375.0)</f>
        <v>345375</v>
      </c>
      <c r="G6192" s="115">
        <f>IFERROR(__xludf.DUMMYFUNCTION("""COMPUTED_VALUE"""),26240.0)</f>
        <v>26240</v>
      </c>
      <c r="H6192" s="116">
        <f>IFERROR(__xludf.DUMMYFUNCTION("""COMPUTED_VALUE"""),45911.0)</f>
        <v>45911</v>
      </c>
      <c r="I6192" s="115" t="str">
        <f>IFERROR(__xludf.DUMMYFUNCTION("""COMPUTED_VALUE"""),"22")</f>
        <v>22</v>
      </c>
      <c r="J6192" s="115"/>
      <c r="K6192" s="115"/>
    </row>
    <row r="6193">
      <c r="A6193" s="115" t="str">
        <f>IFERROR(__xludf.DUMMYFUNCTION("""COMPUTED_VALUE"""),"NORTH")</f>
        <v>NORTH</v>
      </c>
      <c r="B6193" s="115" t="str">
        <f>IFERROR(__xludf.DUMMYFUNCTION("""COMPUTED_VALUE"""),"Manoj Harsh")</f>
        <v>Manoj Harsh</v>
      </c>
      <c r="C6193" s="115" t="str">
        <f>IFERROR(__xludf.DUMMYFUNCTION("""COMPUTED_VALUE"""),"MYNTRA")</f>
        <v>MYNTRA</v>
      </c>
      <c r="D6193" s="115">
        <f>IFERROR(__xludf.DUMMYFUNCTION("""COMPUTED_VALUE"""),34046.0)</f>
        <v>34046</v>
      </c>
      <c r="E6193" s="115">
        <f>IFERROR(__xludf.DUMMYFUNCTION("""COMPUTED_VALUE"""),7748.0)</f>
        <v>7748</v>
      </c>
      <c r="F6193" s="115">
        <f>IFERROR(__xludf.DUMMYFUNCTION("""COMPUTED_VALUE"""),27794.0)</f>
        <v>27794</v>
      </c>
      <c r="G6193" s="115">
        <f>IFERROR(__xludf.DUMMYFUNCTION("""COMPUTED_VALUE"""),5680.0)</f>
        <v>5680</v>
      </c>
      <c r="H6193" s="116">
        <f>IFERROR(__xludf.DUMMYFUNCTION("""COMPUTED_VALUE"""),45911.0)</f>
        <v>45911</v>
      </c>
      <c r="I6193" s="115" t="str">
        <f>IFERROR(__xludf.DUMMYFUNCTION("""COMPUTED_VALUE"""),"22")</f>
        <v>22</v>
      </c>
      <c r="J6193" s="115"/>
      <c r="K6193" s="115"/>
    </row>
    <row r="6194">
      <c r="A6194" s="115" t="str">
        <f>IFERROR(__xludf.DUMMYFUNCTION("""COMPUTED_VALUE"""),"NORTH")</f>
        <v>NORTH</v>
      </c>
      <c r="B6194" s="115" t="str">
        <f>IFERROR(__xludf.DUMMYFUNCTION("""COMPUTED_VALUE"""),"Pradeep Kothari")</f>
        <v>Pradeep Kothari</v>
      </c>
      <c r="C6194" s="115" t="str">
        <f>IFERROR(__xludf.DUMMYFUNCTION("""COMPUTED_VALUE"""),"EXTERNAL")</f>
        <v>EXTERNAL</v>
      </c>
      <c r="D6194" s="115">
        <f>IFERROR(__xludf.DUMMYFUNCTION("""COMPUTED_VALUE"""),18891.0)</f>
        <v>18891</v>
      </c>
      <c r="E6194" s="115">
        <f>IFERROR(__xludf.DUMMYFUNCTION("""COMPUTED_VALUE"""),2069.0)</f>
        <v>2069</v>
      </c>
      <c r="F6194" s="115">
        <f>IFERROR(__xludf.DUMMYFUNCTION("""COMPUTED_VALUE"""),8573.0)</f>
        <v>8573</v>
      </c>
      <c r="G6194" s="115">
        <f>IFERROR(__xludf.DUMMYFUNCTION("""COMPUTED_VALUE"""),1013.0)</f>
        <v>1013</v>
      </c>
      <c r="H6194" s="116">
        <f>IFERROR(__xludf.DUMMYFUNCTION("""COMPUTED_VALUE"""),45911.0)</f>
        <v>45911</v>
      </c>
      <c r="I6194" s="115" t="str">
        <f>IFERROR(__xludf.DUMMYFUNCTION("""COMPUTED_VALUE"""),"22")</f>
        <v>22</v>
      </c>
      <c r="J6194" s="115"/>
      <c r="K6194" s="115"/>
    </row>
    <row r="6195">
      <c r="A6195" s="115" t="str">
        <f>IFERROR(__xludf.DUMMYFUNCTION("""COMPUTED_VALUE"""),"NORTH")</f>
        <v>NORTH</v>
      </c>
      <c r="B6195" s="115" t="str">
        <f>IFERROR(__xludf.DUMMYFUNCTION("""COMPUTED_VALUE"""),"Pradeep Kothari")</f>
        <v>Pradeep Kothari</v>
      </c>
      <c r="C6195" s="115" t="str">
        <f>IFERROR(__xludf.DUMMYFUNCTION("""COMPUTED_VALUE"""),"FLIPKART")</f>
        <v>FLIPKART</v>
      </c>
      <c r="D6195" s="115">
        <f>IFERROR(__xludf.DUMMYFUNCTION("""COMPUTED_VALUE"""),164354.0)</f>
        <v>164354</v>
      </c>
      <c r="E6195" s="115">
        <f>IFERROR(__xludf.DUMMYFUNCTION("""COMPUTED_VALUE"""),16935.0)</f>
        <v>16935</v>
      </c>
      <c r="F6195" s="115">
        <f>IFERROR(__xludf.DUMMYFUNCTION("""COMPUTED_VALUE"""),130520.0)</f>
        <v>130520</v>
      </c>
      <c r="G6195" s="115">
        <f>IFERROR(__xludf.DUMMYFUNCTION("""COMPUTED_VALUE"""),11902.0)</f>
        <v>11902</v>
      </c>
      <c r="H6195" s="116">
        <f>IFERROR(__xludf.DUMMYFUNCTION("""COMPUTED_VALUE"""),45911.0)</f>
        <v>45911</v>
      </c>
      <c r="I6195" s="115" t="str">
        <f>IFERROR(__xludf.DUMMYFUNCTION("""COMPUTED_VALUE"""),"22")</f>
        <v>22</v>
      </c>
      <c r="J6195" s="115"/>
      <c r="K6195" s="115"/>
    </row>
    <row r="6196">
      <c r="A6196" s="115" t="str">
        <f>IFERROR(__xludf.DUMMYFUNCTION("""COMPUTED_VALUE"""),"NORTH")</f>
        <v>NORTH</v>
      </c>
      <c r="B6196" s="115" t="str">
        <f>IFERROR(__xludf.DUMMYFUNCTION("""COMPUTED_VALUE"""),"Pradeep Kothari")</f>
        <v>Pradeep Kothari</v>
      </c>
      <c r="C6196" s="115" t="str">
        <f>IFERROR(__xludf.DUMMYFUNCTION("""COMPUTED_VALUE"""),"MYNTRA")</f>
        <v>MYNTRA</v>
      </c>
      <c r="D6196" s="115">
        <f>IFERROR(__xludf.DUMMYFUNCTION("""COMPUTED_VALUE"""),24581.0)</f>
        <v>24581</v>
      </c>
      <c r="E6196" s="115">
        <f>IFERROR(__xludf.DUMMYFUNCTION("""COMPUTED_VALUE"""),6364.0)</f>
        <v>6364</v>
      </c>
      <c r="F6196" s="115">
        <f>IFERROR(__xludf.DUMMYFUNCTION("""COMPUTED_VALUE"""),20759.0)</f>
        <v>20759</v>
      </c>
      <c r="G6196" s="115">
        <f>IFERROR(__xludf.DUMMYFUNCTION("""COMPUTED_VALUE"""),4932.0)</f>
        <v>4932</v>
      </c>
      <c r="H6196" s="116">
        <f>IFERROR(__xludf.DUMMYFUNCTION("""COMPUTED_VALUE"""),45911.0)</f>
        <v>45911</v>
      </c>
      <c r="I6196" s="115" t="str">
        <f>IFERROR(__xludf.DUMMYFUNCTION("""COMPUTED_VALUE"""),"22")</f>
        <v>22</v>
      </c>
      <c r="J6196" s="115"/>
      <c r="K6196" s="115"/>
    </row>
    <row r="6197">
      <c r="A6197" s="115" t="str">
        <f>IFERROR(__xludf.DUMMYFUNCTION("""COMPUTED_VALUE"""),"SOUTH")</f>
        <v>SOUTH</v>
      </c>
      <c r="B6197" s="115" t="str">
        <f>IFERROR(__xludf.DUMMYFUNCTION("""COMPUTED_VALUE"""),"Kandula Sampath")</f>
        <v>Kandula Sampath</v>
      </c>
      <c r="C6197" s="115" t="str">
        <f>IFERROR(__xludf.DUMMYFUNCTION("""COMPUTED_VALUE"""),"EXTERNAL")</f>
        <v>EXTERNAL</v>
      </c>
      <c r="D6197" s="115">
        <f>IFERROR(__xludf.DUMMYFUNCTION("""COMPUTED_VALUE"""),34614.0)</f>
        <v>34614</v>
      </c>
      <c r="E6197" s="115">
        <f>IFERROR(__xludf.DUMMYFUNCTION("""COMPUTED_VALUE"""),4952.0)</f>
        <v>4952</v>
      </c>
      <c r="F6197" s="115">
        <f>IFERROR(__xludf.DUMMYFUNCTION("""COMPUTED_VALUE"""),15956.0)</f>
        <v>15956</v>
      </c>
      <c r="G6197" s="115">
        <f>IFERROR(__xludf.DUMMYFUNCTION("""COMPUTED_VALUE"""),1744.0)</f>
        <v>1744</v>
      </c>
      <c r="H6197" s="116">
        <f>IFERROR(__xludf.DUMMYFUNCTION("""COMPUTED_VALUE"""),45911.0)</f>
        <v>45911</v>
      </c>
      <c r="I6197" s="115" t="str">
        <f>IFERROR(__xludf.DUMMYFUNCTION("""COMPUTED_VALUE"""),"22")</f>
        <v>22</v>
      </c>
      <c r="J6197" s="115"/>
      <c r="K6197" s="115"/>
    </row>
    <row r="6198">
      <c r="A6198" s="115" t="str">
        <f>IFERROR(__xludf.DUMMYFUNCTION("""COMPUTED_VALUE"""),"SOUTH")</f>
        <v>SOUTH</v>
      </c>
      <c r="B6198" s="115" t="str">
        <f>IFERROR(__xludf.DUMMYFUNCTION("""COMPUTED_VALUE"""),"Kandula Sampath")</f>
        <v>Kandula Sampath</v>
      </c>
      <c r="C6198" s="115" t="str">
        <f>IFERROR(__xludf.DUMMYFUNCTION("""COMPUTED_VALUE"""),"FLIPKART")</f>
        <v>FLIPKART</v>
      </c>
      <c r="D6198" s="115">
        <f>IFERROR(__xludf.DUMMYFUNCTION("""COMPUTED_VALUE"""),359553.0)</f>
        <v>359553</v>
      </c>
      <c r="E6198" s="115">
        <f>IFERROR(__xludf.DUMMYFUNCTION("""COMPUTED_VALUE"""),30739.0)</f>
        <v>30739</v>
      </c>
      <c r="F6198" s="115">
        <f>IFERROR(__xludf.DUMMYFUNCTION("""COMPUTED_VALUE"""),271883.0)</f>
        <v>271883</v>
      </c>
      <c r="G6198" s="115">
        <f>IFERROR(__xludf.DUMMYFUNCTION("""COMPUTED_VALUE"""),19078.0)</f>
        <v>19078</v>
      </c>
      <c r="H6198" s="116">
        <f>IFERROR(__xludf.DUMMYFUNCTION("""COMPUTED_VALUE"""),45911.0)</f>
        <v>45911</v>
      </c>
      <c r="I6198" s="115" t="str">
        <f>IFERROR(__xludf.DUMMYFUNCTION("""COMPUTED_VALUE"""),"22")</f>
        <v>22</v>
      </c>
      <c r="J6198" s="115"/>
      <c r="K6198" s="115"/>
    </row>
    <row r="6199">
      <c r="A6199" s="115" t="str">
        <f>IFERROR(__xludf.DUMMYFUNCTION("""COMPUTED_VALUE"""),"SOUTH")</f>
        <v>SOUTH</v>
      </c>
      <c r="B6199" s="115" t="str">
        <f>IFERROR(__xludf.DUMMYFUNCTION("""COMPUTED_VALUE"""),"Kandula Sampath")</f>
        <v>Kandula Sampath</v>
      </c>
      <c r="C6199" s="115" t="str">
        <f>IFERROR(__xludf.DUMMYFUNCTION("""COMPUTED_VALUE"""),"MYNTRA")</f>
        <v>MYNTRA</v>
      </c>
      <c r="D6199" s="115">
        <f>IFERROR(__xludf.DUMMYFUNCTION("""COMPUTED_VALUE"""),36289.0)</f>
        <v>36289</v>
      </c>
      <c r="E6199" s="115">
        <f>IFERROR(__xludf.DUMMYFUNCTION("""COMPUTED_VALUE"""),9077.0)</f>
        <v>9077</v>
      </c>
      <c r="F6199" s="115">
        <f>IFERROR(__xludf.DUMMYFUNCTION("""COMPUTED_VALUE"""),29635.0)</f>
        <v>29635</v>
      </c>
      <c r="G6199" s="115">
        <f>IFERROR(__xludf.DUMMYFUNCTION("""COMPUTED_VALUE"""),5960.0)</f>
        <v>5960</v>
      </c>
      <c r="H6199" s="116">
        <f>IFERROR(__xludf.DUMMYFUNCTION("""COMPUTED_VALUE"""),45911.0)</f>
        <v>45911</v>
      </c>
      <c r="I6199" s="115" t="str">
        <f>IFERROR(__xludf.DUMMYFUNCTION("""COMPUTED_VALUE"""),"22")</f>
        <v>22</v>
      </c>
      <c r="J6199" s="115"/>
      <c r="K6199" s="115"/>
    </row>
    <row r="6200">
      <c r="A6200" s="115" t="str">
        <f>IFERROR(__xludf.DUMMYFUNCTION("""COMPUTED_VALUE"""),"SOUTH")</f>
        <v>SOUTH</v>
      </c>
      <c r="B6200" s="115" t="str">
        <f>IFERROR(__xludf.DUMMYFUNCTION("""COMPUTED_VALUE"""),"Martin A")</f>
        <v>Martin A</v>
      </c>
      <c r="C6200" s="115" t="str">
        <f>IFERROR(__xludf.DUMMYFUNCTION("""COMPUTED_VALUE"""),"EXTERNAL")</f>
        <v>EXTERNAL</v>
      </c>
      <c r="D6200" s="115">
        <f>IFERROR(__xludf.DUMMYFUNCTION("""COMPUTED_VALUE"""),31875.0)</f>
        <v>31875</v>
      </c>
      <c r="E6200" s="115">
        <f>IFERROR(__xludf.DUMMYFUNCTION("""COMPUTED_VALUE"""),4308.0)</f>
        <v>4308</v>
      </c>
      <c r="F6200" s="115">
        <f>IFERROR(__xludf.DUMMYFUNCTION("""COMPUTED_VALUE"""),14788.0)</f>
        <v>14788</v>
      </c>
      <c r="G6200" s="115">
        <f>IFERROR(__xludf.DUMMYFUNCTION("""COMPUTED_VALUE"""),2374.0)</f>
        <v>2374</v>
      </c>
      <c r="H6200" s="116">
        <f>IFERROR(__xludf.DUMMYFUNCTION("""COMPUTED_VALUE"""),45911.0)</f>
        <v>45911</v>
      </c>
      <c r="I6200" s="115" t="str">
        <f>IFERROR(__xludf.DUMMYFUNCTION("""COMPUTED_VALUE"""),"22")</f>
        <v>22</v>
      </c>
      <c r="J6200" s="115"/>
      <c r="K6200" s="115"/>
    </row>
    <row r="6201">
      <c r="A6201" s="115" t="str">
        <f>IFERROR(__xludf.DUMMYFUNCTION("""COMPUTED_VALUE"""),"SOUTH")</f>
        <v>SOUTH</v>
      </c>
      <c r="B6201" s="115" t="str">
        <f>IFERROR(__xludf.DUMMYFUNCTION("""COMPUTED_VALUE"""),"Martin A")</f>
        <v>Martin A</v>
      </c>
      <c r="C6201" s="115" t="str">
        <f>IFERROR(__xludf.DUMMYFUNCTION("""COMPUTED_VALUE"""),"FLIPKART")</f>
        <v>FLIPKART</v>
      </c>
      <c r="D6201" s="115">
        <f>IFERROR(__xludf.DUMMYFUNCTION("""COMPUTED_VALUE"""),304050.0)</f>
        <v>304050</v>
      </c>
      <c r="E6201" s="115">
        <f>IFERROR(__xludf.DUMMYFUNCTION("""COMPUTED_VALUE"""),28819.0)</f>
        <v>28819</v>
      </c>
      <c r="F6201" s="115">
        <f>IFERROR(__xludf.DUMMYFUNCTION("""COMPUTED_VALUE"""),235614.0)</f>
        <v>235614</v>
      </c>
      <c r="G6201" s="115">
        <f>IFERROR(__xludf.DUMMYFUNCTION("""COMPUTED_VALUE"""),20192.0)</f>
        <v>20192</v>
      </c>
      <c r="H6201" s="116">
        <f>IFERROR(__xludf.DUMMYFUNCTION("""COMPUTED_VALUE"""),45911.0)</f>
        <v>45911</v>
      </c>
      <c r="I6201" s="115" t="str">
        <f>IFERROR(__xludf.DUMMYFUNCTION("""COMPUTED_VALUE"""),"22")</f>
        <v>22</v>
      </c>
      <c r="J6201" s="115"/>
      <c r="K6201" s="115"/>
    </row>
    <row r="6202">
      <c r="A6202" s="115" t="str">
        <f>IFERROR(__xludf.DUMMYFUNCTION("""COMPUTED_VALUE"""),"SOUTH")</f>
        <v>SOUTH</v>
      </c>
      <c r="B6202" s="115" t="str">
        <f>IFERROR(__xludf.DUMMYFUNCTION("""COMPUTED_VALUE"""),"Martin A")</f>
        <v>Martin A</v>
      </c>
      <c r="C6202" s="115" t="str">
        <f>IFERROR(__xludf.DUMMYFUNCTION("""COMPUTED_VALUE"""),"MYNTRA")</f>
        <v>MYNTRA</v>
      </c>
      <c r="D6202" s="115">
        <f>IFERROR(__xludf.DUMMYFUNCTION("""COMPUTED_VALUE"""),25402.0)</f>
        <v>25402</v>
      </c>
      <c r="E6202" s="115">
        <f>IFERROR(__xludf.DUMMYFUNCTION("""COMPUTED_VALUE"""),7583.0)</f>
        <v>7583</v>
      </c>
      <c r="F6202" s="115">
        <f>IFERROR(__xludf.DUMMYFUNCTION("""COMPUTED_VALUE"""),21608.0)</f>
        <v>21608</v>
      </c>
      <c r="G6202" s="115">
        <f>IFERROR(__xludf.DUMMYFUNCTION("""COMPUTED_VALUE"""),5642.0)</f>
        <v>5642</v>
      </c>
      <c r="H6202" s="116">
        <f>IFERROR(__xludf.DUMMYFUNCTION("""COMPUTED_VALUE"""),45911.0)</f>
        <v>45911</v>
      </c>
      <c r="I6202" s="115" t="str">
        <f>IFERROR(__xludf.DUMMYFUNCTION("""COMPUTED_VALUE"""),"22")</f>
        <v>22</v>
      </c>
      <c r="J6202" s="115"/>
      <c r="K6202" s="115"/>
    </row>
    <row r="6203">
      <c r="A6203" s="115" t="str">
        <f>IFERROR(__xludf.DUMMYFUNCTION("""COMPUTED_VALUE"""),"SOUTH")</f>
        <v>SOUTH</v>
      </c>
      <c r="B6203" s="115" t="str">
        <f>IFERROR(__xludf.DUMMYFUNCTION("""COMPUTED_VALUE"""),"Premkumar M")</f>
        <v>Premkumar M</v>
      </c>
      <c r="C6203" s="115" t="str">
        <f>IFERROR(__xludf.DUMMYFUNCTION("""COMPUTED_VALUE"""),"EXTERNAL")</f>
        <v>EXTERNAL</v>
      </c>
      <c r="D6203" s="115">
        <f>IFERROR(__xludf.DUMMYFUNCTION("""COMPUTED_VALUE"""),27640.0)</f>
        <v>27640</v>
      </c>
      <c r="E6203" s="115">
        <f>IFERROR(__xludf.DUMMYFUNCTION("""COMPUTED_VALUE"""),2215.0)</f>
        <v>2215</v>
      </c>
      <c r="F6203" s="115">
        <f>IFERROR(__xludf.DUMMYFUNCTION("""COMPUTED_VALUE"""),15127.0)</f>
        <v>15127</v>
      </c>
      <c r="G6203" s="115">
        <f>IFERROR(__xludf.DUMMYFUNCTION("""COMPUTED_VALUE"""),994.0)</f>
        <v>994</v>
      </c>
      <c r="H6203" s="116">
        <f>IFERROR(__xludf.DUMMYFUNCTION("""COMPUTED_VALUE"""),45911.0)</f>
        <v>45911</v>
      </c>
      <c r="I6203" s="115" t="str">
        <f>IFERROR(__xludf.DUMMYFUNCTION("""COMPUTED_VALUE"""),"22")</f>
        <v>22</v>
      </c>
      <c r="J6203" s="115"/>
      <c r="K6203" s="115"/>
    </row>
    <row r="6204">
      <c r="A6204" s="115" t="str">
        <f>IFERROR(__xludf.DUMMYFUNCTION("""COMPUTED_VALUE"""),"SOUTH")</f>
        <v>SOUTH</v>
      </c>
      <c r="B6204" s="115" t="str">
        <f>IFERROR(__xludf.DUMMYFUNCTION("""COMPUTED_VALUE"""),"Premkumar M")</f>
        <v>Premkumar M</v>
      </c>
      <c r="C6204" s="115" t="str">
        <f>IFERROR(__xludf.DUMMYFUNCTION("""COMPUTED_VALUE"""),"FLIPKART")</f>
        <v>FLIPKART</v>
      </c>
      <c r="D6204" s="115">
        <f>IFERROR(__xludf.DUMMYFUNCTION("""COMPUTED_VALUE"""),297971.0)</f>
        <v>297971</v>
      </c>
      <c r="E6204" s="115">
        <f>IFERROR(__xludf.DUMMYFUNCTION("""COMPUTED_VALUE"""),18218.0)</f>
        <v>18218</v>
      </c>
      <c r="F6204" s="115">
        <f>IFERROR(__xludf.DUMMYFUNCTION("""COMPUTED_VALUE"""),237475.0)</f>
        <v>237475</v>
      </c>
      <c r="G6204" s="115">
        <f>IFERROR(__xludf.DUMMYFUNCTION("""COMPUTED_VALUE"""),11060.0)</f>
        <v>11060</v>
      </c>
      <c r="H6204" s="116">
        <f>IFERROR(__xludf.DUMMYFUNCTION("""COMPUTED_VALUE"""),45911.0)</f>
        <v>45911</v>
      </c>
      <c r="I6204" s="115" t="str">
        <f>IFERROR(__xludf.DUMMYFUNCTION("""COMPUTED_VALUE"""),"22")</f>
        <v>22</v>
      </c>
      <c r="J6204" s="115"/>
      <c r="K6204" s="115"/>
    </row>
    <row r="6205">
      <c r="A6205" s="115" t="str">
        <f>IFERROR(__xludf.DUMMYFUNCTION("""COMPUTED_VALUE"""),"SOUTH")</f>
        <v>SOUTH</v>
      </c>
      <c r="B6205" s="115" t="str">
        <f>IFERROR(__xludf.DUMMYFUNCTION("""COMPUTED_VALUE"""),"Premkumar M")</f>
        <v>Premkumar M</v>
      </c>
      <c r="C6205" s="115" t="str">
        <f>IFERROR(__xludf.DUMMYFUNCTION("""COMPUTED_VALUE"""),"MYNTRA")</f>
        <v>MYNTRA</v>
      </c>
      <c r="D6205" s="115">
        <f>IFERROR(__xludf.DUMMYFUNCTION("""COMPUTED_VALUE"""),14346.0)</f>
        <v>14346</v>
      </c>
      <c r="E6205" s="115">
        <f>IFERROR(__xludf.DUMMYFUNCTION("""COMPUTED_VALUE"""),2874.0)</f>
        <v>2874</v>
      </c>
      <c r="F6205" s="115">
        <f>IFERROR(__xludf.DUMMYFUNCTION("""COMPUTED_VALUE"""),12374.0)</f>
        <v>12374</v>
      </c>
      <c r="G6205" s="115">
        <f>IFERROR(__xludf.DUMMYFUNCTION("""COMPUTED_VALUE"""),1904.0)</f>
        <v>1904</v>
      </c>
      <c r="H6205" s="116">
        <f>IFERROR(__xludf.DUMMYFUNCTION("""COMPUTED_VALUE"""),45911.0)</f>
        <v>45911</v>
      </c>
      <c r="I6205" s="115" t="str">
        <f>IFERROR(__xludf.DUMMYFUNCTION("""COMPUTED_VALUE"""),"22")</f>
        <v>22</v>
      </c>
      <c r="J6205" s="115"/>
      <c r="K6205" s="115"/>
    </row>
    <row r="6206">
      <c r="A6206" s="115" t="str">
        <f>IFERROR(__xludf.DUMMYFUNCTION("""COMPUTED_VALUE"""),"SOUTH")</f>
        <v>SOUTH</v>
      </c>
      <c r="B6206" s="115" t="str">
        <f>IFERROR(__xludf.DUMMYFUNCTION("""COMPUTED_VALUE"""),"Vineeth V")</f>
        <v>Vineeth V</v>
      </c>
      <c r="C6206" s="115" t="str">
        <f>IFERROR(__xludf.DUMMYFUNCTION("""COMPUTED_VALUE"""),"EXTERNAL")</f>
        <v>EXTERNAL</v>
      </c>
      <c r="D6206" s="115">
        <f>IFERROR(__xludf.DUMMYFUNCTION("""COMPUTED_VALUE"""),22583.0)</f>
        <v>22583</v>
      </c>
      <c r="E6206" s="115">
        <f>IFERROR(__xludf.DUMMYFUNCTION("""COMPUTED_VALUE"""),649.0)</f>
        <v>649</v>
      </c>
      <c r="F6206" s="115">
        <f>IFERROR(__xludf.DUMMYFUNCTION("""COMPUTED_VALUE"""),13051.0)</f>
        <v>13051</v>
      </c>
      <c r="G6206" s="115">
        <f>IFERROR(__xludf.DUMMYFUNCTION("""COMPUTED_VALUE"""),371.0)</f>
        <v>371</v>
      </c>
      <c r="H6206" s="116">
        <f>IFERROR(__xludf.DUMMYFUNCTION("""COMPUTED_VALUE"""),45911.0)</f>
        <v>45911</v>
      </c>
      <c r="I6206" s="115" t="str">
        <f>IFERROR(__xludf.DUMMYFUNCTION("""COMPUTED_VALUE"""),"22")</f>
        <v>22</v>
      </c>
      <c r="J6206" s="115"/>
      <c r="K6206" s="115"/>
    </row>
    <row r="6207">
      <c r="A6207" s="115" t="str">
        <f>IFERROR(__xludf.DUMMYFUNCTION("""COMPUTED_VALUE"""),"SOUTH")</f>
        <v>SOUTH</v>
      </c>
      <c r="B6207" s="115" t="str">
        <f>IFERROR(__xludf.DUMMYFUNCTION("""COMPUTED_VALUE"""),"Vineeth V")</f>
        <v>Vineeth V</v>
      </c>
      <c r="C6207" s="115" t="str">
        <f>IFERROR(__xludf.DUMMYFUNCTION("""COMPUTED_VALUE"""),"FLIPKART")</f>
        <v>FLIPKART</v>
      </c>
      <c r="D6207" s="115">
        <f>IFERROR(__xludf.DUMMYFUNCTION("""COMPUTED_VALUE"""),220424.0)</f>
        <v>220424</v>
      </c>
      <c r="E6207" s="115">
        <f>IFERROR(__xludf.DUMMYFUNCTION("""COMPUTED_VALUE"""),13621.0)</f>
        <v>13621</v>
      </c>
      <c r="F6207" s="115">
        <f>IFERROR(__xludf.DUMMYFUNCTION("""COMPUTED_VALUE"""),189160.0)</f>
        <v>189160</v>
      </c>
      <c r="G6207" s="115">
        <f>IFERROR(__xludf.DUMMYFUNCTION("""COMPUTED_VALUE"""),9097.0)</f>
        <v>9097</v>
      </c>
      <c r="H6207" s="116">
        <f>IFERROR(__xludf.DUMMYFUNCTION("""COMPUTED_VALUE"""),45911.0)</f>
        <v>45911</v>
      </c>
      <c r="I6207" s="115" t="str">
        <f>IFERROR(__xludf.DUMMYFUNCTION("""COMPUTED_VALUE"""),"22")</f>
        <v>22</v>
      </c>
      <c r="J6207" s="115"/>
      <c r="K6207" s="115"/>
    </row>
    <row r="6208">
      <c r="A6208" s="115" t="str">
        <f>IFERROR(__xludf.DUMMYFUNCTION("""COMPUTED_VALUE"""),"SOUTH")</f>
        <v>SOUTH</v>
      </c>
      <c r="B6208" s="115" t="str">
        <f>IFERROR(__xludf.DUMMYFUNCTION("""COMPUTED_VALUE"""),"Vineeth V")</f>
        <v>Vineeth V</v>
      </c>
      <c r="C6208" s="115" t="str">
        <f>IFERROR(__xludf.DUMMYFUNCTION("""COMPUTED_VALUE"""),"MYNTRA")</f>
        <v>MYNTRA</v>
      </c>
      <c r="D6208" s="115">
        <f>IFERROR(__xludf.DUMMYFUNCTION("""COMPUTED_VALUE"""),15897.0)</f>
        <v>15897</v>
      </c>
      <c r="E6208" s="115">
        <f>IFERROR(__xludf.DUMMYFUNCTION("""COMPUTED_VALUE"""),3407.0)</f>
        <v>3407</v>
      </c>
      <c r="F6208" s="115">
        <f>IFERROR(__xludf.DUMMYFUNCTION("""COMPUTED_VALUE"""),14154.0)</f>
        <v>14154</v>
      </c>
      <c r="G6208" s="115">
        <f>IFERROR(__xludf.DUMMYFUNCTION("""COMPUTED_VALUE"""),2352.0)</f>
        <v>2352</v>
      </c>
      <c r="H6208" s="116">
        <f>IFERROR(__xludf.DUMMYFUNCTION("""COMPUTED_VALUE"""),45911.0)</f>
        <v>45911</v>
      </c>
      <c r="I6208" s="115" t="str">
        <f>IFERROR(__xludf.DUMMYFUNCTION("""COMPUTED_VALUE"""),"22")</f>
        <v>22</v>
      </c>
      <c r="J6208" s="115"/>
      <c r="K6208" s="115"/>
    </row>
    <row r="6209">
      <c r="A6209" s="115" t="str">
        <f>IFERROR(__xludf.DUMMYFUNCTION("""COMPUTED_VALUE"""),"WEST")</f>
        <v>WEST</v>
      </c>
      <c r="B6209" s="115" t="str">
        <f>IFERROR(__xludf.DUMMYFUNCTION("""COMPUTED_VALUE"""),"Ashish Jakar")</f>
        <v>Ashish Jakar</v>
      </c>
      <c r="C6209" s="115" t="str">
        <f>IFERROR(__xludf.DUMMYFUNCTION("""COMPUTED_VALUE"""),"EXTERNAL")</f>
        <v>EXTERNAL</v>
      </c>
      <c r="D6209" s="115">
        <f>IFERROR(__xludf.DUMMYFUNCTION("""COMPUTED_VALUE"""),63046.0)</f>
        <v>63046</v>
      </c>
      <c r="E6209" s="115">
        <f>IFERROR(__xludf.DUMMYFUNCTION("""COMPUTED_VALUE"""),7608.0)</f>
        <v>7608</v>
      </c>
      <c r="F6209" s="115">
        <f>IFERROR(__xludf.DUMMYFUNCTION("""COMPUTED_VALUE"""),27546.0)</f>
        <v>27546</v>
      </c>
      <c r="G6209" s="115">
        <f>IFERROR(__xludf.DUMMYFUNCTION("""COMPUTED_VALUE"""),3637.0)</f>
        <v>3637</v>
      </c>
      <c r="H6209" s="116">
        <f>IFERROR(__xludf.DUMMYFUNCTION("""COMPUTED_VALUE"""),45911.0)</f>
        <v>45911</v>
      </c>
      <c r="I6209" s="115" t="str">
        <f>IFERROR(__xludf.DUMMYFUNCTION("""COMPUTED_VALUE"""),"22")</f>
        <v>22</v>
      </c>
      <c r="J6209" s="115"/>
      <c r="K6209" s="115"/>
    </row>
    <row r="6210">
      <c r="A6210" s="115" t="str">
        <f>IFERROR(__xludf.DUMMYFUNCTION("""COMPUTED_VALUE"""),"WEST")</f>
        <v>WEST</v>
      </c>
      <c r="B6210" s="115" t="str">
        <f>IFERROR(__xludf.DUMMYFUNCTION("""COMPUTED_VALUE"""),"Ashish Jakar")</f>
        <v>Ashish Jakar</v>
      </c>
      <c r="C6210" s="115" t="str">
        <f>IFERROR(__xludf.DUMMYFUNCTION("""COMPUTED_VALUE"""),"FLIPKART")</f>
        <v>FLIPKART</v>
      </c>
      <c r="D6210" s="115">
        <f>IFERROR(__xludf.DUMMYFUNCTION("""COMPUTED_VALUE"""),417959.0)</f>
        <v>417959</v>
      </c>
      <c r="E6210" s="115">
        <f>IFERROR(__xludf.DUMMYFUNCTION("""COMPUTED_VALUE"""),35317.0)</f>
        <v>35317</v>
      </c>
      <c r="F6210" s="115">
        <f>IFERROR(__xludf.DUMMYFUNCTION("""COMPUTED_VALUE"""),312754.0)</f>
        <v>312754</v>
      </c>
      <c r="G6210" s="115">
        <f>IFERROR(__xludf.DUMMYFUNCTION("""COMPUTED_VALUE"""),23138.0)</f>
        <v>23138</v>
      </c>
      <c r="H6210" s="116">
        <f>IFERROR(__xludf.DUMMYFUNCTION("""COMPUTED_VALUE"""),45911.0)</f>
        <v>45911</v>
      </c>
      <c r="I6210" s="115" t="str">
        <f>IFERROR(__xludf.DUMMYFUNCTION("""COMPUTED_VALUE"""),"22")</f>
        <v>22</v>
      </c>
      <c r="J6210" s="115"/>
      <c r="K6210" s="115"/>
    </row>
    <row r="6211">
      <c r="A6211" s="115" t="str">
        <f>IFERROR(__xludf.DUMMYFUNCTION("""COMPUTED_VALUE"""),"WEST")</f>
        <v>WEST</v>
      </c>
      <c r="B6211" s="115" t="str">
        <f>IFERROR(__xludf.DUMMYFUNCTION("""COMPUTED_VALUE"""),"Ashish Jakar")</f>
        <v>Ashish Jakar</v>
      </c>
      <c r="C6211" s="115" t="str">
        <f>IFERROR(__xludf.DUMMYFUNCTION("""COMPUTED_VALUE"""),"MYNTRA")</f>
        <v>MYNTRA</v>
      </c>
      <c r="D6211" s="115">
        <f>IFERROR(__xludf.DUMMYFUNCTION("""COMPUTED_VALUE"""),46598.0)</f>
        <v>46598</v>
      </c>
      <c r="E6211" s="115">
        <f>IFERROR(__xludf.DUMMYFUNCTION("""COMPUTED_VALUE"""),11509.0)</f>
        <v>11509</v>
      </c>
      <c r="F6211" s="115">
        <f>IFERROR(__xludf.DUMMYFUNCTION("""COMPUTED_VALUE"""),39257.0)</f>
        <v>39257</v>
      </c>
      <c r="G6211" s="115">
        <f>IFERROR(__xludf.DUMMYFUNCTION("""COMPUTED_VALUE"""),8089.0)</f>
        <v>8089</v>
      </c>
      <c r="H6211" s="116">
        <f>IFERROR(__xludf.DUMMYFUNCTION("""COMPUTED_VALUE"""),45911.0)</f>
        <v>45911</v>
      </c>
      <c r="I6211" s="115" t="str">
        <f>IFERROR(__xludf.DUMMYFUNCTION("""COMPUTED_VALUE"""),"22")</f>
        <v>22</v>
      </c>
      <c r="J6211" s="115"/>
      <c r="K6211" s="115"/>
    </row>
    <row r="6212">
      <c r="A6212" s="115" t="str">
        <f>IFERROR(__xludf.DUMMYFUNCTION("""COMPUTED_VALUE"""),"WEST")</f>
        <v>WEST</v>
      </c>
      <c r="B6212" s="115" t="str">
        <f>IFERROR(__xludf.DUMMYFUNCTION("""COMPUTED_VALUE"""),"Ashvani Bhatt")</f>
        <v>Ashvani Bhatt</v>
      </c>
      <c r="C6212" s="115" t="str">
        <f>IFERROR(__xludf.DUMMYFUNCTION("""COMPUTED_VALUE"""),"EXTERNAL")</f>
        <v>EXTERNAL</v>
      </c>
      <c r="D6212" s="115">
        <f>IFERROR(__xludf.DUMMYFUNCTION("""COMPUTED_VALUE"""),40821.0)</f>
        <v>40821</v>
      </c>
      <c r="E6212" s="115">
        <f>IFERROR(__xludf.DUMMYFUNCTION("""COMPUTED_VALUE"""),4249.0)</f>
        <v>4249</v>
      </c>
      <c r="F6212" s="115">
        <f>IFERROR(__xludf.DUMMYFUNCTION("""COMPUTED_VALUE"""),18319.0)</f>
        <v>18319</v>
      </c>
      <c r="G6212" s="115">
        <f>IFERROR(__xludf.DUMMYFUNCTION("""COMPUTED_VALUE"""),1748.0)</f>
        <v>1748</v>
      </c>
      <c r="H6212" s="116">
        <f>IFERROR(__xludf.DUMMYFUNCTION("""COMPUTED_VALUE"""),45911.0)</f>
        <v>45911</v>
      </c>
      <c r="I6212" s="115" t="str">
        <f>IFERROR(__xludf.DUMMYFUNCTION("""COMPUTED_VALUE"""),"22")</f>
        <v>22</v>
      </c>
      <c r="J6212" s="115"/>
      <c r="K6212" s="115"/>
    </row>
    <row r="6213">
      <c r="A6213" s="115" t="str">
        <f>IFERROR(__xludf.DUMMYFUNCTION("""COMPUTED_VALUE"""),"WEST")</f>
        <v>WEST</v>
      </c>
      <c r="B6213" s="115" t="str">
        <f>IFERROR(__xludf.DUMMYFUNCTION("""COMPUTED_VALUE"""),"Ashvani Bhatt")</f>
        <v>Ashvani Bhatt</v>
      </c>
      <c r="C6213" s="115" t="str">
        <f>IFERROR(__xludf.DUMMYFUNCTION("""COMPUTED_VALUE"""),"FLIPKART")</f>
        <v>FLIPKART</v>
      </c>
      <c r="D6213" s="115">
        <f>IFERROR(__xludf.DUMMYFUNCTION("""COMPUTED_VALUE"""),314176.0)</f>
        <v>314176</v>
      </c>
      <c r="E6213" s="115">
        <f>IFERROR(__xludf.DUMMYFUNCTION("""COMPUTED_VALUE"""),28620.0)</f>
        <v>28620</v>
      </c>
      <c r="F6213" s="115">
        <f>IFERROR(__xludf.DUMMYFUNCTION("""COMPUTED_VALUE"""),248319.0)</f>
        <v>248319</v>
      </c>
      <c r="G6213" s="115">
        <f>IFERROR(__xludf.DUMMYFUNCTION("""COMPUTED_VALUE"""),20343.0)</f>
        <v>20343</v>
      </c>
      <c r="H6213" s="116">
        <f>IFERROR(__xludf.DUMMYFUNCTION("""COMPUTED_VALUE"""),45911.0)</f>
        <v>45911</v>
      </c>
      <c r="I6213" s="115" t="str">
        <f>IFERROR(__xludf.DUMMYFUNCTION("""COMPUTED_VALUE"""),"22")</f>
        <v>22</v>
      </c>
      <c r="J6213" s="115"/>
      <c r="K6213" s="115"/>
    </row>
    <row r="6214">
      <c r="A6214" s="115" t="str">
        <f>IFERROR(__xludf.DUMMYFUNCTION("""COMPUTED_VALUE"""),"WEST")</f>
        <v>WEST</v>
      </c>
      <c r="B6214" s="115" t="str">
        <f>IFERROR(__xludf.DUMMYFUNCTION("""COMPUTED_VALUE"""),"Ashvani Bhatt")</f>
        <v>Ashvani Bhatt</v>
      </c>
      <c r="C6214" s="115" t="str">
        <f>IFERROR(__xludf.DUMMYFUNCTION("""COMPUTED_VALUE"""),"MYNTRA")</f>
        <v>MYNTRA</v>
      </c>
      <c r="D6214" s="115">
        <f>IFERROR(__xludf.DUMMYFUNCTION("""COMPUTED_VALUE"""),36580.0)</f>
        <v>36580</v>
      </c>
      <c r="E6214" s="115">
        <f>IFERROR(__xludf.DUMMYFUNCTION("""COMPUTED_VALUE"""),9587.0)</f>
        <v>9587</v>
      </c>
      <c r="F6214" s="115">
        <f>IFERROR(__xludf.DUMMYFUNCTION("""COMPUTED_VALUE"""),31528.0)</f>
        <v>31528</v>
      </c>
      <c r="G6214" s="115">
        <f>IFERROR(__xludf.DUMMYFUNCTION("""COMPUTED_VALUE"""),7366.0)</f>
        <v>7366</v>
      </c>
      <c r="H6214" s="116">
        <f>IFERROR(__xludf.DUMMYFUNCTION("""COMPUTED_VALUE"""),45911.0)</f>
        <v>45911</v>
      </c>
      <c r="I6214" s="115" t="str">
        <f>IFERROR(__xludf.DUMMYFUNCTION("""COMPUTED_VALUE"""),"22")</f>
        <v>22</v>
      </c>
      <c r="J6214" s="115"/>
      <c r="K6214" s="115"/>
    </row>
    <row r="6215">
      <c r="A6215" s="115"/>
      <c r="B6215" s="115"/>
      <c r="C6215" s="115" t="str">
        <f>IFERROR(__xludf.DUMMYFUNCTION("""COMPUTED_VALUE"""),"EXTERNAL")</f>
        <v>EXTERNAL</v>
      </c>
      <c r="D6215" s="115">
        <f>IFERROR(__xludf.DUMMYFUNCTION("""COMPUTED_VALUE"""),1035.0)</f>
        <v>1035</v>
      </c>
      <c r="E6215" s="115">
        <f>IFERROR(__xludf.DUMMYFUNCTION("""COMPUTED_VALUE"""),363.0)</f>
        <v>363</v>
      </c>
      <c r="F6215" s="115">
        <f>IFERROR(__xludf.DUMMYFUNCTION("""COMPUTED_VALUE"""),521.0)</f>
        <v>521</v>
      </c>
      <c r="G6215" s="115">
        <f>IFERROR(__xludf.DUMMYFUNCTION("""COMPUTED_VALUE"""),227.0)</f>
        <v>227</v>
      </c>
      <c r="H6215" s="116">
        <f>IFERROR(__xludf.DUMMYFUNCTION("""COMPUTED_VALUE"""),45911.0)</f>
        <v>45911</v>
      </c>
      <c r="I6215" s="115" t="str">
        <f>IFERROR(__xludf.DUMMYFUNCTION("""COMPUTED_VALUE"""),"22")</f>
        <v>22</v>
      </c>
      <c r="J6215" s="115"/>
      <c r="K6215" s="115"/>
    </row>
    <row r="6216">
      <c r="A6216" s="115"/>
      <c r="B6216" s="115"/>
      <c r="C6216" s="115" t="str">
        <f>IFERROR(__xludf.DUMMYFUNCTION("""COMPUTED_VALUE"""),"FLIPKART")</f>
        <v>FLIPKART</v>
      </c>
      <c r="D6216" s="115">
        <f>IFERROR(__xludf.DUMMYFUNCTION("""COMPUTED_VALUE"""),12199.0)</f>
        <v>12199</v>
      </c>
      <c r="E6216" s="115">
        <f>IFERROR(__xludf.DUMMYFUNCTION("""COMPUTED_VALUE"""),1114.0)</f>
        <v>1114</v>
      </c>
      <c r="F6216" s="115">
        <f>IFERROR(__xludf.DUMMYFUNCTION("""COMPUTED_VALUE"""),9168.0)</f>
        <v>9168</v>
      </c>
      <c r="G6216" s="115">
        <f>IFERROR(__xludf.DUMMYFUNCTION("""COMPUTED_VALUE"""),686.0)</f>
        <v>686</v>
      </c>
      <c r="H6216" s="116">
        <f>IFERROR(__xludf.DUMMYFUNCTION("""COMPUTED_VALUE"""),45911.0)</f>
        <v>45911</v>
      </c>
      <c r="I6216" s="115" t="str">
        <f>IFERROR(__xludf.DUMMYFUNCTION("""COMPUTED_VALUE"""),"22")</f>
        <v>22</v>
      </c>
      <c r="J6216" s="115"/>
      <c r="K6216" s="115"/>
    </row>
    <row r="6217">
      <c r="A6217" s="115"/>
      <c r="B6217" s="115"/>
      <c r="C6217" s="115" t="str">
        <f>IFERROR(__xludf.DUMMYFUNCTION("""COMPUTED_VALUE"""),"MYNTRA")</f>
        <v>MYNTRA</v>
      </c>
      <c r="D6217" s="115">
        <f>IFERROR(__xludf.DUMMYFUNCTION("""COMPUTED_VALUE"""),1319.0)</f>
        <v>1319</v>
      </c>
      <c r="E6217" s="115">
        <f>IFERROR(__xludf.DUMMYFUNCTION("""COMPUTED_VALUE"""),315.0)</f>
        <v>315</v>
      </c>
      <c r="F6217" s="115">
        <f>IFERROR(__xludf.DUMMYFUNCTION("""COMPUTED_VALUE"""),1082.0)</f>
        <v>1082</v>
      </c>
      <c r="G6217" s="115">
        <f>IFERROR(__xludf.DUMMYFUNCTION("""COMPUTED_VALUE"""),223.0)</f>
        <v>223</v>
      </c>
      <c r="H6217" s="116">
        <f>IFERROR(__xludf.DUMMYFUNCTION("""COMPUTED_VALUE"""),45911.0)</f>
        <v>45911</v>
      </c>
      <c r="I6217" s="115" t="str">
        <f>IFERROR(__xludf.DUMMYFUNCTION("""COMPUTED_VALUE"""),"22")</f>
        <v>22</v>
      </c>
      <c r="J6217" s="115"/>
      <c r="K6217" s="115"/>
    </row>
    <row r="6218">
      <c r="A6218" s="115" t="str">
        <f>IFERROR(__xludf.DUMMYFUNCTION("""COMPUTED_VALUE"""),"EAST")</f>
        <v>EAST</v>
      </c>
      <c r="B6218" s="115" t="str">
        <f>IFERROR(__xludf.DUMMYFUNCTION("""COMPUTED_VALUE"""),"Ashish Ranjan")</f>
        <v>Ashish Ranjan</v>
      </c>
      <c r="C6218" s="115" t="str">
        <f>IFERROR(__xludf.DUMMYFUNCTION("""COMPUTED_VALUE"""),"EXTERNAL")</f>
        <v>EXTERNAL</v>
      </c>
      <c r="D6218" s="115">
        <f>IFERROR(__xludf.DUMMYFUNCTION("""COMPUTED_VALUE"""),3504.0)</f>
        <v>3504</v>
      </c>
      <c r="E6218" s="115">
        <f>IFERROR(__xludf.DUMMYFUNCTION("""COMPUTED_VALUE"""),218.0)</f>
        <v>218</v>
      </c>
      <c r="F6218" s="115">
        <f>IFERROR(__xludf.DUMMYFUNCTION("""COMPUTED_VALUE"""),35.0)</f>
        <v>35</v>
      </c>
      <c r="G6218" s="115">
        <f>IFERROR(__xludf.DUMMYFUNCTION("""COMPUTED_VALUE"""),3.0)</f>
        <v>3</v>
      </c>
      <c r="H6218" s="116">
        <f>IFERROR(__xludf.DUMMYFUNCTION("""COMPUTED_VALUE"""),45912.0)</f>
        <v>45912</v>
      </c>
      <c r="I6218" s="115" t="str">
        <f>IFERROR(__xludf.DUMMYFUNCTION("""COMPUTED_VALUE"""),"08")</f>
        <v>08</v>
      </c>
      <c r="J6218" s="115"/>
      <c r="K6218" s="115"/>
    </row>
    <row r="6219">
      <c r="A6219" s="115" t="str">
        <f>IFERROR(__xludf.DUMMYFUNCTION("""COMPUTED_VALUE"""),"EAST")</f>
        <v>EAST</v>
      </c>
      <c r="B6219" s="115" t="str">
        <f>IFERROR(__xludf.DUMMYFUNCTION("""COMPUTED_VALUE"""),"Ashish Ranjan")</f>
        <v>Ashish Ranjan</v>
      </c>
      <c r="C6219" s="115" t="str">
        <f>IFERROR(__xludf.DUMMYFUNCTION("""COMPUTED_VALUE"""),"FLIPKART")</f>
        <v>FLIPKART</v>
      </c>
      <c r="D6219" s="115">
        <f>IFERROR(__xludf.DUMMYFUNCTION("""COMPUTED_VALUE"""),72733.0)</f>
        <v>72733</v>
      </c>
      <c r="E6219" s="115">
        <f>IFERROR(__xludf.DUMMYFUNCTION("""COMPUTED_VALUE"""),6021.0)</f>
        <v>6021</v>
      </c>
      <c r="F6219" s="115">
        <f>IFERROR(__xludf.DUMMYFUNCTION("""COMPUTED_VALUE"""),858.0)</f>
        <v>858</v>
      </c>
      <c r="G6219" s="115">
        <f>IFERROR(__xludf.DUMMYFUNCTION("""COMPUTED_VALUE"""),87.0)</f>
        <v>87</v>
      </c>
      <c r="H6219" s="116">
        <f>IFERROR(__xludf.DUMMYFUNCTION("""COMPUTED_VALUE"""),45912.0)</f>
        <v>45912</v>
      </c>
      <c r="I6219" s="115" t="str">
        <f>IFERROR(__xludf.DUMMYFUNCTION("""COMPUTED_VALUE"""),"08")</f>
        <v>08</v>
      </c>
      <c r="J6219" s="115"/>
      <c r="K6219" s="115"/>
    </row>
    <row r="6220">
      <c r="A6220" s="115" t="str">
        <f>IFERROR(__xludf.DUMMYFUNCTION("""COMPUTED_VALUE"""),"EAST")</f>
        <v>EAST</v>
      </c>
      <c r="B6220" s="115" t="str">
        <f>IFERROR(__xludf.DUMMYFUNCTION("""COMPUTED_VALUE"""),"Ashish Ranjan")</f>
        <v>Ashish Ranjan</v>
      </c>
      <c r="C6220" s="115" t="str">
        <f>IFERROR(__xludf.DUMMYFUNCTION("""COMPUTED_VALUE"""),"MYNTRA")</f>
        <v>MYNTRA</v>
      </c>
      <c r="D6220" s="115">
        <f>IFERROR(__xludf.DUMMYFUNCTION("""COMPUTED_VALUE"""),6813.0)</f>
        <v>6813</v>
      </c>
      <c r="E6220" s="115">
        <f>IFERROR(__xludf.DUMMYFUNCTION("""COMPUTED_VALUE"""),1467.0)</f>
        <v>1467</v>
      </c>
      <c r="F6220" s="115">
        <f>IFERROR(__xludf.DUMMYFUNCTION("""COMPUTED_VALUE"""),59.0)</f>
        <v>59</v>
      </c>
      <c r="G6220" s="115">
        <f>IFERROR(__xludf.DUMMYFUNCTION("""COMPUTED_VALUE"""),6.0)</f>
        <v>6</v>
      </c>
      <c r="H6220" s="116">
        <f>IFERROR(__xludf.DUMMYFUNCTION("""COMPUTED_VALUE"""),45912.0)</f>
        <v>45912</v>
      </c>
      <c r="I6220" s="115" t="str">
        <f>IFERROR(__xludf.DUMMYFUNCTION("""COMPUTED_VALUE"""),"08")</f>
        <v>08</v>
      </c>
      <c r="J6220" s="115"/>
      <c r="K6220" s="115"/>
    </row>
    <row r="6221">
      <c r="A6221" s="115" t="str">
        <f>IFERROR(__xludf.DUMMYFUNCTION("""COMPUTED_VALUE"""),"EAST")</f>
        <v>EAST</v>
      </c>
      <c r="B6221" s="115" t="str">
        <f>IFERROR(__xludf.DUMMYFUNCTION("""COMPUTED_VALUE"""),"Girish Chand")</f>
        <v>Girish Chand</v>
      </c>
      <c r="C6221" s="115" t="str">
        <f>IFERROR(__xludf.DUMMYFUNCTION("""COMPUTED_VALUE"""),"EXTERNAL")</f>
        <v>EXTERNAL</v>
      </c>
      <c r="D6221" s="115">
        <f>IFERROR(__xludf.DUMMYFUNCTION("""COMPUTED_VALUE"""),1701.0)</f>
        <v>1701</v>
      </c>
      <c r="E6221" s="115">
        <f>IFERROR(__xludf.DUMMYFUNCTION("""COMPUTED_VALUE"""),144.0)</f>
        <v>144</v>
      </c>
      <c r="F6221" s="115">
        <f>IFERROR(__xludf.DUMMYFUNCTION("""COMPUTED_VALUE"""),10.0)</f>
        <v>10</v>
      </c>
      <c r="G6221" s="115">
        <f>IFERROR(__xludf.DUMMYFUNCTION("""COMPUTED_VALUE"""),1.0)</f>
        <v>1</v>
      </c>
      <c r="H6221" s="116">
        <f>IFERROR(__xludf.DUMMYFUNCTION("""COMPUTED_VALUE"""),45912.0)</f>
        <v>45912</v>
      </c>
      <c r="I6221" s="115" t="str">
        <f>IFERROR(__xludf.DUMMYFUNCTION("""COMPUTED_VALUE"""),"08")</f>
        <v>08</v>
      </c>
      <c r="J6221" s="115"/>
      <c r="K6221" s="115"/>
    </row>
    <row r="6222">
      <c r="A6222" s="115" t="str">
        <f>IFERROR(__xludf.DUMMYFUNCTION("""COMPUTED_VALUE"""),"EAST")</f>
        <v>EAST</v>
      </c>
      <c r="B6222" s="115" t="str">
        <f>IFERROR(__xludf.DUMMYFUNCTION("""COMPUTED_VALUE"""),"Girish Chand")</f>
        <v>Girish Chand</v>
      </c>
      <c r="C6222" s="115" t="str">
        <f>IFERROR(__xludf.DUMMYFUNCTION("""COMPUTED_VALUE"""),"FLIPKART")</f>
        <v>FLIPKART</v>
      </c>
      <c r="D6222" s="115">
        <f>IFERROR(__xludf.DUMMYFUNCTION("""COMPUTED_VALUE"""),40692.0)</f>
        <v>40692</v>
      </c>
      <c r="E6222" s="115">
        <f>IFERROR(__xludf.DUMMYFUNCTION("""COMPUTED_VALUE"""),2850.0)</f>
        <v>2850</v>
      </c>
      <c r="F6222" s="115">
        <f>IFERROR(__xludf.DUMMYFUNCTION("""COMPUTED_VALUE"""),257.0)</f>
        <v>257</v>
      </c>
      <c r="G6222" s="115">
        <f>IFERROR(__xludf.DUMMYFUNCTION("""COMPUTED_VALUE"""),25.0)</f>
        <v>25</v>
      </c>
      <c r="H6222" s="116">
        <f>IFERROR(__xludf.DUMMYFUNCTION("""COMPUTED_VALUE"""),45912.0)</f>
        <v>45912</v>
      </c>
      <c r="I6222" s="115" t="str">
        <f>IFERROR(__xludf.DUMMYFUNCTION("""COMPUTED_VALUE"""),"08")</f>
        <v>08</v>
      </c>
      <c r="J6222" s="115"/>
      <c r="K6222" s="115"/>
    </row>
    <row r="6223">
      <c r="A6223" s="115" t="str">
        <f>IFERROR(__xludf.DUMMYFUNCTION("""COMPUTED_VALUE"""),"EAST")</f>
        <v>EAST</v>
      </c>
      <c r="B6223" s="115" t="str">
        <f>IFERROR(__xludf.DUMMYFUNCTION("""COMPUTED_VALUE"""),"Girish Chand")</f>
        <v>Girish Chand</v>
      </c>
      <c r="C6223" s="115" t="str">
        <f>IFERROR(__xludf.DUMMYFUNCTION("""COMPUTED_VALUE"""),"MYNTRA")</f>
        <v>MYNTRA</v>
      </c>
      <c r="D6223" s="115">
        <f>IFERROR(__xludf.DUMMYFUNCTION("""COMPUTED_VALUE"""),3334.0)</f>
        <v>3334</v>
      </c>
      <c r="E6223" s="115">
        <f>IFERROR(__xludf.DUMMYFUNCTION("""COMPUTED_VALUE"""),686.0)</f>
        <v>686</v>
      </c>
      <c r="F6223" s="115">
        <f>IFERROR(__xludf.DUMMYFUNCTION("""COMPUTED_VALUE"""),14.0)</f>
        <v>14</v>
      </c>
      <c r="G6223" s="115">
        <f>IFERROR(__xludf.DUMMYFUNCTION("""COMPUTED_VALUE"""),6.0)</f>
        <v>6</v>
      </c>
      <c r="H6223" s="116">
        <f>IFERROR(__xludf.DUMMYFUNCTION("""COMPUTED_VALUE"""),45912.0)</f>
        <v>45912</v>
      </c>
      <c r="I6223" s="115" t="str">
        <f>IFERROR(__xludf.DUMMYFUNCTION("""COMPUTED_VALUE"""),"08")</f>
        <v>08</v>
      </c>
      <c r="J6223" s="115"/>
      <c r="K6223" s="115"/>
    </row>
    <row r="6224">
      <c r="A6224" s="115" t="str">
        <f>IFERROR(__xludf.DUMMYFUNCTION("""COMPUTED_VALUE"""),"EAST")</f>
        <v>EAST</v>
      </c>
      <c r="B6224" s="115" t="str">
        <f>IFERROR(__xludf.DUMMYFUNCTION("""COMPUTED_VALUE"""),"Parag Kashyap")</f>
        <v>Parag Kashyap</v>
      </c>
      <c r="C6224" s="115" t="str">
        <f>IFERROR(__xludf.DUMMYFUNCTION("""COMPUTED_VALUE"""),"EXTERNAL")</f>
        <v>EXTERNAL</v>
      </c>
      <c r="D6224" s="115">
        <f>IFERROR(__xludf.DUMMYFUNCTION("""COMPUTED_VALUE"""),1416.0)</f>
        <v>1416</v>
      </c>
      <c r="E6224" s="115">
        <f>IFERROR(__xludf.DUMMYFUNCTION("""COMPUTED_VALUE"""),64.0)</f>
        <v>64</v>
      </c>
      <c r="F6224" s="115">
        <f>IFERROR(__xludf.DUMMYFUNCTION("""COMPUTED_VALUE"""),3.0)</f>
        <v>3</v>
      </c>
      <c r="G6224" s="115">
        <f>IFERROR(__xludf.DUMMYFUNCTION("""COMPUTED_VALUE"""),0.0)</f>
        <v>0</v>
      </c>
      <c r="H6224" s="116">
        <f>IFERROR(__xludf.DUMMYFUNCTION("""COMPUTED_VALUE"""),45912.0)</f>
        <v>45912</v>
      </c>
      <c r="I6224" s="115" t="str">
        <f>IFERROR(__xludf.DUMMYFUNCTION("""COMPUTED_VALUE"""),"08")</f>
        <v>08</v>
      </c>
      <c r="J6224" s="115"/>
      <c r="K6224" s="115"/>
    </row>
    <row r="6225">
      <c r="A6225" s="115" t="str">
        <f>IFERROR(__xludf.DUMMYFUNCTION("""COMPUTED_VALUE"""),"EAST")</f>
        <v>EAST</v>
      </c>
      <c r="B6225" s="115" t="str">
        <f>IFERROR(__xludf.DUMMYFUNCTION("""COMPUTED_VALUE"""),"Parag Kashyap")</f>
        <v>Parag Kashyap</v>
      </c>
      <c r="C6225" s="115" t="str">
        <f>IFERROR(__xludf.DUMMYFUNCTION("""COMPUTED_VALUE"""),"FLIPKART")</f>
        <v>FLIPKART</v>
      </c>
      <c r="D6225" s="115">
        <f>IFERROR(__xludf.DUMMYFUNCTION("""COMPUTED_VALUE"""),32045.0)</f>
        <v>32045</v>
      </c>
      <c r="E6225" s="115">
        <f>IFERROR(__xludf.DUMMYFUNCTION("""COMPUTED_VALUE"""),1545.0)</f>
        <v>1545</v>
      </c>
      <c r="F6225" s="115">
        <f>IFERROR(__xludf.DUMMYFUNCTION("""COMPUTED_VALUE"""),167.0)</f>
        <v>167</v>
      </c>
      <c r="G6225" s="115">
        <f>IFERROR(__xludf.DUMMYFUNCTION("""COMPUTED_VALUE"""),23.0)</f>
        <v>23</v>
      </c>
      <c r="H6225" s="116">
        <f>IFERROR(__xludf.DUMMYFUNCTION("""COMPUTED_VALUE"""),45912.0)</f>
        <v>45912</v>
      </c>
      <c r="I6225" s="115" t="str">
        <f>IFERROR(__xludf.DUMMYFUNCTION("""COMPUTED_VALUE"""),"08")</f>
        <v>08</v>
      </c>
      <c r="J6225" s="115"/>
      <c r="K6225" s="115"/>
    </row>
    <row r="6226">
      <c r="A6226" s="115" t="str">
        <f>IFERROR(__xludf.DUMMYFUNCTION("""COMPUTED_VALUE"""),"EAST")</f>
        <v>EAST</v>
      </c>
      <c r="B6226" s="115" t="str">
        <f>IFERROR(__xludf.DUMMYFUNCTION("""COMPUTED_VALUE"""),"Parag Kashyap")</f>
        <v>Parag Kashyap</v>
      </c>
      <c r="C6226" s="115" t="str">
        <f>IFERROR(__xludf.DUMMYFUNCTION("""COMPUTED_VALUE"""),"MYNTRA")</f>
        <v>MYNTRA</v>
      </c>
      <c r="D6226" s="115">
        <f>IFERROR(__xludf.DUMMYFUNCTION("""COMPUTED_VALUE"""),4243.0)</f>
        <v>4243</v>
      </c>
      <c r="E6226" s="115">
        <f>IFERROR(__xludf.DUMMYFUNCTION("""COMPUTED_VALUE"""),563.0)</f>
        <v>563</v>
      </c>
      <c r="F6226" s="115">
        <f>IFERROR(__xludf.DUMMYFUNCTION("""COMPUTED_VALUE"""),34.0)</f>
        <v>34</v>
      </c>
      <c r="G6226" s="115">
        <f>IFERROR(__xludf.DUMMYFUNCTION("""COMPUTED_VALUE"""),2.0)</f>
        <v>2</v>
      </c>
      <c r="H6226" s="116">
        <f>IFERROR(__xludf.DUMMYFUNCTION("""COMPUTED_VALUE"""),45912.0)</f>
        <v>45912</v>
      </c>
      <c r="I6226" s="115" t="str">
        <f>IFERROR(__xludf.DUMMYFUNCTION("""COMPUTED_VALUE"""),"08")</f>
        <v>08</v>
      </c>
      <c r="J6226" s="115"/>
      <c r="K6226" s="115"/>
    </row>
    <row r="6227">
      <c r="A6227" s="115" t="str">
        <f>IFERROR(__xludf.DUMMYFUNCTION("""COMPUTED_VALUE"""),"NORTH")</f>
        <v>NORTH</v>
      </c>
      <c r="B6227" s="115" t="str">
        <f>IFERROR(__xludf.DUMMYFUNCTION("""COMPUTED_VALUE"""),"Amit Kumar Pathak")</f>
        <v>Amit Kumar Pathak</v>
      </c>
      <c r="C6227" s="115" t="str">
        <f>IFERROR(__xludf.DUMMYFUNCTION("""COMPUTED_VALUE"""),"EXTERNAL")</f>
        <v>EXTERNAL</v>
      </c>
      <c r="D6227" s="115">
        <f>IFERROR(__xludf.DUMMYFUNCTION("""COMPUTED_VALUE"""),6933.0)</f>
        <v>6933</v>
      </c>
      <c r="E6227" s="115">
        <f>IFERROR(__xludf.DUMMYFUNCTION("""COMPUTED_VALUE"""),524.0)</f>
        <v>524</v>
      </c>
      <c r="F6227" s="115">
        <f>IFERROR(__xludf.DUMMYFUNCTION("""COMPUTED_VALUE"""),13.0)</f>
        <v>13</v>
      </c>
      <c r="G6227" s="115">
        <f>IFERROR(__xludf.DUMMYFUNCTION("""COMPUTED_VALUE"""),7.0)</f>
        <v>7</v>
      </c>
      <c r="H6227" s="116">
        <f>IFERROR(__xludf.DUMMYFUNCTION("""COMPUTED_VALUE"""),45912.0)</f>
        <v>45912</v>
      </c>
      <c r="I6227" s="115" t="str">
        <f>IFERROR(__xludf.DUMMYFUNCTION("""COMPUTED_VALUE"""),"08")</f>
        <v>08</v>
      </c>
      <c r="J6227" s="115"/>
      <c r="K6227" s="115"/>
    </row>
    <row r="6228">
      <c r="A6228" s="115" t="str">
        <f>IFERROR(__xludf.DUMMYFUNCTION("""COMPUTED_VALUE"""),"NORTH")</f>
        <v>NORTH</v>
      </c>
      <c r="B6228" s="115" t="str">
        <f>IFERROR(__xludf.DUMMYFUNCTION("""COMPUTED_VALUE"""),"Amit Kumar Pathak")</f>
        <v>Amit Kumar Pathak</v>
      </c>
      <c r="C6228" s="115" t="str">
        <f>IFERROR(__xludf.DUMMYFUNCTION("""COMPUTED_VALUE"""),"FLIPKART")</f>
        <v>FLIPKART</v>
      </c>
      <c r="D6228" s="115">
        <f>IFERROR(__xludf.DUMMYFUNCTION("""COMPUTED_VALUE"""),49115.0)</f>
        <v>49115</v>
      </c>
      <c r="E6228" s="115">
        <f>IFERROR(__xludf.DUMMYFUNCTION("""COMPUTED_VALUE"""),3986.0)</f>
        <v>3986</v>
      </c>
      <c r="F6228" s="115">
        <f>IFERROR(__xludf.DUMMYFUNCTION("""COMPUTED_VALUE"""),154.0)</f>
        <v>154</v>
      </c>
      <c r="G6228" s="115">
        <f>IFERROR(__xludf.DUMMYFUNCTION("""COMPUTED_VALUE"""),23.0)</f>
        <v>23</v>
      </c>
      <c r="H6228" s="116">
        <f>IFERROR(__xludf.DUMMYFUNCTION("""COMPUTED_VALUE"""),45912.0)</f>
        <v>45912</v>
      </c>
      <c r="I6228" s="115" t="str">
        <f>IFERROR(__xludf.DUMMYFUNCTION("""COMPUTED_VALUE"""),"08")</f>
        <v>08</v>
      </c>
      <c r="J6228" s="115"/>
      <c r="K6228" s="115"/>
    </row>
    <row r="6229">
      <c r="A6229" s="115" t="str">
        <f>IFERROR(__xludf.DUMMYFUNCTION("""COMPUTED_VALUE"""),"NORTH")</f>
        <v>NORTH</v>
      </c>
      <c r="B6229" s="115" t="str">
        <f>IFERROR(__xludf.DUMMYFUNCTION("""COMPUTED_VALUE"""),"Amit Kumar Pathak")</f>
        <v>Amit Kumar Pathak</v>
      </c>
      <c r="C6229" s="115" t="str">
        <f>IFERROR(__xludf.DUMMYFUNCTION("""COMPUTED_VALUE"""),"MYNTRA")</f>
        <v>MYNTRA</v>
      </c>
      <c r="D6229" s="115">
        <f>IFERROR(__xludf.DUMMYFUNCTION("""COMPUTED_VALUE"""),4900.0)</f>
        <v>4900</v>
      </c>
      <c r="E6229" s="115">
        <f>IFERROR(__xludf.DUMMYFUNCTION("""COMPUTED_VALUE"""),1055.0)</f>
        <v>1055</v>
      </c>
      <c r="F6229" s="115">
        <f>IFERROR(__xludf.DUMMYFUNCTION("""COMPUTED_VALUE"""),32.0)</f>
        <v>32</v>
      </c>
      <c r="G6229" s="115">
        <f>IFERROR(__xludf.DUMMYFUNCTION("""COMPUTED_VALUE"""),1.0)</f>
        <v>1</v>
      </c>
      <c r="H6229" s="116">
        <f>IFERROR(__xludf.DUMMYFUNCTION("""COMPUTED_VALUE"""),45912.0)</f>
        <v>45912</v>
      </c>
      <c r="I6229" s="115" t="str">
        <f>IFERROR(__xludf.DUMMYFUNCTION("""COMPUTED_VALUE"""),"08")</f>
        <v>08</v>
      </c>
      <c r="J6229" s="115"/>
      <c r="K6229" s="115"/>
    </row>
    <row r="6230">
      <c r="A6230" s="115" t="str">
        <f>IFERROR(__xludf.DUMMYFUNCTION("""COMPUTED_VALUE"""),"NORTH")</f>
        <v>NORTH</v>
      </c>
      <c r="B6230" s="115" t="str">
        <f>IFERROR(__xludf.DUMMYFUNCTION("""COMPUTED_VALUE"""),"Loveleen Singh")</f>
        <v>Loveleen Singh</v>
      </c>
      <c r="C6230" s="115" t="str">
        <f>IFERROR(__xludf.DUMMYFUNCTION("""COMPUTED_VALUE"""),"EXTERNAL")</f>
        <v>EXTERNAL</v>
      </c>
      <c r="D6230" s="115">
        <f>IFERROR(__xludf.DUMMYFUNCTION("""COMPUTED_VALUE"""),1654.0)</f>
        <v>1654</v>
      </c>
      <c r="E6230" s="115">
        <f>IFERROR(__xludf.DUMMYFUNCTION("""COMPUTED_VALUE"""),129.0)</f>
        <v>129</v>
      </c>
      <c r="F6230" s="115">
        <f>IFERROR(__xludf.DUMMYFUNCTION("""COMPUTED_VALUE"""),11.0)</f>
        <v>11</v>
      </c>
      <c r="G6230" s="115">
        <f>IFERROR(__xludf.DUMMYFUNCTION("""COMPUTED_VALUE"""),0.0)</f>
        <v>0</v>
      </c>
      <c r="H6230" s="116">
        <f>IFERROR(__xludf.DUMMYFUNCTION("""COMPUTED_VALUE"""),45912.0)</f>
        <v>45912</v>
      </c>
      <c r="I6230" s="115" t="str">
        <f>IFERROR(__xludf.DUMMYFUNCTION("""COMPUTED_VALUE"""),"08")</f>
        <v>08</v>
      </c>
      <c r="J6230" s="115"/>
      <c r="K6230" s="115"/>
    </row>
    <row r="6231">
      <c r="A6231" s="115" t="str">
        <f>IFERROR(__xludf.DUMMYFUNCTION("""COMPUTED_VALUE"""),"NORTH")</f>
        <v>NORTH</v>
      </c>
      <c r="B6231" s="115" t="str">
        <f>IFERROR(__xludf.DUMMYFUNCTION("""COMPUTED_VALUE"""),"Loveleen Singh")</f>
        <v>Loveleen Singh</v>
      </c>
      <c r="C6231" s="115" t="str">
        <f>IFERROR(__xludf.DUMMYFUNCTION("""COMPUTED_VALUE"""),"FLIPKART")</f>
        <v>FLIPKART</v>
      </c>
      <c r="D6231" s="115">
        <f>IFERROR(__xludf.DUMMYFUNCTION("""COMPUTED_VALUE"""),12948.0)</f>
        <v>12948</v>
      </c>
      <c r="E6231" s="115">
        <f>IFERROR(__xludf.DUMMYFUNCTION("""COMPUTED_VALUE"""),726.0)</f>
        <v>726</v>
      </c>
      <c r="F6231" s="115">
        <f>IFERROR(__xludf.DUMMYFUNCTION("""COMPUTED_VALUE"""),159.0)</f>
        <v>159</v>
      </c>
      <c r="G6231" s="115">
        <f>IFERROR(__xludf.DUMMYFUNCTION("""COMPUTED_VALUE"""),9.0)</f>
        <v>9</v>
      </c>
      <c r="H6231" s="116">
        <f>IFERROR(__xludf.DUMMYFUNCTION("""COMPUTED_VALUE"""),45912.0)</f>
        <v>45912</v>
      </c>
      <c r="I6231" s="115" t="str">
        <f>IFERROR(__xludf.DUMMYFUNCTION("""COMPUTED_VALUE"""),"08")</f>
        <v>08</v>
      </c>
      <c r="J6231" s="115"/>
      <c r="K6231" s="115"/>
    </row>
    <row r="6232">
      <c r="A6232" s="115" t="str">
        <f>IFERROR(__xludf.DUMMYFUNCTION("""COMPUTED_VALUE"""),"NORTH")</f>
        <v>NORTH</v>
      </c>
      <c r="B6232" s="115" t="str">
        <f>IFERROR(__xludf.DUMMYFUNCTION("""COMPUTED_VALUE"""),"Loveleen Singh")</f>
        <v>Loveleen Singh</v>
      </c>
      <c r="C6232" s="115" t="str">
        <f>IFERROR(__xludf.DUMMYFUNCTION("""COMPUTED_VALUE"""),"MYNTRA")</f>
        <v>MYNTRA</v>
      </c>
      <c r="D6232" s="115">
        <f>IFERROR(__xludf.DUMMYFUNCTION("""COMPUTED_VALUE"""),2333.0)</f>
        <v>2333</v>
      </c>
      <c r="E6232" s="115">
        <f>IFERROR(__xludf.DUMMYFUNCTION("""COMPUTED_VALUE"""),420.0)</f>
        <v>420</v>
      </c>
      <c r="F6232" s="115">
        <f>IFERROR(__xludf.DUMMYFUNCTION("""COMPUTED_VALUE"""),32.0)</f>
        <v>32</v>
      </c>
      <c r="G6232" s="115">
        <f>IFERROR(__xludf.DUMMYFUNCTION("""COMPUTED_VALUE"""),5.0)</f>
        <v>5</v>
      </c>
      <c r="H6232" s="116">
        <f>IFERROR(__xludf.DUMMYFUNCTION("""COMPUTED_VALUE"""),45912.0)</f>
        <v>45912</v>
      </c>
      <c r="I6232" s="115" t="str">
        <f>IFERROR(__xludf.DUMMYFUNCTION("""COMPUTED_VALUE"""),"08")</f>
        <v>08</v>
      </c>
      <c r="J6232" s="115"/>
      <c r="K6232" s="115"/>
    </row>
    <row r="6233">
      <c r="A6233" s="115" t="str">
        <f>IFERROR(__xludf.DUMMYFUNCTION("""COMPUTED_VALUE"""),"NORTH")</f>
        <v>NORTH</v>
      </c>
      <c r="B6233" s="115" t="str">
        <f>IFERROR(__xludf.DUMMYFUNCTION("""COMPUTED_VALUE"""),"Manoj Harsh")</f>
        <v>Manoj Harsh</v>
      </c>
      <c r="C6233" s="115" t="str">
        <f>IFERROR(__xludf.DUMMYFUNCTION("""COMPUTED_VALUE"""),"EXTERNAL")</f>
        <v>EXTERNAL</v>
      </c>
      <c r="D6233" s="115">
        <f>IFERROR(__xludf.DUMMYFUNCTION("""COMPUTED_VALUE"""),2336.0)</f>
        <v>2336</v>
      </c>
      <c r="E6233" s="115">
        <f>IFERROR(__xludf.DUMMYFUNCTION("""COMPUTED_VALUE"""),280.0)</f>
        <v>280</v>
      </c>
      <c r="F6233" s="115">
        <f>IFERROR(__xludf.DUMMYFUNCTION("""COMPUTED_VALUE"""),6.0)</f>
        <v>6</v>
      </c>
      <c r="G6233" s="115">
        <f>IFERROR(__xludf.DUMMYFUNCTION("""COMPUTED_VALUE"""),1.0)</f>
        <v>1</v>
      </c>
      <c r="H6233" s="116">
        <f>IFERROR(__xludf.DUMMYFUNCTION("""COMPUTED_VALUE"""),45912.0)</f>
        <v>45912</v>
      </c>
      <c r="I6233" s="115" t="str">
        <f>IFERROR(__xludf.DUMMYFUNCTION("""COMPUTED_VALUE"""),"08")</f>
        <v>08</v>
      </c>
      <c r="J6233" s="115"/>
      <c r="K6233" s="115"/>
    </row>
    <row r="6234">
      <c r="A6234" s="115" t="str">
        <f>IFERROR(__xludf.DUMMYFUNCTION("""COMPUTED_VALUE"""),"NORTH")</f>
        <v>NORTH</v>
      </c>
      <c r="B6234" s="115" t="str">
        <f>IFERROR(__xludf.DUMMYFUNCTION("""COMPUTED_VALUE"""),"Manoj Harsh")</f>
        <v>Manoj Harsh</v>
      </c>
      <c r="C6234" s="115" t="str">
        <f>IFERROR(__xludf.DUMMYFUNCTION("""COMPUTED_VALUE"""),"FLIPKART")</f>
        <v>FLIPKART</v>
      </c>
      <c r="D6234" s="115">
        <f>IFERROR(__xludf.DUMMYFUNCTION("""COMPUTED_VALUE"""),34172.0)</f>
        <v>34172</v>
      </c>
      <c r="E6234" s="115">
        <f>IFERROR(__xludf.DUMMYFUNCTION("""COMPUTED_VALUE"""),4084.0)</f>
        <v>4084</v>
      </c>
      <c r="F6234" s="115">
        <f>IFERROR(__xludf.DUMMYFUNCTION("""COMPUTED_VALUE"""),269.0)</f>
        <v>269</v>
      </c>
      <c r="G6234" s="115">
        <f>IFERROR(__xludf.DUMMYFUNCTION("""COMPUTED_VALUE"""),19.0)</f>
        <v>19</v>
      </c>
      <c r="H6234" s="116">
        <f>IFERROR(__xludf.DUMMYFUNCTION("""COMPUTED_VALUE"""),45912.0)</f>
        <v>45912</v>
      </c>
      <c r="I6234" s="115" t="str">
        <f>IFERROR(__xludf.DUMMYFUNCTION("""COMPUTED_VALUE"""),"08")</f>
        <v>08</v>
      </c>
      <c r="J6234" s="115"/>
      <c r="K6234" s="115"/>
    </row>
    <row r="6235">
      <c r="A6235" s="115" t="str">
        <f>IFERROR(__xludf.DUMMYFUNCTION("""COMPUTED_VALUE"""),"NORTH")</f>
        <v>NORTH</v>
      </c>
      <c r="B6235" s="115" t="str">
        <f>IFERROR(__xludf.DUMMYFUNCTION("""COMPUTED_VALUE"""),"Manoj Harsh")</f>
        <v>Manoj Harsh</v>
      </c>
      <c r="C6235" s="115" t="str">
        <f>IFERROR(__xludf.DUMMYFUNCTION("""COMPUTED_VALUE"""),"MYNTRA")</f>
        <v>MYNTRA</v>
      </c>
      <c r="D6235" s="115">
        <f>IFERROR(__xludf.DUMMYFUNCTION("""COMPUTED_VALUE"""),3479.0)</f>
        <v>3479</v>
      </c>
      <c r="E6235" s="115">
        <f>IFERROR(__xludf.DUMMYFUNCTION("""COMPUTED_VALUE"""),860.0)</f>
        <v>860</v>
      </c>
      <c r="F6235" s="115">
        <f>IFERROR(__xludf.DUMMYFUNCTION("""COMPUTED_VALUE"""),33.0)</f>
        <v>33</v>
      </c>
      <c r="G6235" s="115">
        <f>IFERROR(__xludf.DUMMYFUNCTION("""COMPUTED_VALUE"""),2.0)</f>
        <v>2</v>
      </c>
      <c r="H6235" s="116">
        <f>IFERROR(__xludf.DUMMYFUNCTION("""COMPUTED_VALUE"""),45912.0)</f>
        <v>45912</v>
      </c>
      <c r="I6235" s="115" t="str">
        <f>IFERROR(__xludf.DUMMYFUNCTION("""COMPUTED_VALUE"""),"08")</f>
        <v>08</v>
      </c>
      <c r="J6235" s="115"/>
      <c r="K6235" s="115"/>
    </row>
    <row r="6236">
      <c r="A6236" s="115" t="str">
        <f>IFERROR(__xludf.DUMMYFUNCTION("""COMPUTED_VALUE"""),"NORTH")</f>
        <v>NORTH</v>
      </c>
      <c r="B6236" s="115" t="str">
        <f>IFERROR(__xludf.DUMMYFUNCTION("""COMPUTED_VALUE"""),"Pradeep Kothari")</f>
        <v>Pradeep Kothari</v>
      </c>
      <c r="C6236" s="115" t="str">
        <f>IFERROR(__xludf.DUMMYFUNCTION("""COMPUTED_VALUE"""),"EXTERNAL")</f>
        <v>EXTERNAL</v>
      </c>
      <c r="D6236" s="115">
        <f>IFERROR(__xludf.DUMMYFUNCTION("""COMPUTED_VALUE"""),1273.0)</f>
        <v>1273</v>
      </c>
      <c r="E6236" s="115">
        <f>IFERROR(__xludf.DUMMYFUNCTION("""COMPUTED_VALUE"""),187.0)</f>
        <v>187</v>
      </c>
      <c r="F6236" s="115">
        <f>IFERROR(__xludf.DUMMYFUNCTION("""COMPUTED_VALUE"""),5.0)</f>
        <v>5</v>
      </c>
      <c r="G6236" s="115">
        <f>IFERROR(__xludf.DUMMYFUNCTION("""COMPUTED_VALUE"""),0.0)</f>
        <v>0</v>
      </c>
      <c r="H6236" s="116">
        <f>IFERROR(__xludf.DUMMYFUNCTION("""COMPUTED_VALUE"""),45912.0)</f>
        <v>45912</v>
      </c>
      <c r="I6236" s="115" t="str">
        <f>IFERROR(__xludf.DUMMYFUNCTION("""COMPUTED_VALUE"""),"08")</f>
        <v>08</v>
      </c>
      <c r="J6236" s="115"/>
      <c r="K6236" s="115"/>
    </row>
    <row r="6237">
      <c r="A6237" s="115" t="str">
        <f>IFERROR(__xludf.DUMMYFUNCTION("""COMPUTED_VALUE"""),"NORTH")</f>
        <v>NORTH</v>
      </c>
      <c r="B6237" s="115" t="str">
        <f>IFERROR(__xludf.DUMMYFUNCTION("""COMPUTED_VALUE"""),"Pradeep Kothari")</f>
        <v>Pradeep Kothari</v>
      </c>
      <c r="C6237" s="115" t="str">
        <f>IFERROR(__xludf.DUMMYFUNCTION("""COMPUTED_VALUE"""),"FLIPKART")</f>
        <v>FLIPKART</v>
      </c>
      <c r="D6237" s="115">
        <f>IFERROR(__xludf.DUMMYFUNCTION("""COMPUTED_VALUE"""),13103.0)</f>
        <v>13103</v>
      </c>
      <c r="E6237" s="115">
        <f>IFERROR(__xludf.DUMMYFUNCTION("""COMPUTED_VALUE"""),1742.0)</f>
        <v>1742</v>
      </c>
      <c r="F6237" s="115">
        <f>IFERROR(__xludf.DUMMYFUNCTION("""COMPUTED_VALUE"""),257.0)</f>
        <v>257</v>
      </c>
      <c r="G6237" s="115">
        <f>IFERROR(__xludf.DUMMYFUNCTION("""COMPUTED_VALUE"""),17.0)</f>
        <v>17</v>
      </c>
      <c r="H6237" s="116">
        <f>IFERROR(__xludf.DUMMYFUNCTION("""COMPUTED_VALUE"""),45912.0)</f>
        <v>45912</v>
      </c>
      <c r="I6237" s="115" t="str">
        <f>IFERROR(__xludf.DUMMYFUNCTION("""COMPUTED_VALUE"""),"08")</f>
        <v>08</v>
      </c>
      <c r="J6237" s="115"/>
      <c r="K6237" s="115"/>
    </row>
    <row r="6238">
      <c r="A6238" s="115" t="str">
        <f>IFERROR(__xludf.DUMMYFUNCTION("""COMPUTED_VALUE"""),"NORTH")</f>
        <v>NORTH</v>
      </c>
      <c r="B6238" s="115" t="str">
        <f>IFERROR(__xludf.DUMMYFUNCTION("""COMPUTED_VALUE"""),"Pradeep Kothari")</f>
        <v>Pradeep Kothari</v>
      </c>
      <c r="C6238" s="115" t="str">
        <f>IFERROR(__xludf.DUMMYFUNCTION("""COMPUTED_VALUE"""),"MYNTRA")</f>
        <v>MYNTRA</v>
      </c>
      <c r="D6238" s="115">
        <f>IFERROR(__xludf.DUMMYFUNCTION("""COMPUTED_VALUE"""),2174.0)</f>
        <v>2174</v>
      </c>
      <c r="E6238" s="115">
        <f>IFERROR(__xludf.DUMMYFUNCTION("""COMPUTED_VALUE"""),492.0)</f>
        <v>492</v>
      </c>
      <c r="F6238" s="115">
        <f>IFERROR(__xludf.DUMMYFUNCTION("""COMPUTED_VALUE"""),92.0)</f>
        <v>92</v>
      </c>
      <c r="G6238" s="115">
        <f>IFERROR(__xludf.DUMMYFUNCTION("""COMPUTED_VALUE"""),0.0)</f>
        <v>0</v>
      </c>
      <c r="H6238" s="116">
        <f>IFERROR(__xludf.DUMMYFUNCTION("""COMPUTED_VALUE"""),45912.0)</f>
        <v>45912</v>
      </c>
      <c r="I6238" s="115" t="str">
        <f>IFERROR(__xludf.DUMMYFUNCTION("""COMPUTED_VALUE"""),"08")</f>
        <v>08</v>
      </c>
      <c r="J6238" s="115"/>
      <c r="K6238" s="115"/>
    </row>
    <row r="6239">
      <c r="A6239" s="115" t="str">
        <f>IFERROR(__xludf.DUMMYFUNCTION("""COMPUTED_VALUE"""),"SOUTH")</f>
        <v>SOUTH</v>
      </c>
      <c r="B6239" s="115" t="str">
        <f>IFERROR(__xludf.DUMMYFUNCTION("""COMPUTED_VALUE"""),"Kandula Sampath")</f>
        <v>Kandula Sampath</v>
      </c>
      <c r="C6239" s="115" t="str">
        <f>IFERROR(__xludf.DUMMYFUNCTION("""COMPUTED_VALUE"""),"EXTERNAL")</f>
        <v>EXTERNAL</v>
      </c>
      <c r="D6239" s="115">
        <f>IFERROR(__xludf.DUMMYFUNCTION("""COMPUTED_VALUE"""),4872.0)</f>
        <v>4872</v>
      </c>
      <c r="E6239" s="115">
        <f>IFERROR(__xludf.DUMMYFUNCTION("""COMPUTED_VALUE"""),450.0)</f>
        <v>450</v>
      </c>
      <c r="F6239" s="115">
        <f>IFERROR(__xludf.DUMMYFUNCTION("""COMPUTED_VALUE"""),83.0)</f>
        <v>83</v>
      </c>
      <c r="G6239" s="115">
        <f>IFERROR(__xludf.DUMMYFUNCTION("""COMPUTED_VALUE"""),2.0)</f>
        <v>2</v>
      </c>
      <c r="H6239" s="116">
        <f>IFERROR(__xludf.DUMMYFUNCTION("""COMPUTED_VALUE"""),45912.0)</f>
        <v>45912</v>
      </c>
      <c r="I6239" s="115" t="str">
        <f>IFERROR(__xludf.DUMMYFUNCTION("""COMPUTED_VALUE"""),"08")</f>
        <v>08</v>
      </c>
      <c r="J6239" s="115"/>
      <c r="K6239" s="115"/>
    </row>
    <row r="6240">
      <c r="A6240" s="115" t="str">
        <f>IFERROR(__xludf.DUMMYFUNCTION("""COMPUTED_VALUE"""),"SOUTH")</f>
        <v>SOUTH</v>
      </c>
      <c r="B6240" s="115" t="str">
        <f>IFERROR(__xludf.DUMMYFUNCTION("""COMPUTED_VALUE"""),"Kandula Sampath")</f>
        <v>Kandula Sampath</v>
      </c>
      <c r="C6240" s="115" t="str">
        <f>IFERROR(__xludf.DUMMYFUNCTION("""COMPUTED_VALUE"""),"FLIPKART")</f>
        <v>FLIPKART</v>
      </c>
      <c r="D6240" s="115">
        <f>IFERROR(__xludf.DUMMYFUNCTION("""COMPUTED_VALUE"""),62367.0)</f>
        <v>62367</v>
      </c>
      <c r="E6240" s="115">
        <f>IFERROR(__xludf.DUMMYFUNCTION("""COMPUTED_VALUE"""),3470.0)</f>
        <v>3470</v>
      </c>
      <c r="F6240" s="115">
        <f>IFERROR(__xludf.DUMMYFUNCTION("""COMPUTED_VALUE"""),2110.0)</f>
        <v>2110</v>
      </c>
      <c r="G6240" s="115">
        <f>IFERROR(__xludf.DUMMYFUNCTION("""COMPUTED_VALUE"""),34.0)</f>
        <v>34</v>
      </c>
      <c r="H6240" s="116">
        <f>IFERROR(__xludf.DUMMYFUNCTION("""COMPUTED_VALUE"""),45912.0)</f>
        <v>45912</v>
      </c>
      <c r="I6240" s="115" t="str">
        <f>IFERROR(__xludf.DUMMYFUNCTION("""COMPUTED_VALUE"""),"08")</f>
        <v>08</v>
      </c>
      <c r="J6240" s="115"/>
      <c r="K6240" s="115"/>
    </row>
    <row r="6241">
      <c r="A6241" s="115" t="str">
        <f>IFERROR(__xludf.DUMMYFUNCTION("""COMPUTED_VALUE"""),"SOUTH")</f>
        <v>SOUTH</v>
      </c>
      <c r="B6241" s="115" t="str">
        <f>IFERROR(__xludf.DUMMYFUNCTION("""COMPUTED_VALUE"""),"Kandula Sampath")</f>
        <v>Kandula Sampath</v>
      </c>
      <c r="C6241" s="115" t="str">
        <f>IFERROR(__xludf.DUMMYFUNCTION("""COMPUTED_VALUE"""),"MYNTRA")</f>
        <v>MYNTRA</v>
      </c>
      <c r="D6241" s="115">
        <f>IFERROR(__xludf.DUMMYFUNCTION("""COMPUTED_VALUE"""),6915.0)</f>
        <v>6915</v>
      </c>
      <c r="E6241" s="115">
        <f>IFERROR(__xludf.DUMMYFUNCTION("""COMPUTED_VALUE"""),1099.0)</f>
        <v>1099</v>
      </c>
      <c r="F6241" s="115">
        <f>IFERROR(__xludf.DUMMYFUNCTION("""COMPUTED_VALUE"""),255.0)</f>
        <v>255</v>
      </c>
      <c r="G6241" s="115">
        <f>IFERROR(__xludf.DUMMYFUNCTION("""COMPUTED_VALUE"""),10.0)</f>
        <v>10</v>
      </c>
      <c r="H6241" s="116">
        <f>IFERROR(__xludf.DUMMYFUNCTION("""COMPUTED_VALUE"""),45912.0)</f>
        <v>45912</v>
      </c>
      <c r="I6241" s="115" t="str">
        <f>IFERROR(__xludf.DUMMYFUNCTION("""COMPUTED_VALUE"""),"08")</f>
        <v>08</v>
      </c>
      <c r="J6241" s="115"/>
      <c r="K6241" s="115"/>
    </row>
    <row r="6242">
      <c r="A6242" s="115" t="str">
        <f>IFERROR(__xludf.DUMMYFUNCTION("""COMPUTED_VALUE"""),"SOUTH")</f>
        <v>SOUTH</v>
      </c>
      <c r="B6242" s="115" t="str">
        <f>IFERROR(__xludf.DUMMYFUNCTION("""COMPUTED_VALUE"""),"Martin A")</f>
        <v>Martin A</v>
      </c>
      <c r="C6242" s="115" t="str">
        <f>IFERROR(__xludf.DUMMYFUNCTION("""COMPUTED_VALUE"""),"EXTERNAL")</f>
        <v>EXTERNAL</v>
      </c>
      <c r="D6242" s="115">
        <f>IFERROR(__xludf.DUMMYFUNCTION("""COMPUTED_VALUE"""),4535.0)</f>
        <v>4535</v>
      </c>
      <c r="E6242" s="115">
        <f>IFERROR(__xludf.DUMMYFUNCTION("""COMPUTED_VALUE"""),550.0)</f>
        <v>550</v>
      </c>
      <c r="F6242" s="115">
        <f>IFERROR(__xludf.DUMMYFUNCTION("""COMPUTED_VALUE"""),26.0)</f>
        <v>26</v>
      </c>
      <c r="G6242" s="115">
        <f>IFERROR(__xludf.DUMMYFUNCTION("""COMPUTED_VALUE"""),5.0)</f>
        <v>5</v>
      </c>
      <c r="H6242" s="116">
        <f>IFERROR(__xludf.DUMMYFUNCTION("""COMPUTED_VALUE"""),45912.0)</f>
        <v>45912</v>
      </c>
      <c r="I6242" s="115" t="str">
        <f>IFERROR(__xludf.DUMMYFUNCTION("""COMPUTED_VALUE"""),"08")</f>
        <v>08</v>
      </c>
      <c r="J6242" s="115"/>
      <c r="K6242" s="115"/>
    </row>
    <row r="6243">
      <c r="A6243" s="115" t="str">
        <f>IFERROR(__xludf.DUMMYFUNCTION("""COMPUTED_VALUE"""),"SOUTH")</f>
        <v>SOUTH</v>
      </c>
      <c r="B6243" s="115" t="str">
        <f>IFERROR(__xludf.DUMMYFUNCTION("""COMPUTED_VALUE"""),"Martin A")</f>
        <v>Martin A</v>
      </c>
      <c r="C6243" s="115" t="str">
        <f>IFERROR(__xludf.DUMMYFUNCTION("""COMPUTED_VALUE"""),"FLIPKART")</f>
        <v>FLIPKART</v>
      </c>
      <c r="D6243" s="115">
        <f>IFERROR(__xludf.DUMMYFUNCTION("""COMPUTED_VALUE"""),48556.0)</f>
        <v>48556</v>
      </c>
      <c r="E6243" s="115">
        <f>IFERROR(__xludf.DUMMYFUNCTION("""COMPUTED_VALUE"""),4059.0)</f>
        <v>4059</v>
      </c>
      <c r="F6243" s="115">
        <f>IFERROR(__xludf.DUMMYFUNCTION("""COMPUTED_VALUE"""),566.0)</f>
        <v>566</v>
      </c>
      <c r="G6243" s="115">
        <f>IFERROR(__xludf.DUMMYFUNCTION("""COMPUTED_VALUE"""),35.0)</f>
        <v>35</v>
      </c>
      <c r="H6243" s="116">
        <f>IFERROR(__xludf.DUMMYFUNCTION("""COMPUTED_VALUE"""),45912.0)</f>
        <v>45912</v>
      </c>
      <c r="I6243" s="115" t="str">
        <f>IFERROR(__xludf.DUMMYFUNCTION("""COMPUTED_VALUE"""),"08")</f>
        <v>08</v>
      </c>
      <c r="J6243" s="115"/>
      <c r="K6243" s="115"/>
    </row>
    <row r="6244">
      <c r="A6244" s="115" t="str">
        <f>IFERROR(__xludf.DUMMYFUNCTION("""COMPUTED_VALUE"""),"SOUTH")</f>
        <v>SOUTH</v>
      </c>
      <c r="B6244" s="115" t="str">
        <f>IFERROR(__xludf.DUMMYFUNCTION("""COMPUTED_VALUE"""),"Martin A")</f>
        <v>Martin A</v>
      </c>
      <c r="C6244" s="115" t="str">
        <f>IFERROR(__xludf.DUMMYFUNCTION("""COMPUTED_VALUE"""),"MYNTRA")</f>
        <v>MYNTRA</v>
      </c>
      <c r="D6244" s="115">
        <f>IFERROR(__xludf.DUMMYFUNCTION("""COMPUTED_VALUE"""),5077.0)</f>
        <v>5077</v>
      </c>
      <c r="E6244" s="115">
        <f>IFERROR(__xludf.DUMMYFUNCTION("""COMPUTED_VALUE"""),1112.0)</f>
        <v>1112</v>
      </c>
      <c r="F6244" s="115">
        <f>IFERROR(__xludf.DUMMYFUNCTION("""COMPUTED_VALUE"""),56.0)</f>
        <v>56</v>
      </c>
      <c r="G6244" s="115">
        <f>IFERROR(__xludf.DUMMYFUNCTION("""COMPUTED_VALUE"""),8.0)</f>
        <v>8</v>
      </c>
      <c r="H6244" s="116">
        <f>IFERROR(__xludf.DUMMYFUNCTION("""COMPUTED_VALUE"""),45912.0)</f>
        <v>45912</v>
      </c>
      <c r="I6244" s="115" t="str">
        <f>IFERROR(__xludf.DUMMYFUNCTION("""COMPUTED_VALUE"""),"08")</f>
        <v>08</v>
      </c>
      <c r="J6244" s="115"/>
      <c r="K6244" s="115"/>
    </row>
    <row r="6245">
      <c r="A6245" s="115" t="str">
        <f>IFERROR(__xludf.DUMMYFUNCTION("""COMPUTED_VALUE"""),"SOUTH")</f>
        <v>SOUTH</v>
      </c>
      <c r="B6245" s="115" t="str">
        <f>IFERROR(__xludf.DUMMYFUNCTION("""COMPUTED_VALUE"""),"Premkumar M")</f>
        <v>Premkumar M</v>
      </c>
      <c r="C6245" s="115" t="str">
        <f>IFERROR(__xludf.DUMMYFUNCTION("""COMPUTED_VALUE"""),"EXTERNAL")</f>
        <v>EXTERNAL</v>
      </c>
      <c r="D6245" s="115">
        <f>IFERROR(__xludf.DUMMYFUNCTION("""COMPUTED_VALUE"""),948.0)</f>
        <v>948</v>
      </c>
      <c r="E6245" s="115">
        <f>IFERROR(__xludf.DUMMYFUNCTION("""COMPUTED_VALUE"""),51.0)</f>
        <v>51</v>
      </c>
      <c r="F6245" s="115">
        <f>IFERROR(__xludf.DUMMYFUNCTION("""COMPUTED_VALUE"""),5.0)</f>
        <v>5</v>
      </c>
      <c r="G6245" s="115">
        <f>IFERROR(__xludf.DUMMYFUNCTION("""COMPUTED_VALUE"""),0.0)</f>
        <v>0</v>
      </c>
      <c r="H6245" s="116">
        <f>IFERROR(__xludf.DUMMYFUNCTION("""COMPUTED_VALUE"""),45912.0)</f>
        <v>45912</v>
      </c>
      <c r="I6245" s="115" t="str">
        <f>IFERROR(__xludf.DUMMYFUNCTION("""COMPUTED_VALUE"""),"08")</f>
        <v>08</v>
      </c>
      <c r="J6245" s="115"/>
      <c r="K6245" s="115"/>
    </row>
    <row r="6246">
      <c r="A6246" s="115" t="str">
        <f>IFERROR(__xludf.DUMMYFUNCTION("""COMPUTED_VALUE"""),"SOUTH")</f>
        <v>SOUTH</v>
      </c>
      <c r="B6246" s="115" t="str">
        <f>IFERROR(__xludf.DUMMYFUNCTION("""COMPUTED_VALUE"""),"Premkumar M")</f>
        <v>Premkumar M</v>
      </c>
      <c r="C6246" s="115" t="str">
        <f>IFERROR(__xludf.DUMMYFUNCTION("""COMPUTED_VALUE"""),"FLIPKART")</f>
        <v>FLIPKART</v>
      </c>
      <c r="D6246" s="115">
        <f>IFERROR(__xludf.DUMMYFUNCTION("""COMPUTED_VALUE"""),10967.0)</f>
        <v>10967</v>
      </c>
      <c r="E6246" s="115">
        <f>IFERROR(__xludf.DUMMYFUNCTION("""COMPUTED_VALUE"""),566.0)</f>
        <v>566</v>
      </c>
      <c r="F6246" s="115">
        <f>IFERROR(__xludf.DUMMYFUNCTION("""COMPUTED_VALUE"""),154.0)</f>
        <v>154</v>
      </c>
      <c r="G6246" s="115">
        <f>IFERROR(__xludf.DUMMYFUNCTION("""COMPUTED_VALUE"""),17.0)</f>
        <v>17</v>
      </c>
      <c r="H6246" s="116">
        <f>IFERROR(__xludf.DUMMYFUNCTION("""COMPUTED_VALUE"""),45912.0)</f>
        <v>45912</v>
      </c>
      <c r="I6246" s="115" t="str">
        <f>IFERROR(__xludf.DUMMYFUNCTION("""COMPUTED_VALUE"""),"08")</f>
        <v>08</v>
      </c>
      <c r="J6246" s="115"/>
      <c r="K6246" s="115"/>
    </row>
    <row r="6247">
      <c r="A6247" s="115" t="str">
        <f>IFERROR(__xludf.DUMMYFUNCTION("""COMPUTED_VALUE"""),"SOUTH")</f>
        <v>SOUTH</v>
      </c>
      <c r="B6247" s="115" t="str">
        <f>IFERROR(__xludf.DUMMYFUNCTION("""COMPUTED_VALUE"""),"Premkumar M")</f>
        <v>Premkumar M</v>
      </c>
      <c r="C6247" s="115" t="str">
        <f>IFERROR(__xludf.DUMMYFUNCTION("""COMPUTED_VALUE"""),"MYNTRA")</f>
        <v>MYNTRA</v>
      </c>
      <c r="D6247" s="115">
        <f>IFERROR(__xludf.DUMMYFUNCTION("""COMPUTED_VALUE"""),584.0)</f>
        <v>584</v>
      </c>
      <c r="E6247" s="115">
        <f>IFERROR(__xludf.DUMMYFUNCTION("""COMPUTED_VALUE"""),112.0)</f>
        <v>112</v>
      </c>
      <c r="F6247" s="115">
        <f>IFERROR(__xludf.DUMMYFUNCTION("""COMPUTED_VALUE"""),11.0)</f>
        <v>11</v>
      </c>
      <c r="G6247" s="115">
        <f>IFERROR(__xludf.DUMMYFUNCTION("""COMPUTED_VALUE"""),0.0)</f>
        <v>0</v>
      </c>
      <c r="H6247" s="116">
        <f>IFERROR(__xludf.DUMMYFUNCTION("""COMPUTED_VALUE"""),45912.0)</f>
        <v>45912</v>
      </c>
      <c r="I6247" s="115" t="str">
        <f>IFERROR(__xludf.DUMMYFUNCTION("""COMPUTED_VALUE"""),"08")</f>
        <v>08</v>
      </c>
      <c r="J6247" s="115"/>
      <c r="K6247" s="115"/>
    </row>
    <row r="6248">
      <c r="A6248" s="115" t="str">
        <f>IFERROR(__xludf.DUMMYFUNCTION("""COMPUTED_VALUE"""),"SOUTH")</f>
        <v>SOUTH</v>
      </c>
      <c r="B6248" s="115" t="str">
        <f>IFERROR(__xludf.DUMMYFUNCTION("""COMPUTED_VALUE"""),"Vineeth V")</f>
        <v>Vineeth V</v>
      </c>
      <c r="C6248" s="115" t="str">
        <f>IFERROR(__xludf.DUMMYFUNCTION("""COMPUTED_VALUE"""),"EXTERNAL")</f>
        <v>EXTERNAL</v>
      </c>
      <c r="D6248" s="115">
        <f>IFERROR(__xludf.DUMMYFUNCTION("""COMPUTED_VALUE"""),374.0)</f>
        <v>374</v>
      </c>
      <c r="E6248" s="115">
        <f>IFERROR(__xludf.DUMMYFUNCTION("""COMPUTED_VALUE"""),10.0)</f>
        <v>10</v>
      </c>
      <c r="F6248" s="115">
        <f>IFERROR(__xludf.DUMMYFUNCTION("""COMPUTED_VALUE"""),1.0)</f>
        <v>1</v>
      </c>
      <c r="G6248" s="115">
        <f>IFERROR(__xludf.DUMMYFUNCTION("""COMPUTED_VALUE"""),0.0)</f>
        <v>0</v>
      </c>
      <c r="H6248" s="116">
        <f>IFERROR(__xludf.DUMMYFUNCTION("""COMPUTED_VALUE"""),45912.0)</f>
        <v>45912</v>
      </c>
      <c r="I6248" s="115" t="str">
        <f>IFERROR(__xludf.DUMMYFUNCTION("""COMPUTED_VALUE"""),"08")</f>
        <v>08</v>
      </c>
      <c r="J6248" s="115"/>
      <c r="K6248" s="115"/>
    </row>
    <row r="6249">
      <c r="A6249" s="115" t="str">
        <f>IFERROR(__xludf.DUMMYFUNCTION("""COMPUTED_VALUE"""),"SOUTH")</f>
        <v>SOUTH</v>
      </c>
      <c r="B6249" s="115" t="str">
        <f>IFERROR(__xludf.DUMMYFUNCTION("""COMPUTED_VALUE"""),"Vineeth V")</f>
        <v>Vineeth V</v>
      </c>
      <c r="C6249" s="115" t="str">
        <f>IFERROR(__xludf.DUMMYFUNCTION("""COMPUTED_VALUE"""),"FLIPKART")</f>
        <v>FLIPKART</v>
      </c>
      <c r="D6249" s="115">
        <f>IFERROR(__xludf.DUMMYFUNCTION("""COMPUTED_VALUE"""),4168.0)</f>
        <v>4168</v>
      </c>
      <c r="E6249" s="115">
        <f>IFERROR(__xludf.DUMMYFUNCTION("""COMPUTED_VALUE"""),263.0)</f>
        <v>263</v>
      </c>
      <c r="F6249" s="115">
        <f>IFERROR(__xludf.DUMMYFUNCTION("""COMPUTED_VALUE"""),45.0)</f>
        <v>45</v>
      </c>
      <c r="G6249" s="115">
        <f>IFERROR(__xludf.DUMMYFUNCTION("""COMPUTED_VALUE"""),2.0)</f>
        <v>2</v>
      </c>
      <c r="H6249" s="116">
        <f>IFERROR(__xludf.DUMMYFUNCTION("""COMPUTED_VALUE"""),45912.0)</f>
        <v>45912</v>
      </c>
      <c r="I6249" s="115" t="str">
        <f>IFERROR(__xludf.DUMMYFUNCTION("""COMPUTED_VALUE"""),"08")</f>
        <v>08</v>
      </c>
      <c r="J6249" s="115"/>
      <c r="K6249" s="115"/>
    </row>
    <row r="6250">
      <c r="A6250" s="115" t="str">
        <f>IFERROR(__xludf.DUMMYFUNCTION("""COMPUTED_VALUE"""),"SOUTH")</f>
        <v>SOUTH</v>
      </c>
      <c r="B6250" s="115" t="str">
        <f>IFERROR(__xludf.DUMMYFUNCTION("""COMPUTED_VALUE"""),"Vineeth V")</f>
        <v>Vineeth V</v>
      </c>
      <c r="C6250" s="115" t="str">
        <f>IFERROR(__xludf.DUMMYFUNCTION("""COMPUTED_VALUE"""),"MYNTRA")</f>
        <v>MYNTRA</v>
      </c>
      <c r="D6250" s="115">
        <f>IFERROR(__xludf.DUMMYFUNCTION("""COMPUTED_VALUE"""),369.0)</f>
        <v>369</v>
      </c>
      <c r="E6250" s="115">
        <f>IFERROR(__xludf.DUMMYFUNCTION("""COMPUTED_VALUE"""),77.0)</f>
        <v>77</v>
      </c>
      <c r="F6250" s="115">
        <f>IFERROR(__xludf.DUMMYFUNCTION("""COMPUTED_VALUE"""),6.0)</f>
        <v>6</v>
      </c>
      <c r="G6250" s="115">
        <f>IFERROR(__xludf.DUMMYFUNCTION("""COMPUTED_VALUE"""),0.0)</f>
        <v>0</v>
      </c>
      <c r="H6250" s="116">
        <f>IFERROR(__xludf.DUMMYFUNCTION("""COMPUTED_VALUE"""),45912.0)</f>
        <v>45912</v>
      </c>
      <c r="I6250" s="115" t="str">
        <f>IFERROR(__xludf.DUMMYFUNCTION("""COMPUTED_VALUE"""),"08")</f>
        <v>08</v>
      </c>
      <c r="J6250" s="115"/>
      <c r="K6250" s="115"/>
    </row>
    <row r="6251">
      <c r="A6251" s="115" t="str">
        <f>IFERROR(__xludf.DUMMYFUNCTION("""COMPUTED_VALUE"""),"WEST")</f>
        <v>WEST</v>
      </c>
      <c r="B6251" s="115" t="str">
        <f>IFERROR(__xludf.DUMMYFUNCTION("""COMPUTED_VALUE"""),"Ashish Jakar")</f>
        <v>Ashish Jakar</v>
      </c>
      <c r="C6251" s="115" t="str">
        <f>IFERROR(__xludf.DUMMYFUNCTION("""COMPUTED_VALUE"""),"EXTERNAL")</f>
        <v>EXTERNAL</v>
      </c>
      <c r="D6251" s="115">
        <f>IFERROR(__xludf.DUMMYFUNCTION("""COMPUTED_VALUE"""),4164.0)</f>
        <v>4164</v>
      </c>
      <c r="E6251" s="115">
        <f>IFERROR(__xludf.DUMMYFUNCTION("""COMPUTED_VALUE"""),517.0)</f>
        <v>517</v>
      </c>
      <c r="F6251" s="115">
        <f>IFERROR(__xludf.DUMMYFUNCTION("""COMPUTED_VALUE"""),228.0)</f>
        <v>228</v>
      </c>
      <c r="G6251" s="115">
        <f>IFERROR(__xludf.DUMMYFUNCTION("""COMPUTED_VALUE"""),1.0)</f>
        <v>1</v>
      </c>
      <c r="H6251" s="116">
        <f>IFERROR(__xludf.DUMMYFUNCTION("""COMPUTED_VALUE"""),45912.0)</f>
        <v>45912</v>
      </c>
      <c r="I6251" s="115" t="str">
        <f>IFERROR(__xludf.DUMMYFUNCTION("""COMPUTED_VALUE"""),"08")</f>
        <v>08</v>
      </c>
      <c r="J6251" s="115"/>
      <c r="K6251" s="115"/>
    </row>
    <row r="6252">
      <c r="A6252" s="115" t="str">
        <f>IFERROR(__xludf.DUMMYFUNCTION("""COMPUTED_VALUE"""),"WEST")</f>
        <v>WEST</v>
      </c>
      <c r="B6252" s="115" t="str">
        <f>IFERROR(__xludf.DUMMYFUNCTION("""COMPUTED_VALUE"""),"Ashish Jakar")</f>
        <v>Ashish Jakar</v>
      </c>
      <c r="C6252" s="115" t="str">
        <f>IFERROR(__xludf.DUMMYFUNCTION("""COMPUTED_VALUE"""),"FLIPKART")</f>
        <v>FLIPKART</v>
      </c>
      <c r="D6252" s="115">
        <f>IFERROR(__xludf.DUMMYFUNCTION("""COMPUTED_VALUE"""),19858.0)</f>
        <v>19858</v>
      </c>
      <c r="E6252" s="115">
        <f>IFERROR(__xludf.DUMMYFUNCTION("""COMPUTED_VALUE"""),2368.0)</f>
        <v>2368</v>
      </c>
      <c r="F6252" s="115">
        <f>IFERROR(__xludf.DUMMYFUNCTION("""COMPUTED_VALUE"""),132.0)</f>
        <v>132</v>
      </c>
      <c r="G6252" s="115">
        <f>IFERROR(__xludf.DUMMYFUNCTION("""COMPUTED_VALUE"""),7.0)</f>
        <v>7</v>
      </c>
      <c r="H6252" s="116">
        <f>IFERROR(__xludf.DUMMYFUNCTION("""COMPUTED_VALUE"""),45912.0)</f>
        <v>45912</v>
      </c>
      <c r="I6252" s="115" t="str">
        <f>IFERROR(__xludf.DUMMYFUNCTION("""COMPUTED_VALUE"""),"08")</f>
        <v>08</v>
      </c>
      <c r="J6252" s="115"/>
      <c r="K6252" s="115"/>
    </row>
    <row r="6253">
      <c r="A6253" s="115" t="str">
        <f>IFERROR(__xludf.DUMMYFUNCTION("""COMPUTED_VALUE"""),"WEST")</f>
        <v>WEST</v>
      </c>
      <c r="B6253" s="115" t="str">
        <f>IFERROR(__xludf.DUMMYFUNCTION("""COMPUTED_VALUE"""),"Ashish Jakar")</f>
        <v>Ashish Jakar</v>
      </c>
      <c r="C6253" s="115" t="str">
        <f>IFERROR(__xludf.DUMMYFUNCTION("""COMPUTED_VALUE"""),"MYNTRA")</f>
        <v>MYNTRA</v>
      </c>
      <c r="D6253" s="115">
        <f>IFERROR(__xludf.DUMMYFUNCTION("""COMPUTED_VALUE"""),2235.0)</f>
        <v>2235</v>
      </c>
      <c r="E6253" s="115">
        <f>IFERROR(__xludf.DUMMYFUNCTION("""COMPUTED_VALUE"""),896.0)</f>
        <v>896</v>
      </c>
      <c r="F6253" s="115">
        <f>IFERROR(__xludf.DUMMYFUNCTION("""COMPUTED_VALUE"""),11.0)</f>
        <v>11</v>
      </c>
      <c r="G6253" s="115">
        <f>IFERROR(__xludf.DUMMYFUNCTION("""COMPUTED_VALUE"""),0.0)</f>
        <v>0</v>
      </c>
      <c r="H6253" s="116">
        <f>IFERROR(__xludf.DUMMYFUNCTION("""COMPUTED_VALUE"""),45912.0)</f>
        <v>45912</v>
      </c>
      <c r="I6253" s="115" t="str">
        <f>IFERROR(__xludf.DUMMYFUNCTION("""COMPUTED_VALUE"""),"08")</f>
        <v>08</v>
      </c>
      <c r="J6253" s="115"/>
      <c r="K6253" s="115"/>
    </row>
    <row r="6254">
      <c r="A6254" s="115" t="str">
        <f>IFERROR(__xludf.DUMMYFUNCTION("""COMPUTED_VALUE"""),"WEST")</f>
        <v>WEST</v>
      </c>
      <c r="B6254" s="115" t="str">
        <f>IFERROR(__xludf.DUMMYFUNCTION("""COMPUTED_VALUE"""),"Ashvani Bhatt")</f>
        <v>Ashvani Bhatt</v>
      </c>
      <c r="C6254" s="115" t="str">
        <f>IFERROR(__xludf.DUMMYFUNCTION("""COMPUTED_VALUE"""),"EXTERNAL")</f>
        <v>EXTERNAL</v>
      </c>
      <c r="D6254" s="115">
        <f>IFERROR(__xludf.DUMMYFUNCTION("""COMPUTED_VALUE"""),2614.0)</f>
        <v>2614</v>
      </c>
      <c r="E6254" s="115">
        <f>IFERROR(__xludf.DUMMYFUNCTION("""COMPUTED_VALUE"""),241.0)</f>
        <v>241</v>
      </c>
      <c r="F6254" s="115">
        <f>IFERROR(__xludf.DUMMYFUNCTION("""COMPUTED_VALUE"""),12.0)</f>
        <v>12</v>
      </c>
      <c r="G6254" s="115">
        <f>IFERROR(__xludf.DUMMYFUNCTION("""COMPUTED_VALUE"""),0.0)</f>
        <v>0</v>
      </c>
      <c r="H6254" s="116">
        <f>IFERROR(__xludf.DUMMYFUNCTION("""COMPUTED_VALUE"""),45912.0)</f>
        <v>45912</v>
      </c>
      <c r="I6254" s="115" t="str">
        <f>IFERROR(__xludf.DUMMYFUNCTION("""COMPUTED_VALUE"""),"08")</f>
        <v>08</v>
      </c>
      <c r="J6254" s="115"/>
      <c r="K6254" s="115"/>
    </row>
    <row r="6255">
      <c r="A6255" s="115" t="str">
        <f>IFERROR(__xludf.DUMMYFUNCTION("""COMPUTED_VALUE"""),"WEST")</f>
        <v>WEST</v>
      </c>
      <c r="B6255" s="115" t="str">
        <f>IFERROR(__xludf.DUMMYFUNCTION("""COMPUTED_VALUE"""),"Ashvani Bhatt")</f>
        <v>Ashvani Bhatt</v>
      </c>
      <c r="C6255" s="115" t="str">
        <f>IFERROR(__xludf.DUMMYFUNCTION("""COMPUTED_VALUE"""),"FLIPKART")</f>
        <v>FLIPKART</v>
      </c>
      <c r="D6255" s="115">
        <f>IFERROR(__xludf.DUMMYFUNCTION("""COMPUTED_VALUE"""),28119.0)</f>
        <v>28119</v>
      </c>
      <c r="E6255" s="115">
        <f>IFERROR(__xludf.DUMMYFUNCTION("""COMPUTED_VALUE"""),2310.0)</f>
        <v>2310</v>
      </c>
      <c r="F6255" s="115">
        <f>IFERROR(__xludf.DUMMYFUNCTION("""COMPUTED_VALUE"""),290.0)</f>
        <v>290</v>
      </c>
      <c r="G6255" s="115">
        <f>IFERROR(__xludf.DUMMYFUNCTION("""COMPUTED_VALUE"""),8.0)</f>
        <v>8</v>
      </c>
      <c r="H6255" s="116">
        <f>IFERROR(__xludf.DUMMYFUNCTION("""COMPUTED_VALUE"""),45912.0)</f>
        <v>45912</v>
      </c>
      <c r="I6255" s="115" t="str">
        <f>IFERROR(__xludf.DUMMYFUNCTION("""COMPUTED_VALUE"""),"08")</f>
        <v>08</v>
      </c>
      <c r="J6255" s="115"/>
      <c r="K6255" s="115"/>
    </row>
    <row r="6256">
      <c r="A6256" s="115" t="str">
        <f>IFERROR(__xludf.DUMMYFUNCTION("""COMPUTED_VALUE"""),"WEST")</f>
        <v>WEST</v>
      </c>
      <c r="B6256" s="115" t="str">
        <f>IFERROR(__xludf.DUMMYFUNCTION("""COMPUTED_VALUE"""),"Ashvani Bhatt")</f>
        <v>Ashvani Bhatt</v>
      </c>
      <c r="C6256" s="115" t="str">
        <f>IFERROR(__xludf.DUMMYFUNCTION("""COMPUTED_VALUE"""),"MYNTRA")</f>
        <v>MYNTRA</v>
      </c>
      <c r="D6256" s="115">
        <f>IFERROR(__xludf.DUMMYFUNCTION("""COMPUTED_VALUE"""),3845.0)</f>
        <v>3845</v>
      </c>
      <c r="E6256" s="115">
        <f>IFERROR(__xludf.DUMMYFUNCTION("""COMPUTED_VALUE"""),842.0)</f>
        <v>842</v>
      </c>
      <c r="F6256" s="115">
        <f>IFERROR(__xludf.DUMMYFUNCTION("""COMPUTED_VALUE"""),43.0)</f>
        <v>43</v>
      </c>
      <c r="G6256" s="115">
        <f>IFERROR(__xludf.DUMMYFUNCTION("""COMPUTED_VALUE"""),1.0)</f>
        <v>1</v>
      </c>
      <c r="H6256" s="116">
        <f>IFERROR(__xludf.DUMMYFUNCTION("""COMPUTED_VALUE"""),45912.0)</f>
        <v>45912</v>
      </c>
      <c r="I6256" s="115" t="str">
        <f>IFERROR(__xludf.DUMMYFUNCTION("""COMPUTED_VALUE"""),"08")</f>
        <v>08</v>
      </c>
      <c r="J6256" s="115"/>
      <c r="K6256" s="115"/>
    </row>
    <row r="6257">
      <c r="A6257" s="115"/>
      <c r="B6257" s="115"/>
      <c r="C6257" s="115" t="str">
        <f>IFERROR(__xludf.DUMMYFUNCTION("""COMPUTED_VALUE"""),"EXTERNAL")</f>
        <v>EXTERNAL</v>
      </c>
      <c r="D6257" s="115">
        <f>IFERROR(__xludf.DUMMYFUNCTION("""COMPUTED_VALUE"""),41.0)</f>
        <v>41</v>
      </c>
      <c r="E6257" s="115">
        <f>IFERROR(__xludf.DUMMYFUNCTION("""COMPUTED_VALUE"""),23.0)</f>
        <v>23</v>
      </c>
      <c r="F6257" s="115">
        <f>IFERROR(__xludf.DUMMYFUNCTION("""COMPUTED_VALUE"""),0.0)</f>
        <v>0</v>
      </c>
      <c r="G6257" s="115">
        <f>IFERROR(__xludf.DUMMYFUNCTION("""COMPUTED_VALUE"""),1.0)</f>
        <v>1</v>
      </c>
      <c r="H6257" s="116">
        <f>IFERROR(__xludf.DUMMYFUNCTION("""COMPUTED_VALUE"""),45912.0)</f>
        <v>45912</v>
      </c>
      <c r="I6257" s="115" t="str">
        <f>IFERROR(__xludf.DUMMYFUNCTION("""COMPUTED_VALUE"""),"08")</f>
        <v>08</v>
      </c>
      <c r="J6257" s="115"/>
      <c r="K6257" s="115"/>
    </row>
    <row r="6258">
      <c r="A6258" s="115"/>
      <c r="B6258" s="115"/>
      <c r="C6258" s="115" t="str">
        <f>IFERROR(__xludf.DUMMYFUNCTION("""COMPUTED_VALUE"""),"FLIPKART")</f>
        <v>FLIPKART</v>
      </c>
      <c r="D6258" s="115">
        <f>IFERROR(__xludf.DUMMYFUNCTION("""COMPUTED_VALUE"""),520.0)</f>
        <v>520</v>
      </c>
      <c r="E6258" s="115">
        <f>IFERROR(__xludf.DUMMYFUNCTION("""COMPUTED_VALUE"""),186.0)</f>
        <v>186</v>
      </c>
      <c r="F6258" s="115">
        <f>IFERROR(__xludf.DUMMYFUNCTION("""COMPUTED_VALUE"""),6.0)</f>
        <v>6</v>
      </c>
      <c r="G6258" s="115">
        <f>IFERROR(__xludf.DUMMYFUNCTION("""COMPUTED_VALUE"""),2.0)</f>
        <v>2</v>
      </c>
      <c r="H6258" s="116">
        <f>IFERROR(__xludf.DUMMYFUNCTION("""COMPUTED_VALUE"""),45912.0)</f>
        <v>45912</v>
      </c>
      <c r="I6258" s="115" t="str">
        <f>IFERROR(__xludf.DUMMYFUNCTION("""COMPUTED_VALUE"""),"08")</f>
        <v>08</v>
      </c>
      <c r="J6258" s="115"/>
      <c r="K6258" s="115"/>
    </row>
    <row r="6259">
      <c r="A6259" s="115"/>
      <c r="B6259" s="115"/>
      <c r="C6259" s="115" t="str">
        <f>IFERROR(__xludf.DUMMYFUNCTION("""COMPUTED_VALUE"""),"MYNTRA")</f>
        <v>MYNTRA</v>
      </c>
      <c r="D6259" s="115">
        <f>IFERROR(__xludf.DUMMYFUNCTION("""COMPUTED_VALUE"""),38.0)</f>
        <v>38</v>
      </c>
      <c r="E6259" s="115">
        <f>IFERROR(__xludf.DUMMYFUNCTION("""COMPUTED_VALUE"""),42.0)</f>
        <v>42</v>
      </c>
      <c r="F6259" s="115">
        <f>IFERROR(__xludf.DUMMYFUNCTION("""COMPUTED_VALUE"""),0.0)</f>
        <v>0</v>
      </c>
      <c r="G6259" s="115">
        <f>IFERROR(__xludf.DUMMYFUNCTION("""COMPUTED_VALUE"""),0.0)</f>
        <v>0</v>
      </c>
      <c r="H6259" s="116">
        <f>IFERROR(__xludf.DUMMYFUNCTION("""COMPUTED_VALUE"""),45912.0)</f>
        <v>45912</v>
      </c>
      <c r="I6259" s="115" t="str">
        <f>IFERROR(__xludf.DUMMYFUNCTION("""COMPUTED_VALUE"""),"08")</f>
        <v>08</v>
      </c>
      <c r="J6259" s="115"/>
      <c r="K6259" s="115"/>
    </row>
    <row r="6260">
      <c r="A6260" s="115" t="str">
        <f>IFERROR(__xludf.DUMMYFUNCTION("""COMPUTED_VALUE"""),"EAST")</f>
        <v>EAST</v>
      </c>
      <c r="B6260" s="115" t="str">
        <f>IFERROR(__xludf.DUMMYFUNCTION("""COMPUTED_VALUE"""),"Ashish Ranjan")</f>
        <v>Ashish Ranjan</v>
      </c>
      <c r="C6260" s="115" t="str">
        <f>IFERROR(__xludf.DUMMYFUNCTION("""COMPUTED_VALUE"""),"EXTERNAL")</f>
        <v>EXTERNAL</v>
      </c>
      <c r="D6260" s="115">
        <f>IFERROR(__xludf.DUMMYFUNCTION("""COMPUTED_VALUE"""),12999.0)</f>
        <v>12999</v>
      </c>
      <c r="E6260" s="115">
        <f>IFERROR(__xludf.DUMMYFUNCTION("""COMPUTED_VALUE"""),743.0)</f>
        <v>743</v>
      </c>
      <c r="F6260" s="115">
        <f>IFERROR(__xludf.DUMMYFUNCTION("""COMPUTED_VALUE"""),295.0)</f>
        <v>295</v>
      </c>
      <c r="G6260" s="115">
        <f>IFERROR(__xludf.DUMMYFUNCTION("""COMPUTED_VALUE"""),3.0)</f>
        <v>3</v>
      </c>
      <c r="H6260" s="116">
        <f>IFERROR(__xludf.DUMMYFUNCTION("""COMPUTED_VALUE"""),45912.0)</f>
        <v>45912</v>
      </c>
      <c r="I6260" s="115" t="str">
        <f>IFERROR(__xludf.DUMMYFUNCTION("""COMPUTED_VALUE"""),"09")</f>
        <v>09</v>
      </c>
      <c r="J6260" s="115"/>
      <c r="K6260" s="115"/>
    </row>
    <row r="6261">
      <c r="A6261" s="115" t="str">
        <f>IFERROR(__xludf.DUMMYFUNCTION("""COMPUTED_VALUE"""),"EAST")</f>
        <v>EAST</v>
      </c>
      <c r="B6261" s="115" t="str">
        <f>IFERROR(__xludf.DUMMYFUNCTION("""COMPUTED_VALUE"""),"Ashish Ranjan")</f>
        <v>Ashish Ranjan</v>
      </c>
      <c r="C6261" s="115" t="str">
        <f>IFERROR(__xludf.DUMMYFUNCTION("""COMPUTED_VALUE"""),"FLIPKART")</f>
        <v>FLIPKART</v>
      </c>
      <c r="D6261" s="115">
        <f>IFERROR(__xludf.DUMMYFUNCTION("""COMPUTED_VALUE"""),257174.0)</f>
        <v>257174</v>
      </c>
      <c r="E6261" s="115">
        <f>IFERROR(__xludf.DUMMYFUNCTION("""COMPUTED_VALUE"""),18390.0)</f>
        <v>18390</v>
      </c>
      <c r="F6261" s="115">
        <f>IFERROR(__xludf.DUMMYFUNCTION("""COMPUTED_VALUE"""),8176.0)</f>
        <v>8176</v>
      </c>
      <c r="G6261" s="115">
        <f>IFERROR(__xludf.DUMMYFUNCTION("""COMPUTED_VALUE"""),296.0)</f>
        <v>296</v>
      </c>
      <c r="H6261" s="116">
        <f>IFERROR(__xludf.DUMMYFUNCTION("""COMPUTED_VALUE"""),45912.0)</f>
        <v>45912</v>
      </c>
      <c r="I6261" s="115" t="str">
        <f>IFERROR(__xludf.DUMMYFUNCTION("""COMPUTED_VALUE"""),"09")</f>
        <v>09</v>
      </c>
      <c r="J6261" s="115"/>
      <c r="K6261" s="115"/>
    </row>
    <row r="6262">
      <c r="A6262" s="115" t="str">
        <f>IFERROR(__xludf.DUMMYFUNCTION("""COMPUTED_VALUE"""),"EAST")</f>
        <v>EAST</v>
      </c>
      <c r="B6262" s="115" t="str">
        <f>IFERROR(__xludf.DUMMYFUNCTION("""COMPUTED_VALUE"""),"Ashish Ranjan")</f>
        <v>Ashish Ranjan</v>
      </c>
      <c r="C6262" s="115" t="str">
        <f>IFERROR(__xludf.DUMMYFUNCTION("""COMPUTED_VALUE"""),"MYNTRA")</f>
        <v>MYNTRA</v>
      </c>
      <c r="D6262" s="115">
        <f>IFERROR(__xludf.DUMMYFUNCTION("""COMPUTED_VALUE"""),24341.0)</f>
        <v>24341</v>
      </c>
      <c r="E6262" s="115">
        <f>IFERROR(__xludf.DUMMYFUNCTION("""COMPUTED_VALUE"""),4430.0)</f>
        <v>4430</v>
      </c>
      <c r="F6262" s="115">
        <f>IFERROR(__xludf.DUMMYFUNCTION("""COMPUTED_VALUE"""),793.0)</f>
        <v>793</v>
      </c>
      <c r="G6262" s="115">
        <f>IFERROR(__xludf.DUMMYFUNCTION("""COMPUTED_VALUE"""),46.0)</f>
        <v>46</v>
      </c>
      <c r="H6262" s="116">
        <f>IFERROR(__xludf.DUMMYFUNCTION("""COMPUTED_VALUE"""),45912.0)</f>
        <v>45912</v>
      </c>
      <c r="I6262" s="115" t="str">
        <f>IFERROR(__xludf.DUMMYFUNCTION("""COMPUTED_VALUE"""),"09")</f>
        <v>09</v>
      </c>
      <c r="J6262" s="115"/>
      <c r="K6262" s="115"/>
    </row>
    <row r="6263">
      <c r="A6263" s="115" t="str">
        <f>IFERROR(__xludf.DUMMYFUNCTION("""COMPUTED_VALUE"""),"EAST")</f>
        <v>EAST</v>
      </c>
      <c r="B6263" s="115" t="str">
        <f>IFERROR(__xludf.DUMMYFUNCTION("""COMPUTED_VALUE"""),"Girish Chand")</f>
        <v>Girish Chand</v>
      </c>
      <c r="C6263" s="115" t="str">
        <f>IFERROR(__xludf.DUMMYFUNCTION("""COMPUTED_VALUE"""),"EXTERNAL")</f>
        <v>EXTERNAL</v>
      </c>
      <c r="D6263" s="115">
        <f>IFERROR(__xludf.DUMMYFUNCTION("""COMPUTED_VALUE"""),7474.0)</f>
        <v>7474</v>
      </c>
      <c r="E6263" s="115">
        <f>IFERROR(__xludf.DUMMYFUNCTION("""COMPUTED_VALUE"""),437.0)</f>
        <v>437</v>
      </c>
      <c r="F6263" s="115">
        <f>IFERROR(__xludf.DUMMYFUNCTION("""COMPUTED_VALUE"""),88.0)</f>
        <v>88</v>
      </c>
      <c r="G6263" s="115">
        <f>IFERROR(__xludf.DUMMYFUNCTION("""COMPUTED_VALUE"""),3.0)</f>
        <v>3</v>
      </c>
      <c r="H6263" s="116">
        <f>IFERROR(__xludf.DUMMYFUNCTION("""COMPUTED_VALUE"""),45912.0)</f>
        <v>45912</v>
      </c>
      <c r="I6263" s="115" t="str">
        <f>IFERROR(__xludf.DUMMYFUNCTION("""COMPUTED_VALUE"""),"09")</f>
        <v>09</v>
      </c>
      <c r="J6263" s="115"/>
      <c r="K6263" s="115"/>
    </row>
    <row r="6264">
      <c r="A6264" s="115" t="str">
        <f>IFERROR(__xludf.DUMMYFUNCTION("""COMPUTED_VALUE"""),"EAST")</f>
        <v>EAST</v>
      </c>
      <c r="B6264" s="115" t="str">
        <f>IFERROR(__xludf.DUMMYFUNCTION("""COMPUTED_VALUE"""),"Girish Chand")</f>
        <v>Girish Chand</v>
      </c>
      <c r="C6264" s="115" t="str">
        <f>IFERROR(__xludf.DUMMYFUNCTION("""COMPUTED_VALUE"""),"FLIPKART")</f>
        <v>FLIPKART</v>
      </c>
      <c r="D6264" s="115">
        <f>IFERROR(__xludf.DUMMYFUNCTION("""COMPUTED_VALUE"""),161580.0)</f>
        <v>161580</v>
      </c>
      <c r="E6264" s="115">
        <f>IFERROR(__xludf.DUMMYFUNCTION("""COMPUTED_VALUE"""),8813.0)</f>
        <v>8813</v>
      </c>
      <c r="F6264" s="115">
        <f>IFERROR(__xludf.DUMMYFUNCTION("""COMPUTED_VALUE"""),2758.0)</f>
        <v>2758</v>
      </c>
      <c r="G6264" s="115">
        <f>IFERROR(__xludf.DUMMYFUNCTION("""COMPUTED_VALUE"""),167.0)</f>
        <v>167</v>
      </c>
      <c r="H6264" s="116">
        <f>IFERROR(__xludf.DUMMYFUNCTION("""COMPUTED_VALUE"""),45912.0)</f>
        <v>45912</v>
      </c>
      <c r="I6264" s="115" t="str">
        <f>IFERROR(__xludf.DUMMYFUNCTION("""COMPUTED_VALUE"""),"09")</f>
        <v>09</v>
      </c>
      <c r="J6264" s="115"/>
      <c r="K6264" s="115"/>
    </row>
    <row r="6265">
      <c r="A6265" s="115" t="str">
        <f>IFERROR(__xludf.DUMMYFUNCTION("""COMPUTED_VALUE"""),"EAST")</f>
        <v>EAST</v>
      </c>
      <c r="B6265" s="115" t="str">
        <f>IFERROR(__xludf.DUMMYFUNCTION("""COMPUTED_VALUE"""),"Girish Chand")</f>
        <v>Girish Chand</v>
      </c>
      <c r="C6265" s="115" t="str">
        <f>IFERROR(__xludf.DUMMYFUNCTION("""COMPUTED_VALUE"""),"MYNTRA")</f>
        <v>MYNTRA</v>
      </c>
      <c r="D6265" s="115">
        <f>IFERROR(__xludf.DUMMYFUNCTION("""COMPUTED_VALUE"""),12625.0)</f>
        <v>12625</v>
      </c>
      <c r="E6265" s="115">
        <f>IFERROR(__xludf.DUMMYFUNCTION("""COMPUTED_VALUE"""),1833.0)</f>
        <v>1833</v>
      </c>
      <c r="F6265" s="115">
        <f>IFERROR(__xludf.DUMMYFUNCTION("""COMPUTED_VALUE"""),260.0)</f>
        <v>260</v>
      </c>
      <c r="G6265" s="115">
        <f>IFERROR(__xludf.DUMMYFUNCTION("""COMPUTED_VALUE"""),24.0)</f>
        <v>24</v>
      </c>
      <c r="H6265" s="116">
        <f>IFERROR(__xludf.DUMMYFUNCTION("""COMPUTED_VALUE"""),45912.0)</f>
        <v>45912</v>
      </c>
      <c r="I6265" s="115" t="str">
        <f>IFERROR(__xludf.DUMMYFUNCTION("""COMPUTED_VALUE"""),"09")</f>
        <v>09</v>
      </c>
      <c r="J6265" s="115"/>
      <c r="K6265" s="115"/>
    </row>
    <row r="6266">
      <c r="A6266" s="115" t="str">
        <f>IFERROR(__xludf.DUMMYFUNCTION("""COMPUTED_VALUE"""),"EAST")</f>
        <v>EAST</v>
      </c>
      <c r="B6266" s="115" t="str">
        <f>IFERROR(__xludf.DUMMYFUNCTION("""COMPUTED_VALUE"""),"Parag Kashyap")</f>
        <v>Parag Kashyap</v>
      </c>
      <c r="C6266" s="115" t="str">
        <f>IFERROR(__xludf.DUMMYFUNCTION("""COMPUTED_VALUE"""),"EXTERNAL")</f>
        <v>EXTERNAL</v>
      </c>
      <c r="D6266" s="115">
        <f>IFERROR(__xludf.DUMMYFUNCTION("""COMPUTED_VALUE"""),4178.0)</f>
        <v>4178</v>
      </c>
      <c r="E6266" s="115">
        <f>IFERROR(__xludf.DUMMYFUNCTION("""COMPUTED_VALUE"""),213.0)</f>
        <v>213</v>
      </c>
      <c r="F6266" s="115">
        <f>IFERROR(__xludf.DUMMYFUNCTION("""COMPUTED_VALUE"""),50.0)</f>
        <v>50</v>
      </c>
      <c r="G6266" s="115">
        <f>IFERROR(__xludf.DUMMYFUNCTION("""COMPUTED_VALUE"""),1.0)</f>
        <v>1</v>
      </c>
      <c r="H6266" s="116">
        <f>IFERROR(__xludf.DUMMYFUNCTION("""COMPUTED_VALUE"""),45912.0)</f>
        <v>45912</v>
      </c>
      <c r="I6266" s="115" t="str">
        <f>IFERROR(__xludf.DUMMYFUNCTION("""COMPUTED_VALUE"""),"09")</f>
        <v>09</v>
      </c>
      <c r="J6266" s="115"/>
      <c r="K6266" s="115"/>
    </row>
    <row r="6267">
      <c r="A6267" s="115" t="str">
        <f>IFERROR(__xludf.DUMMYFUNCTION("""COMPUTED_VALUE"""),"EAST")</f>
        <v>EAST</v>
      </c>
      <c r="B6267" s="115" t="str">
        <f>IFERROR(__xludf.DUMMYFUNCTION("""COMPUTED_VALUE"""),"Parag Kashyap")</f>
        <v>Parag Kashyap</v>
      </c>
      <c r="C6267" s="115" t="str">
        <f>IFERROR(__xludf.DUMMYFUNCTION("""COMPUTED_VALUE"""),"FLIPKART")</f>
        <v>FLIPKART</v>
      </c>
      <c r="D6267" s="115">
        <f>IFERROR(__xludf.DUMMYFUNCTION("""COMPUTED_VALUE"""),90743.0)</f>
        <v>90743</v>
      </c>
      <c r="E6267" s="115">
        <f>IFERROR(__xludf.DUMMYFUNCTION("""COMPUTED_VALUE"""),4001.0)</f>
        <v>4001</v>
      </c>
      <c r="F6267" s="115">
        <f>IFERROR(__xludf.DUMMYFUNCTION("""COMPUTED_VALUE"""),1571.0)</f>
        <v>1571</v>
      </c>
      <c r="G6267" s="115">
        <f>IFERROR(__xludf.DUMMYFUNCTION("""COMPUTED_VALUE"""),44.0)</f>
        <v>44</v>
      </c>
      <c r="H6267" s="116">
        <f>IFERROR(__xludf.DUMMYFUNCTION("""COMPUTED_VALUE"""),45912.0)</f>
        <v>45912</v>
      </c>
      <c r="I6267" s="115" t="str">
        <f>IFERROR(__xludf.DUMMYFUNCTION("""COMPUTED_VALUE"""),"09")</f>
        <v>09</v>
      </c>
      <c r="J6267" s="115"/>
      <c r="K6267" s="115"/>
    </row>
    <row r="6268">
      <c r="A6268" s="115" t="str">
        <f>IFERROR(__xludf.DUMMYFUNCTION("""COMPUTED_VALUE"""),"EAST")</f>
        <v>EAST</v>
      </c>
      <c r="B6268" s="115" t="str">
        <f>IFERROR(__xludf.DUMMYFUNCTION("""COMPUTED_VALUE"""),"Parag Kashyap")</f>
        <v>Parag Kashyap</v>
      </c>
      <c r="C6268" s="115" t="str">
        <f>IFERROR(__xludf.DUMMYFUNCTION("""COMPUTED_VALUE"""),"MYNTRA")</f>
        <v>MYNTRA</v>
      </c>
      <c r="D6268" s="115">
        <f>IFERROR(__xludf.DUMMYFUNCTION("""COMPUTED_VALUE"""),11512.0)</f>
        <v>11512</v>
      </c>
      <c r="E6268" s="115">
        <f>IFERROR(__xludf.DUMMYFUNCTION("""COMPUTED_VALUE"""),1448.0)</f>
        <v>1448</v>
      </c>
      <c r="F6268" s="115">
        <f>IFERROR(__xludf.DUMMYFUNCTION("""COMPUTED_VALUE"""),303.0)</f>
        <v>303</v>
      </c>
      <c r="G6268" s="115">
        <f>IFERROR(__xludf.DUMMYFUNCTION("""COMPUTED_VALUE"""),3.0)</f>
        <v>3</v>
      </c>
      <c r="H6268" s="116">
        <f>IFERROR(__xludf.DUMMYFUNCTION("""COMPUTED_VALUE"""),45912.0)</f>
        <v>45912</v>
      </c>
      <c r="I6268" s="115" t="str">
        <f>IFERROR(__xludf.DUMMYFUNCTION("""COMPUTED_VALUE"""),"09")</f>
        <v>09</v>
      </c>
      <c r="J6268" s="115"/>
      <c r="K6268" s="115"/>
    </row>
    <row r="6269">
      <c r="A6269" s="115" t="str">
        <f>IFERROR(__xludf.DUMMYFUNCTION("""COMPUTED_VALUE"""),"NORTH")</f>
        <v>NORTH</v>
      </c>
      <c r="B6269" s="115" t="str">
        <f>IFERROR(__xludf.DUMMYFUNCTION("""COMPUTED_VALUE"""),"Amit Kumar Pathak")</f>
        <v>Amit Kumar Pathak</v>
      </c>
      <c r="C6269" s="115" t="str">
        <f>IFERROR(__xludf.DUMMYFUNCTION("""COMPUTED_VALUE"""),"EXTERNAL")</f>
        <v>EXTERNAL</v>
      </c>
      <c r="D6269" s="115">
        <f>IFERROR(__xludf.DUMMYFUNCTION("""COMPUTED_VALUE"""),12682.0)</f>
        <v>12682</v>
      </c>
      <c r="E6269" s="115">
        <f>IFERROR(__xludf.DUMMYFUNCTION("""COMPUTED_VALUE"""),1309.0)</f>
        <v>1309</v>
      </c>
      <c r="F6269" s="115">
        <f>IFERROR(__xludf.DUMMYFUNCTION("""COMPUTED_VALUE"""),170.0)</f>
        <v>170</v>
      </c>
      <c r="G6269" s="115">
        <f>IFERROR(__xludf.DUMMYFUNCTION("""COMPUTED_VALUE"""),31.0)</f>
        <v>31</v>
      </c>
      <c r="H6269" s="116">
        <f>IFERROR(__xludf.DUMMYFUNCTION("""COMPUTED_VALUE"""),45912.0)</f>
        <v>45912</v>
      </c>
      <c r="I6269" s="115" t="str">
        <f>IFERROR(__xludf.DUMMYFUNCTION("""COMPUTED_VALUE"""),"09")</f>
        <v>09</v>
      </c>
      <c r="J6269" s="115"/>
      <c r="K6269" s="115"/>
    </row>
    <row r="6270">
      <c r="A6270" s="115" t="str">
        <f>IFERROR(__xludf.DUMMYFUNCTION("""COMPUTED_VALUE"""),"NORTH")</f>
        <v>NORTH</v>
      </c>
      <c r="B6270" s="115" t="str">
        <f>IFERROR(__xludf.DUMMYFUNCTION("""COMPUTED_VALUE"""),"Amit Kumar Pathak")</f>
        <v>Amit Kumar Pathak</v>
      </c>
      <c r="C6270" s="115" t="str">
        <f>IFERROR(__xludf.DUMMYFUNCTION("""COMPUTED_VALUE"""),"FLIPKART")</f>
        <v>FLIPKART</v>
      </c>
      <c r="D6270" s="115">
        <f>IFERROR(__xludf.DUMMYFUNCTION("""COMPUTED_VALUE"""),87358.0)</f>
        <v>87358</v>
      </c>
      <c r="E6270" s="115">
        <f>IFERROR(__xludf.DUMMYFUNCTION("""COMPUTED_VALUE"""),9197.0)</f>
        <v>9197</v>
      </c>
      <c r="F6270" s="115">
        <f>IFERROR(__xludf.DUMMYFUNCTION("""COMPUTED_VALUE"""),2278.0)</f>
        <v>2278</v>
      </c>
      <c r="G6270" s="115">
        <f>IFERROR(__xludf.DUMMYFUNCTION("""COMPUTED_VALUE"""),121.0)</f>
        <v>121</v>
      </c>
      <c r="H6270" s="116">
        <f>IFERROR(__xludf.DUMMYFUNCTION("""COMPUTED_VALUE"""),45912.0)</f>
        <v>45912</v>
      </c>
      <c r="I6270" s="115" t="str">
        <f>IFERROR(__xludf.DUMMYFUNCTION("""COMPUTED_VALUE"""),"09")</f>
        <v>09</v>
      </c>
      <c r="J6270" s="115"/>
      <c r="K6270" s="115"/>
    </row>
    <row r="6271">
      <c r="A6271" s="115" t="str">
        <f>IFERROR(__xludf.DUMMYFUNCTION("""COMPUTED_VALUE"""),"NORTH")</f>
        <v>NORTH</v>
      </c>
      <c r="B6271" s="115" t="str">
        <f>IFERROR(__xludf.DUMMYFUNCTION("""COMPUTED_VALUE"""),"Amit Kumar Pathak")</f>
        <v>Amit Kumar Pathak</v>
      </c>
      <c r="C6271" s="115" t="str">
        <f>IFERROR(__xludf.DUMMYFUNCTION("""COMPUTED_VALUE"""),"MYNTRA")</f>
        <v>MYNTRA</v>
      </c>
      <c r="D6271" s="115">
        <f>IFERROR(__xludf.DUMMYFUNCTION("""COMPUTED_VALUE"""),8428.0)</f>
        <v>8428</v>
      </c>
      <c r="E6271" s="115">
        <f>IFERROR(__xludf.DUMMYFUNCTION("""COMPUTED_VALUE"""),2389.0)</f>
        <v>2389</v>
      </c>
      <c r="F6271" s="115">
        <f>IFERROR(__xludf.DUMMYFUNCTION("""COMPUTED_VALUE"""),258.0)</f>
        <v>258</v>
      </c>
      <c r="G6271" s="115">
        <f>IFERROR(__xludf.DUMMYFUNCTION("""COMPUTED_VALUE"""),35.0)</f>
        <v>35</v>
      </c>
      <c r="H6271" s="116">
        <f>IFERROR(__xludf.DUMMYFUNCTION("""COMPUTED_VALUE"""),45912.0)</f>
        <v>45912</v>
      </c>
      <c r="I6271" s="115" t="str">
        <f>IFERROR(__xludf.DUMMYFUNCTION("""COMPUTED_VALUE"""),"09")</f>
        <v>09</v>
      </c>
      <c r="J6271" s="115"/>
      <c r="K6271" s="115"/>
    </row>
    <row r="6272">
      <c r="A6272" s="115" t="str">
        <f>IFERROR(__xludf.DUMMYFUNCTION("""COMPUTED_VALUE"""),"NORTH")</f>
        <v>NORTH</v>
      </c>
      <c r="B6272" s="115" t="str">
        <f>IFERROR(__xludf.DUMMYFUNCTION("""COMPUTED_VALUE"""),"Loveleen Singh")</f>
        <v>Loveleen Singh</v>
      </c>
      <c r="C6272" s="115" t="str">
        <f>IFERROR(__xludf.DUMMYFUNCTION("""COMPUTED_VALUE"""),"EXTERNAL")</f>
        <v>EXTERNAL</v>
      </c>
      <c r="D6272" s="115">
        <f>IFERROR(__xludf.DUMMYFUNCTION("""COMPUTED_VALUE"""),7430.0)</f>
        <v>7430</v>
      </c>
      <c r="E6272" s="115">
        <f>IFERROR(__xludf.DUMMYFUNCTION("""COMPUTED_VALUE"""),445.0)</f>
        <v>445</v>
      </c>
      <c r="F6272" s="115">
        <f>IFERROR(__xludf.DUMMYFUNCTION("""COMPUTED_VALUE"""),89.0)</f>
        <v>89</v>
      </c>
      <c r="G6272" s="115">
        <f>IFERROR(__xludf.DUMMYFUNCTION("""COMPUTED_VALUE"""),0.0)</f>
        <v>0</v>
      </c>
      <c r="H6272" s="116">
        <f>IFERROR(__xludf.DUMMYFUNCTION("""COMPUTED_VALUE"""),45912.0)</f>
        <v>45912</v>
      </c>
      <c r="I6272" s="115" t="str">
        <f>IFERROR(__xludf.DUMMYFUNCTION("""COMPUTED_VALUE"""),"09")</f>
        <v>09</v>
      </c>
      <c r="J6272" s="115"/>
      <c r="K6272" s="115"/>
    </row>
    <row r="6273">
      <c r="A6273" s="115" t="str">
        <f>IFERROR(__xludf.DUMMYFUNCTION("""COMPUTED_VALUE"""),"NORTH")</f>
        <v>NORTH</v>
      </c>
      <c r="B6273" s="115" t="str">
        <f>IFERROR(__xludf.DUMMYFUNCTION("""COMPUTED_VALUE"""),"Loveleen Singh")</f>
        <v>Loveleen Singh</v>
      </c>
      <c r="C6273" s="115" t="str">
        <f>IFERROR(__xludf.DUMMYFUNCTION("""COMPUTED_VALUE"""),"FLIPKART")</f>
        <v>FLIPKART</v>
      </c>
      <c r="D6273" s="115">
        <f>IFERROR(__xludf.DUMMYFUNCTION("""COMPUTED_VALUE"""),53064.0)</f>
        <v>53064</v>
      </c>
      <c r="E6273" s="115">
        <f>IFERROR(__xludf.DUMMYFUNCTION("""COMPUTED_VALUE"""),2436.0)</f>
        <v>2436</v>
      </c>
      <c r="F6273" s="115">
        <f>IFERROR(__xludf.DUMMYFUNCTION("""COMPUTED_VALUE"""),1558.0)</f>
        <v>1558</v>
      </c>
      <c r="G6273" s="115">
        <f>IFERROR(__xludf.DUMMYFUNCTION("""COMPUTED_VALUE"""),24.0)</f>
        <v>24</v>
      </c>
      <c r="H6273" s="116">
        <f>IFERROR(__xludf.DUMMYFUNCTION("""COMPUTED_VALUE"""),45912.0)</f>
        <v>45912</v>
      </c>
      <c r="I6273" s="115" t="str">
        <f>IFERROR(__xludf.DUMMYFUNCTION("""COMPUTED_VALUE"""),"09")</f>
        <v>09</v>
      </c>
      <c r="J6273" s="115"/>
      <c r="K6273" s="115"/>
    </row>
    <row r="6274">
      <c r="A6274" s="115" t="str">
        <f>IFERROR(__xludf.DUMMYFUNCTION("""COMPUTED_VALUE"""),"NORTH")</f>
        <v>NORTH</v>
      </c>
      <c r="B6274" s="115" t="str">
        <f>IFERROR(__xludf.DUMMYFUNCTION("""COMPUTED_VALUE"""),"Loveleen Singh")</f>
        <v>Loveleen Singh</v>
      </c>
      <c r="C6274" s="115" t="str">
        <f>IFERROR(__xludf.DUMMYFUNCTION("""COMPUTED_VALUE"""),"MYNTRA")</f>
        <v>MYNTRA</v>
      </c>
      <c r="D6274" s="115">
        <f>IFERROR(__xludf.DUMMYFUNCTION("""COMPUTED_VALUE"""),9178.0)</f>
        <v>9178</v>
      </c>
      <c r="E6274" s="115">
        <f>IFERROR(__xludf.DUMMYFUNCTION("""COMPUTED_VALUE"""),1177.0)</f>
        <v>1177</v>
      </c>
      <c r="F6274" s="115">
        <f>IFERROR(__xludf.DUMMYFUNCTION("""COMPUTED_VALUE"""),376.0)</f>
        <v>376</v>
      </c>
      <c r="G6274" s="115">
        <f>IFERROR(__xludf.DUMMYFUNCTION("""COMPUTED_VALUE"""),21.0)</f>
        <v>21</v>
      </c>
      <c r="H6274" s="116">
        <f>IFERROR(__xludf.DUMMYFUNCTION("""COMPUTED_VALUE"""),45912.0)</f>
        <v>45912</v>
      </c>
      <c r="I6274" s="115" t="str">
        <f>IFERROR(__xludf.DUMMYFUNCTION("""COMPUTED_VALUE"""),"09")</f>
        <v>09</v>
      </c>
      <c r="J6274" s="115"/>
      <c r="K6274" s="115"/>
    </row>
    <row r="6275">
      <c r="A6275" s="115" t="str">
        <f>IFERROR(__xludf.DUMMYFUNCTION("""COMPUTED_VALUE"""),"NORTH")</f>
        <v>NORTH</v>
      </c>
      <c r="B6275" s="115" t="str">
        <f>IFERROR(__xludf.DUMMYFUNCTION("""COMPUTED_VALUE"""),"Manoj Harsh")</f>
        <v>Manoj Harsh</v>
      </c>
      <c r="C6275" s="115" t="str">
        <f>IFERROR(__xludf.DUMMYFUNCTION("""COMPUTED_VALUE"""),"EXTERNAL")</f>
        <v>EXTERNAL</v>
      </c>
      <c r="D6275" s="115">
        <f>IFERROR(__xludf.DUMMYFUNCTION("""COMPUTED_VALUE"""),8310.0)</f>
        <v>8310</v>
      </c>
      <c r="E6275" s="115">
        <f>IFERROR(__xludf.DUMMYFUNCTION("""COMPUTED_VALUE"""),606.0)</f>
        <v>606</v>
      </c>
      <c r="F6275" s="115">
        <f>IFERROR(__xludf.DUMMYFUNCTION("""COMPUTED_VALUE"""),66.0)</f>
        <v>66</v>
      </c>
      <c r="G6275" s="115">
        <f>IFERROR(__xludf.DUMMYFUNCTION("""COMPUTED_VALUE"""),4.0)</f>
        <v>4</v>
      </c>
      <c r="H6275" s="116">
        <f>IFERROR(__xludf.DUMMYFUNCTION("""COMPUTED_VALUE"""),45912.0)</f>
        <v>45912</v>
      </c>
      <c r="I6275" s="115" t="str">
        <f>IFERROR(__xludf.DUMMYFUNCTION("""COMPUTED_VALUE"""),"09")</f>
        <v>09</v>
      </c>
      <c r="J6275" s="115"/>
      <c r="K6275" s="115"/>
    </row>
    <row r="6276">
      <c r="A6276" s="115" t="str">
        <f>IFERROR(__xludf.DUMMYFUNCTION("""COMPUTED_VALUE"""),"NORTH")</f>
        <v>NORTH</v>
      </c>
      <c r="B6276" s="115" t="str">
        <f>IFERROR(__xludf.DUMMYFUNCTION("""COMPUTED_VALUE"""),"Manoj Harsh")</f>
        <v>Manoj Harsh</v>
      </c>
      <c r="C6276" s="115" t="str">
        <f>IFERROR(__xludf.DUMMYFUNCTION("""COMPUTED_VALUE"""),"FLIPKART")</f>
        <v>FLIPKART</v>
      </c>
      <c r="D6276" s="115">
        <f>IFERROR(__xludf.DUMMYFUNCTION("""COMPUTED_VALUE"""),123100.0)</f>
        <v>123100</v>
      </c>
      <c r="E6276" s="115">
        <f>IFERROR(__xludf.DUMMYFUNCTION("""COMPUTED_VALUE"""),9023.0)</f>
        <v>9023</v>
      </c>
      <c r="F6276" s="115">
        <f>IFERROR(__xludf.DUMMYFUNCTION("""COMPUTED_VALUE"""),2638.0)</f>
        <v>2638</v>
      </c>
      <c r="G6276" s="115">
        <f>IFERROR(__xludf.DUMMYFUNCTION("""COMPUTED_VALUE"""),95.0)</f>
        <v>95</v>
      </c>
      <c r="H6276" s="116">
        <f>IFERROR(__xludf.DUMMYFUNCTION("""COMPUTED_VALUE"""),45912.0)</f>
        <v>45912</v>
      </c>
      <c r="I6276" s="115" t="str">
        <f>IFERROR(__xludf.DUMMYFUNCTION("""COMPUTED_VALUE"""),"09")</f>
        <v>09</v>
      </c>
      <c r="J6276" s="115"/>
      <c r="K6276" s="115"/>
    </row>
    <row r="6277">
      <c r="A6277" s="115" t="str">
        <f>IFERROR(__xludf.DUMMYFUNCTION("""COMPUTED_VALUE"""),"NORTH")</f>
        <v>NORTH</v>
      </c>
      <c r="B6277" s="115" t="str">
        <f>IFERROR(__xludf.DUMMYFUNCTION("""COMPUTED_VALUE"""),"Manoj Harsh")</f>
        <v>Manoj Harsh</v>
      </c>
      <c r="C6277" s="115" t="str">
        <f>IFERROR(__xludf.DUMMYFUNCTION("""COMPUTED_VALUE"""),"MYNTRA")</f>
        <v>MYNTRA</v>
      </c>
      <c r="D6277" s="115">
        <f>IFERROR(__xludf.DUMMYFUNCTION("""COMPUTED_VALUE"""),10748.0)</f>
        <v>10748</v>
      </c>
      <c r="E6277" s="115">
        <f>IFERROR(__xludf.DUMMYFUNCTION("""COMPUTED_VALUE"""),1807.0)</f>
        <v>1807</v>
      </c>
      <c r="F6277" s="115">
        <f>IFERROR(__xludf.DUMMYFUNCTION("""COMPUTED_VALUE"""),273.0)</f>
        <v>273</v>
      </c>
      <c r="G6277" s="115">
        <f>IFERROR(__xludf.DUMMYFUNCTION("""COMPUTED_VALUE"""),12.0)</f>
        <v>12</v>
      </c>
      <c r="H6277" s="116">
        <f>IFERROR(__xludf.DUMMYFUNCTION("""COMPUTED_VALUE"""),45912.0)</f>
        <v>45912</v>
      </c>
      <c r="I6277" s="115" t="str">
        <f>IFERROR(__xludf.DUMMYFUNCTION("""COMPUTED_VALUE"""),"09")</f>
        <v>09</v>
      </c>
      <c r="J6277" s="115"/>
      <c r="K6277" s="115"/>
    </row>
    <row r="6278">
      <c r="A6278" s="115" t="str">
        <f>IFERROR(__xludf.DUMMYFUNCTION("""COMPUTED_VALUE"""),"NORTH")</f>
        <v>NORTH</v>
      </c>
      <c r="B6278" s="115" t="str">
        <f>IFERROR(__xludf.DUMMYFUNCTION("""COMPUTED_VALUE"""),"Pradeep Kothari")</f>
        <v>Pradeep Kothari</v>
      </c>
      <c r="C6278" s="115" t="str">
        <f>IFERROR(__xludf.DUMMYFUNCTION("""COMPUTED_VALUE"""),"EXTERNAL")</f>
        <v>EXTERNAL</v>
      </c>
      <c r="D6278" s="115">
        <f>IFERROR(__xludf.DUMMYFUNCTION("""COMPUTED_VALUE"""),5101.0)</f>
        <v>5101</v>
      </c>
      <c r="E6278" s="115">
        <f>IFERROR(__xludf.DUMMYFUNCTION("""COMPUTED_VALUE"""),486.0)</f>
        <v>486</v>
      </c>
      <c r="F6278" s="115">
        <f>IFERROR(__xludf.DUMMYFUNCTION("""COMPUTED_VALUE"""),73.0)</f>
        <v>73</v>
      </c>
      <c r="G6278" s="115">
        <f>IFERROR(__xludf.DUMMYFUNCTION("""COMPUTED_VALUE"""),6.0)</f>
        <v>6</v>
      </c>
      <c r="H6278" s="116">
        <f>IFERROR(__xludf.DUMMYFUNCTION("""COMPUTED_VALUE"""),45912.0)</f>
        <v>45912</v>
      </c>
      <c r="I6278" s="115" t="str">
        <f>IFERROR(__xludf.DUMMYFUNCTION("""COMPUTED_VALUE"""),"09")</f>
        <v>09</v>
      </c>
      <c r="J6278" s="115"/>
      <c r="K6278" s="115"/>
    </row>
    <row r="6279">
      <c r="A6279" s="115" t="str">
        <f>IFERROR(__xludf.DUMMYFUNCTION("""COMPUTED_VALUE"""),"NORTH")</f>
        <v>NORTH</v>
      </c>
      <c r="B6279" s="115" t="str">
        <f>IFERROR(__xludf.DUMMYFUNCTION("""COMPUTED_VALUE"""),"Pradeep Kothari")</f>
        <v>Pradeep Kothari</v>
      </c>
      <c r="C6279" s="115" t="str">
        <f>IFERROR(__xludf.DUMMYFUNCTION("""COMPUTED_VALUE"""),"FLIPKART")</f>
        <v>FLIPKART</v>
      </c>
      <c r="D6279" s="115">
        <f>IFERROR(__xludf.DUMMYFUNCTION("""COMPUTED_VALUE"""),51175.0)</f>
        <v>51175</v>
      </c>
      <c r="E6279" s="115">
        <f>IFERROR(__xludf.DUMMYFUNCTION("""COMPUTED_VALUE"""),4413.0)</f>
        <v>4413</v>
      </c>
      <c r="F6279" s="115">
        <f>IFERROR(__xludf.DUMMYFUNCTION("""COMPUTED_VALUE"""),1759.0)</f>
        <v>1759</v>
      </c>
      <c r="G6279" s="115">
        <f>IFERROR(__xludf.DUMMYFUNCTION("""COMPUTED_VALUE"""),94.0)</f>
        <v>94</v>
      </c>
      <c r="H6279" s="116">
        <f>IFERROR(__xludf.DUMMYFUNCTION("""COMPUTED_VALUE"""),45912.0)</f>
        <v>45912</v>
      </c>
      <c r="I6279" s="115" t="str">
        <f>IFERROR(__xludf.DUMMYFUNCTION("""COMPUTED_VALUE"""),"09")</f>
        <v>09</v>
      </c>
      <c r="J6279" s="115"/>
      <c r="K6279" s="115"/>
    </row>
    <row r="6280">
      <c r="A6280" s="115" t="str">
        <f>IFERROR(__xludf.DUMMYFUNCTION("""COMPUTED_VALUE"""),"NORTH")</f>
        <v>NORTH</v>
      </c>
      <c r="B6280" s="115" t="str">
        <f>IFERROR(__xludf.DUMMYFUNCTION("""COMPUTED_VALUE"""),"Pradeep Kothari")</f>
        <v>Pradeep Kothari</v>
      </c>
      <c r="C6280" s="115" t="str">
        <f>IFERROR(__xludf.DUMMYFUNCTION("""COMPUTED_VALUE"""),"MYNTRA")</f>
        <v>MYNTRA</v>
      </c>
      <c r="D6280" s="115">
        <f>IFERROR(__xludf.DUMMYFUNCTION("""COMPUTED_VALUE"""),7802.0)</f>
        <v>7802</v>
      </c>
      <c r="E6280" s="115">
        <f>IFERROR(__xludf.DUMMYFUNCTION("""COMPUTED_VALUE"""),1461.0)</f>
        <v>1461</v>
      </c>
      <c r="F6280" s="115">
        <f>IFERROR(__xludf.DUMMYFUNCTION("""COMPUTED_VALUE"""),520.0)</f>
        <v>520</v>
      </c>
      <c r="G6280" s="115">
        <f>IFERROR(__xludf.DUMMYFUNCTION("""COMPUTED_VALUE"""),30.0)</f>
        <v>30</v>
      </c>
      <c r="H6280" s="116">
        <f>IFERROR(__xludf.DUMMYFUNCTION("""COMPUTED_VALUE"""),45912.0)</f>
        <v>45912</v>
      </c>
      <c r="I6280" s="115" t="str">
        <f>IFERROR(__xludf.DUMMYFUNCTION("""COMPUTED_VALUE"""),"09")</f>
        <v>09</v>
      </c>
      <c r="J6280" s="115"/>
      <c r="K6280" s="115"/>
    </row>
    <row r="6281">
      <c r="A6281" s="115" t="str">
        <f>IFERROR(__xludf.DUMMYFUNCTION("""COMPUTED_VALUE"""),"North")</f>
        <v>North</v>
      </c>
      <c r="B6281" s="115" t="str">
        <f>IFERROR(__xludf.DUMMYFUNCTION("""COMPUTED_VALUE"""),"Manoj Harsh")</f>
        <v>Manoj Harsh</v>
      </c>
      <c r="C6281" s="115" t="str">
        <f>IFERROR(__xludf.DUMMYFUNCTION("""COMPUTED_VALUE"""),"EXTERNAL")</f>
        <v>EXTERNAL</v>
      </c>
      <c r="D6281" s="115">
        <f>IFERROR(__xludf.DUMMYFUNCTION("""COMPUTED_VALUE"""),2.0)</f>
        <v>2</v>
      </c>
      <c r="E6281" s="115">
        <f>IFERROR(__xludf.DUMMYFUNCTION("""COMPUTED_VALUE"""),0.0)</f>
        <v>0</v>
      </c>
      <c r="F6281" s="115">
        <f>IFERROR(__xludf.DUMMYFUNCTION("""COMPUTED_VALUE"""),0.0)</f>
        <v>0</v>
      </c>
      <c r="G6281" s="115">
        <f>IFERROR(__xludf.DUMMYFUNCTION("""COMPUTED_VALUE"""),0.0)</f>
        <v>0</v>
      </c>
      <c r="H6281" s="116">
        <f>IFERROR(__xludf.DUMMYFUNCTION("""COMPUTED_VALUE"""),45912.0)</f>
        <v>45912</v>
      </c>
      <c r="I6281" s="115" t="str">
        <f>IFERROR(__xludf.DUMMYFUNCTION("""COMPUTED_VALUE"""),"09")</f>
        <v>09</v>
      </c>
      <c r="J6281" s="115"/>
      <c r="K6281" s="115"/>
    </row>
    <row r="6282">
      <c r="A6282" s="115" t="str">
        <f>IFERROR(__xludf.DUMMYFUNCTION("""COMPUTED_VALUE"""),"North")</f>
        <v>North</v>
      </c>
      <c r="B6282" s="115" t="str">
        <f>IFERROR(__xludf.DUMMYFUNCTION("""COMPUTED_VALUE"""),"Manoj Harsh")</f>
        <v>Manoj Harsh</v>
      </c>
      <c r="C6282" s="115" t="str">
        <f>IFERROR(__xludf.DUMMYFUNCTION("""COMPUTED_VALUE"""),"FLIPKART")</f>
        <v>FLIPKART</v>
      </c>
      <c r="D6282" s="115">
        <f>IFERROR(__xludf.DUMMYFUNCTION("""COMPUTED_VALUE"""),105.0)</f>
        <v>105</v>
      </c>
      <c r="E6282" s="115">
        <f>IFERROR(__xludf.DUMMYFUNCTION("""COMPUTED_VALUE"""),7.0)</f>
        <v>7</v>
      </c>
      <c r="F6282" s="115">
        <f>IFERROR(__xludf.DUMMYFUNCTION("""COMPUTED_VALUE"""),2.0)</f>
        <v>2</v>
      </c>
      <c r="G6282" s="115">
        <f>IFERROR(__xludf.DUMMYFUNCTION("""COMPUTED_VALUE"""),0.0)</f>
        <v>0</v>
      </c>
      <c r="H6282" s="116">
        <f>IFERROR(__xludf.DUMMYFUNCTION("""COMPUTED_VALUE"""),45912.0)</f>
        <v>45912</v>
      </c>
      <c r="I6282" s="115" t="str">
        <f>IFERROR(__xludf.DUMMYFUNCTION("""COMPUTED_VALUE"""),"09")</f>
        <v>09</v>
      </c>
      <c r="J6282" s="115"/>
      <c r="K6282" s="115"/>
    </row>
    <row r="6283">
      <c r="A6283" s="115" t="str">
        <f>IFERROR(__xludf.DUMMYFUNCTION("""COMPUTED_VALUE"""),"North")</f>
        <v>North</v>
      </c>
      <c r="B6283" s="115" t="str">
        <f>IFERROR(__xludf.DUMMYFUNCTION("""COMPUTED_VALUE"""),"Manoj Harsh")</f>
        <v>Manoj Harsh</v>
      </c>
      <c r="C6283" s="115" t="str">
        <f>IFERROR(__xludf.DUMMYFUNCTION("""COMPUTED_VALUE"""),"MYNTRA")</f>
        <v>MYNTRA</v>
      </c>
      <c r="D6283" s="115">
        <f>IFERROR(__xludf.DUMMYFUNCTION("""COMPUTED_VALUE"""),34.0)</f>
        <v>34</v>
      </c>
      <c r="E6283" s="115">
        <f>IFERROR(__xludf.DUMMYFUNCTION("""COMPUTED_VALUE"""),1.0)</f>
        <v>1</v>
      </c>
      <c r="F6283" s="115">
        <f>IFERROR(__xludf.DUMMYFUNCTION("""COMPUTED_VALUE"""),0.0)</f>
        <v>0</v>
      </c>
      <c r="G6283" s="115">
        <f>IFERROR(__xludf.DUMMYFUNCTION("""COMPUTED_VALUE"""),0.0)</f>
        <v>0</v>
      </c>
      <c r="H6283" s="116">
        <f>IFERROR(__xludf.DUMMYFUNCTION("""COMPUTED_VALUE"""),45912.0)</f>
        <v>45912</v>
      </c>
      <c r="I6283" s="115" t="str">
        <f>IFERROR(__xludf.DUMMYFUNCTION("""COMPUTED_VALUE"""),"09")</f>
        <v>09</v>
      </c>
      <c r="J6283" s="115"/>
      <c r="K6283" s="115"/>
    </row>
    <row r="6284">
      <c r="A6284" s="115" t="str">
        <f>IFERROR(__xludf.DUMMYFUNCTION("""COMPUTED_VALUE"""),"SOUTH")</f>
        <v>SOUTH</v>
      </c>
      <c r="B6284" s="115" t="str">
        <f>IFERROR(__xludf.DUMMYFUNCTION("""COMPUTED_VALUE"""),"Kandula Sampath")</f>
        <v>Kandula Sampath</v>
      </c>
      <c r="C6284" s="115" t="str">
        <f>IFERROR(__xludf.DUMMYFUNCTION("""COMPUTED_VALUE"""),"EXTERNAL")</f>
        <v>EXTERNAL</v>
      </c>
      <c r="D6284" s="115">
        <f>IFERROR(__xludf.DUMMYFUNCTION("""COMPUTED_VALUE"""),13275.0)</f>
        <v>13275</v>
      </c>
      <c r="E6284" s="115">
        <f>IFERROR(__xludf.DUMMYFUNCTION("""COMPUTED_VALUE"""),1195.0)</f>
        <v>1195</v>
      </c>
      <c r="F6284" s="115">
        <f>IFERROR(__xludf.DUMMYFUNCTION("""COMPUTED_VALUE"""),418.0)</f>
        <v>418</v>
      </c>
      <c r="G6284" s="115">
        <f>IFERROR(__xludf.DUMMYFUNCTION("""COMPUTED_VALUE"""),11.0)</f>
        <v>11</v>
      </c>
      <c r="H6284" s="116">
        <f>IFERROR(__xludf.DUMMYFUNCTION("""COMPUTED_VALUE"""),45912.0)</f>
        <v>45912</v>
      </c>
      <c r="I6284" s="115" t="str">
        <f>IFERROR(__xludf.DUMMYFUNCTION("""COMPUTED_VALUE"""),"09")</f>
        <v>09</v>
      </c>
      <c r="J6284" s="115"/>
      <c r="K6284" s="115"/>
    </row>
    <row r="6285">
      <c r="A6285" s="115" t="str">
        <f>IFERROR(__xludf.DUMMYFUNCTION("""COMPUTED_VALUE"""),"SOUTH")</f>
        <v>SOUTH</v>
      </c>
      <c r="B6285" s="115" t="str">
        <f>IFERROR(__xludf.DUMMYFUNCTION("""COMPUTED_VALUE"""),"Kandula Sampath")</f>
        <v>Kandula Sampath</v>
      </c>
      <c r="C6285" s="115" t="str">
        <f>IFERROR(__xludf.DUMMYFUNCTION("""COMPUTED_VALUE"""),"FLIPKART")</f>
        <v>FLIPKART</v>
      </c>
      <c r="D6285" s="115">
        <f>IFERROR(__xludf.DUMMYFUNCTION("""COMPUTED_VALUE"""),160923.0)</f>
        <v>160923</v>
      </c>
      <c r="E6285" s="115">
        <f>IFERROR(__xludf.DUMMYFUNCTION("""COMPUTED_VALUE"""),9186.0)</f>
        <v>9186</v>
      </c>
      <c r="F6285" s="115">
        <f>IFERROR(__xludf.DUMMYFUNCTION("""COMPUTED_VALUE"""),9581.0)</f>
        <v>9581</v>
      </c>
      <c r="G6285" s="115">
        <f>IFERROR(__xludf.DUMMYFUNCTION("""COMPUTED_VALUE"""),140.0)</f>
        <v>140</v>
      </c>
      <c r="H6285" s="116">
        <f>IFERROR(__xludf.DUMMYFUNCTION("""COMPUTED_VALUE"""),45912.0)</f>
        <v>45912</v>
      </c>
      <c r="I6285" s="115" t="str">
        <f>IFERROR(__xludf.DUMMYFUNCTION("""COMPUTED_VALUE"""),"09")</f>
        <v>09</v>
      </c>
      <c r="J6285" s="115"/>
      <c r="K6285" s="115"/>
    </row>
    <row r="6286">
      <c r="A6286" s="115" t="str">
        <f>IFERROR(__xludf.DUMMYFUNCTION("""COMPUTED_VALUE"""),"SOUTH")</f>
        <v>SOUTH</v>
      </c>
      <c r="B6286" s="115" t="str">
        <f>IFERROR(__xludf.DUMMYFUNCTION("""COMPUTED_VALUE"""),"Kandula Sampath")</f>
        <v>Kandula Sampath</v>
      </c>
      <c r="C6286" s="115" t="str">
        <f>IFERROR(__xludf.DUMMYFUNCTION("""COMPUTED_VALUE"""),"MYNTRA")</f>
        <v>MYNTRA</v>
      </c>
      <c r="D6286" s="115">
        <f>IFERROR(__xludf.DUMMYFUNCTION("""COMPUTED_VALUE"""),17094.0)</f>
        <v>17094</v>
      </c>
      <c r="E6286" s="115">
        <f>IFERROR(__xludf.DUMMYFUNCTION("""COMPUTED_VALUE"""),2698.0)</f>
        <v>2698</v>
      </c>
      <c r="F6286" s="115">
        <f>IFERROR(__xludf.DUMMYFUNCTION("""COMPUTED_VALUE"""),1270.0)</f>
        <v>1270</v>
      </c>
      <c r="G6286" s="115">
        <f>IFERROR(__xludf.DUMMYFUNCTION("""COMPUTED_VALUE"""),35.0)</f>
        <v>35</v>
      </c>
      <c r="H6286" s="116">
        <f>IFERROR(__xludf.DUMMYFUNCTION("""COMPUTED_VALUE"""),45912.0)</f>
        <v>45912</v>
      </c>
      <c r="I6286" s="115" t="str">
        <f>IFERROR(__xludf.DUMMYFUNCTION("""COMPUTED_VALUE"""),"09")</f>
        <v>09</v>
      </c>
      <c r="J6286" s="115"/>
      <c r="K6286" s="115"/>
    </row>
    <row r="6287">
      <c r="A6287" s="115" t="str">
        <f>IFERROR(__xludf.DUMMYFUNCTION("""COMPUTED_VALUE"""),"SOUTH")</f>
        <v>SOUTH</v>
      </c>
      <c r="B6287" s="115" t="str">
        <f>IFERROR(__xludf.DUMMYFUNCTION("""COMPUTED_VALUE"""),"Martin A")</f>
        <v>Martin A</v>
      </c>
      <c r="C6287" s="115" t="str">
        <f>IFERROR(__xludf.DUMMYFUNCTION("""COMPUTED_VALUE"""),"EXTERNAL")</f>
        <v>EXTERNAL</v>
      </c>
      <c r="D6287" s="115">
        <f>IFERROR(__xludf.DUMMYFUNCTION("""COMPUTED_VALUE"""),12433.0)</f>
        <v>12433</v>
      </c>
      <c r="E6287" s="115">
        <f>IFERROR(__xludf.DUMMYFUNCTION("""COMPUTED_VALUE"""),1192.0)</f>
        <v>1192</v>
      </c>
      <c r="F6287" s="115">
        <f>IFERROR(__xludf.DUMMYFUNCTION("""COMPUTED_VALUE"""),282.0)</f>
        <v>282</v>
      </c>
      <c r="G6287" s="115">
        <f>IFERROR(__xludf.DUMMYFUNCTION("""COMPUTED_VALUE"""),16.0)</f>
        <v>16</v>
      </c>
      <c r="H6287" s="116">
        <f>IFERROR(__xludf.DUMMYFUNCTION("""COMPUTED_VALUE"""),45912.0)</f>
        <v>45912</v>
      </c>
      <c r="I6287" s="115" t="str">
        <f>IFERROR(__xludf.DUMMYFUNCTION("""COMPUTED_VALUE"""),"09")</f>
        <v>09</v>
      </c>
      <c r="J6287" s="115"/>
      <c r="K6287" s="115"/>
    </row>
    <row r="6288">
      <c r="A6288" s="115" t="str">
        <f>IFERROR(__xludf.DUMMYFUNCTION("""COMPUTED_VALUE"""),"SOUTH")</f>
        <v>SOUTH</v>
      </c>
      <c r="B6288" s="115" t="str">
        <f>IFERROR(__xludf.DUMMYFUNCTION("""COMPUTED_VALUE"""),"Martin A")</f>
        <v>Martin A</v>
      </c>
      <c r="C6288" s="115" t="str">
        <f>IFERROR(__xludf.DUMMYFUNCTION("""COMPUTED_VALUE"""),"FLIPKART")</f>
        <v>FLIPKART</v>
      </c>
      <c r="D6288" s="115">
        <f>IFERROR(__xludf.DUMMYFUNCTION("""COMPUTED_VALUE"""),131476.0)</f>
        <v>131476</v>
      </c>
      <c r="E6288" s="115">
        <f>IFERROR(__xludf.DUMMYFUNCTION("""COMPUTED_VALUE"""),9463.0)</f>
        <v>9463</v>
      </c>
      <c r="F6288" s="115">
        <f>IFERROR(__xludf.DUMMYFUNCTION("""COMPUTED_VALUE"""),5060.0)</f>
        <v>5060</v>
      </c>
      <c r="G6288" s="115">
        <f>IFERROR(__xludf.DUMMYFUNCTION("""COMPUTED_VALUE"""),194.0)</f>
        <v>194</v>
      </c>
      <c r="H6288" s="116">
        <f>IFERROR(__xludf.DUMMYFUNCTION("""COMPUTED_VALUE"""),45912.0)</f>
        <v>45912</v>
      </c>
      <c r="I6288" s="115" t="str">
        <f>IFERROR(__xludf.DUMMYFUNCTION("""COMPUTED_VALUE"""),"09")</f>
        <v>09</v>
      </c>
      <c r="J6288" s="115"/>
      <c r="K6288" s="115"/>
    </row>
    <row r="6289">
      <c r="A6289" s="115" t="str">
        <f>IFERROR(__xludf.DUMMYFUNCTION("""COMPUTED_VALUE"""),"SOUTH")</f>
        <v>SOUTH</v>
      </c>
      <c r="B6289" s="115" t="str">
        <f>IFERROR(__xludf.DUMMYFUNCTION("""COMPUTED_VALUE"""),"Martin A")</f>
        <v>Martin A</v>
      </c>
      <c r="C6289" s="115" t="str">
        <f>IFERROR(__xludf.DUMMYFUNCTION("""COMPUTED_VALUE"""),"MYNTRA")</f>
        <v>MYNTRA</v>
      </c>
      <c r="D6289" s="115">
        <f>IFERROR(__xludf.DUMMYFUNCTION("""COMPUTED_VALUE"""),13203.0)</f>
        <v>13203</v>
      </c>
      <c r="E6289" s="115">
        <f>IFERROR(__xludf.DUMMYFUNCTION("""COMPUTED_VALUE"""),2613.0)</f>
        <v>2613</v>
      </c>
      <c r="F6289" s="115">
        <f>IFERROR(__xludf.DUMMYFUNCTION("""COMPUTED_VALUE"""),663.0)</f>
        <v>663</v>
      </c>
      <c r="G6289" s="115">
        <f>IFERROR(__xludf.DUMMYFUNCTION("""COMPUTED_VALUE"""),48.0)</f>
        <v>48</v>
      </c>
      <c r="H6289" s="116">
        <f>IFERROR(__xludf.DUMMYFUNCTION("""COMPUTED_VALUE"""),45912.0)</f>
        <v>45912</v>
      </c>
      <c r="I6289" s="115" t="str">
        <f>IFERROR(__xludf.DUMMYFUNCTION("""COMPUTED_VALUE"""),"09")</f>
        <v>09</v>
      </c>
      <c r="J6289" s="115"/>
      <c r="K6289" s="115"/>
    </row>
    <row r="6290">
      <c r="A6290" s="115" t="str">
        <f>IFERROR(__xludf.DUMMYFUNCTION("""COMPUTED_VALUE"""),"SOUTH")</f>
        <v>SOUTH</v>
      </c>
      <c r="B6290" s="115" t="str">
        <f>IFERROR(__xludf.DUMMYFUNCTION("""COMPUTED_VALUE"""),"Premkumar M")</f>
        <v>Premkumar M</v>
      </c>
      <c r="C6290" s="115" t="str">
        <f>IFERROR(__xludf.DUMMYFUNCTION("""COMPUTED_VALUE"""),"EXTERNAL")</f>
        <v>EXTERNAL</v>
      </c>
      <c r="D6290" s="115">
        <f>IFERROR(__xludf.DUMMYFUNCTION("""COMPUTED_VALUE"""),4533.0)</f>
        <v>4533</v>
      </c>
      <c r="E6290" s="115">
        <f>IFERROR(__xludf.DUMMYFUNCTION("""COMPUTED_VALUE"""),206.0)</f>
        <v>206</v>
      </c>
      <c r="F6290" s="115">
        <f>IFERROR(__xludf.DUMMYFUNCTION("""COMPUTED_VALUE"""),57.0)</f>
        <v>57</v>
      </c>
      <c r="G6290" s="115">
        <f>IFERROR(__xludf.DUMMYFUNCTION("""COMPUTED_VALUE"""),2.0)</f>
        <v>2</v>
      </c>
      <c r="H6290" s="116">
        <f>IFERROR(__xludf.DUMMYFUNCTION("""COMPUTED_VALUE"""),45912.0)</f>
        <v>45912</v>
      </c>
      <c r="I6290" s="115" t="str">
        <f>IFERROR(__xludf.DUMMYFUNCTION("""COMPUTED_VALUE"""),"09")</f>
        <v>09</v>
      </c>
      <c r="J6290" s="115"/>
      <c r="K6290" s="115"/>
    </row>
    <row r="6291">
      <c r="A6291" s="115" t="str">
        <f>IFERROR(__xludf.DUMMYFUNCTION("""COMPUTED_VALUE"""),"SOUTH")</f>
        <v>SOUTH</v>
      </c>
      <c r="B6291" s="115" t="str">
        <f>IFERROR(__xludf.DUMMYFUNCTION("""COMPUTED_VALUE"""),"Premkumar M")</f>
        <v>Premkumar M</v>
      </c>
      <c r="C6291" s="115" t="str">
        <f>IFERROR(__xludf.DUMMYFUNCTION("""COMPUTED_VALUE"""),"FLIPKART")</f>
        <v>FLIPKART</v>
      </c>
      <c r="D6291" s="115">
        <f>IFERROR(__xludf.DUMMYFUNCTION("""COMPUTED_VALUE"""),51916.0)</f>
        <v>51916</v>
      </c>
      <c r="E6291" s="115">
        <f>IFERROR(__xludf.DUMMYFUNCTION("""COMPUTED_VALUE"""),2408.0)</f>
        <v>2408</v>
      </c>
      <c r="F6291" s="115">
        <f>IFERROR(__xludf.DUMMYFUNCTION("""COMPUTED_VALUE"""),1265.0)</f>
        <v>1265</v>
      </c>
      <c r="G6291" s="115">
        <f>IFERROR(__xludf.DUMMYFUNCTION("""COMPUTED_VALUE"""),31.0)</f>
        <v>31</v>
      </c>
      <c r="H6291" s="116">
        <f>IFERROR(__xludf.DUMMYFUNCTION("""COMPUTED_VALUE"""),45912.0)</f>
        <v>45912</v>
      </c>
      <c r="I6291" s="115" t="str">
        <f>IFERROR(__xludf.DUMMYFUNCTION("""COMPUTED_VALUE"""),"09")</f>
        <v>09</v>
      </c>
      <c r="J6291" s="115"/>
      <c r="K6291" s="115"/>
    </row>
    <row r="6292">
      <c r="A6292" s="115" t="str">
        <f>IFERROR(__xludf.DUMMYFUNCTION("""COMPUTED_VALUE"""),"SOUTH")</f>
        <v>SOUTH</v>
      </c>
      <c r="B6292" s="115" t="str">
        <f>IFERROR(__xludf.DUMMYFUNCTION("""COMPUTED_VALUE"""),"Premkumar M")</f>
        <v>Premkumar M</v>
      </c>
      <c r="C6292" s="115" t="str">
        <f>IFERROR(__xludf.DUMMYFUNCTION("""COMPUTED_VALUE"""),"MYNTRA")</f>
        <v>MYNTRA</v>
      </c>
      <c r="D6292" s="115">
        <f>IFERROR(__xludf.DUMMYFUNCTION("""COMPUTED_VALUE"""),2963.0)</f>
        <v>2963</v>
      </c>
      <c r="E6292" s="115">
        <f>IFERROR(__xludf.DUMMYFUNCTION("""COMPUTED_VALUE"""),452.0)</f>
        <v>452</v>
      </c>
      <c r="F6292" s="115">
        <f>IFERROR(__xludf.DUMMYFUNCTION("""COMPUTED_VALUE"""),59.0)</f>
        <v>59</v>
      </c>
      <c r="G6292" s="115">
        <f>IFERROR(__xludf.DUMMYFUNCTION("""COMPUTED_VALUE"""),0.0)</f>
        <v>0</v>
      </c>
      <c r="H6292" s="116">
        <f>IFERROR(__xludf.DUMMYFUNCTION("""COMPUTED_VALUE"""),45912.0)</f>
        <v>45912</v>
      </c>
      <c r="I6292" s="115" t="str">
        <f>IFERROR(__xludf.DUMMYFUNCTION("""COMPUTED_VALUE"""),"09")</f>
        <v>09</v>
      </c>
      <c r="J6292" s="115"/>
      <c r="K6292" s="115"/>
    </row>
    <row r="6293">
      <c r="A6293" s="115" t="str">
        <f>IFERROR(__xludf.DUMMYFUNCTION("""COMPUTED_VALUE"""),"SOUTH")</f>
        <v>SOUTH</v>
      </c>
      <c r="B6293" s="115" t="str">
        <f>IFERROR(__xludf.DUMMYFUNCTION("""COMPUTED_VALUE"""),"Vineeth V")</f>
        <v>Vineeth V</v>
      </c>
      <c r="C6293" s="115" t="str">
        <f>IFERROR(__xludf.DUMMYFUNCTION("""COMPUTED_VALUE"""),"EXTERNAL")</f>
        <v>EXTERNAL</v>
      </c>
      <c r="D6293" s="115">
        <f>IFERROR(__xludf.DUMMYFUNCTION("""COMPUTED_VALUE"""),2135.0)</f>
        <v>2135</v>
      </c>
      <c r="E6293" s="115">
        <f>IFERROR(__xludf.DUMMYFUNCTION("""COMPUTED_VALUE"""),50.0)</f>
        <v>50</v>
      </c>
      <c r="F6293" s="115">
        <f>IFERROR(__xludf.DUMMYFUNCTION("""COMPUTED_VALUE"""),37.0)</f>
        <v>37</v>
      </c>
      <c r="G6293" s="115">
        <f>IFERROR(__xludf.DUMMYFUNCTION("""COMPUTED_VALUE"""),0.0)</f>
        <v>0</v>
      </c>
      <c r="H6293" s="116">
        <f>IFERROR(__xludf.DUMMYFUNCTION("""COMPUTED_VALUE"""),45912.0)</f>
        <v>45912</v>
      </c>
      <c r="I6293" s="115" t="str">
        <f>IFERROR(__xludf.DUMMYFUNCTION("""COMPUTED_VALUE"""),"09")</f>
        <v>09</v>
      </c>
      <c r="J6293" s="115"/>
      <c r="K6293" s="115"/>
    </row>
    <row r="6294">
      <c r="A6294" s="115" t="str">
        <f>IFERROR(__xludf.DUMMYFUNCTION("""COMPUTED_VALUE"""),"SOUTH")</f>
        <v>SOUTH</v>
      </c>
      <c r="B6294" s="115" t="str">
        <f>IFERROR(__xludf.DUMMYFUNCTION("""COMPUTED_VALUE"""),"Vineeth V")</f>
        <v>Vineeth V</v>
      </c>
      <c r="C6294" s="115" t="str">
        <f>IFERROR(__xludf.DUMMYFUNCTION("""COMPUTED_VALUE"""),"FLIPKART")</f>
        <v>FLIPKART</v>
      </c>
      <c r="D6294" s="115">
        <f>IFERROR(__xludf.DUMMYFUNCTION("""COMPUTED_VALUE"""),23419.0)</f>
        <v>23419</v>
      </c>
      <c r="E6294" s="115">
        <f>IFERROR(__xludf.DUMMYFUNCTION("""COMPUTED_VALUE"""),1182.0)</f>
        <v>1182</v>
      </c>
      <c r="F6294" s="115">
        <f>IFERROR(__xludf.DUMMYFUNCTION("""COMPUTED_VALUE"""),536.0)</f>
        <v>536</v>
      </c>
      <c r="G6294" s="115">
        <f>IFERROR(__xludf.DUMMYFUNCTION("""COMPUTED_VALUE"""),11.0)</f>
        <v>11</v>
      </c>
      <c r="H6294" s="116">
        <f>IFERROR(__xludf.DUMMYFUNCTION("""COMPUTED_VALUE"""),45912.0)</f>
        <v>45912</v>
      </c>
      <c r="I6294" s="115" t="str">
        <f>IFERROR(__xludf.DUMMYFUNCTION("""COMPUTED_VALUE"""),"09")</f>
        <v>09</v>
      </c>
      <c r="J6294" s="115"/>
      <c r="K6294" s="115"/>
    </row>
    <row r="6295">
      <c r="A6295" s="115" t="str">
        <f>IFERROR(__xludf.DUMMYFUNCTION("""COMPUTED_VALUE"""),"SOUTH")</f>
        <v>SOUTH</v>
      </c>
      <c r="B6295" s="115" t="str">
        <f>IFERROR(__xludf.DUMMYFUNCTION("""COMPUTED_VALUE"""),"Vineeth V")</f>
        <v>Vineeth V</v>
      </c>
      <c r="C6295" s="115" t="str">
        <f>IFERROR(__xludf.DUMMYFUNCTION("""COMPUTED_VALUE"""),"MYNTRA")</f>
        <v>MYNTRA</v>
      </c>
      <c r="D6295" s="115">
        <f>IFERROR(__xludf.DUMMYFUNCTION("""COMPUTED_VALUE"""),2082.0)</f>
        <v>2082</v>
      </c>
      <c r="E6295" s="115">
        <f>IFERROR(__xludf.DUMMYFUNCTION("""COMPUTED_VALUE"""),323.0)</f>
        <v>323</v>
      </c>
      <c r="F6295" s="115">
        <f>IFERROR(__xludf.DUMMYFUNCTION("""COMPUTED_VALUE"""),52.0)</f>
        <v>52</v>
      </c>
      <c r="G6295" s="115">
        <f>IFERROR(__xludf.DUMMYFUNCTION("""COMPUTED_VALUE"""),1.0)</f>
        <v>1</v>
      </c>
      <c r="H6295" s="116">
        <f>IFERROR(__xludf.DUMMYFUNCTION("""COMPUTED_VALUE"""),45912.0)</f>
        <v>45912</v>
      </c>
      <c r="I6295" s="115" t="str">
        <f>IFERROR(__xludf.DUMMYFUNCTION("""COMPUTED_VALUE"""),"09")</f>
        <v>09</v>
      </c>
      <c r="J6295" s="115"/>
      <c r="K6295" s="115"/>
    </row>
    <row r="6296">
      <c r="A6296" s="115" t="str">
        <f>IFERROR(__xludf.DUMMYFUNCTION("""COMPUTED_VALUE"""),"WEST")</f>
        <v>WEST</v>
      </c>
      <c r="B6296" s="115" t="str">
        <f>IFERROR(__xludf.DUMMYFUNCTION("""COMPUTED_VALUE"""),"Ashish Jakar")</f>
        <v>Ashish Jakar</v>
      </c>
      <c r="C6296" s="115" t="str">
        <f>IFERROR(__xludf.DUMMYFUNCTION("""COMPUTED_VALUE"""),"EXTERNAL")</f>
        <v>EXTERNAL</v>
      </c>
      <c r="D6296" s="115">
        <f>IFERROR(__xludf.DUMMYFUNCTION("""COMPUTED_VALUE"""),14109.0)</f>
        <v>14109</v>
      </c>
      <c r="E6296" s="115">
        <f>IFERROR(__xludf.DUMMYFUNCTION("""COMPUTED_VALUE"""),1304.0)</f>
        <v>1304</v>
      </c>
      <c r="F6296" s="115">
        <f>IFERROR(__xludf.DUMMYFUNCTION("""COMPUTED_VALUE"""),629.0)</f>
        <v>629</v>
      </c>
      <c r="G6296" s="115">
        <f>IFERROR(__xludf.DUMMYFUNCTION("""COMPUTED_VALUE"""),13.0)</f>
        <v>13</v>
      </c>
      <c r="H6296" s="116">
        <f>IFERROR(__xludf.DUMMYFUNCTION("""COMPUTED_VALUE"""),45912.0)</f>
        <v>45912</v>
      </c>
      <c r="I6296" s="115" t="str">
        <f>IFERROR(__xludf.DUMMYFUNCTION("""COMPUTED_VALUE"""),"09")</f>
        <v>09</v>
      </c>
      <c r="J6296" s="115"/>
      <c r="K6296" s="115"/>
    </row>
    <row r="6297">
      <c r="A6297" s="115" t="str">
        <f>IFERROR(__xludf.DUMMYFUNCTION("""COMPUTED_VALUE"""),"WEST")</f>
        <v>WEST</v>
      </c>
      <c r="B6297" s="115" t="str">
        <f>IFERROR(__xludf.DUMMYFUNCTION("""COMPUTED_VALUE"""),"Ashish Jakar")</f>
        <v>Ashish Jakar</v>
      </c>
      <c r="C6297" s="115" t="str">
        <f>IFERROR(__xludf.DUMMYFUNCTION("""COMPUTED_VALUE"""),"FLIPKART")</f>
        <v>FLIPKART</v>
      </c>
      <c r="D6297" s="115">
        <f>IFERROR(__xludf.DUMMYFUNCTION("""COMPUTED_VALUE"""),104582.0)</f>
        <v>104582</v>
      </c>
      <c r="E6297" s="115">
        <f>IFERROR(__xludf.DUMMYFUNCTION("""COMPUTED_VALUE"""),7664.0)</f>
        <v>7664</v>
      </c>
      <c r="F6297" s="115">
        <f>IFERROR(__xludf.DUMMYFUNCTION("""COMPUTED_VALUE"""),2286.0)</f>
        <v>2286</v>
      </c>
      <c r="G6297" s="115">
        <f>IFERROR(__xludf.DUMMYFUNCTION("""COMPUTED_VALUE"""),69.0)</f>
        <v>69</v>
      </c>
      <c r="H6297" s="116">
        <f>IFERROR(__xludf.DUMMYFUNCTION("""COMPUTED_VALUE"""),45912.0)</f>
        <v>45912</v>
      </c>
      <c r="I6297" s="115" t="str">
        <f>IFERROR(__xludf.DUMMYFUNCTION("""COMPUTED_VALUE"""),"09")</f>
        <v>09</v>
      </c>
      <c r="J6297" s="115"/>
      <c r="K6297" s="115"/>
    </row>
    <row r="6298">
      <c r="A6298" s="115" t="str">
        <f>IFERROR(__xludf.DUMMYFUNCTION("""COMPUTED_VALUE"""),"WEST")</f>
        <v>WEST</v>
      </c>
      <c r="B6298" s="115" t="str">
        <f>IFERROR(__xludf.DUMMYFUNCTION("""COMPUTED_VALUE"""),"Ashish Jakar")</f>
        <v>Ashish Jakar</v>
      </c>
      <c r="C6298" s="115" t="str">
        <f>IFERROR(__xludf.DUMMYFUNCTION("""COMPUTED_VALUE"""),"MYNTRA")</f>
        <v>MYNTRA</v>
      </c>
      <c r="D6298" s="115">
        <f>IFERROR(__xludf.DUMMYFUNCTION("""COMPUTED_VALUE"""),12054.0)</f>
        <v>12054</v>
      </c>
      <c r="E6298" s="115">
        <f>IFERROR(__xludf.DUMMYFUNCTION("""COMPUTED_VALUE"""),2730.0)</f>
        <v>2730</v>
      </c>
      <c r="F6298" s="115">
        <f>IFERROR(__xludf.DUMMYFUNCTION("""COMPUTED_VALUE"""),326.0)</f>
        <v>326</v>
      </c>
      <c r="G6298" s="115">
        <f>IFERROR(__xludf.DUMMYFUNCTION("""COMPUTED_VALUE"""),10.0)</f>
        <v>10</v>
      </c>
      <c r="H6298" s="116">
        <f>IFERROR(__xludf.DUMMYFUNCTION("""COMPUTED_VALUE"""),45912.0)</f>
        <v>45912</v>
      </c>
      <c r="I6298" s="115" t="str">
        <f>IFERROR(__xludf.DUMMYFUNCTION("""COMPUTED_VALUE"""),"09")</f>
        <v>09</v>
      </c>
      <c r="J6298" s="115"/>
      <c r="K6298" s="115"/>
    </row>
    <row r="6299">
      <c r="A6299" s="115" t="str">
        <f>IFERROR(__xludf.DUMMYFUNCTION("""COMPUTED_VALUE"""),"WEST")</f>
        <v>WEST</v>
      </c>
      <c r="B6299" s="115" t="str">
        <f>IFERROR(__xludf.DUMMYFUNCTION("""COMPUTED_VALUE"""),"Ashvani Bhatt")</f>
        <v>Ashvani Bhatt</v>
      </c>
      <c r="C6299" s="115" t="str">
        <f>IFERROR(__xludf.DUMMYFUNCTION("""COMPUTED_VALUE"""),"EXTERNAL")</f>
        <v>EXTERNAL</v>
      </c>
      <c r="D6299" s="115">
        <f>IFERROR(__xludf.DUMMYFUNCTION("""COMPUTED_VALUE"""),10201.0)</f>
        <v>10201</v>
      </c>
      <c r="E6299" s="115">
        <f>IFERROR(__xludf.DUMMYFUNCTION("""COMPUTED_VALUE"""),642.0)</f>
        <v>642</v>
      </c>
      <c r="F6299" s="115">
        <f>IFERROR(__xludf.DUMMYFUNCTION("""COMPUTED_VALUE"""),138.0)</f>
        <v>138</v>
      </c>
      <c r="G6299" s="115">
        <f>IFERROR(__xludf.DUMMYFUNCTION("""COMPUTED_VALUE"""),3.0)</f>
        <v>3</v>
      </c>
      <c r="H6299" s="116">
        <f>IFERROR(__xludf.DUMMYFUNCTION("""COMPUTED_VALUE"""),45912.0)</f>
        <v>45912</v>
      </c>
      <c r="I6299" s="115" t="str">
        <f>IFERROR(__xludf.DUMMYFUNCTION("""COMPUTED_VALUE"""),"09")</f>
        <v>09</v>
      </c>
      <c r="J6299" s="115"/>
      <c r="K6299" s="115"/>
    </row>
    <row r="6300">
      <c r="A6300" s="115" t="str">
        <f>IFERROR(__xludf.DUMMYFUNCTION("""COMPUTED_VALUE"""),"WEST")</f>
        <v>WEST</v>
      </c>
      <c r="B6300" s="115" t="str">
        <f>IFERROR(__xludf.DUMMYFUNCTION("""COMPUTED_VALUE"""),"Ashvani Bhatt")</f>
        <v>Ashvani Bhatt</v>
      </c>
      <c r="C6300" s="115" t="str">
        <f>IFERROR(__xludf.DUMMYFUNCTION("""COMPUTED_VALUE"""),"FLIPKART")</f>
        <v>FLIPKART</v>
      </c>
      <c r="D6300" s="115">
        <f>IFERROR(__xludf.DUMMYFUNCTION("""COMPUTED_VALUE"""),100787.0)</f>
        <v>100787</v>
      </c>
      <c r="E6300" s="115">
        <f>IFERROR(__xludf.DUMMYFUNCTION("""COMPUTED_VALUE"""),5920.0)</f>
        <v>5920</v>
      </c>
      <c r="F6300" s="115">
        <f>IFERROR(__xludf.DUMMYFUNCTION("""COMPUTED_VALUE"""),3038.0)</f>
        <v>3038</v>
      </c>
      <c r="G6300" s="115">
        <f>IFERROR(__xludf.DUMMYFUNCTION("""COMPUTED_VALUE"""),42.0)</f>
        <v>42</v>
      </c>
      <c r="H6300" s="116">
        <f>IFERROR(__xludf.DUMMYFUNCTION("""COMPUTED_VALUE"""),45912.0)</f>
        <v>45912</v>
      </c>
      <c r="I6300" s="115" t="str">
        <f>IFERROR(__xludf.DUMMYFUNCTION("""COMPUTED_VALUE"""),"09")</f>
        <v>09</v>
      </c>
      <c r="J6300" s="115"/>
      <c r="K6300" s="115"/>
    </row>
    <row r="6301">
      <c r="A6301" s="115" t="str">
        <f>IFERROR(__xludf.DUMMYFUNCTION("""COMPUTED_VALUE"""),"WEST")</f>
        <v>WEST</v>
      </c>
      <c r="B6301" s="115" t="str">
        <f>IFERROR(__xludf.DUMMYFUNCTION("""COMPUTED_VALUE"""),"Ashvani Bhatt")</f>
        <v>Ashvani Bhatt</v>
      </c>
      <c r="C6301" s="115" t="str">
        <f>IFERROR(__xludf.DUMMYFUNCTION("""COMPUTED_VALUE"""),"MYNTRA")</f>
        <v>MYNTRA</v>
      </c>
      <c r="D6301" s="115">
        <f>IFERROR(__xludf.DUMMYFUNCTION("""COMPUTED_VALUE"""),11885.0)</f>
        <v>11885</v>
      </c>
      <c r="E6301" s="115">
        <f>IFERROR(__xludf.DUMMYFUNCTION("""COMPUTED_VALUE"""),2091.0)</f>
        <v>2091</v>
      </c>
      <c r="F6301" s="115">
        <f>IFERROR(__xludf.DUMMYFUNCTION("""COMPUTED_VALUE"""),420.0)</f>
        <v>420</v>
      </c>
      <c r="G6301" s="115">
        <f>IFERROR(__xludf.DUMMYFUNCTION("""COMPUTED_VALUE"""),12.0)</f>
        <v>12</v>
      </c>
      <c r="H6301" s="116">
        <f>IFERROR(__xludf.DUMMYFUNCTION("""COMPUTED_VALUE"""),45912.0)</f>
        <v>45912</v>
      </c>
      <c r="I6301" s="115" t="str">
        <f>IFERROR(__xludf.DUMMYFUNCTION("""COMPUTED_VALUE"""),"09")</f>
        <v>09</v>
      </c>
      <c r="J6301" s="115"/>
      <c r="K6301" s="115"/>
    </row>
    <row r="6302">
      <c r="A6302" s="115"/>
      <c r="B6302" s="115"/>
      <c r="C6302" s="115" t="str">
        <f>IFERROR(__xludf.DUMMYFUNCTION("""COMPUTED_VALUE"""),"EXTERNAL")</f>
        <v>EXTERNAL</v>
      </c>
      <c r="D6302" s="115">
        <f>IFERROR(__xludf.DUMMYFUNCTION("""COMPUTED_VALUE"""),251.0)</f>
        <v>251</v>
      </c>
      <c r="E6302" s="115">
        <f>IFERROR(__xludf.DUMMYFUNCTION("""COMPUTED_VALUE"""),61.0)</f>
        <v>61</v>
      </c>
      <c r="F6302" s="115">
        <f>IFERROR(__xludf.DUMMYFUNCTION("""COMPUTED_VALUE"""),3.0)</f>
        <v>3</v>
      </c>
      <c r="G6302" s="115">
        <f>IFERROR(__xludf.DUMMYFUNCTION("""COMPUTED_VALUE"""),1.0)</f>
        <v>1</v>
      </c>
      <c r="H6302" s="116">
        <f>IFERROR(__xludf.DUMMYFUNCTION("""COMPUTED_VALUE"""),45912.0)</f>
        <v>45912</v>
      </c>
      <c r="I6302" s="115" t="str">
        <f>IFERROR(__xludf.DUMMYFUNCTION("""COMPUTED_VALUE"""),"09")</f>
        <v>09</v>
      </c>
      <c r="J6302" s="115"/>
      <c r="K6302" s="115"/>
    </row>
    <row r="6303">
      <c r="A6303" s="115"/>
      <c r="B6303" s="115"/>
      <c r="C6303" s="115" t="str">
        <f>IFERROR(__xludf.DUMMYFUNCTION("""COMPUTED_VALUE"""),"FLIPKART")</f>
        <v>FLIPKART</v>
      </c>
      <c r="D6303" s="115">
        <f>IFERROR(__xludf.DUMMYFUNCTION("""COMPUTED_VALUE"""),2583.0)</f>
        <v>2583</v>
      </c>
      <c r="E6303" s="115">
        <f>IFERROR(__xludf.DUMMYFUNCTION("""COMPUTED_VALUE"""),380.0)</f>
        <v>380</v>
      </c>
      <c r="F6303" s="115">
        <f>IFERROR(__xludf.DUMMYFUNCTION("""COMPUTED_VALUE"""),52.0)</f>
        <v>52</v>
      </c>
      <c r="G6303" s="115">
        <f>IFERROR(__xludf.DUMMYFUNCTION("""COMPUTED_VALUE"""),19.0)</f>
        <v>19</v>
      </c>
      <c r="H6303" s="116">
        <f>IFERROR(__xludf.DUMMYFUNCTION("""COMPUTED_VALUE"""),45912.0)</f>
        <v>45912</v>
      </c>
      <c r="I6303" s="115" t="str">
        <f>IFERROR(__xludf.DUMMYFUNCTION("""COMPUTED_VALUE"""),"09")</f>
        <v>09</v>
      </c>
      <c r="J6303" s="115"/>
      <c r="K6303" s="115"/>
    </row>
    <row r="6304">
      <c r="A6304" s="115"/>
      <c r="B6304" s="115"/>
      <c r="C6304" s="115" t="str">
        <f>IFERROR(__xludf.DUMMYFUNCTION("""COMPUTED_VALUE"""),"MYNTRA")</f>
        <v>MYNTRA</v>
      </c>
      <c r="D6304" s="115">
        <f>IFERROR(__xludf.DUMMYFUNCTION("""COMPUTED_VALUE"""),340.0)</f>
        <v>340</v>
      </c>
      <c r="E6304" s="115">
        <f>IFERROR(__xludf.DUMMYFUNCTION("""COMPUTED_VALUE"""),107.0)</f>
        <v>107</v>
      </c>
      <c r="F6304" s="115">
        <f>IFERROR(__xludf.DUMMYFUNCTION("""COMPUTED_VALUE"""),15.0)</f>
        <v>15</v>
      </c>
      <c r="G6304" s="115">
        <f>IFERROR(__xludf.DUMMYFUNCTION("""COMPUTED_VALUE"""),5.0)</f>
        <v>5</v>
      </c>
      <c r="H6304" s="116">
        <f>IFERROR(__xludf.DUMMYFUNCTION("""COMPUTED_VALUE"""),45912.0)</f>
        <v>45912</v>
      </c>
      <c r="I6304" s="115" t="str">
        <f>IFERROR(__xludf.DUMMYFUNCTION("""COMPUTED_VALUE"""),"09")</f>
        <v>09</v>
      </c>
      <c r="J6304" s="115"/>
      <c r="K6304" s="115"/>
    </row>
    <row r="6305">
      <c r="A6305" s="115" t="str">
        <f>IFERROR(__xludf.DUMMYFUNCTION("""COMPUTED_VALUE"""),"EAST")</f>
        <v>EAST</v>
      </c>
      <c r="B6305" s="115" t="str">
        <f>IFERROR(__xludf.DUMMYFUNCTION("""COMPUTED_VALUE"""),"Ashish Ranjan")</f>
        <v>Ashish Ranjan</v>
      </c>
      <c r="C6305" s="115" t="str">
        <f>IFERROR(__xludf.DUMMYFUNCTION("""COMPUTED_VALUE"""),"EXTERNAL")</f>
        <v>EXTERNAL</v>
      </c>
      <c r="D6305" s="115">
        <f>IFERROR(__xludf.DUMMYFUNCTION("""COMPUTED_VALUE"""),24512.0)</f>
        <v>24512</v>
      </c>
      <c r="E6305" s="115">
        <f>IFERROR(__xludf.DUMMYFUNCTION("""COMPUTED_VALUE"""),1540.0)</f>
        <v>1540</v>
      </c>
      <c r="F6305" s="115">
        <f>IFERROR(__xludf.DUMMYFUNCTION("""COMPUTED_VALUE"""),1401.0)</f>
        <v>1401</v>
      </c>
      <c r="G6305" s="115">
        <f>IFERROR(__xludf.DUMMYFUNCTION("""COMPUTED_VALUE"""),34.0)</f>
        <v>34</v>
      </c>
      <c r="H6305" s="116">
        <f>IFERROR(__xludf.DUMMYFUNCTION("""COMPUTED_VALUE"""),45912.0)</f>
        <v>45912</v>
      </c>
      <c r="I6305" s="115" t="str">
        <f>IFERROR(__xludf.DUMMYFUNCTION("""COMPUTED_VALUE"""),"10")</f>
        <v>10</v>
      </c>
      <c r="J6305" s="115"/>
      <c r="K6305" s="115"/>
    </row>
    <row r="6306">
      <c r="A6306" s="115" t="str">
        <f>IFERROR(__xludf.DUMMYFUNCTION("""COMPUTED_VALUE"""),"EAST")</f>
        <v>EAST</v>
      </c>
      <c r="B6306" s="115" t="str">
        <f>IFERROR(__xludf.DUMMYFUNCTION("""COMPUTED_VALUE"""),"Ashish Ranjan")</f>
        <v>Ashish Ranjan</v>
      </c>
      <c r="C6306" s="115" t="str">
        <f>IFERROR(__xludf.DUMMYFUNCTION("""COMPUTED_VALUE"""),"FLIPKART")</f>
        <v>FLIPKART</v>
      </c>
      <c r="D6306" s="115">
        <f>IFERROR(__xludf.DUMMYFUNCTION("""COMPUTED_VALUE"""),466296.0)</f>
        <v>466296</v>
      </c>
      <c r="E6306" s="115">
        <f>IFERROR(__xludf.DUMMYFUNCTION("""COMPUTED_VALUE"""),33836.0)</f>
        <v>33836</v>
      </c>
      <c r="F6306" s="115">
        <f>IFERROR(__xludf.DUMMYFUNCTION("""COMPUTED_VALUE"""),42706.0)</f>
        <v>42706</v>
      </c>
      <c r="G6306" s="115">
        <f>IFERROR(__xludf.DUMMYFUNCTION("""COMPUTED_VALUE"""),1097.0)</f>
        <v>1097</v>
      </c>
      <c r="H6306" s="116">
        <f>IFERROR(__xludf.DUMMYFUNCTION("""COMPUTED_VALUE"""),45912.0)</f>
        <v>45912</v>
      </c>
      <c r="I6306" s="115" t="str">
        <f>IFERROR(__xludf.DUMMYFUNCTION("""COMPUTED_VALUE"""),"10")</f>
        <v>10</v>
      </c>
      <c r="J6306" s="115"/>
      <c r="K6306" s="115"/>
    </row>
    <row r="6307">
      <c r="A6307" s="115" t="str">
        <f>IFERROR(__xludf.DUMMYFUNCTION("""COMPUTED_VALUE"""),"EAST")</f>
        <v>EAST</v>
      </c>
      <c r="B6307" s="115" t="str">
        <f>IFERROR(__xludf.DUMMYFUNCTION("""COMPUTED_VALUE"""),"Ashish Ranjan")</f>
        <v>Ashish Ranjan</v>
      </c>
      <c r="C6307" s="115" t="str">
        <f>IFERROR(__xludf.DUMMYFUNCTION("""COMPUTED_VALUE"""),"MYNTRA")</f>
        <v>MYNTRA</v>
      </c>
      <c r="D6307" s="115">
        <f>IFERROR(__xludf.DUMMYFUNCTION("""COMPUTED_VALUE"""),46136.0)</f>
        <v>46136</v>
      </c>
      <c r="E6307" s="115">
        <f>IFERROR(__xludf.DUMMYFUNCTION("""COMPUTED_VALUE"""),8220.0)</f>
        <v>8220</v>
      </c>
      <c r="F6307" s="115">
        <f>IFERROR(__xludf.DUMMYFUNCTION("""COMPUTED_VALUE"""),4271.0)</f>
        <v>4271</v>
      </c>
      <c r="G6307" s="115">
        <f>IFERROR(__xludf.DUMMYFUNCTION("""COMPUTED_VALUE"""),206.0)</f>
        <v>206</v>
      </c>
      <c r="H6307" s="116">
        <f>IFERROR(__xludf.DUMMYFUNCTION("""COMPUTED_VALUE"""),45912.0)</f>
        <v>45912</v>
      </c>
      <c r="I6307" s="115" t="str">
        <f>IFERROR(__xludf.DUMMYFUNCTION("""COMPUTED_VALUE"""),"10")</f>
        <v>10</v>
      </c>
      <c r="J6307" s="115"/>
      <c r="K6307" s="115"/>
    </row>
    <row r="6308">
      <c r="A6308" s="115" t="str">
        <f>IFERROR(__xludf.DUMMYFUNCTION("""COMPUTED_VALUE"""),"EAST")</f>
        <v>EAST</v>
      </c>
      <c r="B6308" s="115" t="str">
        <f>IFERROR(__xludf.DUMMYFUNCTION("""COMPUTED_VALUE"""),"Girish Chand")</f>
        <v>Girish Chand</v>
      </c>
      <c r="C6308" s="115" t="str">
        <f>IFERROR(__xludf.DUMMYFUNCTION("""COMPUTED_VALUE"""),"EXTERNAL")</f>
        <v>EXTERNAL</v>
      </c>
      <c r="D6308" s="115">
        <f>IFERROR(__xludf.DUMMYFUNCTION("""COMPUTED_VALUE"""),14978.0)</f>
        <v>14978</v>
      </c>
      <c r="E6308" s="115">
        <f>IFERROR(__xludf.DUMMYFUNCTION("""COMPUTED_VALUE"""),919.0)</f>
        <v>919</v>
      </c>
      <c r="F6308" s="115">
        <f>IFERROR(__xludf.DUMMYFUNCTION("""COMPUTED_VALUE"""),442.0)</f>
        <v>442</v>
      </c>
      <c r="G6308" s="115">
        <f>IFERROR(__xludf.DUMMYFUNCTION("""COMPUTED_VALUE"""),5.0)</f>
        <v>5</v>
      </c>
      <c r="H6308" s="116">
        <f>IFERROR(__xludf.DUMMYFUNCTION("""COMPUTED_VALUE"""),45912.0)</f>
        <v>45912</v>
      </c>
      <c r="I6308" s="115" t="str">
        <f>IFERROR(__xludf.DUMMYFUNCTION("""COMPUTED_VALUE"""),"10")</f>
        <v>10</v>
      </c>
      <c r="J6308" s="115"/>
      <c r="K6308" s="115"/>
    </row>
    <row r="6309">
      <c r="A6309" s="115" t="str">
        <f>IFERROR(__xludf.DUMMYFUNCTION("""COMPUTED_VALUE"""),"EAST")</f>
        <v>EAST</v>
      </c>
      <c r="B6309" s="115" t="str">
        <f>IFERROR(__xludf.DUMMYFUNCTION("""COMPUTED_VALUE"""),"Girish Chand")</f>
        <v>Girish Chand</v>
      </c>
      <c r="C6309" s="115" t="str">
        <f>IFERROR(__xludf.DUMMYFUNCTION("""COMPUTED_VALUE"""),"FLIPKART")</f>
        <v>FLIPKART</v>
      </c>
      <c r="D6309" s="115">
        <f>IFERROR(__xludf.DUMMYFUNCTION("""COMPUTED_VALUE"""),316884.0)</f>
        <v>316884</v>
      </c>
      <c r="E6309" s="115">
        <f>IFERROR(__xludf.DUMMYFUNCTION("""COMPUTED_VALUE"""),18226.0)</f>
        <v>18226</v>
      </c>
      <c r="F6309" s="115">
        <f>IFERROR(__xludf.DUMMYFUNCTION("""COMPUTED_VALUE"""),16557.0)</f>
        <v>16557</v>
      </c>
      <c r="G6309" s="115">
        <f>IFERROR(__xludf.DUMMYFUNCTION("""COMPUTED_VALUE"""),411.0)</f>
        <v>411</v>
      </c>
      <c r="H6309" s="116">
        <f>IFERROR(__xludf.DUMMYFUNCTION("""COMPUTED_VALUE"""),45912.0)</f>
        <v>45912</v>
      </c>
      <c r="I6309" s="115" t="str">
        <f>IFERROR(__xludf.DUMMYFUNCTION("""COMPUTED_VALUE"""),"10")</f>
        <v>10</v>
      </c>
      <c r="J6309" s="115"/>
      <c r="K6309" s="115"/>
    </row>
    <row r="6310">
      <c r="A6310" s="115" t="str">
        <f>IFERROR(__xludf.DUMMYFUNCTION("""COMPUTED_VALUE"""),"EAST")</f>
        <v>EAST</v>
      </c>
      <c r="B6310" s="115" t="str">
        <f>IFERROR(__xludf.DUMMYFUNCTION("""COMPUTED_VALUE"""),"Girish Chand")</f>
        <v>Girish Chand</v>
      </c>
      <c r="C6310" s="115" t="str">
        <f>IFERROR(__xludf.DUMMYFUNCTION("""COMPUTED_VALUE"""),"MYNTRA")</f>
        <v>MYNTRA</v>
      </c>
      <c r="D6310" s="115">
        <f>IFERROR(__xludf.DUMMYFUNCTION("""COMPUTED_VALUE"""),23939.0)</f>
        <v>23939</v>
      </c>
      <c r="E6310" s="115">
        <f>IFERROR(__xludf.DUMMYFUNCTION("""COMPUTED_VALUE"""),3671.0)</f>
        <v>3671</v>
      </c>
      <c r="F6310" s="115">
        <f>IFERROR(__xludf.DUMMYFUNCTION("""COMPUTED_VALUE"""),1384.0)</f>
        <v>1384</v>
      </c>
      <c r="G6310" s="115">
        <f>IFERROR(__xludf.DUMMYFUNCTION("""COMPUTED_VALUE"""),82.0)</f>
        <v>82</v>
      </c>
      <c r="H6310" s="116">
        <f>IFERROR(__xludf.DUMMYFUNCTION("""COMPUTED_VALUE"""),45912.0)</f>
        <v>45912</v>
      </c>
      <c r="I6310" s="115" t="str">
        <f>IFERROR(__xludf.DUMMYFUNCTION("""COMPUTED_VALUE"""),"10")</f>
        <v>10</v>
      </c>
      <c r="J6310" s="115"/>
      <c r="K6310" s="115"/>
    </row>
    <row r="6311">
      <c r="A6311" s="115" t="str">
        <f>IFERROR(__xludf.DUMMYFUNCTION("""COMPUTED_VALUE"""),"EAST")</f>
        <v>EAST</v>
      </c>
      <c r="B6311" s="115" t="str">
        <f>IFERROR(__xludf.DUMMYFUNCTION("""COMPUTED_VALUE"""),"Parag Kashyap")</f>
        <v>Parag Kashyap</v>
      </c>
      <c r="C6311" s="115" t="str">
        <f>IFERROR(__xludf.DUMMYFUNCTION("""COMPUTED_VALUE"""),"EXTERNAL")</f>
        <v>EXTERNAL</v>
      </c>
      <c r="D6311" s="115">
        <f>IFERROR(__xludf.DUMMYFUNCTION("""COMPUTED_VALUE"""),8333.0)</f>
        <v>8333</v>
      </c>
      <c r="E6311" s="115">
        <f>IFERROR(__xludf.DUMMYFUNCTION("""COMPUTED_VALUE"""),457.0)</f>
        <v>457</v>
      </c>
      <c r="F6311" s="115">
        <f>IFERROR(__xludf.DUMMYFUNCTION("""COMPUTED_VALUE"""),249.0)</f>
        <v>249</v>
      </c>
      <c r="G6311" s="115">
        <f>IFERROR(__xludf.DUMMYFUNCTION("""COMPUTED_VALUE"""),5.0)</f>
        <v>5</v>
      </c>
      <c r="H6311" s="116">
        <f>IFERROR(__xludf.DUMMYFUNCTION("""COMPUTED_VALUE"""),45912.0)</f>
        <v>45912</v>
      </c>
      <c r="I6311" s="115" t="str">
        <f>IFERROR(__xludf.DUMMYFUNCTION("""COMPUTED_VALUE"""),"10")</f>
        <v>10</v>
      </c>
      <c r="J6311" s="115"/>
      <c r="K6311" s="115"/>
    </row>
    <row r="6312">
      <c r="A6312" s="115" t="str">
        <f>IFERROR(__xludf.DUMMYFUNCTION("""COMPUTED_VALUE"""),"EAST")</f>
        <v>EAST</v>
      </c>
      <c r="B6312" s="115" t="str">
        <f>IFERROR(__xludf.DUMMYFUNCTION("""COMPUTED_VALUE"""),"Parag Kashyap")</f>
        <v>Parag Kashyap</v>
      </c>
      <c r="C6312" s="115" t="str">
        <f>IFERROR(__xludf.DUMMYFUNCTION("""COMPUTED_VALUE"""),"FLIPKART")</f>
        <v>FLIPKART</v>
      </c>
      <c r="D6312" s="115">
        <f>IFERROR(__xludf.DUMMYFUNCTION("""COMPUTED_VALUE"""),171236.0)</f>
        <v>171236</v>
      </c>
      <c r="E6312" s="115">
        <f>IFERROR(__xludf.DUMMYFUNCTION("""COMPUTED_VALUE"""),8078.0)</f>
        <v>8078</v>
      </c>
      <c r="F6312" s="115">
        <f>IFERROR(__xludf.DUMMYFUNCTION("""COMPUTED_VALUE"""),8815.0)</f>
        <v>8815</v>
      </c>
      <c r="G6312" s="115">
        <f>IFERROR(__xludf.DUMMYFUNCTION("""COMPUTED_VALUE"""),154.0)</f>
        <v>154</v>
      </c>
      <c r="H6312" s="116">
        <f>IFERROR(__xludf.DUMMYFUNCTION("""COMPUTED_VALUE"""),45912.0)</f>
        <v>45912</v>
      </c>
      <c r="I6312" s="115" t="str">
        <f>IFERROR(__xludf.DUMMYFUNCTION("""COMPUTED_VALUE"""),"10")</f>
        <v>10</v>
      </c>
      <c r="J6312" s="115"/>
      <c r="K6312" s="115"/>
    </row>
    <row r="6313">
      <c r="A6313" s="115" t="str">
        <f>IFERROR(__xludf.DUMMYFUNCTION("""COMPUTED_VALUE"""),"EAST")</f>
        <v>EAST</v>
      </c>
      <c r="B6313" s="115" t="str">
        <f>IFERROR(__xludf.DUMMYFUNCTION("""COMPUTED_VALUE"""),"Parag Kashyap")</f>
        <v>Parag Kashyap</v>
      </c>
      <c r="C6313" s="115" t="str">
        <f>IFERROR(__xludf.DUMMYFUNCTION("""COMPUTED_VALUE"""),"MYNTRA")</f>
        <v>MYNTRA</v>
      </c>
      <c r="D6313" s="115">
        <f>IFERROR(__xludf.DUMMYFUNCTION("""COMPUTED_VALUE"""),21518.0)</f>
        <v>21518</v>
      </c>
      <c r="E6313" s="115">
        <f>IFERROR(__xludf.DUMMYFUNCTION("""COMPUTED_VALUE"""),2817.0)</f>
        <v>2817</v>
      </c>
      <c r="F6313" s="115">
        <f>IFERROR(__xludf.DUMMYFUNCTION("""COMPUTED_VALUE"""),1367.0)</f>
        <v>1367</v>
      </c>
      <c r="G6313" s="115">
        <f>IFERROR(__xludf.DUMMYFUNCTION("""COMPUTED_VALUE"""),18.0)</f>
        <v>18</v>
      </c>
      <c r="H6313" s="116">
        <f>IFERROR(__xludf.DUMMYFUNCTION("""COMPUTED_VALUE"""),45912.0)</f>
        <v>45912</v>
      </c>
      <c r="I6313" s="115" t="str">
        <f>IFERROR(__xludf.DUMMYFUNCTION("""COMPUTED_VALUE"""),"10")</f>
        <v>10</v>
      </c>
      <c r="J6313" s="115"/>
      <c r="K6313" s="115"/>
    </row>
    <row r="6314">
      <c r="A6314" s="115" t="str">
        <f>IFERROR(__xludf.DUMMYFUNCTION("""COMPUTED_VALUE"""),"NORTH")</f>
        <v>NORTH</v>
      </c>
      <c r="B6314" s="115" t="str">
        <f>IFERROR(__xludf.DUMMYFUNCTION("""COMPUTED_VALUE"""),"Amit Kumar Pathak")</f>
        <v>Amit Kumar Pathak</v>
      </c>
      <c r="C6314" s="115" t="str">
        <f>IFERROR(__xludf.DUMMYFUNCTION("""COMPUTED_VALUE"""),"EXTERNAL")</f>
        <v>EXTERNAL</v>
      </c>
      <c r="D6314" s="115">
        <f>IFERROR(__xludf.DUMMYFUNCTION("""COMPUTED_VALUE"""),17982.0)</f>
        <v>17982</v>
      </c>
      <c r="E6314" s="115">
        <f>IFERROR(__xludf.DUMMYFUNCTION("""COMPUTED_VALUE"""),2154.0)</f>
        <v>2154</v>
      </c>
      <c r="F6314" s="115">
        <f>IFERROR(__xludf.DUMMYFUNCTION("""COMPUTED_VALUE"""),790.0)</f>
        <v>790</v>
      </c>
      <c r="G6314" s="115">
        <f>IFERROR(__xludf.DUMMYFUNCTION("""COMPUTED_VALUE"""),114.0)</f>
        <v>114</v>
      </c>
      <c r="H6314" s="116">
        <f>IFERROR(__xludf.DUMMYFUNCTION("""COMPUTED_VALUE"""),45912.0)</f>
        <v>45912</v>
      </c>
      <c r="I6314" s="115" t="str">
        <f>IFERROR(__xludf.DUMMYFUNCTION("""COMPUTED_VALUE"""),"10")</f>
        <v>10</v>
      </c>
      <c r="J6314" s="115"/>
      <c r="K6314" s="115"/>
    </row>
    <row r="6315">
      <c r="A6315" s="115" t="str">
        <f>IFERROR(__xludf.DUMMYFUNCTION("""COMPUTED_VALUE"""),"NORTH")</f>
        <v>NORTH</v>
      </c>
      <c r="B6315" s="115" t="str">
        <f>IFERROR(__xludf.DUMMYFUNCTION("""COMPUTED_VALUE"""),"Amit Kumar Pathak")</f>
        <v>Amit Kumar Pathak</v>
      </c>
      <c r="C6315" s="115" t="str">
        <f>IFERROR(__xludf.DUMMYFUNCTION("""COMPUTED_VALUE"""),"FLIPKART")</f>
        <v>FLIPKART</v>
      </c>
      <c r="D6315" s="115">
        <f>IFERROR(__xludf.DUMMYFUNCTION("""COMPUTED_VALUE"""),122500.0)</f>
        <v>122500</v>
      </c>
      <c r="E6315" s="115">
        <f>IFERROR(__xludf.DUMMYFUNCTION("""COMPUTED_VALUE"""),14664.0)</f>
        <v>14664</v>
      </c>
      <c r="F6315" s="115">
        <f>IFERROR(__xludf.DUMMYFUNCTION("""COMPUTED_VALUE"""),9879.0)</f>
        <v>9879</v>
      </c>
      <c r="G6315" s="115">
        <f>IFERROR(__xludf.DUMMYFUNCTION("""COMPUTED_VALUE"""),632.0)</f>
        <v>632</v>
      </c>
      <c r="H6315" s="116">
        <f>IFERROR(__xludf.DUMMYFUNCTION("""COMPUTED_VALUE"""),45912.0)</f>
        <v>45912</v>
      </c>
      <c r="I6315" s="115" t="str">
        <f>IFERROR(__xludf.DUMMYFUNCTION("""COMPUTED_VALUE"""),"10")</f>
        <v>10</v>
      </c>
      <c r="J6315" s="115"/>
      <c r="K6315" s="115"/>
    </row>
    <row r="6316">
      <c r="A6316" s="115" t="str">
        <f>IFERROR(__xludf.DUMMYFUNCTION("""COMPUTED_VALUE"""),"NORTH")</f>
        <v>NORTH</v>
      </c>
      <c r="B6316" s="115" t="str">
        <f>IFERROR(__xludf.DUMMYFUNCTION("""COMPUTED_VALUE"""),"Amit Kumar Pathak")</f>
        <v>Amit Kumar Pathak</v>
      </c>
      <c r="C6316" s="115" t="str">
        <f>IFERROR(__xludf.DUMMYFUNCTION("""COMPUTED_VALUE"""),"MYNTRA")</f>
        <v>MYNTRA</v>
      </c>
      <c r="D6316" s="115">
        <f>IFERROR(__xludf.DUMMYFUNCTION("""COMPUTED_VALUE"""),11039.0)</f>
        <v>11039</v>
      </c>
      <c r="E6316" s="115">
        <f>IFERROR(__xludf.DUMMYFUNCTION("""COMPUTED_VALUE"""),3637.0)</f>
        <v>3637</v>
      </c>
      <c r="F6316" s="115">
        <f>IFERROR(__xludf.DUMMYFUNCTION("""COMPUTED_VALUE"""),1168.0)</f>
        <v>1168</v>
      </c>
      <c r="G6316" s="115">
        <f>IFERROR(__xludf.DUMMYFUNCTION("""COMPUTED_VALUE"""),183.0)</f>
        <v>183</v>
      </c>
      <c r="H6316" s="116">
        <f>IFERROR(__xludf.DUMMYFUNCTION("""COMPUTED_VALUE"""),45912.0)</f>
        <v>45912</v>
      </c>
      <c r="I6316" s="115" t="str">
        <f>IFERROR(__xludf.DUMMYFUNCTION("""COMPUTED_VALUE"""),"10")</f>
        <v>10</v>
      </c>
      <c r="J6316" s="115"/>
      <c r="K6316" s="115"/>
    </row>
    <row r="6317">
      <c r="A6317" s="115" t="str">
        <f>IFERROR(__xludf.DUMMYFUNCTION("""COMPUTED_VALUE"""),"NORTH")</f>
        <v>NORTH</v>
      </c>
      <c r="B6317" s="115" t="str">
        <f>IFERROR(__xludf.DUMMYFUNCTION("""COMPUTED_VALUE"""),"Loveleen Singh")</f>
        <v>Loveleen Singh</v>
      </c>
      <c r="C6317" s="115" t="str">
        <f>IFERROR(__xludf.DUMMYFUNCTION("""COMPUTED_VALUE"""),"EXTERNAL")</f>
        <v>EXTERNAL</v>
      </c>
      <c r="D6317" s="115">
        <f>IFERROR(__xludf.DUMMYFUNCTION("""COMPUTED_VALUE"""),16601.0)</f>
        <v>16601</v>
      </c>
      <c r="E6317" s="115">
        <f>IFERROR(__xludf.DUMMYFUNCTION("""COMPUTED_VALUE"""),1015.0)</f>
        <v>1015</v>
      </c>
      <c r="F6317" s="115">
        <f>IFERROR(__xludf.DUMMYFUNCTION("""COMPUTED_VALUE"""),527.0)</f>
        <v>527</v>
      </c>
      <c r="G6317" s="115">
        <f>IFERROR(__xludf.DUMMYFUNCTION("""COMPUTED_VALUE"""),5.0)</f>
        <v>5</v>
      </c>
      <c r="H6317" s="116">
        <f>IFERROR(__xludf.DUMMYFUNCTION("""COMPUTED_VALUE"""),45912.0)</f>
        <v>45912</v>
      </c>
      <c r="I6317" s="115" t="str">
        <f>IFERROR(__xludf.DUMMYFUNCTION("""COMPUTED_VALUE"""),"10")</f>
        <v>10</v>
      </c>
      <c r="J6317" s="115"/>
      <c r="K6317" s="115"/>
    </row>
    <row r="6318">
      <c r="A6318" s="115" t="str">
        <f>IFERROR(__xludf.DUMMYFUNCTION("""COMPUTED_VALUE"""),"NORTH")</f>
        <v>NORTH</v>
      </c>
      <c r="B6318" s="115" t="str">
        <f>IFERROR(__xludf.DUMMYFUNCTION("""COMPUTED_VALUE"""),"Loveleen Singh")</f>
        <v>Loveleen Singh</v>
      </c>
      <c r="C6318" s="115" t="str">
        <f>IFERROR(__xludf.DUMMYFUNCTION("""COMPUTED_VALUE"""),"FLIPKART")</f>
        <v>FLIPKART</v>
      </c>
      <c r="D6318" s="115">
        <f>IFERROR(__xludf.DUMMYFUNCTION("""COMPUTED_VALUE"""),113458.0)</f>
        <v>113458</v>
      </c>
      <c r="E6318" s="115">
        <f>IFERROR(__xludf.DUMMYFUNCTION("""COMPUTED_VALUE"""),5609.0)</f>
        <v>5609</v>
      </c>
      <c r="F6318" s="115">
        <f>IFERROR(__xludf.DUMMYFUNCTION("""COMPUTED_VALUE"""),7741.0)</f>
        <v>7741</v>
      </c>
      <c r="G6318" s="115">
        <f>IFERROR(__xludf.DUMMYFUNCTION("""COMPUTED_VALUE"""),124.0)</f>
        <v>124</v>
      </c>
      <c r="H6318" s="116">
        <f>IFERROR(__xludf.DUMMYFUNCTION("""COMPUTED_VALUE"""),45912.0)</f>
        <v>45912</v>
      </c>
      <c r="I6318" s="115" t="str">
        <f>IFERROR(__xludf.DUMMYFUNCTION("""COMPUTED_VALUE"""),"10")</f>
        <v>10</v>
      </c>
      <c r="J6318" s="115"/>
      <c r="K6318" s="115"/>
    </row>
    <row r="6319">
      <c r="A6319" s="115" t="str">
        <f>IFERROR(__xludf.DUMMYFUNCTION("""COMPUTED_VALUE"""),"NORTH")</f>
        <v>NORTH</v>
      </c>
      <c r="B6319" s="115" t="str">
        <f>IFERROR(__xludf.DUMMYFUNCTION("""COMPUTED_VALUE"""),"Loveleen Singh")</f>
        <v>Loveleen Singh</v>
      </c>
      <c r="C6319" s="115" t="str">
        <f>IFERROR(__xludf.DUMMYFUNCTION("""COMPUTED_VALUE"""),"MYNTRA")</f>
        <v>MYNTRA</v>
      </c>
      <c r="D6319" s="115">
        <f>IFERROR(__xludf.DUMMYFUNCTION("""COMPUTED_VALUE"""),18725.0)</f>
        <v>18725</v>
      </c>
      <c r="E6319" s="115">
        <f>IFERROR(__xludf.DUMMYFUNCTION("""COMPUTED_VALUE"""),2536.0)</f>
        <v>2536</v>
      </c>
      <c r="F6319" s="115">
        <f>IFERROR(__xludf.DUMMYFUNCTION("""COMPUTED_VALUE"""),1722.0)</f>
        <v>1722</v>
      </c>
      <c r="G6319" s="115">
        <f>IFERROR(__xludf.DUMMYFUNCTION("""COMPUTED_VALUE"""),85.0)</f>
        <v>85</v>
      </c>
      <c r="H6319" s="116">
        <f>IFERROR(__xludf.DUMMYFUNCTION("""COMPUTED_VALUE"""),45912.0)</f>
        <v>45912</v>
      </c>
      <c r="I6319" s="115" t="str">
        <f>IFERROR(__xludf.DUMMYFUNCTION("""COMPUTED_VALUE"""),"10")</f>
        <v>10</v>
      </c>
      <c r="J6319" s="115"/>
      <c r="K6319" s="115"/>
    </row>
    <row r="6320">
      <c r="A6320" s="115" t="str">
        <f>IFERROR(__xludf.DUMMYFUNCTION("""COMPUTED_VALUE"""),"NORTH")</f>
        <v>NORTH</v>
      </c>
      <c r="B6320" s="115" t="str">
        <f>IFERROR(__xludf.DUMMYFUNCTION("""COMPUTED_VALUE"""),"Manoj Harsh")</f>
        <v>Manoj Harsh</v>
      </c>
      <c r="C6320" s="115" t="str">
        <f>IFERROR(__xludf.DUMMYFUNCTION("""COMPUTED_VALUE"""),"EXTERNAL")</f>
        <v>EXTERNAL</v>
      </c>
      <c r="D6320" s="115">
        <f>IFERROR(__xludf.DUMMYFUNCTION("""COMPUTED_VALUE"""),18470.0)</f>
        <v>18470</v>
      </c>
      <c r="E6320" s="115">
        <f>IFERROR(__xludf.DUMMYFUNCTION("""COMPUTED_VALUE"""),1135.0)</f>
        <v>1135</v>
      </c>
      <c r="F6320" s="115">
        <f>IFERROR(__xludf.DUMMYFUNCTION("""COMPUTED_VALUE"""),516.0)</f>
        <v>516</v>
      </c>
      <c r="G6320" s="115">
        <f>IFERROR(__xludf.DUMMYFUNCTION("""COMPUTED_VALUE"""),14.0)</f>
        <v>14</v>
      </c>
      <c r="H6320" s="116">
        <f>IFERROR(__xludf.DUMMYFUNCTION("""COMPUTED_VALUE"""),45912.0)</f>
        <v>45912</v>
      </c>
      <c r="I6320" s="115" t="str">
        <f>IFERROR(__xludf.DUMMYFUNCTION("""COMPUTED_VALUE"""),"10")</f>
        <v>10</v>
      </c>
      <c r="J6320" s="115"/>
      <c r="K6320" s="115"/>
    </row>
    <row r="6321">
      <c r="A6321" s="115" t="str">
        <f>IFERROR(__xludf.DUMMYFUNCTION("""COMPUTED_VALUE"""),"NORTH")</f>
        <v>NORTH</v>
      </c>
      <c r="B6321" s="115" t="str">
        <f>IFERROR(__xludf.DUMMYFUNCTION("""COMPUTED_VALUE"""),"Manoj Harsh")</f>
        <v>Manoj Harsh</v>
      </c>
      <c r="C6321" s="115" t="str">
        <f>IFERROR(__xludf.DUMMYFUNCTION("""COMPUTED_VALUE"""),"FLIPKART")</f>
        <v>FLIPKART</v>
      </c>
      <c r="D6321" s="115">
        <f>IFERROR(__xludf.DUMMYFUNCTION("""COMPUTED_VALUE"""),265646.0)</f>
        <v>265646</v>
      </c>
      <c r="E6321" s="115">
        <f>IFERROR(__xludf.DUMMYFUNCTION("""COMPUTED_VALUE"""),16483.0)</f>
        <v>16483</v>
      </c>
      <c r="F6321" s="115">
        <f>IFERROR(__xludf.DUMMYFUNCTION("""COMPUTED_VALUE"""),13458.0)</f>
        <v>13458</v>
      </c>
      <c r="G6321" s="115">
        <f>IFERROR(__xludf.DUMMYFUNCTION("""COMPUTED_VALUE"""),316.0)</f>
        <v>316</v>
      </c>
      <c r="H6321" s="116">
        <f>IFERROR(__xludf.DUMMYFUNCTION("""COMPUTED_VALUE"""),45912.0)</f>
        <v>45912</v>
      </c>
      <c r="I6321" s="115" t="str">
        <f>IFERROR(__xludf.DUMMYFUNCTION("""COMPUTED_VALUE"""),"10")</f>
        <v>10</v>
      </c>
      <c r="J6321" s="115"/>
      <c r="K6321" s="115"/>
    </row>
    <row r="6322">
      <c r="A6322" s="115" t="str">
        <f>IFERROR(__xludf.DUMMYFUNCTION("""COMPUTED_VALUE"""),"NORTH")</f>
        <v>NORTH</v>
      </c>
      <c r="B6322" s="115" t="str">
        <f>IFERROR(__xludf.DUMMYFUNCTION("""COMPUTED_VALUE"""),"Manoj Harsh")</f>
        <v>Manoj Harsh</v>
      </c>
      <c r="C6322" s="115" t="str">
        <f>IFERROR(__xludf.DUMMYFUNCTION("""COMPUTED_VALUE"""),"MYNTRA")</f>
        <v>MYNTRA</v>
      </c>
      <c r="D6322" s="115">
        <f>IFERROR(__xludf.DUMMYFUNCTION("""COMPUTED_VALUE"""),21498.0)</f>
        <v>21498</v>
      </c>
      <c r="E6322" s="115">
        <f>IFERROR(__xludf.DUMMYFUNCTION("""COMPUTED_VALUE"""),3269.0)</f>
        <v>3269</v>
      </c>
      <c r="F6322" s="115">
        <f>IFERROR(__xludf.DUMMYFUNCTION("""COMPUTED_VALUE"""),1336.0)</f>
        <v>1336</v>
      </c>
      <c r="G6322" s="115">
        <f>IFERROR(__xludf.DUMMYFUNCTION("""COMPUTED_VALUE"""),53.0)</f>
        <v>53</v>
      </c>
      <c r="H6322" s="116">
        <f>IFERROR(__xludf.DUMMYFUNCTION("""COMPUTED_VALUE"""),45912.0)</f>
        <v>45912</v>
      </c>
      <c r="I6322" s="115" t="str">
        <f>IFERROR(__xludf.DUMMYFUNCTION("""COMPUTED_VALUE"""),"10")</f>
        <v>10</v>
      </c>
      <c r="J6322" s="115"/>
      <c r="K6322" s="115"/>
    </row>
    <row r="6323">
      <c r="A6323" s="115" t="str">
        <f>IFERROR(__xludf.DUMMYFUNCTION("""COMPUTED_VALUE"""),"NORTH")</f>
        <v>NORTH</v>
      </c>
      <c r="B6323" s="115" t="str">
        <f>IFERROR(__xludf.DUMMYFUNCTION("""COMPUTED_VALUE"""),"Pradeep Kothari")</f>
        <v>Pradeep Kothari</v>
      </c>
      <c r="C6323" s="115" t="str">
        <f>IFERROR(__xludf.DUMMYFUNCTION("""COMPUTED_VALUE"""),"EXTERNAL")</f>
        <v>EXTERNAL</v>
      </c>
      <c r="D6323" s="115">
        <f>IFERROR(__xludf.DUMMYFUNCTION("""COMPUTED_VALUE"""),11739.0)</f>
        <v>11739</v>
      </c>
      <c r="E6323" s="115">
        <f>IFERROR(__xludf.DUMMYFUNCTION("""COMPUTED_VALUE"""),947.0)</f>
        <v>947</v>
      </c>
      <c r="F6323" s="115">
        <f>IFERROR(__xludf.DUMMYFUNCTION("""COMPUTED_VALUE"""),416.0)</f>
        <v>416</v>
      </c>
      <c r="G6323" s="115">
        <f>IFERROR(__xludf.DUMMYFUNCTION("""COMPUTED_VALUE"""),20.0)</f>
        <v>20</v>
      </c>
      <c r="H6323" s="116">
        <f>IFERROR(__xludf.DUMMYFUNCTION("""COMPUTED_VALUE"""),45912.0)</f>
        <v>45912</v>
      </c>
      <c r="I6323" s="115" t="str">
        <f>IFERROR(__xludf.DUMMYFUNCTION("""COMPUTED_VALUE"""),"10")</f>
        <v>10</v>
      </c>
      <c r="J6323" s="115"/>
      <c r="K6323" s="115"/>
    </row>
    <row r="6324">
      <c r="A6324" s="115" t="str">
        <f>IFERROR(__xludf.DUMMYFUNCTION("""COMPUTED_VALUE"""),"NORTH")</f>
        <v>NORTH</v>
      </c>
      <c r="B6324" s="115" t="str">
        <f>IFERROR(__xludf.DUMMYFUNCTION("""COMPUTED_VALUE"""),"Pradeep Kothari")</f>
        <v>Pradeep Kothari</v>
      </c>
      <c r="C6324" s="115" t="str">
        <f>IFERROR(__xludf.DUMMYFUNCTION("""COMPUTED_VALUE"""),"FLIPKART")</f>
        <v>FLIPKART</v>
      </c>
      <c r="D6324" s="115">
        <f>IFERROR(__xludf.DUMMYFUNCTION("""COMPUTED_VALUE"""),112071.0)</f>
        <v>112071</v>
      </c>
      <c r="E6324" s="115">
        <f>IFERROR(__xludf.DUMMYFUNCTION("""COMPUTED_VALUE"""),8782.0)</f>
        <v>8782</v>
      </c>
      <c r="F6324" s="115">
        <f>IFERROR(__xludf.DUMMYFUNCTION("""COMPUTED_VALUE"""),8417.0)</f>
        <v>8417</v>
      </c>
      <c r="G6324" s="115">
        <f>IFERROR(__xludf.DUMMYFUNCTION("""COMPUTED_VALUE"""),296.0)</f>
        <v>296</v>
      </c>
      <c r="H6324" s="116">
        <f>IFERROR(__xludf.DUMMYFUNCTION("""COMPUTED_VALUE"""),45912.0)</f>
        <v>45912</v>
      </c>
      <c r="I6324" s="115" t="str">
        <f>IFERROR(__xludf.DUMMYFUNCTION("""COMPUTED_VALUE"""),"10")</f>
        <v>10</v>
      </c>
      <c r="J6324" s="115"/>
      <c r="K6324" s="115"/>
    </row>
    <row r="6325">
      <c r="A6325" s="115" t="str">
        <f>IFERROR(__xludf.DUMMYFUNCTION("""COMPUTED_VALUE"""),"NORTH")</f>
        <v>NORTH</v>
      </c>
      <c r="B6325" s="115" t="str">
        <f>IFERROR(__xludf.DUMMYFUNCTION("""COMPUTED_VALUE"""),"Pradeep Kothari")</f>
        <v>Pradeep Kothari</v>
      </c>
      <c r="C6325" s="115" t="str">
        <f>IFERROR(__xludf.DUMMYFUNCTION("""COMPUTED_VALUE"""),"MYNTRA")</f>
        <v>MYNTRA</v>
      </c>
      <c r="D6325" s="115">
        <f>IFERROR(__xludf.DUMMYFUNCTION("""COMPUTED_VALUE"""),16899.0)</f>
        <v>16899</v>
      </c>
      <c r="E6325" s="115">
        <f>IFERROR(__xludf.DUMMYFUNCTION("""COMPUTED_VALUE"""),3030.0)</f>
        <v>3030</v>
      </c>
      <c r="F6325" s="115">
        <f>IFERROR(__xludf.DUMMYFUNCTION("""COMPUTED_VALUE"""),1813.0)</f>
        <v>1813</v>
      </c>
      <c r="G6325" s="115">
        <f>IFERROR(__xludf.DUMMYFUNCTION("""COMPUTED_VALUE"""),113.0)</f>
        <v>113</v>
      </c>
      <c r="H6325" s="116">
        <f>IFERROR(__xludf.DUMMYFUNCTION("""COMPUTED_VALUE"""),45912.0)</f>
        <v>45912</v>
      </c>
      <c r="I6325" s="115" t="str">
        <f>IFERROR(__xludf.DUMMYFUNCTION("""COMPUTED_VALUE"""),"10")</f>
        <v>10</v>
      </c>
      <c r="J6325" s="115"/>
      <c r="K6325" s="115"/>
    </row>
    <row r="6326">
      <c r="A6326" s="115" t="str">
        <f>IFERROR(__xludf.DUMMYFUNCTION("""COMPUTED_VALUE"""),"North")</f>
        <v>North</v>
      </c>
      <c r="B6326" s="115" t="str">
        <f>IFERROR(__xludf.DUMMYFUNCTION("""COMPUTED_VALUE"""),"Manoj Harsh")</f>
        <v>Manoj Harsh</v>
      </c>
      <c r="C6326" s="115" t="str">
        <f>IFERROR(__xludf.DUMMYFUNCTION("""COMPUTED_VALUE"""),"EXTERNAL")</f>
        <v>EXTERNAL</v>
      </c>
      <c r="D6326" s="115">
        <f>IFERROR(__xludf.DUMMYFUNCTION("""COMPUTED_VALUE"""),3.0)</f>
        <v>3</v>
      </c>
      <c r="E6326" s="115">
        <f>IFERROR(__xludf.DUMMYFUNCTION("""COMPUTED_VALUE"""),0.0)</f>
        <v>0</v>
      </c>
      <c r="F6326" s="115">
        <f>IFERROR(__xludf.DUMMYFUNCTION("""COMPUTED_VALUE"""),0.0)</f>
        <v>0</v>
      </c>
      <c r="G6326" s="115">
        <f>IFERROR(__xludf.DUMMYFUNCTION("""COMPUTED_VALUE"""),0.0)</f>
        <v>0</v>
      </c>
      <c r="H6326" s="116">
        <f>IFERROR(__xludf.DUMMYFUNCTION("""COMPUTED_VALUE"""),45912.0)</f>
        <v>45912</v>
      </c>
      <c r="I6326" s="115" t="str">
        <f>IFERROR(__xludf.DUMMYFUNCTION("""COMPUTED_VALUE"""),"10")</f>
        <v>10</v>
      </c>
      <c r="J6326" s="115"/>
      <c r="K6326" s="115"/>
    </row>
    <row r="6327">
      <c r="A6327" s="115" t="str">
        <f>IFERROR(__xludf.DUMMYFUNCTION("""COMPUTED_VALUE"""),"North")</f>
        <v>North</v>
      </c>
      <c r="B6327" s="115" t="str">
        <f>IFERROR(__xludf.DUMMYFUNCTION("""COMPUTED_VALUE"""),"Manoj Harsh")</f>
        <v>Manoj Harsh</v>
      </c>
      <c r="C6327" s="115" t="str">
        <f>IFERROR(__xludf.DUMMYFUNCTION("""COMPUTED_VALUE"""),"FLIPKART")</f>
        <v>FLIPKART</v>
      </c>
      <c r="D6327" s="115">
        <f>IFERROR(__xludf.DUMMYFUNCTION("""COMPUTED_VALUE"""),125.0)</f>
        <v>125</v>
      </c>
      <c r="E6327" s="115">
        <f>IFERROR(__xludf.DUMMYFUNCTION("""COMPUTED_VALUE"""),10.0)</f>
        <v>10</v>
      </c>
      <c r="F6327" s="115">
        <f>IFERROR(__xludf.DUMMYFUNCTION("""COMPUTED_VALUE"""),4.0)</f>
        <v>4</v>
      </c>
      <c r="G6327" s="115">
        <f>IFERROR(__xludf.DUMMYFUNCTION("""COMPUTED_VALUE"""),0.0)</f>
        <v>0</v>
      </c>
      <c r="H6327" s="116">
        <f>IFERROR(__xludf.DUMMYFUNCTION("""COMPUTED_VALUE"""),45912.0)</f>
        <v>45912</v>
      </c>
      <c r="I6327" s="115" t="str">
        <f>IFERROR(__xludf.DUMMYFUNCTION("""COMPUTED_VALUE"""),"10")</f>
        <v>10</v>
      </c>
      <c r="J6327" s="115"/>
      <c r="K6327" s="115"/>
    </row>
    <row r="6328">
      <c r="A6328" s="115" t="str">
        <f>IFERROR(__xludf.DUMMYFUNCTION("""COMPUTED_VALUE"""),"North")</f>
        <v>North</v>
      </c>
      <c r="B6328" s="115" t="str">
        <f>IFERROR(__xludf.DUMMYFUNCTION("""COMPUTED_VALUE"""),"Manoj Harsh")</f>
        <v>Manoj Harsh</v>
      </c>
      <c r="C6328" s="115" t="str">
        <f>IFERROR(__xludf.DUMMYFUNCTION("""COMPUTED_VALUE"""),"MYNTRA")</f>
        <v>MYNTRA</v>
      </c>
      <c r="D6328" s="115">
        <f>IFERROR(__xludf.DUMMYFUNCTION("""COMPUTED_VALUE"""),43.0)</f>
        <v>43</v>
      </c>
      <c r="E6328" s="115">
        <f>IFERROR(__xludf.DUMMYFUNCTION("""COMPUTED_VALUE"""),3.0)</f>
        <v>3</v>
      </c>
      <c r="F6328" s="115">
        <f>IFERROR(__xludf.DUMMYFUNCTION("""COMPUTED_VALUE"""),1.0)</f>
        <v>1</v>
      </c>
      <c r="G6328" s="115">
        <f>IFERROR(__xludf.DUMMYFUNCTION("""COMPUTED_VALUE"""),0.0)</f>
        <v>0</v>
      </c>
      <c r="H6328" s="116">
        <f>IFERROR(__xludf.DUMMYFUNCTION("""COMPUTED_VALUE"""),45912.0)</f>
        <v>45912</v>
      </c>
      <c r="I6328" s="115" t="str">
        <f>IFERROR(__xludf.DUMMYFUNCTION("""COMPUTED_VALUE"""),"10")</f>
        <v>10</v>
      </c>
      <c r="J6328" s="115"/>
      <c r="K6328" s="115"/>
    </row>
    <row r="6329">
      <c r="A6329" s="115" t="str">
        <f>IFERROR(__xludf.DUMMYFUNCTION("""COMPUTED_VALUE"""),"SOUTH")</f>
        <v>SOUTH</v>
      </c>
      <c r="B6329" s="115" t="str">
        <f>IFERROR(__xludf.DUMMYFUNCTION("""COMPUTED_VALUE"""),"Kandula Sampath")</f>
        <v>Kandula Sampath</v>
      </c>
      <c r="C6329" s="115" t="str">
        <f>IFERROR(__xludf.DUMMYFUNCTION("""COMPUTED_VALUE"""),"EXTERNAL")</f>
        <v>EXTERNAL</v>
      </c>
      <c r="D6329" s="115">
        <f>IFERROR(__xludf.DUMMYFUNCTION("""COMPUTED_VALUE"""),22989.0)</f>
        <v>22989</v>
      </c>
      <c r="E6329" s="115">
        <f>IFERROR(__xludf.DUMMYFUNCTION("""COMPUTED_VALUE"""),2183.0)</f>
        <v>2183</v>
      </c>
      <c r="F6329" s="115">
        <f>IFERROR(__xludf.DUMMYFUNCTION("""COMPUTED_VALUE"""),1291.0)</f>
        <v>1291</v>
      </c>
      <c r="G6329" s="115">
        <f>IFERROR(__xludf.DUMMYFUNCTION("""COMPUTED_VALUE"""),34.0)</f>
        <v>34</v>
      </c>
      <c r="H6329" s="116">
        <f>IFERROR(__xludf.DUMMYFUNCTION("""COMPUTED_VALUE"""),45912.0)</f>
        <v>45912</v>
      </c>
      <c r="I6329" s="115" t="str">
        <f>IFERROR(__xludf.DUMMYFUNCTION("""COMPUTED_VALUE"""),"10")</f>
        <v>10</v>
      </c>
      <c r="J6329" s="115"/>
      <c r="K6329" s="115"/>
    </row>
    <row r="6330">
      <c r="A6330" s="115" t="str">
        <f>IFERROR(__xludf.DUMMYFUNCTION("""COMPUTED_VALUE"""),"SOUTH")</f>
        <v>SOUTH</v>
      </c>
      <c r="B6330" s="115" t="str">
        <f>IFERROR(__xludf.DUMMYFUNCTION("""COMPUTED_VALUE"""),"Kandula Sampath")</f>
        <v>Kandula Sampath</v>
      </c>
      <c r="C6330" s="115" t="str">
        <f>IFERROR(__xludf.DUMMYFUNCTION("""COMPUTED_VALUE"""),"FLIPKART")</f>
        <v>FLIPKART</v>
      </c>
      <c r="D6330" s="115">
        <f>IFERROR(__xludf.DUMMYFUNCTION("""COMPUTED_VALUE"""),268119.0)</f>
        <v>268119</v>
      </c>
      <c r="E6330" s="115">
        <f>IFERROR(__xludf.DUMMYFUNCTION("""COMPUTED_VALUE"""),16342.0)</f>
        <v>16342</v>
      </c>
      <c r="F6330" s="115">
        <f>IFERROR(__xludf.DUMMYFUNCTION("""COMPUTED_VALUE"""),28507.0)</f>
        <v>28507</v>
      </c>
      <c r="G6330" s="115">
        <f>IFERROR(__xludf.DUMMYFUNCTION("""COMPUTED_VALUE"""),324.0)</f>
        <v>324</v>
      </c>
      <c r="H6330" s="116">
        <f>IFERROR(__xludf.DUMMYFUNCTION("""COMPUTED_VALUE"""),45912.0)</f>
        <v>45912</v>
      </c>
      <c r="I6330" s="115" t="str">
        <f>IFERROR(__xludf.DUMMYFUNCTION("""COMPUTED_VALUE"""),"10")</f>
        <v>10</v>
      </c>
      <c r="J6330" s="115"/>
      <c r="K6330" s="115"/>
    </row>
    <row r="6331">
      <c r="A6331" s="115" t="str">
        <f>IFERROR(__xludf.DUMMYFUNCTION("""COMPUTED_VALUE"""),"SOUTH")</f>
        <v>SOUTH</v>
      </c>
      <c r="B6331" s="115" t="str">
        <f>IFERROR(__xludf.DUMMYFUNCTION("""COMPUTED_VALUE"""),"Kandula Sampath")</f>
        <v>Kandula Sampath</v>
      </c>
      <c r="C6331" s="115" t="str">
        <f>IFERROR(__xludf.DUMMYFUNCTION("""COMPUTED_VALUE"""),"MYNTRA")</f>
        <v>MYNTRA</v>
      </c>
      <c r="D6331" s="115">
        <f>IFERROR(__xludf.DUMMYFUNCTION("""COMPUTED_VALUE"""),28516.0)</f>
        <v>28516</v>
      </c>
      <c r="E6331" s="115">
        <f>IFERROR(__xludf.DUMMYFUNCTION("""COMPUTED_VALUE"""),4732.0)</f>
        <v>4732</v>
      </c>
      <c r="F6331" s="115">
        <f>IFERROR(__xludf.DUMMYFUNCTION("""COMPUTED_VALUE"""),3646.0)</f>
        <v>3646</v>
      </c>
      <c r="G6331" s="115">
        <f>IFERROR(__xludf.DUMMYFUNCTION("""COMPUTED_VALUE"""),84.0)</f>
        <v>84</v>
      </c>
      <c r="H6331" s="116">
        <f>IFERROR(__xludf.DUMMYFUNCTION("""COMPUTED_VALUE"""),45912.0)</f>
        <v>45912</v>
      </c>
      <c r="I6331" s="115" t="str">
        <f>IFERROR(__xludf.DUMMYFUNCTION("""COMPUTED_VALUE"""),"10")</f>
        <v>10</v>
      </c>
      <c r="J6331" s="115"/>
      <c r="K6331" s="115"/>
    </row>
    <row r="6332">
      <c r="A6332" s="115" t="str">
        <f>IFERROR(__xludf.DUMMYFUNCTION("""COMPUTED_VALUE"""),"SOUTH")</f>
        <v>SOUTH</v>
      </c>
      <c r="B6332" s="115" t="str">
        <f>IFERROR(__xludf.DUMMYFUNCTION("""COMPUTED_VALUE"""),"Martin A")</f>
        <v>Martin A</v>
      </c>
      <c r="C6332" s="115" t="str">
        <f>IFERROR(__xludf.DUMMYFUNCTION("""COMPUTED_VALUE"""),"EXTERNAL")</f>
        <v>EXTERNAL</v>
      </c>
      <c r="D6332" s="115">
        <f>IFERROR(__xludf.DUMMYFUNCTION("""COMPUTED_VALUE"""),18853.0)</f>
        <v>18853</v>
      </c>
      <c r="E6332" s="115">
        <f>IFERROR(__xludf.DUMMYFUNCTION("""COMPUTED_VALUE"""),2095.0)</f>
        <v>2095</v>
      </c>
      <c r="F6332" s="115">
        <f>IFERROR(__xludf.DUMMYFUNCTION("""COMPUTED_VALUE"""),1083.0)</f>
        <v>1083</v>
      </c>
      <c r="G6332" s="115">
        <f>IFERROR(__xludf.DUMMYFUNCTION("""COMPUTED_VALUE"""),49.0)</f>
        <v>49</v>
      </c>
      <c r="H6332" s="116">
        <f>IFERROR(__xludf.DUMMYFUNCTION("""COMPUTED_VALUE"""),45912.0)</f>
        <v>45912</v>
      </c>
      <c r="I6332" s="115" t="str">
        <f>IFERROR(__xludf.DUMMYFUNCTION("""COMPUTED_VALUE"""),"10")</f>
        <v>10</v>
      </c>
      <c r="J6332" s="115"/>
      <c r="K6332" s="115"/>
    </row>
    <row r="6333">
      <c r="A6333" s="115" t="str">
        <f>IFERROR(__xludf.DUMMYFUNCTION("""COMPUTED_VALUE"""),"SOUTH")</f>
        <v>SOUTH</v>
      </c>
      <c r="B6333" s="115" t="str">
        <f>IFERROR(__xludf.DUMMYFUNCTION("""COMPUTED_VALUE"""),"Martin A")</f>
        <v>Martin A</v>
      </c>
      <c r="C6333" s="115" t="str">
        <f>IFERROR(__xludf.DUMMYFUNCTION("""COMPUTED_VALUE"""),"FLIPKART")</f>
        <v>FLIPKART</v>
      </c>
      <c r="D6333" s="115">
        <f>IFERROR(__xludf.DUMMYFUNCTION("""COMPUTED_VALUE"""),199717.0)</f>
        <v>199717</v>
      </c>
      <c r="E6333" s="115">
        <f>IFERROR(__xludf.DUMMYFUNCTION("""COMPUTED_VALUE"""),15299.0)</f>
        <v>15299</v>
      </c>
      <c r="F6333" s="115">
        <f>IFERROR(__xludf.DUMMYFUNCTION("""COMPUTED_VALUE"""),19771.0)</f>
        <v>19771</v>
      </c>
      <c r="G6333" s="115">
        <f>IFERROR(__xludf.DUMMYFUNCTION("""COMPUTED_VALUE"""),609.0)</f>
        <v>609</v>
      </c>
      <c r="H6333" s="116">
        <f>IFERROR(__xludf.DUMMYFUNCTION("""COMPUTED_VALUE"""),45912.0)</f>
        <v>45912</v>
      </c>
      <c r="I6333" s="115" t="str">
        <f>IFERROR(__xludf.DUMMYFUNCTION("""COMPUTED_VALUE"""),"10")</f>
        <v>10</v>
      </c>
      <c r="J6333" s="115"/>
      <c r="K6333" s="115"/>
    </row>
    <row r="6334">
      <c r="A6334" s="115" t="str">
        <f>IFERROR(__xludf.DUMMYFUNCTION("""COMPUTED_VALUE"""),"SOUTH")</f>
        <v>SOUTH</v>
      </c>
      <c r="B6334" s="115" t="str">
        <f>IFERROR(__xludf.DUMMYFUNCTION("""COMPUTED_VALUE"""),"Martin A")</f>
        <v>Martin A</v>
      </c>
      <c r="C6334" s="115" t="str">
        <f>IFERROR(__xludf.DUMMYFUNCTION("""COMPUTED_VALUE"""),"MYNTRA")</f>
        <v>MYNTRA</v>
      </c>
      <c r="D6334" s="115">
        <f>IFERROR(__xludf.DUMMYFUNCTION("""COMPUTED_VALUE"""),19821.0)</f>
        <v>19821</v>
      </c>
      <c r="E6334" s="115">
        <f>IFERROR(__xludf.DUMMYFUNCTION("""COMPUTED_VALUE"""),4087.0)</f>
        <v>4087</v>
      </c>
      <c r="F6334" s="115">
        <f>IFERROR(__xludf.DUMMYFUNCTION("""COMPUTED_VALUE"""),2313.0)</f>
        <v>2313</v>
      </c>
      <c r="G6334" s="115">
        <f>IFERROR(__xludf.DUMMYFUNCTION("""COMPUTED_VALUE"""),134.0)</f>
        <v>134</v>
      </c>
      <c r="H6334" s="116">
        <f>IFERROR(__xludf.DUMMYFUNCTION("""COMPUTED_VALUE"""),45912.0)</f>
        <v>45912</v>
      </c>
      <c r="I6334" s="115" t="str">
        <f>IFERROR(__xludf.DUMMYFUNCTION("""COMPUTED_VALUE"""),"10")</f>
        <v>10</v>
      </c>
      <c r="J6334" s="115"/>
      <c r="K6334" s="115"/>
    </row>
    <row r="6335">
      <c r="A6335" s="115" t="str">
        <f>IFERROR(__xludf.DUMMYFUNCTION("""COMPUTED_VALUE"""),"SOUTH")</f>
        <v>SOUTH</v>
      </c>
      <c r="B6335" s="115" t="str">
        <f>IFERROR(__xludf.DUMMYFUNCTION("""COMPUTED_VALUE"""),"Premkumar M")</f>
        <v>Premkumar M</v>
      </c>
      <c r="C6335" s="115" t="str">
        <f>IFERROR(__xludf.DUMMYFUNCTION("""COMPUTED_VALUE"""),"EXTERNAL")</f>
        <v>EXTERNAL</v>
      </c>
      <c r="D6335" s="115">
        <f>IFERROR(__xludf.DUMMYFUNCTION("""COMPUTED_VALUE"""),10123.0)</f>
        <v>10123</v>
      </c>
      <c r="E6335" s="115">
        <f>IFERROR(__xludf.DUMMYFUNCTION("""COMPUTED_VALUE"""),491.0)</f>
        <v>491</v>
      </c>
      <c r="F6335" s="115">
        <f>IFERROR(__xludf.DUMMYFUNCTION("""COMPUTED_VALUE"""),356.0)</f>
        <v>356</v>
      </c>
      <c r="G6335" s="115">
        <f>IFERROR(__xludf.DUMMYFUNCTION("""COMPUTED_VALUE"""),7.0)</f>
        <v>7</v>
      </c>
      <c r="H6335" s="116">
        <f>IFERROR(__xludf.DUMMYFUNCTION("""COMPUTED_VALUE"""),45912.0)</f>
        <v>45912</v>
      </c>
      <c r="I6335" s="115" t="str">
        <f>IFERROR(__xludf.DUMMYFUNCTION("""COMPUTED_VALUE"""),"10")</f>
        <v>10</v>
      </c>
      <c r="J6335" s="115"/>
      <c r="K6335" s="115"/>
    </row>
    <row r="6336">
      <c r="A6336" s="115" t="str">
        <f>IFERROR(__xludf.DUMMYFUNCTION("""COMPUTED_VALUE"""),"SOUTH")</f>
        <v>SOUTH</v>
      </c>
      <c r="B6336" s="115" t="str">
        <f>IFERROR(__xludf.DUMMYFUNCTION("""COMPUTED_VALUE"""),"Premkumar M")</f>
        <v>Premkumar M</v>
      </c>
      <c r="C6336" s="115" t="str">
        <f>IFERROR(__xludf.DUMMYFUNCTION("""COMPUTED_VALUE"""),"FLIPKART")</f>
        <v>FLIPKART</v>
      </c>
      <c r="D6336" s="115">
        <f>IFERROR(__xludf.DUMMYFUNCTION("""COMPUTED_VALUE"""),115652.0)</f>
        <v>115652</v>
      </c>
      <c r="E6336" s="115">
        <f>IFERROR(__xludf.DUMMYFUNCTION("""COMPUTED_VALUE"""),5299.0)</f>
        <v>5299</v>
      </c>
      <c r="F6336" s="115">
        <f>IFERROR(__xludf.DUMMYFUNCTION("""COMPUTED_VALUE"""),6599.0)</f>
        <v>6599</v>
      </c>
      <c r="G6336" s="115">
        <f>IFERROR(__xludf.DUMMYFUNCTION("""COMPUTED_VALUE"""),95.0)</f>
        <v>95</v>
      </c>
      <c r="H6336" s="116">
        <f>IFERROR(__xludf.DUMMYFUNCTION("""COMPUTED_VALUE"""),45912.0)</f>
        <v>45912</v>
      </c>
      <c r="I6336" s="115" t="str">
        <f>IFERROR(__xludf.DUMMYFUNCTION("""COMPUTED_VALUE"""),"10")</f>
        <v>10</v>
      </c>
      <c r="J6336" s="115"/>
      <c r="K6336" s="115"/>
    </row>
    <row r="6337">
      <c r="A6337" s="115" t="str">
        <f>IFERROR(__xludf.DUMMYFUNCTION("""COMPUTED_VALUE"""),"SOUTH")</f>
        <v>SOUTH</v>
      </c>
      <c r="B6337" s="115" t="str">
        <f>IFERROR(__xludf.DUMMYFUNCTION("""COMPUTED_VALUE"""),"Premkumar M")</f>
        <v>Premkumar M</v>
      </c>
      <c r="C6337" s="115" t="str">
        <f>IFERROR(__xludf.DUMMYFUNCTION("""COMPUTED_VALUE"""),"MYNTRA")</f>
        <v>MYNTRA</v>
      </c>
      <c r="D6337" s="115">
        <f>IFERROR(__xludf.DUMMYFUNCTION("""COMPUTED_VALUE"""),6351.0)</f>
        <v>6351</v>
      </c>
      <c r="E6337" s="115">
        <f>IFERROR(__xludf.DUMMYFUNCTION("""COMPUTED_VALUE"""),903.0)</f>
        <v>903</v>
      </c>
      <c r="F6337" s="115">
        <f>IFERROR(__xludf.DUMMYFUNCTION("""COMPUTED_VALUE"""),401.0)</f>
        <v>401</v>
      </c>
      <c r="G6337" s="115">
        <f>IFERROR(__xludf.DUMMYFUNCTION("""COMPUTED_VALUE"""),8.0)</f>
        <v>8</v>
      </c>
      <c r="H6337" s="116">
        <f>IFERROR(__xludf.DUMMYFUNCTION("""COMPUTED_VALUE"""),45912.0)</f>
        <v>45912</v>
      </c>
      <c r="I6337" s="115" t="str">
        <f>IFERROR(__xludf.DUMMYFUNCTION("""COMPUTED_VALUE"""),"10")</f>
        <v>10</v>
      </c>
      <c r="J6337" s="115"/>
      <c r="K6337" s="115"/>
    </row>
    <row r="6338">
      <c r="A6338" s="115" t="str">
        <f>IFERROR(__xludf.DUMMYFUNCTION("""COMPUTED_VALUE"""),"SOUTH")</f>
        <v>SOUTH</v>
      </c>
      <c r="B6338" s="115" t="str">
        <f>IFERROR(__xludf.DUMMYFUNCTION("""COMPUTED_VALUE"""),"Vineeth V")</f>
        <v>Vineeth V</v>
      </c>
      <c r="C6338" s="115" t="str">
        <f>IFERROR(__xludf.DUMMYFUNCTION("""COMPUTED_VALUE"""),"EXTERNAL")</f>
        <v>EXTERNAL</v>
      </c>
      <c r="D6338" s="115">
        <f>IFERROR(__xludf.DUMMYFUNCTION("""COMPUTED_VALUE"""),6741.0)</f>
        <v>6741</v>
      </c>
      <c r="E6338" s="115">
        <f>IFERROR(__xludf.DUMMYFUNCTION("""COMPUTED_VALUE"""),116.0)</f>
        <v>116</v>
      </c>
      <c r="F6338" s="115">
        <f>IFERROR(__xludf.DUMMYFUNCTION("""COMPUTED_VALUE"""),190.0)</f>
        <v>190</v>
      </c>
      <c r="G6338" s="115">
        <f>IFERROR(__xludf.DUMMYFUNCTION("""COMPUTED_VALUE"""),1.0)</f>
        <v>1</v>
      </c>
      <c r="H6338" s="116">
        <f>IFERROR(__xludf.DUMMYFUNCTION("""COMPUTED_VALUE"""),45912.0)</f>
        <v>45912</v>
      </c>
      <c r="I6338" s="115" t="str">
        <f>IFERROR(__xludf.DUMMYFUNCTION("""COMPUTED_VALUE"""),"10")</f>
        <v>10</v>
      </c>
      <c r="J6338" s="115"/>
      <c r="K6338" s="115"/>
    </row>
    <row r="6339">
      <c r="A6339" s="115" t="str">
        <f>IFERROR(__xludf.DUMMYFUNCTION("""COMPUTED_VALUE"""),"SOUTH")</f>
        <v>SOUTH</v>
      </c>
      <c r="B6339" s="115" t="str">
        <f>IFERROR(__xludf.DUMMYFUNCTION("""COMPUTED_VALUE"""),"Vineeth V")</f>
        <v>Vineeth V</v>
      </c>
      <c r="C6339" s="115" t="str">
        <f>IFERROR(__xludf.DUMMYFUNCTION("""COMPUTED_VALUE"""),"FLIPKART")</f>
        <v>FLIPKART</v>
      </c>
      <c r="D6339" s="115">
        <f>IFERROR(__xludf.DUMMYFUNCTION("""COMPUTED_VALUE"""),75842.0)</f>
        <v>75842</v>
      </c>
      <c r="E6339" s="115">
        <f>IFERROR(__xludf.DUMMYFUNCTION("""COMPUTED_VALUE"""),3380.0)</f>
        <v>3380</v>
      </c>
      <c r="F6339" s="115">
        <f>IFERROR(__xludf.DUMMYFUNCTION("""COMPUTED_VALUE"""),3176.0)</f>
        <v>3176</v>
      </c>
      <c r="G6339" s="115">
        <f>IFERROR(__xludf.DUMMYFUNCTION("""COMPUTED_VALUE"""),28.0)</f>
        <v>28</v>
      </c>
      <c r="H6339" s="116">
        <f>IFERROR(__xludf.DUMMYFUNCTION("""COMPUTED_VALUE"""),45912.0)</f>
        <v>45912</v>
      </c>
      <c r="I6339" s="115" t="str">
        <f>IFERROR(__xludf.DUMMYFUNCTION("""COMPUTED_VALUE"""),"10")</f>
        <v>10</v>
      </c>
      <c r="J6339" s="115"/>
      <c r="K6339" s="115"/>
    </row>
    <row r="6340">
      <c r="A6340" s="115" t="str">
        <f>IFERROR(__xludf.DUMMYFUNCTION("""COMPUTED_VALUE"""),"SOUTH")</f>
        <v>SOUTH</v>
      </c>
      <c r="B6340" s="115" t="str">
        <f>IFERROR(__xludf.DUMMYFUNCTION("""COMPUTED_VALUE"""),"Vineeth V")</f>
        <v>Vineeth V</v>
      </c>
      <c r="C6340" s="115" t="str">
        <f>IFERROR(__xludf.DUMMYFUNCTION("""COMPUTED_VALUE"""),"MYNTRA")</f>
        <v>MYNTRA</v>
      </c>
      <c r="D6340" s="115">
        <f>IFERROR(__xludf.DUMMYFUNCTION("""COMPUTED_VALUE"""),6124.0)</f>
        <v>6124</v>
      </c>
      <c r="E6340" s="115">
        <f>IFERROR(__xludf.DUMMYFUNCTION("""COMPUTED_VALUE"""),866.0)</f>
        <v>866</v>
      </c>
      <c r="F6340" s="115">
        <f>IFERROR(__xludf.DUMMYFUNCTION("""COMPUTED_VALUE"""),341.0)</f>
        <v>341</v>
      </c>
      <c r="G6340" s="115">
        <f>IFERROR(__xludf.DUMMYFUNCTION("""COMPUTED_VALUE"""),12.0)</f>
        <v>12</v>
      </c>
      <c r="H6340" s="116">
        <f>IFERROR(__xludf.DUMMYFUNCTION("""COMPUTED_VALUE"""),45912.0)</f>
        <v>45912</v>
      </c>
      <c r="I6340" s="115" t="str">
        <f>IFERROR(__xludf.DUMMYFUNCTION("""COMPUTED_VALUE"""),"10")</f>
        <v>10</v>
      </c>
      <c r="J6340" s="115"/>
      <c r="K6340" s="115"/>
    </row>
    <row r="6341">
      <c r="A6341" s="115" t="str">
        <f>IFERROR(__xludf.DUMMYFUNCTION("""COMPUTED_VALUE"""),"WEST")</f>
        <v>WEST</v>
      </c>
      <c r="B6341" s="115" t="str">
        <f>IFERROR(__xludf.DUMMYFUNCTION("""COMPUTED_VALUE"""),"Ashish Jakar")</f>
        <v>Ashish Jakar</v>
      </c>
      <c r="C6341" s="115" t="str">
        <f>IFERROR(__xludf.DUMMYFUNCTION("""COMPUTED_VALUE"""),"EXTERNAL")</f>
        <v>EXTERNAL</v>
      </c>
      <c r="D6341" s="115">
        <f>IFERROR(__xludf.DUMMYFUNCTION("""COMPUTED_VALUE"""),29121.0)</f>
        <v>29121</v>
      </c>
      <c r="E6341" s="115">
        <f>IFERROR(__xludf.DUMMYFUNCTION("""COMPUTED_VALUE"""),2990.0)</f>
        <v>2990</v>
      </c>
      <c r="F6341" s="115">
        <f>IFERROR(__xludf.DUMMYFUNCTION("""COMPUTED_VALUE"""),1790.0)</f>
        <v>1790</v>
      </c>
      <c r="G6341" s="115">
        <f>IFERROR(__xludf.DUMMYFUNCTION("""COMPUTED_VALUE"""),63.0)</f>
        <v>63</v>
      </c>
      <c r="H6341" s="116">
        <f>IFERROR(__xludf.DUMMYFUNCTION("""COMPUTED_VALUE"""),45912.0)</f>
        <v>45912</v>
      </c>
      <c r="I6341" s="115" t="str">
        <f>IFERROR(__xludf.DUMMYFUNCTION("""COMPUTED_VALUE"""),"10")</f>
        <v>10</v>
      </c>
      <c r="J6341" s="115"/>
      <c r="K6341" s="115"/>
    </row>
    <row r="6342">
      <c r="A6342" s="115" t="str">
        <f>IFERROR(__xludf.DUMMYFUNCTION("""COMPUTED_VALUE"""),"WEST")</f>
        <v>WEST</v>
      </c>
      <c r="B6342" s="115" t="str">
        <f>IFERROR(__xludf.DUMMYFUNCTION("""COMPUTED_VALUE"""),"Ashish Jakar")</f>
        <v>Ashish Jakar</v>
      </c>
      <c r="C6342" s="115" t="str">
        <f>IFERROR(__xludf.DUMMYFUNCTION("""COMPUTED_VALUE"""),"FLIPKART")</f>
        <v>FLIPKART</v>
      </c>
      <c r="D6342" s="115">
        <f>IFERROR(__xludf.DUMMYFUNCTION("""COMPUTED_VALUE"""),227868.0)</f>
        <v>227868</v>
      </c>
      <c r="E6342" s="115">
        <f>IFERROR(__xludf.DUMMYFUNCTION("""COMPUTED_VALUE"""),16844.0)</f>
        <v>16844</v>
      </c>
      <c r="F6342" s="115">
        <f>IFERROR(__xludf.DUMMYFUNCTION("""COMPUTED_VALUE"""),13917.0)</f>
        <v>13917</v>
      </c>
      <c r="G6342" s="115">
        <f>IFERROR(__xludf.DUMMYFUNCTION("""COMPUTED_VALUE"""),295.0)</f>
        <v>295</v>
      </c>
      <c r="H6342" s="116">
        <f>IFERROR(__xludf.DUMMYFUNCTION("""COMPUTED_VALUE"""),45912.0)</f>
        <v>45912</v>
      </c>
      <c r="I6342" s="115" t="str">
        <f>IFERROR(__xludf.DUMMYFUNCTION("""COMPUTED_VALUE"""),"10")</f>
        <v>10</v>
      </c>
      <c r="J6342" s="115"/>
      <c r="K6342" s="115"/>
    </row>
    <row r="6343">
      <c r="A6343" s="115" t="str">
        <f>IFERROR(__xludf.DUMMYFUNCTION("""COMPUTED_VALUE"""),"WEST")</f>
        <v>WEST</v>
      </c>
      <c r="B6343" s="115" t="str">
        <f>IFERROR(__xludf.DUMMYFUNCTION("""COMPUTED_VALUE"""),"Ashish Jakar")</f>
        <v>Ashish Jakar</v>
      </c>
      <c r="C6343" s="115" t="str">
        <f>IFERROR(__xludf.DUMMYFUNCTION("""COMPUTED_VALUE"""),"MYNTRA")</f>
        <v>MYNTRA</v>
      </c>
      <c r="D6343" s="115">
        <f>IFERROR(__xludf.DUMMYFUNCTION("""COMPUTED_VALUE"""),25881.0)</f>
        <v>25881</v>
      </c>
      <c r="E6343" s="115">
        <f>IFERROR(__xludf.DUMMYFUNCTION("""COMPUTED_VALUE"""),5795.0)</f>
        <v>5795</v>
      </c>
      <c r="F6343" s="115">
        <f>IFERROR(__xludf.DUMMYFUNCTION("""COMPUTED_VALUE"""),1875.0)</f>
        <v>1875</v>
      </c>
      <c r="G6343" s="115">
        <f>IFERROR(__xludf.DUMMYFUNCTION("""COMPUTED_VALUE"""),101.0)</f>
        <v>101</v>
      </c>
      <c r="H6343" s="116">
        <f>IFERROR(__xludf.DUMMYFUNCTION("""COMPUTED_VALUE"""),45912.0)</f>
        <v>45912</v>
      </c>
      <c r="I6343" s="115" t="str">
        <f>IFERROR(__xludf.DUMMYFUNCTION("""COMPUTED_VALUE"""),"10")</f>
        <v>10</v>
      </c>
      <c r="J6343" s="115"/>
      <c r="K6343" s="115"/>
    </row>
    <row r="6344">
      <c r="A6344" s="115" t="str">
        <f>IFERROR(__xludf.DUMMYFUNCTION("""COMPUTED_VALUE"""),"WEST")</f>
        <v>WEST</v>
      </c>
      <c r="B6344" s="115" t="str">
        <f>IFERROR(__xludf.DUMMYFUNCTION("""COMPUTED_VALUE"""),"Ashvani Bhatt")</f>
        <v>Ashvani Bhatt</v>
      </c>
      <c r="C6344" s="115" t="str">
        <f>IFERROR(__xludf.DUMMYFUNCTION("""COMPUTED_VALUE"""),"EXTERNAL")</f>
        <v>EXTERNAL</v>
      </c>
      <c r="D6344" s="115">
        <f>IFERROR(__xludf.DUMMYFUNCTION("""COMPUTED_VALUE"""),20010.0)</f>
        <v>20010</v>
      </c>
      <c r="E6344" s="115">
        <f>IFERROR(__xludf.DUMMYFUNCTION("""COMPUTED_VALUE"""),1305.0)</f>
        <v>1305</v>
      </c>
      <c r="F6344" s="115">
        <f>IFERROR(__xludf.DUMMYFUNCTION("""COMPUTED_VALUE"""),814.0)</f>
        <v>814</v>
      </c>
      <c r="G6344" s="115">
        <f>IFERROR(__xludf.DUMMYFUNCTION("""COMPUTED_VALUE"""),15.0)</f>
        <v>15</v>
      </c>
      <c r="H6344" s="116">
        <f>IFERROR(__xludf.DUMMYFUNCTION("""COMPUTED_VALUE"""),45912.0)</f>
        <v>45912</v>
      </c>
      <c r="I6344" s="115" t="str">
        <f>IFERROR(__xludf.DUMMYFUNCTION("""COMPUTED_VALUE"""),"10")</f>
        <v>10</v>
      </c>
      <c r="J6344" s="115"/>
      <c r="K6344" s="115"/>
    </row>
    <row r="6345">
      <c r="A6345" s="115" t="str">
        <f>IFERROR(__xludf.DUMMYFUNCTION("""COMPUTED_VALUE"""),"WEST")</f>
        <v>WEST</v>
      </c>
      <c r="B6345" s="115" t="str">
        <f>IFERROR(__xludf.DUMMYFUNCTION("""COMPUTED_VALUE"""),"Ashvani Bhatt")</f>
        <v>Ashvani Bhatt</v>
      </c>
      <c r="C6345" s="115" t="str">
        <f>IFERROR(__xludf.DUMMYFUNCTION("""COMPUTED_VALUE"""),"FLIPKART")</f>
        <v>FLIPKART</v>
      </c>
      <c r="D6345" s="115">
        <f>IFERROR(__xludf.DUMMYFUNCTION("""COMPUTED_VALUE"""),187796.0)</f>
        <v>187796</v>
      </c>
      <c r="E6345" s="115">
        <f>IFERROR(__xludf.DUMMYFUNCTION("""COMPUTED_VALUE"""),12322.0)</f>
        <v>12322</v>
      </c>
      <c r="F6345" s="115">
        <f>IFERROR(__xludf.DUMMYFUNCTION("""COMPUTED_VALUE"""),14915.0)</f>
        <v>14915</v>
      </c>
      <c r="G6345" s="115">
        <f>IFERROR(__xludf.DUMMYFUNCTION("""COMPUTED_VALUE"""),226.0)</f>
        <v>226</v>
      </c>
      <c r="H6345" s="116">
        <f>IFERROR(__xludf.DUMMYFUNCTION("""COMPUTED_VALUE"""),45912.0)</f>
        <v>45912</v>
      </c>
      <c r="I6345" s="115" t="str">
        <f>IFERROR(__xludf.DUMMYFUNCTION("""COMPUTED_VALUE"""),"10")</f>
        <v>10</v>
      </c>
      <c r="J6345" s="115"/>
      <c r="K6345" s="115"/>
    </row>
    <row r="6346">
      <c r="A6346" s="115" t="str">
        <f>IFERROR(__xludf.DUMMYFUNCTION("""COMPUTED_VALUE"""),"WEST")</f>
        <v>WEST</v>
      </c>
      <c r="B6346" s="115" t="str">
        <f>IFERROR(__xludf.DUMMYFUNCTION("""COMPUTED_VALUE"""),"Ashvani Bhatt")</f>
        <v>Ashvani Bhatt</v>
      </c>
      <c r="C6346" s="115" t="str">
        <f>IFERROR(__xludf.DUMMYFUNCTION("""COMPUTED_VALUE"""),"MYNTRA")</f>
        <v>MYNTRA</v>
      </c>
      <c r="D6346" s="115">
        <f>IFERROR(__xludf.DUMMYFUNCTION("""COMPUTED_VALUE"""),21054.0)</f>
        <v>21054</v>
      </c>
      <c r="E6346" s="115">
        <f>IFERROR(__xludf.DUMMYFUNCTION("""COMPUTED_VALUE"""),4067.0)</f>
        <v>4067</v>
      </c>
      <c r="F6346" s="115">
        <f>IFERROR(__xludf.DUMMYFUNCTION("""COMPUTED_VALUE"""),2046.0)</f>
        <v>2046</v>
      </c>
      <c r="G6346" s="115">
        <f>IFERROR(__xludf.DUMMYFUNCTION("""COMPUTED_VALUE"""),88.0)</f>
        <v>88</v>
      </c>
      <c r="H6346" s="116">
        <f>IFERROR(__xludf.DUMMYFUNCTION("""COMPUTED_VALUE"""),45912.0)</f>
        <v>45912</v>
      </c>
      <c r="I6346" s="115" t="str">
        <f>IFERROR(__xludf.DUMMYFUNCTION("""COMPUTED_VALUE"""),"10")</f>
        <v>10</v>
      </c>
      <c r="J6346" s="115"/>
      <c r="K6346" s="115"/>
    </row>
    <row r="6347">
      <c r="A6347" s="115"/>
      <c r="B6347" s="115"/>
      <c r="C6347" s="115" t="str">
        <f>IFERROR(__xludf.DUMMYFUNCTION("""COMPUTED_VALUE"""),"EXTERNAL")</f>
        <v>EXTERNAL</v>
      </c>
      <c r="D6347" s="115">
        <f>IFERROR(__xludf.DUMMYFUNCTION("""COMPUTED_VALUE"""),631.0)</f>
        <v>631</v>
      </c>
      <c r="E6347" s="115">
        <f>IFERROR(__xludf.DUMMYFUNCTION("""COMPUTED_VALUE"""),134.0)</f>
        <v>134</v>
      </c>
      <c r="F6347" s="115">
        <f>IFERROR(__xludf.DUMMYFUNCTION("""COMPUTED_VALUE"""),12.0)</f>
        <v>12</v>
      </c>
      <c r="G6347" s="115">
        <f>IFERROR(__xludf.DUMMYFUNCTION("""COMPUTED_VALUE"""),3.0)</f>
        <v>3</v>
      </c>
      <c r="H6347" s="116">
        <f>IFERROR(__xludf.DUMMYFUNCTION("""COMPUTED_VALUE"""),45912.0)</f>
        <v>45912</v>
      </c>
      <c r="I6347" s="115" t="str">
        <f>IFERROR(__xludf.DUMMYFUNCTION("""COMPUTED_VALUE"""),"10")</f>
        <v>10</v>
      </c>
      <c r="J6347" s="115"/>
      <c r="K6347" s="115"/>
    </row>
    <row r="6348">
      <c r="A6348" s="115"/>
      <c r="B6348" s="115"/>
      <c r="C6348" s="115" t="str">
        <f>IFERROR(__xludf.DUMMYFUNCTION("""COMPUTED_VALUE"""),"FLIPKART")</f>
        <v>FLIPKART</v>
      </c>
      <c r="D6348" s="115">
        <f>IFERROR(__xludf.DUMMYFUNCTION("""COMPUTED_VALUE"""),6622.0)</f>
        <v>6622</v>
      </c>
      <c r="E6348" s="115">
        <f>IFERROR(__xludf.DUMMYFUNCTION("""COMPUTED_VALUE"""),714.0)</f>
        <v>714</v>
      </c>
      <c r="F6348" s="115">
        <f>IFERROR(__xludf.DUMMYFUNCTION("""COMPUTED_VALUE"""),221.0)</f>
        <v>221</v>
      </c>
      <c r="G6348" s="115">
        <f>IFERROR(__xludf.DUMMYFUNCTION("""COMPUTED_VALUE"""),42.0)</f>
        <v>42</v>
      </c>
      <c r="H6348" s="116">
        <f>IFERROR(__xludf.DUMMYFUNCTION("""COMPUTED_VALUE"""),45912.0)</f>
        <v>45912</v>
      </c>
      <c r="I6348" s="115" t="str">
        <f>IFERROR(__xludf.DUMMYFUNCTION("""COMPUTED_VALUE"""),"10")</f>
        <v>10</v>
      </c>
      <c r="J6348" s="115"/>
      <c r="K6348" s="115"/>
    </row>
    <row r="6349">
      <c r="A6349" s="115"/>
      <c r="B6349" s="115"/>
      <c r="C6349" s="115" t="str">
        <f>IFERROR(__xludf.DUMMYFUNCTION("""COMPUTED_VALUE"""),"MYNTRA")</f>
        <v>MYNTRA</v>
      </c>
      <c r="D6349" s="115">
        <f>IFERROR(__xludf.DUMMYFUNCTION("""COMPUTED_VALUE"""),786.0)</f>
        <v>786</v>
      </c>
      <c r="E6349" s="115">
        <f>IFERROR(__xludf.DUMMYFUNCTION("""COMPUTED_VALUE"""),228.0)</f>
        <v>228</v>
      </c>
      <c r="F6349" s="115">
        <f>IFERROR(__xludf.DUMMYFUNCTION("""COMPUTED_VALUE"""),38.0)</f>
        <v>38</v>
      </c>
      <c r="G6349" s="115">
        <f>IFERROR(__xludf.DUMMYFUNCTION("""COMPUTED_VALUE"""),10.0)</f>
        <v>10</v>
      </c>
      <c r="H6349" s="116">
        <f>IFERROR(__xludf.DUMMYFUNCTION("""COMPUTED_VALUE"""),45912.0)</f>
        <v>45912</v>
      </c>
      <c r="I6349" s="115" t="str">
        <f>IFERROR(__xludf.DUMMYFUNCTION("""COMPUTED_VALUE"""),"10")</f>
        <v>10</v>
      </c>
      <c r="J6349" s="115"/>
      <c r="K6349" s="115"/>
    </row>
    <row r="6350">
      <c r="A6350" s="115" t="str">
        <f>IFERROR(__xludf.DUMMYFUNCTION("""COMPUTED_VALUE"""),"EAST")</f>
        <v>EAST</v>
      </c>
      <c r="B6350" s="115" t="str">
        <f>IFERROR(__xludf.DUMMYFUNCTION("""COMPUTED_VALUE"""),"Ashish Ranjan")</f>
        <v>Ashish Ranjan</v>
      </c>
      <c r="C6350" s="115" t="str">
        <f>IFERROR(__xludf.DUMMYFUNCTION("""COMPUTED_VALUE"""),"EXTERNAL")</f>
        <v>EXTERNAL</v>
      </c>
      <c r="D6350" s="115">
        <f>IFERROR(__xludf.DUMMYFUNCTION("""COMPUTED_VALUE"""),32808.0)</f>
        <v>32808</v>
      </c>
      <c r="E6350" s="115">
        <f>IFERROR(__xludf.DUMMYFUNCTION("""COMPUTED_VALUE"""),2324.0)</f>
        <v>2324</v>
      </c>
      <c r="F6350" s="115">
        <f>IFERROR(__xludf.DUMMYFUNCTION("""COMPUTED_VALUE"""),3948.0)</f>
        <v>3948</v>
      </c>
      <c r="G6350" s="115">
        <f>IFERROR(__xludf.DUMMYFUNCTION("""COMPUTED_VALUE"""),79.0)</f>
        <v>79</v>
      </c>
      <c r="H6350" s="116">
        <f>IFERROR(__xludf.DUMMYFUNCTION("""COMPUTED_VALUE"""),45912.0)</f>
        <v>45912</v>
      </c>
      <c r="I6350" s="115" t="str">
        <f>IFERROR(__xludf.DUMMYFUNCTION("""COMPUTED_VALUE"""),"11")</f>
        <v>11</v>
      </c>
      <c r="J6350" s="115"/>
      <c r="K6350" s="115"/>
    </row>
    <row r="6351">
      <c r="A6351" s="115" t="str">
        <f>IFERROR(__xludf.DUMMYFUNCTION("""COMPUTED_VALUE"""),"EAST")</f>
        <v>EAST</v>
      </c>
      <c r="B6351" s="115" t="str">
        <f>IFERROR(__xludf.DUMMYFUNCTION("""COMPUTED_VALUE"""),"Ashish Ranjan")</f>
        <v>Ashish Ranjan</v>
      </c>
      <c r="C6351" s="115" t="str">
        <f>IFERROR(__xludf.DUMMYFUNCTION("""COMPUTED_VALUE"""),"FLIPKART")</f>
        <v>FLIPKART</v>
      </c>
      <c r="D6351" s="115">
        <f>IFERROR(__xludf.DUMMYFUNCTION("""COMPUTED_VALUE"""),609638.0)</f>
        <v>609638</v>
      </c>
      <c r="E6351" s="115">
        <f>IFERROR(__xludf.DUMMYFUNCTION("""COMPUTED_VALUE"""),46963.0)</f>
        <v>46963</v>
      </c>
      <c r="F6351" s="115">
        <f>IFERROR(__xludf.DUMMYFUNCTION("""COMPUTED_VALUE"""),118007.0)</f>
        <v>118007</v>
      </c>
      <c r="G6351" s="115">
        <f>IFERROR(__xludf.DUMMYFUNCTION("""COMPUTED_VALUE"""),2735.0)</f>
        <v>2735</v>
      </c>
      <c r="H6351" s="116">
        <f>IFERROR(__xludf.DUMMYFUNCTION("""COMPUTED_VALUE"""),45912.0)</f>
        <v>45912</v>
      </c>
      <c r="I6351" s="115" t="str">
        <f>IFERROR(__xludf.DUMMYFUNCTION("""COMPUTED_VALUE"""),"11")</f>
        <v>11</v>
      </c>
      <c r="J6351" s="115"/>
      <c r="K6351" s="115"/>
    </row>
    <row r="6352">
      <c r="A6352" s="115" t="str">
        <f>IFERROR(__xludf.DUMMYFUNCTION("""COMPUTED_VALUE"""),"EAST")</f>
        <v>EAST</v>
      </c>
      <c r="B6352" s="115" t="str">
        <f>IFERROR(__xludf.DUMMYFUNCTION("""COMPUTED_VALUE"""),"Ashish Ranjan")</f>
        <v>Ashish Ranjan</v>
      </c>
      <c r="C6352" s="115" t="str">
        <f>IFERROR(__xludf.DUMMYFUNCTION("""COMPUTED_VALUE"""),"MYNTRA")</f>
        <v>MYNTRA</v>
      </c>
      <c r="D6352" s="115">
        <f>IFERROR(__xludf.DUMMYFUNCTION("""COMPUTED_VALUE"""),62255.0)</f>
        <v>62255</v>
      </c>
      <c r="E6352" s="115">
        <f>IFERROR(__xludf.DUMMYFUNCTION("""COMPUTED_VALUE"""),11510.0)</f>
        <v>11510</v>
      </c>
      <c r="F6352" s="115">
        <f>IFERROR(__xludf.DUMMYFUNCTION("""COMPUTED_VALUE"""),12189.0)</f>
        <v>12189</v>
      </c>
      <c r="G6352" s="115">
        <f>IFERROR(__xludf.DUMMYFUNCTION("""COMPUTED_VALUE"""),655.0)</f>
        <v>655</v>
      </c>
      <c r="H6352" s="116">
        <f>IFERROR(__xludf.DUMMYFUNCTION("""COMPUTED_VALUE"""),45912.0)</f>
        <v>45912</v>
      </c>
      <c r="I6352" s="115" t="str">
        <f>IFERROR(__xludf.DUMMYFUNCTION("""COMPUTED_VALUE"""),"11")</f>
        <v>11</v>
      </c>
      <c r="J6352" s="115"/>
      <c r="K6352" s="115"/>
    </row>
    <row r="6353">
      <c r="A6353" s="115" t="str">
        <f>IFERROR(__xludf.DUMMYFUNCTION("""COMPUTED_VALUE"""),"EAST")</f>
        <v>EAST</v>
      </c>
      <c r="B6353" s="115" t="str">
        <f>IFERROR(__xludf.DUMMYFUNCTION("""COMPUTED_VALUE"""),"Girish Chand")</f>
        <v>Girish Chand</v>
      </c>
      <c r="C6353" s="115" t="str">
        <f>IFERROR(__xludf.DUMMYFUNCTION("""COMPUTED_VALUE"""),"EXTERNAL")</f>
        <v>EXTERNAL</v>
      </c>
      <c r="D6353" s="115">
        <f>IFERROR(__xludf.DUMMYFUNCTION("""COMPUTED_VALUE"""),19813.0)</f>
        <v>19813</v>
      </c>
      <c r="E6353" s="115">
        <f>IFERROR(__xludf.DUMMYFUNCTION("""COMPUTED_VALUE"""),1473.0)</f>
        <v>1473</v>
      </c>
      <c r="F6353" s="115">
        <f>IFERROR(__xludf.DUMMYFUNCTION("""COMPUTED_VALUE"""),1451.0)</f>
        <v>1451</v>
      </c>
      <c r="G6353" s="115">
        <f>IFERROR(__xludf.DUMMYFUNCTION("""COMPUTED_VALUE"""),17.0)</f>
        <v>17</v>
      </c>
      <c r="H6353" s="116">
        <f>IFERROR(__xludf.DUMMYFUNCTION("""COMPUTED_VALUE"""),45912.0)</f>
        <v>45912</v>
      </c>
      <c r="I6353" s="115" t="str">
        <f>IFERROR(__xludf.DUMMYFUNCTION("""COMPUTED_VALUE"""),"11")</f>
        <v>11</v>
      </c>
      <c r="J6353" s="115"/>
      <c r="K6353" s="115"/>
    </row>
    <row r="6354">
      <c r="A6354" s="115" t="str">
        <f>IFERROR(__xludf.DUMMYFUNCTION("""COMPUTED_VALUE"""),"EAST")</f>
        <v>EAST</v>
      </c>
      <c r="B6354" s="115" t="str">
        <f>IFERROR(__xludf.DUMMYFUNCTION("""COMPUTED_VALUE"""),"Girish Chand")</f>
        <v>Girish Chand</v>
      </c>
      <c r="C6354" s="115" t="str">
        <f>IFERROR(__xludf.DUMMYFUNCTION("""COMPUTED_VALUE"""),"FLIPKART")</f>
        <v>FLIPKART</v>
      </c>
      <c r="D6354" s="115">
        <f>IFERROR(__xludf.DUMMYFUNCTION("""COMPUTED_VALUE"""),412897.0)</f>
        <v>412897</v>
      </c>
      <c r="E6354" s="115">
        <f>IFERROR(__xludf.DUMMYFUNCTION("""COMPUTED_VALUE"""),26852.0)</f>
        <v>26852</v>
      </c>
      <c r="F6354" s="115">
        <f>IFERROR(__xludf.DUMMYFUNCTION("""COMPUTED_VALUE"""),52962.0)</f>
        <v>52962</v>
      </c>
      <c r="G6354" s="115">
        <f>IFERROR(__xludf.DUMMYFUNCTION("""COMPUTED_VALUE"""),898.0)</f>
        <v>898</v>
      </c>
      <c r="H6354" s="116">
        <f>IFERROR(__xludf.DUMMYFUNCTION("""COMPUTED_VALUE"""),45912.0)</f>
        <v>45912</v>
      </c>
      <c r="I6354" s="115" t="str">
        <f>IFERROR(__xludf.DUMMYFUNCTION("""COMPUTED_VALUE"""),"11")</f>
        <v>11</v>
      </c>
      <c r="J6354" s="115"/>
      <c r="K6354" s="115"/>
    </row>
    <row r="6355">
      <c r="A6355" s="115" t="str">
        <f>IFERROR(__xludf.DUMMYFUNCTION("""COMPUTED_VALUE"""),"EAST")</f>
        <v>EAST</v>
      </c>
      <c r="B6355" s="115" t="str">
        <f>IFERROR(__xludf.DUMMYFUNCTION("""COMPUTED_VALUE"""),"Girish Chand")</f>
        <v>Girish Chand</v>
      </c>
      <c r="C6355" s="115" t="str">
        <f>IFERROR(__xludf.DUMMYFUNCTION("""COMPUTED_VALUE"""),"MYNTRA")</f>
        <v>MYNTRA</v>
      </c>
      <c r="D6355" s="115">
        <f>IFERROR(__xludf.DUMMYFUNCTION("""COMPUTED_VALUE"""),31035.0)</f>
        <v>31035</v>
      </c>
      <c r="E6355" s="115">
        <f>IFERROR(__xludf.DUMMYFUNCTION("""COMPUTED_VALUE"""),5277.0)</f>
        <v>5277</v>
      </c>
      <c r="F6355" s="115">
        <f>IFERROR(__xludf.DUMMYFUNCTION("""COMPUTED_VALUE"""),4341.0)</f>
        <v>4341</v>
      </c>
      <c r="G6355" s="115">
        <f>IFERROR(__xludf.DUMMYFUNCTION("""COMPUTED_VALUE"""),275.0)</f>
        <v>275</v>
      </c>
      <c r="H6355" s="116">
        <f>IFERROR(__xludf.DUMMYFUNCTION("""COMPUTED_VALUE"""),45912.0)</f>
        <v>45912</v>
      </c>
      <c r="I6355" s="115" t="str">
        <f>IFERROR(__xludf.DUMMYFUNCTION("""COMPUTED_VALUE"""),"11")</f>
        <v>11</v>
      </c>
      <c r="J6355" s="115"/>
      <c r="K6355" s="115"/>
    </row>
    <row r="6356">
      <c r="A6356" s="115" t="str">
        <f>IFERROR(__xludf.DUMMYFUNCTION("""COMPUTED_VALUE"""),"EAST")</f>
        <v>EAST</v>
      </c>
      <c r="B6356" s="115" t="str">
        <f>IFERROR(__xludf.DUMMYFUNCTION("""COMPUTED_VALUE"""),"Parag Kashyap")</f>
        <v>Parag Kashyap</v>
      </c>
      <c r="C6356" s="115" t="str">
        <f>IFERROR(__xludf.DUMMYFUNCTION("""COMPUTED_VALUE"""),"EXTERNAL")</f>
        <v>EXTERNAL</v>
      </c>
      <c r="D6356" s="115">
        <f>IFERROR(__xludf.DUMMYFUNCTION("""COMPUTED_VALUE"""),11571.0)</f>
        <v>11571</v>
      </c>
      <c r="E6356" s="115">
        <f>IFERROR(__xludf.DUMMYFUNCTION("""COMPUTED_VALUE"""),732.0)</f>
        <v>732</v>
      </c>
      <c r="F6356" s="115">
        <f>IFERROR(__xludf.DUMMYFUNCTION("""COMPUTED_VALUE"""),787.0)</f>
        <v>787</v>
      </c>
      <c r="G6356" s="115">
        <f>IFERROR(__xludf.DUMMYFUNCTION("""COMPUTED_VALUE"""),10.0)</f>
        <v>10</v>
      </c>
      <c r="H6356" s="116">
        <f>IFERROR(__xludf.DUMMYFUNCTION("""COMPUTED_VALUE"""),45912.0)</f>
        <v>45912</v>
      </c>
      <c r="I6356" s="115" t="str">
        <f>IFERROR(__xludf.DUMMYFUNCTION("""COMPUTED_VALUE"""),"11")</f>
        <v>11</v>
      </c>
      <c r="J6356" s="115"/>
      <c r="K6356" s="115"/>
    </row>
    <row r="6357">
      <c r="A6357" s="115" t="str">
        <f>IFERROR(__xludf.DUMMYFUNCTION("""COMPUTED_VALUE"""),"EAST")</f>
        <v>EAST</v>
      </c>
      <c r="B6357" s="115" t="str">
        <f>IFERROR(__xludf.DUMMYFUNCTION("""COMPUTED_VALUE"""),"Parag Kashyap")</f>
        <v>Parag Kashyap</v>
      </c>
      <c r="C6357" s="115" t="str">
        <f>IFERROR(__xludf.DUMMYFUNCTION("""COMPUTED_VALUE"""),"FLIPKART")</f>
        <v>FLIPKART</v>
      </c>
      <c r="D6357" s="115">
        <f>IFERROR(__xludf.DUMMYFUNCTION("""COMPUTED_VALUE"""),227324.0)</f>
        <v>227324</v>
      </c>
      <c r="E6357" s="115">
        <f>IFERROR(__xludf.DUMMYFUNCTION("""COMPUTED_VALUE"""),12118.0)</f>
        <v>12118</v>
      </c>
      <c r="F6357" s="115">
        <f>IFERROR(__xludf.DUMMYFUNCTION("""COMPUTED_VALUE"""),27510.0)</f>
        <v>27510</v>
      </c>
      <c r="G6357" s="115">
        <f>IFERROR(__xludf.DUMMYFUNCTION("""COMPUTED_VALUE"""),299.0)</f>
        <v>299</v>
      </c>
      <c r="H6357" s="116">
        <f>IFERROR(__xludf.DUMMYFUNCTION("""COMPUTED_VALUE"""),45912.0)</f>
        <v>45912</v>
      </c>
      <c r="I6357" s="115" t="str">
        <f>IFERROR(__xludf.DUMMYFUNCTION("""COMPUTED_VALUE"""),"11")</f>
        <v>11</v>
      </c>
      <c r="J6357" s="115"/>
      <c r="K6357" s="115"/>
    </row>
    <row r="6358">
      <c r="A6358" s="115" t="str">
        <f>IFERROR(__xludf.DUMMYFUNCTION("""COMPUTED_VALUE"""),"EAST")</f>
        <v>EAST</v>
      </c>
      <c r="B6358" s="115" t="str">
        <f>IFERROR(__xludf.DUMMYFUNCTION("""COMPUTED_VALUE"""),"Parag Kashyap")</f>
        <v>Parag Kashyap</v>
      </c>
      <c r="C6358" s="115" t="str">
        <f>IFERROR(__xludf.DUMMYFUNCTION("""COMPUTED_VALUE"""),"MYNTRA")</f>
        <v>MYNTRA</v>
      </c>
      <c r="D6358" s="115">
        <f>IFERROR(__xludf.DUMMYFUNCTION("""COMPUTED_VALUE"""),28705.0)</f>
        <v>28705</v>
      </c>
      <c r="E6358" s="115">
        <f>IFERROR(__xludf.DUMMYFUNCTION("""COMPUTED_VALUE"""),4081.0)</f>
        <v>4081</v>
      </c>
      <c r="F6358" s="115">
        <f>IFERROR(__xludf.DUMMYFUNCTION("""COMPUTED_VALUE"""),3973.0)</f>
        <v>3973</v>
      </c>
      <c r="G6358" s="115">
        <f>IFERROR(__xludf.DUMMYFUNCTION("""COMPUTED_VALUE"""),70.0)</f>
        <v>70</v>
      </c>
      <c r="H6358" s="116">
        <f>IFERROR(__xludf.DUMMYFUNCTION("""COMPUTED_VALUE"""),45912.0)</f>
        <v>45912</v>
      </c>
      <c r="I6358" s="115" t="str">
        <f>IFERROR(__xludf.DUMMYFUNCTION("""COMPUTED_VALUE"""),"11")</f>
        <v>11</v>
      </c>
      <c r="J6358" s="115"/>
      <c r="K6358" s="115"/>
    </row>
    <row r="6359">
      <c r="A6359" s="115" t="str">
        <f>IFERROR(__xludf.DUMMYFUNCTION("""COMPUTED_VALUE"""),"NORTH")</f>
        <v>NORTH</v>
      </c>
      <c r="B6359" s="115" t="str">
        <f>IFERROR(__xludf.DUMMYFUNCTION("""COMPUTED_VALUE"""),"Amit Kumar Pathak")</f>
        <v>Amit Kumar Pathak</v>
      </c>
      <c r="C6359" s="115" t="str">
        <f>IFERROR(__xludf.DUMMYFUNCTION("""COMPUTED_VALUE"""),"EXTERNAL")</f>
        <v>EXTERNAL</v>
      </c>
      <c r="D6359" s="115">
        <f>IFERROR(__xludf.DUMMYFUNCTION("""COMPUTED_VALUE"""),21223.0)</f>
        <v>21223</v>
      </c>
      <c r="E6359" s="115">
        <f>IFERROR(__xludf.DUMMYFUNCTION("""COMPUTED_VALUE"""),2709.0)</f>
        <v>2709</v>
      </c>
      <c r="F6359" s="115">
        <f>IFERROR(__xludf.DUMMYFUNCTION("""COMPUTED_VALUE"""),1987.0)</f>
        <v>1987</v>
      </c>
      <c r="G6359" s="115">
        <f>IFERROR(__xludf.DUMMYFUNCTION("""COMPUTED_VALUE"""),234.0)</f>
        <v>234</v>
      </c>
      <c r="H6359" s="116">
        <f>IFERROR(__xludf.DUMMYFUNCTION("""COMPUTED_VALUE"""),45912.0)</f>
        <v>45912</v>
      </c>
      <c r="I6359" s="115" t="str">
        <f>IFERROR(__xludf.DUMMYFUNCTION("""COMPUTED_VALUE"""),"11")</f>
        <v>11</v>
      </c>
      <c r="J6359" s="115"/>
      <c r="K6359" s="115"/>
    </row>
    <row r="6360">
      <c r="A6360" s="115" t="str">
        <f>IFERROR(__xludf.DUMMYFUNCTION("""COMPUTED_VALUE"""),"NORTH")</f>
        <v>NORTH</v>
      </c>
      <c r="B6360" s="115" t="str">
        <f>IFERROR(__xludf.DUMMYFUNCTION("""COMPUTED_VALUE"""),"Amit Kumar Pathak")</f>
        <v>Amit Kumar Pathak</v>
      </c>
      <c r="C6360" s="115" t="str">
        <f>IFERROR(__xludf.DUMMYFUNCTION("""COMPUTED_VALUE"""),"FLIPKART")</f>
        <v>FLIPKART</v>
      </c>
      <c r="D6360" s="115">
        <f>IFERROR(__xludf.DUMMYFUNCTION("""COMPUTED_VALUE"""),144480.0)</f>
        <v>144480</v>
      </c>
      <c r="E6360" s="115">
        <f>IFERROR(__xludf.DUMMYFUNCTION("""COMPUTED_VALUE"""),18617.0)</f>
        <v>18617</v>
      </c>
      <c r="F6360" s="115">
        <f>IFERROR(__xludf.DUMMYFUNCTION("""COMPUTED_VALUE"""),24611.0)</f>
        <v>24611</v>
      </c>
      <c r="G6360" s="115">
        <f>IFERROR(__xludf.DUMMYFUNCTION("""COMPUTED_VALUE"""),1753.0)</f>
        <v>1753</v>
      </c>
      <c r="H6360" s="116">
        <f>IFERROR(__xludf.DUMMYFUNCTION("""COMPUTED_VALUE"""),45912.0)</f>
        <v>45912</v>
      </c>
      <c r="I6360" s="115" t="str">
        <f>IFERROR(__xludf.DUMMYFUNCTION("""COMPUTED_VALUE"""),"11")</f>
        <v>11</v>
      </c>
      <c r="J6360" s="115"/>
      <c r="K6360" s="115"/>
    </row>
    <row r="6361">
      <c r="A6361" s="115" t="str">
        <f>IFERROR(__xludf.DUMMYFUNCTION("""COMPUTED_VALUE"""),"NORTH")</f>
        <v>NORTH</v>
      </c>
      <c r="B6361" s="115" t="str">
        <f>IFERROR(__xludf.DUMMYFUNCTION("""COMPUTED_VALUE"""),"Amit Kumar Pathak")</f>
        <v>Amit Kumar Pathak</v>
      </c>
      <c r="C6361" s="115" t="str">
        <f>IFERROR(__xludf.DUMMYFUNCTION("""COMPUTED_VALUE"""),"MYNTRA")</f>
        <v>MYNTRA</v>
      </c>
      <c r="D6361" s="115">
        <f>IFERROR(__xludf.DUMMYFUNCTION("""COMPUTED_VALUE"""),12671.0)</f>
        <v>12671</v>
      </c>
      <c r="E6361" s="115">
        <f>IFERROR(__xludf.DUMMYFUNCTION("""COMPUTED_VALUE"""),4443.0)</f>
        <v>4443</v>
      </c>
      <c r="F6361" s="115">
        <f>IFERROR(__xludf.DUMMYFUNCTION("""COMPUTED_VALUE"""),2818.0)</f>
        <v>2818</v>
      </c>
      <c r="G6361" s="115">
        <f>IFERROR(__xludf.DUMMYFUNCTION("""COMPUTED_VALUE"""),459.0)</f>
        <v>459</v>
      </c>
      <c r="H6361" s="116">
        <f>IFERROR(__xludf.DUMMYFUNCTION("""COMPUTED_VALUE"""),45912.0)</f>
        <v>45912</v>
      </c>
      <c r="I6361" s="115" t="str">
        <f>IFERROR(__xludf.DUMMYFUNCTION("""COMPUTED_VALUE"""),"11")</f>
        <v>11</v>
      </c>
      <c r="J6361" s="115"/>
      <c r="K6361" s="115"/>
    </row>
    <row r="6362">
      <c r="A6362" s="115" t="str">
        <f>IFERROR(__xludf.DUMMYFUNCTION("""COMPUTED_VALUE"""),"NORTH")</f>
        <v>NORTH</v>
      </c>
      <c r="B6362" s="115" t="str">
        <f>IFERROR(__xludf.DUMMYFUNCTION("""COMPUTED_VALUE"""),"Loveleen Singh")</f>
        <v>Loveleen Singh</v>
      </c>
      <c r="C6362" s="115" t="str">
        <f>IFERROR(__xludf.DUMMYFUNCTION("""COMPUTED_VALUE"""),"EXTERNAL")</f>
        <v>EXTERNAL</v>
      </c>
      <c r="D6362" s="115">
        <f>IFERROR(__xludf.DUMMYFUNCTION("""COMPUTED_VALUE"""),25024.0)</f>
        <v>25024</v>
      </c>
      <c r="E6362" s="115">
        <f>IFERROR(__xludf.DUMMYFUNCTION("""COMPUTED_VALUE"""),1687.0)</f>
        <v>1687</v>
      </c>
      <c r="F6362" s="115">
        <f>IFERROR(__xludf.DUMMYFUNCTION("""COMPUTED_VALUE"""),1799.0)</f>
        <v>1799</v>
      </c>
      <c r="G6362" s="115">
        <f>IFERROR(__xludf.DUMMYFUNCTION("""COMPUTED_VALUE"""),22.0)</f>
        <v>22</v>
      </c>
      <c r="H6362" s="116">
        <f>IFERROR(__xludf.DUMMYFUNCTION("""COMPUTED_VALUE"""),45912.0)</f>
        <v>45912</v>
      </c>
      <c r="I6362" s="115" t="str">
        <f>IFERROR(__xludf.DUMMYFUNCTION("""COMPUTED_VALUE"""),"11")</f>
        <v>11</v>
      </c>
      <c r="J6362" s="115"/>
      <c r="K6362" s="115"/>
    </row>
    <row r="6363">
      <c r="A6363" s="115" t="str">
        <f>IFERROR(__xludf.DUMMYFUNCTION("""COMPUTED_VALUE"""),"NORTH")</f>
        <v>NORTH</v>
      </c>
      <c r="B6363" s="115" t="str">
        <f>IFERROR(__xludf.DUMMYFUNCTION("""COMPUTED_VALUE"""),"Loveleen Singh")</f>
        <v>Loveleen Singh</v>
      </c>
      <c r="C6363" s="115" t="str">
        <f>IFERROR(__xludf.DUMMYFUNCTION("""COMPUTED_VALUE"""),"FLIPKART")</f>
        <v>FLIPKART</v>
      </c>
      <c r="D6363" s="115">
        <f>IFERROR(__xludf.DUMMYFUNCTION("""COMPUTED_VALUE"""),167776.0)</f>
        <v>167776</v>
      </c>
      <c r="E6363" s="115">
        <f>IFERROR(__xludf.DUMMYFUNCTION("""COMPUTED_VALUE"""),9677.0)</f>
        <v>9677</v>
      </c>
      <c r="F6363" s="115">
        <f>IFERROR(__xludf.DUMMYFUNCTION("""COMPUTED_VALUE"""),22933.0)</f>
        <v>22933</v>
      </c>
      <c r="G6363" s="115">
        <f>IFERROR(__xludf.DUMMYFUNCTION("""COMPUTED_VALUE"""),379.0)</f>
        <v>379</v>
      </c>
      <c r="H6363" s="116">
        <f>IFERROR(__xludf.DUMMYFUNCTION("""COMPUTED_VALUE"""),45912.0)</f>
        <v>45912</v>
      </c>
      <c r="I6363" s="115" t="str">
        <f>IFERROR(__xludf.DUMMYFUNCTION("""COMPUTED_VALUE"""),"11")</f>
        <v>11</v>
      </c>
      <c r="J6363" s="115"/>
      <c r="K6363" s="115"/>
    </row>
    <row r="6364">
      <c r="A6364" s="115" t="str">
        <f>IFERROR(__xludf.DUMMYFUNCTION("""COMPUTED_VALUE"""),"NORTH")</f>
        <v>NORTH</v>
      </c>
      <c r="B6364" s="115" t="str">
        <f>IFERROR(__xludf.DUMMYFUNCTION("""COMPUTED_VALUE"""),"Loveleen Singh")</f>
        <v>Loveleen Singh</v>
      </c>
      <c r="C6364" s="115" t="str">
        <f>IFERROR(__xludf.DUMMYFUNCTION("""COMPUTED_VALUE"""),"MYNTRA")</f>
        <v>MYNTRA</v>
      </c>
      <c r="D6364" s="115">
        <f>IFERROR(__xludf.DUMMYFUNCTION("""COMPUTED_VALUE"""),26699.0)</f>
        <v>26699</v>
      </c>
      <c r="E6364" s="115">
        <f>IFERROR(__xludf.DUMMYFUNCTION("""COMPUTED_VALUE"""),4343.0)</f>
        <v>4343</v>
      </c>
      <c r="F6364" s="115">
        <f>IFERROR(__xludf.DUMMYFUNCTION("""COMPUTED_VALUE"""),4698.0)</f>
        <v>4698</v>
      </c>
      <c r="G6364" s="115">
        <f>IFERROR(__xludf.DUMMYFUNCTION("""COMPUTED_VALUE"""),193.0)</f>
        <v>193</v>
      </c>
      <c r="H6364" s="116">
        <f>IFERROR(__xludf.DUMMYFUNCTION("""COMPUTED_VALUE"""),45912.0)</f>
        <v>45912</v>
      </c>
      <c r="I6364" s="115" t="str">
        <f>IFERROR(__xludf.DUMMYFUNCTION("""COMPUTED_VALUE"""),"11")</f>
        <v>11</v>
      </c>
      <c r="J6364" s="115"/>
      <c r="K6364" s="115"/>
    </row>
    <row r="6365">
      <c r="A6365" s="115" t="str">
        <f>IFERROR(__xludf.DUMMYFUNCTION("""COMPUTED_VALUE"""),"NORTH")</f>
        <v>NORTH</v>
      </c>
      <c r="B6365" s="115" t="str">
        <f>IFERROR(__xludf.DUMMYFUNCTION("""COMPUTED_VALUE"""),"Manoj Harsh")</f>
        <v>Manoj Harsh</v>
      </c>
      <c r="C6365" s="115" t="str">
        <f>IFERROR(__xludf.DUMMYFUNCTION("""COMPUTED_VALUE"""),"EXTERNAL")</f>
        <v>EXTERNAL</v>
      </c>
      <c r="D6365" s="115">
        <f>IFERROR(__xludf.DUMMYFUNCTION("""COMPUTED_VALUE"""),26951.0)</f>
        <v>26951</v>
      </c>
      <c r="E6365" s="115">
        <f>IFERROR(__xludf.DUMMYFUNCTION("""COMPUTED_VALUE"""),1736.0)</f>
        <v>1736</v>
      </c>
      <c r="F6365" s="115">
        <f>IFERROR(__xludf.DUMMYFUNCTION("""COMPUTED_VALUE"""),1708.0)</f>
        <v>1708</v>
      </c>
      <c r="G6365" s="115">
        <f>IFERROR(__xludf.DUMMYFUNCTION("""COMPUTED_VALUE"""),31.0)</f>
        <v>31</v>
      </c>
      <c r="H6365" s="116">
        <f>IFERROR(__xludf.DUMMYFUNCTION("""COMPUTED_VALUE"""),45912.0)</f>
        <v>45912</v>
      </c>
      <c r="I6365" s="115" t="str">
        <f>IFERROR(__xludf.DUMMYFUNCTION("""COMPUTED_VALUE"""),"11")</f>
        <v>11</v>
      </c>
      <c r="J6365" s="115"/>
      <c r="K6365" s="115"/>
    </row>
    <row r="6366">
      <c r="A6366" s="115" t="str">
        <f>IFERROR(__xludf.DUMMYFUNCTION("""COMPUTED_VALUE"""),"NORTH")</f>
        <v>NORTH</v>
      </c>
      <c r="B6366" s="115" t="str">
        <f>IFERROR(__xludf.DUMMYFUNCTION("""COMPUTED_VALUE"""),"Manoj Harsh")</f>
        <v>Manoj Harsh</v>
      </c>
      <c r="C6366" s="115" t="str">
        <f>IFERROR(__xludf.DUMMYFUNCTION("""COMPUTED_VALUE"""),"FLIPKART")</f>
        <v>FLIPKART</v>
      </c>
      <c r="D6366" s="115">
        <f>IFERROR(__xludf.DUMMYFUNCTION("""COMPUTED_VALUE"""),378055.0)</f>
        <v>378055</v>
      </c>
      <c r="E6366" s="115">
        <f>IFERROR(__xludf.DUMMYFUNCTION("""COMPUTED_VALUE"""),24701.0)</f>
        <v>24701</v>
      </c>
      <c r="F6366" s="115">
        <f>IFERROR(__xludf.DUMMYFUNCTION("""COMPUTED_VALUE"""),42594.0)</f>
        <v>42594</v>
      </c>
      <c r="G6366" s="115">
        <f>IFERROR(__xludf.DUMMYFUNCTION("""COMPUTED_VALUE"""),930.0)</f>
        <v>930</v>
      </c>
      <c r="H6366" s="116">
        <f>IFERROR(__xludf.DUMMYFUNCTION("""COMPUTED_VALUE"""),45912.0)</f>
        <v>45912</v>
      </c>
      <c r="I6366" s="115" t="str">
        <f>IFERROR(__xludf.DUMMYFUNCTION("""COMPUTED_VALUE"""),"11")</f>
        <v>11</v>
      </c>
      <c r="J6366" s="115"/>
      <c r="K6366" s="115"/>
    </row>
    <row r="6367">
      <c r="A6367" s="115" t="str">
        <f>IFERROR(__xludf.DUMMYFUNCTION("""COMPUTED_VALUE"""),"NORTH")</f>
        <v>NORTH</v>
      </c>
      <c r="B6367" s="115" t="str">
        <f>IFERROR(__xludf.DUMMYFUNCTION("""COMPUTED_VALUE"""),"Manoj Harsh")</f>
        <v>Manoj Harsh</v>
      </c>
      <c r="C6367" s="115" t="str">
        <f>IFERROR(__xludf.DUMMYFUNCTION("""COMPUTED_VALUE"""),"MYNTRA")</f>
        <v>MYNTRA</v>
      </c>
      <c r="D6367" s="115">
        <f>IFERROR(__xludf.DUMMYFUNCTION("""COMPUTED_VALUE"""),30186.0)</f>
        <v>30186</v>
      </c>
      <c r="E6367" s="115">
        <f>IFERROR(__xludf.DUMMYFUNCTION("""COMPUTED_VALUE"""),4761.0)</f>
        <v>4761</v>
      </c>
      <c r="F6367" s="115">
        <f>IFERROR(__xludf.DUMMYFUNCTION("""COMPUTED_VALUE"""),4006.0)</f>
        <v>4006</v>
      </c>
      <c r="G6367" s="115">
        <f>IFERROR(__xludf.DUMMYFUNCTION("""COMPUTED_VALUE"""),154.0)</f>
        <v>154</v>
      </c>
      <c r="H6367" s="116">
        <f>IFERROR(__xludf.DUMMYFUNCTION("""COMPUTED_VALUE"""),45912.0)</f>
        <v>45912</v>
      </c>
      <c r="I6367" s="115" t="str">
        <f>IFERROR(__xludf.DUMMYFUNCTION("""COMPUTED_VALUE"""),"11")</f>
        <v>11</v>
      </c>
      <c r="J6367" s="115"/>
      <c r="K6367" s="115"/>
    </row>
    <row r="6368">
      <c r="A6368" s="115" t="str">
        <f>IFERROR(__xludf.DUMMYFUNCTION("""COMPUTED_VALUE"""),"NORTH")</f>
        <v>NORTH</v>
      </c>
      <c r="B6368" s="115" t="str">
        <f>IFERROR(__xludf.DUMMYFUNCTION("""COMPUTED_VALUE"""),"Pradeep Kothari")</f>
        <v>Pradeep Kothari</v>
      </c>
      <c r="C6368" s="115" t="str">
        <f>IFERROR(__xludf.DUMMYFUNCTION("""COMPUTED_VALUE"""),"EXTERNAL")</f>
        <v>EXTERNAL</v>
      </c>
      <c r="D6368" s="115">
        <f>IFERROR(__xludf.DUMMYFUNCTION("""COMPUTED_VALUE"""),16428.0)</f>
        <v>16428</v>
      </c>
      <c r="E6368" s="115">
        <f>IFERROR(__xludf.DUMMYFUNCTION("""COMPUTED_VALUE"""),1452.0)</f>
        <v>1452</v>
      </c>
      <c r="F6368" s="115">
        <f>IFERROR(__xludf.DUMMYFUNCTION("""COMPUTED_VALUE"""),1321.0)</f>
        <v>1321</v>
      </c>
      <c r="G6368" s="115">
        <f>IFERROR(__xludf.DUMMYFUNCTION("""COMPUTED_VALUE"""),55.0)</f>
        <v>55</v>
      </c>
      <c r="H6368" s="116">
        <f>IFERROR(__xludf.DUMMYFUNCTION("""COMPUTED_VALUE"""),45912.0)</f>
        <v>45912</v>
      </c>
      <c r="I6368" s="115" t="str">
        <f>IFERROR(__xludf.DUMMYFUNCTION("""COMPUTED_VALUE"""),"11")</f>
        <v>11</v>
      </c>
      <c r="J6368" s="115"/>
      <c r="K6368" s="115"/>
    </row>
    <row r="6369">
      <c r="A6369" s="115" t="str">
        <f>IFERROR(__xludf.DUMMYFUNCTION("""COMPUTED_VALUE"""),"NORTH")</f>
        <v>NORTH</v>
      </c>
      <c r="B6369" s="115" t="str">
        <f>IFERROR(__xludf.DUMMYFUNCTION("""COMPUTED_VALUE"""),"Pradeep Kothari")</f>
        <v>Pradeep Kothari</v>
      </c>
      <c r="C6369" s="115" t="str">
        <f>IFERROR(__xludf.DUMMYFUNCTION("""COMPUTED_VALUE"""),"FLIPKART")</f>
        <v>FLIPKART</v>
      </c>
      <c r="D6369" s="115">
        <f>IFERROR(__xludf.DUMMYFUNCTION("""COMPUTED_VALUE"""),150662.0)</f>
        <v>150662</v>
      </c>
      <c r="E6369" s="115">
        <f>IFERROR(__xludf.DUMMYFUNCTION("""COMPUTED_VALUE"""),12810.0)</f>
        <v>12810</v>
      </c>
      <c r="F6369" s="115">
        <f>IFERROR(__xludf.DUMMYFUNCTION("""COMPUTED_VALUE"""),24024.0)</f>
        <v>24024</v>
      </c>
      <c r="G6369" s="115">
        <f>IFERROR(__xludf.DUMMYFUNCTION("""COMPUTED_VALUE"""),742.0)</f>
        <v>742</v>
      </c>
      <c r="H6369" s="116">
        <f>IFERROR(__xludf.DUMMYFUNCTION("""COMPUTED_VALUE"""),45912.0)</f>
        <v>45912</v>
      </c>
      <c r="I6369" s="115" t="str">
        <f>IFERROR(__xludf.DUMMYFUNCTION("""COMPUTED_VALUE"""),"11")</f>
        <v>11</v>
      </c>
      <c r="J6369" s="115"/>
      <c r="K6369" s="115"/>
    </row>
    <row r="6370">
      <c r="A6370" s="115" t="str">
        <f>IFERROR(__xludf.DUMMYFUNCTION("""COMPUTED_VALUE"""),"NORTH")</f>
        <v>NORTH</v>
      </c>
      <c r="B6370" s="115" t="str">
        <f>IFERROR(__xludf.DUMMYFUNCTION("""COMPUTED_VALUE"""),"Pradeep Kothari")</f>
        <v>Pradeep Kothari</v>
      </c>
      <c r="C6370" s="115" t="str">
        <f>IFERROR(__xludf.DUMMYFUNCTION("""COMPUTED_VALUE"""),"MYNTRA")</f>
        <v>MYNTRA</v>
      </c>
      <c r="D6370" s="115">
        <f>IFERROR(__xludf.DUMMYFUNCTION("""COMPUTED_VALUE"""),22766.0)</f>
        <v>22766</v>
      </c>
      <c r="E6370" s="115">
        <f>IFERROR(__xludf.DUMMYFUNCTION("""COMPUTED_VALUE"""),4585.0)</f>
        <v>4585</v>
      </c>
      <c r="F6370" s="115">
        <f>IFERROR(__xludf.DUMMYFUNCTION("""COMPUTED_VALUE"""),5045.0)</f>
        <v>5045</v>
      </c>
      <c r="G6370" s="115">
        <f>IFERROR(__xludf.DUMMYFUNCTION("""COMPUTED_VALUE"""),322.0)</f>
        <v>322</v>
      </c>
      <c r="H6370" s="116">
        <f>IFERROR(__xludf.DUMMYFUNCTION("""COMPUTED_VALUE"""),45912.0)</f>
        <v>45912</v>
      </c>
      <c r="I6370" s="115" t="str">
        <f>IFERROR(__xludf.DUMMYFUNCTION("""COMPUTED_VALUE"""),"11")</f>
        <v>11</v>
      </c>
      <c r="J6370" s="115"/>
      <c r="K6370" s="115"/>
    </row>
    <row r="6371">
      <c r="A6371" s="115" t="str">
        <f>IFERROR(__xludf.DUMMYFUNCTION("""COMPUTED_VALUE"""),"North")</f>
        <v>North</v>
      </c>
      <c r="B6371" s="115" t="str">
        <f>IFERROR(__xludf.DUMMYFUNCTION("""COMPUTED_VALUE"""),"Manoj Harsh")</f>
        <v>Manoj Harsh</v>
      </c>
      <c r="C6371" s="115" t="str">
        <f>IFERROR(__xludf.DUMMYFUNCTION("""COMPUTED_VALUE"""),"EXTERNAL")</f>
        <v>EXTERNAL</v>
      </c>
      <c r="D6371" s="115">
        <f>IFERROR(__xludf.DUMMYFUNCTION("""COMPUTED_VALUE"""),3.0)</f>
        <v>3</v>
      </c>
      <c r="E6371" s="115">
        <f>IFERROR(__xludf.DUMMYFUNCTION("""COMPUTED_VALUE"""),0.0)</f>
        <v>0</v>
      </c>
      <c r="F6371" s="115">
        <f>IFERROR(__xludf.DUMMYFUNCTION("""COMPUTED_VALUE"""),0.0)</f>
        <v>0</v>
      </c>
      <c r="G6371" s="115">
        <f>IFERROR(__xludf.DUMMYFUNCTION("""COMPUTED_VALUE"""),0.0)</f>
        <v>0</v>
      </c>
      <c r="H6371" s="116">
        <f>IFERROR(__xludf.DUMMYFUNCTION("""COMPUTED_VALUE"""),45912.0)</f>
        <v>45912</v>
      </c>
      <c r="I6371" s="115" t="str">
        <f>IFERROR(__xludf.DUMMYFUNCTION("""COMPUTED_VALUE"""),"11")</f>
        <v>11</v>
      </c>
      <c r="J6371" s="115"/>
      <c r="K6371" s="115"/>
    </row>
    <row r="6372">
      <c r="A6372" s="115" t="str">
        <f>IFERROR(__xludf.DUMMYFUNCTION("""COMPUTED_VALUE"""),"North")</f>
        <v>North</v>
      </c>
      <c r="B6372" s="115" t="str">
        <f>IFERROR(__xludf.DUMMYFUNCTION("""COMPUTED_VALUE"""),"Manoj Harsh")</f>
        <v>Manoj Harsh</v>
      </c>
      <c r="C6372" s="115" t="str">
        <f>IFERROR(__xludf.DUMMYFUNCTION("""COMPUTED_VALUE"""),"FLIPKART")</f>
        <v>FLIPKART</v>
      </c>
      <c r="D6372" s="115">
        <f>IFERROR(__xludf.DUMMYFUNCTION("""COMPUTED_VALUE"""),125.0)</f>
        <v>125</v>
      </c>
      <c r="E6372" s="115">
        <f>IFERROR(__xludf.DUMMYFUNCTION("""COMPUTED_VALUE"""),10.0)</f>
        <v>10</v>
      </c>
      <c r="F6372" s="115">
        <f>IFERROR(__xludf.DUMMYFUNCTION("""COMPUTED_VALUE"""),25.0)</f>
        <v>25</v>
      </c>
      <c r="G6372" s="115">
        <f>IFERROR(__xludf.DUMMYFUNCTION("""COMPUTED_VALUE"""),1.0)</f>
        <v>1</v>
      </c>
      <c r="H6372" s="116">
        <f>IFERROR(__xludf.DUMMYFUNCTION("""COMPUTED_VALUE"""),45912.0)</f>
        <v>45912</v>
      </c>
      <c r="I6372" s="115" t="str">
        <f>IFERROR(__xludf.DUMMYFUNCTION("""COMPUTED_VALUE"""),"11")</f>
        <v>11</v>
      </c>
      <c r="J6372" s="115"/>
      <c r="K6372" s="115"/>
    </row>
    <row r="6373">
      <c r="A6373" s="115" t="str">
        <f>IFERROR(__xludf.DUMMYFUNCTION("""COMPUTED_VALUE"""),"North")</f>
        <v>North</v>
      </c>
      <c r="B6373" s="115" t="str">
        <f>IFERROR(__xludf.DUMMYFUNCTION("""COMPUTED_VALUE"""),"Manoj Harsh")</f>
        <v>Manoj Harsh</v>
      </c>
      <c r="C6373" s="115" t="str">
        <f>IFERROR(__xludf.DUMMYFUNCTION("""COMPUTED_VALUE"""),"MYNTRA")</f>
        <v>MYNTRA</v>
      </c>
      <c r="D6373" s="115">
        <f>IFERROR(__xludf.DUMMYFUNCTION("""COMPUTED_VALUE"""),43.0)</f>
        <v>43</v>
      </c>
      <c r="E6373" s="115">
        <f>IFERROR(__xludf.DUMMYFUNCTION("""COMPUTED_VALUE"""),3.0)</f>
        <v>3</v>
      </c>
      <c r="F6373" s="115">
        <f>IFERROR(__xludf.DUMMYFUNCTION("""COMPUTED_VALUE"""),9.0)</f>
        <v>9</v>
      </c>
      <c r="G6373" s="115">
        <f>IFERROR(__xludf.DUMMYFUNCTION("""COMPUTED_VALUE"""),1.0)</f>
        <v>1</v>
      </c>
      <c r="H6373" s="116">
        <f>IFERROR(__xludf.DUMMYFUNCTION("""COMPUTED_VALUE"""),45912.0)</f>
        <v>45912</v>
      </c>
      <c r="I6373" s="115" t="str">
        <f>IFERROR(__xludf.DUMMYFUNCTION("""COMPUTED_VALUE"""),"11")</f>
        <v>11</v>
      </c>
      <c r="J6373" s="115"/>
      <c r="K6373" s="115"/>
    </row>
    <row r="6374">
      <c r="A6374" s="115" t="str">
        <f>IFERROR(__xludf.DUMMYFUNCTION("""COMPUTED_VALUE"""),"SOUTH")</f>
        <v>SOUTH</v>
      </c>
      <c r="B6374" s="115" t="str">
        <f>IFERROR(__xludf.DUMMYFUNCTION("""COMPUTED_VALUE"""),"Kandula Sampath")</f>
        <v>Kandula Sampath</v>
      </c>
      <c r="C6374" s="115" t="str">
        <f>IFERROR(__xludf.DUMMYFUNCTION("""COMPUTED_VALUE"""),"EXTERNAL")</f>
        <v>EXTERNAL</v>
      </c>
      <c r="D6374" s="115">
        <f>IFERROR(__xludf.DUMMYFUNCTION("""COMPUTED_VALUE"""),29883.0)</f>
        <v>29883</v>
      </c>
      <c r="E6374" s="115">
        <f>IFERROR(__xludf.DUMMYFUNCTION("""COMPUTED_VALUE"""),3136.0)</f>
        <v>3136</v>
      </c>
      <c r="F6374" s="115">
        <f>IFERROR(__xludf.DUMMYFUNCTION("""COMPUTED_VALUE"""),3086.0)</f>
        <v>3086</v>
      </c>
      <c r="G6374" s="115">
        <f>IFERROR(__xludf.DUMMYFUNCTION("""COMPUTED_VALUE"""),95.0)</f>
        <v>95</v>
      </c>
      <c r="H6374" s="116">
        <f>IFERROR(__xludf.DUMMYFUNCTION("""COMPUTED_VALUE"""),45912.0)</f>
        <v>45912</v>
      </c>
      <c r="I6374" s="115" t="str">
        <f>IFERROR(__xludf.DUMMYFUNCTION("""COMPUTED_VALUE"""),"11")</f>
        <v>11</v>
      </c>
      <c r="J6374" s="115"/>
      <c r="K6374" s="115"/>
    </row>
    <row r="6375">
      <c r="A6375" s="115" t="str">
        <f>IFERROR(__xludf.DUMMYFUNCTION("""COMPUTED_VALUE"""),"SOUTH")</f>
        <v>SOUTH</v>
      </c>
      <c r="B6375" s="115" t="str">
        <f>IFERROR(__xludf.DUMMYFUNCTION("""COMPUTED_VALUE"""),"Kandula Sampath")</f>
        <v>Kandula Sampath</v>
      </c>
      <c r="C6375" s="115" t="str">
        <f>IFERROR(__xludf.DUMMYFUNCTION("""COMPUTED_VALUE"""),"FLIPKART")</f>
        <v>FLIPKART</v>
      </c>
      <c r="D6375" s="115">
        <f>IFERROR(__xludf.DUMMYFUNCTION("""COMPUTED_VALUE"""),339968.0)</f>
        <v>339968</v>
      </c>
      <c r="E6375" s="115">
        <f>IFERROR(__xludf.DUMMYFUNCTION("""COMPUTED_VALUE"""),22871.0)</f>
        <v>22871</v>
      </c>
      <c r="F6375" s="115">
        <f>IFERROR(__xludf.DUMMYFUNCTION("""COMPUTED_VALUE"""),62763.0)</f>
        <v>62763</v>
      </c>
      <c r="G6375" s="115">
        <f>IFERROR(__xludf.DUMMYFUNCTION("""COMPUTED_VALUE"""),803.0)</f>
        <v>803</v>
      </c>
      <c r="H6375" s="116">
        <f>IFERROR(__xludf.DUMMYFUNCTION("""COMPUTED_VALUE"""),45912.0)</f>
        <v>45912</v>
      </c>
      <c r="I6375" s="115" t="str">
        <f>IFERROR(__xludf.DUMMYFUNCTION("""COMPUTED_VALUE"""),"11")</f>
        <v>11</v>
      </c>
      <c r="J6375" s="115"/>
      <c r="K6375" s="115"/>
    </row>
    <row r="6376">
      <c r="A6376" s="115" t="str">
        <f>IFERROR(__xludf.DUMMYFUNCTION("""COMPUTED_VALUE"""),"SOUTH")</f>
        <v>SOUTH</v>
      </c>
      <c r="B6376" s="115" t="str">
        <f>IFERROR(__xludf.DUMMYFUNCTION("""COMPUTED_VALUE"""),"Kandula Sampath")</f>
        <v>Kandula Sampath</v>
      </c>
      <c r="C6376" s="115" t="str">
        <f>IFERROR(__xludf.DUMMYFUNCTION("""COMPUTED_VALUE"""),"MYNTRA")</f>
        <v>MYNTRA</v>
      </c>
      <c r="D6376" s="115">
        <f>IFERROR(__xludf.DUMMYFUNCTION("""COMPUTED_VALUE"""),36354.0)</f>
        <v>36354</v>
      </c>
      <c r="E6376" s="115">
        <f>IFERROR(__xludf.DUMMYFUNCTION("""COMPUTED_VALUE"""),6499.0)</f>
        <v>6499</v>
      </c>
      <c r="F6376" s="115">
        <f>IFERROR(__xludf.DUMMYFUNCTION("""COMPUTED_VALUE"""),7921.0)</f>
        <v>7921</v>
      </c>
      <c r="G6376" s="115">
        <f>IFERROR(__xludf.DUMMYFUNCTION("""COMPUTED_VALUE"""),240.0)</f>
        <v>240</v>
      </c>
      <c r="H6376" s="116">
        <f>IFERROR(__xludf.DUMMYFUNCTION("""COMPUTED_VALUE"""),45912.0)</f>
        <v>45912</v>
      </c>
      <c r="I6376" s="115" t="str">
        <f>IFERROR(__xludf.DUMMYFUNCTION("""COMPUTED_VALUE"""),"11")</f>
        <v>11</v>
      </c>
      <c r="J6376" s="115"/>
      <c r="K6376" s="115"/>
    </row>
    <row r="6377">
      <c r="A6377" s="115" t="str">
        <f>IFERROR(__xludf.DUMMYFUNCTION("""COMPUTED_VALUE"""),"SOUTH")</f>
        <v>SOUTH</v>
      </c>
      <c r="B6377" s="115" t="str">
        <f>IFERROR(__xludf.DUMMYFUNCTION("""COMPUTED_VALUE"""),"Martin A")</f>
        <v>Martin A</v>
      </c>
      <c r="C6377" s="115" t="str">
        <f>IFERROR(__xludf.DUMMYFUNCTION("""COMPUTED_VALUE"""),"EXTERNAL")</f>
        <v>EXTERNAL</v>
      </c>
      <c r="D6377" s="115">
        <f>IFERROR(__xludf.DUMMYFUNCTION("""COMPUTED_VALUE"""),23900.0)</f>
        <v>23900</v>
      </c>
      <c r="E6377" s="115">
        <f>IFERROR(__xludf.DUMMYFUNCTION("""COMPUTED_VALUE"""),2817.0)</f>
        <v>2817</v>
      </c>
      <c r="F6377" s="115">
        <f>IFERROR(__xludf.DUMMYFUNCTION("""COMPUTED_VALUE"""),2625.0)</f>
        <v>2625</v>
      </c>
      <c r="G6377" s="115">
        <f>IFERROR(__xludf.DUMMYFUNCTION("""COMPUTED_VALUE"""),125.0)</f>
        <v>125</v>
      </c>
      <c r="H6377" s="116">
        <f>IFERROR(__xludf.DUMMYFUNCTION("""COMPUTED_VALUE"""),45912.0)</f>
        <v>45912</v>
      </c>
      <c r="I6377" s="115" t="str">
        <f>IFERROR(__xludf.DUMMYFUNCTION("""COMPUTED_VALUE"""),"11")</f>
        <v>11</v>
      </c>
      <c r="J6377" s="115"/>
      <c r="K6377" s="115"/>
    </row>
    <row r="6378">
      <c r="A6378" s="115" t="str">
        <f>IFERROR(__xludf.DUMMYFUNCTION("""COMPUTED_VALUE"""),"SOUTH")</f>
        <v>SOUTH</v>
      </c>
      <c r="B6378" s="115" t="str">
        <f>IFERROR(__xludf.DUMMYFUNCTION("""COMPUTED_VALUE"""),"Martin A")</f>
        <v>Martin A</v>
      </c>
      <c r="C6378" s="115" t="str">
        <f>IFERROR(__xludf.DUMMYFUNCTION("""COMPUTED_VALUE"""),"FLIPKART")</f>
        <v>FLIPKART</v>
      </c>
      <c r="D6378" s="115">
        <f>IFERROR(__xludf.DUMMYFUNCTION("""COMPUTED_VALUE"""),248757.0)</f>
        <v>248757</v>
      </c>
      <c r="E6378" s="115">
        <f>IFERROR(__xludf.DUMMYFUNCTION("""COMPUTED_VALUE"""),19919.0)</f>
        <v>19919</v>
      </c>
      <c r="F6378" s="115">
        <f>IFERROR(__xludf.DUMMYFUNCTION("""COMPUTED_VALUE"""),46955.0)</f>
        <v>46955</v>
      </c>
      <c r="G6378" s="115">
        <f>IFERROR(__xludf.DUMMYFUNCTION("""COMPUTED_VALUE"""),1229.0)</f>
        <v>1229</v>
      </c>
      <c r="H6378" s="116">
        <f>IFERROR(__xludf.DUMMYFUNCTION("""COMPUTED_VALUE"""),45912.0)</f>
        <v>45912</v>
      </c>
      <c r="I6378" s="115" t="str">
        <f>IFERROR(__xludf.DUMMYFUNCTION("""COMPUTED_VALUE"""),"11")</f>
        <v>11</v>
      </c>
      <c r="J6378" s="115"/>
      <c r="K6378" s="115"/>
    </row>
    <row r="6379">
      <c r="A6379" s="115" t="str">
        <f>IFERROR(__xludf.DUMMYFUNCTION("""COMPUTED_VALUE"""),"SOUTH")</f>
        <v>SOUTH</v>
      </c>
      <c r="B6379" s="115" t="str">
        <f>IFERROR(__xludf.DUMMYFUNCTION("""COMPUTED_VALUE"""),"Martin A")</f>
        <v>Martin A</v>
      </c>
      <c r="C6379" s="115" t="str">
        <f>IFERROR(__xludf.DUMMYFUNCTION("""COMPUTED_VALUE"""),"MYNTRA")</f>
        <v>MYNTRA</v>
      </c>
      <c r="D6379" s="115">
        <f>IFERROR(__xludf.DUMMYFUNCTION("""COMPUTED_VALUE"""),24016.0)</f>
        <v>24016</v>
      </c>
      <c r="E6379" s="115">
        <f>IFERROR(__xludf.DUMMYFUNCTION("""COMPUTED_VALUE"""),5323.0)</f>
        <v>5323</v>
      </c>
      <c r="F6379" s="115">
        <f>IFERROR(__xludf.DUMMYFUNCTION("""COMPUTED_VALUE"""),5417.0)</f>
        <v>5417</v>
      </c>
      <c r="G6379" s="115">
        <f>IFERROR(__xludf.DUMMYFUNCTION("""COMPUTED_VALUE"""),349.0)</f>
        <v>349</v>
      </c>
      <c r="H6379" s="116">
        <f>IFERROR(__xludf.DUMMYFUNCTION("""COMPUTED_VALUE"""),45912.0)</f>
        <v>45912</v>
      </c>
      <c r="I6379" s="115" t="str">
        <f>IFERROR(__xludf.DUMMYFUNCTION("""COMPUTED_VALUE"""),"11")</f>
        <v>11</v>
      </c>
      <c r="J6379" s="115"/>
      <c r="K6379" s="115"/>
    </row>
    <row r="6380">
      <c r="A6380" s="115" t="str">
        <f>IFERROR(__xludf.DUMMYFUNCTION("""COMPUTED_VALUE"""),"SOUTH")</f>
        <v>SOUTH</v>
      </c>
      <c r="B6380" s="115" t="str">
        <f>IFERROR(__xludf.DUMMYFUNCTION("""COMPUTED_VALUE"""),"Premkumar M")</f>
        <v>Premkumar M</v>
      </c>
      <c r="C6380" s="115" t="str">
        <f>IFERROR(__xludf.DUMMYFUNCTION("""COMPUTED_VALUE"""),"EXTERNAL")</f>
        <v>EXTERNAL</v>
      </c>
      <c r="D6380" s="115">
        <f>IFERROR(__xludf.DUMMYFUNCTION("""COMPUTED_VALUE"""),18128.0)</f>
        <v>18128</v>
      </c>
      <c r="E6380" s="115">
        <f>IFERROR(__xludf.DUMMYFUNCTION("""COMPUTED_VALUE"""),1000.0)</f>
        <v>1000</v>
      </c>
      <c r="F6380" s="115">
        <f>IFERROR(__xludf.DUMMYFUNCTION("""COMPUTED_VALUE"""),1189.0)</f>
        <v>1189</v>
      </c>
      <c r="G6380" s="115">
        <f>IFERROR(__xludf.DUMMYFUNCTION("""COMPUTED_VALUE"""),9.0)</f>
        <v>9</v>
      </c>
      <c r="H6380" s="116">
        <f>IFERROR(__xludf.DUMMYFUNCTION("""COMPUTED_VALUE"""),45912.0)</f>
        <v>45912</v>
      </c>
      <c r="I6380" s="115" t="str">
        <f>IFERROR(__xludf.DUMMYFUNCTION("""COMPUTED_VALUE"""),"11")</f>
        <v>11</v>
      </c>
      <c r="J6380" s="115"/>
      <c r="K6380" s="115"/>
    </row>
    <row r="6381">
      <c r="A6381" s="115" t="str">
        <f>IFERROR(__xludf.DUMMYFUNCTION("""COMPUTED_VALUE"""),"SOUTH")</f>
        <v>SOUTH</v>
      </c>
      <c r="B6381" s="115" t="str">
        <f>IFERROR(__xludf.DUMMYFUNCTION("""COMPUTED_VALUE"""),"Premkumar M")</f>
        <v>Premkumar M</v>
      </c>
      <c r="C6381" s="115" t="str">
        <f>IFERROR(__xludf.DUMMYFUNCTION("""COMPUTED_VALUE"""),"FLIPKART")</f>
        <v>FLIPKART</v>
      </c>
      <c r="D6381" s="115">
        <f>IFERROR(__xludf.DUMMYFUNCTION("""COMPUTED_VALUE"""),201588.0)</f>
        <v>201588</v>
      </c>
      <c r="E6381" s="115">
        <f>IFERROR(__xludf.DUMMYFUNCTION("""COMPUTED_VALUE"""),9310.0)</f>
        <v>9310</v>
      </c>
      <c r="F6381" s="115">
        <f>IFERROR(__xludf.DUMMYFUNCTION("""COMPUTED_VALUE"""),21158.0)</f>
        <v>21158</v>
      </c>
      <c r="G6381" s="115">
        <f>IFERROR(__xludf.DUMMYFUNCTION("""COMPUTED_VALUE"""),162.0)</f>
        <v>162</v>
      </c>
      <c r="H6381" s="116">
        <f>IFERROR(__xludf.DUMMYFUNCTION("""COMPUTED_VALUE"""),45912.0)</f>
        <v>45912</v>
      </c>
      <c r="I6381" s="115" t="str">
        <f>IFERROR(__xludf.DUMMYFUNCTION("""COMPUTED_VALUE"""),"11")</f>
        <v>11</v>
      </c>
      <c r="J6381" s="115"/>
      <c r="K6381" s="115"/>
    </row>
    <row r="6382">
      <c r="A6382" s="115" t="str">
        <f>IFERROR(__xludf.DUMMYFUNCTION("""COMPUTED_VALUE"""),"SOUTH")</f>
        <v>SOUTH</v>
      </c>
      <c r="B6382" s="115" t="str">
        <f>IFERROR(__xludf.DUMMYFUNCTION("""COMPUTED_VALUE"""),"Premkumar M")</f>
        <v>Premkumar M</v>
      </c>
      <c r="C6382" s="115" t="str">
        <f>IFERROR(__xludf.DUMMYFUNCTION("""COMPUTED_VALUE"""),"MYNTRA")</f>
        <v>MYNTRA</v>
      </c>
      <c r="D6382" s="115">
        <f>IFERROR(__xludf.DUMMYFUNCTION("""COMPUTED_VALUE"""),10671.0)</f>
        <v>10671</v>
      </c>
      <c r="E6382" s="115">
        <f>IFERROR(__xludf.DUMMYFUNCTION("""COMPUTED_VALUE"""),1509.0)</f>
        <v>1509</v>
      </c>
      <c r="F6382" s="115">
        <f>IFERROR(__xludf.DUMMYFUNCTION("""COMPUTED_VALUE"""),1308.0)</f>
        <v>1308</v>
      </c>
      <c r="G6382" s="115">
        <f>IFERROR(__xludf.DUMMYFUNCTION("""COMPUTED_VALUE"""),20.0)</f>
        <v>20</v>
      </c>
      <c r="H6382" s="116">
        <f>IFERROR(__xludf.DUMMYFUNCTION("""COMPUTED_VALUE"""),45912.0)</f>
        <v>45912</v>
      </c>
      <c r="I6382" s="115" t="str">
        <f>IFERROR(__xludf.DUMMYFUNCTION("""COMPUTED_VALUE"""),"11")</f>
        <v>11</v>
      </c>
      <c r="J6382" s="115"/>
      <c r="K6382" s="115"/>
    </row>
    <row r="6383">
      <c r="A6383" s="115" t="str">
        <f>IFERROR(__xludf.DUMMYFUNCTION("""COMPUTED_VALUE"""),"SOUTH")</f>
        <v>SOUTH</v>
      </c>
      <c r="B6383" s="115" t="str">
        <f>IFERROR(__xludf.DUMMYFUNCTION("""COMPUTED_VALUE"""),"Vineeth V")</f>
        <v>Vineeth V</v>
      </c>
      <c r="C6383" s="115" t="str">
        <f>IFERROR(__xludf.DUMMYFUNCTION("""COMPUTED_VALUE"""),"EXTERNAL")</f>
        <v>EXTERNAL</v>
      </c>
      <c r="D6383" s="115">
        <f>IFERROR(__xludf.DUMMYFUNCTION("""COMPUTED_VALUE"""),13526.0)</f>
        <v>13526</v>
      </c>
      <c r="E6383" s="115">
        <f>IFERROR(__xludf.DUMMYFUNCTION("""COMPUTED_VALUE"""),266.0)</f>
        <v>266</v>
      </c>
      <c r="F6383" s="115">
        <f>IFERROR(__xludf.DUMMYFUNCTION("""COMPUTED_VALUE"""),802.0)</f>
        <v>802</v>
      </c>
      <c r="G6383" s="115">
        <f>IFERROR(__xludf.DUMMYFUNCTION("""COMPUTED_VALUE"""),6.0)</f>
        <v>6</v>
      </c>
      <c r="H6383" s="116">
        <f>IFERROR(__xludf.DUMMYFUNCTION("""COMPUTED_VALUE"""),45912.0)</f>
        <v>45912</v>
      </c>
      <c r="I6383" s="115" t="str">
        <f>IFERROR(__xludf.DUMMYFUNCTION("""COMPUTED_VALUE"""),"11")</f>
        <v>11</v>
      </c>
      <c r="J6383" s="115"/>
      <c r="K6383" s="115"/>
    </row>
    <row r="6384">
      <c r="A6384" s="115" t="str">
        <f>IFERROR(__xludf.DUMMYFUNCTION("""COMPUTED_VALUE"""),"SOUTH")</f>
        <v>SOUTH</v>
      </c>
      <c r="B6384" s="115" t="str">
        <f>IFERROR(__xludf.DUMMYFUNCTION("""COMPUTED_VALUE"""),"Vineeth V")</f>
        <v>Vineeth V</v>
      </c>
      <c r="C6384" s="115" t="str">
        <f>IFERROR(__xludf.DUMMYFUNCTION("""COMPUTED_VALUE"""),"FLIPKART")</f>
        <v>FLIPKART</v>
      </c>
      <c r="D6384" s="115">
        <f>IFERROR(__xludf.DUMMYFUNCTION("""COMPUTED_VALUE"""),149212.0)</f>
        <v>149212</v>
      </c>
      <c r="E6384" s="115">
        <f>IFERROR(__xludf.DUMMYFUNCTION("""COMPUTED_VALUE"""),7045.0)</f>
        <v>7045</v>
      </c>
      <c r="F6384" s="115">
        <f>IFERROR(__xludf.DUMMYFUNCTION("""COMPUTED_VALUE"""),13197.0)</f>
        <v>13197</v>
      </c>
      <c r="G6384" s="115">
        <f>IFERROR(__xludf.DUMMYFUNCTION("""COMPUTED_VALUE"""),74.0)</f>
        <v>74</v>
      </c>
      <c r="H6384" s="116">
        <f>IFERROR(__xludf.DUMMYFUNCTION("""COMPUTED_VALUE"""),45912.0)</f>
        <v>45912</v>
      </c>
      <c r="I6384" s="115" t="str">
        <f>IFERROR(__xludf.DUMMYFUNCTION("""COMPUTED_VALUE"""),"11")</f>
        <v>11</v>
      </c>
      <c r="J6384" s="115"/>
      <c r="K6384" s="115"/>
    </row>
    <row r="6385">
      <c r="A6385" s="115" t="str">
        <f>IFERROR(__xludf.DUMMYFUNCTION("""COMPUTED_VALUE"""),"SOUTH")</f>
        <v>SOUTH</v>
      </c>
      <c r="B6385" s="115" t="str">
        <f>IFERROR(__xludf.DUMMYFUNCTION("""COMPUTED_VALUE"""),"Vineeth V")</f>
        <v>Vineeth V</v>
      </c>
      <c r="C6385" s="115" t="str">
        <f>IFERROR(__xludf.DUMMYFUNCTION("""COMPUTED_VALUE"""),"MYNTRA")</f>
        <v>MYNTRA</v>
      </c>
      <c r="D6385" s="115">
        <f>IFERROR(__xludf.DUMMYFUNCTION("""COMPUTED_VALUE"""),11800.0)</f>
        <v>11800</v>
      </c>
      <c r="E6385" s="115">
        <f>IFERROR(__xludf.DUMMYFUNCTION("""COMPUTED_VALUE"""),1762.0)</f>
        <v>1762</v>
      </c>
      <c r="F6385" s="115">
        <f>IFERROR(__xludf.DUMMYFUNCTION("""COMPUTED_VALUE"""),1343.0)</f>
        <v>1343</v>
      </c>
      <c r="G6385" s="115">
        <f>IFERROR(__xludf.DUMMYFUNCTION("""COMPUTED_VALUE"""),28.0)</f>
        <v>28</v>
      </c>
      <c r="H6385" s="116">
        <f>IFERROR(__xludf.DUMMYFUNCTION("""COMPUTED_VALUE"""),45912.0)</f>
        <v>45912</v>
      </c>
      <c r="I6385" s="115" t="str">
        <f>IFERROR(__xludf.DUMMYFUNCTION("""COMPUTED_VALUE"""),"11")</f>
        <v>11</v>
      </c>
      <c r="J6385" s="115"/>
      <c r="K6385" s="115"/>
    </row>
    <row r="6386">
      <c r="A6386" s="115" t="str">
        <f>IFERROR(__xludf.DUMMYFUNCTION("""COMPUTED_VALUE"""),"WEST")</f>
        <v>WEST</v>
      </c>
      <c r="B6386" s="115" t="str">
        <f>IFERROR(__xludf.DUMMYFUNCTION("""COMPUTED_VALUE"""),"Ashish Jakar")</f>
        <v>Ashish Jakar</v>
      </c>
      <c r="C6386" s="115" t="str">
        <f>IFERROR(__xludf.DUMMYFUNCTION("""COMPUTED_VALUE"""),"EXTERNAL")</f>
        <v>EXTERNAL</v>
      </c>
      <c r="D6386" s="115">
        <f>IFERROR(__xludf.DUMMYFUNCTION("""COMPUTED_VALUE"""),41888.0)</f>
        <v>41888</v>
      </c>
      <c r="E6386" s="115">
        <f>IFERROR(__xludf.DUMMYFUNCTION("""COMPUTED_VALUE"""),4464.0)</f>
        <v>4464</v>
      </c>
      <c r="F6386" s="115">
        <f>IFERROR(__xludf.DUMMYFUNCTION("""COMPUTED_VALUE"""),4055.0)</f>
        <v>4055</v>
      </c>
      <c r="G6386" s="115">
        <f>IFERROR(__xludf.DUMMYFUNCTION("""COMPUTED_VALUE"""),169.0)</f>
        <v>169</v>
      </c>
      <c r="H6386" s="116">
        <f>IFERROR(__xludf.DUMMYFUNCTION("""COMPUTED_VALUE"""),45912.0)</f>
        <v>45912</v>
      </c>
      <c r="I6386" s="115" t="str">
        <f>IFERROR(__xludf.DUMMYFUNCTION("""COMPUTED_VALUE"""),"11")</f>
        <v>11</v>
      </c>
      <c r="J6386" s="115"/>
      <c r="K6386" s="115"/>
    </row>
    <row r="6387">
      <c r="A6387" s="115" t="str">
        <f>IFERROR(__xludf.DUMMYFUNCTION("""COMPUTED_VALUE"""),"WEST")</f>
        <v>WEST</v>
      </c>
      <c r="B6387" s="115" t="str">
        <f>IFERROR(__xludf.DUMMYFUNCTION("""COMPUTED_VALUE"""),"Ashish Jakar")</f>
        <v>Ashish Jakar</v>
      </c>
      <c r="C6387" s="115" t="str">
        <f>IFERROR(__xludf.DUMMYFUNCTION("""COMPUTED_VALUE"""),"FLIPKART")</f>
        <v>FLIPKART</v>
      </c>
      <c r="D6387" s="115">
        <f>IFERROR(__xludf.DUMMYFUNCTION("""COMPUTED_VALUE"""),323194.0)</f>
        <v>323194</v>
      </c>
      <c r="E6387" s="115">
        <f>IFERROR(__xludf.DUMMYFUNCTION("""COMPUTED_VALUE"""),24979.0)</f>
        <v>24979</v>
      </c>
      <c r="F6387" s="115">
        <f>IFERROR(__xludf.DUMMYFUNCTION("""COMPUTED_VALUE"""),42304.0)</f>
        <v>42304</v>
      </c>
      <c r="G6387" s="115">
        <f>IFERROR(__xludf.DUMMYFUNCTION("""COMPUTED_VALUE"""),962.0)</f>
        <v>962</v>
      </c>
      <c r="H6387" s="116">
        <f>IFERROR(__xludf.DUMMYFUNCTION("""COMPUTED_VALUE"""),45912.0)</f>
        <v>45912</v>
      </c>
      <c r="I6387" s="115" t="str">
        <f>IFERROR(__xludf.DUMMYFUNCTION("""COMPUTED_VALUE"""),"11")</f>
        <v>11</v>
      </c>
      <c r="J6387" s="115"/>
      <c r="K6387" s="115"/>
    </row>
    <row r="6388">
      <c r="A6388" s="115" t="str">
        <f>IFERROR(__xludf.DUMMYFUNCTION("""COMPUTED_VALUE"""),"WEST")</f>
        <v>WEST</v>
      </c>
      <c r="B6388" s="115" t="str">
        <f>IFERROR(__xludf.DUMMYFUNCTION("""COMPUTED_VALUE"""),"Ashish Jakar")</f>
        <v>Ashish Jakar</v>
      </c>
      <c r="C6388" s="115" t="str">
        <f>IFERROR(__xludf.DUMMYFUNCTION("""COMPUTED_VALUE"""),"MYNTRA")</f>
        <v>MYNTRA</v>
      </c>
      <c r="D6388" s="115">
        <f>IFERROR(__xludf.DUMMYFUNCTION("""COMPUTED_VALUE"""),35963.0)</f>
        <v>35963</v>
      </c>
      <c r="E6388" s="115">
        <f>IFERROR(__xludf.DUMMYFUNCTION("""COMPUTED_VALUE"""),8596.0)</f>
        <v>8596</v>
      </c>
      <c r="F6388" s="115">
        <f>IFERROR(__xludf.DUMMYFUNCTION("""COMPUTED_VALUE"""),5539.0)</f>
        <v>5539</v>
      </c>
      <c r="G6388" s="115">
        <f>IFERROR(__xludf.DUMMYFUNCTION("""COMPUTED_VALUE"""),349.0)</f>
        <v>349</v>
      </c>
      <c r="H6388" s="116">
        <f>IFERROR(__xludf.DUMMYFUNCTION("""COMPUTED_VALUE"""),45912.0)</f>
        <v>45912</v>
      </c>
      <c r="I6388" s="115" t="str">
        <f>IFERROR(__xludf.DUMMYFUNCTION("""COMPUTED_VALUE"""),"11")</f>
        <v>11</v>
      </c>
      <c r="J6388" s="115"/>
      <c r="K6388" s="115"/>
    </row>
    <row r="6389">
      <c r="A6389" s="115" t="str">
        <f>IFERROR(__xludf.DUMMYFUNCTION("""COMPUTED_VALUE"""),"WEST")</f>
        <v>WEST</v>
      </c>
      <c r="B6389" s="115" t="str">
        <f>IFERROR(__xludf.DUMMYFUNCTION("""COMPUTED_VALUE"""),"Ashvani Bhatt")</f>
        <v>Ashvani Bhatt</v>
      </c>
      <c r="C6389" s="115" t="str">
        <f>IFERROR(__xludf.DUMMYFUNCTION("""COMPUTED_VALUE"""),"EXTERNAL")</f>
        <v>EXTERNAL</v>
      </c>
      <c r="D6389" s="115">
        <f>IFERROR(__xludf.DUMMYFUNCTION("""COMPUTED_VALUE"""),28704.0)</f>
        <v>28704</v>
      </c>
      <c r="E6389" s="115">
        <f>IFERROR(__xludf.DUMMYFUNCTION("""COMPUTED_VALUE"""),2047.0)</f>
        <v>2047</v>
      </c>
      <c r="F6389" s="115">
        <f>IFERROR(__xludf.DUMMYFUNCTION("""COMPUTED_VALUE"""),2435.0)</f>
        <v>2435</v>
      </c>
      <c r="G6389" s="115">
        <f>IFERROR(__xludf.DUMMYFUNCTION("""COMPUTED_VALUE"""),44.0)</f>
        <v>44</v>
      </c>
      <c r="H6389" s="116">
        <f>IFERROR(__xludf.DUMMYFUNCTION("""COMPUTED_VALUE"""),45912.0)</f>
        <v>45912</v>
      </c>
      <c r="I6389" s="115" t="str">
        <f>IFERROR(__xludf.DUMMYFUNCTION("""COMPUTED_VALUE"""),"11")</f>
        <v>11</v>
      </c>
      <c r="J6389" s="115"/>
      <c r="K6389" s="115"/>
    </row>
    <row r="6390">
      <c r="A6390" s="115" t="str">
        <f>IFERROR(__xludf.DUMMYFUNCTION("""COMPUTED_VALUE"""),"WEST")</f>
        <v>WEST</v>
      </c>
      <c r="B6390" s="115" t="str">
        <f>IFERROR(__xludf.DUMMYFUNCTION("""COMPUTED_VALUE"""),"Ashvani Bhatt")</f>
        <v>Ashvani Bhatt</v>
      </c>
      <c r="C6390" s="115" t="str">
        <f>IFERROR(__xludf.DUMMYFUNCTION("""COMPUTED_VALUE"""),"FLIPKART")</f>
        <v>FLIPKART</v>
      </c>
      <c r="D6390" s="115">
        <f>IFERROR(__xludf.DUMMYFUNCTION("""COMPUTED_VALUE"""),259639.0)</f>
        <v>259639</v>
      </c>
      <c r="E6390" s="115">
        <f>IFERROR(__xludf.DUMMYFUNCTION("""COMPUTED_VALUE"""),19038.0)</f>
        <v>19038</v>
      </c>
      <c r="F6390" s="115">
        <f>IFERROR(__xludf.DUMMYFUNCTION("""COMPUTED_VALUE"""),42702.0)</f>
        <v>42702</v>
      </c>
      <c r="G6390" s="115">
        <f>IFERROR(__xludf.DUMMYFUNCTION("""COMPUTED_VALUE"""),640.0)</f>
        <v>640</v>
      </c>
      <c r="H6390" s="116">
        <f>IFERROR(__xludf.DUMMYFUNCTION("""COMPUTED_VALUE"""),45912.0)</f>
        <v>45912</v>
      </c>
      <c r="I6390" s="115" t="str">
        <f>IFERROR(__xludf.DUMMYFUNCTION("""COMPUTED_VALUE"""),"11")</f>
        <v>11</v>
      </c>
      <c r="J6390" s="115"/>
      <c r="K6390" s="115"/>
    </row>
    <row r="6391">
      <c r="A6391" s="115" t="str">
        <f>IFERROR(__xludf.DUMMYFUNCTION("""COMPUTED_VALUE"""),"WEST")</f>
        <v>WEST</v>
      </c>
      <c r="B6391" s="115" t="str">
        <f>IFERROR(__xludf.DUMMYFUNCTION("""COMPUTED_VALUE"""),"Ashvani Bhatt")</f>
        <v>Ashvani Bhatt</v>
      </c>
      <c r="C6391" s="115" t="str">
        <f>IFERROR(__xludf.DUMMYFUNCTION("""COMPUTED_VALUE"""),"MYNTRA")</f>
        <v>MYNTRA</v>
      </c>
      <c r="D6391" s="115">
        <f>IFERROR(__xludf.DUMMYFUNCTION("""COMPUTED_VALUE"""),28968.0)</f>
        <v>28968</v>
      </c>
      <c r="E6391" s="115">
        <f>IFERROR(__xludf.DUMMYFUNCTION("""COMPUTED_VALUE"""),6331.0)</f>
        <v>6331</v>
      </c>
      <c r="F6391" s="115">
        <f>IFERROR(__xludf.DUMMYFUNCTION("""COMPUTED_VALUE"""),5909.0)</f>
        <v>5909</v>
      </c>
      <c r="G6391" s="115">
        <f>IFERROR(__xludf.DUMMYFUNCTION("""COMPUTED_VALUE"""),251.0)</f>
        <v>251</v>
      </c>
      <c r="H6391" s="116">
        <f>IFERROR(__xludf.DUMMYFUNCTION("""COMPUTED_VALUE"""),45912.0)</f>
        <v>45912</v>
      </c>
      <c r="I6391" s="115" t="str">
        <f>IFERROR(__xludf.DUMMYFUNCTION("""COMPUTED_VALUE"""),"11")</f>
        <v>11</v>
      </c>
      <c r="J6391" s="115"/>
      <c r="K6391" s="115"/>
    </row>
    <row r="6392">
      <c r="A6392" s="115"/>
      <c r="B6392" s="115"/>
      <c r="C6392" s="115" t="str">
        <f>IFERROR(__xludf.DUMMYFUNCTION("""COMPUTED_VALUE"""),"EXTERNAL")</f>
        <v>EXTERNAL</v>
      </c>
      <c r="D6392" s="115">
        <f>IFERROR(__xludf.DUMMYFUNCTION("""COMPUTED_VALUE"""),884.0)</f>
        <v>884</v>
      </c>
      <c r="E6392" s="115">
        <f>IFERROR(__xludf.DUMMYFUNCTION("""COMPUTED_VALUE"""),180.0)</f>
        <v>180</v>
      </c>
      <c r="F6392" s="115">
        <f>IFERROR(__xludf.DUMMYFUNCTION("""COMPUTED_VALUE"""),48.0)</f>
        <v>48</v>
      </c>
      <c r="G6392" s="115">
        <f>IFERROR(__xludf.DUMMYFUNCTION("""COMPUTED_VALUE"""),11.0)</f>
        <v>11</v>
      </c>
      <c r="H6392" s="116">
        <f>IFERROR(__xludf.DUMMYFUNCTION("""COMPUTED_VALUE"""),45912.0)</f>
        <v>45912</v>
      </c>
      <c r="I6392" s="115" t="str">
        <f>IFERROR(__xludf.DUMMYFUNCTION("""COMPUTED_VALUE"""),"11")</f>
        <v>11</v>
      </c>
      <c r="J6392" s="115"/>
      <c r="K6392" s="115"/>
    </row>
    <row r="6393">
      <c r="A6393" s="115"/>
      <c r="B6393" s="115"/>
      <c r="C6393" s="115" t="str">
        <f>IFERROR(__xludf.DUMMYFUNCTION("""COMPUTED_VALUE"""),"FLIPKART")</f>
        <v>FLIPKART</v>
      </c>
      <c r="D6393" s="115">
        <f>IFERROR(__xludf.DUMMYFUNCTION("""COMPUTED_VALUE"""),9642.0)</f>
        <v>9642</v>
      </c>
      <c r="E6393" s="115">
        <f>IFERROR(__xludf.DUMMYFUNCTION("""COMPUTED_VALUE"""),863.0)</f>
        <v>863</v>
      </c>
      <c r="F6393" s="115">
        <f>IFERROR(__xludf.DUMMYFUNCTION("""COMPUTED_VALUE"""),804.0)</f>
        <v>804</v>
      </c>
      <c r="G6393" s="115">
        <f>IFERROR(__xludf.DUMMYFUNCTION("""COMPUTED_VALUE"""),97.0)</f>
        <v>97</v>
      </c>
      <c r="H6393" s="116">
        <f>IFERROR(__xludf.DUMMYFUNCTION("""COMPUTED_VALUE"""),45912.0)</f>
        <v>45912</v>
      </c>
      <c r="I6393" s="115" t="str">
        <f>IFERROR(__xludf.DUMMYFUNCTION("""COMPUTED_VALUE"""),"11")</f>
        <v>11</v>
      </c>
      <c r="J6393" s="115"/>
      <c r="K6393" s="115"/>
    </row>
    <row r="6394">
      <c r="A6394" s="115"/>
      <c r="B6394" s="115"/>
      <c r="C6394" s="115" t="str">
        <f>IFERROR(__xludf.DUMMYFUNCTION("""COMPUTED_VALUE"""),"MYNTRA")</f>
        <v>MYNTRA</v>
      </c>
      <c r="D6394" s="115">
        <f>IFERROR(__xludf.DUMMYFUNCTION("""COMPUTED_VALUE"""),1095.0)</f>
        <v>1095</v>
      </c>
      <c r="E6394" s="115">
        <f>IFERROR(__xludf.DUMMYFUNCTION("""COMPUTED_VALUE"""),271.0)</f>
        <v>271</v>
      </c>
      <c r="F6394" s="115">
        <f>IFERROR(__xludf.DUMMYFUNCTION("""COMPUTED_VALUE"""),123.0)</f>
        <v>123</v>
      </c>
      <c r="G6394" s="115">
        <f>IFERROR(__xludf.DUMMYFUNCTION("""COMPUTED_VALUE"""),24.0)</f>
        <v>24</v>
      </c>
      <c r="H6394" s="116">
        <f>IFERROR(__xludf.DUMMYFUNCTION("""COMPUTED_VALUE"""),45912.0)</f>
        <v>45912</v>
      </c>
      <c r="I6394" s="115" t="str">
        <f>IFERROR(__xludf.DUMMYFUNCTION("""COMPUTED_VALUE"""),"11")</f>
        <v>11</v>
      </c>
      <c r="J6394" s="115"/>
      <c r="K6394" s="115"/>
    </row>
    <row r="6395">
      <c r="A6395" s="115" t="str">
        <f>IFERROR(__xludf.DUMMYFUNCTION("""COMPUTED_VALUE"""),"EAST")</f>
        <v>EAST</v>
      </c>
      <c r="B6395" s="115" t="str">
        <f>IFERROR(__xludf.DUMMYFUNCTION("""COMPUTED_VALUE"""),"Ashish Ranjan")</f>
        <v>Ashish Ranjan</v>
      </c>
      <c r="C6395" s="115" t="str">
        <f>IFERROR(__xludf.DUMMYFUNCTION("""COMPUTED_VALUE"""),"EXTERNAL")</f>
        <v>EXTERNAL</v>
      </c>
      <c r="D6395" s="115">
        <f>IFERROR(__xludf.DUMMYFUNCTION("""COMPUTED_VALUE"""),36790.0)</f>
        <v>36790</v>
      </c>
      <c r="E6395" s="115">
        <f>IFERROR(__xludf.DUMMYFUNCTION("""COMPUTED_VALUE"""),2731.0)</f>
        <v>2731</v>
      </c>
      <c r="F6395" s="115">
        <f>IFERROR(__xludf.DUMMYFUNCTION("""COMPUTED_VALUE"""),7355.0)</f>
        <v>7355</v>
      </c>
      <c r="G6395" s="115">
        <f>IFERROR(__xludf.DUMMYFUNCTION("""COMPUTED_VALUE"""),166.0)</f>
        <v>166</v>
      </c>
      <c r="H6395" s="116">
        <f>IFERROR(__xludf.DUMMYFUNCTION("""COMPUTED_VALUE"""),45912.0)</f>
        <v>45912</v>
      </c>
      <c r="I6395" s="115" t="str">
        <f>IFERROR(__xludf.DUMMYFUNCTION("""COMPUTED_VALUE"""),"12")</f>
        <v>12</v>
      </c>
      <c r="J6395" s="115"/>
      <c r="K6395" s="115"/>
    </row>
    <row r="6396">
      <c r="A6396" s="115" t="str">
        <f>IFERROR(__xludf.DUMMYFUNCTION("""COMPUTED_VALUE"""),"EAST")</f>
        <v>EAST</v>
      </c>
      <c r="B6396" s="115" t="str">
        <f>IFERROR(__xludf.DUMMYFUNCTION("""COMPUTED_VALUE"""),"Ashish Ranjan")</f>
        <v>Ashish Ranjan</v>
      </c>
      <c r="C6396" s="115" t="str">
        <f>IFERROR(__xludf.DUMMYFUNCTION("""COMPUTED_VALUE"""),"FLIPKART")</f>
        <v>FLIPKART</v>
      </c>
      <c r="D6396" s="115">
        <f>IFERROR(__xludf.DUMMYFUNCTION("""COMPUTED_VALUE"""),677178.0)</f>
        <v>677178</v>
      </c>
      <c r="E6396" s="115">
        <f>IFERROR(__xludf.DUMMYFUNCTION("""COMPUTED_VALUE"""),53809.0)</f>
        <v>53809</v>
      </c>
      <c r="F6396" s="115">
        <f>IFERROR(__xludf.DUMMYFUNCTION("""COMPUTED_VALUE"""),219601.0)</f>
        <v>219601</v>
      </c>
      <c r="G6396" s="115">
        <f>IFERROR(__xludf.DUMMYFUNCTION("""COMPUTED_VALUE"""),5492.0)</f>
        <v>5492</v>
      </c>
      <c r="H6396" s="116">
        <f>IFERROR(__xludf.DUMMYFUNCTION("""COMPUTED_VALUE"""),45912.0)</f>
        <v>45912</v>
      </c>
      <c r="I6396" s="115" t="str">
        <f>IFERROR(__xludf.DUMMYFUNCTION("""COMPUTED_VALUE"""),"12")</f>
        <v>12</v>
      </c>
      <c r="J6396" s="115"/>
      <c r="K6396" s="115"/>
    </row>
    <row r="6397">
      <c r="A6397" s="115" t="str">
        <f>IFERROR(__xludf.DUMMYFUNCTION("""COMPUTED_VALUE"""),"EAST")</f>
        <v>EAST</v>
      </c>
      <c r="B6397" s="115" t="str">
        <f>IFERROR(__xludf.DUMMYFUNCTION("""COMPUTED_VALUE"""),"Ashish Ranjan")</f>
        <v>Ashish Ranjan</v>
      </c>
      <c r="C6397" s="115" t="str">
        <f>IFERROR(__xludf.DUMMYFUNCTION("""COMPUTED_VALUE"""),"MYNTRA")</f>
        <v>MYNTRA</v>
      </c>
      <c r="D6397" s="115">
        <f>IFERROR(__xludf.DUMMYFUNCTION("""COMPUTED_VALUE"""),69916.0)</f>
        <v>69916</v>
      </c>
      <c r="E6397" s="115">
        <f>IFERROR(__xludf.DUMMYFUNCTION("""COMPUTED_VALUE"""),13223.0)</f>
        <v>13223</v>
      </c>
      <c r="F6397" s="115">
        <f>IFERROR(__xludf.DUMMYFUNCTION("""COMPUTED_VALUE"""),22839.0)</f>
        <v>22839</v>
      </c>
      <c r="G6397" s="115">
        <f>IFERROR(__xludf.DUMMYFUNCTION("""COMPUTED_VALUE"""),1376.0)</f>
        <v>1376</v>
      </c>
      <c r="H6397" s="116">
        <f>IFERROR(__xludf.DUMMYFUNCTION("""COMPUTED_VALUE"""),45912.0)</f>
        <v>45912</v>
      </c>
      <c r="I6397" s="115" t="str">
        <f>IFERROR(__xludf.DUMMYFUNCTION("""COMPUTED_VALUE"""),"12")</f>
        <v>12</v>
      </c>
      <c r="J6397" s="115"/>
      <c r="K6397" s="115"/>
    </row>
    <row r="6398">
      <c r="A6398" s="115" t="str">
        <f>IFERROR(__xludf.DUMMYFUNCTION("""COMPUTED_VALUE"""),"EAST")</f>
        <v>EAST</v>
      </c>
      <c r="B6398" s="115" t="str">
        <f>IFERROR(__xludf.DUMMYFUNCTION("""COMPUTED_VALUE"""),"Girish Chand")</f>
        <v>Girish Chand</v>
      </c>
      <c r="C6398" s="115" t="str">
        <f>IFERROR(__xludf.DUMMYFUNCTION("""COMPUTED_VALUE"""),"EXTERNAL")</f>
        <v>EXTERNAL</v>
      </c>
      <c r="D6398" s="115">
        <f>IFERROR(__xludf.DUMMYFUNCTION("""COMPUTED_VALUE"""),21710.0)</f>
        <v>21710</v>
      </c>
      <c r="E6398" s="115">
        <f>IFERROR(__xludf.DUMMYFUNCTION("""COMPUTED_VALUE"""),1837.0)</f>
        <v>1837</v>
      </c>
      <c r="F6398" s="115">
        <f>IFERROR(__xludf.DUMMYFUNCTION("""COMPUTED_VALUE"""),2988.0)</f>
        <v>2988</v>
      </c>
      <c r="G6398" s="115">
        <f>IFERROR(__xludf.DUMMYFUNCTION("""COMPUTED_VALUE"""),37.0)</f>
        <v>37</v>
      </c>
      <c r="H6398" s="116">
        <f>IFERROR(__xludf.DUMMYFUNCTION("""COMPUTED_VALUE"""),45912.0)</f>
        <v>45912</v>
      </c>
      <c r="I6398" s="115" t="str">
        <f>IFERROR(__xludf.DUMMYFUNCTION("""COMPUTED_VALUE"""),"12")</f>
        <v>12</v>
      </c>
      <c r="J6398" s="115"/>
      <c r="K6398" s="115"/>
    </row>
    <row r="6399">
      <c r="A6399" s="115" t="str">
        <f>IFERROR(__xludf.DUMMYFUNCTION("""COMPUTED_VALUE"""),"EAST")</f>
        <v>EAST</v>
      </c>
      <c r="B6399" s="115" t="str">
        <f>IFERROR(__xludf.DUMMYFUNCTION("""COMPUTED_VALUE"""),"Girish Chand")</f>
        <v>Girish Chand</v>
      </c>
      <c r="C6399" s="115" t="str">
        <f>IFERROR(__xludf.DUMMYFUNCTION("""COMPUTED_VALUE"""),"FLIPKART")</f>
        <v>FLIPKART</v>
      </c>
      <c r="D6399" s="115">
        <f>IFERROR(__xludf.DUMMYFUNCTION("""COMPUTED_VALUE"""),449850.0)</f>
        <v>449850</v>
      </c>
      <c r="E6399" s="115">
        <f>IFERROR(__xludf.DUMMYFUNCTION("""COMPUTED_VALUE"""),32187.0)</f>
        <v>32187</v>
      </c>
      <c r="F6399" s="115">
        <f>IFERROR(__xludf.DUMMYFUNCTION("""COMPUTED_VALUE"""),106889.0)</f>
        <v>106889</v>
      </c>
      <c r="G6399" s="115">
        <f>IFERROR(__xludf.DUMMYFUNCTION("""COMPUTED_VALUE"""),1682.0)</f>
        <v>1682</v>
      </c>
      <c r="H6399" s="116">
        <f>IFERROR(__xludf.DUMMYFUNCTION("""COMPUTED_VALUE"""),45912.0)</f>
        <v>45912</v>
      </c>
      <c r="I6399" s="115" t="str">
        <f>IFERROR(__xludf.DUMMYFUNCTION("""COMPUTED_VALUE"""),"12")</f>
        <v>12</v>
      </c>
      <c r="J6399" s="115"/>
      <c r="K6399" s="115"/>
    </row>
    <row r="6400">
      <c r="A6400" s="115" t="str">
        <f>IFERROR(__xludf.DUMMYFUNCTION("""COMPUTED_VALUE"""),"EAST")</f>
        <v>EAST</v>
      </c>
      <c r="B6400" s="115" t="str">
        <f>IFERROR(__xludf.DUMMYFUNCTION("""COMPUTED_VALUE"""),"Girish Chand")</f>
        <v>Girish Chand</v>
      </c>
      <c r="C6400" s="115" t="str">
        <f>IFERROR(__xludf.DUMMYFUNCTION("""COMPUTED_VALUE"""),"MYNTRA")</f>
        <v>MYNTRA</v>
      </c>
      <c r="D6400" s="115">
        <f>IFERROR(__xludf.DUMMYFUNCTION("""COMPUTED_VALUE"""),33746.0)</f>
        <v>33746</v>
      </c>
      <c r="E6400" s="115">
        <f>IFERROR(__xludf.DUMMYFUNCTION("""COMPUTED_VALUE"""),6283.0)</f>
        <v>6283</v>
      </c>
      <c r="F6400" s="115">
        <f>IFERROR(__xludf.DUMMYFUNCTION("""COMPUTED_VALUE"""),8861.0)</f>
        <v>8861</v>
      </c>
      <c r="G6400" s="115">
        <f>IFERROR(__xludf.DUMMYFUNCTION("""COMPUTED_VALUE"""),477.0)</f>
        <v>477</v>
      </c>
      <c r="H6400" s="116">
        <f>IFERROR(__xludf.DUMMYFUNCTION("""COMPUTED_VALUE"""),45912.0)</f>
        <v>45912</v>
      </c>
      <c r="I6400" s="115" t="str">
        <f>IFERROR(__xludf.DUMMYFUNCTION("""COMPUTED_VALUE"""),"12")</f>
        <v>12</v>
      </c>
      <c r="J6400" s="115"/>
      <c r="K6400" s="115"/>
    </row>
    <row r="6401">
      <c r="A6401" s="115" t="str">
        <f>IFERROR(__xludf.DUMMYFUNCTION("""COMPUTED_VALUE"""),"EAST")</f>
        <v>EAST</v>
      </c>
      <c r="B6401" s="115" t="str">
        <f>IFERROR(__xludf.DUMMYFUNCTION("""COMPUTED_VALUE"""),"Parag Kashyap")</f>
        <v>Parag Kashyap</v>
      </c>
      <c r="C6401" s="115" t="str">
        <f>IFERROR(__xludf.DUMMYFUNCTION("""COMPUTED_VALUE"""),"EXTERNAL")</f>
        <v>EXTERNAL</v>
      </c>
      <c r="D6401" s="115">
        <f>IFERROR(__xludf.DUMMYFUNCTION("""COMPUTED_VALUE"""),13395.0)</f>
        <v>13395</v>
      </c>
      <c r="E6401" s="115">
        <f>IFERROR(__xludf.DUMMYFUNCTION("""COMPUTED_VALUE"""),901.0)</f>
        <v>901</v>
      </c>
      <c r="F6401" s="115">
        <f>IFERROR(__xludf.DUMMYFUNCTION("""COMPUTED_VALUE"""),1595.0)</f>
        <v>1595</v>
      </c>
      <c r="G6401" s="115">
        <f>IFERROR(__xludf.DUMMYFUNCTION("""COMPUTED_VALUE"""),16.0)</f>
        <v>16</v>
      </c>
      <c r="H6401" s="116">
        <f>IFERROR(__xludf.DUMMYFUNCTION("""COMPUTED_VALUE"""),45912.0)</f>
        <v>45912</v>
      </c>
      <c r="I6401" s="115" t="str">
        <f>IFERROR(__xludf.DUMMYFUNCTION("""COMPUTED_VALUE"""),"12")</f>
        <v>12</v>
      </c>
      <c r="J6401" s="115"/>
      <c r="K6401" s="115"/>
    </row>
    <row r="6402">
      <c r="A6402" s="115" t="str">
        <f>IFERROR(__xludf.DUMMYFUNCTION("""COMPUTED_VALUE"""),"EAST")</f>
        <v>EAST</v>
      </c>
      <c r="B6402" s="115" t="str">
        <f>IFERROR(__xludf.DUMMYFUNCTION("""COMPUTED_VALUE"""),"Parag Kashyap")</f>
        <v>Parag Kashyap</v>
      </c>
      <c r="C6402" s="115" t="str">
        <f>IFERROR(__xludf.DUMMYFUNCTION("""COMPUTED_VALUE"""),"FLIPKART")</f>
        <v>FLIPKART</v>
      </c>
      <c r="D6402" s="115">
        <f>IFERROR(__xludf.DUMMYFUNCTION("""COMPUTED_VALUE"""),257639.0)</f>
        <v>257639</v>
      </c>
      <c r="E6402" s="115">
        <f>IFERROR(__xludf.DUMMYFUNCTION("""COMPUTED_VALUE"""),15089.0)</f>
        <v>15089</v>
      </c>
      <c r="F6402" s="115">
        <f>IFERROR(__xludf.DUMMYFUNCTION("""COMPUTED_VALUE"""),56302.0)</f>
        <v>56302</v>
      </c>
      <c r="G6402" s="115">
        <f>IFERROR(__xludf.DUMMYFUNCTION("""COMPUTED_VALUE"""),555.0)</f>
        <v>555</v>
      </c>
      <c r="H6402" s="116">
        <f>IFERROR(__xludf.DUMMYFUNCTION("""COMPUTED_VALUE"""),45912.0)</f>
        <v>45912</v>
      </c>
      <c r="I6402" s="115" t="str">
        <f>IFERROR(__xludf.DUMMYFUNCTION("""COMPUTED_VALUE"""),"12")</f>
        <v>12</v>
      </c>
      <c r="J6402" s="115"/>
      <c r="K6402" s="115"/>
    </row>
    <row r="6403">
      <c r="A6403" s="115" t="str">
        <f>IFERROR(__xludf.DUMMYFUNCTION("""COMPUTED_VALUE"""),"EAST")</f>
        <v>EAST</v>
      </c>
      <c r="B6403" s="115" t="str">
        <f>IFERROR(__xludf.DUMMYFUNCTION("""COMPUTED_VALUE"""),"Parag Kashyap")</f>
        <v>Parag Kashyap</v>
      </c>
      <c r="C6403" s="115" t="str">
        <f>IFERROR(__xludf.DUMMYFUNCTION("""COMPUTED_VALUE"""),"MYNTRA")</f>
        <v>MYNTRA</v>
      </c>
      <c r="D6403" s="115">
        <f>IFERROR(__xludf.DUMMYFUNCTION("""COMPUTED_VALUE"""),32886.0)</f>
        <v>32886</v>
      </c>
      <c r="E6403" s="115">
        <f>IFERROR(__xludf.DUMMYFUNCTION("""COMPUTED_VALUE"""),4860.0)</f>
        <v>4860</v>
      </c>
      <c r="F6403" s="115">
        <f>IFERROR(__xludf.DUMMYFUNCTION("""COMPUTED_VALUE"""),7983.0)</f>
        <v>7983</v>
      </c>
      <c r="G6403" s="115">
        <f>IFERROR(__xludf.DUMMYFUNCTION("""COMPUTED_VALUE"""),155.0)</f>
        <v>155</v>
      </c>
      <c r="H6403" s="116">
        <f>IFERROR(__xludf.DUMMYFUNCTION("""COMPUTED_VALUE"""),45912.0)</f>
        <v>45912</v>
      </c>
      <c r="I6403" s="115" t="str">
        <f>IFERROR(__xludf.DUMMYFUNCTION("""COMPUTED_VALUE"""),"12")</f>
        <v>12</v>
      </c>
      <c r="J6403" s="115"/>
      <c r="K6403" s="115"/>
    </row>
    <row r="6404">
      <c r="A6404" s="115" t="str">
        <f>IFERROR(__xludf.DUMMYFUNCTION("""COMPUTED_VALUE"""),"NORTH")</f>
        <v>NORTH</v>
      </c>
      <c r="B6404" s="115" t="str">
        <f>IFERROR(__xludf.DUMMYFUNCTION("""COMPUTED_VALUE"""),"Amit Kumar Pathak")</f>
        <v>Amit Kumar Pathak</v>
      </c>
      <c r="C6404" s="115" t="str">
        <f>IFERROR(__xludf.DUMMYFUNCTION("""COMPUTED_VALUE"""),"EXTERNAL")</f>
        <v>EXTERNAL</v>
      </c>
      <c r="D6404" s="115">
        <f>IFERROR(__xludf.DUMMYFUNCTION("""COMPUTED_VALUE"""),22982.0)</f>
        <v>22982</v>
      </c>
      <c r="E6404" s="115">
        <f>IFERROR(__xludf.DUMMYFUNCTION("""COMPUTED_VALUE"""),2993.0)</f>
        <v>2993</v>
      </c>
      <c r="F6404" s="115">
        <f>IFERROR(__xludf.DUMMYFUNCTION("""COMPUTED_VALUE"""),3507.0)</f>
        <v>3507</v>
      </c>
      <c r="G6404" s="115">
        <f>IFERROR(__xludf.DUMMYFUNCTION("""COMPUTED_VALUE"""),394.0)</f>
        <v>394</v>
      </c>
      <c r="H6404" s="116">
        <f>IFERROR(__xludf.DUMMYFUNCTION("""COMPUTED_VALUE"""),45912.0)</f>
        <v>45912</v>
      </c>
      <c r="I6404" s="115" t="str">
        <f>IFERROR(__xludf.DUMMYFUNCTION("""COMPUTED_VALUE"""),"12")</f>
        <v>12</v>
      </c>
      <c r="J6404" s="115"/>
      <c r="K6404" s="115"/>
    </row>
    <row r="6405">
      <c r="A6405" s="115" t="str">
        <f>IFERROR(__xludf.DUMMYFUNCTION("""COMPUTED_VALUE"""),"NORTH")</f>
        <v>NORTH</v>
      </c>
      <c r="B6405" s="115" t="str">
        <f>IFERROR(__xludf.DUMMYFUNCTION("""COMPUTED_VALUE"""),"Amit Kumar Pathak")</f>
        <v>Amit Kumar Pathak</v>
      </c>
      <c r="C6405" s="115" t="str">
        <f>IFERROR(__xludf.DUMMYFUNCTION("""COMPUTED_VALUE"""),"FLIPKART")</f>
        <v>FLIPKART</v>
      </c>
      <c r="D6405" s="115">
        <f>IFERROR(__xludf.DUMMYFUNCTION("""COMPUTED_VALUE"""),155585.0)</f>
        <v>155585</v>
      </c>
      <c r="E6405" s="115">
        <f>IFERROR(__xludf.DUMMYFUNCTION("""COMPUTED_VALUE"""),20470.0)</f>
        <v>20470</v>
      </c>
      <c r="F6405" s="115">
        <f>IFERROR(__xludf.DUMMYFUNCTION("""COMPUTED_VALUE"""),43358.0)</f>
        <v>43358</v>
      </c>
      <c r="G6405" s="115">
        <f>IFERROR(__xludf.DUMMYFUNCTION("""COMPUTED_VALUE"""),3341.0)</f>
        <v>3341</v>
      </c>
      <c r="H6405" s="116">
        <f>IFERROR(__xludf.DUMMYFUNCTION("""COMPUTED_VALUE"""),45912.0)</f>
        <v>45912</v>
      </c>
      <c r="I6405" s="115" t="str">
        <f>IFERROR(__xludf.DUMMYFUNCTION("""COMPUTED_VALUE"""),"12")</f>
        <v>12</v>
      </c>
      <c r="J6405" s="115"/>
      <c r="K6405" s="115"/>
    </row>
    <row r="6406">
      <c r="A6406" s="115" t="str">
        <f>IFERROR(__xludf.DUMMYFUNCTION("""COMPUTED_VALUE"""),"NORTH")</f>
        <v>NORTH</v>
      </c>
      <c r="B6406" s="115" t="str">
        <f>IFERROR(__xludf.DUMMYFUNCTION("""COMPUTED_VALUE"""),"Amit Kumar Pathak")</f>
        <v>Amit Kumar Pathak</v>
      </c>
      <c r="C6406" s="115" t="str">
        <f>IFERROR(__xludf.DUMMYFUNCTION("""COMPUTED_VALUE"""),"MYNTRA")</f>
        <v>MYNTRA</v>
      </c>
      <c r="D6406" s="115">
        <f>IFERROR(__xludf.DUMMYFUNCTION("""COMPUTED_VALUE"""),13610.0)</f>
        <v>13610</v>
      </c>
      <c r="E6406" s="115">
        <f>IFERROR(__xludf.DUMMYFUNCTION("""COMPUTED_VALUE"""),4883.0)</f>
        <v>4883</v>
      </c>
      <c r="F6406" s="115">
        <f>IFERROR(__xludf.DUMMYFUNCTION("""COMPUTED_VALUE"""),4819.0)</f>
        <v>4819</v>
      </c>
      <c r="G6406" s="115">
        <f>IFERROR(__xludf.DUMMYFUNCTION("""COMPUTED_VALUE"""),870.0)</f>
        <v>870</v>
      </c>
      <c r="H6406" s="116">
        <f>IFERROR(__xludf.DUMMYFUNCTION("""COMPUTED_VALUE"""),45912.0)</f>
        <v>45912</v>
      </c>
      <c r="I6406" s="115" t="str">
        <f>IFERROR(__xludf.DUMMYFUNCTION("""COMPUTED_VALUE"""),"12")</f>
        <v>12</v>
      </c>
      <c r="J6406" s="115"/>
      <c r="K6406" s="115"/>
    </row>
    <row r="6407">
      <c r="A6407" s="115" t="str">
        <f>IFERROR(__xludf.DUMMYFUNCTION("""COMPUTED_VALUE"""),"NORTH")</f>
        <v>NORTH</v>
      </c>
      <c r="B6407" s="115" t="str">
        <f>IFERROR(__xludf.DUMMYFUNCTION("""COMPUTED_VALUE"""),"Loveleen Singh")</f>
        <v>Loveleen Singh</v>
      </c>
      <c r="C6407" s="115" t="str">
        <f>IFERROR(__xludf.DUMMYFUNCTION("""COMPUTED_VALUE"""),"EXTERNAL")</f>
        <v>EXTERNAL</v>
      </c>
      <c r="D6407" s="115">
        <f>IFERROR(__xludf.DUMMYFUNCTION("""COMPUTED_VALUE"""),29695.0)</f>
        <v>29695</v>
      </c>
      <c r="E6407" s="115">
        <f>IFERROR(__xludf.DUMMYFUNCTION("""COMPUTED_VALUE"""),2113.0)</f>
        <v>2113</v>
      </c>
      <c r="F6407" s="115">
        <f>IFERROR(__xludf.DUMMYFUNCTION("""COMPUTED_VALUE"""),3751.0)</f>
        <v>3751</v>
      </c>
      <c r="G6407" s="115">
        <f>IFERROR(__xludf.DUMMYFUNCTION("""COMPUTED_VALUE"""),63.0)</f>
        <v>63</v>
      </c>
      <c r="H6407" s="116">
        <f>IFERROR(__xludf.DUMMYFUNCTION("""COMPUTED_VALUE"""),45912.0)</f>
        <v>45912</v>
      </c>
      <c r="I6407" s="115" t="str">
        <f>IFERROR(__xludf.DUMMYFUNCTION("""COMPUTED_VALUE"""),"12")</f>
        <v>12</v>
      </c>
      <c r="J6407" s="115"/>
      <c r="K6407" s="115"/>
    </row>
    <row r="6408">
      <c r="A6408" s="115" t="str">
        <f>IFERROR(__xludf.DUMMYFUNCTION("""COMPUTED_VALUE"""),"NORTH")</f>
        <v>NORTH</v>
      </c>
      <c r="B6408" s="115" t="str">
        <f>IFERROR(__xludf.DUMMYFUNCTION("""COMPUTED_VALUE"""),"Loveleen Singh")</f>
        <v>Loveleen Singh</v>
      </c>
      <c r="C6408" s="115" t="str">
        <f>IFERROR(__xludf.DUMMYFUNCTION("""COMPUTED_VALUE"""),"FLIPKART")</f>
        <v>FLIPKART</v>
      </c>
      <c r="D6408" s="115">
        <f>IFERROR(__xludf.DUMMYFUNCTION("""COMPUTED_VALUE"""),195949.0)</f>
        <v>195949</v>
      </c>
      <c r="E6408" s="115">
        <f>IFERROR(__xludf.DUMMYFUNCTION("""COMPUTED_VALUE"""),12204.0)</f>
        <v>12204</v>
      </c>
      <c r="F6408" s="115">
        <f>IFERROR(__xludf.DUMMYFUNCTION("""COMPUTED_VALUE"""),46319.0)</f>
        <v>46319</v>
      </c>
      <c r="G6408" s="115">
        <f>IFERROR(__xludf.DUMMYFUNCTION("""COMPUTED_VALUE"""),792.0)</f>
        <v>792</v>
      </c>
      <c r="H6408" s="116">
        <f>IFERROR(__xludf.DUMMYFUNCTION("""COMPUTED_VALUE"""),45912.0)</f>
        <v>45912</v>
      </c>
      <c r="I6408" s="115" t="str">
        <f>IFERROR(__xludf.DUMMYFUNCTION("""COMPUTED_VALUE"""),"12")</f>
        <v>12</v>
      </c>
      <c r="J6408" s="115"/>
      <c r="K6408" s="115"/>
    </row>
    <row r="6409">
      <c r="A6409" s="115" t="str">
        <f>IFERROR(__xludf.DUMMYFUNCTION("""COMPUTED_VALUE"""),"NORTH")</f>
        <v>NORTH</v>
      </c>
      <c r="B6409" s="115" t="str">
        <f>IFERROR(__xludf.DUMMYFUNCTION("""COMPUTED_VALUE"""),"Loveleen Singh")</f>
        <v>Loveleen Singh</v>
      </c>
      <c r="C6409" s="115" t="str">
        <f>IFERROR(__xludf.DUMMYFUNCTION("""COMPUTED_VALUE"""),"MYNTRA")</f>
        <v>MYNTRA</v>
      </c>
      <c r="D6409" s="115">
        <f>IFERROR(__xludf.DUMMYFUNCTION("""COMPUTED_VALUE"""),30735.0)</f>
        <v>30735</v>
      </c>
      <c r="E6409" s="115">
        <f>IFERROR(__xludf.DUMMYFUNCTION("""COMPUTED_VALUE"""),5396.0)</f>
        <v>5396</v>
      </c>
      <c r="F6409" s="115">
        <f>IFERROR(__xludf.DUMMYFUNCTION("""COMPUTED_VALUE"""),9044.0)</f>
        <v>9044</v>
      </c>
      <c r="G6409" s="115">
        <f>IFERROR(__xludf.DUMMYFUNCTION("""COMPUTED_VALUE"""),409.0)</f>
        <v>409</v>
      </c>
      <c r="H6409" s="116">
        <f>IFERROR(__xludf.DUMMYFUNCTION("""COMPUTED_VALUE"""),45912.0)</f>
        <v>45912</v>
      </c>
      <c r="I6409" s="115" t="str">
        <f>IFERROR(__xludf.DUMMYFUNCTION("""COMPUTED_VALUE"""),"12")</f>
        <v>12</v>
      </c>
      <c r="J6409" s="115"/>
      <c r="K6409" s="115"/>
    </row>
    <row r="6410">
      <c r="A6410" s="115" t="str">
        <f>IFERROR(__xludf.DUMMYFUNCTION("""COMPUTED_VALUE"""),"NORTH")</f>
        <v>NORTH</v>
      </c>
      <c r="B6410" s="115" t="str">
        <f>IFERROR(__xludf.DUMMYFUNCTION("""COMPUTED_VALUE"""),"Manoj Harsh")</f>
        <v>Manoj Harsh</v>
      </c>
      <c r="C6410" s="115" t="str">
        <f>IFERROR(__xludf.DUMMYFUNCTION("""COMPUTED_VALUE"""),"EXTERNAL")</f>
        <v>EXTERNAL</v>
      </c>
      <c r="D6410" s="115">
        <f>IFERROR(__xludf.DUMMYFUNCTION("""COMPUTED_VALUE"""),32282.0)</f>
        <v>32282</v>
      </c>
      <c r="E6410" s="115">
        <f>IFERROR(__xludf.DUMMYFUNCTION("""COMPUTED_VALUE"""),2171.0)</f>
        <v>2171</v>
      </c>
      <c r="F6410" s="115">
        <f>IFERROR(__xludf.DUMMYFUNCTION("""COMPUTED_VALUE"""),3889.0)</f>
        <v>3889</v>
      </c>
      <c r="G6410" s="115">
        <f>IFERROR(__xludf.DUMMYFUNCTION("""COMPUTED_VALUE"""),60.0)</f>
        <v>60</v>
      </c>
      <c r="H6410" s="116">
        <f>IFERROR(__xludf.DUMMYFUNCTION("""COMPUTED_VALUE"""),45912.0)</f>
        <v>45912</v>
      </c>
      <c r="I6410" s="115" t="str">
        <f>IFERROR(__xludf.DUMMYFUNCTION("""COMPUTED_VALUE"""),"12")</f>
        <v>12</v>
      </c>
      <c r="J6410" s="115"/>
      <c r="K6410" s="115"/>
    </row>
    <row r="6411">
      <c r="A6411" s="115" t="str">
        <f>IFERROR(__xludf.DUMMYFUNCTION("""COMPUTED_VALUE"""),"NORTH")</f>
        <v>NORTH</v>
      </c>
      <c r="B6411" s="115" t="str">
        <f>IFERROR(__xludf.DUMMYFUNCTION("""COMPUTED_VALUE"""),"Manoj Harsh")</f>
        <v>Manoj Harsh</v>
      </c>
      <c r="C6411" s="115" t="str">
        <f>IFERROR(__xludf.DUMMYFUNCTION("""COMPUTED_VALUE"""),"FLIPKART")</f>
        <v>FLIPKART</v>
      </c>
      <c r="D6411" s="115">
        <f>IFERROR(__xludf.DUMMYFUNCTION("""COMPUTED_VALUE"""),430657.0)</f>
        <v>430657</v>
      </c>
      <c r="E6411" s="115">
        <f>IFERROR(__xludf.DUMMYFUNCTION("""COMPUTED_VALUE"""),30272.0)</f>
        <v>30272</v>
      </c>
      <c r="F6411" s="115">
        <f>IFERROR(__xludf.DUMMYFUNCTION("""COMPUTED_VALUE"""),90522.0)</f>
        <v>90522</v>
      </c>
      <c r="G6411" s="115">
        <f>IFERROR(__xludf.DUMMYFUNCTION("""COMPUTED_VALUE"""),1809.0)</f>
        <v>1809</v>
      </c>
      <c r="H6411" s="116">
        <f>IFERROR(__xludf.DUMMYFUNCTION("""COMPUTED_VALUE"""),45912.0)</f>
        <v>45912</v>
      </c>
      <c r="I6411" s="115" t="str">
        <f>IFERROR(__xludf.DUMMYFUNCTION("""COMPUTED_VALUE"""),"12")</f>
        <v>12</v>
      </c>
      <c r="J6411" s="115"/>
      <c r="K6411" s="115"/>
    </row>
    <row r="6412">
      <c r="A6412" s="115" t="str">
        <f>IFERROR(__xludf.DUMMYFUNCTION("""COMPUTED_VALUE"""),"NORTH")</f>
        <v>NORTH</v>
      </c>
      <c r="B6412" s="115" t="str">
        <f>IFERROR(__xludf.DUMMYFUNCTION("""COMPUTED_VALUE"""),"Manoj Harsh")</f>
        <v>Manoj Harsh</v>
      </c>
      <c r="C6412" s="115" t="str">
        <f>IFERROR(__xludf.DUMMYFUNCTION("""COMPUTED_VALUE"""),"MYNTRA")</f>
        <v>MYNTRA</v>
      </c>
      <c r="D6412" s="115">
        <f>IFERROR(__xludf.DUMMYFUNCTION("""COMPUTED_VALUE"""),33974.0)</f>
        <v>33974</v>
      </c>
      <c r="E6412" s="115">
        <f>IFERROR(__xludf.DUMMYFUNCTION("""COMPUTED_VALUE"""),5865.0)</f>
        <v>5865</v>
      </c>
      <c r="F6412" s="115">
        <f>IFERROR(__xludf.DUMMYFUNCTION("""COMPUTED_VALUE"""),8467.0)</f>
        <v>8467</v>
      </c>
      <c r="G6412" s="115">
        <f>IFERROR(__xludf.DUMMYFUNCTION("""COMPUTED_VALUE"""),345.0)</f>
        <v>345</v>
      </c>
      <c r="H6412" s="116">
        <f>IFERROR(__xludf.DUMMYFUNCTION("""COMPUTED_VALUE"""),45912.0)</f>
        <v>45912</v>
      </c>
      <c r="I6412" s="115" t="str">
        <f>IFERROR(__xludf.DUMMYFUNCTION("""COMPUTED_VALUE"""),"12")</f>
        <v>12</v>
      </c>
      <c r="J6412" s="115"/>
      <c r="K6412" s="115"/>
    </row>
    <row r="6413">
      <c r="A6413" s="115" t="str">
        <f>IFERROR(__xludf.DUMMYFUNCTION("""COMPUTED_VALUE"""),"NORTH")</f>
        <v>NORTH</v>
      </c>
      <c r="B6413" s="115" t="str">
        <f>IFERROR(__xludf.DUMMYFUNCTION("""COMPUTED_VALUE"""),"Pradeep Kothari")</f>
        <v>Pradeep Kothari</v>
      </c>
      <c r="C6413" s="115" t="str">
        <f>IFERROR(__xludf.DUMMYFUNCTION("""COMPUTED_VALUE"""),"EXTERNAL")</f>
        <v>EXTERNAL</v>
      </c>
      <c r="D6413" s="115">
        <f>IFERROR(__xludf.DUMMYFUNCTION("""COMPUTED_VALUE"""),18646.0)</f>
        <v>18646</v>
      </c>
      <c r="E6413" s="115">
        <f>IFERROR(__xludf.DUMMYFUNCTION("""COMPUTED_VALUE"""),1764.0)</f>
        <v>1764</v>
      </c>
      <c r="F6413" s="115">
        <f>IFERROR(__xludf.DUMMYFUNCTION("""COMPUTED_VALUE"""),2670.0)</f>
        <v>2670</v>
      </c>
      <c r="G6413" s="115">
        <f>IFERROR(__xludf.DUMMYFUNCTION("""COMPUTED_VALUE"""),131.0)</f>
        <v>131</v>
      </c>
      <c r="H6413" s="116">
        <f>IFERROR(__xludf.DUMMYFUNCTION("""COMPUTED_VALUE"""),45912.0)</f>
        <v>45912</v>
      </c>
      <c r="I6413" s="115" t="str">
        <f>IFERROR(__xludf.DUMMYFUNCTION("""COMPUTED_VALUE"""),"12")</f>
        <v>12</v>
      </c>
      <c r="J6413" s="115"/>
      <c r="K6413" s="115"/>
    </row>
    <row r="6414">
      <c r="A6414" s="115" t="str">
        <f>IFERROR(__xludf.DUMMYFUNCTION("""COMPUTED_VALUE"""),"NORTH")</f>
        <v>NORTH</v>
      </c>
      <c r="B6414" s="115" t="str">
        <f>IFERROR(__xludf.DUMMYFUNCTION("""COMPUTED_VALUE"""),"Pradeep Kothari")</f>
        <v>Pradeep Kothari</v>
      </c>
      <c r="C6414" s="115" t="str">
        <f>IFERROR(__xludf.DUMMYFUNCTION("""COMPUTED_VALUE"""),"FLIPKART")</f>
        <v>FLIPKART</v>
      </c>
      <c r="D6414" s="115">
        <f>IFERROR(__xludf.DUMMYFUNCTION("""COMPUTED_VALUE"""),168017.0)</f>
        <v>168017</v>
      </c>
      <c r="E6414" s="115">
        <f>IFERROR(__xludf.DUMMYFUNCTION("""COMPUTED_VALUE"""),15308.0)</f>
        <v>15308</v>
      </c>
      <c r="F6414" s="115">
        <f>IFERROR(__xludf.DUMMYFUNCTION("""COMPUTED_VALUE"""),46708.0)</f>
        <v>46708</v>
      </c>
      <c r="G6414" s="115">
        <f>IFERROR(__xludf.DUMMYFUNCTION("""COMPUTED_VALUE"""),1628.0)</f>
        <v>1628</v>
      </c>
      <c r="H6414" s="116">
        <f>IFERROR(__xludf.DUMMYFUNCTION("""COMPUTED_VALUE"""),45912.0)</f>
        <v>45912</v>
      </c>
      <c r="I6414" s="115" t="str">
        <f>IFERROR(__xludf.DUMMYFUNCTION("""COMPUTED_VALUE"""),"12")</f>
        <v>12</v>
      </c>
      <c r="J6414" s="115"/>
      <c r="K6414" s="115"/>
    </row>
    <row r="6415">
      <c r="A6415" s="115" t="str">
        <f>IFERROR(__xludf.DUMMYFUNCTION("""COMPUTED_VALUE"""),"NORTH")</f>
        <v>NORTH</v>
      </c>
      <c r="B6415" s="115" t="str">
        <f>IFERROR(__xludf.DUMMYFUNCTION("""COMPUTED_VALUE"""),"Pradeep Kothari")</f>
        <v>Pradeep Kothari</v>
      </c>
      <c r="C6415" s="115" t="str">
        <f>IFERROR(__xludf.DUMMYFUNCTION("""COMPUTED_VALUE"""),"MYNTRA")</f>
        <v>MYNTRA</v>
      </c>
      <c r="D6415" s="115">
        <f>IFERROR(__xludf.DUMMYFUNCTION("""COMPUTED_VALUE"""),25216.0)</f>
        <v>25216</v>
      </c>
      <c r="E6415" s="115">
        <f>IFERROR(__xludf.DUMMYFUNCTION("""COMPUTED_VALUE"""),5604.0)</f>
        <v>5604</v>
      </c>
      <c r="F6415" s="115">
        <f>IFERROR(__xludf.DUMMYFUNCTION("""COMPUTED_VALUE"""),9011.0)</f>
        <v>9011</v>
      </c>
      <c r="G6415" s="115">
        <f>IFERROR(__xludf.DUMMYFUNCTION("""COMPUTED_VALUE"""),685.0)</f>
        <v>685</v>
      </c>
      <c r="H6415" s="116">
        <f>IFERROR(__xludf.DUMMYFUNCTION("""COMPUTED_VALUE"""),45912.0)</f>
        <v>45912</v>
      </c>
      <c r="I6415" s="115" t="str">
        <f>IFERROR(__xludf.DUMMYFUNCTION("""COMPUTED_VALUE"""),"12")</f>
        <v>12</v>
      </c>
      <c r="J6415" s="115"/>
      <c r="K6415" s="115"/>
    </row>
    <row r="6416">
      <c r="A6416" s="115" t="str">
        <f>IFERROR(__xludf.DUMMYFUNCTION("""COMPUTED_VALUE"""),"North")</f>
        <v>North</v>
      </c>
      <c r="B6416" s="115" t="str">
        <f>IFERROR(__xludf.DUMMYFUNCTION("""COMPUTED_VALUE"""),"Manoj Harsh")</f>
        <v>Manoj Harsh</v>
      </c>
      <c r="C6416" s="115" t="str">
        <f>IFERROR(__xludf.DUMMYFUNCTION("""COMPUTED_VALUE"""),"EXTERNAL")</f>
        <v>EXTERNAL</v>
      </c>
      <c r="D6416" s="115">
        <f>IFERROR(__xludf.DUMMYFUNCTION("""COMPUTED_VALUE"""),3.0)</f>
        <v>3</v>
      </c>
      <c r="E6416" s="115">
        <f>IFERROR(__xludf.DUMMYFUNCTION("""COMPUTED_VALUE"""),0.0)</f>
        <v>0</v>
      </c>
      <c r="F6416" s="115">
        <f>IFERROR(__xludf.DUMMYFUNCTION("""COMPUTED_VALUE"""),0.0)</f>
        <v>0</v>
      </c>
      <c r="G6416" s="115">
        <f>IFERROR(__xludf.DUMMYFUNCTION("""COMPUTED_VALUE"""),0.0)</f>
        <v>0</v>
      </c>
      <c r="H6416" s="116">
        <f>IFERROR(__xludf.DUMMYFUNCTION("""COMPUTED_VALUE"""),45912.0)</f>
        <v>45912</v>
      </c>
      <c r="I6416" s="115" t="str">
        <f>IFERROR(__xludf.DUMMYFUNCTION("""COMPUTED_VALUE"""),"12")</f>
        <v>12</v>
      </c>
      <c r="J6416" s="115"/>
      <c r="K6416" s="115"/>
    </row>
    <row r="6417">
      <c r="A6417" s="115" t="str">
        <f>IFERROR(__xludf.DUMMYFUNCTION("""COMPUTED_VALUE"""),"North")</f>
        <v>North</v>
      </c>
      <c r="B6417" s="115" t="str">
        <f>IFERROR(__xludf.DUMMYFUNCTION("""COMPUTED_VALUE"""),"Manoj Harsh")</f>
        <v>Manoj Harsh</v>
      </c>
      <c r="C6417" s="115" t="str">
        <f>IFERROR(__xludf.DUMMYFUNCTION("""COMPUTED_VALUE"""),"FLIPKART")</f>
        <v>FLIPKART</v>
      </c>
      <c r="D6417" s="115">
        <f>IFERROR(__xludf.DUMMYFUNCTION("""COMPUTED_VALUE"""),125.0)</f>
        <v>125</v>
      </c>
      <c r="E6417" s="115">
        <f>IFERROR(__xludf.DUMMYFUNCTION("""COMPUTED_VALUE"""),10.0)</f>
        <v>10</v>
      </c>
      <c r="F6417" s="115">
        <f>IFERROR(__xludf.DUMMYFUNCTION("""COMPUTED_VALUE"""),36.0)</f>
        <v>36</v>
      </c>
      <c r="G6417" s="115">
        <f>IFERROR(__xludf.DUMMYFUNCTION("""COMPUTED_VALUE"""),2.0)</f>
        <v>2</v>
      </c>
      <c r="H6417" s="116">
        <f>IFERROR(__xludf.DUMMYFUNCTION("""COMPUTED_VALUE"""),45912.0)</f>
        <v>45912</v>
      </c>
      <c r="I6417" s="115" t="str">
        <f>IFERROR(__xludf.DUMMYFUNCTION("""COMPUTED_VALUE"""),"12")</f>
        <v>12</v>
      </c>
      <c r="J6417" s="115"/>
      <c r="K6417" s="115"/>
    </row>
    <row r="6418">
      <c r="A6418" s="115" t="str">
        <f>IFERROR(__xludf.DUMMYFUNCTION("""COMPUTED_VALUE"""),"North")</f>
        <v>North</v>
      </c>
      <c r="B6418" s="115" t="str">
        <f>IFERROR(__xludf.DUMMYFUNCTION("""COMPUTED_VALUE"""),"Manoj Harsh")</f>
        <v>Manoj Harsh</v>
      </c>
      <c r="C6418" s="115" t="str">
        <f>IFERROR(__xludf.DUMMYFUNCTION("""COMPUTED_VALUE"""),"MYNTRA")</f>
        <v>MYNTRA</v>
      </c>
      <c r="D6418" s="115">
        <f>IFERROR(__xludf.DUMMYFUNCTION("""COMPUTED_VALUE"""),43.0)</f>
        <v>43</v>
      </c>
      <c r="E6418" s="115">
        <f>IFERROR(__xludf.DUMMYFUNCTION("""COMPUTED_VALUE"""),3.0)</f>
        <v>3</v>
      </c>
      <c r="F6418" s="115">
        <f>IFERROR(__xludf.DUMMYFUNCTION("""COMPUTED_VALUE"""),12.0)</f>
        <v>12</v>
      </c>
      <c r="G6418" s="115">
        <f>IFERROR(__xludf.DUMMYFUNCTION("""COMPUTED_VALUE"""),1.0)</f>
        <v>1</v>
      </c>
      <c r="H6418" s="116">
        <f>IFERROR(__xludf.DUMMYFUNCTION("""COMPUTED_VALUE"""),45912.0)</f>
        <v>45912</v>
      </c>
      <c r="I6418" s="115" t="str">
        <f>IFERROR(__xludf.DUMMYFUNCTION("""COMPUTED_VALUE"""),"12")</f>
        <v>12</v>
      </c>
      <c r="J6418" s="115"/>
      <c r="K6418" s="115"/>
    </row>
    <row r="6419">
      <c r="A6419" s="115" t="str">
        <f>IFERROR(__xludf.DUMMYFUNCTION("""COMPUTED_VALUE"""),"North")</f>
        <v>North</v>
      </c>
      <c r="B6419" s="115" t="str">
        <f>IFERROR(__xludf.DUMMYFUNCTION("""COMPUTED_VALUE"""),"Pradeep Kothari")</f>
        <v>Pradeep Kothari</v>
      </c>
      <c r="C6419" s="115" t="str">
        <f>IFERROR(__xludf.DUMMYFUNCTION("""COMPUTED_VALUE"""),"FLIPKART")</f>
        <v>FLIPKART</v>
      </c>
      <c r="D6419" s="115">
        <f>IFERROR(__xludf.DUMMYFUNCTION("""COMPUTED_VALUE"""),34.0)</f>
        <v>34</v>
      </c>
      <c r="E6419" s="115">
        <f>IFERROR(__xludf.DUMMYFUNCTION("""COMPUTED_VALUE"""),1.0)</f>
        <v>1</v>
      </c>
      <c r="F6419" s="115">
        <f>IFERROR(__xludf.DUMMYFUNCTION("""COMPUTED_VALUE"""),4.0)</f>
        <v>4</v>
      </c>
      <c r="G6419" s="115">
        <f>IFERROR(__xludf.DUMMYFUNCTION("""COMPUTED_VALUE"""),0.0)</f>
        <v>0</v>
      </c>
      <c r="H6419" s="116">
        <f>IFERROR(__xludf.DUMMYFUNCTION("""COMPUTED_VALUE"""),45912.0)</f>
        <v>45912</v>
      </c>
      <c r="I6419" s="115" t="str">
        <f>IFERROR(__xludf.DUMMYFUNCTION("""COMPUTED_VALUE"""),"12")</f>
        <v>12</v>
      </c>
      <c r="J6419" s="115"/>
      <c r="K6419" s="115"/>
    </row>
    <row r="6420">
      <c r="A6420" s="115" t="str">
        <f>IFERROR(__xludf.DUMMYFUNCTION("""COMPUTED_VALUE"""),"North")</f>
        <v>North</v>
      </c>
      <c r="B6420" s="115" t="str">
        <f>IFERROR(__xludf.DUMMYFUNCTION("""COMPUTED_VALUE"""),"Pradeep Kothari")</f>
        <v>Pradeep Kothari</v>
      </c>
      <c r="C6420" s="115" t="str">
        <f>IFERROR(__xludf.DUMMYFUNCTION("""COMPUTED_VALUE"""),"MYNTRA")</f>
        <v>MYNTRA</v>
      </c>
      <c r="D6420" s="115">
        <f>IFERROR(__xludf.DUMMYFUNCTION("""COMPUTED_VALUE"""),4.0)</f>
        <v>4</v>
      </c>
      <c r="E6420" s="115">
        <f>IFERROR(__xludf.DUMMYFUNCTION("""COMPUTED_VALUE"""),0.0)</f>
        <v>0</v>
      </c>
      <c r="F6420" s="115">
        <f>IFERROR(__xludf.DUMMYFUNCTION("""COMPUTED_VALUE"""),0.0)</f>
        <v>0</v>
      </c>
      <c r="G6420" s="115">
        <f>IFERROR(__xludf.DUMMYFUNCTION("""COMPUTED_VALUE"""),0.0)</f>
        <v>0</v>
      </c>
      <c r="H6420" s="116">
        <f>IFERROR(__xludf.DUMMYFUNCTION("""COMPUTED_VALUE"""),45912.0)</f>
        <v>45912</v>
      </c>
      <c r="I6420" s="115" t="str">
        <f>IFERROR(__xludf.DUMMYFUNCTION("""COMPUTED_VALUE"""),"12")</f>
        <v>12</v>
      </c>
      <c r="J6420" s="115"/>
      <c r="K6420" s="115"/>
    </row>
    <row r="6421">
      <c r="A6421" s="115" t="str">
        <f>IFERROR(__xludf.DUMMYFUNCTION("""COMPUTED_VALUE"""),"SOUTH")</f>
        <v>SOUTH</v>
      </c>
      <c r="B6421" s="115" t="str">
        <f>IFERROR(__xludf.DUMMYFUNCTION("""COMPUTED_VALUE"""),"Kandula Sampath")</f>
        <v>Kandula Sampath</v>
      </c>
      <c r="C6421" s="115" t="str">
        <f>IFERROR(__xludf.DUMMYFUNCTION("""COMPUTED_VALUE"""),"EXTERNAL")</f>
        <v>EXTERNAL</v>
      </c>
      <c r="D6421" s="115">
        <f>IFERROR(__xludf.DUMMYFUNCTION("""COMPUTED_VALUE"""),32732.0)</f>
        <v>32732</v>
      </c>
      <c r="E6421" s="115">
        <f>IFERROR(__xludf.DUMMYFUNCTION("""COMPUTED_VALUE"""),3930.0)</f>
        <v>3930</v>
      </c>
      <c r="F6421" s="115">
        <f>IFERROR(__xludf.DUMMYFUNCTION("""COMPUTED_VALUE"""),5344.0)</f>
        <v>5344</v>
      </c>
      <c r="G6421" s="115">
        <f>IFERROR(__xludf.DUMMYFUNCTION("""COMPUTED_VALUE"""),173.0)</f>
        <v>173</v>
      </c>
      <c r="H6421" s="116">
        <f>IFERROR(__xludf.DUMMYFUNCTION("""COMPUTED_VALUE"""),45912.0)</f>
        <v>45912</v>
      </c>
      <c r="I6421" s="115" t="str">
        <f>IFERROR(__xludf.DUMMYFUNCTION("""COMPUTED_VALUE"""),"12")</f>
        <v>12</v>
      </c>
      <c r="J6421" s="115"/>
      <c r="K6421" s="115"/>
    </row>
    <row r="6422">
      <c r="A6422" s="115" t="str">
        <f>IFERROR(__xludf.DUMMYFUNCTION("""COMPUTED_VALUE"""),"SOUTH")</f>
        <v>SOUTH</v>
      </c>
      <c r="B6422" s="115" t="str">
        <f>IFERROR(__xludf.DUMMYFUNCTION("""COMPUTED_VALUE"""),"Kandula Sampath")</f>
        <v>Kandula Sampath</v>
      </c>
      <c r="C6422" s="115" t="str">
        <f>IFERROR(__xludf.DUMMYFUNCTION("""COMPUTED_VALUE"""),"FLIPKART")</f>
        <v>FLIPKART</v>
      </c>
      <c r="D6422" s="115">
        <f>IFERROR(__xludf.DUMMYFUNCTION("""COMPUTED_VALUE"""),368431.0)</f>
        <v>368431</v>
      </c>
      <c r="E6422" s="115">
        <f>IFERROR(__xludf.DUMMYFUNCTION("""COMPUTED_VALUE"""),27366.0)</f>
        <v>27366</v>
      </c>
      <c r="F6422" s="115">
        <f>IFERROR(__xludf.DUMMYFUNCTION("""COMPUTED_VALUE"""),105148.0)</f>
        <v>105148</v>
      </c>
      <c r="G6422" s="115">
        <f>IFERROR(__xludf.DUMMYFUNCTION("""COMPUTED_VALUE"""),1640.0)</f>
        <v>1640</v>
      </c>
      <c r="H6422" s="116">
        <f>IFERROR(__xludf.DUMMYFUNCTION("""COMPUTED_VALUE"""),45912.0)</f>
        <v>45912</v>
      </c>
      <c r="I6422" s="115" t="str">
        <f>IFERROR(__xludf.DUMMYFUNCTION("""COMPUTED_VALUE"""),"12")</f>
        <v>12</v>
      </c>
      <c r="J6422" s="115"/>
      <c r="K6422" s="115"/>
    </row>
    <row r="6423">
      <c r="A6423" s="115" t="str">
        <f>IFERROR(__xludf.DUMMYFUNCTION("""COMPUTED_VALUE"""),"SOUTH")</f>
        <v>SOUTH</v>
      </c>
      <c r="B6423" s="115" t="str">
        <f>IFERROR(__xludf.DUMMYFUNCTION("""COMPUTED_VALUE"""),"Kandula Sampath")</f>
        <v>Kandula Sampath</v>
      </c>
      <c r="C6423" s="115" t="str">
        <f>IFERROR(__xludf.DUMMYFUNCTION("""COMPUTED_VALUE"""),"MYNTRA")</f>
        <v>MYNTRA</v>
      </c>
      <c r="D6423" s="115">
        <f>IFERROR(__xludf.DUMMYFUNCTION("""COMPUTED_VALUE"""),39151.0)</f>
        <v>39151</v>
      </c>
      <c r="E6423" s="115">
        <f>IFERROR(__xludf.DUMMYFUNCTION("""COMPUTED_VALUE"""),7683.0)</f>
        <v>7683</v>
      </c>
      <c r="F6423" s="115">
        <f>IFERROR(__xludf.DUMMYFUNCTION("""COMPUTED_VALUE"""),12882.0)</f>
        <v>12882</v>
      </c>
      <c r="G6423" s="115">
        <f>IFERROR(__xludf.DUMMYFUNCTION("""COMPUTED_VALUE"""),480.0)</f>
        <v>480</v>
      </c>
      <c r="H6423" s="116">
        <f>IFERROR(__xludf.DUMMYFUNCTION("""COMPUTED_VALUE"""),45912.0)</f>
        <v>45912</v>
      </c>
      <c r="I6423" s="115" t="str">
        <f>IFERROR(__xludf.DUMMYFUNCTION("""COMPUTED_VALUE"""),"12")</f>
        <v>12</v>
      </c>
      <c r="J6423" s="115"/>
      <c r="K6423" s="115"/>
    </row>
    <row r="6424">
      <c r="A6424" s="115" t="str">
        <f>IFERROR(__xludf.DUMMYFUNCTION("""COMPUTED_VALUE"""),"SOUTH")</f>
        <v>SOUTH</v>
      </c>
      <c r="B6424" s="115" t="str">
        <f>IFERROR(__xludf.DUMMYFUNCTION("""COMPUTED_VALUE"""),"Martin A")</f>
        <v>Martin A</v>
      </c>
      <c r="C6424" s="115" t="str">
        <f>IFERROR(__xludf.DUMMYFUNCTION("""COMPUTED_VALUE"""),"EXTERNAL")</f>
        <v>EXTERNAL</v>
      </c>
      <c r="D6424" s="115">
        <f>IFERROR(__xludf.DUMMYFUNCTION("""COMPUTED_VALUE"""),26877.0)</f>
        <v>26877</v>
      </c>
      <c r="E6424" s="115">
        <f>IFERROR(__xludf.DUMMYFUNCTION("""COMPUTED_VALUE"""),3226.0)</f>
        <v>3226</v>
      </c>
      <c r="F6424" s="115">
        <f>IFERROR(__xludf.DUMMYFUNCTION("""COMPUTED_VALUE"""),4615.0)</f>
        <v>4615</v>
      </c>
      <c r="G6424" s="115">
        <f>IFERROR(__xludf.DUMMYFUNCTION("""COMPUTED_VALUE"""),252.0)</f>
        <v>252</v>
      </c>
      <c r="H6424" s="116">
        <f>IFERROR(__xludf.DUMMYFUNCTION("""COMPUTED_VALUE"""),45912.0)</f>
        <v>45912</v>
      </c>
      <c r="I6424" s="115" t="str">
        <f>IFERROR(__xludf.DUMMYFUNCTION("""COMPUTED_VALUE"""),"12")</f>
        <v>12</v>
      </c>
      <c r="J6424" s="115"/>
      <c r="K6424" s="115"/>
    </row>
    <row r="6425">
      <c r="A6425" s="115" t="str">
        <f>IFERROR(__xludf.DUMMYFUNCTION("""COMPUTED_VALUE"""),"SOUTH")</f>
        <v>SOUTH</v>
      </c>
      <c r="B6425" s="115" t="str">
        <f>IFERROR(__xludf.DUMMYFUNCTION("""COMPUTED_VALUE"""),"Martin A")</f>
        <v>Martin A</v>
      </c>
      <c r="C6425" s="115" t="str">
        <f>IFERROR(__xludf.DUMMYFUNCTION("""COMPUTED_VALUE"""),"FLIPKART")</f>
        <v>FLIPKART</v>
      </c>
      <c r="D6425" s="115">
        <f>IFERROR(__xludf.DUMMYFUNCTION("""COMPUTED_VALUE"""),275214.0)</f>
        <v>275214</v>
      </c>
      <c r="E6425" s="115">
        <f>IFERROR(__xludf.DUMMYFUNCTION("""COMPUTED_VALUE"""),22277.0)</f>
        <v>22277</v>
      </c>
      <c r="F6425" s="115">
        <f>IFERROR(__xludf.DUMMYFUNCTION("""COMPUTED_VALUE"""),80872.0)</f>
        <v>80872</v>
      </c>
      <c r="G6425" s="115">
        <f>IFERROR(__xludf.DUMMYFUNCTION("""COMPUTED_VALUE"""),2283.0)</f>
        <v>2283</v>
      </c>
      <c r="H6425" s="116">
        <f>IFERROR(__xludf.DUMMYFUNCTION("""COMPUTED_VALUE"""),45912.0)</f>
        <v>45912</v>
      </c>
      <c r="I6425" s="115" t="str">
        <f>IFERROR(__xludf.DUMMYFUNCTION("""COMPUTED_VALUE"""),"12")</f>
        <v>12</v>
      </c>
      <c r="J6425" s="115"/>
      <c r="K6425" s="115"/>
    </row>
    <row r="6426">
      <c r="A6426" s="115" t="str">
        <f>IFERROR(__xludf.DUMMYFUNCTION("""COMPUTED_VALUE"""),"SOUTH")</f>
        <v>SOUTH</v>
      </c>
      <c r="B6426" s="115" t="str">
        <f>IFERROR(__xludf.DUMMYFUNCTION("""COMPUTED_VALUE"""),"Martin A")</f>
        <v>Martin A</v>
      </c>
      <c r="C6426" s="115" t="str">
        <f>IFERROR(__xludf.DUMMYFUNCTION("""COMPUTED_VALUE"""),"MYNTRA")</f>
        <v>MYNTRA</v>
      </c>
      <c r="D6426" s="115">
        <f>IFERROR(__xludf.DUMMYFUNCTION("""COMPUTED_VALUE"""),25999.0)</f>
        <v>25999</v>
      </c>
      <c r="E6426" s="115">
        <f>IFERROR(__xludf.DUMMYFUNCTION("""COMPUTED_VALUE"""),5910.0)</f>
        <v>5910</v>
      </c>
      <c r="F6426" s="115">
        <f>IFERROR(__xludf.DUMMYFUNCTION("""COMPUTED_VALUE"""),9152.0)</f>
        <v>9152</v>
      </c>
      <c r="G6426" s="115">
        <f>IFERROR(__xludf.DUMMYFUNCTION("""COMPUTED_VALUE"""),665.0)</f>
        <v>665</v>
      </c>
      <c r="H6426" s="116">
        <f>IFERROR(__xludf.DUMMYFUNCTION("""COMPUTED_VALUE"""),45912.0)</f>
        <v>45912</v>
      </c>
      <c r="I6426" s="115" t="str">
        <f>IFERROR(__xludf.DUMMYFUNCTION("""COMPUTED_VALUE"""),"12")</f>
        <v>12</v>
      </c>
      <c r="J6426" s="115"/>
      <c r="K6426" s="115"/>
    </row>
    <row r="6427">
      <c r="A6427" s="115" t="str">
        <f>IFERROR(__xludf.DUMMYFUNCTION("""COMPUTED_VALUE"""),"SOUTH")</f>
        <v>SOUTH</v>
      </c>
      <c r="B6427" s="115" t="str">
        <f>IFERROR(__xludf.DUMMYFUNCTION("""COMPUTED_VALUE"""),"Premkumar M")</f>
        <v>Premkumar M</v>
      </c>
      <c r="C6427" s="115" t="str">
        <f>IFERROR(__xludf.DUMMYFUNCTION("""COMPUTED_VALUE"""),"EXTERNAL")</f>
        <v>EXTERNAL</v>
      </c>
      <c r="D6427" s="115">
        <f>IFERROR(__xludf.DUMMYFUNCTION("""COMPUTED_VALUE"""),23325.0)</f>
        <v>23325</v>
      </c>
      <c r="E6427" s="115">
        <f>IFERROR(__xludf.DUMMYFUNCTION("""COMPUTED_VALUE"""),1400.0)</f>
        <v>1400</v>
      </c>
      <c r="F6427" s="115">
        <f>IFERROR(__xludf.DUMMYFUNCTION("""COMPUTED_VALUE"""),2732.0)</f>
        <v>2732</v>
      </c>
      <c r="G6427" s="115">
        <f>IFERROR(__xludf.DUMMYFUNCTION("""COMPUTED_VALUE"""),17.0)</f>
        <v>17</v>
      </c>
      <c r="H6427" s="116">
        <f>IFERROR(__xludf.DUMMYFUNCTION("""COMPUTED_VALUE"""),45912.0)</f>
        <v>45912</v>
      </c>
      <c r="I6427" s="115" t="str">
        <f>IFERROR(__xludf.DUMMYFUNCTION("""COMPUTED_VALUE"""),"12")</f>
        <v>12</v>
      </c>
      <c r="J6427" s="115"/>
      <c r="K6427" s="115"/>
    </row>
    <row r="6428">
      <c r="A6428" s="115" t="str">
        <f>IFERROR(__xludf.DUMMYFUNCTION("""COMPUTED_VALUE"""),"SOUTH")</f>
        <v>SOUTH</v>
      </c>
      <c r="B6428" s="115" t="str">
        <f>IFERROR(__xludf.DUMMYFUNCTION("""COMPUTED_VALUE"""),"Premkumar M")</f>
        <v>Premkumar M</v>
      </c>
      <c r="C6428" s="115" t="str">
        <f>IFERROR(__xludf.DUMMYFUNCTION("""COMPUTED_VALUE"""),"FLIPKART")</f>
        <v>FLIPKART</v>
      </c>
      <c r="D6428" s="115">
        <f>IFERROR(__xludf.DUMMYFUNCTION("""COMPUTED_VALUE"""),255746.0)</f>
        <v>255746</v>
      </c>
      <c r="E6428" s="115">
        <f>IFERROR(__xludf.DUMMYFUNCTION("""COMPUTED_VALUE"""),12968.0)</f>
        <v>12968</v>
      </c>
      <c r="F6428" s="115">
        <f>IFERROR(__xludf.DUMMYFUNCTION("""COMPUTED_VALUE"""),46489.0)</f>
        <v>46489</v>
      </c>
      <c r="G6428" s="115">
        <f>IFERROR(__xludf.DUMMYFUNCTION("""COMPUTED_VALUE"""),338.0)</f>
        <v>338</v>
      </c>
      <c r="H6428" s="116">
        <f>IFERROR(__xludf.DUMMYFUNCTION("""COMPUTED_VALUE"""),45912.0)</f>
        <v>45912</v>
      </c>
      <c r="I6428" s="115" t="str">
        <f>IFERROR(__xludf.DUMMYFUNCTION("""COMPUTED_VALUE"""),"12")</f>
        <v>12</v>
      </c>
      <c r="J6428" s="115"/>
      <c r="K6428" s="115"/>
    </row>
    <row r="6429">
      <c r="A6429" s="115" t="str">
        <f>IFERROR(__xludf.DUMMYFUNCTION("""COMPUTED_VALUE"""),"SOUTH")</f>
        <v>SOUTH</v>
      </c>
      <c r="B6429" s="115" t="str">
        <f>IFERROR(__xludf.DUMMYFUNCTION("""COMPUTED_VALUE"""),"Premkumar M")</f>
        <v>Premkumar M</v>
      </c>
      <c r="C6429" s="115" t="str">
        <f>IFERROR(__xludf.DUMMYFUNCTION("""COMPUTED_VALUE"""),"MYNTRA")</f>
        <v>MYNTRA</v>
      </c>
      <c r="D6429" s="115">
        <f>IFERROR(__xludf.DUMMYFUNCTION("""COMPUTED_VALUE"""),13465.0)</f>
        <v>13465</v>
      </c>
      <c r="E6429" s="115">
        <f>IFERROR(__xludf.DUMMYFUNCTION("""COMPUTED_VALUE"""),2050.0)</f>
        <v>2050</v>
      </c>
      <c r="F6429" s="115">
        <f>IFERROR(__xludf.DUMMYFUNCTION("""COMPUTED_VALUE"""),2858.0)</f>
        <v>2858</v>
      </c>
      <c r="G6429" s="115">
        <f>IFERROR(__xludf.DUMMYFUNCTION("""COMPUTED_VALUE"""),66.0)</f>
        <v>66</v>
      </c>
      <c r="H6429" s="116">
        <f>IFERROR(__xludf.DUMMYFUNCTION("""COMPUTED_VALUE"""),45912.0)</f>
        <v>45912</v>
      </c>
      <c r="I6429" s="115" t="str">
        <f>IFERROR(__xludf.DUMMYFUNCTION("""COMPUTED_VALUE"""),"12")</f>
        <v>12</v>
      </c>
      <c r="J6429" s="115"/>
      <c r="K6429" s="115"/>
    </row>
    <row r="6430">
      <c r="A6430" s="115" t="str">
        <f>IFERROR(__xludf.DUMMYFUNCTION("""COMPUTED_VALUE"""),"SOUTH")</f>
        <v>SOUTH</v>
      </c>
      <c r="B6430" s="115" t="str">
        <f>IFERROR(__xludf.DUMMYFUNCTION("""COMPUTED_VALUE"""),"Vineeth V")</f>
        <v>Vineeth V</v>
      </c>
      <c r="C6430" s="115" t="str">
        <f>IFERROR(__xludf.DUMMYFUNCTION("""COMPUTED_VALUE"""),"EXTERNAL")</f>
        <v>EXTERNAL</v>
      </c>
      <c r="D6430" s="115">
        <f>IFERROR(__xludf.DUMMYFUNCTION("""COMPUTED_VALUE"""),17598.0)</f>
        <v>17598</v>
      </c>
      <c r="E6430" s="115">
        <f>IFERROR(__xludf.DUMMYFUNCTION("""COMPUTED_VALUE"""),421.0)</f>
        <v>421</v>
      </c>
      <c r="F6430" s="115">
        <f>IFERROR(__xludf.DUMMYFUNCTION("""COMPUTED_VALUE"""),2139.0)</f>
        <v>2139</v>
      </c>
      <c r="G6430" s="115">
        <f>IFERROR(__xludf.DUMMYFUNCTION("""COMPUTED_VALUE"""),8.0)</f>
        <v>8</v>
      </c>
      <c r="H6430" s="116">
        <f>IFERROR(__xludf.DUMMYFUNCTION("""COMPUTED_VALUE"""),45912.0)</f>
        <v>45912</v>
      </c>
      <c r="I6430" s="115" t="str">
        <f>IFERROR(__xludf.DUMMYFUNCTION("""COMPUTED_VALUE"""),"12")</f>
        <v>12</v>
      </c>
      <c r="J6430" s="115"/>
      <c r="K6430" s="115"/>
    </row>
    <row r="6431">
      <c r="A6431" s="115" t="str">
        <f>IFERROR(__xludf.DUMMYFUNCTION("""COMPUTED_VALUE"""),"SOUTH")</f>
        <v>SOUTH</v>
      </c>
      <c r="B6431" s="115" t="str">
        <f>IFERROR(__xludf.DUMMYFUNCTION("""COMPUTED_VALUE"""),"Vineeth V")</f>
        <v>Vineeth V</v>
      </c>
      <c r="C6431" s="115" t="str">
        <f>IFERROR(__xludf.DUMMYFUNCTION("""COMPUTED_VALUE"""),"FLIPKART")</f>
        <v>FLIPKART</v>
      </c>
      <c r="D6431" s="115">
        <f>IFERROR(__xludf.DUMMYFUNCTION("""COMPUTED_VALUE"""),192156.0)</f>
        <v>192156</v>
      </c>
      <c r="E6431" s="115">
        <f>IFERROR(__xludf.DUMMYFUNCTION("""COMPUTED_VALUE"""),10664.0)</f>
        <v>10664</v>
      </c>
      <c r="F6431" s="115">
        <f>IFERROR(__xludf.DUMMYFUNCTION("""COMPUTED_VALUE"""),34337.0)</f>
        <v>34337</v>
      </c>
      <c r="G6431" s="115">
        <f>IFERROR(__xludf.DUMMYFUNCTION("""COMPUTED_VALUE"""),191.0)</f>
        <v>191</v>
      </c>
      <c r="H6431" s="116">
        <f>IFERROR(__xludf.DUMMYFUNCTION("""COMPUTED_VALUE"""),45912.0)</f>
        <v>45912</v>
      </c>
      <c r="I6431" s="115" t="str">
        <f>IFERROR(__xludf.DUMMYFUNCTION("""COMPUTED_VALUE"""),"12")</f>
        <v>12</v>
      </c>
      <c r="J6431" s="115"/>
      <c r="K6431" s="115"/>
    </row>
    <row r="6432">
      <c r="A6432" s="115" t="str">
        <f>IFERROR(__xludf.DUMMYFUNCTION("""COMPUTED_VALUE"""),"SOUTH")</f>
        <v>SOUTH</v>
      </c>
      <c r="B6432" s="115" t="str">
        <f>IFERROR(__xludf.DUMMYFUNCTION("""COMPUTED_VALUE"""),"Vineeth V")</f>
        <v>Vineeth V</v>
      </c>
      <c r="C6432" s="115" t="str">
        <f>IFERROR(__xludf.DUMMYFUNCTION("""COMPUTED_VALUE"""),"MYNTRA")</f>
        <v>MYNTRA</v>
      </c>
      <c r="D6432" s="115">
        <f>IFERROR(__xludf.DUMMYFUNCTION("""COMPUTED_VALUE"""),14941.0)</f>
        <v>14941</v>
      </c>
      <c r="E6432" s="115">
        <f>IFERROR(__xludf.DUMMYFUNCTION("""COMPUTED_VALUE"""),2574.0)</f>
        <v>2574</v>
      </c>
      <c r="F6432" s="115">
        <f>IFERROR(__xludf.DUMMYFUNCTION("""COMPUTED_VALUE"""),3239.0)</f>
        <v>3239</v>
      </c>
      <c r="G6432" s="115">
        <f>IFERROR(__xludf.DUMMYFUNCTION("""COMPUTED_VALUE"""),56.0)</f>
        <v>56</v>
      </c>
      <c r="H6432" s="116">
        <f>IFERROR(__xludf.DUMMYFUNCTION("""COMPUTED_VALUE"""),45912.0)</f>
        <v>45912</v>
      </c>
      <c r="I6432" s="115" t="str">
        <f>IFERROR(__xludf.DUMMYFUNCTION("""COMPUTED_VALUE"""),"12")</f>
        <v>12</v>
      </c>
      <c r="J6432" s="115"/>
      <c r="K6432" s="115"/>
    </row>
    <row r="6433">
      <c r="A6433" s="115" t="str">
        <f>IFERROR(__xludf.DUMMYFUNCTION("""COMPUTED_VALUE"""),"WEST")</f>
        <v>WEST</v>
      </c>
      <c r="B6433" s="115" t="str">
        <f>IFERROR(__xludf.DUMMYFUNCTION("""COMPUTED_VALUE"""),"Ashish Jakar")</f>
        <v>Ashish Jakar</v>
      </c>
      <c r="C6433" s="115" t="str">
        <f>IFERROR(__xludf.DUMMYFUNCTION("""COMPUTED_VALUE"""),"EXTERNAL")</f>
        <v>EXTERNAL</v>
      </c>
      <c r="D6433" s="115">
        <f>IFERROR(__xludf.DUMMYFUNCTION("""COMPUTED_VALUE"""),50584.0)</f>
        <v>50584</v>
      </c>
      <c r="E6433" s="115">
        <f>IFERROR(__xludf.DUMMYFUNCTION("""COMPUTED_VALUE"""),5392.0)</f>
        <v>5392</v>
      </c>
      <c r="F6433" s="115">
        <f>IFERROR(__xludf.DUMMYFUNCTION("""COMPUTED_VALUE"""),7276.0)</f>
        <v>7276</v>
      </c>
      <c r="G6433" s="115">
        <f>IFERROR(__xludf.DUMMYFUNCTION("""COMPUTED_VALUE"""),343.0)</f>
        <v>343</v>
      </c>
      <c r="H6433" s="116">
        <f>IFERROR(__xludf.DUMMYFUNCTION("""COMPUTED_VALUE"""),45912.0)</f>
        <v>45912</v>
      </c>
      <c r="I6433" s="115" t="str">
        <f>IFERROR(__xludf.DUMMYFUNCTION("""COMPUTED_VALUE"""),"12")</f>
        <v>12</v>
      </c>
      <c r="J6433" s="115"/>
      <c r="K6433" s="115"/>
    </row>
    <row r="6434">
      <c r="A6434" s="115" t="str">
        <f>IFERROR(__xludf.DUMMYFUNCTION("""COMPUTED_VALUE"""),"WEST")</f>
        <v>WEST</v>
      </c>
      <c r="B6434" s="115" t="str">
        <f>IFERROR(__xludf.DUMMYFUNCTION("""COMPUTED_VALUE"""),"Ashish Jakar")</f>
        <v>Ashish Jakar</v>
      </c>
      <c r="C6434" s="115" t="str">
        <f>IFERROR(__xludf.DUMMYFUNCTION("""COMPUTED_VALUE"""),"FLIPKART")</f>
        <v>FLIPKART</v>
      </c>
      <c r="D6434" s="115">
        <f>IFERROR(__xludf.DUMMYFUNCTION("""COMPUTED_VALUE"""),381214.0)</f>
        <v>381214</v>
      </c>
      <c r="E6434" s="115">
        <f>IFERROR(__xludf.DUMMYFUNCTION("""COMPUTED_VALUE"""),29751.0)</f>
        <v>29751</v>
      </c>
      <c r="F6434" s="115">
        <f>IFERROR(__xludf.DUMMYFUNCTION("""COMPUTED_VALUE"""),83993.0)</f>
        <v>83993</v>
      </c>
      <c r="G6434" s="115">
        <f>IFERROR(__xludf.DUMMYFUNCTION("""COMPUTED_VALUE"""),2149.0)</f>
        <v>2149</v>
      </c>
      <c r="H6434" s="116">
        <f>IFERROR(__xludf.DUMMYFUNCTION("""COMPUTED_VALUE"""),45912.0)</f>
        <v>45912</v>
      </c>
      <c r="I6434" s="115" t="str">
        <f>IFERROR(__xludf.DUMMYFUNCTION("""COMPUTED_VALUE"""),"12")</f>
        <v>12</v>
      </c>
      <c r="J6434" s="115"/>
      <c r="K6434" s="115"/>
    </row>
    <row r="6435">
      <c r="A6435" s="115" t="str">
        <f>IFERROR(__xludf.DUMMYFUNCTION("""COMPUTED_VALUE"""),"WEST")</f>
        <v>WEST</v>
      </c>
      <c r="B6435" s="115" t="str">
        <f>IFERROR(__xludf.DUMMYFUNCTION("""COMPUTED_VALUE"""),"Ashish Jakar")</f>
        <v>Ashish Jakar</v>
      </c>
      <c r="C6435" s="115" t="str">
        <f>IFERROR(__xludf.DUMMYFUNCTION("""COMPUTED_VALUE"""),"MYNTRA")</f>
        <v>MYNTRA</v>
      </c>
      <c r="D6435" s="115">
        <f>IFERROR(__xludf.DUMMYFUNCTION("""COMPUTED_VALUE"""),41695.0)</f>
        <v>41695</v>
      </c>
      <c r="E6435" s="115">
        <f>IFERROR(__xludf.DUMMYFUNCTION("""COMPUTED_VALUE"""),10243.0)</f>
        <v>10243</v>
      </c>
      <c r="F6435" s="115">
        <f>IFERROR(__xludf.DUMMYFUNCTION("""COMPUTED_VALUE"""),11002.0)</f>
        <v>11002</v>
      </c>
      <c r="G6435" s="115">
        <f>IFERROR(__xludf.DUMMYFUNCTION("""COMPUTED_VALUE"""),887.0)</f>
        <v>887</v>
      </c>
      <c r="H6435" s="116">
        <f>IFERROR(__xludf.DUMMYFUNCTION("""COMPUTED_VALUE"""),45912.0)</f>
        <v>45912</v>
      </c>
      <c r="I6435" s="115" t="str">
        <f>IFERROR(__xludf.DUMMYFUNCTION("""COMPUTED_VALUE"""),"12")</f>
        <v>12</v>
      </c>
      <c r="J6435" s="115"/>
      <c r="K6435" s="115"/>
    </row>
    <row r="6436">
      <c r="A6436" s="115" t="str">
        <f>IFERROR(__xludf.DUMMYFUNCTION("""COMPUTED_VALUE"""),"WEST")</f>
        <v>WEST</v>
      </c>
      <c r="B6436" s="115" t="str">
        <f>IFERROR(__xludf.DUMMYFUNCTION("""COMPUTED_VALUE"""),"Ashvani Bhatt")</f>
        <v>Ashvani Bhatt</v>
      </c>
      <c r="C6436" s="115" t="str">
        <f>IFERROR(__xludf.DUMMYFUNCTION("""COMPUTED_VALUE"""),"EXTERNAL")</f>
        <v>EXTERNAL</v>
      </c>
      <c r="D6436" s="115">
        <f>IFERROR(__xludf.DUMMYFUNCTION("""COMPUTED_VALUE"""),33104.0)</f>
        <v>33104</v>
      </c>
      <c r="E6436" s="115">
        <f>IFERROR(__xludf.DUMMYFUNCTION("""COMPUTED_VALUE"""),2636.0)</f>
        <v>2636</v>
      </c>
      <c r="F6436" s="115">
        <f>IFERROR(__xludf.DUMMYFUNCTION("""COMPUTED_VALUE"""),4913.0)</f>
        <v>4913</v>
      </c>
      <c r="G6436" s="115">
        <f>IFERROR(__xludf.DUMMYFUNCTION("""COMPUTED_VALUE"""),113.0)</f>
        <v>113</v>
      </c>
      <c r="H6436" s="116">
        <f>IFERROR(__xludf.DUMMYFUNCTION("""COMPUTED_VALUE"""),45912.0)</f>
        <v>45912</v>
      </c>
      <c r="I6436" s="115" t="str">
        <f>IFERROR(__xludf.DUMMYFUNCTION("""COMPUTED_VALUE"""),"12")</f>
        <v>12</v>
      </c>
      <c r="J6436" s="115"/>
      <c r="K6436" s="115"/>
    </row>
    <row r="6437">
      <c r="A6437" s="115" t="str">
        <f>IFERROR(__xludf.DUMMYFUNCTION("""COMPUTED_VALUE"""),"WEST")</f>
        <v>WEST</v>
      </c>
      <c r="B6437" s="115" t="str">
        <f>IFERROR(__xludf.DUMMYFUNCTION("""COMPUTED_VALUE"""),"Ashvani Bhatt")</f>
        <v>Ashvani Bhatt</v>
      </c>
      <c r="C6437" s="115" t="str">
        <f>IFERROR(__xludf.DUMMYFUNCTION("""COMPUTED_VALUE"""),"FLIPKART")</f>
        <v>FLIPKART</v>
      </c>
      <c r="D6437" s="115">
        <f>IFERROR(__xludf.DUMMYFUNCTION("""COMPUTED_VALUE"""),298530.0)</f>
        <v>298530</v>
      </c>
      <c r="E6437" s="115">
        <f>IFERROR(__xludf.DUMMYFUNCTION("""COMPUTED_VALUE"""),23679.0)</f>
        <v>23679</v>
      </c>
      <c r="F6437" s="115">
        <f>IFERROR(__xludf.DUMMYFUNCTION("""COMPUTED_VALUE"""),83013.0)</f>
        <v>83013</v>
      </c>
      <c r="G6437" s="115">
        <f>IFERROR(__xludf.DUMMYFUNCTION("""COMPUTED_VALUE"""),1459.0)</f>
        <v>1459</v>
      </c>
      <c r="H6437" s="116">
        <f>IFERROR(__xludf.DUMMYFUNCTION("""COMPUTED_VALUE"""),45912.0)</f>
        <v>45912</v>
      </c>
      <c r="I6437" s="115" t="str">
        <f>IFERROR(__xludf.DUMMYFUNCTION("""COMPUTED_VALUE"""),"12")</f>
        <v>12</v>
      </c>
      <c r="J6437" s="115"/>
      <c r="K6437" s="115"/>
    </row>
    <row r="6438">
      <c r="A6438" s="115" t="str">
        <f>IFERROR(__xludf.DUMMYFUNCTION("""COMPUTED_VALUE"""),"WEST")</f>
        <v>WEST</v>
      </c>
      <c r="B6438" s="115" t="str">
        <f>IFERROR(__xludf.DUMMYFUNCTION("""COMPUTED_VALUE"""),"Ashvani Bhatt")</f>
        <v>Ashvani Bhatt</v>
      </c>
      <c r="C6438" s="115" t="str">
        <f>IFERROR(__xludf.DUMMYFUNCTION("""COMPUTED_VALUE"""),"MYNTRA")</f>
        <v>MYNTRA</v>
      </c>
      <c r="D6438" s="115">
        <f>IFERROR(__xludf.DUMMYFUNCTION("""COMPUTED_VALUE"""),32554.0)</f>
        <v>32554</v>
      </c>
      <c r="E6438" s="115">
        <f>IFERROR(__xludf.DUMMYFUNCTION("""COMPUTED_VALUE"""),7648.0)</f>
        <v>7648</v>
      </c>
      <c r="F6438" s="115">
        <f>IFERROR(__xludf.DUMMYFUNCTION("""COMPUTED_VALUE"""),11093.0)</f>
        <v>11093</v>
      </c>
      <c r="G6438" s="115">
        <f>IFERROR(__xludf.DUMMYFUNCTION("""COMPUTED_VALUE"""),616.0)</f>
        <v>616</v>
      </c>
      <c r="H6438" s="116">
        <f>IFERROR(__xludf.DUMMYFUNCTION("""COMPUTED_VALUE"""),45912.0)</f>
        <v>45912</v>
      </c>
      <c r="I6438" s="115" t="str">
        <f>IFERROR(__xludf.DUMMYFUNCTION("""COMPUTED_VALUE"""),"12")</f>
        <v>12</v>
      </c>
      <c r="J6438" s="115"/>
      <c r="K6438" s="115"/>
    </row>
    <row r="6439">
      <c r="A6439" s="115"/>
      <c r="B6439" s="115"/>
      <c r="C6439" s="115" t="str">
        <f>IFERROR(__xludf.DUMMYFUNCTION("""COMPUTED_VALUE"""),"EXTERNAL")</f>
        <v>EXTERNAL</v>
      </c>
      <c r="D6439" s="115">
        <f>IFERROR(__xludf.DUMMYFUNCTION("""COMPUTED_VALUE"""),1028.0)</f>
        <v>1028</v>
      </c>
      <c r="E6439" s="115">
        <f>IFERROR(__xludf.DUMMYFUNCTION("""COMPUTED_VALUE"""),198.0)</f>
        <v>198</v>
      </c>
      <c r="F6439" s="115">
        <f>IFERROR(__xludf.DUMMYFUNCTION("""COMPUTED_VALUE"""),112.0)</f>
        <v>112</v>
      </c>
      <c r="G6439" s="115">
        <f>IFERROR(__xludf.DUMMYFUNCTION("""COMPUTED_VALUE"""),20.0)</f>
        <v>20</v>
      </c>
      <c r="H6439" s="116">
        <f>IFERROR(__xludf.DUMMYFUNCTION("""COMPUTED_VALUE"""),45912.0)</f>
        <v>45912</v>
      </c>
      <c r="I6439" s="115" t="str">
        <f>IFERROR(__xludf.DUMMYFUNCTION("""COMPUTED_VALUE"""),"12")</f>
        <v>12</v>
      </c>
      <c r="J6439" s="115"/>
      <c r="K6439" s="115"/>
    </row>
    <row r="6440">
      <c r="A6440" s="115"/>
      <c r="B6440" s="115"/>
      <c r="C6440" s="115" t="str">
        <f>IFERROR(__xludf.DUMMYFUNCTION("""COMPUTED_VALUE"""),"FLIPKART")</f>
        <v>FLIPKART</v>
      </c>
      <c r="D6440" s="115">
        <f>IFERROR(__xludf.DUMMYFUNCTION("""COMPUTED_VALUE"""),11576.0)</f>
        <v>11576</v>
      </c>
      <c r="E6440" s="115">
        <f>IFERROR(__xludf.DUMMYFUNCTION("""COMPUTED_VALUE"""),933.0)</f>
        <v>933</v>
      </c>
      <c r="F6440" s="115">
        <f>IFERROR(__xludf.DUMMYFUNCTION("""COMPUTED_VALUE"""),1823.0)</f>
        <v>1823</v>
      </c>
      <c r="G6440" s="115">
        <f>IFERROR(__xludf.DUMMYFUNCTION("""COMPUTED_VALUE"""),178.0)</f>
        <v>178</v>
      </c>
      <c r="H6440" s="116">
        <f>IFERROR(__xludf.DUMMYFUNCTION("""COMPUTED_VALUE"""),45912.0)</f>
        <v>45912</v>
      </c>
      <c r="I6440" s="115" t="str">
        <f>IFERROR(__xludf.DUMMYFUNCTION("""COMPUTED_VALUE"""),"12")</f>
        <v>12</v>
      </c>
      <c r="J6440" s="115"/>
      <c r="K6440" s="115"/>
    </row>
    <row r="6441">
      <c r="A6441" s="115"/>
      <c r="B6441" s="115"/>
      <c r="C6441" s="115" t="str">
        <f>IFERROR(__xludf.DUMMYFUNCTION("""COMPUTED_VALUE"""),"MYNTRA")</f>
        <v>MYNTRA</v>
      </c>
      <c r="D6441" s="115">
        <f>IFERROR(__xludf.DUMMYFUNCTION("""COMPUTED_VALUE"""),1260.0)</f>
        <v>1260</v>
      </c>
      <c r="E6441" s="115">
        <f>IFERROR(__xludf.DUMMYFUNCTION("""COMPUTED_VALUE"""),293.0)</f>
        <v>293</v>
      </c>
      <c r="F6441" s="115">
        <f>IFERROR(__xludf.DUMMYFUNCTION("""COMPUTED_VALUE"""),280.0)</f>
        <v>280</v>
      </c>
      <c r="G6441" s="115">
        <f>IFERROR(__xludf.DUMMYFUNCTION("""COMPUTED_VALUE"""),46.0)</f>
        <v>46</v>
      </c>
      <c r="H6441" s="116">
        <f>IFERROR(__xludf.DUMMYFUNCTION("""COMPUTED_VALUE"""),45912.0)</f>
        <v>45912</v>
      </c>
      <c r="I6441" s="115" t="str">
        <f>IFERROR(__xludf.DUMMYFUNCTION("""COMPUTED_VALUE"""),"12")</f>
        <v>12</v>
      </c>
      <c r="J6441" s="115"/>
      <c r="K6441" s="115"/>
    </row>
    <row r="6442">
      <c r="A6442" s="115" t="str">
        <f>IFERROR(__xludf.DUMMYFUNCTION("""COMPUTED_VALUE"""),"EAST")</f>
        <v>EAST</v>
      </c>
      <c r="B6442" s="115" t="str">
        <f>IFERROR(__xludf.DUMMYFUNCTION("""COMPUTED_VALUE"""),"Ashish Ranjan")</f>
        <v>Ashish Ranjan</v>
      </c>
      <c r="C6442" s="115" t="str">
        <f>IFERROR(__xludf.DUMMYFUNCTION("""COMPUTED_VALUE"""),"EXTERNAL")</f>
        <v>EXTERNAL</v>
      </c>
      <c r="D6442" s="115">
        <f>IFERROR(__xludf.DUMMYFUNCTION("""COMPUTED_VALUE"""),38793.0)</f>
        <v>38793</v>
      </c>
      <c r="E6442" s="115">
        <f>IFERROR(__xludf.DUMMYFUNCTION("""COMPUTED_VALUE"""),3001.0)</f>
        <v>3001</v>
      </c>
      <c r="F6442" s="115">
        <f>IFERROR(__xludf.DUMMYFUNCTION("""COMPUTED_VALUE"""),10837.0)</f>
        <v>10837</v>
      </c>
      <c r="G6442" s="115">
        <f>IFERROR(__xludf.DUMMYFUNCTION("""COMPUTED_VALUE"""),356.0)</f>
        <v>356</v>
      </c>
      <c r="H6442" s="116">
        <f>IFERROR(__xludf.DUMMYFUNCTION("""COMPUTED_VALUE"""),45912.0)</f>
        <v>45912</v>
      </c>
      <c r="I6442" s="115" t="str">
        <f>IFERROR(__xludf.DUMMYFUNCTION("""COMPUTED_VALUE"""),"13")</f>
        <v>13</v>
      </c>
      <c r="J6442" s="115"/>
      <c r="K6442" s="115"/>
    </row>
    <row r="6443">
      <c r="A6443" s="115" t="str">
        <f>IFERROR(__xludf.DUMMYFUNCTION("""COMPUTED_VALUE"""),"EAST")</f>
        <v>EAST</v>
      </c>
      <c r="B6443" s="115" t="str">
        <f>IFERROR(__xludf.DUMMYFUNCTION("""COMPUTED_VALUE"""),"Ashish Ranjan")</f>
        <v>Ashish Ranjan</v>
      </c>
      <c r="C6443" s="115" t="str">
        <f>IFERROR(__xludf.DUMMYFUNCTION("""COMPUTED_VALUE"""),"FLIPKART")</f>
        <v>FLIPKART</v>
      </c>
      <c r="D6443" s="115">
        <f>IFERROR(__xludf.DUMMYFUNCTION("""COMPUTED_VALUE"""),709436.0)</f>
        <v>709436</v>
      </c>
      <c r="E6443" s="115">
        <f>IFERROR(__xludf.DUMMYFUNCTION("""COMPUTED_VALUE"""),58085.0)</f>
        <v>58085</v>
      </c>
      <c r="F6443" s="115">
        <f>IFERROR(__xludf.DUMMYFUNCTION("""COMPUTED_VALUE"""),317880.0)</f>
        <v>317880</v>
      </c>
      <c r="G6443" s="115">
        <f>IFERROR(__xludf.DUMMYFUNCTION("""COMPUTED_VALUE"""),9329.0)</f>
        <v>9329</v>
      </c>
      <c r="H6443" s="116">
        <f>IFERROR(__xludf.DUMMYFUNCTION("""COMPUTED_VALUE"""),45912.0)</f>
        <v>45912</v>
      </c>
      <c r="I6443" s="115" t="str">
        <f>IFERROR(__xludf.DUMMYFUNCTION("""COMPUTED_VALUE"""),"13")</f>
        <v>13</v>
      </c>
      <c r="J6443" s="115"/>
      <c r="K6443" s="115"/>
    </row>
    <row r="6444">
      <c r="A6444" s="115" t="str">
        <f>IFERROR(__xludf.DUMMYFUNCTION("""COMPUTED_VALUE"""),"EAST")</f>
        <v>EAST</v>
      </c>
      <c r="B6444" s="115" t="str">
        <f>IFERROR(__xludf.DUMMYFUNCTION("""COMPUTED_VALUE"""),"Ashish Ranjan")</f>
        <v>Ashish Ranjan</v>
      </c>
      <c r="C6444" s="115" t="str">
        <f>IFERROR(__xludf.DUMMYFUNCTION("""COMPUTED_VALUE"""),"MYNTRA")</f>
        <v>MYNTRA</v>
      </c>
      <c r="D6444" s="115">
        <f>IFERROR(__xludf.DUMMYFUNCTION("""COMPUTED_VALUE"""),73917.0)</f>
        <v>73917</v>
      </c>
      <c r="E6444" s="115">
        <f>IFERROR(__xludf.DUMMYFUNCTION("""COMPUTED_VALUE"""),14307.0)</f>
        <v>14307</v>
      </c>
      <c r="F6444" s="115">
        <f>IFERROR(__xludf.DUMMYFUNCTION("""COMPUTED_VALUE"""),33367.0)</f>
        <v>33367</v>
      </c>
      <c r="G6444" s="115">
        <f>IFERROR(__xludf.DUMMYFUNCTION("""COMPUTED_VALUE"""),2455.0)</f>
        <v>2455</v>
      </c>
      <c r="H6444" s="116">
        <f>IFERROR(__xludf.DUMMYFUNCTION("""COMPUTED_VALUE"""),45912.0)</f>
        <v>45912</v>
      </c>
      <c r="I6444" s="115" t="str">
        <f>IFERROR(__xludf.DUMMYFUNCTION("""COMPUTED_VALUE"""),"13")</f>
        <v>13</v>
      </c>
      <c r="J6444" s="115"/>
      <c r="K6444" s="115"/>
    </row>
    <row r="6445">
      <c r="A6445" s="115" t="str">
        <f>IFERROR(__xludf.DUMMYFUNCTION("""COMPUTED_VALUE"""),"EAST")</f>
        <v>EAST</v>
      </c>
      <c r="B6445" s="115" t="str">
        <f>IFERROR(__xludf.DUMMYFUNCTION("""COMPUTED_VALUE"""),"Girish Chand")</f>
        <v>Girish Chand</v>
      </c>
      <c r="C6445" s="115" t="str">
        <f>IFERROR(__xludf.DUMMYFUNCTION("""COMPUTED_VALUE"""),"EXTERNAL")</f>
        <v>EXTERNAL</v>
      </c>
      <c r="D6445" s="115">
        <f>IFERROR(__xludf.DUMMYFUNCTION("""COMPUTED_VALUE"""),22479.0)</f>
        <v>22479</v>
      </c>
      <c r="E6445" s="115">
        <f>IFERROR(__xludf.DUMMYFUNCTION("""COMPUTED_VALUE"""),1972.0)</f>
        <v>1972</v>
      </c>
      <c r="F6445" s="115">
        <f>IFERROR(__xludf.DUMMYFUNCTION("""COMPUTED_VALUE"""),4603.0)</f>
        <v>4603</v>
      </c>
      <c r="G6445" s="115">
        <f>IFERROR(__xludf.DUMMYFUNCTION("""COMPUTED_VALUE"""),66.0)</f>
        <v>66</v>
      </c>
      <c r="H6445" s="116">
        <f>IFERROR(__xludf.DUMMYFUNCTION("""COMPUTED_VALUE"""),45912.0)</f>
        <v>45912</v>
      </c>
      <c r="I6445" s="115" t="str">
        <f>IFERROR(__xludf.DUMMYFUNCTION("""COMPUTED_VALUE"""),"13")</f>
        <v>13</v>
      </c>
      <c r="J6445" s="115"/>
      <c r="K6445" s="115"/>
    </row>
    <row r="6446">
      <c r="A6446" s="115" t="str">
        <f>IFERROR(__xludf.DUMMYFUNCTION("""COMPUTED_VALUE"""),"EAST")</f>
        <v>EAST</v>
      </c>
      <c r="B6446" s="115" t="str">
        <f>IFERROR(__xludf.DUMMYFUNCTION("""COMPUTED_VALUE"""),"Girish Chand")</f>
        <v>Girish Chand</v>
      </c>
      <c r="C6446" s="115" t="str">
        <f>IFERROR(__xludf.DUMMYFUNCTION("""COMPUTED_VALUE"""),"FLIPKART")</f>
        <v>FLIPKART</v>
      </c>
      <c r="D6446" s="115">
        <f>IFERROR(__xludf.DUMMYFUNCTION("""COMPUTED_VALUE"""),462807.0)</f>
        <v>462807</v>
      </c>
      <c r="E6446" s="115">
        <f>IFERROR(__xludf.DUMMYFUNCTION("""COMPUTED_VALUE"""),34781.0)</f>
        <v>34781</v>
      </c>
      <c r="F6446" s="115">
        <f>IFERROR(__xludf.DUMMYFUNCTION("""COMPUTED_VALUE"""),163107.0)</f>
        <v>163107</v>
      </c>
      <c r="G6446" s="115">
        <f>IFERROR(__xludf.DUMMYFUNCTION("""COMPUTED_VALUE"""),2781.0)</f>
        <v>2781</v>
      </c>
      <c r="H6446" s="116">
        <f>IFERROR(__xludf.DUMMYFUNCTION("""COMPUTED_VALUE"""),45912.0)</f>
        <v>45912</v>
      </c>
      <c r="I6446" s="115" t="str">
        <f>IFERROR(__xludf.DUMMYFUNCTION("""COMPUTED_VALUE"""),"13")</f>
        <v>13</v>
      </c>
      <c r="J6446" s="115"/>
      <c r="K6446" s="115"/>
    </row>
    <row r="6447">
      <c r="A6447" s="115" t="str">
        <f>IFERROR(__xludf.DUMMYFUNCTION("""COMPUTED_VALUE"""),"EAST")</f>
        <v>EAST</v>
      </c>
      <c r="B6447" s="115" t="str">
        <f>IFERROR(__xludf.DUMMYFUNCTION("""COMPUTED_VALUE"""),"Girish Chand")</f>
        <v>Girish Chand</v>
      </c>
      <c r="C6447" s="115" t="str">
        <f>IFERROR(__xludf.DUMMYFUNCTION("""COMPUTED_VALUE"""),"MYNTRA")</f>
        <v>MYNTRA</v>
      </c>
      <c r="D6447" s="115">
        <f>IFERROR(__xludf.DUMMYFUNCTION("""COMPUTED_VALUE"""),34688.0)</f>
        <v>34688</v>
      </c>
      <c r="E6447" s="115">
        <f>IFERROR(__xludf.DUMMYFUNCTION("""COMPUTED_VALUE"""),6793.0)</f>
        <v>6793</v>
      </c>
      <c r="F6447" s="115">
        <f>IFERROR(__xludf.DUMMYFUNCTION("""COMPUTED_VALUE"""),13386.0)</f>
        <v>13386</v>
      </c>
      <c r="G6447" s="115">
        <f>IFERROR(__xludf.DUMMYFUNCTION("""COMPUTED_VALUE"""),740.0)</f>
        <v>740</v>
      </c>
      <c r="H6447" s="116">
        <f>IFERROR(__xludf.DUMMYFUNCTION("""COMPUTED_VALUE"""),45912.0)</f>
        <v>45912</v>
      </c>
      <c r="I6447" s="115" t="str">
        <f>IFERROR(__xludf.DUMMYFUNCTION("""COMPUTED_VALUE"""),"13")</f>
        <v>13</v>
      </c>
      <c r="J6447" s="115"/>
      <c r="K6447" s="115"/>
    </row>
    <row r="6448">
      <c r="A6448" s="115" t="str">
        <f>IFERROR(__xludf.DUMMYFUNCTION("""COMPUTED_VALUE"""),"EAST")</f>
        <v>EAST</v>
      </c>
      <c r="B6448" s="115" t="str">
        <f>IFERROR(__xludf.DUMMYFUNCTION("""COMPUTED_VALUE"""),"Parag Kashyap")</f>
        <v>Parag Kashyap</v>
      </c>
      <c r="C6448" s="115" t="str">
        <f>IFERROR(__xludf.DUMMYFUNCTION("""COMPUTED_VALUE"""),"EXTERNAL")</f>
        <v>EXTERNAL</v>
      </c>
      <c r="D6448" s="115">
        <f>IFERROR(__xludf.DUMMYFUNCTION("""COMPUTED_VALUE"""),14353.0)</f>
        <v>14353</v>
      </c>
      <c r="E6448" s="115">
        <f>IFERROR(__xludf.DUMMYFUNCTION("""COMPUTED_VALUE"""),1002.0)</f>
        <v>1002</v>
      </c>
      <c r="F6448" s="115">
        <f>IFERROR(__xludf.DUMMYFUNCTION("""COMPUTED_VALUE"""),2536.0)</f>
        <v>2536</v>
      </c>
      <c r="G6448" s="115">
        <f>IFERROR(__xludf.DUMMYFUNCTION("""COMPUTED_VALUE"""),29.0)</f>
        <v>29</v>
      </c>
      <c r="H6448" s="116">
        <f>IFERROR(__xludf.DUMMYFUNCTION("""COMPUTED_VALUE"""),45912.0)</f>
        <v>45912</v>
      </c>
      <c r="I6448" s="115" t="str">
        <f>IFERROR(__xludf.DUMMYFUNCTION("""COMPUTED_VALUE"""),"13")</f>
        <v>13</v>
      </c>
      <c r="J6448" s="115"/>
      <c r="K6448" s="115"/>
    </row>
    <row r="6449">
      <c r="A6449" s="115" t="str">
        <f>IFERROR(__xludf.DUMMYFUNCTION("""COMPUTED_VALUE"""),"EAST")</f>
        <v>EAST</v>
      </c>
      <c r="B6449" s="115" t="str">
        <f>IFERROR(__xludf.DUMMYFUNCTION("""COMPUTED_VALUE"""),"Parag Kashyap")</f>
        <v>Parag Kashyap</v>
      </c>
      <c r="C6449" s="115" t="str">
        <f>IFERROR(__xludf.DUMMYFUNCTION("""COMPUTED_VALUE"""),"FLIPKART")</f>
        <v>FLIPKART</v>
      </c>
      <c r="D6449" s="115">
        <f>IFERROR(__xludf.DUMMYFUNCTION("""COMPUTED_VALUE"""),273233.0)</f>
        <v>273233</v>
      </c>
      <c r="E6449" s="115">
        <f>IFERROR(__xludf.DUMMYFUNCTION("""COMPUTED_VALUE"""),16793.0)</f>
        <v>16793</v>
      </c>
      <c r="F6449" s="115">
        <f>IFERROR(__xludf.DUMMYFUNCTION("""COMPUTED_VALUE"""),87781.0)</f>
        <v>87781</v>
      </c>
      <c r="G6449" s="115">
        <f>IFERROR(__xludf.DUMMYFUNCTION("""COMPUTED_VALUE"""),1019.0)</f>
        <v>1019</v>
      </c>
      <c r="H6449" s="116">
        <f>IFERROR(__xludf.DUMMYFUNCTION("""COMPUTED_VALUE"""),45912.0)</f>
        <v>45912</v>
      </c>
      <c r="I6449" s="115" t="str">
        <f>IFERROR(__xludf.DUMMYFUNCTION("""COMPUTED_VALUE"""),"13")</f>
        <v>13</v>
      </c>
      <c r="J6449" s="115"/>
      <c r="K6449" s="115"/>
    </row>
    <row r="6450">
      <c r="A6450" s="115" t="str">
        <f>IFERROR(__xludf.DUMMYFUNCTION("""COMPUTED_VALUE"""),"EAST")</f>
        <v>EAST</v>
      </c>
      <c r="B6450" s="115" t="str">
        <f>IFERROR(__xludf.DUMMYFUNCTION("""COMPUTED_VALUE"""),"Parag Kashyap")</f>
        <v>Parag Kashyap</v>
      </c>
      <c r="C6450" s="115" t="str">
        <f>IFERROR(__xludf.DUMMYFUNCTION("""COMPUTED_VALUE"""),"MYNTRA")</f>
        <v>MYNTRA</v>
      </c>
      <c r="D6450" s="115">
        <f>IFERROR(__xludf.DUMMYFUNCTION("""COMPUTED_VALUE"""),35848.0)</f>
        <v>35848</v>
      </c>
      <c r="E6450" s="115">
        <f>IFERROR(__xludf.DUMMYFUNCTION("""COMPUTED_VALUE"""),5384.0)</f>
        <v>5384</v>
      </c>
      <c r="F6450" s="115">
        <f>IFERROR(__xludf.DUMMYFUNCTION("""COMPUTED_VALUE"""),12303.0)</f>
        <v>12303</v>
      </c>
      <c r="G6450" s="115">
        <f>IFERROR(__xludf.DUMMYFUNCTION("""COMPUTED_VALUE"""),367.0)</f>
        <v>367</v>
      </c>
      <c r="H6450" s="116">
        <f>IFERROR(__xludf.DUMMYFUNCTION("""COMPUTED_VALUE"""),45912.0)</f>
        <v>45912</v>
      </c>
      <c r="I6450" s="115" t="str">
        <f>IFERROR(__xludf.DUMMYFUNCTION("""COMPUTED_VALUE"""),"13")</f>
        <v>13</v>
      </c>
      <c r="J6450" s="115"/>
      <c r="K6450" s="115"/>
    </row>
    <row r="6451">
      <c r="A6451" s="115" t="str">
        <f>IFERROR(__xludf.DUMMYFUNCTION("""COMPUTED_VALUE"""),"NORTH")</f>
        <v>NORTH</v>
      </c>
      <c r="B6451" s="115" t="str">
        <f>IFERROR(__xludf.DUMMYFUNCTION("""COMPUTED_VALUE"""),"Amit Kumar Pathak")</f>
        <v>Amit Kumar Pathak</v>
      </c>
      <c r="C6451" s="115" t="str">
        <f>IFERROR(__xludf.DUMMYFUNCTION("""COMPUTED_VALUE"""),"EXTERNAL")</f>
        <v>EXTERNAL</v>
      </c>
      <c r="D6451" s="115">
        <f>IFERROR(__xludf.DUMMYFUNCTION("""COMPUTED_VALUE"""),24209.0)</f>
        <v>24209</v>
      </c>
      <c r="E6451" s="115">
        <f>IFERROR(__xludf.DUMMYFUNCTION("""COMPUTED_VALUE"""),3153.0)</f>
        <v>3153</v>
      </c>
      <c r="F6451" s="115">
        <f>IFERROR(__xludf.DUMMYFUNCTION("""COMPUTED_VALUE"""),5010.0)</f>
        <v>5010</v>
      </c>
      <c r="G6451" s="115">
        <f>IFERROR(__xludf.DUMMYFUNCTION("""COMPUTED_VALUE"""),580.0)</f>
        <v>580</v>
      </c>
      <c r="H6451" s="116">
        <f>IFERROR(__xludf.DUMMYFUNCTION("""COMPUTED_VALUE"""),45912.0)</f>
        <v>45912</v>
      </c>
      <c r="I6451" s="115" t="str">
        <f>IFERROR(__xludf.DUMMYFUNCTION("""COMPUTED_VALUE"""),"13")</f>
        <v>13</v>
      </c>
      <c r="J6451" s="115"/>
      <c r="K6451" s="115"/>
    </row>
    <row r="6452">
      <c r="A6452" s="115" t="str">
        <f>IFERROR(__xludf.DUMMYFUNCTION("""COMPUTED_VALUE"""),"NORTH")</f>
        <v>NORTH</v>
      </c>
      <c r="B6452" s="115" t="str">
        <f>IFERROR(__xludf.DUMMYFUNCTION("""COMPUTED_VALUE"""),"Amit Kumar Pathak")</f>
        <v>Amit Kumar Pathak</v>
      </c>
      <c r="C6452" s="115" t="str">
        <f>IFERROR(__xludf.DUMMYFUNCTION("""COMPUTED_VALUE"""),"FLIPKART")</f>
        <v>FLIPKART</v>
      </c>
      <c r="D6452" s="115">
        <f>IFERROR(__xludf.DUMMYFUNCTION("""COMPUTED_VALUE"""),162730.0)</f>
        <v>162730</v>
      </c>
      <c r="E6452" s="115">
        <f>IFERROR(__xludf.DUMMYFUNCTION("""COMPUTED_VALUE"""),21355.0)</f>
        <v>21355</v>
      </c>
      <c r="F6452" s="115">
        <f>IFERROR(__xludf.DUMMYFUNCTION("""COMPUTED_VALUE"""),61082.0)</f>
        <v>61082</v>
      </c>
      <c r="G6452" s="115">
        <f>IFERROR(__xludf.DUMMYFUNCTION("""COMPUTED_VALUE"""),4997.0)</f>
        <v>4997</v>
      </c>
      <c r="H6452" s="116">
        <f>IFERROR(__xludf.DUMMYFUNCTION("""COMPUTED_VALUE"""),45912.0)</f>
        <v>45912</v>
      </c>
      <c r="I6452" s="115" t="str">
        <f>IFERROR(__xludf.DUMMYFUNCTION("""COMPUTED_VALUE"""),"13")</f>
        <v>13</v>
      </c>
      <c r="J6452" s="115"/>
      <c r="K6452" s="115"/>
    </row>
    <row r="6453">
      <c r="A6453" s="115" t="str">
        <f>IFERROR(__xludf.DUMMYFUNCTION("""COMPUTED_VALUE"""),"NORTH")</f>
        <v>NORTH</v>
      </c>
      <c r="B6453" s="115" t="str">
        <f>IFERROR(__xludf.DUMMYFUNCTION("""COMPUTED_VALUE"""),"Amit Kumar Pathak")</f>
        <v>Amit Kumar Pathak</v>
      </c>
      <c r="C6453" s="115" t="str">
        <f>IFERROR(__xludf.DUMMYFUNCTION("""COMPUTED_VALUE"""),"MYNTRA")</f>
        <v>MYNTRA</v>
      </c>
      <c r="D6453" s="115">
        <f>IFERROR(__xludf.DUMMYFUNCTION("""COMPUTED_VALUE"""),14295.0)</f>
        <v>14295</v>
      </c>
      <c r="E6453" s="115">
        <f>IFERROR(__xludf.DUMMYFUNCTION("""COMPUTED_VALUE"""),5124.0)</f>
        <v>5124</v>
      </c>
      <c r="F6453" s="115">
        <f>IFERROR(__xludf.DUMMYFUNCTION("""COMPUTED_VALUE"""),6648.0)</f>
        <v>6648</v>
      </c>
      <c r="G6453" s="115">
        <f>IFERROR(__xludf.DUMMYFUNCTION("""COMPUTED_VALUE"""),1301.0)</f>
        <v>1301</v>
      </c>
      <c r="H6453" s="116">
        <f>IFERROR(__xludf.DUMMYFUNCTION("""COMPUTED_VALUE"""),45912.0)</f>
        <v>45912</v>
      </c>
      <c r="I6453" s="115" t="str">
        <f>IFERROR(__xludf.DUMMYFUNCTION("""COMPUTED_VALUE"""),"13")</f>
        <v>13</v>
      </c>
      <c r="J6453" s="115"/>
      <c r="K6453" s="115"/>
    </row>
    <row r="6454">
      <c r="A6454" s="115" t="str">
        <f>IFERROR(__xludf.DUMMYFUNCTION("""COMPUTED_VALUE"""),"NORTH")</f>
        <v>NORTH</v>
      </c>
      <c r="B6454" s="115" t="str">
        <f>IFERROR(__xludf.DUMMYFUNCTION("""COMPUTED_VALUE"""),"Loveleen Singh")</f>
        <v>Loveleen Singh</v>
      </c>
      <c r="C6454" s="115" t="str">
        <f>IFERROR(__xludf.DUMMYFUNCTION("""COMPUTED_VALUE"""),"EXTERNAL")</f>
        <v>EXTERNAL</v>
      </c>
      <c r="D6454" s="115">
        <f>IFERROR(__xludf.DUMMYFUNCTION("""COMPUTED_VALUE"""),31580.0)</f>
        <v>31580</v>
      </c>
      <c r="E6454" s="115">
        <f>IFERROR(__xludf.DUMMYFUNCTION("""COMPUTED_VALUE"""),2352.0)</f>
        <v>2352</v>
      </c>
      <c r="F6454" s="115">
        <f>IFERROR(__xludf.DUMMYFUNCTION("""COMPUTED_VALUE"""),5892.0)</f>
        <v>5892</v>
      </c>
      <c r="G6454" s="115">
        <f>IFERROR(__xludf.DUMMYFUNCTION("""COMPUTED_VALUE"""),140.0)</f>
        <v>140</v>
      </c>
      <c r="H6454" s="116">
        <f>IFERROR(__xludf.DUMMYFUNCTION("""COMPUTED_VALUE"""),45912.0)</f>
        <v>45912</v>
      </c>
      <c r="I6454" s="115" t="str">
        <f>IFERROR(__xludf.DUMMYFUNCTION("""COMPUTED_VALUE"""),"13")</f>
        <v>13</v>
      </c>
      <c r="J6454" s="115"/>
      <c r="K6454" s="115"/>
    </row>
    <row r="6455">
      <c r="A6455" s="115" t="str">
        <f>IFERROR(__xludf.DUMMYFUNCTION("""COMPUTED_VALUE"""),"NORTH")</f>
        <v>NORTH</v>
      </c>
      <c r="B6455" s="115" t="str">
        <f>IFERROR(__xludf.DUMMYFUNCTION("""COMPUTED_VALUE"""),"Loveleen Singh")</f>
        <v>Loveleen Singh</v>
      </c>
      <c r="C6455" s="115" t="str">
        <f>IFERROR(__xludf.DUMMYFUNCTION("""COMPUTED_VALUE"""),"FLIPKART")</f>
        <v>FLIPKART</v>
      </c>
      <c r="D6455" s="115">
        <f>IFERROR(__xludf.DUMMYFUNCTION("""COMPUTED_VALUE"""),206137.0)</f>
        <v>206137</v>
      </c>
      <c r="E6455" s="115">
        <f>IFERROR(__xludf.DUMMYFUNCTION("""COMPUTED_VALUE"""),13456.0)</f>
        <v>13456</v>
      </c>
      <c r="F6455" s="115">
        <f>IFERROR(__xludf.DUMMYFUNCTION("""COMPUTED_VALUE"""),72139.0)</f>
        <v>72139</v>
      </c>
      <c r="G6455" s="115">
        <f>IFERROR(__xludf.DUMMYFUNCTION("""COMPUTED_VALUE"""),1463.0)</f>
        <v>1463</v>
      </c>
      <c r="H6455" s="116">
        <f>IFERROR(__xludf.DUMMYFUNCTION("""COMPUTED_VALUE"""),45912.0)</f>
        <v>45912</v>
      </c>
      <c r="I6455" s="115" t="str">
        <f>IFERROR(__xludf.DUMMYFUNCTION("""COMPUTED_VALUE"""),"13")</f>
        <v>13</v>
      </c>
      <c r="J6455" s="115"/>
      <c r="K6455" s="115"/>
    </row>
    <row r="6456">
      <c r="A6456" s="115" t="str">
        <f>IFERROR(__xludf.DUMMYFUNCTION("""COMPUTED_VALUE"""),"NORTH")</f>
        <v>NORTH</v>
      </c>
      <c r="B6456" s="115" t="str">
        <f>IFERROR(__xludf.DUMMYFUNCTION("""COMPUTED_VALUE"""),"Loveleen Singh")</f>
        <v>Loveleen Singh</v>
      </c>
      <c r="C6456" s="115" t="str">
        <f>IFERROR(__xludf.DUMMYFUNCTION("""COMPUTED_VALUE"""),"MYNTRA")</f>
        <v>MYNTRA</v>
      </c>
      <c r="D6456" s="115">
        <f>IFERROR(__xludf.DUMMYFUNCTION("""COMPUTED_VALUE"""),31924.0)</f>
        <v>31924</v>
      </c>
      <c r="E6456" s="115">
        <f>IFERROR(__xludf.DUMMYFUNCTION("""COMPUTED_VALUE"""),5850.0)</f>
        <v>5850</v>
      </c>
      <c r="F6456" s="115">
        <f>IFERROR(__xludf.DUMMYFUNCTION("""COMPUTED_VALUE"""),13345.0)</f>
        <v>13345</v>
      </c>
      <c r="G6456" s="115">
        <f>IFERROR(__xludf.DUMMYFUNCTION("""COMPUTED_VALUE"""),842.0)</f>
        <v>842</v>
      </c>
      <c r="H6456" s="116">
        <f>IFERROR(__xludf.DUMMYFUNCTION("""COMPUTED_VALUE"""),45912.0)</f>
        <v>45912</v>
      </c>
      <c r="I6456" s="115" t="str">
        <f>IFERROR(__xludf.DUMMYFUNCTION("""COMPUTED_VALUE"""),"13")</f>
        <v>13</v>
      </c>
      <c r="J6456" s="115"/>
      <c r="K6456" s="115"/>
    </row>
    <row r="6457">
      <c r="A6457" s="115" t="str">
        <f>IFERROR(__xludf.DUMMYFUNCTION("""COMPUTED_VALUE"""),"NORTH")</f>
        <v>NORTH</v>
      </c>
      <c r="B6457" s="115" t="str">
        <f>IFERROR(__xludf.DUMMYFUNCTION("""COMPUTED_VALUE"""),"Manoj Harsh")</f>
        <v>Manoj Harsh</v>
      </c>
      <c r="C6457" s="115" t="str">
        <f>IFERROR(__xludf.DUMMYFUNCTION("""COMPUTED_VALUE"""),"EXTERNAL")</f>
        <v>EXTERNAL</v>
      </c>
      <c r="D6457" s="115">
        <f>IFERROR(__xludf.DUMMYFUNCTION("""COMPUTED_VALUE"""),34339.0)</f>
        <v>34339</v>
      </c>
      <c r="E6457" s="115">
        <f>IFERROR(__xludf.DUMMYFUNCTION("""COMPUTED_VALUE"""),2394.0)</f>
        <v>2394</v>
      </c>
      <c r="F6457" s="115">
        <f>IFERROR(__xludf.DUMMYFUNCTION("""COMPUTED_VALUE"""),6611.0)</f>
        <v>6611</v>
      </c>
      <c r="G6457" s="115">
        <f>IFERROR(__xludf.DUMMYFUNCTION("""COMPUTED_VALUE"""),123.0)</f>
        <v>123</v>
      </c>
      <c r="H6457" s="116">
        <f>IFERROR(__xludf.DUMMYFUNCTION("""COMPUTED_VALUE"""),45912.0)</f>
        <v>45912</v>
      </c>
      <c r="I6457" s="115" t="str">
        <f>IFERROR(__xludf.DUMMYFUNCTION("""COMPUTED_VALUE"""),"13")</f>
        <v>13</v>
      </c>
      <c r="J6457" s="115"/>
      <c r="K6457" s="115"/>
    </row>
    <row r="6458">
      <c r="A6458" s="115" t="str">
        <f>IFERROR(__xludf.DUMMYFUNCTION("""COMPUTED_VALUE"""),"NORTH")</f>
        <v>NORTH</v>
      </c>
      <c r="B6458" s="115" t="str">
        <f>IFERROR(__xludf.DUMMYFUNCTION("""COMPUTED_VALUE"""),"Manoj Harsh")</f>
        <v>Manoj Harsh</v>
      </c>
      <c r="C6458" s="115" t="str">
        <f>IFERROR(__xludf.DUMMYFUNCTION("""COMPUTED_VALUE"""),"FLIPKART")</f>
        <v>FLIPKART</v>
      </c>
      <c r="D6458" s="115">
        <f>IFERROR(__xludf.DUMMYFUNCTION("""COMPUTED_VALUE"""),453493.0)</f>
        <v>453493</v>
      </c>
      <c r="E6458" s="115">
        <f>IFERROR(__xludf.DUMMYFUNCTION("""COMPUTED_VALUE"""),33248.0)</f>
        <v>33248</v>
      </c>
      <c r="F6458" s="115">
        <f>IFERROR(__xludf.DUMMYFUNCTION("""COMPUTED_VALUE"""),143115.0)</f>
        <v>143115</v>
      </c>
      <c r="G6458" s="115">
        <f>IFERROR(__xludf.DUMMYFUNCTION("""COMPUTED_VALUE"""),3126.0)</f>
        <v>3126</v>
      </c>
      <c r="H6458" s="116">
        <f>IFERROR(__xludf.DUMMYFUNCTION("""COMPUTED_VALUE"""),45912.0)</f>
        <v>45912</v>
      </c>
      <c r="I6458" s="115" t="str">
        <f>IFERROR(__xludf.DUMMYFUNCTION("""COMPUTED_VALUE"""),"13")</f>
        <v>13</v>
      </c>
      <c r="J6458" s="115"/>
      <c r="K6458" s="115"/>
    </row>
    <row r="6459">
      <c r="A6459" s="115" t="str">
        <f>IFERROR(__xludf.DUMMYFUNCTION("""COMPUTED_VALUE"""),"NORTH")</f>
        <v>NORTH</v>
      </c>
      <c r="B6459" s="115" t="str">
        <f>IFERROR(__xludf.DUMMYFUNCTION("""COMPUTED_VALUE"""),"Manoj Harsh")</f>
        <v>Manoj Harsh</v>
      </c>
      <c r="C6459" s="115" t="str">
        <f>IFERROR(__xludf.DUMMYFUNCTION("""COMPUTED_VALUE"""),"MYNTRA")</f>
        <v>MYNTRA</v>
      </c>
      <c r="D6459" s="115">
        <f>IFERROR(__xludf.DUMMYFUNCTION("""COMPUTED_VALUE"""),35463.0)</f>
        <v>35463</v>
      </c>
      <c r="E6459" s="115">
        <f>IFERROR(__xludf.DUMMYFUNCTION("""COMPUTED_VALUE"""),6417.0)</f>
        <v>6417</v>
      </c>
      <c r="F6459" s="115">
        <f>IFERROR(__xludf.DUMMYFUNCTION("""COMPUTED_VALUE"""),13037.0)</f>
        <v>13037</v>
      </c>
      <c r="G6459" s="115">
        <f>IFERROR(__xludf.DUMMYFUNCTION("""COMPUTED_VALUE"""),665.0)</f>
        <v>665</v>
      </c>
      <c r="H6459" s="116">
        <f>IFERROR(__xludf.DUMMYFUNCTION("""COMPUTED_VALUE"""),45912.0)</f>
        <v>45912</v>
      </c>
      <c r="I6459" s="115" t="str">
        <f>IFERROR(__xludf.DUMMYFUNCTION("""COMPUTED_VALUE"""),"13")</f>
        <v>13</v>
      </c>
      <c r="J6459" s="115"/>
      <c r="K6459" s="115"/>
    </row>
    <row r="6460">
      <c r="A6460" s="115" t="str">
        <f>IFERROR(__xludf.DUMMYFUNCTION("""COMPUTED_VALUE"""),"NORTH")</f>
        <v>NORTH</v>
      </c>
      <c r="B6460" s="115" t="str">
        <f>IFERROR(__xludf.DUMMYFUNCTION("""COMPUTED_VALUE"""),"Pradeep Kothari")</f>
        <v>Pradeep Kothari</v>
      </c>
      <c r="C6460" s="115" t="str">
        <f>IFERROR(__xludf.DUMMYFUNCTION("""COMPUTED_VALUE"""),"EXTERNAL")</f>
        <v>EXTERNAL</v>
      </c>
      <c r="D6460" s="115">
        <f>IFERROR(__xludf.DUMMYFUNCTION("""COMPUTED_VALUE"""),19356.0)</f>
        <v>19356</v>
      </c>
      <c r="E6460" s="115">
        <f>IFERROR(__xludf.DUMMYFUNCTION("""COMPUTED_VALUE"""),1855.0)</f>
        <v>1855</v>
      </c>
      <c r="F6460" s="115">
        <f>IFERROR(__xludf.DUMMYFUNCTION("""COMPUTED_VALUE"""),4092.0)</f>
        <v>4092</v>
      </c>
      <c r="G6460" s="115">
        <f>IFERROR(__xludf.DUMMYFUNCTION("""COMPUTED_VALUE"""),219.0)</f>
        <v>219</v>
      </c>
      <c r="H6460" s="116">
        <f>IFERROR(__xludf.DUMMYFUNCTION("""COMPUTED_VALUE"""),45912.0)</f>
        <v>45912</v>
      </c>
      <c r="I6460" s="115" t="str">
        <f>IFERROR(__xludf.DUMMYFUNCTION("""COMPUTED_VALUE"""),"13")</f>
        <v>13</v>
      </c>
      <c r="J6460" s="115"/>
      <c r="K6460" s="115"/>
    </row>
    <row r="6461">
      <c r="A6461" s="115" t="str">
        <f>IFERROR(__xludf.DUMMYFUNCTION("""COMPUTED_VALUE"""),"NORTH")</f>
        <v>NORTH</v>
      </c>
      <c r="B6461" s="115" t="str">
        <f>IFERROR(__xludf.DUMMYFUNCTION("""COMPUTED_VALUE"""),"Pradeep Kothari")</f>
        <v>Pradeep Kothari</v>
      </c>
      <c r="C6461" s="115" t="str">
        <f>IFERROR(__xludf.DUMMYFUNCTION("""COMPUTED_VALUE"""),"FLIPKART")</f>
        <v>FLIPKART</v>
      </c>
      <c r="D6461" s="115">
        <f>IFERROR(__xludf.DUMMYFUNCTION("""COMPUTED_VALUE"""),173793.0)</f>
        <v>173793</v>
      </c>
      <c r="E6461" s="115">
        <f>IFERROR(__xludf.DUMMYFUNCTION("""COMPUTED_VALUE"""),16053.0)</f>
        <v>16053</v>
      </c>
      <c r="F6461" s="115">
        <f>IFERROR(__xludf.DUMMYFUNCTION("""COMPUTED_VALUE"""),69755.0)</f>
        <v>69755</v>
      </c>
      <c r="G6461" s="115">
        <f>IFERROR(__xludf.DUMMYFUNCTION("""COMPUTED_VALUE"""),2785.0)</f>
        <v>2785</v>
      </c>
      <c r="H6461" s="116">
        <f>IFERROR(__xludf.DUMMYFUNCTION("""COMPUTED_VALUE"""),45912.0)</f>
        <v>45912</v>
      </c>
      <c r="I6461" s="115" t="str">
        <f>IFERROR(__xludf.DUMMYFUNCTION("""COMPUTED_VALUE"""),"13")</f>
        <v>13</v>
      </c>
      <c r="J6461" s="115"/>
      <c r="K6461" s="115"/>
    </row>
    <row r="6462">
      <c r="A6462" s="115" t="str">
        <f>IFERROR(__xludf.DUMMYFUNCTION("""COMPUTED_VALUE"""),"NORTH")</f>
        <v>NORTH</v>
      </c>
      <c r="B6462" s="115" t="str">
        <f>IFERROR(__xludf.DUMMYFUNCTION("""COMPUTED_VALUE"""),"Pradeep Kothari")</f>
        <v>Pradeep Kothari</v>
      </c>
      <c r="C6462" s="115" t="str">
        <f>IFERROR(__xludf.DUMMYFUNCTION("""COMPUTED_VALUE"""),"MYNTRA")</f>
        <v>MYNTRA</v>
      </c>
      <c r="D6462" s="115">
        <f>IFERROR(__xludf.DUMMYFUNCTION("""COMPUTED_VALUE"""),25924.0)</f>
        <v>25924</v>
      </c>
      <c r="E6462" s="115">
        <f>IFERROR(__xludf.DUMMYFUNCTION("""COMPUTED_VALUE"""),5952.0)</f>
        <v>5952</v>
      </c>
      <c r="F6462" s="115">
        <f>IFERROR(__xludf.DUMMYFUNCTION("""COMPUTED_VALUE"""),12689.0)</f>
        <v>12689</v>
      </c>
      <c r="G6462" s="115">
        <f>IFERROR(__xludf.DUMMYFUNCTION("""COMPUTED_VALUE"""),1260.0)</f>
        <v>1260</v>
      </c>
      <c r="H6462" s="116">
        <f>IFERROR(__xludf.DUMMYFUNCTION("""COMPUTED_VALUE"""),45912.0)</f>
        <v>45912</v>
      </c>
      <c r="I6462" s="115" t="str">
        <f>IFERROR(__xludf.DUMMYFUNCTION("""COMPUTED_VALUE"""),"13")</f>
        <v>13</v>
      </c>
      <c r="J6462" s="115"/>
      <c r="K6462" s="115"/>
    </row>
    <row r="6463">
      <c r="A6463" s="115" t="str">
        <f>IFERROR(__xludf.DUMMYFUNCTION("""COMPUTED_VALUE"""),"North")</f>
        <v>North</v>
      </c>
      <c r="B6463" s="115" t="str">
        <f>IFERROR(__xludf.DUMMYFUNCTION("""COMPUTED_VALUE"""),"Manoj Harsh")</f>
        <v>Manoj Harsh</v>
      </c>
      <c r="C6463" s="115" t="str">
        <f>IFERROR(__xludf.DUMMYFUNCTION("""COMPUTED_VALUE"""),"EXTERNAL")</f>
        <v>EXTERNAL</v>
      </c>
      <c r="D6463" s="115">
        <f>IFERROR(__xludf.DUMMYFUNCTION("""COMPUTED_VALUE"""),3.0)</f>
        <v>3</v>
      </c>
      <c r="E6463" s="115">
        <f>IFERROR(__xludf.DUMMYFUNCTION("""COMPUTED_VALUE"""),0.0)</f>
        <v>0</v>
      </c>
      <c r="F6463" s="115">
        <f>IFERROR(__xludf.DUMMYFUNCTION("""COMPUTED_VALUE"""),1.0)</f>
        <v>1</v>
      </c>
      <c r="G6463" s="115">
        <f>IFERROR(__xludf.DUMMYFUNCTION("""COMPUTED_VALUE"""),0.0)</f>
        <v>0</v>
      </c>
      <c r="H6463" s="116">
        <f>IFERROR(__xludf.DUMMYFUNCTION("""COMPUTED_VALUE"""),45912.0)</f>
        <v>45912</v>
      </c>
      <c r="I6463" s="115" t="str">
        <f>IFERROR(__xludf.DUMMYFUNCTION("""COMPUTED_VALUE"""),"13")</f>
        <v>13</v>
      </c>
      <c r="J6463" s="115"/>
      <c r="K6463" s="115"/>
    </row>
    <row r="6464">
      <c r="A6464" s="115" t="str">
        <f>IFERROR(__xludf.DUMMYFUNCTION("""COMPUTED_VALUE"""),"North")</f>
        <v>North</v>
      </c>
      <c r="B6464" s="115" t="str">
        <f>IFERROR(__xludf.DUMMYFUNCTION("""COMPUTED_VALUE"""),"Manoj Harsh")</f>
        <v>Manoj Harsh</v>
      </c>
      <c r="C6464" s="115" t="str">
        <f>IFERROR(__xludf.DUMMYFUNCTION("""COMPUTED_VALUE"""),"FLIPKART")</f>
        <v>FLIPKART</v>
      </c>
      <c r="D6464" s="115">
        <f>IFERROR(__xludf.DUMMYFUNCTION("""COMPUTED_VALUE"""),125.0)</f>
        <v>125</v>
      </c>
      <c r="E6464" s="115">
        <f>IFERROR(__xludf.DUMMYFUNCTION("""COMPUTED_VALUE"""),10.0)</f>
        <v>10</v>
      </c>
      <c r="F6464" s="115">
        <f>IFERROR(__xludf.DUMMYFUNCTION("""COMPUTED_VALUE"""),51.0)</f>
        <v>51</v>
      </c>
      <c r="G6464" s="115">
        <f>IFERROR(__xludf.DUMMYFUNCTION("""COMPUTED_VALUE"""),2.0)</f>
        <v>2</v>
      </c>
      <c r="H6464" s="116">
        <f>IFERROR(__xludf.DUMMYFUNCTION("""COMPUTED_VALUE"""),45912.0)</f>
        <v>45912</v>
      </c>
      <c r="I6464" s="115" t="str">
        <f>IFERROR(__xludf.DUMMYFUNCTION("""COMPUTED_VALUE"""),"13")</f>
        <v>13</v>
      </c>
      <c r="J6464" s="115"/>
      <c r="K6464" s="115"/>
    </row>
    <row r="6465">
      <c r="A6465" s="115" t="str">
        <f>IFERROR(__xludf.DUMMYFUNCTION("""COMPUTED_VALUE"""),"North")</f>
        <v>North</v>
      </c>
      <c r="B6465" s="115" t="str">
        <f>IFERROR(__xludf.DUMMYFUNCTION("""COMPUTED_VALUE"""),"Manoj Harsh")</f>
        <v>Manoj Harsh</v>
      </c>
      <c r="C6465" s="115" t="str">
        <f>IFERROR(__xludf.DUMMYFUNCTION("""COMPUTED_VALUE"""),"MYNTRA")</f>
        <v>MYNTRA</v>
      </c>
      <c r="D6465" s="115">
        <f>IFERROR(__xludf.DUMMYFUNCTION("""COMPUTED_VALUE"""),43.0)</f>
        <v>43</v>
      </c>
      <c r="E6465" s="115">
        <f>IFERROR(__xludf.DUMMYFUNCTION("""COMPUTED_VALUE"""),3.0)</f>
        <v>3</v>
      </c>
      <c r="F6465" s="115">
        <f>IFERROR(__xludf.DUMMYFUNCTION("""COMPUTED_VALUE"""),15.0)</f>
        <v>15</v>
      </c>
      <c r="G6465" s="115">
        <f>IFERROR(__xludf.DUMMYFUNCTION("""COMPUTED_VALUE"""),1.0)</f>
        <v>1</v>
      </c>
      <c r="H6465" s="116">
        <f>IFERROR(__xludf.DUMMYFUNCTION("""COMPUTED_VALUE"""),45912.0)</f>
        <v>45912</v>
      </c>
      <c r="I6465" s="115" t="str">
        <f>IFERROR(__xludf.DUMMYFUNCTION("""COMPUTED_VALUE"""),"13")</f>
        <v>13</v>
      </c>
      <c r="J6465" s="115"/>
      <c r="K6465" s="115"/>
    </row>
    <row r="6466">
      <c r="A6466" s="115" t="str">
        <f>IFERROR(__xludf.DUMMYFUNCTION("""COMPUTED_VALUE"""),"North")</f>
        <v>North</v>
      </c>
      <c r="B6466" s="115" t="str">
        <f>IFERROR(__xludf.DUMMYFUNCTION("""COMPUTED_VALUE"""),"Pradeep Kothari")</f>
        <v>Pradeep Kothari</v>
      </c>
      <c r="C6466" s="115" t="str">
        <f>IFERROR(__xludf.DUMMYFUNCTION("""COMPUTED_VALUE"""),"EXTERNAL")</f>
        <v>EXTERNAL</v>
      </c>
      <c r="D6466" s="115">
        <f>IFERROR(__xludf.DUMMYFUNCTION("""COMPUTED_VALUE"""),9.0)</f>
        <v>9</v>
      </c>
      <c r="E6466" s="115">
        <f>IFERROR(__xludf.DUMMYFUNCTION("""COMPUTED_VALUE"""),0.0)</f>
        <v>0</v>
      </c>
      <c r="F6466" s="115">
        <f>IFERROR(__xludf.DUMMYFUNCTION("""COMPUTED_VALUE"""),0.0)</f>
        <v>0</v>
      </c>
      <c r="G6466" s="115">
        <f>IFERROR(__xludf.DUMMYFUNCTION("""COMPUTED_VALUE"""),0.0)</f>
        <v>0</v>
      </c>
      <c r="H6466" s="116">
        <f>IFERROR(__xludf.DUMMYFUNCTION("""COMPUTED_VALUE"""),45912.0)</f>
        <v>45912</v>
      </c>
      <c r="I6466" s="115" t="str">
        <f>IFERROR(__xludf.DUMMYFUNCTION("""COMPUTED_VALUE"""),"13")</f>
        <v>13</v>
      </c>
      <c r="J6466" s="115"/>
      <c r="K6466" s="115"/>
    </row>
    <row r="6467">
      <c r="A6467" s="115" t="str">
        <f>IFERROR(__xludf.DUMMYFUNCTION("""COMPUTED_VALUE"""),"North")</f>
        <v>North</v>
      </c>
      <c r="B6467" s="115" t="str">
        <f>IFERROR(__xludf.DUMMYFUNCTION("""COMPUTED_VALUE"""),"Pradeep Kothari")</f>
        <v>Pradeep Kothari</v>
      </c>
      <c r="C6467" s="115" t="str">
        <f>IFERROR(__xludf.DUMMYFUNCTION("""COMPUTED_VALUE"""),"FLIPKART")</f>
        <v>FLIPKART</v>
      </c>
      <c r="D6467" s="115">
        <f>IFERROR(__xludf.DUMMYFUNCTION("""COMPUTED_VALUE"""),115.0)</f>
        <v>115</v>
      </c>
      <c r="E6467" s="115">
        <f>IFERROR(__xludf.DUMMYFUNCTION("""COMPUTED_VALUE"""),1.0)</f>
        <v>1</v>
      </c>
      <c r="F6467" s="115">
        <f>IFERROR(__xludf.DUMMYFUNCTION("""COMPUTED_VALUE"""),5.0)</f>
        <v>5</v>
      </c>
      <c r="G6467" s="115">
        <f>IFERROR(__xludf.DUMMYFUNCTION("""COMPUTED_VALUE"""),0.0)</f>
        <v>0</v>
      </c>
      <c r="H6467" s="116">
        <f>IFERROR(__xludf.DUMMYFUNCTION("""COMPUTED_VALUE"""),45912.0)</f>
        <v>45912</v>
      </c>
      <c r="I6467" s="115" t="str">
        <f>IFERROR(__xludf.DUMMYFUNCTION("""COMPUTED_VALUE"""),"13")</f>
        <v>13</v>
      </c>
      <c r="J6467" s="115"/>
      <c r="K6467" s="115"/>
    </row>
    <row r="6468">
      <c r="A6468" s="115" t="str">
        <f>IFERROR(__xludf.DUMMYFUNCTION("""COMPUTED_VALUE"""),"North")</f>
        <v>North</v>
      </c>
      <c r="B6468" s="115" t="str">
        <f>IFERROR(__xludf.DUMMYFUNCTION("""COMPUTED_VALUE"""),"Pradeep Kothari")</f>
        <v>Pradeep Kothari</v>
      </c>
      <c r="C6468" s="115" t="str">
        <f>IFERROR(__xludf.DUMMYFUNCTION("""COMPUTED_VALUE"""),"MYNTRA")</f>
        <v>MYNTRA</v>
      </c>
      <c r="D6468" s="115">
        <f>IFERROR(__xludf.DUMMYFUNCTION("""COMPUTED_VALUE"""),14.0)</f>
        <v>14</v>
      </c>
      <c r="E6468" s="115">
        <f>IFERROR(__xludf.DUMMYFUNCTION("""COMPUTED_VALUE"""),0.0)</f>
        <v>0</v>
      </c>
      <c r="F6468" s="115">
        <f>IFERROR(__xludf.DUMMYFUNCTION("""COMPUTED_VALUE"""),0.0)</f>
        <v>0</v>
      </c>
      <c r="G6468" s="115">
        <f>IFERROR(__xludf.DUMMYFUNCTION("""COMPUTED_VALUE"""),0.0)</f>
        <v>0</v>
      </c>
      <c r="H6468" s="116">
        <f>IFERROR(__xludf.DUMMYFUNCTION("""COMPUTED_VALUE"""),45912.0)</f>
        <v>45912</v>
      </c>
      <c r="I6468" s="115" t="str">
        <f>IFERROR(__xludf.DUMMYFUNCTION("""COMPUTED_VALUE"""),"13")</f>
        <v>13</v>
      </c>
      <c r="J6468" s="115"/>
      <c r="K6468" s="115"/>
    </row>
    <row r="6469">
      <c r="A6469" s="115" t="str">
        <f>IFERROR(__xludf.DUMMYFUNCTION("""COMPUTED_VALUE"""),"SOUTH")</f>
        <v>SOUTH</v>
      </c>
      <c r="B6469" s="115" t="str">
        <f>IFERROR(__xludf.DUMMYFUNCTION("""COMPUTED_VALUE"""),"Kandula Sampath")</f>
        <v>Kandula Sampath</v>
      </c>
      <c r="C6469" s="115" t="str">
        <f>IFERROR(__xludf.DUMMYFUNCTION("""COMPUTED_VALUE"""),"EXTERNAL")</f>
        <v>EXTERNAL</v>
      </c>
      <c r="D6469" s="115">
        <f>IFERROR(__xludf.DUMMYFUNCTION("""COMPUTED_VALUE"""),33590.0)</f>
        <v>33590</v>
      </c>
      <c r="E6469" s="115">
        <f>IFERROR(__xludf.DUMMYFUNCTION("""COMPUTED_VALUE"""),4155.0)</f>
        <v>4155</v>
      </c>
      <c r="F6469" s="115">
        <f>IFERROR(__xludf.DUMMYFUNCTION("""COMPUTED_VALUE"""),7602.0)</f>
        <v>7602</v>
      </c>
      <c r="G6469" s="115">
        <f>IFERROR(__xludf.DUMMYFUNCTION("""COMPUTED_VALUE"""),293.0)</f>
        <v>293</v>
      </c>
      <c r="H6469" s="116">
        <f>IFERROR(__xludf.DUMMYFUNCTION("""COMPUTED_VALUE"""),45912.0)</f>
        <v>45912</v>
      </c>
      <c r="I6469" s="115" t="str">
        <f>IFERROR(__xludf.DUMMYFUNCTION("""COMPUTED_VALUE"""),"13")</f>
        <v>13</v>
      </c>
      <c r="J6469" s="115"/>
      <c r="K6469" s="115"/>
    </row>
    <row r="6470">
      <c r="A6470" s="115" t="str">
        <f>IFERROR(__xludf.DUMMYFUNCTION("""COMPUTED_VALUE"""),"SOUTH")</f>
        <v>SOUTH</v>
      </c>
      <c r="B6470" s="115" t="str">
        <f>IFERROR(__xludf.DUMMYFUNCTION("""COMPUTED_VALUE"""),"Kandula Sampath")</f>
        <v>Kandula Sampath</v>
      </c>
      <c r="C6470" s="115" t="str">
        <f>IFERROR(__xludf.DUMMYFUNCTION("""COMPUTED_VALUE"""),"FLIPKART")</f>
        <v>FLIPKART</v>
      </c>
      <c r="D6470" s="115">
        <f>IFERROR(__xludf.DUMMYFUNCTION("""COMPUTED_VALUE"""),376329.0)</f>
        <v>376329</v>
      </c>
      <c r="E6470" s="115">
        <f>IFERROR(__xludf.DUMMYFUNCTION("""COMPUTED_VALUE"""),29173.0)</f>
        <v>29173</v>
      </c>
      <c r="F6470" s="115">
        <f>IFERROR(__xludf.DUMMYFUNCTION("""COMPUTED_VALUE"""),145690.0)</f>
        <v>145690</v>
      </c>
      <c r="G6470" s="115">
        <f>IFERROR(__xludf.DUMMYFUNCTION("""COMPUTED_VALUE"""),2919.0)</f>
        <v>2919</v>
      </c>
      <c r="H6470" s="116">
        <f>IFERROR(__xludf.DUMMYFUNCTION("""COMPUTED_VALUE"""),45912.0)</f>
        <v>45912</v>
      </c>
      <c r="I6470" s="115" t="str">
        <f>IFERROR(__xludf.DUMMYFUNCTION("""COMPUTED_VALUE"""),"13")</f>
        <v>13</v>
      </c>
      <c r="J6470" s="115"/>
      <c r="K6470" s="115"/>
    </row>
    <row r="6471">
      <c r="A6471" s="115" t="str">
        <f>IFERROR(__xludf.DUMMYFUNCTION("""COMPUTED_VALUE"""),"SOUTH")</f>
        <v>SOUTH</v>
      </c>
      <c r="B6471" s="115" t="str">
        <f>IFERROR(__xludf.DUMMYFUNCTION("""COMPUTED_VALUE"""),"Kandula Sampath")</f>
        <v>Kandula Sampath</v>
      </c>
      <c r="C6471" s="115" t="str">
        <f>IFERROR(__xludf.DUMMYFUNCTION("""COMPUTED_VALUE"""),"MYNTRA")</f>
        <v>MYNTRA</v>
      </c>
      <c r="D6471" s="115">
        <f>IFERROR(__xludf.DUMMYFUNCTION("""COMPUTED_VALUE"""),39919.0)</f>
        <v>39919</v>
      </c>
      <c r="E6471" s="115">
        <f>IFERROR(__xludf.DUMMYFUNCTION("""COMPUTED_VALUE"""),8222.0)</f>
        <v>8222</v>
      </c>
      <c r="F6471" s="115">
        <f>IFERROR(__xludf.DUMMYFUNCTION("""COMPUTED_VALUE"""),17428.0)</f>
        <v>17428</v>
      </c>
      <c r="G6471" s="115">
        <f>IFERROR(__xludf.DUMMYFUNCTION("""COMPUTED_VALUE"""),862.0)</f>
        <v>862</v>
      </c>
      <c r="H6471" s="116">
        <f>IFERROR(__xludf.DUMMYFUNCTION("""COMPUTED_VALUE"""),45912.0)</f>
        <v>45912</v>
      </c>
      <c r="I6471" s="115" t="str">
        <f>IFERROR(__xludf.DUMMYFUNCTION("""COMPUTED_VALUE"""),"13")</f>
        <v>13</v>
      </c>
      <c r="J6471" s="115"/>
      <c r="K6471" s="115"/>
    </row>
    <row r="6472">
      <c r="A6472" s="115" t="str">
        <f>IFERROR(__xludf.DUMMYFUNCTION("""COMPUTED_VALUE"""),"SOUTH")</f>
        <v>SOUTH</v>
      </c>
      <c r="B6472" s="115" t="str">
        <f>IFERROR(__xludf.DUMMYFUNCTION("""COMPUTED_VALUE"""),"Martin A")</f>
        <v>Martin A</v>
      </c>
      <c r="C6472" s="115" t="str">
        <f>IFERROR(__xludf.DUMMYFUNCTION("""COMPUTED_VALUE"""),"EXTERNAL")</f>
        <v>EXTERNAL</v>
      </c>
      <c r="D6472" s="115">
        <f>IFERROR(__xludf.DUMMYFUNCTION("""COMPUTED_VALUE"""),28518.0)</f>
        <v>28518</v>
      </c>
      <c r="E6472" s="115">
        <f>IFERROR(__xludf.DUMMYFUNCTION("""COMPUTED_VALUE"""),3450.0)</f>
        <v>3450</v>
      </c>
      <c r="F6472" s="115">
        <f>IFERROR(__xludf.DUMMYFUNCTION("""COMPUTED_VALUE"""),6654.0)</f>
        <v>6654</v>
      </c>
      <c r="G6472" s="115">
        <f>IFERROR(__xludf.DUMMYFUNCTION("""COMPUTED_VALUE"""),439.0)</f>
        <v>439</v>
      </c>
      <c r="H6472" s="116">
        <f>IFERROR(__xludf.DUMMYFUNCTION("""COMPUTED_VALUE"""),45912.0)</f>
        <v>45912</v>
      </c>
      <c r="I6472" s="115" t="str">
        <f>IFERROR(__xludf.DUMMYFUNCTION("""COMPUTED_VALUE"""),"13")</f>
        <v>13</v>
      </c>
      <c r="J6472" s="115"/>
      <c r="K6472" s="115"/>
    </row>
    <row r="6473">
      <c r="A6473" s="115" t="str">
        <f>IFERROR(__xludf.DUMMYFUNCTION("""COMPUTED_VALUE"""),"SOUTH")</f>
        <v>SOUTH</v>
      </c>
      <c r="B6473" s="115" t="str">
        <f>IFERROR(__xludf.DUMMYFUNCTION("""COMPUTED_VALUE"""),"Martin A")</f>
        <v>Martin A</v>
      </c>
      <c r="C6473" s="115" t="str">
        <f>IFERROR(__xludf.DUMMYFUNCTION("""COMPUTED_VALUE"""),"FLIPKART")</f>
        <v>FLIPKART</v>
      </c>
      <c r="D6473" s="115">
        <f>IFERROR(__xludf.DUMMYFUNCTION("""COMPUTED_VALUE"""),291354.0)</f>
        <v>291354</v>
      </c>
      <c r="E6473" s="115">
        <f>IFERROR(__xludf.DUMMYFUNCTION("""COMPUTED_VALUE"""),23973.0)</f>
        <v>23973</v>
      </c>
      <c r="F6473" s="115">
        <f>IFERROR(__xludf.DUMMYFUNCTION("""COMPUTED_VALUE"""),114915.0)</f>
        <v>114915</v>
      </c>
      <c r="G6473" s="115">
        <f>IFERROR(__xludf.DUMMYFUNCTION("""COMPUTED_VALUE"""),3611.0)</f>
        <v>3611</v>
      </c>
      <c r="H6473" s="116">
        <f>IFERROR(__xludf.DUMMYFUNCTION("""COMPUTED_VALUE"""),45912.0)</f>
        <v>45912</v>
      </c>
      <c r="I6473" s="115" t="str">
        <f>IFERROR(__xludf.DUMMYFUNCTION("""COMPUTED_VALUE"""),"13")</f>
        <v>13</v>
      </c>
      <c r="J6473" s="115"/>
      <c r="K6473" s="115"/>
    </row>
    <row r="6474">
      <c r="A6474" s="115" t="str">
        <f>IFERROR(__xludf.DUMMYFUNCTION("""COMPUTED_VALUE"""),"SOUTH")</f>
        <v>SOUTH</v>
      </c>
      <c r="B6474" s="115" t="str">
        <f>IFERROR(__xludf.DUMMYFUNCTION("""COMPUTED_VALUE"""),"Martin A")</f>
        <v>Martin A</v>
      </c>
      <c r="C6474" s="115" t="str">
        <f>IFERROR(__xludf.DUMMYFUNCTION("""COMPUTED_VALUE"""),"MYNTRA")</f>
        <v>MYNTRA</v>
      </c>
      <c r="D6474" s="115">
        <f>IFERROR(__xludf.DUMMYFUNCTION("""COMPUTED_VALUE"""),26978.0)</f>
        <v>26978</v>
      </c>
      <c r="E6474" s="115">
        <f>IFERROR(__xludf.DUMMYFUNCTION("""COMPUTED_VALUE"""),6226.0)</f>
        <v>6226</v>
      </c>
      <c r="F6474" s="115">
        <f>IFERROR(__xludf.DUMMYFUNCTION("""COMPUTED_VALUE"""),12806.0)</f>
        <v>12806</v>
      </c>
      <c r="G6474" s="115">
        <f>IFERROR(__xludf.DUMMYFUNCTION("""COMPUTED_VALUE"""),1091.0)</f>
        <v>1091</v>
      </c>
      <c r="H6474" s="116">
        <f>IFERROR(__xludf.DUMMYFUNCTION("""COMPUTED_VALUE"""),45912.0)</f>
        <v>45912</v>
      </c>
      <c r="I6474" s="115" t="str">
        <f>IFERROR(__xludf.DUMMYFUNCTION("""COMPUTED_VALUE"""),"13")</f>
        <v>13</v>
      </c>
      <c r="J6474" s="115"/>
      <c r="K6474" s="115"/>
    </row>
    <row r="6475">
      <c r="A6475" s="115" t="str">
        <f>IFERROR(__xludf.DUMMYFUNCTION("""COMPUTED_VALUE"""),"SOUTH")</f>
        <v>SOUTH</v>
      </c>
      <c r="B6475" s="115" t="str">
        <f>IFERROR(__xludf.DUMMYFUNCTION("""COMPUTED_VALUE"""),"Premkumar M")</f>
        <v>Premkumar M</v>
      </c>
      <c r="C6475" s="115" t="str">
        <f>IFERROR(__xludf.DUMMYFUNCTION("""COMPUTED_VALUE"""),"EXTERNAL")</f>
        <v>EXTERNAL</v>
      </c>
      <c r="D6475" s="115">
        <f>IFERROR(__xludf.DUMMYFUNCTION("""COMPUTED_VALUE"""),26109.0)</f>
        <v>26109</v>
      </c>
      <c r="E6475" s="115">
        <f>IFERROR(__xludf.DUMMYFUNCTION("""COMPUTED_VALUE"""),1701.0)</f>
        <v>1701</v>
      </c>
      <c r="F6475" s="115">
        <f>IFERROR(__xludf.DUMMYFUNCTION("""COMPUTED_VALUE"""),4714.0)</f>
        <v>4714</v>
      </c>
      <c r="G6475" s="115">
        <f>IFERROR(__xludf.DUMMYFUNCTION("""COMPUTED_VALUE"""),46.0)</f>
        <v>46</v>
      </c>
      <c r="H6475" s="116">
        <f>IFERROR(__xludf.DUMMYFUNCTION("""COMPUTED_VALUE"""),45912.0)</f>
        <v>45912</v>
      </c>
      <c r="I6475" s="115" t="str">
        <f>IFERROR(__xludf.DUMMYFUNCTION("""COMPUTED_VALUE"""),"13")</f>
        <v>13</v>
      </c>
      <c r="J6475" s="115"/>
      <c r="K6475" s="115"/>
    </row>
    <row r="6476">
      <c r="A6476" s="115" t="str">
        <f>IFERROR(__xludf.DUMMYFUNCTION("""COMPUTED_VALUE"""),"SOUTH")</f>
        <v>SOUTH</v>
      </c>
      <c r="B6476" s="115" t="str">
        <f>IFERROR(__xludf.DUMMYFUNCTION("""COMPUTED_VALUE"""),"Premkumar M")</f>
        <v>Premkumar M</v>
      </c>
      <c r="C6476" s="115" t="str">
        <f>IFERROR(__xludf.DUMMYFUNCTION("""COMPUTED_VALUE"""),"FLIPKART")</f>
        <v>FLIPKART</v>
      </c>
      <c r="D6476" s="115">
        <f>IFERROR(__xludf.DUMMYFUNCTION("""COMPUTED_VALUE"""),283007.0)</f>
        <v>283007</v>
      </c>
      <c r="E6476" s="115">
        <f>IFERROR(__xludf.DUMMYFUNCTION("""COMPUTED_VALUE"""),15244.0)</f>
        <v>15244</v>
      </c>
      <c r="F6476" s="115">
        <f>IFERROR(__xludf.DUMMYFUNCTION("""COMPUTED_VALUE"""),78003.0)</f>
        <v>78003</v>
      </c>
      <c r="G6476" s="115">
        <f>IFERROR(__xludf.DUMMYFUNCTION("""COMPUTED_VALUE"""),617.0)</f>
        <v>617</v>
      </c>
      <c r="H6476" s="116">
        <f>IFERROR(__xludf.DUMMYFUNCTION("""COMPUTED_VALUE"""),45912.0)</f>
        <v>45912</v>
      </c>
      <c r="I6476" s="115" t="str">
        <f>IFERROR(__xludf.DUMMYFUNCTION("""COMPUTED_VALUE"""),"13")</f>
        <v>13</v>
      </c>
      <c r="J6476" s="115"/>
      <c r="K6476" s="115"/>
    </row>
    <row r="6477">
      <c r="A6477" s="115" t="str">
        <f>IFERROR(__xludf.DUMMYFUNCTION("""COMPUTED_VALUE"""),"SOUTH")</f>
        <v>SOUTH</v>
      </c>
      <c r="B6477" s="115" t="str">
        <f>IFERROR(__xludf.DUMMYFUNCTION("""COMPUTED_VALUE"""),"Premkumar M")</f>
        <v>Premkumar M</v>
      </c>
      <c r="C6477" s="115" t="str">
        <f>IFERROR(__xludf.DUMMYFUNCTION("""COMPUTED_VALUE"""),"MYNTRA")</f>
        <v>MYNTRA</v>
      </c>
      <c r="D6477" s="115">
        <f>IFERROR(__xludf.DUMMYFUNCTION("""COMPUTED_VALUE"""),14712.0)</f>
        <v>14712</v>
      </c>
      <c r="E6477" s="115">
        <f>IFERROR(__xludf.DUMMYFUNCTION("""COMPUTED_VALUE"""),2395.0)</f>
        <v>2395</v>
      </c>
      <c r="F6477" s="115">
        <f>IFERROR(__xludf.DUMMYFUNCTION("""COMPUTED_VALUE"""),4779.0)</f>
        <v>4779</v>
      </c>
      <c r="G6477" s="115">
        <f>IFERROR(__xludf.DUMMYFUNCTION("""COMPUTED_VALUE"""),136.0)</f>
        <v>136</v>
      </c>
      <c r="H6477" s="116">
        <f>IFERROR(__xludf.DUMMYFUNCTION("""COMPUTED_VALUE"""),45912.0)</f>
        <v>45912</v>
      </c>
      <c r="I6477" s="115" t="str">
        <f>IFERROR(__xludf.DUMMYFUNCTION("""COMPUTED_VALUE"""),"13")</f>
        <v>13</v>
      </c>
      <c r="J6477" s="115"/>
      <c r="K6477" s="115"/>
    </row>
    <row r="6478">
      <c r="A6478" s="115" t="str">
        <f>IFERROR(__xludf.DUMMYFUNCTION("""COMPUTED_VALUE"""),"SOUTH")</f>
        <v>SOUTH</v>
      </c>
      <c r="B6478" s="115" t="str">
        <f>IFERROR(__xludf.DUMMYFUNCTION("""COMPUTED_VALUE"""),"Vineeth V")</f>
        <v>Vineeth V</v>
      </c>
      <c r="C6478" s="115" t="str">
        <f>IFERROR(__xludf.DUMMYFUNCTION("""COMPUTED_VALUE"""),"EXTERNAL")</f>
        <v>EXTERNAL</v>
      </c>
      <c r="D6478" s="115">
        <f>IFERROR(__xludf.DUMMYFUNCTION("""COMPUTED_VALUE"""),19386.0)</f>
        <v>19386</v>
      </c>
      <c r="E6478" s="115">
        <f>IFERROR(__xludf.DUMMYFUNCTION("""COMPUTED_VALUE"""),493.0)</f>
        <v>493</v>
      </c>
      <c r="F6478" s="115">
        <f>IFERROR(__xludf.DUMMYFUNCTION("""COMPUTED_VALUE"""),3747.0)</f>
        <v>3747</v>
      </c>
      <c r="G6478" s="115">
        <f>IFERROR(__xludf.DUMMYFUNCTION("""COMPUTED_VALUE"""),18.0)</f>
        <v>18</v>
      </c>
      <c r="H6478" s="116">
        <f>IFERROR(__xludf.DUMMYFUNCTION("""COMPUTED_VALUE"""),45912.0)</f>
        <v>45912</v>
      </c>
      <c r="I6478" s="115" t="str">
        <f>IFERROR(__xludf.DUMMYFUNCTION("""COMPUTED_VALUE"""),"13")</f>
        <v>13</v>
      </c>
      <c r="J6478" s="115"/>
      <c r="K6478" s="115"/>
    </row>
    <row r="6479">
      <c r="A6479" s="115" t="str">
        <f>IFERROR(__xludf.DUMMYFUNCTION("""COMPUTED_VALUE"""),"SOUTH")</f>
        <v>SOUTH</v>
      </c>
      <c r="B6479" s="115" t="str">
        <f>IFERROR(__xludf.DUMMYFUNCTION("""COMPUTED_VALUE"""),"Vineeth V")</f>
        <v>Vineeth V</v>
      </c>
      <c r="C6479" s="115" t="str">
        <f>IFERROR(__xludf.DUMMYFUNCTION("""COMPUTED_VALUE"""),"FLIPKART")</f>
        <v>FLIPKART</v>
      </c>
      <c r="D6479" s="115">
        <f>IFERROR(__xludf.DUMMYFUNCTION("""COMPUTED_VALUE"""),208465.0)</f>
        <v>208465</v>
      </c>
      <c r="E6479" s="115">
        <f>IFERROR(__xludf.DUMMYFUNCTION("""COMPUTED_VALUE"""),12192.0)</f>
        <v>12192</v>
      </c>
      <c r="F6479" s="115">
        <f>IFERROR(__xludf.DUMMYFUNCTION("""COMPUTED_VALUE"""),61813.0)</f>
        <v>61813</v>
      </c>
      <c r="G6479" s="115">
        <f>IFERROR(__xludf.DUMMYFUNCTION("""COMPUTED_VALUE"""),399.0)</f>
        <v>399</v>
      </c>
      <c r="H6479" s="116">
        <f>IFERROR(__xludf.DUMMYFUNCTION("""COMPUTED_VALUE"""),45912.0)</f>
        <v>45912</v>
      </c>
      <c r="I6479" s="115" t="str">
        <f>IFERROR(__xludf.DUMMYFUNCTION("""COMPUTED_VALUE"""),"13")</f>
        <v>13</v>
      </c>
      <c r="J6479" s="115"/>
      <c r="K6479" s="115"/>
    </row>
    <row r="6480">
      <c r="A6480" s="115" t="str">
        <f>IFERROR(__xludf.DUMMYFUNCTION("""COMPUTED_VALUE"""),"SOUTH")</f>
        <v>SOUTH</v>
      </c>
      <c r="B6480" s="115" t="str">
        <f>IFERROR(__xludf.DUMMYFUNCTION("""COMPUTED_VALUE"""),"Vineeth V")</f>
        <v>Vineeth V</v>
      </c>
      <c r="C6480" s="115" t="str">
        <f>IFERROR(__xludf.DUMMYFUNCTION("""COMPUTED_VALUE"""),"MYNTRA")</f>
        <v>MYNTRA</v>
      </c>
      <c r="D6480" s="115">
        <f>IFERROR(__xludf.DUMMYFUNCTION("""COMPUTED_VALUE"""),15984.0)</f>
        <v>15984</v>
      </c>
      <c r="E6480" s="115">
        <f>IFERROR(__xludf.DUMMYFUNCTION("""COMPUTED_VALUE"""),2919.0)</f>
        <v>2919</v>
      </c>
      <c r="F6480" s="115">
        <f>IFERROR(__xludf.DUMMYFUNCTION("""COMPUTED_VALUE"""),5438.0)</f>
        <v>5438</v>
      </c>
      <c r="G6480" s="115">
        <f>IFERROR(__xludf.DUMMYFUNCTION("""COMPUTED_VALUE"""),118.0)</f>
        <v>118</v>
      </c>
      <c r="H6480" s="116">
        <f>IFERROR(__xludf.DUMMYFUNCTION("""COMPUTED_VALUE"""),45912.0)</f>
        <v>45912</v>
      </c>
      <c r="I6480" s="115" t="str">
        <f>IFERROR(__xludf.DUMMYFUNCTION("""COMPUTED_VALUE"""),"13")</f>
        <v>13</v>
      </c>
      <c r="J6480" s="115"/>
      <c r="K6480" s="115"/>
    </row>
    <row r="6481">
      <c r="A6481" s="115" t="str">
        <f>IFERROR(__xludf.DUMMYFUNCTION("""COMPUTED_VALUE"""),"WEST")</f>
        <v>WEST</v>
      </c>
      <c r="B6481" s="115" t="str">
        <f>IFERROR(__xludf.DUMMYFUNCTION("""COMPUTED_VALUE"""),"Ashish Jakar")</f>
        <v>Ashish Jakar</v>
      </c>
      <c r="C6481" s="115" t="str">
        <f>IFERROR(__xludf.DUMMYFUNCTION("""COMPUTED_VALUE"""),"EXTERNAL")</f>
        <v>EXTERNAL</v>
      </c>
      <c r="D6481" s="115">
        <f>IFERROR(__xludf.DUMMYFUNCTION("""COMPUTED_VALUE"""),54833.0)</f>
        <v>54833</v>
      </c>
      <c r="E6481" s="115">
        <f>IFERROR(__xludf.DUMMYFUNCTION("""COMPUTED_VALUE"""),5868.0)</f>
        <v>5868</v>
      </c>
      <c r="F6481" s="115">
        <f>IFERROR(__xludf.DUMMYFUNCTION("""COMPUTED_VALUE"""),10814.0)</f>
        <v>10814</v>
      </c>
      <c r="G6481" s="115">
        <f>IFERROR(__xludf.DUMMYFUNCTION("""COMPUTED_VALUE"""),576.0)</f>
        <v>576</v>
      </c>
      <c r="H6481" s="116">
        <f>IFERROR(__xludf.DUMMYFUNCTION("""COMPUTED_VALUE"""),45912.0)</f>
        <v>45912</v>
      </c>
      <c r="I6481" s="115" t="str">
        <f>IFERROR(__xludf.DUMMYFUNCTION("""COMPUTED_VALUE"""),"13")</f>
        <v>13</v>
      </c>
      <c r="J6481" s="115"/>
      <c r="K6481" s="115"/>
    </row>
    <row r="6482">
      <c r="A6482" s="115" t="str">
        <f>IFERROR(__xludf.DUMMYFUNCTION("""COMPUTED_VALUE"""),"WEST")</f>
        <v>WEST</v>
      </c>
      <c r="B6482" s="115" t="str">
        <f>IFERROR(__xludf.DUMMYFUNCTION("""COMPUTED_VALUE"""),"Ashish Jakar")</f>
        <v>Ashish Jakar</v>
      </c>
      <c r="C6482" s="115" t="str">
        <f>IFERROR(__xludf.DUMMYFUNCTION("""COMPUTED_VALUE"""),"FLIPKART")</f>
        <v>FLIPKART</v>
      </c>
      <c r="D6482" s="115">
        <f>IFERROR(__xludf.DUMMYFUNCTION("""COMPUTED_VALUE"""),406961.0)</f>
        <v>406961</v>
      </c>
      <c r="E6482" s="115">
        <f>IFERROR(__xludf.DUMMYFUNCTION("""COMPUTED_VALUE"""),32077.0)</f>
        <v>32077</v>
      </c>
      <c r="F6482" s="115">
        <f>IFERROR(__xludf.DUMMYFUNCTION("""COMPUTED_VALUE"""),130348.0)</f>
        <v>130348</v>
      </c>
      <c r="G6482" s="115">
        <f>IFERROR(__xludf.DUMMYFUNCTION("""COMPUTED_VALUE"""),3766.0)</f>
        <v>3766</v>
      </c>
      <c r="H6482" s="116">
        <f>IFERROR(__xludf.DUMMYFUNCTION("""COMPUTED_VALUE"""),45912.0)</f>
        <v>45912</v>
      </c>
      <c r="I6482" s="115" t="str">
        <f>IFERROR(__xludf.DUMMYFUNCTION("""COMPUTED_VALUE"""),"13")</f>
        <v>13</v>
      </c>
      <c r="J6482" s="115"/>
      <c r="K6482" s="115"/>
    </row>
    <row r="6483">
      <c r="A6483" s="115" t="str">
        <f>IFERROR(__xludf.DUMMYFUNCTION("""COMPUTED_VALUE"""),"WEST")</f>
        <v>WEST</v>
      </c>
      <c r="B6483" s="115" t="str">
        <f>IFERROR(__xludf.DUMMYFUNCTION("""COMPUTED_VALUE"""),"Ashish Jakar")</f>
        <v>Ashish Jakar</v>
      </c>
      <c r="C6483" s="115" t="str">
        <f>IFERROR(__xludf.DUMMYFUNCTION("""COMPUTED_VALUE"""),"MYNTRA")</f>
        <v>MYNTRA</v>
      </c>
      <c r="D6483" s="115">
        <f>IFERROR(__xludf.DUMMYFUNCTION("""COMPUTED_VALUE"""),44083.0)</f>
        <v>44083</v>
      </c>
      <c r="E6483" s="115">
        <f>IFERROR(__xludf.DUMMYFUNCTION("""COMPUTED_VALUE"""),11014.0)</f>
        <v>11014</v>
      </c>
      <c r="F6483" s="115">
        <f>IFERROR(__xludf.DUMMYFUNCTION("""COMPUTED_VALUE"""),17089.0)</f>
        <v>17089</v>
      </c>
      <c r="G6483" s="115">
        <f>IFERROR(__xludf.DUMMYFUNCTION("""COMPUTED_VALUE"""),1586.0)</f>
        <v>1586</v>
      </c>
      <c r="H6483" s="116">
        <f>IFERROR(__xludf.DUMMYFUNCTION("""COMPUTED_VALUE"""),45912.0)</f>
        <v>45912</v>
      </c>
      <c r="I6483" s="115" t="str">
        <f>IFERROR(__xludf.DUMMYFUNCTION("""COMPUTED_VALUE"""),"13")</f>
        <v>13</v>
      </c>
      <c r="J6483" s="115"/>
      <c r="K6483" s="115"/>
    </row>
    <row r="6484">
      <c r="A6484" s="115" t="str">
        <f>IFERROR(__xludf.DUMMYFUNCTION("""COMPUTED_VALUE"""),"WEST")</f>
        <v>WEST</v>
      </c>
      <c r="B6484" s="115" t="str">
        <f>IFERROR(__xludf.DUMMYFUNCTION("""COMPUTED_VALUE"""),"Ashvani Bhatt")</f>
        <v>Ashvani Bhatt</v>
      </c>
      <c r="C6484" s="115" t="str">
        <f>IFERROR(__xludf.DUMMYFUNCTION("""COMPUTED_VALUE"""),"EXTERNAL")</f>
        <v>EXTERNAL</v>
      </c>
      <c r="D6484" s="115">
        <f>IFERROR(__xludf.DUMMYFUNCTION("""COMPUTED_VALUE"""),35242.0)</f>
        <v>35242</v>
      </c>
      <c r="E6484" s="115">
        <f>IFERROR(__xludf.DUMMYFUNCTION("""COMPUTED_VALUE"""),2867.0)</f>
        <v>2867</v>
      </c>
      <c r="F6484" s="115">
        <f>IFERROR(__xludf.DUMMYFUNCTION("""COMPUTED_VALUE"""),7559.0)</f>
        <v>7559</v>
      </c>
      <c r="G6484" s="115">
        <f>IFERROR(__xludf.DUMMYFUNCTION("""COMPUTED_VALUE"""),221.0)</f>
        <v>221</v>
      </c>
      <c r="H6484" s="116">
        <f>IFERROR(__xludf.DUMMYFUNCTION("""COMPUTED_VALUE"""),45912.0)</f>
        <v>45912</v>
      </c>
      <c r="I6484" s="115" t="str">
        <f>IFERROR(__xludf.DUMMYFUNCTION("""COMPUTED_VALUE"""),"13")</f>
        <v>13</v>
      </c>
      <c r="J6484" s="115"/>
      <c r="K6484" s="115"/>
    </row>
    <row r="6485">
      <c r="A6485" s="115" t="str">
        <f>IFERROR(__xludf.DUMMYFUNCTION("""COMPUTED_VALUE"""),"WEST")</f>
        <v>WEST</v>
      </c>
      <c r="B6485" s="115" t="str">
        <f>IFERROR(__xludf.DUMMYFUNCTION("""COMPUTED_VALUE"""),"Ashvani Bhatt")</f>
        <v>Ashvani Bhatt</v>
      </c>
      <c r="C6485" s="115" t="str">
        <f>IFERROR(__xludf.DUMMYFUNCTION("""COMPUTED_VALUE"""),"FLIPKART")</f>
        <v>FLIPKART</v>
      </c>
      <c r="D6485" s="115">
        <f>IFERROR(__xludf.DUMMYFUNCTION("""COMPUTED_VALUE"""),315300.0)</f>
        <v>315300</v>
      </c>
      <c r="E6485" s="115">
        <f>IFERROR(__xludf.DUMMYFUNCTION("""COMPUTED_VALUE"""),25903.0)</f>
        <v>25903</v>
      </c>
      <c r="F6485" s="115">
        <f>IFERROR(__xludf.DUMMYFUNCTION("""COMPUTED_VALUE"""),124538.0)</f>
        <v>124538</v>
      </c>
      <c r="G6485" s="115">
        <f>IFERROR(__xludf.DUMMYFUNCTION("""COMPUTED_VALUE"""),2807.0)</f>
        <v>2807</v>
      </c>
      <c r="H6485" s="116">
        <f>IFERROR(__xludf.DUMMYFUNCTION("""COMPUTED_VALUE"""),45912.0)</f>
        <v>45912</v>
      </c>
      <c r="I6485" s="115" t="str">
        <f>IFERROR(__xludf.DUMMYFUNCTION("""COMPUTED_VALUE"""),"13")</f>
        <v>13</v>
      </c>
      <c r="J6485" s="115"/>
      <c r="K6485" s="115"/>
    </row>
    <row r="6486">
      <c r="A6486" s="115" t="str">
        <f>IFERROR(__xludf.DUMMYFUNCTION("""COMPUTED_VALUE"""),"WEST")</f>
        <v>WEST</v>
      </c>
      <c r="B6486" s="115" t="str">
        <f>IFERROR(__xludf.DUMMYFUNCTION("""COMPUTED_VALUE"""),"Ashvani Bhatt")</f>
        <v>Ashvani Bhatt</v>
      </c>
      <c r="C6486" s="115" t="str">
        <f>IFERROR(__xludf.DUMMYFUNCTION("""COMPUTED_VALUE"""),"MYNTRA")</f>
        <v>MYNTRA</v>
      </c>
      <c r="D6486" s="115">
        <f>IFERROR(__xludf.DUMMYFUNCTION("""COMPUTED_VALUE"""),34181.0)</f>
        <v>34181</v>
      </c>
      <c r="E6486" s="115">
        <f>IFERROR(__xludf.DUMMYFUNCTION("""COMPUTED_VALUE"""),8235.0)</f>
        <v>8235</v>
      </c>
      <c r="F6486" s="115">
        <f>IFERROR(__xludf.DUMMYFUNCTION("""COMPUTED_VALUE"""),16008.0)</f>
        <v>16008</v>
      </c>
      <c r="G6486" s="115">
        <f>IFERROR(__xludf.DUMMYFUNCTION("""COMPUTED_VALUE"""),1138.0)</f>
        <v>1138</v>
      </c>
      <c r="H6486" s="116">
        <f>IFERROR(__xludf.DUMMYFUNCTION("""COMPUTED_VALUE"""),45912.0)</f>
        <v>45912</v>
      </c>
      <c r="I6486" s="115" t="str">
        <f>IFERROR(__xludf.DUMMYFUNCTION("""COMPUTED_VALUE"""),"13")</f>
        <v>13</v>
      </c>
      <c r="J6486" s="115"/>
      <c r="K6486" s="115"/>
    </row>
    <row r="6487">
      <c r="A6487" s="115"/>
      <c r="B6487" s="115"/>
      <c r="C6487" s="115" t="str">
        <f>IFERROR(__xludf.DUMMYFUNCTION("""COMPUTED_VALUE"""),"EXTERNAL")</f>
        <v>EXTERNAL</v>
      </c>
      <c r="D6487" s="115">
        <f>IFERROR(__xludf.DUMMYFUNCTION("""COMPUTED_VALUE"""),1157.0)</f>
        <v>1157</v>
      </c>
      <c r="E6487" s="115">
        <f>IFERROR(__xludf.DUMMYFUNCTION("""COMPUTED_VALUE"""),218.0)</f>
        <v>218</v>
      </c>
      <c r="F6487" s="115">
        <f>IFERROR(__xludf.DUMMYFUNCTION("""COMPUTED_VALUE"""),186.0)</f>
        <v>186</v>
      </c>
      <c r="G6487" s="115">
        <f>IFERROR(__xludf.DUMMYFUNCTION("""COMPUTED_VALUE"""),30.0)</f>
        <v>30</v>
      </c>
      <c r="H6487" s="116">
        <f>IFERROR(__xludf.DUMMYFUNCTION("""COMPUTED_VALUE"""),45912.0)</f>
        <v>45912</v>
      </c>
      <c r="I6487" s="115" t="str">
        <f>IFERROR(__xludf.DUMMYFUNCTION("""COMPUTED_VALUE"""),"13")</f>
        <v>13</v>
      </c>
      <c r="J6487" s="115"/>
      <c r="K6487" s="115"/>
    </row>
    <row r="6488">
      <c r="A6488" s="115"/>
      <c r="B6488" s="115"/>
      <c r="C6488" s="115" t="str">
        <f>IFERROR(__xludf.DUMMYFUNCTION("""COMPUTED_VALUE"""),"FLIPKART")</f>
        <v>FLIPKART</v>
      </c>
      <c r="D6488" s="115">
        <f>IFERROR(__xludf.DUMMYFUNCTION("""COMPUTED_VALUE"""),12878.0)</f>
        <v>12878</v>
      </c>
      <c r="E6488" s="115">
        <f>IFERROR(__xludf.DUMMYFUNCTION("""COMPUTED_VALUE"""),1114.0)</f>
        <v>1114</v>
      </c>
      <c r="F6488" s="115">
        <f>IFERROR(__xludf.DUMMYFUNCTION("""COMPUTED_VALUE"""),3158.0)</f>
        <v>3158</v>
      </c>
      <c r="G6488" s="115">
        <f>IFERROR(__xludf.DUMMYFUNCTION("""COMPUTED_VALUE"""),246.0)</f>
        <v>246</v>
      </c>
      <c r="H6488" s="116">
        <f>IFERROR(__xludf.DUMMYFUNCTION("""COMPUTED_VALUE"""),45912.0)</f>
        <v>45912</v>
      </c>
      <c r="I6488" s="115" t="str">
        <f>IFERROR(__xludf.DUMMYFUNCTION("""COMPUTED_VALUE"""),"13")</f>
        <v>13</v>
      </c>
      <c r="J6488" s="115"/>
      <c r="K6488" s="115"/>
    </row>
    <row r="6489">
      <c r="A6489" s="115"/>
      <c r="B6489" s="115"/>
      <c r="C6489" s="115" t="str">
        <f>IFERROR(__xludf.DUMMYFUNCTION("""COMPUTED_VALUE"""),"MYNTRA")</f>
        <v>MYNTRA</v>
      </c>
      <c r="D6489" s="115">
        <f>IFERROR(__xludf.DUMMYFUNCTION("""COMPUTED_VALUE"""),1460.0)</f>
        <v>1460</v>
      </c>
      <c r="E6489" s="115">
        <f>IFERROR(__xludf.DUMMYFUNCTION("""COMPUTED_VALUE"""),353.0)</f>
        <v>353</v>
      </c>
      <c r="F6489" s="115">
        <f>IFERROR(__xludf.DUMMYFUNCTION("""COMPUTED_VALUE"""),486.0)</f>
        <v>486</v>
      </c>
      <c r="G6489" s="115">
        <f>IFERROR(__xludf.DUMMYFUNCTION("""COMPUTED_VALUE"""),85.0)</f>
        <v>85</v>
      </c>
      <c r="H6489" s="116">
        <f>IFERROR(__xludf.DUMMYFUNCTION("""COMPUTED_VALUE"""),45912.0)</f>
        <v>45912</v>
      </c>
      <c r="I6489" s="115" t="str">
        <f>IFERROR(__xludf.DUMMYFUNCTION("""COMPUTED_VALUE"""),"13")</f>
        <v>13</v>
      </c>
      <c r="J6489" s="115"/>
      <c r="K6489" s="115"/>
    </row>
    <row r="6490">
      <c r="A6490" s="115" t="str">
        <f>IFERROR(__xludf.DUMMYFUNCTION("""COMPUTED_VALUE"""),"EAST")</f>
        <v>EAST</v>
      </c>
      <c r="B6490" s="115" t="str">
        <f>IFERROR(__xludf.DUMMYFUNCTION("""COMPUTED_VALUE"""),"Ashish Ranjan")</f>
        <v>Ashish Ranjan</v>
      </c>
      <c r="C6490" s="115" t="str">
        <f>IFERROR(__xludf.DUMMYFUNCTION("""COMPUTED_VALUE"""),"EXTERNAL")</f>
        <v>EXTERNAL</v>
      </c>
      <c r="D6490" s="115">
        <f>IFERROR(__xludf.DUMMYFUNCTION("""COMPUTED_VALUE"""),39912.0)</f>
        <v>39912</v>
      </c>
      <c r="E6490" s="115">
        <f>IFERROR(__xludf.DUMMYFUNCTION("""COMPUTED_VALUE"""),3128.0)</f>
        <v>3128</v>
      </c>
      <c r="F6490" s="115">
        <f>IFERROR(__xludf.DUMMYFUNCTION("""COMPUTED_VALUE"""),13904.0)</f>
        <v>13904</v>
      </c>
      <c r="G6490" s="115">
        <f>IFERROR(__xludf.DUMMYFUNCTION("""COMPUTED_VALUE"""),524.0)</f>
        <v>524</v>
      </c>
      <c r="H6490" s="116">
        <f>IFERROR(__xludf.DUMMYFUNCTION("""COMPUTED_VALUE"""),45912.0)</f>
        <v>45912</v>
      </c>
      <c r="I6490" s="115" t="str">
        <f>IFERROR(__xludf.DUMMYFUNCTION("""COMPUTED_VALUE"""),"14")</f>
        <v>14</v>
      </c>
      <c r="J6490" s="115"/>
      <c r="K6490" s="115"/>
    </row>
    <row r="6491">
      <c r="A6491" s="115" t="str">
        <f>IFERROR(__xludf.DUMMYFUNCTION("""COMPUTED_VALUE"""),"EAST")</f>
        <v>EAST</v>
      </c>
      <c r="B6491" s="115" t="str">
        <f>IFERROR(__xludf.DUMMYFUNCTION("""COMPUTED_VALUE"""),"Ashish Ranjan")</f>
        <v>Ashish Ranjan</v>
      </c>
      <c r="C6491" s="115" t="str">
        <f>IFERROR(__xludf.DUMMYFUNCTION("""COMPUTED_VALUE"""),"FLIPKART")</f>
        <v>FLIPKART</v>
      </c>
      <c r="D6491" s="115">
        <f>IFERROR(__xludf.DUMMYFUNCTION("""COMPUTED_VALUE"""),725319.0)</f>
        <v>725319</v>
      </c>
      <c r="E6491" s="115">
        <f>IFERROR(__xludf.DUMMYFUNCTION("""COMPUTED_VALUE"""),60499.0)</f>
        <v>60499</v>
      </c>
      <c r="F6491" s="115">
        <f>IFERROR(__xludf.DUMMYFUNCTION("""COMPUTED_VALUE"""),406327.0)</f>
        <v>406327</v>
      </c>
      <c r="G6491" s="115">
        <f>IFERROR(__xludf.DUMMYFUNCTION("""COMPUTED_VALUE"""),14129.0)</f>
        <v>14129</v>
      </c>
      <c r="H6491" s="116">
        <f>IFERROR(__xludf.DUMMYFUNCTION("""COMPUTED_VALUE"""),45912.0)</f>
        <v>45912</v>
      </c>
      <c r="I6491" s="115" t="str">
        <f>IFERROR(__xludf.DUMMYFUNCTION("""COMPUTED_VALUE"""),"14")</f>
        <v>14</v>
      </c>
      <c r="J6491" s="115"/>
      <c r="K6491" s="115"/>
    </row>
    <row r="6492">
      <c r="A6492" s="115" t="str">
        <f>IFERROR(__xludf.DUMMYFUNCTION("""COMPUTED_VALUE"""),"EAST")</f>
        <v>EAST</v>
      </c>
      <c r="B6492" s="115" t="str">
        <f>IFERROR(__xludf.DUMMYFUNCTION("""COMPUTED_VALUE"""),"Ashish Ranjan")</f>
        <v>Ashish Ranjan</v>
      </c>
      <c r="C6492" s="115" t="str">
        <f>IFERROR(__xludf.DUMMYFUNCTION("""COMPUTED_VALUE"""),"MYNTRA")</f>
        <v>MYNTRA</v>
      </c>
      <c r="D6492" s="115">
        <f>IFERROR(__xludf.DUMMYFUNCTION("""COMPUTED_VALUE"""),75891.0)</f>
        <v>75891</v>
      </c>
      <c r="E6492" s="115">
        <f>IFERROR(__xludf.DUMMYFUNCTION("""COMPUTED_VALUE"""),15011.0)</f>
        <v>15011</v>
      </c>
      <c r="F6492" s="115">
        <f>IFERROR(__xludf.DUMMYFUNCTION("""COMPUTED_VALUE"""),42809.0)</f>
        <v>42809</v>
      </c>
      <c r="G6492" s="115">
        <f>IFERROR(__xludf.DUMMYFUNCTION("""COMPUTED_VALUE"""),3546.0)</f>
        <v>3546</v>
      </c>
      <c r="H6492" s="116">
        <f>IFERROR(__xludf.DUMMYFUNCTION("""COMPUTED_VALUE"""),45912.0)</f>
        <v>45912</v>
      </c>
      <c r="I6492" s="115" t="str">
        <f>IFERROR(__xludf.DUMMYFUNCTION("""COMPUTED_VALUE"""),"14")</f>
        <v>14</v>
      </c>
      <c r="J6492" s="115"/>
      <c r="K6492" s="115"/>
    </row>
    <row r="6493">
      <c r="A6493" s="115" t="str">
        <f>IFERROR(__xludf.DUMMYFUNCTION("""COMPUTED_VALUE"""),"EAST")</f>
        <v>EAST</v>
      </c>
      <c r="B6493" s="115" t="str">
        <f>IFERROR(__xludf.DUMMYFUNCTION("""COMPUTED_VALUE"""),"Girish Chand")</f>
        <v>Girish Chand</v>
      </c>
      <c r="C6493" s="115" t="str">
        <f>IFERROR(__xludf.DUMMYFUNCTION("""COMPUTED_VALUE"""),"EXTERNAL")</f>
        <v>EXTERNAL</v>
      </c>
      <c r="D6493" s="115">
        <f>IFERROR(__xludf.DUMMYFUNCTION("""COMPUTED_VALUE"""),22902.0)</f>
        <v>22902</v>
      </c>
      <c r="E6493" s="115">
        <f>IFERROR(__xludf.DUMMYFUNCTION("""COMPUTED_VALUE"""),2044.0)</f>
        <v>2044</v>
      </c>
      <c r="F6493" s="115">
        <f>IFERROR(__xludf.DUMMYFUNCTION("""COMPUTED_VALUE"""),6117.0)</f>
        <v>6117</v>
      </c>
      <c r="G6493" s="115">
        <f>IFERROR(__xludf.DUMMYFUNCTION("""COMPUTED_VALUE"""),116.0)</f>
        <v>116</v>
      </c>
      <c r="H6493" s="116">
        <f>IFERROR(__xludf.DUMMYFUNCTION("""COMPUTED_VALUE"""),45912.0)</f>
        <v>45912</v>
      </c>
      <c r="I6493" s="115" t="str">
        <f>IFERROR(__xludf.DUMMYFUNCTION("""COMPUTED_VALUE"""),"14")</f>
        <v>14</v>
      </c>
      <c r="J6493" s="115"/>
      <c r="K6493" s="115"/>
    </row>
    <row r="6494">
      <c r="A6494" s="115" t="str">
        <f>IFERROR(__xludf.DUMMYFUNCTION("""COMPUTED_VALUE"""),"EAST")</f>
        <v>EAST</v>
      </c>
      <c r="B6494" s="115" t="str">
        <f>IFERROR(__xludf.DUMMYFUNCTION("""COMPUTED_VALUE"""),"Girish Chand")</f>
        <v>Girish Chand</v>
      </c>
      <c r="C6494" s="115" t="str">
        <f>IFERROR(__xludf.DUMMYFUNCTION("""COMPUTED_VALUE"""),"FLIPKART")</f>
        <v>FLIPKART</v>
      </c>
      <c r="D6494" s="115">
        <f>IFERROR(__xludf.DUMMYFUNCTION("""COMPUTED_VALUE"""),470389.0)</f>
        <v>470389</v>
      </c>
      <c r="E6494" s="115">
        <f>IFERROR(__xludf.DUMMYFUNCTION("""COMPUTED_VALUE"""),35804.0)</f>
        <v>35804</v>
      </c>
      <c r="F6494" s="115">
        <f>IFERROR(__xludf.DUMMYFUNCTION("""COMPUTED_VALUE"""),214697.0)</f>
        <v>214697</v>
      </c>
      <c r="G6494" s="115">
        <f>IFERROR(__xludf.DUMMYFUNCTION("""COMPUTED_VALUE"""),4721.0)</f>
        <v>4721</v>
      </c>
      <c r="H6494" s="116">
        <f>IFERROR(__xludf.DUMMYFUNCTION("""COMPUTED_VALUE"""),45912.0)</f>
        <v>45912</v>
      </c>
      <c r="I6494" s="115" t="str">
        <f>IFERROR(__xludf.DUMMYFUNCTION("""COMPUTED_VALUE"""),"14")</f>
        <v>14</v>
      </c>
      <c r="J6494" s="115"/>
      <c r="K6494" s="115"/>
    </row>
    <row r="6495">
      <c r="A6495" s="115" t="str">
        <f>IFERROR(__xludf.DUMMYFUNCTION("""COMPUTED_VALUE"""),"EAST")</f>
        <v>EAST</v>
      </c>
      <c r="B6495" s="115" t="str">
        <f>IFERROR(__xludf.DUMMYFUNCTION("""COMPUTED_VALUE"""),"Girish Chand")</f>
        <v>Girish Chand</v>
      </c>
      <c r="C6495" s="115" t="str">
        <f>IFERROR(__xludf.DUMMYFUNCTION("""COMPUTED_VALUE"""),"MYNTRA")</f>
        <v>MYNTRA</v>
      </c>
      <c r="D6495" s="115">
        <f>IFERROR(__xludf.DUMMYFUNCTION("""COMPUTED_VALUE"""),35396.0)</f>
        <v>35396</v>
      </c>
      <c r="E6495" s="115">
        <f>IFERROR(__xludf.DUMMYFUNCTION("""COMPUTED_VALUE"""),6957.0)</f>
        <v>6957</v>
      </c>
      <c r="F6495" s="115">
        <f>IFERROR(__xludf.DUMMYFUNCTION("""COMPUTED_VALUE"""),17447.0)</f>
        <v>17447</v>
      </c>
      <c r="G6495" s="115">
        <f>IFERROR(__xludf.DUMMYFUNCTION("""COMPUTED_VALUE"""),1144.0)</f>
        <v>1144</v>
      </c>
      <c r="H6495" s="116">
        <f>IFERROR(__xludf.DUMMYFUNCTION("""COMPUTED_VALUE"""),45912.0)</f>
        <v>45912</v>
      </c>
      <c r="I6495" s="115" t="str">
        <f>IFERROR(__xludf.DUMMYFUNCTION("""COMPUTED_VALUE"""),"14")</f>
        <v>14</v>
      </c>
      <c r="J6495" s="115"/>
      <c r="K6495" s="115"/>
    </row>
    <row r="6496">
      <c r="A6496" s="115" t="str">
        <f>IFERROR(__xludf.DUMMYFUNCTION("""COMPUTED_VALUE"""),"EAST")</f>
        <v>EAST</v>
      </c>
      <c r="B6496" s="115" t="str">
        <f>IFERROR(__xludf.DUMMYFUNCTION("""COMPUTED_VALUE"""),"Parag Kashyap")</f>
        <v>Parag Kashyap</v>
      </c>
      <c r="C6496" s="115" t="str">
        <f>IFERROR(__xludf.DUMMYFUNCTION("""COMPUTED_VALUE"""),"EXTERNAL")</f>
        <v>EXTERNAL</v>
      </c>
      <c r="D6496" s="115">
        <f>IFERROR(__xludf.DUMMYFUNCTION("""COMPUTED_VALUE"""),14913.0)</f>
        <v>14913</v>
      </c>
      <c r="E6496" s="115">
        <f>IFERROR(__xludf.DUMMYFUNCTION("""COMPUTED_VALUE"""),1059.0)</f>
        <v>1059</v>
      </c>
      <c r="F6496" s="115">
        <f>IFERROR(__xludf.DUMMYFUNCTION("""COMPUTED_VALUE"""),3500.0)</f>
        <v>3500</v>
      </c>
      <c r="G6496" s="115">
        <f>IFERROR(__xludf.DUMMYFUNCTION("""COMPUTED_VALUE"""),51.0)</f>
        <v>51</v>
      </c>
      <c r="H6496" s="116">
        <f>IFERROR(__xludf.DUMMYFUNCTION("""COMPUTED_VALUE"""),45912.0)</f>
        <v>45912</v>
      </c>
      <c r="I6496" s="115" t="str">
        <f>IFERROR(__xludf.DUMMYFUNCTION("""COMPUTED_VALUE"""),"14")</f>
        <v>14</v>
      </c>
      <c r="J6496" s="115"/>
      <c r="K6496" s="115"/>
    </row>
    <row r="6497">
      <c r="A6497" s="115" t="str">
        <f>IFERROR(__xludf.DUMMYFUNCTION("""COMPUTED_VALUE"""),"EAST")</f>
        <v>EAST</v>
      </c>
      <c r="B6497" s="115" t="str">
        <f>IFERROR(__xludf.DUMMYFUNCTION("""COMPUTED_VALUE"""),"Parag Kashyap")</f>
        <v>Parag Kashyap</v>
      </c>
      <c r="C6497" s="115" t="str">
        <f>IFERROR(__xludf.DUMMYFUNCTION("""COMPUTED_VALUE"""),"FLIPKART")</f>
        <v>FLIPKART</v>
      </c>
      <c r="D6497" s="115">
        <f>IFERROR(__xludf.DUMMYFUNCTION("""COMPUTED_VALUE"""),283457.0)</f>
        <v>283457</v>
      </c>
      <c r="E6497" s="115">
        <f>IFERROR(__xludf.DUMMYFUNCTION("""COMPUTED_VALUE"""),18022.0)</f>
        <v>18022</v>
      </c>
      <c r="F6497" s="115">
        <f>IFERROR(__xludf.DUMMYFUNCTION("""COMPUTED_VALUE"""),119960.0)</f>
        <v>119960</v>
      </c>
      <c r="G6497" s="115">
        <f>IFERROR(__xludf.DUMMYFUNCTION("""COMPUTED_VALUE"""),1788.0)</f>
        <v>1788</v>
      </c>
      <c r="H6497" s="116">
        <f>IFERROR(__xludf.DUMMYFUNCTION("""COMPUTED_VALUE"""),45912.0)</f>
        <v>45912</v>
      </c>
      <c r="I6497" s="115" t="str">
        <f>IFERROR(__xludf.DUMMYFUNCTION("""COMPUTED_VALUE"""),"14")</f>
        <v>14</v>
      </c>
      <c r="J6497" s="115"/>
      <c r="K6497" s="115"/>
    </row>
    <row r="6498">
      <c r="A6498" s="115" t="str">
        <f>IFERROR(__xludf.DUMMYFUNCTION("""COMPUTED_VALUE"""),"EAST")</f>
        <v>EAST</v>
      </c>
      <c r="B6498" s="115" t="str">
        <f>IFERROR(__xludf.DUMMYFUNCTION("""COMPUTED_VALUE"""),"Parag Kashyap")</f>
        <v>Parag Kashyap</v>
      </c>
      <c r="C6498" s="115" t="str">
        <f>IFERROR(__xludf.DUMMYFUNCTION("""COMPUTED_VALUE"""),"MYNTRA")</f>
        <v>MYNTRA</v>
      </c>
      <c r="D6498" s="115">
        <f>IFERROR(__xludf.DUMMYFUNCTION("""COMPUTED_VALUE"""),37544.0)</f>
        <v>37544</v>
      </c>
      <c r="E6498" s="115">
        <f>IFERROR(__xludf.DUMMYFUNCTION("""COMPUTED_VALUE"""),5849.0)</f>
        <v>5849</v>
      </c>
      <c r="F6498" s="115">
        <f>IFERROR(__xludf.DUMMYFUNCTION("""COMPUTED_VALUE"""),16627.0)</f>
        <v>16627</v>
      </c>
      <c r="G6498" s="115">
        <f>IFERROR(__xludf.DUMMYFUNCTION("""COMPUTED_VALUE"""),656.0)</f>
        <v>656</v>
      </c>
      <c r="H6498" s="116">
        <f>IFERROR(__xludf.DUMMYFUNCTION("""COMPUTED_VALUE"""),45912.0)</f>
        <v>45912</v>
      </c>
      <c r="I6498" s="115" t="str">
        <f>IFERROR(__xludf.DUMMYFUNCTION("""COMPUTED_VALUE"""),"14")</f>
        <v>14</v>
      </c>
      <c r="J6498" s="115"/>
      <c r="K6498" s="115"/>
    </row>
    <row r="6499">
      <c r="A6499" s="115" t="str">
        <f>IFERROR(__xludf.DUMMYFUNCTION("""COMPUTED_VALUE"""),"NORTH")</f>
        <v>NORTH</v>
      </c>
      <c r="B6499" s="115" t="str">
        <f>IFERROR(__xludf.DUMMYFUNCTION("""COMPUTED_VALUE"""),"Amit Kumar Pathak")</f>
        <v>Amit Kumar Pathak</v>
      </c>
      <c r="C6499" s="115" t="str">
        <f>IFERROR(__xludf.DUMMYFUNCTION("""COMPUTED_VALUE"""),"EXTERNAL")</f>
        <v>EXTERNAL</v>
      </c>
      <c r="D6499" s="115">
        <f>IFERROR(__xludf.DUMMYFUNCTION("""COMPUTED_VALUE"""),25218.0)</f>
        <v>25218</v>
      </c>
      <c r="E6499" s="115">
        <f>IFERROR(__xludf.DUMMYFUNCTION("""COMPUTED_VALUE"""),3226.0)</f>
        <v>3226</v>
      </c>
      <c r="F6499" s="115">
        <f>IFERROR(__xludf.DUMMYFUNCTION("""COMPUTED_VALUE"""),6267.0)</f>
        <v>6267</v>
      </c>
      <c r="G6499" s="115">
        <f>IFERROR(__xludf.DUMMYFUNCTION("""COMPUTED_VALUE"""),734.0)</f>
        <v>734</v>
      </c>
      <c r="H6499" s="116">
        <f>IFERROR(__xludf.DUMMYFUNCTION("""COMPUTED_VALUE"""),45912.0)</f>
        <v>45912</v>
      </c>
      <c r="I6499" s="115" t="str">
        <f>IFERROR(__xludf.DUMMYFUNCTION("""COMPUTED_VALUE"""),"14")</f>
        <v>14</v>
      </c>
      <c r="J6499" s="115"/>
      <c r="K6499" s="115"/>
    </row>
    <row r="6500">
      <c r="A6500" s="115" t="str">
        <f>IFERROR(__xludf.DUMMYFUNCTION("""COMPUTED_VALUE"""),"NORTH")</f>
        <v>NORTH</v>
      </c>
      <c r="B6500" s="115" t="str">
        <f>IFERROR(__xludf.DUMMYFUNCTION("""COMPUTED_VALUE"""),"Amit Kumar Pathak")</f>
        <v>Amit Kumar Pathak</v>
      </c>
      <c r="C6500" s="115" t="str">
        <f>IFERROR(__xludf.DUMMYFUNCTION("""COMPUTED_VALUE"""),"FLIPKART")</f>
        <v>FLIPKART</v>
      </c>
      <c r="D6500" s="115">
        <f>IFERROR(__xludf.DUMMYFUNCTION("""COMPUTED_VALUE"""),170210.0)</f>
        <v>170210</v>
      </c>
      <c r="E6500" s="115">
        <f>IFERROR(__xludf.DUMMYFUNCTION("""COMPUTED_VALUE"""),21827.0)</f>
        <v>21827</v>
      </c>
      <c r="F6500" s="115">
        <f>IFERROR(__xludf.DUMMYFUNCTION("""COMPUTED_VALUE"""),77004.0)</f>
        <v>77004</v>
      </c>
      <c r="G6500" s="115">
        <f>IFERROR(__xludf.DUMMYFUNCTION("""COMPUTED_VALUE"""),6437.0)</f>
        <v>6437</v>
      </c>
      <c r="H6500" s="116">
        <f>IFERROR(__xludf.DUMMYFUNCTION("""COMPUTED_VALUE"""),45912.0)</f>
        <v>45912</v>
      </c>
      <c r="I6500" s="115" t="str">
        <f>IFERROR(__xludf.DUMMYFUNCTION("""COMPUTED_VALUE"""),"14")</f>
        <v>14</v>
      </c>
      <c r="J6500" s="115"/>
      <c r="K6500" s="115"/>
    </row>
    <row r="6501">
      <c r="A6501" s="115" t="str">
        <f>IFERROR(__xludf.DUMMYFUNCTION("""COMPUTED_VALUE"""),"NORTH")</f>
        <v>NORTH</v>
      </c>
      <c r="B6501" s="115" t="str">
        <f>IFERROR(__xludf.DUMMYFUNCTION("""COMPUTED_VALUE"""),"Amit Kumar Pathak")</f>
        <v>Amit Kumar Pathak</v>
      </c>
      <c r="C6501" s="115" t="str">
        <f>IFERROR(__xludf.DUMMYFUNCTION("""COMPUTED_VALUE"""),"MYNTRA")</f>
        <v>MYNTRA</v>
      </c>
      <c r="D6501" s="115">
        <f>IFERROR(__xludf.DUMMYFUNCTION("""COMPUTED_VALUE"""),14980.0)</f>
        <v>14980</v>
      </c>
      <c r="E6501" s="115">
        <f>IFERROR(__xludf.DUMMYFUNCTION("""COMPUTED_VALUE"""),5282.0)</f>
        <v>5282</v>
      </c>
      <c r="F6501" s="115">
        <f>IFERROR(__xludf.DUMMYFUNCTION("""COMPUTED_VALUE"""),8144.0)</f>
        <v>8144</v>
      </c>
      <c r="G6501" s="115">
        <f>IFERROR(__xludf.DUMMYFUNCTION("""COMPUTED_VALUE"""),1677.0)</f>
        <v>1677</v>
      </c>
      <c r="H6501" s="116">
        <f>IFERROR(__xludf.DUMMYFUNCTION("""COMPUTED_VALUE"""),45912.0)</f>
        <v>45912</v>
      </c>
      <c r="I6501" s="115" t="str">
        <f>IFERROR(__xludf.DUMMYFUNCTION("""COMPUTED_VALUE"""),"14")</f>
        <v>14</v>
      </c>
      <c r="J6501" s="115"/>
      <c r="K6501" s="115"/>
    </row>
    <row r="6502">
      <c r="A6502" s="115" t="str">
        <f>IFERROR(__xludf.DUMMYFUNCTION("""COMPUTED_VALUE"""),"NORTH")</f>
        <v>NORTH</v>
      </c>
      <c r="B6502" s="115" t="str">
        <f>IFERROR(__xludf.DUMMYFUNCTION("""COMPUTED_VALUE"""),"Loveleen Singh")</f>
        <v>Loveleen Singh</v>
      </c>
      <c r="C6502" s="115" t="str">
        <f>IFERROR(__xludf.DUMMYFUNCTION("""COMPUTED_VALUE"""),"EXTERNAL")</f>
        <v>EXTERNAL</v>
      </c>
      <c r="D6502" s="115">
        <f>IFERROR(__xludf.DUMMYFUNCTION("""COMPUTED_VALUE"""),32298.0)</f>
        <v>32298</v>
      </c>
      <c r="E6502" s="115">
        <f>IFERROR(__xludf.DUMMYFUNCTION("""COMPUTED_VALUE"""),2445.0)</f>
        <v>2445</v>
      </c>
      <c r="F6502" s="115">
        <f>IFERROR(__xludf.DUMMYFUNCTION("""COMPUTED_VALUE"""),7856.0)</f>
        <v>7856</v>
      </c>
      <c r="G6502" s="115">
        <f>IFERROR(__xludf.DUMMYFUNCTION("""COMPUTED_VALUE"""),225.0)</f>
        <v>225</v>
      </c>
      <c r="H6502" s="116">
        <f>IFERROR(__xludf.DUMMYFUNCTION("""COMPUTED_VALUE"""),45912.0)</f>
        <v>45912</v>
      </c>
      <c r="I6502" s="115" t="str">
        <f>IFERROR(__xludf.DUMMYFUNCTION("""COMPUTED_VALUE"""),"14")</f>
        <v>14</v>
      </c>
      <c r="J6502" s="115"/>
      <c r="K6502" s="115"/>
    </row>
    <row r="6503">
      <c r="A6503" s="115" t="str">
        <f>IFERROR(__xludf.DUMMYFUNCTION("""COMPUTED_VALUE"""),"NORTH")</f>
        <v>NORTH</v>
      </c>
      <c r="B6503" s="115" t="str">
        <f>IFERROR(__xludf.DUMMYFUNCTION("""COMPUTED_VALUE"""),"Loveleen Singh")</f>
        <v>Loveleen Singh</v>
      </c>
      <c r="C6503" s="115" t="str">
        <f>IFERROR(__xludf.DUMMYFUNCTION("""COMPUTED_VALUE"""),"FLIPKART")</f>
        <v>FLIPKART</v>
      </c>
      <c r="D6503" s="115">
        <f>IFERROR(__xludf.DUMMYFUNCTION("""COMPUTED_VALUE"""),211102.0)</f>
        <v>211102</v>
      </c>
      <c r="E6503" s="115">
        <f>IFERROR(__xludf.DUMMYFUNCTION("""COMPUTED_VALUE"""),14003.0)</f>
        <v>14003</v>
      </c>
      <c r="F6503" s="115">
        <f>IFERROR(__xludf.DUMMYFUNCTION("""COMPUTED_VALUE"""),96490.0)</f>
        <v>96490</v>
      </c>
      <c r="G6503" s="115">
        <f>IFERROR(__xludf.DUMMYFUNCTION("""COMPUTED_VALUE"""),2406.0)</f>
        <v>2406</v>
      </c>
      <c r="H6503" s="116">
        <f>IFERROR(__xludf.DUMMYFUNCTION("""COMPUTED_VALUE"""),45912.0)</f>
        <v>45912</v>
      </c>
      <c r="I6503" s="115" t="str">
        <f>IFERROR(__xludf.DUMMYFUNCTION("""COMPUTED_VALUE"""),"14")</f>
        <v>14</v>
      </c>
      <c r="J6503" s="115"/>
      <c r="K6503" s="115"/>
    </row>
    <row r="6504">
      <c r="A6504" s="115" t="str">
        <f>IFERROR(__xludf.DUMMYFUNCTION("""COMPUTED_VALUE"""),"NORTH")</f>
        <v>NORTH</v>
      </c>
      <c r="B6504" s="115" t="str">
        <f>IFERROR(__xludf.DUMMYFUNCTION("""COMPUTED_VALUE"""),"Loveleen Singh")</f>
        <v>Loveleen Singh</v>
      </c>
      <c r="C6504" s="115" t="str">
        <f>IFERROR(__xludf.DUMMYFUNCTION("""COMPUTED_VALUE"""),"MYNTRA")</f>
        <v>MYNTRA</v>
      </c>
      <c r="D6504" s="115">
        <f>IFERROR(__xludf.DUMMYFUNCTION("""COMPUTED_VALUE"""),32412.0)</f>
        <v>32412</v>
      </c>
      <c r="E6504" s="115">
        <f>IFERROR(__xludf.DUMMYFUNCTION("""COMPUTED_VALUE"""),6038.0)</f>
        <v>6038</v>
      </c>
      <c r="F6504" s="115">
        <f>IFERROR(__xludf.DUMMYFUNCTION("""COMPUTED_VALUE"""),17269.0)</f>
        <v>17269</v>
      </c>
      <c r="G6504" s="115">
        <f>IFERROR(__xludf.DUMMYFUNCTION("""COMPUTED_VALUE"""),1284.0)</f>
        <v>1284</v>
      </c>
      <c r="H6504" s="116">
        <f>IFERROR(__xludf.DUMMYFUNCTION("""COMPUTED_VALUE"""),45912.0)</f>
        <v>45912</v>
      </c>
      <c r="I6504" s="115" t="str">
        <f>IFERROR(__xludf.DUMMYFUNCTION("""COMPUTED_VALUE"""),"14")</f>
        <v>14</v>
      </c>
      <c r="J6504" s="115"/>
      <c r="K6504" s="115"/>
    </row>
    <row r="6505">
      <c r="A6505" s="115" t="str">
        <f>IFERROR(__xludf.DUMMYFUNCTION("""COMPUTED_VALUE"""),"NORTH")</f>
        <v>NORTH</v>
      </c>
      <c r="B6505" s="115" t="str">
        <f>IFERROR(__xludf.DUMMYFUNCTION("""COMPUTED_VALUE"""),"Manoj Harsh")</f>
        <v>Manoj Harsh</v>
      </c>
      <c r="C6505" s="115" t="str">
        <f>IFERROR(__xludf.DUMMYFUNCTION("""COMPUTED_VALUE"""),"EXTERNAL")</f>
        <v>EXTERNAL</v>
      </c>
      <c r="D6505" s="115">
        <f>IFERROR(__xludf.DUMMYFUNCTION("""COMPUTED_VALUE"""),35505.0)</f>
        <v>35505</v>
      </c>
      <c r="E6505" s="115">
        <f>IFERROR(__xludf.DUMMYFUNCTION("""COMPUTED_VALUE"""),2534.0)</f>
        <v>2534</v>
      </c>
      <c r="F6505" s="115">
        <f>IFERROR(__xludf.DUMMYFUNCTION("""COMPUTED_VALUE"""),9221.0)</f>
        <v>9221</v>
      </c>
      <c r="G6505" s="115">
        <f>IFERROR(__xludf.DUMMYFUNCTION("""COMPUTED_VALUE"""),206.0)</f>
        <v>206</v>
      </c>
      <c r="H6505" s="116">
        <f>IFERROR(__xludf.DUMMYFUNCTION("""COMPUTED_VALUE"""),45912.0)</f>
        <v>45912</v>
      </c>
      <c r="I6505" s="115" t="str">
        <f>IFERROR(__xludf.DUMMYFUNCTION("""COMPUTED_VALUE"""),"14")</f>
        <v>14</v>
      </c>
      <c r="J6505" s="115"/>
      <c r="K6505" s="115"/>
    </row>
    <row r="6506">
      <c r="A6506" s="115" t="str">
        <f>IFERROR(__xludf.DUMMYFUNCTION("""COMPUTED_VALUE"""),"NORTH")</f>
        <v>NORTH</v>
      </c>
      <c r="B6506" s="115" t="str">
        <f>IFERROR(__xludf.DUMMYFUNCTION("""COMPUTED_VALUE"""),"Manoj Harsh")</f>
        <v>Manoj Harsh</v>
      </c>
      <c r="C6506" s="115" t="str">
        <f>IFERROR(__xludf.DUMMYFUNCTION("""COMPUTED_VALUE"""),"FLIPKART")</f>
        <v>FLIPKART</v>
      </c>
      <c r="D6506" s="115">
        <f>IFERROR(__xludf.DUMMYFUNCTION("""COMPUTED_VALUE"""),468774.0)</f>
        <v>468774</v>
      </c>
      <c r="E6506" s="115">
        <f>IFERROR(__xludf.DUMMYFUNCTION("""COMPUTED_VALUE"""),34931.0)</f>
        <v>34931</v>
      </c>
      <c r="F6506" s="115">
        <f>IFERROR(__xludf.DUMMYFUNCTION("""COMPUTED_VALUE"""),194055.0)</f>
        <v>194055</v>
      </c>
      <c r="G6506" s="115">
        <f>IFERROR(__xludf.DUMMYFUNCTION("""COMPUTED_VALUE"""),4913.0)</f>
        <v>4913</v>
      </c>
      <c r="H6506" s="116">
        <f>IFERROR(__xludf.DUMMYFUNCTION("""COMPUTED_VALUE"""),45912.0)</f>
        <v>45912</v>
      </c>
      <c r="I6506" s="115" t="str">
        <f>IFERROR(__xludf.DUMMYFUNCTION("""COMPUTED_VALUE"""),"14")</f>
        <v>14</v>
      </c>
      <c r="J6506" s="115"/>
      <c r="K6506" s="115"/>
    </row>
    <row r="6507">
      <c r="A6507" s="115" t="str">
        <f>IFERROR(__xludf.DUMMYFUNCTION("""COMPUTED_VALUE"""),"NORTH")</f>
        <v>NORTH</v>
      </c>
      <c r="B6507" s="115" t="str">
        <f>IFERROR(__xludf.DUMMYFUNCTION("""COMPUTED_VALUE"""),"Manoj Harsh")</f>
        <v>Manoj Harsh</v>
      </c>
      <c r="C6507" s="115" t="str">
        <f>IFERROR(__xludf.DUMMYFUNCTION("""COMPUTED_VALUE"""),"MYNTRA")</f>
        <v>MYNTRA</v>
      </c>
      <c r="D6507" s="115">
        <f>IFERROR(__xludf.DUMMYFUNCTION("""COMPUTED_VALUE"""),36438.0)</f>
        <v>36438</v>
      </c>
      <c r="E6507" s="115">
        <f>IFERROR(__xludf.DUMMYFUNCTION("""COMPUTED_VALUE"""),6694.0)</f>
        <v>6694</v>
      </c>
      <c r="F6507" s="115">
        <f>IFERROR(__xludf.DUMMYFUNCTION("""COMPUTED_VALUE"""),17284.0)</f>
        <v>17284</v>
      </c>
      <c r="G6507" s="115">
        <f>IFERROR(__xludf.DUMMYFUNCTION("""COMPUTED_VALUE"""),1105.0)</f>
        <v>1105</v>
      </c>
      <c r="H6507" s="116">
        <f>IFERROR(__xludf.DUMMYFUNCTION("""COMPUTED_VALUE"""),45912.0)</f>
        <v>45912</v>
      </c>
      <c r="I6507" s="115" t="str">
        <f>IFERROR(__xludf.DUMMYFUNCTION("""COMPUTED_VALUE"""),"14")</f>
        <v>14</v>
      </c>
      <c r="J6507" s="115"/>
      <c r="K6507" s="115"/>
    </row>
    <row r="6508">
      <c r="A6508" s="115" t="str">
        <f>IFERROR(__xludf.DUMMYFUNCTION("""COMPUTED_VALUE"""),"NORTH")</f>
        <v>NORTH</v>
      </c>
      <c r="B6508" s="115" t="str">
        <f>IFERROR(__xludf.DUMMYFUNCTION("""COMPUTED_VALUE"""),"Pradeep Kothari")</f>
        <v>Pradeep Kothari</v>
      </c>
      <c r="C6508" s="115" t="str">
        <f>IFERROR(__xludf.DUMMYFUNCTION("""COMPUTED_VALUE"""),"EXTERNAL")</f>
        <v>EXTERNAL</v>
      </c>
      <c r="D6508" s="115">
        <f>IFERROR(__xludf.DUMMYFUNCTION("""COMPUTED_VALUE"""),19648.0)</f>
        <v>19648</v>
      </c>
      <c r="E6508" s="115">
        <f>IFERROR(__xludf.DUMMYFUNCTION("""COMPUTED_VALUE"""),1913.0)</f>
        <v>1913</v>
      </c>
      <c r="F6508" s="115">
        <f>IFERROR(__xludf.DUMMYFUNCTION("""COMPUTED_VALUE"""),5334.0)</f>
        <v>5334</v>
      </c>
      <c r="G6508" s="115">
        <f>IFERROR(__xludf.DUMMYFUNCTION("""COMPUTED_VALUE"""),306.0)</f>
        <v>306</v>
      </c>
      <c r="H6508" s="116">
        <f>IFERROR(__xludf.DUMMYFUNCTION("""COMPUTED_VALUE"""),45912.0)</f>
        <v>45912</v>
      </c>
      <c r="I6508" s="115" t="str">
        <f>IFERROR(__xludf.DUMMYFUNCTION("""COMPUTED_VALUE"""),"14")</f>
        <v>14</v>
      </c>
      <c r="J6508" s="115"/>
      <c r="K6508" s="115"/>
    </row>
    <row r="6509">
      <c r="A6509" s="115" t="str">
        <f>IFERROR(__xludf.DUMMYFUNCTION("""COMPUTED_VALUE"""),"NORTH")</f>
        <v>NORTH</v>
      </c>
      <c r="B6509" s="115" t="str">
        <f>IFERROR(__xludf.DUMMYFUNCTION("""COMPUTED_VALUE"""),"Pradeep Kothari")</f>
        <v>Pradeep Kothari</v>
      </c>
      <c r="C6509" s="115" t="str">
        <f>IFERROR(__xludf.DUMMYFUNCTION("""COMPUTED_VALUE"""),"FLIPKART")</f>
        <v>FLIPKART</v>
      </c>
      <c r="D6509" s="115">
        <f>IFERROR(__xludf.DUMMYFUNCTION("""COMPUTED_VALUE"""),175694.0)</f>
        <v>175694</v>
      </c>
      <c r="E6509" s="115">
        <f>IFERROR(__xludf.DUMMYFUNCTION("""COMPUTED_VALUE"""),16576.0)</f>
        <v>16576</v>
      </c>
      <c r="F6509" s="115">
        <f>IFERROR(__xludf.DUMMYFUNCTION("""COMPUTED_VALUE"""),89487.0)</f>
        <v>89487</v>
      </c>
      <c r="G6509" s="115">
        <f>IFERROR(__xludf.DUMMYFUNCTION("""COMPUTED_VALUE"""),4101.0)</f>
        <v>4101</v>
      </c>
      <c r="H6509" s="116">
        <f>IFERROR(__xludf.DUMMYFUNCTION("""COMPUTED_VALUE"""),45912.0)</f>
        <v>45912</v>
      </c>
      <c r="I6509" s="115" t="str">
        <f>IFERROR(__xludf.DUMMYFUNCTION("""COMPUTED_VALUE"""),"14")</f>
        <v>14</v>
      </c>
      <c r="J6509" s="115"/>
      <c r="K6509" s="115"/>
    </row>
    <row r="6510">
      <c r="A6510" s="115" t="str">
        <f>IFERROR(__xludf.DUMMYFUNCTION("""COMPUTED_VALUE"""),"NORTH")</f>
        <v>NORTH</v>
      </c>
      <c r="B6510" s="115" t="str">
        <f>IFERROR(__xludf.DUMMYFUNCTION("""COMPUTED_VALUE"""),"Pradeep Kothari")</f>
        <v>Pradeep Kothari</v>
      </c>
      <c r="C6510" s="115" t="str">
        <f>IFERROR(__xludf.DUMMYFUNCTION("""COMPUTED_VALUE"""),"MYNTRA")</f>
        <v>MYNTRA</v>
      </c>
      <c r="D6510" s="115">
        <f>IFERROR(__xludf.DUMMYFUNCTION("""COMPUTED_VALUE"""),26153.0)</f>
        <v>26153</v>
      </c>
      <c r="E6510" s="115">
        <f>IFERROR(__xludf.DUMMYFUNCTION("""COMPUTED_VALUE"""),6139.0)</f>
        <v>6139</v>
      </c>
      <c r="F6510" s="115">
        <f>IFERROR(__xludf.DUMMYFUNCTION("""COMPUTED_VALUE"""),15657.0)</f>
        <v>15657</v>
      </c>
      <c r="G6510" s="115">
        <f>IFERROR(__xludf.DUMMYFUNCTION("""COMPUTED_VALUE"""),1885.0)</f>
        <v>1885</v>
      </c>
      <c r="H6510" s="116">
        <f>IFERROR(__xludf.DUMMYFUNCTION("""COMPUTED_VALUE"""),45912.0)</f>
        <v>45912</v>
      </c>
      <c r="I6510" s="115" t="str">
        <f>IFERROR(__xludf.DUMMYFUNCTION("""COMPUTED_VALUE"""),"14")</f>
        <v>14</v>
      </c>
      <c r="J6510" s="115"/>
      <c r="K6510" s="115"/>
    </row>
    <row r="6511">
      <c r="A6511" s="115" t="str">
        <f>IFERROR(__xludf.DUMMYFUNCTION("""COMPUTED_VALUE"""),"SOUTH")</f>
        <v>SOUTH</v>
      </c>
      <c r="B6511" s="115" t="str">
        <f>IFERROR(__xludf.DUMMYFUNCTION("""COMPUTED_VALUE"""),"Kandula Sampath")</f>
        <v>Kandula Sampath</v>
      </c>
      <c r="C6511" s="115" t="str">
        <f>IFERROR(__xludf.DUMMYFUNCTION("""COMPUTED_VALUE"""),"EXTERNAL")</f>
        <v>EXTERNAL</v>
      </c>
      <c r="D6511" s="115">
        <f>IFERROR(__xludf.DUMMYFUNCTION("""COMPUTED_VALUE"""),34043.0)</f>
        <v>34043</v>
      </c>
      <c r="E6511" s="115">
        <f>IFERROR(__xludf.DUMMYFUNCTION("""COMPUTED_VALUE"""),4241.0)</f>
        <v>4241</v>
      </c>
      <c r="F6511" s="115">
        <f>IFERROR(__xludf.DUMMYFUNCTION("""COMPUTED_VALUE"""),9526.0)</f>
        <v>9526</v>
      </c>
      <c r="G6511" s="115">
        <f>IFERROR(__xludf.DUMMYFUNCTION("""COMPUTED_VALUE"""),411.0)</f>
        <v>411</v>
      </c>
      <c r="H6511" s="116">
        <f>IFERROR(__xludf.DUMMYFUNCTION("""COMPUTED_VALUE"""),45912.0)</f>
        <v>45912</v>
      </c>
      <c r="I6511" s="115" t="str">
        <f>IFERROR(__xludf.DUMMYFUNCTION("""COMPUTED_VALUE"""),"14")</f>
        <v>14</v>
      </c>
      <c r="J6511" s="115"/>
      <c r="K6511" s="115"/>
    </row>
    <row r="6512">
      <c r="A6512" s="115" t="str">
        <f>IFERROR(__xludf.DUMMYFUNCTION("""COMPUTED_VALUE"""),"SOUTH")</f>
        <v>SOUTH</v>
      </c>
      <c r="B6512" s="115" t="str">
        <f>IFERROR(__xludf.DUMMYFUNCTION("""COMPUTED_VALUE"""),"Kandula Sampath")</f>
        <v>Kandula Sampath</v>
      </c>
      <c r="C6512" s="115" t="str">
        <f>IFERROR(__xludf.DUMMYFUNCTION("""COMPUTED_VALUE"""),"FLIPKART")</f>
        <v>FLIPKART</v>
      </c>
      <c r="D6512" s="115">
        <f>IFERROR(__xludf.DUMMYFUNCTION("""COMPUTED_VALUE"""),380494.0)</f>
        <v>380494</v>
      </c>
      <c r="E6512" s="115">
        <f>IFERROR(__xludf.DUMMYFUNCTION("""COMPUTED_VALUE"""),29934.0)</f>
        <v>29934</v>
      </c>
      <c r="F6512" s="115">
        <f>IFERROR(__xludf.DUMMYFUNCTION("""COMPUTED_VALUE"""),178250.0)</f>
        <v>178250</v>
      </c>
      <c r="G6512" s="115">
        <f>IFERROR(__xludf.DUMMYFUNCTION("""COMPUTED_VALUE"""),4264.0)</f>
        <v>4264</v>
      </c>
      <c r="H6512" s="116">
        <f>IFERROR(__xludf.DUMMYFUNCTION("""COMPUTED_VALUE"""),45912.0)</f>
        <v>45912</v>
      </c>
      <c r="I6512" s="115" t="str">
        <f>IFERROR(__xludf.DUMMYFUNCTION("""COMPUTED_VALUE"""),"14")</f>
        <v>14</v>
      </c>
      <c r="J6512" s="115"/>
      <c r="K6512" s="115"/>
    </row>
    <row r="6513">
      <c r="A6513" s="115" t="str">
        <f>IFERROR(__xludf.DUMMYFUNCTION("""COMPUTED_VALUE"""),"SOUTH")</f>
        <v>SOUTH</v>
      </c>
      <c r="B6513" s="115" t="str">
        <f>IFERROR(__xludf.DUMMYFUNCTION("""COMPUTED_VALUE"""),"Kandula Sampath")</f>
        <v>Kandula Sampath</v>
      </c>
      <c r="C6513" s="115" t="str">
        <f>IFERROR(__xludf.DUMMYFUNCTION("""COMPUTED_VALUE"""),"MYNTRA")</f>
        <v>MYNTRA</v>
      </c>
      <c r="D6513" s="115">
        <f>IFERROR(__xludf.DUMMYFUNCTION("""COMPUTED_VALUE"""),40245.0)</f>
        <v>40245</v>
      </c>
      <c r="E6513" s="115">
        <f>IFERROR(__xludf.DUMMYFUNCTION("""COMPUTED_VALUE"""),8398.0)</f>
        <v>8398</v>
      </c>
      <c r="F6513" s="115">
        <f>IFERROR(__xludf.DUMMYFUNCTION("""COMPUTED_VALUE"""),21305.0)</f>
        <v>21305</v>
      </c>
      <c r="G6513" s="115">
        <f>IFERROR(__xludf.DUMMYFUNCTION("""COMPUTED_VALUE"""),1328.0)</f>
        <v>1328</v>
      </c>
      <c r="H6513" s="116">
        <f>IFERROR(__xludf.DUMMYFUNCTION("""COMPUTED_VALUE"""),45912.0)</f>
        <v>45912</v>
      </c>
      <c r="I6513" s="115" t="str">
        <f>IFERROR(__xludf.DUMMYFUNCTION("""COMPUTED_VALUE"""),"14")</f>
        <v>14</v>
      </c>
      <c r="J6513" s="115"/>
      <c r="K6513" s="115"/>
    </row>
    <row r="6514">
      <c r="A6514" s="115" t="str">
        <f>IFERROR(__xludf.DUMMYFUNCTION("""COMPUTED_VALUE"""),"SOUTH")</f>
        <v>SOUTH</v>
      </c>
      <c r="B6514" s="115" t="str">
        <f>IFERROR(__xludf.DUMMYFUNCTION("""COMPUTED_VALUE"""),"Martin A")</f>
        <v>Martin A</v>
      </c>
      <c r="C6514" s="115" t="str">
        <f>IFERROR(__xludf.DUMMYFUNCTION("""COMPUTED_VALUE"""),"EXTERNAL")</f>
        <v>EXTERNAL</v>
      </c>
      <c r="D6514" s="115">
        <f>IFERROR(__xludf.DUMMYFUNCTION("""COMPUTED_VALUE"""),29327.0)</f>
        <v>29327</v>
      </c>
      <c r="E6514" s="115">
        <f>IFERROR(__xludf.DUMMYFUNCTION("""COMPUTED_VALUE"""),3531.0)</f>
        <v>3531</v>
      </c>
      <c r="F6514" s="115">
        <f>IFERROR(__xludf.DUMMYFUNCTION("""COMPUTED_VALUE"""),8379.0)</f>
        <v>8379</v>
      </c>
      <c r="G6514" s="115">
        <f>IFERROR(__xludf.DUMMYFUNCTION("""COMPUTED_VALUE"""),617.0)</f>
        <v>617</v>
      </c>
      <c r="H6514" s="116">
        <f>IFERROR(__xludf.DUMMYFUNCTION("""COMPUTED_VALUE"""),45912.0)</f>
        <v>45912</v>
      </c>
      <c r="I6514" s="115" t="str">
        <f>IFERROR(__xludf.DUMMYFUNCTION("""COMPUTED_VALUE"""),"14")</f>
        <v>14</v>
      </c>
      <c r="J6514" s="115"/>
      <c r="K6514" s="115"/>
    </row>
    <row r="6515">
      <c r="A6515" s="115" t="str">
        <f>IFERROR(__xludf.DUMMYFUNCTION("""COMPUTED_VALUE"""),"SOUTH")</f>
        <v>SOUTH</v>
      </c>
      <c r="B6515" s="115" t="str">
        <f>IFERROR(__xludf.DUMMYFUNCTION("""COMPUTED_VALUE"""),"Martin A")</f>
        <v>Martin A</v>
      </c>
      <c r="C6515" s="115" t="str">
        <f>IFERROR(__xludf.DUMMYFUNCTION("""COMPUTED_VALUE"""),"FLIPKART")</f>
        <v>FLIPKART</v>
      </c>
      <c r="D6515" s="115">
        <f>IFERROR(__xludf.DUMMYFUNCTION("""COMPUTED_VALUE"""),299247.0)</f>
        <v>299247</v>
      </c>
      <c r="E6515" s="115">
        <f>IFERROR(__xludf.DUMMYFUNCTION("""COMPUTED_VALUE"""),24602.0)</f>
        <v>24602</v>
      </c>
      <c r="F6515" s="115">
        <f>IFERROR(__xludf.DUMMYFUNCTION("""COMPUTED_VALUE"""),143219.0)</f>
        <v>143219</v>
      </c>
      <c r="G6515" s="115">
        <f>IFERROR(__xludf.DUMMYFUNCTION("""COMPUTED_VALUE"""),5107.0)</f>
        <v>5107</v>
      </c>
      <c r="H6515" s="116">
        <f>IFERROR(__xludf.DUMMYFUNCTION("""COMPUTED_VALUE"""),45912.0)</f>
        <v>45912</v>
      </c>
      <c r="I6515" s="115" t="str">
        <f>IFERROR(__xludf.DUMMYFUNCTION("""COMPUTED_VALUE"""),"14")</f>
        <v>14</v>
      </c>
      <c r="J6515" s="115"/>
      <c r="K6515" s="115"/>
    </row>
    <row r="6516">
      <c r="A6516" s="115" t="str">
        <f>IFERROR(__xludf.DUMMYFUNCTION("""COMPUTED_VALUE"""),"SOUTH")</f>
        <v>SOUTH</v>
      </c>
      <c r="B6516" s="115" t="str">
        <f>IFERROR(__xludf.DUMMYFUNCTION("""COMPUTED_VALUE"""),"Martin A")</f>
        <v>Martin A</v>
      </c>
      <c r="C6516" s="115" t="str">
        <f>IFERROR(__xludf.DUMMYFUNCTION("""COMPUTED_VALUE"""),"MYNTRA")</f>
        <v>MYNTRA</v>
      </c>
      <c r="D6516" s="115">
        <f>IFERROR(__xludf.DUMMYFUNCTION("""COMPUTED_VALUE"""),27525.0)</f>
        <v>27525</v>
      </c>
      <c r="E6516" s="115">
        <f>IFERROR(__xludf.DUMMYFUNCTION("""COMPUTED_VALUE"""),6361.0)</f>
        <v>6361</v>
      </c>
      <c r="F6516" s="115">
        <f>IFERROR(__xludf.DUMMYFUNCTION("""COMPUTED_VALUE"""),15782.0)</f>
        <v>15782</v>
      </c>
      <c r="G6516" s="115">
        <f>IFERROR(__xludf.DUMMYFUNCTION("""COMPUTED_VALUE"""),1538.0)</f>
        <v>1538</v>
      </c>
      <c r="H6516" s="116">
        <f>IFERROR(__xludf.DUMMYFUNCTION("""COMPUTED_VALUE"""),45912.0)</f>
        <v>45912</v>
      </c>
      <c r="I6516" s="115" t="str">
        <f>IFERROR(__xludf.DUMMYFUNCTION("""COMPUTED_VALUE"""),"14")</f>
        <v>14</v>
      </c>
      <c r="J6516" s="115"/>
      <c r="K6516" s="115"/>
    </row>
    <row r="6517">
      <c r="A6517" s="115" t="str">
        <f>IFERROR(__xludf.DUMMYFUNCTION("""COMPUTED_VALUE"""),"SOUTH")</f>
        <v>SOUTH</v>
      </c>
      <c r="B6517" s="115" t="str">
        <f>IFERROR(__xludf.DUMMYFUNCTION("""COMPUTED_VALUE"""),"Premkumar M")</f>
        <v>Premkumar M</v>
      </c>
      <c r="C6517" s="115" t="str">
        <f>IFERROR(__xludf.DUMMYFUNCTION("""COMPUTED_VALUE"""),"EXTERNAL")</f>
        <v>EXTERNAL</v>
      </c>
      <c r="D6517" s="115">
        <f>IFERROR(__xludf.DUMMYFUNCTION("""COMPUTED_VALUE"""),27798.0)</f>
        <v>27798</v>
      </c>
      <c r="E6517" s="115">
        <f>IFERROR(__xludf.DUMMYFUNCTION("""COMPUTED_VALUE"""),1904.0)</f>
        <v>1904</v>
      </c>
      <c r="F6517" s="115">
        <f>IFERROR(__xludf.DUMMYFUNCTION("""COMPUTED_VALUE"""),6758.0)</f>
        <v>6758</v>
      </c>
      <c r="G6517" s="115">
        <f>IFERROR(__xludf.DUMMYFUNCTION("""COMPUTED_VALUE"""),78.0)</f>
        <v>78</v>
      </c>
      <c r="H6517" s="116">
        <f>IFERROR(__xludf.DUMMYFUNCTION("""COMPUTED_VALUE"""),45912.0)</f>
        <v>45912</v>
      </c>
      <c r="I6517" s="115" t="str">
        <f>IFERROR(__xludf.DUMMYFUNCTION("""COMPUTED_VALUE"""),"14")</f>
        <v>14</v>
      </c>
      <c r="J6517" s="115"/>
      <c r="K6517" s="115"/>
    </row>
    <row r="6518">
      <c r="A6518" s="115" t="str">
        <f>IFERROR(__xludf.DUMMYFUNCTION("""COMPUTED_VALUE"""),"SOUTH")</f>
        <v>SOUTH</v>
      </c>
      <c r="B6518" s="115" t="str">
        <f>IFERROR(__xludf.DUMMYFUNCTION("""COMPUTED_VALUE"""),"Premkumar M")</f>
        <v>Premkumar M</v>
      </c>
      <c r="C6518" s="115" t="str">
        <f>IFERROR(__xludf.DUMMYFUNCTION("""COMPUTED_VALUE"""),"FLIPKART")</f>
        <v>FLIPKART</v>
      </c>
      <c r="D6518" s="115">
        <f>IFERROR(__xludf.DUMMYFUNCTION("""COMPUTED_VALUE"""),298524.0)</f>
        <v>298524</v>
      </c>
      <c r="E6518" s="115">
        <f>IFERROR(__xludf.DUMMYFUNCTION("""COMPUTED_VALUE"""),16476.0)</f>
        <v>16476</v>
      </c>
      <c r="F6518" s="115">
        <f>IFERROR(__xludf.DUMMYFUNCTION("""COMPUTED_VALUE"""),109283.0)</f>
        <v>109283</v>
      </c>
      <c r="G6518" s="115">
        <f>IFERROR(__xludf.DUMMYFUNCTION("""COMPUTED_VALUE"""),1060.0)</f>
        <v>1060</v>
      </c>
      <c r="H6518" s="116">
        <f>IFERROR(__xludf.DUMMYFUNCTION("""COMPUTED_VALUE"""),45912.0)</f>
        <v>45912</v>
      </c>
      <c r="I6518" s="115" t="str">
        <f>IFERROR(__xludf.DUMMYFUNCTION("""COMPUTED_VALUE"""),"14")</f>
        <v>14</v>
      </c>
      <c r="J6518" s="115"/>
      <c r="K6518" s="115"/>
    </row>
    <row r="6519">
      <c r="A6519" s="115" t="str">
        <f>IFERROR(__xludf.DUMMYFUNCTION("""COMPUTED_VALUE"""),"SOUTH")</f>
        <v>SOUTH</v>
      </c>
      <c r="B6519" s="115" t="str">
        <f>IFERROR(__xludf.DUMMYFUNCTION("""COMPUTED_VALUE"""),"Premkumar M")</f>
        <v>Premkumar M</v>
      </c>
      <c r="C6519" s="115" t="str">
        <f>IFERROR(__xludf.DUMMYFUNCTION("""COMPUTED_VALUE"""),"MYNTRA")</f>
        <v>MYNTRA</v>
      </c>
      <c r="D6519" s="115">
        <f>IFERROR(__xludf.DUMMYFUNCTION("""COMPUTED_VALUE"""),15372.0)</f>
        <v>15372</v>
      </c>
      <c r="E6519" s="115">
        <f>IFERROR(__xludf.DUMMYFUNCTION("""COMPUTED_VALUE"""),2561.0)</f>
        <v>2561</v>
      </c>
      <c r="F6519" s="115">
        <f>IFERROR(__xludf.DUMMYFUNCTION("""COMPUTED_VALUE"""),6638.0)</f>
        <v>6638</v>
      </c>
      <c r="G6519" s="115">
        <f>IFERROR(__xludf.DUMMYFUNCTION("""COMPUTED_VALUE"""),219.0)</f>
        <v>219</v>
      </c>
      <c r="H6519" s="116">
        <f>IFERROR(__xludf.DUMMYFUNCTION("""COMPUTED_VALUE"""),45912.0)</f>
        <v>45912</v>
      </c>
      <c r="I6519" s="115" t="str">
        <f>IFERROR(__xludf.DUMMYFUNCTION("""COMPUTED_VALUE"""),"14")</f>
        <v>14</v>
      </c>
      <c r="J6519" s="115"/>
      <c r="K6519" s="115"/>
    </row>
    <row r="6520">
      <c r="A6520" s="115" t="str">
        <f>IFERROR(__xludf.DUMMYFUNCTION("""COMPUTED_VALUE"""),"SOUTH")</f>
        <v>SOUTH</v>
      </c>
      <c r="B6520" s="115" t="str">
        <f>IFERROR(__xludf.DUMMYFUNCTION("""COMPUTED_VALUE"""),"Vineeth V")</f>
        <v>Vineeth V</v>
      </c>
      <c r="C6520" s="115" t="str">
        <f>IFERROR(__xludf.DUMMYFUNCTION("""COMPUTED_VALUE"""),"EXTERNAL")</f>
        <v>EXTERNAL</v>
      </c>
      <c r="D6520" s="115">
        <f>IFERROR(__xludf.DUMMYFUNCTION("""COMPUTED_VALUE"""),20249.0)</f>
        <v>20249</v>
      </c>
      <c r="E6520" s="115">
        <f>IFERROR(__xludf.DUMMYFUNCTION("""COMPUTED_VALUE"""),538.0)</f>
        <v>538</v>
      </c>
      <c r="F6520" s="115">
        <f>IFERROR(__xludf.DUMMYFUNCTION("""COMPUTED_VALUE"""),5400.0)</f>
        <v>5400</v>
      </c>
      <c r="G6520" s="115">
        <f>IFERROR(__xludf.DUMMYFUNCTION("""COMPUTED_VALUE"""),37.0)</f>
        <v>37</v>
      </c>
      <c r="H6520" s="116">
        <f>IFERROR(__xludf.DUMMYFUNCTION("""COMPUTED_VALUE"""),45912.0)</f>
        <v>45912</v>
      </c>
      <c r="I6520" s="115" t="str">
        <f>IFERROR(__xludf.DUMMYFUNCTION("""COMPUTED_VALUE"""),"14")</f>
        <v>14</v>
      </c>
      <c r="J6520" s="115"/>
      <c r="K6520" s="115"/>
    </row>
    <row r="6521">
      <c r="A6521" s="115" t="str">
        <f>IFERROR(__xludf.DUMMYFUNCTION("""COMPUTED_VALUE"""),"SOUTH")</f>
        <v>SOUTH</v>
      </c>
      <c r="B6521" s="115" t="str">
        <f>IFERROR(__xludf.DUMMYFUNCTION("""COMPUTED_VALUE"""),"Vineeth V")</f>
        <v>Vineeth V</v>
      </c>
      <c r="C6521" s="115" t="str">
        <f>IFERROR(__xludf.DUMMYFUNCTION("""COMPUTED_VALUE"""),"FLIPKART")</f>
        <v>FLIPKART</v>
      </c>
      <c r="D6521" s="115">
        <f>IFERROR(__xludf.DUMMYFUNCTION("""COMPUTED_VALUE"""),215410.0)</f>
        <v>215410</v>
      </c>
      <c r="E6521" s="115">
        <f>IFERROR(__xludf.DUMMYFUNCTION("""COMPUTED_VALUE"""),12883.0)</f>
        <v>12883</v>
      </c>
      <c r="F6521" s="115">
        <f>IFERROR(__xludf.DUMMYFUNCTION("""COMPUTED_VALUE"""),89395.0)</f>
        <v>89395</v>
      </c>
      <c r="G6521" s="115">
        <f>IFERROR(__xludf.DUMMYFUNCTION("""COMPUTED_VALUE"""),856.0)</f>
        <v>856</v>
      </c>
      <c r="H6521" s="116">
        <f>IFERROR(__xludf.DUMMYFUNCTION("""COMPUTED_VALUE"""),45912.0)</f>
        <v>45912</v>
      </c>
      <c r="I6521" s="115" t="str">
        <f>IFERROR(__xludf.DUMMYFUNCTION("""COMPUTED_VALUE"""),"14")</f>
        <v>14</v>
      </c>
      <c r="J6521" s="115"/>
      <c r="K6521" s="115"/>
    </row>
    <row r="6522">
      <c r="A6522" s="115" t="str">
        <f>IFERROR(__xludf.DUMMYFUNCTION("""COMPUTED_VALUE"""),"SOUTH")</f>
        <v>SOUTH</v>
      </c>
      <c r="B6522" s="115" t="str">
        <f>IFERROR(__xludf.DUMMYFUNCTION("""COMPUTED_VALUE"""),"Vineeth V")</f>
        <v>Vineeth V</v>
      </c>
      <c r="C6522" s="115" t="str">
        <f>IFERROR(__xludf.DUMMYFUNCTION("""COMPUTED_VALUE"""),"MYNTRA")</f>
        <v>MYNTRA</v>
      </c>
      <c r="D6522" s="115">
        <f>IFERROR(__xludf.DUMMYFUNCTION("""COMPUTED_VALUE"""),16478.0)</f>
        <v>16478</v>
      </c>
      <c r="E6522" s="115">
        <f>IFERROR(__xludf.DUMMYFUNCTION("""COMPUTED_VALUE"""),3094.0)</f>
        <v>3094</v>
      </c>
      <c r="F6522" s="115">
        <f>IFERROR(__xludf.DUMMYFUNCTION("""COMPUTED_VALUE"""),7672.0)</f>
        <v>7672</v>
      </c>
      <c r="G6522" s="115">
        <f>IFERROR(__xludf.DUMMYFUNCTION("""COMPUTED_VALUE"""),247.0)</f>
        <v>247</v>
      </c>
      <c r="H6522" s="116">
        <f>IFERROR(__xludf.DUMMYFUNCTION("""COMPUTED_VALUE"""),45912.0)</f>
        <v>45912</v>
      </c>
      <c r="I6522" s="115" t="str">
        <f>IFERROR(__xludf.DUMMYFUNCTION("""COMPUTED_VALUE"""),"14")</f>
        <v>14</v>
      </c>
      <c r="J6522" s="115"/>
      <c r="K6522" s="115"/>
    </row>
    <row r="6523">
      <c r="A6523" s="115" t="str">
        <f>IFERROR(__xludf.DUMMYFUNCTION("""COMPUTED_VALUE"""),"WEST")</f>
        <v>WEST</v>
      </c>
      <c r="B6523" s="115" t="str">
        <f>IFERROR(__xludf.DUMMYFUNCTION("""COMPUTED_VALUE"""),"Ashish Jakar")</f>
        <v>Ashish Jakar</v>
      </c>
      <c r="C6523" s="115" t="str">
        <f>IFERROR(__xludf.DUMMYFUNCTION("""COMPUTED_VALUE"""),"EXTERNAL")</f>
        <v>EXTERNAL</v>
      </c>
      <c r="D6523" s="115">
        <f>IFERROR(__xludf.DUMMYFUNCTION("""COMPUTED_VALUE"""),56857.0)</f>
        <v>56857</v>
      </c>
      <c r="E6523" s="115">
        <f>IFERROR(__xludf.DUMMYFUNCTION("""COMPUTED_VALUE"""),6043.0)</f>
        <v>6043</v>
      </c>
      <c r="F6523" s="115">
        <f>IFERROR(__xludf.DUMMYFUNCTION("""COMPUTED_VALUE"""),14056.0)</f>
        <v>14056</v>
      </c>
      <c r="G6523" s="115">
        <f>IFERROR(__xludf.DUMMYFUNCTION("""COMPUTED_VALUE"""),866.0)</f>
        <v>866</v>
      </c>
      <c r="H6523" s="116">
        <f>IFERROR(__xludf.DUMMYFUNCTION("""COMPUTED_VALUE"""),45912.0)</f>
        <v>45912</v>
      </c>
      <c r="I6523" s="115" t="str">
        <f>IFERROR(__xludf.DUMMYFUNCTION("""COMPUTED_VALUE"""),"14")</f>
        <v>14</v>
      </c>
      <c r="J6523" s="115"/>
      <c r="K6523" s="115"/>
    </row>
    <row r="6524">
      <c r="A6524" s="115" t="str">
        <f>IFERROR(__xludf.DUMMYFUNCTION("""COMPUTED_VALUE"""),"WEST")</f>
        <v>WEST</v>
      </c>
      <c r="B6524" s="115" t="str">
        <f>IFERROR(__xludf.DUMMYFUNCTION("""COMPUTED_VALUE"""),"Ashish Jakar")</f>
        <v>Ashish Jakar</v>
      </c>
      <c r="C6524" s="115" t="str">
        <f>IFERROR(__xludf.DUMMYFUNCTION("""COMPUTED_VALUE"""),"FLIPKART")</f>
        <v>FLIPKART</v>
      </c>
      <c r="D6524" s="115">
        <f>IFERROR(__xludf.DUMMYFUNCTION("""COMPUTED_VALUE"""),419435.0)</f>
        <v>419435</v>
      </c>
      <c r="E6524" s="115">
        <f>IFERROR(__xludf.DUMMYFUNCTION("""COMPUTED_VALUE"""),33220.0)</f>
        <v>33220</v>
      </c>
      <c r="F6524" s="115">
        <f>IFERROR(__xludf.DUMMYFUNCTION("""COMPUTED_VALUE"""),172598.0)</f>
        <v>172598</v>
      </c>
      <c r="G6524" s="115">
        <f>IFERROR(__xludf.DUMMYFUNCTION("""COMPUTED_VALUE"""),5740.0)</f>
        <v>5740</v>
      </c>
      <c r="H6524" s="116">
        <f>IFERROR(__xludf.DUMMYFUNCTION("""COMPUTED_VALUE"""),45912.0)</f>
        <v>45912</v>
      </c>
      <c r="I6524" s="115" t="str">
        <f>IFERROR(__xludf.DUMMYFUNCTION("""COMPUTED_VALUE"""),"14")</f>
        <v>14</v>
      </c>
      <c r="J6524" s="115"/>
      <c r="K6524" s="115"/>
    </row>
    <row r="6525">
      <c r="A6525" s="115" t="str">
        <f>IFERROR(__xludf.DUMMYFUNCTION("""COMPUTED_VALUE"""),"WEST")</f>
        <v>WEST</v>
      </c>
      <c r="B6525" s="115" t="str">
        <f>IFERROR(__xludf.DUMMYFUNCTION("""COMPUTED_VALUE"""),"Ashish Jakar")</f>
        <v>Ashish Jakar</v>
      </c>
      <c r="C6525" s="115" t="str">
        <f>IFERROR(__xludf.DUMMYFUNCTION("""COMPUTED_VALUE"""),"MYNTRA")</f>
        <v>MYNTRA</v>
      </c>
      <c r="D6525" s="115">
        <f>IFERROR(__xludf.DUMMYFUNCTION("""COMPUTED_VALUE"""),45203.0)</f>
        <v>45203</v>
      </c>
      <c r="E6525" s="115">
        <f>IFERROR(__xludf.DUMMYFUNCTION("""COMPUTED_VALUE"""),11357.0)</f>
        <v>11357</v>
      </c>
      <c r="F6525" s="115">
        <f>IFERROR(__xludf.DUMMYFUNCTION("""COMPUTED_VALUE"""),22352.0)</f>
        <v>22352</v>
      </c>
      <c r="G6525" s="115">
        <f>IFERROR(__xludf.DUMMYFUNCTION("""COMPUTED_VALUE"""),2362.0)</f>
        <v>2362</v>
      </c>
      <c r="H6525" s="116">
        <f>IFERROR(__xludf.DUMMYFUNCTION("""COMPUTED_VALUE"""),45912.0)</f>
        <v>45912</v>
      </c>
      <c r="I6525" s="115" t="str">
        <f>IFERROR(__xludf.DUMMYFUNCTION("""COMPUTED_VALUE"""),"14")</f>
        <v>14</v>
      </c>
      <c r="J6525" s="115"/>
      <c r="K6525" s="115"/>
    </row>
    <row r="6526">
      <c r="A6526" s="115" t="str">
        <f>IFERROR(__xludf.DUMMYFUNCTION("""COMPUTED_VALUE"""),"WEST")</f>
        <v>WEST</v>
      </c>
      <c r="B6526" s="115" t="str">
        <f>IFERROR(__xludf.DUMMYFUNCTION("""COMPUTED_VALUE"""),"Ashvani Bhatt")</f>
        <v>Ashvani Bhatt</v>
      </c>
      <c r="C6526" s="115" t="str">
        <f>IFERROR(__xludf.DUMMYFUNCTION("""COMPUTED_VALUE"""),"EXTERNAL")</f>
        <v>EXTERNAL</v>
      </c>
      <c r="D6526" s="115">
        <f>IFERROR(__xludf.DUMMYFUNCTION("""COMPUTED_VALUE"""),36694.0)</f>
        <v>36694</v>
      </c>
      <c r="E6526" s="115">
        <f>IFERROR(__xludf.DUMMYFUNCTION("""COMPUTED_VALUE"""),2962.0)</f>
        <v>2962</v>
      </c>
      <c r="F6526" s="115">
        <f>IFERROR(__xludf.DUMMYFUNCTION("""COMPUTED_VALUE"""),9853.0)</f>
        <v>9853</v>
      </c>
      <c r="G6526" s="115">
        <f>IFERROR(__xludf.DUMMYFUNCTION("""COMPUTED_VALUE"""),345.0)</f>
        <v>345</v>
      </c>
      <c r="H6526" s="116">
        <f>IFERROR(__xludf.DUMMYFUNCTION("""COMPUTED_VALUE"""),45912.0)</f>
        <v>45912</v>
      </c>
      <c r="I6526" s="115" t="str">
        <f>IFERROR(__xludf.DUMMYFUNCTION("""COMPUTED_VALUE"""),"14")</f>
        <v>14</v>
      </c>
      <c r="J6526" s="115"/>
      <c r="K6526" s="115"/>
    </row>
    <row r="6527">
      <c r="A6527" s="115" t="str">
        <f>IFERROR(__xludf.DUMMYFUNCTION("""COMPUTED_VALUE"""),"WEST")</f>
        <v>WEST</v>
      </c>
      <c r="B6527" s="115" t="str">
        <f>IFERROR(__xludf.DUMMYFUNCTION("""COMPUTED_VALUE"""),"Ashvani Bhatt")</f>
        <v>Ashvani Bhatt</v>
      </c>
      <c r="C6527" s="115" t="str">
        <f>IFERROR(__xludf.DUMMYFUNCTION("""COMPUTED_VALUE"""),"FLIPKART")</f>
        <v>FLIPKART</v>
      </c>
      <c r="D6527" s="115">
        <f>IFERROR(__xludf.DUMMYFUNCTION("""COMPUTED_VALUE"""),325202.0)</f>
        <v>325202</v>
      </c>
      <c r="E6527" s="115">
        <f>IFERROR(__xludf.DUMMYFUNCTION("""COMPUTED_VALUE"""),26952.0)</f>
        <v>26952</v>
      </c>
      <c r="F6527" s="115">
        <f>IFERROR(__xludf.DUMMYFUNCTION("""COMPUTED_VALUE"""),158884.0)</f>
        <v>158884</v>
      </c>
      <c r="G6527" s="115">
        <f>IFERROR(__xludf.DUMMYFUNCTION("""COMPUTED_VALUE"""),4464.0)</f>
        <v>4464</v>
      </c>
      <c r="H6527" s="116">
        <f>IFERROR(__xludf.DUMMYFUNCTION("""COMPUTED_VALUE"""),45912.0)</f>
        <v>45912</v>
      </c>
      <c r="I6527" s="115" t="str">
        <f>IFERROR(__xludf.DUMMYFUNCTION("""COMPUTED_VALUE"""),"14")</f>
        <v>14</v>
      </c>
      <c r="J6527" s="115"/>
      <c r="K6527" s="115"/>
    </row>
    <row r="6528">
      <c r="A6528" s="115" t="str">
        <f>IFERROR(__xludf.DUMMYFUNCTION("""COMPUTED_VALUE"""),"WEST")</f>
        <v>WEST</v>
      </c>
      <c r="B6528" s="115" t="str">
        <f>IFERROR(__xludf.DUMMYFUNCTION("""COMPUTED_VALUE"""),"Ashvani Bhatt")</f>
        <v>Ashvani Bhatt</v>
      </c>
      <c r="C6528" s="115" t="str">
        <f>IFERROR(__xludf.DUMMYFUNCTION("""COMPUTED_VALUE"""),"MYNTRA")</f>
        <v>MYNTRA</v>
      </c>
      <c r="D6528" s="115">
        <f>IFERROR(__xludf.DUMMYFUNCTION("""COMPUTED_VALUE"""),35033.0)</f>
        <v>35033</v>
      </c>
      <c r="E6528" s="115">
        <f>IFERROR(__xludf.DUMMYFUNCTION("""COMPUTED_VALUE"""),8565.0)</f>
        <v>8565</v>
      </c>
      <c r="F6528" s="115">
        <f>IFERROR(__xludf.DUMMYFUNCTION("""COMPUTED_VALUE"""),20052.0)</f>
        <v>20052</v>
      </c>
      <c r="G6528" s="115">
        <f>IFERROR(__xludf.DUMMYFUNCTION("""COMPUTED_VALUE"""),1781.0)</f>
        <v>1781</v>
      </c>
      <c r="H6528" s="116">
        <f>IFERROR(__xludf.DUMMYFUNCTION("""COMPUTED_VALUE"""),45912.0)</f>
        <v>45912</v>
      </c>
      <c r="I6528" s="115" t="str">
        <f>IFERROR(__xludf.DUMMYFUNCTION("""COMPUTED_VALUE"""),"14")</f>
        <v>14</v>
      </c>
      <c r="J6528" s="115"/>
      <c r="K6528" s="115"/>
    </row>
    <row r="6529">
      <c r="A6529" s="115"/>
      <c r="B6529" s="115"/>
      <c r="C6529" s="115" t="str">
        <f>IFERROR(__xludf.DUMMYFUNCTION("""COMPUTED_VALUE"""),"EXTERNAL")</f>
        <v>EXTERNAL</v>
      </c>
      <c r="D6529" s="115">
        <f>IFERROR(__xludf.DUMMYFUNCTION("""COMPUTED_VALUE"""),1284.0)</f>
        <v>1284</v>
      </c>
      <c r="E6529" s="115">
        <f>IFERROR(__xludf.DUMMYFUNCTION("""COMPUTED_VALUE"""),223.0)</f>
        <v>223</v>
      </c>
      <c r="F6529" s="115">
        <f>IFERROR(__xludf.DUMMYFUNCTION("""COMPUTED_VALUE"""),265.0)</f>
        <v>265</v>
      </c>
      <c r="G6529" s="115">
        <f>IFERROR(__xludf.DUMMYFUNCTION("""COMPUTED_VALUE"""),44.0)</f>
        <v>44</v>
      </c>
      <c r="H6529" s="116">
        <f>IFERROR(__xludf.DUMMYFUNCTION("""COMPUTED_VALUE"""),45912.0)</f>
        <v>45912</v>
      </c>
      <c r="I6529" s="115" t="str">
        <f>IFERROR(__xludf.DUMMYFUNCTION("""COMPUTED_VALUE"""),"14")</f>
        <v>14</v>
      </c>
      <c r="J6529" s="115"/>
      <c r="K6529" s="115"/>
    </row>
    <row r="6530">
      <c r="A6530" s="115"/>
      <c r="B6530" s="115"/>
      <c r="C6530" s="115" t="str">
        <f>IFERROR(__xludf.DUMMYFUNCTION("""COMPUTED_VALUE"""),"FLIPKART")</f>
        <v>FLIPKART</v>
      </c>
      <c r="D6530" s="115">
        <f>IFERROR(__xludf.DUMMYFUNCTION("""COMPUTED_VALUE"""),14420.0)</f>
        <v>14420</v>
      </c>
      <c r="E6530" s="115">
        <f>IFERROR(__xludf.DUMMYFUNCTION("""COMPUTED_VALUE"""),1234.0)</f>
        <v>1234</v>
      </c>
      <c r="F6530" s="115">
        <f>IFERROR(__xludf.DUMMYFUNCTION("""COMPUTED_VALUE"""),4759.0)</f>
        <v>4759</v>
      </c>
      <c r="G6530" s="115">
        <f>IFERROR(__xludf.DUMMYFUNCTION("""COMPUTED_VALUE"""),353.0)</f>
        <v>353</v>
      </c>
      <c r="H6530" s="116">
        <f>IFERROR(__xludf.DUMMYFUNCTION("""COMPUTED_VALUE"""),45912.0)</f>
        <v>45912</v>
      </c>
      <c r="I6530" s="115" t="str">
        <f>IFERROR(__xludf.DUMMYFUNCTION("""COMPUTED_VALUE"""),"14")</f>
        <v>14</v>
      </c>
      <c r="J6530" s="115"/>
      <c r="K6530" s="115"/>
    </row>
    <row r="6531">
      <c r="A6531" s="115"/>
      <c r="B6531" s="115"/>
      <c r="C6531" s="115" t="str">
        <f>IFERROR(__xludf.DUMMYFUNCTION("""COMPUTED_VALUE"""),"MYNTRA")</f>
        <v>MYNTRA</v>
      </c>
      <c r="D6531" s="115">
        <f>IFERROR(__xludf.DUMMYFUNCTION("""COMPUTED_VALUE"""),1672.0)</f>
        <v>1672</v>
      </c>
      <c r="E6531" s="115">
        <f>IFERROR(__xludf.DUMMYFUNCTION("""COMPUTED_VALUE"""),381.0)</f>
        <v>381</v>
      </c>
      <c r="F6531" s="115">
        <f>IFERROR(__xludf.DUMMYFUNCTION("""COMPUTED_VALUE"""),724.0)</f>
        <v>724</v>
      </c>
      <c r="G6531" s="115">
        <f>IFERROR(__xludf.DUMMYFUNCTION("""COMPUTED_VALUE"""),141.0)</f>
        <v>141</v>
      </c>
      <c r="H6531" s="116">
        <f>IFERROR(__xludf.DUMMYFUNCTION("""COMPUTED_VALUE"""),45912.0)</f>
        <v>45912</v>
      </c>
      <c r="I6531" s="115" t="str">
        <f>IFERROR(__xludf.DUMMYFUNCTION("""COMPUTED_VALUE"""),"14")</f>
        <v>14</v>
      </c>
      <c r="J6531" s="115"/>
      <c r="K6531" s="115"/>
    </row>
    <row r="6532">
      <c r="A6532" s="115" t="str">
        <f>IFERROR(__xludf.DUMMYFUNCTION("""COMPUTED_VALUE"""),"EAST")</f>
        <v>EAST</v>
      </c>
      <c r="B6532" s="115" t="str">
        <f>IFERROR(__xludf.DUMMYFUNCTION("""COMPUTED_VALUE"""),"Ashish Ranjan")</f>
        <v>Ashish Ranjan</v>
      </c>
      <c r="C6532" s="115" t="str">
        <f>IFERROR(__xludf.DUMMYFUNCTION("""COMPUTED_VALUE"""),"EXTERNAL")</f>
        <v>EXTERNAL</v>
      </c>
      <c r="D6532" s="115">
        <f>IFERROR(__xludf.DUMMYFUNCTION("""COMPUTED_VALUE"""),40822.0)</f>
        <v>40822</v>
      </c>
      <c r="E6532" s="115">
        <f>IFERROR(__xludf.DUMMYFUNCTION("""COMPUTED_VALUE"""),3200.0)</f>
        <v>3200</v>
      </c>
      <c r="F6532" s="115">
        <f>IFERROR(__xludf.DUMMYFUNCTION("""COMPUTED_VALUE"""),16448.0)</f>
        <v>16448</v>
      </c>
      <c r="G6532" s="115">
        <f>IFERROR(__xludf.DUMMYFUNCTION("""COMPUTED_VALUE"""),696.0)</f>
        <v>696</v>
      </c>
      <c r="H6532" s="116">
        <f>IFERROR(__xludf.DUMMYFUNCTION("""COMPUTED_VALUE"""),45912.0)</f>
        <v>45912</v>
      </c>
      <c r="I6532" s="115" t="str">
        <f>IFERROR(__xludf.DUMMYFUNCTION("""COMPUTED_VALUE"""),"15")</f>
        <v>15</v>
      </c>
      <c r="J6532" s="115"/>
      <c r="K6532" s="115"/>
    </row>
    <row r="6533">
      <c r="A6533" s="115" t="str">
        <f>IFERROR(__xludf.DUMMYFUNCTION("""COMPUTED_VALUE"""),"EAST")</f>
        <v>EAST</v>
      </c>
      <c r="B6533" s="115" t="str">
        <f>IFERROR(__xludf.DUMMYFUNCTION("""COMPUTED_VALUE"""),"Ashish Ranjan")</f>
        <v>Ashish Ranjan</v>
      </c>
      <c r="C6533" s="115" t="str">
        <f>IFERROR(__xludf.DUMMYFUNCTION("""COMPUTED_VALUE"""),"FLIPKART")</f>
        <v>FLIPKART</v>
      </c>
      <c r="D6533" s="115">
        <f>IFERROR(__xludf.DUMMYFUNCTION("""COMPUTED_VALUE"""),744019.0)</f>
        <v>744019</v>
      </c>
      <c r="E6533" s="115">
        <f>IFERROR(__xludf.DUMMYFUNCTION("""COMPUTED_VALUE"""),62104.0)</f>
        <v>62104</v>
      </c>
      <c r="F6533" s="115">
        <f>IFERROR(__xludf.DUMMYFUNCTION("""COMPUTED_VALUE"""),478167.0)</f>
        <v>478167</v>
      </c>
      <c r="G6533" s="115">
        <f>IFERROR(__xludf.DUMMYFUNCTION("""COMPUTED_VALUE"""),19739.0)</f>
        <v>19739</v>
      </c>
      <c r="H6533" s="116">
        <f>IFERROR(__xludf.DUMMYFUNCTION("""COMPUTED_VALUE"""),45912.0)</f>
        <v>45912</v>
      </c>
      <c r="I6533" s="115" t="str">
        <f>IFERROR(__xludf.DUMMYFUNCTION("""COMPUTED_VALUE"""),"15")</f>
        <v>15</v>
      </c>
      <c r="J6533" s="115"/>
      <c r="K6533" s="115"/>
    </row>
    <row r="6534">
      <c r="A6534" s="115" t="str">
        <f>IFERROR(__xludf.DUMMYFUNCTION("""COMPUTED_VALUE"""),"EAST")</f>
        <v>EAST</v>
      </c>
      <c r="B6534" s="115" t="str">
        <f>IFERROR(__xludf.DUMMYFUNCTION("""COMPUTED_VALUE"""),"Ashish Ranjan")</f>
        <v>Ashish Ranjan</v>
      </c>
      <c r="C6534" s="115" t="str">
        <f>IFERROR(__xludf.DUMMYFUNCTION("""COMPUTED_VALUE"""),"MYNTRA")</f>
        <v>MYNTRA</v>
      </c>
      <c r="D6534" s="115">
        <f>IFERROR(__xludf.DUMMYFUNCTION("""COMPUTED_VALUE"""),77799.0)</f>
        <v>77799</v>
      </c>
      <c r="E6534" s="115">
        <f>IFERROR(__xludf.DUMMYFUNCTION("""COMPUTED_VALUE"""),15404.0)</f>
        <v>15404</v>
      </c>
      <c r="F6534" s="115">
        <f>IFERROR(__xludf.DUMMYFUNCTION("""COMPUTED_VALUE"""),50735.0)</f>
        <v>50735</v>
      </c>
      <c r="G6534" s="115">
        <f>IFERROR(__xludf.DUMMYFUNCTION("""COMPUTED_VALUE"""),4912.0)</f>
        <v>4912</v>
      </c>
      <c r="H6534" s="116">
        <f>IFERROR(__xludf.DUMMYFUNCTION("""COMPUTED_VALUE"""),45912.0)</f>
        <v>45912</v>
      </c>
      <c r="I6534" s="115" t="str">
        <f>IFERROR(__xludf.DUMMYFUNCTION("""COMPUTED_VALUE"""),"15")</f>
        <v>15</v>
      </c>
      <c r="J6534" s="115"/>
      <c r="K6534" s="115"/>
    </row>
    <row r="6535">
      <c r="A6535" s="115" t="str">
        <f>IFERROR(__xludf.DUMMYFUNCTION("""COMPUTED_VALUE"""),"EAST")</f>
        <v>EAST</v>
      </c>
      <c r="B6535" s="115" t="str">
        <f>IFERROR(__xludf.DUMMYFUNCTION("""COMPUTED_VALUE"""),"Girish Chand")</f>
        <v>Girish Chand</v>
      </c>
      <c r="C6535" s="115" t="str">
        <f>IFERROR(__xludf.DUMMYFUNCTION("""COMPUTED_VALUE"""),"EXTERNAL")</f>
        <v>EXTERNAL</v>
      </c>
      <c r="D6535" s="115">
        <f>IFERROR(__xludf.DUMMYFUNCTION("""COMPUTED_VALUE"""),23167.0)</f>
        <v>23167</v>
      </c>
      <c r="E6535" s="115">
        <f>IFERROR(__xludf.DUMMYFUNCTION("""COMPUTED_VALUE"""),2083.0)</f>
        <v>2083</v>
      </c>
      <c r="F6535" s="115">
        <f>IFERROR(__xludf.DUMMYFUNCTION("""COMPUTED_VALUE"""),7507.0)</f>
        <v>7507</v>
      </c>
      <c r="G6535" s="115">
        <f>IFERROR(__xludf.DUMMYFUNCTION("""COMPUTED_VALUE"""),185.0)</f>
        <v>185</v>
      </c>
      <c r="H6535" s="116">
        <f>IFERROR(__xludf.DUMMYFUNCTION("""COMPUTED_VALUE"""),45912.0)</f>
        <v>45912</v>
      </c>
      <c r="I6535" s="115" t="str">
        <f>IFERROR(__xludf.DUMMYFUNCTION("""COMPUTED_VALUE"""),"15")</f>
        <v>15</v>
      </c>
      <c r="J6535" s="115"/>
      <c r="K6535" s="115"/>
    </row>
    <row r="6536">
      <c r="A6536" s="115" t="str">
        <f>IFERROR(__xludf.DUMMYFUNCTION("""COMPUTED_VALUE"""),"EAST")</f>
        <v>EAST</v>
      </c>
      <c r="B6536" s="115" t="str">
        <f>IFERROR(__xludf.DUMMYFUNCTION("""COMPUTED_VALUE"""),"Girish Chand")</f>
        <v>Girish Chand</v>
      </c>
      <c r="C6536" s="115" t="str">
        <f>IFERROR(__xludf.DUMMYFUNCTION("""COMPUTED_VALUE"""),"FLIPKART")</f>
        <v>FLIPKART</v>
      </c>
      <c r="D6536" s="115">
        <f>IFERROR(__xludf.DUMMYFUNCTION("""COMPUTED_VALUE"""),475319.0)</f>
        <v>475319</v>
      </c>
      <c r="E6536" s="115">
        <f>IFERROR(__xludf.DUMMYFUNCTION("""COMPUTED_VALUE"""),36389.0)</f>
        <v>36389</v>
      </c>
      <c r="F6536" s="115">
        <f>IFERROR(__xludf.DUMMYFUNCTION("""COMPUTED_VALUE"""),260380.0)</f>
        <v>260380</v>
      </c>
      <c r="G6536" s="115">
        <f>IFERROR(__xludf.DUMMYFUNCTION("""COMPUTED_VALUE"""),7245.0)</f>
        <v>7245</v>
      </c>
      <c r="H6536" s="116">
        <f>IFERROR(__xludf.DUMMYFUNCTION("""COMPUTED_VALUE"""),45912.0)</f>
        <v>45912</v>
      </c>
      <c r="I6536" s="115" t="str">
        <f>IFERROR(__xludf.DUMMYFUNCTION("""COMPUTED_VALUE"""),"15")</f>
        <v>15</v>
      </c>
      <c r="J6536" s="115"/>
      <c r="K6536" s="115"/>
    </row>
    <row r="6537">
      <c r="A6537" s="115" t="str">
        <f>IFERROR(__xludf.DUMMYFUNCTION("""COMPUTED_VALUE"""),"EAST")</f>
        <v>EAST</v>
      </c>
      <c r="B6537" s="115" t="str">
        <f>IFERROR(__xludf.DUMMYFUNCTION("""COMPUTED_VALUE"""),"Girish Chand")</f>
        <v>Girish Chand</v>
      </c>
      <c r="C6537" s="115" t="str">
        <f>IFERROR(__xludf.DUMMYFUNCTION("""COMPUTED_VALUE"""),"MYNTRA")</f>
        <v>MYNTRA</v>
      </c>
      <c r="D6537" s="115">
        <f>IFERROR(__xludf.DUMMYFUNCTION("""COMPUTED_VALUE"""),35707.0)</f>
        <v>35707</v>
      </c>
      <c r="E6537" s="115">
        <f>IFERROR(__xludf.DUMMYFUNCTION("""COMPUTED_VALUE"""),7031.0)</f>
        <v>7031</v>
      </c>
      <c r="F6537" s="115">
        <f>IFERROR(__xludf.DUMMYFUNCTION("""COMPUTED_VALUE"""),20861.0)</f>
        <v>20861</v>
      </c>
      <c r="G6537" s="115">
        <f>IFERROR(__xludf.DUMMYFUNCTION("""COMPUTED_VALUE"""),1699.0)</f>
        <v>1699</v>
      </c>
      <c r="H6537" s="116">
        <f>IFERROR(__xludf.DUMMYFUNCTION("""COMPUTED_VALUE"""),45912.0)</f>
        <v>45912</v>
      </c>
      <c r="I6537" s="115" t="str">
        <f>IFERROR(__xludf.DUMMYFUNCTION("""COMPUTED_VALUE"""),"15")</f>
        <v>15</v>
      </c>
      <c r="J6537" s="115"/>
      <c r="K6537" s="115"/>
    </row>
    <row r="6538">
      <c r="A6538" s="115" t="str">
        <f>IFERROR(__xludf.DUMMYFUNCTION("""COMPUTED_VALUE"""),"EAST")</f>
        <v>EAST</v>
      </c>
      <c r="B6538" s="115" t="str">
        <f>IFERROR(__xludf.DUMMYFUNCTION("""COMPUTED_VALUE"""),"Parag Kashyap")</f>
        <v>Parag Kashyap</v>
      </c>
      <c r="C6538" s="115" t="str">
        <f>IFERROR(__xludf.DUMMYFUNCTION("""COMPUTED_VALUE"""),"EXTERNAL")</f>
        <v>EXTERNAL</v>
      </c>
      <c r="D6538" s="115">
        <f>IFERROR(__xludf.DUMMYFUNCTION("""COMPUTED_VALUE"""),15158.0)</f>
        <v>15158</v>
      </c>
      <c r="E6538" s="115">
        <f>IFERROR(__xludf.DUMMYFUNCTION("""COMPUTED_VALUE"""),1099.0)</f>
        <v>1099</v>
      </c>
      <c r="F6538" s="115">
        <f>IFERROR(__xludf.DUMMYFUNCTION("""COMPUTED_VALUE"""),4401.0)</f>
        <v>4401</v>
      </c>
      <c r="G6538" s="115">
        <f>IFERROR(__xludf.DUMMYFUNCTION("""COMPUTED_VALUE"""),75.0)</f>
        <v>75</v>
      </c>
      <c r="H6538" s="116">
        <f>IFERROR(__xludf.DUMMYFUNCTION("""COMPUTED_VALUE"""),45912.0)</f>
        <v>45912</v>
      </c>
      <c r="I6538" s="115" t="str">
        <f>IFERROR(__xludf.DUMMYFUNCTION("""COMPUTED_VALUE"""),"15")</f>
        <v>15</v>
      </c>
      <c r="J6538" s="115"/>
      <c r="K6538" s="115"/>
    </row>
    <row r="6539">
      <c r="A6539" s="115" t="str">
        <f>IFERROR(__xludf.DUMMYFUNCTION("""COMPUTED_VALUE"""),"EAST")</f>
        <v>EAST</v>
      </c>
      <c r="B6539" s="115" t="str">
        <f>IFERROR(__xludf.DUMMYFUNCTION("""COMPUTED_VALUE"""),"Parag Kashyap")</f>
        <v>Parag Kashyap</v>
      </c>
      <c r="C6539" s="115" t="str">
        <f>IFERROR(__xludf.DUMMYFUNCTION("""COMPUTED_VALUE"""),"FLIPKART")</f>
        <v>FLIPKART</v>
      </c>
      <c r="D6539" s="115">
        <f>IFERROR(__xludf.DUMMYFUNCTION("""COMPUTED_VALUE"""),286935.0)</f>
        <v>286935</v>
      </c>
      <c r="E6539" s="115">
        <f>IFERROR(__xludf.DUMMYFUNCTION("""COMPUTED_VALUE"""),18742.0)</f>
        <v>18742</v>
      </c>
      <c r="F6539" s="115">
        <f>IFERROR(__xludf.DUMMYFUNCTION("""COMPUTED_VALUE"""),148847.0)</f>
        <v>148847</v>
      </c>
      <c r="G6539" s="115">
        <f>IFERROR(__xludf.DUMMYFUNCTION("""COMPUTED_VALUE"""),2989.0)</f>
        <v>2989</v>
      </c>
      <c r="H6539" s="116">
        <f>IFERROR(__xludf.DUMMYFUNCTION("""COMPUTED_VALUE"""),45912.0)</f>
        <v>45912</v>
      </c>
      <c r="I6539" s="115" t="str">
        <f>IFERROR(__xludf.DUMMYFUNCTION("""COMPUTED_VALUE"""),"15")</f>
        <v>15</v>
      </c>
      <c r="J6539" s="115"/>
      <c r="K6539" s="115"/>
    </row>
    <row r="6540">
      <c r="A6540" s="115" t="str">
        <f>IFERROR(__xludf.DUMMYFUNCTION("""COMPUTED_VALUE"""),"EAST")</f>
        <v>EAST</v>
      </c>
      <c r="B6540" s="115" t="str">
        <f>IFERROR(__xludf.DUMMYFUNCTION("""COMPUTED_VALUE"""),"Parag Kashyap")</f>
        <v>Parag Kashyap</v>
      </c>
      <c r="C6540" s="115" t="str">
        <f>IFERROR(__xludf.DUMMYFUNCTION("""COMPUTED_VALUE"""),"MYNTRA")</f>
        <v>MYNTRA</v>
      </c>
      <c r="D6540" s="115">
        <f>IFERROR(__xludf.DUMMYFUNCTION("""COMPUTED_VALUE"""),38004.0)</f>
        <v>38004</v>
      </c>
      <c r="E6540" s="115">
        <f>IFERROR(__xludf.DUMMYFUNCTION("""COMPUTED_VALUE"""),6087.0)</f>
        <v>6087</v>
      </c>
      <c r="F6540" s="115">
        <f>IFERROR(__xludf.DUMMYFUNCTION("""COMPUTED_VALUE"""),20375.0)</f>
        <v>20375</v>
      </c>
      <c r="G6540" s="115">
        <f>IFERROR(__xludf.DUMMYFUNCTION("""COMPUTED_VALUE"""),1017.0)</f>
        <v>1017</v>
      </c>
      <c r="H6540" s="116">
        <f>IFERROR(__xludf.DUMMYFUNCTION("""COMPUTED_VALUE"""),45912.0)</f>
        <v>45912</v>
      </c>
      <c r="I6540" s="115" t="str">
        <f>IFERROR(__xludf.DUMMYFUNCTION("""COMPUTED_VALUE"""),"15")</f>
        <v>15</v>
      </c>
      <c r="J6540" s="115"/>
      <c r="K6540" s="115"/>
    </row>
    <row r="6541">
      <c r="A6541" s="115" t="str">
        <f>IFERROR(__xludf.DUMMYFUNCTION("""COMPUTED_VALUE"""),"NORTH")</f>
        <v>NORTH</v>
      </c>
      <c r="B6541" s="115" t="str">
        <f>IFERROR(__xludf.DUMMYFUNCTION("""COMPUTED_VALUE"""),"Amit Kumar Pathak")</f>
        <v>Amit Kumar Pathak</v>
      </c>
      <c r="C6541" s="115" t="str">
        <f>IFERROR(__xludf.DUMMYFUNCTION("""COMPUTED_VALUE"""),"EXTERNAL")</f>
        <v>EXTERNAL</v>
      </c>
      <c r="D6541" s="115">
        <f>IFERROR(__xludf.DUMMYFUNCTION("""COMPUTED_VALUE"""),26913.0)</f>
        <v>26913</v>
      </c>
      <c r="E6541" s="115">
        <f>IFERROR(__xludf.DUMMYFUNCTION("""COMPUTED_VALUE"""),3287.0)</f>
        <v>3287</v>
      </c>
      <c r="F6541" s="115">
        <f>IFERROR(__xludf.DUMMYFUNCTION("""COMPUTED_VALUE"""),7492.0)</f>
        <v>7492</v>
      </c>
      <c r="G6541" s="115">
        <f>IFERROR(__xludf.DUMMYFUNCTION("""COMPUTED_VALUE"""),876.0)</f>
        <v>876</v>
      </c>
      <c r="H6541" s="116">
        <f>IFERROR(__xludf.DUMMYFUNCTION("""COMPUTED_VALUE"""),45912.0)</f>
        <v>45912</v>
      </c>
      <c r="I6541" s="115" t="str">
        <f>IFERROR(__xludf.DUMMYFUNCTION("""COMPUTED_VALUE"""),"15")</f>
        <v>15</v>
      </c>
      <c r="J6541" s="115"/>
      <c r="K6541" s="115"/>
    </row>
    <row r="6542">
      <c r="A6542" s="115" t="str">
        <f>IFERROR(__xludf.DUMMYFUNCTION("""COMPUTED_VALUE"""),"NORTH")</f>
        <v>NORTH</v>
      </c>
      <c r="B6542" s="115" t="str">
        <f>IFERROR(__xludf.DUMMYFUNCTION("""COMPUTED_VALUE"""),"Amit Kumar Pathak")</f>
        <v>Amit Kumar Pathak</v>
      </c>
      <c r="C6542" s="115" t="str">
        <f>IFERROR(__xludf.DUMMYFUNCTION("""COMPUTED_VALUE"""),"FLIPKART")</f>
        <v>FLIPKART</v>
      </c>
      <c r="D6542" s="115">
        <f>IFERROR(__xludf.DUMMYFUNCTION("""COMPUTED_VALUE"""),184531.0)</f>
        <v>184531</v>
      </c>
      <c r="E6542" s="115">
        <f>IFERROR(__xludf.DUMMYFUNCTION("""COMPUTED_VALUE"""),22460.0)</f>
        <v>22460</v>
      </c>
      <c r="F6542" s="115">
        <f>IFERROR(__xludf.DUMMYFUNCTION("""COMPUTED_VALUE"""),92174.0)</f>
        <v>92174</v>
      </c>
      <c r="G6542" s="115">
        <f>IFERROR(__xludf.DUMMYFUNCTION("""COMPUTED_VALUE"""),7950.0)</f>
        <v>7950</v>
      </c>
      <c r="H6542" s="116">
        <f>IFERROR(__xludf.DUMMYFUNCTION("""COMPUTED_VALUE"""),45912.0)</f>
        <v>45912</v>
      </c>
      <c r="I6542" s="115" t="str">
        <f>IFERROR(__xludf.DUMMYFUNCTION("""COMPUTED_VALUE"""),"15")</f>
        <v>15</v>
      </c>
      <c r="J6542" s="115"/>
      <c r="K6542" s="115"/>
    </row>
    <row r="6543">
      <c r="A6543" s="115" t="str">
        <f>IFERROR(__xludf.DUMMYFUNCTION("""COMPUTED_VALUE"""),"NORTH")</f>
        <v>NORTH</v>
      </c>
      <c r="B6543" s="115" t="str">
        <f>IFERROR(__xludf.DUMMYFUNCTION("""COMPUTED_VALUE"""),"Amit Kumar Pathak")</f>
        <v>Amit Kumar Pathak</v>
      </c>
      <c r="C6543" s="115" t="str">
        <f>IFERROR(__xludf.DUMMYFUNCTION("""COMPUTED_VALUE"""),"MYNTRA")</f>
        <v>MYNTRA</v>
      </c>
      <c r="D6543" s="115">
        <f>IFERROR(__xludf.DUMMYFUNCTION("""COMPUTED_VALUE"""),16112.0)</f>
        <v>16112</v>
      </c>
      <c r="E6543" s="115">
        <f>IFERROR(__xludf.DUMMYFUNCTION("""COMPUTED_VALUE"""),5447.0)</f>
        <v>5447</v>
      </c>
      <c r="F6543" s="115">
        <f>IFERROR(__xludf.DUMMYFUNCTION("""COMPUTED_VALUE"""),9523.0)</f>
        <v>9523</v>
      </c>
      <c r="G6543" s="115">
        <f>IFERROR(__xludf.DUMMYFUNCTION("""COMPUTED_VALUE"""),2053.0)</f>
        <v>2053</v>
      </c>
      <c r="H6543" s="116">
        <f>IFERROR(__xludf.DUMMYFUNCTION("""COMPUTED_VALUE"""),45912.0)</f>
        <v>45912</v>
      </c>
      <c r="I6543" s="115" t="str">
        <f>IFERROR(__xludf.DUMMYFUNCTION("""COMPUTED_VALUE"""),"15")</f>
        <v>15</v>
      </c>
      <c r="J6543" s="115"/>
      <c r="K6543" s="115"/>
    </row>
    <row r="6544">
      <c r="A6544" s="115" t="str">
        <f>IFERROR(__xludf.DUMMYFUNCTION("""COMPUTED_VALUE"""),"NORTH")</f>
        <v>NORTH</v>
      </c>
      <c r="B6544" s="115" t="str">
        <f>IFERROR(__xludf.DUMMYFUNCTION("""COMPUTED_VALUE"""),"Ashvani Bhatt")</f>
        <v>Ashvani Bhatt</v>
      </c>
      <c r="C6544" s="115" t="str">
        <f>IFERROR(__xludf.DUMMYFUNCTION("""COMPUTED_VALUE"""),"EXTERNAL")</f>
        <v>EXTERNAL</v>
      </c>
      <c r="D6544" s="115">
        <f>IFERROR(__xludf.DUMMYFUNCTION("""COMPUTED_VALUE"""),31.0)</f>
        <v>31</v>
      </c>
      <c r="E6544" s="115">
        <f>IFERROR(__xludf.DUMMYFUNCTION("""COMPUTED_VALUE"""),6.0)</f>
        <v>6</v>
      </c>
      <c r="F6544" s="115">
        <f>IFERROR(__xludf.DUMMYFUNCTION("""COMPUTED_VALUE"""),4.0)</f>
        <v>4</v>
      </c>
      <c r="G6544" s="115">
        <f>IFERROR(__xludf.DUMMYFUNCTION("""COMPUTED_VALUE"""),0.0)</f>
        <v>0</v>
      </c>
      <c r="H6544" s="116">
        <f>IFERROR(__xludf.DUMMYFUNCTION("""COMPUTED_VALUE"""),45912.0)</f>
        <v>45912</v>
      </c>
      <c r="I6544" s="115" t="str">
        <f>IFERROR(__xludf.DUMMYFUNCTION("""COMPUTED_VALUE"""),"15")</f>
        <v>15</v>
      </c>
      <c r="J6544" s="115"/>
      <c r="K6544" s="115"/>
    </row>
    <row r="6545">
      <c r="A6545" s="115" t="str">
        <f>IFERROR(__xludf.DUMMYFUNCTION("""COMPUTED_VALUE"""),"NORTH")</f>
        <v>NORTH</v>
      </c>
      <c r="B6545" s="115" t="str">
        <f>IFERROR(__xludf.DUMMYFUNCTION("""COMPUTED_VALUE"""),"Ashvani Bhatt")</f>
        <v>Ashvani Bhatt</v>
      </c>
      <c r="C6545" s="115" t="str">
        <f>IFERROR(__xludf.DUMMYFUNCTION("""COMPUTED_VALUE"""),"FLIPKART")</f>
        <v>FLIPKART</v>
      </c>
      <c r="D6545" s="115">
        <f>IFERROR(__xludf.DUMMYFUNCTION("""COMPUTED_VALUE"""),458.0)</f>
        <v>458</v>
      </c>
      <c r="E6545" s="115">
        <f>IFERROR(__xludf.DUMMYFUNCTION("""COMPUTED_VALUE"""),38.0)</f>
        <v>38</v>
      </c>
      <c r="F6545" s="115">
        <f>IFERROR(__xludf.DUMMYFUNCTION("""COMPUTED_VALUE"""),106.0)</f>
        <v>106</v>
      </c>
      <c r="G6545" s="115">
        <f>IFERROR(__xludf.DUMMYFUNCTION("""COMPUTED_VALUE"""),0.0)</f>
        <v>0</v>
      </c>
      <c r="H6545" s="116">
        <f>IFERROR(__xludf.DUMMYFUNCTION("""COMPUTED_VALUE"""),45912.0)</f>
        <v>45912</v>
      </c>
      <c r="I6545" s="115" t="str">
        <f>IFERROR(__xludf.DUMMYFUNCTION("""COMPUTED_VALUE"""),"15")</f>
        <v>15</v>
      </c>
      <c r="J6545" s="115"/>
      <c r="K6545" s="115"/>
    </row>
    <row r="6546">
      <c r="A6546" s="115" t="str">
        <f>IFERROR(__xludf.DUMMYFUNCTION("""COMPUTED_VALUE"""),"NORTH")</f>
        <v>NORTH</v>
      </c>
      <c r="B6546" s="115" t="str">
        <f>IFERROR(__xludf.DUMMYFUNCTION("""COMPUTED_VALUE"""),"Ashvani Bhatt")</f>
        <v>Ashvani Bhatt</v>
      </c>
      <c r="C6546" s="115" t="str">
        <f>IFERROR(__xludf.DUMMYFUNCTION("""COMPUTED_VALUE"""),"MYNTRA")</f>
        <v>MYNTRA</v>
      </c>
      <c r="D6546" s="115">
        <f>IFERROR(__xludf.DUMMYFUNCTION("""COMPUTED_VALUE"""),22.0)</f>
        <v>22</v>
      </c>
      <c r="E6546" s="115">
        <f>IFERROR(__xludf.DUMMYFUNCTION("""COMPUTED_VALUE"""),3.0)</f>
        <v>3</v>
      </c>
      <c r="F6546" s="115">
        <f>IFERROR(__xludf.DUMMYFUNCTION("""COMPUTED_VALUE"""),8.0)</f>
        <v>8</v>
      </c>
      <c r="G6546" s="115">
        <f>IFERROR(__xludf.DUMMYFUNCTION("""COMPUTED_VALUE"""),0.0)</f>
        <v>0</v>
      </c>
      <c r="H6546" s="116">
        <f>IFERROR(__xludf.DUMMYFUNCTION("""COMPUTED_VALUE"""),45912.0)</f>
        <v>45912</v>
      </c>
      <c r="I6546" s="115" t="str">
        <f>IFERROR(__xludf.DUMMYFUNCTION("""COMPUTED_VALUE"""),"15")</f>
        <v>15</v>
      </c>
      <c r="J6546" s="115"/>
      <c r="K6546" s="115"/>
    </row>
    <row r="6547">
      <c r="A6547" s="115" t="str">
        <f>IFERROR(__xludf.DUMMYFUNCTION("""COMPUTED_VALUE"""),"NORTH")</f>
        <v>NORTH</v>
      </c>
      <c r="B6547" s="115" t="str">
        <f>IFERROR(__xludf.DUMMYFUNCTION("""COMPUTED_VALUE"""),"Loveleen Singh")</f>
        <v>Loveleen Singh</v>
      </c>
      <c r="C6547" s="115" t="str">
        <f>IFERROR(__xludf.DUMMYFUNCTION("""COMPUTED_VALUE"""),"EXTERNAL")</f>
        <v>EXTERNAL</v>
      </c>
      <c r="D6547" s="115">
        <f>IFERROR(__xludf.DUMMYFUNCTION("""COMPUTED_VALUE"""),32833.0)</f>
        <v>32833</v>
      </c>
      <c r="E6547" s="115">
        <f>IFERROR(__xludf.DUMMYFUNCTION("""COMPUTED_VALUE"""),2542.0)</f>
        <v>2542</v>
      </c>
      <c r="F6547" s="115">
        <f>IFERROR(__xludf.DUMMYFUNCTION("""COMPUTED_VALUE"""),9660.0)</f>
        <v>9660</v>
      </c>
      <c r="G6547" s="115">
        <f>IFERROR(__xludf.DUMMYFUNCTION("""COMPUTED_VALUE"""),336.0)</f>
        <v>336</v>
      </c>
      <c r="H6547" s="116">
        <f>IFERROR(__xludf.DUMMYFUNCTION("""COMPUTED_VALUE"""),45912.0)</f>
        <v>45912</v>
      </c>
      <c r="I6547" s="115" t="str">
        <f>IFERROR(__xludf.DUMMYFUNCTION("""COMPUTED_VALUE"""),"15")</f>
        <v>15</v>
      </c>
      <c r="J6547" s="115"/>
      <c r="K6547" s="115"/>
    </row>
    <row r="6548">
      <c r="A6548" s="115" t="str">
        <f>IFERROR(__xludf.DUMMYFUNCTION("""COMPUTED_VALUE"""),"NORTH")</f>
        <v>NORTH</v>
      </c>
      <c r="B6548" s="115" t="str">
        <f>IFERROR(__xludf.DUMMYFUNCTION("""COMPUTED_VALUE"""),"Loveleen Singh")</f>
        <v>Loveleen Singh</v>
      </c>
      <c r="C6548" s="115" t="str">
        <f>IFERROR(__xludf.DUMMYFUNCTION("""COMPUTED_VALUE"""),"FLIPKART")</f>
        <v>FLIPKART</v>
      </c>
      <c r="D6548" s="115">
        <f>IFERROR(__xludf.DUMMYFUNCTION("""COMPUTED_VALUE"""),213865.0)</f>
        <v>213865</v>
      </c>
      <c r="E6548" s="115">
        <f>IFERROR(__xludf.DUMMYFUNCTION("""COMPUTED_VALUE"""),14496.0)</f>
        <v>14496</v>
      </c>
      <c r="F6548" s="115">
        <f>IFERROR(__xludf.DUMMYFUNCTION("""COMPUTED_VALUE"""),117859.0)</f>
        <v>117859</v>
      </c>
      <c r="G6548" s="115">
        <f>IFERROR(__xludf.DUMMYFUNCTION("""COMPUTED_VALUE"""),3467.0)</f>
        <v>3467</v>
      </c>
      <c r="H6548" s="116">
        <f>IFERROR(__xludf.DUMMYFUNCTION("""COMPUTED_VALUE"""),45912.0)</f>
        <v>45912</v>
      </c>
      <c r="I6548" s="115" t="str">
        <f>IFERROR(__xludf.DUMMYFUNCTION("""COMPUTED_VALUE"""),"15")</f>
        <v>15</v>
      </c>
      <c r="J6548" s="115"/>
      <c r="K6548" s="115"/>
    </row>
    <row r="6549">
      <c r="A6549" s="115" t="str">
        <f>IFERROR(__xludf.DUMMYFUNCTION("""COMPUTED_VALUE"""),"NORTH")</f>
        <v>NORTH</v>
      </c>
      <c r="B6549" s="115" t="str">
        <f>IFERROR(__xludf.DUMMYFUNCTION("""COMPUTED_VALUE"""),"Loveleen Singh")</f>
        <v>Loveleen Singh</v>
      </c>
      <c r="C6549" s="115" t="str">
        <f>IFERROR(__xludf.DUMMYFUNCTION("""COMPUTED_VALUE"""),"MYNTRA")</f>
        <v>MYNTRA</v>
      </c>
      <c r="D6549" s="115">
        <f>IFERROR(__xludf.DUMMYFUNCTION("""COMPUTED_VALUE"""),32777.0)</f>
        <v>32777</v>
      </c>
      <c r="E6549" s="115">
        <f>IFERROR(__xludf.DUMMYFUNCTION("""COMPUTED_VALUE"""),6199.0)</f>
        <v>6199</v>
      </c>
      <c r="F6549" s="115">
        <f>IFERROR(__xludf.DUMMYFUNCTION("""COMPUTED_VALUE"""),20430.0)</f>
        <v>20430</v>
      </c>
      <c r="G6549" s="115">
        <f>IFERROR(__xludf.DUMMYFUNCTION("""COMPUTED_VALUE"""),1792.0)</f>
        <v>1792</v>
      </c>
      <c r="H6549" s="116">
        <f>IFERROR(__xludf.DUMMYFUNCTION("""COMPUTED_VALUE"""),45912.0)</f>
        <v>45912</v>
      </c>
      <c r="I6549" s="115" t="str">
        <f>IFERROR(__xludf.DUMMYFUNCTION("""COMPUTED_VALUE"""),"15")</f>
        <v>15</v>
      </c>
      <c r="J6549" s="115"/>
      <c r="K6549" s="115"/>
    </row>
    <row r="6550">
      <c r="A6550" s="115" t="str">
        <f>IFERROR(__xludf.DUMMYFUNCTION("""COMPUTED_VALUE"""),"NORTH")</f>
        <v>NORTH</v>
      </c>
      <c r="B6550" s="115" t="str">
        <f>IFERROR(__xludf.DUMMYFUNCTION("""COMPUTED_VALUE"""),"Manoj Harsh")</f>
        <v>Manoj Harsh</v>
      </c>
      <c r="C6550" s="115" t="str">
        <f>IFERROR(__xludf.DUMMYFUNCTION("""COMPUTED_VALUE"""),"EXTERNAL")</f>
        <v>EXTERNAL</v>
      </c>
      <c r="D6550" s="115">
        <f>IFERROR(__xludf.DUMMYFUNCTION("""COMPUTED_VALUE"""),36322.0)</f>
        <v>36322</v>
      </c>
      <c r="E6550" s="115">
        <f>IFERROR(__xludf.DUMMYFUNCTION("""COMPUTED_VALUE"""),2626.0)</f>
        <v>2626</v>
      </c>
      <c r="F6550" s="115">
        <f>IFERROR(__xludf.DUMMYFUNCTION("""COMPUTED_VALUE"""),11493.0)</f>
        <v>11493</v>
      </c>
      <c r="G6550" s="115">
        <f>IFERROR(__xludf.DUMMYFUNCTION("""COMPUTED_VALUE"""),290.0)</f>
        <v>290</v>
      </c>
      <c r="H6550" s="116">
        <f>IFERROR(__xludf.DUMMYFUNCTION("""COMPUTED_VALUE"""),45912.0)</f>
        <v>45912</v>
      </c>
      <c r="I6550" s="115" t="str">
        <f>IFERROR(__xludf.DUMMYFUNCTION("""COMPUTED_VALUE"""),"15")</f>
        <v>15</v>
      </c>
      <c r="J6550" s="115"/>
      <c r="K6550" s="115"/>
    </row>
    <row r="6551">
      <c r="A6551" s="115" t="str">
        <f>IFERROR(__xludf.DUMMYFUNCTION("""COMPUTED_VALUE"""),"NORTH")</f>
        <v>NORTH</v>
      </c>
      <c r="B6551" s="115" t="str">
        <f>IFERROR(__xludf.DUMMYFUNCTION("""COMPUTED_VALUE"""),"Manoj Harsh")</f>
        <v>Manoj Harsh</v>
      </c>
      <c r="C6551" s="115" t="str">
        <f>IFERROR(__xludf.DUMMYFUNCTION("""COMPUTED_VALUE"""),"FLIPKART")</f>
        <v>FLIPKART</v>
      </c>
      <c r="D6551" s="115">
        <f>IFERROR(__xludf.DUMMYFUNCTION("""COMPUTED_VALUE"""),477370.0)</f>
        <v>477370</v>
      </c>
      <c r="E6551" s="115">
        <f>IFERROR(__xludf.DUMMYFUNCTION("""COMPUTED_VALUE"""),36178.0)</f>
        <v>36178</v>
      </c>
      <c r="F6551" s="115">
        <f>IFERROR(__xludf.DUMMYFUNCTION("""COMPUTED_VALUE"""),242634.0)</f>
        <v>242634</v>
      </c>
      <c r="G6551" s="115">
        <f>IFERROR(__xludf.DUMMYFUNCTION("""COMPUTED_VALUE"""),7313.0)</f>
        <v>7313</v>
      </c>
      <c r="H6551" s="116">
        <f>IFERROR(__xludf.DUMMYFUNCTION("""COMPUTED_VALUE"""),45912.0)</f>
        <v>45912</v>
      </c>
      <c r="I6551" s="115" t="str">
        <f>IFERROR(__xludf.DUMMYFUNCTION("""COMPUTED_VALUE"""),"15")</f>
        <v>15</v>
      </c>
      <c r="J6551" s="115"/>
      <c r="K6551" s="115"/>
    </row>
    <row r="6552">
      <c r="A6552" s="115" t="str">
        <f>IFERROR(__xludf.DUMMYFUNCTION("""COMPUTED_VALUE"""),"NORTH")</f>
        <v>NORTH</v>
      </c>
      <c r="B6552" s="115" t="str">
        <f>IFERROR(__xludf.DUMMYFUNCTION("""COMPUTED_VALUE"""),"Manoj Harsh")</f>
        <v>Manoj Harsh</v>
      </c>
      <c r="C6552" s="115" t="str">
        <f>IFERROR(__xludf.DUMMYFUNCTION("""COMPUTED_VALUE"""),"MYNTRA")</f>
        <v>MYNTRA</v>
      </c>
      <c r="D6552" s="115">
        <f>IFERROR(__xludf.DUMMYFUNCTION("""COMPUTED_VALUE"""),37009.0)</f>
        <v>37009</v>
      </c>
      <c r="E6552" s="115">
        <f>IFERROR(__xludf.DUMMYFUNCTION("""COMPUTED_VALUE"""),6953.0)</f>
        <v>6953</v>
      </c>
      <c r="F6552" s="115">
        <f>IFERROR(__xludf.DUMMYFUNCTION("""COMPUTED_VALUE"""),20910.0)</f>
        <v>20910</v>
      </c>
      <c r="G6552" s="115">
        <f>IFERROR(__xludf.DUMMYFUNCTION("""COMPUTED_VALUE"""),1736.0)</f>
        <v>1736</v>
      </c>
      <c r="H6552" s="116">
        <f>IFERROR(__xludf.DUMMYFUNCTION("""COMPUTED_VALUE"""),45912.0)</f>
        <v>45912</v>
      </c>
      <c r="I6552" s="115" t="str">
        <f>IFERROR(__xludf.DUMMYFUNCTION("""COMPUTED_VALUE"""),"15")</f>
        <v>15</v>
      </c>
      <c r="J6552" s="115"/>
      <c r="K6552" s="115"/>
    </row>
    <row r="6553">
      <c r="A6553" s="115" t="str">
        <f>IFERROR(__xludf.DUMMYFUNCTION("""COMPUTED_VALUE"""),"NORTH")</f>
        <v>NORTH</v>
      </c>
      <c r="B6553" s="115" t="str">
        <f>IFERROR(__xludf.DUMMYFUNCTION("""COMPUTED_VALUE"""),"Pradeep Kothari")</f>
        <v>Pradeep Kothari</v>
      </c>
      <c r="C6553" s="115" t="str">
        <f>IFERROR(__xludf.DUMMYFUNCTION("""COMPUTED_VALUE"""),"EXTERNAL")</f>
        <v>EXTERNAL</v>
      </c>
      <c r="D6553" s="115">
        <f>IFERROR(__xludf.DUMMYFUNCTION("""COMPUTED_VALUE"""),19980.0)</f>
        <v>19980</v>
      </c>
      <c r="E6553" s="115">
        <f>IFERROR(__xludf.DUMMYFUNCTION("""COMPUTED_VALUE"""),1925.0)</f>
        <v>1925</v>
      </c>
      <c r="F6553" s="115">
        <f>IFERROR(__xludf.DUMMYFUNCTION("""COMPUTED_VALUE"""),6404.0)</f>
        <v>6404</v>
      </c>
      <c r="G6553" s="115">
        <f>IFERROR(__xludf.DUMMYFUNCTION("""COMPUTED_VALUE"""),423.0)</f>
        <v>423</v>
      </c>
      <c r="H6553" s="116">
        <f>IFERROR(__xludf.DUMMYFUNCTION("""COMPUTED_VALUE"""),45912.0)</f>
        <v>45912</v>
      </c>
      <c r="I6553" s="115" t="str">
        <f>IFERROR(__xludf.DUMMYFUNCTION("""COMPUTED_VALUE"""),"15")</f>
        <v>15</v>
      </c>
      <c r="J6553" s="115"/>
      <c r="K6553" s="115"/>
    </row>
    <row r="6554">
      <c r="A6554" s="115" t="str">
        <f>IFERROR(__xludf.DUMMYFUNCTION("""COMPUTED_VALUE"""),"NORTH")</f>
        <v>NORTH</v>
      </c>
      <c r="B6554" s="115" t="str">
        <f>IFERROR(__xludf.DUMMYFUNCTION("""COMPUTED_VALUE"""),"Pradeep Kothari")</f>
        <v>Pradeep Kothari</v>
      </c>
      <c r="C6554" s="115" t="str">
        <f>IFERROR(__xludf.DUMMYFUNCTION("""COMPUTED_VALUE"""),"FLIPKART")</f>
        <v>FLIPKART</v>
      </c>
      <c r="D6554" s="115">
        <f>IFERROR(__xludf.DUMMYFUNCTION("""COMPUTED_VALUE"""),177962.0)</f>
        <v>177962</v>
      </c>
      <c r="E6554" s="115">
        <f>IFERROR(__xludf.DUMMYFUNCTION("""COMPUTED_VALUE"""),16723.0)</f>
        <v>16723</v>
      </c>
      <c r="F6554" s="115">
        <f>IFERROR(__xludf.DUMMYFUNCTION("""COMPUTED_VALUE"""),105270.0)</f>
        <v>105270</v>
      </c>
      <c r="G6554" s="115">
        <f>IFERROR(__xludf.DUMMYFUNCTION("""COMPUTED_VALUE"""),5570.0)</f>
        <v>5570</v>
      </c>
      <c r="H6554" s="116">
        <f>IFERROR(__xludf.DUMMYFUNCTION("""COMPUTED_VALUE"""),45912.0)</f>
        <v>45912</v>
      </c>
      <c r="I6554" s="115" t="str">
        <f>IFERROR(__xludf.DUMMYFUNCTION("""COMPUTED_VALUE"""),"15")</f>
        <v>15</v>
      </c>
      <c r="J6554" s="115"/>
      <c r="K6554" s="115"/>
    </row>
    <row r="6555">
      <c r="A6555" s="115" t="str">
        <f>IFERROR(__xludf.DUMMYFUNCTION("""COMPUTED_VALUE"""),"NORTH")</f>
        <v>NORTH</v>
      </c>
      <c r="B6555" s="115" t="str">
        <f>IFERROR(__xludf.DUMMYFUNCTION("""COMPUTED_VALUE"""),"Pradeep Kothari")</f>
        <v>Pradeep Kothari</v>
      </c>
      <c r="C6555" s="115" t="str">
        <f>IFERROR(__xludf.DUMMYFUNCTION("""COMPUTED_VALUE"""),"MYNTRA")</f>
        <v>MYNTRA</v>
      </c>
      <c r="D6555" s="115">
        <f>IFERROR(__xludf.DUMMYFUNCTION("""COMPUTED_VALUE"""),26504.0)</f>
        <v>26504</v>
      </c>
      <c r="E6555" s="115">
        <f>IFERROR(__xludf.DUMMYFUNCTION("""COMPUTED_VALUE"""),6186.0)</f>
        <v>6186</v>
      </c>
      <c r="F6555" s="115">
        <f>IFERROR(__xludf.DUMMYFUNCTION("""COMPUTED_VALUE"""),18031.0)</f>
        <v>18031</v>
      </c>
      <c r="G6555" s="115">
        <f>IFERROR(__xludf.DUMMYFUNCTION("""COMPUTED_VALUE"""),2472.0)</f>
        <v>2472</v>
      </c>
      <c r="H6555" s="116">
        <f>IFERROR(__xludf.DUMMYFUNCTION("""COMPUTED_VALUE"""),45912.0)</f>
        <v>45912</v>
      </c>
      <c r="I6555" s="115" t="str">
        <f>IFERROR(__xludf.DUMMYFUNCTION("""COMPUTED_VALUE"""),"15")</f>
        <v>15</v>
      </c>
      <c r="J6555" s="115"/>
      <c r="K6555" s="115"/>
    </row>
    <row r="6556">
      <c r="A6556" s="115" t="str">
        <f>IFERROR(__xludf.DUMMYFUNCTION("""COMPUTED_VALUE"""),"SOUTH")</f>
        <v>SOUTH</v>
      </c>
      <c r="B6556" s="115" t="str">
        <f>IFERROR(__xludf.DUMMYFUNCTION("""COMPUTED_VALUE"""),"Kandula Sampath")</f>
        <v>Kandula Sampath</v>
      </c>
      <c r="C6556" s="115" t="str">
        <f>IFERROR(__xludf.DUMMYFUNCTION("""COMPUTED_VALUE"""),"EXTERNAL")</f>
        <v>EXTERNAL</v>
      </c>
      <c r="D6556" s="115">
        <f>IFERROR(__xludf.DUMMYFUNCTION("""COMPUTED_VALUE"""),34506.0)</f>
        <v>34506</v>
      </c>
      <c r="E6556" s="115">
        <f>IFERROR(__xludf.DUMMYFUNCTION("""COMPUTED_VALUE"""),4287.0)</f>
        <v>4287</v>
      </c>
      <c r="F6556" s="115">
        <f>IFERROR(__xludf.DUMMYFUNCTION("""COMPUTED_VALUE"""),11096.0)</f>
        <v>11096</v>
      </c>
      <c r="G6556" s="115">
        <f>IFERROR(__xludf.DUMMYFUNCTION("""COMPUTED_VALUE"""),556.0)</f>
        <v>556</v>
      </c>
      <c r="H6556" s="116">
        <f>IFERROR(__xludf.DUMMYFUNCTION("""COMPUTED_VALUE"""),45912.0)</f>
        <v>45912</v>
      </c>
      <c r="I6556" s="115" t="str">
        <f>IFERROR(__xludf.DUMMYFUNCTION("""COMPUTED_VALUE"""),"15")</f>
        <v>15</v>
      </c>
      <c r="J6556" s="115"/>
      <c r="K6556" s="115"/>
    </row>
    <row r="6557">
      <c r="A6557" s="115" t="str">
        <f>IFERROR(__xludf.DUMMYFUNCTION("""COMPUTED_VALUE"""),"SOUTH")</f>
        <v>SOUTH</v>
      </c>
      <c r="B6557" s="115" t="str">
        <f>IFERROR(__xludf.DUMMYFUNCTION("""COMPUTED_VALUE"""),"Kandula Sampath")</f>
        <v>Kandula Sampath</v>
      </c>
      <c r="C6557" s="115" t="str">
        <f>IFERROR(__xludf.DUMMYFUNCTION("""COMPUTED_VALUE"""),"FLIPKART")</f>
        <v>FLIPKART</v>
      </c>
      <c r="D6557" s="115">
        <f>IFERROR(__xludf.DUMMYFUNCTION("""COMPUTED_VALUE"""),384134.0)</f>
        <v>384134</v>
      </c>
      <c r="E6557" s="115">
        <f>IFERROR(__xludf.DUMMYFUNCTION("""COMPUTED_VALUE"""),30409.0)</f>
        <v>30409</v>
      </c>
      <c r="F6557" s="115">
        <f>IFERROR(__xludf.DUMMYFUNCTION("""COMPUTED_VALUE"""),204483.0)</f>
        <v>204483</v>
      </c>
      <c r="G6557" s="115">
        <f>IFERROR(__xludf.DUMMYFUNCTION("""COMPUTED_VALUE"""),5899.0)</f>
        <v>5899</v>
      </c>
      <c r="H6557" s="116">
        <f>IFERROR(__xludf.DUMMYFUNCTION("""COMPUTED_VALUE"""),45912.0)</f>
        <v>45912</v>
      </c>
      <c r="I6557" s="115" t="str">
        <f>IFERROR(__xludf.DUMMYFUNCTION("""COMPUTED_VALUE"""),"15")</f>
        <v>15</v>
      </c>
      <c r="J6557" s="115"/>
      <c r="K6557" s="115"/>
    </row>
    <row r="6558">
      <c r="A6558" s="115" t="str">
        <f>IFERROR(__xludf.DUMMYFUNCTION("""COMPUTED_VALUE"""),"SOUTH")</f>
        <v>SOUTH</v>
      </c>
      <c r="B6558" s="115" t="str">
        <f>IFERROR(__xludf.DUMMYFUNCTION("""COMPUTED_VALUE"""),"Kandula Sampath")</f>
        <v>Kandula Sampath</v>
      </c>
      <c r="C6558" s="115" t="str">
        <f>IFERROR(__xludf.DUMMYFUNCTION("""COMPUTED_VALUE"""),"MYNTRA")</f>
        <v>MYNTRA</v>
      </c>
      <c r="D6558" s="115">
        <f>IFERROR(__xludf.DUMMYFUNCTION("""COMPUTED_VALUE"""),40581.0)</f>
        <v>40581</v>
      </c>
      <c r="E6558" s="115">
        <f>IFERROR(__xludf.DUMMYFUNCTION("""COMPUTED_VALUE"""),8486.0)</f>
        <v>8486</v>
      </c>
      <c r="F6558" s="115">
        <f>IFERROR(__xludf.DUMMYFUNCTION("""COMPUTED_VALUE"""),24179.0)</f>
        <v>24179</v>
      </c>
      <c r="G6558" s="115">
        <f>IFERROR(__xludf.DUMMYFUNCTION("""COMPUTED_VALUE"""),1823.0)</f>
        <v>1823</v>
      </c>
      <c r="H6558" s="116">
        <f>IFERROR(__xludf.DUMMYFUNCTION("""COMPUTED_VALUE"""),45912.0)</f>
        <v>45912</v>
      </c>
      <c r="I6558" s="115" t="str">
        <f>IFERROR(__xludf.DUMMYFUNCTION("""COMPUTED_VALUE"""),"15")</f>
        <v>15</v>
      </c>
      <c r="J6558" s="115"/>
      <c r="K6558" s="115"/>
    </row>
    <row r="6559">
      <c r="A6559" s="115" t="str">
        <f>IFERROR(__xludf.DUMMYFUNCTION("""COMPUTED_VALUE"""),"SOUTH")</f>
        <v>SOUTH</v>
      </c>
      <c r="B6559" s="115" t="str">
        <f>IFERROR(__xludf.DUMMYFUNCTION("""COMPUTED_VALUE"""),"Martin A")</f>
        <v>Martin A</v>
      </c>
      <c r="C6559" s="115" t="str">
        <f>IFERROR(__xludf.DUMMYFUNCTION("""COMPUTED_VALUE"""),"EXTERNAL")</f>
        <v>EXTERNAL</v>
      </c>
      <c r="D6559" s="115">
        <f>IFERROR(__xludf.DUMMYFUNCTION("""COMPUTED_VALUE"""),30029.0)</f>
        <v>30029</v>
      </c>
      <c r="E6559" s="115">
        <f>IFERROR(__xludf.DUMMYFUNCTION("""COMPUTED_VALUE"""),3571.0)</f>
        <v>3571</v>
      </c>
      <c r="F6559" s="115">
        <f>IFERROR(__xludf.DUMMYFUNCTION("""COMPUTED_VALUE"""),9775.0)</f>
        <v>9775</v>
      </c>
      <c r="G6559" s="115">
        <f>IFERROR(__xludf.DUMMYFUNCTION("""COMPUTED_VALUE"""),804.0)</f>
        <v>804</v>
      </c>
      <c r="H6559" s="116">
        <f>IFERROR(__xludf.DUMMYFUNCTION("""COMPUTED_VALUE"""),45912.0)</f>
        <v>45912</v>
      </c>
      <c r="I6559" s="115" t="str">
        <f>IFERROR(__xludf.DUMMYFUNCTION("""COMPUTED_VALUE"""),"15")</f>
        <v>15</v>
      </c>
      <c r="J6559" s="115"/>
      <c r="K6559" s="115"/>
    </row>
    <row r="6560">
      <c r="A6560" s="115" t="str">
        <f>IFERROR(__xludf.DUMMYFUNCTION("""COMPUTED_VALUE"""),"SOUTH")</f>
        <v>SOUTH</v>
      </c>
      <c r="B6560" s="115" t="str">
        <f>IFERROR(__xludf.DUMMYFUNCTION("""COMPUTED_VALUE"""),"Martin A")</f>
        <v>Martin A</v>
      </c>
      <c r="C6560" s="115" t="str">
        <f>IFERROR(__xludf.DUMMYFUNCTION("""COMPUTED_VALUE"""),"FLIPKART")</f>
        <v>FLIPKART</v>
      </c>
      <c r="D6560" s="115">
        <f>IFERROR(__xludf.DUMMYFUNCTION("""COMPUTED_VALUE"""),305009.0)</f>
        <v>305009</v>
      </c>
      <c r="E6560" s="115">
        <f>IFERROR(__xludf.DUMMYFUNCTION("""COMPUTED_VALUE"""),25077.0)</f>
        <v>25077</v>
      </c>
      <c r="F6560" s="115">
        <f>IFERROR(__xludf.DUMMYFUNCTION("""COMPUTED_VALUE"""),166647.0)</f>
        <v>166647</v>
      </c>
      <c r="G6560" s="115">
        <f>IFERROR(__xludf.DUMMYFUNCTION("""COMPUTED_VALUE"""),6842.0)</f>
        <v>6842</v>
      </c>
      <c r="H6560" s="116">
        <f>IFERROR(__xludf.DUMMYFUNCTION("""COMPUTED_VALUE"""),45912.0)</f>
        <v>45912</v>
      </c>
      <c r="I6560" s="115" t="str">
        <f>IFERROR(__xludf.DUMMYFUNCTION("""COMPUTED_VALUE"""),"15")</f>
        <v>15</v>
      </c>
      <c r="J6560" s="115"/>
      <c r="K6560" s="115"/>
    </row>
    <row r="6561">
      <c r="A6561" s="115" t="str">
        <f>IFERROR(__xludf.DUMMYFUNCTION("""COMPUTED_VALUE"""),"SOUTH")</f>
        <v>SOUTH</v>
      </c>
      <c r="B6561" s="115" t="str">
        <f>IFERROR(__xludf.DUMMYFUNCTION("""COMPUTED_VALUE"""),"Martin A")</f>
        <v>Martin A</v>
      </c>
      <c r="C6561" s="115" t="str">
        <f>IFERROR(__xludf.DUMMYFUNCTION("""COMPUTED_VALUE"""),"MYNTRA")</f>
        <v>MYNTRA</v>
      </c>
      <c r="D6561" s="115">
        <f>IFERROR(__xludf.DUMMYFUNCTION("""COMPUTED_VALUE"""),27962.0)</f>
        <v>27962</v>
      </c>
      <c r="E6561" s="115">
        <f>IFERROR(__xludf.DUMMYFUNCTION("""COMPUTED_VALUE"""),6486.0)</f>
        <v>6486</v>
      </c>
      <c r="F6561" s="115">
        <f>IFERROR(__xludf.DUMMYFUNCTION("""COMPUTED_VALUE"""),18019.0)</f>
        <v>18019</v>
      </c>
      <c r="G6561" s="115">
        <f>IFERROR(__xludf.DUMMYFUNCTION("""COMPUTED_VALUE"""),2022.0)</f>
        <v>2022</v>
      </c>
      <c r="H6561" s="116">
        <f>IFERROR(__xludf.DUMMYFUNCTION("""COMPUTED_VALUE"""),45912.0)</f>
        <v>45912</v>
      </c>
      <c r="I6561" s="115" t="str">
        <f>IFERROR(__xludf.DUMMYFUNCTION("""COMPUTED_VALUE"""),"15")</f>
        <v>15</v>
      </c>
      <c r="J6561" s="115"/>
      <c r="K6561" s="115"/>
    </row>
    <row r="6562">
      <c r="A6562" s="115" t="str">
        <f>IFERROR(__xludf.DUMMYFUNCTION("""COMPUTED_VALUE"""),"SOUTH")</f>
        <v>SOUTH</v>
      </c>
      <c r="B6562" s="115" t="str">
        <f>IFERROR(__xludf.DUMMYFUNCTION("""COMPUTED_VALUE"""),"Premkumar M")</f>
        <v>Premkumar M</v>
      </c>
      <c r="C6562" s="115" t="str">
        <f>IFERROR(__xludf.DUMMYFUNCTION("""COMPUTED_VALUE"""),"EXTERNAL")</f>
        <v>EXTERNAL</v>
      </c>
      <c r="D6562" s="115">
        <f>IFERROR(__xludf.DUMMYFUNCTION("""COMPUTED_VALUE"""),28552.0)</f>
        <v>28552</v>
      </c>
      <c r="E6562" s="115">
        <f>IFERROR(__xludf.DUMMYFUNCTION("""COMPUTED_VALUE"""),2058.0)</f>
        <v>2058</v>
      </c>
      <c r="F6562" s="115">
        <f>IFERROR(__xludf.DUMMYFUNCTION("""COMPUTED_VALUE"""),8522.0)</f>
        <v>8522</v>
      </c>
      <c r="G6562" s="115">
        <f>IFERROR(__xludf.DUMMYFUNCTION("""COMPUTED_VALUE"""),120.0)</f>
        <v>120</v>
      </c>
      <c r="H6562" s="116">
        <f>IFERROR(__xludf.DUMMYFUNCTION("""COMPUTED_VALUE"""),45912.0)</f>
        <v>45912</v>
      </c>
      <c r="I6562" s="115" t="str">
        <f>IFERROR(__xludf.DUMMYFUNCTION("""COMPUTED_VALUE"""),"15")</f>
        <v>15</v>
      </c>
      <c r="J6562" s="115"/>
      <c r="K6562" s="115"/>
    </row>
    <row r="6563">
      <c r="A6563" s="115" t="str">
        <f>IFERROR(__xludf.DUMMYFUNCTION("""COMPUTED_VALUE"""),"SOUTH")</f>
        <v>SOUTH</v>
      </c>
      <c r="B6563" s="115" t="str">
        <f>IFERROR(__xludf.DUMMYFUNCTION("""COMPUTED_VALUE"""),"Premkumar M")</f>
        <v>Premkumar M</v>
      </c>
      <c r="C6563" s="115" t="str">
        <f>IFERROR(__xludf.DUMMYFUNCTION("""COMPUTED_VALUE"""),"FLIPKART")</f>
        <v>FLIPKART</v>
      </c>
      <c r="D6563" s="115">
        <f>IFERROR(__xludf.DUMMYFUNCTION("""COMPUTED_VALUE"""),305799.0)</f>
        <v>305799</v>
      </c>
      <c r="E6563" s="115">
        <f>IFERROR(__xludf.DUMMYFUNCTION("""COMPUTED_VALUE"""),17442.0)</f>
        <v>17442</v>
      </c>
      <c r="F6563" s="115">
        <f>IFERROR(__xludf.DUMMYFUNCTION("""COMPUTED_VALUE"""),137618.0)</f>
        <v>137618</v>
      </c>
      <c r="G6563" s="115">
        <f>IFERROR(__xludf.DUMMYFUNCTION("""COMPUTED_VALUE"""),1750.0)</f>
        <v>1750</v>
      </c>
      <c r="H6563" s="116">
        <f>IFERROR(__xludf.DUMMYFUNCTION("""COMPUTED_VALUE"""),45912.0)</f>
        <v>45912</v>
      </c>
      <c r="I6563" s="115" t="str">
        <f>IFERROR(__xludf.DUMMYFUNCTION("""COMPUTED_VALUE"""),"15")</f>
        <v>15</v>
      </c>
      <c r="J6563" s="115"/>
      <c r="K6563" s="115"/>
    </row>
    <row r="6564">
      <c r="A6564" s="115" t="str">
        <f>IFERROR(__xludf.DUMMYFUNCTION("""COMPUTED_VALUE"""),"SOUTH")</f>
        <v>SOUTH</v>
      </c>
      <c r="B6564" s="115" t="str">
        <f>IFERROR(__xludf.DUMMYFUNCTION("""COMPUTED_VALUE"""),"Premkumar M")</f>
        <v>Premkumar M</v>
      </c>
      <c r="C6564" s="115" t="str">
        <f>IFERROR(__xludf.DUMMYFUNCTION("""COMPUTED_VALUE"""),"MYNTRA")</f>
        <v>MYNTRA</v>
      </c>
      <c r="D6564" s="115">
        <f>IFERROR(__xludf.DUMMYFUNCTION("""COMPUTED_VALUE"""),15653.0)</f>
        <v>15653</v>
      </c>
      <c r="E6564" s="115">
        <f>IFERROR(__xludf.DUMMYFUNCTION("""COMPUTED_VALUE"""),2687.0)</f>
        <v>2687</v>
      </c>
      <c r="F6564" s="115">
        <f>IFERROR(__xludf.DUMMYFUNCTION("""COMPUTED_VALUE"""),8191.0)</f>
        <v>8191</v>
      </c>
      <c r="G6564" s="115">
        <f>IFERROR(__xludf.DUMMYFUNCTION("""COMPUTED_VALUE"""),324.0)</f>
        <v>324</v>
      </c>
      <c r="H6564" s="116">
        <f>IFERROR(__xludf.DUMMYFUNCTION("""COMPUTED_VALUE"""),45912.0)</f>
        <v>45912</v>
      </c>
      <c r="I6564" s="115" t="str">
        <f>IFERROR(__xludf.DUMMYFUNCTION("""COMPUTED_VALUE"""),"15")</f>
        <v>15</v>
      </c>
      <c r="J6564" s="115"/>
      <c r="K6564" s="115"/>
    </row>
    <row r="6565">
      <c r="A6565" s="115" t="str">
        <f>IFERROR(__xludf.DUMMYFUNCTION("""COMPUTED_VALUE"""),"SOUTH")</f>
        <v>SOUTH</v>
      </c>
      <c r="B6565" s="115" t="str">
        <f>IFERROR(__xludf.DUMMYFUNCTION("""COMPUTED_VALUE"""),"Vineeth V")</f>
        <v>Vineeth V</v>
      </c>
      <c r="C6565" s="115" t="str">
        <f>IFERROR(__xludf.DUMMYFUNCTION("""COMPUTED_VALUE"""),"EXTERNAL")</f>
        <v>EXTERNAL</v>
      </c>
      <c r="D6565" s="115">
        <f>IFERROR(__xludf.DUMMYFUNCTION("""COMPUTED_VALUE"""),20818.0)</f>
        <v>20818</v>
      </c>
      <c r="E6565" s="115">
        <f>IFERROR(__xludf.DUMMYFUNCTION("""COMPUTED_VALUE"""),552.0)</f>
        <v>552</v>
      </c>
      <c r="F6565" s="115">
        <f>IFERROR(__xludf.DUMMYFUNCTION("""COMPUTED_VALUE"""),7031.0)</f>
        <v>7031</v>
      </c>
      <c r="G6565" s="115">
        <f>IFERROR(__xludf.DUMMYFUNCTION("""COMPUTED_VALUE"""),74.0)</f>
        <v>74</v>
      </c>
      <c r="H6565" s="116">
        <f>IFERROR(__xludf.DUMMYFUNCTION("""COMPUTED_VALUE"""),45912.0)</f>
        <v>45912</v>
      </c>
      <c r="I6565" s="115" t="str">
        <f>IFERROR(__xludf.DUMMYFUNCTION("""COMPUTED_VALUE"""),"15")</f>
        <v>15</v>
      </c>
      <c r="J6565" s="115"/>
      <c r="K6565" s="115"/>
    </row>
    <row r="6566">
      <c r="A6566" s="115" t="str">
        <f>IFERROR(__xludf.DUMMYFUNCTION("""COMPUTED_VALUE"""),"SOUTH")</f>
        <v>SOUTH</v>
      </c>
      <c r="B6566" s="115" t="str">
        <f>IFERROR(__xludf.DUMMYFUNCTION("""COMPUTED_VALUE"""),"Vineeth V")</f>
        <v>Vineeth V</v>
      </c>
      <c r="C6566" s="115" t="str">
        <f>IFERROR(__xludf.DUMMYFUNCTION("""COMPUTED_VALUE"""),"FLIPKART")</f>
        <v>FLIPKART</v>
      </c>
      <c r="D6566" s="115">
        <f>IFERROR(__xludf.DUMMYFUNCTION("""COMPUTED_VALUE"""),219284.0)</f>
        <v>219284</v>
      </c>
      <c r="E6566" s="115">
        <f>IFERROR(__xludf.DUMMYFUNCTION("""COMPUTED_VALUE"""),13123.0)</f>
        <v>13123</v>
      </c>
      <c r="F6566" s="115">
        <f>IFERROR(__xludf.DUMMYFUNCTION("""COMPUTED_VALUE"""),115696.0)</f>
        <v>115696</v>
      </c>
      <c r="G6566" s="115">
        <f>IFERROR(__xludf.DUMMYFUNCTION("""COMPUTED_VALUE"""),1589.0)</f>
        <v>1589</v>
      </c>
      <c r="H6566" s="116">
        <f>IFERROR(__xludf.DUMMYFUNCTION("""COMPUTED_VALUE"""),45912.0)</f>
        <v>45912</v>
      </c>
      <c r="I6566" s="115" t="str">
        <f>IFERROR(__xludf.DUMMYFUNCTION("""COMPUTED_VALUE"""),"15")</f>
        <v>15</v>
      </c>
      <c r="J6566" s="115"/>
      <c r="K6566" s="115"/>
    </row>
    <row r="6567">
      <c r="A6567" s="115" t="str">
        <f>IFERROR(__xludf.DUMMYFUNCTION("""COMPUTED_VALUE"""),"SOUTH")</f>
        <v>SOUTH</v>
      </c>
      <c r="B6567" s="115" t="str">
        <f>IFERROR(__xludf.DUMMYFUNCTION("""COMPUTED_VALUE"""),"Vineeth V")</f>
        <v>Vineeth V</v>
      </c>
      <c r="C6567" s="115" t="str">
        <f>IFERROR(__xludf.DUMMYFUNCTION("""COMPUTED_VALUE"""),"MYNTRA")</f>
        <v>MYNTRA</v>
      </c>
      <c r="D6567" s="115">
        <f>IFERROR(__xludf.DUMMYFUNCTION("""COMPUTED_VALUE"""),16790.0)</f>
        <v>16790</v>
      </c>
      <c r="E6567" s="115">
        <f>IFERROR(__xludf.DUMMYFUNCTION("""COMPUTED_VALUE"""),3166.0)</f>
        <v>3166</v>
      </c>
      <c r="F6567" s="115">
        <f>IFERROR(__xludf.DUMMYFUNCTION("""COMPUTED_VALUE"""),9669.0)</f>
        <v>9669</v>
      </c>
      <c r="G6567" s="115">
        <f>IFERROR(__xludf.DUMMYFUNCTION("""COMPUTED_VALUE"""),463.0)</f>
        <v>463</v>
      </c>
      <c r="H6567" s="116">
        <f>IFERROR(__xludf.DUMMYFUNCTION("""COMPUTED_VALUE"""),45912.0)</f>
        <v>45912</v>
      </c>
      <c r="I6567" s="115" t="str">
        <f>IFERROR(__xludf.DUMMYFUNCTION("""COMPUTED_VALUE"""),"15")</f>
        <v>15</v>
      </c>
      <c r="J6567" s="115"/>
      <c r="K6567" s="115"/>
    </row>
    <row r="6568">
      <c r="A6568" s="115" t="str">
        <f>IFERROR(__xludf.DUMMYFUNCTION("""COMPUTED_VALUE"""),"WEST")</f>
        <v>WEST</v>
      </c>
      <c r="B6568" s="115" t="str">
        <f>IFERROR(__xludf.DUMMYFUNCTION("""COMPUTED_VALUE"""),"Ashish Jakar")</f>
        <v>Ashish Jakar</v>
      </c>
      <c r="C6568" s="115" t="str">
        <f>IFERROR(__xludf.DUMMYFUNCTION("""COMPUTED_VALUE"""),"EXTERNAL")</f>
        <v>EXTERNAL</v>
      </c>
      <c r="D6568" s="115">
        <f>IFERROR(__xludf.DUMMYFUNCTION("""COMPUTED_VALUE"""),58307.0)</f>
        <v>58307</v>
      </c>
      <c r="E6568" s="115">
        <f>IFERROR(__xludf.DUMMYFUNCTION("""COMPUTED_VALUE"""),6115.0)</f>
        <v>6115</v>
      </c>
      <c r="F6568" s="115">
        <f>IFERROR(__xludf.DUMMYFUNCTION("""COMPUTED_VALUE"""),17096.0)</f>
        <v>17096</v>
      </c>
      <c r="G6568" s="115">
        <f>IFERROR(__xludf.DUMMYFUNCTION("""COMPUTED_VALUE"""),1108.0)</f>
        <v>1108</v>
      </c>
      <c r="H6568" s="116">
        <f>IFERROR(__xludf.DUMMYFUNCTION("""COMPUTED_VALUE"""),45912.0)</f>
        <v>45912</v>
      </c>
      <c r="I6568" s="115" t="str">
        <f>IFERROR(__xludf.DUMMYFUNCTION("""COMPUTED_VALUE"""),"15")</f>
        <v>15</v>
      </c>
      <c r="J6568" s="115"/>
      <c r="K6568" s="115"/>
    </row>
    <row r="6569">
      <c r="A6569" s="115" t="str">
        <f>IFERROR(__xludf.DUMMYFUNCTION("""COMPUTED_VALUE"""),"WEST")</f>
        <v>WEST</v>
      </c>
      <c r="B6569" s="115" t="str">
        <f>IFERROR(__xludf.DUMMYFUNCTION("""COMPUTED_VALUE"""),"Ashish Jakar")</f>
        <v>Ashish Jakar</v>
      </c>
      <c r="C6569" s="115" t="str">
        <f>IFERROR(__xludf.DUMMYFUNCTION("""COMPUTED_VALUE"""),"FLIPKART")</f>
        <v>FLIPKART</v>
      </c>
      <c r="D6569" s="115">
        <f>IFERROR(__xludf.DUMMYFUNCTION("""COMPUTED_VALUE"""),429391.0)</f>
        <v>429391</v>
      </c>
      <c r="E6569" s="115">
        <f>IFERROR(__xludf.DUMMYFUNCTION("""COMPUTED_VALUE"""),33739.0)</f>
        <v>33739</v>
      </c>
      <c r="F6569" s="115">
        <f>IFERROR(__xludf.DUMMYFUNCTION("""COMPUTED_VALUE"""),210324.0)</f>
        <v>210324</v>
      </c>
      <c r="G6569" s="115">
        <f>IFERROR(__xludf.DUMMYFUNCTION("""COMPUTED_VALUE"""),7864.0)</f>
        <v>7864</v>
      </c>
      <c r="H6569" s="116">
        <f>IFERROR(__xludf.DUMMYFUNCTION("""COMPUTED_VALUE"""),45912.0)</f>
        <v>45912</v>
      </c>
      <c r="I6569" s="115" t="str">
        <f>IFERROR(__xludf.DUMMYFUNCTION("""COMPUTED_VALUE"""),"15")</f>
        <v>15</v>
      </c>
      <c r="J6569" s="115"/>
      <c r="K6569" s="115"/>
    </row>
    <row r="6570">
      <c r="A6570" s="115" t="str">
        <f>IFERROR(__xludf.DUMMYFUNCTION("""COMPUTED_VALUE"""),"WEST")</f>
        <v>WEST</v>
      </c>
      <c r="B6570" s="115" t="str">
        <f>IFERROR(__xludf.DUMMYFUNCTION("""COMPUTED_VALUE"""),"Ashish Jakar")</f>
        <v>Ashish Jakar</v>
      </c>
      <c r="C6570" s="115" t="str">
        <f>IFERROR(__xludf.DUMMYFUNCTION("""COMPUTED_VALUE"""),"MYNTRA")</f>
        <v>MYNTRA</v>
      </c>
      <c r="D6570" s="115">
        <f>IFERROR(__xludf.DUMMYFUNCTION("""COMPUTED_VALUE"""),46458.0)</f>
        <v>46458</v>
      </c>
      <c r="E6570" s="115">
        <f>IFERROR(__xludf.DUMMYFUNCTION("""COMPUTED_VALUE"""),11486.0)</f>
        <v>11486</v>
      </c>
      <c r="F6570" s="115">
        <f>IFERROR(__xludf.DUMMYFUNCTION("""COMPUTED_VALUE"""),26855.0)</f>
        <v>26855</v>
      </c>
      <c r="G6570" s="115">
        <f>IFERROR(__xludf.DUMMYFUNCTION("""COMPUTED_VALUE"""),3276.0)</f>
        <v>3276</v>
      </c>
      <c r="H6570" s="116">
        <f>IFERROR(__xludf.DUMMYFUNCTION("""COMPUTED_VALUE"""),45912.0)</f>
        <v>45912</v>
      </c>
      <c r="I6570" s="115" t="str">
        <f>IFERROR(__xludf.DUMMYFUNCTION("""COMPUTED_VALUE"""),"15")</f>
        <v>15</v>
      </c>
      <c r="J6570" s="115"/>
      <c r="K6570" s="115"/>
    </row>
    <row r="6571">
      <c r="A6571" s="115" t="str">
        <f>IFERROR(__xludf.DUMMYFUNCTION("""COMPUTED_VALUE"""),"WEST")</f>
        <v>WEST</v>
      </c>
      <c r="B6571" s="115" t="str">
        <f>IFERROR(__xludf.DUMMYFUNCTION("""COMPUTED_VALUE"""),"Ashvani Bhatt")</f>
        <v>Ashvani Bhatt</v>
      </c>
      <c r="C6571" s="115" t="str">
        <f>IFERROR(__xludf.DUMMYFUNCTION("""COMPUTED_VALUE"""),"EXTERNAL")</f>
        <v>EXTERNAL</v>
      </c>
      <c r="D6571" s="115">
        <f>IFERROR(__xludf.DUMMYFUNCTION("""COMPUTED_VALUE"""),37916.0)</f>
        <v>37916</v>
      </c>
      <c r="E6571" s="115">
        <f>IFERROR(__xludf.DUMMYFUNCTION("""COMPUTED_VALUE"""),3037.0)</f>
        <v>3037</v>
      </c>
      <c r="F6571" s="115">
        <f>IFERROR(__xludf.DUMMYFUNCTION("""COMPUTED_VALUE"""),11819.0)</f>
        <v>11819</v>
      </c>
      <c r="G6571" s="115">
        <f>IFERROR(__xludf.DUMMYFUNCTION("""COMPUTED_VALUE"""),466.0)</f>
        <v>466</v>
      </c>
      <c r="H6571" s="116">
        <f>IFERROR(__xludf.DUMMYFUNCTION("""COMPUTED_VALUE"""),45912.0)</f>
        <v>45912</v>
      </c>
      <c r="I6571" s="115" t="str">
        <f>IFERROR(__xludf.DUMMYFUNCTION("""COMPUTED_VALUE"""),"15")</f>
        <v>15</v>
      </c>
      <c r="J6571" s="115"/>
      <c r="K6571" s="115"/>
    </row>
    <row r="6572">
      <c r="A6572" s="115" t="str">
        <f>IFERROR(__xludf.DUMMYFUNCTION("""COMPUTED_VALUE"""),"WEST")</f>
        <v>WEST</v>
      </c>
      <c r="B6572" s="115" t="str">
        <f>IFERROR(__xludf.DUMMYFUNCTION("""COMPUTED_VALUE"""),"Ashvani Bhatt")</f>
        <v>Ashvani Bhatt</v>
      </c>
      <c r="C6572" s="115" t="str">
        <f>IFERROR(__xludf.DUMMYFUNCTION("""COMPUTED_VALUE"""),"FLIPKART")</f>
        <v>FLIPKART</v>
      </c>
      <c r="D6572" s="115">
        <f>IFERROR(__xludf.DUMMYFUNCTION("""COMPUTED_VALUE"""),333537.0)</f>
        <v>333537</v>
      </c>
      <c r="E6572" s="115">
        <f>IFERROR(__xludf.DUMMYFUNCTION("""COMPUTED_VALUE"""),27947.0)</f>
        <v>27947</v>
      </c>
      <c r="F6572" s="115">
        <f>IFERROR(__xludf.DUMMYFUNCTION("""COMPUTED_VALUE"""),188535.0)</f>
        <v>188535</v>
      </c>
      <c r="G6572" s="115">
        <f>IFERROR(__xludf.DUMMYFUNCTION("""COMPUTED_VALUE"""),6634.0)</f>
        <v>6634</v>
      </c>
      <c r="H6572" s="116">
        <f>IFERROR(__xludf.DUMMYFUNCTION("""COMPUTED_VALUE"""),45912.0)</f>
        <v>45912</v>
      </c>
      <c r="I6572" s="115" t="str">
        <f>IFERROR(__xludf.DUMMYFUNCTION("""COMPUTED_VALUE"""),"15")</f>
        <v>15</v>
      </c>
      <c r="J6572" s="115"/>
      <c r="K6572" s="115"/>
    </row>
    <row r="6573">
      <c r="A6573" s="115" t="str">
        <f>IFERROR(__xludf.DUMMYFUNCTION("""COMPUTED_VALUE"""),"WEST")</f>
        <v>WEST</v>
      </c>
      <c r="B6573" s="115" t="str">
        <f>IFERROR(__xludf.DUMMYFUNCTION("""COMPUTED_VALUE"""),"Ashvani Bhatt")</f>
        <v>Ashvani Bhatt</v>
      </c>
      <c r="C6573" s="115" t="str">
        <f>IFERROR(__xludf.DUMMYFUNCTION("""COMPUTED_VALUE"""),"MYNTRA")</f>
        <v>MYNTRA</v>
      </c>
      <c r="D6573" s="115">
        <f>IFERROR(__xludf.DUMMYFUNCTION("""COMPUTED_VALUE"""),35693.0)</f>
        <v>35693</v>
      </c>
      <c r="E6573" s="115">
        <f>IFERROR(__xludf.DUMMYFUNCTION("""COMPUTED_VALUE"""),8792.0)</f>
        <v>8792</v>
      </c>
      <c r="F6573" s="115">
        <f>IFERROR(__xludf.DUMMYFUNCTION("""COMPUTED_VALUE"""),23380.0)</f>
        <v>23380</v>
      </c>
      <c r="G6573" s="115">
        <f>IFERROR(__xludf.DUMMYFUNCTION("""COMPUTED_VALUE"""),2597.0)</f>
        <v>2597</v>
      </c>
      <c r="H6573" s="116">
        <f>IFERROR(__xludf.DUMMYFUNCTION("""COMPUTED_VALUE"""),45912.0)</f>
        <v>45912</v>
      </c>
      <c r="I6573" s="115" t="str">
        <f>IFERROR(__xludf.DUMMYFUNCTION("""COMPUTED_VALUE"""),"15")</f>
        <v>15</v>
      </c>
      <c r="J6573" s="115"/>
      <c r="K6573" s="115"/>
    </row>
    <row r="6574">
      <c r="A6574" s="115"/>
      <c r="B6574" s="115"/>
      <c r="C6574" s="115" t="str">
        <f>IFERROR(__xludf.DUMMYFUNCTION("""COMPUTED_VALUE"""),"EXTERNAL")</f>
        <v>EXTERNAL</v>
      </c>
      <c r="D6574" s="115">
        <f>IFERROR(__xludf.DUMMYFUNCTION("""COMPUTED_VALUE"""),1312.0)</f>
        <v>1312</v>
      </c>
      <c r="E6574" s="115">
        <f>IFERROR(__xludf.DUMMYFUNCTION("""COMPUTED_VALUE"""),227.0)</f>
        <v>227</v>
      </c>
      <c r="F6574" s="115">
        <f>IFERROR(__xludf.DUMMYFUNCTION("""COMPUTED_VALUE"""),363.0)</f>
        <v>363</v>
      </c>
      <c r="G6574" s="115">
        <f>IFERROR(__xludf.DUMMYFUNCTION("""COMPUTED_VALUE"""),72.0)</f>
        <v>72</v>
      </c>
      <c r="H6574" s="116">
        <f>IFERROR(__xludf.DUMMYFUNCTION("""COMPUTED_VALUE"""),45912.0)</f>
        <v>45912</v>
      </c>
      <c r="I6574" s="115" t="str">
        <f>IFERROR(__xludf.DUMMYFUNCTION("""COMPUTED_VALUE"""),"15")</f>
        <v>15</v>
      </c>
      <c r="J6574" s="115"/>
      <c r="K6574" s="115"/>
    </row>
    <row r="6575">
      <c r="A6575" s="115"/>
      <c r="B6575" s="115"/>
      <c r="C6575" s="115" t="str">
        <f>IFERROR(__xludf.DUMMYFUNCTION("""COMPUTED_VALUE"""),"FLIPKART")</f>
        <v>FLIPKART</v>
      </c>
      <c r="D6575" s="115">
        <f>IFERROR(__xludf.DUMMYFUNCTION("""COMPUTED_VALUE"""),14818.0)</f>
        <v>14818</v>
      </c>
      <c r="E6575" s="115">
        <f>IFERROR(__xludf.DUMMYFUNCTION("""COMPUTED_VALUE"""),1280.0)</f>
        <v>1280</v>
      </c>
      <c r="F6575" s="115">
        <f>IFERROR(__xludf.DUMMYFUNCTION("""COMPUTED_VALUE"""),6404.0)</f>
        <v>6404</v>
      </c>
      <c r="G6575" s="115">
        <f>IFERROR(__xludf.DUMMYFUNCTION("""COMPUTED_VALUE"""),490.0)</f>
        <v>490</v>
      </c>
      <c r="H6575" s="116">
        <f>IFERROR(__xludf.DUMMYFUNCTION("""COMPUTED_VALUE"""),45912.0)</f>
        <v>45912</v>
      </c>
      <c r="I6575" s="115" t="str">
        <f>IFERROR(__xludf.DUMMYFUNCTION("""COMPUTED_VALUE"""),"15")</f>
        <v>15</v>
      </c>
      <c r="J6575" s="115"/>
      <c r="K6575" s="115"/>
    </row>
    <row r="6576">
      <c r="A6576" s="115"/>
      <c r="B6576" s="115"/>
      <c r="C6576" s="115" t="str">
        <f>IFERROR(__xludf.DUMMYFUNCTION("""COMPUTED_VALUE"""),"MYNTRA")</f>
        <v>MYNTRA</v>
      </c>
      <c r="D6576" s="115">
        <f>IFERROR(__xludf.DUMMYFUNCTION("""COMPUTED_VALUE"""),1709.0)</f>
        <v>1709</v>
      </c>
      <c r="E6576" s="115">
        <f>IFERROR(__xludf.DUMMYFUNCTION("""COMPUTED_VALUE"""),386.0)</f>
        <v>386</v>
      </c>
      <c r="F6576" s="115">
        <f>IFERROR(__xludf.DUMMYFUNCTION("""COMPUTED_VALUE"""),938.0)</f>
        <v>938</v>
      </c>
      <c r="G6576" s="115">
        <f>IFERROR(__xludf.DUMMYFUNCTION("""COMPUTED_VALUE"""),171.0)</f>
        <v>171</v>
      </c>
      <c r="H6576" s="116">
        <f>IFERROR(__xludf.DUMMYFUNCTION("""COMPUTED_VALUE"""),45912.0)</f>
        <v>45912</v>
      </c>
      <c r="I6576" s="115" t="str">
        <f>IFERROR(__xludf.DUMMYFUNCTION("""COMPUTED_VALUE"""),"15")</f>
        <v>15</v>
      </c>
      <c r="J6576" s="115"/>
      <c r="K6576" s="115"/>
    </row>
    <row r="6577">
      <c r="A6577" s="115" t="str">
        <f>IFERROR(__xludf.DUMMYFUNCTION("""COMPUTED_VALUE"""),"EAST")</f>
        <v>EAST</v>
      </c>
      <c r="B6577" s="115" t="str">
        <f>IFERROR(__xludf.DUMMYFUNCTION("""COMPUTED_VALUE"""),"Ashish Ranjan")</f>
        <v>Ashish Ranjan</v>
      </c>
      <c r="C6577" s="115" t="str">
        <f>IFERROR(__xludf.DUMMYFUNCTION("""COMPUTED_VALUE"""),"EXTERNAL")</f>
        <v>EXTERNAL</v>
      </c>
      <c r="D6577" s="115">
        <f>IFERROR(__xludf.DUMMYFUNCTION("""COMPUTED_VALUE"""),41985.0)</f>
        <v>41985</v>
      </c>
      <c r="E6577" s="115">
        <f>IFERROR(__xludf.DUMMYFUNCTION("""COMPUTED_VALUE"""),3242.0)</f>
        <v>3242</v>
      </c>
      <c r="F6577" s="115">
        <f>IFERROR(__xludf.DUMMYFUNCTION("""COMPUTED_VALUE"""),18687.0)</f>
        <v>18687</v>
      </c>
      <c r="G6577" s="115">
        <f>IFERROR(__xludf.DUMMYFUNCTION("""COMPUTED_VALUE"""),886.0)</f>
        <v>886</v>
      </c>
      <c r="H6577" s="116">
        <f>IFERROR(__xludf.DUMMYFUNCTION("""COMPUTED_VALUE"""),45912.0)</f>
        <v>45912</v>
      </c>
      <c r="I6577" s="115" t="str">
        <f>IFERROR(__xludf.DUMMYFUNCTION("""COMPUTED_VALUE"""),"16")</f>
        <v>16</v>
      </c>
      <c r="J6577" s="115"/>
      <c r="K6577" s="115"/>
    </row>
    <row r="6578">
      <c r="A6578" s="115" t="str">
        <f>IFERROR(__xludf.DUMMYFUNCTION("""COMPUTED_VALUE"""),"EAST")</f>
        <v>EAST</v>
      </c>
      <c r="B6578" s="115" t="str">
        <f>IFERROR(__xludf.DUMMYFUNCTION("""COMPUTED_VALUE"""),"Ashish Ranjan")</f>
        <v>Ashish Ranjan</v>
      </c>
      <c r="C6578" s="115" t="str">
        <f>IFERROR(__xludf.DUMMYFUNCTION("""COMPUTED_VALUE"""),"FLIPKART")</f>
        <v>FLIPKART</v>
      </c>
      <c r="D6578" s="115">
        <f>IFERROR(__xludf.DUMMYFUNCTION("""COMPUTED_VALUE"""),766975.0)</f>
        <v>766975</v>
      </c>
      <c r="E6578" s="115">
        <f>IFERROR(__xludf.DUMMYFUNCTION("""COMPUTED_VALUE"""),63346.0)</f>
        <v>63346</v>
      </c>
      <c r="F6578" s="115">
        <f>IFERROR(__xludf.DUMMYFUNCTION("""COMPUTED_VALUE"""),539601.0)</f>
        <v>539601</v>
      </c>
      <c r="G6578" s="115">
        <f>IFERROR(__xludf.DUMMYFUNCTION("""COMPUTED_VALUE"""),25406.0)</f>
        <v>25406</v>
      </c>
      <c r="H6578" s="116">
        <f>IFERROR(__xludf.DUMMYFUNCTION("""COMPUTED_VALUE"""),45912.0)</f>
        <v>45912</v>
      </c>
      <c r="I6578" s="115" t="str">
        <f>IFERROR(__xludf.DUMMYFUNCTION("""COMPUTED_VALUE"""),"16")</f>
        <v>16</v>
      </c>
      <c r="J6578" s="115"/>
      <c r="K6578" s="115"/>
    </row>
    <row r="6579">
      <c r="A6579" s="115" t="str">
        <f>IFERROR(__xludf.DUMMYFUNCTION("""COMPUTED_VALUE"""),"EAST")</f>
        <v>EAST</v>
      </c>
      <c r="B6579" s="115" t="str">
        <f>IFERROR(__xludf.DUMMYFUNCTION("""COMPUTED_VALUE"""),"Ashish Ranjan")</f>
        <v>Ashish Ranjan</v>
      </c>
      <c r="C6579" s="115" t="str">
        <f>IFERROR(__xludf.DUMMYFUNCTION("""COMPUTED_VALUE"""),"MYNTRA")</f>
        <v>MYNTRA</v>
      </c>
      <c r="D6579" s="115">
        <f>IFERROR(__xludf.DUMMYFUNCTION("""COMPUTED_VALUE"""),79995.0)</f>
        <v>79995</v>
      </c>
      <c r="E6579" s="115">
        <f>IFERROR(__xludf.DUMMYFUNCTION("""COMPUTED_VALUE"""),15608.0)</f>
        <v>15608</v>
      </c>
      <c r="F6579" s="115">
        <f>IFERROR(__xludf.DUMMYFUNCTION("""COMPUTED_VALUE"""),57232.0)</f>
        <v>57232</v>
      </c>
      <c r="G6579" s="115">
        <f>IFERROR(__xludf.DUMMYFUNCTION("""COMPUTED_VALUE"""),6326.0)</f>
        <v>6326</v>
      </c>
      <c r="H6579" s="116">
        <f>IFERROR(__xludf.DUMMYFUNCTION("""COMPUTED_VALUE"""),45912.0)</f>
        <v>45912</v>
      </c>
      <c r="I6579" s="115" t="str">
        <f>IFERROR(__xludf.DUMMYFUNCTION("""COMPUTED_VALUE"""),"16")</f>
        <v>16</v>
      </c>
      <c r="J6579" s="115"/>
      <c r="K6579" s="115"/>
    </row>
    <row r="6580">
      <c r="A6580" s="115" t="str">
        <f>IFERROR(__xludf.DUMMYFUNCTION("""COMPUTED_VALUE"""),"EAST")</f>
        <v>EAST</v>
      </c>
      <c r="B6580" s="115" t="str">
        <f>IFERROR(__xludf.DUMMYFUNCTION("""COMPUTED_VALUE"""),"Girish Chand")</f>
        <v>Girish Chand</v>
      </c>
      <c r="C6580" s="115" t="str">
        <f>IFERROR(__xludf.DUMMYFUNCTION("""COMPUTED_VALUE"""),"EXTERNAL")</f>
        <v>EXTERNAL</v>
      </c>
      <c r="D6580" s="115">
        <f>IFERROR(__xludf.DUMMYFUNCTION("""COMPUTED_VALUE"""),23444.0)</f>
        <v>23444</v>
      </c>
      <c r="E6580" s="115">
        <f>IFERROR(__xludf.DUMMYFUNCTION("""COMPUTED_VALUE"""),2092.0)</f>
        <v>2092</v>
      </c>
      <c r="F6580" s="115">
        <f>IFERROR(__xludf.DUMMYFUNCTION("""COMPUTED_VALUE"""),8703.0)</f>
        <v>8703</v>
      </c>
      <c r="G6580" s="115">
        <f>IFERROR(__xludf.DUMMYFUNCTION("""COMPUTED_VALUE"""),296.0)</f>
        <v>296</v>
      </c>
      <c r="H6580" s="116">
        <f>IFERROR(__xludf.DUMMYFUNCTION("""COMPUTED_VALUE"""),45912.0)</f>
        <v>45912</v>
      </c>
      <c r="I6580" s="115" t="str">
        <f>IFERROR(__xludf.DUMMYFUNCTION("""COMPUTED_VALUE"""),"16")</f>
        <v>16</v>
      </c>
      <c r="J6580" s="115"/>
      <c r="K6580" s="115"/>
    </row>
    <row r="6581">
      <c r="A6581" s="115" t="str">
        <f>IFERROR(__xludf.DUMMYFUNCTION("""COMPUTED_VALUE"""),"EAST")</f>
        <v>EAST</v>
      </c>
      <c r="B6581" s="115" t="str">
        <f>IFERROR(__xludf.DUMMYFUNCTION("""COMPUTED_VALUE"""),"Girish Chand")</f>
        <v>Girish Chand</v>
      </c>
      <c r="C6581" s="115" t="str">
        <f>IFERROR(__xludf.DUMMYFUNCTION("""COMPUTED_VALUE"""),"FLIPKART")</f>
        <v>FLIPKART</v>
      </c>
      <c r="D6581" s="115">
        <f>IFERROR(__xludf.DUMMYFUNCTION("""COMPUTED_VALUE"""),478969.0)</f>
        <v>478969</v>
      </c>
      <c r="E6581" s="115">
        <f>IFERROR(__xludf.DUMMYFUNCTION("""COMPUTED_VALUE"""),36685.0)</f>
        <v>36685</v>
      </c>
      <c r="F6581" s="115">
        <f>IFERROR(__xludf.DUMMYFUNCTION("""COMPUTED_VALUE"""),298846.0)</f>
        <v>298846</v>
      </c>
      <c r="G6581" s="115">
        <f>IFERROR(__xludf.DUMMYFUNCTION("""COMPUTED_VALUE"""),10632.0)</f>
        <v>10632</v>
      </c>
      <c r="H6581" s="116">
        <f>IFERROR(__xludf.DUMMYFUNCTION("""COMPUTED_VALUE"""),45912.0)</f>
        <v>45912</v>
      </c>
      <c r="I6581" s="115" t="str">
        <f>IFERROR(__xludf.DUMMYFUNCTION("""COMPUTED_VALUE"""),"16")</f>
        <v>16</v>
      </c>
      <c r="J6581" s="115"/>
      <c r="K6581" s="115"/>
    </row>
    <row r="6582">
      <c r="A6582" s="115" t="str">
        <f>IFERROR(__xludf.DUMMYFUNCTION("""COMPUTED_VALUE"""),"EAST")</f>
        <v>EAST</v>
      </c>
      <c r="B6582" s="115" t="str">
        <f>IFERROR(__xludf.DUMMYFUNCTION("""COMPUTED_VALUE"""),"Girish Chand")</f>
        <v>Girish Chand</v>
      </c>
      <c r="C6582" s="115" t="str">
        <f>IFERROR(__xludf.DUMMYFUNCTION("""COMPUTED_VALUE"""),"MYNTRA")</f>
        <v>MYNTRA</v>
      </c>
      <c r="D6582" s="115">
        <f>IFERROR(__xludf.DUMMYFUNCTION("""COMPUTED_VALUE"""),35930.0)</f>
        <v>35930</v>
      </c>
      <c r="E6582" s="115">
        <f>IFERROR(__xludf.DUMMYFUNCTION("""COMPUTED_VALUE"""),7077.0)</f>
        <v>7077</v>
      </c>
      <c r="F6582" s="115">
        <f>IFERROR(__xludf.DUMMYFUNCTION("""COMPUTED_VALUE"""),23690.0)</f>
        <v>23690</v>
      </c>
      <c r="G6582" s="115">
        <f>IFERROR(__xludf.DUMMYFUNCTION("""COMPUTED_VALUE"""),2391.0)</f>
        <v>2391</v>
      </c>
      <c r="H6582" s="116">
        <f>IFERROR(__xludf.DUMMYFUNCTION("""COMPUTED_VALUE"""),45912.0)</f>
        <v>45912</v>
      </c>
      <c r="I6582" s="115" t="str">
        <f>IFERROR(__xludf.DUMMYFUNCTION("""COMPUTED_VALUE"""),"16")</f>
        <v>16</v>
      </c>
      <c r="J6582" s="115"/>
      <c r="K6582" s="115"/>
    </row>
    <row r="6583">
      <c r="A6583" s="115" t="str">
        <f>IFERROR(__xludf.DUMMYFUNCTION("""COMPUTED_VALUE"""),"EAST")</f>
        <v>EAST</v>
      </c>
      <c r="B6583" s="115" t="str">
        <f>IFERROR(__xludf.DUMMYFUNCTION("""COMPUTED_VALUE"""),"Parag Kashyap")</f>
        <v>Parag Kashyap</v>
      </c>
      <c r="C6583" s="115" t="str">
        <f>IFERROR(__xludf.DUMMYFUNCTION("""COMPUTED_VALUE"""),"EXTERNAL")</f>
        <v>EXTERNAL</v>
      </c>
      <c r="D6583" s="115">
        <f>IFERROR(__xludf.DUMMYFUNCTION("""COMPUTED_VALUE"""),15338.0)</f>
        <v>15338</v>
      </c>
      <c r="E6583" s="115">
        <f>IFERROR(__xludf.DUMMYFUNCTION("""COMPUTED_VALUE"""),1109.0)</f>
        <v>1109</v>
      </c>
      <c r="F6583" s="115">
        <f>IFERROR(__xludf.DUMMYFUNCTION("""COMPUTED_VALUE"""),5205.0)</f>
        <v>5205</v>
      </c>
      <c r="G6583" s="115">
        <f>IFERROR(__xludf.DUMMYFUNCTION("""COMPUTED_VALUE"""),137.0)</f>
        <v>137</v>
      </c>
      <c r="H6583" s="116">
        <f>IFERROR(__xludf.DUMMYFUNCTION("""COMPUTED_VALUE"""),45912.0)</f>
        <v>45912</v>
      </c>
      <c r="I6583" s="115" t="str">
        <f>IFERROR(__xludf.DUMMYFUNCTION("""COMPUTED_VALUE"""),"16")</f>
        <v>16</v>
      </c>
      <c r="J6583" s="115"/>
      <c r="K6583" s="115"/>
    </row>
    <row r="6584">
      <c r="A6584" s="115" t="str">
        <f>IFERROR(__xludf.DUMMYFUNCTION("""COMPUTED_VALUE"""),"EAST")</f>
        <v>EAST</v>
      </c>
      <c r="B6584" s="115" t="str">
        <f>IFERROR(__xludf.DUMMYFUNCTION("""COMPUTED_VALUE"""),"Parag Kashyap")</f>
        <v>Parag Kashyap</v>
      </c>
      <c r="C6584" s="115" t="str">
        <f>IFERROR(__xludf.DUMMYFUNCTION("""COMPUTED_VALUE"""),"FLIPKART")</f>
        <v>FLIPKART</v>
      </c>
      <c r="D6584" s="115">
        <f>IFERROR(__xludf.DUMMYFUNCTION("""COMPUTED_VALUE"""),288553.0)</f>
        <v>288553</v>
      </c>
      <c r="E6584" s="115">
        <f>IFERROR(__xludf.DUMMYFUNCTION("""COMPUTED_VALUE"""),19048.0)</f>
        <v>19048</v>
      </c>
      <c r="F6584" s="115">
        <f>IFERROR(__xludf.DUMMYFUNCTION("""COMPUTED_VALUE"""),174460.0)</f>
        <v>174460</v>
      </c>
      <c r="G6584" s="115">
        <f>IFERROR(__xludf.DUMMYFUNCTION("""COMPUTED_VALUE"""),4444.0)</f>
        <v>4444</v>
      </c>
      <c r="H6584" s="116">
        <f>IFERROR(__xludf.DUMMYFUNCTION("""COMPUTED_VALUE"""),45912.0)</f>
        <v>45912</v>
      </c>
      <c r="I6584" s="115" t="str">
        <f>IFERROR(__xludf.DUMMYFUNCTION("""COMPUTED_VALUE"""),"16")</f>
        <v>16</v>
      </c>
      <c r="J6584" s="115"/>
      <c r="K6584" s="115"/>
    </row>
    <row r="6585">
      <c r="A6585" s="115" t="str">
        <f>IFERROR(__xludf.DUMMYFUNCTION("""COMPUTED_VALUE"""),"EAST")</f>
        <v>EAST</v>
      </c>
      <c r="B6585" s="115" t="str">
        <f>IFERROR(__xludf.DUMMYFUNCTION("""COMPUTED_VALUE"""),"Parag Kashyap")</f>
        <v>Parag Kashyap</v>
      </c>
      <c r="C6585" s="115" t="str">
        <f>IFERROR(__xludf.DUMMYFUNCTION("""COMPUTED_VALUE"""),"MYNTRA")</f>
        <v>MYNTRA</v>
      </c>
      <c r="D6585" s="115">
        <f>IFERROR(__xludf.DUMMYFUNCTION("""COMPUTED_VALUE"""),38200.0)</f>
        <v>38200</v>
      </c>
      <c r="E6585" s="115">
        <f>IFERROR(__xludf.DUMMYFUNCTION("""COMPUTED_VALUE"""),6161.0)</f>
        <v>6161</v>
      </c>
      <c r="F6585" s="115">
        <f>IFERROR(__xludf.DUMMYFUNCTION("""COMPUTED_VALUE"""),23760.0)</f>
        <v>23760</v>
      </c>
      <c r="G6585" s="115">
        <f>IFERROR(__xludf.DUMMYFUNCTION("""COMPUTED_VALUE"""),1529.0)</f>
        <v>1529</v>
      </c>
      <c r="H6585" s="116">
        <f>IFERROR(__xludf.DUMMYFUNCTION("""COMPUTED_VALUE"""),45912.0)</f>
        <v>45912</v>
      </c>
      <c r="I6585" s="115" t="str">
        <f>IFERROR(__xludf.DUMMYFUNCTION("""COMPUTED_VALUE"""),"16")</f>
        <v>16</v>
      </c>
      <c r="J6585" s="115"/>
      <c r="K6585" s="115"/>
    </row>
    <row r="6586">
      <c r="A6586" s="115" t="str">
        <f>IFERROR(__xludf.DUMMYFUNCTION("""COMPUTED_VALUE"""),"NORTH")</f>
        <v>NORTH</v>
      </c>
      <c r="B6586" s="115" t="str">
        <f>IFERROR(__xludf.DUMMYFUNCTION("""COMPUTED_VALUE"""),"Amit Kumar Pathak")</f>
        <v>Amit Kumar Pathak</v>
      </c>
      <c r="C6586" s="115" t="str">
        <f>IFERROR(__xludf.DUMMYFUNCTION("""COMPUTED_VALUE"""),"EXTERNAL")</f>
        <v>EXTERNAL</v>
      </c>
      <c r="D6586" s="115">
        <f>IFERROR(__xludf.DUMMYFUNCTION("""COMPUTED_VALUE"""),28703.0)</f>
        <v>28703</v>
      </c>
      <c r="E6586" s="115">
        <f>IFERROR(__xludf.DUMMYFUNCTION("""COMPUTED_VALUE"""),3375.0)</f>
        <v>3375</v>
      </c>
      <c r="F6586" s="115">
        <f>IFERROR(__xludf.DUMMYFUNCTION("""COMPUTED_VALUE"""),8849.0)</f>
        <v>8849</v>
      </c>
      <c r="G6586" s="115">
        <f>IFERROR(__xludf.DUMMYFUNCTION("""COMPUTED_VALUE"""),1026.0)</f>
        <v>1026</v>
      </c>
      <c r="H6586" s="116">
        <f>IFERROR(__xludf.DUMMYFUNCTION("""COMPUTED_VALUE"""),45912.0)</f>
        <v>45912</v>
      </c>
      <c r="I6586" s="115" t="str">
        <f>IFERROR(__xludf.DUMMYFUNCTION("""COMPUTED_VALUE"""),"16")</f>
        <v>16</v>
      </c>
      <c r="J6586" s="115"/>
      <c r="K6586" s="115"/>
    </row>
    <row r="6587">
      <c r="A6587" s="115" t="str">
        <f>IFERROR(__xludf.DUMMYFUNCTION("""COMPUTED_VALUE"""),"NORTH")</f>
        <v>NORTH</v>
      </c>
      <c r="B6587" s="115" t="str">
        <f>IFERROR(__xludf.DUMMYFUNCTION("""COMPUTED_VALUE"""),"Amit Kumar Pathak")</f>
        <v>Amit Kumar Pathak</v>
      </c>
      <c r="C6587" s="115" t="str">
        <f>IFERROR(__xludf.DUMMYFUNCTION("""COMPUTED_VALUE"""),"FLIPKART")</f>
        <v>FLIPKART</v>
      </c>
      <c r="D6587" s="115">
        <f>IFERROR(__xludf.DUMMYFUNCTION("""COMPUTED_VALUE"""),201045.0)</f>
        <v>201045</v>
      </c>
      <c r="E6587" s="115">
        <f>IFERROR(__xludf.DUMMYFUNCTION("""COMPUTED_VALUE"""),23236.0)</f>
        <v>23236</v>
      </c>
      <c r="F6587" s="115">
        <f>IFERROR(__xludf.DUMMYFUNCTION("""COMPUTED_VALUE"""),108641.0)</f>
        <v>108641</v>
      </c>
      <c r="G6587" s="115">
        <f>IFERROR(__xludf.DUMMYFUNCTION("""COMPUTED_VALUE"""),9485.0)</f>
        <v>9485</v>
      </c>
      <c r="H6587" s="116">
        <f>IFERROR(__xludf.DUMMYFUNCTION("""COMPUTED_VALUE"""),45912.0)</f>
        <v>45912</v>
      </c>
      <c r="I6587" s="115" t="str">
        <f>IFERROR(__xludf.DUMMYFUNCTION("""COMPUTED_VALUE"""),"16")</f>
        <v>16</v>
      </c>
      <c r="J6587" s="115"/>
      <c r="K6587" s="115"/>
    </row>
    <row r="6588">
      <c r="A6588" s="115" t="str">
        <f>IFERROR(__xludf.DUMMYFUNCTION("""COMPUTED_VALUE"""),"NORTH")</f>
        <v>NORTH</v>
      </c>
      <c r="B6588" s="115" t="str">
        <f>IFERROR(__xludf.DUMMYFUNCTION("""COMPUTED_VALUE"""),"Amit Kumar Pathak")</f>
        <v>Amit Kumar Pathak</v>
      </c>
      <c r="C6588" s="115" t="str">
        <f>IFERROR(__xludf.DUMMYFUNCTION("""COMPUTED_VALUE"""),"MYNTRA")</f>
        <v>MYNTRA</v>
      </c>
      <c r="D6588" s="115">
        <f>IFERROR(__xludf.DUMMYFUNCTION("""COMPUTED_VALUE"""),17373.0)</f>
        <v>17373</v>
      </c>
      <c r="E6588" s="115">
        <f>IFERROR(__xludf.DUMMYFUNCTION("""COMPUTED_VALUE"""),5619.0)</f>
        <v>5619</v>
      </c>
      <c r="F6588" s="115">
        <f>IFERROR(__xludf.DUMMYFUNCTION("""COMPUTED_VALUE"""),11038.0)</f>
        <v>11038</v>
      </c>
      <c r="G6588" s="115">
        <f>IFERROR(__xludf.DUMMYFUNCTION("""COMPUTED_VALUE"""),2454.0)</f>
        <v>2454</v>
      </c>
      <c r="H6588" s="116">
        <f>IFERROR(__xludf.DUMMYFUNCTION("""COMPUTED_VALUE"""),45912.0)</f>
        <v>45912</v>
      </c>
      <c r="I6588" s="115" t="str">
        <f>IFERROR(__xludf.DUMMYFUNCTION("""COMPUTED_VALUE"""),"16")</f>
        <v>16</v>
      </c>
      <c r="J6588" s="115"/>
      <c r="K6588" s="115"/>
    </row>
    <row r="6589">
      <c r="A6589" s="115" t="str">
        <f>IFERROR(__xludf.DUMMYFUNCTION("""COMPUTED_VALUE"""),"NORTH")</f>
        <v>NORTH</v>
      </c>
      <c r="B6589" s="115" t="str">
        <f>IFERROR(__xludf.DUMMYFUNCTION("""COMPUTED_VALUE"""),"Ashvani Bhatt")</f>
        <v>Ashvani Bhatt</v>
      </c>
      <c r="C6589" s="115" t="str">
        <f>IFERROR(__xludf.DUMMYFUNCTION("""COMPUTED_VALUE"""),"EXTERNAL")</f>
        <v>EXTERNAL</v>
      </c>
      <c r="D6589" s="115">
        <f>IFERROR(__xludf.DUMMYFUNCTION("""COMPUTED_VALUE"""),31.0)</f>
        <v>31</v>
      </c>
      <c r="E6589" s="115">
        <f>IFERROR(__xludf.DUMMYFUNCTION("""COMPUTED_VALUE"""),6.0)</f>
        <v>6</v>
      </c>
      <c r="F6589" s="115">
        <f>IFERROR(__xludf.DUMMYFUNCTION("""COMPUTED_VALUE"""),5.0)</f>
        <v>5</v>
      </c>
      <c r="G6589" s="115">
        <f>IFERROR(__xludf.DUMMYFUNCTION("""COMPUTED_VALUE"""),0.0)</f>
        <v>0</v>
      </c>
      <c r="H6589" s="116">
        <f>IFERROR(__xludf.DUMMYFUNCTION("""COMPUTED_VALUE"""),45912.0)</f>
        <v>45912</v>
      </c>
      <c r="I6589" s="115" t="str">
        <f>IFERROR(__xludf.DUMMYFUNCTION("""COMPUTED_VALUE"""),"16")</f>
        <v>16</v>
      </c>
      <c r="J6589" s="115"/>
      <c r="K6589" s="115"/>
    </row>
    <row r="6590">
      <c r="A6590" s="115" t="str">
        <f>IFERROR(__xludf.DUMMYFUNCTION("""COMPUTED_VALUE"""),"NORTH")</f>
        <v>NORTH</v>
      </c>
      <c r="B6590" s="115" t="str">
        <f>IFERROR(__xludf.DUMMYFUNCTION("""COMPUTED_VALUE"""),"Ashvani Bhatt")</f>
        <v>Ashvani Bhatt</v>
      </c>
      <c r="C6590" s="115" t="str">
        <f>IFERROR(__xludf.DUMMYFUNCTION("""COMPUTED_VALUE"""),"FLIPKART")</f>
        <v>FLIPKART</v>
      </c>
      <c r="D6590" s="115">
        <f>IFERROR(__xludf.DUMMYFUNCTION("""COMPUTED_VALUE"""),458.0)</f>
        <v>458</v>
      </c>
      <c r="E6590" s="115">
        <f>IFERROR(__xludf.DUMMYFUNCTION("""COMPUTED_VALUE"""),38.0)</f>
        <v>38</v>
      </c>
      <c r="F6590" s="115">
        <f>IFERROR(__xludf.DUMMYFUNCTION("""COMPUTED_VALUE"""),132.0)</f>
        <v>132</v>
      </c>
      <c r="G6590" s="115">
        <f>IFERROR(__xludf.DUMMYFUNCTION("""COMPUTED_VALUE"""),0.0)</f>
        <v>0</v>
      </c>
      <c r="H6590" s="116">
        <f>IFERROR(__xludf.DUMMYFUNCTION("""COMPUTED_VALUE"""),45912.0)</f>
        <v>45912</v>
      </c>
      <c r="I6590" s="115" t="str">
        <f>IFERROR(__xludf.DUMMYFUNCTION("""COMPUTED_VALUE"""),"16")</f>
        <v>16</v>
      </c>
      <c r="J6590" s="115"/>
      <c r="K6590" s="115"/>
    </row>
    <row r="6591">
      <c r="A6591" s="115" t="str">
        <f>IFERROR(__xludf.DUMMYFUNCTION("""COMPUTED_VALUE"""),"NORTH")</f>
        <v>NORTH</v>
      </c>
      <c r="B6591" s="115" t="str">
        <f>IFERROR(__xludf.DUMMYFUNCTION("""COMPUTED_VALUE"""),"Ashvani Bhatt")</f>
        <v>Ashvani Bhatt</v>
      </c>
      <c r="C6591" s="115" t="str">
        <f>IFERROR(__xludf.DUMMYFUNCTION("""COMPUTED_VALUE"""),"MYNTRA")</f>
        <v>MYNTRA</v>
      </c>
      <c r="D6591" s="115">
        <f>IFERROR(__xludf.DUMMYFUNCTION("""COMPUTED_VALUE"""),22.0)</f>
        <v>22</v>
      </c>
      <c r="E6591" s="115">
        <f>IFERROR(__xludf.DUMMYFUNCTION("""COMPUTED_VALUE"""),3.0)</f>
        <v>3</v>
      </c>
      <c r="F6591" s="115">
        <f>IFERROR(__xludf.DUMMYFUNCTION("""COMPUTED_VALUE"""),10.0)</f>
        <v>10</v>
      </c>
      <c r="G6591" s="115">
        <f>IFERROR(__xludf.DUMMYFUNCTION("""COMPUTED_VALUE"""),0.0)</f>
        <v>0</v>
      </c>
      <c r="H6591" s="116">
        <f>IFERROR(__xludf.DUMMYFUNCTION("""COMPUTED_VALUE"""),45912.0)</f>
        <v>45912</v>
      </c>
      <c r="I6591" s="115" t="str">
        <f>IFERROR(__xludf.DUMMYFUNCTION("""COMPUTED_VALUE"""),"16")</f>
        <v>16</v>
      </c>
      <c r="J6591" s="115"/>
      <c r="K6591" s="115"/>
    </row>
    <row r="6592">
      <c r="A6592" s="115" t="str">
        <f>IFERROR(__xludf.DUMMYFUNCTION("""COMPUTED_VALUE"""),"NORTH")</f>
        <v>NORTH</v>
      </c>
      <c r="B6592" s="115" t="str">
        <f>IFERROR(__xludf.DUMMYFUNCTION("""COMPUTED_VALUE"""),"Loveleen Singh")</f>
        <v>Loveleen Singh</v>
      </c>
      <c r="C6592" s="115" t="str">
        <f>IFERROR(__xludf.DUMMYFUNCTION("""COMPUTED_VALUE"""),"EXTERNAL")</f>
        <v>EXTERNAL</v>
      </c>
      <c r="D6592" s="115">
        <f>IFERROR(__xludf.DUMMYFUNCTION("""COMPUTED_VALUE"""),33190.0)</f>
        <v>33190</v>
      </c>
      <c r="E6592" s="115">
        <f>IFERROR(__xludf.DUMMYFUNCTION("""COMPUTED_VALUE"""),2583.0)</f>
        <v>2583</v>
      </c>
      <c r="F6592" s="115">
        <f>IFERROR(__xludf.DUMMYFUNCTION("""COMPUTED_VALUE"""),11160.0)</f>
        <v>11160</v>
      </c>
      <c r="G6592" s="115">
        <f>IFERROR(__xludf.DUMMYFUNCTION("""COMPUTED_VALUE"""),475.0)</f>
        <v>475</v>
      </c>
      <c r="H6592" s="116">
        <f>IFERROR(__xludf.DUMMYFUNCTION("""COMPUTED_VALUE"""),45912.0)</f>
        <v>45912</v>
      </c>
      <c r="I6592" s="115" t="str">
        <f>IFERROR(__xludf.DUMMYFUNCTION("""COMPUTED_VALUE"""),"16")</f>
        <v>16</v>
      </c>
      <c r="J6592" s="115"/>
      <c r="K6592" s="115"/>
    </row>
    <row r="6593">
      <c r="A6593" s="115" t="str">
        <f>IFERROR(__xludf.DUMMYFUNCTION("""COMPUTED_VALUE"""),"NORTH")</f>
        <v>NORTH</v>
      </c>
      <c r="B6593" s="115" t="str">
        <f>IFERROR(__xludf.DUMMYFUNCTION("""COMPUTED_VALUE"""),"Loveleen Singh")</f>
        <v>Loveleen Singh</v>
      </c>
      <c r="C6593" s="115" t="str">
        <f>IFERROR(__xludf.DUMMYFUNCTION("""COMPUTED_VALUE"""),"FLIPKART")</f>
        <v>FLIPKART</v>
      </c>
      <c r="D6593" s="115">
        <f>IFERROR(__xludf.DUMMYFUNCTION("""COMPUTED_VALUE"""),215676.0)</f>
        <v>215676</v>
      </c>
      <c r="E6593" s="115">
        <f>IFERROR(__xludf.DUMMYFUNCTION("""COMPUTED_VALUE"""),14819.0)</f>
        <v>14819</v>
      </c>
      <c r="F6593" s="115">
        <f>IFERROR(__xludf.DUMMYFUNCTION("""COMPUTED_VALUE"""),135686.0)</f>
        <v>135686</v>
      </c>
      <c r="G6593" s="115">
        <f>IFERROR(__xludf.DUMMYFUNCTION("""COMPUTED_VALUE"""),4663.0)</f>
        <v>4663</v>
      </c>
      <c r="H6593" s="116">
        <f>IFERROR(__xludf.DUMMYFUNCTION("""COMPUTED_VALUE"""),45912.0)</f>
        <v>45912</v>
      </c>
      <c r="I6593" s="115" t="str">
        <f>IFERROR(__xludf.DUMMYFUNCTION("""COMPUTED_VALUE"""),"16")</f>
        <v>16</v>
      </c>
      <c r="J6593" s="115"/>
      <c r="K6593" s="115"/>
    </row>
    <row r="6594">
      <c r="A6594" s="115" t="str">
        <f>IFERROR(__xludf.DUMMYFUNCTION("""COMPUTED_VALUE"""),"NORTH")</f>
        <v>NORTH</v>
      </c>
      <c r="B6594" s="115" t="str">
        <f>IFERROR(__xludf.DUMMYFUNCTION("""COMPUTED_VALUE"""),"Loveleen Singh")</f>
        <v>Loveleen Singh</v>
      </c>
      <c r="C6594" s="115" t="str">
        <f>IFERROR(__xludf.DUMMYFUNCTION("""COMPUTED_VALUE"""),"MYNTRA")</f>
        <v>MYNTRA</v>
      </c>
      <c r="D6594" s="115">
        <f>IFERROR(__xludf.DUMMYFUNCTION("""COMPUTED_VALUE"""),33048.0)</f>
        <v>33048</v>
      </c>
      <c r="E6594" s="115">
        <f>IFERROR(__xludf.DUMMYFUNCTION("""COMPUTED_VALUE"""),6302.0)</f>
        <v>6302</v>
      </c>
      <c r="F6594" s="115">
        <f>IFERROR(__xludf.DUMMYFUNCTION("""COMPUTED_VALUE"""),23008.0)</f>
        <v>23008</v>
      </c>
      <c r="G6594" s="115">
        <f>IFERROR(__xludf.DUMMYFUNCTION("""COMPUTED_VALUE"""),2350.0)</f>
        <v>2350</v>
      </c>
      <c r="H6594" s="116">
        <f>IFERROR(__xludf.DUMMYFUNCTION("""COMPUTED_VALUE"""),45912.0)</f>
        <v>45912</v>
      </c>
      <c r="I6594" s="115" t="str">
        <f>IFERROR(__xludf.DUMMYFUNCTION("""COMPUTED_VALUE"""),"16")</f>
        <v>16</v>
      </c>
      <c r="J6594" s="115"/>
      <c r="K6594" s="115"/>
    </row>
    <row r="6595">
      <c r="A6595" s="115" t="str">
        <f>IFERROR(__xludf.DUMMYFUNCTION("""COMPUTED_VALUE"""),"NORTH")</f>
        <v>NORTH</v>
      </c>
      <c r="B6595" s="115" t="str">
        <f>IFERROR(__xludf.DUMMYFUNCTION("""COMPUTED_VALUE"""),"Manoj Harsh")</f>
        <v>Manoj Harsh</v>
      </c>
      <c r="C6595" s="115" t="str">
        <f>IFERROR(__xludf.DUMMYFUNCTION("""COMPUTED_VALUE"""),"EXTERNAL")</f>
        <v>EXTERNAL</v>
      </c>
      <c r="D6595" s="115">
        <f>IFERROR(__xludf.DUMMYFUNCTION("""COMPUTED_VALUE"""),36664.0)</f>
        <v>36664</v>
      </c>
      <c r="E6595" s="115">
        <f>IFERROR(__xludf.DUMMYFUNCTION("""COMPUTED_VALUE"""),2669.0)</f>
        <v>2669</v>
      </c>
      <c r="F6595" s="115">
        <f>IFERROR(__xludf.DUMMYFUNCTION("""COMPUTED_VALUE"""),13584.0)</f>
        <v>13584</v>
      </c>
      <c r="G6595" s="115">
        <f>IFERROR(__xludf.DUMMYFUNCTION("""COMPUTED_VALUE"""),417.0)</f>
        <v>417</v>
      </c>
      <c r="H6595" s="116">
        <f>IFERROR(__xludf.DUMMYFUNCTION("""COMPUTED_VALUE"""),45912.0)</f>
        <v>45912</v>
      </c>
      <c r="I6595" s="115" t="str">
        <f>IFERROR(__xludf.DUMMYFUNCTION("""COMPUTED_VALUE"""),"16")</f>
        <v>16</v>
      </c>
      <c r="J6595" s="115"/>
      <c r="K6595" s="115"/>
    </row>
    <row r="6596">
      <c r="A6596" s="115" t="str">
        <f>IFERROR(__xludf.DUMMYFUNCTION("""COMPUTED_VALUE"""),"NORTH")</f>
        <v>NORTH</v>
      </c>
      <c r="B6596" s="115" t="str">
        <f>IFERROR(__xludf.DUMMYFUNCTION("""COMPUTED_VALUE"""),"Manoj Harsh")</f>
        <v>Manoj Harsh</v>
      </c>
      <c r="C6596" s="115" t="str">
        <f>IFERROR(__xludf.DUMMYFUNCTION("""COMPUTED_VALUE"""),"FLIPKART")</f>
        <v>FLIPKART</v>
      </c>
      <c r="D6596" s="115">
        <f>IFERROR(__xludf.DUMMYFUNCTION("""COMPUTED_VALUE"""),480666.0)</f>
        <v>480666</v>
      </c>
      <c r="E6596" s="115">
        <f>IFERROR(__xludf.DUMMYFUNCTION("""COMPUTED_VALUE"""),36773.0)</f>
        <v>36773</v>
      </c>
      <c r="F6596" s="115">
        <f>IFERROR(__xludf.DUMMYFUNCTION("""COMPUTED_VALUE"""),286160.0)</f>
        <v>286160</v>
      </c>
      <c r="G6596" s="115">
        <f>IFERROR(__xludf.DUMMYFUNCTION("""COMPUTED_VALUE"""),10604.0)</f>
        <v>10604</v>
      </c>
      <c r="H6596" s="116">
        <f>IFERROR(__xludf.DUMMYFUNCTION("""COMPUTED_VALUE"""),45912.0)</f>
        <v>45912</v>
      </c>
      <c r="I6596" s="115" t="str">
        <f>IFERROR(__xludf.DUMMYFUNCTION("""COMPUTED_VALUE"""),"16")</f>
        <v>16</v>
      </c>
      <c r="J6596" s="115"/>
      <c r="K6596" s="115"/>
    </row>
    <row r="6597">
      <c r="A6597" s="115" t="str">
        <f>IFERROR(__xludf.DUMMYFUNCTION("""COMPUTED_VALUE"""),"NORTH")</f>
        <v>NORTH</v>
      </c>
      <c r="B6597" s="115" t="str">
        <f>IFERROR(__xludf.DUMMYFUNCTION("""COMPUTED_VALUE"""),"Manoj Harsh")</f>
        <v>Manoj Harsh</v>
      </c>
      <c r="C6597" s="115" t="str">
        <f>IFERROR(__xludf.DUMMYFUNCTION("""COMPUTED_VALUE"""),"MYNTRA")</f>
        <v>MYNTRA</v>
      </c>
      <c r="D6597" s="115">
        <f>IFERROR(__xludf.DUMMYFUNCTION("""COMPUTED_VALUE"""),37236.0)</f>
        <v>37236</v>
      </c>
      <c r="E6597" s="115">
        <f>IFERROR(__xludf.DUMMYFUNCTION("""COMPUTED_VALUE"""),7028.0)</f>
        <v>7028</v>
      </c>
      <c r="F6597" s="115">
        <f>IFERROR(__xludf.DUMMYFUNCTION("""COMPUTED_VALUE"""),24152.0)</f>
        <v>24152</v>
      </c>
      <c r="G6597" s="115">
        <f>IFERROR(__xludf.DUMMYFUNCTION("""COMPUTED_VALUE"""),2518.0)</f>
        <v>2518</v>
      </c>
      <c r="H6597" s="116">
        <f>IFERROR(__xludf.DUMMYFUNCTION("""COMPUTED_VALUE"""),45912.0)</f>
        <v>45912</v>
      </c>
      <c r="I6597" s="115" t="str">
        <f>IFERROR(__xludf.DUMMYFUNCTION("""COMPUTED_VALUE"""),"16")</f>
        <v>16</v>
      </c>
      <c r="J6597" s="115"/>
      <c r="K6597" s="115"/>
    </row>
    <row r="6598">
      <c r="A6598" s="115" t="str">
        <f>IFERROR(__xludf.DUMMYFUNCTION("""COMPUTED_VALUE"""),"NORTH")</f>
        <v>NORTH</v>
      </c>
      <c r="B6598" s="115" t="str">
        <f>IFERROR(__xludf.DUMMYFUNCTION("""COMPUTED_VALUE"""),"Pradeep Kothari")</f>
        <v>Pradeep Kothari</v>
      </c>
      <c r="C6598" s="115" t="str">
        <f>IFERROR(__xludf.DUMMYFUNCTION("""COMPUTED_VALUE"""),"EXTERNAL")</f>
        <v>EXTERNAL</v>
      </c>
      <c r="D6598" s="115">
        <f>IFERROR(__xludf.DUMMYFUNCTION("""COMPUTED_VALUE"""),20244.0)</f>
        <v>20244</v>
      </c>
      <c r="E6598" s="115">
        <f>IFERROR(__xludf.DUMMYFUNCTION("""COMPUTED_VALUE"""),1948.0)</f>
        <v>1948</v>
      </c>
      <c r="F6598" s="115">
        <f>IFERROR(__xludf.DUMMYFUNCTION("""COMPUTED_VALUE"""),7267.0)</f>
        <v>7267</v>
      </c>
      <c r="G6598" s="115">
        <f>IFERROR(__xludf.DUMMYFUNCTION("""COMPUTED_VALUE"""),512.0)</f>
        <v>512</v>
      </c>
      <c r="H6598" s="116">
        <f>IFERROR(__xludf.DUMMYFUNCTION("""COMPUTED_VALUE"""),45912.0)</f>
        <v>45912</v>
      </c>
      <c r="I6598" s="115" t="str">
        <f>IFERROR(__xludf.DUMMYFUNCTION("""COMPUTED_VALUE"""),"16")</f>
        <v>16</v>
      </c>
      <c r="J6598" s="115"/>
      <c r="K6598" s="115"/>
    </row>
    <row r="6599">
      <c r="A6599" s="115" t="str">
        <f>IFERROR(__xludf.DUMMYFUNCTION("""COMPUTED_VALUE"""),"NORTH")</f>
        <v>NORTH</v>
      </c>
      <c r="B6599" s="115" t="str">
        <f>IFERROR(__xludf.DUMMYFUNCTION("""COMPUTED_VALUE"""),"Pradeep Kothari")</f>
        <v>Pradeep Kothari</v>
      </c>
      <c r="C6599" s="115" t="str">
        <f>IFERROR(__xludf.DUMMYFUNCTION("""COMPUTED_VALUE"""),"FLIPKART")</f>
        <v>FLIPKART</v>
      </c>
      <c r="D6599" s="115">
        <f>IFERROR(__xludf.DUMMYFUNCTION("""COMPUTED_VALUE"""),179935.0)</f>
        <v>179935</v>
      </c>
      <c r="E6599" s="115">
        <f>IFERROR(__xludf.DUMMYFUNCTION("""COMPUTED_VALUE"""),16910.0)</f>
        <v>16910</v>
      </c>
      <c r="F6599" s="115">
        <f>IFERROR(__xludf.DUMMYFUNCTION("""COMPUTED_VALUE"""),118276.0)</f>
        <v>118276</v>
      </c>
      <c r="G6599" s="115">
        <f>IFERROR(__xludf.DUMMYFUNCTION("""COMPUTED_VALUE"""),7069.0)</f>
        <v>7069</v>
      </c>
      <c r="H6599" s="116">
        <f>IFERROR(__xludf.DUMMYFUNCTION("""COMPUTED_VALUE"""),45912.0)</f>
        <v>45912</v>
      </c>
      <c r="I6599" s="115" t="str">
        <f>IFERROR(__xludf.DUMMYFUNCTION("""COMPUTED_VALUE"""),"16")</f>
        <v>16</v>
      </c>
      <c r="J6599" s="115"/>
      <c r="K6599" s="115"/>
    </row>
    <row r="6600">
      <c r="A6600" s="115" t="str">
        <f>IFERROR(__xludf.DUMMYFUNCTION("""COMPUTED_VALUE"""),"NORTH")</f>
        <v>NORTH</v>
      </c>
      <c r="B6600" s="115" t="str">
        <f>IFERROR(__xludf.DUMMYFUNCTION("""COMPUTED_VALUE"""),"Pradeep Kothari")</f>
        <v>Pradeep Kothari</v>
      </c>
      <c r="C6600" s="115" t="str">
        <f>IFERROR(__xludf.DUMMYFUNCTION("""COMPUTED_VALUE"""),"MYNTRA")</f>
        <v>MYNTRA</v>
      </c>
      <c r="D6600" s="115">
        <f>IFERROR(__xludf.DUMMYFUNCTION("""COMPUTED_VALUE"""),26716.0)</f>
        <v>26716</v>
      </c>
      <c r="E6600" s="115">
        <f>IFERROR(__xludf.DUMMYFUNCTION("""COMPUTED_VALUE"""),6294.0)</f>
        <v>6294</v>
      </c>
      <c r="F6600" s="115">
        <f>IFERROR(__xludf.DUMMYFUNCTION("""COMPUTED_VALUE"""),19866.0)</f>
        <v>19866</v>
      </c>
      <c r="G6600" s="115">
        <f>IFERROR(__xludf.DUMMYFUNCTION("""COMPUTED_VALUE"""),3054.0)</f>
        <v>3054</v>
      </c>
      <c r="H6600" s="116">
        <f>IFERROR(__xludf.DUMMYFUNCTION("""COMPUTED_VALUE"""),45912.0)</f>
        <v>45912</v>
      </c>
      <c r="I6600" s="115" t="str">
        <f>IFERROR(__xludf.DUMMYFUNCTION("""COMPUTED_VALUE"""),"16")</f>
        <v>16</v>
      </c>
      <c r="J6600" s="115"/>
      <c r="K6600" s="115"/>
    </row>
    <row r="6601">
      <c r="A6601" s="115" t="str">
        <f>IFERROR(__xludf.DUMMYFUNCTION("""COMPUTED_VALUE"""),"SOUTH")</f>
        <v>SOUTH</v>
      </c>
      <c r="B6601" s="115" t="str">
        <f>IFERROR(__xludf.DUMMYFUNCTION("""COMPUTED_VALUE"""),"Kandula Sampath")</f>
        <v>Kandula Sampath</v>
      </c>
      <c r="C6601" s="115" t="str">
        <f>IFERROR(__xludf.DUMMYFUNCTION("""COMPUTED_VALUE"""),"EXTERNAL")</f>
        <v>EXTERNAL</v>
      </c>
      <c r="D6601" s="115">
        <f>IFERROR(__xludf.DUMMYFUNCTION("""COMPUTED_VALUE"""),35205.0)</f>
        <v>35205</v>
      </c>
      <c r="E6601" s="115">
        <f>IFERROR(__xludf.DUMMYFUNCTION("""COMPUTED_VALUE"""),4335.0)</f>
        <v>4335</v>
      </c>
      <c r="F6601" s="115">
        <f>IFERROR(__xludf.DUMMYFUNCTION("""COMPUTED_VALUE"""),12585.0)</f>
        <v>12585</v>
      </c>
      <c r="G6601" s="115">
        <f>IFERROR(__xludf.DUMMYFUNCTION("""COMPUTED_VALUE"""),711.0)</f>
        <v>711</v>
      </c>
      <c r="H6601" s="116">
        <f>IFERROR(__xludf.DUMMYFUNCTION("""COMPUTED_VALUE"""),45912.0)</f>
        <v>45912</v>
      </c>
      <c r="I6601" s="115" t="str">
        <f>IFERROR(__xludf.DUMMYFUNCTION("""COMPUTED_VALUE"""),"16")</f>
        <v>16</v>
      </c>
      <c r="J6601" s="115"/>
      <c r="K6601" s="115"/>
    </row>
    <row r="6602">
      <c r="A6602" s="115" t="str">
        <f>IFERROR(__xludf.DUMMYFUNCTION("""COMPUTED_VALUE"""),"SOUTH")</f>
        <v>SOUTH</v>
      </c>
      <c r="B6602" s="115" t="str">
        <f>IFERROR(__xludf.DUMMYFUNCTION("""COMPUTED_VALUE"""),"Kandula Sampath")</f>
        <v>Kandula Sampath</v>
      </c>
      <c r="C6602" s="115" t="str">
        <f>IFERROR(__xludf.DUMMYFUNCTION("""COMPUTED_VALUE"""),"FLIPKART")</f>
        <v>FLIPKART</v>
      </c>
      <c r="D6602" s="115">
        <f>IFERROR(__xludf.DUMMYFUNCTION("""COMPUTED_VALUE"""),388445.0)</f>
        <v>388445</v>
      </c>
      <c r="E6602" s="115">
        <f>IFERROR(__xludf.DUMMYFUNCTION("""COMPUTED_VALUE"""),30934.0)</f>
        <v>30934</v>
      </c>
      <c r="F6602" s="115">
        <f>IFERROR(__xludf.DUMMYFUNCTION("""COMPUTED_VALUE"""),229862.0)</f>
        <v>229862</v>
      </c>
      <c r="G6602" s="115">
        <f>IFERROR(__xludf.DUMMYFUNCTION("""COMPUTED_VALUE"""),8015.0)</f>
        <v>8015</v>
      </c>
      <c r="H6602" s="116">
        <f>IFERROR(__xludf.DUMMYFUNCTION("""COMPUTED_VALUE"""),45912.0)</f>
        <v>45912</v>
      </c>
      <c r="I6602" s="115" t="str">
        <f>IFERROR(__xludf.DUMMYFUNCTION("""COMPUTED_VALUE"""),"16")</f>
        <v>16</v>
      </c>
      <c r="J6602" s="115"/>
      <c r="K6602" s="115"/>
    </row>
    <row r="6603">
      <c r="A6603" s="115" t="str">
        <f>IFERROR(__xludf.DUMMYFUNCTION("""COMPUTED_VALUE"""),"SOUTH")</f>
        <v>SOUTH</v>
      </c>
      <c r="B6603" s="115" t="str">
        <f>IFERROR(__xludf.DUMMYFUNCTION("""COMPUTED_VALUE"""),"Kandula Sampath")</f>
        <v>Kandula Sampath</v>
      </c>
      <c r="C6603" s="115" t="str">
        <f>IFERROR(__xludf.DUMMYFUNCTION("""COMPUTED_VALUE"""),"MYNTRA")</f>
        <v>MYNTRA</v>
      </c>
      <c r="D6603" s="115">
        <f>IFERROR(__xludf.DUMMYFUNCTION("""COMPUTED_VALUE"""),40883.0)</f>
        <v>40883</v>
      </c>
      <c r="E6603" s="115">
        <f>IFERROR(__xludf.DUMMYFUNCTION("""COMPUTED_VALUE"""),8640.0)</f>
        <v>8640</v>
      </c>
      <c r="F6603" s="115">
        <f>IFERROR(__xludf.DUMMYFUNCTION("""COMPUTED_VALUE"""),26915.0)</f>
        <v>26915</v>
      </c>
      <c r="G6603" s="115">
        <f>IFERROR(__xludf.DUMMYFUNCTION("""COMPUTED_VALUE"""),2383.0)</f>
        <v>2383</v>
      </c>
      <c r="H6603" s="116">
        <f>IFERROR(__xludf.DUMMYFUNCTION("""COMPUTED_VALUE"""),45912.0)</f>
        <v>45912</v>
      </c>
      <c r="I6603" s="115" t="str">
        <f>IFERROR(__xludf.DUMMYFUNCTION("""COMPUTED_VALUE"""),"16")</f>
        <v>16</v>
      </c>
      <c r="J6603" s="115"/>
      <c r="K6603" s="115"/>
    </row>
    <row r="6604">
      <c r="A6604" s="115" t="str">
        <f>IFERROR(__xludf.DUMMYFUNCTION("""COMPUTED_VALUE"""),"SOUTH")</f>
        <v>SOUTH</v>
      </c>
      <c r="B6604" s="115" t="str">
        <f>IFERROR(__xludf.DUMMYFUNCTION("""COMPUTED_VALUE"""),"Martin A")</f>
        <v>Martin A</v>
      </c>
      <c r="C6604" s="115" t="str">
        <f>IFERROR(__xludf.DUMMYFUNCTION("""COMPUTED_VALUE"""),"EXTERNAL")</f>
        <v>EXTERNAL</v>
      </c>
      <c r="D6604" s="115">
        <f>IFERROR(__xludf.DUMMYFUNCTION("""COMPUTED_VALUE"""),31159.0)</f>
        <v>31159</v>
      </c>
      <c r="E6604" s="115">
        <f>IFERROR(__xludf.DUMMYFUNCTION("""COMPUTED_VALUE"""),3657.0)</f>
        <v>3657</v>
      </c>
      <c r="F6604" s="115">
        <f>IFERROR(__xludf.DUMMYFUNCTION("""COMPUTED_VALUE"""),11090.0)</f>
        <v>11090</v>
      </c>
      <c r="G6604" s="115">
        <f>IFERROR(__xludf.DUMMYFUNCTION("""COMPUTED_VALUE"""),957.0)</f>
        <v>957</v>
      </c>
      <c r="H6604" s="116">
        <f>IFERROR(__xludf.DUMMYFUNCTION("""COMPUTED_VALUE"""),45912.0)</f>
        <v>45912</v>
      </c>
      <c r="I6604" s="115" t="str">
        <f>IFERROR(__xludf.DUMMYFUNCTION("""COMPUTED_VALUE"""),"16")</f>
        <v>16</v>
      </c>
      <c r="J6604" s="115"/>
      <c r="K6604" s="115"/>
    </row>
    <row r="6605">
      <c r="A6605" s="115" t="str">
        <f>IFERROR(__xludf.DUMMYFUNCTION("""COMPUTED_VALUE"""),"SOUTH")</f>
        <v>SOUTH</v>
      </c>
      <c r="B6605" s="115" t="str">
        <f>IFERROR(__xludf.DUMMYFUNCTION("""COMPUTED_VALUE"""),"Martin A")</f>
        <v>Martin A</v>
      </c>
      <c r="C6605" s="115" t="str">
        <f>IFERROR(__xludf.DUMMYFUNCTION("""COMPUTED_VALUE"""),"FLIPKART")</f>
        <v>FLIPKART</v>
      </c>
      <c r="D6605" s="115">
        <f>IFERROR(__xludf.DUMMYFUNCTION("""COMPUTED_VALUE"""),316512.0)</f>
        <v>316512</v>
      </c>
      <c r="E6605" s="115">
        <f>IFERROR(__xludf.DUMMYFUNCTION("""COMPUTED_VALUE"""),25625.0)</f>
        <v>25625</v>
      </c>
      <c r="F6605" s="115">
        <f>IFERROR(__xludf.DUMMYFUNCTION("""COMPUTED_VALUE"""),187965.0)</f>
        <v>187965</v>
      </c>
      <c r="G6605" s="115">
        <f>IFERROR(__xludf.DUMMYFUNCTION("""COMPUTED_VALUE"""),8516.0)</f>
        <v>8516</v>
      </c>
      <c r="H6605" s="116">
        <f>IFERROR(__xludf.DUMMYFUNCTION("""COMPUTED_VALUE"""),45912.0)</f>
        <v>45912</v>
      </c>
      <c r="I6605" s="115" t="str">
        <f>IFERROR(__xludf.DUMMYFUNCTION("""COMPUTED_VALUE"""),"16")</f>
        <v>16</v>
      </c>
      <c r="J6605" s="115"/>
      <c r="K6605" s="115"/>
    </row>
    <row r="6606">
      <c r="A6606" s="115" t="str">
        <f>IFERROR(__xludf.DUMMYFUNCTION("""COMPUTED_VALUE"""),"SOUTH")</f>
        <v>SOUTH</v>
      </c>
      <c r="B6606" s="115" t="str">
        <f>IFERROR(__xludf.DUMMYFUNCTION("""COMPUTED_VALUE"""),"Martin A")</f>
        <v>Martin A</v>
      </c>
      <c r="C6606" s="115" t="str">
        <f>IFERROR(__xludf.DUMMYFUNCTION("""COMPUTED_VALUE"""),"MYNTRA")</f>
        <v>MYNTRA</v>
      </c>
      <c r="D6606" s="115">
        <f>IFERROR(__xludf.DUMMYFUNCTION("""COMPUTED_VALUE"""),29270.0)</f>
        <v>29270</v>
      </c>
      <c r="E6606" s="115">
        <f>IFERROR(__xludf.DUMMYFUNCTION("""COMPUTED_VALUE"""),6603.0)</f>
        <v>6603</v>
      </c>
      <c r="F6606" s="115">
        <f>IFERROR(__xludf.DUMMYFUNCTION("""COMPUTED_VALUE"""),19950.0)</f>
        <v>19950</v>
      </c>
      <c r="G6606" s="115">
        <f>IFERROR(__xludf.DUMMYFUNCTION("""COMPUTED_VALUE"""),2514.0)</f>
        <v>2514</v>
      </c>
      <c r="H6606" s="116">
        <f>IFERROR(__xludf.DUMMYFUNCTION("""COMPUTED_VALUE"""),45912.0)</f>
        <v>45912</v>
      </c>
      <c r="I6606" s="115" t="str">
        <f>IFERROR(__xludf.DUMMYFUNCTION("""COMPUTED_VALUE"""),"16")</f>
        <v>16</v>
      </c>
      <c r="J6606" s="115"/>
      <c r="K6606" s="115"/>
    </row>
    <row r="6607">
      <c r="A6607" s="115" t="str">
        <f>IFERROR(__xludf.DUMMYFUNCTION("""COMPUTED_VALUE"""),"SOUTH")</f>
        <v>SOUTH</v>
      </c>
      <c r="B6607" s="115" t="str">
        <f>IFERROR(__xludf.DUMMYFUNCTION("""COMPUTED_VALUE"""),"Premkumar M")</f>
        <v>Premkumar M</v>
      </c>
      <c r="C6607" s="115" t="str">
        <f>IFERROR(__xludf.DUMMYFUNCTION("""COMPUTED_VALUE"""),"EXTERNAL")</f>
        <v>EXTERNAL</v>
      </c>
      <c r="D6607" s="115">
        <f>IFERROR(__xludf.DUMMYFUNCTION("""COMPUTED_VALUE"""),29367.0)</f>
        <v>29367</v>
      </c>
      <c r="E6607" s="115">
        <f>IFERROR(__xludf.DUMMYFUNCTION("""COMPUTED_VALUE"""),2106.0)</f>
        <v>2106</v>
      </c>
      <c r="F6607" s="115">
        <f>IFERROR(__xludf.DUMMYFUNCTION("""COMPUTED_VALUE"""),10266.0)</f>
        <v>10266</v>
      </c>
      <c r="G6607" s="115">
        <f>IFERROR(__xludf.DUMMYFUNCTION("""COMPUTED_VALUE"""),198.0)</f>
        <v>198</v>
      </c>
      <c r="H6607" s="116">
        <f>IFERROR(__xludf.DUMMYFUNCTION("""COMPUTED_VALUE"""),45912.0)</f>
        <v>45912</v>
      </c>
      <c r="I6607" s="115" t="str">
        <f>IFERROR(__xludf.DUMMYFUNCTION("""COMPUTED_VALUE"""),"16")</f>
        <v>16</v>
      </c>
      <c r="J6607" s="115"/>
      <c r="K6607" s="115"/>
    </row>
    <row r="6608">
      <c r="A6608" s="115" t="str">
        <f>IFERROR(__xludf.DUMMYFUNCTION("""COMPUTED_VALUE"""),"SOUTH")</f>
        <v>SOUTH</v>
      </c>
      <c r="B6608" s="115" t="str">
        <f>IFERROR(__xludf.DUMMYFUNCTION("""COMPUTED_VALUE"""),"Premkumar M")</f>
        <v>Premkumar M</v>
      </c>
      <c r="C6608" s="115" t="str">
        <f>IFERROR(__xludf.DUMMYFUNCTION("""COMPUTED_VALUE"""),"FLIPKART")</f>
        <v>FLIPKART</v>
      </c>
      <c r="D6608" s="115">
        <f>IFERROR(__xludf.DUMMYFUNCTION("""COMPUTED_VALUE"""),312794.0)</f>
        <v>312794</v>
      </c>
      <c r="E6608" s="115">
        <f>IFERROR(__xludf.DUMMYFUNCTION("""COMPUTED_VALUE"""),17914.0)</f>
        <v>17914</v>
      </c>
      <c r="F6608" s="115">
        <f>IFERROR(__xludf.DUMMYFUNCTION("""COMPUTED_VALUE"""),164347.0)</f>
        <v>164347</v>
      </c>
      <c r="G6608" s="115">
        <f>IFERROR(__xludf.DUMMYFUNCTION("""COMPUTED_VALUE"""),2650.0)</f>
        <v>2650</v>
      </c>
      <c r="H6608" s="116">
        <f>IFERROR(__xludf.DUMMYFUNCTION("""COMPUTED_VALUE"""),45912.0)</f>
        <v>45912</v>
      </c>
      <c r="I6608" s="115" t="str">
        <f>IFERROR(__xludf.DUMMYFUNCTION("""COMPUTED_VALUE"""),"16")</f>
        <v>16</v>
      </c>
      <c r="J6608" s="115"/>
      <c r="K6608" s="115"/>
    </row>
    <row r="6609">
      <c r="A6609" s="115" t="str">
        <f>IFERROR(__xludf.DUMMYFUNCTION("""COMPUTED_VALUE"""),"SOUTH")</f>
        <v>SOUTH</v>
      </c>
      <c r="B6609" s="115" t="str">
        <f>IFERROR(__xludf.DUMMYFUNCTION("""COMPUTED_VALUE"""),"Premkumar M")</f>
        <v>Premkumar M</v>
      </c>
      <c r="C6609" s="115" t="str">
        <f>IFERROR(__xludf.DUMMYFUNCTION("""COMPUTED_VALUE"""),"MYNTRA")</f>
        <v>MYNTRA</v>
      </c>
      <c r="D6609" s="115">
        <f>IFERROR(__xludf.DUMMYFUNCTION("""COMPUTED_VALUE"""),15961.0)</f>
        <v>15961</v>
      </c>
      <c r="E6609" s="115">
        <f>IFERROR(__xludf.DUMMYFUNCTION("""COMPUTED_VALUE"""),2727.0)</f>
        <v>2727</v>
      </c>
      <c r="F6609" s="115">
        <f>IFERROR(__xludf.DUMMYFUNCTION("""COMPUTED_VALUE"""),9670.0)</f>
        <v>9670</v>
      </c>
      <c r="G6609" s="115">
        <f>IFERROR(__xludf.DUMMYFUNCTION("""COMPUTED_VALUE"""),452.0)</f>
        <v>452</v>
      </c>
      <c r="H6609" s="116">
        <f>IFERROR(__xludf.DUMMYFUNCTION("""COMPUTED_VALUE"""),45912.0)</f>
        <v>45912</v>
      </c>
      <c r="I6609" s="115" t="str">
        <f>IFERROR(__xludf.DUMMYFUNCTION("""COMPUTED_VALUE"""),"16")</f>
        <v>16</v>
      </c>
      <c r="J6609" s="115"/>
      <c r="K6609" s="115"/>
    </row>
    <row r="6610">
      <c r="A6610" s="115" t="str">
        <f>IFERROR(__xludf.DUMMYFUNCTION("""COMPUTED_VALUE"""),"SOUTH")</f>
        <v>SOUTH</v>
      </c>
      <c r="B6610" s="115" t="str">
        <f>IFERROR(__xludf.DUMMYFUNCTION("""COMPUTED_VALUE"""),"Vineeth V")</f>
        <v>Vineeth V</v>
      </c>
      <c r="C6610" s="115" t="str">
        <f>IFERROR(__xludf.DUMMYFUNCTION("""COMPUTED_VALUE"""),"EXTERNAL")</f>
        <v>EXTERNAL</v>
      </c>
      <c r="D6610" s="115">
        <f>IFERROR(__xludf.DUMMYFUNCTION("""COMPUTED_VALUE"""),21030.0)</f>
        <v>21030</v>
      </c>
      <c r="E6610" s="115">
        <f>IFERROR(__xludf.DUMMYFUNCTION("""COMPUTED_VALUE"""),558.0)</f>
        <v>558</v>
      </c>
      <c r="F6610" s="115">
        <f>IFERROR(__xludf.DUMMYFUNCTION("""COMPUTED_VALUE"""),8514.0)</f>
        <v>8514</v>
      </c>
      <c r="G6610" s="115">
        <f>IFERROR(__xludf.DUMMYFUNCTION("""COMPUTED_VALUE"""),104.0)</f>
        <v>104</v>
      </c>
      <c r="H6610" s="116">
        <f>IFERROR(__xludf.DUMMYFUNCTION("""COMPUTED_VALUE"""),45912.0)</f>
        <v>45912</v>
      </c>
      <c r="I6610" s="115" t="str">
        <f>IFERROR(__xludf.DUMMYFUNCTION("""COMPUTED_VALUE"""),"16")</f>
        <v>16</v>
      </c>
      <c r="J6610" s="115"/>
      <c r="K6610" s="115"/>
    </row>
    <row r="6611">
      <c r="A6611" s="115" t="str">
        <f>IFERROR(__xludf.DUMMYFUNCTION("""COMPUTED_VALUE"""),"SOUTH")</f>
        <v>SOUTH</v>
      </c>
      <c r="B6611" s="115" t="str">
        <f>IFERROR(__xludf.DUMMYFUNCTION("""COMPUTED_VALUE"""),"Vineeth V")</f>
        <v>Vineeth V</v>
      </c>
      <c r="C6611" s="115" t="str">
        <f>IFERROR(__xludf.DUMMYFUNCTION("""COMPUTED_VALUE"""),"FLIPKART")</f>
        <v>FLIPKART</v>
      </c>
      <c r="D6611" s="115">
        <f>IFERROR(__xludf.DUMMYFUNCTION("""COMPUTED_VALUE"""),220995.0)</f>
        <v>220995</v>
      </c>
      <c r="E6611" s="115">
        <f>IFERROR(__xludf.DUMMYFUNCTION("""COMPUTED_VALUE"""),13231.0)</f>
        <v>13231</v>
      </c>
      <c r="F6611" s="115">
        <f>IFERROR(__xludf.DUMMYFUNCTION("""COMPUTED_VALUE"""),140157.0)</f>
        <v>140157</v>
      </c>
      <c r="G6611" s="115">
        <f>IFERROR(__xludf.DUMMYFUNCTION("""COMPUTED_VALUE"""),2569.0)</f>
        <v>2569</v>
      </c>
      <c r="H6611" s="116">
        <f>IFERROR(__xludf.DUMMYFUNCTION("""COMPUTED_VALUE"""),45912.0)</f>
        <v>45912</v>
      </c>
      <c r="I6611" s="115" t="str">
        <f>IFERROR(__xludf.DUMMYFUNCTION("""COMPUTED_VALUE"""),"16")</f>
        <v>16</v>
      </c>
      <c r="J6611" s="115"/>
      <c r="K6611" s="115"/>
    </row>
    <row r="6612">
      <c r="A6612" s="115" t="str">
        <f>IFERROR(__xludf.DUMMYFUNCTION("""COMPUTED_VALUE"""),"SOUTH")</f>
        <v>SOUTH</v>
      </c>
      <c r="B6612" s="115" t="str">
        <f>IFERROR(__xludf.DUMMYFUNCTION("""COMPUTED_VALUE"""),"Vineeth V")</f>
        <v>Vineeth V</v>
      </c>
      <c r="C6612" s="115" t="str">
        <f>IFERROR(__xludf.DUMMYFUNCTION("""COMPUTED_VALUE"""),"MYNTRA")</f>
        <v>MYNTRA</v>
      </c>
      <c r="D6612" s="115">
        <f>IFERROR(__xludf.DUMMYFUNCTION("""COMPUTED_VALUE"""),16917.0)</f>
        <v>16917</v>
      </c>
      <c r="E6612" s="115">
        <f>IFERROR(__xludf.DUMMYFUNCTION("""COMPUTED_VALUE"""),3198.0)</f>
        <v>3198</v>
      </c>
      <c r="F6612" s="115">
        <f>IFERROR(__xludf.DUMMYFUNCTION("""COMPUTED_VALUE"""),11530.0)</f>
        <v>11530</v>
      </c>
      <c r="G6612" s="115">
        <f>IFERROR(__xludf.DUMMYFUNCTION("""COMPUTED_VALUE"""),693.0)</f>
        <v>693</v>
      </c>
      <c r="H6612" s="116">
        <f>IFERROR(__xludf.DUMMYFUNCTION("""COMPUTED_VALUE"""),45912.0)</f>
        <v>45912</v>
      </c>
      <c r="I6612" s="115" t="str">
        <f>IFERROR(__xludf.DUMMYFUNCTION("""COMPUTED_VALUE"""),"16")</f>
        <v>16</v>
      </c>
      <c r="J6612" s="115"/>
      <c r="K6612" s="115"/>
    </row>
    <row r="6613">
      <c r="A6613" s="115" t="str">
        <f>IFERROR(__xludf.DUMMYFUNCTION("""COMPUTED_VALUE"""),"WEST")</f>
        <v>WEST</v>
      </c>
      <c r="B6613" s="115" t="str">
        <f>IFERROR(__xludf.DUMMYFUNCTION("""COMPUTED_VALUE"""),"Ashish Jakar")</f>
        <v>Ashish Jakar</v>
      </c>
      <c r="C6613" s="115" t="str">
        <f>IFERROR(__xludf.DUMMYFUNCTION("""COMPUTED_VALUE"""),"EXTERNAL")</f>
        <v>EXTERNAL</v>
      </c>
      <c r="D6613" s="115">
        <f>IFERROR(__xludf.DUMMYFUNCTION("""COMPUTED_VALUE"""),59683.0)</f>
        <v>59683</v>
      </c>
      <c r="E6613" s="115">
        <f>IFERROR(__xludf.DUMMYFUNCTION("""COMPUTED_VALUE"""),6169.0)</f>
        <v>6169</v>
      </c>
      <c r="F6613" s="115">
        <f>IFERROR(__xludf.DUMMYFUNCTION("""COMPUTED_VALUE"""),19904.0)</f>
        <v>19904</v>
      </c>
      <c r="G6613" s="115">
        <f>IFERROR(__xludf.DUMMYFUNCTION("""COMPUTED_VALUE"""),1443.0)</f>
        <v>1443</v>
      </c>
      <c r="H6613" s="116">
        <f>IFERROR(__xludf.DUMMYFUNCTION("""COMPUTED_VALUE"""),45912.0)</f>
        <v>45912</v>
      </c>
      <c r="I6613" s="115" t="str">
        <f>IFERROR(__xludf.DUMMYFUNCTION("""COMPUTED_VALUE"""),"16")</f>
        <v>16</v>
      </c>
      <c r="J6613" s="115"/>
      <c r="K6613" s="115"/>
    </row>
    <row r="6614">
      <c r="A6614" s="115" t="str">
        <f>IFERROR(__xludf.DUMMYFUNCTION("""COMPUTED_VALUE"""),"WEST")</f>
        <v>WEST</v>
      </c>
      <c r="B6614" s="115" t="str">
        <f>IFERROR(__xludf.DUMMYFUNCTION("""COMPUTED_VALUE"""),"Ashish Jakar")</f>
        <v>Ashish Jakar</v>
      </c>
      <c r="C6614" s="115" t="str">
        <f>IFERROR(__xludf.DUMMYFUNCTION("""COMPUTED_VALUE"""),"FLIPKART")</f>
        <v>FLIPKART</v>
      </c>
      <c r="D6614" s="115">
        <f>IFERROR(__xludf.DUMMYFUNCTION("""COMPUTED_VALUE"""),441436.0)</f>
        <v>441436</v>
      </c>
      <c r="E6614" s="115">
        <f>IFERROR(__xludf.DUMMYFUNCTION("""COMPUTED_VALUE"""),34255.0)</f>
        <v>34255</v>
      </c>
      <c r="F6614" s="115">
        <f>IFERROR(__xludf.DUMMYFUNCTION("""COMPUTED_VALUE"""),245436.0)</f>
        <v>245436</v>
      </c>
      <c r="G6614" s="115">
        <f>IFERROR(__xludf.DUMMYFUNCTION("""COMPUTED_VALUE"""),10383.0)</f>
        <v>10383</v>
      </c>
      <c r="H6614" s="116">
        <f>IFERROR(__xludf.DUMMYFUNCTION("""COMPUTED_VALUE"""),45912.0)</f>
        <v>45912</v>
      </c>
      <c r="I6614" s="115" t="str">
        <f>IFERROR(__xludf.DUMMYFUNCTION("""COMPUTED_VALUE"""),"16")</f>
        <v>16</v>
      </c>
      <c r="J6614" s="115"/>
      <c r="K6614" s="115"/>
    </row>
    <row r="6615">
      <c r="A6615" s="115" t="str">
        <f>IFERROR(__xludf.DUMMYFUNCTION("""COMPUTED_VALUE"""),"WEST")</f>
        <v>WEST</v>
      </c>
      <c r="B6615" s="115" t="str">
        <f>IFERROR(__xludf.DUMMYFUNCTION("""COMPUTED_VALUE"""),"Ashish Jakar")</f>
        <v>Ashish Jakar</v>
      </c>
      <c r="C6615" s="115" t="str">
        <f>IFERROR(__xludf.DUMMYFUNCTION("""COMPUTED_VALUE"""),"MYNTRA")</f>
        <v>MYNTRA</v>
      </c>
      <c r="D6615" s="115">
        <f>IFERROR(__xludf.DUMMYFUNCTION("""COMPUTED_VALUE"""),48125.0)</f>
        <v>48125</v>
      </c>
      <c r="E6615" s="115">
        <f>IFERROR(__xludf.DUMMYFUNCTION("""COMPUTED_VALUE"""),11621.0)</f>
        <v>11621</v>
      </c>
      <c r="F6615" s="115">
        <f>IFERROR(__xludf.DUMMYFUNCTION("""COMPUTED_VALUE"""),30889.0)</f>
        <v>30889</v>
      </c>
      <c r="G6615" s="115">
        <f>IFERROR(__xludf.DUMMYFUNCTION("""COMPUTED_VALUE"""),4193.0)</f>
        <v>4193</v>
      </c>
      <c r="H6615" s="116">
        <f>IFERROR(__xludf.DUMMYFUNCTION("""COMPUTED_VALUE"""),45912.0)</f>
        <v>45912</v>
      </c>
      <c r="I6615" s="115" t="str">
        <f>IFERROR(__xludf.DUMMYFUNCTION("""COMPUTED_VALUE"""),"16")</f>
        <v>16</v>
      </c>
      <c r="J6615" s="115"/>
      <c r="K6615" s="115"/>
    </row>
    <row r="6616">
      <c r="A6616" s="115" t="str">
        <f>IFERROR(__xludf.DUMMYFUNCTION("""COMPUTED_VALUE"""),"WEST")</f>
        <v>WEST</v>
      </c>
      <c r="B6616" s="115" t="str">
        <f>IFERROR(__xludf.DUMMYFUNCTION("""COMPUTED_VALUE"""),"Ashvani Bhatt")</f>
        <v>Ashvani Bhatt</v>
      </c>
      <c r="C6616" s="115" t="str">
        <f>IFERROR(__xludf.DUMMYFUNCTION("""COMPUTED_VALUE"""),"EXTERNAL")</f>
        <v>EXTERNAL</v>
      </c>
      <c r="D6616" s="115">
        <f>IFERROR(__xludf.DUMMYFUNCTION("""COMPUTED_VALUE"""),38916.0)</f>
        <v>38916</v>
      </c>
      <c r="E6616" s="115">
        <f>IFERROR(__xludf.DUMMYFUNCTION("""COMPUTED_VALUE"""),3080.0)</f>
        <v>3080</v>
      </c>
      <c r="F6616" s="115">
        <f>IFERROR(__xludf.DUMMYFUNCTION("""COMPUTED_VALUE"""),13646.0)</f>
        <v>13646</v>
      </c>
      <c r="G6616" s="115">
        <f>IFERROR(__xludf.DUMMYFUNCTION("""COMPUTED_VALUE"""),648.0)</f>
        <v>648</v>
      </c>
      <c r="H6616" s="116">
        <f>IFERROR(__xludf.DUMMYFUNCTION("""COMPUTED_VALUE"""),45912.0)</f>
        <v>45912</v>
      </c>
      <c r="I6616" s="115" t="str">
        <f>IFERROR(__xludf.DUMMYFUNCTION("""COMPUTED_VALUE"""),"16")</f>
        <v>16</v>
      </c>
      <c r="J6616" s="115"/>
      <c r="K6616" s="115"/>
    </row>
    <row r="6617">
      <c r="A6617" s="115" t="str">
        <f>IFERROR(__xludf.DUMMYFUNCTION("""COMPUTED_VALUE"""),"WEST")</f>
        <v>WEST</v>
      </c>
      <c r="B6617" s="115" t="str">
        <f>IFERROR(__xludf.DUMMYFUNCTION("""COMPUTED_VALUE"""),"Ashvani Bhatt")</f>
        <v>Ashvani Bhatt</v>
      </c>
      <c r="C6617" s="115" t="str">
        <f>IFERROR(__xludf.DUMMYFUNCTION("""COMPUTED_VALUE"""),"FLIPKART")</f>
        <v>FLIPKART</v>
      </c>
      <c r="D6617" s="115">
        <f>IFERROR(__xludf.DUMMYFUNCTION("""COMPUTED_VALUE"""),339947.0)</f>
        <v>339947</v>
      </c>
      <c r="E6617" s="115">
        <f>IFERROR(__xludf.DUMMYFUNCTION("""COMPUTED_VALUE"""),28508.0)</f>
        <v>28508</v>
      </c>
      <c r="F6617" s="115">
        <f>IFERROR(__xludf.DUMMYFUNCTION("""COMPUTED_VALUE"""),214569.0)</f>
        <v>214569</v>
      </c>
      <c r="G6617" s="115">
        <f>IFERROR(__xludf.DUMMYFUNCTION("""COMPUTED_VALUE"""),8999.0)</f>
        <v>8999</v>
      </c>
      <c r="H6617" s="116">
        <f>IFERROR(__xludf.DUMMYFUNCTION("""COMPUTED_VALUE"""),45912.0)</f>
        <v>45912</v>
      </c>
      <c r="I6617" s="115" t="str">
        <f>IFERROR(__xludf.DUMMYFUNCTION("""COMPUTED_VALUE"""),"16")</f>
        <v>16</v>
      </c>
      <c r="J6617" s="115"/>
      <c r="K6617" s="115"/>
    </row>
    <row r="6618">
      <c r="A6618" s="115" t="str">
        <f>IFERROR(__xludf.DUMMYFUNCTION("""COMPUTED_VALUE"""),"WEST")</f>
        <v>WEST</v>
      </c>
      <c r="B6618" s="115" t="str">
        <f>IFERROR(__xludf.DUMMYFUNCTION("""COMPUTED_VALUE"""),"Ashvani Bhatt")</f>
        <v>Ashvani Bhatt</v>
      </c>
      <c r="C6618" s="115" t="str">
        <f>IFERROR(__xludf.DUMMYFUNCTION("""COMPUTED_VALUE"""),"MYNTRA")</f>
        <v>MYNTRA</v>
      </c>
      <c r="D6618" s="115">
        <f>IFERROR(__xludf.DUMMYFUNCTION("""COMPUTED_VALUE"""),36232.0)</f>
        <v>36232</v>
      </c>
      <c r="E6618" s="115">
        <f>IFERROR(__xludf.DUMMYFUNCTION("""COMPUTED_VALUE"""),8911.0)</f>
        <v>8911</v>
      </c>
      <c r="F6618" s="115">
        <f>IFERROR(__xludf.DUMMYFUNCTION("""COMPUTED_VALUE"""),26067.0)</f>
        <v>26067</v>
      </c>
      <c r="G6618" s="115">
        <f>IFERROR(__xludf.DUMMYFUNCTION("""COMPUTED_VALUE"""),3460.0)</f>
        <v>3460</v>
      </c>
      <c r="H6618" s="116">
        <f>IFERROR(__xludf.DUMMYFUNCTION("""COMPUTED_VALUE"""),45912.0)</f>
        <v>45912</v>
      </c>
      <c r="I6618" s="115" t="str">
        <f>IFERROR(__xludf.DUMMYFUNCTION("""COMPUTED_VALUE"""),"16")</f>
        <v>16</v>
      </c>
      <c r="J6618" s="115"/>
      <c r="K6618" s="115"/>
    </row>
    <row r="6619">
      <c r="A6619" s="115"/>
      <c r="B6619" s="115"/>
      <c r="C6619" s="115" t="str">
        <f>IFERROR(__xludf.DUMMYFUNCTION("""COMPUTED_VALUE"""),"EXTERNAL")</f>
        <v>EXTERNAL</v>
      </c>
      <c r="D6619" s="115">
        <f>IFERROR(__xludf.DUMMYFUNCTION("""COMPUTED_VALUE"""),1368.0)</f>
        <v>1368</v>
      </c>
      <c r="E6619" s="115">
        <f>IFERROR(__xludf.DUMMYFUNCTION("""COMPUTED_VALUE"""),238.0)</f>
        <v>238</v>
      </c>
      <c r="F6619" s="115">
        <f>IFERROR(__xludf.DUMMYFUNCTION("""COMPUTED_VALUE"""),460.0)</f>
        <v>460</v>
      </c>
      <c r="G6619" s="115">
        <f>IFERROR(__xludf.DUMMYFUNCTION("""COMPUTED_VALUE"""),101.0)</f>
        <v>101</v>
      </c>
      <c r="H6619" s="116">
        <f>IFERROR(__xludf.DUMMYFUNCTION("""COMPUTED_VALUE"""),45912.0)</f>
        <v>45912</v>
      </c>
      <c r="I6619" s="115" t="str">
        <f>IFERROR(__xludf.DUMMYFUNCTION("""COMPUTED_VALUE"""),"16")</f>
        <v>16</v>
      </c>
      <c r="J6619" s="115"/>
      <c r="K6619" s="115"/>
    </row>
    <row r="6620">
      <c r="A6620" s="115"/>
      <c r="B6620" s="115"/>
      <c r="C6620" s="115" t="str">
        <f>IFERROR(__xludf.DUMMYFUNCTION("""COMPUTED_VALUE"""),"FLIPKART")</f>
        <v>FLIPKART</v>
      </c>
      <c r="D6620" s="115">
        <f>IFERROR(__xludf.DUMMYFUNCTION("""COMPUTED_VALUE"""),15712.0)</f>
        <v>15712</v>
      </c>
      <c r="E6620" s="115">
        <f>IFERROR(__xludf.DUMMYFUNCTION("""COMPUTED_VALUE"""),1346.0)</f>
        <v>1346</v>
      </c>
      <c r="F6620" s="115">
        <f>IFERROR(__xludf.DUMMYFUNCTION("""COMPUTED_VALUE"""),7981.0)</f>
        <v>7981</v>
      </c>
      <c r="G6620" s="115">
        <f>IFERROR(__xludf.DUMMYFUNCTION("""COMPUTED_VALUE"""),562.0)</f>
        <v>562</v>
      </c>
      <c r="H6620" s="116">
        <f>IFERROR(__xludf.DUMMYFUNCTION("""COMPUTED_VALUE"""),45912.0)</f>
        <v>45912</v>
      </c>
      <c r="I6620" s="115" t="str">
        <f>IFERROR(__xludf.DUMMYFUNCTION("""COMPUTED_VALUE"""),"16")</f>
        <v>16</v>
      </c>
      <c r="J6620" s="115"/>
      <c r="K6620" s="115"/>
    </row>
    <row r="6621">
      <c r="A6621" s="115"/>
      <c r="B6621" s="115"/>
      <c r="C6621" s="115" t="str">
        <f>IFERROR(__xludf.DUMMYFUNCTION("""COMPUTED_VALUE"""),"MYNTRA")</f>
        <v>MYNTRA</v>
      </c>
      <c r="D6621" s="115">
        <f>IFERROR(__xludf.DUMMYFUNCTION("""COMPUTED_VALUE"""),1762.0)</f>
        <v>1762</v>
      </c>
      <c r="E6621" s="115">
        <f>IFERROR(__xludf.DUMMYFUNCTION("""COMPUTED_VALUE"""),407.0)</f>
        <v>407</v>
      </c>
      <c r="F6621" s="115">
        <f>IFERROR(__xludf.DUMMYFUNCTION("""COMPUTED_VALUE"""),1114.0)</f>
        <v>1114</v>
      </c>
      <c r="G6621" s="115">
        <f>IFERROR(__xludf.DUMMYFUNCTION("""COMPUTED_VALUE"""),206.0)</f>
        <v>206</v>
      </c>
      <c r="H6621" s="116">
        <f>IFERROR(__xludf.DUMMYFUNCTION("""COMPUTED_VALUE"""),45912.0)</f>
        <v>45912</v>
      </c>
      <c r="I6621" s="115" t="str">
        <f>IFERROR(__xludf.DUMMYFUNCTION("""COMPUTED_VALUE"""),"16")</f>
        <v>16</v>
      </c>
      <c r="J6621" s="115"/>
      <c r="K6621" s="115"/>
    </row>
    <row r="6622">
      <c r="A6622" s="115" t="str">
        <f>IFERROR(__xludf.DUMMYFUNCTION("""COMPUTED_VALUE"""),"EAST")</f>
        <v>EAST</v>
      </c>
      <c r="B6622" s="115" t="str">
        <f>IFERROR(__xludf.DUMMYFUNCTION("""COMPUTED_VALUE"""),"Ashish Ranjan")</f>
        <v>Ashish Ranjan</v>
      </c>
      <c r="C6622" s="115" t="str">
        <f>IFERROR(__xludf.DUMMYFUNCTION("""COMPUTED_VALUE"""),"EXTERNAL")</f>
        <v>EXTERNAL</v>
      </c>
      <c r="D6622" s="115">
        <f>IFERROR(__xludf.DUMMYFUNCTION("""COMPUTED_VALUE"""),42867.0)</f>
        <v>42867</v>
      </c>
      <c r="E6622" s="115">
        <f>IFERROR(__xludf.DUMMYFUNCTION("""COMPUTED_VALUE"""),3283.0)</f>
        <v>3283</v>
      </c>
      <c r="F6622" s="115">
        <f>IFERROR(__xludf.DUMMYFUNCTION("""COMPUTED_VALUE"""),20671.0)</f>
        <v>20671</v>
      </c>
      <c r="G6622" s="115">
        <f>IFERROR(__xludf.DUMMYFUNCTION("""COMPUTED_VALUE"""),1078.0)</f>
        <v>1078</v>
      </c>
      <c r="H6622" s="116">
        <f>IFERROR(__xludf.DUMMYFUNCTION("""COMPUTED_VALUE"""),45912.0)</f>
        <v>45912</v>
      </c>
      <c r="I6622" s="115" t="str">
        <f>IFERROR(__xludf.DUMMYFUNCTION("""COMPUTED_VALUE"""),"17")</f>
        <v>17</v>
      </c>
      <c r="J6622" s="115"/>
      <c r="K6622" s="115"/>
    </row>
    <row r="6623">
      <c r="A6623" s="115" t="str">
        <f>IFERROR(__xludf.DUMMYFUNCTION("""COMPUTED_VALUE"""),"EAST")</f>
        <v>EAST</v>
      </c>
      <c r="B6623" s="115" t="str">
        <f>IFERROR(__xludf.DUMMYFUNCTION("""COMPUTED_VALUE"""),"Ashish Ranjan")</f>
        <v>Ashish Ranjan</v>
      </c>
      <c r="C6623" s="115" t="str">
        <f>IFERROR(__xludf.DUMMYFUNCTION("""COMPUTED_VALUE"""),"FLIPKART")</f>
        <v>FLIPKART</v>
      </c>
      <c r="D6623" s="115">
        <f>IFERROR(__xludf.DUMMYFUNCTION("""COMPUTED_VALUE"""),785377.0)</f>
        <v>785377</v>
      </c>
      <c r="E6623" s="115">
        <f>IFERROR(__xludf.DUMMYFUNCTION("""COMPUTED_VALUE"""),64675.0)</f>
        <v>64675</v>
      </c>
      <c r="F6623" s="115">
        <f>IFERROR(__xludf.DUMMYFUNCTION("""COMPUTED_VALUE"""),592967.0)</f>
        <v>592967</v>
      </c>
      <c r="G6623" s="115">
        <f>IFERROR(__xludf.DUMMYFUNCTION("""COMPUTED_VALUE"""),31301.0)</f>
        <v>31301</v>
      </c>
      <c r="H6623" s="116">
        <f>IFERROR(__xludf.DUMMYFUNCTION("""COMPUTED_VALUE"""),45912.0)</f>
        <v>45912</v>
      </c>
      <c r="I6623" s="115" t="str">
        <f>IFERROR(__xludf.DUMMYFUNCTION("""COMPUTED_VALUE"""),"17")</f>
        <v>17</v>
      </c>
      <c r="J6623" s="115"/>
      <c r="K6623" s="115"/>
    </row>
    <row r="6624">
      <c r="A6624" s="115" t="str">
        <f>IFERROR(__xludf.DUMMYFUNCTION("""COMPUTED_VALUE"""),"EAST")</f>
        <v>EAST</v>
      </c>
      <c r="B6624" s="115" t="str">
        <f>IFERROR(__xludf.DUMMYFUNCTION("""COMPUTED_VALUE"""),"Ashish Ranjan")</f>
        <v>Ashish Ranjan</v>
      </c>
      <c r="C6624" s="115" t="str">
        <f>IFERROR(__xludf.DUMMYFUNCTION("""COMPUTED_VALUE"""),"MYNTRA")</f>
        <v>MYNTRA</v>
      </c>
      <c r="D6624" s="115">
        <f>IFERROR(__xludf.DUMMYFUNCTION("""COMPUTED_VALUE"""),81942.0)</f>
        <v>81942</v>
      </c>
      <c r="E6624" s="115">
        <f>IFERROR(__xludf.DUMMYFUNCTION("""COMPUTED_VALUE"""),15781.0)</f>
        <v>15781</v>
      </c>
      <c r="F6624" s="115">
        <f>IFERROR(__xludf.DUMMYFUNCTION("""COMPUTED_VALUE"""),62738.0)</f>
        <v>62738</v>
      </c>
      <c r="G6624" s="115">
        <f>IFERROR(__xludf.DUMMYFUNCTION("""COMPUTED_VALUE"""),7687.0)</f>
        <v>7687</v>
      </c>
      <c r="H6624" s="116">
        <f>IFERROR(__xludf.DUMMYFUNCTION("""COMPUTED_VALUE"""),45912.0)</f>
        <v>45912</v>
      </c>
      <c r="I6624" s="115" t="str">
        <f>IFERROR(__xludf.DUMMYFUNCTION("""COMPUTED_VALUE"""),"17")</f>
        <v>17</v>
      </c>
      <c r="J6624" s="115"/>
      <c r="K6624" s="115"/>
    </row>
    <row r="6625">
      <c r="A6625" s="115" t="str">
        <f>IFERROR(__xludf.DUMMYFUNCTION("""COMPUTED_VALUE"""),"EAST")</f>
        <v>EAST</v>
      </c>
      <c r="B6625" s="115" t="str">
        <f>IFERROR(__xludf.DUMMYFUNCTION("""COMPUTED_VALUE"""),"Girish Chand")</f>
        <v>Girish Chand</v>
      </c>
      <c r="C6625" s="115" t="str">
        <f>IFERROR(__xludf.DUMMYFUNCTION("""COMPUTED_VALUE"""),"EXTERNAL")</f>
        <v>EXTERNAL</v>
      </c>
      <c r="D6625" s="115">
        <f>IFERROR(__xludf.DUMMYFUNCTION("""COMPUTED_VALUE"""),23529.0)</f>
        <v>23529</v>
      </c>
      <c r="E6625" s="115">
        <f>IFERROR(__xludf.DUMMYFUNCTION("""COMPUTED_VALUE"""),2098.0)</f>
        <v>2098</v>
      </c>
      <c r="F6625" s="115">
        <f>IFERROR(__xludf.DUMMYFUNCTION("""COMPUTED_VALUE"""),9574.0)</f>
        <v>9574</v>
      </c>
      <c r="G6625" s="115">
        <f>IFERROR(__xludf.DUMMYFUNCTION("""COMPUTED_VALUE"""),404.0)</f>
        <v>404</v>
      </c>
      <c r="H6625" s="116">
        <f>IFERROR(__xludf.DUMMYFUNCTION("""COMPUTED_VALUE"""),45912.0)</f>
        <v>45912</v>
      </c>
      <c r="I6625" s="115" t="str">
        <f>IFERROR(__xludf.DUMMYFUNCTION("""COMPUTED_VALUE"""),"17")</f>
        <v>17</v>
      </c>
      <c r="J6625" s="115"/>
      <c r="K6625" s="115"/>
    </row>
    <row r="6626">
      <c r="A6626" s="115" t="str">
        <f>IFERROR(__xludf.DUMMYFUNCTION("""COMPUTED_VALUE"""),"EAST")</f>
        <v>EAST</v>
      </c>
      <c r="B6626" s="115" t="str">
        <f>IFERROR(__xludf.DUMMYFUNCTION("""COMPUTED_VALUE"""),"Girish Chand")</f>
        <v>Girish Chand</v>
      </c>
      <c r="C6626" s="115" t="str">
        <f>IFERROR(__xludf.DUMMYFUNCTION("""COMPUTED_VALUE"""),"FLIPKART")</f>
        <v>FLIPKART</v>
      </c>
      <c r="D6626" s="115">
        <f>IFERROR(__xludf.DUMMYFUNCTION("""COMPUTED_VALUE"""),480750.0)</f>
        <v>480750</v>
      </c>
      <c r="E6626" s="115">
        <f>IFERROR(__xludf.DUMMYFUNCTION("""COMPUTED_VALUE"""),37104.0)</f>
        <v>37104</v>
      </c>
      <c r="F6626" s="115">
        <f>IFERROR(__xludf.DUMMYFUNCTION("""COMPUTED_VALUE"""),328226.0)</f>
        <v>328226</v>
      </c>
      <c r="G6626" s="115">
        <f>IFERROR(__xludf.DUMMYFUNCTION("""COMPUTED_VALUE"""),14395.0)</f>
        <v>14395</v>
      </c>
      <c r="H6626" s="116">
        <f>IFERROR(__xludf.DUMMYFUNCTION("""COMPUTED_VALUE"""),45912.0)</f>
        <v>45912</v>
      </c>
      <c r="I6626" s="115" t="str">
        <f>IFERROR(__xludf.DUMMYFUNCTION("""COMPUTED_VALUE"""),"17")</f>
        <v>17</v>
      </c>
      <c r="J6626" s="115"/>
      <c r="K6626" s="115"/>
    </row>
    <row r="6627">
      <c r="A6627" s="115" t="str">
        <f>IFERROR(__xludf.DUMMYFUNCTION("""COMPUTED_VALUE"""),"EAST")</f>
        <v>EAST</v>
      </c>
      <c r="B6627" s="115" t="str">
        <f>IFERROR(__xludf.DUMMYFUNCTION("""COMPUTED_VALUE"""),"Girish Chand")</f>
        <v>Girish Chand</v>
      </c>
      <c r="C6627" s="115" t="str">
        <f>IFERROR(__xludf.DUMMYFUNCTION("""COMPUTED_VALUE"""),"MYNTRA")</f>
        <v>MYNTRA</v>
      </c>
      <c r="D6627" s="115">
        <f>IFERROR(__xludf.DUMMYFUNCTION("""COMPUTED_VALUE"""),36067.0)</f>
        <v>36067</v>
      </c>
      <c r="E6627" s="115">
        <f>IFERROR(__xludf.DUMMYFUNCTION("""COMPUTED_VALUE"""),7122.0)</f>
        <v>7122</v>
      </c>
      <c r="F6627" s="115">
        <f>IFERROR(__xludf.DUMMYFUNCTION("""COMPUTED_VALUE"""),25809.0)</f>
        <v>25809</v>
      </c>
      <c r="G6627" s="115">
        <f>IFERROR(__xludf.DUMMYFUNCTION("""COMPUTED_VALUE"""),3061.0)</f>
        <v>3061</v>
      </c>
      <c r="H6627" s="116">
        <f>IFERROR(__xludf.DUMMYFUNCTION("""COMPUTED_VALUE"""),45912.0)</f>
        <v>45912</v>
      </c>
      <c r="I6627" s="115" t="str">
        <f>IFERROR(__xludf.DUMMYFUNCTION("""COMPUTED_VALUE"""),"17")</f>
        <v>17</v>
      </c>
      <c r="J6627" s="115"/>
      <c r="K6627" s="115"/>
    </row>
    <row r="6628">
      <c r="A6628" s="115" t="str">
        <f>IFERROR(__xludf.DUMMYFUNCTION("""COMPUTED_VALUE"""),"EAST")</f>
        <v>EAST</v>
      </c>
      <c r="B6628" s="115" t="str">
        <f>IFERROR(__xludf.DUMMYFUNCTION("""COMPUTED_VALUE"""),"Parag Kashyap")</f>
        <v>Parag Kashyap</v>
      </c>
      <c r="C6628" s="115" t="str">
        <f>IFERROR(__xludf.DUMMYFUNCTION("""COMPUTED_VALUE"""),"EXTERNAL")</f>
        <v>EXTERNAL</v>
      </c>
      <c r="D6628" s="115">
        <f>IFERROR(__xludf.DUMMYFUNCTION("""COMPUTED_VALUE"""),15385.0)</f>
        <v>15385</v>
      </c>
      <c r="E6628" s="115">
        <f>IFERROR(__xludf.DUMMYFUNCTION("""COMPUTED_VALUE"""),1111.0)</f>
        <v>1111</v>
      </c>
      <c r="F6628" s="115">
        <f>IFERROR(__xludf.DUMMYFUNCTION("""COMPUTED_VALUE"""),5855.0)</f>
        <v>5855</v>
      </c>
      <c r="G6628" s="115">
        <f>IFERROR(__xludf.DUMMYFUNCTION("""COMPUTED_VALUE"""),187.0)</f>
        <v>187</v>
      </c>
      <c r="H6628" s="116">
        <f>IFERROR(__xludf.DUMMYFUNCTION("""COMPUTED_VALUE"""),45912.0)</f>
        <v>45912</v>
      </c>
      <c r="I6628" s="115" t="str">
        <f>IFERROR(__xludf.DUMMYFUNCTION("""COMPUTED_VALUE"""),"17")</f>
        <v>17</v>
      </c>
      <c r="J6628" s="115"/>
      <c r="K6628" s="115"/>
    </row>
    <row r="6629">
      <c r="A6629" s="115" t="str">
        <f>IFERROR(__xludf.DUMMYFUNCTION("""COMPUTED_VALUE"""),"EAST")</f>
        <v>EAST</v>
      </c>
      <c r="B6629" s="115" t="str">
        <f>IFERROR(__xludf.DUMMYFUNCTION("""COMPUTED_VALUE"""),"Parag Kashyap")</f>
        <v>Parag Kashyap</v>
      </c>
      <c r="C6629" s="115" t="str">
        <f>IFERROR(__xludf.DUMMYFUNCTION("""COMPUTED_VALUE"""),"FLIPKART")</f>
        <v>FLIPKART</v>
      </c>
      <c r="D6629" s="115">
        <f>IFERROR(__xludf.DUMMYFUNCTION("""COMPUTED_VALUE"""),289175.0)</f>
        <v>289175</v>
      </c>
      <c r="E6629" s="115">
        <f>IFERROR(__xludf.DUMMYFUNCTION("""COMPUTED_VALUE"""),19290.0)</f>
        <v>19290</v>
      </c>
      <c r="F6629" s="115">
        <f>IFERROR(__xludf.DUMMYFUNCTION("""COMPUTED_VALUE"""),194489.0)</f>
        <v>194489</v>
      </c>
      <c r="G6629" s="115">
        <f>IFERROR(__xludf.DUMMYFUNCTION("""COMPUTED_VALUE"""),6234.0)</f>
        <v>6234</v>
      </c>
      <c r="H6629" s="116">
        <f>IFERROR(__xludf.DUMMYFUNCTION("""COMPUTED_VALUE"""),45912.0)</f>
        <v>45912</v>
      </c>
      <c r="I6629" s="115" t="str">
        <f>IFERROR(__xludf.DUMMYFUNCTION("""COMPUTED_VALUE"""),"17")</f>
        <v>17</v>
      </c>
      <c r="J6629" s="115"/>
      <c r="K6629" s="115"/>
    </row>
    <row r="6630">
      <c r="A6630" s="115" t="str">
        <f>IFERROR(__xludf.DUMMYFUNCTION("""COMPUTED_VALUE"""),"EAST")</f>
        <v>EAST</v>
      </c>
      <c r="B6630" s="115" t="str">
        <f>IFERROR(__xludf.DUMMYFUNCTION("""COMPUTED_VALUE"""),"Parag Kashyap")</f>
        <v>Parag Kashyap</v>
      </c>
      <c r="C6630" s="115" t="str">
        <f>IFERROR(__xludf.DUMMYFUNCTION("""COMPUTED_VALUE"""),"MYNTRA")</f>
        <v>MYNTRA</v>
      </c>
      <c r="D6630" s="115">
        <f>IFERROR(__xludf.DUMMYFUNCTION("""COMPUTED_VALUE"""),38253.0)</f>
        <v>38253</v>
      </c>
      <c r="E6630" s="115">
        <f>IFERROR(__xludf.DUMMYFUNCTION("""COMPUTED_VALUE"""),6214.0)</f>
        <v>6214</v>
      </c>
      <c r="F6630" s="115">
        <f>IFERROR(__xludf.DUMMYFUNCTION("""COMPUTED_VALUE"""),26555.0)</f>
        <v>26555</v>
      </c>
      <c r="G6630" s="115">
        <f>IFERROR(__xludf.DUMMYFUNCTION("""COMPUTED_VALUE"""),2061.0)</f>
        <v>2061</v>
      </c>
      <c r="H6630" s="116">
        <f>IFERROR(__xludf.DUMMYFUNCTION("""COMPUTED_VALUE"""),45912.0)</f>
        <v>45912</v>
      </c>
      <c r="I6630" s="115" t="str">
        <f>IFERROR(__xludf.DUMMYFUNCTION("""COMPUTED_VALUE"""),"17")</f>
        <v>17</v>
      </c>
      <c r="J6630" s="115"/>
      <c r="K6630" s="115"/>
    </row>
    <row r="6631">
      <c r="A6631" s="115" t="str">
        <f>IFERROR(__xludf.DUMMYFUNCTION("""COMPUTED_VALUE"""),"NORTH")</f>
        <v>NORTH</v>
      </c>
      <c r="B6631" s="115" t="str">
        <f>IFERROR(__xludf.DUMMYFUNCTION("""COMPUTED_VALUE"""),"Amit Kumar Pathak")</f>
        <v>Amit Kumar Pathak</v>
      </c>
      <c r="C6631" s="115" t="str">
        <f>IFERROR(__xludf.DUMMYFUNCTION("""COMPUTED_VALUE"""),"EXTERNAL")</f>
        <v>EXTERNAL</v>
      </c>
      <c r="D6631" s="115">
        <f>IFERROR(__xludf.DUMMYFUNCTION("""COMPUTED_VALUE"""),29336.0)</f>
        <v>29336</v>
      </c>
      <c r="E6631" s="115">
        <f>IFERROR(__xludf.DUMMYFUNCTION("""COMPUTED_VALUE"""),3408.0)</f>
        <v>3408</v>
      </c>
      <c r="F6631" s="115">
        <f>IFERROR(__xludf.DUMMYFUNCTION("""COMPUTED_VALUE"""),10172.0)</f>
        <v>10172</v>
      </c>
      <c r="G6631" s="115">
        <f>IFERROR(__xludf.DUMMYFUNCTION("""COMPUTED_VALUE"""),1212.0)</f>
        <v>1212</v>
      </c>
      <c r="H6631" s="116">
        <f>IFERROR(__xludf.DUMMYFUNCTION("""COMPUTED_VALUE"""),45912.0)</f>
        <v>45912</v>
      </c>
      <c r="I6631" s="115" t="str">
        <f>IFERROR(__xludf.DUMMYFUNCTION("""COMPUTED_VALUE"""),"17")</f>
        <v>17</v>
      </c>
      <c r="J6631" s="115"/>
      <c r="K6631" s="115"/>
    </row>
    <row r="6632">
      <c r="A6632" s="115" t="str">
        <f>IFERROR(__xludf.DUMMYFUNCTION("""COMPUTED_VALUE"""),"NORTH")</f>
        <v>NORTH</v>
      </c>
      <c r="B6632" s="115" t="str">
        <f>IFERROR(__xludf.DUMMYFUNCTION("""COMPUTED_VALUE"""),"Amit Kumar Pathak")</f>
        <v>Amit Kumar Pathak</v>
      </c>
      <c r="C6632" s="115" t="str">
        <f>IFERROR(__xludf.DUMMYFUNCTION("""COMPUTED_VALUE"""),"FLIPKART")</f>
        <v>FLIPKART</v>
      </c>
      <c r="D6632" s="115">
        <f>IFERROR(__xludf.DUMMYFUNCTION("""COMPUTED_VALUE"""),205292.0)</f>
        <v>205292</v>
      </c>
      <c r="E6632" s="115">
        <f>IFERROR(__xludf.DUMMYFUNCTION("""COMPUTED_VALUE"""),23615.0)</f>
        <v>23615</v>
      </c>
      <c r="F6632" s="115">
        <f>IFERROR(__xludf.DUMMYFUNCTION("""COMPUTED_VALUE"""),125259.0)</f>
        <v>125259</v>
      </c>
      <c r="G6632" s="115">
        <f>IFERROR(__xludf.DUMMYFUNCTION("""COMPUTED_VALUE"""),11022.0)</f>
        <v>11022</v>
      </c>
      <c r="H6632" s="116">
        <f>IFERROR(__xludf.DUMMYFUNCTION("""COMPUTED_VALUE"""),45912.0)</f>
        <v>45912</v>
      </c>
      <c r="I6632" s="115" t="str">
        <f>IFERROR(__xludf.DUMMYFUNCTION("""COMPUTED_VALUE"""),"17")</f>
        <v>17</v>
      </c>
      <c r="J6632" s="115"/>
      <c r="K6632" s="115"/>
    </row>
    <row r="6633">
      <c r="A6633" s="115" t="str">
        <f>IFERROR(__xludf.DUMMYFUNCTION("""COMPUTED_VALUE"""),"NORTH")</f>
        <v>NORTH</v>
      </c>
      <c r="B6633" s="115" t="str">
        <f>IFERROR(__xludf.DUMMYFUNCTION("""COMPUTED_VALUE"""),"Amit Kumar Pathak")</f>
        <v>Amit Kumar Pathak</v>
      </c>
      <c r="C6633" s="115" t="str">
        <f>IFERROR(__xludf.DUMMYFUNCTION("""COMPUTED_VALUE"""),"MYNTRA")</f>
        <v>MYNTRA</v>
      </c>
      <c r="D6633" s="115">
        <f>IFERROR(__xludf.DUMMYFUNCTION("""COMPUTED_VALUE"""),17725.0)</f>
        <v>17725</v>
      </c>
      <c r="E6633" s="115">
        <f>IFERROR(__xludf.DUMMYFUNCTION("""COMPUTED_VALUE"""),5699.0)</f>
        <v>5699</v>
      </c>
      <c r="F6633" s="115">
        <f>IFERROR(__xludf.DUMMYFUNCTION("""COMPUTED_VALUE"""),12511.0)</f>
        <v>12511</v>
      </c>
      <c r="G6633" s="115">
        <f>IFERROR(__xludf.DUMMYFUNCTION("""COMPUTED_VALUE"""),2783.0)</f>
        <v>2783</v>
      </c>
      <c r="H6633" s="116">
        <f>IFERROR(__xludf.DUMMYFUNCTION("""COMPUTED_VALUE"""),45912.0)</f>
        <v>45912</v>
      </c>
      <c r="I6633" s="115" t="str">
        <f>IFERROR(__xludf.DUMMYFUNCTION("""COMPUTED_VALUE"""),"17")</f>
        <v>17</v>
      </c>
      <c r="J6633" s="115"/>
      <c r="K6633" s="115"/>
    </row>
    <row r="6634">
      <c r="A6634" s="115" t="str">
        <f>IFERROR(__xludf.DUMMYFUNCTION("""COMPUTED_VALUE"""),"NORTH")</f>
        <v>NORTH</v>
      </c>
      <c r="B6634" s="115" t="str">
        <f>IFERROR(__xludf.DUMMYFUNCTION("""COMPUTED_VALUE"""),"Ashvani Bhatt")</f>
        <v>Ashvani Bhatt</v>
      </c>
      <c r="C6634" s="115" t="str">
        <f>IFERROR(__xludf.DUMMYFUNCTION("""COMPUTED_VALUE"""),"EXTERNAL")</f>
        <v>EXTERNAL</v>
      </c>
      <c r="D6634" s="115">
        <f>IFERROR(__xludf.DUMMYFUNCTION("""COMPUTED_VALUE"""),31.0)</f>
        <v>31</v>
      </c>
      <c r="E6634" s="115">
        <f>IFERROR(__xludf.DUMMYFUNCTION("""COMPUTED_VALUE"""),6.0)</f>
        <v>6</v>
      </c>
      <c r="F6634" s="115">
        <f>IFERROR(__xludf.DUMMYFUNCTION("""COMPUTED_VALUE"""),5.0)</f>
        <v>5</v>
      </c>
      <c r="G6634" s="115">
        <f>IFERROR(__xludf.DUMMYFUNCTION("""COMPUTED_VALUE"""),0.0)</f>
        <v>0</v>
      </c>
      <c r="H6634" s="116">
        <f>IFERROR(__xludf.DUMMYFUNCTION("""COMPUTED_VALUE"""),45912.0)</f>
        <v>45912</v>
      </c>
      <c r="I6634" s="115" t="str">
        <f>IFERROR(__xludf.DUMMYFUNCTION("""COMPUTED_VALUE"""),"17")</f>
        <v>17</v>
      </c>
      <c r="J6634" s="115"/>
      <c r="K6634" s="115"/>
    </row>
    <row r="6635">
      <c r="A6635" s="115" t="str">
        <f>IFERROR(__xludf.DUMMYFUNCTION("""COMPUTED_VALUE"""),"NORTH")</f>
        <v>NORTH</v>
      </c>
      <c r="B6635" s="115" t="str">
        <f>IFERROR(__xludf.DUMMYFUNCTION("""COMPUTED_VALUE"""),"Ashvani Bhatt")</f>
        <v>Ashvani Bhatt</v>
      </c>
      <c r="C6635" s="115" t="str">
        <f>IFERROR(__xludf.DUMMYFUNCTION("""COMPUTED_VALUE"""),"FLIPKART")</f>
        <v>FLIPKART</v>
      </c>
      <c r="D6635" s="115">
        <f>IFERROR(__xludf.DUMMYFUNCTION("""COMPUTED_VALUE"""),458.0)</f>
        <v>458</v>
      </c>
      <c r="E6635" s="115">
        <f>IFERROR(__xludf.DUMMYFUNCTION("""COMPUTED_VALUE"""),38.0)</f>
        <v>38</v>
      </c>
      <c r="F6635" s="115">
        <f>IFERROR(__xludf.DUMMYFUNCTION("""COMPUTED_VALUE"""),165.0)</f>
        <v>165</v>
      </c>
      <c r="G6635" s="115">
        <f>IFERROR(__xludf.DUMMYFUNCTION("""COMPUTED_VALUE"""),0.0)</f>
        <v>0</v>
      </c>
      <c r="H6635" s="116">
        <f>IFERROR(__xludf.DUMMYFUNCTION("""COMPUTED_VALUE"""),45912.0)</f>
        <v>45912</v>
      </c>
      <c r="I6635" s="115" t="str">
        <f>IFERROR(__xludf.DUMMYFUNCTION("""COMPUTED_VALUE"""),"17")</f>
        <v>17</v>
      </c>
      <c r="J6635" s="115"/>
      <c r="K6635" s="115"/>
    </row>
    <row r="6636">
      <c r="A6636" s="115" t="str">
        <f>IFERROR(__xludf.DUMMYFUNCTION("""COMPUTED_VALUE"""),"NORTH")</f>
        <v>NORTH</v>
      </c>
      <c r="B6636" s="115" t="str">
        <f>IFERROR(__xludf.DUMMYFUNCTION("""COMPUTED_VALUE"""),"Ashvani Bhatt")</f>
        <v>Ashvani Bhatt</v>
      </c>
      <c r="C6636" s="115" t="str">
        <f>IFERROR(__xludf.DUMMYFUNCTION("""COMPUTED_VALUE"""),"MYNTRA")</f>
        <v>MYNTRA</v>
      </c>
      <c r="D6636" s="115">
        <f>IFERROR(__xludf.DUMMYFUNCTION("""COMPUTED_VALUE"""),22.0)</f>
        <v>22</v>
      </c>
      <c r="E6636" s="115">
        <f>IFERROR(__xludf.DUMMYFUNCTION("""COMPUTED_VALUE"""),3.0)</f>
        <v>3</v>
      </c>
      <c r="F6636" s="115">
        <f>IFERROR(__xludf.DUMMYFUNCTION("""COMPUTED_VALUE"""),11.0)</f>
        <v>11</v>
      </c>
      <c r="G6636" s="115">
        <f>IFERROR(__xludf.DUMMYFUNCTION("""COMPUTED_VALUE"""),0.0)</f>
        <v>0</v>
      </c>
      <c r="H6636" s="116">
        <f>IFERROR(__xludf.DUMMYFUNCTION("""COMPUTED_VALUE"""),45912.0)</f>
        <v>45912</v>
      </c>
      <c r="I6636" s="115" t="str">
        <f>IFERROR(__xludf.DUMMYFUNCTION("""COMPUTED_VALUE"""),"17")</f>
        <v>17</v>
      </c>
      <c r="J6636" s="115"/>
      <c r="K6636" s="115"/>
    </row>
    <row r="6637">
      <c r="A6637" s="115" t="str">
        <f>IFERROR(__xludf.DUMMYFUNCTION("""COMPUTED_VALUE"""),"NORTH")</f>
        <v>NORTH</v>
      </c>
      <c r="B6637" s="115" t="str">
        <f>IFERROR(__xludf.DUMMYFUNCTION("""COMPUTED_VALUE"""),"Loveleen Singh")</f>
        <v>Loveleen Singh</v>
      </c>
      <c r="C6637" s="115" t="str">
        <f>IFERROR(__xludf.DUMMYFUNCTION("""COMPUTED_VALUE"""),"EXTERNAL")</f>
        <v>EXTERNAL</v>
      </c>
      <c r="D6637" s="115">
        <f>IFERROR(__xludf.DUMMYFUNCTION("""COMPUTED_VALUE"""),33345.0)</f>
        <v>33345</v>
      </c>
      <c r="E6637" s="115">
        <f>IFERROR(__xludf.DUMMYFUNCTION("""COMPUTED_VALUE"""),2600.0)</f>
        <v>2600</v>
      </c>
      <c r="F6637" s="115">
        <f>IFERROR(__xludf.DUMMYFUNCTION("""COMPUTED_VALUE"""),12329.0)</f>
        <v>12329</v>
      </c>
      <c r="G6637" s="115">
        <f>IFERROR(__xludf.DUMMYFUNCTION("""COMPUTED_VALUE"""),641.0)</f>
        <v>641</v>
      </c>
      <c r="H6637" s="116">
        <f>IFERROR(__xludf.DUMMYFUNCTION("""COMPUTED_VALUE"""),45912.0)</f>
        <v>45912</v>
      </c>
      <c r="I6637" s="115" t="str">
        <f>IFERROR(__xludf.DUMMYFUNCTION("""COMPUTED_VALUE"""),"17")</f>
        <v>17</v>
      </c>
      <c r="J6637" s="115"/>
      <c r="K6637" s="115"/>
    </row>
    <row r="6638">
      <c r="A6638" s="115" t="str">
        <f>IFERROR(__xludf.DUMMYFUNCTION("""COMPUTED_VALUE"""),"NORTH")</f>
        <v>NORTH</v>
      </c>
      <c r="B6638" s="115" t="str">
        <f>IFERROR(__xludf.DUMMYFUNCTION("""COMPUTED_VALUE"""),"Loveleen Singh")</f>
        <v>Loveleen Singh</v>
      </c>
      <c r="C6638" s="115" t="str">
        <f>IFERROR(__xludf.DUMMYFUNCTION("""COMPUTED_VALUE"""),"FLIPKART")</f>
        <v>FLIPKART</v>
      </c>
      <c r="D6638" s="115">
        <f>IFERROR(__xludf.DUMMYFUNCTION("""COMPUTED_VALUE"""),216285.0)</f>
        <v>216285</v>
      </c>
      <c r="E6638" s="115">
        <f>IFERROR(__xludf.DUMMYFUNCTION("""COMPUTED_VALUE"""),14940.0)</f>
        <v>14940</v>
      </c>
      <c r="F6638" s="115">
        <f>IFERROR(__xludf.DUMMYFUNCTION("""COMPUTED_VALUE"""),149114.0)</f>
        <v>149114</v>
      </c>
      <c r="G6638" s="115">
        <f>IFERROR(__xludf.DUMMYFUNCTION("""COMPUTED_VALUE"""),6020.0)</f>
        <v>6020</v>
      </c>
      <c r="H6638" s="116">
        <f>IFERROR(__xludf.DUMMYFUNCTION("""COMPUTED_VALUE"""),45912.0)</f>
        <v>45912</v>
      </c>
      <c r="I6638" s="115" t="str">
        <f>IFERROR(__xludf.DUMMYFUNCTION("""COMPUTED_VALUE"""),"17")</f>
        <v>17</v>
      </c>
      <c r="J6638" s="115"/>
      <c r="K6638" s="115"/>
    </row>
    <row r="6639">
      <c r="A6639" s="115" t="str">
        <f>IFERROR(__xludf.DUMMYFUNCTION("""COMPUTED_VALUE"""),"NORTH")</f>
        <v>NORTH</v>
      </c>
      <c r="B6639" s="115" t="str">
        <f>IFERROR(__xludf.DUMMYFUNCTION("""COMPUTED_VALUE"""),"Loveleen Singh")</f>
        <v>Loveleen Singh</v>
      </c>
      <c r="C6639" s="115" t="str">
        <f>IFERROR(__xludf.DUMMYFUNCTION("""COMPUTED_VALUE"""),"MYNTRA")</f>
        <v>MYNTRA</v>
      </c>
      <c r="D6639" s="115">
        <f>IFERROR(__xludf.DUMMYFUNCTION("""COMPUTED_VALUE"""),33108.0)</f>
        <v>33108</v>
      </c>
      <c r="E6639" s="115">
        <f>IFERROR(__xludf.DUMMYFUNCTION("""COMPUTED_VALUE"""),6335.0)</f>
        <v>6335</v>
      </c>
      <c r="F6639" s="115">
        <f>IFERROR(__xludf.DUMMYFUNCTION("""COMPUTED_VALUE"""),24895.0)</f>
        <v>24895</v>
      </c>
      <c r="G6639" s="115">
        <f>IFERROR(__xludf.DUMMYFUNCTION("""COMPUTED_VALUE"""),2952.0)</f>
        <v>2952</v>
      </c>
      <c r="H6639" s="116">
        <f>IFERROR(__xludf.DUMMYFUNCTION("""COMPUTED_VALUE"""),45912.0)</f>
        <v>45912</v>
      </c>
      <c r="I6639" s="115" t="str">
        <f>IFERROR(__xludf.DUMMYFUNCTION("""COMPUTED_VALUE"""),"17")</f>
        <v>17</v>
      </c>
      <c r="J6639" s="115"/>
      <c r="K6639" s="115"/>
    </row>
    <row r="6640">
      <c r="A6640" s="115" t="str">
        <f>IFERROR(__xludf.DUMMYFUNCTION("""COMPUTED_VALUE"""),"NORTH")</f>
        <v>NORTH</v>
      </c>
      <c r="B6640" s="115" t="str">
        <f>IFERROR(__xludf.DUMMYFUNCTION("""COMPUTED_VALUE"""),"Manoj Harsh")</f>
        <v>Manoj Harsh</v>
      </c>
      <c r="C6640" s="115" t="str">
        <f>IFERROR(__xludf.DUMMYFUNCTION("""COMPUTED_VALUE"""),"EXTERNAL")</f>
        <v>EXTERNAL</v>
      </c>
      <c r="D6640" s="115">
        <f>IFERROR(__xludf.DUMMYFUNCTION("""COMPUTED_VALUE"""),36908.0)</f>
        <v>36908</v>
      </c>
      <c r="E6640" s="115">
        <f>IFERROR(__xludf.DUMMYFUNCTION("""COMPUTED_VALUE"""),2681.0)</f>
        <v>2681</v>
      </c>
      <c r="F6640" s="115">
        <f>IFERROR(__xludf.DUMMYFUNCTION("""COMPUTED_VALUE"""),15181.0)</f>
        <v>15181</v>
      </c>
      <c r="G6640" s="115">
        <f>IFERROR(__xludf.DUMMYFUNCTION("""COMPUTED_VALUE"""),546.0)</f>
        <v>546</v>
      </c>
      <c r="H6640" s="116">
        <f>IFERROR(__xludf.DUMMYFUNCTION("""COMPUTED_VALUE"""),45912.0)</f>
        <v>45912</v>
      </c>
      <c r="I6640" s="115" t="str">
        <f>IFERROR(__xludf.DUMMYFUNCTION("""COMPUTED_VALUE"""),"17")</f>
        <v>17</v>
      </c>
      <c r="J6640" s="115"/>
      <c r="K6640" s="115"/>
    </row>
    <row r="6641">
      <c r="A6641" s="115" t="str">
        <f>IFERROR(__xludf.DUMMYFUNCTION("""COMPUTED_VALUE"""),"NORTH")</f>
        <v>NORTH</v>
      </c>
      <c r="B6641" s="115" t="str">
        <f>IFERROR(__xludf.DUMMYFUNCTION("""COMPUTED_VALUE"""),"Manoj Harsh")</f>
        <v>Manoj Harsh</v>
      </c>
      <c r="C6641" s="115" t="str">
        <f>IFERROR(__xludf.DUMMYFUNCTION("""COMPUTED_VALUE"""),"FLIPKART")</f>
        <v>FLIPKART</v>
      </c>
      <c r="D6641" s="115">
        <f>IFERROR(__xludf.DUMMYFUNCTION("""COMPUTED_VALUE"""),482516.0)</f>
        <v>482516</v>
      </c>
      <c r="E6641" s="115">
        <f>IFERROR(__xludf.DUMMYFUNCTION("""COMPUTED_VALUE"""),37235.0)</f>
        <v>37235</v>
      </c>
      <c r="F6641" s="115">
        <f>IFERROR(__xludf.DUMMYFUNCTION("""COMPUTED_VALUE"""),320062.0)</f>
        <v>320062</v>
      </c>
      <c r="G6641" s="115">
        <f>IFERROR(__xludf.DUMMYFUNCTION("""COMPUTED_VALUE"""),14373.0)</f>
        <v>14373</v>
      </c>
      <c r="H6641" s="116">
        <f>IFERROR(__xludf.DUMMYFUNCTION("""COMPUTED_VALUE"""),45912.0)</f>
        <v>45912</v>
      </c>
      <c r="I6641" s="115" t="str">
        <f>IFERROR(__xludf.DUMMYFUNCTION("""COMPUTED_VALUE"""),"17")</f>
        <v>17</v>
      </c>
      <c r="J6641" s="115"/>
      <c r="K6641" s="115"/>
    </row>
    <row r="6642">
      <c r="A6642" s="115" t="str">
        <f>IFERROR(__xludf.DUMMYFUNCTION("""COMPUTED_VALUE"""),"NORTH")</f>
        <v>NORTH</v>
      </c>
      <c r="B6642" s="115" t="str">
        <f>IFERROR(__xludf.DUMMYFUNCTION("""COMPUTED_VALUE"""),"Manoj Harsh")</f>
        <v>Manoj Harsh</v>
      </c>
      <c r="C6642" s="115" t="str">
        <f>IFERROR(__xludf.DUMMYFUNCTION("""COMPUTED_VALUE"""),"MYNTRA")</f>
        <v>MYNTRA</v>
      </c>
      <c r="D6642" s="115">
        <f>IFERROR(__xludf.DUMMYFUNCTION("""COMPUTED_VALUE"""),37340.0)</f>
        <v>37340</v>
      </c>
      <c r="E6642" s="115">
        <f>IFERROR(__xludf.DUMMYFUNCTION("""COMPUTED_VALUE"""),7175.0)</f>
        <v>7175</v>
      </c>
      <c r="F6642" s="115">
        <f>IFERROR(__xludf.DUMMYFUNCTION("""COMPUTED_VALUE"""),26694.0)</f>
        <v>26694</v>
      </c>
      <c r="G6642" s="115">
        <f>IFERROR(__xludf.DUMMYFUNCTION("""COMPUTED_VALUE"""),3198.0)</f>
        <v>3198</v>
      </c>
      <c r="H6642" s="116">
        <f>IFERROR(__xludf.DUMMYFUNCTION("""COMPUTED_VALUE"""),45912.0)</f>
        <v>45912</v>
      </c>
      <c r="I6642" s="115" t="str">
        <f>IFERROR(__xludf.DUMMYFUNCTION("""COMPUTED_VALUE"""),"17")</f>
        <v>17</v>
      </c>
      <c r="J6642" s="115"/>
      <c r="K6642" s="115"/>
    </row>
    <row r="6643">
      <c r="A6643" s="115" t="str">
        <f>IFERROR(__xludf.DUMMYFUNCTION("""COMPUTED_VALUE"""),"NORTH")</f>
        <v>NORTH</v>
      </c>
      <c r="B6643" s="115" t="str">
        <f>IFERROR(__xludf.DUMMYFUNCTION("""COMPUTED_VALUE"""),"Pradeep Kothari")</f>
        <v>Pradeep Kothari</v>
      </c>
      <c r="C6643" s="115" t="str">
        <f>IFERROR(__xludf.DUMMYFUNCTION("""COMPUTED_VALUE"""),"EXTERNAL")</f>
        <v>EXTERNAL</v>
      </c>
      <c r="D6643" s="115">
        <f>IFERROR(__xludf.DUMMYFUNCTION("""COMPUTED_VALUE"""),20377.0)</f>
        <v>20377</v>
      </c>
      <c r="E6643" s="115">
        <f>IFERROR(__xludf.DUMMYFUNCTION("""COMPUTED_VALUE"""),1956.0)</f>
        <v>1956</v>
      </c>
      <c r="F6643" s="115">
        <f>IFERROR(__xludf.DUMMYFUNCTION("""COMPUTED_VALUE"""),7913.0)</f>
        <v>7913</v>
      </c>
      <c r="G6643" s="115">
        <f>IFERROR(__xludf.DUMMYFUNCTION("""COMPUTED_VALUE"""),598.0)</f>
        <v>598</v>
      </c>
      <c r="H6643" s="116">
        <f>IFERROR(__xludf.DUMMYFUNCTION("""COMPUTED_VALUE"""),45912.0)</f>
        <v>45912</v>
      </c>
      <c r="I6643" s="115" t="str">
        <f>IFERROR(__xludf.DUMMYFUNCTION("""COMPUTED_VALUE"""),"17")</f>
        <v>17</v>
      </c>
      <c r="J6643" s="115"/>
      <c r="K6643" s="115"/>
    </row>
    <row r="6644">
      <c r="A6644" s="115" t="str">
        <f>IFERROR(__xludf.DUMMYFUNCTION("""COMPUTED_VALUE"""),"NORTH")</f>
        <v>NORTH</v>
      </c>
      <c r="B6644" s="115" t="str">
        <f>IFERROR(__xludf.DUMMYFUNCTION("""COMPUTED_VALUE"""),"Pradeep Kothari")</f>
        <v>Pradeep Kothari</v>
      </c>
      <c r="C6644" s="115" t="str">
        <f>IFERROR(__xludf.DUMMYFUNCTION("""COMPUTED_VALUE"""),"FLIPKART")</f>
        <v>FLIPKART</v>
      </c>
      <c r="D6644" s="115">
        <f>IFERROR(__xludf.DUMMYFUNCTION("""COMPUTED_VALUE"""),180604.0)</f>
        <v>180604</v>
      </c>
      <c r="E6644" s="115">
        <f>IFERROR(__xludf.DUMMYFUNCTION("""COMPUTED_VALUE"""),17019.0)</f>
        <v>17019</v>
      </c>
      <c r="F6644" s="115">
        <f>IFERROR(__xludf.DUMMYFUNCTION("""COMPUTED_VALUE"""),128356.0)</f>
        <v>128356</v>
      </c>
      <c r="G6644" s="115">
        <f>IFERROR(__xludf.DUMMYFUNCTION("""COMPUTED_VALUE"""),8347.0)</f>
        <v>8347</v>
      </c>
      <c r="H6644" s="116">
        <f>IFERROR(__xludf.DUMMYFUNCTION("""COMPUTED_VALUE"""),45912.0)</f>
        <v>45912</v>
      </c>
      <c r="I6644" s="115" t="str">
        <f>IFERROR(__xludf.DUMMYFUNCTION("""COMPUTED_VALUE"""),"17")</f>
        <v>17</v>
      </c>
      <c r="J6644" s="115"/>
      <c r="K6644" s="115"/>
    </row>
    <row r="6645">
      <c r="A6645" s="115" t="str">
        <f>IFERROR(__xludf.DUMMYFUNCTION("""COMPUTED_VALUE"""),"NORTH")</f>
        <v>NORTH</v>
      </c>
      <c r="B6645" s="115" t="str">
        <f>IFERROR(__xludf.DUMMYFUNCTION("""COMPUTED_VALUE"""),"Pradeep Kothari")</f>
        <v>Pradeep Kothari</v>
      </c>
      <c r="C6645" s="115" t="str">
        <f>IFERROR(__xludf.DUMMYFUNCTION("""COMPUTED_VALUE"""),"MYNTRA")</f>
        <v>MYNTRA</v>
      </c>
      <c r="D6645" s="115">
        <f>IFERROR(__xludf.DUMMYFUNCTION("""COMPUTED_VALUE"""),26780.0)</f>
        <v>26780</v>
      </c>
      <c r="E6645" s="115">
        <f>IFERROR(__xludf.DUMMYFUNCTION("""COMPUTED_VALUE"""),6330.0)</f>
        <v>6330</v>
      </c>
      <c r="F6645" s="115">
        <f>IFERROR(__xludf.DUMMYFUNCTION("""COMPUTED_VALUE"""),21069.0)</f>
        <v>21069</v>
      </c>
      <c r="G6645" s="115">
        <f>IFERROR(__xludf.DUMMYFUNCTION("""COMPUTED_VALUE"""),3604.0)</f>
        <v>3604</v>
      </c>
      <c r="H6645" s="116">
        <f>IFERROR(__xludf.DUMMYFUNCTION("""COMPUTED_VALUE"""),45912.0)</f>
        <v>45912</v>
      </c>
      <c r="I6645" s="115" t="str">
        <f>IFERROR(__xludf.DUMMYFUNCTION("""COMPUTED_VALUE"""),"17")</f>
        <v>17</v>
      </c>
      <c r="J6645" s="115"/>
      <c r="K6645" s="115"/>
    </row>
    <row r="6646">
      <c r="A6646" s="115" t="str">
        <f>IFERROR(__xludf.DUMMYFUNCTION("""COMPUTED_VALUE"""),"SOUTH")</f>
        <v>SOUTH</v>
      </c>
      <c r="B6646" s="115" t="str">
        <f>IFERROR(__xludf.DUMMYFUNCTION("""COMPUTED_VALUE"""),"Kandula Sampath")</f>
        <v>Kandula Sampath</v>
      </c>
      <c r="C6646" s="115" t="str">
        <f>IFERROR(__xludf.DUMMYFUNCTION("""COMPUTED_VALUE"""),"EXTERNAL")</f>
        <v>EXTERNAL</v>
      </c>
      <c r="D6646" s="115">
        <f>IFERROR(__xludf.DUMMYFUNCTION("""COMPUTED_VALUE"""),35387.0)</f>
        <v>35387</v>
      </c>
      <c r="E6646" s="115">
        <f>IFERROR(__xludf.DUMMYFUNCTION("""COMPUTED_VALUE"""),4355.0)</f>
        <v>4355</v>
      </c>
      <c r="F6646" s="115">
        <f>IFERROR(__xludf.DUMMYFUNCTION("""COMPUTED_VALUE"""),14037.0)</f>
        <v>14037</v>
      </c>
      <c r="G6646" s="115">
        <f>IFERROR(__xludf.DUMMYFUNCTION("""COMPUTED_VALUE"""),873.0)</f>
        <v>873</v>
      </c>
      <c r="H6646" s="116">
        <f>IFERROR(__xludf.DUMMYFUNCTION("""COMPUTED_VALUE"""),45912.0)</f>
        <v>45912</v>
      </c>
      <c r="I6646" s="115" t="str">
        <f>IFERROR(__xludf.DUMMYFUNCTION("""COMPUTED_VALUE"""),"17")</f>
        <v>17</v>
      </c>
      <c r="J6646" s="115"/>
      <c r="K6646" s="115"/>
    </row>
    <row r="6647">
      <c r="A6647" s="115" t="str">
        <f>IFERROR(__xludf.DUMMYFUNCTION("""COMPUTED_VALUE"""),"SOUTH")</f>
        <v>SOUTH</v>
      </c>
      <c r="B6647" s="115" t="str">
        <f>IFERROR(__xludf.DUMMYFUNCTION("""COMPUTED_VALUE"""),"Kandula Sampath")</f>
        <v>Kandula Sampath</v>
      </c>
      <c r="C6647" s="115" t="str">
        <f>IFERROR(__xludf.DUMMYFUNCTION("""COMPUTED_VALUE"""),"FLIPKART")</f>
        <v>FLIPKART</v>
      </c>
      <c r="D6647" s="115">
        <f>IFERROR(__xludf.DUMMYFUNCTION("""COMPUTED_VALUE"""),389888.0)</f>
        <v>389888</v>
      </c>
      <c r="E6647" s="115">
        <f>IFERROR(__xludf.DUMMYFUNCTION("""COMPUTED_VALUE"""),31353.0)</f>
        <v>31353</v>
      </c>
      <c r="F6647" s="115">
        <f>IFERROR(__xludf.DUMMYFUNCTION("""COMPUTED_VALUE"""),253880.0)</f>
        <v>253880</v>
      </c>
      <c r="G6647" s="115">
        <f>IFERROR(__xludf.DUMMYFUNCTION("""COMPUTED_VALUE"""),10299.0)</f>
        <v>10299</v>
      </c>
      <c r="H6647" s="116">
        <f>IFERROR(__xludf.DUMMYFUNCTION("""COMPUTED_VALUE"""),45912.0)</f>
        <v>45912</v>
      </c>
      <c r="I6647" s="115" t="str">
        <f>IFERROR(__xludf.DUMMYFUNCTION("""COMPUTED_VALUE"""),"17")</f>
        <v>17</v>
      </c>
      <c r="J6647" s="115"/>
      <c r="K6647" s="115"/>
    </row>
    <row r="6648">
      <c r="A6648" s="115" t="str">
        <f>IFERROR(__xludf.DUMMYFUNCTION("""COMPUTED_VALUE"""),"SOUTH")</f>
        <v>SOUTH</v>
      </c>
      <c r="B6648" s="115" t="str">
        <f>IFERROR(__xludf.DUMMYFUNCTION("""COMPUTED_VALUE"""),"Kandula Sampath")</f>
        <v>Kandula Sampath</v>
      </c>
      <c r="C6648" s="115" t="str">
        <f>IFERROR(__xludf.DUMMYFUNCTION("""COMPUTED_VALUE"""),"MYNTRA")</f>
        <v>MYNTRA</v>
      </c>
      <c r="D6648" s="115">
        <f>IFERROR(__xludf.DUMMYFUNCTION("""COMPUTED_VALUE"""),40955.0)</f>
        <v>40955</v>
      </c>
      <c r="E6648" s="115">
        <f>IFERROR(__xludf.DUMMYFUNCTION("""COMPUTED_VALUE"""),8715.0)</f>
        <v>8715</v>
      </c>
      <c r="F6648" s="115">
        <f>IFERROR(__xludf.DUMMYFUNCTION("""COMPUTED_VALUE"""),29355.0)</f>
        <v>29355</v>
      </c>
      <c r="G6648" s="115">
        <f>IFERROR(__xludf.DUMMYFUNCTION("""COMPUTED_VALUE"""),2932.0)</f>
        <v>2932</v>
      </c>
      <c r="H6648" s="116">
        <f>IFERROR(__xludf.DUMMYFUNCTION("""COMPUTED_VALUE"""),45912.0)</f>
        <v>45912</v>
      </c>
      <c r="I6648" s="115" t="str">
        <f>IFERROR(__xludf.DUMMYFUNCTION("""COMPUTED_VALUE"""),"17")</f>
        <v>17</v>
      </c>
      <c r="J6648" s="115"/>
      <c r="K6648" s="115"/>
    </row>
    <row r="6649">
      <c r="A6649" s="115" t="str">
        <f>IFERROR(__xludf.DUMMYFUNCTION("""COMPUTED_VALUE"""),"SOUTH")</f>
        <v>SOUTH</v>
      </c>
      <c r="B6649" s="115" t="str">
        <f>IFERROR(__xludf.DUMMYFUNCTION("""COMPUTED_VALUE"""),"Martin A")</f>
        <v>Martin A</v>
      </c>
      <c r="C6649" s="115" t="str">
        <f>IFERROR(__xludf.DUMMYFUNCTION("""COMPUTED_VALUE"""),"EXTERNAL")</f>
        <v>EXTERNAL</v>
      </c>
      <c r="D6649" s="115">
        <f>IFERROR(__xludf.DUMMYFUNCTION("""COMPUTED_VALUE"""),32282.0)</f>
        <v>32282</v>
      </c>
      <c r="E6649" s="115">
        <f>IFERROR(__xludf.DUMMYFUNCTION("""COMPUTED_VALUE"""),3716.0)</f>
        <v>3716</v>
      </c>
      <c r="F6649" s="115">
        <f>IFERROR(__xludf.DUMMYFUNCTION("""COMPUTED_VALUE"""),12309.0)</f>
        <v>12309</v>
      </c>
      <c r="G6649" s="115">
        <f>IFERROR(__xludf.DUMMYFUNCTION("""COMPUTED_VALUE"""),1151.0)</f>
        <v>1151</v>
      </c>
      <c r="H6649" s="116">
        <f>IFERROR(__xludf.DUMMYFUNCTION("""COMPUTED_VALUE"""),45912.0)</f>
        <v>45912</v>
      </c>
      <c r="I6649" s="115" t="str">
        <f>IFERROR(__xludf.DUMMYFUNCTION("""COMPUTED_VALUE"""),"17")</f>
        <v>17</v>
      </c>
      <c r="J6649" s="115"/>
      <c r="K6649" s="115"/>
    </row>
    <row r="6650">
      <c r="A6650" s="115" t="str">
        <f>IFERROR(__xludf.DUMMYFUNCTION("""COMPUTED_VALUE"""),"SOUTH")</f>
        <v>SOUTH</v>
      </c>
      <c r="B6650" s="115" t="str">
        <f>IFERROR(__xludf.DUMMYFUNCTION("""COMPUTED_VALUE"""),"Martin A")</f>
        <v>Martin A</v>
      </c>
      <c r="C6650" s="115" t="str">
        <f>IFERROR(__xludf.DUMMYFUNCTION("""COMPUTED_VALUE"""),"FLIPKART")</f>
        <v>FLIPKART</v>
      </c>
      <c r="D6650" s="115">
        <f>IFERROR(__xludf.DUMMYFUNCTION("""COMPUTED_VALUE"""),328250.0)</f>
        <v>328250</v>
      </c>
      <c r="E6650" s="115">
        <f>IFERROR(__xludf.DUMMYFUNCTION("""COMPUTED_VALUE"""),26211.0)</f>
        <v>26211</v>
      </c>
      <c r="F6650" s="115">
        <f>IFERROR(__xludf.DUMMYFUNCTION("""COMPUTED_VALUE"""),208443.0)</f>
        <v>208443</v>
      </c>
      <c r="G6650" s="115">
        <f>IFERROR(__xludf.DUMMYFUNCTION("""COMPUTED_VALUE"""),10547.0)</f>
        <v>10547</v>
      </c>
      <c r="H6650" s="116">
        <f>IFERROR(__xludf.DUMMYFUNCTION("""COMPUTED_VALUE"""),45912.0)</f>
        <v>45912</v>
      </c>
      <c r="I6650" s="115" t="str">
        <f>IFERROR(__xludf.DUMMYFUNCTION("""COMPUTED_VALUE"""),"17")</f>
        <v>17</v>
      </c>
      <c r="J6650" s="115"/>
      <c r="K6650" s="115"/>
    </row>
    <row r="6651">
      <c r="A6651" s="115" t="str">
        <f>IFERROR(__xludf.DUMMYFUNCTION("""COMPUTED_VALUE"""),"SOUTH")</f>
        <v>SOUTH</v>
      </c>
      <c r="B6651" s="115" t="str">
        <f>IFERROR(__xludf.DUMMYFUNCTION("""COMPUTED_VALUE"""),"Martin A")</f>
        <v>Martin A</v>
      </c>
      <c r="C6651" s="115" t="str">
        <f>IFERROR(__xludf.DUMMYFUNCTION("""COMPUTED_VALUE"""),"MYNTRA")</f>
        <v>MYNTRA</v>
      </c>
      <c r="D6651" s="115">
        <f>IFERROR(__xludf.DUMMYFUNCTION("""COMPUTED_VALUE"""),30574.0)</f>
        <v>30574</v>
      </c>
      <c r="E6651" s="115">
        <f>IFERROR(__xludf.DUMMYFUNCTION("""COMPUTED_VALUE"""),6685.0)</f>
        <v>6685</v>
      </c>
      <c r="F6651" s="115">
        <f>IFERROR(__xludf.DUMMYFUNCTION("""COMPUTED_VALUE"""),21800.0)</f>
        <v>21800</v>
      </c>
      <c r="G6651" s="115">
        <f>IFERROR(__xludf.DUMMYFUNCTION("""COMPUTED_VALUE"""),3000.0)</f>
        <v>3000</v>
      </c>
      <c r="H6651" s="116">
        <f>IFERROR(__xludf.DUMMYFUNCTION("""COMPUTED_VALUE"""),45912.0)</f>
        <v>45912</v>
      </c>
      <c r="I6651" s="115" t="str">
        <f>IFERROR(__xludf.DUMMYFUNCTION("""COMPUTED_VALUE"""),"17")</f>
        <v>17</v>
      </c>
      <c r="J6651" s="115"/>
      <c r="K6651" s="115"/>
    </row>
    <row r="6652">
      <c r="A6652" s="115" t="str">
        <f>IFERROR(__xludf.DUMMYFUNCTION("""COMPUTED_VALUE"""),"SOUTH")</f>
        <v>SOUTH</v>
      </c>
      <c r="B6652" s="115" t="str">
        <f>IFERROR(__xludf.DUMMYFUNCTION("""COMPUTED_VALUE"""),"Premkumar M")</f>
        <v>Premkumar M</v>
      </c>
      <c r="C6652" s="115" t="str">
        <f>IFERROR(__xludf.DUMMYFUNCTION("""COMPUTED_VALUE"""),"EXTERNAL")</f>
        <v>EXTERNAL</v>
      </c>
      <c r="D6652" s="115">
        <f>IFERROR(__xludf.DUMMYFUNCTION("""COMPUTED_VALUE"""),29759.0)</f>
        <v>29759</v>
      </c>
      <c r="E6652" s="115">
        <f>IFERROR(__xludf.DUMMYFUNCTION("""COMPUTED_VALUE"""),2138.0)</f>
        <v>2138</v>
      </c>
      <c r="F6652" s="115">
        <f>IFERROR(__xludf.DUMMYFUNCTION("""COMPUTED_VALUE"""),11842.0)</f>
        <v>11842</v>
      </c>
      <c r="G6652" s="115">
        <f>IFERROR(__xludf.DUMMYFUNCTION("""COMPUTED_VALUE"""),254.0)</f>
        <v>254</v>
      </c>
      <c r="H6652" s="116">
        <f>IFERROR(__xludf.DUMMYFUNCTION("""COMPUTED_VALUE"""),45912.0)</f>
        <v>45912</v>
      </c>
      <c r="I6652" s="115" t="str">
        <f>IFERROR(__xludf.DUMMYFUNCTION("""COMPUTED_VALUE"""),"17")</f>
        <v>17</v>
      </c>
      <c r="J6652" s="115"/>
      <c r="K6652" s="115"/>
    </row>
    <row r="6653">
      <c r="A6653" s="115" t="str">
        <f>IFERROR(__xludf.DUMMYFUNCTION("""COMPUTED_VALUE"""),"SOUTH")</f>
        <v>SOUTH</v>
      </c>
      <c r="B6653" s="115" t="str">
        <f>IFERROR(__xludf.DUMMYFUNCTION("""COMPUTED_VALUE"""),"Premkumar M")</f>
        <v>Premkumar M</v>
      </c>
      <c r="C6653" s="115" t="str">
        <f>IFERROR(__xludf.DUMMYFUNCTION("""COMPUTED_VALUE"""),"FLIPKART")</f>
        <v>FLIPKART</v>
      </c>
      <c r="D6653" s="115">
        <f>IFERROR(__xludf.DUMMYFUNCTION("""COMPUTED_VALUE"""),317179.0)</f>
        <v>317179</v>
      </c>
      <c r="E6653" s="115">
        <f>IFERROR(__xludf.DUMMYFUNCTION("""COMPUTED_VALUE"""),18233.0)</f>
        <v>18233</v>
      </c>
      <c r="F6653" s="115">
        <f>IFERROR(__xludf.DUMMYFUNCTION("""COMPUTED_VALUE"""),189247.0)</f>
        <v>189247</v>
      </c>
      <c r="G6653" s="115">
        <f>IFERROR(__xludf.DUMMYFUNCTION("""COMPUTED_VALUE"""),3643.0)</f>
        <v>3643</v>
      </c>
      <c r="H6653" s="116">
        <f>IFERROR(__xludf.DUMMYFUNCTION("""COMPUTED_VALUE"""),45912.0)</f>
        <v>45912</v>
      </c>
      <c r="I6653" s="115" t="str">
        <f>IFERROR(__xludf.DUMMYFUNCTION("""COMPUTED_VALUE"""),"17")</f>
        <v>17</v>
      </c>
      <c r="J6653" s="115"/>
      <c r="K6653" s="115"/>
    </row>
    <row r="6654">
      <c r="A6654" s="115" t="str">
        <f>IFERROR(__xludf.DUMMYFUNCTION("""COMPUTED_VALUE"""),"SOUTH")</f>
        <v>SOUTH</v>
      </c>
      <c r="B6654" s="115" t="str">
        <f>IFERROR(__xludf.DUMMYFUNCTION("""COMPUTED_VALUE"""),"Premkumar M")</f>
        <v>Premkumar M</v>
      </c>
      <c r="C6654" s="115" t="str">
        <f>IFERROR(__xludf.DUMMYFUNCTION("""COMPUTED_VALUE"""),"MYNTRA")</f>
        <v>MYNTRA</v>
      </c>
      <c r="D6654" s="115">
        <f>IFERROR(__xludf.DUMMYFUNCTION("""COMPUTED_VALUE"""),16095.0)</f>
        <v>16095</v>
      </c>
      <c r="E6654" s="115">
        <f>IFERROR(__xludf.DUMMYFUNCTION("""COMPUTED_VALUE"""),2753.0)</f>
        <v>2753</v>
      </c>
      <c r="F6654" s="115">
        <f>IFERROR(__xludf.DUMMYFUNCTION("""COMPUTED_VALUE"""),11028.0)</f>
        <v>11028</v>
      </c>
      <c r="G6654" s="115">
        <f>IFERROR(__xludf.DUMMYFUNCTION("""COMPUTED_VALUE"""),634.0)</f>
        <v>634</v>
      </c>
      <c r="H6654" s="116">
        <f>IFERROR(__xludf.DUMMYFUNCTION("""COMPUTED_VALUE"""),45912.0)</f>
        <v>45912</v>
      </c>
      <c r="I6654" s="115" t="str">
        <f>IFERROR(__xludf.DUMMYFUNCTION("""COMPUTED_VALUE"""),"17")</f>
        <v>17</v>
      </c>
      <c r="J6654" s="115"/>
      <c r="K6654" s="115"/>
    </row>
    <row r="6655">
      <c r="A6655" s="115" t="str">
        <f>IFERROR(__xludf.DUMMYFUNCTION("""COMPUTED_VALUE"""),"SOUTH")</f>
        <v>SOUTH</v>
      </c>
      <c r="B6655" s="115" t="str">
        <f>IFERROR(__xludf.DUMMYFUNCTION("""COMPUTED_VALUE"""),"Vineeth V")</f>
        <v>Vineeth V</v>
      </c>
      <c r="C6655" s="115" t="str">
        <f>IFERROR(__xludf.DUMMYFUNCTION("""COMPUTED_VALUE"""),"EXTERNAL")</f>
        <v>EXTERNAL</v>
      </c>
      <c r="D6655" s="115">
        <f>IFERROR(__xludf.DUMMYFUNCTION("""COMPUTED_VALUE"""),21157.0)</f>
        <v>21157</v>
      </c>
      <c r="E6655" s="115">
        <f>IFERROR(__xludf.DUMMYFUNCTION("""COMPUTED_VALUE"""),561.0)</f>
        <v>561</v>
      </c>
      <c r="F6655" s="115">
        <f>IFERROR(__xludf.DUMMYFUNCTION("""COMPUTED_VALUE"""),9727.0)</f>
        <v>9727</v>
      </c>
      <c r="G6655" s="115">
        <f>IFERROR(__xludf.DUMMYFUNCTION("""COMPUTED_VALUE"""),149.0)</f>
        <v>149</v>
      </c>
      <c r="H6655" s="116">
        <f>IFERROR(__xludf.DUMMYFUNCTION("""COMPUTED_VALUE"""),45912.0)</f>
        <v>45912</v>
      </c>
      <c r="I6655" s="115" t="str">
        <f>IFERROR(__xludf.DUMMYFUNCTION("""COMPUTED_VALUE"""),"17")</f>
        <v>17</v>
      </c>
      <c r="J6655" s="115"/>
      <c r="K6655" s="115"/>
    </row>
    <row r="6656">
      <c r="A6656" s="115" t="str">
        <f>IFERROR(__xludf.DUMMYFUNCTION("""COMPUTED_VALUE"""),"SOUTH")</f>
        <v>SOUTH</v>
      </c>
      <c r="B6656" s="115" t="str">
        <f>IFERROR(__xludf.DUMMYFUNCTION("""COMPUTED_VALUE"""),"Vineeth V")</f>
        <v>Vineeth V</v>
      </c>
      <c r="C6656" s="115" t="str">
        <f>IFERROR(__xludf.DUMMYFUNCTION("""COMPUTED_VALUE"""),"FLIPKART")</f>
        <v>FLIPKART</v>
      </c>
      <c r="D6656" s="115">
        <f>IFERROR(__xludf.DUMMYFUNCTION("""COMPUTED_VALUE"""),222029.0)</f>
        <v>222029</v>
      </c>
      <c r="E6656" s="115">
        <f>IFERROR(__xludf.DUMMYFUNCTION("""COMPUTED_VALUE"""),13323.0)</f>
        <v>13323</v>
      </c>
      <c r="F6656" s="115">
        <f>IFERROR(__xludf.DUMMYFUNCTION("""COMPUTED_VALUE"""),158950.0)</f>
        <v>158950</v>
      </c>
      <c r="G6656" s="115">
        <f>IFERROR(__xludf.DUMMYFUNCTION("""COMPUTED_VALUE"""),3801.0)</f>
        <v>3801</v>
      </c>
      <c r="H6656" s="116">
        <f>IFERROR(__xludf.DUMMYFUNCTION("""COMPUTED_VALUE"""),45912.0)</f>
        <v>45912</v>
      </c>
      <c r="I6656" s="115" t="str">
        <f>IFERROR(__xludf.DUMMYFUNCTION("""COMPUTED_VALUE"""),"17")</f>
        <v>17</v>
      </c>
      <c r="J6656" s="115"/>
      <c r="K6656" s="115"/>
    </row>
    <row r="6657">
      <c r="A6657" s="115" t="str">
        <f>IFERROR(__xludf.DUMMYFUNCTION("""COMPUTED_VALUE"""),"SOUTH")</f>
        <v>SOUTH</v>
      </c>
      <c r="B6657" s="115" t="str">
        <f>IFERROR(__xludf.DUMMYFUNCTION("""COMPUTED_VALUE"""),"Vineeth V")</f>
        <v>Vineeth V</v>
      </c>
      <c r="C6657" s="115" t="str">
        <f>IFERROR(__xludf.DUMMYFUNCTION("""COMPUTED_VALUE"""),"MYNTRA")</f>
        <v>MYNTRA</v>
      </c>
      <c r="D6657" s="115">
        <f>IFERROR(__xludf.DUMMYFUNCTION("""COMPUTED_VALUE"""),16961.0)</f>
        <v>16961</v>
      </c>
      <c r="E6657" s="115">
        <f>IFERROR(__xludf.DUMMYFUNCTION("""COMPUTED_VALUE"""),3226.0)</f>
        <v>3226</v>
      </c>
      <c r="F6657" s="115">
        <f>IFERROR(__xludf.DUMMYFUNCTION("""COMPUTED_VALUE"""),12976.0)</f>
        <v>12976</v>
      </c>
      <c r="G6657" s="115">
        <f>IFERROR(__xludf.DUMMYFUNCTION("""COMPUTED_VALUE"""),1019.0)</f>
        <v>1019</v>
      </c>
      <c r="H6657" s="116">
        <f>IFERROR(__xludf.DUMMYFUNCTION("""COMPUTED_VALUE"""),45912.0)</f>
        <v>45912</v>
      </c>
      <c r="I6657" s="115" t="str">
        <f>IFERROR(__xludf.DUMMYFUNCTION("""COMPUTED_VALUE"""),"17")</f>
        <v>17</v>
      </c>
      <c r="J6657" s="115"/>
      <c r="K6657" s="115"/>
    </row>
    <row r="6658">
      <c r="A6658" s="115" t="str">
        <f>IFERROR(__xludf.DUMMYFUNCTION("""COMPUTED_VALUE"""),"WEST")</f>
        <v>WEST</v>
      </c>
      <c r="B6658" s="115" t="str">
        <f>IFERROR(__xludf.DUMMYFUNCTION("""COMPUTED_VALUE"""),"Ashish Jakar")</f>
        <v>Ashish Jakar</v>
      </c>
      <c r="C6658" s="115" t="str">
        <f>IFERROR(__xludf.DUMMYFUNCTION("""COMPUTED_VALUE"""),"EXTERNAL")</f>
        <v>EXTERNAL</v>
      </c>
      <c r="D6658" s="115">
        <f>IFERROR(__xludf.DUMMYFUNCTION("""COMPUTED_VALUE"""),61455.0)</f>
        <v>61455</v>
      </c>
      <c r="E6658" s="115">
        <f>IFERROR(__xludf.DUMMYFUNCTION("""COMPUTED_VALUE"""),6228.0)</f>
        <v>6228</v>
      </c>
      <c r="F6658" s="115">
        <f>IFERROR(__xludf.DUMMYFUNCTION("""COMPUTED_VALUE"""),22299.0)</f>
        <v>22299</v>
      </c>
      <c r="G6658" s="115">
        <f>IFERROR(__xludf.DUMMYFUNCTION("""COMPUTED_VALUE"""),1760.0)</f>
        <v>1760</v>
      </c>
      <c r="H6658" s="116">
        <f>IFERROR(__xludf.DUMMYFUNCTION("""COMPUTED_VALUE"""),45912.0)</f>
        <v>45912</v>
      </c>
      <c r="I6658" s="115" t="str">
        <f>IFERROR(__xludf.DUMMYFUNCTION("""COMPUTED_VALUE"""),"17")</f>
        <v>17</v>
      </c>
      <c r="J6658" s="115"/>
      <c r="K6658" s="115"/>
    </row>
    <row r="6659">
      <c r="A6659" s="115" t="str">
        <f>IFERROR(__xludf.DUMMYFUNCTION("""COMPUTED_VALUE"""),"WEST")</f>
        <v>WEST</v>
      </c>
      <c r="B6659" s="115" t="str">
        <f>IFERROR(__xludf.DUMMYFUNCTION("""COMPUTED_VALUE"""),"Ashish Jakar")</f>
        <v>Ashish Jakar</v>
      </c>
      <c r="C6659" s="115" t="str">
        <f>IFERROR(__xludf.DUMMYFUNCTION("""COMPUTED_VALUE"""),"FLIPKART")</f>
        <v>FLIPKART</v>
      </c>
      <c r="D6659" s="115">
        <f>IFERROR(__xludf.DUMMYFUNCTION("""COMPUTED_VALUE"""),451760.0)</f>
        <v>451760</v>
      </c>
      <c r="E6659" s="115">
        <f>IFERROR(__xludf.DUMMYFUNCTION("""COMPUTED_VALUE"""),34712.0)</f>
        <v>34712</v>
      </c>
      <c r="F6659" s="115">
        <f>IFERROR(__xludf.DUMMYFUNCTION("""COMPUTED_VALUE"""),276614.0)</f>
        <v>276614</v>
      </c>
      <c r="G6659" s="115">
        <f>IFERROR(__xludf.DUMMYFUNCTION("""COMPUTED_VALUE"""),13118.0)</f>
        <v>13118</v>
      </c>
      <c r="H6659" s="116">
        <f>IFERROR(__xludf.DUMMYFUNCTION("""COMPUTED_VALUE"""),45912.0)</f>
        <v>45912</v>
      </c>
      <c r="I6659" s="115" t="str">
        <f>IFERROR(__xludf.DUMMYFUNCTION("""COMPUTED_VALUE"""),"17")</f>
        <v>17</v>
      </c>
      <c r="J6659" s="115"/>
      <c r="K6659" s="115"/>
    </row>
    <row r="6660">
      <c r="A6660" s="115" t="str">
        <f>IFERROR(__xludf.DUMMYFUNCTION("""COMPUTED_VALUE"""),"WEST")</f>
        <v>WEST</v>
      </c>
      <c r="B6660" s="115" t="str">
        <f>IFERROR(__xludf.DUMMYFUNCTION("""COMPUTED_VALUE"""),"Ashish Jakar")</f>
        <v>Ashish Jakar</v>
      </c>
      <c r="C6660" s="115" t="str">
        <f>IFERROR(__xludf.DUMMYFUNCTION("""COMPUTED_VALUE"""),"MYNTRA")</f>
        <v>MYNTRA</v>
      </c>
      <c r="D6660" s="115">
        <f>IFERROR(__xludf.DUMMYFUNCTION("""COMPUTED_VALUE"""),49340.0)</f>
        <v>49340</v>
      </c>
      <c r="E6660" s="115">
        <f>IFERROR(__xludf.DUMMYFUNCTION("""COMPUTED_VALUE"""),11705.0)</f>
        <v>11705</v>
      </c>
      <c r="F6660" s="115">
        <f>IFERROR(__xludf.DUMMYFUNCTION("""COMPUTED_VALUE"""),34506.0)</f>
        <v>34506</v>
      </c>
      <c r="G6660" s="115">
        <f>IFERROR(__xludf.DUMMYFUNCTION("""COMPUTED_VALUE"""),5052.0)</f>
        <v>5052</v>
      </c>
      <c r="H6660" s="116">
        <f>IFERROR(__xludf.DUMMYFUNCTION("""COMPUTED_VALUE"""),45912.0)</f>
        <v>45912</v>
      </c>
      <c r="I6660" s="115" t="str">
        <f>IFERROR(__xludf.DUMMYFUNCTION("""COMPUTED_VALUE"""),"17")</f>
        <v>17</v>
      </c>
      <c r="J6660" s="115"/>
      <c r="K6660" s="115"/>
    </row>
    <row r="6661">
      <c r="A6661" s="115" t="str">
        <f>IFERROR(__xludf.DUMMYFUNCTION("""COMPUTED_VALUE"""),"WEST")</f>
        <v>WEST</v>
      </c>
      <c r="B6661" s="115" t="str">
        <f>IFERROR(__xludf.DUMMYFUNCTION("""COMPUTED_VALUE"""),"Ashvani Bhatt")</f>
        <v>Ashvani Bhatt</v>
      </c>
      <c r="C6661" s="115" t="str">
        <f>IFERROR(__xludf.DUMMYFUNCTION("""COMPUTED_VALUE"""),"EXTERNAL")</f>
        <v>EXTERNAL</v>
      </c>
      <c r="D6661" s="115">
        <f>IFERROR(__xludf.DUMMYFUNCTION("""COMPUTED_VALUE"""),39577.0)</f>
        <v>39577</v>
      </c>
      <c r="E6661" s="115">
        <f>IFERROR(__xludf.DUMMYFUNCTION("""COMPUTED_VALUE"""),3113.0)</f>
        <v>3113</v>
      </c>
      <c r="F6661" s="115">
        <f>IFERROR(__xludf.DUMMYFUNCTION("""COMPUTED_VALUE"""),15221.0)</f>
        <v>15221</v>
      </c>
      <c r="G6661" s="115">
        <f>IFERROR(__xludf.DUMMYFUNCTION("""COMPUTED_VALUE"""),826.0)</f>
        <v>826</v>
      </c>
      <c r="H6661" s="116">
        <f>IFERROR(__xludf.DUMMYFUNCTION("""COMPUTED_VALUE"""),45912.0)</f>
        <v>45912</v>
      </c>
      <c r="I6661" s="115" t="str">
        <f>IFERROR(__xludf.DUMMYFUNCTION("""COMPUTED_VALUE"""),"17")</f>
        <v>17</v>
      </c>
      <c r="J6661" s="115"/>
      <c r="K6661" s="115"/>
    </row>
    <row r="6662">
      <c r="A6662" s="115" t="str">
        <f>IFERROR(__xludf.DUMMYFUNCTION("""COMPUTED_VALUE"""),"WEST")</f>
        <v>WEST</v>
      </c>
      <c r="B6662" s="115" t="str">
        <f>IFERROR(__xludf.DUMMYFUNCTION("""COMPUTED_VALUE"""),"Ashvani Bhatt")</f>
        <v>Ashvani Bhatt</v>
      </c>
      <c r="C6662" s="115" t="str">
        <f>IFERROR(__xludf.DUMMYFUNCTION("""COMPUTED_VALUE"""),"FLIPKART")</f>
        <v>FLIPKART</v>
      </c>
      <c r="D6662" s="115">
        <f>IFERROR(__xludf.DUMMYFUNCTION("""COMPUTED_VALUE"""),343081.0)</f>
        <v>343081</v>
      </c>
      <c r="E6662" s="115">
        <f>IFERROR(__xludf.DUMMYFUNCTION("""COMPUTED_VALUE"""),28948.0)</f>
        <v>28948</v>
      </c>
      <c r="F6662" s="115">
        <f>IFERROR(__xludf.DUMMYFUNCTION("""COMPUTED_VALUE"""),235699.0)</f>
        <v>235699</v>
      </c>
      <c r="G6662" s="115">
        <f>IFERROR(__xludf.DUMMYFUNCTION("""COMPUTED_VALUE"""),11471.0)</f>
        <v>11471</v>
      </c>
      <c r="H6662" s="116">
        <f>IFERROR(__xludf.DUMMYFUNCTION("""COMPUTED_VALUE"""),45912.0)</f>
        <v>45912</v>
      </c>
      <c r="I6662" s="115" t="str">
        <f>IFERROR(__xludf.DUMMYFUNCTION("""COMPUTED_VALUE"""),"17")</f>
        <v>17</v>
      </c>
      <c r="J6662" s="115"/>
      <c r="K6662" s="115"/>
    </row>
    <row r="6663">
      <c r="A6663" s="115" t="str">
        <f>IFERROR(__xludf.DUMMYFUNCTION("""COMPUTED_VALUE"""),"WEST")</f>
        <v>WEST</v>
      </c>
      <c r="B6663" s="115" t="str">
        <f>IFERROR(__xludf.DUMMYFUNCTION("""COMPUTED_VALUE"""),"Ashvani Bhatt")</f>
        <v>Ashvani Bhatt</v>
      </c>
      <c r="C6663" s="115" t="str">
        <f>IFERROR(__xludf.DUMMYFUNCTION("""COMPUTED_VALUE"""),"MYNTRA")</f>
        <v>MYNTRA</v>
      </c>
      <c r="D6663" s="115">
        <f>IFERROR(__xludf.DUMMYFUNCTION("""COMPUTED_VALUE"""),36456.0)</f>
        <v>36456</v>
      </c>
      <c r="E6663" s="115">
        <f>IFERROR(__xludf.DUMMYFUNCTION("""COMPUTED_VALUE"""),8999.0)</f>
        <v>8999</v>
      </c>
      <c r="F6663" s="115">
        <f>IFERROR(__xludf.DUMMYFUNCTION("""COMPUTED_VALUE"""),28079.0)</f>
        <v>28079</v>
      </c>
      <c r="G6663" s="115">
        <f>IFERROR(__xludf.DUMMYFUNCTION("""COMPUTED_VALUE"""),4252.0)</f>
        <v>4252</v>
      </c>
      <c r="H6663" s="116">
        <f>IFERROR(__xludf.DUMMYFUNCTION("""COMPUTED_VALUE"""),45912.0)</f>
        <v>45912</v>
      </c>
      <c r="I6663" s="115" t="str">
        <f>IFERROR(__xludf.DUMMYFUNCTION("""COMPUTED_VALUE"""),"17")</f>
        <v>17</v>
      </c>
      <c r="J6663" s="115"/>
      <c r="K6663" s="115"/>
    </row>
    <row r="6664">
      <c r="A6664" s="115"/>
      <c r="B6664" s="115"/>
      <c r="C6664" s="115" t="str">
        <f>IFERROR(__xludf.DUMMYFUNCTION("""COMPUTED_VALUE"""),"EXTERNAL")</f>
        <v>EXTERNAL</v>
      </c>
      <c r="D6664" s="115">
        <f>IFERROR(__xludf.DUMMYFUNCTION("""COMPUTED_VALUE"""),1402.0)</f>
        <v>1402</v>
      </c>
      <c r="E6664" s="115">
        <f>IFERROR(__xludf.DUMMYFUNCTION("""COMPUTED_VALUE"""),239.0)</f>
        <v>239</v>
      </c>
      <c r="F6664" s="115">
        <f>IFERROR(__xludf.DUMMYFUNCTION("""COMPUTED_VALUE"""),543.0)</f>
        <v>543</v>
      </c>
      <c r="G6664" s="115">
        <f>IFERROR(__xludf.DUMMYFUNCTION("""COMPUTED_VALUE"""),116.0)</f>
        <v>116</v>
      </c>
      <c r="H6664" s="116">
        <f>IFERROR(__xludf.DUMMYFUNCTION("""COMPUTED_VALUE"""),45912.0)</f>
        <v>45912</v>
      </c>
      <c r="I6664" s="115" t="str">
        <f>IFERROR(__xludf.DUMMYFUNCTION("""COMPUTED_VALUE"""),"17")</f>
        <v>17</v>
      </c>
      <c r="J6664" s="115"/>
      <c r="K6664" s="115"/>
    </row>
    <row r="6665">
      <c r="A6665" s="115"/>
      <c r="B6665" s="115"/>
      <c r="C6665" s="115" t="str">
        <f>IFERROR(__xludf.DUMMYFUNCTION("""COMPUTED_VALUE"""),"FLIPKART")</f>
        <v>FLIPKART</v>
      </c>
      <c r="D6665" s="115">
        <f>IFERROR(__xludf.DUMMYFUNCTION("""COMPUTED_VALUE"""),15971.0)</f>
        <v>15971</v>
      </c>
      <c r="E6665" s="115">
        <f>IFERROR(__xludf.DUMMYFUNCTION("""COMPUTED_VALUE"""),1371.0)</f>
        <v>1371</v>
      </c>
      <c r="F6665" s="115">
        <f>IFERROR(__xludf.DUMMYFUNCTION("""COMPUTED_VALUE"""),9470.0)</f>
        <v>9470</v>
      </c>
      <c r="G6665" s="115">
        <f>IFERROR(__xludf.DUMMYFUNCTION("""COMPUTED_VALUE"""),658.0)</f>
        <v>658</v>
      </c>
      <c r="H6665" s="116">
        <f>IFERROR(__xludf.DUMMYFUNCTION("""COMPUTED_VALUE"""),45912.0)</f>
        <v>45912</v>
      </c>
      <c r="I6665" s="115" t="str">
        <f>IFERROR(__xludf.DUMMYFUNCTION("""COMPUTED_VALUE"""),"17")</f>
        <v>17</v>
      </c>
      <c r="J6665" s="115"/>
      <c r="K6665" s="115"/>
    </row>
    <row r="6666">
      <c r="A6666" s="115"/>
      <c r="B6666" s="115"/>
      <c r="C6666" s="115" t="str">
        <f>IFERROR(__xludf.DUMMYFUNCTION("""COMPUTED_VALUE"""),"MYNTRA")</f>
        <v>MYNTRA</v>
      </c>
      <c r="D6666" s="115">
        <f>IFERROR(__xludf.DUMMYFUNCTION("""COMPUTED_VALUE"""),1785.0)</f>
        <v>1785</v>
      </c>
      <c r="E6666" s="115">
        <f>IFERROR(__xludf.DUMMYFUNCTION("""COMPUTED_VALUE"""),413.0)</f>
        <v>413</v>
      </c>
      <c r="F6666" s="115">
        <f>IFERROR(__xludf.DUMMYFUNCTION("""COMPUTED_VALUE"""),1268.0)</f>
        <v>1268</v>
      </c>
      <c r="G6666" s="115">
        <f>IFERROR(__xludf.DUMMYFUNCTION("""COMPUTED_VALUE"""),236.0)</f>
        <v>236</v>
      </c>
      <c r="H6666" s="116">
        <f>IFERROR(__xludf.DUMMYFUNCTION("""COMPUTED_VALUE"""),45912.0)</f>
        <v>45912</v>
      </c>
      <c r="I6666" s="115" t="str">
        <f>IFERROR(__xludf.DUMMYFUNCTION("""COMPUTED_VALUE"""),"17")</f>
        <v>17</v>
      </c>
      <c r="J6666" s="115"/>
      <c r="K6666" s="115"/>
    </row>
    <row r="6667">
      <c r="A6667" s="115" t="str">
        <f>IFERROR(__xludf.DUMMYFUNCTION("""COMPUTED_VALUE"""),"EAST")</f>
        <v>EAST</v>
      </c>
      <c r="B6667" s="115" t="str">
        <f>IFERROR(__xludf.DUMMYFUNCTION("""COMPUTED_VALUE"""),"Ashish Ranjan")</f>
        <v>Ashish Ranjan</v>
      </c>
      <c r="C6667" s="115" t="str">
        <f>IFERROR(__xludf.DUMMYFUNCTION("""COMPUTED_VALUE"""),"EXTERNAL")</f>
        <v>EXTERNAL</v>
      </c>
      <c r="D6667" s="115">
        <f>IFERROR(__xludf.DUMMYFUNCTION("""COMPUTED_VALUE"""),43537.0)</f>
        <v>43537</v>
      </c>
      <c r="E6667" s="115">
        <f>IFERROR(__xludf.DUMMYFUNCTION("""COMPUTED_VALUE"""),3300.0)</f>
        <v>3300</v>
      </c>
      <c r="F6667" s="115">
        <f>IFERROR(__xludf.DUMMYFUNCTION("""COMPUTED_VALUE"""),22550.0)</f>
        <v>22550</v>
      </c>
      <c r="G6667" s="115">
        <f>IFERROR(__xludf.DUMMYFUNCTION("""COMPUTED_VALUE"""),1284.0)</f>
        <v>1284</v>
      </c>
      <c r="H6667" s="116">
        <f>IFERROR(__xludf.DUMMYFUNCTION("""COMPUTED_VALUE"""),45912.0)</f>
        <v>45912</v>
      </c>
      <c r="I6667" s="115" t="str">
        <f>IFERROR(__xludf.DUMMYFUNCTION("""COMPUTED_VALUE"""),"18")</f>
        <v>18</v>
      </c>
      <c r="J6667" s="115"/>
      <c r="K6667" s="115"/>
    </row>
    <row r="6668">
      <c r="A6668" s="115" t="str">
        <f>IFERROR(__xludf.DUMMYFUNCTION("""COMPUTED_VALUE"""),"EAST")</f>
        <v>EAST</v>
      </c>
      <c r="B6668" s="115" t="str">
        <f>IFERROR(__xludf.DUMMYFUNCTION("""COMPUTED_VALUE"""),"Ashish Ranjan")</f>
        <v>Ashish Ranjan</v>
      </c>
      <c r="C6668" s="115" t="str">
        <f>IFERROR(__xludf.DUMMYFUNCTION("""COMPUTED_VALUE"""),"FLIPKART")</f>
        <v>FLIPKART</v>
      </c>
      <c r="D6668" s="115">
        <f>IFERROR(__xludf.DUMMYFUNCTION("""COMPUTED_VALUE"""),797644.0)</f>
        <v>797644</v>
      </c>
      <c r="E6668" s="115">
        <f>IFERROR(__xludf.DUMMYFUNCTION("""COMPUTED_VALUE"""),65699.0)</f>
        <v>65699</v>
      </c>
      <c r="F6668" s="115">
        <f>IFERROR(__xludf.DUMMYFUNCTION("""COMPUTED_VALUE"""),641838.0)</f>
        <v>641838</v>
      </c>
      <c r="G6668" s="115">
        <f>IFERROR(__xludf.DUMMYFUNCTION("""COMPUTED_VALUE"""),37689.0)</f>
        <v>37689</v>
      </c>
      <c r="H6668" s="116">
        <f>IFERROR(__xludf.DUMMYFUNCTION("""COMPUTED_VALUE"""),45912.0)</f>
        <v>45912</v>
      </c>
      <c r="I6668" s="115" t="str">
        <f>IFERROR(__xludf.DUMMYFUNCTION("""COMPUTED_VALUE"""),"18")</f>
        <v>18</v>
      </c>
      <c r="J6668" s="115"/>
      <c r="K6668" s="115"/>
    </row>
    <row r="6669">
      <c r="A6669" s="115" t="str">
        <f>IFERROR(__xludf.DUMMYFUNCTION("""COMPUTED_VALUE"""),"EAST")</f>
        <v>EAST</v>
      </c>
      <c r="B6669" s="115" t="str">
        <f>IFERROR(__xludf.DUMMYFUNCTION("""COMPUTED_VALUE"""),"Ashish Ranjan")</f>
        <v>Ashish Ranjan</v>
      </c>
      <c r="C6669" s="115" t="str">
        <f>IFERROR(__xludf.DUMMYFUNCTION("""COMPUTED_VALUE"""),"MYNTRA")</f>
        <v>MYNTRA</v>
      </c>
      <c r="D6669" s="115">
        <f>IFERROR(__xludf.DUMMYFUNCTION("""COMPUTED_VALUE"""),83447.0)</f>
        <v>83447</v>
      </c>
      <c r="E6669" s="115">
        <f>IFERROR(__xludf.DUMMYFUNCTION("""COMPUTED_VALUE"""),15945.0)</f>
        <v>15945</v>
      </c>
      <c r="F6669" s="115">
        <f>IFERROR(__xludf.DUMMYFUNCTION("""COMPUTED_VALUE"""),67695.0)</f>
        <v>67695</v>
      </c>
      <c r="G6669" s="115">
        <f>IFERROR(__xludf.DUMMYFUNCTION("""COMPUTED_VALUE"""),9020.0)</f>
        <v>9020</v>
      </c>
      <c r="H6669" s="116">
        <f>IFERROR(__xludf.DUMMYFUNCTION("""COMPUTED_VALUE"""),45912.0)</f>
        <v>45912</v>
      </c>
      <c r="I6669" s="115" t="str">
        <f>IFERROR(__xludf.DUMMYFUNCTION("""COMPUTED_VALUE"""),"18")</f>
        <v>18</v>
      </c>
      <c r="J6669" s="115"/>
      <c r="K6669" s="115"/>
    </row>
    <row r="6670">
      <c r="A6670" s="115" t="str">
        <f>IFERROR(__xludf.DUMMYFUNCTION("""COMPUTED_VALUE"""),"EAST")</f>
        <v>EAST</v>
      </c>
      <c r="B6670" s="115" t="str">
        <f>IFERROR(__xludf.DUMMYFUNCTION("""COMPUTED_VALUE"""),"Girish Chand")</f>
        <v>Girish Chand</v>
      </c>
      <c r="C6670" s="115" t="str">
        <f>IFERROR(__xludf.DUMMYFUNCTION("""COMPUTED_VALUE"""),"EXTERNAL")</f>
        <v>EXTERNAL</v>
      </c>
      <c r="D6670" s="115">
        <f>IFERROR(__xludf.DUMMYFUNCTION("""COMPUTED_VALUE"""),23576.0)</f>
        <v>23576</v>
      </c>
      <c r="E6670" s="115">
        <f>IFERROR(__xludf.DUMMYFUNCTION("""COMPUTED_VALUE"""),2105.0)</f>
        <v>2105</v>
      </c>
      <c r="F6670" s="115">
        <f>IFERROR(__xludf.DUMMYFUNCTION("""COMPUTED_VALUE"""),10251.0)</f>
        <v>10251</v>
      </c>
      <c r="G6670" s="115">
        <f>IFERROR(__xludf.DUMMYFUNCTION("""COMPUTED_VALUE"""),512.0)</f>
        <v>512</v>
      </c>
      <c r="H6670" s="116">
        <f>IFERROR(__xludf.DUMMYFUNCTION("""COMPUTED_VALUE"""),45912.0)</f>
        <v>45912</v>
      </c>
      <c r="I6670" s="115" t="str">
        <f>IFERROR(__xludf.DUMMYFUNCTION("""COMPUTED_VALUE"""),"18")</f>
        <v>18</v>
      </c>
      <c r="J6670" s="115"/>
      <c r="K6670" s="115"/>
    </row>
    <row r="6671">
      <c r="A6671" s="115" t="str">
        <f>IFERROR(__xludf.DUMMYFUNCTION("""COMPUTED_VALUE"""),"EAST")</f>
        <v>EAST</v>
      </c>
      <c r="B6671" s="115" t="str">
        <f>IFERROR(__xludf.DUMMYFUNCTION("""COMPUTED_VALUE"""),"Girish Chand")</f>
        <v>Girish Chand</v>
      </c>
      <c r="C6671" s="115" t="str">
        <f>IFERROR(__xludf.DUMMYFUNCTION("""COMPUTED_VALUE"""),"FLIPKART")</f>
        <v>FLIPKART</v>
      </c>
      <c r="D6671" s="115">
        <f>IFERROR(__xludf.DUMMYFUNCTION("""COMPUTED_VALUE"""),481473.0)</f>
        <v>481473</v>
      </c>
      <c r="E6671" s="115">
        <f>IFERROR(__xludf.DUMMYFUNCTION("""COMPUTED_VALUE"""),37479.0)</f>
        <v>37479</v>
      </c>
      <c r="F6671" s="115">
        <f>IFERROR(__xludf.DUMMYFUNCTION("""COMPUTED_VALUE"""),348913.0)</f>
        <v>348913</v>
      </c>
      <c r="G6671" s="115">
        <f>IFERROR(__xludf.DUMMYFUNCTION("""COMPUTED_VALUE"""),18763.0)</f>
        <v>18763</v>
      </c>
      <c r="H6671" s="116">
        <f>IFERROR(__xludf.DUMMYFUNCTION("""COMPUTED_VALUE"""),45912.0)</f>
        <v>45912</v>
      </c>
      <c r="I6671" s="115" t="str">
        <f>IFERROR(__xludf.DUMMYFUNCTION("""COMPUTED_VALUE"""),"18")</f>
        <v>18</v>
      </c>
      <c r="J6671" s="115"/>
      <c r="K6671" s="115"/>
    </row>
    <row r="6672">
      <c r="A6672" s="115" t="str">
        <f>IFERROR(__xludf.DUMMYFUNCTION("""COMPUTED_VALUE"""),"EAST")</f>
        <v>EAST</v>
      </c>
      <c r="B6672" s="115" t="str">
        <f>IFERROR(__xludf.DUMMYFUNCTION("""COMPUTED_VALUE"""),"Girish Chand")</f>
        <v>Girish Chand</v>
      </c>
      <c r="C6672" s="115" t="str">
        <f>IFERROR(__xludf.DUMMYFUNCTION("""COMPUTED_VALUE"""),"MYNTRA")</f>
        <v>MYNTRA</v>
      </c>
      <c r="D6672" s="115">
        <f>IFERROR(__xludf.DUMMYFUNCTION("""COMPUTED_VALUE"""),36219.0)</f>
        <v>36219</v>
      </c>
      <c r="E6672" s="115">
        <f>IFERROR(__xludf.DUMMYFUNCTION("""COMPUTED_VALUE"""),7151.0)</f>
        <v>7151</v>
      </c>
      <c r="F6672" s="115">
        <f>IFERROR(__xludf.DUMMYFUNCTION("""COMPUTED_VALUE"""),27413.0)</f>
        <v>27413</v>
      </c>
      <c r="G6672" s="115">
        <f>IFERROR(__xludf.DUMMYFUNCTION("""COMPUTED_VALUE"""),3793.0)</f>
        <v>3793</v>
      </c>
      <c r="H6672" s="116">
        <f>IFERROR(__xludf.DUMMYFUNCTION("""COMPUTED_VALUE"""),45912.0)</f>
        <v>45912</v>
      </c>
      <c r="I6672" s="115" t="str">
        <f>IFERROR(__xludf.DUMMYFUNCTION("""COMPUTED_VALUE"""),"18")</f>
        <v>18</v>
      </c>
      <c r="J6672" s="115"/>
      <c r="K6672" s="115"/>
    </row>
    <row r="6673">
      <c r="A6673" s="115" t="str">
        <f>IFERROR(__xludf.DUMMYFUNCTION("""COMPUTED_VALUE"""),"EAST")</f>
        <v>EAST</v>
      </c>
      <c r="B6673" s="115" t="str">
        <f>IFERROR(__xludf.DUMMYFUNCTION("""COMPUTED_VALUE"""),"Parag Kashyap")</f>
        <v>Parag Kashyap</v>
      </c>
      <c r="C6673" s="115" t="str">
        <f>IFERROR(__xludf.DUMMYFUNCTION("""COMPUTED_VALUE"""),"EXTERNAL")</f>
        <v>EXTERNAL</v>
      </c>
      <c r="D6673" s="115">
        <f>IFERROR(__xludf.DUMMYFUNCTION("""COMPUTED_VALUE"""),15440.0)</f>
        <v>15440</v>
      </c>
      <c r="E6673" s="115">
        <f>IFERROR(__xludf.DUMMYFUNCTION("""COMPUTED_VALUE"""),1115.0)</f>
        <v>1115</v>
      </c>
      <c r="F6673" s="115">
        <f>IFERROR(__xludf.DUMMYFUNCTION("""COMPUTED_VALUE"""),6386.0)</f>
        <v>6386</v>
      </c>
      <c r="G6673" s="115">
        <f>IFERROR(__xludf.DUMMYFUNCTION("""COMPUTED_VALUE"""),262.0)</f>
        <v>262</v>
      </c>
      <c r="H6673" s="116">
        <f>IFERROR(__xludf.DUMMYFUNCTION("""COMPUTED_VALUE"""),45912.0)</f>
        <v>45912</v>
      </c>
      <c r="I6673" s="115" t="str">
        <f>IFERROR(__xludf.DUMMYFUNCTION("""COMPUTED_VALUE"""),"18")</f>
        <v>18</v>
      </c>
      <c r="J6673" s="115"/>
      <c r="K6673" s="115"/>
    </row>
    <row r="6674">
      <c r="A6674" s="115" t="str">
        <f>IFERROR(__xludf.DUMMYFUNCTION("""COMPUTED_VALUE"""),"EAST")</f>
        <v>EAST</v>
      </c>
      <c r="B6674" s="115" t="str">
        <f>IFERROR(__xludf.DUMMYFUNCTION("""COMPUTED_VALUE"""),"Parag Kashyap")</f>
        <v>Parag Kashyap</v>
      </c>
      <c r="C6674" s="115" t="str">
        <f>IFERROR(__xludf.DUMMYFUNCTION("""COMPUTED_VALUE"""),"FLIPKART")</f>
        <v>FLIPKART</v>
      </c>
      <c r="D6674" s="115">
        <f>IFERROR(__xludf.DUMMYFUNCTION("""COMPUTED_VALUE"""),289591.0)</f>
        <v>289591</v>
      </c>
      <c r="E6674" s="115">
        <f>IFERROR(__xludf.DUMMYFUNCTION("""COMPUTED_VALUE"""),19524.0)</f>
        <v>19524</v>
      </c>
      <c r="F6674" s="115">
        <f>IFERROR(__xludf.DUMMYFUNCTION("""COMPUTED_VALUE"""),210598.0)</f>
        <v>210598</v>
      </c>
      <c r="G6674" s="115">
        <f>IFERROR(__xludf.DUMMYFUNCTION("""COMPUTED_VALUE"""),8384.0)</f>
        <v>8384</v>
      </c>
      <c r="H6674" s="116">
        <f>IFERROR(__xludf.DUMMYFUNCTION("""COMPUTED_VALUE"""),45912.0)</f>
        <v>45912</v>
      </c>
      <c r="I6674" s="115" t="str">
        <f>IFERROR(__xludf.DUMMYFUNCTION("""COMPUTED_VALUE"""),"18")</f>
        <v>18</v>
      </c>
      <c r="J6674" s="115"/>
      <c r="K6674" s="115"/>
    </row>
    <row r="6675">
      <c r="A6675" s="115" t="str">
        <f>IFERROR(__xludf.DUMMYFUNCTION("""COMPUTED_VALUE"""),"EAST")</f>
        <v>EAST</v>
      </c>
      <c r="B6675" s="115" t="str">
        <f>IFERROR(__xludf.DUMMYFUNCTION("""COMPUTED_VALUE"""),"Parag Kashyap")</f>
        <v>Parag Kashyap</v>
      </c>
      <c r="C6675" s="115" t="str">
        <f>IFERROR(__xludf.DUMMYFUNCTION("""COMPUTED_VALUE"""),"MYNTRA")</f>
        <v>MYNTRA</v>
      </c>
      <c r="D6675" s="115">
        <f>IFERROR(__xludf.DUMMYFUNCTION("""COMPUTED_VALUE"""),38291.0)</f>
        <v>38291</v>
      </c>
      <c r="E6675" s="115">
        <f>IFERROR(__xludf.DUMMYFUNCTION("""COMPUTED_VALUE"""),6231.0)</f>
        <v>6231</v>
      </c>
      <c r="F6675" s="115">
        <f>IFERROR(__xludf.DUMMYFUNCTION("""COMPUTED_VALUE"""),28741.0)</f>
        <v>28741</v>
      </c>
      <c r="G6675" s="115">
        <f>IFERROR(__xludf.DUMMYFUNCTION("""COMPUTED_VALUE"""),2727.0)</f>
        <v>2727</v>
      </c>
      <c r="H6675" s="116">
        <f>IFERROR(__xludf.DUMMYFUNCTION("""COMPUTED_VALUE"""),45912.0)</f>
        <v>45912</v>
      </c>
      <c r="I6675" s="115" t="str">
        <f>IFERROR(__xludf.DUMMYFUNCTION("""COMPUTED_VALUE"""),"18")</f>
        <v>18</v>
      </c>
      <c r="J6675" s="115"/>
      <c r="K6675" s="115"/>
    </row>
    <row r="6676">
      <c r="A6676" s="115" t="str">
        <f>IFERROR(__xludf.DUMMYFUNCTION("""COMPUTED_VALUE"""),"NORTH")</f>
        <v>NORTH</v>
      </c>
      <c r="B6676" s="115" t="str">
        <f>IFERROR(__xludf.DUMMYFUNCTION("""COMPUTED_VALUE"""),"Amit Kumar Pathak")</f>
        <v>Amit Kumar Pathak</v>
      </c>
      <c r="C6676" s="115" t="str">
        <f>IFERROR(__xludf.DUMMYFUNCTION("""COMPUTED_VALUE"""),"EXTERNAL")</f>
        <v>EXTERNAL</v>
      </c>
      <c r="D6676" s="115">
        <f>IFERROR(__xludf.DUMMYFUNCTION("""COMPUTED_VALUE"""),29558.0)</f>
        <v>29558</v>
      </c>
      <c r="E6676" s="115">
        <f>IFERROR(__xludf.DUMMYFUNCTION("""COMPUTED_VALUE"""),3425.0)</f>
        <v>3425</v>
      </c>
      <c r="F6676" s="115">
        <f>IFERROR(__xludf.DUMMYFUNCTION("""COMPUTED_VALUE"""),11284.0)</f>
        <v>11284</v>
      </c>
      <c r="G6676" s="115">
        <f>IFERROR(__xludf.DUMMYFUNCTION("""COMPUTED_VALUE"""),1360.0)</f>
        <v>1360</v>
      </c>
      <c r="H6676" s="116">
        <f>IFERROR(__xludf.DUMMYFUNCTION("""COMPUTED_VALUE"""),45912.0)</f>
        <v>45912</v>
      </c>
      <c r="I6676" s="115" t="str">
        <f>IFERROR(__xludf.DUMMYFUNCTION("""COMPUTED_VALUE"""),"18")</f>
        <v>18</v>
      </c>
      <c r="J6676" s="115"/>
      <c r="K6676" s="115"/>
    </row>
    <row r="6677">
      <c r="A6677" s="115" t="str">
        <f>IFERROR(__xludf.DUMMYFUNCTION("""COMPUTED_VALUE"""),"NORTH")</f>
        <v>NORTH</v>
      </c>
      <c r="B6677" s="115" t="str">
        <f>IFERROR(__xludf.DUMMYFUNCTION("""COMPUTED_VALUE"""),"Amit Kumar Pathak")</f>
        <v>Amit Kumar Pathak</v>
      </c>
      <c r="C6677" s="115" t="str">
        <f>IFERROR(__xludf.DUMMYFUNCTION("""COMPUTED_VALUE"""),"FLIPKART")</f>
        <v>FLIPKART</v>
      </c>
      <c r="D6677" s="115">
        <f>IFERROR(__xludf.DUMMYFUNCTION("""COMPUTED_VALUE"""),206635.0)</f>
        <v>206635</v>
      </c>
      <c r="E6677" s="115">
        <f>IFERROR(__xludf.DUMMYFUNCTION("""COMPUTED_VALUE"""),23801.0)</f>
        <v>23801</v>
      </c>
      <c r="F6677" s="115">
        <f>IFERROR(__xludf.DUMMYFUNCTION("""COMPUTED_VALUE"""),140138.0)</f>
        <v>140138</v>
      </c>
      <c r="G6677" s="115">
        <f>IFERROR(__xludf.DUMMYFUNCTION("""COMPUTED_VALUE"""),12638.0)</f>
        <v>12638</v>
      </c>
      <c r="H6677" s="116">
        <f>IFERROR(__xludf.DUMMYFUNCTION("""COMPUTED_VALUE"""),45912.0)</f>
        <v>45912</v>
      </c>
      <c r="I6677" s="115" t="str">
        <f>IFERROR(__xludf.DUMMYFUNCTION("""COMPUTED_VALUE"""),"18")</f>
        <v>18</v>
      </c>
      <c r="J6677" s="115"/>
      <c r="K6677" s="115"/>
    </row>
    <row r="6678">
      <c r="A6678" s="115" t="str">
        <f>IFERROR(__xludf.DUMMYFUNCTION("""COMPUTED_VALUE"""),"NORTH")</f>
        <v>NORTH</v>
      </c>
      <c r="B6678" s="115" t="str">
        <f>IFERROR(__xludf.DUMMYFUNCTION("""COMPUTED_VALUE"""),"Amit Kumar Pathak")</f>
        <v>Amit Kumar Pathak</v>
      </c>
      <c r="C6678" s="115" t="str">
        <f>IFERROR(__xludf.DUMMYFUNCTION("""COMPUTED_VALUE"""),"MYNTRA")</f>
        <v>MYNTRA</v>
      </c>
      <c r="D6678" s="115">
        <f>IFERROR(__xludf.DUMMYFUNCTION("""COMPUTED_VALUE"""),17830.0)</f>
        <v>17830</v>
      </c>
      <c r="E6678" s="115">
        <f>IFERROR(__xludf.DUMMYFUNCTION("""COMPUTED_VALUE"""),5739.0)</f>
        <v>5739</v>
      </c>
      <c r="F6678" s="115">
        <f>IFERROR(__xludf.DUMMYFUNCTION("""COMPUTED_VALUE"""),13838.0)</f>
        <v>13838</v>
      </c>
      <c r="G6678" s="115">
        <f>IFERROR(__xludf.DUMMYFUNCTION("""COMPUTED_VALUE"""),3218.0)</f>
        <v>3218</v>
      </c>
      <c r="H6678" s="116">
        <f>IFERROR(__xludf.DUMMYFUNCTION("""COMPUTED_VALUE"""),45912.0)</f>
        <v>45912</v>
      </c>
      <c r="I6678" s="115" t="str">
        <f>IFERROR(__xludf.DUMMYFUNCTION("""COMPUTED_VALUE"""),"18")</f>
        <v>18</v>
      </c>
      <c r="J6678" s="115"/>
      <c r="K6678" s="115"/>
    </row>
    <row r="6679">
      <c r="A6679" s="115" t="str">
        <f>IFERROR(__xludf.DUMMYFUNCTION("""COMPUTED_VALUE"""),"NORTH")</f>
        <v>NORTH</v>
      </c>
      <c r="B6679" s="115" t="str">
        <f>IFERROR(__xludf.DUMMYFUNCTION("""COMPUTED_VALUE"""),"Ashvani Bhatt")</f>
        <v>Ashvani Bhatt</v>
      </c>
      <c r="C6679" s="115" t="str">
        <f>IFERROR(__xludf.DUMMYFUNCTION("""COMPUTED_VALUE"""),"EXTERNAL")</f>
        <v>EXTERNAL</v>
      </c>
      <c r="D6679" s="115">
        <f>IFERROR(__xludf.DUMMYFUNCTION("""COMPUTED_VALUE"""),31.0)</f>
        <v>31</v>
      </c>
      <c r="E6679" s="115">
        <f>IFERROR(__xludf.DUMMYFUNCTION("""COMPUTED_VALUE"""),6.0)</f>
        <v>6</v>
      </c>
      <c r="F6679" s="115">
        <f>IFERROR(__xludf.DUMMYFUNCTION("""COMPUTED_VALUE"""),7.0)</f>
        <v>7</v>
      </c>
      <c r="G6679" s="115">
        <f>IFERROR(__xludf.DUMMYFUNCTION("""COMPUTED_VALUE"""),0.0)</f>
        <v>0</v>
      </c>
      <c r="H6679" s="116">
        <f>IFERROR(__xludf.DUMMYFUNCTION("""COMPUTED_VALUE"""),45912.0)</f>
        <v>45912</v>
      </c>
      <c r="I6679" s="115" t="str">
        <f>IFERROR(__xludf.DUMMYFUNCTION("""COMPUTED_VALUE"""),"18")</f>
        <v>18</v>
      </c>
      <c r="J6679" s="115"/>
      <c r="K6679" s="115"/>
    </row>
    <row r="6680">
      <c r="A6680" s="115" t="str">
        <f>IFERROR(__xludf.DUMMYFUNCTION("""COMPUTED_VALUE"""),"NORTH")</f>
        <v>NORTH</v>
      </c>
      <c r="B6680" s="115" t="str">
        <f>IFERROR(__xludf.DUMMYFUNCTION("""COMPUTED_VALUE"""),"Ashvani Bhatt")</f>
        <v>Ashvani Bhatt</v>
      </c>
      <c r="C6680" s="115" t="str">
        <f>IFERROR(__xludf.DUMMYFUNCTION("""COMPUTED_VALUE"""),"FLIPKART")</f>
        <v>FLIPKART</v>
      </c>
      <c r="D6680" s="115">
        <f>IFERROR(__xludf.DUMMYFUNCTION("""COMPUTED_VALUE"""),462.0)</f>
        <v>462</v>
      </c>
      <c r="E6680" s="115">
        <f>IFERROR(__xludf.DUMMYFUNCTION("""COMPUTED_VALUE"""),38.0)</f>
        <v>38</v>
      </c>
      <c r="F6680" s="115">
        <f>IFERROR(__xludf.DUMMYFUNCTION("""COMPUTED_VALUE"""),193.0)</f>
        <v>193</v>
      </c>
      <c r="G6680" s="115">
        <f>IFERROR(__xludf.DUMMYFUNCTION("""COMPUTED_VALUE"""),0.0)</f>
        <v>0</v>
      </c>
      <c r="H6680" s="116">
        <f>IFERROR(__xludf.DUMMYFUNCTION("""COMPUTED_VALUE"""),45912.0)</f>
        <v>45912</v>
      </c>
      <c r="I6680" s="115" t="str">
        <f>IFERROR(__xludf.DUMMYFUNCTION("""COMPUTED_VALUE"""),"18")</f>
        <v>18</v>
      </c>
      <c r="J6680" s="115"/>
      <c r="K6680" s="115"/>
    </row>
    <row r="6681">
      <c r="A6681" s="115" t="str">
        <f>IFERROR(__xludf.DUMMYFUNCTION("""COMPUTED_VALUE"""),"NORTH")</f>
        <v>NORTH</v>
      </c>
      <c r="B6681" s="115" t="str">
        <f>IFERROR(__xludf.DUMMYFUNCTION("""COMPUTED_VALUE"""),"Ashvani Bhatt")</f>
        <v>Ashvani Bhatt</v>
      </c>
      <c r="C6681" s="115" t="str">
        <f>IFERROR(__xludf.DUMMYFUNCTION("""COMPUTED_VALUE"""),"MYNTRA")</f>
        <v>MYNTRA</v>
      </c>
      <c r="D6681" s="115">
        <f>IFERROR(__xludf.DUMMYFUNCTION("""COMPUTED_VALUE"""),22.0)</f>
        <v>22</v>
      </c>
      <c r="E6681" s="115">
        <f>IFERROR(__xludf.DUMMYFUNCTION("""COMPUTED_VALUE"""),3.0)</f>
        <v>3</v>
      </c>
      <c r="F6681" s="115">
        <f>IFERROR(__xludf.DUMMYFUNCTION("""COMPUTED_VALUE"""),13.0)</f>
        <v>13</v>
      </c>
      <c r="G6681" s="115">
        <f>IFERROR(__xludf.DUMMYFUNCTION("""COMPUTED_VALUE"""),1.0)</f>
        <v>1</v>
      </c>
      <c r="H6681" s="116">
        <f>IFERROR(__xludf.DUMMYFUNCTION("""COMPUTED_VALUE"""),45912.0)</f>
        <v>45912</v>
      </c>
      <c r="I6681" s="115" t="str">
        <f>IFERROR(__xludf.DUMMYFUNCTION("""COMPUTED_VALUE"""),"18")</f>
        <v>18</v>
      </c>
      <c r="J6681" s="115"/>
      <c r="K6681" s="115"/>
    </row>
    <row r="6682">
      <c r="A6682" s="115" t="str">
        <f>IFERROR(__xludf.DUMMYFUNCTION("""COMPUTED_VALUE"""),"NORTH")</f>
        <v>NORTH</v>
      </c>
      <c r="B6682" s="115" t="str">
        <f>IFERROR(__xludf.DUMMYFUNCTION("""COMPUTED_VALUE"""),"Loveleen Singh")</f>
        <v>Loveleen Singh</v>
      </c>
      <c r="C6682" s="115" t="str">
        <f>IFERROR(__xludf.DUMMYFUNCTION("""COMPUTED_VALUE"""),"EXTERNAL")</f>
        <v>EXTERNAL</v>
      </c>
      <c r="D6682" s="115">
        <f>IFERROR(__xludf.DUMMYFUNCTION("""COMPUTED_VALUE"""),33395.0)</f>
        <v>33395</v>
      </c>
      <c r="E6682" s="115">
        <f>IFERROR(__xludf.DUMMYFUNCTION("""COMPUTED_VALUE"""),2600.0)</f>
        <v>2600</v>
      </c>
      <c r="F6682" s="115">
        <f>IFERROR(__xludf.DUMMYFUNCTION("""COMPUTED_VALUE"""),13191.0)</f>
        <v>13191</v>
      </c>
      <c r="G6682" s="115">
        <f>IFERROR(__xludf.DUMMYFUNCTION("""COMPUTED_VALUE"""),767.0)</f>
        <v>767</v>
      </c>
      <c r="H6682" s="116">
        <f>IFERROR(__xludf.DUMMYFUNCTION("""COMPUTED_VALUE"""),45912.0)</f>
        <v>45912</v>
      </c>
      <c r="I6682" s="115" t="str">
        <f>IFERROR(__xludf.DUMMYFUNCTION("""COMPUTED_VALUE"""),"18")</f>
        <v>18</v>
      </c>
      <c r="J6682" s="115"/>
      <c r="K6682" s="115"/>
    </row>
    <row r="6683">
      <c r="A6683" s="115" t="str">
        <f>IFERROR(__xludf.DUMMYFUNCTION("""COMPUTED_VALUE"""),"NORTH")</f>
        <v>NORTH</v>
      </c>
      <c r="B6683" s="115" t="str">
        <f>IFERROR(__xludf.DUMMYFUNCTION("""COMPUTED_VALUE"""),"Loveleen Singh")</f>
        <v>Loveleen Singh</v>
      </c>
      <c r="C6683" s="115" t="str">
        <f>IFERROR(__xludf.DUMMYFUNCTION("""COMPUTED_VALUE"""),"FLIPKART")</f>
        <v>FLIPKART</v>
      </c>
      <c r="D6683" s="115">
        <f>IFERROR(__xludf.DUMMYFUNCTION("""COMPUTED_VALUE"""),216597.0)</f>
        <v>216597</v>
      </c>
      <c r="E6683" s="115">
        <f>IFERROR(__xludf.DUMMYFUNCTION("""COMPUTED_VALUE"""),15001.0)</f>
        <v>15001</v>
      </c>
      <c r="F6683" s="115">
        <f>IFERROR(__xludf.DUMMYFUNCTION("""COMPUTED_VALUE"""),159150.0)</f>
        <v>159150</v>
      </c>
      <c r="G6683" s="115">
        <f>IFERROR(__xludf.DUMMYFUNCTION("""COMPUTED_VALUE"""),7236.0)</f>
        <v>7236</v>
      </c>
      <c r="H6683" s="116">
        <f>IFERROR(__xludf.DUMMYFUNCTION("""COMPUTED_VALUE"""),45912.0)</f>
        <v>45912</v>
      </c>
      <c r="I6683" s="115" t="str">
        <f>IFERROR(__xludf.DUMMYFUNCTION("""COMPUTED_VALUE"""),"18")</f>
        <v>18</v>
      </c>
      <c r="J6683" s="115"/>
      <c r="K6683" s="115"/>
    </row>
    <row r="6684">
      <c r="A6684" s="115" t="str">
        <f>IFERROR(__xludf.DUMMYFUNCTION("""COMPUTED_VALUE"""),"NORTH")</f>
        <v>NORTH</v>
      </c>
      <c r="B6684" s="115" t="str">
        <f>IFERROR(__xludf.DUMMYFUNCTION("""COMPUTED_VALUE"""),"Loveleen Singh")</f>
        <v>Loveleen Singh</v>
      </c>
      <c r="C6684" s="115" t="str">
        <f>IFERROR(__xludf.DUMMYFUNCTION("""COMPUTED_VALUE"""),"MYNTRA")</f>
        <v>MYNTRA</v>
      </c>
      <c r="D6684" s="115">
        <f>IFERROR(__xludf.DUMMYFUNCTION("""COMPUTED_VALUE"""),33199.0)</f>
        <v>33199</v>
      </c>
      <c r="E6684" s="115">
        <f>IFERROR(__xludf.DUMMYFUNCTION("""COMPUTED_VALUE"""),6347.0)</f>
        <v>6347</v>
      </c>
      <c r="F6684" s="115">
        <f>IFERROR(__xludf.DUMMYFUNCTION("""COMPUTED_VALUE"""),26282.0)</f>
        <v>26282</v>
      </c>
      <c r="G6684" s="115">
        <f>IFERROR(__xludf.DUMMYFUNCTION("""COMPUTED_VALUE"""),3444.0)</f>
        <v>3444</v>
      </c>
      <c r="H6684" s="116">
        <f>IFERROR(__xludf.DUMMYFUNCTION("""COMPUTED_VALUE"""),45912.0)</f>
        <v>45912</v>
      </c>
      <c r="I6684" s="115" t="str">
        <f>IFERROR(__xludf.DUMMYFUNCTION("""COMPUTED_VALUE"""),"18")</f>
        <v>18</v>
      </c>
      <c r="J6684" s="115"/>
      <c r="K6684" s="115"/>
    </row>
    <row r="6685">
      <c r="A6685" s="115" t="str">
        <f>IFERROR(__xludf.DUMMYFUNCTION("""COMPUTED_VALUE"""),"NORTH")</f>
        <v>NORTH</v>
      </c>
      <c r="B6685" s="115" t="str">
        <f>IFERROR(__xludf.DUMMYFUNCTION("""COMPUTED_VALUE"""),"Manoj Harsh")</f>
        <v>Manoj Harsh</v>
      </c>
      <c r="C6685" s="115" t="str">
        <f>IFERROR(__xludf.DUMMYFUNCTION("""COMPUTED_VALUE"""),"EXTERNAL")</f>
        <v>EXTERNAL</v>
      </c>
      <c r="D6685" s="115">
        <f>IFERROR(__xludf.DUMMYFUNCTION("""COMPUTED_VALUE"""),37013.0)</f>
        <v>37013</v>
      </c>
      <c r="E6685" s="115">
        <f>IFERROR(__xludf.DUMMYFUNCTION("""COMPUTED_VALUE"""),2691.0)</f>
        <v>2691</v>
      </c>
      <c r="F6685" s="115">
        <f>IFERROR(__xludf.DUMMYFUNCTION("""COMPUTED_VALUE"""),16470.0)</f>
        <v>16470</v>
      </c>
      <c r="G6685" s="115">
        <f>IFERROR(__xludf.DUMMYFUNCTION("""COMPUTED_VALUE"""),713.0)</f>
        <v>713</v>
      </c>
      <c r="H6685" s="116">
        <f>IFERROR(__xludf.DUMMYFUNCTION("""COMPUTED_VALUE"""),45912.0)</f>
        <v>45912</v>
      </c>
      <c r="I6685" s="115" t="str">
        <f>IFERROR(__xludf.DUMMYFUNCTION("""COMPUTED_VALUE"""),"18")</f>
        <v>18</v>
      </c>
      <c r="J6685" s="115"/>
      <c r="K6685" s="115"/>
    </row>
    <row r="6686">
      <c r="A6686" s="115" t="str">
        <f>IFERROR(__xludf.DUMMYFUNCTION("""COMPUTED_VALUE"""),"NORTH")</f>
        <v>NORTH</v>
      </c>
      <c r="B6686" s="115" t="str">
        <f>IFERROR(__xludf.DUMMYFUNCTION("""COMPUTED_VALUE"""),"Manoj Harsh")</f>
        <v>Manoj Harsh</v>
      </c>
      <c r="C6686" s="115" t="str">
        <f>IFERROR(__xludf.DUMMYFUNCTION("""COMPUTED_VALUE"""),"FLIPKART")</f>
        <v>FLIPKART</v>
      </c>
      <c r="D6686" s="115">
        <f>IFERROR(__xludf.DUMMYFUNCTION("""COMPUTED_VALUE"""),483348.0)</f>
        <v>483348</v>
      </c>
      <c r="E6686" s="115">
        <f>IFERROR(__xludf.DUMMYFUNCTION("""COMPUTED_VALUE"""),37574.0)</f>
        <v>37574</v>
      </c>
      <c r="F6686" s="115">
        <f>IFERROR(__xludf.DUMMYFUNCTION("""COMPUTED_VALUE"""),345480.0)</f>
        <v>345480</v>
      </c>
      <c r="G6686" s="115">
        <f>IFERROR(__xludf.DUMMYFUNCTION("""COMPUTED_VALUE"""),18190.0)</f>
        <v>18190</v>
      </c>
      <c r="H6686" s="116">
        <f>IFERROR(__xludf.DUMMYFUNCTION("""COMPUTED_VALUE"""),45912.0)</f>
        <v>45912</v>
      </c>
      <c r="I6686" s="115" t="str">
        <f>IFERROR(__xludf.DUMMYFUNCTION("""COMPUTED_VALUE"""),"18")</f>
        <v>18</v>
      </c>
      <c r="J6686" s="115"/>
      <c r="K6686" s="115"/>
    </row>
    <row r="6687">
      <c r="A6687" s="115" t="str">
        <f>IFERROR(__xludf.DUMMYFUNCTION("""COMPUTED_VALUE"""),"NORTH")</f>
        <v>NORTH</v>
      </c>
      <c r="B6687" s="115" t="str">
        <f>IFERROR(__xludf.DUMMYFUNCTION("""COMPUTED_VALUE"""),"Manoj Harsh")</f>
        <v>Manoj Harsh</v>
      </c>
      <c r="C6687" s="115" t="str">
        <f>IFERROR(__xludf.DUMMYFUNCTION("""COMPUTED_VALUE"""),"MYNTRA")</f>
        <v>MYNTRA</v>
      </c>
      <c r="D6687" s="115">
        <f>IFERROR(__xludf.DUMMYFUNCTION("""COMPUTED_VALUE"""),37393.0)</f>
        <v>37393</v>
      </c>
      <c r="E6687" s="115">
        <f>IFERROR(__xludf.DUMMYFUNCTION("""COMPUTED_VALUE"""),7235.0)</f>
        <v>7235</v>
      </c>
      <c r="F6687" s="115">
        <f>IFERROR(__xludf.DUMMYFUNCTION("""COMPUTED_VALUE"""),28574.0)</f>
        <v>28574</v>
      </c>
      <c r="G6687" s="115">
        <f>IFERROR(__xludf.DUMMYFUNCTION("""COMPUTED_VALUE"""),3997.0)</f>
        <v>3997</v>
      </c>
      <c r="H6687" s="116">
        <f>IFERROR(__xludf.DUMMYFUNCTION("""COMPUTED_VALUE"""),45912.0)</f>
        <v>45912</v>
      </c>
      <c r="I6687" s="115" t="str">
        <f>IFERROR(__xludf.DUMMYFUNCTION("""COMPUTED_VALUE"""),"18")</f>
        <v>18</v>
      </c>
      <c r="J6687" s="115"/>
      <c r="K6687" s="115"/>
    </row>
    <row r="6688">
      <c r="A6688" s="115" t="str">
        <f>IFERROR(__xludf.DUMMYFUNCTION("""COMPUTED_VALUE"""),"NORTH")</f>
        <v>NORTH</v>
      </c>
      <c r="B6688" s="115" t="str">
        <f>IFERROR(__xludf.DUMMYFUNCTION("""COMPUTED_VALUE"""),"Pradeep Kothari")</f>
        <v>Pradeep Kothari</v>
      </c>
      <c r="C6688" s="115" t="str">
        <f>IFERROR(__xludf.DUMMYFUNCTION("""COMPUTED_VALUE"""),"EXTERNAL")</f>
        <v>EXTERNAL</v>
      </c>
      <c r="D6688" s="115">
        <f>IFERROR(__xludf.DUMMYFUNCTION("""COMPUTED_VALUE"""),20424.0)</f>
        <v>20424</v>
      </c>
      <c r="E6688" s="115">
        <f>IFERROR(__xludf.DUMMYFUNCTION("""COMPUTED_VALUE"""),1960.0)</f>
        <v>1960</v>
      </c>
      <c r="F6688" s="115">
        <f>IFERROR(__xludf.DUMMYFUNCTION("""COMPUTED_VALUE"""),8402.0)</f>
        <v>8402</v>
      </c>
      <c r="G6688" s="115">
        <f>IFERROR(__xludf.DUMMYFUNCTION("""COMPUTED_VALUE"""),675.0)</f>
        <v>675</v>
      </c>
      <c r="H6688" s="116">
        <f>IFERROR(__xludf.DUMMYFUNCTION("""COMPUTED_VALUE"""),45912.0)</f>
        <v>45912</v>
      </c>
      <c r="I6688" s="115" t="str">
        <f>IFERROR(__xludf.DUMMYFUNCTION("""COMPUTED_VALUE"""),"18")</f>
        <v>18</v>
      </c>
      <c r="J6688" s="115"/>
      <c r="K6688" s="115"/>
    </row>
    <row r="6689">
      <c r="A6689" s="115" t="str">
        <f>IFERROR(__xludf.DUMMYFUNCTION("""COMPUTED_VALUE"""),"NORTH")</f>
        <v>NORTH</v>
      </c>
      <c r="B6689" s="115" t="str">
        <f>IFERROR(__xludf.DUMMYFUNCTION("""COMPUTED_VALUE"""),"Pradeep Kothari")</f>
        <v>Pradeep Kothari</v>
      </c>
      <c r="C6689" s="115" t="str">
        <f>IFERROR(__xludf.DUMMYFUNCTION("""COMPUTED_VALUE"""),"FLIPKART")</f>
        <v>FLIPKART</v>
      </c>
      <c r="D6689" s="115">
        <f>IFERROR(__xludf.DUMMYFUNCTION("""COMPUTED_VALUE"""),181147.0)</f>
        <v>181147</v>
      </c>
      <c r="E6689" s="115">
        <f>IFERROR(__xludf.DUMMYFUNCTION("""COMPUTED_VALUE"""),17104.0)</f>
        <v>17104</v>
      </c>
      <c r="F6689" s="115">
        <f>IFERROR(__xludf.DUMMYFUNCTION("""COMPUTED_VALUE"""),135580.0)</f>
        <v>135580</v>
      </c>
      <c r="G6689" s="115">
        <f>IFERROR(__xludf.DUMMYFUNCTION("""COMPUTED_VALUE"""),9714.0)</f>
        <v>9714</v>
      </c>
      <c r="H6689" s="116">
        <f>IFERROR(__xludf.DUMMYFUNCTION("""COMPUTED_VALUE"""),45912.0)</f>
        <v>45912</v>
      </c>
      <c r="I6689" s="115" t="str">
        <f>IFERROR(__xludf.DUMMYFUNCTION("""COMPUTED_VALUE"""),"18")</f>
        <v>18</v>
      </c>
      <c r="J6689" s="115"/>
      <c r="K6689" s="115"/>
    </row>
    <row r="6690">
      <c r="A6690" s="115" t="str">
        <f>IFERROR(__xludf.DUMMYFUNCTION("""COMPUTED_VALUE"""),"NORTH")</f>
        <v>NORTH</v>
      </c>
      <c r="B6690" s="115" t="str">
        <f>IFERROR(__xludf.DUMMYFUNCTION("""COMPUTED_VALUE"""),"Pradeep Kothari")</f>
        <v>Pradeep Kothari</v>
      </c>
      <c r="C6690" s="115" t="str">
        <f>IFERROR(__xludf.DUMMYFUNCTION("""COMPUTED_VALUE"""),"MYNTRA")</f>
        <v>MYNTRA</v>
      </c>
      <c r="D6690" s="115">
        <f>IFERROR(__xludf.DUMMYFUNCTION("""COMPUTED_VALUE"""),26818.0)</f>
        <v>26818</v>
      </c>
      <c r="E6690" s="115">
        <f>IFERROR(__xludf.DUMMYFUNCTION("""COMPUTED_VALUE"""),6369.0)</f>
        <v>6369</v>
      </c>
      <c r="F6690" s="115">
        <f>IFERROR(__xludf.DUMMYFUNCTION("""COMPUTED_VALUE"""),21910.0)</f>
        <v>21910</v>
      </c>
      <c r="G6690" s="115">
        <f>IFERROR(__xludf.DUMMYFUNCTION("""COMPUTED_VALUE"""),4046.0)</f>
        <v>4046</v>
      </c>
      <c r="H6690" s="116">
        <f>IFERROR(__xludf.DUMMYFUNCTION("""COMPUTED_VALUE"""),45912.0)</f>
        <v>45912</v>
      </c>
      <c r="I6690" s="115" t="str">
        <f>IFERROR(__xludf.DUMMYFUNCTION("""COMPUTED_VALUE"""),"18")</f>
        <v>18</v>
      </c>
      <c r="J6690" s="115"/>
      <c r="K6690" s="115"/>
    </row>
    <row r="6691">
      <c r="A6691" s="115" t="str">
        <f>IFERROR(__xludf.DUMMYFUNCTION("""COMPUTED_VALUE"""),"SOUTH")</f>
        <v>SOUTH</v>
      </c>
      <c r="B6691" s="115" t="str">
        <f>IFERROR(__xludf.DUMMYFUNCTION("""COMPUTED_VALUE"""),"Kandula Sampath")</f>
        <v>Kandula Sampath</v>
      </c>
      <c r="C6691" s="115" t="str">
        <f>IFERROR(__xludf.DUMMYFUNCTION("""COMPUTED_VALUE"""),"EXTERNAL")</f>
        <v>EXTERNAL</v>
      </c>
      <c r="D6691" s="115">
        <f>IFERROR(__xludf.DUMMYFUNCTION("""COMPUTED_VALUE"""),35472.0)</f>
        <v>35472</v>
      </c>
      <c r="E6691" s="115">
        <f>IFERROR(__xludf.DUMMYFUNCTION("""COMPUTED_VALUE"""),4364.0)</f>
        <v>4364</v>
      </c>
      <c r="F6691" s="115">
        <f>IFERROR(__xludf.DUMMYFUNCTION("""COMPUTED_VALUE"""),15274.0)</f>
        <v>15274</v>
      </c>
      <c r="G6691" s="115">
        <f>IFERROR(__xludf.DUMMYFUNCTION("""COMPUTED_VALUE"""),1083.0)</f>
        <v>1083</v>
      </c>
      <c r="H6691" s="116">
        <f>IFERROR(__xludf.DUMMYFUNCTION("""COMPUTED_VALUE"""),45912.0)</f>
        <v>45912</v>
      </c>
      <c r="I6691" s="115" t="str">
        <f>IFERROR(__xludf.DUMMYFUNCTION("""COMPUTED_VALUE"""),"18")</f>
        <v>18</v>
      </c>
      <c r="J6691" s="115"/>
      <c r="K6691" s="115"/>
    </row>
    <row r="6692">
      <c r="A6692" s="115" t="str">
        <f>IFERROR(__xludf.DUMMYFUNCTION("""COMPUTED_VALUE"""),"SOUTH")</f>
        <v>SOUTH</v>
      </c>
      <c r="B6692" s="115" t="str">
        <f>IFERROR(__xludf.DUMMYFUNCTION("""COMPUTED_VALUE"""),"Kandula Sampath")</f>
        <v>Kandula Sampath</v>
      </c>
      <c r="C6692" s="115" t="str">
        <f>IFERROR(__xludf.DUMMYFUNCTION("""COMPUTED_VALUE"""),"FLIPKART")</f>
        <v>FLIPKART</v>
      </c>
      <c r="D6692" s="115">
        <f>IFERROR(__xludf.DUMMYFUNCTION("""COMPUTED_VALUE"""),390587.0)</f>
        <v>390587</v>
      </c>
      <c r="E6692" s="115">
        <f>IFERROR(__xludf.DUMMYFUNCTION("""COMPUTED_VALUE"""),31650.0)</f>
        <v>31650</v>
      </c>
      <c r="F6692" s="115">
        <f>IFERROR(__xludf.DUMMYFUNCTION("""COMPUTED_VALUE"""),274796.0)</f>
        <v>274796</v>
      </c>
      <c r="G6692" s="115">
        <f>IFERROR(__xludf.DUMMYFUNCTION("""COMPUTED_VALUE"""),13307.0)</f>
        <v>13307</v>
      </c>
      <c r="H6692" s="116">
        <f>IFERROR(__xludf.DUMMYFUNCTION("""COMPUTED_VALUE"""),45912.0)</f>
        <v>45912</v>
      </c>
      <c r="I6692" s="115" t="str">
        <f>IFERROR(__xludf.DUMMYFUNCTION("""COMPUTED_VALUE"""),"18")</f>
        <v>18</v>
      </c>
      <c r="J6692" s="115"/>
      <c r="K6692" s="115"/>
    </row>
    <row r="6693">
      <c r="A6693" s="115" t="str">
        <f>IFERROR(__xludf.DUMMYFUNCTION("""COMPUTED_VALUE"""),"SOUTH")</f>
        <v>SOUTH</v>
      </c>
      <c r="B6693" s="115" t="str">
        <f>IFERROR(__xludf.DUMMYFUNCTION("""COMPUTED_VALUE"""),"Kandula Sampath")</f>
        <v>Kandula Sampath</v>
      </c>
      <c r="C6693" s="115" t="str">
        <f>IFERROR(__xludf.DUMMYFUNCTION("""COMPUTED_VALUE"""),"MYNTRA")</f>
        <v>MYNTRA</v>
      </c>
      <c r="D6693" s="115">
        <f>IFERROR(__xludf.DUMMYFUNCTION("""COMPUTED_VALUE"""),41016.0)</f>
        <v>41016</v>
      </c>
      <c r="E6693" s="115">
        <f>IFERROR(__xludf.DUMMYFUNCTION("""COMPUTED_VALUE"""),8763.0)</f>
        <v>8763</v>
      </c>
      <c r="F6693" s="115">
        <f>IFERROR(__xludf.DUMMYFUNCTION("""COMPUTED_VALUE"""),31491.0)</f>
        <v>31491</v>
      </c>
      <c r="G6693" s="115">
        <f>IFERROR(__xludf.DUMMYFUNCTION("""COMPUTED_VALUE"""),3748.0)</f>
        <v>3748</v>
      </c>
      <c r="H6693" s="116">
        <f>IFERROR(__xludf.DUMMYFUNCTION("""COMPUTED_VALUE"""),45912.0)</f>
        <v>45912</v>
      </c>
      <c r="I6693" s="115" t="str">
        <f>IFERROR(__xludf.DUMMYFUNCTION("""COMPUTED_VALUE"""),"18")</f>
        <v>18</v>
      </c>
      <c r="J6693" s="115"/>
      <c r="K6693" s="115"/>
    </row>
    <row r="6694">
      <c r="A6694" s="115" t="str">
        <f>IFERROR(__xludf.DUMMYFUNCTION("""COMPUTED_VALUE"""),"SOUTH")</f>
        <v>SOUTH</v>
      </c>
      <c r="B6694" s="115" t="str">
        <f>IFERROR(__xludf.DUMMYFUNCTION("""COMPUTED_VALUE"""),"Martin A")</f>
        <v>Martin A</v>
      </c>
      <c r="C6694" s="115" t="str">
        <f>IFERROR(__xludf.DUMMYFUNCTION("""COMPUTED_VALUE"""),"EXTERNAL")</f>
        <v>EXTERNAL</v>
      </c>
      <c r="D6694" s="115">
        <f>IFERROR(__xludf.DUMMYFUNCTION("""COMPUTED_VALUE"""),32971.0)</f>
        <v>32971</v>
      </c>
      <c r="E6694" s="115">
        <f>IFERROR(__xludf.DUMMYFUNCTION("""COMPUTED_VALUE"""),3793.0)</f>
        <v>3793</v>
      </c>
      <c r="F6694" s="115">
        <f>IFERROR(__xludf.DUMMYFUNCTION("""COMPUTED_VALUE"""),13600.0)</f>
        <v>13600</v>
      </c>
      <c r="G6694" s="115">
        <f>IFERROR(__xludf.DUMMYFUNCTION("""COMPUTED_VALUE"""),1397.0)</f>
        <v>1397</v>
      </c>
      <c r="H6694" s="116">
        <f>IFERROR(__xludf.DUMMYFUNCTION("""COMPUTED_VALUE"""),45912.0)</f>
        <v>45912</v>
      </c>
      <c r="I6694" s="115" t="str">
        <f>IFERROR(__xludf.DUMMYFUNCTION("""COMPUTED_VALUE"""),"18")</f>
        <v>18</v>
      </c>
      <c r="J6694" s="115"/>
      <c r="K6694" s="115"/>
    </row>
    <row r="6695">
      <c r="A6695" s="115" t="str">
        <f>IFERROR(__xludf.DUMMYFUNCTION("""COMPUTED_VALUE"""),"SOUTH")</f>
        <v>SOUTH</v>
      </c>
      <c r="B6695" s="115" t="str">
        <f>IFERROR(__xludf.DUMMYFUNCTION("""COMPUTED_VALUE"""),"Martin A")</f>
        <v>Martin A</v>
      </c>
      <c r="C6695" s="115" t="str">
        <f>IFERROR(__xludf.DUMMYFUNCTION("""COMPUTED_VALUE"""),"FLIPKART")</f>
        <v>FLIPKART</v>
      </c>
      <c r="D6695" s="115">
        <f>IFERROR(__xludf.DUMMYFUNCTION("""COMPUTED_VALUE"""),335235.0)</f>
        <v>335235</v>
      </c>
      <c r="E6695" s="115">
        <f>IFERROR(__xludf.DUMMYFUNCTION("""COMPUTED_VALUE"""),26792.0)</f>
        <v>26792</v>
      </c>
      <c r="F6695" s="115">
        <f>IFERROR(__xludf.DUMMYFUNCTION("""COMPUTED_VALUE"""),228296.0)</f>
        <v>228296</v>
      </c>
      <c r="G6695" s="115">
        <f>IFERROR(__xludf.DUMMYFUNCTION("""COMPUTED_VALUE"""),12751.0)</f>
        <v>12751</v>
      </c>
      <c r="H6695" s="116">
        <f>IFERROR(__xludf.DUMMYFUNCTION("""COMPUTED_VALUE"""),45912.0)</f>
        <v>45912</v>
      </c>
      <c r="I6695" s="115" t="str">
        <f>IFERROR(__xludf.DUMMYFUNCTION("""COMPUTED_VALUE"""),"18")</f>
        <v>18</v>
      </c>
      <c r="J6695" s="115"/>
      <c r="K6695" s="115"/>
    </row>
    <row r="6696">
      <c r="A6696" s="115" t="str">
        <f>IFERROR(__xludf.DUMMYFUNCTION("""COMPUTED_VALUE"""),"SOUTH")</f>
        <v>SOUTH</v>
      </c>
      <c r="B6696" s="115" t="str">
        <f>IFERROR(__xludf.DUMMYFUNCTION("""COMPUTED_VALUE"""),"Martin A")</f>
        <v>Martin A</v>
      </c>
      <c r="C6696" s="115" t="str">
        <f>IFERROR(__xludf.DUMMYFUNCTION("""COMPUTED_VALUE"""),"MYNTRA")</f>
        <v>MYNTRA</v>
      </c>
      <c r="D6696" s="115">
        <f>IFERROR(__xludf.DUMMYFUNCTION("""COMPUTED_VALUE"""),31330.0)</f>
        <v>31330</v>
      </c>
      <c r="E6696" s="115">
        <f>IFERROR(__xludf.DUMMYFUNCTION("""COMPUTED_VALUE"""),6761.0)</f>
        <v>6761</v>
      </c>
      <c r="F6696" s="115">
        <f>IFERROR(__xludf.DUMMYFUNCTION("""COMPUTED_VALUE"""),23809.0)</f>
        <v>23809</v>
      </c>
      <c r="G6696" s="115">
        <f>IFERROR(__xludf.DUMMYFUNCTION("""COMPUTED_VALUE"""),3482.0)</f>
        <v>3482</v>
      </c>
      <c r="H6696" s="116">
        <f>IFERROR(__xludf.DUMMYFUNCTION("""COMPUTED_VALUE"""),45912.0)</f>
        <v>45912</v>
      </c>
      <c r="I6696" s="115" t="str">
        <f>IFERROR(__xludf.DUMMYFUNCTION("""COMPUTED_VALUE"""),"18")</f>
        <v>18</v>
      </c>
      <c r="J6696" s="115"/>
      <c r="K6696" s="115"/>
    </row>
    <row r="6697">
      <c r="A6697" s="115" t="str">
        <f>IFERROR(__xludf.DUMMYFUNCTION("""COMPUTED_VALUE"""),"SOUTH")</f>
        <v>SOUTH</v>
      </c>
      <c r="B6697" s="115" t="str">
        <f>IFERROR(__xludf.DUMMYFUNCTION("""COMPUTED_VALUE"""),"Premkumar M")</f>
        <v>Premkumar M</v>
      </c>
      <c r="C6697" s="115" t="str">
        <f>IFERROR(__xludf.DUMMYFUNCTION("""COMPUTED_VALUE"""),"EXTERNAL")</f>
        <v>EXTERNAL</v>
      </c>
      <c r="D6697" s="115">
        <f>IFERROR(__xludf.DUMMYFUNCTION("""COMPUTED_VALUE"""),29959.0)</f>
        <v>29959</v>
      </c>
      <c r="E6697" s="115">
        <f>IFERROR(__xludf.DUMMYFUNCTION("""COMPUTED_VALUE"""),2156.0)</f>
        <v>2156</v>
      </c>
      <c r="F6697" s="115">
        <f>IFERROR(__xludf.DUMMYFUNCTION("""COMPUTED_VALUE"""),13381.0)</f>
        <v>13381</v>
      </c>
      <c r="G6697" s="115">
        <f>IFERROR(__xludf.DUMMYFUNCTION("""COMPUTED_VALUE"""),349.0)</f>
        <v>349</v>
      </c>
      <c r="H6697" s="116">
        <f>IFERROR(__xludf.DUMMYFUNCTION("""COMPUTED_VALUE"""),45912.0)</f>
        <v>45912</v>
      </c>
      <c r="I6697" s="115" t="str">
        <f>IFERROR(__xludf.DUMMYFUNCTION("""COMPUTED_VALUE"""),"18")</f>
        <v>18</v>
      </c>
      <c r="J6697" s="115"/>
      <c r="K6697" s="115"/>
    </row>
    <row r="6698">
      <c r="A6698" s="115" t="str">
        <f>IFERROR(__xludf.DUMMYFUNCTION("""COMPUTED_VALUE"""),"SOUTH")</f>
        <v>SOUTH</v>
      </c>
      <c r="B6698" s="115" t="str">
        <f>IFERROR(__xludf.DUMMYFUNCTION("""COMPUTED_VALUE"""),"Premkumar M")</f>
        <v>Premkumar M</v>
      </c>
      <c r="C6698" s="115" t="str">
        <f>IFERROR(__xludf.DUMMYFUNCTION("""COMPUTED_VALUE"""),"FLIPKART")</f>
        <v>FLIPKART</v>
      </c>
      <c r="D6698" s="115">
        <f>IFERROR(__xludf.DUMMYFUNCTION("""COMPUTED_VALUE"""),318903.0)</f>
        <v>318903</v>
      </c>
      <c r="E6698" s="115">
        <f>IFERROR(__xludf.DUMMYFUNCTION("""COMPUTED_VALUE"""),18464.0)</f>
        <v>18464</v>
      </c>
      <c r="F6698" s="115">
        <f>IFERROR(__xludf.DUMMYFUNCTION("""COMPUTED_VALUE"""),213003.0)</f>
        <v>213003</v>
      </c>
      <c r="G6698" s="115">
        <f>IFERROR(__xludf.DUMMYFUNCTION("""COMPUTED_VALUE"""),5085.0)</f>
        <v>5085</v>
      </c>
      <c r="H6698" s="116">
        <f>IFERROR(__xludf.DUMMYFUNCTION("""COMPUTED_VALUE"""),45912.0)</f>
        <v>45912</v>
      </c>
      <c r="I6698" s="115" t="str">
        <f>IFERROR(__xludf.DUMMYFUNCTION("""COMPUTED_VALUE"""),"18")</f>
        <v>18</v>
      </c>
      <c r="J6698" s="115"/>
      <c r="K6698" s="115"/>
    </row>
    <row r="6699">
      <c r="A6699" s="115" t="str">
        <f>IFERROR(__xludf.DUMMYFUNCTION("""COMPUTED_VALUE"""),"SOUTH")</f>
        <v>SOUTH</v>
      </c>
      <c r="B6699" s="115" t="str">
        <f>IFERROR(__xludf.DUMMYFUNCTION("""COMPUTED_VALUE"""),"Premkumar M")</f>
        <v>Premkumar M</v>
      </c>
      <c r="C6699" s="115" t="str">
        <f>IFERROR(__xludf.DUMMYFUNCTION("""COMPUTED_VALUE"""),"MYNTRA")</f>
        <v>MYNTRA</v>
      </c>
      <c r="D6699" s="115">
        <f>IFERROR(__xludf.DUMMYFUNCTION("""COMPUTED_VALUE"""),16175.0)</f>
        <v>16175</v>
      </c>
      <c r="E6699" s="115">
        <f>IFERROR(__xludf.DUMMYFUNCTION("""COMPUTED_VALUE"""),2778.0)</f>
        <v>2778</v>
      </c>
      <c r="F6699" s="115">
        <f>IFERROR(__xludf.DUMMYFUNCTION("""COMPUTED_VALUE"""),12167.0)</f>
        <v>12167</v>
      </c>
      <c r="G6699" s="115">
        <f>IFERROR(__xludf.DUMMYFUNCTION("""COMPUTED_VALUE"""),875.0)</f>
        <v>875</v>
      </c>
      <c r="H6699" s="116">
        <f>IFERROR(__xludf.DUMMYFUNCTION("""COMPUTED_VALUE"""),45912.0)</f>
        <v>45912</v>
      </c>
      <c r="I6699" s="115" t="str">
        <f>IFERROR(__xludf.DUMMYFUNCTION("""COMPUTED_VALUE"""),"18")</f>
        <v>18</v>
      </c>
      <c r="J6699" s="115"/>
      <c r="K6699" s="115"/>
    </row>
    <row r="6700">
      <c r="A6700" s="115" t="str">
        <f>IFERROR(__xludf.DUMMYFUNCTION("""COMPUTED_VALUE"""),"SOUTH")</f>
        <v>SOUTH</v>
      </c>
      <c r="B6700" s="115" t="str">
        <f>IFERROR(__xludf.DUMMYFUNCTION("""COMPUTED_VALUE"""),"Vineeth V")</f>
        <v>Vineeth V</v>
      </c>
      <c r="C6700" s="115" t="str">
        <f>IFERROR(__xludf.DUMMYFUNCTION("""COMPUTED_VALUE"""),"EXTERNAL")</f>
        <v>EXTERNAL</v>
      </c>
      <c r="D6700" s="115">
        <f>IFERROR(__xludf.DUMMYFUNCTION("""COMPUTED_VALUE"""),21273.0)</f>
        <v>21273</v>
      </c>
      <c r="E6700" s="115">
        <f>IFERROR(__xludf.DUMMYFUNCTION("""COMPUTED_VALUE"""),561.0)</f>
        <v>561</v>
      </c>
      <c r="F6700" s="115">
        <f>IFERROR(__xludf.DUMMYFUNCTION("""COMPUTED_VALUE"""),10737.0)</f>
        <v>10737</v>
      </c>
      <c r="G6700" s="115">
        <f>IFERROR(__xludf.DUMMYFUNCTION("""COMPUTED_VALUE"""),207.0)</f>
        <v>207</v>
      </c>
      <c r="H6700" s="116">
        <f>IFERROR(__xludf.DUMMYFUNCTION("""COMPUTED_VALUE"""),45912.0)</f>
        <v>45912</v>
      </c>
      <c r="I6700" s="115" t="str">
        <f>IFERROR(__xludf.DUMMYFUNCTION("""COMPUTED_VALUE"""),"18")</f>
        <v>18</v>
      </c>
      <c r="J6700" s="115"/>
      <c r="K6700" s="115"/>
    </row>
    <row r="6701">
      <c r="A6701" s="115" t="str">
        <f>IFERROR(__xludf.DUMMYFUNCTION("""COMPUTED_VALUE"""),"SOUTH")</f>
        <v>SOUTH</v>
      </c>
      <c r="B6701" s="115" t="str">
        <f>IFERROR(__xludf.DUMMYFUNCTION("""COMPUTED_VALUE"""),"Vineeth V")</f>
        <v>Vineeth V</v>
      </c>
      <c r="C6701" s="115" t="str">
        <f>IFERROR(__xludf.DUMMYFUNCTION("""COMPUTED_VALUE"""),"FLIPKART")</f>
        <v>FLIPKART</v>
      </c>
      <c r="D6701" s="115">
        <f>IFERROR(__xludf.DUMMYFUNCTION("""COMPUTED_VALUE"""),222693.0)</f>
        <v>222693</v>
      </c>
      <c r="E6701" s="115">
        <f>IFERROR(__xludf.DUMMYFUNCTION("""COMPUTED_VALUE"""),13379.0)</f>
        <v>13379</v>
      </c>
      <c r="F6701" s="115">
        <f>IFERROR(__xludf.DUMMYFUNCTION("""COMPUTED_VALUE"""),172845.0)</f>
        <v>172845</v>
      </c>
      <c r="G6701" s="115">
        <f>IFERROR(__xludf.DUMMYFUNCTION("""COMPUTED_VALUE"""),5173.0)</f>
        <v>5173</v>
      </c>
      <c r="H6701" s="116">
        <f>IFERROR(__xludf.DUMMYFUNCTION("""COMPUTED_VALUE"""),45912.0)</f>
        <v>45912</v>
      </c>
      <c r="I6701" s="115" t="str">
        <f>IFERROR(__xludf.DUMMYFUNCTION("""COMPUTED_VALUE"""),"18")</f>
        <v>18</v>
      </c>
      <c r="J6701" s="115"/>
      <c r="K6701" s="115"/>
    </row>
    <row r="6702">
      <c r="A6702" s="115" t="str">
        <f>IFERROR(__xludf.DUMMYFUNCTION("""COMPUTED_VALUE"""),"SOUTH")</f>
        <v>SOUTH</v>
      </c>
      <c r="B6702" s="115" t="str">
        <f>IFERROR(__xludf.DUMMYFUNCTION("""COMPUTED_VALUE"""),"Vineeth V")</f>
        <v>Vineeth V</v>
      </c>
      <c r="C6702" s="115" t="str">
        <f>IFERROR(__xludf.DUMMYFUNCTION("""COMPUTED_VALUE"""),"MYNTRA")</f>
        <v>MYNTRA</v>
      </c>
      <c r="D6702" s="115">
        <f>IFERROR(__xludf.DUMMYFUNCTION("""COMPUTED_VALUE"""),17022.0)</f>
        <v>17022</v>
      </c>
      <c r="E6702" s="115">
        <f>IFERROR(__xludf.DUMMYFUNCTION("""COMPUTED_VALUE"""),3252.0)</f>
        <v>3252</v>
      </c>
      <c r="F6702" s="115">
        <f>IFERROR(__xludf.DUMMYFUNCTION("""COMPUTED_VALUE"""),14009.0)</f>
        <v>14009</v>
      </c>
      <c r="G6702" s="115">
        <f>IFERROR(__xludf.DUMMYFUNCTION("""COMPUTED_VALUE"""),1399.0)</f>
        <v>1399</v>
      </c>
      <c r="H6702" s="116">
        <f>IFERROR(__xludf.DUMMYFUNCTION("""COMPUTED_VALUE"""),45912.0)</f>
        <v>45912</v>
      </c>
      <c r="I6702" s="115" t="str">
        <f>IFERROR(__xludf.DUMMYFUNCTION("""COMPUTED_VALUE"""),"18")</f>
        <v>18</v>
      </c>
      <c r="J6702" s="115"/>
      <c r="K6702" s="115"/>
    </row>
    <row r="6703">
      <c r="A6703" s="115" t="str">
        <f>IFERROR(__xludf.DUMMYFUNCTION("""COMPUTED_VALUE"""),"WEST")</f>
        <v>WEST</v>
      </c>
      <c r="B6703" s="115" t="str">
        <f>IFERROR(__xludf.DUMMYFUNCTION("""COMPUTED_VALUE"""),"Ashish Jakar")</f>
        <v>Ashish Jakar</v>
      </c>
      <c r="C6703" s="115" t="str">
        <f>IFERROR(__xludf.DUMMYFUNCTION("""COMPUTED_VALUE"""),"EXTERNAL")</f>
        <v>EXTERNAL</v>
      </c>
      <c r="D6703" s="115">
        <f>IFERROR(__xludf.DUMMYFUNCTION("""COMPUTED_VALUE"""),62335.0)</f>
        <v>62335</v>
      </c>
      <c r="E6703" s="115">
        <f>IFERROR(__xludf.DUMMYFUNCTION("""COMPUTED_VALUE"""),6261.0)</f>
        <v>6261</v>
      </c>
      <c r="F6703" s="115">
        <f>IFERROR(__xludf.DUMMYFUNCTION("""COMPUTED_VALUE"""),24470.0)</f>
        <v>24470</v>
      </c>
      <c r="G6703" s="115">
        <f>IFERROR(__xludf.DUMMYFUNCTION("""COMPUTED_VALUE"""),2043.0)</f>
        <v>2043</v>
      </c>
      <c r="H6703" s="116">
        <f>IFERROR(__xludf.DUMMYFUNCTION("""COMPUTED_VALUE"""),45912.0)</f>
        <v>45912</v>
      </c>
      <c r="I6703" s="115" t="str">
        <f>IFERROR(__xludf.DUMMYFUNCTION("""COMPUTED_VALUE"""),"18")</f>
        <v>18</v>
      </c>
      <c r="J6703" s="115"/>
      <c r="K6703" s="115"/>
    </row>
    <row r="6704">
      <c r="A6704" s="115" t="str">
        <f>IFERROR(__xludf.DUMMYFUNCTION("""COMPUTED_VALUE"""),"WEST")</f>
        <v>WEST</v>
      </c>
      <c r="B6704" s="115" t="str">
        <f>IFERROR(__xludf.DUMMYFUNCTION("""COMPUTED_VALUE"""),"Ashish Jakar")</f>
        <v>Ashish Jakar</v>
      </c>
      <c r="C6704" s="115" t="str">
        <f>IFERROR(__xludf.DUMMYFUNCTION("""COMPUTED_VALUE"""),"FLIPKART")</f>
        <v>FLIPKART</v>
      </c>
      <c r="D6704" s="115">
        <f>IFERROR(__xludf.DUMMYFUNCTION("""COMPUTED_VALUE"""),456854.0)</f>
        <v>456854</v>
      </c>
      <c r="E6704" s="115">
        <f>IFERROR(__xludf.DUMMYFUNCTION("""COMPUTED_VALUE"""),34979.0)</f>
        <v>34979</v>
      </c>
      <c r="F6704" s="115">
        <f>IFERROR(__xludf.DUMMYFUNCTION("""COMPUTED_VALUE"""),303385.0)</f>
        <v>303385</v>
      </c>
      <c r="G6704" s="115">
        <f>IFERROR(__xludf.DUMMYFUNCTION("""COMPUTED_VALUE"""),15747.0)</f>
        <v>15747</v>
      </c>
      <c r="H6704" s="116">
        <f>IFERROR(__xludf.DUMMYFUNCTION("""COMPUTED_VALUE"""),45912.0)</f>
        <v>45912</v>
      </c>
      <c r="I6704" s="115" t="str">
        <f>IFERROR(__xludf.DUMMYFUNCTION("""COMPUTED_VALUE"""),"18")</f>
        <v>18</v>
      </c>
      <c r="J6704" s="115"/>
      <c r="K6704" s="115"/>
    </row>
    <row r="6705">
      <c r="A6705" s="115" t="str">
        <f>IFERROR(__xludf.DUMMYFUNCTION("""COMPUTED_VALUE"""),"WEST")</f>
        <v>WEST</v>
      </c>
      <c r="B6705" s="115" t="str">
        <f>IFERROR(__xludf.DUMMYFUNCTION("""COMPUTED_VALUE"""),"Ashish Jakar")</f>
        <v>Ashish Jakar</v>
      </c>
      <c r="C6705" s="115" t="str">
        <f>IFERROR(__xludf.DUMMYFUNCTION("""COMPUTED_VALUE"""),"MYNTRA")</f>
        <v>MYNTRA</v>
      </c>
      <c r="D6705" s="115">
        <f>IFERROR(__xludf.DUMMYFUNCTION("""COMPUTED_VALUE"""),49844.0)</f>
        <v>49844</v>
      </c>
      <c r="E6705" s="115">
        <f>IFERROR(__xludf.DUMMYFUNCTION("""COMPUTED_VALUE"""),11771.0)</f>
        <v>11771</v>
      </c>
      <c r="F6705" s="115">
        <f>IFERROR(__xludf.DUMMYFUNCTION("""COMPUTED_VALUE"""),37599.0)</f>
        <v>37599</v>
      </c>
      <c r="G6705" s="115">
        <f>IFERROR(__xludf.DUMMYFUNCTION("""COMPUTED_VALUE"""),5941.0)</f>
        <v>5941</v>
      </c>
      <c r="H6705" s="116">
        <f>IFERROR(__xludf.DUMMYFUNCTION("""COMPUTED_VALUE"""),45912.0)</f>
        <v>45912</v>
      </c>
      <c r="I6705" s="115" t="str">
        <f>IFERROR(__xludf.DUMMYFUNCTION("""COMPUTED_VALUE"""),"18")</f>
        <v>18</v>
      </c>
      <c r="J6705" s="115"/>
      <c r="K6705" s="115"/>
    </row>
    <row r="6706">
      <c r="A6706" s="115" t="str">
        <f>IFERROR(__xludf.DUMMYFUNCTION("""COMPUTED_VALUE"""),"WEST")</f>
        <v>WEST</v>
      </c>
      <c r="B6706" s="115" t="str">
        <f>IFERROR(__xludf.DUMMYFUNCTION("""COMPUTED_VALUE"""),"Ashvani Bhatt")</f>
        <v>Ashvani Bhatt</v>
      </c>
      <c r="C6706" s="115" t="str">
        <f>IFERROR(__xludf.DUMMYFUNCTION("""COMPUTED_VALUE"""),"EXTERNAL")</f>
        <v>EXTERNAL</v>
      </c>
      <c r="D6706" s="115">
        <f>IFERROR(__xludf.DUMMYFUNCTION("""COMPUTED_VALUE"""),39883.0)</f>
        <v>39883</v>
      </c>
      <c r="E6706" s="115">
        <f>IFERROR(__xludf.DUMMYFUNCTION("""COMPUTED_VALUE"""),3126.0)</f>
        <v>3126</v>
      </c>
      <c r="F6706" s="115">
        <f>IFERROR(__xludf.DUMMYFUNCTION("""COMPUTED_VALUE"""),16422.0)</f>
        <v>16422</v>
      </c>
      <c r="G6706" s="115">
        <f>IFERROR(__xludf.DUMMYFUNCTION("""COMPUTED_VALUE"""),1013.0)</f>
        <v>1013</v>
      </c>
      <c r="H6706" s="116">
        <f>IFERROR(__xludf.DUMMYFUNCTION("""COMPUTED_VALUE"""),45912.0)</f>
        <v>45912</v>
      </c>
      <c r="I6706" s="115" t="str">
        <f>IFERROR(__xludf.DUMMYFUNCTION("""COMPUTED_VALUE"""),"18")</f>
        <v>18</v>
      </c>
      <c r="J6706" s="115"/>
      <c r="K6706" s="115"/>
    </row>
    <row r="6707">
      <c r="A6707" s="115" t="str">
        <f>IFERROR(__xludf.DUMMYFUNCTION("""COMPUTED_VALUE"""),"WEST")</f>
        <v>WEST</v>
      </c>
      <c r="B6707" s="115" t="str">
        <f>IFERROR(__xludf.DUMMYFUNCTION("""COMPUTED_VALUE"""),"Ashvani Bhatt")</f>
        <v>Ashvani Bhatt</v>
      </c>
      <c r="C6707" s="115" t="str">
        <f>IFERROR(__xludf.DUMMYFUNCTION("""COMPUTED_VALUE"""),"FLIPKART")</f>
        <v>FLIPKART</v>
      </c>
      <c r="D6707" s="115">
        <f>IFERROR(__xludf.DUMMYFUNCTION("""COMPUTED_VALUE"""),344862.0)</f>
        <v>344862</v>
      </c>
      <c r="E6707" s="115">
        <f>IFERROR(__xludf.DUMMYFUNCTION("""COMPUTED_VALUE"""),29207.0)</f>
        <v>29207</v>
      </c>
      <c r="F6707" s="115">
        <f>IFERROR(__xludf.DUMMYFUNCTION("""COMPUTED_VALUE"""),252320.0)</f>
        <v>252320</v>
      </c>
      <c r="G6707" s="115">
        <f>IFERROR(__xludf.DUMMYFUNCTION("""COMPUTED_VALUE"""),14199.0)</f>
        <v>14199</v>
      </c>
      <c r="H6707" s="116">
        <f>IFERROR(__xludf.DUMMYFUNCTION("""COMPUTED_VALUE"""),45912.0)</f>
        <v>45912</v>
      </c>
      <c r="I6707" s="115" t="str">
        <f>IFERROR(__xludf.DUMMYFUNCTION("""COMPUTED_VALUE"""),"18")</f>
        <v>18</v>
      </c>
      <c r="J6707" s="115"/>
      <c r="K6707" s="115"/>
    </row>
    <row r="6708">
      <c r="A6708" s="115" t="str">
        <f>IFERROR(__xludf.DUMMYFUNCTION("""COMPUTED_VALUE"""),"WEST")</f>
        <v>WEST</v>
      </c>
      <c r="B6708" s="115" t="str">
        <f>IFERROR(__xludf.DUMMYFUNCTION("""COMPUTED_VALUE"""),"Ashvani Bhatt")</f>
        <v>Ashvani Bhatt</v>
      </c>
      <c r="C6708" s="115" t="str">
        <f>IFERROR(__xludf.DUMMYFUNCTION("""COMPUTED_VALUE"""),"MYNTRA")</f>
        <v>MYNTRA</v>
      </c>
      <c r="D6708" s="115">
        <f>IFERROR(__xludf.DUMMYFUNCTION("""COMPUTED_VALUE"""),36580.0)</f>
        <v>36580</v>
      </c>
      <c r="E6708" s="115">
        <f>IFERROR(__xludf.DUMMYFUNCTION("""COMPUTED_VALUE"""),9061.0)</f>
        <v>9061</v>
      </c>
      <c r="F6708" s="115">
        <f>IFERROR(__xludf.DUMMYFUNCTION("""COMPUTED_VALUE"""),29637.0)</f>
        <v>29637</v>
      </c>
      <c r="G6708" s="115">
        <f>IFERROR(__xludf.DUMMYFUNCTION("""COMPUTED_VALUE"""),5046.0)</f>
        <v>5046</v>
      </c>
      <c r="H6708" s="116">
        <f>IFERROR(__xludf.DUMMYFUNCTION("""COMPUTED_VALUE"""),45912.0)</f>
        <v>45912</v>
      </c>
      <c r="I6708" s="115" t="str">
        <f>IFERROR(__xludf.DUMMYFUNCTION("""COMPUTED_VALUE"""),"18")</f>
        <v>18</v>
      </c>
      <c r="J6708" s="115"/>
      <c r="K6708" s="115"/>
    </row>
    <row r="6709">
      <c r="A6709" s="115"/>
      <c r="B6709" s="115"/>
      <c r="C6709" s="115" t="str">
        <f>IFERROR(__xludf.DUMMYFUNCTION("""COMPUTED_VALUE"""),"EXTERNAL")</f>
        <v>EXTERNAL</v>
      </c>
      <c r="D6709" s="115">
        <f>IFERROR(__xludf.DUMMYFUNCTION("""COMPUTED_VALUE"""),1413.0)</f>
        <v>1413</v>
      </c>
      <c r="E6709" s="115">
        <f>IFERROR(__xludf.DUMMYFUNCTION("""COMPUTED_VALUE"""),239.0)</f>
        <v>239</v>
      </c>
      <c r="F6709" s="115">
        <f>IFERROR(__xludf.DUMMYFUNCTION("""COMPUTED_VALUE"""),617.0)</f>
        <v>617</v>
      </c>
      <c r="G6709" s="115">
        <f>IFERROR(__xludf.DUMMYFUNCTION("""COMPUTED_VALUE"""),130.0)</f>
        <v>130</v>
      </c>
      <c r="H6709" s="116">
        <f>IFERROR(__xludf.DUMMYFUNCTION("""COMPUTED_VALUE"""),45912.0)</f>
        <v>45912</v>
      </c>
      <c r="I6709" s="115" t="str">
        <f>IFERROR(__xludf.DUMMYFUNCTION("""COMPUTED_VALUE"""),"18")</f>
        <v>18</v>
      </c>
      <c r="J6709" s="115"/>
      <c r="K6709" s="115"/>
    </row>
    <row r="6710">
      <c r="A6710" s="115"/>
      <c r="B6710" s="115"/>
      <c r="C6710" s="115" t="str">
        <f>IFERROR(__xludf.DUMMYFUNCTION("""COMPUTED_VALUE"""),"FLIPKART")</f>
        <v>FLIPKART</v>
      </c>
      <c r="D6710" s="115">
        <f>IFERROR(__xludf.DUMMYFUNCTION("""COMPUTED_VALUE"""),16074.0)</f>
        <v>16074</v>
      </c>
      <c r="E6710" s="115">
        <f>IFERROR(__xludf.DUMMYFUNCTION("""COMPUTED_VALUE"""),1373.0)</f>
        <v>1373</v>
      </c>
      <c r="F6710" s="115">
        <f>IFERROR(__xludf.DUMMYFUNCTION("""COMPUTED_VALUE"""),10739.0)</f>
        <v>10739</v>
      </c>
      <c r="G6710" s="115">
        <f>IFERROR(__xludf.DUMMYFUNCTION("""COMPUTED_VALUE"""),737.0)</f>
        <v>737</v>
      </c>
      <c r="H6710" s="116">
        <f>IFERROR(__xludf.DUMMYFUNCTION("""COMPUTED_VALUE"""),45912.0)</f>
        <v>45912</v>
      </c>
      <c r="I6710" s="115" t="str">
        <f>IFERROR(__xludf.DUMMYFUNCTION("""COMPUTED_VALUE"""),"18")</f>
        <v>18</v>
      </c>
      <c r="J6710" s="115"/>
      <c r="K6710" s="115"/>
    </row>
    <row r="6711">
      <c r="A6711" s="115"/>
      <c r="B6711" s="115"/>
      <c r="C6711" s="115" t="str">
        <f>IFERROR(__xludf.DUMMYFUNCTION("""COMPUTED_VALUE"""),"MYNTRA")</f>
        <v>MYNTRA</v>
      </c>
      <c r="D6711" s="115">
        <f>IFERROR(__xludf.DUMMYFUNCTION("""COMPUTED_VALUE"""),1800.0)</f>
        <v>1800</v>
      </c>
      <c r="E6711" s="115">
        <f>IFERROR(__xludf.DUMMYFUNCTION("""COMPUTED_VALUE"""),413.0)</f>
        <v>413</v>
      </c>
      <c r="F6711" s="115">
        <f>IFERROR(__xludf.DUMMYFUNCTION("""COMPUTED_VALUE"""),1402.0)</f>
        <v>1402</v>
      </c>
      <c r="G6711" s="115">
        <f>IFERROR(__xludf.DUMMYFUNCTION("""COMPUTED_VALUE"""),263.0)</f>
        <v>263</v>
      </c>
      <c r="H6711" s="116">
        <f>IFERROR(__xludf.DUMMYFUNCTION("""COMPUTED_VALUE"""),45912.0)</f>
        <v>45912</v>
      </c>
      <c r="I6711" s="115" t="str">
        <f>IFERROR(__xludf.DUMMYFUNCTION("""COMPUTED_VALUE"""),"18")</f>
        <v>18</v>
      </c>
      <c r="J6711" s="115"/>
      <c r="K6711" s="115"/>
    </row>
    <row r="6712">
      <c r="A6712" s="115" t="str">
        <f>IFERROR(__xludf.DUMMYFUNCTION("""COMPUTED_VALUE"""),"EAST")</f>
        <v>EAST</v>
      </c>
      <c r="B6712" s="115" t="str">
        <f>IFERROR(__xludf.DUMMYFUNCTION("""COMPUTED_VALUE"""),"Ashish Ranjan")</f>
        <v>Ashish Ranjan</v>
      </c>
      <c r="C6712" s="115" t="str">
        <f>IFERROR(__xludf.DUMMYFUNCTION("""COMPUTED_VALUE"""),"EXTERNAL")</f>
        <v>EXTERNAL</v>
      </c>
      <c r="D6712" s="115">
        <f>IFERROR(__xludf.DUMMYFUNCTION("""COMPUTED_VALUE"""),43845.0)</f>
        <v>43845</v>
      </c>
      <c r="E6712" s="115">
        <f>IFERROR(__xludf.DUMMYFUNCTION("""COMPUTED_VALUE"""),3313.0)</f>
        <v>3313</v>
      </c>
      <c r="F6712" s="115">
        <f>IFERROR(__xludf.DUMMYFUNCTION("""COMPUTED_VALUE"""),23923.0)</f>
        <v>23923</v>
      </c>
      <c r="G6712" s="115">
        <f>IFERROR(__xludf.DUMMYFUNCTION("""COMPUTED_VALUE"""),1501.0)</f>
        <v>1501</v>
      </c>
      <c r="H6712" s="116">
        <f>IFERROR(__xludf.DUMMYFUNCTION("""COMPUTED_VALUE"""),45912.0)</f>
        <v>45912</v>
      </c>
      <c r="I6712" s="115" t="str">
        <f>IFERROR(__xludf.DUMMYFUNCTION("""COMPUTED_VALUE"""),"19")</f>
        <v>19</v>
      </c>
      <c r="J6712" s="115"/>
      <c r="K6712" s="115"/>
    </row>
    <row r="6713">
      <c r="A6713" s="115" t="str">
        <f>IFERROR(__xludf.DUMMYFUNCTION("""COMPUTED_VALUE"""),"EAST")</f>
        <v>EAST</v>
      </c>
      <c r="B6713" s="115" t="str">
        <f>IFERROR(__xludf.DUMMYFUNCTION("""COMPUTED_VALUE"""),"Ashish Ranjan")</f>
        <v>Ashish Ranjan</v>
      </c>
      <c r="C6713" s="115" t="str">
        <f>IFERROR(__xludf.DUMMYFUNCTION("""COMPUTED_VALUE"""),"FLIPKART")</f>
        <v>FLIPKART</v>
      </c>
      <c r="D6713" s="115">
        <f>IFERROR(__xludf.DUMMYFUNCTION("""COMPUTED_VALUE"""),803161.0)</f>
        <v>803161</v>
      </c>
      <c r="E6713" s="115">
        <f>IFERROR(__xludf.DUMMYFUNCTION("""COMPUTED_VALUE"""),66389.0)</f>
        <v>66389</v>
      </c>
      <c r="F6713" s="115">
        <f>IFERROR(__xludf.DUMMYFUNCTION("""COMPUTED_VALUE"""),677631.0)</f>
        <v>677631</v>
      </c>
      <c r="G6713" s="115">
        <f>IFERROR(__xludf.DUMMYFUNCTION("""COMPUTED_VALUE"""),43901.0)</f>
        <v>43901</v>
      </c>
      <c r="H6713" s="116">
        <f>IFERROR(__xludf.DUMMYFUNCTION("""COMPUTED_VALUE"""),45912.0)</f>
        <v>45912</v>
      </c>
      <c r="I6713" s="115" t="str">
        <f>IFERROR(__xludf.DUMMYFUNCTION("""COMPUTED_VALUE"""),"19")</f>
        <v>19</v>
      </c>
      <c r="J6713" s="115"/>
      <c r="K6713" s="115"/>
    </row>
    <row r="6714">
      <c r="A6714" s="115" t="str">
        <f>IFERROR(__xludf.DUMMYFUNCTION("""COMPUTED_VALUE"""),"EAST")</f>
        <v>EAST</v>
      </c>
      <c r="B6714" s="115" t="str">
        <f>IFERROR(__xludf.DUMMYFUNCTION("""COMPUTED_VALUE"""),"Ashish Ranjan")</f>
        <v>Ashish Ranjan</v>
      </c>
      <c r="C6714" s="115" t="str">
        <f>IFERROR(__xludf.DUMMYFUNCTION("""COMPUTED_VALUE"""),"MYNTRA")</f>
        <v>MYNTRA</v>
      </c>
      <c r="D6714" s="115">
        <f>IFERROR(__xludf.DUMMYFUNCTION("""COMPUTED_VALUE"""),84240.0)</f>
        <v>84240</v>
      </c>
      <c r="E6714" s="115">
        <f>IFERROR(__xludf.DUMMYFUNCTION("""COMPUTED_VALUE"""),15981.0)</f>
        <v>15981</v>
      </c>
      <c r="F6714" s="115">
        <f>IFERROR(__xludf.DUMMYFUNCTION("""COMPUTED_VALUE"""),71382.0)</f>
        <v>71382</v>
      </c>
      <c r="G6714" s="115">
        <f>IFERROR(__xludf.DUMMYFUNCTION("""COMPUTED_VALUE"""),10417.0)</f>
        <v>10417</v>
      </c>
      <c r="H6714" s="116">
        <f>IFERROR(__xludf.DUMMYFUNCTION("""COMPUTED_VALUE"""),45912.0)</f>
        <v>45912</v>
      </c>
      <c r="I6714" s="115" t="str">
        <f>IFERROR(__xludf.DUMMYFUNCTION("""COMPUTED_VALUE"""),"19")</f>
        <v>19</v>
      </c>
      <c r="J6714" s="115"/>
      <c r="K6714" s="115"/>
    </row>
    <row r="6715">
      <c r="A6715" s="115" t="str">
        <f>IFERROR(__xludf.DUMMYFUNCTION("""COMPUTED_VALUE"""),"EAST")</f>
        <v>EAST</v>
      </c>
      <c r="B6715" s="115" t="str">
        <f>IFERROR(__xludf.DUMMYFUNCTION("""COMPUTED_VALUE"""),"Girish Chand")</f>
        <v>Girish Chand</v>
      </c>
      <c r="C6715" s="115" t="str">
        <f>IFERROR(__xludf.DUMMYFUNCTION("""COMPUTED_VALUE"""),"EXTERNAL")</f>
        <v>EXTERNAL</v>
      </c>
      <c r="D6715" s="115">
        <f>IFERROR(__xludf.DUMMYFUNCTION("""COMPUTED_VALUE"""),23599.0)</f>
        <v>23599</v>
      </c>
      <c r="E6715" s="115">
        <f>IFERROR(__xludf.DUMMYFUNCTION("""COMPUTED_VALUE"""),2110.0)</f>
        <v>2110</v>
      </c>
      <c r="F6715" s="115">
        <f>IFERROR(__xludf.DUMMYFUNCTION("""COMPUTED_VALUE"""),10692.0)</f>
        <v>10692</v>
      </c>
      <c r="G6715" s="115">
        <f>IFERROR(__xludf.DUMMYFUNCTION("""COMPUTED_VALUE"""),608.0)</f>
        <v>608</v>
      </c>
      <c r="H6715" s="116">
        <f>IFERROR(__xludf.DUMMYFUNCTION("""COMPUTED_VALUE"""),45912.0)</f>
        <v>45912</v>
      </c>
      <c r="I6715" s="115" t="str">
        <f>IFERROR(__xludf.DUMMYFUNCTION("""COMPUTED_VALUE"""),"19")</f>
        <v>19</v>
      </c>
      <c r="J6715" s="115"/>
      <c r="K6715" s="115"/>
    </row>
    <row r="6716">
      <c r="A6716" s="115" t="str">
        <f>IFERROR(__xludf.DUMMYFUNCTION("""COMPUTED_VALUE"""),"EAST")</f>
        <v>EAST</v>
      </c>
      <c r="B6716" s="115" t="str">
        <f>IFERROR(__xludf.DUMMYFUNCTION("""COMPUTED_VALUE"""),"Girish Chand")</f>
        <v>Girish Chand</v>
      </c>
      <c r="C6716" s="115" t="str">
        <f>IFERROR(__xludf.DUMMYFUNCTION("""COMPUTED_VALUE"""),"FLIPKART")</f>
        <v>FLIPKART</v>
      </c>
      <c r="D6716" s="115">
        <f>IFERROR(__xludf.DUMMYFUNCTION("""COMPUTED_VALUE"""),481820.0)</f>
        <v>481820</v>
      </c>
      <c r="E6716" s="115">
        <f>IFERROR(__xludf.DUMMYFUNCTION("""COMPUTED_VALUE"""),37756.0)</f>
        <v>37756</v>
      </c>
      <c r="F6716" s="115">
        <f>IFERROR(__xludf.DUMMYFUNCTION("""COMPUTED_VALUE"""),360842.0)</f>
        <v>360842</v>
      </c>
      <c r="G6716" s="115">
        <f>IFERROR(__xludf.DUMMYFUNCTION("""COMPUTED_VALUE"""),22555.0)</f>
        <v>22555</v>
      </c>
      <c r="H6716" s="116">
        <f>IFERROR(__xludf.DUMMYFUNCTION("""COMPUTED_VALUE"""),45912.0)</f>
        <v>45912</v>
      </c>
      <c r="I6716" s="115" t="str">
        <f>IFERROR(__xludf.DUMMYFUNCTION("""COMPUTED_VALUE"""),"19")</f>
        <v>19</v>
      </c>
      <c r="J6716" s="115"/>
      <c r="K6716" s="115"/>
    </row>
    <row r="6717">
      <c r="A6717" s="115" t="str">
        <f>IFERROR(__xludf.DUMMYFUNCTION("""COMPUTED_VALUE"""),"EAST")</f>
        <v>EAST</v>
      </c>
      <c r="B6717" s="115" t="str">
        <f>IFERROR(__xludf.DUMMYFUNCTION("""COMPUTED_VALUE"""),"Girish Chand")</f>
        <v>Girish Chand</v>
      </c>
      <c r="C6717" s="115" t="str">
        <f>IFERROR(__xludf.DUMMYFUNCTION("""COMPUTED_VALUE"""),"MYNTRA")</f>
        <v>MYNTRA</v>
      </c>
      <c r="D6717" s="115">
        <f>IFERROR(__xludf.DUMMYFUNCTION("""COMPUTED_VALUE"""),36252.0)</f>
        <v>36252</v>
      </c>
      <c r="E6717" s="115">
        <f>IFERROR(__xludf.DUMMYFUNCTION("""COMPUTED_VALUE"""),7190.0)</f>
        <v>7190</v>
      </c>
      <c r="F6717" s="115">
        <f>IFERROR(__xludf.DUMMYFUNCTION("""COMPUTED_VALUE"""),28239.0)</f>
        <v>28239</v>
      </c>
      <c r="G6717" s="115">
        <f>IFERROR(__xludf.DUMMYFUNCTION("""COMPUTED_VALUE"""),4461.0)</f>
        <v>4461</v>
      </c>
      <c r="H6717" s="116">
        <f>IFERROR(__xludf.DUMMYFUNCTION("""COMPUTED_VALUE"""),45912.0)</f>
        <v>45912</v>
      </c>
      <c r="I6717" s="115" t="str">
        <f>IFERROR(__xludf.DUMMYFUNCTION("""COMPUTED_VALUE"""),"19")</f>
        <v>19</v>
      </c>
      <c r="J6717" s="115"/>
      <c r="K6717" s="115"/>
    </row>
    <row r="6718">
      <c r="A6718" s="115" t="str">
        <f>IFERROR(__xludf.DUMMYFUNCTION("""COMPUTED_VALUE"""),"EAST")</f>
        <v>EAST</v>
      </c>
      <c r="B6718" s="115" t="str">
        <f>IFERROR(__xludf.DUMMYFUNCTION("""COMPUTED_VALUE"""),"Parag Kashyap")</f>
        <v>Parag Kashyap</v>
      </c>
      <c r="C6718" s="115" t="str">
        <f>IFERROR(__xludf.DUMMYFUNCTION("""COMPUTED_VALUE"""),"EXTERNAL")</f>
        <v>EXTERNAL</v>
      </c>
      <c r="D6718" s="115">
        <f>IFERROR(__xludf.DUMMYFUNCTION("""COMPUTED_VALUE"""),15463.0)</f>
        <v>15463</v>
      </c>
      <c r="E6718" s="115">
        <f>IFERROR(__xludf.DUMMYFUNCTION("""COMPUTED_VALUE"""),1119.0)</f>
        <v>1119</v>
      </c>
      <c r="F6718" s="115">
        <f>IFERROR(__xludf.DUMMYFUNCTION("""COMPUTED_VALUE"""),6727.0)</f>
        <v>6727</v>
      </c>
      <c r="G6718" s="115">
        <f>IFERROR(__xludf.DUMMYFUNCTION("""COMPUTED_VALUE"""),339.0)</f>
        <v>339</v>
      </c>
      <c r="H6718" s="116">
        <f>IFERROR(__xludf.DUMMYFUNCTION("""COMPUTED_VALUE"""),45912.0)</f>
        <v>45912</v>
      </c>
      <c r="I6718" s="115" t="str">
        <f>IFERROR(__xludf.DUMMYFUNCTION("""COMPUTED_VALUE"""),"19")</f>
        <v>19</v>
      </c>
      <c r="J6718" s="115"/>
      <c r="K6718" s="115"/>
    </row>
    <row r="6719">
      <c r="A6719" s="115" t="str">
        <f>IFERROR(__xludf.DUMMYFUNCTION("""COMPUTED_VALUE"""),"EAST")</f>
        <v>EAST</v>
      </c>
      <c r="B6719" s="115" t="str">
        <f>IFERROR(__xludf.DUMMYFUNCTION("""COMPUTED_VALUE"""),"Parag Kashyap")</f>
        <v>Parag Kashyap</v>
      </c>
      <c r="C6719" s="115" t="str">
        <f>IFERROR(__xludf.DUMMYFUNCTION("""COMPUTED_VALUE"""),"FLIPKART")</f>
        <v>FLIPKART</v>
      </c>
      <c r="D6719" s="115">
        <f>IFERROR(__xludf.DUMMYFUNCTION("""COMPUTED_VALUE"""),289810.0)</f>
        <v>289810</v>
      </c>
      <c r="E6719" s="115">
        <f>IFERROR(__xludf.DUMMYFUNCTION("""COMPUTED_VALUE"""),19777.0)</f>
        <v>19777</v>
      </c>
      <c r="F6719" s="115">
        <f>IFERROR(__xludf.DUMMYFUNCTION("""COMPUTED_VALUE"""),221204.0)</f>
        <v>221204</v>
      </c>
      <c r="G6719" s="115">
        <f>IFERROR(__xludf.DUMMYFUNCTION("""COMPUTED_VALUE"""),10852.0)</f>
        <v>10852</v>
      </c>
      <c r="H6719" s="116">
        <f>IFERROR(__xludf.DUMMYFUNCTION("""COMPUTED_VALUE"""),45912.0)</f>
        <v>45912</v>
      </c>
      <c r="I6719" s="115" t="str">
        <f>IFERROR(__xludf.DUMMYFUNCTION("""COMPUTED_VALUE"""),"19")</f>
        <v>19</v>
      </c>
      <c r="J6719" s="115"/>
      <c r="K6719" s="115"/>
    </row>
    <row r="6720">
      <c r="A6720" s="115" t="str">
        <f>IFERROR(__xludf.DUMMYFUNCTION("""COMPUTED_VALUE"""),"EAST")</f>
        <v>EAST</v>
      </c>
      <c r="B6720" s="115" t="str">
        <f>IFERROR(__xludf.DUMMYFUNCTION("""COMPUTED_VALUE"""),"Parag Kashyap")</f>
        <v>Parag Kashyap</v>
      </c>
      <c r="C6720" s="115" t="str">
        <f>IFERROR(__xludf.DUMMYFUNCTION("""COMPUTED_VALUE"""),"MYNTRA")</f>
        <v>MYNTRA</v>
      </c>
      <c r="D6720" s="115">
        <f>IFERROR(__xludf.DUMMYFUNCTION("""COMPUTED_VALUE"""),38309.0)</f>
        <v>38309</v>
      </c>
      <c r="E6720" s="115">
        <f>IFERROR(__xludf.DUMMYFUNCTION("""COMPUTED_VALUE"""),6261.0)</f>
        <v>6261</v>
      </c>
      <c r="F6720" s="115">
        <f>IFERROR(__xludf.DUMMYFUNCTION("""COMPUTED_VALUE"""),30168.0)</f>
        <v>30168</v>
      </c>
      <c r="G6720" s="115">
        <f>IFERROR(__xludf.DUMMYFUNCTION("""COMPUTED_VALUE"""),3485.0)</f>
        <v>3485</v>
      </c>
      <c r="H6720" s="116">
        <f>IFERROR(__xludf.DUMMYFUNCTION("""COMPUTED_VALUE"""),45912.0)</f>
        <v>45912</v>
      </c>
      <c r="I6720" s="115" t="str">
        <f>IFERROR(__xludf.DUMMYFUNCTION("""COMPUTED_VALUE"""),"19")</f>
        <v>19</v>
      </c>
      <c r="J6720" s="115"/>
      <c r="K6720" s="115"/>
    </row>
    <row r="6721">
      <c r="A6721" s="115" t="str">
        <f>IFERROR(__xludf.DUMMYFUNCTION("""COMPUTED_VALUE"""),"NORTH")</f>
        <v>NORTH</v>
      </c>
      <c r="B6721" s="115" t="str">
        <f>IFERROR(__xludf.DUMMYFUNCTION("""COMPUTED_VALUE"""),"Amit Kumar Pathak")</f>
        <v>Amit Kumar Pathak</v>
      </c>
      <c r="C6721" s="115" t="str">
        <f>IFERROR(__xludf.DUMMYFUNCTION("""COMPUTED_VALUE"""),"EXTERNAL")</f>
        <v>EXTERNAL</v>
      </c>
      <c r="D6721" s="115">
        <f>IFERROR(__xludf.DUMMYFUNCTION("""COMPUTED_VALUE"""),29626.0)</f>
        <v>29626</v>
      </c>
      <c r="E6721" s="115">
        <f>IFERROR(__xludf.DUMMYFUNCTION("""COMPUTED_VALUE"""),3442.0)</f>
        <v>3442</v>
      </c>
      <c r="F6721" s="115">
        <f>IFERROR(__xludf.DUMMYFUNCTION("""COMPUTED_VALUE"""),12126.0)</f>
        <v>12126</v>
      </c>
      <c r="G6721" s="115">
        <f>IFERROR(__xludf.DUMMYFUNCTION("""COMPUTED_VALUE"""),1559.0)</f>
        <v>1559</v>
      </c>
      <c r="H6721" s="116">
        <f>IFERROR(__xludf.DUMMYFUNCTION("""COMPUTED_VALUE"""),45912.0)</f>
        <v>45912</v>
      </c>
      <c r="I6721" s="115" t="str">
        <f>IFERROR(__xludf.DUMMYFUNCTION("""COMPUTED_VALUE"""),"19")</f>
        <v>19</v>
      </c>
      <c r="J6721" s="115"/>
      <c r="K6721" s="115"/>
    </row>
    <row r="6722">
      <c r="A6722" s="115" t="str">
        <f>IFERROR(__xludf.DUMMYFUNCTION("""COMPUTED_VALUE"""),"NORTH")</f>
        <v>NORTH</v>
      </c>
      <c r="B6722" s="115" t="str">
        <f>IFERROR(__xludf.DUMMYFUNCTION("""COMPUTED_VALUE"""),"Amit Kumar Pathak")</f>
        <v>Amit Kumar Pathak</v>
      </c>
      <c r="C6722" s="115" t="str">
        <f>IFERROR(__xludf.DUMMYFUNCTION("""COMPUTED_VALUE"""),"FLIPKART")</f>
        <v>FLIPKART</v>
      </c>
      <c r="D6722" s="115">
        <f>IFERROR(__xludf.DUMMYFUNCTION("""COMPUTED_VALUE"""),207027.0)</f>
        <v>207027</v>
      </c>
      <c r="E6722" s="115">
        <f>IFERROR(__xludf.DUMMYFUNCTION("""COMPUTED_VALUE"""),23936.0)</f>
        <v>23936</v>
      </c>
      <c r="F6722" s="115">
        <f>IFERROR(__xludf.DUMMYFUNCTION("""COMPUTED_VALUE"""),151184.0)</f>
        <v>151184</v>
      </c>
      <c r="G6722" s="115">
        <f>IFERROR(__xludf.DUMMYFUNCTION("""COMPUTED_VALUE"""),14336.0)</f>
        <v>14336</v>
      </c>
      <c r="H6722" s="116">
        <f>IFERROR(__xludf.DUMMYFUNCTION("""COMPUTED_VALUE"""),45912.0)</f>
        <v>45912</v>
      </c>
      <c r="I6722" s="115" t="str">
        <f>IFERROR(__xludf.DUMMYFUNCTION("""COMPUTED_VALUE"""),"19")</f>
        <v>19</v>
      </c>
      <c r="J6722" s="115"/>
      <c r="K6722" s="115"/>
    </row>
    <row r="6723">
      <c r="A6723" s="115" t="str">
        <f>IFERROR(__xludf.DUMMYFUNCTION("""COMPUTED_VALUE"""),"NORTH")</f>
        <v>NORTH</v>
      </c>
      <c r="B6723" s="115" t="str">
        <f>IFERROR(__xludf.DUMMYFUNCTION("""COMPUTED_VALUE"""),"Amit Kumar Pathak")</f>
        <v>Amit Kumar Pathak</v>
      </c>
      <c r="C6723" s="115" t="str">
        <f>IFERROR(__xludf.DUMMYFUNCTION("""COMPUTED_VALUE"""),"MYNTRA")</f>
        <v>MYNTRA</v>
      </c>
      <c r="D6723" s="115">
        <f>IFERROR(__xludf.DUMMYFUNCTION("""COMPUTED_VALUE"""),17856.0)</f>
        <v>17856</v>
      </c>
      <c r="E6723" s="115">
        <f>IFERROR(__xludf.DUMMYFUNCTION("""COMPUTED_VALUE"""),5760.0)</f>
        <v>5760</v>
      </c>
      <c r="F6723" s="115">
        <f>IFERROR(__xludf.DUMMYFUNCTION("""COMPUTED_VALUE"""),14704.0)</f>
        <v>14704</v>
      </c>
      <c r="G6723" s="115">
        <f>IFERROR(__xludf.DUMMYFUNCTION("""COMPUTED_VALUE"""),3630.0)</f>
        <v>3630</v>
      </c>
      <c r="H6723" s="116">
        <f>IFERROR(__xludf.DUMMYFUNCTION("""COMPUTED_VALUE"""),45912.0)</f>
        <v>45912</v>
      </c>
      <c r="I6723" s="115" t="str">
        <f>IFERROR(__xludf.DUMMYFUNCTION("""COMPUTED_VALUE"""),"19")</f>
        <v>19</v>
      </c>
      <c r="J6723" s="115"/>
      <c r="K6723" s="115"/>
    </row>
    <row r="6724">
      <c r="A6724" s="115" t="str">
        <f>IFERROR(__xludf.DUMMYFUNCTION("""COMPUTED_VALUE"""),"NORTH")</f>
        <v>NORTH</v>
      </c>
      <c r="B6724" s="115" t="str">
        <f>IFERROR(__xludf.DUMMYFUNCTION("""COMPUTED_VALUE"""),"Ashvani Bhatt")</f>
        <v>Ashvani Bhatt</v>
      </c>
      <c r="C6724" s="115" t="str">
        <f>IFERROR(__xludf.DUMMYFUNCTION("""COMPUTED_VALUE"""),"EXTERNAL")</f>
        <v>EXTERNAL</v>
      </c>
      <c r="D6724" s="115">
        <f>IFERROR(__xludf.DUMMYFUNCTION("""COMPUTED_VALUE"""),31.0)</f>
        <v>31</v>
      </c>
      <c r="E6724" s="115">
        <f>IFERROR(__xludf.DUMMYFUNCTION("""COMPUTED_VALUE"""),6.0)</f>
        <v>6</v>
      </c>
      <c r="F6724" s="115">
        <f>IFERROR(__xludf.DUMMYFUNCTION("""COMPUTED_VALUE"""),9.0)</f>
        <v>9</v>
      </c>
      <c r="G6724" s="115">
        <f>IFERROR(__xludf.DUMMYFUNCTION("""COMPUTED_VALUE"""),0.0)</f>
        <v>0</v>
      </c>
      <c r="H6724" s="116">
        <f>IFERROR(__xludf.DUMMYFUNCTION("""COMPUTED_VALUE"""),45912.0)</f>
        <v>45912</v>
      </c>
      <c r="I6724" s="115" t="str">
        <f>IFERROR(__xludf.DUMMYFUNCTION("""COMPUTED_VALUE"""),"19")</f>
        <v>19</v>
      </c>
      <c r="J6724" s="115"/>
      <c r="K6724" s="115"/>
    </row>
    <row r="6725">
      <c r="A6725" s="115" t="str">
        <f>IFERROR(__xludf.DUMMYFUNCTION("""COMPUTED_VALUE"""),"NORTH")</f>
        <v>NORTH</v>
      </c>
      <c r="B6725" s="115" t="str">
        <f>IFERROR(__xludf.DUMMYFUNCTION("""COMPUTED_VALUE"""),"Ashvani Bhatt")</f>
        <v>Ashvani Bhatt</v>
      </c>
      <c r="C6725" s="115" t="str">
        <f>IFERROR(__xludf.DUMMYFUNCTION("""COMPUTED_VALUE"""),"FLIPKART")</f>
        <v>FLIPKART</v>
      </c>
      <c r="D6725" s="115">
        <f>IFERROR(__xludf.DUMMYFUNCTION("""COMPUTED_VALUE"""),462.0)</f>
        <v>462</v>
      </c>
      <c r="E6725" s="115">
        <f>IFERROR(__xludf.DUMMYFUNCTION("""COMPUTED_VALUE"""),38.0)</f>
        <v>38</v>
      </c>
      <c r="F6725" s="115">
        <f>IFERROR(__xludf.DUMMYFUNCTION("""COMPUTED_VALUE"""),228.0)</f>
        <v>228</v>
      </c>
      <c r="G6725" s="115">
        <f>IFERROR(__xludf.DUMMYFUNCTION("""COMPUTED_VALUE"""),0.0)</f>
        <v>0</v>
      </c>
      <c r="H6725" s="116">
        <f>IFERROR(__xludf.DUMMYFUNCTION("""COMPUTED_VALUE"""),45912.0)</f>
        <v>45912</v>
      </c>
      <c r="I6725" s="115" t="str">
        <f>IFERROR(__xludf.DUMMYFUNCTION("""COMPUTED_VALUE"""),"19")</f>
        <v>19</v>
      </c>
      <c r="J6725" s="115"/>
      <c r="K6725" s="115"/>
    </row>
    <row r="6726">
      <c r="A6726" s="115" t="str">
        <f>IFERROR(__xludf.DUMMYFUNCTION("""COMPUTED_VALUE"""),"NORTH")</f>
        <v>NORTH</v>
      </c>
      <c r="B6726" s="115" t="str">
        <f>IFERROR(__xludf.DUMMYFUNCTION("""COMPUTED_VALUE"""),"Ashvani Bhatt")</f>
        <v>Ashvani Bhatt</v>
      </c>
      <c r="C6726" s="115" t="str">
        <f>IFERROR(__xludf.DUMMYFUNCTION("""COMPUTED_VALUE"""),"MYNTRA")</f>
        <v>MYNTRA</v>
      </c>
      <c r="D6726" s="115">
        <f>IFERROR(__xludf.DUMMYFUNCTION("""COMPUTED_VALUE"""),22.0)</f>
        <v>22</v>
      </c>
      <c r="E6726" s="115">
        <f>IFERROR(__xludf.DUMMYFUNCTION("""COMPUTED_VALUE"""),3.0)</f>
        <v>3</v>
      </c>
      <c r="F6726" s="115">
        <f>IFERROR(__xludf.DUMMYFUNCTION("""COMPUTED_VALUE"""),14.0)</f>
        <v>14</v>
      </c>
      <c r="G6726" s="115">
        <f>IFERROR(__xludf.DUMMYFUNCTION("""COMPUTED_VALUE"""),1.0)</f>
        <v>1</v>
      </c>
      <c r="H6726" s="116">
        <f>IFERROR(__xludf.DUMMYFUNCTION("""COMPUTED_VALUE"""),45912.0)</f>
        <v>45912</v>
      </c>
      <c r="I6726" s="115" t="str">
        <f>IFERROR(__xludf.DUMMYFUNCTION("""COMPUTED_VALUE"""),"19")</f>
        <v>19</v>
      </c>
      <c r="J6726" s="115"/>
      <c r="K6726" s="115"/>
    </row>
    <row r="6727">
      <c r="A6727" s="115" t="str">
        <f>IFERROR(__xludf.DUMMYFUNCTION("""COMPUTED_VALUE"""),"NORTH")</f>
        <v>NORTH</v>
      </c>
      <c r="B6727" s="115" t="str">
        <f>IFERROR(__xludf.DUMMYFUNCTION("""COMPUTED_VALUE"""),"Loveleen Singh")</f>
        <v>Loveleen Singh</v>
      </c>
      <c r="C6727" s="115" t="str">
        <f>IFERROR(__xludf.DUMMYFUNCTION("""COMPUTED_VALUE"""),"EXTERNAL")</f>
        <v>EXTERNAL</v>
      </c>
      <c r="D6727" s="115">
        <f>IFERROR(__xludf.DUMMYFUNCTION("""COMPUTED_VALUE"""),33410.0)</f>
        <v>33410</v>
      </c>
      <c r="E6727" s="115">
        <f>IFERROR(__xludf.DUMMYFUNCTION("""COMPUTED_VALUE"""),2602.0)</f>
        <v>2602</v>
      </c>
      <c r="F6727" s="115">
        <f>IFERROR(__xludf.DUMMYFUNCTION("""COMPUTED_VALUE"""),13725.0)</f>
        <v>13725</v>
      </c>
      <c r="G6727" s="115">
        <f>IFERROR(__xludf.DUMMYFUNCTION("""COMPUTED_VALUE"""),879.0)</f>
        <v>879</v>
      </c>
      <c r="H6727" s="116">
        <f>IFERROR(__xludf.DUMMYFUNCTION("""COMPUTED_VALUE"""),45912.0)</f>
        <v>45912</v>
      </c>
      <c r="I6727" s="115" t="str">
        <f>IFERROR(__xludf.DUMMYFUNCTION("""COMPUTED_VALUE"""),"19")</f>
        <v>19</v>
      </c>
      <c r="J6727" s="115"/>
      <c r="K6727" s="115"/>
    </row>
    <row r="6728">
      <c r="A6728" s="115" t="str">
        <f>IFERROR(__xludf.DUMMYFUNCTION("""COMPUTED_VALUE"""),"NORTH")</f>
        <v>NORTH</v>
      </c>
      <c r="B6728" s="115" t="str">
        <f>IFERROR(__xludf.DUMMYFUNCTION("""COMPUTED_VALUE"""),"Loveleen Singh")</f>
        <v>Loveleen Singh</v>
      </c>
      <c r="C6728" s="115" t="str">
        <f>IFERROR(__xludf.DUMMYFUNCTION("""COMPUTED_VALUE"""),"FLIPKART")</f>
        <v>FLIPKART</v>
      </c>
      <c r="D6728" s="115">
        <f>IFERROR(__xludf.DUMMYFUNCTION("""COMPUTED_VALUE"""),216778.0)</f>
        <v>216778</v>
      </c>
      <c r="E6728" s="115">
        <f>IFERROR(__xludf.DUMMYFUNCTION("""COMPUTED_VALUE"""),15068.0)</f>
        <v>15068</v>
      </c>
      <c r="F6728" s="115">
        <f>IFERROR(__xludf.DUMMYFUNCTION("""COMPUTED_VALUE"""),165095.0)</f>
        <v>165095</v>
      </c>
      <c r="G6728" s="115">
        <f>IFERROR(__xludf.DUMMYFUNCTION("""COMPUTED_VALUE"""),8456.0)</f>
        <v>8456</v>
      </c>
      <c r="H6728" s="116">
        <f>IFERROR(__xludf.DUMMYFUNCTION("""COMPUTED_VALUE"""),45912.0)</f>
        <v>45912</v>
      </c>
      <c r="I6728" s="115" t="str">
        <f>IFERROR(__xludf.DUMMYFUNCTION("""COMPUTED_VALUE"""),"19")</f>
        <v>19</v>
      </c>
      <c r="J6728" s="115"/>
      <c r="K6728" s="115"/>
    </row>
    <row r="6729">
      <c r="A6729" s="115" t="str">
        <f>IFERROR(__xludf.DUMMYFUNCTION("""COMPUTED_VALUE"""),"NORTH")</f>
        <v>NORTH</v>
      </c>
      <c r="B6729" s="115" t="str">
        <f>IFERROR(__xludf.DUMMYFUNCTION("""COMPUTED_VALUE"""),"Loveleen Singh")</f>
        <v>Loveleen Singh</v>
      </c>
      <c r="C6729" s="115" t="str">
        <f>IFERROR(__xludf.DUMMYFUNCTION("""COMPUTED_VALUE"""),"MYNTRA")</f>
        <v>MYNTRA</v>
      </c>
      <c r="D6729" s="115">
        <f>IFERROR(__xludf.DUMMYFUNCTION("""COMPUTED_VALUE"""),33270.0)</f>
        <v>33270</v>
      </c>
      <c r="E6729" s="115">
        <f>IFERROR(__xludf.DUMMYFUNCTION("""COMPUTED_VALUE"""),6372.0)</f>
        <v>6372</v>
      </c>
      <c r="F6729" s="115">
        <f>IFERROR(__xludf.DUMMYFUNCTION("""COMPUTED_VALUE"""),27206.0)</f>
        <v>27206</v>
      </c>
      <c r="G6729" s="115">
        <f>IFERROR(__xludf.DUMMYFUNCTION("""COMPUTED_VALUE"""),3921.0)</f>
        <v>3921</v>
      </c>
      <c r="H6729" s="116">
        <f>IFERROR(__xludf.DUMMYFUNCTION("""COMPUTED_VALUE"""),45912.0)</f>
        <v>45912</v>
      </c>
      <c r="I6729" s="115" t="str">
        <f>IFERROR(__xludf.DUMMYFUNCTION("""COMPUTED_VALUE"""),"19")</f>
        <v>19</v>
      </c>
      <c r="J6729" s="115"/>
      <c r="K6729" s="115"/>
    </row>
    <row r="6730">
      <c r="A6730" s="115" t="str">
        <f>IFERROR(__xludf.DUMMYFUNCTION("""COMPUTED_VALUE"""),"NORTH")</f>
        <v>NORTH</v>
      </c>
      <c r="B6730" s="115" t="str">
        <f>IFERROR(__xludf.DUMMYFUNCTION("""COMPUTED_VALUE"""),"Manoj Harsh")</f>
        <v>Manoj Harsh</v>
      </c>
      <c r="C6730" s="115" t="str">
        <f>IFERROR(__xludf.DUMMYFUNCTION("""COMPUTED_VALUE"""),"EXTERNAL")</f>
        <v>EXTERNAL</v>
      </c>
      <c r="D6730" s="115">
        <f>IFERROR(__xludf.DUMMYFUNCTION("""COMPUTED_VALUE"""),37047.0)</f>
        <v>37047</v>
      </c>
      <c r="E6730" s="115">
        <f>IFERROR(__xludf.DUMMYFUNCTION("""COMPUTED_VALUE"""),2698.0)</f>
        <v>2698</v>
      </c>
      <c r="F6730" s="115">
        <f>IFERROR(__xludf.DUMMYFUNCTION("""COMPUTED_VALUE"""),17273.0)</f>
        <v>17273</v>
      </c>
      <c r="G6730" s="115">
        <f>IFERROR(__xludf.DUMMYFUNCTION("""COMPUTED_VALUE"""),836.0)</f>
        <v>836</v>
      </c>
      <c r="H6730" s="116">
        <f>IFERROR(__xludf.DUMMYFUNCTION("""COMPUTED_VALUE"""),45912.0)</f>
        <v>45912</v>
      </c>
      <c r="I6730" s="115" t="str">
        <f>IFERROR(__xludf.DUMMYFUNCTION("""COMPUTED_VALUE"""),"19")</f>
        <v>19</v>
      </c>
      <c r="J6730" s="115"/>
      <c r="K6730" s="115"/>
    </row>
    <row r="6731">
      <c r="A6731" s="115" t="str">
        <f>IFERROR(__xludf.DUMMYFUNCTION("""COMPUTED_VALUE"""),"NORTH")</f>
        <v>NORTH</v>
      </c>
      <c r="B6731" s="115" t="str">
        <f>IFERROR(__xludf.DUMMYFUNCTION("""COMPUTED_VALUE"""),"Manoj Harsh")</f>
        <v>Manoj Harsh</v>
      </c>
      <c r="C6731" s="115" t="str">
        <f>IFERROR(__xludf.DUMMYFUNCTION("""COMPUTED_VALUE"""),"FLIPKART")</f>
        <v>FLIPKART</v>
      </c>
      <c r="D6731" s="115">
        <f>IFERROR(__xludf.DUMMYFUNCTION("""COMPUTED_VALUE"""),483711.0)</f>
        <v>483711</v>
      </c>
      <c r="E6731" s="115">
        <f>IFERROR(__xludf.DUMMYFUNCTION("""COMPUTED_VALUE"""),37809.0)</f>
        <v>37809</v>
      </c>
      <c r="F6731" s="115">
        <f>IFERROR(__xludf.DUMMYFUNCTION("""COMPUTED_VALUE"""),361304.0)</f>
        <v>361304</v>
      </c>
      <c r="G6731" s="115">
        <f>IFERROR(__xludf.DUMMYFUNCTION("""COMPUTED_VALUE"""),21387.0)</f>
        <v>21387</v>
      </c>
      <c r="H6731" s="116">
        <f>IFERROR(__xludf.DUMMYFUNCTION("""COMPUTED_VALUE"""),45912.0)</f>
        <v>45912</v>
      </c>
      <c r="I6731" s="115" t="str">
        <f>IFERROR(__xludf.DUMMYFUNCTION("""COMPUTED_VALUE"""),"19")</f>
        <v>19</v>
      </c>
      <c r="J6731" s="115"/>
      <c r="K6731" s="115"/>
    </row>
    <row r="6732">
      <c r="A6732" s="115" t="str">
        <f>IFERROR(__xludf.DUMMYFUNCTION("""COMPUTED_VALUE"""),"NORTH")</f>
        <v>NORTH</v>
      </c>
      <c r="B6732" s="115" t="str">
        <f>IFERROR(__xludf.DUMMYFUNCTION("""COMPUTED_VALUE"""),"Manoj Harsh")</f>
        <v>Manoj Harsh</v>
      </c>
      <c r="C6732" s="115" t="str">
        <f>IFERROR(__xludf.DUMMYFUNCTION("""COMPUTED_VALUE"""),"MYNTRA")</f>
        <v>MYNTRA</v>
      </c>
      <c r="D6732" s="115">
        <f>IFERROR(__xludf.DUMMYFUNCTION("""COMPUTED_VALUE"""),37410.0)</f>
        <v>37410</v>
      </c>
      <c r="E6732" s="115">
        <f>IFERROR(__xludf.DUMMYFUNCTION("""COMPUTED_VALUE"""),7277.0)</f>
        <v>7277</v>
      </c>
      <c r="F6732" s="115">
        <f>IFERROR(__xludf.DUMMYFUNCTION("""COMPUTED_VALUE"""),29663.0)</f>
        <v>29663</v>
      </c>
      <c r="G6732" s="115">
        <f>IFERROR(__xludf.DUMMYFUNCTION("""COMPUTED_VALUE"""),4613.0)</f>
        <v>4613</v>
      </c>
      <c r="H6732" s="116">
        <f>IFERROR(__xludf.DUMMYFUNCTION("""COMPUTED_VALUE"""),45912.0)</f>
        <v>45912</v>
      </c>
      <c r="I6732" s="115" t="str">
        <f>IFERROR(__xludf.DUMMYFUNCTION("""COMPUTED_VALUE"""),"19")</f>
        <v>19</v>
      </c>
      <c r="J6732" s="115"/>
      <c r="K6732" s="115"/>
    </row>
    <row r="6733">
      <c r="A6733" s="115" t="str">
        <f>IFERROR(__xludf.DUMMYFUNCTION("""COMPUTED_VALUE"""),"NORTH")</f>
        <v>NORTH</v>
      </c>
      <c r="B6733" s="115" t="str">
        <f>IFERROR(__xludf.DUMMYFUNCTION("""COMPUTED_VALUE"""),"Pradeep Kothari")</f>
        <v>Pradeep Kothari</v>
      </c>
      <c r="C6733" s="115" t="str">
        <f>IFERROR(__xludf.DUMMYFUNCTION("""COMPUTED_VALUE"""),"EXTERNAL")</f>
        <v>EXTERNAL</v>
      </c>
      <c r="D6733" s="115">
        <f>IFERROR(__xludf.DUMMYFUNCTION("""COMPUTED_VALUE"""),20433.0)</f>
        <v>20433</v>
      </c>
      <c r="E6733" s="115">
        <f>IFERROR(__xludf.DUMMYFUNCTION("""COMPUTED_VALUE"""),1960.0)</f>
        <v>1960</v>
      </c>
      <c r="F6733" s="115">
        <f>IFERROR(__xludf.DUMMYFUNCTION("""COMPUTED_VALUE"""),8716.0)</f>
        <v>8716</v>
      </c>
      <c r="G6733" s="115">
        <f>IFERROR(__xludf.DUMMYFUNCTION("""COMPUTED_VALUE"""),760.0)</f>
        <v>760</v>
      </c>
      <c r="H6733" s="116">
        <f>IFERROR(__xludf.DUMMYFUNCTION("""COMPUTED_VALUE"""),45912.0)</f>
        <v>45912</v>
      </c>
      <c r="I6733" s="115" t="str">
        <f>IFERROR(__xludf.DUMMYFUNCTION("""COMPUTED_VALUE"""),"19")</f>
        <v>19</v>
      </c>
      <c r="J6733" s="115"/>
      <c r="K6733" s="115"/>
    </row>
    <row r="6734">
      <c r="A6734" s="115" t="str">
        <f>IFERROR(__xludf.DUMMYFUNCTION("""COMPUTED_VALUE"""),"NORTH")</f>
        <v>NORTH</v>
      </c>
      <c r="B6734" s="115" t="str">
        <f>IFERROR(__xludf.DUMMYFUNCTION("""COMPUTED_VALUE"""),"Pradeep Kothari")</f>
        <v>Pradeep Kothari</v>
      </c>
      <c r="C6734" s="115" t="str">
        <f>IFERROR(__xludf.DUMMYFUNCTION("""COMPUTED_VALUE"""),"FLIPKART")</f>
        <v>FLIPKART</v>
      </c>
      <c r="D6734" s="115">
        <f>IFERROR(__xludf.DUMMYFUNCTION("""COMPUTED_VALUE"""),181305.0)</f>
        <v>181305</v>
      </c>
      <c r="E6734" s="115">
        <f>IFERROR(__xludf.DUMMYFUNCTION("""COMPUTED_VALUE"""),17150.0)</f>
        <v>17150</v>
      </c>
      <c r="F6734" s="115">
        <f>IFERROR(__xludf.DUMMYFUNCTION("""COMPUTED_VALUE"""),140451.0)</f>
        <v>140451</v>
      </c>
      <c r="G6734" s="115">
        <f>IFERROR(__xludf.DUMMYFUNCTION("""COMPUTED_VALUE"""),10736.0)</f>
        <v>10736</v>
      </c>
      <c r="H6734" s="116">
        <f>IFERROR(__xludf.DUMMYFUNCTION("""COMPUTED_VALUE"""),45912.0)</f>
        <v>45912</v>
      </c>
      <c r="I6734" s="115" t="str">
        <f>IFERROR(__xludf.DUMMYFUNCTION("""COMPUTED_VALUE"""),"19")</f>
        <v>19</v>
      </c>
      <c r="J6734" s="115"/>
      <c r="K6734" s="115"/>
    </row>
    <row r="6735">
      <c r="A6735" s="115" t="str">
        <f>IFERROR(__xludf.DUMMYFUNCTION("""COMPUTED_VALUE"""),"NORTH")</f>
        <v>NORTH</v>
      </c>
      <c r="B6735" s="115" t="str">
        <f>IFERROR(__xludf.DUMMYFUNCTION("""COMPUTED_VALUE"""),"Pradeep Kothari")</f>
        <v>Pradeep Kothari</v>
      </c>
      <c r="C6735" s="115" t="str">
        <f>IFERROR(__xludf.DUMMYFUNCTION("""COMPUTED_VALUE"""),"MYNTRA")</f>
        <v>MYNTRA</v>
      </c>
      <c r="D6735" s="115">
        <f>IFERROR(__xludf.DUMMYFUNCTION("""COMPUTED_VALUE"""),26829.0)</f>
        <v>26829</v>
      </c>
      <c r="E6735" s="115">
        <f>IFERROR(__xludf.DUMMYFUNCTION("""COMPUTED_VALUE"""),6409.0)</f>
        <v>6409</v>
      </c>
      <c r="F6735" s="115">
        <f>IFERROR(__xludf.DUMMYFUNCTION("""COMPUTED_VALUE"""),22472.0)</f>
        <v>22472</v>
      </c>
      <c r="G6735" s="115">
        <f>IFERROR(__xludf.DUMMYFUNCTION("""COMPUTED_VALUE"""),4406.0)</f>
        <v>4406</v>
      </c>
      <c r="H6735" s="116">
        <f>IFERROR(__xludf.DUMMYFUNCTION("""COMPUTED_VALUE"""),45912.0)</f>
        <v>45912</v>
      </c>
      <c r="I6735" s="115" t="str">
        <f>IFERROR(__xludf.DUMMYFUNCTION("""COMPUTED_VALUE"""),"19")</f>
        <v>19</v>
      </c>
      <c r="J6735" s="115"/>
      <c r="K6735" s="115"/>
    </row>
    <row r="6736">
      <c r="A6736" s="115" t="str">
        <f>IFERROR(__xludf.DUMMYFUNCTION("""COMPUTED_VALUE"""),"SOUTH")</f>
        <v>SOUTH</v>
      </c>
      <c r="B6736" s="115" t="str">
        <f>IFERROR(__xludf.DUMMYFUNCTION("""COMPUTED_VALUE"""),"Kandula Sampath")</f>
        <v>Kandula Sampath</v>
      </c>
      <c r="C6736" s="115" t="str">
        <f>IFERROR(__xludf.DUMMYFUNCTION("""COMPUTED_VALUE"""),"EXTERNAL")</f>
        <v>EXTERNAL</v>
      </c>
      <c r="D6736" s="115">
        <f>IFERROR(__xludf.DUMMYFUNCTION("""COMPUTED_VALUE"""),35512.0)</f>
        <v>35512</v>
      </c>
      <c r="E6736" s="115">
        <f>IFERROR(__xludf.DUMMYFUNCTION("""COMPUTED_VALUE"""),4370.0)</f>
        <v>4370</v>
      </c>
      <c r="F6736" s="115">
        <f>IFERROR(__xludf.DUMMYFUNCTION("""COMPUTED_VALUE"""),16151.0)</f>
        <v>16151</v>
      </c>
      <c r="G6736" s="115">
        <f>IFERROR(__xludf.DUMMYFUNCTION("""COMPUTED_VALUE"""),1291.0)</f>
        <v>1291</v>
      </c>
      <c r="H6736" s="116">
        <f>IFERROR(__xludf.DUMMYFUNCTION("""COMPUTED_VALUE"""),45912.0)</f>
        <v>45912</v>
      </c>
      <c r="I6736" s="115" t="str">
        <f>IFERROR(__xludf.DUMMYFUNCTION("""COMPUTED_VALUE"""),"19")</f>
        <v>19</v>
      </c>
      <c r="J6736" s="115"/>
      <c r="K6736" s="115"/>
    </row>
    <row r="6737">
      <c r="A6737" s="115" t="str">
        <f>IFERROR(__xludf.DUMMYFUNCTION("""COMPUTED_VALUE"""),"SOUTH")</f>
        <v>SOUTH</v>
      </c>
      <c r="B6737" s="115" t="str">
        <f>IFERROR(__xludf.DUMMYFUNCTION("""COMPUTED_VALUE"""),"Kandula Sampath")</f>
        <v>Kandula Sampath</v>
      </c>
      <c r="C6737" s="115" t="str">
        <f>IFERROR(__xludf.DUMMYFUNCTION("""COMPUTED_VALUE"""),"FLIPKART")</f>
        <v>FLIPKART</v>
      </c>
      <c r="D6737" s="115">
        <f>IFERROR(__xludf.DUMMYFUNCTION("""COMPUTED_VALUE"""),391010.0)</f>
        <v>391010</v>
      </c>
      <c r="E6737" s="115">
        <f>IFERROR(__xludf.DUMMYFUNCTION("""COMPUTED_VALUE"""),31859.0)</f>
        <v>31859</v>
      </c>
      <c r="F6737" s="115">
        <f>IFERROR(__xludf.DUMMYFUNCTION("""COMPUTED_VALUE"""),289240.0)</f>
        <v>289240</v>
      </c>
      <c r="G6737" s="115">
        <f>IFERROR(__xludf.DUMMYFUNCTION("""COMPUTED_VALUE"""),16178.0)</f>
        <v>16178</v>
      </c>
      <c r="H6737" s="116">
        <f>IFERROR(__xludf.DUMMYFUNCTION("""COMPUTED_VALUE"""),45912.0)</f>
        <v>45912</v>
      </c>
      <c r="I6737" s="115" t="str">
        <f>IFERROR(__xludf.DUMMYFUNCTION("""COMPUTED_VALUE"""),"19")</f>
        <v>19</v>
      </c>
      <c r="J6737" s="115"/>
      <c r="K6737" s="115"/>
    </row>
    <row r="6738">
      <c r="A6738" s="115" t="str">
        <f>IFERROR(__xludf.DUMMYFUNCTION("""COMPUTED_VALUE"""),"SOUTH")</f>
        <v>SOUTH</v>
      </c>
      <c r="B6738" s="115" t="str">
        <f>IFERROR(__xludf.DUMMYFUNCTION("""COMPUTED_VALUE"""),"Kandula Sampath")</f>
        <v>Kandula Sampath</v>
      </c>
      <c r="C6738" s="115" t="str">
        <f>IFERROR(__xludf.DUMMYFUNCTION("""COMPUTED_VALUE"""),"MYNTRA")</f>
        <v>MYNTRA</v>
      </c>
      <c r="D6738" s="115">
        <f>IFERROR(__xludf.DUMMYFUNCTION("""COMPUTED_VALUE"""),41047.0)</f>
        <v>41047</v>
      </c>
      <c r="E6738" s="115">
        <f>IFERROR(__xludf.DUMMYFUNCTION("""COMPUTED_VALUE"""),8800.0)</f>
        <v>8800</v>
      </c>
      <c r="F6738" s="115">
        <f>IFERROR(__xludf.DUMMYFUNCTION("""COMPUTED_VALUE"""),32993.0)</f>
        <v>32993</v>
      </c>
      <c r="G6738" s="115">
        <f>IFERROR(__xludf.DUMMYFUNCTION("""COMPUTED_VALUE"""),4557.0)</f>
        <v>4557</v>
      </c>
      <c r="H6738" s="116">
        <f>IFERROR(__xludf.DUMMYFUNCTION("""COMPUTED_VALUE"""),45912.0)</f>
        <v>45912</v>
      </c>
      <c r="I6738" s="115" t="str">
        <f>IFERROR(__xludf.DUMMYFUNCTION("""COMPUTED_VALUE"""),"19")</f>
        <v>19</v>
      </c>
      <c r="J6738" s="115"/>
      <c r="K6738" s="115"/>
    </row>
    <row r="6739">
      <c r="A6739" s="115" t="str">
        <f>IFERROR(__xludf.DUMMYFUNCTION("""COMPUTED_VALUE"""),"SOUTH")</f>
        <v>SOUTH</v>
      </c>
      <c r="B6739" s="115" t="str">
        <f>IFERROR(__xludf.DUMMYFUNCTION("""COMPUTED_VALUE"""),"Martin A")</f>
        <v>Martin A</v>
      </c>
      <c r="C6739" s="115" t="str">
        <f>IFERROR(__xludf.DUMMYFUNCTION("""COMPUTED_VALUE"""),"EXTERNAL")</f>
        <v>EXTERNAL</v>
      </c>
      <c r="D6739" s="115">
        <f>IFERROR(__xludf.DUMMYFUNCTION("""COMPUTED_VALUE"""),33416.0)</f>
        <v>33416</v>
      </c>
      <c r="E6739" s="115">
        <f>IFERROR(__xludf.DUMMYFUNCTION("""COMPUTED_VALUE"""),3846.0)</f>
        <v>3846</v>
      </c>
      <c r="F6739" s="115">
        <f>IFERROR(__xludf.DUMMYFUNCTION("""COMPUTED_VALUE"""),14622.0)</f>
        <v>14622</v>
      </c>
      <c r="G6739" s="115">
        <f>IFERROR(__xludf.DUMMYFUNCTION("""COMPUTED_VALUE"""),1551.0)</f>
        <v>1551</v>
      </c>
      <c r="H6739" s="116">
        <f>IFERROR(__xludf.DUMMYFUNCTION("""COMPUTED_VALUE"""),45912.0)</f>
        <v>45912</v>
      </c>
      <c r="I6739" s="115" t="str">
        <f>IFERROR(__xludf.DUMMYFUNCTION("""COMPUTED_VALUE"""),"19")</f>
        <v>19</v>
      </c>
      <c r="J6739" s="115"/>
      <c r="K6739" s="115"/>
    </row>
    <row r="6740">
      <c r="A6740" s="115" t="str">
        <f>IFERROR(__xludf.DUMMYFUNCTION("""COMPUTED_VALUE"""),"SOUTH")</f>
        <v>SOUTH</v>
      </c>
      <c r="B6740" s="115" t="str">
        <f>IFERROR(__xludf.DUMMYFUNCTION("""COMPUTED_VALUE"""),"Martin A")</f>
        <v>Martin A</v>
      </c>
      <c r="C6740" s="115" t="str">
        <f>IFERROR(__xludf.DUMMYFUNCTION("""COMPUTED_VALUE"""),"FLIPKART")</f>
        <v>FLIPKART</v>
      </c>
      <c r="D6740" s="115">
        <f>IFERROR(__xludf.DUMMYFUNCTION("""COMPUTED_VALUE"""),340153.0)</f>
        <v>340153</v>
      </c>
      <c r="E6740" s="115">
        <f>IFERROR(__xludf.DUMMYFUNCTION("""COMPUTED_VALUE"""),27113.0)</f>
        <v>27113</v>
      </c>
      <c r="F6740" s="115">
        <f>IFERROR(__xludf.DUMMYFUNCTION("""COMPUTED_VALUE"""),244570.0)</f>
        <v>244570</v>
      </c>
      <c r="G6740" s="115">
        <f>IFERROR(__xludf.DUMMYFUNCTION("""COMPUTED_VALUE"""),14778.0)</f>
        <v>14778</v>
      </c>
      <c r="H6740" s="116">
        <f>IFERROR(__xludf.DUMMYFUNCTION("""COMPUTED_VALUE"""),45912.0)</f>
        <v>45912</v>
      </c>
      <c r="I6740" s="115" t="str">
        <f>IFERROR(__xludf.DUMMYFUNCTION("""COMPUTED_VALUE"""),"19")</f>
        <v>19</v>
      </c>
      <c r="J6740" s="115"/>
      <c r="K6740" s="115"/>
    </row>
    <row r="6741">
      <c r="A6741" s="115" t="str">
        <f>IFERROR(__xludf.DUMMYFUNCTION("""COMPUTED_VALUE"""),"SOUTH")</f>
        <v>SOUTH</v>
      </c>
      <c r="B6741" s="115" t="str">
        <f>IFERROR(__xludf.DUMMYFUNCTION("""COMPUTED_VALUE"""),"Martin A")</f>
        <v>Martin A</v>
      </c>
      <c r="C6741" s="115" t="str">
        <f>IFERROR(__xludf.DUMMYFUNCTION("""COMPUTED_VALUE"""),"MYNTRA")</f>
        <v>MYNTRA</v>
      </c>
      <c r="D6741" s="115">
        <f>IFERROR(__xludf.DUMMYFUNCTION("""COMPUTED_VALUE"""),31951.0)</f>
        <v>31951</v>
      </c>
      <c r="E6741" s="115">
        <f>IFERROR(__xludf.DUMMYFUNCTION("""COMPUTED_VALUE"""),6799.0)</f>
        <v>6799</v>
      </c>
      <c r="F6741" s="115">
        <f>IFERROR(__xludf.DUMMYFUNCTION("""COMPUTED_VALUE"""),25468.0)</f>
        <v>25468</v>
      </c>
      <c r="G6741" s="115">
        <f>IFERROR(__xludf.DUMMYFUNCTION("""COMPUTED_VALUE"""),3957.0)</f>
        <v>3957</v>
      </c>
      <c r="H6741" s="116">
        <f>IFERROR(__xludf.DUMMYFUNCTION("""COMPUTED_VALUE"""),45912.0)</f>
        <v>45912</v>
      </c>
      <c r="I6741" s="115" t="str">
        <f>IFERROR(__xludf.DUMMYFUNCTION("""COMPUTED_VALUE"""),"19")</f>
        <v>19</v>
      </c>
      <c r="J6741" s="115"/>
      <c r="K6741" s="115"/>
    </row>
    <row r="6742">
      <c r="A6742" s="115" t="str">
        <f>IFERROR(__xludf.DUMMYFUNCTION("""COMPUTED_VALUE"""),"SOUTH")</f>
        <v>SOUTH</v>
      </c>
      <c r="B6742" s="115" t="str">
        <f>IFERROR(__xludf.DUMMYFUNCTION("""COMPUTED_VALUE"""),"Premkumar M")</f>
        <v>Premkumar M</v>
      </c>
      <c r="C6742" s="115" t="str">
        <f>IFERROR(__xludf.DUMMYFUNCTION("""COMPUTED_VALUE"""),"EXTERNAL")</f>
        <v>EXTERNAL</v>
      </c>
      <c r="D6742" s="115">
        <f>IFERROR(__xludf.DUMMYFUNCTION("""COMPUTED_VALUE"""),30044.0)</f>
        <v>30044</v>
      </c>
      <c r="E6742" s="115">
        <f>IFERROR(__xludf.DUMMYFUNCTION("""COMPUTED_VALUE"""),2166.0)</f>
        <v>2166</v>
      </c>
      <c r="F6742" s="115">
        <f>IFERROR(__xludf.DUMMYFUNCTION("""COMPUTED_VALUE"""),14617.0)</f>
        <v>14617</v>
      </c>
      <c r="G6742" s="115">
        <f>IFERROR(__xludf.DUMMYFUNCTION("""COMPUTED_VALUE"""),471.0)</f>
        <v>471</v>
      </c>
      <c r="H6742" s="116">
        <f>IFERROR(__xludf.DUMMYFUNCTION("""COMPUTED_VALUE"""),45912.0)</f>
        <v>45912</v>
      </c>
      <c r="I6742" s="115" t="str">
        <f>IFERROR(__xludf.DUMMYFUNCTION("""COMPUTED_VALUE"""),"19")</f>
        <v>19</v>
      </c>
      <c r="J6742" s="115"/>
      <c r="K6742" s="115"/>
    </row>
    <row r="6743">
      <c r="A6743" s="115" t="str">
        <f>IFERROR(__xludf.DUMMYFUNCTION("""COMPUTED_VALUE"""),"SOUTH")</f>
        <v>SOUTH</v>
      </c>
      <c r="B6743" s="115" t="str">
        <f>IFERROR(__xludf.DUMMYFUNCTION("""COMPUTED_VALUE"""),"Premkumar M")</f>
        <v>Premkumar M</v>
      </c>
      <c r="C6743" s="115" t="str">
        <f>IFERROR(__xludf.DUMMYFUNCTION("""COMPUTED_VALUE"""),"FLIPKART")</f>
        <v>FLIPKART</v>
      </c>
      <c r="D6743" s="115">
        <f>IFERROR(__xludf.DUMMYFUNCTION("""COMPUTED_VALUE"""),319909.0)</f>
        <v>319909</v>
      </c>
      <c r="E6743" s="115">
        <f>IFERROR(__xludf.DUMMYFUNCTION("""COMPUTED_VALUE"""),18638.0)</f>
        <v>18638</v>
      </c>
      <c r="F6743" s="115">
        <f>IFERROR(__xludf.DUMMYFUNCTION("""COMPUTED_VALUE"""),231187.0)</f>
        <v>231187</v>
      </c>
      <c r="G6743" s="115">
        <f>IFERROR(__xludf.DUMMYFUNCTION("""COMPUTED_VALUE"""),6700.0)</f>
        <v>6700</v>
      </c>
      <c r="H6743" s="116">
        <f>IFERROR(__xludf.DUMMYFUNCTION("""COMPUTED_VALUE"""),45912.0)</f>
        <v>45912</v>
      </c>
      <c r="I6743" s="115" t="str">
        <f>IFERROR(__xludf.DUMMYFUNCTION("""COMPUTED_VALUE"""),"19")</f>
        <v>19</v>
      </c>
      <c r="J6743" s="115"/>
      <c r="K6743" s="115"/>
    </row>
    <row r="6744">
      <c r="A6744" s="115" t="str">
        <f>IFERROR(__xludf.DUMMYFUNCTION("""COMPUTED_VALUE"""),"SOUTH")</f>
        <v>SOUTH</v>
      </c>
      <c r="B6744" s="115" t="str">
        <f>IFERROR(__xludf.DUMMYFUNCTION("""COMPUTED_VALUE"""),"Premkumar M")</f>
        <v>Premkumar M</v>
      </c>
      <c r="C6744" s="115" t="str">
        <f>IFERROR(__xludf.DUMMYFUNCTION("""COMPUTED_VALUE"""),"MYNTRA")</f>
        <v>MYNTRA</v>
      </c>
      <c r="D6744" s="115">
        <f>IFERROR(__xludf.DUMMYFUNCTION("""COMPUTED_VALUE"""),16220.0)</f>
        <v>16220</v>
      </c>
      <c r="E6744" s="115">
        <f>IFERROR(__xludf.DUMMYFUNCTION("""COMPUTED_VALUE"""),2792.0)</f>
        <v>2792</v>
      </c>
      <c r="F6744" s="115">
        <f>IFERROR(__xludf.DUMMYFUNCTION("""COMPUTED_VALUE"""),13049.0)</f>
        <v>13049</v>
      </c>
      <c r="G6744" s="115">
        <f>IFERROR(__xludf.DUMMYFUNCTION("""COMPUTED_VALUE"""),1097.0)</f>
        <v>1097</v>
      </c>
      <c r="H6744" s="116">
        <f>IFERROR(__xludf.DUMMYFUNCTION("""COMPUTED_VALUE"""),45912.0)</f>
        <v>45912</v>
      </c>
      <c r="I6744" s="115" t="str">
        <f>IFERROR(__xludf.DUMMYFUNCTION("""COMPUTED_VALUE"""),"19")</f>
        <v>19</v>
      </c>
      <c r="J6744" s="115"/>
      <c r="K6744" s="115"/>
    </row>
    <row r="6745">
      <c r="A6745" s="115" t="str">
        <f>IFERROR(__xludf.DUMMYFUNCTION("""COMPUTED_VALUE"""),"SOUTH")</f>
        <v>SOUTH</v>
      </c>
      <c r="B6745" s="115" t="str">
        <f>IFERROR(__xludf.DUMMYFUNCTION("""COMPUTED_VALUE"""),"Vineeth V")</f>
        <v>Vineeth V</v>
      </c>
      <c r="C6745" s="115" t="str">
        <f>IFERROR(__xludf.DUMMYFUNCTION("""COMPUTED_VALUE"""),"EXTERNAL")</f>
        <v>EXTERNAL</v>
      </c>
      <c r="D6745" s="115">
        <f>IFERROR(__xludf.DUMMYFUNCTION("""COMPUTED_VALUE"""),21337.0)</f>
        <v>21337</v>
      </c>
      <c r="E6745" s="115">
        <f>IFERROR(__xludf.DUMMYFUNCTION("""COMPUTED_VALUE"""),562.0)</f>
        <v>562</v>
      </c>
      <c r="F6745" s="115">
        <f>IFERROR(__xludf.DUMMYFUNCTION("""COMPUTED_VALUE"""),11316.0)</f>
        <v>11316</v>
      </c>
      <c r="G6745" s="115">
        <f>IFERROR(__xludf.DUMMYFUNCTION("""COMPUTED_VALUE"""),249.0)</f>
        <v>249</v>
      </c>
      <c r="H6745" s="116">
        <f>IFERROR(__xludf.DUMMYFUNCTION("""COMPUTED_VALUE"""),45912.0)</f>
        <v>45912</v>
      </c>
      <c r="I6745" s="115" t="str">
        <f>IFERROR(__xludf.DUMMYFUNCTION("""COMPUTED_VALUE"""),"19")</f>
        <v>19</v>
      </c>
      <c r="J6745" s="115"/>
      <c r="K6745" s="115"/>
    </row>
    <row r="6746">
      <c r="A6746" s="115" t="str">
        <f>IFERROR(__xludf.DUMMYFUNCTION("""COMPUTED_VALUE"""),"SOUTH")</f>
        <v>SOUTH</v>
      </c>
      <c r="B6746" s="115" t="str">
        <f>IFERROR(__xludf.DUMMYFUNCTION("""COMPUTED_VALUE"""),"Vineeth V")</f>
        <v>Vineeth V</v>
      </c>
      <c r="C6746" s="115" t="str">
        <f>IFERROR(__xludf.DUMMYFUNCTION("""COMPUTED_VALUE"""),"FLIPKART")</f>
        <v>FLIPKART</v>
      </c>
      <c r="D6746" s="115">
        <f>IFERROR(__xludf.DUMMYFUNCTION("""COMPUTED_VALUE"""),222970.0)</f>
        <v>222970</v>
      </c>
      <c r="E6746" s="115">
        <f>IFERROR(__xludf.DUMMYFUNCTION("""COMPUTED_VALUE"""),13410.0)</f>
        <v>13410</v>
      </c>
      <c r="F6746" s="115">
        <f>IFERROR(__xludf.DUMMYFUNCTION("""COMPUTED_VALUE"""),181297.0)</f>
        <v>181297</v>
      </c>
      <c r="G6746" s="115">
        <f>IFERROR(__xludf.DUMMYFUNCTION("""COMPUTED_VALUE"""),6505.0)</f>
        <v>6505</v>
      </c>
      <c r="H6746" s="116">
        <f>IFERROR(__xludf.DUMMYFUNCTION("""COMPUTED_VALUE"""),45912.0)</f>
        <v>45912</v>
      </c>
      <c r="I6746" s="115" t="str">
        <f>IFERROR(__xludf.DUMMYFUNCTION("""COMPUTED_VALUE"""),"19")</f>
        <v>19</v>
      </c>
      <c r="J6746" s="115"/>
      <c r="K6746" s="115"/>
    </row>
    <row r="6747">
      <c r="A6747" s="115" t="str">
        <f>IFERROR(__xludf.DUMMYFUNCTION("""COMPUTED_VALUE"""),"SOUTH")</f>
        <v>SOUTH</v>
      </c>
      <c r="B6747" s="115" t="str">
        <f>IFERROR(__xludf.DUMMYFUNCTION("""COMPUTED_VALUE"""),"Vineeth V")</f>
        <v>Vineeth V</v>
      </c>
      <c r="C6747" s="115" t="str">
        <f>IFERROR(__xludf.DUMMYFUNCTION("""COMPUTED_VALUE"""),"MYNTRA")</f>
        <v>MYNTRA</v>
      </c>
      <c r="D6747" s="115">
        <f>IFERROR(__xludf.DUMMYFUNCTION("""COMPUTED_VALUE"""),17042.0)</f>
        <v>17042</v>
      </c>
      <c r="E6747" s="115">
        <f>IFERROR(__xludf.DUMMYFUNCTION("""COMPUTED_VALUE"""),3257.0)</f>
        <v>3257</v>
      </c>
      <c r="F6747" s="115">
        <f>IFERROR(__xludf.DUMMYFUNCTION("""COMPUTED_VALUE"""),14628.0)</f>
        <v>14628</v>
      </c>
      <c r="G6747" s="115">
        <f>IFERROR(__xludf.DUMMYFUNCTION("""COMPUTED_VALUE"""),1694.0)</f>
        <v>1694</v>
      </c>
      <c r="H6747" s="116">
        <f>IFERROR(__xludf.DUMMYFUNCTION("""COMPUTED_VALUE"""),45912.0)</f>
        <v>45912</v>
      </c>
      <c r="I6747" s="115" t="str">
        <f>IFERROR(__xludf.DUMMYFUNCTION("""COMPUTED_VALUE"""),"19")</f>
        <v>19</v>
      </c>
      <c r="J6747" s="115"/>
      <c r="K6747" s="115"/>
    </row>
    <row r="6748">
      <c r="A6748" s="115" t="str">
        <f>IFERROR(__xludf.DUMMYFUNCTION("""COMPUTED_VALUE"""),"WEST")</f>
        <v>WEST</v>
      </c>
      <c r="B6748" s="115" t="str">
        <f>IFERROR(__xludf.DUMMYFUNCTION("""COMPUTED_VALUE"""),"Ashish Jakar")</f>
        <v>Ashish Jakar</v>
      </c>
      <c r="C6748" s="115" t="str">
        <f>IFERROR(__xludf.DUMMYFUNCTION("""COMPUTED_VALUE"""),"EXTERNAL")</f>
        <v>EXTERNAL</v>
      </c>
      <c r="D6748" s="115">
        <f>IFERROR(__xludf.DUMMYFUNCTION("""COMPUTED_VALUE"""),62517.0)</f>
        <v>62517</v>
      </c>
      <c r="E6748" s="115">
        <f>IFERROR(__xludf.DUMMYFUNCTION("""COMPUTED_VALUE"""),6278.0)</f>
        <v>6278</v>
      </c>
      <c r="F6748" s="115">
        <f>IFERROR(__xludf.DUMMYFUNCTION("""COMPUTED_VALUE"""),26061.0)</f>
        <v>26061</v>
      </c>
      <c r="G6748" s="115">
        <f>IFERROR(__xludf.DUMMYFUNCTION("""COMPUTED_VALUE"""),2298.0)</f>
        <v>2298</v>
      </c>
      <c r="H6748" s="116">
        <f>IFERROR(__xludf.DUMMYFUNCTION("""COMPUTED_VALUE"""),45912.0)</f>
        <v>45912</v>
      </c>
      <c r="I6748" s="115" t="str">
        <f>IFERROR(__xludf.DUMMYFUNCTION("""COMPUTED_VALUE"""),"19")</f>
        <v>19</v>
      </c>
      <c r="J6748" s="115"/>
      <c r="K6748" s="115"/>
    </row>
    <row r="6749">
      <c r="A6749" s="115" t="str">
        <f>IFERROR(__xludf.DUMMYFUNCTION("""COMPUTED_VALUE"""),"WEST")</f>
        <v>WEST</v>
      </c>
      <c r="B6749" s="115" t="str">
        <f>IFERROR(__xludf.DUMMYFUNCTION("""COMPUTED_VALUE"""),"Ashish Jakar")</f>
        <v>Ashish Jakar</v>
      </c>
      <c r="C6749" s="115" t="str">
        <f>IFERROR(__xludf.DUMMYFUNCTION("""COMPUTED_VALUE"""),"FLIPKART")</f>
        <v>FLIPKART</v>
      </c>
      <c r="D6749" s="115">
        <f>IFERROR(__xludf.DUMMYFUNCTION("""COMPUTED_VALUE"""),458766.0)</f>
        <v>458766</v>
      </c>
      <c r="E6749" s="115">
        <f>IFERROR(__xludf.DUMMYFUNCTION("""COMPUTED_VALUE"""),35201.0)</f>
        <v>35201</v>
      </c>
      <c r="F6749" s="115">
        <f>IFERROR(__xludf.DUMMYFUNCTION("""COMPUTED_VALUE"""),323042.0)</f>
        <v>323042</v>
      </c>
      <c r="G6749" s="115">
        <f>IFERROR(__xludf.DUMMYFUNCTION("""COMPUTED_VALUE"""),18194.0)</f>
        <v>18194</v>
      </c>
      <c r="H6749" s="116">
        <f>IFERROR(__xludf.DUMMYFUNCTION("""COMPUTED_VALUE"""),45912.0)</f>
        <v>45912</v>
      </c>
      <c r="I6749" s="115" t="str">
        <f>IFERROR(__xludf.DUMMYFUNCTION("""COMPUTED_VALUE"""),"19")</f>
        <v>19</v>
      </c>
      <c r="J6749" s="115"/>
      <c r="K6749" s="115"/>
    </row>
    <row r="6750">
      <c r="A6750" s="115" t="str">
        <f>IFERROR(__xludf.DUMMYFUNCTION("""COMPUTED_VALUE"""),"WEST")</f>
        <v>WEST</v>
      </c>
      <c r="B6750" s="115" t="str">
        <f>IFERROR(__xludf.DUMMYFUNCTION("""COMPUTED_VALUE"""),"Ashish Jakar")</f>
        <v>Ashish Jakar</v>
      </c>
      <c r="C6750" s="115" t="str">
        <f>IFERROR(__xludf.DUMMYFUNCTION("""COMPUTED_VALUE"""),"MYNTRA")</f>
        <v>MYNTRA</v>
      </c>
      <c r="D6750" s="115">
        <f>IFERROR(__xludf.DUMMYFUNCTION("""COMPUTED_VALUE"""),50003.0)</f>
        <v>50003</v>
      </c>
      <c r="E6750" s="115">
        <f>IFERROR(__xludf.DUMMYFUNCTION("""COMPUTED_VALUE"""),11813.0)</f>
        <v>11813</v>
      </c>
      <c r="F6750" s="115">
        <f>IFERROR(__xludf.DUMMYFUNCTION("""COMPUTED_VALUE"""),39809.0)</f>
        <v>39809</v>
      </c>
      <c r="G6750" s="115">
        <f>IFERROR(__xludf.DUMMYFUNCTION("""COMPUTED_VALUE"""),6763.0)</f>
        <v>6763</v>
      </c>
      <c r="H6750" s="116">
        <f>IFERROR(__xludf.DUMMYFUNCTION("""COMPUTED_VALUE"""),45912.0)</f>
        <v>45912</v>
      </c>
      <c r="I6750" s="115" t="str">
        <f>IFERROR(__xludf.DUMMYFUNCTION("""COMPUTED_VALUE"""),"19")</f>
        <v>19</v>
      </c>
      <c r="J6750" s="115"/>
      <c r="K6750" s="115"/>
    </row>
    <row r="6751">
      <c r="A6751" s="115" t="str">
        <f>IFERROR(__xludf.DUMMYFUNCTION("""COMPUTED_VALUE"""),"WEST")</f>
        <v>WEST</v>
      </c>
      <c r="B6751" s="115" t="str">
        <f>IFERROR(__xludf.DUMMYFUNCTION("""COMPUTED_VALUE"""),"Ashvani Bhatt")</f>
        <v>Ashvani Bhatt</v>
      </c>
      <c r="C6751" s="115" t="str">
        <f>IFERROR(__xludf.DUMMYFUNCTION("""COMPUTED_VALUE"""),"EXTERNAL")</f>
        <v>EXTERNAL</v>
      </c>
      <c r="D6751" s="115">
        <f>IFERROR(__xludf.DUMMYFUNCTION("""COMPUTED_VALUE"""),39984.0)</f>
        <v>39984</v>
      </c>
      <c r="E6751" s="115">
        <f>IFERROR(__xludf.DUMMYFUNCTION("""COMPUTED_VALUE"""),3133.0)</f>
        <v>3133</v>
      </c>
      <c r="F6751" s="115">
        <f>IFERROR(__xludf.DUMMYFUNCTION("""COMPUTED_VALUE"""),17278.0)</f>
        <v>17278</v>
      </c>
      <c r="G6751" s="115">
        <f>IFERROR(__xludf.DUMMYFUNCTION("""COMPUTED_VALUE"""),1221.0)</f>
        <v>1221</v>
      </c>
      <c r="H6751" s="116">
        <f>IFERROR(__xludf.DUMMYFUNCTION("""COMPUTED_VALUE"""),45912.0)</f>
        <v>45912</v>
      </c>
      <c r="I6751" s="115" t="str">
        <f>IFERROR(__xludf.DUMMYFUNCTION("""COMPUTED_VALUE"""),"19")</f>
        <v>19</v>
      </c>
      <c r="J6751" s="115"/>
      <c r="K6751" s="115"/>
    </row>
    <row r="6752">
      <c r="A6752" s="115" t="str">
        <f>IFERROR(__xludf.DUMMYFUNCTION("""COMPUTED_VALUE"""),"WEST")</f>
        <v>WEST</v>
      </c>
      <c r="B6752" s="115" t="str">
        <f>IFERROR(__xludf.DUMMYFUNCTION("""COMPUTED_VALUE"""),"Ashvani Bhatt")</f>
        <v>Ashvani Bhatt</v>
      </c>
      <c r="C6752" s="115" t="str">
        <f>IFERROR(__xludf.DUMMYFUNCTION("""COMPUTED_VALUE"""),"FLIPKART")</f>
        <v>FLIPKART</v>
      </c>
      <c r="D6752" s="115">
        <f>IFERROR(__xludf.DUMMYFUNCTION("""COMPUTED_VALUE"""),345657.0)</f>
        <v>345657</v>
      </c>
      <c r="E6752" s="115">
        <f>IFERROR(__xludf.DUMMYFUNCTION("""COMPUTED_VALUE"""),29352.0)</f>
        <v>29352</v>
      </c>
      <c r="F6752" s="115">
        <f>IFERROR(__xludf.DUMMYFUNCTION("""COMPUTED_VALUE"""),263317.0)</f>
        <v>263317</v>
      </c>
      <c r="G6752" s="115">
        <f>IFERROR(__xludf.DUMMYFUNCTION("""COMPUTED_VALUE"""),16843.0)</f>
        <v>16843</v>
      </c>
      <c r="H6752" s="116">
        <f>IFERROR(__xludf.DUMMYFUNCTION("""COMPUTED_VALUE"""),45912.0)</f>
        <v>45912</v>
      </c>
      <c r="I6752" s="115" t="str">
        <f>IFERROR(__xludf.DUMMYFUNCTION("""COMPUTED_VALUE"""),"19")</f>
        <v>19</v>
      </c>
      <c r="J6752" s="115"/>
      <c r="K6752" s="115"/>
    </row>
    <row r="6753">
      <c r="A6753" s="115" t="str">
        <f>IFERROR(__xludf.DUMMYFUNCTION("""COMPUTED_VALUE"""),"WEST")</f>
        <v>WEST</v>
      </c>
      <c r="B6753" s="115" t="str">
        <f>IFERROR(__xludf.DUMMYFUNCTION("""COMPUTED_VALUE"""),"Ashvani Bhatt")</f>
        <v>Ashvani Bhatt</v>
      </c>
      <c r="C6753" s="115" t="str">
        <f>IFERROR(__xludf.DUMMYFUNCTION("""COMPUTED_VALUE"""),"MYNTRA")</f>
        <v>MYNTRA</v>
      </c>
      <c r="D6753" s="115">
        <f>IFERROR(__xludf.DUMMYFUNCTION("""COMPUTED_VALUE"""),36617.0)</f>
        <v>36617</v>
      </c>
      <c r="E6753" s="115">
        <f>IFERROR(__xludf.DUMMYFUNCTION("""COMPUTED_VALUE"""),9084.0)</f>
        <v>9084</v>
      </c>
      <c r="F6753" s="115">
        <f>IFERROR(__xludf.DUMMYFUNCTION("""COMPUTED_VALUE"""),30640.0)</f>
        <v>30640</v>
      </c>
      <c r="G6753" s="115">
        <f>IFERROR(__xludf.DUMMYFUNCTION("""COMPUTED_VALUE"""),5699.0)</f>
        <v>5699</v>
      </c>
      <c r="H6753" s="116">
        <f>IFERROR(__xludf.DUMMYFUNCTION("""COMPUTED_VALUE"""),45912.0)</f>
        <v>45912</v>
      </c>
      <c r="I6753" s="115" t="str">
        <f>IFERROR(__xludf.DUMMYFUNCTION("""COMPUTED_VALUE"""),"19")</f>
        <v>19</v>
      </c>
      <c r="J6753" s="115"/>
      <c r="K6753" s="115"/>
    </row>
    <row r="6754">
      <c r="A6754" s="115"/>
      <c r="B6754" s="115"/>
      <c r="C6754" s="115" t="str">
        <f>IFERROR(__xludf.DUMMYFUNCTION("""COMPUTED_VALUE"""),"EXTERNAL")</f>
        <v>EXTERNAL</v>
      </c>
      <c r="D6754" s="115">
        <f>IFERROR(__xludf.DUMMYFUNCTION("""COMPUTED_VALUE"""),1425.0)</f>
        <v>1425</v>
      </c>
      <c r="E6754" s="115">
        <f>IFERROR(__xludf.DUMMYFUNCTION("""COMPUTED_VALUE"""),242.0)</f>
        <v>242</v>
      </c>
      <c r="F6754" s="115">
        <f>IFERROR(__xludf.DUMMYFUNCTION("""COMPUTED_VALUE"""),677.0)</f>
        <v>677</v>
      </c>
      <c r="G6754" s="115">
        <f>IFERROR(__xludf.DUMMYFUNCTION("""COMPUTED_VALUE"""),145.0)</f>
        <v>145</v>
      </c>
      <c r="H6754" s="116">
        <f>IFERROR(__xludf.DUMMYFUNCTION("""COMPUTED_VALUE"""),45912.0)</f>
        <v>45912</v>
      </c>
      <c r="I6754" s="115" t="str">
        <f>IFERROR(__xludf.DUMMYFUNCTION("""COMPUTED_VALUE"""),"19")</f>
        <v>19</v>
      </c>
      <c r="J6754" s="115"/>
      <c r="K6754" s="115"/>
    </row>
    <row r="6755">
      <c r="A6755" s="115"/>
      <c r="B6755" s="115"/>
      <c r="C6755" s="115" t="str">
        <f>IFERROR(__xludf.DUMMYFUNCTION("""COMPUTED_VALUE"""),"FLIPKART")</f>
        <v>FLIPKART</v>
      </c>
      <c r="D6755" s="115">
        <f>IFERROR(__xludf.DUMMYFUNCTION("""COMPUTED_VALUE"""),16107.0)</f>
        <v>16107</v>
      </c>
      <c r="E6755" s="115">
        <f>IFERROR(__xludf.DUMMYFUNCTION("""COMPUTED_VALUE"""),1394.0)</f>
        <v>1394</v>
      </c>
      <c r="F6755" s="115">
        <f>IFERROR(__xludf.DUMMYFUNCTION("""COMPUTED_VALUE"""),11708.0)</f>
        <v>11708</v>
      </c>
      <c r="G6755" s="115">
        <f>IFERROR(__xludf.DUMMYFUNCTION("""COMPUTED_VALUE"""),858.0)</f>
        <v>858</v>
      </c>
      <c r="H6755" s="116">
        <f>IFERROR(__xludf.DUMMYFUNCTION("""COMPUTED_VALUE"""),45912.0)</f>
        <v>45912</v>
      </c>
      <c r="I6755" s="115" t="str">
        <f>IFERROR(__xludf.DUMMYFUNCTION("""COMPUTED_VALUE"""),"19")</f>
        <v>19</v>
      </c>
      <c r="J6755" s="115"/>
      <c r="K6755" s="115"/>
    </row>
    <row r="6756">
      <c r="A6756" s="115"/>
      <c r="B6756" s="115"/>
      <c r="C6756" s="115" t="str">
        <f>IFERROR(__xludf.DUMMYFUNCTION("""COMPUTED_VALUE"""),"MYNTRA")</f>
        <v>MYNTRA</v>
      </c>
      <c r="D6756" s="115">
        <f>IFERROR(__xludf.DUMMYFUNCTION("""COMPUTED_VALUE"""),1800.0)</f>
        <v>1800</v>
      </c>
      <c r="E6756" s="115">
        <f>IFERROR(__xludf.DUMMYFUNCTION("""COMPUTED_VALUE"""),415.0)</f>
        <v>415</v>
      </c>
      <c r="F6756" s="115">
        <f>IFERROR(__xludf.DUMMYFUNCTION("""COMPUTED_VALUE"""),1496.0)</f>
        <v>1496</v>
      </c>
      <c r="G6756" s="115">
        <f>IFERROR(__xludf.DUMMYFUNCTION("""COMPUTED_VALUE"""),288.0)</f>
        <v>288</v>
      </c>
      <c r="H6756" s="116">
        <f>IFERROR(__xludf.DUMMYFUNCTION("""COMPUTED_VALUE"""),45912.0)</f>
        <v>45912</v>
      </c>
      <c r="I6756" s="115" t="str">
        <f>IFERROR(__xludf.DUMMYFUNCTION("""COMPUTED_VALUE"""),"19")</f>
        <v>19</v>
      </c>
      <c r="J6756" s="115"/>
      <c r="K6756" s="115"/>
    </row>
    <row r="6757">
      <c r="A6757" s="115" t="str">
        <f>IFERROR(__xludf.DUMMYFUNCTION("""COMPUTED_VALUE"""),"EAST")</f>
        <v>EAST</v>
      </c>
      <c r="B6757" s="115" t="str">
        <f>IFERROR(__xludf.DUMMYFUNCTION("""COMPUTED_VALUE"""),"Ashish Ranjan")</f>
        <v>Ashish Ranjan</v>
      </c>
      <c r="C6757" s="115" t="str">
        <f>IFERROR(__xludf.DUMMYFUNCTION("""COMPUTED_VALUE"""),"EXTERNAL")</f>
        <v>EXTERNAL</v>
      </c>
      <c r="D6757" s="115">
        <f>IFERROR(__xludf.DUMMYFUNCTION("""COMPUTED_VALUE"""),44044.0)</f>
        <v>44044</v>
      </c>
      <c r="E6757" s="115">
        <f>IFERROR(__xludf.DUMMYFUNCTION("""COMPUTED_VALUE"""),3318.0)</f>
        <v>3318</v>
      </c>
      <c r="F6757" s="115">
        <f>IFERROR(__xludf.DUMMYFUNCTION("""COMPUTED_VALUE"""),24955.0)</f>
        <v>24955</v>
      </c>
      <c r="G6757" s="115">
        <f>IFERROR(__xludf.DUMMYFUNCTION("""COMPUTED_VALUE"""),1652.0)</f>
        <v>1652</v>
      </c>
      <c r="H6757" s="116">
        <f>IFERROR(__xludf.DUMMYFUNCTION("""COMPUTED_VALUE"""),45912.0)</f>
        <v>45912</v>
      </c>
      <c r="I6757" s="115" t="str">
        <f>IFERROR(__xludf.DUMMYFUNCTION("""COMPUTED_VALUE"""),"20")</f>
        <v>20</v>
      </c>
      <c r="J6757" s="115"/>
      <c r="K6757" s="115"/>
    </row>
    <row r="6758">
      <c r="A6758" s="115" t="str">
        <f>IFERROR(__xludf.DUMMYFUNCTION("""COMPUTED_VALUE"""),"EAST")</f>
        <v>EAST</v>
      </c>
      <c r="B6758" s="115" t="str">
        <f>IFERROR(__xludf.DUMMYFUNCTION("""COMPUTED_VALUE"""),"Ashish Ranjan")</f>
        <v>Ashish Ranjan</v>
      </c>
      <c r="C6758" s="115" t="str">
        <f>IFERROR(__xludf.DUMMYFUNCTION("""COMPUTED_VALUE"""),"FLIPKART")</f>
        <v>FLIPKART</v>
      </c>
      <c r="D6758" s="115">
        <f>IFERROR(__xludf.DUMMYFUNCTION("""COMPUTED_VALUE"""),806028.0)</f>
        <v>806028</v>
      </c>
      <c r="E6758" s="115">
        <f>IFERROR(__xludf.DUMMYFUNCTION("""COMPUTED_VALUE"""),67024.0)</f>
        <v>67024</v>
      </c>
      <c r="F6758" s="115">
        <f>IFERROR(__xludf.DUMMYFUNCTION("""COMPUTED_VALUE"""),702324.0)</f>
        <v>702324</v>
      </c>
      <c r="G6758" s="115">
        <f>IFERROR(__xludf.DUMMYFUNCTION("""COMPUTED_VALUE"""),49153.0)</f>
        <v>49153</v>
      </c>
      <c r="H6758" s="116">
        <f>IFERROR(__xludf.DUMMYFUNCTION("""COMPUTED_VALUE"""),45912.0)</f>
        <v>45912</v>
      </c>
      <c r="I6758" s="115" t="str">
        <f>IFERROR(__xludf.DUMMYFUNCTION("""COMPUTED_VALUE"""),"20")</f>
        <v>20</v>
      </c>
      <c r="J6758" s="115"/>
      <c r="K6758" s="115"/>
    </row>
    <row r="6759">
      <c r="A6759" s="115" t="str">
        <f>IFERROR(__xludf.DUMMYFUNCTION("""COMPUTED_VALUE"""),"EAST")</f>
        <v>EAST</v>
      </c>
      <c r="B6759" s="115" t="str">
        <f>IFERROR(__xludf.DUMMYFUNCTION("""COMPUTED_VALUE"""),"Ashish Ranjan")</f>
        <v>Ashish Ranjan</v>
      </c>
      <c r="C6759" s="115" t="str">
        <f>IFERROR(__xludf.DUMMYFUNCTION("""COMPUTED_VALUE"""),"MYNTRA")</f>
        <v>MYNTRA</v>
      </c>
      <c r="D6759" s="115">
        <f>IFERROR(__xludf.DUMMYFUNCTION("""COMPUTED_VALUE"""),84747.0)</f>
        <v>84747</v>
      </c>
      <c r="E6759" s="115">
        <f>IFERROR(__xludf.DUMMYFUNCTION("""COMPUTED_VALUE"""),16031.0)</f>
        <v>16031</v>
      </c>
      <c r="F6759" s="115">
        <f>IFERROR(__xludf.DUMMYFUNCTION("""COMPUTED_VALUE"""),74243.0)</f>
        <v>74243</v>
      </c>
      <c r="G6759" s="115">
        <f>IFERROR(__xludf.DUMMYFUNCTION("""COMPUTED_VALUE"""),11558.0)</f>
        <v>11558</v>
      </c>
      <c r="H6759" s="116">
        <f>IFERROR(__xludf.DUMMYFUNCTION("""COMPUTED_VALUE"""),45912.0)</f>
        <v>45912</v>
      </c>
      <c r="I6759" s="115" t="str">
        <f>IFERROR(__xludf.DUMMYFUNCTION("""COMPUTED_VALUE"""),"20")</f>
        <v>20</v>
      </c>
      <c r="J6759" s="115"/>
      <c r="K6759" s="115"/>
    </row>
    <row r="6760">
      <c r="A6760" s="115" t="str">
        <f>IFERROR(__xludf.DUMMYFUNCTION("""COMPUTED_VALUE"""),"EAST")</f>
        <v>EAST</v>
      </c>
      <c r="B6760" s="115" t="str">
        <f>IFERROR(__xludf.DUMMYFUNCTION("""COMPUTED_VALUE"""),"Girish Chand")</f>
        <v>Girish Chand</v>
      </c>
      <c r="C6760" s="115" t="str">
        <f>IFERROR(__xludf.DUMMYFUNCTION("""COMPUTED_VALUE"""),"EXTERNAL")</f>
        <v>EXTERNAL</v>
      </c>
      <c r="D6760" s="115">
        <f>IFERROR(__xludf.DUMMYFUNCTION("""COMPUTED_VALUE"""),23613.0)</f>
        <v>23613</v>
      </c>
      <c r="E6760" s="115">
        <f>IFERROR(__xludf.DUMMYFUNCTION("""COMPUTED_VALUE"""),2110.0)</f>
        <v>2110</v>
      </c>
      <c r="F6760" s="115">
        <f>IFERROR(__xludf.DUMMYFUNCTION("""COMPUTED_VALUE"""),10888.0)</f>
        <v>10888</v>
      </c>
      <c r="G6760" s="115">
        <f>IFERROR(__xludf.DUMMYFUNCTION("""COMPUTED_VALUE"""),685.0)</f>
        <v>685</v>
      </c>
      <c r="H6760" s="116">
        <f>IFERROR(__xludf.DUMMYFUNCTION("""COMPUTED_VALUE"""),45912.0)</f>
        <v>45912</v>
      </c>
      <c r="I6760" s="115" t="str">
        <f>IFERROR(__xludf.DUMMYFUNCTION("""COMPUTED_VALUE"""),"20")</f>
        <v>20</v>
      </c>
      <c r="J6760" s="115"/>
      <c r="K6760" s="115"/>
    </row>
    <row r="6761">
      <c r="A6761" s="115" t="str">
        <f>IFERROR(__xludf.DUMMYFUNCTION("""COMPUTED_VALUE"""),"EAST")</f>
        <v>EAST</v>
      </c>
      <c r="B6761" s="115" t="str">
        <f>IFERROR(__xludf.DUMMYFUNCTION("""COMPUTED_VALUE"""),"Girish Chand")</f>
        <v>Girish Chand</v>
      </c>
      <c r="C6761" s="115" t="str">
        <f>IFERROR(__xludf.DUMMYFUNCTION("""COMPUTED_VALUE"""),"FLIPKART")</f>
        <v>FLIPKART</v>
      </c>
      <c r="D6761" s="115">
        <f>IFERROR(__xludf.DUMMYFUNCTION("""COMPUTED_VALUE"""),481986.0)</f>
        <v>481986</v>
      </c>
      <c r="E6761" s="115">
        <f>IFERROR(__xludf.DUMMYFUNCTION("""COMPUTED_VALUE"""),37927.0)</f>
        <v>37927</v>
      </c>
      <c r="F6761" s="115">
        <f>IFERROR(__xludf.DUMMYFUNCTION("""COMPUTED_VALUE"""),366778.0)</f>
        <v>366778</v>
      </c>
      <c r="G6761" s="115">
        <f>IFERROR(__xludf.DUMMYFUNCTION("""COMPUTED_VALUE"""),25451.0)</f>
        <v>25451</v>
      </c>
      <c r="H6761" s="116">
        <f>IFERROR(__xludf.DUMMYFUNCTION("""COMPUTED_VALUE"""),45912.0)</f>
        <v>45912</v>
      </c>
      <c r="I6761" s="115" t="str">
        <f>IFERROR(__xludf.DUMMYFUNCTION("""COMPUTED_VALUE"""),"20")</f>
        <v>20</v>
      </c>
      <c r="J6761" s="115"/>
      <c r="K6761" s="115"/>
    </row>
    <row r="6762">
      <c r="A6762" s="115" t="str">
        <f>IFERROR(__xludf.DUMMYFUNCTION("""COMPUTED_VALUE"""),"EAST")</f>
        <v>EAST</v>
      </c>
      <c r="B6762" s="115" t="str">
        <f>IFERROR(__xludf.DUMMYFUNCTION("""COMPUTED_VALUE"""),"Girish Chand")</f>
        <v>Girish Chand</v>
      </c>
      <c r="C6762" s="115" t="str">
        <f>IFERROR(__xludf.DUMMYFUNCTION("""COMPUTED_VALUE"""),"MYNTRA")</f>
        <v>MYNTRA</v>
      </c>
      <c r="D6762" s="115">
        <f>IFERROR(__xludf.DUMMYFUNCTION("""COMPUTED_VALUE"""),36268.0)</f>
        <v>36268</v>
      </c>
      <c r="E6762" s="115">
        <f>IFERROR(__xludf.DUMMYFUNCTION("""COMPUTED_VALUE"""),7208.0)</f>
        <v>7208</v>
      </c>
      <c r="F6762" s="115">
        <f>IFERROR(__xludf.DUMMYFUNCTION("""COMPUTED_VALUE"""),28643.0)</f>
        <v>28643</v>
      </c>
      <c r="G6762" s="115">
        <f>IFERROR(__xludf.DUMMYFUNCTION("""COMPUTED_VALUE"""),4972.0)</f>
        <v>4972</v>
      </c>
      <c r="H6762" s="116">
        <f>IFERROR(__xludf.DUMMYFUNCTION("""COMPUTED_VALUE"""),45912.0)</f>
        <v>45912</v>
      </c>
      <c r="I6762" s="115" t="str">
        <f>IFERROR(__xludf.DUMMYFUNCTION("""COMPUTED_VALUE"""),"20")</f>
        <v>20</v>
      </c>
      <c r="J6762" s="115"/>
      <c r="K6762" s="115"/>
    </row>
    <row r="6763">
      <c r="A6763" s="115" t="str">
        <f>IFERROR(__xludf.DUMMYFUNCTION("""COMPUTED_VALUE"""),"EAST")</f>
        <v>EAST</v>
      </c>
      <c r="B6763" s="115" t="str">
        <f>IFERROR(__xludf.DUMMYFUNCTION("""COMPUTED_VALUE"""),"Parag Kashyap")</f>
        <v>Parag Kashyap</v>
      </c>
      <c r="C6763" s="115" t="str">
        <f>IFERROR(__xludf.DUMMYFUNCTION("""COMPUTED_VALUE"""),"EXTERNAL")</f>
        <v>EXTERNAL</v>
      </c>
      <c r="D6763" s="115">
        <f>IFERROR(__xludf.DUMMYFUNCTION("""COMPUTED_VALUE"""),15482.0)</f>
        <v>15482</v>
      </c>
      <c r="E6763" s="115">
        <f>IFERROR(__xludf.DUMMYFUNCTION("""COMPUTED_VALUE"""),1119.0)</f>
        <v>1119</v>
      </c>
      <c r="F6763" s="115">
        <f>IFERROR(__xludf.DUMMYFUNCTION("""COMPUTED_VALUE"""),6971.0)</f>
        <v>6971</v>
      </c>
      <c r="G6763" s="115">
        <f>IFERROR(__xludf.DUMMYFUNCTION("""COMPUTED_VALUE"""),396.0)</f>
        <v>396</v>
      </c>
      <c r="H6763" s="116">
        <f>IFERROR(__xludf.DUMMYFUNCTION("""COMPUTED_VALUE"""),45912.0)</f>
        <v>45912</v>
      </c>
      <c r="I6763" s="115" t="str">
        <f>IFERROR(__xludf.DUMMYFUNCTION("""COMPUTED_VALUE"""),"20")</f>
        <v>20</v>
      </c>
      <c r="J6763" s="115"/>
      <c r="K6763" s="115"/>
    </row>
    <row r="6764">
      <c r="A6764" s="115" t="str">
        <f>IFERROR(__xludf.DUMMYFUNCTION("""COMPUTED_VALUE"""),"EAST")</f>
        <v>EAST</v>
      </c>
      <c r="B6764" s="115" t="str">
        <f>IFERROR(__xludf.DUMMYFUNCTION("""COMPUTED_VALUE"""),"Parag Kashyap")</f>
        <v>Parag Kashyap</v>
      </c>
      <c r="C6764" s="115" t="str">
        <f>IFERROR(__xludf.DUMMYFUNCTION("""COMPUTED_VALUE"""),"FLIPKART")</f>
        <v>FLIPKART</v>
      </c>
      <c r="D6764" s="115">
        <f>IFERROR(__xludf.DUMMYFUNCTION("""COMPUTED_VALUE"""),289909.0)</f>
        <v>289909</v>
      </c>
      <c r="E6764" s="115">
        <f>IFERROR(__xludf.DUMMYFUNCTION("""COMPUTED_VALUE"""),20011.0)</f>
        <v>20011</v>
      </c>
      <c r="F6764" s="115">
        <f>IFERROR(__xludf.DUMMYFUNCTION("""COMPUTED_VALUE"""),227476.0)</f>
        <v>227476</v>
      </c>
      <c r="G6764" s="115">
        <f>IFERROR(__xludf.DUMMYFUNCTION("""COMPUTED_VALUE"""),12978.0)</f>
        <v>12978</v>
      </c>
      <c r="H6764" s="116">
        <f>IFERROR(__xludf.DUMMYFUNCTION("""COMPUTED_VALUE"""),45912.0)</f>
        <v>45912</v>
      </c>
      <c r="I6764" s="115" t="str">
        <f>IFERROR(__xludf.DUMMYFUNCTION("""COMPUTED_VALUE"""),"20")</f>
        <v>20</v>
      </c>
      <c r="J6764" s="115"/>
      <c r="K6764" s="115"/>
    </row>
    <row r="6765">
      <c r="A6765" s="115" t="str">
        <f>IFERROR(__xludf.DUMMYFUNCTION("""COMPUTED_VALUE"""),"EAST")</f>
        <v>EAST</v>
      </c>
      <c r="B6765" s="115" t="str">
        <f>IFERROR(__xludf.DUMMYFUNCTION("""COMPUTED_VALUE"""),"Parag Kashyap")</f>
        <v>Parag Kashyap</v>
      </c>
      <c r="C6765" s="115" t="str">
        <f>IFERROR(__xludf.DUMMYFUNCTION("""COMPUTED_VALUE"""),"MYNTRA")</f>
        <v>MYNTRA</v>
      </c>
      <c r="D6765" s="115">
        <f>IFERROR(__xludf.DUMMYFUNCTION("""COMPUTED_VALUE"""),38315.0)</f>
        <v>38315</v>
      </c>
      <c r="E6765" s="115">
        <f>IFERROR(__xludf.DUMMYFUNCTION("""COMPUTED_VALUE"""),6268.0)</f>
        <v>6268</v>
      </c>
      <c r="F6765" s="115">
        <f>IFERROR(__xludf.DUMMYFUNCTION("""COMPUTED_VALUE"""),30893.0)</f>
        <v>30893</v>
      </c>
      <c r="G6765" s="115">
        <f>IFERROR(__xludf.DUMMYFUNCTION("""COMPUTED_VALUE"""),4109.0)</f>
        <v>4109</v>
      </c>
      <c r="H6765" s="116">
        <f>IFERROR(__xludf.DUMMYFUNCTION("""COMPUTED_VALUE"""),45912.0)</f>
        <v>45912</v>
      </c>
      <c r="I6765" s="115" t="str">
        <f>IFERROR(__xludf.DUMMYFUNCTION("""COMPUTED_VALUE"""),"20")</f>
        <v>20</v>
      </c>
      <c r="J6765" s="115"/>
      <c r="K6765" s="115"/>
    </row>
    <row r="6766">
      <c r="A6766" s="115" t="str">
        <f>IFERROR(__xludf.DUMMYFUNCTION("""COMPUTED_VALUE"""),"NORTH")</f>
        <v>NORTH</v>
      </c>
      <c r="B6766" s="115" t="str">
        <f>IFERROR(__xludf.DUMMYFUNCTION("""COMPUTED_VALUE"""),"Amit Kumar Pathak")</f>
        <v>Amit Kumar Pathak</v>
      </c>
      <c r="C6766" s="115" t="str">
        <f>IFERROR(__xludf.DUMMYFUNCTION("""COMPUTED_VALUE"""),"EXTERNAL")</f>
        <v>EXTERNAL</v>
      </c>
      <c r="D6766" s="115">
        <f>IFERROR(__xludf.DUMMYFUNCTION("""COMPUTED_VALUE"""),29634.0)</f>
        <v>29634</v>
      </c>
      <c r="E6766" s="115">
        <f>IFERROR(__xludf.DUMMYFUNCTION("""COMPUTED_VALUE"""),3450.0)</f>
        <v>3450</v>
      </c>
      <c r="F6766" s="115">
        <f>IFERROR(__xludf.DUMMYFUNCTION("""COMPUTED_VALUE"""),12646.0)</f>
        <v>12646</v>
      </c>
      <c r="G6766" s="115">
        <f>IFERROR(__xludf.DUMMYFUNCTION("""COMPUTED_VALUE"""),1691.0)</f>
        <v>1691</v>
      </c>
      <c r="H6766" s="116">
        <f>IFERROR(__xludf.DUMMYFUNCTION("""COMPUTED_VALUE"""),45912.0)</f>
        <v>45912</v>
      </c>
      <c r="I6766" s="115" t="str">
        <f>IFERROR(__xludf.DUMMYFUNCTION("""COMPUTED_VALUE"""),"20")</f>
        <v>20</v>
      </c>
      <c r="J6766" s="115"/>
      <c r="K6766" s="115"/>
    </row>
    <row r="6767">
      <c r="A6767" s="115" t="str">
        <f>IFERROR(__xludf.DUMMYFUNCTION("""COMPUTED_VALUE"""),"NORTH")</f>
        <v>NORTH</v>
      </c>
      <c r="B6767" s="115" t="str">
        <f>IFERROR(__xludf.DUMMYFUNCTION("""COMPUTED_VALUE"""),"Amit Kumar Pathak")</f>
        <v>Amit Kumar Pathak</v>
      </c>
      <c r="C6767" s="115" t="str">
        <f>IFERROR(__xludf.DUMMYFUNCTION("""COMPUTED_VALUE"""),"FLIPKART")</f>
        <v>FLIPKART</v>
      </c>
      <c r="D6767" s="115">
        <f>IFERROR(__xludf.DUMMYFUNCTION("""COMPUTED_VALUE"""),207122.0)</f>
        <v>207122</v>
      </c>
      <c r="E6767" s="115">
        <f>IFERROR(__xludf.DUMMYFUNCTION("""COMPUTED_VALUE"""),24000.0)</f>
        <v>24000</v>
      </c>
      <c r="F6767" s="115">
        <f>IFERROR(__xludf.DUMMYFUNCTION("""COMPUTED_VALUE"""),158510.0)</f>
        <v>158510</v>
      </c>
      <c r="G6767" s="115">
        <f>IFERROR(__xludf.DUMMYFUNCTION("""COMPUTED_VALUE"""),15689.0)</f>
        <v>15689</v>
      </c>
      <c r="H6767" s="116">
        <f>IFERROR(__xludf.DUMMYFUNCTION("""COMPUTED_VALUE"""),45912.0)</f>
        <v>45912</v>
      </c>
      <c r="I6767" s="115" t="str">
        <f>IFERROR(__xludf.DUMMYFUNCTION("""COMPUTED_VALUE"""),"20")</f>
        <v>20</v>
      </c>
      <c r="J6767" s="115"/>
      <c r="K6767" s="115"/>
    </row>
    <row r="6768">
      <c r="A6768" s="115" t="str">
        <f>IFERROR(__xludf.DUMMYFUNCTION("""COMPUTED_VALUE"""),"NORTH")</f>
        <v>NORTH</v>
      </c>
      <c r="B6768" s="115" t="str">
        <f>IFERROR(__xludf.DUMMYFUNCTION("""COMPUTED_VALUE"""),"Amit Kumar Pathak")</f>
        <v>Amit Kumar Pathak</v>
      </c>
      <c r="C6768" s="115" t="str">
        <f>IFERROR(__xludf.DUMMYFUNCTION("""COMPUTED_VALUE"""),"MYNTRA")</f>
        <v>MYNTRA</v>
      </c>
      <c r="D6768" s="115">
        <f>IFERROR(__xludf.DUMMYFUNCTION("""COMPUTED_VALUE"""),17858.0)</f>
        <v>17858</v>
      </c>
      <c r="E6768" s="115">
        <f>IFERROR(__xludf.DUMMYFUNCTION("""COMPUTED_VALUE"""),5769.0)</f>
        <v>5769</v>
      </c>
      <c r="F6768" s="115">
        <f>IFERROR(__xludf.DUMMYFUNCTION("""COMPUTED_VALUE"""),15281.0)</f>
        <v>15281</v>
      </c>
      <c r="G6768" s="115">
        <f>IFERROR(__xludf.DUMMYFUNCTION("""COMPUTED_VALUE"""),3924.0)</f>
        <v>3924</v>
      </c>
      <c r="H6768" s="116">
        <f>IFERROR(__xludf.DUMMYFUNCTION("""COMPUTED_VALUE"""),45912.0)</f>
        <v>45912</v>
      </c>
      <c r="I6768" s="115" t="str">
        <f>IFERROR(__xludf.DUMMYFUNCTION("""COMPUTED_VALUE"""),"20")</f>
        <v>20</v>
      </c>
      <c r="J6768" s="115"/>
      <c r="K6768" s="115"/>
    </row>
    <row r="6769">
      <c r="A6769" s="115" t="str">
        <f>IFERROR(__xludf.DUMMYFUNCTION("""COMPUTED_VALUE"""),"NORTH")</f>
        <v>NORTH</v>
      </c>
      <c r="B6769" s="115" t="str">
        <f>IFERROR(__xludf.DUMMYFUNCTION("""COMPUTED_VALUE"""),"Ashvani Bhatt")</f>
        <v>Ashvani Bhatt</v>
      </c>
      <c r="C6769" s="115" t="str">
        <f>IFERROR(__xludf.DUMMYFUNCTION("""COMPUTED_VALUE"""),"EXTERNAL")</f>
        <v>EXTERNAL</v>
      </c>
      <c r="D6769" s="115">
        <f>IFERROR(__xludf.DUMMYFUNCTION("""COMPUTED_VALUE"""),31.0)</f>
        <v>31</v>
      </c>
      <c r="E6769" s="115">
        <f>IFERROR(__xludf.DUMMYFUNCTION("""COMPUTED_VALUE"""),6.0)</f>
        <v>6</v>
      </c>
      <c r="F6769" s="115">
        <f>IFERROR(__xludf.DUMMYFUNCTION("""COMPUTED_VALUE"""),9.0)</f>
        <v>9</v>
      </c>
      <c r="G6769" s="115">
        <f>IFERROR(__xludf.DUMMYFUNCTION("""COMPUTED_VALUE"""),0.0)</f>
        <v>0</v>
      </c>
      <c r="H6769" s="116">
        <f>IFERROR(__xludf.DUMMYFUNCTION("""COMPUTED_VALUE"""),45912.0)</f>
        <v>45912</v>
      </c>
      <c r="I6769" s="115" t="str">
        <f>IFERROR(__xludf.DUMMYFUNCTION("""COMPUTED_VALUE"""),"20")</f>
        <v>20</v>
      </c>
      <c r="J6769" s="115"/>
      <c r="K6769" s="115"/>
    </row>
    <row r="6770">
      <c r="A6770" s="115" t="str">
        <f>IFERROR(__xludf.DUMMYFUNCTION("""COMPUTED_VALUE"""),"NORTH")</f>
        <v>NORTH</v>
      </c>
      <c r="B6770" s="115" t="str">
        <f>IFERROR(__xludf.DUMMYFUNCTION("""COMPUTED_VALUE"""),"Ashvani Bhatt")</f>
        <v>Ashvani Bhatt</v>
      </c>
      <c r="C6770" s="115" t="str">
        <f>IFERROR(__xludf.DUMMYFUNCTION("""COMPUTED_VALUE"""),"FLIPKART")</f>
        <v>FLIPKART</v>
      </c>
      <c r="D6770" s="115">
        <f>IFERROR(__xludf.DUMMYFUNCTION("""COMPUTED_VALUE"""),462.0)</f>
        <v>462</v>
      </c>
      <c r="E6770" s="115">
        <f>IFERROR(__xludf.DUMMYFUNCTION("""COMPUTED_VALUE"""),38.0)</f>
        <v>38</v>
      </c>
      <c r="F6770" s="115">
        <f>IFERROR(__xludf.DUMMYFUNCTION("""COMPUTED_VALUE"""),236.0)</f>
        <v>236</v>
      </c>
      <c r="G6770" s="115">
        <f>IFERROR(__xludf.DUMMYFUNCTION("""COMPUTED_VALUE"""),0.0)</f>
        <v>0</v>
      </c>
      <c r="H6770" s="116">
        <f>IFERROR(__xludf.DUMMYFUNCTION("""COMPUTED_VALUE"""),45912.0)</f>
        <v>45912</v>
      </c>
      <c r="I6770" s="115" t="str">
        <f>IFERROR(__xludf.DUMMYFUNCTION("""COMPUTED_VALUE"""),"20")</f>
        <v>20</v>
      </c>
      <c r="J6770" s="115"/>
      <c r="K6770" s="115"/>
    </row>
    <row r="6771">
      <c r="A6771" s="115" t="str">
        <f>IFERROR(__xludf.DUMMYFUNCTION("""COMPUTED_VALUE"""),"NORTH")</f>
        <v>NORTH</v>
      </c>
      <c r="B6771" s="115" t="str">
        <f>IFERROR(__xludf.DUMMYFUNCTION("""COMPUTED_VALUE"""),"Ashvani Bhatt")</f>
        <v>Ashvani Bhatt</v>
      </c>
      <c r="C6771" s="115" t="str">
        <f>IFERROR(__xludf.DUMMYFUNCTION("""COMPUTED_VALUE"""),"MYNTRA")</f>
        <v>MYNTRA</v>
      </c>
      <c r="D6771" s="115">
        <f>IFERROR(__xludf.DUMMYFUNCTION("""COMPUTED_VALUE"""),23.0)</f>
        <v>23</v>
      </c>
      <c r="E6771" s="115">
        <f>IFERROR(__xludf.DUMMYFUNCTION("""COMPUTED_VALUE"""),3.0)</f>
        <v>3</v>
      </c>
      <c r="F6771" s="115">
        <f>IFERROR(__xludf.DUMMYFUNCTION("""COMPUTED_VALUE"""),15.0)</f>
        <v>15</v>
      </c>
      <c r="G6771" s="115">
        <f>IFERROR(__xludf.DUMMYFUNCTION("""COMPUTED_VALUE"""),1.0)</f>
        <v>1</v>
      </c>
      <c r="H6771" s="116">
        <f>IFERROR(__xludf.DUMMYFUNCTION("""COMPUTED_VALUE"""),45912.0)</f>
        <v>45912</v>
      </c>
      <c r="I6771" s="115" t="str">
        <f>IFERROR(__xludf.DUMMYFUNCTION("""COMPUTED_VALUE"""),"20")</f>
        <v>20</v>
      </c>
      <c r="J6771" s="115"/>
      <c r="K6771" s="115"/>
    </row>
    <row r="6772">
      <c r="A6772" s="115" t="str">
        <f>IFERROR(__xludf.DUMMYFUNCTION("""COMPUTED_VALUE"""),"NORTH")</f>
        <v>NORTH</v>
      </c>
      <c r="B6772" s="115" t="str">
        <f>IFERROR(__xludf.DUMMYFUNCTION("""COMPUTED_VALUE"""),"Loveleen Singh")</f>
        <v>Loveleen Singh</v>
      </c>
      <c r="C6772" s="115" t="str">
        <f>IFERROR(__xludf.DUMMYFUNCTION("""COMPUTED_VALUE"""),"EXTERNAL")</f>
        <v>EXTERNAL</v>
      </c>
      <c r="D6772" s="115">
        <f>IFERROR(__xludf.DUMMYFUNCTION("""COMPUTED_VALUE"""),33428.0)</f>
        <v>33428</v>
      </c>
      <c r="E6772" s="115">
        <f>IFERROR(__xludf.DUMMYFUNCTION("""COMPUTED_VALUE"""),2610.0)</f>
        <v>2610</v>
      </c>
      <c r="F6772" s="115">
        <f>IFERROR(__xludf.DUMMYFUNCTION("""COMPUTED_VALUE"""),14029.0)</f>
        <v>14029</v>
      </c>
      <c r="G6772" s="115">
        <f>IFERROR(__xludf.DUMMYFUNCTION("""COMPUTED_VALUE"""),1016.0)</f>
        <v>1016</v>
      </c>
      <c r="H6772" s="116">
        <f>IFERROR(__xludf.DUMMYFUNCTION("""COMPUTED_VALUE"""),45912.0)</f>
        <v>45912</v>
      </c>
      <c r="I6772" s="115" t="str">
        <f>IFERROR(__xludf.DUMMYFUNCTION("""COMPUTED_VALUE"""),"20")</f>
        <v>20</v>
      </c>
      <c r="J6772" s="115"/>
      <c r="K6772" s="115"/>
    </row>
    <row r="6773">
      <c r="A6773" s="115" t="str">
        <f>IFERROR(__xludf.DUMMYFUNCTION("""COMPUTED_VALUE"""),"NORTH")</f>
        <v>NORTH</v>
      </c>
      <c r="B6773" s="115" t="str">
        <f>IFERROR(__xludf.DUMMYFUNCTION("""COMPUTED_VALUE"""),"Loveleen Singh")</f>
        <v>Loveleen Singh</v>
      </c>
      <c r="C6773" s="115" t="str">
        <f>IFERROR(__xludf.DUMMYFUNCTION("""COMPUTED_VALUE"""),"FLIPKART")</f>
        <v>FLIPKART</v>
      </c>
      <c r="D6773" s="115">
        <f>IFERROR(__xludf.DUMMYFUNCTION("""COMPUTED_VALUE"""),216833.0)</f>
        <v>216833</v>
      </c>
      <c r="E6773" s="115">
        <f>IFERROR(__xludf.DUMMYFUNCTION("""COMPUTED_VALUE"""),15095.0)</f>
        <v>15095</v>
      </c>
      <c r="F6773" s="115">
        <f>IFERROR(__xludf.DUMMYFUNCTION("""COMPUTED_VALUE"""),168312.0)</f>
        <v>168312</v>
      </c>
      <c r="G6773" s="115">
        <f>IFERROR(__xludf.DUMMYFUNCTION("""COMPUTED_VALUE"""),9468.0)</f>
        <v>9468</v>
      </c>
      <c r="H6773" s="116">
        <f>IFERROR(__xludf.DUMMYFUNCTION("""COMPUTED_VALUE"""),45912.0)</f>
        <v>45912</v>
      </c>
      <c r="I6773" s="115" t="str">
        <f>IFERROR(__xludf.DUMMYFUNCTION("""COMPUTED_VALUE"""),"20")</f>
        <v>20</v>
      </c>
      <c r="J6773" s="115"/>
      <c r="K6773" s="115"/>
    </row>
    <row r="6774">
      <c r="A6774" s="115" t="str">
        <f>IFERROR(__xludf.DUMMYFUNCTION("""COMPUTED_VALUE"""),"NORTH")</f>
        <v>NORTH</v>
      </c>
      <c r="B6774" s="115" t="str">
        <f>IFERROR(__xludf.DUMMYFUNCTION("""COMPUTED_VALUE"""),"Loveleen Singh")</f>
        <v>Loveleen Singh</v>
      </c>
      <c r="C6774" s="115" t="str">
        <f>IFERROR(__xludf.DUMMYFUNCTION("""COMPUTED_VALUE"""),"MYNTRA")</f>
        <v>MYNTRA</v>
      </c>
      <c r="D6774" s="115">
        <f>IFERROR(__xludf.DUMMYFUNCTION("""COMPUTED_VALUE"""),33284.0)</f>
        <v>33284</v>
      </c>
      <c r="E6774" s="115">
        <f>IFERROR(__xludf.DUMMYFUNCTION("""COMPUTED_VALUE"""),6520.0)</f>
        <v>6520</v>
      </c>
      <c r="F6774" s="115">
        <f>IFERROR(__xludf.DUMMYFUNCTION("""COMPUTED_VALUE"""),27620.0)</f>
        <v>27620</v>
      </c>
      <c r="G6774" s="115">
        <f>IFERROR(__xludf.DUMMYFUNCTION("""COMPUTED_VALUE"""),4312.0)</f>
        <v>4312</v>
      </c>
      <c r="H6774" s="116">
        <f>IFERROR(__xludf.DUMMYFUNCTION("""COMPUTED_VALUE"""),45912.0)</f>
        <v>45912</v>
      </c>
      <c r="I6774" s="115" t="str">
        <f>IFERROR(__xludf.DUMMYFUNCTION("""COMPUTED_VALUE"""),"20")</f>
        <v>20</v>
      </c>
      <c r="J6774" s="115"/>
      <c r="K6774" s="115"/>
    </row>
    <row r="6775">
      <c r="A6775" s="115" t="str">
        <f>IFERROR(__xludf.DUMMYFUNCTION("""COMPUTED_VALUE"""),"NORTH")</f>
        <v>NORTH</v>
      </c>
      <c r="B6775" s="115" t="str">
        <f>IFERROR(__xludf.DUMMYFUNCTION("""COMPUTED_VALUE"""),"Manoj Harsh")</f>
        <v>Manoj Harsh</v>
      </c>
      <c r="C6775" s="115" t="str">
        <f>IFERROR(__xludf.DUMMYFUNCTION("""COMPUTED_VALUE"""),"EXTERNAL")</f>
        <v>EXTERNAL</v>
      </c>
      <c r="D6775" s="115">
        <f>IFERROR(__xludf.DUMMYFUNCTION("""COMPUTED_VALUE"""),37075.0)</f>
        <v>37075</v>
      </c>
      <c r="E6775" s="115">
        <f>IFERROR(__xludf.DUMMYFUNCTION("""COMPUTED_VALUE"""),2702.0)</f>
        <v>2702</v>
      </c>
      <c r="F6775" s="115">
        <f>IFERROR(__xludf.DUMMYFUNCTION("""COMPUTED_VALUE"""),17760.0)</f>
        <v>17760</v>
      </c>
      <c r="G6775" s="115">
        <f>IFERROR(__xludf.DUMMYFUNCTION("""COMPUTED_VALUE"""),964.0)</f>
        <v>964</v>
      </c>
      <c r="H6775" s="116">
        <f>IFERROR(__xludf.DUMMYFUNCTION("""COMPUTED_VALUE"""),45912.0)</f>
        <v>45912</v>
      </c>
      <c r="I6775" s="115" t="str">
        <f>IFERROR(__xludf.DUMMYFUNCTION("""COMPUTED_VALUE"""),"20")</f>
        <v>20</v>
      </c>
      <c r="J6775" s="115"/>
      <c r="K6775" s="115"/>
    </row>
    <row r="6776">
      <c r="A6776" s="115" t="str">
        <f>IFERROR(__xludf.DUMMYFUNCTION("""COMPUTED_VALUE"""),"NORTH")</f>
        <v>NORTH</v>
      </c>
      <c r="B6776" s="115" t="str">
        <f>IFERROR(__xludf.DUMMYFUNCTION("""COMPUTED_VALUE"""),"Manoj Harsh")</f>
        <v>Manoj Harsh</v>
      </c>
      <c r="C6776" s="115" t="str">
        <f>IFERROR(__xludf.DUMMYFUNCTION("""COMPUTED_VALUE"""),"FLIPKART")</f>
        <v>FLIPKART</v>
      </c>
      <c r="D6776" s="115">
        <f>IFERROR(__xludf.DUMMYFUNCTION("""COMPUTED_VALUE"""),483844.0)</f>
        <v>483844</v>
      </c>
      <c r="E6776" s="115">
        <f>IFERROR(__xludf.DUMMYFUNCTION("""COMPUTED_VALUE"""),37964.0)</f>
        <v>37964</v>
      </c>
      <c r="F6776" s="115">
        <f>IFERROR(__xludf.DUMMYFUNCTION("""COMPUTED_VALUE"""),369852.0)</f>
        <v>369852</v>
      </c>
      <c r="G6776" s="115">
        <f>IFERROR(__xludf.DUMMYFUNCTION("""COMPUTED_VALUE"""),24260.0)</f>
        <v>24260</v>
      </c>
      <c r="H6776" s="116">
        <f>IFERROR(__xludf.DUMMYFUNCTION("""COMPUTED_VALUE"""),45912.0)</f>
        <v>45912</v>
      </c>
      <c r="I6776" s="115" t="str">
        <f>IFERROR(__xludf.DUMMYFUNCTION("""COMPUTED_VALUE"""),"20")</f>
        <v>20</v>
      </c>
      <c r="J6776" s="115"/>
      <c r="K6776" s="115"/>
    </row>
    <row r="6777">
      <c r="A6777" s="115" t="str">
        <f>IFERROR(__xludf.DUMMYFUNCTION("""COMPUTED_VALUE"""),"NORTH")</f>
        <v>NORTH</v>
      </c>
      <c r="B6777" s="115" t="str">
        <f>IFERROR(__xludf.DUMMYFUNCTION("""COMPUTED_VALUE"""),"Manoj Harsh")</f>
        <v>Manoj Harsh</v>
      </c>
      <c r="C6777" s="115" t="str">
        <f>IFERROR(__xludf.DUMMYFUNCTION("""COMPUTED_VALUE"""),"MYNTRA")</f>
        <v>MYNTRA</v>
      </c>
      <c r="D6777" s="115">
        <f>IFERROR(__xludf.DUMMYFUNCTION("""COMPUTED_VALUE"""),37418.0)</f>
        <v>37418</v>
      </c>
      <c r="E6777" s="115">
        <f>IFERROR(__xludf.DUMMYFUNCTION("""COMPUTED_VALUE"""),7287.0)</f>
        <v>7287</v>
      </c>
      <c r="F6777" s="115">
        <f>IFERROR(__xludf.DUMMYFUNCTION("""COMPUTED_VALUE"""),30260.0)</f>
        <v>30260</v>
      </c>
      <c r="G6777" s="115">
        <f>IFERROR(__xludf.DUMMYFUNCTION("""COMPUTED_VALUE"""),5041.0)</f>
        <v>5041</v>
      </c>
      <c r="H6777" s="116">
        <f>IFERROR(__xludf.DUMMYFUNCTION("""COMPUTED_VALUE"""),45912.0)</f>
        <v>45912</v>
      </c>
      <c r="I6777" s="115" t="str">
        <f>IFERROR(__xludf.DUMMYFUNCTION("""COMPUTED_VALUE"""),"20")</f>
        <v>20</v>
      </c>
      <c r="J6777" s="115"/>
      <c r="K6777" s="115"/>
    </row>
    <row r="6778">
      <c r="A6778" s="115" t="str">
        <f>IFERROR(__xludf.DUMMYFUNCTION("""COMPUTED_VALUE"""),"NORTH")</f>
        <v>NORTH</v>
      </c>
      <c r="B6778" s="115" t="str">
        <f>IFERROR(__xludf.DUMMYFUNCTION("""COMPUTED_VALUE"""),"Pradeep Kothari")</f>
        <v>Pradeep Kothari</v>
      </c>
      <c r="C6778" s="115" t="str">
        <f>IFERROR(__xludf.DUMMYFUNCTION("""COMPUTED_VALUE"""),"EXTERNAL")</f>
        <v>EXTERNAL</v>
      </c>
      <c r="D6778" s="115">
        <f>IFERROR(__xludf.DUMMYFUNCTION("""COMPUTED_VALUE"""),20434.0)</f>
        <v>20434</v>
      </c>
      <c r="E6778" s="115">
        <f>IFERROR(__xludf.DUMMYFUNCTION("""COMPUTED_VALUE"""),1960.0)</f>
        <v>1960</v>
      </c>
      <c r="F6778" s="115">
        <f>IFERROR(__xludf.DUMMYFUNCTION("""COMPUTED_VALUE"""),8873.0)</f>
        <v>8873</v>
      </c>
      <c r="G6778" s="115">
        <f>IFERROR(__xludf.DUMMYFUNCTION("""COMPUTED_VALUE"""),844.0)</f>
        <v>844</v>
      </c>
      <c r="H6778" s="116">
        <f>IFERROR(__xludf.DUMMYFUNCTION("""COMPUTED_VALUE"""),45912.0)</f>
        <v>45912</v>
      </c>
      <c r="I6778" s="115" t="str">
        <f>IFERROR(__xludf.DUMMYFUNCTION("""COMPUTED_VALUE"""),"20")</f>
        <v>20</v>
      </c>
      <c r="J6778" s="115"/>
      <c r="K6778" s="115"/>
    </row>
    <row r="6779">
      <c r="A6779" s="115" t="str">
        <f>IFERROR(__xludf.DUMMYFUNCTION("""COMPUTED_VALUE"""),"NORTH")</f>
        <v>NORTH</v>
      </c>
      <c r="B6779" s="115" t="str">
        <f>IFERROR(__xludf.DUMMYFUNCTION("""COMPUTED_VALUE"""),"Pradeep Kothari")</f>
        <v>Pradeep Kothari</v>
      </c>
      <c r="C6779" s="115" t="str">
        <f>IFERROR(__xludf.DUMMYFUNCTION("""COMPUTED_VALUE"""),"FLIPKART")</f>
        <v>FLIPKART</v>
      </c>
      <c r="D6779" s="115">
        <f>IFERROR(__xludf.DUMMYFUNCTION("""COMPUTED_VALUE"""),181363.0)</f>
        <v>181363</v>
      </c>
      <c r="E6779" s="115">
        <f>IFERROR(__xludf.DUMMYFUNCTION("""COMPUTED_VALUE"""),17172.0)</f>
        <v>17172</v>
      </c>
      <c r="F6779" s="115">
        <f>IFERROR(__xludf.DUMMYFUNCTION("""COMPUTED_VALUE"""),142992.0)</f>
        <v>142992</v>
      </c>
      <c r="G6779" s="115">
        <f>IFERROR(__xludf.DUMMYFUNCTION("""COMPUTED_VALUE"""),11618.0)</f>
        <v>11618</v>
      </c>
      <c r="H6779" s="116">
        <f>IFERROR(__xludf.DUMMYFUNCTION("""COMPUTED_VALUE"""),45912.0)</f>
        <v>45912</v>
      </c>
      <c r="I6779" s="115" t="str">
        <f>IFERROR(__xludf.DUMMYFUNCTION("""COMPUTED_VALUE"""),"20")</f>
        <v>20</v>
      </c>
      <c r="J6779" s="115"/>
      <c r="K6779" s="115"/>
    </row>
    <row r="6780">
      <c r="A6780" s="115" t="str">
        <f>IFERROR(__xludf.DUMMYFUNCTION("""COMPUTED_VALUE"""),"NORTH")</f>
        <v>NORTH</v>
      </c>
      <c r="B6780" s="115" t="str">
        <f>IFERROR(__xludf.DUMMYFUNCTION("""COMPUTED_VALUE"""),"Pradeep Kothari")</f>
        <v>Pradeep Kothari</v>
      </c>
      <c r="C6780" s="115" t="str">
        <f>IFERROR(__xludf.DUMMYFUNCTION("""COMPUTED_VALUE"""),"MYNTRA")</f>
        <v>MYNTRA</v>
      </c>
      <c r="D6780" s="115">
        <f>IFERROR(__xludf.DUMMYFUNCTION("""COMPUTED_VALUE"""),26839.0)</f>
        <v>26839</v>
      </c>
      <c r="E6780" s="115">
        <f>IFERROR(__xludf.DUMMYFUNCTION("""COMPUTED_VALUE"""),6417.0)</f>
        <v>6417</v>
      </c>
      <c r="F6780" s="115">
        <f>IFERROR(__xludf.DUMMYFUNCTION("""COMPUTED_VALUE"""),22783.0)</f>
        <v>22783</v>
      </c>
      <c r="G6780" s="115">
        <f>IFERROR(__xludf.DUMMYFUNCTION("""COMPUTED_VALUE"""),4714.0)</f>
        <v>4714</v>
      </c>
      <c r="H6780" s="116">
        <f>IFERROR(__xludf.DUMMYFUNCTION("""COMPUTED_VALUE"""),45912.0)</f>
        <v>45912</v>
      </c>
      <c r="I6780" s="115" t="str">
        <f>IFERROR(__xludf.DUMMYFUNCTION("""COMPUTED_VALUE"""),"20")</f>
        <v>20</v>
      </c>
      <c r="J6780" s="115"/>
      <c r="K6780" s="115"/>
    </row>
    <row r="6781">
      <c r="A6781" s="115" t="str">
        <f>IFERROR(__xludf.DUMMYFUNCTION("""COMPUTED_VALUE"""),"SOUTH")</f>
        <v>SOUTH</v>
      </c>
      <c r="B6781" s="115" t="str">
        <f>IFERROR(__xludf.DUMMYFUNCTION("""COMPUTED_VALUE"""),"Kandula Sampath")</f>
        <v>Kandula Sampath</v>
      </c>
      <c r="C6781" s="115" t="str">
        <f>IFERROR(__xludf.DUMMYFUNCTION("""COMPUTED_VALUE"""),"EXTERNAL")</f>
        <v>EXTERNAL</v>
      </c>
      <c r="D6781" s="115">
        <f>IFERROR(__xludf.DUMMYFUNCTION("""COMPUTED_VALUE"""),35539.0)</f>
        <v>35539</v>
      </c>
      <c r="E6781" s="115">
        <f>IFERROR(__xludf.DUMMYFUNCTION("""COMPUTED_VALUE"""),4373.0)</f>
        <v>4373</v>
      </c>
      <c r="F6781" s="115">
        <f>IFERROR(__xludf.DUMMYFUNCTION("""COMPUTED_VALUE"""),16761.0)</f>
        <v>16761</v>
      </c>
      <c r="G6781" s="115">
        <f>IFERROR(__xludf.DUMMYFUNCTION("""COMPUTED_VALUE"""),1498.0)</f>
        <v>1498</v>
      </c>
      <c r="H6781" s="116">
        <f>IFERROR(__xludf.DUMMYFUNCTION("""COMPUTED_VALUE"""),45912.0)</f>
        <v>45912</v>
      </c>
      <c r="I6781" s="115" t="str">
        <f>IFERROR(__xludf.DUMMYFUNCTION("""COMPUTED_VALUE"""),"20")</f>
        <v>20</v>
      </c>
      <c r="J6781" s="115"/>
      <c r="K6781" s="115"/>
    </row>
    <row r="6782">
      <c r="A6782" s="115" t="str">
        <f>IFERROR(__xludf.DUMMYFUNCTION("""COMPUTED_VALUE"""),"SOUTH")</f>
        <v>SOUTH</v>
      </c>
      <c r="B6782" s="115" t="str">
        <f>IFERROR(__xludf.DUMMYFUNCTION("""COMPUTED_VALUE"""),"Kandula Sampath")</f>
        <v>Kandula Sampath</v>
      </c>
      <c r="C6782" s="115" t="str">
        <f>IFERROR(__xludf.DUMMYFUNCTION("""COMPUTED_VALUE"""),"FLIPKART")</f>
        <v>FLIPKART</v>
      </c>
      <c r="D6782" s="115">
        <f>IFERROR(__xludf.DUMMYFUNCTION("""COMPUTED_VALUE"""),391265.0)</f>
        <v>391265</v>
      </c>
      <c r="E6782" s="115">
        <f>IFERROR(__xludf.DUMMYFUNCTION("""COMPUTED_VALUE"""),32020.0)</f>
        <v>32020</v>
      </c>
      <c r="F6782" s="115">
        <f>IFERROR(__xludf.DUMMYFUNCTION("""COMPUTED_VALUE"""),298029.0)</f>
        <v>298029</v>
      </c>
      <c r="G6782" s="115">
        <f>IFERROR(__xludf.DUMMYFUNCTION("""COMPUTED_VALUE"""),18756.0)</f>
        <v>18756</v>
      </c>
      <c r="H6782" s="116">
        <f>IFERROR(__xludf.DUMMYFUNCTION("""COMPUTED_VALUE"""),45912.0)</f>
        <v>45912</v>
      </c>
      <c r="I6782" s="115" t="str">
        <f>IFERROR(__xludf.DUMMYFUNCTION("""COMPUTED_VALUE"""),"20")</f>
        <v>20</v>
      </c>
      <c r="J6782" s="115"/>
      <c r="K6782" s="115"/>
    </row>
    <row r="6783">
      <c r="A6783" s="115" t="str">
        <f>IFERROR(__xludf.DUMMYFUNCTION("""COMPUTED_VALUE"""),"SOUTH")</f>
        <v>SOUTH</v>
      </c>
      <c r="B6783" s="115" t="str">
        <f>IFERROR(__xludf.DUMMYFUNCTION("""COMPUTED_VALUE"""),"Kandula Sampath")</f>
        <v>Kandula Sampath</v>
      </c>
      <c r="C6783" s="115" t="str">
        <f>IFERROR(__xludf.DUMMYFUNCTION("""COMPUTED_VALUE"""),"MYNTRA")</f>
        <v>MYNTRA</v>
      </c>
      <c r="D6783" s="115">
        <f>IFERROR(__xludf.DUMMYFUNCTION("""COMPUTED_VALUE"""),41061.0)</f>
        <v>41061</v>
      </c>
      <c r="E6783" s="115">
        <f>IFERROR(__xludf.DUMMYFUNCTION("""COMPUTED_VALUE"""),8802.0)</f>
        <v>8802</v>
      </c>
      <c r="F6783" s="115">
        <f>IFERROR(__xludf.DUMMYFUNCTION("""COMPUTED_VALUE"""),33927.0)</f>
        <v>33927</v>
      </c>
      <c r="G6783" s="115">
        <f>IFERROR(__xludf.DUMMYFUNCTION("""COMPUTED_VALUE"""),5241.0)</f>
        <v>5241</v>
      </c>
      <c r="H6783" s="116">
        <f>IFERROR(__xludf.DUMMYFUNCTION("""COMPUTED_VALUE"""),45912.0)</f>
        <v>45912</v>
      </c>
      <c r="I6783" s="115" t="str">
        <f>IFERROR(__xludf.DUMMYFUNCTION("""COMPUTED_VALUE"""),"20")</f>
        <v>20</v>
      </c>
      <c r="J6783" s="115"/>
      <c r="K6783" s="115"/>
    </row>
    <row r="6784">
      <c r="A6784" s="115" t="str">
        <f>IFERROR(__xludf.DUMMYFUNCTION("""COMPUTED_VALUE"""),"SOUTH")</f>
        <v>SOUTH</v>
      </c>
      <c r="B6784" s="115" t="str">
        <f>IFERROR(__xludf.DUMMYFUNCTION("""COMPUTED_VALUE"""),"Martin A")</f>
        <v>Martin A</v>
      </c>
      <c r="C6784" s="115" t="str">
        <f>IFERROR(__xludf.DUMMYFUNCTION("""COMPUTED_VALUE"""),"EXTERNAL")</f>
        <v>EXTERNAL</v>
      </c>
      <c r="D6784" s="115">
        <f>IFERROR(__xludf.DUMMYFUNCTION("""COMPUTED_VALUE"""),33540.0)</f>
        <v>33540</v>
      </c>
      <c r="E6784" s="115">
        <f>IFERROR(__xludf.DUMMYFUNCTION("""COMPUTED_VALUE"""),3856.0)</f>
        <v>3856</v>
      </c>
      <c r="F6784" s="115">
        <f>IFERROR(__xludf.DUMMYFUNCTION("""COMPUTED_VALUE"""),15438.0)</f>
        <v>15438</v>
      </c>
      <c r="G6784" s="115">
        <f>IFERROR(__xludf.DUMMYFUNCTION("""COMPUTED_VALUE"""),1726.0)</f>
        <v>1726</v>
      </c>
      <c r="H6784" s="116">
        <f>IFERROR(__xludf.DUMMYFUNCTION("""COMPUTED_VALUE"""),45912.0)</f>
        <v>45912</v>
      </c>
      <c r="I6784" s="115" t="str">
        <f>IFERROR(__xludf.DUMMYFUNCTION("""COMPUTED_VALUE"""),"20")</f>
        <v>20</v>
      </c>
      <c r="J6784" s="115"/>
      <c r="K6784" s="115"/>
    </row>
    <row r="6785">
      <c r="A6785" s="115" t="str">
        <f>IFERROR(__xludf.DUMMYFUNCTION("""COMPUTED_VALUE"""),"SOUTH")</f>
        <v>SOUTH</v>
      </c>
      <c r="B6785" s="115" t="str">
        <f>IFERROR(__xludf.DUMMYFUNCTION("""COMPUTED_VALUE"""),"Martin A")</f>
        <v>Martin A</v>
      </c>
      <c r="C6785" s="115" t="str">
        <f>IFERROR(__xludf.DUMMYFUNCTION("""COMPUTED_VALUE"""),"FLIPKART")</f>
        <v>FLIPKART</v>
      </c>
      <c r="D6785" s="115">
        <f>IFERROR(__xludf.DUMMYFUNCTION("""COMPUTED_VALUE"""),341523.0)</f>
        <v>341523</v>
      </c>
      <c r="E6785" s="115">
        <f>IFERROR(__xludf.DUMMYFUNCTION("""COMPUTED_VALUE"""),27316.0)</f>
        <v>27316</v>
      </c>
      <c r="F6785" s="115">
        <f>IFERROR(__xludf.DUMMYFUNCTION("""COMPUTED_VALUE"""),256857.0)</f>
        <v>256857</v>
      </c>
      <c r="G6785" s="115">
        <f>IFERROR(__xludf.DUMMYFUNCTION("""COMPUTED_VALUE"""),16548.0)</f>
        <v>16548</v>
      </c>
      <c r="H6785" s="116">
        <f>IFERROR(__xludf.DUMMYFUNCTION("""COMPUTED_VALUE"""),45912.0)</f>
        <v>45912</v>
      </c>
      <c r="I6785" s="115" t="str">
        <f>IFERROR(__xludf.DUMMYFUNCTION("""COMPUTED_VALUE"""),"20")</f>
        <v>20</v>
      </c>
      <c r="J6785" s="115"/>
      <c r="K6785" s="115"/>
    </row>
    <row r="6786">
      <c r="A6786" s="115" t="str">
        <f>IFERROR(__xludf.DUMMYFUNCTION("""COMPUTED_VALUE"""),"SOUTH")</f>
        <v>SOUTH</v>
      </c>
      <c r="B6786" s="115" t="str">
        <f>IFERROR(__xludf.DUMMYFUNCTION("""COMPUTED_VALUE"""),"Martin A")</f>
        <v>Martin A</v>
      </c>
      <c r="C6786" s="115" t="str">
        <f>IFERROR(__xludf.DUMMYFUNCTION("""COMPUTED_VALUE"""),"MYNTRA")</f>
        <v>MYNTRA</v>
      </c>
      <c r="D6786" s="115">
        <f>IFERROR(__xludf.DUMMYFUNCTION("""COMPUTED_VALUE"""),32061.0)</f>
        <v>32061</v>
      </c>
      <c r="E6786" s="115">
        <f>IFERROR(__xludf.DUMMYFUNCTION("""COMPUTED_VALUE"""),6821.0)</f>
        <v>6821</v>
      </c>
      <c r="F6786" s="115">
        <f>IFERROR(__xludf.DUMMYFUNCTION("""COMPUTED_VALUE"""),26717.0)</f>
        <v>26717</v>
      </c>
      <c r="G6786" s="115">
        <f>IFERROR(__xludf.DUMMYFUNCTION("""COMPUTED_VALUE"""),4394.0)</f>
        <v>4394</v>
      </c>
      <c r="H6786" s="116">
        <f>IFERROR(__xludf.DUMMYFUNCTION("""COMPUTED_VALUE"""),45912.0)</f>
        <v>45912</v>
      </c>
      <c r="I6786" s="115" t="str">
        <f>IFERROR(__xludf.DUMMYFUNCTION("""COMPUTED_VALUE"""),"20")</f>
        <v>20</v>
      </c>
      <c r="J6786" s="115"/>
      <c r="K6786" s="115"/>
    </row>
    <row r="6787">
      <c r="A6787" s="115" t="str">
        <f>IFERROR(__xludf.DUMMYFUNCTION("""COMPUTED_VALUE"""),"SOUTH")</f>
        <v>SOUTH</v>
      </c>
      <c r="B6787" s="115" t="str">
        <f>IFERROR(__xludf.DUMMYFUNCTION("""COMPUTED_VALUE"""),"Premkumar M")</f>
        <v>Premkumar M</v>
      </c>
      <c r="C6787" s="115" t="str">
        <f>IFERROR(__xludf.DUMMYFUNCTION("""COMPUTED_VALUE"""),"EXTERNAL")</f>
        <v>EXTERNAL</v>
      </c>
      <c r="D6787" s="115">
        <f>IFERROR(__xludf.DUMMYFUNCTION("""COMPUTED_VALUE"""),30069.0)</f>
        <v>30069</v>
      </c>
      <c r="E6787" s="115">
        <f>IFERROR(__xludf.DUMMYFUNCTION("""COMPUTED_VALUE"""),2168.0)</f>
        <v>2168</v>
      </c>
      <c r="F6787" s="115">
        <f>IFERROR(__xludf.DUMMYFUNCTION("""COMPUTED_VALUE"""),15590.0)</f>
        <v>15590</v>
      </c>
      <c r="G6787" s="115">
        <f>IFERROR(__xludf.DUMMYFUNCTION("""COMPUTED_VALUE"""),623.0)</f>
        <v>623</v>
      </c>
      <c r="H6787" s="116">
        <f>IFERROR(__xludf.DUMMYFUNCTION("""COMPUTED_VALUE"""),45912.0)</f>
        <v>45912</v>
      </c>
      <c r="I6787" s="115" t="str">
        <f>IFERROR(__xludf.DUMMYFUNCTION("""COMPUTED_VALUE"""),"20")</f>
        <v>20</v>
      </c>
      <c r="J6787" s="115"/>
      <c r="K6787" s="115"/>
    </row>
    <row r="6788">
      <c r="A6788" s="115" t="str">
        <f>IFERROR(__xludf.DUMMYFUNCTION("""COMPUTED_VALUE"""),"SOUTH")</f>
        <v>SOUTH</v>
      </c>
      <c r="B6788" s="115" t="str">
        <f>IFERROR(__xludf.DUMMYFUNCTION("""COMPUTED_VALUE"""),"Premkumar M")</f>
        <v>Premkumar M</v>
      </c>
      <c r="C6788" s="115" t="str">
        <f>IFERROR(__xludf.DUMMYFUNCTION("""COMPUTED_VALUE"""),"FLIPKART")</f>
        <v>FLIPKART</v>
      </c>
      <c r="D6788" s="115">
        <f>IFERROR(__xludf.DUMMYFUNCTION("""COMPUTED_VALUE"""),320229.0)</f>
        <v>320229</v>
      </c>
      <c r="E6788" s="115">
        <f>IFERROR(__xludf.DUMMYFUNCTION("""COMPUTED_VALUE"""),18777.0)</f>
        <v>18777</v>
      </c>
      <c r="F6788" s="115">
        <f>IFERROR(__xludf.DUMMYFUNCTION("""COMPUTED_VALUE"""),244620.0)</f>
        <v>244620</v>
      </c>
      <c r="G6788" s="115">
        <f>IFERROR(__xludf.DUMMYFUNCTION("""COMPUTED_VALUE"""),8538.0)</f>
        <v>8538</v>
      </c>
      <c r="H6788" s="116">
        <f>IFERROR(__xludf.DUMMYFUNCTION("""COMPUTED_VALUE"""),45912.0)</f>
        <v>45912</v>
      </c>
      <c r="I6788" s="115" t="str">
        <f>IFERROR(__xludf.DUMMYFUNCTION("""COMPUTED_VALUE"""),"20")</f>
        <v>20</v>
      </c>
      <c r="J6788" s="115"/>
      <c r="K6788" s="115"/>
    </row>
    <row r="6789">
      <c r="A6789" s="115" t="str">
        <f>IFERROR(__xludf.DUMMYFUNCTION("""COMPUTED_VALUE"""),"SOUTH")</f>
        <v>SOUTH</v>
      </c>
      <c r="B6789" s="115" t="str">
        <f>IFERROR(__xludf.DUMMYFUNCTION("""COMPUTED_VALUE"""),"Premkumar M")</f>
        <v>Premkumar M</v>
      </c>
      <c r="C6789" s="115" t="str">
        <f>IFERROR(__xludf.DUMMYFUNCTION("""COMPUTED_VALUE"""),"MYNTRA")</f>
        <v>MYNTRA</v>
      </c>
      <c r="D6789" s="115">
        <f>IFERROR(__xludf.DUMMYFUNCTION("""COMPUTED_VALUE"""),16228.0)</f>
        <v>16228</v>
      </c>
      <c r="E6789" s="115">
        <f>IFERROR(__xludf.DUMMYFUNCTION("""COMPUTED_VALUE"""),2801.0)</f>
        <v>2801</v>
      </c>
      <c r="F6789" s="115">
        <f>IFERROR(__xludf.DUMMYFUNCTION("""COMPUTED_VALUE"""),13654.0)</f>
        <v>13654</v>
      </c>
      <c r="G6789" s="115">
        <f>IFERROR(__xludf.DUMMYFUNCTION("""COMPUTED_VALUE"""),1394.0)</f>
        <v>1394</v>
      </c>
      <c r="H6789" s="116">
        <f>IFERROR(__xludf.DUMMYFUNCTION("""COMPUTED_VALUE"""),45912.0)</f>
        <v>45912</v>
      </c>
      <c r="I6789" s="115" t="str">
        <f>IFERROR(__xludf.DUMMYFUNCTION("""COMPUTED_VALUE"""),"20")</f>
        <v>20</v>
      </c>
      <c r="J6789" s="115"/>
      <c r="K6789" s="115"/>
    </row>
    <row r="6790">
      <c r="A6790" s="115" t="str">
        <f>IFERROR(__xludf.DUMMYFUNCTION("""COMPUTED_VALUE"""),"SOUTH")</f>
        <v>SOUTH</v>
      </c>
      <c r="B6790" s="115" t="str">
        <f>IFERROR(__xludf.DUMMYFUNCTION("""COMPUTED_VALUE"""),"Vineeth V")</f>
        <v>Vineeth V</v>
      </c>
      <c r="C6790" s="115" t="str">
        <f>IFERROR(__xludf.DUMMYFUNCTION("""COMPUTED_VALUE"""),"EXTERNAL")</f>
        <v>EXTERNAL</v>
      </c>
      <c r="D6790" s="115">
        <f>IFERROR(__xludf.DUMMYFUNCTION("""COMPUTED_VALUE"""),21356.0)</f>
        <v>21356</v>
      </c>
      <c r="E6790" s="115">
        <f>IFERROR(__xludf.DUMMYFUNCTION("""COMPUTED_VALUE"""),562.0)</f>
        <v>562</v>
      </c>
      <c r="F6790" s="115">
        <f>IFERROR(__xludf.DUMMYFUNCTION("""COMPUTED_VALUE"""),11678.0)</f>
        <v>11678</v>
      </c>
      <c r="G6790" s="115">
        <f>IFERROR(__xludf.DUMMYFUNCTION("""COMPUTED_VALUE"""),285.0)</f>
        <v>285</v>
      </c>
      <c r="H6790" s="116">
        <f>IFERROR(__xludf.DUMMYFUNCTION("""COMPUTED_VALUE"""),45912.0)</f>
        <v>45912</v>
      </c>
      <c r="I6790" s="115" t="str">
        <f>IFERROR(__xludf.DUMMYFUNCTION("""COMPUTED_VALUE"""),"20")</f>
        <v>20</v>
      </c>
      <c r="J6790" s="115"/>
      <c r="K6790" s="115"/>
    </row>
    <row r="6791">
      <c r="A6791" s="115" t="str">
        <f>IFERROR(__xludf.DUMMYFUNCTION("""COMPUTED_VALUE"""),"SOUTH")</f>
        <v>SOUTH</v>
      </c>
      <c r="B6791" s="115" t="str">
        <f>IFERROR(__xludf.DUMMYFUNCTION("""COMPUTED_VALUE"""),"Vineeth V")</f>
        <v>Vineeth V</v>
      </c>
      <c r="C6791" s="115" t="str">
        <f>IFERROR(__xludf.DUMMYFUNCTION("""COMPUTED_VALUE"""),"FLIPKART")</f>
        <v>FLIPKART</v>
      </c>
      <c r="D6791" s="115">
        <f>IFERROR(__xludf.DUMMYFUNCTION("""COMPUTED_VALUE"""),223085.0)</f>
        <v>223085</v>
      </c>
      <c r="E6791" s="115">
        <f>IFERROR(__xludf.DUMMYFUNCTION("""COMPUTED_VALUE"""),13450.0)</f>
        <v>13450</v>
      </c>
      <c r="F6791" s="115">
        <f>IFERROR(__xludf.DUMMYFUNCTION("""COMPUTED_VALUE"""),186548.0)</f>
        <v>186548</v>
      </c>
      <c r="G6791" s="115">
        <f>IFERROR(__xludf.DUMMYFUNCTION("""COMPUTED_VALUE"""),7693.0)</f>
        <v>7693</v>
      </c>
      <c r="H6791" s="116">
        <f>IFERROR(__xludf.DUMMYFUNCTION("""COMPUTED_VALUE"""),45912.0)</f>
        <v>45912</v>
      </c>
      <c r="I6791" s="115" t="str">
        <f>IFERROR(__xludf.DUMMYFUNCTION("""COMPUTED_VALUE"""),"20")</f>
        <v>20</v>
      </c>
      <c r="J6791" s="115"/>
      <c r="K6791" s="115"/>
    </row>
    <row r="6792">
      <c r="A6792" s="115" t="str">
        <f>IFERROR(__xludf.DUMMYFUNCTION("""COMPUTED_VALUE"""),"SOUTH")</f>
        <v>SOUTH</v>
      </c>
      <c r="B6792" s="115" t="str">
        <f>IFERROR(__xludf.DUMMYFUNCTION("""COMPUTED_VALUE"""),"Vineeth V")</f>
        <v>Vineeth V</v>
      </c>
      <c r="C6792" s="115" t="str">
        <f>IFERROR(__xludf.DUMMYFUNCTION("""COMPUTED_VALUE"""),"MYNTRA")</f>
        <v>MYNTRA</v>
      </c>
      <c r="D6792" s="115">
        <f>IFERROR(__xludf.DUMMYFUNCTION("""COMPUTED_VALUE"""),17061.0)</f>
        <v>17061</v>
      </c>
      <c r="E6792" s="115">
        <f>IFERROR(__xludf.DUMMYFUNCTION("""COMPUTED_VALUE"""),3264.0)</f>
        <v>3264</v>
      </c>
      <c r="F6792" s="115">
        <f>IFERROR(__xludf.DUMMYFUNCTION("""COMPUTED_VALUE"""),15001.0)</f>
        <v>15001</v>
      </c>
      <c r="G6792" s="115">
        <f>IFERROR(__xludf.DUMMYFUNCTION("""COMPUTED_VALUE"""),1973.0)</f>
        <v>1973</v>
      </c>
      <c r="H6792" s="116">
        <f>IFERROR(__xludf.DUMMYFUNCTION("""COMPUTED_VALUE"""),45912.0)</f>
        <v>45912</v>
      </c>
      <c r="I6792" s="115" t="str">
        <f>IFERROR(__xludf.DUMMYFUNCTION("""COMPUTED_VALUE"""),"20")</f>
        <v>20</v>
      </c>
      <c r="J6792" s="115"/>
      <c r="K6792" s="115"/>
    </row>
    <row r="6793">
      <c r="A6793" s="115" t="str">
        <f>IFERROR(__xludf.DUMMYFUNCTION("""COMPUTED_VALUE"""),"WEST")</f>
        <v>WEST</v>
      </c>
      <c r="B6793" s="115" t="str">
        <f>IFERROR(__xludf.DUMMYFUNCTION("""COMPUTED_VALUE"""),"Ashish Jakar")</f>
        <v>Ashish Jakar</v>
      </c>
      <c r="C6793" s="115" t="str">
        <f>IFERROR(__xludf.DUMMYFUNCTION("""COMPUTED_VALUE"""),"EXTERNAL")</f>
        <v>EXTERNAL</v>
      </c>
      <c r="D6793" s="115">
        <f>IFERROR(__xludf.DUMMYFUNCTION("""COMPUTED_VALUE"""),62590.0)</f>
        <v>62590</v>
      </c>
      <c r="E6793" s="115">
        <f>IFERROR(__xludf.DUMMYFUNCTION("""COMPUTED_VALUE"""),6285.0)</f>
        <v>6285</v>
      </c>
      <c r="F6793" s="115">
        <f>IFERROR(__xludf.DUMMYFUNCTION("""COMPUTED_VALUE"""),27295.0)</f>
        <v>27295</v>
      </c>
      <c r="G6793" s="115">
        <f>IFERROR(__xludf.DUMMYFUNCTION("""COMPUTED_VALUE"""),2586.0)</f>
        <v>2586</v>
      </c>
      <c r="H6793" s="116">
        <f>IFERROR(__xludf.DUMMYFUNCTION("""COMPUTED_VALUE"""),45912.0)</f>
        <v>45912</v>
      </c>
      <c r="I6793" s="115" t="str">
        <f>IFERROR(__xludf.DUMMYFUNCTION("""COMPUTED_VALUE"""),"20")</f>
        <v>20</v>
      </c>
      <c r="J6793" s="115"/>
      <c r="K6793" s="115"/>
    </row>
    <row r="6794">
      <c r="A6794" s="115" t="str">
        <f>IFERROR(__xludf.DUMMYFUNCTION("""COMPUTED_VALUE"""),"WEST")</f>
        <v>WEST</v>
      </c>
      <c r="B6794" s="115" t="str">
        <f>IFERROR(__xludf.DUMMYFUNCTION("""COMPUTED_VALUE"""),"Ashish Jakar")</f>
        <v>Ashish Jakar</v>
      </c>
      <c r="C6794" s="115" t="str">
        <f>IFERROR(__xludf.DUMMYFUNCTION("""COMPUTED_VALUE"""),"FLIPKART")</f>
        <v>FLIPKART</v>
      </c>
      <c r="D6794" s="115">
        <f>IFERROR(__xludf.DUMMYFUNCTION("""COMPUTED_VALUE"""),459281.0)</f>
        <v>459281</v>
      </c>
      <c r="E6794" s="115">
        <f>IFERROR(__xludf.DUMMYFUNCTION("""COMPUTED_VALUE"""),35350.0)</f>
        <v>35350</v>
      </c>
      <c r="F6794" s="115">
        <f>IFERROR(__xludf.DUMMYFUNCTION("""COMPUTED_VALUE"""),336780.0)</f>
        <v>336780</v>
      </c>
      <c r="G6794" s="115">
        <f>IFERROR(__xludf.DUMMYFUNCTION("""COMPUTED_VALUE"""),20460.0)</f>
        <v>20460</v>
      </c>
      <c r="H6794" s="116">
        <f>IFERROR(__xludf.DUMMYFUNCTION("""COMPUTED_VALUE"""),45912.0)</f>
        <v>45912</v>
      </c>
      <c r="I6794" s="115" t="str">
        <f>IFERROR(__xludf.DUMMYFUNCTION("""COMPUTED_VALUE"""),"20")</f>
        <v>20</v>
      </c>
      <c r="J6794" s="115"/>
      <c r="K6794" s="115"/>
    </row>
    <row r="6795">
      <c r="A6795" s="115" t="str">
        <f>IFERROR(__xludf.DUMMYFUNCTION("""COMPUTED_VALUE"""),"WEST")</f>
        <v>WEST</v>
      </c>
      <c r="B6795" s="115" t="str">
        <f>IFERROR(__xludf.DUMMYFUNCTION("""COMPUTED_VALUE"""),"Ashish Jakar")</f>
        <v>Ashish Jakar</v>
      </c>
      <c r="C6795" s="115" t="str">
        <f>IFERROR(__xludf.DUMMYFUNCTION("""COMPUTED_VALUE"""),"MYNTRA")</f>
        <v>MYNTRA</v>
      </c>
      <c r="D6795" s="115">
        <f>IFERROR(__xludf.DUMMYFUNCTION("""COMPUTED_VALUE"""),50037.0)</f>
        <v>50037</v>
      </c>
      <c r="E6795" s="115">
        <f>IFERROR(__xludf.DUMMYFUNCTION("""COMPUTED_VALUE"""),11837.0)</f>
        <v>11837</v>
      </c>
      <c r="F6795" s="115">
        <f>IFERROR(__xludf.DUMMYFUNCTION("""COMPUTED_VALUE"""),41314.0)</f>
        <v>41314</v>
      </c>
      <c r="G6795" s="115">
        <f>IFERROR(__xludf.DUMMYFUNCTION("""COMPUTED_VALUE"""),7380.0)</f>
        <v>7380</v>
      </c>
      <c r="H6795" s="116">
        <f>IFERROR(__xludf.DUMMYFUNCTION("""COMPUTED_VALUE"""),45912.0)</f>
        <v>45912</v>
      </c>
      <c r="I6795" s="115" t="str">
        <f>IFERROR(__xludf.DUMMYFUNCTION("""COMPUTED_VALUE"""),"20")</f>
        <v>20</v>
      </c>
      <c r="J6795" s="115"/>
      <c r="K6795" s="115"/>
    </row>
    <row r="6796">
      <c r="A6796" s="115" t="str">
        <f>IFERROR(__xludf.DUMMYFUNCTION("""COMPUTED_VALUE"""),"WEST")</f>
        <v>WEST</v>
      </c>
      <c r="B6796" s="115" t="str">
        <f>IFERROR(__xludf.DUMMYFUNCTION("""COMPUTED_VALUE"""),"Ashvani Bhatt")</f>
        <v>Ashvani Bhatt</v>
      </c>
      <c r="C6796" s="115" t="str">
        <f>IFERROR(__xludf.DUMMYFUNCTION("""COMPUTED_VALUE"""),"EXTERNAL")</f>
        <v>EXTERNAL</v>
      </c>
      <c r="D6796" s="115">
        <f>IFERROR(__xludf.DUMMYFUNCTION("""COMPUTED_VALUE"""),40017.0)</f>
        <v>40017</v>
      </c>
      <c r="E6796" s="115">
        <f>IFERROR(__xludf.DUMMYFUNCTION("""COMPUTED_VALUE"""),3139.0)</f>
        <v>3139</v>
      </c>
      <c r="F6796" s="115">
        <f>IFERROR(__xludf.DUMMYFUNCTION("""COMPUTED_VALUE"""),17774.0)</f>
        <v>17774</v>
      </c>
      <c r="G6796" s="115">
        <f>IFERROR(__xludf.DUMMYFUNCTION("""COMPUTED_VALUE"""),1389.0)</f>
        <v>1389</v>
      </c>
      <c r="H6796" s="116">
        <f>IFERROR(__xludf.DUMMYFUNCTION("""COMPUTED_VALUE"""),45912.0)</f>
        <v>45912</v>
      </c>
      <c r="I6796" s="115" t="str">
        <f>IFERROR(__xludf.DUMMYFUNCTION("""COMPUTED_VALUE"""),"20")</f>
        <v>20</v>
      </c>
      <c r="J6796" s="115"/>
      <c r="K6796" s="115"/>
    </row>
    <row r="6797">
      <c r="A6797" s="115" t="str">
        <f>IFERROR(__xludf.DUMMYFUNCTION("""COMPUTED_VALUE"""),"WEST")</f>
        <v>WEST</v>
      </c>
      <c r="B6797" s="115" t="str">
        <f>IFERROR(__xludf.DUMMYFUNCTION("""COMPUTED_VALUE"""),"Ashvani Bhatt")</f>
        <v>Ashvani Bhatt</v>
      </c>
      <c r="C6797" s="115" t="str">
        <f>IFERROR(__xludf.DUMMYFUNCTION("""COMPUTED_VALUE"""),"FLIPKART")</f>
        <v>FLIPKART</v>
      </c>
      <c r="D6797" s="115">
        <f>IFERROR(__xludf.DUMMYFUNCTION("""COMPUTED_VALUE"""),345997.0)</f>
        <v>345997</v>
      </c>
      <c r="E6797" s="115">
        <f>IFERROR(__xludf.DUMMYFUNCTION("""COMPUTED_VALUE"""),29456.0)</f>
        <v>29456</v>
      </c>
      <c r="F6797" s="115">
        <f>IFERROR(__xludf.DUMMYFUNCTION("""COMPUTED_VALUE"""),270093.0)</f>
        <v>270093</v>
      </c>
      <c r="G6797" s="115">
        <f>IFERROR(__xludf.DUMMYFUNCTION("""COMPUTED_VALUE"""),18880.0)</f>
        <v>18880</v>
      </c>
      <c r="H6797" s="116">
        <f>IFERROR(__xludf.DUMMYFUNCTION("""COMPUTED_VALUE"""),45912.0)</f>
        <v>45912</v>
      </c>
      <c r="I6797" s="115" t="str">
        <f>IFERROR(__xludf.DUMMYFUNCTION("""COMPUTED_VALUE"""),"20")</f>
        <v>20</v>
      </c>
      <c r="J6797" s="115"/>
      <c r="K6797" s="115"/>
    </row>
    <row r="6798">
      <c r="A6798" s="115" t="str">
        <f>IFERROR(__xludf.DUMMYFUNCTION("""COMPUTED_VALUE"""),"WEST")</f>
        <v>WEST</v>
      </c>
      <c r="B6798" s="115" t="str">
        <f>IFERROR(__xludf.DUMMYFUNCTION("""COMPUTED_VALUE"""),"Ashvani Bhatt")</f>
        <v>Ashvani Bhatt</v>
      </c>
      <c r="C6798" s="115" t="str">
        <f>IFERROR(__xludf.DUMMYFUNCTION("""COMPUTED_VALUE"""),"MYNTRA")</f>
        <v>MYNTRA</v>
      </c>
      <c r="D6798" s="115">
        <f>IFERROR(__xludf.DUMMYFUNCTION("""COMPUTED_VALUE"""),36641.0)</f>
        <v>36641</v>
      </c>
      <c r="E6798" s="115">
        <f>IFERROR(__xludf.DUMMYFUNCTION("""COMPUTED_VALUE"""),9104.0)</f>
        <v>9104</v>
      </c>
      <c r="F6798" s="115">
        <f>IFERROR(__xludf.DUMMYFUNCTION("""COMPUTED_VALUE"""),31213.0)</f>
        <v>31213</v>
      </c>
      <c r="G6798" s="115">
        <f>IFERROR(__xludf.DUMMYFUNCTION("""COMPUTED_VALUE"""),6266.0)</f>
        <v>6266</v>
      </c>
      <c r="H6798" s="116">
        <f>IFERROR(__xludf.DUMMYFUNCTION("""COMPUTED_VALUE"""),45912.0)</f>
        <v>45912</v>
      </c>
      <c r="I6798" s="115" t="str">
        <f>IFERROR(__xludf.DUMMYFUNCTION("""COMPUTED_VALUE"""),"20")</f>
        <v>20</v>
      </c>
      <c r="J6798" s="115"/>
      <c r="K6798" s="115"/>
    </row>
    <row r="6799">
      <c r="A6799" s="115"/>
      <c r="B6799" s="115"/>
      <c r="C6799" s="115" t="str">
        <f>IFERROR(__xludf.DUMMYFUNCTION("""COMPUTED_VALUE"""),"EXTERNAL")</f>
        <v>EXTERNAL</v>
      </c>
      <c r="D6799" s="115">
        <f>IFERROR(__xludf.DUMMYFUNCTION("""COMPUTED_VALUE"""),1430.0)</f>
        <v>1430</v>
      </c>
      <c r="E6799" s="115">
        <f>IFERROR(__xludf.DUMMYFUNCTION("""COMPUTED_VALUE"""),242.0)</f>
        <v>242</v>
      </c>
      <c r="F6799" s="115">
        <f>IFERROR(__xludf.DUMMYFUNCTION("""COMPUTED_VALUE"""),708.0)</f>
        <v>708</v>
      </c>
      <c r="G6799" s="115">
        <f>IFERROR(__xludf.DUMMYFUNCTION("""COMPUTED_VALUE"""),154.0)</f>
        <v>154</v>
      </c>
      <c r="H6799" s="116">
        <f>IFERROR(__xludf.DUMMYFUNCTION("""COMPUTED_VALUE"""),45912.0)</f>
        <v>45912</v>
      </c>
      <c r="I6799" s="115" t="str">
        <f>IFERROR(__xludf.DUMMYFUNCTION("""COMPUTED_VALUE"""),"20")</f>
        <v>20</v>
      </c>
      <c r="J6799" s="115"/>
      <c r="K6799" s="115"/>
    </row>
    <row r="6800">
      <c r="A6800" s="115"/>
      <c r="B6800" s="115"/>
      <c r="C6800" s="115" t="str">
        <f>IFERROR(__xludf.DUMMYFUNCTION("""COMPUTED_VALUE"""),"FLIPKART")</f>
        <v>FLIPKART</v>
      </c>
      <c r="D6800" s="115">
        <f>IFERROR(__xludf.DUMMYFUNCTION("""COMPUTED_VALUE"""),16147.0)</f>
        <v>16147</v>
      </c>
      <c r="E6800" s="115">
        <f>IFERROR(__xludf.DUMMYFUNCTION("""COMPUTED_VALUE"""),1395.0)</f>
        <v>1395</v>
      </c>
      <c r="F6800" s="115">
        <f>IFERROR(__xludf.DUMMYFUNCTION("""COMPUTED_VALUE"""),12342.0)</f>
        <v>12342</v>
      </c>
      <c r="G6800" s="115">
        <f>IFERROR(__xludf.DUMMYFUNCTION("""COMPUTED_VALUE"""),1015.0)</f>
        <v>1015</v>
      </c>
      <c r="H6800" s="116">
        <f>IFERROR(__xludf.DUMMYFUNCTION("""COMPUTED_VALUE"""),45912.0)</f>
        <v>45912</v>
      </c>
      <c r="I6800" s="115" t="str">
        <f>IFERROR(__xludf.DUMMYFUNCTION("""COMPUTED_VALUE"""),"20")</f>
        <v>20</v>
      </c>
      <c r="J6800" s="115"/>
      <c r="K6800" s="115"/>
    </row>
    <row r="6801">
      <c r="A6801" s="115"/>
      <c r="B6801" s="115"/>
      <c r="C6801" s="115" t="str">
        <f>IFERROR(__xludf.DUMMYFUNCTION("""COMPUTED_VALUE"""),"MYNTRA")</f>
        <v>MYNTRA</v>
      </c>
      <c r="D6801" s="115">
        <f>IFERROR(__xludf.DUMMYFUNCTION("""COMPUTED_VALUE"""),1801.0)</f>
        <v>1801</v>
      </c>
      <c r="E6801" s="115">
        <f>IFERROR(__xludf.DUMMYFUNCTION("""COMPUTED_VALUE"""),415.0)</f>
        <v>415</v>
      </c>
      <c r="F6801" s="115">
        <f>IFERROR(__xludf.DUMMYFUNCTION("""COMPUTED_VALUE"""),1550.0)</f>
        <v>1550</v>
      </c>
      <c r="G6801" s="115">
        <f>IFERROR(__xludf.DUMMYFUNCTION("""COMPUTED_VALUE"""),309.0)</f>
        <v>309</v>
      </c>
      <c r="H6801" s="116">
        <f>IFERROR(__xludf.DUMMYFUNCTION("""COMPUTED_VALUE"""),45912.0)</f>
        <v>45912</v>
      </c>
      <c r="I6801" s="115" t="str">
        <f>IFERROR(__xludf.DUMMYFUNCTION("""COMPUTED_VALUE"""),"20")</f>
        <v>20</v>
      </c>
      <c r="J6801" s="115"/>
      <c r="K6801" s="115"/>
    </row>
    <row r="6802">
      <c r="A6802" s="115" t="str">
        <f>IFERROR(__xludf.DUMMYFUNCTION("""COMPUTED_VALUE"""),"EAST")</f>
        <v>EAST</v>
      </c>
      <c r="B6802" s="115" t="str">
        <f>IFERROR(__xludf.DUMMYFUNCTION("""COMPUTED_VALUE"""),"Ashish Ranjan")</f>
        <v>Ashish Ranjan</v>
      </c>
      <c r="C6802" s="115" t="str">
        <f>IFERROR(__xludf.DUMMYFUNCTION("""COMPUTED_VALUE"""),"EXTERNAL")</f>
        <v>EXTERNAL</v>
      </c>
      <c r="D6802" s="115">
        <f>IFERROR(__xludf.DUMMYFUNCTION("""COMPUTED_VALUE"""),44100.0)</f>
        <v>44100</v>
      </c>
      <c r="E6802" s="115">
        <f>IFERROR(__xludf.DUMMYFUNCTION("""COMPUTED_VALUE"""),3322.0)</f>
        <v>3322</v>
      </c>
      <c r="F6802" s="115">
        <f>IFERROR(__xludf.DUMMYFUNCTION("""COMPUTED_VALUE"""),25528.0)</f>
        <v>25528</v>
      </c>
      <c r="G6802" s="115">
        <f>IFERROR(__xludf.DUMMYFUNCTION("""COMPUTED_VALUE"""),1788.0)</f>
        <v>1788</v>
      </c>
      <c r="H6802" s="116">
        <f>IFERROR(__xludf.DUMMYFUNCTION("""COMPUTED_VALUE"""),45912.0)</f>
        <v>45912</v>
      </c>
      <c r="I6802" s="115" t="str">
        <f>IFERROR(__xludf.DUMMYFUNCTION("""COMPUTED_VALUE"""),"21")</f>
        <v>21</v>
      </c>
      <c r="J6802" s="115"/>
      <c r="K6802" s="115"/>
    </row>
    <row r="6803">
      <c r="A6803" s="115" t="str">
        <f>IFERROR(__xludf.DUMMYFUNCTION("""COMPUTED_VALUE"""),"EAST")</f>
        <v>EAST</v>
      </c>
      <c r="B6803" s="115" t="str">
        <f>IFERROR(__xludf.DUMMYFUNCTION("""COMPUTED_VALUE"""),"Ashish Ranjan")</f>
        <v>Ashish Ranjan</v>
      </c>
      <c r="C6803" s="115" t="str">
        <f>IFERROR(__xludf.DUMMYFUNCTION("""COMPUTED_VALUE"""),"FLIPKART")</f>
        <v>FLIPKART</v>
      </c>
      <c r="D6803" s="115">
        <f>IFERROR(__xludf.DUMMYFUNCTION("""COMPUTED_VALUE"""),806730.0)</f>
        <v>806730</v>
      </c>
      <c r="E6803" s="115">
        <f>IFERROR(__xludf.DUMMYFUNCTION("""COMPUTED_VALUE"""),67426.0)</f>
        <v>67426</v>
      </c>
      <c r="F6803" s="115">
        <f>IFERROR(__xludf.DUMMYFUNCTION("""COMPUTED_VALUE"""),716619.0)</f>
        <v>716619</v>
      </c>
      <c r="G6803" s="115">
        <f>IFERROR(__xludf.DUMMYFUNCTION("""COMPUTED_VALUE"""),52803.0)</f>
        <v>52803</v>
      </c>
      <c r="H6803" s="116">
        <f>IFERROR(__xludf.DUMMYFUNCTION("""COMPUTED_VALUE"""),45912.0)</f>
        <v>45912</v>
      </c>
      <c r="I6803" s="115" t="str">
        <f>IFERROR(__xludf.DUMMYFUNCTION("""COMPUTED_VALUE"""),"21")</f>
        <v>21</v>
      </c>
      <c r="J6803" s="115"/>
      <c r="K6803" s="115"/>
    </row>
    <row r="6804">
      <c r="A6804" s="115" t="str">
        <f>IFERROR(__xludf.DUMMYFUNCTION("""COMPUTED_VALUE"""),"EAST")</f>
        <v>EAST</v>
      </c>
      <c r="B6804" s="115" t="str">
        <f>IFERROR(__xludf.DUMMYFUNCTION("""COMPUTED_VALUE"""),"Ashish Ranjan")</f>
        <v>Ashish Ranjan</v>
      </c>
      <c r="C6804" s="115" t="str">
        <f>IFERROR(__xludf.DUMMYFUNCTION("""COMPUTED_VALUE"""),"MYNTRA")</f>
        <v>MYNTRA</v>
      </c>
      <c r="D6804" s="115">
        <f>IFERROR(__xludf.DUMMYFUNCTION("""COMPUTED_VALUE"""),84798.0)</f>
        <v>84798</v>
      </c>
      <c r="E6804" s="115">
        <f>IFERROR(__xludf.DUMMYFUNCTION("""COMPUTED_VALUE"""),16048.0)</f>
        <v>16048</v>
      </c>
      <c r="F6804" s="115">
        <f>IFERROR(__xludf.DUMMYFUNCTION("""COMPUTED_VALUE"""),75971.0)</f>
        <v>75971</v>
      </c>
      <c r="G6804" s="115">
        <f>IFERROR(__xludf.DUMMYFUNCTION("""COMPUTED_VALUE"""),12406.0)</f>
        <v>12406</v>
      </c>
      <c r="H6804" s="116">
        <f>IFERROR(__xludf.DUMMYFUNCTION("""COMPUTED_VALUE"""),45912.0)</f>
        <v>45912</v>
      </c>
      <c r="I6804" s="115" t="str">
        <f>IFERROR(__xludf.DUMMYFUNCTION("""COMPUTED_VALUE"""),"21")</f>
        <v>21</v>
      </c>
      <c r="J6804" s="115"/>
      <c r="K6804" s="115"/>
    </row>
    <row r="6805">
      <c r="A6805" s="115" t="str">
        <f>IFERROR(__xludf.DUMMYFUNCTION("""COMPUTED_VALUE"""),"EAST")</f>
        <v>EAST</v>
      </c>
      <c r="B6805" s="115" t="str">
        <f>IFERROR(__xludf.DUMMYFUNCTION("""COMPUTED_VALUE"""),"Girish Chand")</f>
        <v>Girish Chand</v>
      </c>
      <c r="C6805" s="115" t="str">
        <f>IFERROR(__xludf.DUMMYFUNCTION("""COMPUTED_VALUE"""),"EXTERNAL")</f>
        <v>EXTERNAL</v>
      </c>
      <c r="D6805" s="115">
        <f>IFERROR(__xludf.DUMMYFUNCTION("""COMPUTED_VALUE"""),23616.0)</f>
        <v>23616</v>
      </c>
      <c r="E6805" s="115">
        <f>IFERROR(__xludf.DUMMYFUNCTION("""COMPUTED_VALUE"""),2111.0)</f>
        <v>2111</v>
      </c>
      <c r="F6805" s="115">
        <f>IFERROR(__xludf.DUMMYFUNCTION("""COMPUTED_VALUE"""),10998.0)</f>
        <v>10998</v>
      </c>
      <c r="G6805" s="115">
        <f>IFERROR(__xludf.DUMMYFUNCTION("""COMPUTED_VALUE"""),751.0)</f>
        <v>751</v>
      </c>
      <c r="H6805" s="116">
        <f>IFERROR(__xludf.DUMMYFUNCTION("""COMPUTED_VALUE"""),45912.0)</f>
        <v>45912</v>
      </c>
      <c r="I6805" s="115" t="str">
        <f>IFERROR(__xludf.DUMMYFUNCTION("""COMPUTED_VALUE"""),"21")</f>
        <v>21</v>
      </c>
      <c r="J6805" s="115"/>
      <c r="K6805" s="115"/>
    </row>
    <row r="6806">
      <c r="A6806" s="115" t="str">
        <f>IFERROR(__xludf.DUMMYFUNCTION("""COMPUTED_VALUE"""),"EAST")</f>
        <v>EAST</v>
      </c>
      <c r="B6806" s="115" t="str">
        <f>IFERROR(__xludf.DUMMYFUNCTION("""COMPUTED_VALUE"""),"Girish Chand")</f>
        <v>Girish Chand</v>
      </c>
      <c r="C6806" s="115" t="str">
        <f>IFERROR(__xludf.DUMMYFUNCTION("""COMPUTED_VALUE"""),"FLIPKART")</f>
        <v>FLIPKART</v>
      </c>
      <c r="D6806" s="115">
        <f>IFERROR(__xludf.DUMMYFUNCTION("""COMPUTED_VALUE"""),482015.0)</f>
        <v>482015</v>
      </c>
      <c r="E6806" s="115">
        <f>IFERROR(__xludf.DUMMYFUNCTION("""COMPUTED_VALUE"""),37999.0)</f>
        <v>37999</v>
      </c>
      <c r="F6806" s="115">
        <f>IFERROR(__xludf.DUMMYFUNCTION("""COMPUTED_VALUE"""),369065.0)</f>
        <v>369065</v>
      </c>
      <c r="G6806" s="115">
        <f>IFERROR(__xludf.DUMMYFUNCTION("""COMPUTED_VALUE"""),27271.0)</f>
        <v>27271</v>
      </c>
      <c r="H6806" s="116">
        <f>IFERROR(__xludf.DUMMYFUNCTION("""COMPUTED_VALUE"""),45912.0)</f>
        <v>45912</v>
      </c>
      <c r="I6806" s="115" t="str">
        <f>IFERROR(__xludf.DUMMYFUNCTION("""COMPUTED_VALUE"""),"21")</f>
        <v>21</v>
      </c>
      <c r="J6806" s="115"/>
      <c r="K6806" s="115"/>
    </row>
    <row r="6807">
      <c r="A6807" s="115" t="str">
        <f>IFERROR(__xludf.DUMMYFUNCTION("""COMPUTED_VALUE"""),"EAST")</f>
        <v>EAST</v>
      </c>
      <c r="B6807" s="115" t="str">
        <f>IFERROR(__xludf.DUMMYFUNCTION("""COMPUTED_VALUE"""),"Girish Chand")</f>
        <v>Girish Chand</v>
      </c>
      <c r="C6807" s="115" t="str">
        <f>IFERROR(__xludf.DUMMYFUNCTION("""COMPUTED_VALUE"""),"MYNTRA")</f>
        <v>MYNTRA</v>
      </c>
      <c r="D6807" s="115">
        <f>IFERROR(__xludf.DUMMYFUNCTION("""COMPUTED_VALUE"""),36269.0)</f>
        <v>36269</v>
      </c>
      <c r="E6807" s="115">
        <f>IFERROR(__xludf.DUMMYFUNCTION("""COMPUTED_VALUE"""),7226.0)</f>
        <v>7226</v>
      </c>
      <c r="F6807" s="115">
        <f>IFERROR(__xludf.DUMMYFUNCTION("""COMPUTED_VALUE"""),28846.0)</f>
        <v>28846</v>
      </c>
      <c r="G6807" s="115">
        <f>IFERROR(__xludf.DUMMYFUNCTION("""COMPUTED_VALUE"""),5303.0)</f>
        <v>5303</v>
      </c>
      <c r="H6807" s="116">
        <f>IFERROR(__xludf.DUMMYFUNCTION("""COMPUTED_VALUE"""),45912.0)</f>
        <v>45912</v>
      </c>
      <c r="I6807" s="115" t="str">
        <f>IFERROR(__xludf.DUMMYFUNCTION("""COMPUTED_VALUE"""),"21")</f>
        <v>21</v>
      </c>
      <c r="J6807" s="115"/>
      <c r="K6807" s="115"/>
    </row>
    <row r="6808">
      <c r="A6808" s="115" t="str">
        <f>IFERROR(__xludf.DUMMYFUNCTION("""COMPUTED_VALUE"""),"EAST")</f>
        <v>EAST</v>
      </c>
      <c r="B6808" s="115" t="str">
        <f>IFERROR(__xludf.DUMMYFUNCTION("""COMPUTED_VALUE"""),"Parag Kashyap")</f>
        <v>Parag Kashyap</v>
      </c>
      <c r="C6808" s="115" t="str">
        <f>IFERROR(__xludf.DUMMYFUNCTION("""COMPUTED_VALUE"""),"EXTERNAL")</f>
        <v>EXTERNAL</v>
      </c>
      <c r="D6808" s="115">
        <f>IFERROR(__xludf.DUMMYFUNCTION("""COMPUTED_VALUE"""),15485.0)</f>
        <v>15485</v>
      </c>
      <c r="E6808" s="115">
        <f>IFERROR(__xludf.DUMMYFUNCTION("""COMPUTED_VALUE"""),1120.0)</f>
        <v>1120</v>
      </c>
      <c r="F6808" s="115">
        <f>IFERROR(__xludf.DUMMYFUNCTION("""COMPUTED_VALUE"""),7081.0)</f>
        <v>7081</v>
      </c>
      <c r="G6808" s="115">
        <f>IFERROR(__xludf.DUMMYFUNCTION("""COMPUTED_VALUE"""),430.0)</f>
        <v>430</v>
      </c>
      <c r="H6808" s="116">
        <f>IFERROR(__xludf.DUMMYFUNCTION("""COMPUTED_VALUE"""),45912.0)</f>
        <v>45912</v>
      </c>
      <c r="I6808" s="115" t="str">
        <f>IFERROR(__xludf.DUMMYFUNCTION("""COMPUTED_VALUE"""),"21")</f>
        <v>21</v>
      </c>
      <c r="J6808" s="115"/>
      <c r="K6808" s="115"/>
    </row>
    <row r="6809">
      <c r="A6809" s="115" t="str">
        <f>IFERROR(__xludf.DUMMYFUNCTION("""COMPUTED_VALUE"""),"EAST")</f>
        <v>EAST</v>
      </c>
      <c r="B6809" s="115" t="str">
        <f>IFERROR(__xludf.DUMMYFUNCTION("""COMPUTED_VALUE"""),"Parag Kashyap")</f>
        <v>Parag Kashyap</v>
      </c>
      <c r="C6809" s="115" t="str">
        <f>IFERROR(__xludf.DUMMYFUNCTION("""COMPUTED_VALUE"""),"FLIPKART")</f>
        <v>FLIPKART</v>
      </c>
      <c r="D6809" s="115">
        <f>IFERROR(__xludf.DUMMYFUNCTION("""COMPUTED_VALUE"""),289936.0)</f>
        <v>289936</v>
      </c>
      <c r="E6809" s="115">
        <f>IFERROR(__xludf.DUMMYFUNCTION("""COMPUTED_VALUE"""),20170.0)</f>
        <v>20170</v>
      </c>
      <c r="F6809" s="115">
        <f>IFERROR(__xludf.DUMMYFUNCTION("""COMPUTED_VALUE"""),230657.0)</f>
        <v>230657</v>
      </c>
      <c r="G6809" s="115">
        <f>IFERROR(__xludf.DUMMYFUNCTION("""COMPUTED_VALUE"""),14357.0)</f>
        <v>14357</v>
      </c>
      <c r="H6809" s="116">
        <f>IFERROR(__xludf.DUMMYFUNCTION("""COMPUTED_VALUE"""),45912.0)</f>
        <v>45912</v>
      </c>
      <c r="I6809" s="115" t="str">
        <f>IFERROR(__xludf.DUMMYFUNCTION("""COMPUTED_VALUE"""),"21")</f>
        <v>21</v>
      </c>
      <c r="J6809" s="115"/>
      <c r="K6809" s="115"/>
    </row>
    <row r="6810">
      <c r="A6810" s="115" t="str">
        <f>IFERROR(__xludf.DUMMYFUNCTION("""COMPUTED_VALUE"""),"EAST")</f>
        <v>EAST</v>
      </c>
      <c r="B6810" s="115" t="str">
        <f>IFERROR(__xludf.DUMMYFUNCTION("""COMPUTED_VALUE"""),"Parag Kashyap")</f>
        <v>Parag Kashyap</v>
      </c>
      <c r="C6810" s="115" t="str">
        <f>IFERROR(__xludf.DUMMYFUNCTION("""COMPUTED_VALUE"""),"MYNTRA")</f>
        <v>MYNTRA</v>
      </c>
      <c r="D6810" s="115">
        <f>IFERROR(__xludf.DUMMYFUNCTION("""COMPUTED_VALUE"""),38318.0)</f>
        <v>38318</v>
      </c>
      <c r="E6810" s="115">
        <f>IFERROR(__xludf.DUMMYFUNCTION("""COMPUTED_VALUE"""),6273.0)</f>
        <v>6273</v>
      </c>
      <c r="F6810" s="115">
        <f>IFERROR(__xludf.DUMMYFUNCTION("""COMPUTED_VALUE"""),31315.0)</f>
        <v>31315</v>
      </c>
      <c r="G6810" s="115">
        <f>IFERROR(__xludf.DUMMYFUNCTION("""COMPUTED_VALUE"""),4528.0)</f>
        <v>4528</v>
      </c>
      <c r="H6810" s="116">
        <f>IFERROR(__xludf.DUMMYFUNCTION("""COMPUTED_VALUE"""),45912.0)</f>
        <v>45912</v>
      </c>
      <c r="I6810" s="115" t="str">
        <f>IFERROR(__xludf.DUMMYFUNCTION("""COMPUTED_VALUE"""),"21")</f>
        <v>21</v>
      </c>
      <c r="J6810" s="115"/>
      <c r="K6810" s="115"/>
    </row>
    <row r="6811">
      <c r="A6811" s="115" t="str">
        <f>IFERROR(__xludf.DUMMYFUNCTION("""COMPUTED_VALUE"""),"NORTH")</f>
        <v>NORTH</v>
      </c>
      <c r="B6811" s="115" t="str">
        <f>IFERROR(__xludf.DUMMYFUNCTION("""COMPUTED_VALUE"""),"Amit Kumar Pathak")</f>
        <v>Amit Kumar Pathak</v>
      </c>
      <c r="C6811" s="115" t="str">
        <f>IFERROR(__xludf.DUMMYFUNCTION("""COMPUTED_VALUE"""),"EXTERNAL")</f>
        <v>EXTERNAL</v>
      </c>
      <c r="D6811" s="115">
        <f>IFERROR(__xludf.DUMMYFUNCTION("""COMPUTED_VALUE"""),29639.0)</f>
        <v>29639</v>
      </c>
      <c r="E6811" s="115">
        <f>IFERROR(__xludf.DUMMYFUNCTION("""COMPUTED_VALUE"""),3454.0)</f>
        <v>3454</v>
      </c>
      <c r="F6811" s="115">
        <f>IFERROR(__xludf.DUMMYFUNCTION("""COMPUTED_VALUE"""),12915.0)</f>
        <v>12915</v>
      </c>
      <c r="G6811" s="115">
        <f>IFERROR(__xludf.DUMMYFUNCTION("""COMPUTED_VALUE"""),1789.0)</f>
        <v>1789</v>
      </c>
      <c r="H6811" s="116">
        <f>IFERROR(__xludf.DUMMYFUNCTION("""COMPUTED_VALUE"""),45912.0)</f>
        <v>45912</v>
      </c>
      <c r="I6811" s="115" t="str">
        <f>IFERROR(__xludf.DUMMYFUNCTION("""COMPUTED_VALUE"""),"21")</f>
        <v>21</v>
      </c>
      <c r="J6811" s="115"/>
      <c r="K6811" s="115"/>
    </row>
    <row r="6812">
      <c r="A6812" s="115" t="str">
        <f>IFERROR(__xludf.DUMMYFUNCTION("""COMPUTED_VALUE"""),"NORTH")</f>
        <v>NORTH</v>
      </c>
      <c r="B6812" s="115" t="str">
        <f>IFERROR(__xludf.DUMMYFUNCTION("""COMPUTED_VALUE"""),"Amit Kumar Pathak")</f>
        <v>Amit Kumar Pathak</v>
      </c>
      <c r="C6812" s="115" t="str">
        <f>IFERROR(__xludf.DUMMYFUNCTION("""COMPUTED_VALUE"""),"FLIPKART")</f>
        <v>FLIPKART</v>
      </c>
      <c r="D6812" s="115">
        <f>IFERROR(__xludf.DUMMYFUNCTION("""COMPUTED_VALUE"""),207152.0)</f>
        <v>207152</v>
      </c>
      <c r="E6812" s="115">
        <f>IFERROR(__xludf.DUMMYFUNCTION("""COMPUTED_VALUE"""),24069.0)</f>
        <v>24069</v>
      </c>
      <c r="F6812" s="115">
        <f>IFERROR(__xludf.DUMMYFUNCTION("""COMPUTED_VALUE"""),162169.0)</f>
        <v>162169</v>
      </c>
      <c r="G6812" s="115">
        <f>IFERROR(__xludf.DUMMYFUNCTION("""COMPUTED_VALUE"""),16676.0)</f>
        <v>16676</v>
      </c>
      <c r="H6812" s="116">
        <f>IFERROR(__xludf.DUMMYFUNCTION("""COMPUTED_VALUE"""),45912.0)</f>
        <v>45912</v>
      </c>
      <c r="I6812" s="115" t="str">
        <f>IFERROR(__xludf.DUMMYFUNCTION("""COMPUTED_VALUE"""),"21")</f>
        <v>21</v>
      </c>
      <c r="J6812" s="115"/>
      <c r="K6812" s="115"/>
    </row>
    <row r="6813">
      <c r="A6813" s="115" t="str">
        <f>IFERROR(__xludf.DUMMYFUNCTION("""COMPUTED_VALUE"""),"NORTH")</f>
        <v>NORTH</v>
      </c>
      <c r="B6813" s="115" t="str">
        <f>IFERROR(__xludf.DUMMYFUNCTION("""COMPUTED_VALUE"""),"Amit Kumar Pathak")</f>
        <v>Amit Kumar Pathak</v>
      </c>
      <c r="C6813" s="115" t="str">
        <f>IFERROR(__xludf.DUMMYFUNCTION("""COMPUTED_VALUE"""),"MYNTRA")</f>
        <v>MYNTRA</v>
      </c>
      <c r="D6813" s="115">
        <f>IFERROR(__xludf.DUMMYFUNCTION("""COMPUTED_VALUE"""),17860.0)</f>
        <v>17860</v>
      </c>
      <c r="E6813" s="115">
        <f>IFERROR(__xludf.DUMMYFUNCTION("""COMPUTED_VALUE"""),5779.0)</f>
        <v>5779</v>
      </c>
      <c r="F6813" s="115">
        <f>IFERROR(__xludf.DUMMYFUNCTION("""COMPUTED_VALUE"""),15498.0)</f>
        <v>15498</v>
      </c>
      <c r="G6813" s="115">
        <f>IFERROR(__xludf.DUMMYFUNCTION("""COMPUTED_VALUE"""),4133.0)</f>
        <v>4133</v>
      </c>
      <c r="H6813" s="116">
        <f>IFERROR(__xludf.DUMMYFUNCTION("""COMPUTED_VALUE"""),45912.0)</f>
        <v>45912</v>
      </c>
      <c r="I6813" s="115" t="str">
        <f>IFERROR(__xludf.DUMMYFUNCTION("""COMPUTED_VALUE"""),"21")</f>
        <v>21</v>
      </c>
      <c r="J6813" s="115"/>
      <c r="K6813" s="115"/>
    </row>
    <row r="6814">
      <c r="A6814" s="115" t="str">
        <f>IFERROR(__xludf.DUMMYFUNCTION("""COMPUTED_VALUE"""),"NORTH")</f>
        <v>NORTH</v>
      </c>
      <c r="B6814" s="115" t="str">
        <f>IFERROR(__xludf.DUMMYFUNCTION("""COMPUTED_VALUE"""),"Ashvani Bhatt")</f>
        <v>Ashvani Bhatt</v>
      </c>
      <c r="C6814" s="115" t="str">
        <f>IFERROR(__xludf.DUMMYFUNCTION("""COMPUTED_VALUE"""),"EXTERNAL")</f>
        <v>EXTERNAL</v>
      </c>
      <c r="D6814" s="115">
        <f>IFERROR(__xludf.DUMMYFUNCTION("""COMPUTED_VALUE"""),31.0)</f>
        <v>31</v>
      </c>
      <c r="E6814" s="115">
        <f>IFERROR(__xludf.DUMMYFUNCTION("""COMPUTED_VALUE"""),6.0)</f>
        <v>6</v>
      </c>
      <c r="F6814" s="115">
        <f>IFERROR(__xludf.DUMMYFUNCTION("""COMPUTED_VALUE"""),9.0)</f>
        <v>9</v>
      </c>
      <c r="G6814" s="115">
        <f>IFERROR(__xludf.DUMMYFUNCTION("""COMPUTED_VALUE"""),0.0)</f>
        <v>0</v>
      </c>
      <c r="H6814" s="116">
        <f>IFERROR(__xludf.DUMMYFUNCTION("""COMPUTED_VALUE"""),45912.0)</f>
        <v>45912</v>
      </c>
      <c r="I6814" s="115" t="str">
        <f>IFERROR(__xludf.DUMMYFUNCTION("""COMPUTED_VALUE"""),"21")</f>
        <v>21</v>
      </c>
      <c r="J6814" s="115"/>
      <c r="K6814" s="115"/>
    </row>
    <row r="6815">
      <c r="A6815" s="115" t="str">
        <f>IFERROR(__xludf.DUMMYFUNCTION("""COMPUTED_VALUE"""),"NORTH")</f>
        <v>NORTH</v>
      </c>
      <c r="B6815" s="115" t="str">
        <f>IFERROR(__xludf.DUMMYFUNCTION("""COMPUTED_VALUE"""),"Ashvani Bhatt")</f>
        <v>Ashvani Bhatt</v>
      </c>
      <c r="C6815" s="115" t="str">
        <f>IFERROR(__xludf.DUMMYFUNCTION("""COMPUTED_VALUE"""),"FLIPKART")</f>
        <v>FLIPKART</v>
      </c>
      <c r="D6815" s="115">
        <f>IFERROR(__xludf.DUMMYFUNCTION("""COMPUTED_VALUE"""),462.0)</f>
        <v>462</v>
      </c>
      <c r="E6815" s="115">
        <f>IFERROR(__xludf.DUMMYFUNCTION("""COMPUTED_VALUE"""),38.0)</f>
        <v>38</v>
      </c>
      <c r="F6815" s="115">
        <f>IFERROR(__xludf.DUMMYFUNCTION("""COMPUTED_VALUE"""),236.0)</f>
        <v>236</v>
      </c>
      <c r="G6815" s="115">
        <f>IFERROR(__xludf.DUMMYFUNCTION("""COMPUTED_VALUE"""),9.0)</f>
        <v>9</v>
      </c>
      <c r="H6815" s="116">
        <f>IFERROR(__xludf.DUMMYFUNCTION("""COMPUTED_VALUE"""),45912.0)</f>
        <v>45912</v>
      </c>
      <c r="I6815" s="115" t="str">
        <f>IFERROR(__xludf.DUMMYFUNCTION("""COMPUTED_VALUE"""),"21")</f>
        <v>21</v>
      </c>
      <c r="J6815" s="115"/>
      <c r="K6815" s="115"/>
    </row>
    <row r="6816">
      <c r="A6816" s="115" t="str">
        <f>IFERROR(__xludf.DUMMYFUNCTION("""COMPUTED_VALUE"""),"NORTH")</f>
        <v>NORTH</v>
      </c>
      <c r="B6816" s="115" t="str">
        <f>IFERROR(__xludf.DUMMYFUNCTION("""COMPUTED_VALUE"""),"Ashvani Bhatt")</f>
        <v>Ashvani Bhatt</v>
      </c>
      <c r="C6816" s="115" t="str">
        <f>IFERROR(__xludf.DUMMYFUNCTION("""COMPUTED_VALUE"""),"MYNTRA")</f>
        <v>MYNTRA</v>
      </c>
      <c r="D6816" s="115">
        <f>IFERROR(__xludf.DUMMYFUNCTION("""COMPUTED_VALUE"""),23.0)</f>
        <v>23</v>
      </c>
      <c r="E6816" s="115">
        <f>IFERROR(__xludf.DUMMYFUNCTION("""COMPUTED_VALUE"""),3.0)</f>
        <v>3</v>
      </c>
      <c r="F6816" s="115">
        <f>IFERROR(__xludf.DUMMYFUNCTION("""COMPUTED_VALUE"""),15.0)</f>
        <v>15</v>
      </c>
      <c r="G6816" s="115">
        <f>IFERROR(__xludf.DUMMYFUNCTION("""COMPUTED_VALUE"""),3.0)</f>
        <v>3</v>
      </c>
      <c r="H6816" s="116">
        <f>IFERROR(__xludf.DUMMYFUNCTION("""COMPUTED_VALUE"""),45912.0)</f>
        <v>45912</v>
      </c>
      <c r="I6816" s="115" t="str">
        <f>IFERROR(__xludf.DUMMYFUNCTION("""COMPUTED_VALUE"""),"21")</f>
        <v>21</v>
      </c>
      <c r="J6816" s="115"/>
      <c r="K6816" s="115"/>
    </row>
    <row r="6817">
      <c r="A6817" s="115" t="str">
        <f>IFERROR(__xludf.DUMMYFUNCTION("""COMPUTED_VALUE"""),"NORTH")</f>
        <v>NORTH</v>
      </c>
      <c r="B6817" s="115" t="str">
        <f>IFERROR(__xludf.DUMMYFUNCTION("""COMPUTED_VALUE"""),"Loveleen Singh")</f>
        <v>Loveleen Singh</v>
      </c>
      <c r="C6817" s="115" t="str">
        <f>IFERROR(__xludf.DUMMYFUNCTION("""COMPUTED_VALUE"""),"EXTERNAL")</f>
        <v>EXTERNAL</v>
      </c>
      <c r="D6817" s="115">
        <f>IFERROR(__xludf.DUMMYFUNCTION("""COMPUTED_VALUE"""),33435.0)</f>
        <v>33435</v>
      </c>
      <c r="E6817" s="115">
        <f>IFERROR(__xludf.DUMMYFUNCTION("""COMPUTED_VALUE"""),2614.0)</f>
        <v>2614</v>
      </c>
      <c r="F6817" s="115">
        <f>IFERROR(__xludf.DUMMYFUNCTION("""COMPUTED_VALUE"""),14166.0)</f>
        <v>14166</v>
      </c>
      <c r="G6817" s="115">
        <f>IFERROR(__xludf.DUMMYFUNCTION("""COMPUTED_VALUE"""),1096.0)</f>
        <v>1096</v>
      </c>
      <c r="H6817" s="116">
        <f>IFERROR(__xludf.DUMMYFUNCTION("""COMPUTED_VALUE"""),45912.0)</f>
        <v>45912</v>
      </c>
      <c r="I6817" s="115" t="str">
        <f>IFERROR(__xludf.DUMMYFUNCTION("""COMPUTED_VALUE"""),"21")</f>
        <v>21</v>
      </c>
      <c r="J6817" s="115"/>
      <c r="K6817" s="115"/>
    </row>
    <row r="6818">
      <c r="A6818" s="115" t="str">
        <f>IFERROR(__xludf.DUMMYFUNCTION("""COMPUTED_VALUE"""),"NORTH")</f>
        <v>NORTH</v>
      </c>
      <c r="B6818" s="115" t="str">
        <f>IFERROR(__xludf.DUMMYFUNCTION("""COMPUTED_VALUE"""),"Loveleen Singh")</f>
        <v>Loveleen Singh</v>
      </c>
      <c r="C6818" s="115" t="str">
        <f>IFERROR(__xludf.DUMMYFUNCTION("""COMPUTED_VALUE"""),"FLIPKART")</f>
        <v>FLIPKART</v>
      </c>
      <c r="D6818" s="115">
        <f>IFERROR(__xludf.DUMMYFUNCTION("""COMPUTED_VALUE"""),216851.0)</f>
        <v>216851</v>
      </c>
      <c r="E6818" s="115">
        <f>IFERROR(__xludf.DUMMYFUNCTION("""COMPUTED_VALUE"""),15109.0)</f>
        <v>15109</v>
      </c>
      <c r="F6818" s="115">
        <f>IFERROR(__xludf.DUMMYFUNCTION("""COMPUTED_VALUE"""),169623.0)</f>
        <v>169623</v>
      </c>
      <c r="G6818" s="115">
        <f>IFERROR(__xludf.DUMMYFUNCTION("""COMPUTED_VALUE"""),10044.0)</f>
        <v>10044</v>
      </c>
      <c r="H6818" s="116">
        <f>IFERROR(__xludf.DUMMYFUNCTION("""COMPUTED_VALUE"""),45912.0)</f>
        <v>45912</v>
      </c>
      <c r="I6818" s="115" t="str">
        <f>IFERROR(__xludf.DUMMYFUNCTION("""COMPUTED_VALUE"""),"21")</f>
        <v>21</v>
      </c>
      <c r="J6818" s="115"/>
      <c r="K6818" s="115"/>
    </row>
    <row r="6819">
      <c r="A6819" s="115" t="str">
        <f>IFERROR(__xludf.DUMMYFUNCTION("""COMPUTED_VALUE"""),"NORTH")</f>
        <v>NORTH</v>
      </c>
      <c r="B6819" s="115" t="str">
        <f>IFERROR(__xludf.DUMMYFUNCTION("""COMPUTED_VALUE"""),"Loveleen Singh")</f>
        <v>Loveleen Singh</v>
      </c>
      <c r="C6819" s="115" t="str">
        <f>IFERROR(__xludf.DUMMYFUNCTION("""COMPUTED_VALUE"""),"MYNTRA")</f>
        <v>MYNTRA</v>
      </c>
      <c r="D6819" s="115">
        <f>IFERROR(__xludf.DUMMYFUNCTION("""COMPUTED_VALUE"""),33287.0)</f>
        <v>33287</v>
      </c>
      <c r="E6819" s="115">
        <f>IFERROR(__xludf.DUMMYFUNCTION("""COMPUTED_VALUE"""),6529.0)</f>
        <v>6529</v>
      </c>
      <c r="F6819" s="115">
        <f>IFERROR(__xludf.DUMMYFUNCTION("""COMPUTED_VALUE"""),27801.0)</f>
        <v>27801</v>
      </c>
      <c r="G6819" s="115">
        <f>IFERROR(__xludf.DUMMYFUNCTION("""COMPUTED_VALUE"""),4664.0)</f>
        <v>4664</v>
      </c>
      <c r="H6819" s="116">
        <f>IFERROR(__xludf.DUMMYFUNCTION("""COMPUTED_VALUE"""),45912.0)</f>
        <v>45912</v>
      </c>
      <c r="I6819" s="115" t="str">
        <f>IFERROR(__xludf.DUMMYFUNCTION("""COMPUTED_VALUE"""),"21")</f>
        <v>21</v>
      </c>
      <c r="J6819" s="115"/>
      <c r="K6819" s="115"/>
    </row>
    <row r="6820">
      <c r="A6820" s="115" t="str">
        <f>IFERROR(__xludf.DUMMYFUNCTION("""COMPUTED_VALUE"""),"NORTH")</f>
        <v>NORTH</v>
      </c>
      <c r="B6820" s="115" t="str">
        <f>IFERROR(__xludf.DUMMYFUNCTION("""COMPUTED_VALUE"""),"Manoj Harsh")</f>
        <v>Manoj Harsh</v>
      </c>
      <c r="C6820" s="115" t="str">
        <f>IFERROR(__xludf.DUMMYFUNCTION("""COMPUTED_VALUE"""),"EXTERNAL")</f>
        <v>EXTERNAL</v>
      </c>
      <c r="D6820" s="115">
        <f>IFERROR(__xludf.DUMMYFUNCTION("""COMPUTED_VALUE"""),37095.0)</f>
        <v>37095</v>
      </c>
      <c r="E6820" s="115">
        <f>IFERROR(__xludf.DUMMYFUNCTION("""COMPUTED_VALUE"""),2705.0)</f>
        <v>2705</v>
      </c>
      <c r="F6820" s="115">
        <f>IFERROR(__xludf.DUMMYFUNCTION("""COMPUTED_VALUE"""),17977.0)</f>
        <v>17977</v>
      </c>
      <c r="G6820" s="115">
        <f>IFERROR(__xludf.DUMMYFUNCTION("""COMPUTED_VALUE"""),1048.0)</f>
        <v>1048</v>
      </c>
      <c r="H6820" s="116">
        <f>IFERROR(__xludf.DUMMYFUNCTION("""COMPUTED_VALUE"""),45912.0)</f>
        <v>45912</v>
      </c>
      <c r="I6820" s="115" t="str">
        <f>IFERROR(__xludf.DUMMYFUNCTION("""COMPUTED_VALUE"""),"21")</f>
        <v>21</v>
      </c>
      <c r="J6820" s="115"/>
      <c r="K6820" s="115"/>
    </row>
    <row r="6821">
      <c r="A6821" s="115" t="str">
        <f>IFERROR(__xludf.DUMMYFUNCTION("""COMPUTED_VALUE"""),"NORTH")</f>
        <v>NORTH</v>
      </c>
      <c r="B6821" s="115" t="str">
        <f>IFERROR(__xludf.DUMMYFUNCTION("""COMPUTED_VALUE"""),"Manoj Harsh")</f>
        <v>Manoj Harsh</v>
      </c>
      <c r="C6821" s="115" t="str">
        <f>IFERROR(__xludf.DUMMYFUNCTION("""COMPUTED_VALUE"""),"FLIPKART")</f>
        <v>FLIPKART</v>
      </c>
      <c r="D6821" s="115">
        <f>IFERROR(__xludf.DUMMYFUNCTION("""COMPUTED_VALUE"""),484115.0)</f>
        <v>484115</v>
      </c>
      <c r="E6821" s="115">
        <f>IFERROR(__xludf.DUMMYFUNCTION("""COMPUTED_VALUE"""),38096.0)</f>
        <v>38096</v>
      </c>
      <c r="F6821" s="115">
        <f>IFERROR(__xludf.DUMMYFUNCTION("""COMPUTED_VALUE"""),373709.0)</f>
        <v>373709</v>
      </c>
      <c r="G6821" s="115">
        <f>IFERROR(__xludf.DUMMYFUNCTION("""COMPUTED_VALUE"""),25903.0)</f>
        <v>25903</v>
      </c>
      <c r="H6821" s="116">
        <f>IFERROR(__xludf.DUMMYFUNCTION("""COMPUTED_VALUE"""),45912.0)</f>
        <v>45912</v>
      </c>
      <c r="I6821" s="115" t="str">
        <f>IFERROR(__xludf.DUMMYFUNCTION("""COMPUTED_VALUE"""),"21")</f>
        <v>21</v>
      </c>
      <c r="J6821" s="115"/>
      <c r="K6821" s="115"/>
    </row>
    <row r="6822">
      <c r="A6822" s="115" t="str">
        <f>IFERROR(__xludf.DUMMYFUNCTION("""COMPUTED_VALUE"""),"NORTH")</f>
        <v>NORTH</v>
      </c>
      <c r="B6822" s="115" t="str">
        <f>IFERROR(__xludf.DUMMYFUNCTION("""COMPUTED_VALUE"""),"Manoj Harsh")</f>
        <v>Manoj Harsh</v>
      </c>
      <c r="C6822" s="115" t="str">
        <f>IFERROR(__xludf.DUMMYFUNCTION("""COMPUTED_VALUE"""),"MYNTRA")</f>
        <v>MYNTRA</v>
      </c>
      <c r="D6822" s="115">
        <f>IFERROR(__xludf.DUMMYFUNCTION("""COMPUTED_VALUE"""),37420.0)</f>
        <v>37420</v>
      </c>
      <c r="E6822" s="115">
        <f>IFERROR(__xludf.DUMMYFUNCTION("""COMPUTED_VALUE"""),7296.0)</f>
        <v>7296</v>
      </c>
      <c r="F6822" s="115">
        <f>IFERROR(__xludf.DUMMYFUNCTION("""COMPUTED_VALUE"""),30497.0)</f>
        <v>30497</v>
      </c>
      <c r="G6822" s="115">
        <f>IFERROR(__xludf.DUMMYFUNCTION("""COMPUTED_VALUE"""),5285.0)</f>
        <v>5285</v>
      </c>
      <c r="H6822" s="116">
        <f>IFERROR(__xludf.DUMMYFUNCTION("""COMPUTED_VALUE"""),45912.0)</f>
        <v>45912</v>
      </c>
      <c r="I6822" s="115" t="str">
        <f>IFERROR(__xludf.DUMMYFUNCTION("""COMPUTED_VALUE"""),"21")</f>
        <v>21</v>
      </c>
      <c r="J6822" s="115"/>
      <c r="K6822" s="115"/>
    </row>
    <row r="6823">
      <c r="A6823" s="115" t="str">
        <f>IFERROR(__xludf.DUMMYFUNCTION("""COMPUTED_VALUE"""),"NORTH")</f>
        <v>NORTH</v>
      </c>
      <c r="B6823" s="115" t="str">
        <f>IFERROR(__xludf.DUMMYFUNCTION("""COMPUTED_VALUE"""),"Pradeep Kothari")</f>
        <v>Pradeep Kothari</v>
      </c>
      <c r="C6823" s="115" t="str">
        <f>IFERROR(__xludf.DUMMYFUNCTION("""COMPUTED_VALUE"""),"EXTERNAL")</f>
        <v>EXTERNAL</v>
      </c>
      <c r="D6823" s="115">
        <f>IFERROR(__xludf.DUMMYFUNCTION("""COMPUTED_VALUE"""),20434.0)</f>
        <v>20434</v>
      </c>
      <c r="E6823" s="115">
        <f>IFERROR(__xludf.DUMMYFUNCTION("""COMPUTED_VALUE"""),1960.0)</f>
        <v>1960</v>
      </c>
      <c r="F6823" s="115">
        <f>IFERROR(__xludf.DUMMYFUNCTION("""COMPUTED_VALUE"""),8928.0)</f>
        <v>8928</v>
      </c>
      <c r="G6823" s="115">
        <f>IFERROR(__xludf.DUMMYFUNCTION("""COMPUTED_VALUE"""),915.0)</f>
        <v>915</v>
      </c>
      <c r="H6823" s="116">
        <f>IFERROR(__xludf.DUMMYFUNCTION("""COMPUTED_VALUE"""),45912.0)</f>
        <v>45912</v>
      </c>
      <c r="I6823" s="115" t="str">
        <f>IFERROR(__xludf.DUMMYFUNCTION("""COMPUTED_VALUE"""),"21")</f>
        <v>21</v>
      </c>
      <c r="J6823" s="115"/>
      <c r="K6823" s="115"/>
    </row>
    <row r="6824">
      <c r="A6824" s="115" t="str">
        <f>IFERROR(__xludf.DUMMYFUNCTION("""COMPUTED_VALUE"""),"NORTH")</f>
        <v>NORTH</v>
      </c>
      <c r="B6824" s="115" t="str">
        <f>IFERROR(__xludf.DUMMYFUNCTION("""COMPUTED_VALUE"""),"Pradeep Kothari")</f>
        <v>Pradeep Kothari</v>
      </c>
      <c r="C6824" s="115" t="str">
        <f>IFERROR(__xludf.DUMMYFUNCTION("""COMPUTED_VALUE"""),"FLIPKART")</f>
        <v>FLIPKART</v>
      </c>
      <c r="D6824" s="115">
        <f>IFERROR(__xludf.DUMMYFUNCTION("""COMPUTED_VALUE"""),181396.0)</f>
        <v>181396</v>
      </c>
      <c r="E6824" s="115">
        <f>IFERROR(__xludf.DUMMYFUNCTION("""COMPUTED_VALUE"""),17211.0)</f>
        <v>17211</v>
      </c>
      <c r="F6824" s="115">
        <f>IFERROR(__xludf.DUMMYFUNCTION("""COMPUTED_VALUE"""),144030.0)</f>
        <v>144030</v>
      </c>
      <c r="G6824" s="115">
        <f>IFERROR(__xludf.DUMMYFUNCTION("""COMPUTED_VALUE"""),12076.0)</f>
        <v>12076</v>
      </c>
      <c r="H6824" s="116">
        <f>IFERROR(__xludf.DUMMYFUNCTION("""COMPUTED_VALUE"""),45912.0)</f>
        <v>45912</v>
      </c>
      <c r="I6824" s="115" t="str">
        <f>IFERROR(__xludf.DUMMYFUNCTION("""COMPUTED_VALUE"""),"21")</f>
        <v>21</v>
      </c>
      <c r="J6824" s="115"/>
      <c r="K6824" s="115"/>
    </row>
    <row r="6825">
      <c r="A6825" s="115" t="str">
        <f>IFERROR(__xludf.DUMMYFUNCTION("""COMPUTED_VALUE"""),"NORTH")</f>
        <v>NORTH</v>
      </c>
      <c r="B6825" s="115" t="str">
        <f>IFERROR(__xludf.DUMMYFUNCTION("""COMPUTED_VALUE"""),"Pradeep Kothari")</f>
        <v>Pradeep Kothari</v>
      </c>
      <c r="C6825" s="115" t="str">
        <f>IFERROR(__xludf.DUMMYFUNCTION("""COMPUTED_VALUE"""),"MYNTRA")</f>
        <v>MYNTRA</v>
      </c>
      <c r="D6825" s="115">
        <f>IFERROR(__xludf.DUMMYFUNCTION("""COMPUTED_VALUE"""),26843.0)</f>
        <v>26843</v>
      </c>
      <c r="E6825" s="115">
        <f>IFERROR(__xludf.DUMMYFUNCTION("""COMPUTED_VALUE"""),6419.0)</f>
        <v>6419</v>
      </c>
      <c r="F6825" s="115">
        <f>IFERROR(__xludf.DUMMYFUNCTION("""COMPUTED_VALUE"""),22897.0)</f>
        <v>22897</v>
      </c>
      <c r="G6825" s="115">
        <f>IFERROR(__xludf.DUMMYFUNCTION("""COMPUTED_VALUE"""),4852.0)</f>
        <v>4852</v>
      </c>
      <c r="H6825" s="116">
        <f>IFERROR(__xludf.DUMMYFUNCTION("""COMPUTED_VALUE"""),45912.0)</f>
        <v>45912</v>
      </c>
      <c r="I6825" s="115" t="str">
        <f>IFERROR(__xludf.DUMMYFUNCTION("""COMPUTED_VALUE"""),"21")</f>
        <v>21</v>
      </c>
      <c r="J6825" s="115"/>
      <c r="K6825" s="115"/>
    </row>
    <row r="6826">
      <c r="A6826" s="115" t="str">
        <f>IFERROR(__xludf.DUMMYFUNCTION("""COMPUTED_VALUE"""),"SOUTH")</f>
        <v>SOUTH</v>
      </c>
      <c r="B6826" s="115" t="str">
        <f>IFERROR(__xludf.DUMMYFUNCTION("""COMPUTED_VALUE"""),"Kandula Sampath")</f>
        <v>Kandula Sampath</v>
      </c>
      <c r="C6826" s="115" t="str">
        <f>IFERROR(__xludf.DUMMYFUNCTION("""COMPUTED_VALUE"""),"EXTERNAL")</f>
        <v>EXTERNAL</v>
      </c>
      <c r="D6826" s="115">
        <f>IFERROR(__xludf.DUMMYFUNCTION("""COMPUTED_VALUE"""),35551.0)</f>
        <v>35551</v>
      </c>
      <c r="E6826" s="115">
        <f>IFERROR(__xludf.DUMMYFUNCTION("""COMPUTED_VALUE"""),4374.0)</f>
        <v>4374</v>
      </c>
      <c r="F6826" s="115">
        <f>IFERROR(__xludf.DUMMYFUNCTION("""COMPUTED_VALUE"""),17046.0)</f>
        <v>17046</v>
      </c>
      <c r="G6826" s="115">
        <f>IFERROR(__xludf.DUMMYFUNCTION("""COMPUTED_VALUE"""),1621.0)</f>
        <v>1621</v>
      </c>
      <c r="H6826" s="116">
        <f>IFERROR(__xludf.DUMMYFUNCTION("""COMPUTED_VALUE"""),45912.0)</f>
        <v>45912</v>
      </c>
      <c r="I6826" s="115" t="str">
        <f>IFERROR(__xludf.DUMMYFUNCTION("""COMPUTED_VALUE"""),"21")</f>
        <v>21</v>
      </c>
      <c r="J6826" s="115"/>
      <c r="K6826" s="115"/>
    </row>
    <row r="6827">
      <c r="A6827" s="115" t="str">
        <f>IFERROR(__xludf.DUMMYFUNCTION("""COMPUTED_VALUE"""),"SOUTH")</f>
        <v>SOUTH</v>
      </c>
      <c r="B6827" s="115" t="str">
        <f>IFERROR(__xludf.DUMMYFUNCTION("""COMPUTED_VALUE"""),"Kandula Sampath")</f>
        <v>Kandula Sampath</v>
      </c>
      <c r="C6827" s="115" t="str">
        <f>IFERROR(__xludf.DUMMYFUNCTION("""COMPUTED_VALUE"""),"FLIPKART")</f>
        <v>FLIPKART</v>
      </c>
      <c r="D6827" s="115">
        <f>IFERROR(__xludf.DUMMYFUNCTION("""COMPUTED_VALUE"""),391294.0)</f>
        <v>391294</v>
      </c>
      <c r="E6827" s="115">
        <f>IFERROR(__xludf.DUMMYFUNCTION("""COMPUTED_VALUE"""),32067.0)</f>
        <v>32067</v>
      </c>
      <c r="F6827" s="115">
        <f>IFERROR(__xludf.DUMMYFUNCTION("""COMPUTED_VALUE"""),302106.0)</f>
        <v>302106</v>
      </c>
      <c r="G6827" s="115">
        <f>IFERROR(__xludf.DUMMYFUNCTION("""COMPUTED_VALUE"""),20359.0)</f>
        <v>20359</v>
      </c>
      <c r="H6827" s="116">
        <f>IFERROR(__xludf.DUMMYFUNCTION("""COMPUTED_VALUE"""),45912.0)</f>
        <v>45912</v>
      </c>
      <c r="I6827" s="115" t="str">
        <f>IFERROR(__xludf.DUMMYFUNCTION("""COMPUTED_VALUE"""),"21")</f>
        <v>21</v>
      </c>
      <c r="J6827" s="115"/>
      <c r="K6827" s="115"/>
    </row>
    <row r="6828">
      <c r="A6828" s="115" t="str">
        <f>IFERROR(__xludf.DUMMYFUNCTION("""COMPUTED_VALUE"""),"SOUTH")</f>
        <v>SOUTH</v>
      </c>
      <c r="B6828" s="115" t="str">
        <f>IFERROR(__xludf.DUMMYFUNCTION("""COMPUTED_VALUE"""),"Kandula Sampath")</f>
        <v>Kandula Sampath</v>
      </c>
      <c r="C6828" s="115" t="str">
        <f>IFERROR(__xludf.DUMMYFUNCTION("""COMPUTED_VALUE"""),"MYNTRA")</f>
        <v>MYNTRA</v>
      </c>
      <c r="D6828" s="115">
        <f>IFERROR(__xludf.DUMMYFUNCTION("""COMPUTED_VALUE"""),41066.0)</f>
        <v>41066</v>
      </c>
      <c r="E6828" s="115">
        <f>IFERROR(__xludf.DUMMYFUNCTION("""COMPUTED_VALUE"""),8808.0)</f>
        <v>8808</v>
      </c>
      <c r="F6828" s="115">
        <f>IFERROR(__xludf.DUMMYFUNCTION("""COMPUTED_VALUE"""),34384.0)</f>
        <v>34384</v>
      </c>
      <c r="G6828" s="115">
        <f>IFERROR(__xludf.DUMMYFUNCTION("""COMPUTED_VALUE"""),5721.0)</f>
        <v>5721</v>
      </c>
      <c r="H6828" s="116">
        <f>IFERROR(__xludf.DUMMYFUNCTION("""COMPUTED_VALUE"""),45912.0)</f>
        <v>45912</v>
      </c>
      <c r="I6828" s="115" t="str">
        <f>IFERROR(__xludf.DUMMYFUNCTION("""COMPUTED_VALUE"""),"21")</f>
        <v>21</v>
      </c>
      <c r="J6828" s="115"/>
      <c r="K6828" s="115"/>
    </row>
    <row r="6829">
      <c r="A6829" s="115" t="str">
        <f>IFERROR(__xludf.DUMMYFUNCTION("""COMPUTED_VALUE"""),"SOUTH")</f>
        <v>SOUTH</v>
      </c>
      <c r="B6829" s="115" t="str">
        <f>IFERROR(__xludf.DUMMYFUNCTION("""COMPUTED_VALUE"""),"Martin A")</f>
        <v>Martin A</v>
      </c>
      <c r="C6829" s="115" t="str">
        <f>IFERROR(__xludf.DUMMYFUNCTION("""COMPUTED_VALUE"""),"EXTERNAL")</f>
        <v>EXTERNAL</v>
      </c>
      <c r="D6829" s="115">
        <f>IFERROR(__xludf.DUMMYFUNCTION("""COMPUTED_VALUE"""),33571.0)</f>
        <v>33571</v>
      </c>
      <c r="E6829" s="115">
        <f>IFERROR(__xludf.DUMMYFUNCTION("""COMPUTED_VALUE"""),3860.0)</f>
        <v>3860</v>
      </c>
      <c r="F6829" s="115">
        <f>IFERROR(__xludf.DUMMYFUNCTION("""COMPUTED_VALUE"""),15854.0)</f>
        <v>15854</v>
      </c>
      <c r="G6829" s="115">
        <f>IFERROR(__xludf.DUMMYFUNCTION("""COMPUTED_VALUE"""),1887.0)</f>
        <v>1887</v>
      </c>
      <c r="H6829" s="116">
        <f>IFERROR(__xludf.DUMMYFUNCTION("""COMPUTED_VALUE"""),45912.0)</f>
        <v>45912</v>
      </c>
      <c r="I6829" s="115" t="str">
        <f>IFERROR(__xludf.DUMMYFUNCTION("""COMPUTED_VALUE"""),"21")</f>
        <v>21</v>
      </c>
      <c r="J6829" s="115"/>
      <c r="K6829" s="115"/>
    </row>
    <row r="6830">
      <c r="A6830" s="115" t="str">
        <f>IFERROR(__xludf.DUMMYFUNCTION("""COMPUTED_VALUE"""),"SOUTH")</f>
        <v>SOUTH</v>
      </c>
      <c r="B6830" s="115" t="str">
        <f>IFERROR(__xludf.DUMMYFUNCTION("""COMPUTED_VALUE"""),"Martin A")</f>
        <v>Martin A</v>
      </c>
      <c r="C6830" s="115" t="str">
        <f>IFERROR(__xludf.DUMMYFUNCTION("""COMPUTED_VALUE"""),"FLIPKART")</f>
        <v>FLIPKART</v>
      </c>
      <c r="D6830" s="115">
        <f>IFERROR(__xludf.DUMMYFUNCTION("""COMPUTED_VALUE"""),341844.0)</f>
        <v>341844</v>
      </c>
      <c r="E6830" s="115">
        <f>IFERROR(__xludf.DUMMYFUNCTION("""COMPUTED_VALUE"""),27420.0)</f>
        <v>27420</v>
      </c>
      <c r="F6830" s="115">
        <f>IFERROR(__xludf.DUMMYFUNCTION("""COMPUTED_VALUE"""),263572.0)</f>
        <v>263572</v>
      </c>
      <c r="G6830" s="115">
        <f>IFERROR(__xludf.DUMMYFUNCTION("""COMPUTED_VALUE"""),17705.0)</f>
        <v>17705</v>
      </c>
      <c r="H6830" s="116">
        <f>IFERROR(__xludf.DUMMYFUNCTION("""COMPUTED_VALUE"""),45912.0)</f>
        <v>45912</v>
      </c>
      <c r="I6830" s="115" t="str">
        <f>IFERROR(__xludf.DUMMYFUNCTION("""COMPUTED_VALUE"""),"21")</f>
        <v>21</v>
      </c>
      <c r="J6830" s="115"/>
      <c r="K6830" s="115"/>
    </row>
    <row r="6831">
      <c r="A6831" s="115" t="str">
        <f>IFERROR(__xludf.DUMMYFUNCTION("""COMPUTED_VALUE"""),"SOUTH")</f>
        <v>SOUTH</v>
      </c>
      <c r="B6831" s="115" t="str">
        <f>IFERROR(__xludf.DUMMYFUNCTION("""COMPUTED_VALUE"""),"Martin A")</f>
        <v>Martin A</v>
      </c>
      <c r="C6831" s="115" t="str">
        <f>IFERROR(__xludf.DUMMYFUNCTION("""COMPUTED_VALUE"""),"MYNTRA")</f>
        <v>MYNTRA</v>
      </c>
      <c r="D6831" s="115">
        <f>IFERROR(__xludf.DUMMYFUNCTION("""COMPUTED_VALUE"""),32078.0)</f>
        <v>32078</v>
      </c>
      <c r="E6831" s="115">
        <f>IFERROR(__xludf.DUMMYFUNCTION("""COMPUTED_VALUE"""),6834.0)</f>
        <v>6834</v>
      </c>
      <c r="F6831" s="115">
        <f>IFERROR(__xludf.DUMMYFUNCTION("""COMPUTED_VALUE"""),27386.0)</f>
        <v>27386</v>
      </c>
      <c r="G6831" s="115">
        <f>IFERROR(__xludf.DUMMYFUNCTION("""COMPUTED_VALUE"""),4623.0)</f>
        <v>4623</v>
      </c>
      <c r="H6831" s="116">
        <f>IFERROR(__xludf.DUMMYFUNCTION("""COMPUTED_VALUE"""),45912.0)</f>
        <v>45912</v>
      </c>
      <c r="I6831" s="115" t="str">
        <f>IFERROR(__xludf.DUMMYFUNCTION("""COMPUTED_VALUE"""),"21")</f>
        <v>21</v>
      </c>
      <c r="J6831" s="115"/>
      <c r="K6831" s="115"/>
    </row>
    <row r="6832">
      <c r="A6832" s="115" t="str">
        <f>IFERROR(__xludf.DUMMYFUNCTION("""COMPUTED_VALUE"""),"SOUTH")</f>
        <v>SOUTH</v>
      </c>
      <c r="B6832" s="115" t="str">
        <f>IFERROR(__xludf.DUMMYFUNCTION("""COMPUTED_VALUE"""),"Premkumar M")</f>
        <v>Premkumar M</v>
      </c>
      <c r="C6832" s="115" t="str">
        <f>IFERROR(__xludf.DUMMYFUNCTION("""COMPUTED_VALUE"""),"EXTERNAL")</f>
        <v>EXTERNAL</v>
      </c>
      <c r="D6832" s="115">
        <f>IFERROR(__xludf.DUMMYFUNCTION("""COMPUTED_VALUE"""),30072.0)</f>
        <v>30072</v>
      </c>
      <c r="E6832" s="115">
        <f>IFERROR(__xludf.DUMMYFUNCTION("""COMPUTED_VALUE"""),2174.0)</f>
        <v>2174</v>
      </c>
      <c r="F6832" s="115">
        <f>IFERROR(__xludf.DUMMYFUNCTION("""COMPUTED_VALUE"""),16198.0)</f>
        <v>16198</v>
      </c>
      <c r="G6832" s="115">
        <f>IFERROR(__xludf.DUMMYFUNCTION("""COMPUTED_VALUE"""),787.0)</f>
        <v>787</v>
      </c>
      <c r="H6832" s="116">
        <f>IFERROR(__xludf.DUMMYFUNCTION("""COMPUTED_VALUE"""),45912.0)</f>
        <v>45912</v>
      </c>
      <c r="I6832" s="115" t="str">
        <f>IFERROR(__xludf.DUMMYFUNCTION("""COMPUTED_VALUE"""),"21")</f>
        <v>21</v>
      </c>
      <c r="J6832" s="115"/>
      <c r="K6832" s="115"/>
    </row>
    <row r="6833">
      <c r="A6833" s="115" t="str">
        <f>IFERROR(__xludf.DUMMYFUNCTION("""COMPUTED_VALUE"""),"SOUTH")</f>
        <v>SOUTH</v>
      </c>
      <c r="B6833" s="115" t="str">
        <f>IFERROR(__xludf.DUMMYFUNCTION("""COMPUTED_VALUE"""),"Premkumar M")</f>
        <v>Premkumar M</v>
      </c>
      <c r="C6833" s="115" t="str">
        <f>IFERROR(__xludf.DUMMYFUNCTION("""COMPUTED_VALUE"""),"FLIPKART")</f>
        <v>FLIPKART</v>
      </c>
      <c r="D6833" s="115">
        <f>IFERROR(__xludf.DUMMYFUNCTION("""COMPUTED_VALUE"""),320318.0)</f>
        <v>320318</v>
      </c>
      <c r="E6833" s="115">
        <f>IFERROR(__xludf.DUMMYFUNCTION("""COMPUTED_VALUE"""),18847.0)</f>
        <v>18847</v>
      </c>
      <c r="F6833" s="115">
        <f>IFERROR(__xludf.DUMMYFUNCTION("""COMPUTED_VALUE"""),252770.0)</f>
        <v>252770</v>
      </c>
      <c r="G6833" s="115">
        <f>IFERROR(__xludf.DUMMYFUNCTION("""COMPUTED_VALUE"""),10254.0)</f>
        <v>10254</v>
      </c>
      <c r="H6833" s="116">
        <f>IFERROR(__xludf.DUMMYFUNCTION("""COMPUTED_VALUE"""),45912.0)</f>
        <v>45912</v>
      </c>
      <c r="I6833" s="115" t="str">
        <f>IFERROR(__xludf.DUMMYFUNCTION("""COMPUTED_VALUE"""),"21")</f>
        <v>21</v>
      </c>
      <c r="J6833" s="115"/>
      <c r="K6833" s="115"/>
    </row>
    <row r="6834">
      <c r="A6834" s="115" t="str">
        <f>IFERROR(__xludf.DUMMYFUNCTION("""COMPUTED_VALUE"""),"SOUTH")</f>
        <v>SOUTH</v>
      </c>
      <c r="B6834" s="115" t="str">
        <f>IFERROR(__xludf.DUMMYFUNCTION("""COMPUTED_VALUE"""),"Premkumar M")</f>
        <v>Premkumar M</v>
      </c>
      <c r="C6834" s="115" t="str">
        <f>IFERROR(__xludf.DUMMYFUNCTION("""COMPUTED_VALUE"""),"MYNTRA")</f>
        <v>MYNTRA</v>
      </c>
      <c r="D6834" s="115">
        <f>IFERROR(__xludf.DUMMYFUNCTION("""COMPUTED_VALUE"""),16229.0)</f>
        <v>16229</v>
      </c>
      <c r="E6834" s="115">
        <f>IFERROR(__xludf.DUMMYFUNCTION("""COMPUTED_VALUE"""),2803.0)</f>
        <v>2803</v>
      </c>
      <c r="F6834" s="115">
        <f>IFERROR(__xludf.DUMMYFUNCTION("""COMPUTED_VALUE"""),13985.0)</f>
        <v>13985</v>
      </c>
      <c r="G6834" s="115">
        <f>IFERROR(__xludf.DUMMYFUNCTION("""COMPUTED_VALUE"""),1640.0)</f>
        <v>1640</v>
      </c>
      <c r="H6834" s="116">
        <f>IFERROR(__xludf.DUMMYFUNCTION("""COMPUTED_VALUE"""),45912.0)</f>
        <v>45912</v>
      </c>
      <c r="I6834" s="115" t="str">
        <f>IFERROR(__xludf.DUMMYFUNCTION("""COMPUTED_VALUE"""),"21")</f>
        <v>21</v>
      </c>
      <c r="J6834" s="115"/>
      <c r="K6834" s="115"/>
    </row>
    <row r="6835">
      <c r="A6835" s="115" t="str">
        <f>IFERROR(__xludf.DUMMYFUNCTION("""COMPUTED_VALUE"""),"SOUTH")</f>
        <v>SOUTH</v>
      </c>
      <c r="B6835" s="115" t="str">
        <f>IFERROR(__xludf.DUMMYFUNCTION("""COMPUTED_VALUE"""),"Vineeth V")</f>
        <v>Vineeth V</v>
      </c>
      <c r="C6835" s="115" t="str">
        <f>IFERROR(__xludf.DUMMYFUNCTION("""COMPUTED_VALUE"""),"EXTERNAL")</f>
        <v>EXTERNAL</v>
      </c>
      <c r="D6835" s="115">
        <f>IFERROR(__xludf.DUMMYFUNCTION("""COMPUTED_VALUE"""),21370.0)</f>
        <v>21370</v>
      </c>
      <c r="E6835" s="115">
        <f>IFERROR(__xludf.DUMMYFUNCTION("""COMPUTED_VALUE"""),564.0)</f>
        <v>564</v>
      </c>
      <c r="F6835" s="115">
        <f>IFERROR(__xludf.DUMMYFUNCTION("""COMPUTED_VALUE"""),11882.0)</f>
        <v>11882</v>
      </c>
      <c r="G6835" s="115">
        <f>IFERROR(__xludf.DUMMYFUNCTION("""COMPUTED_VALUE"""),325.0)</f>
        <v>325</v>
      </c>
      <c r="H6835" s="116">
        <f>IFERROR(__xludf.DUMMYFUNCTION("""COMPUTED_VALUE"""),45912.0)</f>
        <v>45912</v>
      </c>
      <c r="I6835" s="115" t="str">
        <f>IFERROR(__xludf.DUMMYFUNCTION("""COMPUTED_VALUE"""),"21")</f>
        <v>21</v>
      </c>
      <c r="J6835" s="115"/>
      <c r="K6835" s="115"/>
    </row>
    <row r="6836">
      <c r="A6836" s="115" t="str">
        <f>IFERROR(__xludf.DUMMYFUNCTION("""COMPUTED_VALUE"""),"SOUTH")</f>
        <v>SOUTH</v>
      </c>
      <c r="B6836" s="115" t="str">
        <f>IFERROR(__xludf.DUMMYFUNCTION("""COMPUTED_VALUE"""),"Vineeth V")</f>
        <v>Vineeth V</v>
      </c>
      <c r="C6836" s="115" t="str">
        <f>IFERROR(__xludf.DUMMYFUNCTION("""COMPUTED_VALUE"""),"FLIPKART")</f>
        <v>FLIPKART</v>
      </c>
      <c r="D6836" s="115">
        <f>IFERROR(__xludf.DUMMYFUNCTION("""COMPUTED_VALUE"""),223164.0)</f>
        <v>223164</v>
      </c>
      <c r="E6836" s="115">
        <f>IFERROR(__xludf.DUMMYFUNCTION("""COMPUTED_VALUE"""),13468.0)</f>
        <v>13468</v>
      </c>
      <c r="F6836" s="115">
        <f>IFERROR(__xludf.DUMMYFUNCTION("""COMPUTED_VALUE"""),189359.0)</f>
        <v>189359</v>
      </c>
      <c r="G6836" s="115">
        <f>IFERROR(__xludf.DUMMYFUNCTION("""COMPUTED_VALUE"""),8539.0)</f>
        <v>8539</v>
      </c>
      <c r="H6836" s="116">
        <f>IFERROR(__xludf.DUMMYFUNCTION("""COMPUTED_VALUE"""),45912.0)</f>
        <v>45912</v>
      </c>
      <c r="I6836" s="115" t="str">
        <f>IFERROR(__xludf.DUMMYFUNCTION("""COMPUTED_VALUE"""),"21")</f>
        <v>21</v>
      </c>
      <c r="J6836" s="115"/>
      <c r="K6836" s="115"/>
    </row>
    <row r="6837">
      <c r="A6837" s="115" t="str">
        <f>IFERROR(__xludf.DUMMYFUNCTION("""COMPUTED_VALUE"""),"SOUTH")</f>
        <v>SOUTH</v>
      </c>
      <c r="B6837" s="115" t="str">
        <f>IFERROR(__xludf.DUMMYFUNCTION("""COMPUTED_VALUE"""),"Vineeth V")</f>
        <v>Vineeth V</v>
      </c>
      <c r="C6837" s="115" t="str">
        <f>IFERROR(__xludf.DUMMYFUNCTION("""COMPUTED_VALUE"""),"MYNTRA")</f>
        <v>MYNTRA</v>
      </c>
      <c r="D6837" s="115">
        <f>IFERROR(__xludf.DUMMYFUNCTION("""COMPUTED_VALUE"""),17067.0)</f>
        <v>17067</v>
      </c>
      <c r="E6837" s="115">
        <f>IFERROR(__xludf.DUMMYFUNCTION("""COMPUTED_VALUE"""),3266.0)</f>
        <v>3266</v>
      </c>
      <c r="F6837" s="115">
        <f>IFERROR(__xludf.DUMMYFUNCTION("""COMPUTED_VALUE"""),15193.0)</f>
        <v>15193</v>
      </c>
      <c r="G6837" s="115">
        <f>IFERROR(__xludf.DUMMYFUNCTION("""COMPUTED_VALUE"""),2158.0)</f>
        <v>2158</v>
      </c>
      <c r="H6837" s="116">
        <f>IFERROR(__xludf.DUMMYFUNCTION("""COMPUTED_VALUE"""),45912.0)</f>
        <v>45912</v>
      </c>
      <c r="I6837" s="115" t="str">
        <f>IFERROR(__xludf.DUMMYFUNCTION("""COMPUTED_VALUE"""),"21")</f>
        <v>21</v>
      </c>
      <c r="J6837" s="115"/>
      <c r="K6837" s="115"/>
    </row>
    <row r="6838">
      <c r="A6838" s="115" t="str">
        <f>IFERROR(__xludf.DUMMYFUNCTION("""COMPUTED_VALUE"""),"WEST")</f>
        <v>WEST</v>
      </c>
      <c r="B6838" s="115" t="str">
        <f>IFERROR(__xludf.DUMMYFUNCTION("""COMPUTED_VALUE"""),"Ashish Jakar")</f>
        <v>Ashish Jakar</v>
      </c>
      <c r="C6838" s="115" t="str">
        <f>IFERROR(__xludf.DUMMYFUNCTION("""COMPUTED_VALUE"""),"EXTERNAL")</f>
        <v>EXTERNAL</v>
      </c>
      <c r="D6838" s="115">
        <f>IFERROR(__xludf.DUMMYFUNCTION("""COMPUTED_VALUE"""),62645.0)</f>
        <v>62645</v>
      </c>
      <c r="E6838" s="115">
        <f>IFERROR(__xludf.DUMMYFUNCTION("""COMPUTED_VALUE"""),6289.0)</f>
        <v>6289</v>
      </c>
      <c r="F6838" s="115">
        <f>IFERROR(__xludf.DUMMYFUNCTION("""COMPUTED_VALUE"""),27952.0)</f>
        <v>27952</v>
      </c>
      <c r="G6838" s="115">
        <f>IFERROR(__xludf.DUMMYFUNCTION("""COMPUTED_VALUE"""),2782.0)</f>
        <v>2782</v>
      </c>
      <c r="H6838" s="116">
        <f>IFERROR(__xludf.DUMMYFUNCTION("""COMPUTED_VALUE"""),45912.0)</f>
        <v>45912</v>
      </c>
      <c r="I6838" s="115" t="str">
        <f>IFERROR(__xludf.DUMMYFUNCTION("""COMPUTED_VALUE"""),"21")</f>
        <v>21</v>
      </c>
      <c r="J6838" s="115"/>
      <c r="K6838" s="115"/>
    </row>
    <row r="6839">
      <c r="A6839" s="115" t="str">
        <f>IFERROR(__xludf.DUMMYFUNCTION("""COMPUTED_VALUE"""),"WEST")</f>
        <v>WEST</v>
      </c>
      <c r="B6839" s="115" t="str">
        <f>IFERROR(__xludf.DUMMYFUNCTION("""COMPUTED_VALUE"""),"Ashish Jakar")</f>
        <v>Ashish Jakar</v>
      </c>
      <c r="C6839" s="115" t="str">
        <f>IFERROR(__xludf.DUMMYFUNCTION("""COMPUTED_VALUE"""),"FLIPKART")</f>
        <v>FLIPKART</v>
      </c>
      <c r="D6839" s="115">
        <f>IFERROR(__xludf.DUMMYFUNCTION("""COMPUTED_VALUE"""),459530.0)</f>
        <v>459530</v>
      </c>
      <c r="E6839" s="115">
        <f>IFERROR(__xludf.DUMMYFUNCTION("""COMPUTED_VALUE"""),35395.0)</f>
        <v>35395</v>
      </c>
      <c r="F6839" s="115">
        <f>IFERROR(__xludf.DUMMYFUNCTION("""COMPUTED_VALUE"""),344558.0)</f>
        <v>344558</v>
      </c>
      <c r="G6839" s="115">
        <f>IFERROR(__xludf.DUMMYFUNCTION("""COMPUTED_VALUE"""),21915.0)</f>
        <v>21915</v>
      </c>
      <c r="H6839" s="116">
        <f>IFERROR(__xludf.DUMMYFUNCTION("""COMPUTED_VALUE"""),45912.0)</f>
        <v>45912</v>
      </c>
      <c r="I6839" s="115" t="str">
        <f>IFERROR(__xludf.DUMMYFUNCTION("""COMPUTED_VALUE"""),"21")</f>
        <v>21</v>
      </c>
      <c r="J6839" s="115"/>
      <c r="K6839" s="115"/>
    </row>
    <row r="6840">
      <c r="A6840" s="115" t="str">
        <f>IFERROR(__xludf.DUMMYFUNCTION("""COMPUTED_VALUE"""),"WEST")</f>
        <v>WEST</v>
      </c>
      <c r="B6840" s="115" t="str">
        <f>IFERROR(__xludf.DUMMYFUNCTION("""COMPUTED_VALUE"""),"Ashish Jakar")</f>
        <v>Ashish Jakar</v>
      </c>
      <c r="C6840" s="115" t="str">
        <f>IFERROR(__xludf.DUMMYFUNCTION("""COMPUTED_VALUE"""),"MYNTRA")</f>
        <v>MYNTRA</v>
      </c>
      <c r="D6840" s="115">
        <f>IFERROR(__xludf.DUMMYFUNCTION("""COMPUTED_VALUE"""),50052.0)</f>
        <v>50052</v>
      </c>
      <c r="E6840" s="115">
        <f>IFERROR(__xludf.DUMMYFUNCTION("""COMPUTED_VALUE"""),11838.0)</f>
        <v>11838</v>
      </c>
      <c r="F6840" s="115">
        <f>IFERROR(__xludf.DUMMYFUNCTION("""COMPUTED_VALUE"""),42169.0)</f>
        <v>42169</v>
      </c>
      <c r="G6840" s="115">
        <f>IFERROR(__xludf.DUMMYFUNCTION("""COMPUTED_VALUE"""),7864.0)</f>
        <v>7864</v>
      </c>
      <c r="H6840" s="116">
        <f>IFERROR(__xludf.DUMMYFUNCTION("""COMPUTED_VALUE"""),45912.0)</f>
        <v>45912</v>
      </c>
      <c r="I6840" s="115" t="str">
        <f>IFERROR(__xludf.DUMMYFUNCTION("""COMPUTED_VALUE"""),"21")</f>
        <v>21</v>
      </c>
      <c r="J6840" s="115"/>
      <c r="K6840" s="115"/>
    </row>
    <row r="6841">
      <c r="A6841" s="115" t="str">
        <f>IFERROR(__xludf.DUMMYFUNCTION("""COMPUTED_VALUE"""),"WEST")</f>
        <v>WEST</v>
      </c>
      <c r="B6841" s="115" t="str">
        <f>IFERROR(__xludf.DUMMYFUNCTION("""COMPUTED_VALUE"""),"Ashvani Bhatt")</f>
        <v>Ashvani Bhatt</v>
      </c>
      <c r="C6841" s="115" t="str">
        <f>IFERROR(__xludf.DUMMYFUNCTION("""COMPUTED_VALUE"""),"EXTERNAL")</f>
        <v>EXTERNAL</v>
      </c>
      <c r="D6841" s="115">
        <f>IFERROR(__xludf.DUMMYFUNCTION("""COMPUTED_VALUE"""),40044.0)</f>
        <v>40044</v>
      </c>
      <c r="E6841" s="115">
        <f>IFERROR(__xludf.DUMMYFUNCTION("""COMPUTED_VALUE"""),3142.0)</f>
        <v>3142</v>
      </c>
      <c r="F6841" s="115">
        <f>IFERROR(__xludf.DUMMYFUNCTION("""COMPUTED_VALUE"""),18041.0)</f>
        <v>18041</v>
      </c>
      <c r="G6841" s="115">
        <f>IFERROR(__xludf.DUMMYFUNCTION("""COMPUTED_VALUE"""),1500.0)</f>
        <v>1500</v>
      </c>
      <c r="H6841" s="116">
        <f>IFERROR(__xludf.DUMMYFUNCTION("""COMPUTED_VALUE"""),45912.0)</f>
        <v>45912</v>
      </c>
      <c r="I6841" s="115" t="str">
        <f>IFERROR(__xludf.DUMMYFUNCTION("""COMPUTED_VALUE"""),"21")</f>
        <v>21</v>
      </c>
      <c r="J6841" s="115"/>
      <c r="K6841" s="115"/>
    </row>
    <row r="6842">
      <c r="A6842" s="115" t="str">
        <f>IFERROR(__xludf.DUMMYFUNCTION("""COMPUTED_VALUE"""),"WEST")</f>
        <v>WEST</v>
      </c>
      <c r="B6842" s="115" t="str">
        <f>IFERROR(__xludf.DUMMYFUNCTION("""COMPUTED_VALUE"""),"Ashvani Bhatt")</f>
        <v>Ashvani Bhatt</v>
      </c>
      <c r="C6842" s="115" t="str">
        <f>IFERROR(__xludf.DUMMYFUNCTION("""COMPUTED_VALUE"""),"FLIPKART")</f>
        <v>FLIPKART</v>
      </c>
      <c r="D6842" s="115">
        <f>IFERROR(__xludf.DUMMYFUNCTION("""COMPUTED_VALUE"""),346128.0)</f>
        <v>346128</v>
      </c>
      <c r="E6842" s="115">
        <f>IFERROR(__xludf.DUMMYFUNCTION("""COMPUTED_VALUE"""),29537.0)</f>
        <v>29537</v>
      </c>
      <c r="F6842" s="115">
        <f>IFERROR(__xludf.DUMMYFUNCTION("""COMPUTED_VALUE"""),273353.0)</f>
        <v>273353</v>
      </c>
      <c r="G6842" s="115">
        <f>IFERROR(__xludf.DUMMYFUNCTION("""COMPUTED_VALUE"""),20346.0)</f>
        <v>20346</v>
      </c>
      <c r="H6842" s="116">
        <f>IFERROR(__xludf.DUMMYFUNCTION("""COMPUTED_VALUE"""),45912.0)</f>
        <v>45912</v>
      </c>
      <c r="I6842" s="115" t="str">
        <f>IFERROR(__xludf.DUMMYFUNCTION("""COMPUTED_VALUE"""),"21")</f>
        <v>21</v>
      </c>
      <c r="J6842" s="115"/>
      <c r="K6842" s="115"/>
    </row>
    <row r="6843">
      <c r="A6843" s="115" t="str">
        <f>IFERROR(__xludf.DUMMYFUNCTION("""COMPUTED_VALUE"""),"WEST")</f>
        <v>WEST</v>
      </c>
      <c r="B6843" s="115" t="str">
        <f>IFERROR(__xludf.DUMMYFUNCTION("""COMPUTED_VALUE"""),"Ashvani Bhatt")</f>
        <v>Ashvani Bhatt</v>
      </c>
      <c r="C6843" s="115" t="str">
        <f>IFERROR(__xludf.DUMMYFUNCTION("""COMPUTED_VALUE"""),"MYNTRA")</f>
        <v>MYNTRA</v>
      </c>
      <c r="D6843" s="115">
        <f>IFERROR(__xludf.DUMMYFUNCTION("""COMPUTED_VALUE"""),36657.0)</f>
        <v>36657</v>
      </c>
      <c r="E6843" s="115">
        <f>IFERROR(__xludf.DUMMYFUNCTION("""COMPUTED_VALUE"""),9131.0)</f>
        <v>9131</v>
      </c>
      <c r="F6843" s="115">
        <f>IFERROR(__xludf.DUMMYFUNCTION("""COMPUTED_VALUE"""),31426.0)</f>
        <v>31426</v>
      </c>
      <c r="G6843" s="115">
        <f>IFERROR(__xludf.DUMMYFUNCTION("""COMPUTED_VALUE"""),6703.0)</f>
        <v>6703</v>
      </c>
      <c r="H6843" s="116">
        <f>IFERROR(__xludf.DUMMYFUNCTION("""COMPUTED_VALUE"""),45912.0)</f>
        <v>45912</v>
      </c>
      <c r="I6843" s="115" t="str">
        <f>IFERROR(__xludf.DUMMYFUNCTION("""COMPUTED_VALUE"""),"21")</f>
        <v>21</v>
      </c>
      <c r="J6843" s="115"/>
      <c r="K6843" s="115"/>
    </row>
    <row r="6844">
      <c r="A6844" s="115"/>
      <c r="B6844" s="115"/>
      <c r="C6844" s="115" t="str">
        <f>IFERROR(__xludf.DUMMYFUNCTION("""COMPUTED_VALUE"""),"EXTERNAL")</f>
        <v>EXTERNAL</v>
      </c>
      <c r="D6844" s="115">
        <f>IFERROR(__xludf.DUMMYFUNCTION("""COMPUTED_VALUE"""),1454.0)</f>
        <v>1454</v>
      </c>
      <c r="E6844" s="115">
        <f>IFERROR(__xludf.DUMMYFUNCTION("""COMPUTED_VALUE"""),243.0)</f>
        <v>243</v>
      </c>
      <c r="F6844" s="115">
        <f>IFERROR(__xludf.DUMMYFUNCTION("""COMPUTED_VALUE"""),725.0)</f>
        <v>725</v>
      </c>
      <c r="G6844" s="115">
        <f>IFERROR(__xludf.DUMMYFUNCTION("""COMPUTED_VALUE"""),158.0)</f>
        <v>158</v>
      </c>
      <c r="H6844" s="116">
        <f>IFERROR(__xludf.DUMMYFUNCTION("""COMPUTED_VALUE"""),45912.0)</f>
        <v>45912</v>
      </c>
      <c r="I6844" s="115" t="str">
        <f>IFERROR(__xludf.DUMMYFUNCTION("""COMPUTED_VALUE"""),"21")</f>
        <v>21</v>
      </c>
      <c r="J6844" s="115"/>
      <c r="K6844" s="115"/>
    </row>
    <row r="6845">
      <c r="A6845" s="115"/>
      <c r="B6845" s="115"/>
      <c r="C6845" s="115" t="str">
        <f>IFERROR(__xludf.DUMMYFUNCTION("""COMPUTED_VALUE"""),"FLIPKART")</f>
        <v>FLIPKART</v>
      </c>
      <c r="D6845" s="115">
        <f>IFERROR(__xludf.DUMMYFUNCTION("""COMPUTED_VALUE"""),16197.0)</f>
        <v>16197</v>
      </c>
      <c r="E6845" s="115">
        <f>IFERROR(__xludf.DUMMYFUNCTION("""COMPUTED_VALUE"""),1395.0)</f>
        <v>1395</v>
      </c>
      <c r="F6845" s="115">
        <f>IFERROR(__xludf.DUMMYFUNCTION("""COMPUTED_VALUE"""),12599.0)</f>
        <v>12599</v>
      </c>
      <c r="G6845" s="115">
        <f>IFERROR(__xludf.DUMMYFUNCTION("""COMPUTED_VALUE"""),1092.0)</f>
        <v>1092</v>
      </c>
      <c r="H6845" s="116">
        <f>IFERROR(__xludf.DUMMYFUNCTION("""COMPUTED_VALUE"""),45912.0)</f>
        <v>45912</v>
      </c>
      <c r="I6845" s="115" t="str">
        <f>IFERROR(__xludf.DUMMYFUNCTION("""COMPUTED_VALUE"""),"21")</f>
        <v>21</v>
      </c>
      <c r="J6845" s="115"/>
      <c r="K6845" s="115"/>
    </row>
    <row r="6846">
      <c r="A6846" s="115"/>
      <c r="B6846" s="115"/>
      <c r="C6846" s="115" t="str">
        <f>IFERROR(__xludf.DUMMYFUNCTION("""COMPUTED_VALUE"""),"MYNTRA")</f>
        <v>MYNTRA</v>
      </c>
      <c r="D6846" s="115">
        <f>IFERROR(__xludf.DUMMYFUNCTION("""COMPUTED_VALUE"""),1804.0)</f>
        <v>1804</v>
      </c>
      <c r="E6846" s="115">
        <f>IFERROR(__xludf.DUMMYFUNCTION("""COMPUTED_VALUE"""),415.0)</f>
        <v>415</v>
      </c>
      <c r="F6846" s="115">
        <f>IFERROR(__xludf.DUMMYFUNCTION("""COMPUTED_VALUE"""),1582.0)</f>
        <v>1582</v>
      </c>
      <c r="G6846" s="115">
        <f>IFERROR(__xludf.DUMMYFUNCTION("""COMPUTED_VALUE"""),318.0)</f>
        <v>318</v>
      </c>
      <c r="H6846" s="116">
        <f>IFERROR(__xludf.DUMMYFUNCTION("""COMPUTED_VALUE"""),45912.0)</f>
        <v>45912</v>
      </c>
      <c r="I6846" s="115" t="str">
        <f>IFERROR(__xludf.DUMMYFUNCTION("""COMPUTED_VALUE"""),"21")</f>
        <v>21</v>
      </c>
      <c r="J6846" s="115"/>
      <c r="K6846" s="115"/>
    </row>
    <row r="6847">
      <c r="A6847" s="115" t="str">
        <f>IFERROR(__xludf.DUMMYFUNCTION("""COMPUTED_VALUE"""),"EAST")</f>
        <v>EAST</v>
      </c>
      <c r="B6847" s="115" t="str">
        <f>IFERROR(__xludf.DUMMYFUNCTION("""COMPUTED_VALUE"""),"Ashish Ranjan")</f>
        <v>Ashish Ranjan</v>
      </c>
      <c r="C6847" s="115" t="str">
        <f>IFERROR(__xludf.DUMMYFUNCTION("""COMPUTED_VALUE"""),"EXTERNAL")</f>
        <v>EXTERNAL</v>
      </c>
      <c r="D6847" s="115">
        <f>IFERROR(__xludf.DUMMYFUNCTION("""COMPUTED_VALUE"""),44112.0)</f>
        <v>44112</v>
      </c>
      <c r="E6847" s="115">
        <f>IFERROR(__xludf.DUMMYFUNCTION("""COMPUTED_VALUE"""),3325.0)</f>
        <v>3325</v>
      </c>
      <c r="F6847" s="115">
        <f>IFERROR(__xludf.DUMMYFUNCTION("""COMPUTED_VALUE"""),25980.0)</f>
        <v>25980</v>
      </c>
      <c r="G6847" s="115">
        <f>IFERROR(__xludf.DUMMYFUNCTION("""COMPUTED_VALUE"""),1905.0)</f>
        <v>1905</v>
      </c>
      <c r="H6847" s="116">
        <f>IFERROR(__xludf.DUMMYFUNCTION("""COMPUTED_VALUE"""),45912.0)</f>
        <v>45912</v>
      </c>
      <c r="I6847" s="115" t="str">
        <f>IFERROR(__xludf.DUMMYFUNCTION("""COMPUTED_VALUE"""),"22")</f>
        <v>22</v>
      </c>
      <c r="J6847" s="115"/>
      <c r="K6847" s="115"/>
    </row>
    <row r="6848">
      <c r="A6848" s="115" t="str">
        <f>IFERROR(__xludf.DUMMYFUNCTION("""COMPUTED_VALUE"""),"EAST")</f>
        <v>EAST</v>
      </c>
      <c r="B6848" s="115" t="str">
        <f>IFERROR(__xludf.DUMMYFUNCTION("""COMPUTED_VALUE"""),"Ashish Ranjan")</f>
        <v>Ashish Ranjan</v>
      </c>
      <c r="C6848" s="115" t="str">
        <f>IFERROR(__xludf.DUMMYFUNCTION("""COMPUTED_VALUE"""),"FLIPKART")</f>
        <v>FLIPKART</v>
      </c>
      <c r="D6848" s="115">
        <f>IFERROR(__xludf.DUMMYFUNCTION("""COMPUTED_VALUE"""),806918.0)</f>
        <v>806918</v>
      </c>
      <c r="E6848" s="115">
        <f>IFERROR(__xludf.DUMMYFUNCTION("""COMPUTED_VALUE"""),67681.0)</f>
        <v>67681</v>
      </c>
      <c r="F6848" s="115">
        <f>IFERROR(__xludf.DUMMYFUNCTION("""COMPUTED_VALUE"""),723790.0)</f>
        <v>723790</v>
      </c>
      <c r="G6848" s="115">
        <f>IFERROR(__xludf.DUMMYFUNCTION("""COMPUTED_VALUE"""),55503.0)</f>
        <v>55503</v>
      </c>
      <c r="H6848" s="116">
        <f>IFERROR(__xludf.DUMMYFUNCTION("""COMPUTED_VALUE"""),45912.0)</f>
        <v>45912</v>
      </c>
      <c r="I6848" s="115" t="str">
        <f>IFERROR(__xludf.DUMMYFUNCTION("""COMPUTED_VALUE"""),"22")</f>
        <v>22</v>
      </c>
      <c r="J6848" s="115"/>
      <c r="K6848" s="115"/>
    </row>
    <row r="6849">
      <c r="A6849" s="115" t="str">
        <f>IFERROR(__xludf.DUMMYFUNCTION("""COMPUTED_VALUE"""),"EAST")</f>
        <v>EAST</v>
      </c>
      <c r="B6849" s="115" t="str">
        <f>IFERROR(__xludf.DUMMYFUNCTION("""COMPUTED_VALUE"""),"Ashish Ranjan")</f>
        <v>Ashish Ranjan</v>
      </c>
      <c r="C6849" s="115" t="str">
        <f>IFERROR(__xludf.DUMMYFUNCTION("""COMPUTED_VALUE"""),"MYNTRA")</f>
        <v>MYNTRA</v>
      </c>
      <c r="D6849" s="115">
        <f>IFERROR(__xludf.DUMMYFUNCTION("""COMPUTED_VALUE"""),84804.0)</f>
        <v>84804</v>
      </c>
      <c r="E6849" s="115">
        <f>IFERROR(__xludf.DUMMYFUNCTION("""COMPUTED_VALUE"""),16057.0)</f>
        <v>16057</v>
      </c>
      <c r="F6849" s="115">
        <f>IFERROR(__xludf.DUMMYFUNCTION("""COMPUTED_VALUE"""),76916.0)</f>
        <v>76916</v>
      </c>
      <c r="G6849" s="115">
        <f>IFERROR(__xludf.DUMMYFUNCTION("""COMPUTED_VALUE"""),13039.0)</f>
        <v>13039</v>
      </c>
      <c r="H6849" s="116">
        <f>IFERROR(__xludf.DUMMYFUNCTION("""COMPUTED_VALUE"""),45912.0)</f>
        <v>45912</v>
      </c>
      <c r="I6849" s="115" t="str">
        <f>IFERROR(__xludf.DUMMYFUNCTION("""COMPUTED_VALUE"""),"22")</f>
        <v>22</v>
      </c>
      <c r="J6849" s="115"/>
      <c r="K6849" s="115"/>
    </row>
    <row r="6850">
      <c r="A6850" s="115" t="str">
        <f>IFERROR(__xludf.DUMMYFUNCTION("""COMPUTED_VALUE"""),"EAST")</f>
        <v>EAST</v>
      </c>
      <c r="B6850" s="115" t="str">
        <f>IFERROR(__xludf.DUMMYFUNCTION("""COMPUTED_VALUE"""),"Girish Chand")</f>
        <v>Girish Chand</v>
      </c>
      <c r="C6850" s="115" t="str">
        <f>IFERROR(__xludf.DUMMYFUNCTION("""COMPUTED_VALUE"""),"EXTERNAL")</f>
        <v>EXTERNAL</v>
      </c>
      <c r="D6850" s="115">
        <f>IFERROR(__xludf.DUMMYFUNCTION("""COMPUTED_VALUE"""),23616.0)</f>
        <v>23616</v>
      </c>
      <c r="E6850" s="115">
        <f>IFERROR(__xludf.DUMMYFUNCTION("""COMPUTED_VALUE"""),2111.0)</f>
        <v>2111</v>
      </c>
      <c r="F6850" s="115">
        <f>IFERROR(__xludf.DUMMYFUNCTION("""COMPUTED_VALUE"""),11035.0)</f>
        <v>11035</v>
      </c>
      <c r="G6850" s="115">
        <f>IFERROR(__xludf.DUMMYFUNCTION("""COMPUTED_VALUE"""),803.0)</f>
        <v>803</v>
      </c>
      <c r="H6850" s="116">
        <f>IFERROR(__xludf.DUMMYFUNCTION("""COMPUTED_VALUE"""),45912.0)</f>
        <v>45912</v>
      </c>
      <c r="I6850" s="115" t="str">
        <f>IFERROR(__xludf.DUMMYFUNCTION("""COMPUTED_VALUE"""),"22")</f>
        <v>22</v>
      </c>
      <c r="J6850" s="115"/>
      <c r="K6850" s="115"/>
    </row>
    <row r="6851">
      <c r="A6851" s="115" t="str">
        <f>IFERROR(__xludf.DUMMYFUNCTION("""COMPUTED_VALUE"""),"EAST")</f>
        <v>EAST</v>
      </c>
      <c r="B6851" s="115" t="str">
        <f>IFERROR(__xludf.DUMMYFUNCTION("""COMPUTED_VALUE"""),"Girish Chand")</f>
        <v>Girish Chand</v>
      </c>
      <c r="C6851" s="115" t="str">
        <f>IFERROR(__xludf.DUMMYFUNCTION("""COMPUTED_VALUE"""),"FLIPKART")</f>
        <v>FLIPKART</v>
      </c>
      <c r="D6851" s="115">
        <f>IFERROR(__xludf.DUMMYFUNCTION("""COMPUTED_VALUE"""),482025.0)</f>
        <v>482025</v>
      </c>
      <c r="E6851" s="115">
        <f>IFERROR(__xludf.DUMMYFUNCTION("""COMPUTED_VALUE"""),38012.0)</f>
        <v>38012</v>
      </c>
      <c r="F6851" s="115">
        <f>IFERROR(__xludf.DUMMYFUNCTION("""COMPUTED_VALUE"""),369868.0)</f>
        <v>369868</v>
      </c>
      <c r="G6851" s="115">
        <f>IFERROR(__xludf.DUMMYFUNCTION("""COMPUTED_VALUE"""),28341.0)</f>
        <v>28341</v>
      </c>
      <c r="H6851" s="116">
        <f>IFERROR(__xludf.DUMMYFUNCTION("""COMPUTED_VALUE"""),45912.0)</f>
        <v>45912</v>
      </c>
      <c r="I6851" s="115" t="str">
        <f>IFERROR(__xludf.DUMMYFUNCTION("""COMPUTED_VALUE"""),"22")</f>
        <v>22</v>
      </c>
      <c r="J6851" s="115"/>
      <c r="K6851" s="115"/>
    </row>
    <row r="6852">
      <c r="A6852" s="115" t="str">
        <f>IFERROR(__xludf.DUMMYFUNCTION("""COMPUTED_VALUE"""),"EAST")</f>
        <v>EAST</v>
      </c>
      <c r="B6852" s="115" t="str">
        <f>IFERROR(__xludf.DUMMYFUNCTION("""COMPUTED_VALUE"""),"Girish Chand")</f>
        <v>Girish Chand</v>
      </c>
      <c r="C6852" s="115" t="str">
        <f>IFERROR(__xludf.DUMMYFUNCTION("""COMPUTED_VALUE"""),"MYNTRA")</f>
        <v>MYNTRA</v>
      </c>
      <c r="D6852" s="115">
        <f>IFERROR(__xludf.DUMMYFUNCTION("""COMPUTED_VALUE"""),36270.0)</f>
        <v>36270</v>
      </c>
      <c r="E6852" s="115">
        <f>IFERROR(__xludf.DUMMYFUNCTION("""COMPUTED_VALUE"""),7229.0)</f>
        <v>7229</v>
      </c>
      <c r="F6852" s="115">
        <f>IFERROR(__xludf.DUMMYFUNCTION("""COMPUTED_VALUE"""),28899.0)</f>
        <v>28899</v>
      </c>
      <c r="G6852" s="115">
        <f>IFERROR(__xludf.DUMMYFUNCTION("""COMPUTED_VALUE"""),5464.0)</f>
        <v>5464</v>
      </c>
      <c r="H6852" s="116">
        <f>IFERROR(__xludf.DUMMYFUNCTION("""COMPUTED_VALUE"""),45912.0)</f>
        <v>45912</v>
      </c>
      <c r="I6852" s="115" t="str">
        <f>IFERROR(__xludf.DUMMYFUNCTION("""COMPUTED_VALUE"""),"22")</f>
        <v>22</v>
      </c>
      <c r="J6852" s="115"/>
      <c r="K6852" s="115"/>
    </row>
    <row r="6853">
      <c r="A6853" s="115" t="str">
        <f>IFERROR(__xludf.DUMMYFUNCTION("""COMPUTED_VALUE"""),"EAST")</f>
        <v>EAST</v>
      </c>
      <c r="B6853" s="115" t="str">
        <f>IFERROR(__xludf.DUMMYFUNCTION("""COMPUTED_VALUE"""),"Parag Kashyap")</f>
        <v>Parag Kashyap</v>
      </c>
      <c r="C6853" s="115" t="str">
        <f>IFERROR(__xludf.DUMMYFUNCTION("""COMPUTED_VALUE"""),"EXTERNAL")</f>
        <v>EXTERNAL</v>
      </c>
      <c r="D6853" s="115">
        <f>IFERROR(__xludf.DUMMYFUNCTION("""COMPUTED_VALUE"""),15485.0)</f>
        <v>15485</v>
      </c>
      <c r="E6853" s="115">
        <f>IFERROR(__xludf.DUMMYFUNCTION("""COMPUTED_VALUE"""),1120.0)</f>
        <v>1120</v>
      </c>
      <c r="F6853" s="115">
        <f>IFERROR(__xludf.DUMMYFUNCTION("""COMPUTED_VALUE"""),7138.0)</f>
        <v>7138</v>
      </c>
      <c r="G6853" s="115">
        <f>IFERROR(__xludf.DUMMYFUNCTION("""COMPUTED_VALUE"""),458.0)</f>
        <v>458</v>
      </c>
      <c r="H6853" s="116">
        <f>IFERROR(__xludf.DUMMYFUNCTION("""COMPUTED_VALUE"""),45912.0)</f>
        <v>45912</v>
      </c>
      <c r="I6853" s="115" t="str">
        <f>IFERROR(__xludf.DUMMYFUNCTION("""COMPUTED_VALUE"""),"22")</f>
        <v>22</v>
      </c>
      <c r="J6853" s="115"/>
      <c r="K6853" s="115"/>
    </row>
    <row r="6854">
      <c r="A6854" s="115" t="str">
        <f>IFERROR(__xludf.DUMMYFUNCTION("""COMPUTED_VALUE"""),"EAST")</f>
        <v>EAST</v>
      </c>
      <c r="B6854" s="115" t="str">
        <f>IFERROR(__xludf.DUMMYFUNCTION("""COMPUTED_VALUE"""),"Parag Kashyap")</f>
        <v>Parag Kashyap</v>
      </c>
      <c r="C6854" s="115" t="str">
        <f>IFERROR(__xludf.DUMMYFUNCTION("""COMPUTED_VALUE"""),"FLIPKART")</f>
        <v>FLIPKART</v>
      </c>
      <c r="D6854" s="115">
        <f>IFERROR(__xludf.DUMMYFUNCTION("""COMPUTED_VALUE"""),289942.0)</f>
        <v>289942</v>
      </c>
      <c r="E6854" s="115">
        <f>IFERROR(__xludf.DUMMYFUNCTION("""COMPUTED_VALUE"""),20251.0)</f>
        <v>20251</v>
      </c>
      <c r="F6854" s="115">
        <f>IFERROR(__xludf.DUMMYFUNCTION("""COMPUTED_VALUE"""),232107.0)</f>
        <v>232107</v>
      </c>
      <c r="G6854" s="115">
        <f>IFERROR(__xludf.DUMMYFUNCTION("""COMPUTED_VALUE"""),15342.0)</f>
        <v>15342</v>
      </c>
      <c r="H6854" s="116">
        <f>IFERROR(__xludf.DUMMYFUNCTION("""COMPUTED_VALUE"""),45912.0)</f>
        <v>45912</v>
      </c>
      <c r="I6854" s="115" t="str">
        <f>IFERROR(__xludf.DUMMYFUNCTION("""COMPUTED_VALUE"""),"22")</f>
        <v>22</v>
      </c>
      <c r="J6854" s="115"/>
      <c r="K6854" s="115"/>
    </row>
    <row r="6855">
      <c r="A6855" s="115" t="str">
        <f>IFERROR(__xludf.DUMMYFUNCTION("""COMPUTED_VALUE"""),"EAST")</f>
        <v>EAST</v>
      </c>
      <c r="B6855" s="115" t="str">
        <f>IFERROR(__xludf.DUMMYFUNCTION("""COMPUTED_VALUE"""),"Parag Kashyap")</f>
        <v>Parag Kashyap</v>
      </c>
      <c r="C6855" s="115" t="str">
        <f>IFERROR(__xludf.DUMMYFUNCTION("""COMPUTED_VALUE"""),"MYNTRA")</f>
        <v>MYNTRA</v>
      </c>
      <c r="D6855" s="115">
        <f>IFERROR(__xludf.DUMMYFUNCTION("""COMPUTED_VALUE"""),38319.0)</f>
        <v>38319</v>
      </c>
      <c r="E6855" s="115">
        <f>IFERROR(__xludf.DUMMYFUNCTION("""COMPUTED_VALUE"""),6274.0)</f>
        <v>6274</v>
      </c>
      <c r="F6855" s="115">
        <f>IFERROR(__xludf.DUMMYFUNCTION("""COMPUTED_VALUE"""),31530.0)</f>
        <v>31530</v>
      </c>
      <c r="G6855" s="115">
        <f>IFERROR(__xludf.DUMMYFUNCTION("""COMPUTED_VALUE"""),4792.0)</f>
        <v>4792</v>
      </c>
      <c r="H6855" s="116">
        <f>IFERROR(__xludf.DUMMYFUNCTION("""COMPUTED_VALUE"""),45912.0)</f>
        <v>45912</v>
      </c>
      <c r="I6855" s="115" t="str">
        <f>IFERROR(__xludf.DUMMYFUNCTION("""COMPUTED_VALUE"""),"22")</f>
        <v>22</v>
      </c>
      <c r="J6855" s="115"/>
      <c r="K6855" s="115"/>
    </row>
    <row r="6856">
      <c r="A6856" s="115" t="str">
        <f>IFERROR(__xludf.DUMMYFUNCTION("""COMPUTED_VALUE"""),"NORTH")</f>
        <v>NORTH</v>
      </c>
      <c r="B6856" s="115" t="str">
        <f>IFERROR(__xludf.DUMMYFUNCTION("""COMPUTED_VALUE"""),"Amit Kumar Pathak")</f>
        <v>Amit Kumar Pathak</v>
      </c>
      <c r="C6856" s="115" t="str">
        <f>IFERROR(__xludf.DUMMYFUNCTION("""COMPUTED_VALUE"""),"EXTERNAL")</f>
        <v>EXTERNAL</v>
      </c>
      <c r="D6856" s="115">
        <f>IFERROR(__xludf.DUMMYFUNCTION("""COMPUTED_VALUE"""),29640.0)</f>
        <v>29640</v>
      </c>
      <c r="E6856" s="115">
        <f>IFERROR(__xludf.DUMMYFUNCTION("""COMPUTED_VALUE"""),3453.0)</f>
        <v>3453</v>
      </c>
      <c r="F6856" s="115">
        <f>IFERROR(__xludf.DUMMYFUNCTION("""COMPUTED_VALUE"""),13038.0)</f>
        <v>13038</v>
      </c>
      <c r="G6856" s="115">
        <f>IFERROR(__xludf.DUMMYFUNCTION("""COMPUTED_VALUE"""),1864.0)</f>
        <v>1864</v>
      </c>
      <c r="H6856" s="116">
        <f>IFERROR(__xludf.DUMMYFUNCTION("""COMPUTED_VALUE"""),45912.0)</f>
        <v>45912</v>
      </c>
      <c r="I6856" s="115" t="str">
        <f>IFERROR(__xludf.DUMMYFUNCTION("""COMPUTED_VALUE"""),"22")</f>
        <v>22</v>
      </c>
      <c r="J6856" s="115"/>
      <c r="K6856" s="115"/>
    </row>
    <row r="6857">
      <c r="A6857" s="115" t="str">
        <f>IFERROR(__xludf.DUMMYFUNCTION("""COMPUTED_VALUE"""),"NORTH")</f>
        <v>NORTH</v>
      </c>
      <c r="B6857" s="115" t="str">
        <f>IFERROR(__xludf.DUMMYFUNCTION("""COMPUTED_VALUE"""),"Amit Kumar Pathak")</f>
        <v>Amit Kumar Pathak</v>
      </c>
      <c r="C6857" s="115" t="str">
        <f>IFERROR(__xludf.DUMMYFUNCTION("""COMPUTED_VALUE"""),"FLIPKART")</f>
        <v>FLIPKART</v>
      </c>
      <c r="D6857" s="115">
        <f>IFERROR(__xludf.DUMMYFUNCTION("""COMPUTED_VALUE"""),207258.0)</f>
        <v>207258</v>
      </c>
      <c r="E6857" s="115">
        <f>IFERROR(__xludf.DUMMYFUNCTION("""COMPUTED_VALUE"""),24080.0)</f>
        <v>24080</v>
      </c>
      <c r="F6857" s="115">
        <f>IFERROR(__xludf.DUMMYFUNCTION("""COMPUTED_VALUE"""),163801.0)</f>
        <v>163801</v>
      </c>
      <c r="G6857" s="115">
        <f>IFERROR(__xludf.DUMMYFUNCTION("""COMPUTED_VALUE"""),17370.0)</f>
        <v>17370</v>
      </c>
      <c r="H6857" s="116">
        <f>IFERROR(__xludf.DUMMYFUNCTION("""COMPUTED_VALUE"""),45912.0)</f>
        <v>45912</v>
      </c>
      <c r="I6857" s="115" t="str">
        <f>IFERROR(__xludf.DUMMYFUNCTION("""COMPUTED_VALUE"""),"22")</f>
        <v>22</v>
      </c>
      <c r="J6857" s="115"/>
      <c r="K6857" s="115"/>
    </row>
    <row r="6858">
      <c r="A6858" s="115" t="str">
        <f>IFERROR(__xludf.DUMMYFUNCTION("""COMPUTED_VALUE"""),"NORTH")</f>
        <v>NORTH</v>
      </c>
      <c r="B6858" s="115" t="str">
        <f>IFERROR(__xludf.DUMMYFUNCTION("""COMPUTED_VALUE"""),"Amit Kumar Pathak")</f>
        <v>Amit Kumar Pathak</v>
      </c>
      <c r="C6858" s="115" t="str">
        <f>IFERROR(__xludf.DUMMYFUNCTION("""COMPUTED_VALUE"""),"MYNTRA")</f>
        <v>MYNTRA</v>
      </c>
      <c r="D6858" s="115">
        <f>IFERROR(__xludf.DUMMYFUNCTION("""COMPUTED_VALUE"""),17860.0)</f>
        <v>17860</v>
      </c>
      <c r="E6858" s="115">
        <f>IFERROR(__xludf.DUMMYFUNCTION("""COMPUTED_VALUE"""),5782.0)</f>
        <v>5782</v>
      </c>
      <c r="F6858" s="115">
        <f>IFERROR(__xludf.DUMMYFUNCTION("""COMPUTED_VALUE"""),15610.0)</f>
        <v>15610</v>
      </c>
      <c r="G6858" s="115">
        <f>IFERROR(__xludf.DUMMYFUNCTION("""COMPUTED_VALUE"""),4285.0)</f>
        <v>4285</v>
      </c>
      <c r="H6858" s="116">
        <f>IFERROR(__xludf.DUMMYFUNCTION("""COMPUTED_VALUE"""),45912.0)</f>
        <v>45912</v>
      </c>
      <c r="I6858" s="115" t="str">
        <f>IFERROR(__xludf.DUMMYFUNCTION("""COMPUTED_VALUE"""),"22")</f>
        <v>22</v>
      </c>
      <c r="J6858" s="115"/>
      <c r="K6858" s="115"/>
    </row>
    <row r="6859">
      <c r="A6859" s="115" t="str">
        <f>IFERROR(__xludf.DUMMYFUNCTION("""COMPUTED_VALUE"""),"NORTH")</f>
        <v>NORTH</v>
      </c>
      <c r="B6859" s="115" t="str">
        <f>IFERROR(__xludf.DUMMYFUNCTION("""COMPUTED_VALUE"""),"Ashvani Bhatt")</f>
        <v>Ashvani Bhatt</v>
      </c>
      <c r="C6859" s="115" t="str">
        <f>IFERROR(__xludf.DUMMYFUNCTION("""COMPUTED_VALUE"""),"EXTERNAL")</f>
        <v>EXTERNAL</v>
      </c>
      <c r="D6859" s="115">
        <f>IFERROR(__xludf.DUMMYFUNCTION("""COMPUTED_VALUE"""),31.0)</f>
        <v>31</v>
      </c>
      <c r="E6859" s="115">
        <f>IFERROR(__xludf.DUMMYFUNCTION("""COMPUTED_VALUE"""),6.0)</f>
        <v>6</v>
      </c>
      <c r="F6859" s="115">
        <f>IFERROR(__xludf.DUMMYFUNCTION("""COMPUTED_VALUE"""),9.0)</f>
        <v>9</v>
      </c>
      <c r="G6859" s="115">
        <f>IFERROR(__xludf.DUMMYFUNCTION("""COMPUTED_VALUE"""),0.0)</f>
        <v>0</v>
      </c>
      <c r="H6859" s="116">
        <f>IFERROR(__xludf.DUMMYFUNCTION("""COMPUTED_VALUE"""),45912.0)</f>
        <v>45912</v>
      </c>
      <c r="I6859" s="115" t="str">
        <f>IFERROR(__xludf.DUMMYFUNCTION("""COMPUTED_VALUE"""),"22")</f>
        <v>22</v>
      </c>
      <c r="J6859" s="115"/>
      <c r="K6859" s="115"/>
    </row>
    <row r="6860">
      <c r="A6860" s="115" t="str">
        <f>IFERROR(__xludf.DUMMYFUNCTION("""COMPUTED_VALUE"""),"NORTH")</f>
        <v>NORTH</v>
      </c>
      <c r="B6860" s="115" t="str">
        <f>IFERROR(__xludf.DUMMYFUNCTION("""COMPUTED_VALUE"""),"Ashvani Bhatt")</f>
        <v>Ashvani Bhatt</v>
      </c>
      <c r="C6860" s="115" t="str">
        <f>IFERROR(__xludf.DUMMYFUNCTION("""COMPUTED_VALUE"""),"FLIPKART")</f>
        <v>FLIPKART</v>
      </c>
      <c r="D6860" s="115">
        <f>IFERROR(__xludf.DUMMYFUNCTION("""COMPUTED_VALUE"""),462.0)</f>
        <v>462</v>
      </c>
      <c r="E6860" s="115">
        <f>IFERROR(__xludf.DUMMYFUNCTION("""COMPUTED_VALUE"""),38.0)</f>
        <v>38</v>
      </c>
      <c r="F6860" s="115">
        <f>IFERROR(__xludf.DUMMYFUNCTION("""COMPUTED_VALUE"""),236.0)</f>
        <v>236</v>
      </c>
      <c r="G6860" s="115">
        <f>IFERROR(__xludf.DUMMYFUNCTION("""COMPUTED_VALUE"""),9.0)</f>
        <v>9</v>
      </c>
      <c r="H6860" s="116">
        <f>IFERROR(__xludf.DUMMYFUNCTION("""COMPUTED_VALUE"""),45912.0)</f>
        <v>45912</v>
      </c>
      <c r="I6860" s="115" t="str">
        <f>IFERROR(__xludf.DUMMYFUNCTION("""COMPUTED_VALUE"""),"22")</f>
        <v>22</v>
      </c>
      <c r="J6860" s="115"/>
      <c r="K6860" s="115"/>
    </row>
    <row r="6861">
      <c r="A6861" s="115" t="str">
        <f>IFERROR(__xludf.DUMMYFUNCTION("""COMPUTED_VALUE"""),"NORTH")</f>
        <v>NORTH</v>
      </c>
      <c r="B6861" s="115" t="str">
        <f>IFERROR(__xludf.DUMMYFUNCTION("""COMPUTED_VALUE"""),"Ashvani Bhatt")</f>
        <v>Ashvani Bhatt</v>
      </c>
      <c r="C6861" s="115" t="str">
        <f>IFERROR(__xludf.DUMMYFUNCTION("""COMPUTED_VALUE"""),"MYNTRA")</f>
        <v>MYNTRA</v>
      </c>
      <c r="D6861" s="115">
        <f>IFERROR(__xludf.DUMMYFUNCTION("""COMPUTED_VALUE"""),23.0)</f>
        <v>23</v>
      </c>
      <c r="E6861" s="115">
        <f>IFERROR(__xludf.DUMMYFUNCTION("""COMPUTED_VALUE"""),3.0)</f>
        <v>3</v>
      </c>
      <c r="F6861" s="115">
        <f>IFERROR(__xludf.DUMMYFUNCTION("""COMPUTED_VALUE"""),15.0)</f>
        <v>15</v>
      </c>
      <c r="G6861" s="115">
        <f>IFERROR(__xludf.DUMMYFUNCTION("""COMPUTED_VALUE"""),3.0)</f>
        <v>3</v>
      </c>
      <c r="H6861" s="116">
        <f>IFERROR(__xludf.DUMMYFUNCTION("""COMPUTED_VALUE"""),45912.0)</f>
        <v>45912</v>
      </c>
      <c r="I6861" s="115" t="str">
        <f>IFERROR(__xludf.DUMMYFUNCTION("""COMPUTED_VALUE"""),"22")</f>
        <v>22</v>
      </c>
      <c r="J6861" s="115"/>
      <c r="K6861" s="115"/>
    </row>
    <row r="6862">
      <c r="A6862" s="115" t="str">
        <f>IFERROR(__xludf.DUMMYFUNCTION("""COMPUTED_VALUE"""),"NORTH")</f>
        <v>NORTH</v>
      </c>
      <c r="B6862" s="115" t="str">
        <f>IFERROR(__xludf.DUMMYFUNCTION("""COMPUTED_VALUE"""),"Loveleen Singh")</f>
        <v>Loveleen Singh</v>
      </c>
      <c r="C6862" s="115" t="str">
        <f>IFERROR(__xludf.DUMMYFUNCTION("""COMPUTED_VALUE"""),"EXTERNAL")</f>
        <v>EXTERNAL</v>
      </c>
      <c r="D6862" s="115">
        <f>IFERROR(__xludf.DUMMYFUNCTION("""COMPUTED_VALUE"""),33434.0)</f>
        <v>33434</v>
      </c>
      <c r="E6862" s="115">
        <f>IFERROR(__xludf.DUMMYFUNCTION("""COMPUTED_VALUE"""),2614.0)</f>
        <v>2614</v>
      </c>
      <c r="F6862" s="115">
        <f>IFERROR(__xludf.DUMMYFUNCTION("""COMPUTED_VALUE"""),14233.0)</f>
        <v>14233</v>
      </c>
      <c r="G6862" s="115">
        <f>IFERROR(__xludf.DUMMYFUNCTION("""COMPUTED_VALUE"""),1140.0)</f>
        <v>1140</v>
      </c>
      <c r="H6862" s="116">
        <f>IFERROR(__xludf.DUMMYFUNCTION("""COMPUTED_VALUE"""),45912.0)</f>
        <v>45912</v>
      </c>
      <c r="I6862" s="115" t="str">
        <f>IFERROR(__xludf.DUMMYFUNCTION("""COMPUTED_VALUE"""),"22")</f>
        <v>22</v>
      </c>
      <c r="J6862" s="115"/>
      <c r="K6862" s="115"/>
    </row>
    <row r="6863">
      <c r="A6863" s="115" t="str">
        <f>IFERROR(__xludf.DUMMYFUNCTION("""COMPUTED_VALUE"""),"NORTH")</f>
        <v>NORTH</v>
      </c>
      <c r="B6863" s="115" t="str">
        <f>IFERROR(__xludf.DUMMYFUNCTION("""COMPUTED_VALUE"""),"Loveleen Singh")</f>
        <v>Loveleen Singh</v>
      </c>
      <c r="C6863" s="115" t="str">
        <f>IFERROR(__xludf.DUMMYFUNCTION("""COMPUTED_VALUE"""),"FLIPKART")</f>
        <v>FLIPKART</v>
      </c>
      <c r="D6863" s="115">
        <f>IFERROR(__xludf.DUMMYFUNCTION("""COMPUTED_VALUE"""),216855.0)</f>
        <v>216855</v>
      </c>
      <c r="E6863" s="115">
        <f>IFERROR(__xludf.DUMMYFUNCTION("""COMPUTED_VALUE"""),15113.0)</f>
        <v>15113</v>
      </c>
      <c r="F6863" s="115">
        <f>IFERROR(__xludf.DUMMYFUNCTION("""COMPUTED_VALUE"""),170126.0)</f>
        <v>170126</v>
      </c>
      <c r="G6863" s="115">
        <f>IFERROR(__xludf.DUMMYFUNCTION("""COMPUTED_VALUE"""),10375.0)</f>
        <v>10375</v>
      </c>
      <c r="H6863" s="116">
        <f>IFERROR(__xludf.DUMMYFUNCTION("""COMPUTED_VALUE"""),45912.0)</f>
        <v>45912</v>
      </c>
      <c r="I6863" s="115" t="str">
        <f>IFERROR(__xludf.DUMMYFUNCTION("""COMPUTED_VALUE"""),"22")</f>
        <v>22</v>
      </c>
      <c r="J6863" s="115"/>
      <c r="K6863" s="115"/>
    </row>
    <row r="6864">
      <c r="A6864" s="115" t="str">
        <f>IFERROR(__xludf.DUMMYFUNCTION("""COMPUTED_VALUE"""),"NORTH")</f>
        <v>NORTH</v>
      </c>
      <c r="B6864" s="115" t="str">
        <f>IFERROR(__xludf.DUMMYFUNCTION("""COMPUTED_VALUE"""),"Loveleen Singh")</f>
        <v>Loveleen Singh</v>
      </c>
      <c r="C6864" s="115" t="str">
        <f>IFERROR(__xludf.DUMMYFUNCTION("""COMPUTED_VALUE"""),"MYNTRA")</f>
        <v>MYNTRA</v>
      </c>
      <c r="D6864" s="115">
        <f>IFERROR(__xludf.DUMMYFUNCTION("""COMPUTED_VALUE"""),33286.0)</f>
        <v>33286</v>
      </c>
      <c r="E6864" s="115">
        <f>IFERROR(__xludf.DUMMYFUNCTION("""COMPUTED_VALUE"""),6563.0)</f>
        <v>6563</v>
      </c>
      <c r="F6864" s="115">
        <f>IFERROR(__xludf.DUMMYFUNCTION("""COMPUTED_VALUE"""),27929.0)</f>
        <v>27929</v>
      </c>
      <c r="G6864" s="115">
        <f>IFERROR(__xludf.DUMMYFUNCTION("""COMPUTED_VALUE"""),4840.0)</f>
        <v>4840</v>
      </c>
      <c r="H6864" s="116">
        <f>IFERROR(__xludf.DUMMYFUNCTION("""COMPUTED_VALUE"""),45912.0)</f>
        <v>45912</v>
      </c>
      <c r="I6864" s="115" t="str">
        <f>IFERROR(__xludf.DUMMYFUNCTION("""COMPUTED_VALUE"""),"22")</f>
        <v>22</v>
      </c>
      <c r="J6864" s="115"/>
      <c r="K6864" s="115"/>
    </row>
    <row r="6865">
      <c r="A6865" s="115" t="str">
        <f>IFERROR(__xludf.DUMMYFUNCTION("""COMPUTED_VALUE"""),"NORTH")</f>
        <v>NORTH</v>
      </c>
      <c r="B6865" s="115" t="str">
        <f>IFERROR(__xludf.DUMMYFUNCTION("""COMPUTED_VALUE"""),"Manoj Harsh")</f>
        <v>Manoj Harsh</v>
      </c>
      <c r="C6865" s="115" t="str">
        <f>IFERROR(__xludf.DUMMYFUNCTION("""COMPUTED_VALUE"""),"EXTERNAL")</f>
        <v>EXTERNAL</v>
      </c>
      <c r="D6865" s="115">
        <f>IFERROR(__xludf.DUMMYFUNCTION("""COMPUTED_VALUE"""),37096.0)</f>
        <v>37096</v>
      </c>
      <c r="E6865" s="115">
        <f>IFERROR(__xludf.DUMMYFUNCTION("""COMPUTED_VALUE"""),2703.0)</f>
        <v>2703</v>
      </c>
      <c r="F6865" s="115">
        <f>IFERROR(__xludf.DUMMYFUNCTION("""COMPUTED_VALUE"""),18082.0)</f>
        <v>18082</v>
      </c>
      <c r="G6865" s="115">
        <f>IFERROR(__xludf.DUMMYFUNCTION("""COMPUTED_VALUE"""),1094.0)</f>
        <v>1094</v>
      </c>
      <c r="H6865" s="116">
        <f>IFERROR(__xludf.DUMMYFUNCTION("""COMPUTED_VALUE"""),45912.0)</f>
        <v>45912</v>
      </c>
      <c r="I6865" s="115" t="str">
        <f>IFERROR(__xludf.DUMMYFUNCTION("""COMPUTED_VALUE"""),"22")</f>
        <v>22</v>
      </c>
      <c r="J6865" s="115"/>
      <c r="K6865" s="115"/>
    </row>
    <row r="6866">
      <c r="A6866" s="115" t="str">
        <f>IFERROR(__xludf.DUMMYFUNCTION("""COMPUTED_VALUE"""),"NORTH")</f>
        <v>NORTH</v>
      </c>
      <c r="B6866" s="115" t="str">
        <f>IFERROR(__xludf.DUMMYFUNCTION("""COMPUTED_VALUE"""),"Manoj Harsh")</f>
        <v>Manoj Harsh</v>
      </c>
      <c r="C6866" s="115" t="str">
        <f>IFERROR(__xludf.DUMMYFUNCTION("""COMPUTED_VALUE"""),"FLIPKART")</f>
        <v>FLIPKART</v>
      </c>
      <c r="D6866" s="115">
        <f>IFERROR(__xludf.DUMMYFUNCTION("""COMPUTED_VALUE"""),484157.0)</f>
        <v>484157</v>
      </c>
      <c r="E6866" s="115">
        <f>IFERROR(__xludf.DUMMYFUNCTION("""COMPUTED_VALUE"""),38107.0)</f>
        <v>38107</v>
      </c>
      <c r="F6866" s="115">
        <f>IFERROR(__xludf.DUMMYFUNCTION("""COMPUTED_VALUE"""),375106.0)</f>
        <v>375106</v>
      </c>
      <c r="G6866" s="115">
        <f>IFERROR(__xludf.DUMMYFUNCTION("""COMPUTED_VALUE"""),26817.0)</f>
        <v>26817</v>
      </c>
      <c r="H6866" s="116">
        <f>IFERROR(__xludf.DUMMYFUNCTION("""COMPUTED_VALUE"""),45912.0)</f>
        <v>45912</v>
      </c>
      <c r="I6866" s="115" t="str">
        <f>IFERROR(__xludf.DUMMYFUNCTION("""COMPUTED_VALUE"""),"22")</f>
        <v>22</v>
      </c>
      <c r="J6866" s="115"/>
      <c r="K6866" s="115"/>
    </row>
    <row r="6867">
      <c r="A6867" s="115" t="str">
        <f>IFERROR(__xludf.DUMMYFUNCTION("""COMPUTED_VALUE"""),"NORTH")</f>
        <v>NORTH</v>
      </c>
      <c r="B6867" s="115" t="str">
        <f>IFERROR(__xludf.DUMMYFUNCTION("""COMPUTED_VALUE"""),"Manoj Harsh")</f>
        <v>Manoj Harsh</v>
      </c>
      <c r="C6867" s="115" t="str">
        <f>IFERROR(__xludf.DUMMYFUNCTION("""COMPUTED_VALUE"""),"MYNTRA")</f>
        <v>MYNTRA</v>
      </c>
      <c r="D6867" s="115">
        <f>IFERROR(__xludf.DUMMYFUNCTION("""COMPUTED_VALUE"""),37423.0)</f>
        <v>37423</v>
      </c>
      <c r="E6867" s="115">
        <f>IFERROR(__xludf.DUMMYFUNCTION("""COMPUTED_VALUE"""),7296.0)</f>
        <v>7296</v>
      </c>
      <c r="F6867" s="115">
        <f>IFERROR(__xludf.DUMMYFUNCTION("""COMPUTED_VALUE"""),30609.0)</f>
        <v>30609</v>
      </c>
      <c r="G6867" s="115">
        <f>IFERROR(__xludf.DUMMYFUNCTION("""COMPUTED_VALUE"""),5436.0)</f>
        <v>5436</v>
      </c>
      <c r="H6867" s="116">
        <f>IFERROR(__xludf.DUMMYFUNCTION("""COMPUTED_VALUE"""),45912.0)</f>
        <v>45912</v>
      </c>
      <c r="I6867" s="115" t="str">
        <f>IFERROR(__xludf.DUMMYFUNCTION("""COMPUTED_VALUE"""),"22")</f>
        <v>22</v>
      </c>
      <c r="J6867" s="115"/>
      <c r="K6867" s="115"/>
    </row>
    <row r="6868">
      <c r="A6868" s="115" t="str">
        <f>IFERROR(__xludf.DUMMYFUNCTION("""COMPUTED_VALUE"""),"NORTH")</f>
        <v>NORTH</v>
      </c>
      <c r="B6868" s="115" t="str">
        <f>IFERROR(__xludf.DUMMYFUNCTION("""COMPUTED_VALUE"""),"Pradeep Kothari")</f>
        <v>Pradeep Kothari</v>
      </c>
      <c r="C6868" s="115" t="str">
        <f>IFERROR(__xludf.DUMMYFUNCTION("""COMPUTED_VALUE"""),"EXTERNAL")</f>
        <v>EXTERNAL</v>
      </c>
      <c r="D6868" s="115">
        <f>IFERROR(__xludf.DUMMYFUNCTION("""COMPUTED_VALUE"""),20436.0)</f>
        <v>20436</v>
      </c>
      <c r="E6868" s="115">
        <f>IFERROR(__xludf.DUMMYFUNCTION("""COMPUTED_VALUE"""),1960.0)</f>
        <v>1960</v>
      </c>
      <c r="F6868" s="115">
        <f>IFERROR(__xludf.DUMMYFUNCTION("""COMPUTED_VALUE"""),8947.0)</f>
        <v>8947</v>
      </c>
      <c r="G6868" s="115">
        <f>IFERROR(__xludf.DUMMYFUNCTION("""COMPUTED_VALUE"""),959.0)</f>
        <v>959</v>
      </c>
      <c r="H6868" s="116">
        <f>IFERROR(__xludf.DUMMYFUNCTION("""COMPUTED_VALUE"""),45912.0)</f>
        <v>45912</v>
      </c>
      <c r="I6868" s="115" t="str">
        <f>IFERROR(__xludf.DUMMYFUNCTION("""COMPUTED_VALUE"""),"22")</f>
        <v>22</v>
      </c>
      <c r="J6868" s="115"/>
      <c r="K6868" s="115"/>
    </row>
    <row r="6869">
      <c r="A6869" s="115" t="str">
        <f>IFERROR(__xludf.DUMMYFUNCTION("""COMPUTED_VALUE"""),"NORTH")</f>
        <v>NORTH</v>
      </c>
      <c r="B6869" s="115" t="str">
        <f>IFERROR(__xludf.DUMMYFUNCTION("""COMPUTED_VALUE"""),"Pradeep Kothari")</f>
        <v>Pradeep Kothari</v>
      </c>
      <c r="C6869" s="115" t="str">
        <f>IFERROR(__xludf.DUMMYFUNCTION("""COMPUTED_VALUE"""),"FLIPKART")</f>
        <v>FLIPKART</v>
      </c>
      <c r="D6869" s="115">
        <f>IFERROR(__xludf.DUMMYFUNCTION("""COMPUTED_VALUE"""),181403.0)</f>
        <v>181403</v>
      </c>
      <c r="E6869" s="115">
        <f>IFERROR(__xludf.DUMMYFUNCTION("""COMPUTED_VALUE"""),17210.0)</f>
        <v>17210</v>
      </c>
      <c r="F6869" s="115">
        <f>IFERROR(__xludf.DUMMYFUNCTION("""COMPUTED_VALUE"""),144461.0)</f>
        <v>144461</v>
      </c>
      <c r="G6869" s="115">
        <f>IFERROR(__xludf.DUMMYFUNCTION("""COMPUTED_VALUE"""),12343.0)</f>
        <v>12343</v>
      </c>
      <c r="H6869" s="116">
        <f>IFERROR(__xludf.DUMMYFUNCTION("""COMPUTED_VALUE"""),45912.0)</f>
        <v>45912</v>
      </c>
      <c r="I6869" s="115" t="str">
        <f>IFERROR(__xludf.DUMMYFUNCTION("""COMPUTED_VALUE"""),"22")</f>
        <v>22</v>
      </c>
      <c r="J6869" s="115"/>
      <c r="K6869" s="115"/>
    </row>
    <row r="6870">
      <c r="A6870" s="115" t="str">
        <f>IFERROR(__xludf.DUMMYFUNCTION("""COMPUTED_VALUE"""),"NORTH")</f>
        <v>NORTH</v>
      </c>
      <c r="B6870" s="115" t="str">
        <f>IFERROR(__xludf.DUMMYFUNCTION("""COMPUTED_VALUE"""),"Pradeep Kothari")</f>
        <v>Pradeep Kothari</v>
      </c>
      <c r="C6870" s="115" t="str">
        <f>IFERROR(__xludf.DUMMYFUNCTION("""COMPUTED_VALUE"""),"MYNTRA")</f>
        <v>MYNTRA</v>
      </c>
      <c r="D6870" s="115">
        <f>IFERROR(__xludf.DUMMYFUNCTION("""COMPUTED_VALUE"""),26844.0)</f>
        <v>26844</v>
      </c>
      <c r="E6870" s="115">
        <f>IFERROR(__xludf.DUMMYFUNCTION("""COMPUTED_VALUE"""),6419.0)</f>
        <v>6419</v>
      </c>
      <c r="F6870" s="115">
        <f>IFERROR(__xludf.DUMMYFUNCTION("""COMPUTED_VALUE"""),22936.0)</f>
        <v>22936</v>
      </c>
      <c r="G6870" s="115">
        <f>IFERROR(__xludf.DUMMYFUNCTION("""COMPUTED_VALUE"""),4911.0)</f>
        <v>4911</v>
      </c>
      <c r="H6870" s="116">
        <f>IFERROR(__xludf.DUMMYFUNCTION("""COMPUTED_VALUE"""),45912.0)</f>
        <v>45912</v>
      </c>
      <c r="I6870" s="115" t="str">
        <f>IFERROR(__xludf.DUMMYFUNCTION("""COMPUTED_VALUE"""),"22")</f>
        <v>22</v>
      </c>
      <c r="J6870" s="115"/>
      <c r="K6870" s="115"/>
    </row>
    <row r="6871">
      <c r="A6871" s="115" t="str">
        <f>IFERROR(__xludf.DUMMYFUNCTION("""COMPUTED_VALUE"""),"SOUTH")</f>
        <v>SOUTH</v>
      </c>
      <c r="B6871" s="115" t="str">
        <f>IFERROR(__xludf.DUMMYFUNCTION("""COMPUTED_VALUE"""),"Kandula Sampath")</f>
        <v>Kandula Sampath</v>
      </c>
      <c r="C6871" s="115" t="str">
        <f>IFERROR(__xludf.DUMMYFUNCTION("""COMPUTED_VALUE"""),"EXTERNAL")</f>
        <v>EXTERNAL</v>
      </c>
      <c r="D6871" s="115">
        <f>IFERROR(__xludf.DUMMYFUNCTION("""COMPUTED_VALUE"""),35555.0)</f>
        <v>35555</v>
      </c>
      <c r="E6871" s="115">
        <f>IFERROR(__xludf.DUMMYFUNCTION("""COMPUTED_VALUE"""),4375.0)</f>
        <v>4375</v>
      </c>
      <c r="F6871" s="115">
        <f>IFERROR(__xludf.DUMMYFUNCTION("""COMPUTED_VALUE"""),17158.0)</f>
        <v>17158</v>
      </c>
      <c r="G6871" s="115">
        <f>IFERROR(__xludf.DUMMYFUNCTION("""COMPUTED_VALUE"""),1724.0)</f>
        <v>1724</v>
      </c>
      <c r="H6871" s="116">
        <f>IFERROR(__xludf.DUMMYFUNCTION("""COMPUTED_VALUE"""),45912.0)</f>
        <v>45912</v>
      </c>
      <c r="I6871" s="115" t="str">
        <f>IFERROR(__xludf.DUMMYFUNCTION("""COMPUTED_VALUE"""),"22")</f>
        <v>22</v>
      </c>
      <c r="J6871" s="115"/>
      <c r="K6871" s="115"/>
    </row>
    <row r="6872">
      <c r="A6872" s="115" t="str">
        <f>IFERROR(__xludf.DUMMYFUNCTION("""COMPUTED_VALUE"""),"SOUTH")</f>
        <v>SOUTH</v>
      </c>
      <c r="B6872" s="115" t="str">
        <f>IFERROR(__xludf.DUMMYFUNCTION("""COMPUTED_VALUE"""),"Kandula Sampath")</f>
        <v>Kandula Sampath</v>
      </c>
      <c r="C6872" s="115" t="str">
        <f>IFERROR(__xludf.DUMMYFUNCTION("""COMPUTED_VALUE"""),"FLIPKART")</f>
        <v>FLIPKART</v>
      </c>
      <c r="D6872" s="115">
        <f>IFERROR(__xludf.DUMMYFUNCTION("""COMPUTED_VALUE"""),391331.0)</f>
        <v>391331</v>
      </c>
      <c r="E6872" s="115">
        <f>IFERROR(__xludf.DUMMYFUNCTION("""COMPUTED_VALUE"""),32099.0)</f>
        <v>32099</v>
      </c>
      <c r="F6872" s="115">
        <f>IFERROR(__xludf.DUMMYFUNCTION("""COMPUTED_VALUE"""),303558.0)</f>
        <v>303558</v>
      </c>
      <c r="G6872" s="115">
        <f>IFERROR(__xludf.DUMMYFUNCTION("""COMPUTED_VALUE"""),21336.0)</f>
        <v>21336</v>
      </c>
      <c r="H6872" s="116">
        <f>IFERROR(__xludf.DUMMYFUNCTION("""COMPUTED_VALUE"""),45912.0)</f>
        <v>45912</v>
      </c>
      <c r="I6872" s="115" t="str">
        <f>IFERROR(__xludf.DUMMYFUNCTION("""COMPUTED_VALUE"""),"22")</f>
        <v>22</v>
      </c>
      <c r="J6872" s="115"/>
      <c r="K6872" s="115"/>
    </row>
    <row r="6873">
      <c r="A6873" s="115" t="str">
        <f>IFERROR(__xludf.DUMMYFUNCTION("""COMPUTED_VALUE"""),"SOUTH")</f>
        <v>SOUTH</v>
      </c>
      <c r="B6873" s="115" t="str">
        <f>IFERROR(__xludf.DUMMYFUNCTION("""COMPUTED_VALUE"""),"Kandula Sampath")</f>
        <v>Kandula Sampath</v>
      </c>
      <c r="C6873" s="115" t="str">
        <f>IFERROR(__xludf.DUMMYFUNCTION("""COMPUTED_VALUE"""),"MYNTRA")</f>
        <v>MYNTRA</v>
      </c>
      <c r="D6873" s="115">
        <f>IFERROR(__xludf.DUMMYFUNCTION("""COMPUTED_VALUE"""),41068.0)</f>
        <v>41068</v>
      </c>
      <c r="E6873" s="115">
        <f>IFERROR(__xludf.DUMMYFUNCTION("""COMPUTED_VALUE"""),8810.0)</f>
        <v>8810</v>
      </c>
      <c r="F6873" s="115">
        <f>IFERROR(__xludf.DUMMYFUNCTION("""COMPUTED_VALUE"""),34536.0)</f>
        <v>34536</v>
      </c>
      <c r="G6873" s="115">
        <f>IFERROR(__xludf.DUMMYFUNCTION("""COMPUTED_VALUE"""),6043.0)</f>
        <v>6043</v>
      </c>
      <c r="H6873" s="116">
        <f>IFERROR(__xludf.DUMMYFUNCTION("""COMPUTED_VALUE"""),45912.0)</f>
        <v>45912</v>
      </c>
      <c r="I6873" s="115" t="str">
        <f>IFERROR(__xludf.DUMMYFUNCTION("""COMPUTED_VALUE"""),"22")</f>
        <v>22</v>
      </c>
      <c r="J6873" s="115"/>
      <c r="K6873" s="115"/>
    </row>
    <row r="6874">
      <c r="A6874" s="115" t="str">
        <f>IFERROR(__xludf.DUMMYFUNCTION("""COMPUTED_VALUE"""),"SOUTH")</f>
        <v>SOUTH</v>
      </c>
      <c r="B6874" s="115" t="str">
        <f>IFERROR(__xludf.DUMMYFUNCTION("""COMPUTED_VALUE"""),"Martin A")</f>
        <v>Martin A</v>
      </c>
      <c r="C6874" s="115" t="str">
        <f>IFERROR(__xludf.DUMMYFUNCTION("""COMPUTED_VALUE"""),"EXTERNAL")</f>
        <v>EXTERNAL</v>
      </c>
      <c r="D6874" s="115">
        <f>IFERROR(__xludf.DUMMYFUNCTION("""COMPUTED_VALUE"""),33580.0)</f>
        <v>33580</v>
      </c>
      <c r="E6874" s="115">
        <f>IFERROR(__xludf.DUMMYFUNCTION("""COMPUTED_VALUE"""),3869.0)</f>
        <v>3869</v>
      </c>
      <c r="F6874" s="115">
        <f>IFERROR(__xludf.DUMMYFUNCTION("""COMPUTED_VALUE"""),16066.0)</f>
        <v>16066</v>
      </c>
      <c r="G6874" s="115">
        <f>IFERROR(__xludf.DUMMYFUNCTION("""COMPUTED_VALUE"""),2014.0)</f>
        <v>2014</v>
      </c>
      <c r="H6874" s="116">
        <f>IFERROR(__xludf.DUMMYFUNCTION("""COMPUTED_VALUE"""),45912.0)</f>
        <v>45912</v>
      </c>
      <c r="I6874" s="115" t="str">
        <f>IFERROR(__xludf.DUMMYFUNCTION("""COMPUTED_VALUE"""),"22")</f>
        <v>22</v>
      </c>
      <c r="J6874" s="115"/>
      <c r="K6874" s="115"/>
    </row>
    <row r="6875">
      <c r="A6875" s="115" t="str">
        <f>IFERROR(__xludf.DUMMYFUNCTION("""COMPUTED_VALUE"""),"SOUTH")</f>
        <v>SOUTH</v>
      </c>
      <c r="B6875" s="115" t="str">
        <f>IFERROR(__xludf.DUMMYFUNCTION("""COMPUTED_VALUE"""),"Martin A")</f>
        <v>Martin A</v>
      </c>
      <c r="C6875" s="115" t="str">
        <f>IFERROR(__xludf.DUMMYFUNCTION("""COMPUTED_VALUE"""),"FLIPKART")</f>
        <v>FLIPKART</v>
      </c>
      <c r="D6875" s="115">
        <f>IFERROR(__xludf.DUMMYFUNCTION("""COMPUTED_VALUE"""),341959.0)</f>
        <v>341959</v>
      </c>
      <c r="E6875" s="115">
        <f>IFERROR(__xludf.DUMMYFUNCTION("""COMPUTED_VALUE"""),27472.0)</f>
        <v>27472</v>
      </c>
      <c r="F6875" s="115">
        <f>IFERROR(__xludf.DUMMYFUNCTION("""COMPUTED_VALUE"""),266489.0)</f>
        <v>266489</v>
      </c>
      <c r="G6875" s="115">
        <f>IFERROR(__xludf.DUMMYFUNCTION("""COMPUTED_VALUE"""),18611.0)</f>
        <v>18611</v>
      </c>
      <c r="H6875" s="116">
        <f>IFERROR(__xludf.DUMMYFUNCTION("""COMPUTED_VALUE"""),45912.0)</f>
        <v>45912</v>
      </c>
      <c r="I6875" s="115" t="str">
        <f>IFERROR(__xludf.DUMMYFUNCTION("""COMPUTED_VALUE"""),"22")</f>
        <v>22</v>
      </c>
      <c r="J6875" s="115"/>
      <c r="K6875" s="115"/>
    </row>
    <row r="6876">
      <c r="A6876" s="115" t="str">
        <f>IFERROR(__xludf.DUMMYFUNCTION("""COMPUTED_VALUE"""),"SOUTH")</f>
        <v>SOUTH</v>
      </c>
      <c r="B6876" s="115" t="str">
        <f>IFERROR(__xludf.DUMMYFUNCTION("""COMPUTED_VALUE"""),"Martin A")</f>
        <v>Martin A</v>
      </c>
      <c r="C6876" s="115" t="str">
        <f>IFERROR(__xludf.DUMMYFUNCTION("""COMPUTED_VALUE"""),"MYNTRA")</f>
        <v>MYNTRA</v>
      </c>
      <c r="D6876" s="115">
        <f>IFERROR(__xludf.DUMMYFUNCTION("""COMPUTED_VALUE"""),32094.0)</f>
        <v>32094</v>
      </c>
      <c r="E6876" s="115">
        <f>IFERROR(__xludf.DUMMYFUNCTION("""COMPUTED_VALUE"""),6839.0)</f>
        <v>6839</v>
      </c>
      <c r="F6876" s="115">
        <f>IFERROR(__xludf.DUMMYFUNCTION("""COMPUTED_VALUE"""),27690.0)</f>
        <v>27690</v>
      </c>
      <c r="G6876" s="115">
        <f>IFERROR(__xludf.DUMMYFUNCTION("""COMPUTED_VALUE"""),4799.0)</f>
        <v>4799</v>
      </c>
      <c r="H6876" s="116">
        <f>IFERROR(__xludf.DUMMYFUNCTION("""COMPUTED_VALUE"""),45912.0)</f>
        <v>45912</v>
      </c>
      <c r="I6876" s="115" t="str">
        <f>IFERROR(__xludf.DUMMYFUNCTION("""COMPUTED_VALUE"""),"22")</f>
        <v>22</v>
      </c>
      <c r="J6876" s="115"/>
      <c r="K6876" s="115"/>
    </row>
    <row r="6877">
      <c r="A6877" s="115" t="str">
        <f>IFERROR(__xludf.DUMMYFUNCTION("""COMPUTED_VALUE"""),"SOUTH")</f>
        <v>SOUTH</v>
      </c>
      <c r="B6877" s="115" t="str">
        <f>IFERROR(__xludf.DUMMYFUNCTION("""COMPUTED_VALUE"""),"Premkumar M")</f>
        <v>Premkumar M</v>
      </c>
      <c r="C6877" s="115" t="str">
        <f>IFERROR(__xludf.DUMMYFUNCTION("""COMPUTED_VALUE"""),"EXTERNAL")</f>
        <v>EXTERNAL</v>
      </c>
      <c r="D6877" s="115">
        <f>IFERROR(__xludf.DUMMYFUNCTION("""COMPUTED_VALUE"""),30080.0)</f>
        <v>30080</v>
      </c>
      <c r="E6877" s="115">
        <f>IFERROR(__xludf.DUMMYFUNCTION("""COMPUTED_VALUE"""),2179.0)</f>
        <v>2179</v>
      </c>
      <c r="F6877" s="115">
        <f>IFERROR(__xludf.DUMMYFUNCTION("""COMPUTED_VALUE"""),16515.0)</f>
        <v>16515</v>
      </c>
      <c r="G6877" s="115">
        <f>IFERROR(__xludf.DUMMYFUNCTION("""COMPUTED_VALUE"""),900.0)</f>
        <v>900</v>
      </c>
      <c r="H6877" s="116">
        <f>IFERROR(__xludf.DUMMYFUNCTION("""COMPUTED_VALUE"""),45912.0)</f>
        <v>45912</v>
      </c>
      <c r="I6877" s="115" t="str">
        <f>IFERROR(__xludf.DUMMYFUNCTION("""COMPUTED_VALUE"""),"22")</f>
        <v>22</v>
      </c>
      <c r="J6877" s="115"/>
      <c r="K6877" s="115"/>
    </row>
    <row r="6878">
      <c r="A6878" s="115" t="str">
        <f>IFERROR(__xludf.DUMMYFUNCTION("""COMPUTED_VALUE"""),"SOUTH")</f>
        <v>SOUTH</v>
      </c>
      <c r="B6878" s="115" t="str">
        <f>IFERROR(__xludf.DUMMYFUNCTION("""COMPUTED_VALUE"""),"Premkumar M")</f>
        <v>Premkumar M</v>
      </c>
      <c r="C6878" s="115" t="str">
        <f>IFERROR(__xludf.DUMMYFUNCTION("""COMPUTED_VALUE"""),"FLIPKART")</f>
        <v>FLIPKART</v>
      </c>
      <c r="D6878" s="115">
        <f>IFERROR(__xludf.DUMMYFUNCTION("""COMPUTED_VALUE"""),320415.0)</f>
        <v>320415</v>
      </c>
      <c r="E6878" s="115">
        <f>IFERROR(__xludf.DUMMYFUNCTION("""COMPUTED_VALUE"""),18892.0)</f>
        <v>18892</v>
      </c>
      <c r="F6878" s="115">
        <f>IFERROR(__xludf.DUMMYFUNCTION("""COMPUTED_VALUE"""),256705.0)</f>
        <v>256705</v>
      </c>
      <c r="G6878" s="115">
        <f>IFERROR(__xludf.DUMMYFUNCTION("""COMPUTED_VALUE"""),11515.0)</f>
        <v>11515</v>
      </c>
      <c r="H6878" s="116">
        <f>IFERROR(__xludf.DUMMYFUNCTION("""COMPUTED_VALUE"""),45912.0)</f>
        <v>45912</v>
      </c>
      <c r="I6878" s="115" t="str">
        <f>IFERROR(__xludf.DUMMYFUNCTION("""COMPUTED_VALUE"""),"22")</f>
        <v>22</v>
      </c>
      <c r="J6878" s="115"/>
      <c r="K6878" s="115"/>
    </row>
    <row r="6879">
      <c r="A6879" s="115" t="str">
        <f>IFERROR(__xludf.DUMMYFUNCTION("""COMPUTED_VALUE"""),"SOUTH")</f>
        <v>SOUTH</v>
      </c>
      <c r="B6879" s="115" t="str">
        <f>IFERROR(__xludf.DUMMYFUNCTION("""COMPUTED_VALUE"""),"Premkumar M")</f>
        <v>Premkumar M</v>
      </c>
      <c r="C6879" s="115" t="str">
        <f>IFERROR(__xludf.DUMMYFUNCTION("""COMPUTED_VALUE"""),"MYNTRA")</f>
        <v>MYNTRA</v>
      </c>
      <c r="D6879" s="115">
        <f>IFERROR(__xludf.DUMMYFUNCTION("""COMPUTED_VALUE"""),16238.0)</f>
        <v>16238</v>
      </c>
      <c r="E6879" s="115">
        <f>IFERROR(__xludf.DUMMYFUNCTION("""COMPUTED_VALUE"""),2806.0)</f>
        <v>2806</v>
      </c>
      <c r="F6879" s="115">
        <f>IFERROR(__xludf.DUMMYFUNCTION("""COMPUTED_VALUE"""),14168.0)</f>
        <v>14168</v>
      </c>
      <c r="G6879" s="115">
        <f>IFERROR(__xludf.DUMMYFUNCTION("""COMPUTED_VALUE"""),1790.0)</f>
        <v>1790</v>
      </c>
      <c r="H6879" s="116">
        <f>IFERROR(__xludf.DUMMYFUNCTION("""COMPUTED_VALUE"""),45912.0)</f>
        <v>45912</v>
      </c>
      <c r="I6879" s="115" t="str">
        <f>IFERROR(__xludf.DUMMYFUNCTION("""COMPUTED_VALUE"""),"22")</f>
        <v>22</v>
      </c>
      <c r="J6879" s="115"/>
      <c r="K6879" s="115"/>
    </row>
    <row r="6880">
      <c r="A6880" s="115" t="str">
        <f>IFERROR(__xludf.DUMMYFUNCTION("""COMPUTED_VALUE"""),"SOUTH")</f>
        <v>SOUTH</v>
      </c>
      <c r="B6880" s="115" t="str">
        <f>IFERROR(__xludf.DUMMYFUNCTION("""COMPUTED_VALUE"""),"Vineeth V")</f>
        <v>Vineeth V</v>
      </c>
      <c r="C6880" s="115" t="str">
        <f>IFERROR(__xludf.DUMMYFUNCTION("""COMPUTED_VALUE"""),"EXTERNAL")</f>
        <v>EXTERNAL</v>
      </c>
      <c r="D6880" s="115">
        <f>IFERROR(__xludf.DUMMYFUNCTION("""COMPUTED_VALUE"""),21381.0)</f>
        <v>21381</v>
      </c>
      <c r="E6880" s="115">
        <f>IFERROR(__xludf.DUMMYFUNCTION("""COMPUTED_VALUE"""),564.0)</f>
        <v>564</v>
      </c>
      <c r="F6880" s="115">
        <f>IFERROR(__xludf.DUMMYFUNCTION("""COMPUTED_VALUE"""),11959.0)</f>
        <v>11959</v>
      </c>
      <c r="G6880" s="115">
        <f>IFERROR(__xludf.DUMMYFUNCTION("""COMPUTED_VALUE"""),353.0)</f>
        <v>353</v>
      </c>
      <c r="H6880" s="116">
        <f>IFERROR(__xludf.DUMMYFUNCTION("""COMPUTED_VALUE"""),45912.0)</f>
        <v>45912</v>
      </c>
      <c r="I6880" s="115" t="str">
        <f>IFERROR(__xludf.DUMMYFUNCTION("""COMPUTED_VALUE"""),"22")</f>
        <v>22</v>
      </c>
      <c r="J6880" s="115"/>
      <c r="K6880" s="115"/>
    </row>
    <row r="6881">
      <c r="A6881" s="115" t="str">
        <f>IFERROR(__xludf.DUMMYFUNCTION("""COMPUTED_VALUE"""),"SOUTH")</f>
        <v>SOUTH</v>
      </c>
      <c r="B6881" s="115" t="str">
        <f>IFERROR(__xludf.DUMMYFUNCTION("""COMPUTED_VALUE"""),"Vineeth V")</f>
        <v>Vineeth V</v>
      </c>
      <c r="C6881" s="115" t="str">
        <f>IFERROR(__xludf.DUMMYFUNCTION("""COMPUTED_VALUE"""),"FLIPKART")</f>
        <v>FLIPKART</v>
      </c>
      <c r="D6881" s="115">
        <f>IFERROR(__xludf.DUMMYFUNCTION("""COMPUTED_VALUE"""),223184.0)</f>
        <v>223184</v>
      </c>
      <c r="E6881" s="115">
        <f>IFERROR(__xludf.DUMMYFUNCTION("""COMPUTED_VALUE"""),13477.0)</f>
        <v>13477</v>
      </c>
      <c r="F6881" s="115">
        <f>IFERROR(__xludf.DUMMYFUNCTION("""COMPUTED_VALUE"""),190587.0)</f>
        <v>190587</v>
      </c>
      <c r="G6881" s="115">
        <f>IFERROR(__xludf.DUMMYFUNCTION("""COMPUTED_VALUE"""),9127.0)</f>
        <v>9127</v>
      </c>
      <c r="H6881" s="116">
        <f>IFERROR(__xludf.DUMMYFUNCTION("""COMPUTED_VALUE"""),45912.0)</f>
        <v>45912</v>
      </c>
      <c r="I6881" s="115" t="str">
        <f>IFERROR(__xludf.DUMMYFUNCTION("""COMPUTED_VALUE"""),"22")</f>
        <v>22</v>
      </c>
      <c r="J6881" s="115"/>
      <c r="K6881" s="115"/>
    </row>
    <row r="6882">
      <c r="A6882" s="115" t="str">
        <f>IFERROR(__xludf.DUMMYFUNCTION("""COMPUTED_VALUE"""),"SOUTH")</f>
        <v>SOUTH</v>
      </c>
      <c r="B6882" s="115" t="str">
        <f>IFERROR(__xludf.DUMMYFUNCTION("""COMPUTED_VALUE"""),"Vineeth V")</f>
        <v>Vineeth V</v>
      </c>
      <c r="C6882" s="115" t="str">
        <f>IFERROR(__xludf.DUMMYFUNCTION("""COMPUTED_VALUE"""),"MYNTRA")</f>
        <v>MYNTRA</v>
      </c>
      <c r="D6882" s="115">
        <f>IFERROR(__xludf.DUMMYFUNCTION("""COMPUTED_VALUE"""),17071.0)</f>
        <v>17071</v>
      </c>
      <c r="E6882" s="115">
        <f>IFERROR(__xludf.DUMMYFUNCTION("""COMPUTED_VALUE"""),3267.0)</f>
        <v>3267</v>
      </c>
      <c r="F6882" s="115">
        <f>IFERROR(__xludf.DUMMYFUNCTION("""COMPUTED_VALUE"""),15288.0)</f>
        <v>15288</v>
      </c>
      <c r="G6882" s="115">
        <f>IFERROR(__xludf.DUMMYFUNCTION("""COMPUTED_VALUE"""),2295.0)</f>
        <v>2295</v>
      </c>
      <c r="H6882" s="116">
        <f>IFERROR(__xludf.DUMMYFUNCTION("""COMPUTED_VALUE"""),45912.0)</f>
        <v>45912</v>
      </c>
      <c r="I6882" s="115" t="str">
        <f>IFERROR(__xludf.DUMMYFUNCTION("""COMPUTED_VALUE"""),"22")</f>
        <v>22</v>
      </c>
      <c r="J6882" s="115"/>
      <c r="K6882" s="115"/>
    </row>
    <row r="6883">
      <c r="A6883" s="115" t="str">
        <f>IFERROR(__xludf.DUMMYFUNCTION("""COMPUTED_VALUE"""),"WEST")</f>
        <v>WEST</v>
      </c>
      <c r="B6883" s="115" t="str">
        <f>IFERROR(__xludf.DUMMYFUNCTION("""COMPUTED_VALUE"""),"Ashish Jakar")</f>
        <v>Ashish Jakar</v>
      </c>
      <c r="C6883" s="115" t="str">
        <f>IFERROR(__xludf.DUMMYFUNCTION("""COMPUTED_VALUE"""),"EXTERNAL")</f>
        <v>EXTERNAL</v>
      </c>
      <c r="D6883" s="115">
        <f>IFERROR(__xludf.DUMMYFUNCTION("""COMPUTED_VALUE"""),62653.0)</f>
        <v>62653</v>
      </c>
      <c r="E6883" s="115">
        <f>IFERROR(__xludf.DUMMYFUNCTION("""COMPUTED_VALUE"""),6294.0)</f>
        <v>6294</v>
      </c>
      <c r="F6883" s="115">
        <f>IFERROR(__xludf.DUMMYFUNCTION("""COMPUTED_VALUE"""),28298.0)</f>
        <v>28298</v>
      </c>
      <c r="G6883" s="115">
        <f>IFERROR(__xludf.DUMMYFUNCTION("""COMPUTED_VALUE"""),2940.0)</f>
        <v>2940</v>
      </c>
      <c r="H6883" s="116">
        <f>IFERROR(__xludf.DUMMYFUNCTION("""COMPUTED_VALUE"""),45912.0)</f>
        <v>45912</v>
      </c>
      <c r="I6883" s="115" t="str">
        <f>IFERROR(__xludf.DUMMYFUNCTION("""COMPUTED_VALUE"""),"22")</f>
        <v>22</v>
      </c>
      <c r="J6883" s="115"/>
      <c r="K6883" s="115"/>
    </row>
    <row r="6884">
      <c r="A6884" s="115" t="str">
        <f>IFERROR(__xludf.DUMMYFUNCTION("""COMPUTED_VALUE"""),"WEST")</f>
        <v>WEST</v>
      </c>
      <c r="B6884" s="115" t="str">
        <f>IFERROR(__xludf.DUMMYFUNCTION("""COMPUTED_VALUE"""),"Ashish Jakar")</f>
        <v>Ashish Jakar</v>
      </c>
      <c r="C6884" s="115" t="str">
        <f>IFERROR(__xludf.DUMMYFUNCTION("""COMPUTED_VALUE"""),"FLIPKART")</f>
        <v>FLIPKART</v>
      </c>
      <c r="D6884" s="115">
        <f>IFERROR(__xludf.DUMMYFUNCTION("""COMPUTED_VALUE"""),459619.0)</f>
        <v>459619</v>
      </c>
      <c r="E6884" s="115">
        <f>IFERROR(__xludf.DUMMYFUNCTION("""COMPUTED_VALUE"""),35454.0)</f>
        <v>35454</v>
      </c>
      <c r="F6884" s="115">
        <f>IFERROR(__xludf.DUMMYFUNCTION("""COMPUTED_VALUE"""),348221.0)</f>
        <v>348221</v>
      </c>
      <c r="G6884" s="115">
        <f>IFERROR(__xludf.DUMMYFUNCTION("""COMPUTED_VALUE"""),22908.0)</f>
        <v>22908</v>
      </c>
      <c r="H6884" s="116">
        <f>IFERROR(__xludf.DUMMYFUNCTION("""COMPUTED_VALUE"""),45912.0)</f>
        <v>45912</v>
      </c>
      <c r="I6884" s="115" t="str">
        <f>IFERROR(__xludf.DUMMYFUNCTION("""COMPUTED_VALUE"""),"22")</f>
        <v>22</v>
      </c>
      <c r="J6884" s="115"/>
      <c r="K6884" s="115"/>
    </row>
    <row r="6885">
      <c r="A6885" s="115" t="str">
        <f>IFERROR(__xludf.DUMMYFUNCTION("""COMPUTED_VALUE"""),"WEST")</f>
        <v>WEST</v>
      </c>
      <c r="B6885" s="115" t="str">
        <f>IFERROR(__xludf.DUMMYFUNCTION("""COMPUTED_VALUE"""),"Ashish Jakar")</f>
        <v>Ashish Jakar</v>
      </c>
      <c r="C6885" s="115" t="str">
        <f>IFERROR(__xludf.DUMMYFUNCTION("""COMPUTED_VALUE"""),"MYNTRA")</f>
        <v>MYNTRA</v>
      </c>
      <c r="D6885" s="115">
        <f>IFERROR(__xludf.DUMMYFUNCTION("""COMPUTED_VALUE"""),50077.0)</f>
        <v>50077</v>
      </c>
      <c r="E6885" s="115">
        <f>IFERROR(__xludf.DUMMYFUNCTION("""COMPUTED_VALUE"""),11860.0)</f>
        <v>11860</v>
      </c>
      <c r="F6885" s="115">
        <f>IFERROR(__xludf.DUMMYFUNCTION("""COMPUTED_VALUE"""),42588.0)</f>
        <v>42588</v>
      </c>
      <c r="G6885" s="115">
        <f>IFERROR(__xludf.DUMMYFUNCTION("""COMPUTED_VALUE"""),8174.0)</f>
        <v>8174</v>
      </c>
      <c r="H6885" s="116">
        <f>IFERROR(__xludf.DUMMYFUNCTION("""COMPUTED_VALUE"""),45912.0)</f>
        <v>45912</v>
      </c>
      <c r="I6885" s="115" t="str">
        <f>IFERROR(__xludf.DUMMYFUNCTION("""COMPUTED_VALUE"""),"22")</f>
        <v>22</v>
      </c>
      <c r="J6885" s="115"/>
      <c r="K6885" s="115"/>
    </row>
    <row r="6886">
      <c r="A6886" s="115" t="str">
        <f>IFERROR(__xludf.DUMMYFUNCTION("""COMPUTED_VALUE"""),"WEST")</f>
        <v>WEST</v>
      </c>
      <c r="B6886" s="115" t="str">
        <f>IFERROR(__xludf.DUMMYFUNCTION("""COMPUTED_VALUE"""),"Ashvani Bhatt")</f>
        <v>Ashvani Bhatt</v>
      </c>
      <c r="C6886" s="115" t="str">
        <f>IFERROR(__xludf.DUMMYFUNCTION("""COMPUTED_VALUE"""),"EXTERNAL")</f>
        <v>EXTERNAL</v>
      </c>
      <c r="D6886" s="115">
        <f>IFERROR(__xludf.DUMMYFUNCTION("""COMPUTED_VALUE"""),40051.0)</f>
        <v>40051</v>
      </c>
      <c r="E6886" s="115">
        <f>IFERROR(__xludf.DUMMYFUNCTION("""COMPUTED_VALUE"""),3142.0)</f>
        <v>3142</v>
      </c>
      <c r="F6886" s="115">
        <f>IFERROR(__xludf.DUMMYFUNCTION("""COMPUTED_VALUE"""),18140.0)</f>
        <v>18140</v>
      </c>
      <c r="G6886" s="115">
        <f>IFERROR(__xludf.DUMMYFUNCTION("""COMPUTED_VALUE"""),1698.0)</f>
        <v>1698</v>
      </c>
      <c r="H6886" s="116">
        <f>IFERROR(__xludf.DUMMYFUNCTION("""COMPUTED_VALUE"""),45912.0)</f>
        <v>45912</v>
      </c>
      <c r="I6886" s="115" t="str">
        <f>IFERROR(__xludf.DUMMYFUNCTION("""COMPUTED_VALUE"""),"22")</f>
        <v>22</v>
      </c>
      <c r="J6886" s="115"/>
      <c r="K6886" s="115"/>
    </row>
    <row r="6887">
      <c r="A6887" s="115" t="str">
        <f>IFERROR(__xludf.DUMMYFUNCTION("""COMPUTED_VALUE"""),"WEST")</f>
        <v>WEST</v>
      </c>
      <c r="B6887" s="115" t="str">
        <f>IFERROR(__xludf.DUMMYFUNCTION("""COMPUTED_VALUE"""),"Ashvani Bhatt")</f>
        <v>Ashvani Bhatt</v>
      </c>
      <c r="C6887" s="115" t="str">
        <f>IFERROR(__xludf.DUMMYFUNCTION("""COMPUTED_VALUE"""),"FLIPKART")</f>
        <v>FLIPKART</v>
      </c>
      <c r="D6887" s="115">
        <f>IFERROR(__xludf.DUMMYFUNCTION("""COMPUTED_VALUE"""),346169.0)</f>
        <v>346169</v>
      </c>
      <c r="E6887" s="115">
        <f>IFERROR(__xludf.DUMMYFUNCTION("""COMPUTED_VALUE"""),29547.0)</f>
        <v>29547</v>
      </c>
      <c r="F6887" s="115">
        <f>IFERROR(__xludf.DUMMYFUNCTION("""COMPUTED_VALUE"""),274558.0)</f>
        <v>274558</v>
      </c>
      <c r="G6887" s="115">
        <f>IFERROR(__xludf.DUMMYFUNCTION("""COMPUTED_VALUE"""),21380.0)</f>
        <v>21380</v>
      </c>
      <c r="H6887" s="116">
        <f>IFERROR(__xludf.DUMMYFUNCTION("""COMPUTED_VALUE"""),45912.0)</f>
        <v>45912</v>
      </c>
      <c r="I6887" s="115" t="str">
        <f>IFERROR(__xludf.DUMMYFUNCTION("""COMPUTED_VALUE"""),"22")</f>
        <v>22</v>
      </c>
      <c r="J6887" s="115"/>
      <c r="K6887" s="115"/>
    </row>
    <row r="6888">
      <c r="A6888" s="115" t="str">
        <f>IFERROR(__xludf.DUMMYFUNCTION("""COMPUTED_VALUE"""),"WEST")</f>
        <v>WEST</v>
      </c>
      <c r="B6888" s="115" t="str">
        <f>IFERROR(__xludf.DUMMYFUNCTION("""COMPUTED_VALUE"""),"Ashvani Bhatt")</f>
        <v>Ashvani Bhatt</v>
      </c>
      <c r="C6888" s="115" t="str">
        <f>IFERROR(__xludf.DUMMYFUNCTION("""COMPUTED_VALUE"""),"MYNTRA")</f>
        <v>MYNTRA</v>
      </c>
      <c r="D6888" s="115">
        <f>IFERROR(__xludf.DUMMYFUNCTION("""COMPUTED_VALUE"""),36659.0)</f>
        <v>36659</v>
      </c>
      <c r="E6888" s="115">
        <f>IFERROR(__xludf.DUMMYFUNCTION("""COMPUTED_VALUE"""),9131.0)</f>
        <v>9131</v>
      </c>
      <c r="F6888" s="115">
        <f>IFERROR(__xludf.DUMMYFUNCTION("""COMPUTED_VALUE"""),31527.0)</f>
        <v>31527</v>
      </c>
      <c r="G6888" s="115">
        <f>IFERROR(__xludf.DUMMYFUNCTION("""COMPUTED_VALUE"""),6941.0)</f>
        <v>6941</v>
      </c>
      <c r="H6888" s="116">
        <f>IFERROR(__xludf.DUMMYFUNCTION("""COMPUTED_VALUE"""),45912.0)</f>
        <v>45912</v>
      </c>
      <c r="I6888" s="115" t="str">
        <f>IFERROR(__xludf.DUMMYFUNCTION("""COMPUTED_VALUE"""),"22")</f>
        <v>22</v>
      </c>
      <c r="J6888" s="115"/>
      <c r="K6888" s="115"/>
    </row>
    <row r="6889">
      <c r="A6889" s="115"/>
      <c r="B6889" s="115"/>
      <c r="C6889" s="115" t="str">
        <f>IFERROR(__xludf.DUMMYFUNCTION("""COMPUTED_VALUE"""),"EXTERNAL")</f>
        <v>EXTERNAL</v>
      </c>
      <c r="D6889" s="115">
        <f>IFERROR(__xludf.DUMMYFUNCTION("""COMPUTED_VALUE"""),1455.0)</f>
        <v>1455</v>
      </c>
      <c r="E6889" s="115">
        <f>IFERROR(__xludf.DUMMYFUNCTION("""COMPUTED_VALUE"""),243.0)</f>
        <v>243</v>
      </c>
      <c r="F6889" s="115">
        <f>IFERROR(__xludf.DUMMYFUNCTION("""COMPUTED_VALUE"""),732.0)</f>
        <v>732</v>
      </c>
      <c r="G6889" s="115">
        <f>IFERROR(__xludf.DUMMYFUNCTION("""COMPUTED_VALUE"""),160.0)</f>
        <v>160</v>
      </c>
      <c r="H6889" s="116">
        <f>IFERROR(__xludf.DUMMYFUNCTION("""COMPUTED_VALUE"""),45912.0)</f>
        <v>45912</v>
      </c>
      <c r="I6889" s="115" t="str">
        <f>IFERROR(__xludf.DUMMYFUNCTION("""COMPUTED_VALUE"""),"22")</f>
        <v>22</v>
      </c>
      <c r="J6889" s="115"/>
      <c r="K6889" s="115"/>
    </row>
    <row r="6890">
      <c r="A6890" s="115"/>
      <c r="B6890" s="115"/>
      <c r="C6890" s="115" t="str">
        <f>IFERROR(__xludf.DUMMYFUNCTION("""COMPUTED_VALUE"""),"FLIPKART")</f>
        <v>FLIPKART</v>
      </c>
      <c r="D6890" s="115">
        <f>IFERROR(__xludf.DUMMYFUNCTION("""COMPUTED_VALUE"""),16197.0)</f>
        <v>16197</v>
      </c>
      <c r="E6890" s="115">
        <f>IFERROR(__xludf.DUMMYFUNCTION("""COMPUTED_VALUE"""),1385.0)</f>
        <v>1385</v>
      </c>
      <c r="F6890" s="115">
        <f>IFERROR(__xludf.DUMMYFUNCTION("""COMPUTED_VALUE"""),12685.0)</f>
        <v>12685</v>
      </c>
      <c r="G6890" s="115">
        <f>IFERROR(__xludf.DUMMYFUNCTION("""COMPUTED_VALUE"""),1111.0)</f>
        <v>1111</v>
      </c>
      <c r="H6890" s="116">
        <f>IFERROR(__xludf.DUMMYFUNCTION("""COMPUTED_VALUE"""),45912.0)</f>
        <v>45912</v>
      </c>
      <c r="I6890" s="115" t="str">
        <f>IFERROR(__xludf.DUMMYFUNCTION("""COMPUTED_VALUE"""),"22")</f>
        <v>22</v>
      </c>
      <c r="J6890" s="115"/>
      <c r="K6890" s="115"/>
    </row>
    <row r="6891">
      <c r="A6891" s="115"/>
      <c r="B6891" s="115"/>
      <c r="C6891" s="115" t="str">
        <f>IFERROR(__xludf.DUMMYFUNCTION("""COMPUTED_VALUE"""),"MYNTRA")</f>
        <v>MYNTRA</v>
      </c>
      <c r="D6891" s="115">
        <f>IFERROR(__xludf.DUMMYFUNCTION("""COMPUTED_VALUE"""),1804.0)</f>
        <v>1804</v>
      </c>
      <c r="E6891" s="115">
        <f>IFERROR(__xludf.DUMMYFUNCTION("""COMPUTED_VALUE"""),416.0)</f>
        <v>416</v>
      </c>
      <c r="F6891" s="115">
        <f>IFERROR(__xludf.DUMMYFUNCTION("""COMPUTED_VALUE"""),1588.0)</f>
        <v>1588</v>
      </c>
      <c r="G6891" s="115">
        <f>IFERROR(__xludf.DUMMYFUNCTION("""COMPUTED_VALUE"""),319.0)</f>
        <v>319</v>
      </c>
      <c r="H6891" s="116">
        <f>IFERROR(__xludf.DUMMYFUNCTION("""COMPUTED_VALUE"""),45912.0)</f>
        <v>45912</v>
      </c>
      <c r="I6891" s="115" t="str">
        <f>IFERROR(__xludf.DUMMYFUNCTION("""COMPUTED_VALUE"""),"22")</f>
        <v>22</v>
      </c>
      <c r="J6891" s="115"/>
      <c r="K6891" s="115"/>
    </row>
    <row r="6892">
      <c r="A6892" s="115" t="str">
        <f>IFERROR(__xludf.DUMMYFUNCTION("""COMPUTED_VALUE"""),"EAST")</f>
        <v>EAST</v>
      </c>
      <c r="B6892" s="115" t="str">
        <f>IFERROR(__xludf.DUMMYFUNCTION("""COMPUTED_VALUE"""),"Ashish Ranjan")</f>
        <v>Ashish Ranjan</v>
      </c>
      <c r="C6892" s="115" t="str">
        <f>IFERROR(__xludf.DUMMYFUNCTION("""COMPUTED_VALUE"""),"EXTERNAL")</f>
        <v>EXTERNAL</v>
      </c>
      <c r="D6892" s="115">
        <f>IFERROR(__xludf.DUMMYFUNCTION("""COMPUTED_VALUE"""),2953.0)</f>
        <v>2953</v>
      </c>
      <c r="E6892" s="115">
        <f>IFERROR(__xludf.DUMMYFUNCTION("""COMPUTED_VALUE"""),164.0)</f>
        <v>164</v>
      </c>
      <c r="F6892" s="115">
        <f>IFERROR(__xludf.DUMMYFUNCTION("""COMPUTED_VALUE"""),13.0)</f>
        <v>13</v>
      </c>
      <c r="G6892" s="115">
        <f>IFERROR(__xludf.DUMMYFUNCTION("""COMPUTED_VALUE"""),2.0)</f>
        <v>2</v>
      </c>
      <c r="H6892" s="116">
        <f>IFERROR(__xludf.DUMMYFUNCTION("""COMPUTED_VALUE"""),45913.0)</f>
        <v>45913</v>
      </c>
      <c r="I6892" s="115" t="str">
        <f>IFERROR(__xludf.DUMMYFUNCTION("""COMPUTED_VALUE"""),"08")</f>
        <v>08</v>
      </c>
      <c r="J6892" s="115"/>
      <c r="K6892" s="115"/>
    </row>
    <row r="6893">
      <c r="A6893" s="115" t="str">
        <f>IFERROR(__xludf.DUMMYFUNCTION("""COMPUTED_VALUE"""),"EAST")</f>
        <v>EAST</v>
      </c>
      <c r="B6893" s="115" t="str">
        <f>IFERROR(__xludf.DUMMYFUNCTION("""COMPUTED_VALUE"""),"Ashish Ranjan")</f>
        <v>Ashish Ranjan</v>
      </c>
      <c r="C6893" s="115" t="str">
        <f>IFERROR(__xludf.DUMMYFUNCTION("""COMPUTED_VALUE"""),"FLIPKART")</f>
        <v>FLIPKART</v>
      </c>
      <c r="D6893" s="115">
        <f>IFERROR(__xludf.DUMMYFUNCTION("""COMPUTED_VALUE"""),67511.0)</f>
        <v>67511</v>
      </c>
      <c r="E6893" s="115">
        <f>IFERROR(__xludf.DUMMYFUNCTION("""COMPUTED_VALUE"""),5531.0)</f>
        <v>5531</v>
      </c>
      <c r="F6893" s="115">
        <f>IFERROR(__xludf.DUMMYFUNCTION("""COMPUTED_VALUE"""),661.0)</f>
        <v>661</v>
      </c>
      <c r="G6893" s="115">
        <f>IFERROR(__xludf.DUMMYFUNCTION("""COMPUTED_VALUE"""),84.0)</f>
        <v>84</v>
      </c>
      <c r="H6893" s="116">
        <f>IFERROR(__xludf.DUMMYFUNCTION("""COMPUTED_VALUE"""),45913.0)</f>
        <v>45913</v>
      </c>
      <c r="I6893" s="115" t="str">
        <f>IFERROR(__xludf.DUMMYFUNCTION("""COMPUTED_VALUE"""),"08")</f>
        <v>08</v>
      </c>
      <c r="J6893" s="115"/>
      <c r="K6893" s="115"/>
    </row>
    <row r="6894">
      <c r="A6894" s="115" t="str">
        <f>IFERROR(__xludf.DUMMYFUNCTION("""COMPUTED_VALUE"""),"EAST")</f>
        <v>EAST</v>
      </c>
      <c r="B6894" s="115" t="str">
        <f>IFERROR(__xludf.DUMMYFUNCTION("""COMPUTED_VALUE"""),"Ashish Ranjan")</f>
        <v>Ashish Ranjan</v>
      </c>
      <c r="C6894" s="115" t="str">
        <f>IFERROR(__xludf.DUMMYFUNCTION("""COMPUTED_VALUE"""),"MYNTRA")</f>
        <v>MYNTRA</v>
      </c>
      <c r="D6894" s="115">
        <f>IFERROR(__xludf.DUMMYFUNCTION("""COMPUTED_VALUE"""),6018.0)</f>
        <v>6018</v>
      </c>
      <c r="E6894" s="115">
        <f>IFERROR(__xludf.DUMMYFUNCTION("""COMPUTED_VALUE"""),1411.0)</f>
        <v>1411</v>
      </c>
      <c r="F6894" s="115">
        <f>IFERROR(__xludf.DUMMYFUNCTION("""COMPUTED_VALUE"""),59.0)</f>
        <v>59</v>
      </c>
      <c r="G6894" s="115">
        <f>IFERROR(__xludf.DUMMYFUNCTION("""COMPUTED_VALUE"""),5.0)</f>
        <v>5</v>
      </c>
      <c r="H6894" s="116">
        <f>IFERROR(__xludf.DUMMYFUNCTION("""COMPUTED_VALUE"""),45913.0)</f>
        <v>45913</v>
      </c>
      <c r="I6894" s="115" t="str">
        <f>IFERROR(__xludf.DUMMYFUNCTION("""COMPUTED_VALUE"""),"08")</f>
        <v>08</v>
      </c>
      <c r="J6894" s="115"/>
      <c r="K6894" s="115"/>
    </row>
    <row r="6895">
      <c r="A6895" s="115" t="str">
        <f>IFERROR(__xludf.DUMMYFUNCTION("""COMPUTED_VALUE"""),"EAST")</f>
        <v>EAST</v>
      </c>
      <c r="B6895" s="115" t="str">
        <f>IFERROR(__xludf.DUMMYFUNCTION("""COMPUTED_VALUE"""),"Girish Chand")</f>
        <v>Girish Chand</v>
      </c>
      <c r="C6895" s="115" t="str">
        <f>IFERROR(__xludf.DUMMYFUNCTION("""COMPUTED_VALUE"""),"EXTERNAL")</f>
        <v>EXTERNAL</v>
      </c>
      <c r="D6895" s="115">
        <f>IFERROR(__xludf.DUMMYFUNCTION("""COMPUTED_VALUE"""),1501.0)</f>
        <v>1501</v>
      </c>
      <c r="E6895" s="115">
        <f>IFERROR(__xludf.DUMMYFUNCTION("""COMPUTED_VALUE"""),76.0)</f>
        <v>76</v>
      </c>
      <c r="F6895" s="115">
        <f>IFERROR(__xludf.DUMMYFUNCTION("""COMPUTED_VALUE"""),1.0)</f>
        <v>1</v>
      </c>
      <c r="G6895" s="115">
        <f>IFERROR(__xludf.DUMMYFUNCTION("""COMPUTED_VALUE"""),0.0)</f>
        <v>0</v>
      </c>
      <c r="H6895" s="116">
        <f>IFERROR(__xludf.DUMMYFUNCTION("""COMPUTED_VALUE"""),45913.0)</f>
        <v>45913</v>
      </c>
      <c r="I6895" s="115" t="str">
        <f>IFERROR(__xludf.DUMMYFUNCTION("""COMPUTED_VALUE"""),"08")</f>
        <v>08</v>
      </c>
      <c r="J6895" s="115"/>
      <c r="K6895" s="115"/>
    </row>
    <row r="6896">
      <c r="A6896" s="115" t="str">
        <f>IFERROR(__xludf.DUMMYFUNCTION("""COMPUTED_VALUE"""),"EAST")</f>
        <v>EAST</v>
      </c>
      <c r="B6896" s="115" t="str">
        <f>IFERROR(__xludf.DUMMYFUNCTION("""COMPUTED_VALUE"""),"Girish Chand")</f>
        <v>Girish Chand</v>
      </c>
      <c r="C6896" s="115" t="str">
        <f>IFERROR(__xludf.DUMMYFUNCTION("""COMPUTED_VALUE"""),"FLIPKART")</f>
        <v>FLIPKART</v>
      </c>
      <c r="D6896" s="115">
        <f>IFERROR(__xludf.DUMMYFUNCTION("""COMPUTED_VALUE"""),36223.0)</f>
        <v>36223</v>
      </c>
      <c r="E6896" s="115">
        <f>IFERROR(__xludf.DUMMYFUNCTION("""COMPUTED_VALUE"""),3137.0)</f>
        <v>3137</v>
      </c>
      <c r="F6896" s="115">
        <f>IFERROR(__xludf.DUMMYFUNCTION("""COMPUTED_VALUE"""),185.0)</f>
        <v>185</v>
      </c>
      <c r="G6896" s="115">
        <f>IFERROR(__xludf.DUMMYFUNCTION("""COMPUTED_VALUE"""),83.0)</f>
        <v>83</v>
      </c>
      <c r="H6896" s="116">
        <f>IFERROR(__xludf.DUMMYFUNCTION("""COMPUTED_VALUE"""),45913.0)</f>
        <v>45913</v>
      </c>
      <c r="I6896" s="115" t="str">
        <f>IFERROR(__xludf.DUMMYFUNCTION("""COMPUTED_VALUE"""),"08")</f>
        <v>08</v>
      </c>
      <c r="J6896" s="115"/>
      <c r="K6896" s="115"/>
    </row>
    <row r="6897">
      <c r="A6897" s="115" t="str">
        <f>IFERROR(__xludf.DUMMYFUNCTION("""COMPUTED_VALUE"""),"EAST")</f>
        <v>EAST</v>
      </c>
      <c r="B6897" s="115" t="str">
        <f>IFERROR(__xludf.DUMMYFUNCTION("""COMPUTED_VALUE"""),"Girish Chand")</f>
        <v>Girish Chand</v>
      </c>
      <c r="C6897" s="115" t="str">
        <f>IFERROR(__xludf.DUMMYFUNCTION("""COMPUTED_VALUE"""),"MYNTRA")</f>
        <v>MYNTRA</v>
      </c>
      <c r="D6897" s="115">
        <f>IFERROR(__xludf.DUMMYFUNCTION("""COMPUTED_VALUE"""),3190.0)</f>
        <v>3190</v>
      </c>
      <c r="E6897" s="115">
        <f>IFERROR(__xludf.DUMMYFUNCTION("""COMPUTED_VALUE"""),639.0)</f>
        <v>639</v>
      </c>
      <c r="F6897" s="115">
        <f>IFERROR(__xludf.DUMMYFUNCTION("""COMPUTED_VALUE"""),76.0)</f>
        <v>76</v>
      </c>
      <c r="G6897" s="115">
        <f>IFERROR(__xludf.DUMMYFUNCTION("""COMPUTED_VALUE"""),3.0)</f>
        <v>3</v>
      </c>
      <c r="H6897" s="116">
        <f>IFERROR(__xludf.DUMMYFUNCTION("""COMPUTED_VALUE"""),45913.0)</f>
        <v>45913</v>
      </c>
      <c r="I6897" s="115" t="str">
        <f>IFERROR(__xludf.DUMMYFUNCTION("""COMPUTED_VALUE"""),"08")</f>
        <v>08</v>
      </c>
      <c r="J6897" s="115"/>
      <c r="K6897" s="115"/>
    </row>
    <row r="6898">
      <c r="A6898" s="115" t="str">
        <f>IFERROR(__xludf.DUMMYFUNCTION("""COMPUTED_VALUE"""),"EAST")</f>
        <v>EAST</v>
      </c>
      <c r="B6898" s="115" t="str">
        <f>IFERROR(__xludf.DUMMYFUNCTION("""COMPUTED_VALUE"""),"Parag Kashyap")</f>
        <v>Parag Kashyap</v>
      </c>
      <c r="C6898" s="115" t="str">
        <f>IFERROR(__xludf.DUMMYFUNCTION("""COMPUTED_VALUE"""),"EXTERNAL")</f>
        <v>EXTERNAL</v>
      </c>
      <c r="D6898" s="115">
        <f>IFERROR(__xludf.DUMMYFUNCTION("""COMPUTED_VALUE"""),1426.0)</f>
        <v>1426</v>
      </c>
      <c r="E6898" s="115">
        <f>IFERROR(__xludf.DUMMYFUNCTION("""COMPUTED_VALUE"""),49.0)</f>
        <v>49</v>
      </c>
      <c r="F6898" s="115">
        <f>IFERROR(__xludf.DUMMYFUNCTION("""COMPUTED_VALUE"""),3.0)</f>
        <v>3</v>
      </c>
      <c r="G6898" s="115">
        <f>IFERROR(__xludf.DUMMYFUNCTION("""COMPUTED_VALUE"""),0.0)</f>
        <v>0</v>
      </c>
      <c r="H6898" s="116">
        <f>IFERROR(__xludf.DUMMYFUNCTION("""COMPUTED_VALUE"""),45913.0)</f>
        <v>45913</v>
      </c>
      <c r="I6898" s="115" t="str">
        <f>IFERROR(__xludf.DUMMYFUNCTION("""COMPUTED_VALUE"""),"08")</f>
        <v>08</v>
      </c>
      <c r="J6898" s="115"/>
      <c r="K6898" s="115"/>
    </row>
    <row r="6899">
      <c r="A6899" s="115" t="str">
        <f>IFERROR(__xludf.DUMMYFUNCTION("""COMPUTED_VALUE"""),"EAST")</f>
        <v>EAST</v>
      </c>
      <c r="B6899" s="115" t="str">
        <f>IFERROR(__xludf.DUMMYFUNCTION("""COMPUTED_VALUE"""),"Parag Kashyap")</f>
        <v>Parag Kashyap</v>
      </c>
      <c r="C6899" s="115" t="str">
        <f>IFERROR(__xludf.DUMMYFUNCTION("""COMPUTED_VALUE"""),"FLIPKART")</f>
        <v>FLIPKART</v>
      </c>
      <c r="D6899" s="115">
        <f>IFERROR(__xludf.DUMMYFUNCTION("""COMPUTED_VALUE"""),32147.0)</f>
        <v>32147</v>
      </c>
      <c r="E6899" s="115">
        <f>IFERROR(__xludf.DUMMYFUNCTION("""COMPUTED_VALUE"""),1449.0)</f>
        <v>1449</v>
      </c>
      <c r="F6899" s="115">
        <f>IFERROR(__xludf.DUMMYFUNCTION("""COMPUTED_VALUE"""),118.0)</f>
        <v>118</v>
      </c>
      <c r="G6899" s="115">
        <f>IFERROR(__xludf.DUMMYFUNCTION("""COMPUTED_VALUE"""),23.0)</f>
        <v>23</v>
      </c>
      <c r="H6899" s="116">
        <f>IFERROR(__xludf.DUMMYFUNCTION("""COMPUTED_VALUE"""),45913.0)</f>
        <v>45913</v>
      </c>
      <c r="I6899" s="115" t="str">
        <f>IFERROR(__xludf.DUMMYFUNCTION("""COMPUTED_VALUE"""),"08")</f>
        <v>08</v>
      </c>
      <c r="J6899" s="115"/>
      <c r="K6899" s="115"/>
    </row>
    <row r="6900">
      <c r="A6900" s="115" t="str">
        <f>IFERROR(__xludf.DUMMYFUNCTION("""COMPUTED_VALUE"""),"EAST")</f>
        <v>EAST</v>
      </c>
      <c r="B6900" s="115" t="str">
        <f>IFERROR(__xludf.DUMMYFUNCTION("""COMPUTED_VALUE"""),"Parag Kashyap")</f>
        <v>Parag Kashyap</v>
      </c>
      <c r="C6900" s="115" t="str">
        <f>IFERROR(__xludf.DUMMYFUNCTION("""COMPUTED_VALUE"""),"MYNTRA")</f>
        <v>MYNTRA</v>
      </c>
      <c r="D6900" s="115">
        <f>IFERROR(__xludf.DUMMYFUNCTION("""COMPUTED_VALUE"""),4341.0)</f>
        <v>4341</v>
      </c>
      <c r="E6900" s="115">
        <f>IFERROR(__xludf.DUMMYFUNCTION("""COMPUTED_VALUE"""),558.0)</f>
        <v>558</v>
      </c>
      <c r="F6900" s="115">
        <f>IFERROR(__xludf.DUMMYFUNCTION("""COMPUTED_VALUE"""),25.0)</f>
        <v>25</v>
      </c>
      <c r="G6900" s="115">
        <f>IFERROR(__xludf.DUMMYFUNCTION("""COMPUTED_VALUE"""),0.0)</f>
        <v>0</v>
      </c>
      <c r="H6900" s="116">
        <f>IFERROR(__xludf.DUMMYFUNCTION("""COMPUTED_VALUE"""),45913.0)</f>
        <v>45913</v>
      </c>
      <c r="I6900" s="115" t="str">
        <f>IFERROR(__xludf.DUMMYFUNCTION("""COMPUTED_VALUE"""),"08")</f>
        <v>08</v>
      </c>
      <c r="J6900" s="115"/>
      <c r="K6900" s="115"/>
    </row>
    <row r="6901">
      <c r="A6901" s="115" t="str">
        <f>IFERROR(__xludf.DUMMYFUNCTION("""COMPUTED_VALUE"""),"NORTH")</f>
        <v>NORTH</v>
      </c>
      <c r="B6901" s="115" t="str">
        <f>IFERROR(__xludf.DUMMYFUNCTION("""COMPUTED_VALUE"""),"Amit Kumar Pathak")</f>
        <v>Amit Kumar Pathak</v>
      </c>
      <c r="C6901" s="115" t="str">
        <f>IFERROR(__xludf.DUMMYFUNCTION("""COMPUTED_VALUE"""),"EXTERNAL")</f>
        <v>EXTERNAL</v>
      </c>
      <c r="D6901" s="115">
        <f>IFERROR(__xludf.DUMMYFUNCTION("""COMPUTED_VALUE"""),6607.0)</f>
        <v>6607</v>
      </c>
      <c r="E6901" s="115">
        <f>IFERROR(__xludf.DUMMYFUNCTION("""COMPUTED_VALUE"""),334.0)</f>
        <v>334</v>
      </c>
      <c r="F6901" s="115">
        <f>IFERROR(__xludf.DUMMYFUNCTION("""COMPUTED_VALUE"""),10.0)</f>
        <v>10</v>
      </c>
      <c r="G6901" s="115">
        <f>IFERROR(__xludf.DUMMYFUNCTION("""COMPUTED_VALUE"""),1.0)</f>
        <v>1</v>
      </c>
      <c r="H6901" s="116">
        <f>IFERROR(__xludf.DUMMYFUNCTION("""COMPUTED_VALUE"""),45913.0)</f>
        <v>45913</v>
      </c>
      <c r="I6901" s="115" t="str">
        <f>IFERROR(__xludf.DUMMYFUNCTION("""COMPUTED_VALUE"""),"08")</f>
        <v>08</v>
      </c>
      <c r="J6901" s="115"/>
      <c r="K6901" s="115"/>
    </row>
    <row r="6902">
      <c r="A6902" s="115" t="str">
        <f>IFERROR(__xludf.DUMMYFUNCTION("""COMPUTED_VALUE"""),"NORTH")</f>
        <v>NORTH</v>
      </c>
      <c r="B6902" s="115" t="str">
        <f>IFERROR(__xludf.DUMMYFUNCTION("""COMPUTED_VALUE"""),"Amit Kumar Pathak")</f>
        <v>Amit Kumar Pathak</v>
      </c>
      <c r="C6902" s="115" t="str">
        <f>IFERROR(__xludf.DUMMYFUNCTION("""COMPUTED_VALUE"""),"FLIPKART")</f>
        <v>FLIPKART</v>
      </c>
      <c r="D6902" s="115">
        <f>IFERROR(__xludf.DUMMYFUNCTION("""COMPUTED_VALUE"""),46182.0)</f>
        <v>46182</v>
      </c>
      <c r="E6902" s="115">
        <f>IFERROR(__xludf.DUMMYFUNCTION("""COMPUTED_VALUE"""),3790.0)</f>
        <v>3790</v>
      </c>
      <c r="F6902" s="115">
        <f>IFERROR(__xludf.DUMMYFUNCTION("""COMPUTED_VALUE"""),143.0)</f>
        <v>143</v>
      </c>
      <c r="G6902" s="115">
        <f>IFERROR(__xludf.DUMMYFUNCTION("""COMPUTED_VALUE"""),9.0)</f>
        <v>9</v>
      </c>
      <c r="H6902" s="116">
        <f>IFERROR(__xludf.DUMMYFUNCTION("""COMPUTED_VALUE"""),45913.0)</f>
        <v>45913</v>
      </c>
      <c r="I6902" s="115" t="str">
        <f>IFERROR(__xludf.DUMMYFUNCTION("""COMPUTED_VALUE"""),"08")</f>
        <v>08</v>
      </c>
      <c r="J6902" s="115"/>
      <c r="K6902" s="115"/>
    </row>
    <row r="6903">
      <c r="A6903" s="115" t="str">
        <f>IFERROR(__xludf.DUMMYFUNCTION("""COMPUTED_VALUE"""),"NORTH")</f>
        <v>NORTH</v>
      </c>
      <c r="B6903" s="115" t="str">
        <f>IFERROR(__xludf.DUMMYFUNCTION("""COMPUTED_VALUE"""),"Amit Kumar Pathak")</f>
        <v>Amit Kumar Pathak</v>
      </c>
      <c r="C6903" s="115" t="str">
        <f>IFERROR(__xludf.DUMMYFUNCTION("""COMPUTED_VALUE"""),"MYNTRA")</f>
        <v>MYNTRA</v>
      </c>
      <c r="D6903" s="115">
        <f>IFERROR(__xludf.DUMMYFUNCTION("""COMPUTED_VALUE"""),4329.0)</f>
        <v>4329</v>
      </c>
      <c r="E6903" s="115">
        <f>IFERROR(__xludf.DUMMYFUNCTION("""COMPUTED_VALUE"""),1020.0)</f>
        <v>1020</v>
      </c>
      <c r="F6903" s="115">
        <f>IFERROR(__xludf.DUMMYFUNCTION("""COMPUTED_VALUE"""),21.0)</f>
        <v>21</v>
      </c>
      <c r="G6903" s="115">
        <f>IFERROR(__xludf.DUMMYFUNCTION("""COMPUTED_VALUE"""),2.0)</f>
        <v>2</v>
      </c>
      <c r="H6903" s="116">
        <f>IFERROR(__xludf.DUMMYFUNCTION("""COMPUTED_VALUE"""),45913.0)</f>
        <v>45913</v>
      </c>
      <c r="I6903" s="115" t="str">
        <f>IFERROR(__xludf.DUMMYFUNCTION("""COMPUTED_VALUE"""),"08")</f>
        <v>08</v>
      </c>
      <c r="J6903" s="115"/>
      <c r="K6903" s="115"/>
    </row>
    <row r="6904">
      <c r="A6904" s="115" t="str">
        <f>IFERROR(__xludf.DUMMYFUNCTION("""COMPUTED_VALUE"""),"NORTH")</f>
        <v>NORTH</v>
      </c>
      <c r="B6904" s="115" t="str">
        <f>IFERROR(__xludf.DUMMYFUNCTION("""COMPUTED_VALUE"""),"Ashvani Bhatt")</f>
        <v>Ashvani Bhatt</v>
      </c>
      <c r="C6904" s="115" t="str">
        <f>IFERROR(__xludf.DUMMYFUNCTION("""COMPUTED_VALUE"""),"EXTERNAL")</f>
        <v>EXTERNAL</v>
      </c>
      <c r="D6904" s="115">
        <f>IFERROR(__xludf.DUMMYFUNCTION("""COMPUTED_VALUE"""),0.0)</f>
        <v>0</v>
      </c>
      <c r="E6904" s="115">
        <f>IFERROR(__xludf.DUMMYFUNCTION("""COMPUTED_VALUE"""),1.0)</f>
        <v>1</v>
      </c>
      <c r="F6904" s="115">
        <f>IFERROR(__xludf.DUMMYFUNCTION("""COMPUTED_VALUE"""),0.0)</f>
        <v>0</v>
      </c>
      <c r="G6904" s="115">
        <f>IFERROR(__xludf.DUMMYFUNCTION("""COMPUTED_VALUE"""),0.0)</f>
        <v>0</v>
      </c>
      <c r="H6904" s="116">
        <f>IFERROR(__xludf.DUMMYFUNCTION("""COMPUTED_VALUE"""),45913.0)</f>
        <v>45913</v>
      </c>
      <c r="I6904" s="115" t="str">
        <f>IFERROR(__xludf.DUMMYFUNCTION("""COMPUTED_VALUE"""),"08")</f>
        <v>08</v>
      </c>
      <c r="J6904" s="115"/>
      <c r="K6904" s="115"/>
    </row>
    <row r="6905">
      <c r="A6905" s="115" t="str">
        <f>IFERROR(__xludf.DUMMYFUNCTION("""COMPUTED_VALUE"""),"NORTH")</f>
        <v>NORTH</v>
      </c>
      <c r="B6905" s="115" t="str">
        <f>IFERROR(__xludf.DUMMYFUNCTION("""COMPUTED_VALUE"""),"Ashvani Bhatt")</f>
        <v>Ashvani Bhatt</v>
      </c>
      <c r="C6905" s="115" t="str">
        <f>IFERROR(__xludf.DUMMYFUNCTION("""COMPUTED_VALUE"""),"FLIPKART")</f>
        <v>FLIPKART</v>
      </c>
      <c r="D6905" s="115">
        <f>IFERROR(__xludf.DUMMYFUNCTION("""COMPUTED_VALUE"""),0.0)</f>
        <v>0</v>
      </c>
      <c r="E6905" s="115">
        <f>IFERROR(__xludf.DUMMYFUNCTION("""COMPUTED_VALUE"""),38.0)</f>
        <v>38</v>
      </c>
      <c r="F6905" s="115">
        <f>IFERROR(__xludf.DUMMYFUNCTION("""COMPUTED_VALUE"""),0.0)</f>
        <v>0</v>
      </c>
      <c r="G6905" s="115">
        <f>IFERROR(__xludf.DUMMYFUNCTION("""COMPUTED_VALUE"""),0.0)</f>
        <v>0</v>
      </c>
      <c r="H6905" s="116">
        <f>IFERROR(__xludf.DUMMYFUNCTION("""COMPUTED_VALUE"""),45913.0)</f>
        <v>45913</v>
      </c>
      <c r="I6905" s="115" t="str">
        <f>IFERROR(__xludf.DUMMYFUNCTION("""COMPUTED_VALUE"""),"08")</f>
        <v>08</v>
      </c>
      <c r="J6905" s="115"/>
      <c r="K6905" s="115"/>
    </row>
    <row r="6906">
      <c r="A6906" s="115" t="str">
        <f>IFERROR(__xludf.DUMMYFUNCTION("""COMPUTED_VALUE"""),"NORTH")</f>
        <v>NORTH</v>
      </c>
      <c r="B6906" s="115" t="str">
        <f>IFERROR(__xludf.DUMMYFUNCTION("""COMPUTED_VALUE"""),"Ashvani Bhatt")</f>
        <v>Ashvani Bhatt</v>
      </c>
      <c r="C6906" s="115" t="str">
        <f>IFERROR(__xludf.DUMMYFUNCTION("""COMPUTED_VALUE"""),"MYNTRA")</f>
        <v>MYNTRA</v>
      </c>
      <c r="D6906" s="115">
        <f>IFERROR(__xludf.DUMMYFUNCTION("""COMPUTED_VALUE"""),0.0)</f>
        <v>0</v>
      </c>
      <c r="E6906" s="115">
        <f>IFERROR(__xludf.DUMMYFUNCTION("""COMPUTED_VALUE"""),1.0)</f>
        <v>1</v>
      </c>
      <c r="F6906" s="115">
        <f>IFERROR(__xludf.DUMMYFUNCTION("""COMPUTED_VALUE"""),0.0)</f>
        <v>0</v>
      </c>
      <c r="G6906" s="115">
        <f>IFERROR(__xludf.DUMMYFUNCTION("""COMPUTED_VALUE"""),0.0)</f>
        <v>0</v>
      </c>
      <c r="H6906" s="116">
        <f>IFERROR(__xludf.DUMMYFUNCTION("""COMPUTED_VALUE"""),45913.0)</f>
        <v>45913</v>
      </c>
      <c r="I6906" s="115" t="str">
        <f>IFERROR(__xludf.DUMMYFUNCTION("""COMPUTED_VALUE"""),"08")</f>
        <v>08</v>
      </c>
      <c r="J6906" s="115"/>
      <c r="K6906" s="115"/>
    </row>
    <row r="6907">
      <c r="A6907" s="115" t="str">
        <f>IFERROR(__xludf.DUMMYFUNCTION("""COMPUTED_VALUE"""),"NORTH")</f>
        <v>NORTH</v>
      </c>
      <c r="B6907" s="115" t="str">
        <f>IFERROR(__xludf.DUMMYFUNCTION("""COMPUTED_VALUE"""),"Loveleen Singh")</f>
        <v>Loveleen Singh</v>
      </c>
      <c r="C6907" s="115" t="str">
        <f>IFERROR(__xludf.DUMMYFUNCTION("""COMPUTED_VALUE"""),"EXTERNAL")</f>
        <v>EXTERNAL</v>
      </c>
      <c r="D6907" s="115">
        <f>IFERROR(__xludf.DUMMYFUNCTION("""COMPUTED_VALUE"""),1556.0)</f>
        <v>1556</v>
      </c>
      <c r="E6907" s="115">
        <f>IFERROR(__xludf.DUMMYFUNCTION("""COMPUTED_VALUE"""),70.0)</f>
        <v>70</v>
      </c>
      <c r="F6907" s="115">
        <f>IFERROR(__xludf.DUMMYFUNCTION("""COMPUTED_VALUE"""),7.0)</f>
        <v>7</v>
      </c>
      <c r="G6907" s="115">
        <f>IFERROR(__xludf.DUMMYFUNCTION("""COMPUTED_VALUE"""),2.0)</f>
        <v>2</v>
      </c>
      <c r="H6907" s="116">
        <f>IFERROR(__xludf.DUMMYFUNCTION("""COMPUTED_VALUE"""),45913.0)</f>
        <v>45913</v>
      </c>
      <c r="I6907" s="115" t="str">
        <f>IFERROR(__xludf.DUMMYFUNCTION("""COMPUTED_VALUE"""),"08")</f>
        <v>08</v>
      </c>
      <c r="J6907" s="115"/>
      <c r="K6907" s="115"/>
    </row>
    <row r="6908">
      <c r="A6908" s="115" t="str">
        <f>IFERROR(__xludf.DUMMYFUNCTION("""COMPUTED_VALUE"""),"NORTH")</f>
        <v>NORTH</v>
      </c>
      <c r="B6908" s="115" t="str">
        <f>IFERROR(__xludf.DUMMYFUNCTION("""COMPUTED_VALUE"""),"Loveleen Singh")</f>
        <v>Loveleen Singh</v>
      </c>
      <c r="C6908" s="115" t="str">
        <f>IFERROR(__xludf.DUMMYFUNCTION("""COMPUTED_VALUE"""),"FLIPKART")</f>
        <v>FLIPKART</v>
      </c>
      <c r="D6908" s="115">
        <f>IFERROR(__xludf.DUMMYFUNCTION("""COMPUTED_VALUE"""),13489.0)</f>
        <v>13489</v>
      </c>
      <c r="E6908" s="115">
        <f>IFERROR(__xludf.DUMMYFUNCTION("""COMPUTED_VALUE"""),853.0)</f>
        <v>853</v>
      </c>
      <c r="F6908" s="115">
        <f>IFERROR(__xludf.DUMMYFUNCTION("""COMPUTED_VALUE"""),102.0)</f>
        <v>102</v>
      </c>
      <c r="G6908" s="115">
        <f>IFERROR(__xludf.DUMMYFUNCTION("""COMPUTED_VALUE"""),12.0)</f>
        <v>12</v>
      </c>
      <c r="H6908" s="116">
        <f>IFERROR(__xludf.DUMMYFUNCTION("""COMPUTED_VALUE"""),45913.0)</f>
        <v>45913</v>
      </c>
      <c r="I6908" s="115" t="str">
        <f>IFERROR(__xludf.DUMMYFUNCTION("""COMPUTED_VALUE"""),"08")</f>
        <v>08</v>
      </c>
      <c r="J6908" s="115"/>
      <c r="K6908" s="115"/>
    </row>
    <row r="6909">
      <c r="A6909" s="115" t="str">
        <f>IFERROR(__xludf.DUMMYFUNCTION("""COMPUTED_VALUE"""),"NORTH")</f>
        <v>NORTH</v>
      </c>
      <c r="B6909" s="115" t="str">
        <f>IFERROR(__xludf.DUMMYFUNCTION("""COMPUTED_VALUE"""),"Loveleen Singh")</f>
        <v>Loveleen Singh</v>
      </c>
      <c r="C6909" s="115" t="str">
        <f>IFERROR(__xludf.DUMMYFUNCTION("""COMPUTED_VALUE"""),"MYNTRA")</f>
        <v>MYNTRA</v>
      </c>
      <c r="D6909" s="115">
        <f>IFERROR(__xludf.DUMMYFUNCTION("""COMPUTED_VALUE"""),2343.0)</f>
        <v>2343</v>
      </c>
      <c r="E6909" s="115">
        <f>IFERROR(__xludf.DUMMYFUNCTION("""COMPUTED_VALUE"""),386.0)</f>
        <v>386</v>
      </c>
      <c r="F6909" s="115">
        <f>IFERROR(__xludf.DUMMYFUNCTION("""COMPUTED_VALUE"""),29.0)</f>
        <v>29</v>
      </c>
      <c r="G6909" s="115">
        <f>IFERROR(__xludf.DUMMYFUNCTION("""COMPUTED_VALUE"""),7.0)</f>
        <v>7</v>
      </c>
      <c r="H6909" s="116">
        <f>IFERROR(__xludf.DUMMYFUNCTION("""COMPUTED_VALUE"""),45913.0)</f>
        <v>45913</v>
      </c>
      <c r="I6909" s="115" t="str">
        <f>IFERROR(__xludf.DUMMYFUNCTION("""COMPUTED_VALUE"""),"08")</f>
        <v>08</v>
      </c>
      <c r="J6909" s="115"/>
      <c r="K6909" s="115"/>
    </row>
    <row r="6910">
      <c r="A6910" s="115" t="str">
        <f>IFERROR(__xludf.DUMMYFUNCTION("""COMPUTED_VALUE"""),"NORTH")</f>
        <v>NORTH</v>
      </c>
      <c r="B6910" s="115" t="str">
        <f>IFERROR(__xludf.DUMMYFUNCTION("""COMPUTED_VALUE"""),"Manoj Harsh")</f>
        <v>Manoj Harsh</v>
      </c>
      <c r="C6910" s="115" t="str">
        <f>IFERROR(__xludf.DUMMYFUNCTION("""COMPUTED_VALUE"""),"EXTERNAL")</f>
        <v>EXTERNAL</v>
      </c>
      <c r="D6910" s="115">
        <f>IFERROR(__xludf.DUMMYFUNCTION("""COMPUTED_VALUE"""),2230.0)</f>
        <v>2230</v>
      </c>
      <c r="E6910" s="115">
        <f>IFERROR(__xludf.DUMMYFUNCTION("""COMPUTED_VALUE"""),164.0)</f>
        <v>164</v>
      </c>
      <c r="F6910" s="115">
        <f>IFERROR(__xludf.DUMMYFUNCTION("""COMPUTED_VALUE"""),13.0)</f>
        <v>13</v>
      </c>
      <c r="G6910" s="115">
        <f>IFERROR(__xludf.DUMMYFUNCTION("""COMPUTED_VALUE"""),2.0)</f>
        <v>2</v>
      </c>
      <c r="H6910" s="116">
        <f>IFERROR(__xludf.DUMMYFUNCTION("""COMPUTED_VALUE"""),45913.0)</f>
        <v>45913</v>
      </c>
      <c r="I6910" s="115" t="str">
        <f>IFERROR(__xludf.DUMMYFUNCTION("""COMPUTED_VALUE"""),"08")</f>
        <v>08</v>
      </c>
      <c r="J6910" s="115"/>
      <c r="K6910" s="115"/>
    </row>
    <row r="6911">
      <c r="A6911" s="115" t="str">
        <f>IFERROR(__xludf.DUMMYFUNCTION("""COMPUTED_VALUE"""),"NORTH")</f>
        <v>NORTH</v>
      </c>
      <c r="B6911" s="115" t="str">
        <f>IFERROR(__xludf.DUMMYFUNCTION("""COMPUTED_VALUE"""),"Manoj Harsh")</f>
        <v>Manoj Harsh</v>
      </c>
      <c r="C6911" s="115" t="str">
        <f>IFERROR(__xludf.DUMMYFUNCTION("""COMPUTED_VALUE"""),"FLIPKART")</f>
        <v>FLIPKART</v>
      </c>
      <c r="D6911" s="115">
        <f>IFERROR(__xludf.DUMMYFUNCTION("""COMPUTED_VALUE"""),32093.0)</f>
        <v>32093</v>
      </c>
      <c r="E6911" s="115">
        <f>IFERROR(__xludf.DUMMYFUNCTION("""COMPUTED_VALUE"""),4289.0)</f>
        <v>4289</v>
      </c>
      <c r="F6911" s="115">
        <f>IFERROR(__xludf.DUMMYFUNCTION("""COMPUTED_VALUE"""),251.0)</f>
        <v>251</v>
      </c>
      <c r="G6911" s="115">
        <f>IFERROR(__xludf.DUMMYFUNCTION("""COMPUTED_VALUE"""),55.0)</f>
        <v>55</v>
      </c>
      <c r="H6911" s="116">
        <f>IFERROR(__xludf.DUMMYFUNCTION("""COMPUTED_VALUE"""),45913.0)</f>
        <v>45913</v>
      </c>
      <c r="I6911" s="115" t="str">
        <f>IFERROR(__xludf.DUMMYFUNCTION("""COMPUTED_VALUE"""),"08")</f>
        <v>08</v>
      </c>
      <c r="J6911" s="115"/>
      <c r="K6911" s="115"/>
    </row>
    <row r="6912">
      <c r="A6912" s="115" t="str">
        <f>IFERROR(__xludf.DUMMYFUNCTION("""COMPUTED_VALUE"""),"NORTH")</f>
        <v>NORTH</v>
      </c>
      <c r="B6912" s="115" t="str">
        <f>IFERROR(__xludf.DUMMYFUNCTION("""COMPUTED_VALUE"""),"Manoj Harsh")</f>
        <v>Manoj Harsh</v>
      </c>
      <c r="C6912" s="115" t="str">
        <f>IFERROR(__xludf.DUMMYFUNCTION("""COMPUTED_VALUE"""),"MYNTRA")</f>
        <v>MYNTRA</v>
      </c>
      <c r="D6912" s="115">
        <f>IFERROR(__xludf.DUMMYFUNCTION("""COMPUTED_VALUE"""),3056.0)</f>
        <v>3056</v>
      </c>
      <c r="E6912" s="115">
        <f>IFERROR(__xludf.DUMMYFUNCTION("""COMPUTED_VALUE"""),948.0)</f>
        <v>948</v>
      </c>
      <c r="F6912" s="115">
        <f>IFERROR(__xludf.DUMMYFUNCTION("""COMPUTED_VALUE"""),43.0)</f>
        <v>43</v>
      </c>
      <c r="G6912" s="115">
        <f>IFERROR(__xludf.DUMMYFUNCTION("""COMPUTED_VALUE"""),6.0)</f>
        <v>6</v>
      </c>
      <c r="H6912" s="116">
        <f>IFERROR(__xludf.DUMMYFUNCTION("""COMPUTED_VALUE"""),45913.0)</f>
        <v>45913</v>
      </c>
      <c r="I6912" s="115" t="str">
        <f>IFERROR(__xludf.DUMMYFUNCTION("""COMPUTED_VALUE"""),"08")</f>
        <v>08</v>
      </c>
      <c r="J6912" s="115"/>
      <c r="K6912" s="115"/>
    </row>
    <row r="6913">
      <c r="A6913" s="115" t="str">
        <f>IFERROR(__xludf.DUMMYFUNCTION("""COMPUTED_VALUE"""),"NORTH")</f>
        <v>NORTH</v>
      </c>
      <c r="B6913" s="115" t="str">
        <f>IFERROR(__xludf.DUMMYFUNCTION("""COMPUTED_VALUE"""),"Pradeep Kothari")</f>
        <v>Pradeep Kothari</v>
      </c>
      <c r="C6913" s="115" t="str">
        <f>IFERROR(__xludf.DUMMYFUNCTION("""COMPUTED_VALUE"""),"EXTERNAL")</f>
        <v>EXTERNAL</v>
      </c>
      <c r="D6913" s="115">
        <f>IFERROR(__xludf.DUMMYFUNCTION("""COMPUTED_VALUE"""),1255.0)</f>
        <v>1255</v>
      </c>
      <c r="E6913" s="115">
        <f>IFERROR(__xludf.DUMMYFUNCTION("""COMPUTED_VALUE"""),118.0)</f>
        <v>118</v>
      </c>
      <c r="F6913" s="115">
        <f>IFERROR(__xludf.DUMMYFUNCTION("""COMPUTED_VALUE"""),7.0)</f>
        <v>7</v>
      </c>
      <c r="G6913" s="115">
        <f>IFERROR(__xludf.DUMMYFUNCTION("""COMPUTED_VALUE"""),0.0)</f>
        <v>0</v>
      </c>
      <c r="H6913" s="116">
        <f>IFERROR(__xludf.DUMMYFUNCTION("""COMPUTED_VALUE"""),45913.0)</f>
        <v>45913</v>
      </c>
      <c r="I6913" s="115" t="str">
        <f>IFERROR(__xludf.DUMMYFUNCTION("""COMPUTED_VALUE"""),"08")</f>
        <v>08</v>
      </c>
      <c r="J6913" s="115"/>
      <c r="K6913" s="115"/>
    </row>
    <row r="6914">
      <c r="A6914" s="115" t="str">
        <f>IFERROR(__xludf.DUMMYFUNCTION("""COMPUTED_VALUE"""),"NORTH")</f>
        <v>NORTH</v>
      </c>
      <c r="B6914" s="115" t="str">
        <f>IFERROR(__xludf.DUMMYFUNCTION("""COMPUTED_VALUE"""),"Pradeep Kothari")</f>
        <v>Pradeep Kothari</v>
      </c>
      <c r="C6914" s="115" t="str">
        <f>IFERROR(__xludf.DUMMYFUNCTION("""COMPUTED_VALUE"""),"FLIPKART")</f>
        <v>FLIPKART</v>
      </c>
      <c r="D6914" s="115">
        <f>IFERROR(__xludf.DUMMYFUNCTION("""COMPUTED_VALUE"""),12737.0)</f>
        <v>12737</v>
      </c>
      <c r="E6914" s="115">
        <f>IFERROR(__xludf.DUMMYFUNCTION("""COMPUTED_VALUE"""),2046.0)</f>
        <v>2046</v>
      </c>
      <c r="F6914" s="115">
        <f>IFERROR(__xludf.DUMMYFUNCTION("""COMPUTED_VALUE"""),212.0)</f>
        <v>212</v>
      </c>
      <c r="G6914" s="115">
        <f>IFERROR(__xludf.DUMMYFUNCTION("""COMPUTED_VALUE"""),19.0)</f>
        <v>19</v>
      </c>
      <c r="H6914" s="116">
        <f>IFERROR(__xludf.DUMMYFUNCTION("""COMPUTED_VALUE"""),45913.0)</f>
        <v>45913</v>
      </c>
      <c r="I6914" s="115" t="str">
        <f>IFERROR(__xludf.DUMMYFUNCTION("""COMPUTED_VALUE"""),"08")</f>
        <v>08</v>
      </c>
      <c r="J6914" s="115"/>
      <c r="K6914" s="115"/>
    </row>
    <row r="6915">
      <c r="A6915" s="115" t="str">
        <f>IFERROR(__xludf.DUMMYFUNCTION("""COMPUTED_VALUE"""),"NORTH")</f>
        <v>NORTH</v>
      </c>
      <c r="B6915" s="115" t="str">
        <f>IFERROR(__xludf.DUMMYFUNCTION("""COMPUTED_VALUE"""),"Pradeep Kothari")</f>
        <v>Pradeep Kothari</v>
      </c>
      <c r="C6915" s="115" t="str">
        <f>IFERROR(__xludf.DUMMYFUNCTION("""COMPUTED_VALUE"""),"MYNTRA")</f>
        <v>MYNTRA</v>
      </c>
      <c r="D6915" s="115">
        <f>IFERROR(__xludf.DUMMYFUNCTION("""COMPUTED_VALUE"""),2279.0)</f>
        <v>2279</v>
      </c>
      <c r="E6915" s="115">
        <f>IFERROR(__xludf.DUMMYFUNCTION("""COMPUTED_VALUE"""),546.0)</f>
        <v>546</v>
      </c>
      <c r="F6915" s="115">
        <f>IFERROR(__xludf.DUMMYFUNCTION("""COMPUTED_VALUE"""),30.0)</f>
        <v>30</v>
      </c>
      <c r="G6915" s="115">
        <f>IFERROR(__xludf.DUMMYFUNCTION("""COMPUTED_VALUE"""),1.0)</f>
        <v>1</v>
      </c>
      <c r="H6915" s="116">
        <f>IFERROR(__xludf.DUMMYFUNCTION("""COMPUTED_VALUE"""),45913.0)</f>
        <v>45913</v>
      </c>
      <c r="I6915" s="115" t="str">
        <f>IFERROR(__xludf.DUMMYFUNCTION("""COMPUTED_VALUE"""),"08")</f>
        <v>08</v>
      </c>
      <c r="J6915" s="115"/>
      <c r="K6915" s="115"/>
    </row>
    <row r="6916">
      <c r="A6916" s="115" t="str">
        <f>IFERROR(__xludf.DUMMYFUNCTION("""COMPUTED_VALUE"""),"SOUTH")</f>
        <v>SOUTH</v>
      </c>
      <c r="B6916" s="115" t="str">
        <f>IFERROR(__xludf.DUMMYFUNCTION("""COMPUTED_VALUE"""),"Kandula Sampath")</f>
        <v>Kandula Sampath</v>
      </c>
      <c r="C6916" s="115" t="str">
        <f>IFERROR(__xludf.DUMMYFUNCTION("""COMPUTED_VALUE"""),"EXTERNAL")</f>
        <v>EXTERNAL</v>
      </c>
      <c r="D6916" s="115">
        <f>IFERROR(__xludf.DUMMYFUNCTION("""COMPUTED_VALUE"""),4856.0)</f>
        <v>4856</v>
      </c>
      <c r="E6916" s="115">
        <f>IFERROR(__xludf.DUMMYFUNCTION("""COMPUTED_VALUE"""),244.0)</f>
        <v>244</v>
      </c>
      <c r="F6916" s="115">
        <f>IFERROR(__xludf.DUMMYFUNCTION("""COMPUTED_VALUE"""),75.0)</f>
        <v>75</v>
      </c>
      <c r="G6916" s="115">
        <f>IFERROR(__xludf.DUMMYFUNCTION("""COMPUTED_VALUE"""),2.0)</f>
        <v>2</v>
      </c>
      <c r="H6916" s="116">
        <f>IFERROR(__xludf.DUMMYFUNCTION("""COMPUTED_VALUE"""),45913.0)</f>
        <v>45913</v>
      </c>
      <c r="I6916" s="115" t="str">
        <f>IFERROR(__xludf.DUMMYFUNCTION("""COMPUTED_VALUE"""),"08")</f>
        <v>08</v>
      </c>
      <c r="J6916" s="115"/>
      <c r="K6916" s="115"/>
    </row>
    <row r="6917">
      <c r="A6917" s="115" t="str">
        <f>IFERROR(__xludf.DUMMYFUNCTION("""COMPUTED_VALUE"""),"SOUTH")</f>
        <v>SOUTH</v>
      </c>
      <c r="B6917" s="115" t="str">
        <f>IFERROR(__xludf.DUMMYFUNCTION("""COMPUTED_VALUE"""),"Kandula Sampath")</f>
        <v>Kandula Sampath</v>
      </c>
      <c r="C6917" s="115" t="str">
        <f>IFERROR(__xludf.DUMMYFUNCTION("""COMPUTED_VALUE"""),"FLIPKART")</f>
        <v>FLIPKART</v>
      </c>
      <c r="D6917" s="115">
        <f>IFERROR(__xludf.DUMMYFUNCTION("""COMPUTED_VALUE"""),70428.0)</f>
        <v>70428</v>
      </c>
      <c r="E6917" s="115">
        <f>IFERROR(__xludf.DUMMYFUNCTION("""COMPUTED_VALUE"""),3706.0)</f>
        <v>3706</v>
      </c>
      <c r="F6917" s="115">
        <f>IFERROR(__xludf.DUMMYFUNCTION("""COMPUTED_VALUE"""),2172.0)</f>
        <v>2172</v>
      </c>
      <c r="G6917" s="115">
        <f>IFERROR(__xludf.DUMMYFUNCTION("""COMPUTED_VALUE"""),26.0)</f>
        <v>26</v>
      </c>
      <c r="H6917" s="116">
        <f>IFERROR(__xludf.DUMMYFUNCTION("""COMPUTED_VALUE"""),45913.0)</f>
        <v>45913</v>
      </c>
      <c r="I6917" s="115" t="str">
        <f>IFERROR(__xludf.DUMMYFUNCTION("""COMPUTED_VALUE"""),"08")</f>
        <v>08</v>
      </c>
      <c r="J6917" s="115"/>
      <c r="K6917" s="115"/>
    </row>
    <row r="6918">
      <c r="A6918" s="115" t="str">
        <f>IFERROR(__xludf.DUMMYFUNCTION("""COMPUTED_VALUE"""),"SOUTH")</f>
        <v>SOUTH</v>
      </c>
      <c r="B6918" s="115" t="str">
        <f>IFERROR(__xludf.DUMMYFUNCTION("""COMPUTED_VALUE"""),"Kandula Sampath")</f>
        <v>Kandula Sampath</v>
      </c>
      <c r="C6918" s="115" t="str">
        <f>IFERROR(__xludf.DUMMYFUNCTION("""COMPUTED_VALUE"""),"MYNTRA")</f>
        <v>MYNTRA</v>
      </c>
      <c r="D6918" s="115">
        <f>IFERROR(__xludf.DUMMYFUNCTION("""COMPUTED_VALUE"""),7207.0)</f>
        <v>7207</v>
      </c>
      <c r="E6918" s="115">
        <f>IFERROR(__xludf.DUMMYFUNCTION("""COMPUTED_VALUE"""),1141.0)</f>
        <v>1141</v>
      </c>
      <c r="F6918" s="115">
        <f>IFERROR(__xludf.DUMMYFUNCTION("""COMPUTED_VALUE"""),260.0)</f>
        <v>260</v>
      </c>
      <c r="G6918" s="115">
        <f>IFERROR(__xludf.DUMMYFUNCTION("""COMPUTED_VALUE"""),0.0)</f>
        <v>0</v>
      </c>
      <c r="H6918" s="116">
        <f>IFERROR(__xludf.DUMMYFUNCTION("""COMPUTED_VALUE"""),45913.0)</f>
        <v>45913</v>
      </c>
      <c r="I6918" s="115" t="str">
        <f>IFERROR(__xludf.DUMMYFUNCTION("""COMPUTED_VALUE"""),"08")</f>
        <v>08</v>
      </c>
      <c r="J6918" s="115"/>
      <c r="K6918" s="115"/>
    </row>
    <row r="6919">
      <c r="A6919" s="115" t="str">
        <f>IFERROR(__xludf.DUMMYFUNCTION("""COMPUTED_VALUE"""),"SOUTH")</f>
        <v>SOUTH</v>
      </c>
      <c r="B6919" s="115" t="str">
        <f>IFERROR(__xludf.DUMMYFUNCTION("""COMPUTED_VALUE"""),"Martin A")</f>
        <v>Martin A</v>
      </c>
      <c r="C6919" s="115" t="str">
        <f>IFERROR(__xludf.DUMMYFUNCTION("""COMPUTED_VALUE"""),"EXTERNAL")</f>
        <v>EXTERNAL</v>
      </c>
      <c r="D6919" s="115">
        <f>IFERROR(__xludf.DUMMYFUNCTION("""COMPUTED_VALUE"""),4036.0)</f>
        <v>4036</v>
      </c>
      <c r="E6919" s="115">
        <f>IFERROR(__xludf.DUMMYFUNCTION("""COMPUTED_VALUE"""),478.0)</f>
        <v>478</v>
      </c>
      <c r="F6919" s="115">
        <f>IFERROR(__xludf.DUMMYFUNCTION("""COMPUTED_VALUE"""),27.0)</f>
        <v>27</v>
      </c>
      <c r="G6919" s="115">
        <f>IFERROR(__xludf.DUMMYFUNCTION("""COMPUTED_VALUE"""),3.0)</f>
        <v>3</v>
      </c>
      <c r="H6919" s="116">
        <f>IFERROR(__xludf.DUMMYFUNCTION("""COMPUTED_VALUE"""),45913.0)</f>
        <v>45913</v>
      </c>
      <c r="I6919" s="115" t="str">
        <f>IFERROR(__xludf.DUMMYFUNCTION("""COMPUTED_VALUE"""),"08")</f>
        <v>08</v>
      </c>
      <c r="J6919" s="115"/>
      <c r="K6919" s="115"/>
    </row>
    <row r="6920">
      <c r="A6920" s="115" t="str">
        <f>IFERROR(__xludf.DUMMYFUNCTION("""COMPUTED_VALUE"""),"SOUTH")</f>
        <v>SOUTH</v>
      </c>
      <c r="B6920" s="115" t="str">
        <f>IFERROR(__xludf.DUMMYFUNCTION("""COMPUTED_VALUE"""),"Martin A")</f>
        <v>Martin A</v>
      </c>
      <c r="C6920" s="115" t="str">
        <f>IFERROR(__xludf.DUMMYFUNCTION("""COMPUTED_VALUE"""),"FLIPKART")</f>
        <v>FLIPKART</v>
      </c>
      <c r="D6920" s="115">
        <f>IFERROR(__xludf.DUMMYFUNCTION("""COMPUTED_VALUE"""),50565.0)</f>
        <v>50565</v>
      </c>
      <c r="E6920" s="115">
        <f>IFERROR(__xludf.DUMMYFUNCTION("""COMPUTED_VALUE"""),4182.0)</f>
        <v>4182</v>
      </c>
      <c r="F6920" s="115">
        <f>IFERROR(__xludf.DUMMYFUNCTION("""COMPUTED_VALUE"""),575.0)</f>
        <v>575</v>
      </c>
      <c r="G6920" s="115">
        <f>IFERROR(__xludf.DUMMYFUNCTION("""COMPUTED_VALUE"""),37.0)</f>
        <v>37</v>
      </c>
      <c r="H6920" s="116">
        <f>IFERROR(__xludf.DUMMYFUNCTION("""COMPUTED_VALUE"""),45913.0)</f>
        <v>45913</v>
      </c>
      <c r="I6920" s="115" t="str">
        <f>IFERROR(__xludf.DUMMYFUNCTION("""COMPUTED_VALUE"""),"08")</f>
        <v>08</v>
      </c>
      <c r="J6920" s="115"/>
      <c r="K6920" s="115"/>
    </row>
    <row r="6921">
      <c r="A6921" s="115" t="str">
        <f>IFERROR(__xludf.DUMMYFUNCTION("""COMPUTED_VALUE"""),"SOUTH")</f>
        <v>SOUTH</v>
      </c>
      <c r="B6921" s="115" t="str">
        <f>IFERROR(__xludf.DUMMYFUNCTION("""COMPUTED_VALUE"""),"Martin A")</f>
        <v>Martin A</v>
      </c>
      <c r="C6921" s="115" t="str">
        <f>IFERROR(__xludf.DUMMYFUNCTION("""COMPUTED_VALUE"""),"MYNTRA")</f>
        <v>MYNTRA</v>
      </c>
      <c r="D6921" s="115">
        <f>IFERROR(__xludf.DUMMYFUNCTION("""COMPUTED_VALUE"""),4806.0)</f>
        <v>4806</v>
      </c>
      <c r="E6921" s="115">
        <f>IFERROR(__xludf.DUMMYFUNCTION("""COMPUTED_VALUE"""),1192.0)</f>
        <v>1192</v>
      </c>
      <c r="F6921" s="115">
        <f>IFERROR(__xludf.DUMMYFUNCTION("""COMPUTED_VALUE"""),59.0)</f>
        <v>59</v>
      </c>
      <c r="G6921" s="115">
        <f>IFERROR(__xludf.DUMMYFUNCTION("""COMPUTED_VALUE"""),5.0)</f>
        <v>5</v>
      </c>
      <c r="H6921" s="116">
        <f>IFERROR(__xludf.DUMMYFUNCTION("""COMPUTED_VALUE"""),45913.0)</f>
        <v>45913</v>
      </c>
      <c r="I6921" s="115" t="str">
        <f>IFERROR(__xludf.DUMMYFUNCTION("""COMPUTED_VALUE"""),"08")</f>
        <v>08</v>
      </c>
      <c r="J6921" s="115"/>
      <c r="K6921" s="115"/>
    </row>
    <row r="6922">
      <c r="A6922" s="115" t="str">
        <f>IFERROR(__xludf.DUMMYFUNCTION("""COMPUTED_VALUE"""),"SOUTH")</f>
        <v>SOUTH</v>
      </c>
      <c r="B6922" s="115" t="str">
        <f>IFERROR(__xludf.DUMMYFUNCTION("""COMPUTED_VALUE"""),"Premkumar M")</f>
        <v>Premkumar M</v>
      </c>
      <c r="C6922" s="115" t="str">
        <f>IFERROR(__xludf.DUMMYFUNCTION("""COMPUTED_VALUE"""),"EXTERNAL")</f>
        <v>EXTERNAL</v>
      </c>
      <c r="D6922" s="115">
        <f>IFERROR(__xludf.DUMMYFUNCTION("""COMPUTED_VALUE"""),720.0)</f>
        <v>720</v>
      </c>
      <c r="E6922" s="115">
        <f>IFERROR(__xludf.DUMMYFUNCTION("""COMPUTED_VALUE"""),17.0)</f>
        <v>17</v>
      </c>
      <c r="F6922" s="115">
        <f>IFERROR(__xludf.DUMMYFUNCTION("""COMPUTED_VALUE"""),4.0)</f>
        <v>4</v>
      </c>
      <c r="G6922" s="115">
        <f>IFERROR(__xludf.DUMMYFUNCTION("""COMPUTED_VALUE"""),0.0)</f>
        <v>0</v>
      </c>
      <c r="H6922" s="116">
        <f>IFERROR(__xludf.DUMMYFUNCTION("""COMPUTED_VALUE"""),45913.0)</f>
        <v>45913</v>
      </c>
      <c r="I6922" s="115" t="str">
        <f>IFERROR(__xludf.DUMMYFUNCTION("""COMPUTED_VALUE"""),"08")</f>
        <v>08</v>
      </c>
      <c r="J6922" s="115"/>
      <c r="K6922" s="115"/>
    </row>
    <row r="6923">
      <c r="A6923" s="115" t="str">
        <f>IFERROR(__xludf.DUMMYFUNCTION("""COMPUTED_VALUE"""),"SOUTH")</f>
        <v>SOUTH</v>
      </c>
      <c r="B6923" s="115" t="str">
        <f>IFERROR(__xludf.DUMMYFUNCTION("""COMPUTED_VALUE"""),"Premkumar M")</f>
        <v>Premkumar M</v>
      </c>
      <c r="C6923" s="115" t="str">
        <f>IFERROR(__xludf.DUMMYFUNCTION("""COMPUTED_VALUE"""),"FLIPKART")</f>
        <v>FLIPKART</v>
      </c>
      <c r="D6923" s="115">
        <f>IFERROR(__xludf.DUMMYFUNCTION("""COMPUTED_VALUE"""),9239.0)</f>
        <v>9239</v>
      </c>
      <c r="E6923" s="115">
        <f>IFERROR(__xludf.DUMMYFUNCTION("""COMPUTED_VALUE"""),385.0)</f>
        <v>385</v>
      </c>
      <c r="F6923" s="115">
        <f>IFERROR(__xludf.DUMMYFUNCTION("""COMPUTED_VALUE"""),216.0)</f>
        <v>216</v>
      </c>
      <c r="G6923" s="115">
        <f>IFERROR(__xludf.DUMMYFUNCTION("""COMPUTED_VALUE"""),6.0)</f>
        <v>6</v>
      </c>
      <c r="H6923" s="116">
        <f>IFERROR(__xludf.DUMMYFUNCTION("""COMPUTED_VALUE"""),45913.0)</f>
        <v>45913</v>
      </c>
      <c r="I6923" s="115" t="str">
        <f>IFERROR(__xludf.DUMMYFUNCTION("""COMPUTED_VALUE"""),"08")</f>
        <v>08</v>
      </c>
      <c r="J6923" s="115"/>
      <c r="K6923" s="115"/>
    </row>
    <row r="6924">
      <c r="A6924" s="115" t="str">
        <f>IFERROR(__xludf.DUMMYFUNCTION("""COMPUTED_VALUE"""),"SOUTH")</f>
        <v>SOUTH</v>
      </c>
      <c r="B6924" s="115" t="str">
        <f>IFERROR(__xludf.DUMMYFUNCTION("""COMPUTED_VALUE"""),"Premkumar M")</f>
        <v>Premkumar M</v>
      </c>
      <c r="C6924" s="115" t="str">
        <f>IFERROR(__xludf.DUMMYFUNCTION("""COMPUTED_VALUE"""),"MYNTRA")</f>
        <v>MYNTRA</v>
      </c>
      <c r="D6924" s="115">
        <f>IFERROR(__xludf.DUMMYFUNCTION("""COMPUTED_VALUE"""),489.0)</f>
        <v>489</v>
      </c>
      <c r="E6924" s="115">
        <f>IFERROR(__xludf.DUMMYFUNCTION("""COMPUTED_VALUE"""),134.0)</f>
        <v>134</v>
      </c>
      <c r="F6924" s="115">
        <f>IFERROR(__xludf.DUMMYFUNCTION("""COMPUTED_VALUE"""),14.0)</f>
        <v>14</v>
      </c>
      <c r="G6924" s="115">
        <f>IFERROR(__xludf.DUMMYFUNCTION("""COMPUTED_VALUE"""),0.0)</f>
        <v>0</v>
      </c>
      <c r="H6924" s="116">
        <f>IFERROR(__xludf.DUMMYFUNCTION("""COMPUTED_VALUE"""),45913.0)</f>
        <v>45913</v>
      </c>
      <c r="I6924" s="115" t="str">
        <f>IFERROR(__xludf.DUMMYFUNCTION("""COMPUTED_VALUE"""),"08")</f>
        <v>08</v>
      </c>
      <c r="J6924" s="115"/>
      <c r="K6924" s="115"/>
    </row>
    <row r="6925">
      <c r="A6925" s="115" t="str">
        <f>IFERROR(__xludf.DUMMYFUNCTION("""COMPUTED_VALUE"""),"SOUTH")</f>
        <v>SOUTH</v>
      </c>
      <c r="B6925" s="115" t="str">
        <f>IFERROR(__xludf.DUMMYFUNCTION("""COMPUTED_VALUE"""),"Vineeth V")</f>
        <v>Vineeth V</v>
      </c>
      <c r="C6925" s="115" t="str">
        <f>IFERROR(__xludf.DUMMYFUNCTION("""COMPUTED_VALUE"""),"EXTERNAL")</f>
        <v>EXTERNAL</v>
      </c>
      <c r="D6925" s="115">
        <f>IFERROR(__xludf.DUMMYFUNCTION("""COMPUTED_VALUE"""),332.0)</f>
        <v>332</v>
      </c>
      <c r="E6925" s="115">
        <f>IFERROR(__xludf.DUMMYFUNCTION("""COMPUTED_VALUE"""),10.0)</f>
        <v>10</v>
      </c>
      <c r="F6925" s="115">
        <f>IFERROR(__xludf.DUMMYFUNCTION("""COMPUTED_VALUE"""),2.0)</f>
        <v>2</v>
      </c>
      <c r="G6925" s="115">
        <f>IFERROR(__xludf.DUMMYFUNCTION("""COMPUTED_VALUE"""),0.0)</f>
        <v>0</v>
      </c>
      <c r="H6925" s="116">
        <f>IFERROR(__xludf.DUMMYFUNCTION("""COMPUTED_VALUE"""),45913.0)</f>
        <v>45913</v>
      </c>
      <c r="I6925" s="115" t="str">
        <f>IFERROR(__xludf.DUMMYFUNCTION("""COMPUTED_VALUE"""),"08")</f>
        <v>08</v>
      </c>
      <c r="J6925" s="115"/>
      <c r="K6925" s="115"/>
    </row>
    <row r="6926">
      <c r="A6926" s="115" t="str">
        <f>IFERROR(__xludf.DUMMYFUNCTION("""COMPUTED_VALUE"""),"SOUTH")</f>
        <v>SOUTH</v>
      </c>
      <c r="B6926" s="115" t="str">
        <f>IFERROR(__xludf.DUMMYFUNCTION("""COMPUTED_VALUE"""),"Vineeth V")</f>
        <v>Vineeth V</v>
      </c>
      <c r="C6926" s="115" t="str">
        <f>IFERROR(__xludf.DUMMYFUNCTION("""COMPUTED_VALUE"""),"FLIPKART")</f>
        <v>FLIPKART</v>
      </c>
      <c r="D6926" s="115">
        <f>IFERROR(__xludf.DUMMYFUNCTION("""COMPUTED_VALUE"""),3810.0)</f>
        <v>3810</v>
      </c>
      <c r="E6926" s="115">
        <f>IFERROR(__xludf.DUMMYFUNCTION("""COMPUTED_VALUE"""),220.0)</f>
        <v>220</v>
      </c>
      <c r="F6926" s="115">
        <f>IFERROR(__xludf.DUMMYFUNCTION("""COMPUTED_VALUE"""),69.0)</f>
        <v>69</v>
      </c>
      <c r="G6926" s="115">
        <f>IFERROR(__xludf.DUMMYFUNCTION("""COMPUTED_VALUE"""),2.0)</f>
        <v>2</v>
      </c>
      <c r="H6926" s="116">
        <f>IFERROR(__xludf.DUMMYFUNCTION("""COMPUTED_VALUE"""),45913.0)</f>
        <v>45913</v>
      </c>
      <c r="I6926" s="115" t="str">
        <f>IFERROR(__xludf.DUMMYFUNCTION("""COMPUTED_VALUE"""),"08")</f>
        <v>08</v>
      </c>
      <c r="J6926" s="115"/>
      <c r="K6926" s="115"/>
    </row>
    <row r="6927">
      <c r="A6927" s="115" t="str">
        <f>IFERROR(__xludf.DUMMYFUNCTION("""COMPUTED_VALUE"""),"SOUTH")</f>
        <v>SOUTH</v>
      </c>
      <c r="B6927" s="115" t="str">
        <f>IFERROR(__xludf.DUMMYFUNCTION("""COMPUTED_VALUE"""),"Vineeth V")</f>
        <v>Vineeth V</v>
      </c>
      <c r="C6927" s="115" t="str">
        <f>IFERROR(__xludf.DUMMYFUNCTION("""COMPUTED_VALUE"""),"MYNTRA")</f>
        <v>MYNTRA</v>
      </c>
      <c r="D6927" s="115">
        <f>IFERROR(__xludf.DUMMYFUNCTION("""COMPUTED_VALUE"""),352.0)</f>
        <v>352</v>
      </c>
      <c r="E6927" s="115">
        <f>IFERROR(__xludf.DUMMYFUNCTION("""COMPUTED_VALUE"""),58.0)</f>
        <v>58</v>
      </c>
      <c r="F6927" s="115">
        <f>IFERROR(__xludf.DUMMYFUNCTION("""COMPUTED_VALUE"""),5.0)</f>
        <v>5</v>
      </c>
      <c r="G6927" s="115">
        <f>IFERROR(__xludf.DUMMYFUNCTION("""COMPUTED_VALUE"""),0.0)</f>
        <v>0</v>
      </c>
      <c r="H6927" s="116">
        <f>IFERROR(__xludf.DUMMYFUNCTION("""COMPUTED_VALUE"""),45913.0)</f>
        <v>45913</v>
      </c>
      <c r="I6927" s="115" t="str">
        <f>IFERROR(__xludf.DUMMYFUNCTION("""COMPUTED_VALUE"""),"08")</f>
        <v>08</v>
      </c>
      <c r="J6927" s="115"/>
      <c r="K6927" s="115"/>
    </row>
    <row r="6928">
      <c r="A6928" s="115" t="str">
        <f>IFERROR(__xludf.DUMMYFUNCTION("""COMPUTED_VALUE"""),"WEST")</f>
        <v>WEST</v>
      </c>
      <c r="B6928" s="115" t="str">
        <f>IFERROR(__xludf.DUMMYFUNCTION("""COMPUTED_VALUE"""),"Ashish Jakar")</f>
        <v>Ashish Jakar</v>
      </c>
      <c r="C6928" s="115" t="str">
        <f>IFERROR(__xludf.DUMMYFUNCTION("""COMPUTED_VALUE"""),"EXTERNAL")</f>
        <v>EXTERNAL</v>
      </c>
      <c r="D6928" s="115">
        <f>IFERROR(__xludf.DUMMYFUNCTION("""COMPUTED_VALUE"""),2269.0)</f>
        <v>2269</v>
      </c>
      <c r="E6928" s="115">
        <f>IFERROR(__xludf.DUMMYFUNCTION("""COMPUTED_VALUE"""),571.0)</f>
        <v>571</v>
      </c>
      <c r="F6928" s="115">
        <f>IFERROR(__xludf.DUMMYFUNCTION("""COMPUTED_VALUE"""),92.0)</f>
        <v>92</v>
      </c>
      <c r="G6928" s="115">
        <f>IFERROR(__xludf.DUMMYFUNCTION("""COMPUTED_VALUE"""),0.0)</f>
        <v>0</v>
      </c>
      <c r="H6928" s="116">
        <f>IFERROR(__xludf.DUMMYFUNCTION("""COMPUTED_VALUE"""),45913.0)</f>
        <v>45913</v>
      </c>
      <c r="I6928" s="115" t="str">
        <f>IFERROR(__xludf.DUMMYFUNCTION("""COMPUTED_VALUE"""),"08")</f>
        <v>08</v>
      </c>
      <c r="J6928" s="115"/>
      <c r="K6928" s="115"/>
    </row>
    <row r="6929">
      <c r="A6929" s="115" t="str">
        <f>IFERROR(__xludf.DUMMYFUNCTION("""COMPUTED_VALUE"""),"WEST")</f>
        <v>WEST</v>
      </c>
      <c r="B6929" s="115" t="str">
        <f>IFERROR(__xludf.DUMMYFUNCTION("""COMPUTED_VALUE"""),"Ashish Jakar")</f>
        <v>Ashish Jakar</v>
      </c>
      <c r="C6929" s="115" t="str">
        <f>IFERROR(__xludf.DUMMYFUNCTION("""COMPUTED_VALUE"""),"FLIPKART")</f>
        <v>FLIPKART</v>
      </c>
      <c r="D6929" s="115">
        <f>IFERROR(__xludf.DUMMYFUNCTION("""COMPUTED_VALUE"""),18475.0)</f>
        <v>18475</v>
      </c>
      <c r="E6929" s="115">
        <f>IFERROR(__xludf.DUMMYFUNCTION("""COMPUTED_VALUE"""),3210.0)</f>
        <v>3210</v>
      </c>
      <c r="F6929" s="115">
        <f>IFERROR(__xludf.DUMMYFUNCTION("""COMPUTED_VALUE"""),79.0)</f>
        <v>79</v>
      </c>
      <c r="G6929" s="115">
        <f>IFERROR(__xludf.DUMMYFUNCTION("""COMPUTED_VALUE"""),9.0)</f>
        <v>9</v>
      </c>
      <c r="H6929" s="116">
        <f>IFERROR(__xludf.DUMMYFUNCTION("""COMPUTED_VALUE"""),45913.0)</f>
        <v>45913</v>
      </c>
      <c r="I6929" s="115" t="str">
        <f>IFERROR(__xludf.DUMMYFUNCTION("""COMPUTED_VALUE"""),"08")</f>
        <v>08</v>
      </c>
      <c r="J6929" s="115"/>
      <c r="K6929" s="115"/>
    </row>
    <row r="6930">
      <c r="A6930" s="115" t="str">
        <f>IFERROR(__xludf.DUMMYFUNCTION("""COMPUTED_VALUE"""),"WEST")</f>
        <v>WEST</v>
      </c>
      <c r="B6930" s="115" t="str">
        <f>IFERROR(__xludf.DUMMYFUNCTION("""COMPUTED_VALUE"""),"Ashish Jakar")</f>
        <v>Ashish Jakar</v>
      </c>
      <c r="C6930" s="115" t="str">
        <f>IFERROR(__xludf.DUMMYFUNCTION("""COMPUTED_VALUE"""),"MYNTRA")</f>
        <v>MYNTRA</v>
      </c>
      <c r="D6930" s="115">
        <f>IFERROR(__xludf.DUMMYFUNCTION("""COMPUTED_VALUE"""),1870.0)</f>
        <v>1870</v>
      </c>
      <c r="E6930" s="115">
        <f>IFERROR(__xludf.DUMMYFUNCTION("""COMPUTED_VALUE"""),921.0)</f>
        <v>921</v>
      </c>
      <c r="F6930" s="115">
        <f>IFERROR(__xludf.DUMMYFUNCTION("""COMPUTED_VALUE"""),6.0)</f>
        <v>6</v>
      </c>
      <c r="G6930" s="115">
        <f>IFERROR(__xludf.DUMMYFUNCTION("""COMPUTED_VALUE"""),0.0)</f>
        <v>0</v>
      </c>
      <c r="H6930" s="116">
        <f>IFERROR(__xludf.DUMMYFUNCTION("""COMPUTED_VALUE"""),45913.0)</f>
        <v>45913</v>
      </c>
      <c r="I6930" s="115" t="str">
        <f>IFERROR(__xludf.DUMMYFUNCTION("""COMPUTED_VALUE"""),"08")</f>
        <v>08</v>
      </c>
      <c r="J6930" s="115"/>
      <c r="K6930" s="115"/>
    </row>
    <row r="6931">
      <c r="A6931" s="115" t="str">
        <f>IFERROR(__xludf.DUMMYFUNCTION("""COMPUTED_VALUE"""),"WEST")</f>
        <v>WEST</v>
      </c>
      <c r="B6931" s="115" t="str">
        <f>IFERROR(__xludf.DUMMYFUNCTION("""COMPUTED_VALUE"""),"Ashvani Bhatt")</f>
        <v>Ashvani Bhatt</v>
      </c>
      <c r="C6931" s="115" t="str">
        <f>IFERROR(__xludf.DUMMYFUNCTION("""COMPUTED_VALUE"""),"EXTERNAL")</f>
        <v>EXTERNAL</v>
      </c>
      <c r="D6931" s="115">
        <f>IFERROR(__xludf.DUMMYFUNCTION("""COMPUTED_VALUE"""),2733.0)</f>
        <v>2733</v>
      </c>
      <c r="E6931" s="115">
        <f>IFERROR(__xludf.DUMMYFUNCTION("""COMPUTED_VALUE"""),159.0)</f>
        <v>159</v>
      </c>
      <c r="F6931" s="115">
        <f>IFERROR(__xludf.DUMMYFUNCTION("""COMPUTED_VALUE"""),4.0)</f>
        <v>4</v>
      </c>
      <c r="G6931" s="115">
        <f>IFERROR(__xludf.DUMMYFUNCTION("""COMPUTED_VALUE"""),1.0)</f>
        <v>1</v>
      </c>
      <c r="H6931" s="116">
        <f>IFERROR(__xludf.DUMMYFUNCTION("""COMPUTED_VALUE"""),45913.0)</f>
        <v>45913</v>
      </c>
      <c r="I6931" s="115" t="str">
        <f>IFERROR(__xludf.DUMMYFUNCTION("""COMPUTED_VALUE"""),"08")</f>
        <v>08</v>
      </c>
      <c r="J6931" s="115"/>
      <c r="K6931" s="115"/>
    </row>
    <row r="6932">
      <c r="A6932" s="115" t="str">
        <f>IFERROR(__xludf.DUMMYFUNCTION("""COMPUTED_VALUE"""),"WEST")</f>
        <v>WEST</v>
      </c>
      <c r="B6932" s="115" t="str">
        <f>IFERROR(__xludf.DUMMYFUNCTION("""COMPUTED_VALUE"""),"Ashvani Bhatt")</f>
        <v>Ashvani Bhatt</v>
      </c>
      <c r="C6932" s="115" t="str">
        <f>IFERROR(__xludf.DUMMYFUNCTION("""COMPUTED_VALUE"""),"FLIPKART")</f>
        <v>FLIPKART</v>
      </c>
      <c r="D6932" s="115">
        <f>IFERROR(__xludf.DUMMYFUNCTION("""COMPUTED_VALUE"""),28656.0)</f>
        <v>28656</v>
      </c>
      <c r="E6932" s="115">
        <f>IFERROR(__xludf.DUMMYFUNCTION("""COMPUTED_VALUE"""),2349.0)</f>
        <v>2349</v>
      </c>
      <c r="F6932" s="115">
        <f>IFERROR(__xludf.DUMMYFUNCTION("""COMPUTED_VALUE"""),312.0)</f>
        <v>312</v>
      </c>
      <c r="G6932" s="115">
        <f>IFERROR(__xludf.DUMMYFUNCTION("""COMPUTED_VALUE"""),2.0)</f>
        <v>2</v>
      </c>
      <c r="H6932" s="116">
        <f>IFERROR(__xludf.DUMMYFUNCTION("""COMPUTED_VALUE"""),45913.0)</f>
        <v>45913</v>
      </c>
      <c r="I6932" s="115" t="str">
        <f>IFERROR(__xludf.DUMMYFUNCTION("""COMPUTED_VALUE"""),"08")</f>
        <v>08</v>
      </c>
      <c r="J6932" s="115"/>
      <c r="K6932" s="115"/>
    </row>
    <row r="6933">
      <c r="A6933" s="115" t="str">
        <f>IFERROR(__xludf.DUMMYFUNCTION("""COMPUTED_VALUE"""),"WEST")</f>
        <v>WEST</v>
      </c>
      <c r="B6933" s="115" t="str">
        <f>IFERROR(__xludf.DUMMYFUNCTION("""COMPUTED_VALUE"""),"Ashvani Bhatt")</f>
        <v>Ashvani Bhatt</v>
      </c>
      <c r="C6933" s="115" t="str">
        <f>IFERROR(__xludf.DUMMYFUNCTION("""COMPUTED_VALUE"""),"MYNTRA")</f>
        <v>MYNTRA</v>
      </c>
      <c r="D6933" s="115">
        <f>IFERROR(__xludf.DUMMYFUNCTION("""COMPUTED_VALUE"""),4237.0)</f>
        <v>4237</v>
      </c>
      <c r="E6933" s="115">
        <f>IFERROR(__xludf.DUMMYFUNCTION("""COMPUTED_VALUE"""),803.0)</f>
        <v>803</v>
      </c>
      <c r="F6933" s="115">
        <f>IFERROR(__xludf.DUMMYFUNCTION("""COMPUTED_VALUE"""),47.0)</f>
        <v>47</v>
      </c>
      <c r="G6933" s="115">
        <f>IFERROR(__xludf.DUMMYFUNCTION("""COMPUTED_VALUE"""),1.0)</f>
        <v>1</v>
      </c>
      <c r="H6933" s="116">
        <f>IFERROR(__xludf.DUMMYFUNCTION("""COMPUTED_VALUE"""),45913.0)</f>
        <v>45913</v>
      </c>
      <c r="I6933" s="115" t="str">
        <f>IFERROR(__xludf.DUMMYFUNCTION("""COMPUTED_VALUE"""),"08")</f>
        <v>08</v>
      </c>
      <c r="J6933" s="115"/>
      <c r="K6933" s="115"/>
    </row>
    <row r="6934">
      <c r="A6934" s="115"/>
      <c r="B6934" s="115"/>
      <c r="C6934" s="115" t="str">
        <f>IFERROR(__xludf.DUMMYFUNCTION("""COMPUTED_VALUE"""),"EXTERNAL")</f>
        <v>EXTERNAL</v>
      </c>
      <c r="D6934" s="115">
        <f>IFERROR(__xludf.DUMMYFUNCTION("""COMPUTED_VALUE"""),64.0)</f>
        <v>64</v>
      </c>
      <c r="E6934" s="115">
        <f>IFERROR(__xludf.DUMMYFUNCTION("""COMPUTED_VALUE"""),21.0)</f>
        <v>21</v>
      </c>
      <c r="F6934" s="115">
        <f>IFERROR(__xludf.DUMMYFUNCTION("""COMPUTED_VALUE"""),0.0)</f>
        <v>0</v>
      </c>
      <c r="G6934" s="115">
        <f>IFERROR(__xludf.DUMMYFUNCTION("""COMPUTED_VALUE"""),0.0)</f>
        <v>0</v>
      </c>
      <c r="H6934" s="116">
        <f>IFERROR(__xludf.DUMMYFUNCTION("""COMPUTED_VALUE"""),45913.0)</f>
        <v>45913</v>
      </c>
      <c r="I6934" s="115" t="str">
        <f>IFERROR(__xludf.DUMMYFUNCTION("""COMPUTED_VALUE"""),"08")</f>
        <v>08</v>
      </c>
      <c r="J6934" s="115"/>
      <c r="K6934" s="115"/>
    </row>
    <row r="6935">
      <c r="A6935" s="115"/>
      <c r="B6935" s="115"/>
      <c r="C6935" s="115" t="str">
        <f>IFERROR(__xludf.DUMMYFUNCTION("""COMPUTED_VALUE"""),"FLIPKART")</f>
        <v>FLIPKART</v>
      </c>
      <c r="D6935" s="115">
        <f>IFERROR(__xludf.DUMMYFUNCTION("""COMPUTED_VALUE"""),774.0)</f>
        <v>774</v>
      </c>
      <c r="E6935" s="115">
        <f>IFERROR(__xludf.DUMMYFUNCTION("""COMPUTED_VALUE"""),232.0)</f>
        <v>232</v>
      </c>
      <c r="F6935" s="115">
        <f>IFERROR(__xludf.DUMMYFUNCTION("""COMPUTED_VALUE"""),2.0)</f>
        <v>2</v>
      </c>
      <c r="G6935" s="115">
        <f>IFERROR(__xludf.DUMMYFUNCTION("""COMPUTED_VALUE"""),3.0)</f>
        <v>3</v>
      </c>
      <c r="H6935" s="116">
        <f>IFERROR(__xludf.DUMMYFUNCTION("""COMPUTED_VALUE"""),45913.0)</f>
        <v>45913</v>
      </c>
      <c r="I6935" s="115" t="str">
        <f>IFERROR(__xludf.DUMMYFUNCTION("""COMPUTED_VALUE"""),"08")</f>
        <v>08</v>
      </c>
      <c r="J6935" s="115"/>
      <c r="K6935" s="115"/>
    </row>
    <row r="6936">
      <c r="A6936" s="115"/>
      <c r="B6936" s="115"/>
      <c r="C6936" s="115" t="str">
        <f>IFERROR(__xludf.DUMMYFUNCTION("""COMPUTED_VALUE"""),"MYNTRA")</f>
        <v>MYNTRA</v>
      </c>
      <c r="D6936" s="115">
        <f>IFERROR(__xludf.DUMMYFUNCTION("""COMPUTED_VALUE"""),98.0)</f>
        <v>98</v>
      </c>
      <c r="E6936" s="115">
        <f>IFERROR(__xludf.DUMMYFUNCTION("""COMPUTED_VALUE"""),40.0)</f>
        <v>40</v>
      </c>
      <c r="F6936" s="115">
        <f>IFERROR(__xludf.DUMMYFUNCTION("""COMPUTED_VALUE"""),2.0)</f>
        <v>2</v>
      </c>
      <c r="G6936" s="115">
        <f>IFERROR(__xludf.DUMMYFUNCTION("""COMPUTED_VALUE"""),0.0)</f>
        <v>0</v>
      </c>
      <c r="H6936" s="116">
        <f>IFERROR(__xludf.DUMMYFUNCTION("""COMPUTED_VALUE"""),45913.0)</f>
        <v>45913</v>
      </c>
      <c r="I6936" s="115" t="str">
        <f>IFERROR(__xludf.DUMMYFUNCTION("""COMPUTED_VALUE"""),"08")</f>
        <v>08</v>
      </c>
      <c r="J6936" s="115"/>
      <c r="K6936" s="115"/>
    </row>
    <row r="6937">
      <c r="A6937" s="115" t="str">
        <f>IFERROR(__xludf.DUMMYFUNCTION("""COMPUTED_VALUE"""),"EAST")</f>
        <v>EAST</v>
      </c>
      <c r="B6937" s="115" t="str">
        <f>IFERROR(__xludf.DUMMYFUNCTION("""COMPUTED_VALUE"""),"Ashish Ranjan")</f>
        <v>Ashish Ranjan</v>
      </c>
      <c r="C6937" s="115" t="str">
        <f>IFERROR(__xludf.DUMMYFUNCTION("""COMPUTED_VALUE"""),"EXTERNAL")</f>
        <v>EXTERNAL</v>
      </c>
      <c r="D6937" s="115">
        <f>IFERROR(__xludf.DUMMYFUNCTION("""COMPUTED_VALUE"""),12002.0)</f>
        <v>12002</v>
      </c>
      <c r="E6937" s="115">
        <f>IFERROR(__xludf.DUMMYFUNCTION("""COMPUTED_VALUE"""),576.0)</f>
        <v>576</v>
      </c>
      <c r="F6937" s="115">
        <f>IFERROR(__xludf.DUMMYFUNCTION("""COMPUTED_VALUE"""),208.0)</f>
        <v>208</v>
      </c>
      <c r="G6937" s="115">
        <f>IFERROR(__xludf.DUMMYFUNCTION("""COMPUTED_VALUE"""),2.0)</f>
        <v>2</v>
      </c>
      <c r="H6937" s="116">
        <f>IFERROR(__xludf.DUMMYFUNCTION("""COMPUTED_VALUE"""),45913.0)</f>
        <v>45913</v>
      </c>
      <c r="I6937" s="115" t="str">
        <f>IFERROR(__xludf.DUMMYFUNCTION("""COMPUTED_VALUE"""),"09")</f>
        <v>09</v>
      </c>
      <c r="J6937" s="115"/>
      <c r="K6937" s="115"/>
    </row>
    <row r="6938">
      <c r="A6938" s="115" t="str">
        <f>IFERROR(__xludf.DUMMYFUNCTION("""COMPUTED_VALUE"""),"EAST")</f>
        <v>EAST</v>
      </c>
      <c r="B6938" s="115" t="str">
        <f>IFERROR(__xludf.DUMMYFUNCTION("""COMPUTED_VALUE"""),"Ashish Ranjan")</f>
        <v>Ashish Ranjan</v>
      </c>
      <c r="C6938" s="115" t="str">
        <f>IFERROR(__xludf.DUMMYFUNCTION("""COMPUTED_VALUE"""),"FLIPKART")</f>
        <v>FLIPKART</v>
      </c>
      <c r="D6938" s="115">
        <f>IFERROR(__xludf.DUMMYFUNCTION("""COMPUTED_VALUE"""),264605.0)</f>
        <v>264605</v>
      </c>
      <c r="E6938" s="115">
        <f>IFERROR(__xludf.DUMMYFUNCTION("""COMPUTED_VALUE"""),17296.0)</f>
        <v>17296</v>
      </c>
      <c r="F6938" s="115">
        <f>IFERROR(__xludf.DUMMYFUNCTION("""COMPUTED_VALUE"""),7145.0)</f>
        <v>7145</v>
      </c>
      <c r="G6938" s="115">
        <f>IFERROR(__xludf.DUMMYFUNCTION("""COMPUTED_VALUE"""),353.0)</f>
        <v>353</v>
      </c>
      <c r="H6938" s="116">
        <f>IFERROR(__xludf.DUMMYFUNCTION("""COMPUTED_VALUE"""),45913.0)</f>
        <v>45913</v>
      </c>
      <c r="I6938" s="115" t="str">
        <f>IFERROR(__xludf.DUMMYFUNCTION("""COMPUTED_VALUE"""),"09")</f>
        <v>09</v>
      </c>
      <c r="J6938" s="115"/>
      <c r="K6938" s="115"/>
    </row>
    <row r="6939">
      <c r="A6939" s="115" t="str">
        <f>IFERROR(__xludf.DUMMYFUNCTION("""COMPUTED_VALUE"""),"EAST")</f>
        <v>EAST</v>
      </c>
      <c r="B6939" s="115" t="str">
        <f>IFERROR(__xludf.DUMMYFUNCTION("""COMPUTED_VALUE"""),"Ashish Ranjan")</f>
        <v>Ashish Ranjan</v>
      </c>
      <c r="C6939" s="115" t="str">
        <f>IFERROR(__xludf.DUMMYFUNCTION("""COMPUTED_VALUE"""),"MYNTRA")</f>
        <v>MYNTRA</v>
      </c>
      <c r="D6939" s="115">
        <f>IFERROR(__xludf.DUMMYFUNCTION("""COMPUTED_VALUE"""),22667.0)</f>
        <v>22667</v>
      </c>
      <c r="E6939" s="115">
        <f>IFERROR(__xludf.DUMMYFUNCTION("""COMPUTED_VALUE"""),4033.0)</f>
        <v>4033</v>
      </c>
      <c r="F6939" s="115">
        <f>IFERROR(__xludf.DUMMYFUNCTION("""COMPUTED_VALUE"""),592.0)</f>
        <v>592</v>
      </c>
      <c r="G6939" s="115">
        <f>IFERROR(__xludf.DUMMYFUNCTION("""COMPUTED_VALUE"""),37.0)</f>
        <v>37</v>
      </c>
      <c r="H6939" s="116">
        <f>IFERROR(__xludf.DUMMYFUNCTION("""COMPUTED_VALUE"""),45913.0)</f>
        <v>45913</v>
      </c>
      <c r="I6939" s="115" t="str">
        <f>IFERROR(__xludf.DUMMYFUNCTION("""COMPUTED_VALUE"""),"09")</f>
        <v>09</v>
      </c>
      <c r="J6939" s="115"/>
      <c r="K6939" s="115"/>
    </row>
    <row r="6940">
      <c r="A6940" s="115" t="str">
        <f>IFERROR(__xludf.DUMMYFUNCTION("""COMPUTED_VALUE"""),"EAST")</f>
        <v>EAST</v>
      </c>
      <c r="B6940" s="115" t="str">
        <f>IFERROR(__xludf.DUMMYFUNCTION("""COMPUTED_VALUE"""),"Girish Chand")</f>
        <v>Girish Chand</v>
      </c>
      <c r="C6940" s="115" t="str">
        <f>IFERROR(__xludf.DUMMYFUNCTION("""COMPUTED_VALUE"""),"EXTERNAL")</f>
        <v>EXTERNAL</v>
      </c>
      <c r="D6940" s="115">
        <f>IFERROR(__xludf.DUMMYFUNCTION("""COMPUTED_VALUE"""),6251.0)</f>
        <v>6251</v>
      </c>
      <c r="E6940" s="115">
        <f>IFERROR(__xludf.DUMMYFUNCTION("""COMPUTED_VALUE"""),274.0)</f>
        <v>274</v>
      </c>
      <c r="F6940" s="115">
        <f>IFERROR(__xludf.DUMMYFUNCTION("""COMPUTED_VALUE"""),40.0)</f>
        <v>40</v>
      </c>
      <c r="G6940" s="115">
        <f>IFERROR(__xludf.DUMMYFUNCTION("""COMPUTED_VALUE"""),5.0)</f>
        <v>5</v>
      </c>
      <c r="H6940" s="116">
        <f>IFERROR(__xludf.DUMMYFUNCTION("""COMPUTED_VALUE"""),45913.0)</f>
        <v>45913</v>
      </c>
      <c r="I6940" s="115" t="str">
        <f>IFERROR(__xludf.DUMMYFUNCTION("""COMPUTED_VALUE"""),"09")</f>
        <v>09</v>
      </c>
      <c r="J6940" s="115"/>
      <c r="K6940" s="115"/>
    </row>
    <row r="6941">
      <c r="A6941" s="115" t="str">
        <f>IFERROR(__xludf.DUMMYFUNCTION("""COMPUTED_VALUE"""),"EAST")</f>
        <v>EAST</v>
      </c>
      <c r="B6941" s="115" t="str">
        <f>IFERROR(__xludf.DUMMYFUNCTION("""COMPUTED_VALUE"""),"Girish Chand")</f>
        <v>Girish Chand</v>
      </c>
      <c r="C6941" s="115" t="str">
        <f>IFERROR(__xludf.DUMMYFUNCTION("""COMPUTED_VALUE"""),"FLIPKART")</f>
        <v>FLIPKART</v>
      </c>
      <c r="D6941" s="115">
        <f>IFERROR(__xludf.DUMMYFUNCTION("""COMPUTED_VALUE"""),143689.0)</f>
        <v>143689</v>
      </c>
      <c r="E6941" s="115">
        <f>IFERROR(__xludf.DUMMYFUNCTION("""COMPUTED_VALUE"""),8486.0)</f>
        <v>8486</v>
      </c>
      <c r="F6941" s="115">
        <f>IFERROR(__xludf.DUMMYFUNCTION("""COMPUTED_VALUE"""),2424.0)</f>
        <v>2424</v>
      </c>
      <c r="G6941" s="115">
        <f>IFERROR(__xludf.DUMMYFUNCTION("""COMPUTED_VALUE"""),176.0)</f>
        <v>176</v>
      </c>
      <c r="H6941" s="116">
        <f>IFERROR(__xludf.DUMMYFUNCTION("""COMPUTED_VALUE"""),45913.0)</f>
        <v>45913</v>
      </c>
      <c r="I6941" s="115" t="str">
        <f>IFERROR(__xludf.DUMMYFUNCTION("""COMPUTED_VALUE"""),"09")</f>
        <v>09</v>
      </c>
      <c r="J6941" s="115"/>
      <c r="K6941" s="115"/>
    </row>
    <row r="6942">
      <c r="A6942" s="115" t="str">
        <f>IFERROR(__xludf.DUMMYFUNCTION("""COMPUTED_VALUE"""),"EAST")</f>
        <v>EAST</v>
      </c>
      <c r="B6942" s="115" t="str">
        <f>IFERROR(__xludf.DUMMYFUNCTION("""COMPUTED_VALUE"""),"Girish Chand")</f>
        <v>Girish Chand</v>
      </c>
      <c r="C6942" s="115" t="str">
        <f>IFERROR(__xludf.DUMMYFUNCTION("""COMPUTED_VALUE"""),"MYNTRA")</f>
        <v>MYNTRA</v>
      </c>
      <c r="D6942" s="115">
        <f>IFERROR(__xludf.DUMMYFUNCTION("""COMPUTED_VALUE"""),11280.0)</f>
        <v>11280</v>
      </c>
      <c r="E6942" s="115">
        <f>IFERROR(__xludf.DUMMYFUNCTION("""COMPUTED_VALUE"""),1590.0)</f>
        <v>1590</v>
      </c>
      <c r="F6942" s="115">
        <f>IFERROR(__xludf.DUMMYFUNCTION("""COMPUTED_VALUE"""),392.0)</f>
        <v>392</v>
      </c>
      <c r="G6942" s="115">
        <f>IFERROR(__xludf.DUMMYFUNCTION("""COMPUTED_VALUE"""),18.0)</f>
        <v>18</v>
      </c>
      <c r="H6942" s="116">
        <f>IFERROR(__xludf.DUMMYFUNCTION("""COMPUTED_VALUE"""),45913.0)</f>
        <v>45913</v>
      </c>
      <c r="I6942" s="115" t="str">
        <f>IFERROR(__xludf.DUMMYFUNCTION("""COMPUTED_VALUE"""),"09")</f>
        <v>09</v>
      </c>
      <c r="J6942" s="115"/>
      <c r="K6942" s="115"/>
    </row>
    <row r="6943">
      <c r="A6943" s="115" t="str">
        <f>IFERROR(__xludf.DUMMYFUNCTION("""COMPUTED_VALUE"""),"EAST")</f>
        <v>EAST</v>
      </c>
      <c r="B6943" s="115" t="str">
        <f>IFERROR(__xludf.DUMMYFUNCTION("""COMPUTED_VALUE"""),"Parag Kashyap")</f>
        <v>Parag Kashyap</v>
      </c>
      <c r="C6943" s="115" t="str">
        <f>IFERROR(__xludf.DUMMYFUNCTION("""COMPUTED_VALUE"""),"EXTERNAL")</f>
        <v>EXTERNAL</v>
      </c>
      <c r="D6943" s="115">
        <f>IFERROR(__xludf.DUMMYFUNCTION("""COMPUTED_VALUE"""),4282.0)</f>
        <v>4282</v>
      </c>
      <c r="E6943" s="115">
        <f>IFERROR(__xludf.DUMMYFUNCTION("""COMPUTED_VALUE"""),141.0)</f>
        <v>141</v>
      </c>
      <c r="F6943" s="115">
        <f>IFERROR(__xludf.DUMMYFUNCTION("""COMPUTED_VALUE"""),38.0)</f>
        <v>38</v>
      </c>
      <c r="G6943" s="115">
        <f>IFERROR(__xludf.DUMMYFUNCTION("""COMPUTED_VALUE"""),2.0)</f>
        <v>2</v>
      </c>
      <c r="H6943" s="116">
        <f>IFERROR(__xludf.DUMMYFUNCTION("""COMPUTED_VALUE"""),45913.0)</f>
        <v>45913</v>
      </c>
      <c r="I6943" s="115" t="str">
        <f>IFERROR(__xludf.DUMMYFUNCTION("""COMPUTED_VALUE"""),"09")</f>
        <v>09</v>
      </c>
      <c r="J6943" s="115"/>
      <c r="K6943" s="115"/>
    </row>
    <row r="6944">
      <c r="A6944" s="115" t="str">
        <f>IFERROR(__xludf.DUMMYFUNCTION("""COMPUTED_VALUE"""),"EAST")</f>
        <v>EAST</v>
      </c>
      <c r="B6944" s="115" t="str">
        <f>IFERROR(__xludf.DUMMYFUNCTION("""COMPUTED_VALUE"""),"Parag Kashyap")</f>
        <v>Parag Kashyap</v>
      </c>
      <c r="C6944" s="115" t="str">
        <f>IFERROR(__xludf.DUMMYFUNCTION("""COMPUTED_VALUE"""),"FLIPKART")</f>
        <v>FLIPKART</v>
      </c>
      <c r="D6944" s="115">
        <f>IFERROR(__xludf.DUMMYFUNCTION("""COMPUTED_VALUE"""),93570.0)</f>
        <v>93570</v>
      </c>
      <c r="E6944" s="115">
        <f>IFERROR(__xludf.DUMMYFUNCTION("""COMPUTED_VALUE"""),4006.0)</f>
        <v>4006</v>
      </c>
      <c r="F6944" s="115">
        <f>IFERROR(__xludf.DUMMYFUNCTION("""COMPUTED_VALUE"""),1309.0)</f>
        <v>1309</v>
      </c>
      <c r="G6944" s="115">
        <f>IFERROR(__xludf.DUMMYFUNCTION("""COMPUTED_VALUE"""),42.0)</f>
        <v>42</v>
      </c>
      <c r="H6944" s="116">
        <f>IFERROR(__xludf.DUMMYFUNCTION("""COMPUTED_VALUE"""),45913.0)</f>
        <v>45913</v>
      </c>
      <c r="I6944" s="115" t="str">
        <f>IFERROR(__xludf.DUMMYFUNCTION("""COMPUTED_VALUE"""),"09")</f>
        <v>09</v>
      </c>
      <c r="J6944" s="115"/>
      <c r="K6944" s="115"/>
    </row>
    <row r="6945">
      <c r="A6945" s="115" t="str">
        <f>IFERROR(__xludf.DUMMYFUNCTION("""COMPUTED_VALUE"""),"EAST")</f>
        <v>EAST</v>
      </c>
      <c r="B6945" s="115" t="str">
        <f>IFERROR(__xludf.DUMMYFUNCTION("""COMPUTED_VALUE"""),"Parag Kashyap")</f>
        <v>Parag Kashyap</v>
      </c>
      <c r="C6945" s="115" t="str">
        <f>IFERROR(__xludf.DUMMYFUNCTION("""COMPUTED_VALUE"""),"MYNTRA")</f>
        <v>MYNTRA</v>
      </c>
      <c r="D6945" s="115">
        <f>IFERROR(__xludf.DUMMYFUNCTION("""COMPUTED_VALUE"""),11329.0)</f>
        <v>11329</v>
      </c>
      <c r="E6945" s="115">
        <f>IFERROR(__xludf.DUMMYFUNCTION("""COMPUTED_VALUE"""),1552.0)</f>
        <v>1552</v>
      </c>
      <c r="F6945" s="115">
        <f>IFERROR(__xludf.DUMMYFUNCTION("""COMPUTED_VALUE"""),167.0)</f>
        <v>167</v>
      </c>
      <c r="G6945" s="115">
        <f>IFERROR(__xludf.DUMMYFUNCTION("""COMPUTED_VALUE"""),4.0)</f>
        <v>4</v>
      </c>
      <c r="H6945" s="116">
        <f>IFERROR(__xludf.DUMMYFUNCTION("""COMPUTED_VALUE"""),45913.0)</f>
        <v>45913</v>
      </c>
      <c r="I6945" s="115" t="str">
        <f>IFERROR(__xludf.DUMMYFUNCTION("""COMPUTED_VALUE"""),"09")</f>
        <v>09</v>
      </c>
      <c r="J6945" s="115"/>
      <c r="K6945" s="115"/>
    </row>
    <row r="6946">
      <c r="A6946" s="115" t="str">
        <f>IFERROR(__xludf.DUMMYFUNCTION("""COMPUTED_VALUE"""),"NORTH")</f>
        <v>NORTH</v>
      </c>
      <c r="B6946" s="115" t="str">
        <f>IFERROR(__xludf.DUMMYFUNCTION("""COMPUTED_VALUE"""),"Amit Kumar Pathak")</f>
        <v>Amit Kumar Pathak</v>
      </c>
      <c r="C6946" s="115" t="str">
        <f>IFERROR(__xludf.DUMMYFUNCTION("""COMPUTED_VALUE"""),"EXTERNAL")</f>
        <v>EXTERNAL</v>
      </c>
      <c r="D6946" s="115">
        <f>IFERROR(__xludf.DUMMYFUNCTION("""COMPUTED_VALUE"""),12590.0)</f>
        <v>12590</v>
      </c>
      <c r="E6946" s="115">
        <f>IFERROR(__xludf.DUMMYFUNCTION("""COMPUTED_VALUE"""),832.0)</f>
        <v>832</v>
      </c>
      <c r="F6946" s="115">
        <f>IFERROR(__xludf.DUMMYFUNCTION("""COMPUTED_VALUE"""),163.0)</f>
        <v>163</v>
      </c>
      <c r="G6946" s="115">
        <f>IFERROR(__xludf.DUMMYFUNCTION("""COMPUTED_VALUE"""),13.0)</f>
        <v>13</v>
      </c>
      <c r="H6946" s="116">
        <f>IFERROR(__xludf.DUMMYFUNCTION("""COMPUTED_VALUE"""),45913.0)</f>
        <v>45913</v>
      </c>
      <c r="I6946" s="115" t="str">
        <f>IFERROR(__xludf.DUMMYFUNCTION("""COMPUTED_VALUE"""),"09")</f>
        <v>09</v>
      </c>
      <c r="J6946" s="115"/>
      <c r="K6946" s="115"/>
    </row>
    <row r="6947">
      <c r="A6947" s="115" t="str">
        <f>IFERROR(__xludf.DUMMYFUNCTION("""COMPUTED_VALUE"""),"NORTH")</f>
        <v>NORTH</v>
      </c>
      <c r="B6947" s="115" t="str">
        <f>IFERROR(__xludf.DUMMYFUNCTION("""COMPUTED_VALUE"""),"Amit Kumar Pathak")</f>
        <v>Amit Kumar Pathak</v>
      </c>
      <c r="C6947" s="115" t="str">
        <f>IFERROR(__xludf.DUMMYFUNCTION("""COMPUTED_VALUE"""),"FLIPKART")</f>
        <v>FLIPKART</v>
      </c>
      <c r="D6947" s="115">
        <f>IFERROR(__xludf.DUMMYFUNCTION("""COMPUTED_VALUE"""),88267.0)</f>
        <v>88267</v>
      </c>
      <c r="E6947" s="115">
        <f>IFERROR(__xludf.DUMMYFUNCTION("""COMPUTED_VALUE"""),8456.0)</f>
        <v>8456</v>
      </c>
      <c r="F6947" s="115">
        <f>IFERROR(__xludf.DUMMYFUNCTION("""COMPUTED_VALUE"""),2193.0)</f>
        <v>2193</v>
      </c>
      <c r="G6947" s="115">
        <f>IFERROR(__xludf.DUMMYFUNCTION("""COMPUTED_VALUE"""),80.0)</f>
        <v>80</v>
      </c>
      <c r="H6947" s="116">
        <f>IFERROR(__xludf.DUMMYFUNCTION("""COMPUTED_VALUE"""),45913.0)</f>
        <v>45913</v>
      </c>
      <c r="I6947" s="115" t="str">
        <f>IFERROR(__xludf.DUMMYFUNCTION("""COMPUTED_VALUE"""),"09")</f>
        <v>09</v>
      </c>
      <c r="J6947" s="115"/>
      <c r="K6947" s="115"/>
    </row>
    <row r="6948">
      <c r="A6948" s="115" t="str">
        <f>IFERROR(__xludf.DUMMYFUNCTION("""COMPUTED_VALUE"""),"NORTH")</f>
        <v>NORTH</v>
      </c>
      <c r="B6948" s="115" t="str">
        <f>IFERROR(__xludf.DUMMYFUNCTION("""COMPUTED_VALUE"""),"Amit Kumar Pathak")</f>
        <v>Amit Kumar Pathak</v>
      </c>
      <c r="C6948" s="115" t="str">
        <f>IFERROR(__xludf.DUMMYFUNCTION("""COMPUTED_VALUE"""),"MYNTRA")</f>
        <v>MYNTRA</v>
      </c>
      <c r="D6948" s="115">
        <f>IFERROR(__xludf.DUMMYFUNCTION("""COMPUTED_VALUE"""),7654.0)</f>
        <v>7654</v>
      </c>
      <c r="E6948" s="115">
        <f>IFERROR(__xludf.DUMMYFUNCTION("""COMPUTED_VALUE"""),2115.0)</f>
        <v>2115</v>
      </c>
      <c r="F6948" s="115">
        <f>IFERROR(__xludf.DUMMYFUNCTION("""COMPUTED_VALUE"""),248.0)</f>
        <v>248</v>
      </c>
      <c r="G6948" s="115">
        <f>IFERROR(__xludf.DUMMYFUNCTION("""COMPUTED_VALUE"""),25.0)</f>
        <v>25</v>
      </c>
      <c r="H6948" s="116">
        <f>IFERROR(__xludf.DUMMYFUNCTION("""COMPUTED_VALUE"""),45913.0)</f>
        <v>45913</v>
      </c>
      <c r="I6948" s="115" t="str">
        <f>IFERROR(__xludf.DUMMYFUNCTION("""COMPUTED_VALUE"""),"09")</f>
        <v>09</v>
      </c>
      <c r="J6948" s="115"/>
      <c r="K6948" s="115"/>
    </row>
    <row r="6949">
      <c r="A6949" s="115" t="str">
        <f>IFERROR(__xludf.DUMMYFUNCTION("""COMPUTED_VALUE"""),"NORTH")</f>
        <v>NORTH</v>
      </c>
      <c r="B6949" s="115" t="str">
        <f>IFERROR(__xludf.DUMMYFUNCTION("""COMPUTED_VALUE"""),"Ashvani Bhatt")</f>
        <v>Ashvani Bhatt</v>
      </c>
      <c r="C6949" s="115" t="str">
        <f>IFERROR(__xludf.DUMMYFUNCTION("""COMPUTED_VALUE"""),"EXTERNAL")</f>
        <v>EXTERNAL</v>
      </c>
      <c r="D6949" s="115">
        <f>IFERROR(__xludf.DUMMYFUNCTION("""COMPUTED_VALUE"""),0.0)</f>
        <v>0</v>
      </c>
      <c r="E6949" s="115">
        <f>IFERROR(__xludf.DUMMYFUNCTION("""COMPUTED_VALUE"""),1.0)</f>
        <v>1</v>
      </c>
      <c r="F6949" s="115">
        <f>IFERROR(__xludf.DUMMYFUNCTION("""COMPUTED_VALUE"""),0.0)</f>
        <v>0</v>
      </c>
      <c r="G6949" s="115">
        <f>IFERROR(__xludf.DUMMYFUNCTION("""COMPUTED_VALUE"""),0.0)</f>
        <v>0</v>
      </c>
      <c r="H6949" s="116">
        <f>IFERROR(__xludf.DUMMYFUNCTION("""COMPUTED_VALUE"""),45913.0)</f>
        <v>45913</v>
      </c>
      <c r="I6949" s="115" t="str">
        <f>IFERROR(__xludf.DUMMYFUNCTION("""COMPUTED_VALUE"""),"09")</f>
        <v>09</v>
      </c>
      <c r="J6949" s="115"/>
      <c r="K6949" s="115"/>
    </row>
    <row r="6950">
      <c r="A6950" s="115" t="str">
        <f>IFERROR(__xludf.DUMMYFUNCTION("""COMPUTED_VALUE"""),"NORTH")</f>
        <v>NORTH</v>
      </c>
      <c r="B6950" s="115" t="str">
        <f>IFERROR(__xludf.DUMMYFUNCTION("""COMPUTED_VALUE"""),"Ashvani Bhatt")</f>
        <v>Ashvani Bhatt</v>
      </c>
      <c r="C6950" s="115" t="str">
        <f>IFERROR(__xludf.DUMMYFUNCTION("""COMPUTED_VALUE"""),"FLIPKART")</f>
        <v>FLIPKART</v>
      </c>
      <c r="D6950" s="115">
        <f>IFERROR(__xludf.DUMMYFUNCTION("""COMPUTED_VALUE"""),0.0)</f>
        <v>0</v>
      </c>
      <c r="E6950" s="115">
        <f>IFERROR(__xludf.DUMMYFUNCTION("""COMPUTED_VALUE"""),38.0)</f>
        <v>38</v>
      </c>
      <c r="F6950" s="115">
        <f>IFERROR(__xludf.DUMMYFUNCTION("""COMPUTED_VALUE"""),0.0)</f>
        <v>0</v>
      </c>
      <c r="G6950" s="115">
        <f>IFERROR(__xludf.DUMMYFUNCTION("""COMPUTED_VALUE"""),0.0)</f>
        <v>0</v>
      </c>
      <c r="H6950" s="116">
        <f>IFERROR(__xludf.DUMMYFUNCTION("""COMPUTED_VALUE"""),45913.0)</f>
        <v>45913</v>
      </c>
      <c r="I6950" s="115" t="str">
        <f>IFERROR(__xludf.DUMMYFUNCTION("""COMPUTED_VALUE"""),"09")</f>
        <v>09</v>
      </c>
      <c r="J6950" s="115"/>
      <c r="K6950" s="115"/>
    </row>
    <row r="6951">
      <c r="A6951" s="115" t="str">
        <f>IFERROR(__xludf.DUMMYFUNCTION("""COMPUTED_VALUE"""),"NORTH")</f>
        <v>NORTH</v>
      </c>
      <c r="B6951" s="115" t="str">
        <f>IFERROR(__xludf.DUMMYFUNCTION("""COMPUTED_VALUE"""),"Ashvani Bhatt")</f>
        <v>Ashvani Bhatt</v>
      </c>
      <c r="C6951" s="115" t="str">
        <f>IFERROR(__xludf.DUMMYFUNCTION("""COMPUTED_VALUE"""),"MYNTRA")</f>
        <v>MYNTRA</v>
      </c>
      <c r="D6951" s="115">
        <f>IFERROR(__xludf.DUMMYFUNCTION("""COMPUTED_VALUE"""),0.0)</f>
        <v>0</v>
      </c>
      <c r="E6951" s="115">
        <f>IFERROR(__xludf.DUMMYFUNCTION("""COMPUTED_VALUE"""),1.0)</f>
        <v>1</v>
      </c>
      <c r="F6951" s="115">
        <f>IFERROR(__xludf.DUMMYFUNCTION("""COMPUTED_VALUE"""),0.0)</f>
        <v>0</v>
      </c>
      <c r="G6951" s="115">
        <f>IFERROR(__xludf.DUMMYFUNCTION("""COMPUTED_VALUE"""),0.0)</f>
        <v>0</v>
      </c>
      <c r="H6951" s="116">
        <f>IFERROR(__xludf.DUMMYFUNCTION("""COMPUTED_VALUE"""),45913.0)</f>
        <v>45913</v>
      </c>
      <c r="I6951" s="115" t="str">
        <f>IFERROR(__xludf.DUMMYFUNCTION("""COMPUTED_VALUE"""),"09")</f>
        <v>09</v>
      </c>
      <c r="J6951" s="115"/>
      <c r="K6951" s="115"/>
    </row>
    <row r="6952">
      <c r="A6952" s="115" t="str">
        <f>IFERROR(__xludf.DUMMYFUNCTION("""COMPUTED_VALUE"""),"NORTH")</f>
        <v>NORTH</v>
      </c>
      <c r="B6952" s="115" t="str">
        <f>IFERROR(__xludf.DUMMYFUNCTION("""COMPUTED_VALUE"""),"Loveleen Singh")</f>
        <v>Loveleen Singh</v>
      </c>
      <c r="C6952" s="115" t="str">
        <f>IFERROR(__xludf.DUMMYFUNCTION("""COMPUTED_VALUE"""),"EXTERNAL")</f>
        <v>EXTERNAL</v>
      </c>
      <c r="D6952" s="115">
        <f>IFERROR(__xludf.DUMMYFUNCTION("""COMPUTED_VALUE"""),6723.0)</f>
        <v>6723</v>
      </c>
      <c r="E6952" s="115">
        <f>IFERROR(__xludf.DUMMYFUNCTION("""COMPUTED_VALUE"""),297.0)</f>
        <v>297</v>
      </c>
      <c r="F6952" s="115">
        <f>IFERROR(__xludf.DUMMYFUNCTION("""COMPUTED_VALUE"""),96.0)</f>
        <v>96</v>
      </c>
      <c r="G6952" s="115">
        <f>IFERROR(__xludf.DUMMYFUNCTION("""COMPUTED_VALUE"""),3.0)</f>
        <v>3</v>
      </c>
      <c r="H6952" s="116">
        <f>IFERROR(__xludf.DUMMYFUNCTION("""COMPUTED_VALUE"""),45913.0)</f>
        <v>45913</v>
      </c>
      <c r="I6952" s="115" t="str">
        <f>IFERROR(__xludf.DUMMYFUNCTION("""COMPUTED_VALUE"""),"09")</f>
        <v>09</v>
      </c>
      <c r="J6952" s="115"/>
      <c r="K6952" s="115"/>
    </row>
    <row r="6953">
      <c r="A6953" s="115" t="str">
        <f>IFERROR(__xludf.DUMMYFUNCTION("""COMPUTED_VALUE"""),"NORTH")</f>
        <v>NORTH</v>
      </c>
      <c r="B6953" s="115" t="str">
        <f>IFERROR(__xludf.DUMMYFUNCTION("""COMPUTED_VALUE"""),"Loveleen Singh")</f>
        <v>Loveleen Singh</v>
      </c>
      <c r="C6953" s="115" t="str">
        <f>IFERROR(__xludf.DUMMYFUNCTION("""COMPUTED_VALUE"""),"FLIPKART")</f>
        <v>FLIPKART</v>
      </c>
      <c r="D6953" s="115">
        <f>IFERROR(__xludf.DUMMYFUNCTION("""COMPUTED_VALUE"""),48047.0)</f>
        <v>48047</v>
      </c>
      <c r="E6953" s="115">
        <f>IFERROR(__xludf.DUMMYFUNCTION("""COMPUTED_VALUE"""),2773.0)</f>
        <v>2773</v>
      </c>
      <c r="F6953" s="115">
        <f>IFERROR(__xludf.DUMMYFUNCTION("""COMPUTED_VALUE"""),1683.0)</f>
        <v>1683</v>
      </c>
      <c r="G6953" s="115">
        <f>IFERROR(__xludf.DUMMYFUNCTION("""COMPUTED_VALUE"""),43.0)</f>
        <v>43</v>
      </c>
      <c r="H6953" s="116">
        <f>IFERROR(__xludf.DUMMYFUNCTION("""COMPUTED_VALUE"""),45913.0)</f>
        <v>45913</v>
      </c>
      <c r="I6953" s="115" t="str">
        <f>IFERROR(__xludf.DUMMYFUNCTION("""COMPUTED_VALUE"""),"09")</f>
        <v>09</v>
      </c>
      <c r="J6953" s="115"/>
      <c r="K6953" s="115"/>
    </row>
    <row r="6954">
      <c r="A6954" s="115" t="str">
        <f>IFERROR(__xludf.DUMMYFUNCTION("""COMPUTED_VALUE"""),"NORTH")</f>
        <v>NORTH</v>
      </c>
      <c r="B6954" s="115" t="str">
        <f>IFERROR(__xludf.DUMMYFUNCTION("""COMPUTED_VALUE"""),"Loveleen Singh")</f>
        <v>Loveleen Singh</v>
      </c>
      <c r="C6954" s="115" t="str">
        <f>IFERROR(__xludf.DUMMYFUNCTION("""COMPUTED_VALUE"""),"MYNTRA")</f>
        <v>MYNTRA</v>
      </c>
      <c r="D6954" s="115">
        <f>IFERROR(__xludf.DUMMYFUNCTION("""COMPUTED_VALUE"""),8158.0)</f>
        <v>8158</v>
      </c>
      <c r="E6954" s="115">
        <f>IFERROR(__xludf.DUMMYFUNCTION("""COMPUTED_VALUE"""),1122.0)</f>
        <v>1122</v>
      </c>
      <c r="F6954" s="115">
        <f>IFERROR(__xludf.DUMMYFUNCTION("""COMPUTED_VALUE"""),402.0)</f>
        <v>402</v>
      </c>
      <c r="G6954" s="115">
        <f>IFERROR(__xludf.DUMMYFUNCTION("""COMPUTED_VALUE"""),27.0)</f>
        <v>27</v>
      </c>
      <c r="H6954" s="116">
        <f>IFERROR(__xludf.DUMMYFUNCTION("""COMPUTED_VALUE"""),45913.0)</f>
        <v>45913</v>
      </c>
      <c r="I6954" s="115" t="str">
        <f>IFERROR(__xludf.DUMMYFUNCTION("""COMPUTED_VALUE"""),"09")</f>
        <v>09</v>
      </c>
      <c r="J6954" s="115"/>
      <c r="K6954" s="115"/>
    </row>
    <row r="6955">
      <c r="A6955" s="115" t="str">
        <f>IFERROR(__xludf.DUMMYFUNCTION("""COMPUTED_VALUE"""),"NORTH")</f>
        <v>NORTH</v>
      </c>
      <c r="B6955" s="115" t="str">
        <f>IFERROR(__xludf.DUMMYFUNCTION("""COMPUTED_VALUE"""),"Manoj Harsh")</f>
        <v>Manoj Harsh</v>
      </c>
      <c r="C6955" s="115" t="str">
        <f>IFERROR(__xludf.DUMMYFUNCTION("""COMPUTED_VALUE"""),"EXTERNAL")</f>
        <v>EXTERNAL</v>
      </c>
      <c r="D6955" s="115">
        <f>IFERROR(__xludf.DUMMYFUNCTION("""COMPUTED_VALUE"""),9013.0)</f>
        <v>9013</v>
      </c>
      <c r="E6955" s="115">
        <f>IFERROR(__xludf.DUMMYFUNCTION("""COMPUTED_VALUE"""),371.0)</f>
        <v>371</v>
      </c>
      <c r="F6955" s="115">
        <f>IFERROR(__xludf.DUMMYFUNCTION("""COMPUTED_VALUE"""),89.0)</f>
        <v>89</v>
      </c>
      <c r="G6955" s="115">
        <f>IFERROR(__xludf.DUMMYFUNCTION("""COMPUTED_VALUE"""),4.0)</f>
        <v>4</v>
      </c>
      <c r="H6955" s="116">
        <f>IFERROR(__xludf.DUMMYFUNCTION("""COMPUTED_VALUE"""),45913.0)</f>
        <v>45913</v>
      </c>
      <c r="I6955" s="115" t="str">
        <f>IFERROR(__xludf.DUMMYFUNCTION("""COMPUTED_VALUE"""),"09")</f>
        <v>09</v>
      </c>
      <c r="J6955" s="115"/>
      <c r="K6955" s="115"/>
    </row>
    <row r="6956">
      <c r="A6956" s="115" t="str">
        <f>IFERROR(__xludf.DUMMYFUNCTION("""COMPUTED_VALUE"""),"NORTH")</f>
        <v>NORTH</v>
      </c>
      <c r="B6956" s="115" t="str">
        <f>IFERROR(__xludf.DUMMYFUNCTION("""COMPUTED_VALUE"""),"Manoj Harsh")</f>
        <v>Manoj Harsh</v>
      </c>
      <c r="C6956" s="115" t="str">
        <f>IFERROR(__xludf.DUMMYFUNCTION("""COMPUTED_VALUE"""),"FLIPKART")</f>
        <v>FLIPKART</v>
      </c>
      <c r="D6956" s="115">
        <f>IFERROR(__xludf.DUMMYFUNCTION("""COMPUTED_VALUE"""),128362.0)</f>
        <v>128362</v>
      </c>
      <c r="E6956" s="115">
        <f>IFERROR(__xludf.DUMMYFUNCTION("""COMPUTED_VALUE"""),9731.0)</f>
        <v>9731</v>
      </c>
      <c r="F6956" s="115">
        <f>IFERROR(__xludf.DUMMYFUNCTION("""COMPUTED_VALUE"""),2512.0)</f>
        <v>2512</v>
      </c>
      <c r="G6956" s="115">
        <f>IFERROR(__xludf.DUMMYFUNCTION("""COMPUTED_VALUE"""),126.0)</f>
        <v>126</v>
      </c>
      <c r="H6956" s="116">
        <f>IFERROR(__xludf.DUMMYFUNCTION("""COMPUTED_VALUE"""),45913.0)</f>
        <v>45913</v>
      </c>
      <c r="I6956" s="115" t="str">
        <f>IFERROR(__xludf.DUMMYFUNCTION("""COMPUTED_VALUE"""),"09")</f>
        <v>09</v>
      </c>
      <c r="J6956" s="115"/>
      <c r="K6956" s="115"/>
    </row>
    <row r="6957">
      <c r="A6957" s="115" t="str">
        <f>IFERROR(__xludf.DUMMYFUNCTION("""COMPUTED_VALUE"""),"NORTH")</f>
        <v>NORTH</v>
      </c>
      <c r="B6957" s="115" t="str">
        <f>IFERROR(__xludf.DUMMYFUNCTION("""COMPUTED_VALUE"""),"Manoj Harsh")</f>
        <v>Manoj Harsh</v>
      </c>
      <c r="C6957" s="115" t="str">
        <f>IFERROR(__xludf.DUMMYFUNCTION("""COMPUTED_VALUE"""),"MYNTRA")</f>
        <v>MYNTRA</v>
      </c>
      <c r="D6957" s="115">
        <f>IFERROR(__xludf.DUMMYFUNCTION("""COMPUTED_VALUE"""),10779.0)</f>
        <v>10779</v>
      </c>
      <c r="E6957" s="115">
        <f>IFERROR(__xludf.DUMMYFUNCTION("""COMPUTED_VALUE"""),1920.0)</f>
        <v>1920</v>
      </c>
      <c r="F6957" s="115">
        <f>IFERROR(__xludf.DUMMYFUNCTION("""COMPUTED_VALUE"""),266.0)</f>
        <v>266</v>
      </c>
      <c r="G6957" s="115">
        <f>IFERROR(__xludf.DUMMYFUNCTION("""COMPUTED_VALUE"""),35.0)</f>
        <v>35</v>
      </c>
      <c r="H6957" s="116">
        <f>IFERROR(__xludf.DUMMYFUNCTION("""COMPUTED_VALUE"""),45913.0)</f>
        <v>45913</v>
      </c>
      <c r="I6957" s="115" t="str">
        <f>IFERROR(__xludf.DUMMYFUNCTION("""COMPUTED_VALUE"""),"09")</f>
        <v>09</v>
      </c>
      <c r="J6957" s="115"/>
      <c r="K6957" s="115"/>
    </row>
    <row r="6958">
      <c r="A6958" s="115" t="str">
        <f>IFERROR(__xludf.DUMMYFUNCTION("""COMPUTED_VALUE"""),"NORTH")</f>
        <v>NORTH</v>
      </c>
      <c r="B6958" s="115" t="str">
        <f>IFERROR(__xludf.DUMMYFUNCTION("""COMPUTED_VALUE"""),"Pradeep Kothari")</f>
        <v>Pradeep Kothari</v>
      </c>
      <c r="C6958" s="115" t="str">
        <f>IFERROR(__xludf.DUMMYFUNCTION("""COMPUTED_VALUE"""),"EXTERNAL")</f>
        <v>EXTERNAL</v>
      </c>
      <c r="D6958" s="115">
        <f>IFERROR(__xludf.DUMMYFUNCTION("""COMPUTED_VALUE"""),5270.0)</f>
        <v>5270</v>
      </c>
      <c r="E6958" s="115">
        <f>IFERROR(__xludf.DUMMYFUNCTION("""COMPUTED_VALUE"""),313.0)</f>
        <v>313</v>
      </c>
      <c r="F6958" s="115">
        <f>IFERROR(__xludf.DUMMYFUNCTION("""COMPUTED_VALUE"""),67.0)</f>
        <v>67</v>
      </c>
      <c r="G6958" s="115">
        <f>IFERROR(__xludf.DUMMYFUNCTION("""COMPUTED_VALUE"""),3.0)</f>
        <v>3</v>
      </c>
      <c r="H6958" s="116">
        <f>IFERROR(__xludf.DUMMYFUNCTION("""COMPUTED_VALUE"""),45913.0)</f>
        <v>45913</v>
      </c>
      <c r="I6958" s="115" t="str">
        <f>IFERROR(__xludf.DUMMYFUNCTION("""COMPUTED_VALUE"""),"09")</f>
        <v>09</v>
      </c>
      <c r="J6958" s="115"/>
      <c r="K6958" s="115"/>
    </row>
    <row r="6959">
      <c r="A6959" s="115" t="str">
        <f>IFERROR(__xludf.DUMMYFUNCTION("""COMPUTED_VALUE"""),"NORTH")</f>
        <v>NORTH</v>
      </c>
      <c r="B6959" s="115" t="str">
        <f>IFERROR(__xludf.DUMMYFUNCTION("""COMPUTED_VALUE"""),"Pradeep Kothari")</f>
        <v>Pradeep Kothari</v>
      </c>
      <c r="C6959" s="115" t="str">
        <f>IFERROR(__xludf.DUMMYFUNCTION("""COMPUTED_VALUE"""),"FLIPKART")</f>
        <v>FLIPKART</v>
      </c>
      <c r="D6959" s="115">
        <f>IFERROR(__xludf.DUMMYFUNCTION("""COMPUTED_VALUE"""),52405.0)</f>
        <v>52405</v>
      </c>
      <c r="E6959" s="115">
        <f>IFERROR(__xludf.DUMMYFUNCTION("""COMPUTED_VALUE"""),4882.0)</f>
        <v>4882</v>
      </c>
      <c r="F6959" s="115">
        <f>IFERROR(__xludf.DUMMYFUNCTION("""COMPUTED_VALUE"""),1720.0)</f>
        <v>1720</v>
      </c>
      <c r="G6959" s="115">
        <f>IFERROR(__xludf.DUMMYFUNCTION("""COMPUTED_VALUE"""),159.0)</f>
        <v>159</v>
      </c>
      <c r="H6959" s="116">
        <f>IFERROR(__xludf.DUMMYFUNCTION("""COMPUTED_VALUE"""),45913.0)</f>
        <v>45913</v>
      </c>
      <c r="I6959" s="115" t="str">
        <f>IFERROR(__xludf.DUMMYFUNCTION("""COMPUTED_VALUE"""),"09")</f>
        <v>09</v>
      </c>
      <c r="J6959" s="115"/>
      <c r="K6959" s="115"/>
    </row>
    <row r="6960">
      <c r="A6960" s="115" t="str">
        <f>IFERROR(__xludf.DUMMYFUNCTION("""COMPUTED_VALUE"""),"NORTH")</f>
        <v>NORTH</v>
      </c>
      <c r="B6960" s="115" t="str">
        <f>IFERROR(__xludf.DUMMYFUNCTION("""COMPUTED_VALUE"""),"Pradeep Kothari")</f>
        <v>Pradeep Kothari</v>
      </c>
      <c r="C6960" s="115" t="str">
        <f>IFERROR(__xludf.DUMMYFUNCTION("""COMPUTED_VALUE"""),"MYNTRA")</f>
        <v>MYNTRA</v>
      </c>
      <c r="D6960" s="115">
        <f>IFERROR(__xludf.DUMMYFUNCTION("""COMPUTED_VALUE"""),8282.0)</f>
        <v>8282</v>
      </c>
      <c r="E6960" s="115">
        <f>IFERROR(__xludf.DUMMYFUNCTION("""COMPUTED_VALUE"""),1536.0)</f>
        <v>1536</v>
      </c>
      <c r="F6960" s="115">
        <f>IFERROR(__xludf.DUMMYFUNCTION("""COMPUTED_VALUE"""),406.0)</f>
        <v>406</v>
      </c>
      <c r="G6960" s="115">
        <f>IFERROR(__xludf.DUMMYFUNCTION("""COMPUTED_VALUE"""),33.0)</f>
        <v>33</v>
      </c>
      <c r="H6960" s="116">
        <f>IFERROR(__xludf.DUMMYFUNCTION("""COMPUTED_VALUE"""),45913.0)</f>
        <v>45913</v>
      </c>
      <c r="I6960" s="115" t="str">
        <f>IFERROR(__xludf.DUMMYFUNCTION("""COMPUTED_VALUE"""),"09")</f>
        <v>09</v>
      </c>
      <c r="J6960" s="115"/>
      <c r="K6960" s="115"/>
    </row>
    <row r="6961">
      <c r="A6961" s="115" t="str">
        <f>IFERROR(__xludf.DUMMYFUNCTION("""COMPUTED_VALUE"""),"SOUTH")</f>
        <v>SOUTH</v>
      </c>
      <c r="B6961" s="115" t="str">
        <f>IFERROR(__xludf.DUMMYFUNCTION("""COMPUTED_VALUE"""),"Kandula Sampath")</f>
        <v>Kandula Sampath</v>
      </c>
      <c r="C6961" s="115" t="str">
        <f>IFERROR(__xludf.DUMMYFUNCTION("""COMPUTED_VALUE"""),"EXTERNAL")</f>
        <v>EXTERNAL</v>
      </c>
      <c r="D6961" s="115">
        <f>IFERROR(__xludf.DUMMYFUNCTION("""COMPUTED_VALUE"""),13465.0)</f>
        <v>13465</v>
      </c>
      <c r="E6961" s="115">
        <f>IFERROR(__xludf.DUMMYFUNCTION("""COMPUTED_VALUE"""),808.0)</f>
        <v>808</v>
      </c>
      <c r="F6961" s="115">
        <f>IFERROR(__xludf.DUMMYFUNCTION("""COMPUTED_VALUE"""),387.0)</f>
        <v>387</v>
      </c>
      <c r="G6961" s="115">
        <f>IFERROR(__xludf.DUMMYFUNCTION("""COMPUTED_VALUE"""),11.0)</f>
        <v>11</v>
      </c>
      <c r="H6961" s="116">
        <f>IFERROR(__xludf.DUMMYFUNCTION("""COMPUTED_VALUE"""),45913.0)</f>
        <v>45913</v>
      </c>
      <c r="I6961" s="115" t="str">
        <f>IFERROR(__xludf.DUMMYFUNCTION("""COMPUTED_VALUE"""),"09")</f>
        <v>09</v>
      </c>
      <c r="J6961" s="115"/>
      <c r="K6961" s="115"/>
    </row>
    <row r="6962">
      <c r="A6962" s="115" t="str">
        <f>IFERROR(__xludf.DUMMYFUNCTION("""COMPUTED_VALUE"""),"SOUTH")</f>
        <v>SOUTH</v>
      </c>
      <c r="B6962" s="115" t="str">
        <f>IFERROR(__xludf.DUMMYFUNCTION("""COMPUTED_VALUE"""),"Kandula Sampath")</f>
        <v>Kandula Sampath</v>
      </c>
      <c r="C6962" s="115" t="str">
        <f>IFERROR(__xludf.DUMMYFUNCTION("""COMPUTED_VALUE"""),"FLIPKART")</f>
        <v>FLIPKART</v>
      </c>
      <c r="D6962" s="115">
        <f>IFERROR(__xludf.DUMMYFUNCTION("""COMPUTED_VALUE"""),182945.0)</f>
        <v>182945</v>
      </c>
      <c r="E6962" s="115">
        <f>IFERROR(__xludf.DUMMYFUNCTION("""COMPUTED_VALUE"""),10031.0)</f>
        <v>10031</v>
      </c>
      <c r="F6962" s="115">
        <f>IFERROR(__xludf.DUMMYFUNCTION("""COMPUTED_VALUE"""),10518.0)</f>
        <v>10518</v>
      </c>
      <c r="G6962" s="115">
        <f>IFERROR(__xludf.DUMMYFUNCTION("""COMPUTED_VALUE"""),128.0)</f>
        <v>128</v>
      </c>
      <c r="H6962" s="116">
        <f>IFERROR(__xludf.DUMMYFUNCTION("""COMPUTED_VALUE"""),45913.0)</f>
        <v>45913</v>
      </c>
      <c r="I6962" s="115" t="str">
        <f>IFERROR(__xludf.DUMMYFUNCTION("""COMPUTED_VALUE"""),"09")</f>
        <v>09</v>
      </c>
      <c r="J6962" s="115"/>
      <c r="K6962" s="115"/>
    </row>
    <row r="6963">
      <c r="A6963" s="115" t="str">
        <f>IFERROR(__xludf.DUMMYFUNCTION("""COMPUTED_VALUE"""),"SOUTH")</f>
        <v>SOUTH</v>
      </c>
      <c r="B6963" s="115" t="str">
        <f>IFERROR(__xludf.DUMMYFUNCTION("""COMPUTED_VALUE"""),"Kandula Sampath")</f>
        <v>Kandula Sampath</v>
      </c>
      <c r="C6963" s="115" t="str">
        <f>IFERROR(__xludf.DUMMYFUNCTION("""COMPUTED_VALUE"""),"MYNTRA")</f>
        <v>MYNTRA</v>
      </c>
      <c r="D6963" s="115">
        <f>IFERROR(__xludf.DUMMYFUNCTION("""COMPUTED_VALUE"""),18068.0)</f>
        <v>18068</v>
      </c>
      <c r="E6963" s="115">
        <f>IFERROR(__xludf.DUMMYFUNCTION("""COMPUTED_VALUE"""),2884.0)</f>
        <v>2884</v>
      </c>
      <c r="F6963" s="115">
        <f>IFERROR(__xludf.DUMMYFUNCTION("""COMPUTED_VALUE"""),1217.0)</f>
        <v>1217</v>
      </c>
      <c r="G6963" s="115">
        <f>IFERROR(__xludf.DUMMYFUNCTION("""COMPUTED_VALUE"""),27.0)</f>
        <v>27</v>
      </c>
      <c r="H6963" s="116">
        <f>IFERROR(__xludf.DUMMYFUNCTION("""COMPUTED_VALUE"""),45913.0)</f>
        <v>45913</v>
      </c>
      <c r="I6963" s="115" t="str">
        <f>IFERROR(__xludf.DUMMYFUNCTION("""COMPUTED_VALUE"""),"09")</f>
        <v>09</v>
      </c>
      <c r="J6963" s="115"/>
      <c r="K6963" s="115"/>
    </row>
    <row r="6964">
      <c r="A6964" s="115" t="str">
        <f>IFERROR(__xludf.DUMMYFUNCTION("""COMPUTED_VALUE"""),"SOUTH")</f>
        <v>SOUTH</v>
      </c>
      <c r="B6964" s="115" t="str">
        <f>IFERROR(__xludf.DUMMYFUNCTION("""COMPUTED_VALUE"""),"Martin A")</f>
        <v>Martin A</v>
      </c>
      <c r="C6964" s="115" t="str">
        <f>IFERROR(__xludf.DUMMYFUNCTION("""COMPUTED_VALUE"""),"EXTERNAL")</f>
        <v>EXTERNAL</v>
      </c>
      <c r="D6964" s="115">
        <f>IFERROR(__xludf.DUMMYFUNCTION("""COMPUTED_VALUE"""),11540.0)</f>
        <v>11540</v>
      </c>
      <c r="E6964" s="115">
        <f>IFERROR(__xludf.DUMMYFUNCTION("""COMPUTED_VALUE"""),1094.0)</f>
        <v>1094</v>
      </c>
      <c r="F6964" s="115">
        <f>IFERROR(__xludf.DUMMYFUNCTION("""COMPUTED_VALUE"""),266.0)</f>
        <v>266</v>
      </c>
      <c r="G6964" s="115">
        <f>IFERROR(__xludf.DUMMYFUNCTION("""COMPUTED_VALUE"""),16.0)</f>
        <v>16</v>
      </c>
      <c r="H6964" s="116">
        <f>IFERROR(__xludf.DUMMYFUNCTION("""COMPUTED_VALUE"""),45913.0)</f>
        <v>45913</v>
      </c>
      <c r="I6964" s="115" t="str">
        <f>IFERROR(__xludf.DUMMYFUNCTION("""COMPUTED_VALUE"""),"09")</f>
        <v>09</v>
      </c>
      <c r="J6964" s="115"/>
      <c r="K6964" s="115"/>
    </row>
    <row r="6965">
      <c r="A6965" s="115" t="str">
        <f>IFERROR(__xludf.DUMMYFUNCTION("""COMPUTED_VALUE"""),"SOUTH")</f>
        <v>SOUTH</v>
      </c>
      <c r="B6965" s="115" t="str">
        <f>IFERROR(__xludf.DUMMYFUNCTION("""COMPUTED_VALUE"""),"Martin A")</f>
        <v>Martin A</v>
      </c>
      <c r="C6965" s="115" t="str">
        <f>IFERROR(__xludf.DUMMYFUNCTION("""COMPUTED_VALUE"""),"FLIPKART")</f>
        <v>FLIPKART</v>
      </c>
      <c r="D6965" s="115">
        <f>IFERROR(__xludf.DUMMYFUNCTION("""COMPUTED_VALUE"""),138195.0)</f>
        <v>138195</v>
      </c>
      <c r="E6965" s="115">
        <f>IFERROR(__xludf.DUMMYFUNCTION("""COMPUTED_VALUE"""),10424.0)</f>
        <v>10424</v>
      </c>
      <c r="F6965" s="115">
        <f>IFERROR(__xludf.DUMMYFUNCTION("""COMPUTED_VALUE"""),5404.0)</f>
        <v>5404</v>
      </c>
      <c r="G6965" s="115">
        <f>IFERROR(__xludf.DUMMYFUNCTION("""COMPUTED_VALUE"""),165.0)</f>
        <v>165</v>
      </c>
      <c r="H6965" s="116">
        <f>IFERROR(__xludf.DUMMYFUNCTION("""COMPUTED_VALUE"""),45913.0)</f>
        <v>45913</v>
      </c>
      <c r="I6965" s="115" t="str">
        <f>IFERROR(__xludf.DUMMYFUNCTION("""COMPUTED_VALUE"""),"09")</f>
        <v>09</v>
      </c>
      <c r="J6965" s="115"/>
      <c r="K6965" s="115"/>
    </row>
    <row r="6966">
      <c r="A6966" s="115" t="str">
        <f>IFERROR(__xludf.DUMMYFUNCTION("""COMPUTED_VALUE"""),"SOUTH")</f>
        <v>SOUTH</v>
      </c>
      <c r="B6966" s="115" t="str">
        <f>IFERROR(__xludf.DUMMYFUNCTION("""COMPUTED_VALUE"""),"Martin A")</f>
        <v>Martin A</v>
      </c>
      <c r="C6966" s="115" t="str">
        <f>IFERROR(__xludf.DUMMYFUNCTION("""COMPUTED_VALUE"""),"MYNTRA")</f>
        <v>MYNTRA</v>
      </c>
      <c r="D6966" s="115">
        <f>IFERROR(__xludf.DUMMYFUNCTION("""COMPUTED_VALUE"""),12955.0)</f>
        <v>12955</v>
      </c>
      <c r="E6966" s="115">
        <f>IFERROR(__xludf.DUMMYFUNCTION("""COMPUTED_VALUE"""),2806.0)</f>
        <v>2806</v>
      </c>
      <c r="F6966" s="115">
        <f>IFERROR(__xludf.DUMMYFUNCTION("""COMPUTED_VALUE"""),613.0)</f>
        <v>613</v>
      </c>
      <c r="G6966" s="115">
        <f>IFERROR(__xludf.DUMMYFUNCTION("""COMPUTED_VALUE"""),37.0)</f>
        <v>37</v>
      </c>
      <c r="H6966" s="116">
        <f>IFERROR(__xludf.DUMMYFUNCTION("""COMPUTED_VALUE"""),45913.0)</f>
        <v>45913</v>
      </c>
      <c r="I6966" s="115" t="str">
        <f>IFERROR(__xludf.DUMMYFUNCTION("""COMPUTED_VALUE"""),"09")</f>
        <v>09</v>
      </c>
      <c r="J6966" s="115"/>
      <c r="K6966" s="115"/>
    </row>
    <row r="6967">
      <c r="A6967" s="115" t="str">
        <f>IFERROR(__xludf.DUMMYFUNCTION("""COMPUTED_VALUE"""),"SOUTH")</f>
        <v>SOUTH</v>
      </c>
      <c r="B6967" s="115" t="str">
        <f>IFERROR(__xludf.DUMMYFUNCTION("""COMPUTED_VALUE"""),"Premkumar M")</f>
        <v>Premkumar M</v>
      </c>
      <c r="C6967" s="115" t="str">
        <f>IFERROR(__xludf.DUMMYFUNCTION("""COMPUTED_VALUE"""),"EXTERNAL")</f>
        <v>EXTERNAL</v>
      </c>
      <c r="D6967" s="115">
        <f>IFERROR(__xludf.DUMMYFUNCTION("""COMPUTED_VALUE"""),3787.0)</f>
        <v>3787</v>
      </c>
      <c r="E6967" s="115">
        <f>IFERROR(__xludf.DUMMYFUNCTION("""COMPUTED_VALUE"""),128.0)</f>
        <v>128</v>
      </c>
      <c r="F6967" s="115">
        <f>IFERROR(__xludf.DUMMYFUNCTION("""COMPUTED_VALUE"""),52.0)</f>
        <v>52</v>
      </c>
      <c r="G6967" s="115">
        <f>IFERROR(__xludf.DUMMYFUNCTION("""COMPUTED_VALUE"""),2.0)</f>
        <v>2</v>
      </c>
      <c r="H6967" s="116">
        <f>IFERROR(__xludf.DUMMYFUNCTION("""COMPUTED_VALUE"""),45913.0)</f>
        <v>45913</v>
      </c>
      <c r="I6967" s="115" t="str">
        <f>IFERROR(__xludf.DUMMYFUNCTION("""COMPUTED_VALUE"""),"09")</f>
        <v>09</v>
      </c>
      <c r="J6967" s="115"/>
      <c r="K6967" s="115"/>
    </row>
    <row r="6968">
      <c r="A6968" s="115" t="str">
        <f>IFERROR(__xludf.DUMMYFUNCTION("""COMPUTED_VALUE"""),"SOUTH")</f>
        <v>SOUTH</v>
      </c>
      <c r="B6968" s="115" t="str">
        <f>IFERROR(__xludf.DUMMYFUNCTION("""COMPUTED_VALUE"""),"Premkumar M")</f>
        <v>Premkumar M</v>
      </c>
      <c r="C6968" s="115" t="str">
        <f>IFERROR(__xludf.DUMMYFUNCTION("""COMPUTED_VALUE"""),"FLIPKART")</f>
        <v>FLIPKART</v>
      </c>
      <c r="D6968" s="115">
        <f>IFERROR(__xludf.DUMMYFUNCTION("""COMPUTED_VALUE"""),48674.0)</f>
        <v>48674</v>
      </c>
      <c r="E6968" s="115">
        <f>IFERROR(__xludf.DUMMYFUNCTION("""COMPUTED_VALUE"""),2259.0)</f>
        <v>2259</v>
      </c>
      <c r="F6968" s="115">
        <f>IFERROR(__xludf.DUMMYFUNCTION("""COMPUTED_VALUE"""),1225.0)</f>
        <v>1225</v>
      </c>
      <c r="G6968" s="115">
        <f>IFERROR(__xludf.DUMMYFUNCTION("""COMPUTED_VALUE"""),23.0)</f>
        <v>23</v>
      </c>
      <c r="H6968" s="116">
        <f>IFERROR(__xludf.DUMMYFUNCTION("""COMPUTED_VALUE"""),45913.0)</f>
        <v>45913</v>
      </c>
      <c r="I6968" s="115" t="str">
        <f>IFERROR(__xludf.DUMMYFUNCTION("""COMPUTED_VALUE"""),"09")</f>
        <v>09</v>
      </c>
      <c r="J6968" s="115"/>
      <c r="K6968" s="115"/>
    </row>
    <row r="6969">
      <c r="A6969" s="115" t="str">
        <f>IFERROR(__xludf.DUMMYFUNCTION("""COMPUTED_VALUE"""),"SOUTH")</f>
        <v>SOUTH</v>
      </c>
      <c r="B6969" s="115" t="str">
        <f>IFERROR(__xludf.DUMMYFUNCTION("""COMPUTED_VALUE"""),"Premkumar M")</f>
        <v>Premkumar M</v>
      </c>
      <c r="C6969" s="115" t="str">
        <f>IFERROR(__xludf.DUMMYFUNCTION("""COMPUTED_VALUE"""),"MYNTRA")</f>
        <v>MYNTRA</v>
      </c>
      <c r="D6969" s="115">
        <f>IFERROR(__xludf.DUMMYFUNCTION("""COMPUTED_VALUE"""),2606.0)</f>
        <v>2606</v>
      </c>
      <c r="E6969" s="115">
        <f>IFERROR(__xludf.DUMMYFUNCTION("""COMPUTED_VALUE"""),480.0)</f>
        <v>480</v>
      </c>
      <c r="F6969" s="115">
        <f>IFERROR(__xludf.DUMMYFUNCTION("""COMPUTED_VALUE"""),64.0)</f>
        <v>64</v>
      </c>
      <c r="G6969" s="115">
        <f>IFERROR(__xludf.DUMMYFUNCTION("""COMPUTED_VALUE"""),0.0)</f>
        <v>0</v>
      </c>
      <c r="H6969" s="116">
        <f>IFERROR(__xludf.DUMMYFUNCTION("""COMPUTED_VALUE"""),45913.0)</f>
        <v>45913</v>
      </c>
      <c r="I6969" s="115" t="str">
        <f>IFERROR(__xludf.DUMMYFUNCTION("""COMPUTED_VALUE"""),"09")</f>
        <v>09</v>
      </c>
      <c r="J6969" s="115"/>
      <c r="K6969" s="115"/>
    </row>
    <row r="6970">
      <c r="A6970" s="115" t="str">
        <f>IFERROR(__xludf.DUMMYFUNCTION("""COMPUTED_VALUE"""),"SOUTH")</f>
        <v>SOUTH</v>
      </c>
      <c r="B6970" s="115" t="str">
        <f>IFERROR(__xludf.DUMMYFUNCTION("""COMPUTED_VALUE"""),"Vineeth V")</f>
        <v>Vineeth V</v>
      </c>
      <c r="C6970" s="115" t="str">
        <f>IFERROR(__xludf.DUMMYFUNCTION("""COMPUTED_VALUE"""),"EXTERNAL")</f>
        <v>EXTERNAL</v>
      </c>
      <c r="D6970" s="115">
        <f>IFERROR(__xludf.DUMMYFUNCTION("""COMPUTED_VALUE"""),1851.0)</f>
        <v>1851</v>
      </c>
      <c r="E6970" s="115">
        <f>IFERROR(__xludf.DUMMYFUNCTION("""COMPUTED_VALUE"""),37.0)</f>
        <v>37</v>
      </c>
      <c r="F6970" s="115">
        <f>IFERROR(__xludf.DUMMYFUNCTION("""COMPUTED_VALUE"""),21.0)</f>
        <v>21</v>
      </c>
      <c r="G6970" s="115">
        <f>IFERROR(__xludf.DUMMYFUNCTION("""COMPUTED_VALUE"""),0.0)</f>
        <v>0</v>
      </c>
      <c r="H6970" s="116">
        <f>IFERROR(__xludf.DUMMYFUNCTION("""COMPUTED_VALUE"""),45913.0)</f>
        <v>45913</v>
      </c>
      <c r="I6970" s="115" t="str">
        <f>IFERROR(__xludf.DUMMYFUNCTION("""COMPUTED_VALUE"""),"09")</f>
        <v>09</v>
      </c>
      <c r="J6970" s="115"/>
      <c r="K6970" s="115"/>
    </row>
    <row r="6971">
      <c r="A6971" s="115" t="str">
        <f>IFERROR(__xludf.DUMMYFUNCTION("""COMPUTED_VALUE"""),"SOUTH")</f>
        <v>SOUTH</v>
      </c>
      <c r="B6971" s="115" t="str">
        <f>IFERROR(__xludf.DUMMYFUNCTION("""COMPUTED_VALUE"""),"Vineeth V")</f>
        <v>Vineeth V</v>
      </c>
      <c r="C6971" s="115" t="str">
        <f>IFERROR(__xludf.DUMMYFUNCTION("""COMPUTED_VALUE"""),"FLIPKART")</f>
        <v>FLIPKART</v>
      </c>
      <c r="D6971" s="115">
        <f>IFERROR(__xludf.DUMMYFUNCTION("""COMPUTED_VALUE"""),23258.0)</f>
        <v>23258</v>
      </c>
      <c r="E6971" s="115">
        <f>IFERROR(__xludf.DUMMYFUNCTION("""COMPUTED_VALUE"""),1099.0)</f>
        <v>1099</v>
      </c>
      <c r="F6971" s="115">
        <f>IFERROR(__xludf.DUMMYFUNCTION("""COMPUTED_VALUE"""),434.0)</f>
        <v>434</v>
      </c>
      <c r="G6971" s="115">
        <f>IFERROR(__xludf.DUMMYFUNCTION("""COMPUTED_VALUE"""),9.0)</f>
        <v>9</v>
      </c>
      <c r="H6971" s="116">
        <f>IFERROR(__xludf.DUMMYFUNCTION("""COMPUTED_VALUE"""),45913.0)</f>
        <v>45913</v>
      </c>
      <c r="I6971" s="115" t="str">
        <f>IFERROR(__xludf.DUMMYFUNCTION("""COMPUTED_VALUE"""),"09")</f>
        <v>09</v>
      </c>
      <c r="J6971" s="115"/>
      <c r="K6971" s="115"/>
    </row>
    <row r="6972">
      <c r="A6972" s="115" t="str">
        <f>IFERROR(__xludf.DUMMYFUNCTION("""COMPUTED_VALUE"""),"SOUTH")</f>
        <v>SOUTH</v>
      </c>
      <c r="B6972" s="115" t="str">
        <f>IFERROR(__xludf.DUMMYFUNCTION("""COMPUTED_VALUE"""),"Vineeth V")</f>
        <v>Vineeth V</v>
      </c>
      <c r="C6972" s="115" t="str">
        <f>IFERROR(__xludf.DUMMYFUNCTION("""COMPUTED_VALUE"""),"MYNTRA")</f>
        <v>MYNTRA</v>
      </c>
      <c r="D6972" s="115">
        <f>IFERROR(__xludf.DUMMYFUNCTION("""COMPUTED_VALUE"""),2003.0)</f>
        <v>2003</v>
      </c>
      <c r="E6972" s="115">
        <f>IFERROR(__xludf.DUMMYFUNCTION("""COMPUTED_VALUE"""),254.0)</f>
        <v>254</v>
      </c>
      <c r="F6972" s="115">
        <f>IFERROR(__xludf.DUMMYFUNCTION("""COMPUTED_VALUE"""),48.0)</f>
        <v>48</v>
      </c>
      <c r="G6972" s="115">
        <f>IFERROR(__xludf.DUMMYFUNCTION("""COMPUTED_VALUE"""),2.0)</f>
        <v>2</v>
      </c>
      <c r="H6972" s="116">
        <f>IFERROR(__xludf.DUMMYFUNCTION("""COMPUTED_VALUE"""),45913.0)</f>
        <v>45913</v>
      </c>
      <c r="I6972" s="115" t="str">
        <f>IFERROR(__xludf.DUMMYFUNCTION("""COMPUTED_VALUE"""),"09")</f>
        <v>09</v>
      </c>
      <c r="J6972" s="115"/>
      <c r="K6972" s="115"/>
    </row>
    <row r="6973">
      <c r="A6973" s="115" t="str">
        <f>IFERROR(__xludf.DUMMYFUNCTION("""COMPUTED_VALUE"""),"WEST")</f>
        <v>WEST</v>
      </c>
      <c r="B6973" s="115" t="str">
        <f>IFERROR(__xludf.DUMMYFUNCTION("""COMPUTED_VALUE"""),"Ashish Jakar")</f>
        <v>Ashish Jakar</v>
      </c>
      <c r="C6973" s="115" t="str">
        <f>IFERROR(__xludf.DUMMYFUNCTION("""COMPUTED_VALUE"""),"EXTERNAL")</f>
        <v>EXTERNAL</v>
      </c>
      <c r="D6973" s="115">
        <f>IFERROR(__xludf.DUMMYFUNCTION("""COMPUTED_VALUE"""),11658.0)</f>
        <v>11658</v>
      </c>
      <c r="E6973" s="115">
        <f>IFERROR(__xludf.DUMMYFUNCTION("""COMPUTED_VALUE"""),1367.0)</f>
        <v>1367</v>
      </c>
      <c r="F6973" s="115">
        <f>IFERROR(__xludf.DUMMYFUNCTION("""COMPUTED_VALUE"""),358.0)</f>
        <v>358</v>
      </c>
      <c r="G6973" s="115">
        <f>IFERROR(__xludf.DUMMYFUNCTION("""COMPUTED_VALUE"""),14.0)</f>
        <v>14</v>
      </c>
      <c r="H6973" s="116">
        <f>IFERROR(__xludf.DUMMYFUNCTION("""COMPUTED_VALUE"""),45913.0)</f>
        <v>45913</v>
      </c>
      <c r="I6973" s="115" t="str">
        <f>IFERROR(__xludf.DUMMYFUNCTION("""COMPUTED_VALUE"""),"09")</f>
        <v>09</v>
      </c>
      <c r="J6973" s="115"/>
      <c r="K6973" s="115"/>
    </row>
    <row r="6974">
      <c r="A6974" s="115" t="str">
        <f>IFERROR(__xludf.DUMMYFUNCTION("""COMPUTED_VALUE"""),"WEST")</f>
        <v>WEST</v>
      </c>
      <c r="B6974" s="115" t="str">
        <f>IFERROR(__xludf.DUMMYFUNCTION("""COMPUTED_VALUE"""),"Ashish Jakar")</f>
        <v>Ashish Jakar</v>
      </c>
      <c r="C6974" s="115" t="str">
        <f>IFERROR(__xludf.DUMMYFUNCTION("""COMPUTED_VALUE"""),"FLIPKART")</f>
        <v>FLIPKART</v>
      </c>
      <c r="D6974" s="115">
        <f>IFERROR(__xludf.DUMMYFUNCTION("""COMPUTED_VALUE"""),101071.0)</f>
        <v>101071</v>
      </c>
      <c r="E6974" s="115">
        <f>IFERROR(__xludf.DUMMYFUNCTION("""COMPUTED_VALUE"""),8402.0)</f>
        <v>8402</v>
      </c>
      <c r="F6974" s="115">
        <f>IFERROR(__xludf.DUMMYFUNCTION("""COMPUTED_VALUE"""),1891.0)</f>
        <v>1891</v>
      </c>
      <c r="G6974" s="115">
        <f>IFERROR(__xludf.DUMMYFUNCTION("""COMPUTED_VALUE"""),74.0)</f>
        <v>74</v>
      </c>
      <c r="H6974" s="116">
        <f>IFERROR(__xludf.DUMMYFUNCTION("""COMPUTED_VALUE"""),45913.0)</f>
        <v>45913</v>
      </c>
      <c r="I6974" s="115" t="str">
        <f>IFERROR(__xludf.DUMMYFUNCTION("""COMPUTED_VALUE"""),"09")</f>
        <v>09</v>
      </c>
      <c r="J6974" s="115"/>
      <c r="K6974" s="115"/>
    </row>
    <row r="6975">
      <c r="A6975" s="115" t="str">
        <f>IFERROR(__xludf.DUMMYFUNCTION("""COMPUTED_VALUE"""),"WEST")</f>
        <v>WEST</v>
      </c>
      <c r="B6975" s="115" t="str">
        <f>IFERROR(__xludf.DUMMYFUNCTION("""COMPUTED_VALUE"""),"Ashish Jakar")</f>
        <v>Ashish Jakar</v>
      </c>
      <c r="C6975" s="115" t="str">
        <f>IFERROR(__xludf.DUMMYFUNCTION("""COMPUTED_VALUE"""),"MYNTRA")</f>
        <v>MYNTRA</v>
      </c>
      <c r="D6975" s="115">
        <f>IFERROR(__xludf.DUMMYFUNCTION("""COMPUTED_VALUE"""),10270.0)</f>
        <v>10270</v>
      </c>
      <c r="E6975" s="115">
        <f>IFERROR(__xludf.DUMMYFUNCTION("""COMPUTED_VALUE"""),2566.0)</f>
        <v>2566</v>
      </c>
      <c r="F6975" s="115">
        <f>IFERROR(__xludf.DUMMYFUNCTION("""COMPUTED_VALUE"""),199.0)</f>
        <v>199</v>
      </c>
      <c r="G6975" s="115">
        <f>IFERROR(__xludf.DUMMYFUNCTION("""COMPUTED_VALUE"""),15.0)</f>
        <v>15</v>
      </c>
      <c r="H6975" s="116">
        <f>IFERROR(__xludf.DUMMYFUNCTION("""COMPUTED_VALUE"""),45913.0)</f>
        <v>45913</v>
      </c>
      <c r="I6975" s="115" t="str">
        <f>IFERROR(__xludf.DUMMYFUNCTION("""COMPUTED_VALUE"""),"09")</f>
        <v>09</v>
      </c>
      <c r="J6975" s="115"/>
      <c r="K6975" s="115"/>
    </row>
    <row r="6976">
      <c r="A6976" s="115" t="str">
        <f>IFERROR(__xludf.DUMMYFUNCTION("""COMPUTED_VALUE"""),"WEST")</f>
        <v>WEST</v>
      </c>
      <c r="B6976" s="115" t="str">
        <f>IFERROR(__xludf.DUMMYFUNCTION("""COMPUTED_VALUE"""),"Ashvani Bhatt")</f>
        <v>Ashvani Bhatt</v>
      </c>
      <c r="C6976" s="115" t="str">
        <f>IFERROR(__xludf.DUMMYFUNCTION("""COMPUTED_VALUE"""),"EXTERNAL")</f>
        <v>EXTERNAL</v>
      </c>
      <c r="D6976" s="115">
        <f>IFERROR(__xludf.DUMMYFUNCTION("""COMPUTED_VALUE"""),10901.0)</f>
        <v>10901</v>
      </c>
      <c r="E6976" s="115">
        <f>IFERROR(__xludf.DUMMYFUNCTION("""COMPUTED_VALUE"""),439.0)</f>
        <v>439</v>
      </c>
      <c r="F6976" s="115">
        <f>IFERROR(__xludf.DUMMYFUNCTION("""COMPUTED_VALUE"""),148.0)</f>
        <v>148</v>
      </c>
      <c r="G6976" s="115">
        <f>IFERROR(__xludf.DUMMYFUNCTION("""COMPUTED_VALUE"""),6.0)</f>
        <v>6</v>
      </c>
      <c r="H6976" s="116">
        <f>IFERROR(__xludf.DUMMYFUNCTION("""COMPUTED_VALUE"""),45913.0)</f>
        <v>45913</v>
      </c>
      <c r="I6976" s="115" t="str">
        <f>IFERROR(__xludf.DUMMYFUNCTION("""COMPUTED_VALUE"""),"09")</f>
        <v>09</v>
      </c>
      <c r="J6976" s="115"/>
      <c r="K6976" s="115"/>
    </row>
    <row r="6977">
      <c r="A6977" s="115" t="str">
        <f>IFERROR(__xludf.DUMMYFUNCTION("""COMPUTED_VALUE"""),"WEST")</f>
        <v>WEST</v>
      </c>
      <c r="B6977" s="115" t="str">
        <f>IFERROR(__xludf.DUMMYFUNCTION("""COMPUTED_VALUE"""),"Ashvani Bhatt")</f>
        <v>Ashvani Bhatt</v>
      </c>
      <c r="C6977" s="115" t="str">
        <f>IFERROR(__xludf.DUMMYFUNCTION("""COMPUTED_VALUE"""),"FLIPKART")</f>
        <v>FLIPKART</v>
      </c>
      <c r="D6977" s="115">
        <f>IFERROR(__xludf.DUMMYFUNCTION("""COMPUTED_VALUE"""),104908.0)</f>
        <v>104908</v>
      </c>
      <c r="E6977" s="115">
        <f>IFERROR(__xludf.DUMMYFUNCTION("""COMPUTED_VALUE"""),6669.0)</f>
        <v>6669</v>
      </c>
      <c r="F6977" s="115">
        <f>IFERROR(__xludf.DUMMYFUNCTION("""COMPUTED_VALUE"""),2854.0)</f>
        <v>2854</v>
      </c>
      <c r="G6977" s="115">
        <f>IFERROR(__xludf.DUMMYFUNCTION("""COMPUTED_VALUE"""),53.0)</f>
        <v>53</v>
      </c>
      <c r="H6977" s="116">
        <f>IFERROR(__xludf.DUMMYFUNCTION("""COMPUTED_VALUE"""),45913.0)</f>
        <v>45913</v>
      </c>
      <c r="I6977" s="115" t="str">
        <f>IFERROR(__xludf.DUMMYFUNCTION("""COMPUTED_VALUE"""),"09")</f>
        <v>09</v>
      </c>
      <c r="J6977" s="115"/>
      <c r="K6977" s="115"/>
    </row>
    <row r="6978">
      <c r="A6978" s="115" t="str">
        <f>IFERROR(__xludf.DUMMYFUNCTION("""COMPUTED_VALUE"""),"WEST")</f>
        <v>WEST</v>
      </c>
      <c r="B6978" s="115" t="str">
        <f>IFERROR(__xludf.DUMMYFUNCTION("""COMPUTED_VALUE"""),"Ashvani Bhatt")</f>
        <v>Ashvani Bhatt</v>
      </c>
      <c r="C6978" s="115" t="str">
        <f>IFERROR(__xludf.DUMMYFUNCTION("""COMPUTED_VALUE"""),"MYNTRA")</f>
        <v>MYNTRA</v>
      </c>
      <c r="D6978" s="115">
        <f>IFERROR(__xludf.DUMMYFUNCTION("""COMPUTED_VALUE"""),12879.0)</f>
        <v>12879</v>
      </c>
      <c r="E6978" s="115">
        <f>IFERROR(__xludf.DUMMYFUNCTION("""COMPUTED_VALUE"""),2137.0)</f>
        <v>2137</v>
      </c>
      <c r="F6978" s="115">
        <f>IFERROR(__xludf.DUMMYFUNCTION("""COMPUTED_VALUE"""),492.0)</f>
        <v>492</v>
      </c>
      <c r="G6978" s="115">
        <f>IFERROR(__xludf.DUMMYFUNCTION("""COMPUTED_VALUE"""),17.0)</f>
        <v>17</v>
      </c>
      <c r="H6978" s="116">
        <f>IFERROR(__xludf.DUMMYFUNCTION("""COMPUTED_VALUE"""),45913.0)</f>
        <v>45913</v>
      </c>
      <c r="I6978" s="115" t="str">
        <f>IFERROR(__xludf.DUMMYFUNCTION("""COMPUTED_VALUE"""),"09")</f>
        <v>09</v>
      </c>
      <c r="J6978" s="115"/>
      <c r="K6978" s="115"/>
    </row>
    <row r="6979">
      <c r="A6979" s="115"/>
      <c r="B6979" s="115"/>
      <c r="C6979" s="115" t="str">
        <f>IFERROR(__xludf.DUMMYFUNCTION("""COMPUTED_VALUE"""),"EXTERNAL")</f>
        <v>EXTERNAL</v>
      </c>
      <c r="D6979" s="115">
        <f>IFERROR(__xludf.DUMMYFUNCTION("""COMPUTED_VALUE"""),283.0)</f>
        <v>283</v>
      </c>
      <c r="E6979" s="115">
        <f>IFERROR(__xludf.DUMMYFUNCTION("""COMPUTED_VALUE"""),54.0)</f>
        <v>54</v>
      </c>
      <c r="F6979" s="115">
        <f>IFERROR(__xludf.DUMMYFUNCTION("""COMPUTED_VALUE"""),3.0)</f>
        <v>3</v>
      </c>
      <c r="G6979" s="115">
        <f>IFERROR(__xludf.DUMMYFUNCTION("""COMPUTED_VALUE"""),0.0)</f>
        <v>0</v>
      </c>
      <c r="H6979" s="116">
        <f>IFERROR(__xludf.DUMMYFUNCTION("""COMPUTED_VALUE"""),45913.0)</f>
        <v>45913</v>
      </c>
      <c r="I6979" s="115" t="str">
        <f>IFERROR(__xludf.DUMMYFUNCTION("""COMPUTED_VALUE"""),"09")</f>
        <v>09</v>
      </c>
      <c r="J6979" s="115"/>
      <c r="K6979" s="115"/>
    </row>
    <row r="6980">
      <c r="A6980" s="115"/>
      <c r="B6980" s="115"/>
      <c r="C6980" s="115" t="str">
        <f>IFERROR(__xludf.DUMMYFUNCTION("""COMPUTED_VALUE"""),"FLIPKART")</f>
        <v>FLIPKART</v>
      </c>
      <c r="D6980" s="115">
        <f>IFERROR(__xludf.DUMMYFUNCTION("""COMPUTED_VALUE"""),3616.0)</f>
        <v>3616</v>
      </c>
      <c r="E6980" s="115">
        <f>IFERROR(__xludf.DUMMYFUNCTION("""COMPUTED_VALUE"""),451.0)</f>
        <v>451</v>
      </c>
      <c r="F6980" s="115">
        <f>IFERROR(__xludf.DUMMYFUNCTION("""COMPUTED_VALUE"""),50.0)</f>
        <v>50</v>
      </c>
      <c r="G6980" s="115">
        <f>IFERROR(__xludf.DUMMYFUNCTION("""COMPUTED_VALUE"""),12.0)</f>
        <v>12</v>
      </c>
      <c r="H6980" s="116">
        <f>IFERROR(__xludf.DUMMYFUNCTION("""COMPUTED_VALUE"""),45913.0)</f>
        <v>45913</v>
      </c>
      <c r="I6980" s="115" t="str">
        <f>IFERROR(__xludf.DUMMYFUNCTION("""COMPUTED_VALUE"""),"09")</f>
        <v>09</v>
      </c>
      <c r="J6980" s="115"/>
      <c r="K6980" s="115"/>
    </row>
    <row r="6981">
      <c r="A6981" s="115"/>
      <c r="B6981" s="115"/>
      <c r="C6981" s="115" t="str">
        <f>IFERROR(__xludf.DUMMYFUNCTION("""COMPUTED_VALUE"""),"MYNTRA")</f>
        <v>MYNTRA</v>
      </c>
      <c r="D6981" s="115">
        <f>IFERROR(__xludf.DUMMYFUNCTION("""COMPUTED_VALUE"""),422.0)</f>
        <v>422</v>
      </c>
      <c r="E6981" s="115">
        <f>IFERROR(__xludf.DUMMYFUNCTION("""COMPUTED_VALUE"""),118.0)</f>
        <v>118</v>
      </c>
      <c r="F6981" s="115">
        <f>IFERROR(__xludf.DUMMYFUNCTION("""COMPUTED_VALUE"""),11.0)</f>
        <v>11</v>
      </c>
      <c r="G6981" s="115">
        <f>IFERROR(__xludf.DUMMYFUNCTION("""COMPUTED_VALUE"""),1.0)</f>
        <v>1</v>
      </c>
      <c r="H6981" s="116">
        <f>IFERROR(__xludf.DUMMYFUNCTION("""COMPUTED_VALUE"""),45913.0)</f>
        <v>45913</v>
      </c>
      <c r="I6981" s="115" t="str">
        <f>IFERROR(__xludf.DUMMYFUNCTION("""COMPUTED_VALUE"""),"09")</f>
        <v>09</v>
      </c>
      <c r="J6981" s="115"/>
      <c r="K6981" s="115"/>
    </row>
    <row r="6982">
      <c r="A6982" s="115" t="str">
        <f>IFERROR(__xludf.DUMMYFUNCTION("""COMPUTED_VALUE"""),"EAST")</f>
        <v>EAST</v>
      </c>
      <c r="B6982" s="115" t="str">
        <f>IFERROR(__xludf.DUMMYFUNCTION("""COMPUTED_VALUE"""),"Ashish Ranjan")</f>
        <v>Ashish Ranjan</v>
      </c>
      <c r="C6982" s="115" t="str">
        <f>IFERROR(__xludf.DUMMYFUNCTION("""COMPUTED_VALUE"""),"EXTERNAL")</f>
        <v>EXTERNAL</v>
      </c>
      <c r="D6982" s="115">
        <f>IFERROR(__xludf.DUMMYFUNCTION("""COMPUTED_VALUE"""),23334.0)</f>
        <v>23334</v>
      </c>
      <c r="E6982" s="115">
        <f>IFERROR(__xludf.DUMMYFUNCTION("""COMPUTED_VALUE"""),1240.0)</f>
        <v>1240</v>
      </c>
      <c r="F6982" s="115">
        <f>IFERROR(__xludf.DUMMYFUNCTION("""COMPUTED_VALUE"""),1155.0)</f>
        <v>1155</v>
      </c>
      <c r="G6982" s="115">
        <f>IFERROR(__xludf.DUMMYFUNCTION("""COMPUTED_VALUE"""),23.0)</f>
        <v>23</v>
      </c>
      <c r="H6982" s="116">
        <f>IFERROR(__xludf.DUMMYFUNCTION("""COMPUTED_VALUE"""),45913.0)</f>
        <v>45913</v>
      </c>
      <c r="I6982" s="115" t="str">
        <f>IFERROR(__xludf.DUMMYFUNCTION("""COMPUTED_VALUE"""),"10")</f>
        <v>10</v>
      </c>
      <c r="J6982" s="115"/>
      <c r="K6982" s="115"/>
    </row>
    <row r="6983">
      <c r="A6983" s="115" t="str">
        <f>IFERROR(__xludf.DUMMYFUNCTION("""COMPUTED_VALUE"""),"EAST")</f>
        <v>EAST</v>
      </c>
      <c r="B6983" s="115" t="str">
        <f>IFERROR(__xludf.DUMMYFUNCTION("""COMPUTED_VALUE"""),"Ashish Ranjan")</f>
        <v>Ashish Ranjan</v>
      </c>
      <c r="C6983" s="115" t="str">
        <f>IFERROR(__xludf.DUMMYFUNCTION("""COMPUTED_VALUE"""),"FLIPKART")</f>
        <v>FLIPKART</v>
      </c>
      <c r="D6983" s="115">
        <f>IFERROR(__xludf.DUMMYFUNCTION("""COMPUTED_VALUE"""),507919.0)</f>
        <v>507919</v>
      </c>
      <c r="E6983" s="115">
        <f>IFERROR(__xludf.DUMMYFUNCTION("""COMPUTED_VALUE"""),34027.0)</f>
        <v>34027</v>
      </c>
      <c r="F6983" s="115">
        <f>IFERROR(__xludf.DUMMYFUNCTION("""COMPUTED_VALUE"""),39120.0)</f>
        <v>39120</v>
      </c>
      <c r="G6983" s="115">
        <f>IFERROR(__xludf.DUMMYFUNCTION("""COMPUTED_VALUE"""),999.0)</f>
        <v>999</v>
      </c>
      <c r="H6983" s="116">
        <f>IFERROR(__xludf.DUMMYFUNCTION("""COMPUTED_VALUE"""),45913.0)</f>
        <v>45913</v>
      </c>
      <c r="I6983" s="115" t="str">
        <f>IFERROR(__xludf.DUMMYFUNCTION("""COMPUTED_VALUE"""),"10")</f>
        <v>10</v>
      </c>
      <c r="J6983" s="115"/>
      <c r="K6983" s="115"/>
    </row>
    <row r="6984">
      <c r="A6984" s="115" t="str">
        <f>IFERROR(__xludf.DUMMYFUNCTION("""COMPUTED_VALUE"""),"EAST")</f>
        <v>EAST</v>
      </c>
      <c r="B6984" s="115" t="str">
        <f>IFERROR(__xludf.DUMMYFUNCTION("""COMPUTED_VALUE"""),"Ashish Ranjan")</f>
        <v>Ashish Ranjan</v>
      </c>
      <c r="C6984" s="115" t="str">
        <f>IFERROR(__xludf.DUMMYFUNCTION("""COMPUTED_VALUE"""),"MYNTRA")</f>
        <v>MYNTRA</v>
      </c>
      <c r="D6984" s="115">
        <f>IFERROR(__xludf.DUMMYFUNCTION("""COMPUTED_VALUE"""),44535.0)</f>
        <v>44535</v>
      </c>
      <c r="E6984" s="115">
        <f>IFERROR(__xludf.DUMMYFUNCTION("""COMPUTED_VALUE"""),7796.0)</f>
        <v>7796</v>
      </c>
      <c r="F6984" s="115">
        <f>IFERROR(__xludf.DUMMYFUNCTION("""COMPUTED_VALUE"""),3455.0)</f>
        <v>3455</v>
      </c>
      <c r="G6984" s="115">
        <f>IFERROR(__xludf.DUMMYFUNCTION("""COMPUTED_VALUE"""),189.0)</f>
        <v>189</v>
      </c>
      <c r="H6984" s="116">
        <f>IFERROR(__xludf.DUMMYFUNCTION("""COMPUTED_VALUE"""),45913.0)</f>
        <v>45913</v>
      </c>
      <c r="I6984" s="115" t="str">
        <f>IFERROR(__xludf.DUMMYFUNCTION("""COMPUTED_VALUE"""),"10")</f>
        <v>10</v>
      </c>
      <c r="J6984" s="115"/>
      <c r="K6984" s="115"/>
    </row>
    <row r="6985">
      <c r="A6985" s="115" t="str">
        <f>IFERROR(__xludf.DUMMYFUNCTION("""COMPUTED_VALUE"""),"EAST")</f>
        <v>EAST</v>
      </c>
      <c r="B6985" s="115" t="str">
        <f>IFERROR(__xludf.DUMMYFUNCTION("""COMPUTED_VALUE"""),"Girish Chand")</f>
        <v>Girish Chand</v>
      </c>
      <c r="C6985" s="115" t="str">
        <f>IFERROR(__xludf.DUMMYFUNCTION("""COMPUTED_VALUE"""),"EXTERNAL")</f>
        <v>EXTERNAL</v>
      </c>
      <c r="D6985" s="115">
        <f>IFERROR(__xludf.DUMMYFUNCTION("""COMPUTED_VALUE"""),13444.0)</f>
        <v>13444</v>
      </c>
      <c r="E6985" s="115">
        <f>IFERROR(__xludf.DUMMYFUNCTION("""COMPUTED_VALUE"""),575.0)</f>
        <v>575</v>
      </c>
      <c r="F6985" s="115">
        <f>IFERROR(__xludf.DUMMYFUNCTION("""COMPUTED_VALUE"""),322.0)</f>
        <v>322</v>
      </c>
      <c r="G6985" s="115">
        <f>IFERROR(__xludf.DUMMYFUNCTION("""COMPUTED_VALUE"""),14.0)</f>
        <v>14</v>
      </c>
      <c r="H6985" s="116">
        <f>IFERROR(__xludf.DUMMYFUNCTION("""COMPUTED_VALUE"""),45913.0)</f>
        <v>45913</v>
      </c>
      <c r="I6985" s="115" t="str">
        <f>IFERROR(__xludf.DUMMYFUNCTION("""COMPUTED_VALUE"""),"10")</f>
        <v>10</v>
      </c>
      <c r="J6985" s="115"/>
      <c r="K6985" s="115"/>
    </row>
    <row r="6986">
      <c r="A6986" s="115" t="str">
        <f>IFERROR(__xludf.DUMMYFUNCTION("""COMPUTED_VALUE"""),"EAST")</f>
        <v>EAST</v>
      </c>
      <c r="B6986" s="115" t="str">
        <f>IFERROR(__xludf.DUMMYFUNCTION("""COMPUTED_VALUE"""),"Girish Chand")</f>
        <v>Girish Chand</v>
      </c>
      <c r="C6986" s="115" t="str">
        <f>IFERROR(__xludf.DUMMYFUNCTION("""COMPUTED_VALUE"""),"FLIPKART")</f>
        <v>FLIPKART</v>
      </c>
      <c r="D6986" s="115">
        <f>IFERROR(__xludf.DUMMYFUNCTION("""COMPUTED_VALUE"""),299742.0)</f>
        <v>299742</v>
      </c>
      <c r="E6986" s="115">
        <f>IFERROR(__xludf.DUMMYFUNCTION("""COMPUTED_VALUE"""),17640.0)</f>
        <v>17640</v>
      </c>
      <c r="F6986" s="115">
        <f>IFERROR(__xludf.DUMMYFUNCTION("""COMPUTED_VALUE"""),14442.0)</f>
        <v>14442</v>
      </c>
      <c r="G6986" s="115">
        <f>IFERROR(__xludf.DUMMYFUNCTION("""COMPUTED_VALUE"""),491.0)</f>
        <v>491</v>
      </c>
      <c r="H6986" s="116">
        <f>IFERROR(__xludf.DUMMYFUNCTION("""COMPUTED_VALUE"""),45913.0)</f>
        <v>45913</v>
      </c>
      <c r="I6986" s="115" t="str">
        <f>IFERROR(__xludf.DUMMYFUNCTION("""COMPUTED_VALUE"""),"10")</f>
        <v>10</v>
      </c>
      <c r="J6986" s="115"/>
      <c r="K6986" s="115"/>
    </row>
    <row r="6987">
      <c r="A6987" s="115" t="str">
        <f>IFERROR(__xludf.DUMMYFUNCTION("""COMPUTED_VALUE"""),"EAST")</f>
        <v>EAST</v>
      </c>
      <c r="B6987" s="115" t="str">
        <f>IFERROR(__xludf.DUMMYFUNCTION("""COMPUTED_VALUE"""),"Girish Chand")</f>
        <v>Girish Chand</v>
      </c>
      <c r="C6987" s="115" t="str">
        <f>IFERROR(__xludf.DUMMYFUNCTION("""COMPUTED_VALUE"""),"MYNTRA")</f>
        <v>MYNTRA</v>
      </c>
      <c r="D6987" s="115">
        <f>IFERROR(__xludf.DUMMYFUNCTION("""COMPUTED_VALUE"""),23289.0)</f>
        <v>23289</v>
      </c>
      <c r="E6987" s="115">
        <f>IFERROR(__xludf.DUMMYFUNCTION("""COMPUTED_VALUE"""),3216.0)</f>
        <v>3216</v>
      </c>
      <c r="F6987" s="115">
        <f>IFERROR(__xludf.DUMMYFUNCTION("""COMPUTED_VALUE"""),1511.0)</f>
        <v>1511</v>
      </c>
      <c r="G6987" s="115">
        <f>IFERROR(__xludf.DUMMYFUNCTION("""COMPUTED_VALUE"""),61.0)</f>
        <v>61</v>
      </c>
      <c r="H6987" s="116">
        <f>IFERROR(__xludf.DUMMYFUNCTION("""COMPUTED_VALUE"""),45913.0)</f>
        <v>45913</v>
      </c>
      <c r="I6987" s="115" t="str">
        <f>IFERROR(__xludf.DUMMYFUNCTION("""COMPUTED_VALUE"""),"10")</f>
        <v>10</v>
      </c>
      <c r="J6987" s="115"/>
      <c r="K6987" s="115"/>
    </row>
    <row r="6988">
      <c r="A6988" s="115" t="str">
        <f>IFERROR(__xludf.DUMMYFUNCTION("""COMPUTED_VALUE"""),"EAST")</f>
        <v>EAST</v>
      </c>
      <c r="B6988" s="115" t="str">
        <f>IFERROR(__xludf.DUMMYFUNCTION("""COMPUTED_VALUE"""),"Parag Kashyap")</f>
        <v>Parag Kashyap</v>
      </c>
      <c r="C6988" s="115" t="str">
        <f>IFERROR(__xludf.DUMMYFUNCTION("""COMPUTED_VALUE"""),"EXTERNAL")</f>
        <v>EXTERNAL</v>
      </c>
      <c r="D6988" s="115">
        <f>IFERROR(__xludf.DUMMYFUNCTION("""COMPUTED_VALUE"""),8695.0)</f>
        <v>8695</v>
      </c>
      <c r="E6988" s="115">
        <f>IFERROR(__xludf.DUMMYFUNCTION("""COMPUTED_VALUE"""),285.0)</f>
        <v>285</v>
      </c>
      <c r="F6988" s="115">
        <f>IFERROR(__xludf.DUMMYFUNCTION("""COMPUTED_VALUE"""),208.0)</f>
        <v>208</v>
      </c>
      <c r="G6988" s="115">
        <f>IFERROR(__xludf.DUMMYFUNCTION("""COMPUTED_VALUE"""),0.0)</f>
        <v>0</v>
      </c>
      <c r="H6988" s="116">
        <f>IFERROR(__xludf.DUMMYFUNCTION("""COMPUTED_VALUE"""),45913.0)</f>
        <v>45913</v>
      </c>
      <c r="I6988" s="115" t="str">
        <f>IFERROR(__xludf.DUMMYFUNCTION("""COMPUTED_VALUE"""),"10")</f>
        <v>10</v>
      </c>
      <c r="J6988" s="115"/>
      <c r="K6988" s="115"/>
    </row>
    <row r="6989">
      <c r="A6989" s="115" t="str">
        <f>IFERROR(__xludf.DUMMYFUNCTION("""COMPUTED_VALUE"""),"EAST")</f>
        <v>EAST</v>
      </c>
      <c r="B6989" s="115" t="str">
        <f>IFERROR(__xludf.DUMMYFUNCTION("""COMPUTED_VALUE"""),"Parag Kashyap")</f>
        <v>Parag Kashyap</v>
      </c>
      <c r="C6989" s="115" t="str">
        <f>IFERROR(__xludf.DUMMYFUNCTION("""COMPUTED_VALUE"""),"FLIPKART")</f>
        <v>FLIPKART</v>
      </c>
      <c r="D6989" s="115">
        <f>IFERROR(__xludf.DUMMYFUNCTION("""COMPUTED_VALUE"""),182802.0)</f>
        <v>182802</v>
      </c>
      <c r="E6989" s="115">
        <f>IFERROR(__xludf.DUMMYFUNCTION("""COMPUTED_VALUE"""),7821.0)</f>
        <v>7821</v>
      </c>
      <c r="F6989" s="115">
        <f>IFERROR(__xludf.DUMMYFUNCTION("""COMPUTED_VALUE"""),7611.0)</f>
        <v>7611</v>
      </c>
      <c r="G6989" s="115">
        <f>IFERROR(__xludf.DUMMYFUNCTION("""COMPUTED_VALUE"""),142.0)</f>
        <v>142</v>
      </c>
      <c r="H6989" s="116">
        <f>IFERROR(__xludf.DUMMYFUNCTION("""COMPUTED_VALUE"""),45913.0)</f>
        <v>45913</v>
      </c>
      <c r="I6989" s="115" t="str">
        <f>IFERROR(__xludf.DUMMYFUNCTION("""COMPUTED_VALUE"""),"10")</f>
        <v>10</v>
      </c>
      <c r="J6989" s="115"/>
      <c r="K6989" s="115"/>
    </row>
    <row r="6990">
      <c r="A6990" s="115" t="str">
        <f>IFERROR(__xludf.DUMMYFUNCTION("""COMPUTED_VALUE"""),"EAST")</f>
        <v>EAST</v>
      </c>
      <c r="B6990" s="115" t="str">
        <f>IFERROR(__xludf.DUMMYFUNCTION("""COMPUTED_VALUE"""),"Parag Kashyap")</f>
        <v>Parag Kashyap</v>
      </c>
      <c r="C6990" s="115" t="str">
        <f>IFERROR(__xludf.DUMMYFUNCTION("""COMPUTED_VALUE"""),"MYNTRA")</f>
        <v>MYNTRA</v>
      </c>
      <c r="D6990" s="115">
        <f>IFERROR(__xludf.DUMMYFUNCTION("""COMPUTED_VALUE"""),21144.0)</f>
        <v>21144</v>
      </c>
      <c r="E6990" s="115">
        <f>IFERROR(__xludf.DUMMYFUNCTION("""COMPUTED_VALUE"""),2672.0)</f>
        <v>2672</v>
      </c>
      <c r="F6990" s="115">
        <f>IFERROR(__xludf.DUMMYFUNCTION("""COMPUTED_VALUE"""),1032.0)</f>
        <v>1032</v>
      </c>
      <c r="G6990" s="115">
        <f>IFERROR(__xludf.DUMMYFUNCTION("""COMPUTED_VALUE"""),19.0)</f>
        <v>19</v>
      </c>
      <c r="H6990" s="116">
        <f>IFERROR(__xludf.DUMMYFUNCTION("""COMPUTED_VALUE"""),45913.0)</f>
        <v>45913</v>
      </c>
      <c r="I6990" s="115" t="str">
        <f>IFERROR(__xludf.DUMMYFUNCTION("""COMPUTED_VALUE"""),"10")</f>
        <v>10</v>
      </c>
      <c r="J6990" s="115"/>
      <c r="K6990" s="115"/>
    </row>
    <row r="6991">
      <c r="A6991" s="115" t="str">
        <f>IFERROR(__xludf.DUMMYFUNCTION("""COMPUTED_VALUE"""),"NORTH")</f>
        <v>NORTH</v>
      </c>
      <c r="B6991" s="115" t="str">
        <f>IFERROR(__xludf.DUMMYFUNCTION("""COMPUTED_VALUE"""),"Amit Kumar Pathak")</f>
        <v>Amit Kumar Pathak</v>
      </c>
      <c r="C6991" s="115" t="str">
        <f>IFERROR(__xludf.DUMMYFUNCTION("""COMPUTED_VALUE"""),"EXTERNAL")</f>
        <v>EXTERNAL</v>
      </c>
      <c r="D6991" s="115">
        <f>IFERROR(__xludf.DUMMYFUNCTION("""COMPUTED_VALUE"""),18083.0)</f>
        <v>18083</v>
      </c>
      <c r="E6991" s="115">
        <f>IFERROR(__xludf.DUMMYFUNCTION("""COMPUTED_VALUE"""),1611.0)</f>
        <v>1611</v>
      </c>
      <c r="F6991" s="115">
        <f>IFERROR(__xludf.DUMMYFUNCTION("""COMPUTED_VALUE"""),746.0)</f>
        <v>746</v>
      </c>
      <c r="G6991" s="115">
        <f>IFERROR(__xludf.DUMMYFUNCTION("""COMPUTED_VALUE"""),56.0)</f>
        <v>56</v>
      </c>
      <c r="H6991" s="116">
        <f>IFERROR(__xludf.DUMMYFUNCTION("""COMPUTED_VALUE"""),45913.0)</f>
        <v>45913</v>
      </c>
      <c r="I6991" s="115" t="str">
        <f>IFERROR(__xludf.DUMMYFUNCTION("""COMPUTED_VALUE"""),"10")</f>
        <v>10</v>
      </c>
      <c r="J6991" s="115"/>
      <c r="K6991" s="115"/>
    </row>
    <row r="6992">
      <c r="A6992" s="115" t="str">
        <f>IFERROR(__xludf.DUMMYFUNCTION("""COMPUTED_VALUE"""),"NORTH")</f>
        <v>NORTH</v>
      </c>
      <c r="B6992" s="115" t="str">
        <f>IFERROR(__xludf.DUMMYFUNCTION("""COMPUTED_VALUE"""),"Amit Kumar Pathak")</f>
        <v>Amit Kumar Pathak</v>
      </c>
      <c r="C6992" s="115" t="str">
        <f>IFERROR(__xludf.DUMMYFUNCTION("""COMPUTED_VALUE"""),"FLIPKART")</f>
        <v>FLIPKART</v>
      </c>
      <c r="D6992" s="115">
        <f>IFERROR(__xludf.DUMMYFUNCTION("""COMPUTED_VALUE"""),126278.0)</f>
        <v>126278</v>
      </c>
      <c r="E6992" s="115">
        <f>IFERROR(__xludf.DUMMYFUNCTION("""COMPUTED_VALUE"""),14111.0)</f>
        <v>14111</v>
      </c>
      <c r="F6992" s="115">
        <f>IFERROR(__xludf.DUMMYFUNCTION("""COMPUTED_VALUE"""),9762.0)</f>
        <v>9762</v>
      </c>
      <c r="G6992" s="115">
        <f>IFERROR(__xludf.DUMMYFUNCTION("""COMPUTED_VALUE"""),544.0)</f>
        <v>544</v>
      </c>
      <c r="H6992" s="116">
        <f>IFERROR(__xludf.DUMMYFUNCTION("""COMPUTED_VALUE"""),45913.0)</f>
        <v>45913</v>
      </c>
      <c r="I6992" s="115" t="str">
        <f>IFERROR(__xludf.DUMMYFUNCTION("""COMPUTED_VALUE"""),"10")</f>
        <v>10</v>
      </c>
      <c r="J6992" s="115"/>
      <c r="K6992" s="115"/>
    </row>
    <row r="6993">
      <c r="A6993" s="115" t="str">
        <f>IFERROR(__xludf.DUMMYFUNCTION("""COMPUTED_VALUE"""),"NORTH")</f>
        <v>NORTH</v>
      </c>
      <c r="B6993" s="115" t="str">
        <f>IFERROR(__xludf.DUMMYFUNCTION("""COMPUTED_VALUE"""),"Amit Kumar Pathak")</f>
        <v>Amit Kumar Pathak</v>
      </c>
      <c r="C6993" s="115" t="str">
        <f>IFERROR(__xludf.DUMMYFUNCTION("""COMPUTED_VALUE"""),"MYNTRA")</f>
        <v>MYNTRA</v>
      </c>
      <c r="D6993" s="115">
        <f>IFERROR(__xludf.DUMMYFUNCTION("""COMPUTED_VALUE"""),10721.0)</f>
        <v>10721</v>
      </c>
      <c r="E6993" s="115">
        <f>IFERROR(__xludf.DUMMYFUNCTION("""COMPUTED_VALUE"""),3445.0)</f>
        <v>3445</v>
      </c>
      <c r="F6993" s="115">
        <f>IFERROR(__xludf.DUMMYFUNCTION("""COMPUTED_VALUE"""),1049.0)</f>
        <v>1049</v>
      </c>
      <c r="G6993" s="115">
        <f>IFERROR(__xludf.DUMMYFUNCTION("""COMPUTED_VALUE"""),130.0)</f>
        <v>130</v>
      </c>
      <c r="H6993" s="116">
        <f>IFERROR(__xludf.DUMMYFUNCTION("""COMPUTED_VALUE"""),45913.0)</f>
        <v>45913</v>
      </c>
      <c r="I6993" s="115" t="str">
        <f>IFERROR(__xludf.DUMMYFUNCTION("""COMPUTED_VALUE"""),"10")</f>
        <v>10</v>
      </c>
      <c r="J6993" s="115"/>
      <c r="K6993" s="115"/>
    </row>
    <row r="6994">
      <c r="A6994" s="115" t="str">
        <f>IFERROR(__xludf.DUMMYFUNCTION("""COMPUTED_VALUE"""),"NORTH")</f>
        <v>NORTH</v>
      </c>
      <c r="B6994" s="115" t="str">
        <f>IFERROR(__xludf.DUMMYFUNCTION("""COMPUTED_VALUE"""),"Ashvani Bhatt")</f>
        <v>Ashvani Bhatt</v>
      </c>
      <c r="C6994" s="115" t="str">
        <f>IFERROR(__xludf.DUMMYFUNCTION("""COMPUTED_VALUE"""),"EXTERNAL")</f>
        <v>EXTERNAL</v>
      </c>
      <c r="D6994" s="115">
        <f>IFERROR(__xludf.DUMMYFUNCTION("""COMPUTED_VALUE"""),6.0)</f>
        <v>6</v>
      </c>
      <c r="E6994" s="115">
        <f>IFERROR(__xludf.DUMMYFUNCTION("""COMPUTED_VALUE"""),1.0)</f>
        <v>1</v>
      </c>
      <c r="F6994" s="115">
        <f>IFERROR(__xludf.DUMMYFUNCTION("""COMPUTED_VALUE"""),0.0)</f>
        <v>0</v>
      </c>
      <c r="G6994" s="115">
        <f>IFERROR(__xludf.DUMMYFUNCTION("""COMPUTED_VALUE"""),0.0)</f>
        <v>0</v>
      </c>
      <c r="H6994" s="116">
        <f>IFERROR(__xludf.DUMMYFUNCTION("""COMPUTED_VALUE"""),45913.0)</f>
        <v>45913</v>
      </c>
      <c r="I6994" s="115" t="str">
        <f>IFERROR(__xludf.DUMMYFUNCTION("""COMPUTED_VALUE"""),"10")</f>
        <v>10</v>
      </c>
      <c r="J6994" s="115"/>
      <c r="K6994" s="115"/>
    </row>
    <row r="6995">
      <c r="A6995" s="115" t="str">
        <f>IFERROR(__xludf.DUMMYFUNCTION("""COMPUTED_VALUE"""),"NORTH")</f>
        <v>NORTH</v>
      </c>
      <c r="B6995" s="115" t="str">
        <f>IFERROR(__xludf.DUMMYFUNCTION("""COMPUTED_VALUE"""),"Ashvani Bhatt")</f>
        <v>Ashvani Bhatt</v>
      </c>
      <c r="C6995" s="115" t="str">
        <f>IFERROR(__xludf.DUMMYFUNCTION("""COMPUTED_VALUE"""),"FLIPKART")</f>
        <v>FLIPKART</v>
      </c>
      <c r="D6995" s="115">
        <f>IFERROR(__xludf.DUMMYFUNCTION("""COMPUTED_VALUE"""),98.0)</f>
        <v>98</v>
      </c>
      <c r="E6995" s="115">
        <f>IFERROR(__xludf.DUMMYFUNCTION("""COMPUTED_VALUE"""),47.0)</f>
        <v>47</v>
      </c>
      <c r="F6995" s="115">
        <f>IFERROR(__xludf.DUMMYFUNCTION("""COMPUTED_VALUE"""),1.0)</f>
        <v>1</v>
      </c>
      <c r="G6995" s="115">
        <f>IFERROR(__xludf.DUMMYFUNCTION("""COMPUTED_VALUE"""),0.0)</f>
        <v>0</v>
      </c>
      <c r="H6995" s="116">
        <f>IFERROR(__xludf.DUMMYFUNCTION("""COMPUTED_VALUE"""),45913.0)</f>
        <v>45913</v>
      </c>
      <c r="I6995" s="115" t="str">
        <f>IFERROR(__xludf.DUMMYFUNCTION("""COMPUTED_VALUE"""),"10")</f>
        <v>10</v>
      </c>
      <c r="J6995" s="115"/>
      <c r="K6995" s="115"/>
    </row>
    <row r="6996">
      <c r="A6996" s="115" t="str">
        <f>IFERROR(__xludf.DUMMYFUNCTION("""COMPUTED_VALUE"""),"NORTH")</f>
        <v>NORTH</v>
      </c>
      <c r="B6996" s="115" t="str">
        <f>IFERROR(__xludf.DUMMYFUNCTION("""COMPUTED_VALUE"""),"Ashvani Bhatt")</f>
        <v>Ashvani Bhatt</v>
      </c>
      <c r="C6996" s="115" t="str">
        <f>IFERROR(__xludf.DUMMYFUNCTION("""COMPUTED_VALUE"""),"MYNTRA")</f>
        <v>MYNTRA</v>
      </c>
      <c r="D6996" s="115">
        <f>IFERROR(__xludf.DUMMYFUNCTION("""COMPUTED_VALUE"""),7.0)</f>
        <v>7</v>
      </c>
      <c r="E6996" s="115">
        <f>IFERROR(__xludf.DUMMYFUNCTION("""COMPUTED_VALUE"""),3.0)</f>
        <v>3</v>
      </c>
      <c r="F6996" s="115">
        <f>IFERROR(__xludf.DUMMYFUNCTION("""COMPUTED_VALUE"""),1.0)</f>
        <v>1</v>
      </c>
      <c r="G6996" s="115">
        <f>IFERROR(__xludf.DUMMYFUNCTION("""COMPUTED_VALUE"""),0.0)</f>
        <v>0</v>
      </c>
      <c r="H6996" s="116">
        <f>IFERROR(__xludf.DUMMYFUNCTION("""COMPUTED_VALUE"""),45913.0)</f>
        <v>45913</v>
      </c>
      <c r="I6996" s="115" t="str">
        <f>IFERROR(__xludf.DUMMYFUNCTION("""COMPUTED_VALUE"""),"10")</f>
        <v>10</v>
      </c>
      <c r="J6996" s="115"/>
      <c r="K6996" s="115"/>
    </row>
    <row r="6997">
      <c r="A6997" s="115" t="str">
        <f>IFERROR(__xludf.DUMMYFUNCTION("""COMPUTED_VALUE"""),"NORTH")</f>
        <v>NORTH</v>
      </c>
      <c r="B6997" s="115" t="str">
        <f>IFERROR(__xludf.DUMMYFUNCTION("""COMPUTED_VALUE"""),"Loveleen Singh")</f>
        <v>Loveleen Singh</v>
      </c>
      <c r="C6997" s="115" t="str">
        <f>IFERROR(__xludf.DUMMYFUNCTION("""COMPUTED_VALUE"""),"EXTERNAL")</f>
        <v>EXTERNAL</v>
      </c>
      <c r="D6997" s="115">
        <f>IFERROR(__xludf.DUMMYFUNCTION("""COMPUTED_VALUE"""),15513.0)</f>
        <v>15513</v>
      </c>
      <c r="E6997" s="115">
        <f>IFERROR(__xludf.DUMMYFUNCTION("""COMPUTED_VALUE"""),698.0)</f>
        <v>698</v>
      </c>
      <c r="F6997" s="115">
        <f>IFERROR(__xludf.DUMMYFUNCTION("""COMPUTED_VALUE"""),494.0)</f>
        <v>494</v>
      </c>
      <c r="G6997" s="115">
        <f>IFERROR(__xludf.DUMMYFUNCTION("""COMPUTED_VALUE"""),18.0)</f>
        <v>18</v>
      </c>
      <c r="H6997" s="116">
        <f>IFERROR(__xludf.DUMMYFUNCTION("""COMPUTED_VALUE"""),45913.0)</f>
        <v>45913</v>
      </c>
      <c r="I6997" s="115" t="str">
        <f>IFERROR(__xludf.DUMMYFUNCTION("""COMPUTED_VALUE"""),"10")</f>
        <v>10</v>
      </c>
      <c r="J6997" s="115"/>
      <c r="K6997" s="115"/>
    </row>
    <row r="6998">
      <c r="A6998" s="115" t="str">
        <f>IFERROR(__xludf.DUMMYFUNCTION("""COMPUTED_VALUE"""),"NORTH")</f>
        <v>NORTH</v>
      </c>
      <c r="B6998" s="115" t="str">
        <f>IFERROR(__xludf.DUMMYFUNCTION("""COMPUTED_VALUE"""),"Loveleen Singh")</f>
        <v>Loveleen Singh</v>
      </c>
      <c r="C6998" s="115" t="str">
        <f>IFERROR(__xludf.DUMMYFUNCTION("""COMPUTED_VALUE"""),"FLIPKART")</f>
        <v>FLIPKART</v>
      </c>
      <c r="D6998" s="115">
        <f>IFERROR(__xludf.DUMMYFUNCTION("""COMPUTED_VALUE"""),108404.0)</f>
        <v>108404</v>
      </c>
      <c r="E6998" s="115">
        <f>IFERROR(__xludf.DUMMYFUNCTION("""COMPUTED_VALUE"""),6069.0)</f>
        <v>6069</v>
      </c>
      <c r="F6998" s="115">
        <f>IFERROR(__xludf.DUMMYFUNCTION("""COMPUTED_VALUE"""),7234.0)</f>
        <v>7234</v>
      </c>
      <c r="G6998" s="115">
        <f>IFERROR(__xludf.DUMMYFUNCTION("""COMPUTED_VALUE"""),170.0)</f>
        <v>170</v>
      </c>
      <c r="H6998" s="116">
        <f>IFERROR(__xludf.DUMMYFUNCTION("""COMPUTED_VALUE"""),45913.0)</f>
        <v>45913</v>
      </c>
      <c r="I6998" s="115" t="str">
        <f>IFERROR(__xludf.DUMMYFUNCTION("""COMPUTED_VALUE"""),"10")</f>
        <v>10</v>
      </c>
      <c r="J6998" s="115"/>
      <c r="K6998" s="115"/>
    </row>
    <row r="6999">
      <c r="A6999" s="115" t="str">
        <f>IFERROR(__xludf.DUMMYFUNCTION("""COMPUTED_VALUE"""),"NORTH")</f>
        <v>NORTH</v>
      </c>
      <c r="B6999" s="115" t="str">
        <f>IFERROR(__xludf.DUMMYFUNCTION("""COMPUTED_VALUE"""),"Loveleen Singh")</f>
        <v>Loveleen Singh</v>
      </c>
      <c r="C6999" s="115" t="str">
        <f>IFERROR(__xludf.DUMMYFUNCTION("""COMPUTED_VALUE"""),"MYNTRA")</f>
        <v>MYNTRA</v>
      </c>
      <c r="D6999" s="115">
        <f>IFERROR(__xludf.DUMMYFUNCTION("""COMPUTED_VALUE"""),17576.0)</f>
        <v>17576</v>
      </c>
      <c r="E6999" s="115">
        <f>IFERROR(__xludf.DUMMYFUNCTION("""COMPUTED_VALUE"""),2526.0)</f>
        <v>2526</v>
      </c>
      <c r="F6999" s="115">
        <f>IFERROR(__xludf.DUMMYFUNCTION("""COMPUTED_VALUE"""),1775.0)</f>
        <v>1775</v>
      </c>
      <c r="G6999" s="115">
        <f>IFERROR(__xludf.DUMMYFUNCTION("""COMPUTED_VALUE"""),78.0)</f>
        <v>78</v>
      </c>
      <c r="H6999" s="116">
        <f>IFERROR(__xludf.DUMMYFUNCTION("""COMPUTED_VALUE"""),45913.0)</f>
        <v>45913</v>
      </c>
      <c r="I6999" s="115" t="str">
        <f>IFERROR(__xludf.DUMMYFUNCTION("""COMPUTED_VALUE"""),"10")</f>
        <v>10</v>
      </c>
      <c r="J6999" s="115"/>
      <c r="K6999" s="115"/>
    </row>
    <row r="7000">
      <c r="A7000" s="115" t="str">
        <f>IFERROR(__xludf.DUMMYFUNCTION("""COMPUTED_VALUE"""),"NORTH")</f>
        <v>NORTH</v>
      </c>
      <c r="B7000" s="115" t="str">
        <f>IFERROR(__xludf.DUMMYFUNCTION("""COMPUTED_VALUE"""),"Manoj Harsh")</f>
        <v>Manoj Harsh</v>
      </c>
      <c r="C7000" s="115" t="str">
        <f>IFERROR(__xludf.DUMMYFUNCTION("""COMPUTED_VALUE"""),"EXTERNAL")</f>
        <v>EXTERNAL</v>
      </c>
      <c r="D7000" s="115">
        <f>IFERROR(__xludf.DUMMYFUNCTION("""COMPUTED_VALUE"""),19258.0)</f>
        <v>19258</v>
      </c>
      <c r="E7000" s="115">
        <f>IFERROR(__xludf.DUMMYFUNCTION("""COMPUTED_VALUE"""),774.0)</f>
        <v>774</v>
      </c>
      <c r="F7000" s="115">
        <f>IFERROR(__xludf.DUMMYFUNCTION("""COMPUTED_VALUE"""),506.0)</f>
        <v>506</v>
      </c>
      <c r="G7000" s="115">
        <f>IFERROR(__xludf.DUMMYFUNCTION("""COMPUTED_VALUE"""),10.0)</f>
        <v>10</v>
      </c>
      <c r="H7000" s="116">
        <f>IFERROR(__xludf.DUMMYFUNCTION("""COMPUTED_VALUE"""),45913.0)</f>
        <v>45913</v>
      </c>
      <c r="I7000" s="115" t="str">
        <f>IFERROR(__xludf.DUMMYFUNCTION("""COMPUTED_VALUE"""),"10")</f>
        <v>10</v>
      </c>
      <c r="J7000" s="115"/>
      <c r="K7000" s="115"/>
    </row>
    <row r="7001">
      <c r="A7001" s="115" t="str">
        <f>IFERROR(__xludf.DUMMYFUNCTION("""COMPUTED_VALUE"""),"NORTH")</f>
        <v>NORTH</v>
      </c>
      <c r="B7001" s="115" t="str">
        <f>IFERROR(__xludf.DUMMYFUNCTION("""COMPUTED_VALUE"""),"Manoj Harsh")</f>
        <v>Manoj Harsh</v>
      </c>
      <c r="C7001" s="115" t="str">
        <f>IFERROR(__xludf.DUMMYFUNCTION("""COMPUTED_VALUE"""),"FLIPKART")</f>
        <v>FLIPKART</v>
      </c>
      <c r="D7001" s="115">
        <f>IFERROR(__xludf.DUMMYFUNCTION("""COMPUTED_VALUE"""),272464.0)</f>
        <v>272464</v>
      </c>
      <c r="E7001" s="115">
        <f>IFERROR(__xludf.DUMMYFUNCTION("""COMPUTED_VALUE"""),18200.0)</f>
        <v>18200</v>
      </c>
      <c r="F7001" s="115">
        <f>IFERROR(__xludf.DUMMYFUNCTION("""COMPUTED_VALUE"""),13421.0)</f>
        <v>13421</v>
      </c>
      <c r="G7001" s="115">
        <f>IFERROR(__xludf.DUMMYFUNCTION("""COMPUTED_VALUE"""),385.0)</f>
        <v>385</v>
      </c>
      <c r="H7001" s="116">
        <f>IFERROR(__xludf.DUMMYFUNCTION("""COMPUTED_VALUE"""),45913.0)</f>
        <v>45913</v>
      </c>
      <c r="I7001" s="115" t="str">
        <f>IFERROR(__xludf.DUMMYFUNCTION("""COMPUTED_VALUE"""),"10")</f>
        <v>10</v>
      </c>
      <c r="J7001" s="115"/>
      <c r="K7001" s="115"/>
    </row>
    <row r="7002">
      <c r="A7002" s="115" t="str">
        <f>IFERROR(__xludf.DUMMYFUNCTION("""COMPUTED_VALUE"""),"NORTH")</f>
        <v>NORTH</v>
      </c>
      <c r="B7002" s="115" t="str">
        <f>IFERROR(__xludf.DUMMYFUNCTION("""COMPUTED_VALUE"""),"Manoj Harsh")</f>
        <v>Manoj Harsh</v>
      </c>
      <c r="C7002" s="115" t="str">
        <f>IFERROR(__xludf.DUMMYFUNCTION("""COMPUTED_VALUE"""),"MYNTRA")</f>
        <v>MYNTRA</v>
      </c>
      <c r="D7002" s="115">
        <f>IFERROR(__xludf.DUMMYFUNCTION("""COMPUTED_VALUE"""),21452.0)</f>
        <v>21452</v>
      </c>
      <c r="E7002" s="115">
        <f>IFERROR(__xludf.DUMMYFUNCTION("""COMPUTED_VALUE"""),3624.0)</f>
        <v>3624</v>
      </c>
      <c r="F7002" s="115">
        <f>IFERROR(__xludf.DUMMYFUNCTION("""COMPUTED_VALUE"""),1233.0)</f>
        <v>1233</v>
      </c>
      <c r="G7002" s="115">
        <f>IFERROR(__xludf.DUMMYFUNCTION("""COMPUTED_VALUE"""),89.0)</f>
        <v>89</v>
      </c>
      <c r="H7002" s="116">
        <f>IFERROR(__xludf.DUMMYFUNCTION("""COMPUTED_VALUE"""),45913.0)</f>
        <v>45913</v>
      </c>
      <c r="I7002" s="115" t="str">
        <f>IFERROR(__xludf.DUMMYFUNCTION("""COMPUTED_VALUE"""),"10")</f>
        <v>10</v>
      </c>
      <c r="J7002" s="115"/>
      <c r="K7002" s="115"/>
    </row>
    <row r="7003">
      <c r="A7003" s="115" t="str">
        <f>IFERROR(__xludf.DUMMYFUNCTION("""COMPUTED_VALUE"""),"NORTH")</f>
        <v>NORTH</v>
      </c>
      <c r="B7003" s="115" t="str">
        <f>IFERROR(__xludf.DUMMYFUNCTION("""COMPUTED_VALUE"""),"Pradeep Kothari")</f>
        <v>Pradeep Kothari</v>
      </c>
      <c r="C7003" s="115" t="str">
        <f>IFERROR(__xludf.DUMMYFUNCTION("""COMPUTED_VALUE"""),"EXTERNAL")</f>
        <v>EXTERNAL</v>
      </c>
      <c r="D7003" s="115">
        <f>IFERROR(__xludf.DUMMYFUNCTION("""COMPUTED_VALUE"""),11760.0)</f>
        <v>11760</v>
      </c>
      <c r="E7003" s="115">
        <f>IFERROR(__xludf.DUMMYFUNCTION("""COMPUTED_VALUE"""),693.0)</f>
        <v>693</v>
      </c>
      <c r="F7003" s="115">
        <f>IFERROR(__xludf.DUMMYFUNCTION("""COMPUTED_VALUE"""),458.0)</f>
        <v>458</v>
      </c>
      <c r="G7003" s="115">
        <f>IFERROR(__xludf.DUMMYFUNCTION("""COMPUTED_VALUE"""),15.0)</f>
        <v>15</v>
      </c>
      <c r="H7003" s="116">
        <f>IFERROR(__xludf.DUMMYFUNCTION("""COMPUTED_VALUE"""),45913.0)</f>
        <v>45913</v>
      </c>
      <c r="I7003" s="115" t="str">
        <f>IFERROR(__xludf.DUMMYFUNCTION("""COMPUTED_VALUE"""),"10")</f>
        <v>10</v>
      </c>
      <c r="J7003" s="115"/>
      <c r="K7003" s="115"/>
    </row>
    <row r="7004">
      <c r="A7004" s="115" t="str">
        <f>IFERROR(__xludf.DUMMYFUNCTION("""COMPUTED_VALUE"""),"NORTH")</f>
        <v>NORTH</v>
      </c>
      <c r="B7004" s="115" t="str">
        <f>IFERROR(__xludf.DUMMYFUNCTION("""COMPUTED_VALUE"""),"Pradeep Kothari")</f>
        <v>Pradeep Kothari</v>
      </c>
      <c r="C7004" s="115" t="str">
        <f>IFERROR(__xludf.DUMMYFUNCTION("""COMPUTED_VALUE"""),"FLIPKART")</f>
        <v>FLIPKART</v>
      </c>
      <c r="D7004" s="115">
        <f>IFERROR(__xludf.DUMMYFUNCTION("""COMPUTED_VALUE"""),111673.0)</f>
        <v>111673</v>
      </c>
      <c r="E7004" s="115">
        <f>IFERROR(__xludf.DUMMYFUNCTION("""COMPUTED_VALUE"""),9836.0)</f>
        <v>9836</v>
      </c>
      <c r="F7004" s="115">
        <f>IFERROR(__xludf.DUMMYFUNCTION("""COMPUTED_VALUE"""),8513.0)</f>
        <v>8513</v>
      </c>
      <c r="G7004" s="115">
        <f>IFERROR(__xludf.DUMMYFUNCTION("""COMPUTED_VALUE"""),389.0)</f>
        <v>389</v>
      </c>
      <c r="H7004" s="116">
        <f>IFERROR(__xludf.DUMMYFUNCTION("""COMPUTED_VALUE"""),45913.0)</f>
        <v>45913</v>
      </c>
      <c r="I7004" s="115" t="str">
        <f>IFERROR(__xludf.DUMMYFUNCTION("""COMPUTED_VALUE"""),"10")</f>
        <v>10</v>
      </c>
      <c r="J7004" s="115"/>
      <c r="K7004" s="115"/>
    </row>
    <row r="7005">
      <c r="A7005" s="115" t="str">
        <f>IFERROR(__xludf.DUMMYFUNCTION("""COMPUTED_VALUE"""),"NORTH")</f>
        <v>NORTH</v>
      </c>
      <c r="B7005" s="115" t="str">
        <f>IFERROR(__xludf.DUMMYFUNCTION("""COMPUTED_VALUE"""),"Pradeep Kothari")</f>
        <v>Pradeep Kothari</v>
      </c>
      <c r="C7005" s="115" t="str">
        <f>IFERROR(__xludf.DUMMYFUNCTION("""COMPUTED_VALUE"""),"MYNTRA")</f>
        <v>MYNTRA</v>
      </c>
      <c r="D7005" s="115">
        <f>IFERROR(__xludf.DUMMYFUNCTION("""COMPUTED_VALUE"""),17635.0)</f>
        <v>17635</v>
      </c>
      <c r="E7005" s="115">
        <f>IFERROR(__xludf.DUMMYFUNCTION("""COMPUTED_VALUE"""),3242.0)</f>
        <v>3242</v>
      </c>
      <c r="F7005" s="115">
        <f>IFERROR(__xludf.DUMMYFUNCTION("""COMPUTED_VALUE"""),1925.0)</f>
        <v>1925</v>
      </c>
      <c r="G7005" s="115">
        <f>IFERROR(__xludf.DUMMYFUNCTION("""COMPUTED_VALUE"""),109.0)</f>
        <v>109</v>
      </c>
      <c r="H7005" s="116">
        <f>IFERROR(__xludf.DUMMYFUNCTION("""COMPUTED_VALUE"""),45913.0)</f>
        <v>45913</v>
      </c>
      <c r="I7005" s="115" t="str">
        <f>IFERROR(__xludf.DUMMYFUNCTION("""COMPUTED_VALUE"""),"10")</f>
        <v>10</v>
      </c>
      <c r="J7005" s="115"/>
      <c r="K7005" s="115"/>
    </row>
    <row r="7006">
      <c r="A7006" s="115" t="str">
        <f>IFERROR(__xludf.DUMMYFUNCTION("""COMPUTED_VALUE"""),"SOUTH")</f>
        <v>SOUTH</v>
      </c>
      <c r="B7006" s="115" t="str">
        <f>IFERROR(__xludf.DUMMYFUNCTION("""COMPUTED_VALUE"""),"Kandula Sampath")</f>
        <v>Kandula Sampath</v>
      </c>
      <c r="C7006" s="115" t="str">
        <f>IFERROR(__xludf.DUMMYFUNCTION("""COMPUTED_VALUE"""),"EXTERNAL")</f>
        <v>EXTERNAL</v>
      </c>
      <c r="D7006" s="115">
        <f>IFERROR(__xludf.DUMMYFUNCTION("""COMPUTED_VALUE"""),22896.0)</f>
        <v>22896</v>
      </c>
      <c r="E7006" s="115">
        <f>IFERROR(__xludf.DUMMYFUNCTION("""COMPUTED_VALUE"""),1638.0)</f>
        <v>1638</v>
      </c>
      <c r="F7006" s="115">
        <f>IFERROR(__xludf.DUMMYFUNCTION("""COMPUTED_VALUE"""),1289.0)</f>
        <v>1289</v>
      </c>
      <c r="G7006" s="115">
        <f>IFERROR(__xludf.DUMMYFUNCTION("""COMPUTED_VALUE"""),27.0)</f>
        <v>27</v>
      </c>
      <c r="H7006" s="116">
        <f>IFERROR(__xludf.DUMMYFUNCTION("""COMPUTED_VALUE"""),45913.0)</f>
        <v>45913</v>
      </c>
      <c r="I7006" s="115" t="str">
        <f>IFERROR(__xludf.DUMMYFUNCTION("""COMPUTED_VALUE"""),"10")</f>
        <v>10</v>
      </c>
      <c r="J7006" s="115"/>
      <c r="K7006" s="115"/>
    </row>
    <row r="7007">
      <c r="A7007" s="115" t="str">
        <f>IFERROR(__xludf.DUMMYFUNCTION("""COMPUTED_VALUE"""),"SOUTH")</f>
        <v>SOUTH</v>
      </c>
      <c r="B7007" s="115" t="str">
        <f>IFERROR(__xludf.DUMMYFUNCTION("""COMPUTED_VALUE"""),"Kandula Sampath")</f>
        <v>Kandula Sampath</v>
      </c>
      <c r="C7007" s="115" t="str">
        <f>IFERROR(__xludf.DUMMYFUNCTION("""COMPUTED_VALUE"""),"FLIPKART")</f>
        <v>FLIPKART</v>
      </c>
      <c r="D7007" s="115">
        <f>IFERROR(__xludf.DUMMYFUNCTION("""COMPUTED_VALUE"""),300621.0)</f>
        <v>300621</v>
      </c>
      <c r="E7007" s="115">
        <f>IFERROR(__xludf.DUMMYFUNCTION("""COMPUTED_VALUE"""),17880.0)</f>
        <v>17880</v>
      </c>
      <c r="F7007" s="115">
        <f>IFERROR(__xludf.DUMMYFUNCTION("""COMPUTED_VALUE"""),32160.0)</f>
        <v>32160</v>
      </c>
      <c r="G7007" s="115">
        <f>IFERROR(__xludf.DUMMYFUNCTION("""COMPUTED_VALUE"""),362.0)</f>
        <v>362</v>
      </c>
      <c r="H7007" s="116">
        <f>IFERROR(__xludf.DUMMYFUNCTION("""COMPUTED_VALUE"""),45913.0)</f>
        <v>45913</v>
      </c>
      <c r="I7007" s="115" t="str">
        <f>IFERROR(__xludf.DUMMYFUNCTION("""COMPUTED_VALUE"""),"10")</f>
        <v>10</v>
      </c>
      <c r="J7007" s="115"/>
      <c r="K7007" s="115"/>
    </row>
    <row r="7008">
      <c r="A7008" s="115" t="str">
        <f>IFERROR(__xludf.DUMMYFUNCTION("""COMPUTED_VALUE"""),"SOUTH")</f>
        <v>SOUTH</v>
      </c>
      <c r="B7008" s="115" t="str">
        <f>IFERROR(__xludf.DUMMYFUNCTION("""COMPUTED_VALUE"""),"Kandula Sampath")</f>
        <v>Kandula Sampath</v>
      </c>
      <c r="C7008" s="115" t="str">
        <f>IFERROR(__xludf.DUMMYFUNCTION("""COMPUTED_VALUE"""),"MYNTRA")</f>
        <v>MYNTRA</v>
      </c>
      <c r="D7008" s="115">
        <f>IFERROR(__xludf.DUMMYFUNCTION("""COMPUTED_VALUE"""),30195.0)</f>
        <v>30195</v>
      </c>
      <c r="E7008" s="115">
        <f>IFERROR(__xludf.DUMMYFUNCTION("""COMPUTED_VALUE"""),5201.0)</f>
        <v>5201</v>
      </c>
      <c r="F7008" s="115">
        <f>IFERROR(__xludf.DUMMYFUNCTION("""COMPUTED_VALUE"""),3722.0)</f>
        <v>3722</v>
      </c>
      <c r="G7008" s="115">
        <f>IFERROR(__xludf.DUMMYFUNCTION("""COMPUTED_VALUE"""),106.0)</f>
        <v>106</v>
      </c>
      <c r="H7008" s="116">
        <f>IFERROR(__xludf.DUMMYFUNCTION("""COMPUTED_VALUE"""),45913.0)</f>
        <v>45913</v>
      </c>
      <c r="I7008" s="115" t="str">
        <f>IFERROR(__xludf.DUMMYFUNCTION("""COMPUTED_VALUE"""),"10")</f>
        <v>10</v>
      </c>
      <c r="J7008" s="115"/>
      <c r="K7008" s="115"/>
    </row>
    <row r="7009">
      <c r="A7009" s="115" t="str">
        <f>IFERROR(__xludf.DUMMYFUNCTION("""COMPUTED_VALUE"""),"SOUTH")</f>
        <v>SOUTH</v>
      </c>
      <c r="B7009" s="115" t="str">
        <f>IFERROR(__xludf.DUMMYFUNCTION("""COMPUTED_VALUE"""),"Martin A")</f>
        <v>Martin A</v>
      </c>
      <c r="C7009" s="115" t="str">
        <f>IFERROR(__xludf.DUMMYFUNCTION("""COMPUTED_VALUE"""),"EXTERNAL")</f>
        <v>EXTERNAL</v>
      </c>
      <c r="D7009" s="115">
        <f>IFERROR(__xludf.DUMMYFUNCTION("""COMPUTED_VALUE"""),18249.0)</f>
        <v>18249</v>
      </c>
      <c r="E7009" s="115">
        <f>IFERROR(__xludf.DUMMYFUNCTION("""COMPUTED_VALUE"""),1799.0)</f>
        <v>1799</v>
      </c>
      <c r="F7009" s="115">
        <f>IFERROR(__xludf.DUMMYFUNCTION("""COMPUTED_VALUE"""),976.0)</f>
        <v>976</v>
      </c>
      <c r="G7009" s="115">
        <f>IFERROR(__xludf.DUMMYFUNCTION("""COMPUTED_VALUE"""),48.0)</f>
        <v>48</v>
      </c>
      <c r="H7009" s="116">
        <f>IFERROR(__xludf.DUMMYFUNCTION("""COMPUTED_VALUE"""),45913.0)</f>
        <v>45913</v>
      </c>
      <c r="I7009" s="115" t="str">
        <f>IFERROR(__xludf.DUMMYFUNCTION("""COMPUTED_VALUE"""),"10")</f>
        <v>10</v>
      </c>
      <c r="J7009" s="115"/>
      <c r="K7009" s="115"/>
    </row>
    <row r="7010">
      <c r="A7010" s="115" t="str">
        <f>IFERROR(__xludf.DUMMYFUNCTION("""COMPUTED_VALUE"""),"SOUTH")</f>
        <v>SOUTH</v>
      </c>
      <c r="B7010" s="115" t="str">
        <f>IFERROR(__xludf.DUMMYFUNCTION("""COMPUTED_VALUE"""),"Martin A")</f>
        <v>Martin A</v>
      </c>
      <c r="C7010" s="115" t="str">
        <f>IFERROR(__xludf.DUMMYFUNCTION("""COMPUTED_VALUE"""),"FLIPKART")</f>
        <v>FLIPKART</v>
      </c>
      <c r="D7010" s="115">
        <f>IFERROR(__xludf.DUMMYFUNCTION("""COMPUTED_VALUE"""),214826.0)</f>
        <v>214826</v>
      </c>
      <c r="E7010" s="115">
        <f>IFERROR(__xludf.DUMMYFUNCTION("""COMPUTED_VALUE"""),16657.0)</f>
        <v>16657</v>
      </c>
      <c r="F7010" s="115">
        <f>IFERROR(__xludf.DUMMYFUNCTION("""COMPUTED_VALUE"""),20611.0)</f>
        <v>20611</v>
      </c>
      <c r="G7010" s="115">
        <f>IFERROR(__xludf.DUMMYFUNCTION("""COMPUTED_VALUE"""),554.0)</f>
        <v>554</v>
      </c>
      <c r="H7010" s="116">
        <f>IFERROR(__xludf.DUMMYFUNCTION("""COMPUTED_VALUE"""),45913.0)</f>
        <v>45913</v>
      </c>
      <c r="I7010" s="115" t="str">
        <f>IFERROR(__xludf.DUMMYFUNCTION("""COMPUTED_VALUE"""),"10")</f>
        <v>10</v>
      </c>
      <c r="J7010" s="115"/>
      <c r="K7010" s="115"/>
    </row>
    <row r="7011">
      <c r="A7011" s="115" t="str">
        <f>IFERROR(__xludf.DUMMYFUNCTION("""COMPUTED_VALUE"""),"SOUTH")</f>
        <v>SOUTH</v>
      </c>
      <c r="B7011" s="115" t="str">
        <f>IFERROR(__xludf.DUMMYFUNCTION("""COMPUTED_VALUE"""),"Martin A")</f>
        <v>Martin A</v>
      </c>
      <c r="C7011" s="115" t="str">
        <f>IFERROR(__xludf.DUMMYFUNCTION("""COMPUTED_VALUE"""),"MYNTRA")</f>
        <v>MYNTRA</v>
      </c>
      <c r="D7011" s="115">
        <f>IFERROR(__xludf.DUMMYFUNCTION("""COMPUTED_VALUE"""),19825.0)</f>
        <v>19825</v>
      </c>
      <c r="E7011" s="115">
        <f>IFERROR(__xludf.DUMMYFUNCTION("""COMPUTED_VALUE"""),4408.0)</f>
        <v>4408</v>
      </c>
      <c r="F7011" s="115">
        <f>IFERROR(__xludf.DUMMYFUNCTION("""COMPUTED_VALUE"""),2280.0)</f>
        <v>2280</v>
      </c>
      <c r="G7011" s="115">
        <f>IFERROR(__xludf.DUMMYFUNCTION("""COMPUTED_VALUE"""),144.0)</f>
        <v>144</v>
      </c>
      <c r="H7011" s="116">
        <f>IFERROR(__xludf.DUMMYFUNCTION("""COMPUTED_VALUE"""),45913.0)</f>
        <v>45913</v>
      </c>
      <c r="I7011" s="115" t="str">
        <f>IFERROR(__xludf.DUMMYFUNCTION("""COMPUTED_VALUE"""),"10")</f>
        <v>10</v>
      </c>
      <c r="J7011" s="115"/>
      <c r="K7011" s="115"/>
    </row>
    <row r="7012">
      <c r="A7012" s="115" t="str">
        <f>IFERROR(__xludf.DUMMYFUNCTION("""COMPUTED_VALUE"""),"SOUTH")</f>
        <v>SOUTH</v>
      </c>
      <c r="B7012" s="115" t="str">
        <f>IFERROR(__xludf.DUMMYFUNCTION("""COMPUTED_VALUE"""),"Premkumar M")</f>
        <v>Premkumar M</v>
      </c>
      <c r="C7012" s="115" t="str">
        <f>IFERROR(__xludf.DUMMYFUNCTION("""COMPUTED_VALUE"""),"EXTERNAL")</f>
        <v>EXTERNAL</v>
      </c>
      <c r="D7012" s="115">
        <f>IFERROR(__xludf.DUMMYFUNCTION("""COMPUTED_VALUE"""),9662.0)</f>
        <v>9662</v>
      </c>
      <c r="E7012" s="115">
        <f>IFERROR(__xludf.DUMMYFUNCTION("""COMPUTED_VALUE"""),356.0)</f>
        <v>356</v>
      </c>
      <c r="F7012" s="115">
        <f>IFERROR(__xludf.DUMMYFUNCTION("""COMPUTED_VALUE"""),284.0)</f>
        <v>284</v>
      </c>
      <c r="G7012" s="115">
        <f>IFERROR(__xludf.DUMMYFUNCTION("""COMPUTED_VALUE"""),4.0)</f>
        <v>4</v>
      </c>
      <c r="H7012" s="116">
        <f>IFERROR(__xludf.DUMMYFUNCTION("""COMPUTED_VALUE"""),45913.0)</f>
        <v>45913</v>
      </c>
      <c r="I7012" s="115" t="str">
        <f>IFERROR(__xludf.DUMMYFUNCTION("""COMPUTED_VALUE"""),"10")</f>
        <v>10</v>
      </c>
      <c r="J7012" s="115"/>
      <c r="K7012" s="115"/>
    </row>
    <row r="7013">
      <c r="A7013" s="115" t="str">
        <f>IFERROR(__xludf.DUMMYFUNCTION("""COMPUTED_VALUE"""),"SOUTH")</f>
        <v>SOUTH</v>
      </c>
      <c r="B7013" s="115" t="str">
        <f>IFERROR(__xludf.DUMMYFUNCTION("""COMPUTED_VALUE"""),"Premkumar M")</f>
        <v>Premkumar M</v>
      </c>
      <c r="C7013" s="115" t="str">
        <f>IFERROR(__xludf.DUMMYFUNCTION("""COMPUTED_VALUE"""),"FLIPKART")</f>
        <v>FLIPKART</v>
      </c>
      <c r="D7013" s="115">
        <f>IFERROR(__xludf.DUMMYFUNCTION("""COMPUTED_VALUE"""),119967.0)</f>
        <v>119967</v>
      </c>
      <c r="E7013" s="115">
        <f>IFERROR(__xludf.DUMMYFUNCTION("""COMPUTED_VALUE"""),5421.0)</f>
        <v>5421</v>
      </c>
      <c r="F7013" s="115">
        <f>IFERROR(__xludf.DUMMYFUNCTION("""COMPUTED_VALUE"""),6375.0)</f>
        <v>6375</v>
      </c>
      <c r="G7013" s="115">
        <f>IFERROR(__xludf.DUMMYFUNCTION("""COMPUTED_VALUE"""),61.0)</f>
        <v>61</v>
      </c>
      <c r="H7013" s="116">
        <f>IFERROR(__xludf.DUMMYFUNCTION("""COMPUTED_VALUE"""),45913.0)</f>
        <v>45913</v>
      </c>
      <c r="I7013" s="115" t="str">
        <f>IFERROR(__xludf.DUMMYFUNCTION("""COMPUTED_VALUE"""),"10")</f>
        <v>10</v>
      </c>
      <c r="J7013" s="115"/>
      <c r="K7013" s="115"/>
    </row>
    <row r="7014">
      <c r="A7014" s="115" t="str">
        <f>IFERROR(__xludf.DUMMYFUNCTION("""COMPUTED_VALUE"""),"SOUTH")</f>
        <v>SOUTH</v>
      </c>
      <c r="B7014" s="115" t="str">
        <f>IFERROR(__xludf.DUMMYFUNCTION("""COMPUTED_VALUE"""),"Premkumar M")</f>
        <v>Premkumar M</v>
      </c>
      <c r="C7014" s="115" t="str">
        <f>IFERROR(__xludf.DUMMYFUNCTION("""COMPUTED_VALUE"""),"MYNTRA")</f>
        <v>MYNTRA</v>
      </c>
      <c r="D7014" s="115">
        <f>IFERROR(__xludf.DUMMYFUNCTION("""COMPUTED_VALUE"""),6180.0)</f>
        <v>6180</v>
      </c>
      <c r="E7014" s="115">
        <f>IFERROR(__xludf.DUMMYFUNCTION("""COMPUTED_VALUE"""),1018.0)</f>
        <v>1018</v>
      </c>
      <c r="F7014" s="115">
        <f>IFERROR(__xludf.DUMMYFUNCTION("""COMPUTED_VALUE"""),379.0)</f>
        <v>379</v>
      </c>
      <c r="G7014" s="115">
        <f>IFERROR(__xludf.DUMMYFUNCTION("""COMPUTED_VALUE"""),8.0)</f>
        <v>8</v>
      </c>
      <c r="H7014" s="116">
        <f>IFERROR(__xludf.DUMMYFUNCTION("""COMPUTED_VALUE"""),45913.0)</f>
        <v>45913</v>
      </c>
      <c r="I7014" s="115" t="str">
        <f>IFERROR(__xludf.DUMMYFUNCTION("""COMPUTED_VALUE"""),"10")</f>
        <v>10</v>
      </c>
      <c r="J7014" s="115"/>
      <c r="K7014" s="115"/>
    </row>
    <row r="7015">
      <c r="A7015" s="115" t="str">
        <f>IFERROR(__xludf.DUMMYFUNCTION("""COMPUTED_VALUE"""),"SOUTH")</f>
        <v>SOUTH</v>
      </c>
      <c r="B7015" s="115" t="str">
        <f>IFERROR(__xludf.DUMMYFUNCTION("""COMPUTED_VALUE"""),"Vineeth V")</f>
        <v>Vineeth V</v>
      </c>
      <c r="C7015" s="115" t="str">
        <f>IFERROR(__xludf.DUMMYFUNCTION("""COMPUTED_VALUE"""),"EXTERNAL")</f>
        <v>EXTERNAL</v>
      </c>
      <c r="D7015" s="115">
        <f>IFERROR(__xludf.DUMMYFUNCTION("""COMPUTED_VALUE"""),6726.0)</f>
        <v>6726</v>
      </c>
      <c r="E7015" s="115">
        <f>IFERROR(__xludf.DUMMYFUNCTION("""COMPUTED_VALUE"""),106.0)</f>
        <v>106</v>
      </c>
      <c r="F7015" s="115">
        <f>IFERROR(__xludf.DUMMYFUNCTION("""COMPUTED_VALUE"""),150.0)</f>
        <v>150</v>
      </c>
      <c r="G7015" s="115">
        <f>IFERROR(__xludf.DUMMYFUNCTION("""COMPUTED_VALUE"""),0.0)</f>
        <v>0</v>
      </c>
      <c r="H7015" s="116">
        <f>IFERROR(__xludf.DUMMYFUNCTION("""COMPUTED_VALUE"""),45913.0)</f>
        <v>45913</v>
      </c>
      <c r="I7015" s="115" t="str">
        <f>IFERROR(__xludf.DUMMYFUNCTION("""COMPUTED_VALUE"""),"10")</f>
        <v>10</v>
      </c>
      <c r="J7015" s="115"/>
      <c r="K7015" s="115"/>
    </row>
    <row r="7016">
      <c r="A7016" s="115" t="str">
        <f>IFERROR(__xludf.DUMMYFUNCTION("""COMPUTED_VALUE"""),"SOUTH")</f>
        <v>SOUTH</v>
      </c>
      <c r="B7016" s="115" t="str">
        <f>IFERROR(__xludf.DUMMYFUNCTION("""COMPUTED_VALUE"""),"Vineeth V")</f>
        <v>Vineeth V</v>
      </c>
      <c r="C7016" s="115" t="str">
        <f>IFERROR(__xludf.DUMMYFUNCTION("""COMPUTED_VALUE"""),"FLIPKART")</f>
        <v>FLIPKART</v>
      </c>
      <c r="D7016" s="115">
        <f>IFERROR(__xludf.DUMMYFUNCTION("""COMPUTED_VALUE"""),78766.0)</f>
        <v>78766</v>
      </c>
      <c r="E7016" s="115">
        <f>IFERROR(__xludf.DUMMYFUNCTION("""COMPUTED_VALUE"""),3438.0)</f>
        <v>3438</v>
      </c>
      <c r="F7016" s="115">
        <f>IFERROR(__xludf.DUMMYFUNCTION("""COMPUTED_VALUE"""),2887.0)</f>
        <v>2887</v>
      </c>
      <c r="G7016" s="115">
        <f>IFERROR(__xludf.DUMMYFUNCTION("""COMPUTED_VALUE"""),21.0)</f>
        <v>21</v>
      </c>
      <c r="H7016" s="116">
        <f>IFERROR(__xludf.DUMMYFUNCTION("""COMPUTED_VALUE"""),45913.0)</f>
        <v>45913</v>
      </c>
      <c r="I7016" s="115" t="str">
        <f>IFERROR(__xludf.DUMMYFUNCTION("""COMPUTED_VALUE"""),"10")</f>
        <v>10</v>
      </c>
      <c r="J7016" s="115"/>
      <c r="K7016" s="115"/>
    </row>
    <row r="7017">
      <c r="A7017" s="115" t="str">
        <f>IFERROR(__xludf.DUMMYFUNCTION("""COMPUTED_VALUE"""),"SOUTH")</f>
        <v>SOUTH</v>
      </c>
      <c r="B7017" s="115" t="str">
        <f>IFERROR(__xludf.DUMMYFUNCTION("""COMPUTED_VALUE"""),"Vineeth V")</f>
        <v>Vineeth V</v>
      </c>
      <c r="C7017" s="115" t="str">
        <f>IFERROR(__xludf.DUMMYFUNCTION("""COMPUTED_VALUE"""),"MYNTRA")</f>
        <v>MYNTRA</v>
      </c>
      <c r="D7017" s="115">
        <f>IFERROR(__xludf.DUMMYFUNCTION("""COMPUTED_VALUE"""),6204.0)</f>
        <v>6204</v>
      </c>
      <c r="E7017" s="115">
        <f>IFERROR(__xludf.DUMMYFUNCTION("""COMPUTED_VALUE"""),806.0)</f>
        <v>806</v>
      </c>
      <c r="F7017" s="115">
        <f>IFERROR(__xludf.DUMMYFUNCTION("""COMPUTED_VALUE"""),291.0)</f>
        <v>291</v>
      </c>
      <c r="G7017" s="115">
        <f>IFERROR(__xludf.DUMMYFUNCTION("""COMPUTED_VALUE"""),6.0)</f>
        <v>6</v>
      </c>
      <c r="H7017" s="116">
        <f>IFERROR(__xludf.DUMMYFUNCTION("""COMPUTED_VALUE"""),45913.0)</f>
        <v>45913</v>
      </c>
      <c r="I7017" s="115" t="str">
        <f>IFERROR(__xludf.DUMMYFUNCTION("""COMPUTED_VALUE"""),"10")</f>
        <v>10</v>
      </c>
      <c r="J7017" s="115"/>
      <c r="K7017" s="115"/>
    </row>
    <row r="7018">
      <c r="A7018" s="115" t="str">
        <f>IFERROR(__xludf.DUMMYFUNCTION("""COMPUTED_VALUE"""),"WEST")</f>
        <v>WEST</v>
      </c>
      <c r="B7018" s="115" t="str">
        <f>IFERROR(__xludf.DUMMYFUNCTION("""COMPUTED_VALUE"""),"Ashish Jakar")</f>
        <v>Ashish Jakar</v>
      </c>
      <c r="C7018" s="115" t="str">
        <f>IFERROR(__xludf.DUMMYFUNCTION("""COMPUTED_VALUE"""),"EXTERNAL")</f>
        <v>EXTERNAL</v>
      </c>
      <c r="D7018" s="115">
        <f>IFERROR(__xludf.DUMMYFUNCTION("""COMPUTED_VALUE"""),27122.0)</f>
        <v>27122</v>
      </c>
      <c r="E7018" s="115">
        <f>IFERROR(__xludf.DUMMYFUNCTION("""COMPUTED_VALUE"""),2804.0)</f>
        <v>2804</v>
      </c>
      <c r="F7018" s="115">
        <f>IFERROR(__xludf.DUMMYFUNCTION("""COMPUTED_VALUE"""),1290.0)</f>
        <v>1290</v>
      </c>
      <c r="G7018" s="115">
        <f>IFERROR(__xludf.DUMMYFUNCTION("""COMPUTED_VALUE"""),49.0)</f>
        <v>49</v>
      </c>
      <c r="H7018" s="116">
        <f>IFERROR(__xludf.DUMMYFUNCTION("""COMPUTED_VALUE"""),45913.0)</f>
        <v>45913</v>
      </c>
      <c r="I7018" s="115" t="str">
        <f>IFERROR(__xludf.DUMMYFUNCTION("""COMPUTED_VALUE"""),"10")</f>
        <v>10</v>
      </c>
      <c r="J7018" s="115"/>
      <c r="K7018" s="115"/>
    </row>
    <row r="7019">
      <c r="A7019" s="115" t="str">
        <f>IFERROR(__xludf.DUMMYFUNCTION("""COMPUTED_VALUE"""),"WEST")</f>
        <v>WEST</v>
      </c>
      <c r="B7019" s="115" t="str">
        <f>IFERROR(__xludf.DUMMYFUNCTION("""COMPUTED_VALUE"""),"Ashish Jakar")</f>
        <v>Ashish Jakar</v>
      </c>
      <c r="C7019" s="115" t="str">
        <f>IFERROR(__xludf.DUMMYFUNCTION("""COMPUTED_VALUE"""),"FLIPKART")</f>
        <v>FLIPKART</v>
      </c>
      <c r="D7019" s="115">
        <f>IFERROR(__xludf.DUMMYFUNCTION("""COMPUTED_VALUE"""),234840.0)</f>
        <v>234840</v>
      </c>
      <c r="E7019" s="115">
        <f>IFERROR(__xludf.DUMMYFUNCTION("""COMPUTED_VALUE"""),17968.0)</f>
        <v>17968</v>
      </c>
      <c r="F7019" s="115">
        <f>IFERROR(__xludf.DUMMYFUNCTION("""COMPUTED_VALUE"""),12254.0)</f>
        <v>12254</v>
      </c>
      <c r="G7019" s="115">
        <f>IFERROR(__xludf.DUMMYFUNCTION("""COMPUTED_VALUE"""),297.0)</f>
        <v>297</v>
      </c>
      <c r="H7019" s="116">
        <f>IFERROR(__xludf.DUMMYFUNCTION("""COMPUTED_VALUE"""),45913.0)</f>
        <v>45913</v>
      </c>
      <c r="I7019" s="115" t="str">
        <f>IFERROR(__xludf.DUMMYFUNCTION("""COMPUTED_VALUE"""),"10")</f>
        <v>10</v>
      </c>
      <c r="J7019" s="115"/>
      <c r="K7019" s="115"/>
    </row>
    <row r="7020">
      <c r="A7020" s="115" t="str">
        <f>IFERROR(__xludf.DUMMYFUNCTION("""COMPUTED_VALUE"""),"WEST")</f>
        <v>WEST</v>
      </c>
      <c r="B7020" s="115" t="str">
        <f>IFERROR(__xludf.DUMMYFUNCTION("""COMPUTED_VALUE"""),"Ashish Jakar")</f>
        <v>Ashish Jakar</v>
      </c>
      <c r="C7020" s="115" t="str">
        <f>IFERROR(__xludf.DUMMYFUNCTION("""COMPUTED_VALUE"""),"MYNTRA")</f>
        <v>MYNTRA</v>
      </c>
      <c r="D7020" s="115">
        <f>IFERROR(__xludf.DUMMYFUNCTION("""COMPUTED_VALUE"""),25096.0)</f>
        <v>25096</v>
      </c>
      <c r="E7020" s="115">
        <f>IFERROR(__xludf.DUMMYFUNCTION("""COMPUTED_VALUE"""),5558.0)</f>
        <v>5558</v>
      </c>
      <c r="F7020" s="115">
        <f>IFERROR(__xludf.DUMMYFUNCTION("""COMPUTED_VALUE"""),1420.0)</f>
        <v>1420</v>
      </c>
      <c r="G7020" s="115">
        <f>IFERROR(__xludf.DUMMYFUNCTION("""COMPUTED_VALUE"""),94.0)</f>
        <v>94</v>
      </c>
      <c r="H7020" s="116">
        <f>IFERROR(__xludf.DUMMYFUNCTION("""COMPUTED_VALUE"""),45913.0)</f>
        <v>45913</v>
      </c>
      <c r="I7020" s="115" t="str">
        <f>IFERROR(__xludf.DUMMYFUNCTION("""COMPUTED_VALUE"""),"10")</f>
        <v>10</v>
      </c>
      <c r="J7020" s="115"/>
      <c r="K7020" s="115"/>
    </row>
    <row r="7021">
      <c r="A7021" s="115" t="str">
        <f>IFERROR(__xludf.DUMMYFUNCTION("""COMPUTED_VALUE"""),"WEST")</f>
        <v>WEST</v>
      </c>
      <c r="B7021" s="115" t="str">
        <f>IFERROR(__xludf.DUMMYFUNCTION("""COMPUTED_VALUE"""),"Ashvani Bhatt")</f>
        <v>Ashvani Bhatt</v>
      </c>
      <c r="C7021" s="115" t="str">
        <f>IFERROR(__xludf.DUMMYFUNCTION("""COMPUTED_VALUE"""),"EXTERNAL")</f>
        <v>EXTERNAL</v>
      </c>
      <c r="D7021" s="115">
        <f>IFERROR(__xludf.DUMMYFUNCTION("""COMPUTED_VALUE"""),21344.0)</f>
        <v>21344</v>
      </c>
      <c r="E7021" s="115">
        <f>IFERROR(__xludf.DUMMYFUNCTION("""COMPUTED_VALUE"""),986.0)</f>
        <v>986</v>
      </c>
      <c r="F7021" s="115">
        <f>IFERROR(__xludf.DUMMYFUNCTION("""COMPUTED_VALUE"""),892.0)</f>
        <v>892</v>
      </c>
      <c r="G7021" s="115">
        <f>IFERROR(__xludf.DUMMYFUNCTION("""COMPUTED_VALUE"""),21.0)</f>
        <v>21</v>
      </c>
      <c r="H7021" s="116">
        <f>IFERROR(__xludf.DUMMYFUNCTION("""COMPUTED_VALUE"""),45913.0)</f>
        <v>45913</v>
      </c>
      <c r="I7021" s="115" t="str">
        <f>IFERROR(__xludf.DUMMYFUNCTION("""COMPUTED_VALUE"""),"10")</f>
        <v>10</v>
      </c>
      <c r="J7021" s="115"/>
      <c r="K7021" s="115"/>
    </row>
    <row r="7022">
      <c r="A7022" s="115" t="str">
        <f>IFERROR(__xludf.DUMMYFUNCTION("""COMPUTED_VALUE"""),"WEST")</f>
        <v>WEST</v>
      </c>
      <c r="B7022" s="115" t="str">
        <f>IFERROR(__xludf.DUMMYFUNCTION("""COMPUTED_VALUE"""),"Ashvani Bhatt")</f>
        <v>Ashvani Bhatt</v>
      </c>
      <c r="C7022" s="115" t="str">
        <f>IFERROR(__xludf.DUMMYFUNCTION("""COMPUTED_VALUE"""),"FLIPKART")</f>
        <v>FLIPKART</v>
      </c>
      <c r="D7022" s="115">
        <f>IFERROR(__xludf.DUMMYFUNCTION("""COMPUTED_VALUE"""),194211.0)</f>
        <v>194211</v>
      </c>
      <c r="E7022" s="115">
        <f>IFERROR(__xludf.DUMMYFUNCTION("""COMPUTED_VALUE"""),14294.0)</f>
        <v>14294</v>
      </c>
      <c r="F7022" s="115">
        <f>IFERROR(__xludf.DUMMYFUNCTION("""COMPUTED_VALUE"""),14825.0)</f>
        <v>14825</v>
      </c>
      <c r="G7022" s="115">
        <f>IFERROR(__xludf.DUMMYFUNCTION("""COMPUTED_VALUE"""),308.0)</f>
        <v>308</v>
      </c>
      <c r="H7022" s="116">
        <f>IFERROR(__xludf.DUMMYFUNCTION("""COMPUTED_VALUE"""),45913.0)</f>
        <v>45913</v>
      </c>
      <c r="I7022" s="115" t="str">
        <f>IFERROR(__xludf.DUMMYFUNCTION("""COMPUTED_VALUE"""),"10")</f>
        <v>10</v>
      </c>
      <c r="J7022" s="115"/>
      <c r="K7022" s="115"/>
    </row>
    <row r="7023">
      <c r="A7023" s="115" t="str">
        <f>IFERROR(__xludf.DUMMYFUNCTION("""COMPUTED_VALUE"""),"WEST")</f>
        <v>WEST</v>
      </c>
      <c r="B7023" s="115" t="str">
        <f>IFERROR(__xludf.DUMMYFUNCTION("""COMPUTED_VALUE"""),"Ashvani Bhatt")</f>
        <v>Ashvani Bhatt</v>
      </c>
      <c r="C7023" s="115" t="str">
        <f>IFERROR(__xludf.DUMMYFUNCTION("""COMPUTED_VALUE"""),"MYNTRA")</f>
        <v>MYNTRA</v>
      </c>
      <c r="D7023" s="115">
        <f>IFERROR(__xludf.DUMMYFUNCTION("""COMPUTED_VALUE"""),21913.0)</f>
        <v>21913</v>
      </c>
      <c r="E7023" s="115">
        <f>IFERROR(__xludf.DUMMYFUNCTION("""COMPUTED_VALUE"""),4320.0)</f>
        <v>4320</v>
      </c>
      <c r="F7023" s="115">
        <f>IFERROR(__xludf.DUMMYFUNCTION("""COMPUTED_VALUE"""),2295.0)</f>
        <v>2295</v>
      </c>
      <c r="G7023" s="115">
        <f>IFERROR(__xludf.DUMMYFUNCTION("""COMPUTED_VALUE"""),87.0)</f>
        <v>87</v>
      </c>
      <c r="H7023" s="116">
        <f>IFERROR(__xludf.DUMMYFUNCTION("""COMPUTED_VALUE"""),45913.0)</f>
        <v>45913</v>
      </c>
      <c r="I7023" s="115" t="str">
        <f>IFERROR(__xludf.DUMMYFUNCTION("""COMPUTED_VALUE"""),"10")</f>
        <v>10</v>
      </c>
      <c r="J7023" s="115"/>
      <c r="K7023" s="115"/>
    </row>
    <row r="7024">
      <c r="A7024" s="115"/>
      <c r="B7024" s="115"/>
      <c r="C7024" s="115" t="str">
        <f>IFERROR(__xludf.DUMMYFUNCTION("""COMPUTED_VALUE"""),"EXTERNAL")</f>
        <v>EXTERNAL</v>
      </c>
      <c r="D7024" s="115">
        <f>IFERROR(__xludf.DUMMYFUNCTION("""COMPUTED_VALUE"""),682.0)</f>
        <v>682</v>
      </c>
      <c r="E7024" s="115">
        <f>IFERROR(__xludf.DUMMYFUNCTION("""COMPUTED_VALUE"""),140.0)</f>
        <v>140</v>
      </c>
      <c r="F7024" s="115">
        <f>IFERROR(__xludf.DUMMYFUNCTION("""COMPUTED_VALUE"""),14.0)</f>
        <v>14</v>
      </c>
      <c r="G7024" s="115">
        <f>IFERROR(__xludf.DUMMYFUNCTION("""COMPUTED_VALUE"""),0.0)</f>
        <v>0</v>
      </c>
      <c r="H7024" s="116">
        <f>IFERROR(__xludf.DUMMYFUNCTION("""COMPUTED_VALUE"""),45913.0)</f>
        <v>45913</v>
      </c>
      <c r="I7024" s="115" t="str">
        <f>IFERROR(__xludf.DUMMYFUNCTION("""COMPUTED_VALUE"""),"10")</f>
        <v>10</v>
      </c>
      <c r="J7024" s="115"/>
      <c r="K7024" s="115"/>
    </row>
    <row r="7025">
      <c r="A7025" s="115"/>
      <c r="B7025" s="115"/>
      <c r="C7025" s="115" t="str">
        <f>IFERROR(__xludf.DUMMYFUNCTION("""COMPUTED_VALUE"""),"FLIPKART")</f>
        <v>FLIPKART</v>
      </c>
      <c r="D7025" s="115">
        <f>IFERROR(__xludf.DUMMYFUNCTION("""COMPUTED_VALUE"""),8691.0)</f>
        <v>8691</v>
      </c>
      <c r="E7025" s="115">
        <f>IFERROR(__xludf.DUMMYFUNCTION("""COMPUTED_VALUE"""),845.0)</f>
        <v>845</v>
      </c>
      <c r="F7025" s="115">
        <f>IFERROR(__xludf.DUMMYFUNCTION("""COMPUTED_VALUE"""),238.0)</f>
        <v>238</v>
      </c>
      <c r="G7025" s="115">
        <f>IFERROR(__xludf.DUMMYFUNCTION("""COMPUTED_VALUE"""),31.0)</f>
        <v>31</v>
      </c>
      <c r="H7025" s="116">
        <f>IFERROR(__xludf.DUMMYFUNCTION("""COMPUTED_VALUE"""),45913.0)</f>
        <v>45913</v>
      </c>
      <c r="I7025" s="115" t="str">
        <f>IFERROR(__xludf.DUMMYFUNCTION("""COMPUTED_VALUE"""),"10")</f>
        <v>10</v>
      </c>
      <c r="J7025" s="115"/>
      <c r="K7025" s="115"/>
    </row>
    <row r="7026">
      <c r="A7026" s="115"/>
      <c r="B7026" s="115"/>
      <c r="C7026" s="115" t="str">
        <f>IFERROR(__xludf.DUMMYFUNCTION("""COMPUTED_VALUE"""),"MYNTRA")</f>
        <v>MYNTRA</v>
      </c>
      <c r="D7026" s="115">
        <f>IFERROR(__xludf.DUMMYFUNCTION("""COMPUTED_VALUE"""),931.0)</f>
        <v>931</v>
      </c>
      <c r="E7026" s="115">
        <f>IFERROR(__xludf.DUMMYFUNCTION("""COMPUTED_VALUE"""),275.0)</f>
        <v>275</v>
      </c>
      <c r="F7026" s="115">
        <f>IFERROR(__xludf.DUMMYFUNCTION("""COMPUTED_VALUE"""),49.0)</f>
        <v>49</v>
      </c>
      <c r="G7026" s="115">
        <f>IFERROR(__xludf.DUMMYFUNCTION("""COMPUTED_VALUE"""),4.0)</f>
        <v>4</v>
      </c>
      <c r="H7026" s="116">
        <f>IFERROR(__xludf.DUMMYFUNCTION("""COMPUTED_VALUE"""),45913.0)</f>
        <v>45913</v>
      </c>
      <c r="I7026" s="115" t="str">
        <f>IFERROR(__xludf.DUMMYFUNCTION("""COMPUTED_VALUE"""),"10")</f>
        <v>10</v>
      </c>
      <c r="J7026" s="115"/>
      <c r="K7026" s="115"/>
    </row>
    <row r="7027">
      <c r="A7027" s="115" t="str">
        <f>IFERROR(__xludf.DUMMYFUNCTION("""COMPUTED_VALUE"""),"EAST")</f>
        <v>EAST</v>
      </c>
      <c r="B7027" s="115" t="str">
        <f>IFERROR(__xludf.DUMMYFUNCTION("""COMPUTED_VALUE"""),"Ashish Ranjan")</f>
        <v>Ashish Ranjan</v>
      </c>
      <c r="C7027" s="115" t="str">
        <f>IFERROR(__xludf.DUMMYFUNCTION("""COMPUTED_VALUE"""),"EXTERNAL")</f>
        <v>EXTERNAL</v>
      </c>
      <c r="D7027" s="115">
        <f>IFERROR(__xludf.DUMMYFUNCTION("""COMPUTED_VALUE"""),32278.0)</f>
        <v>32278</v>
      </c>
      <c r="E7027" s="115">
        <f>IFERROR(__xludf.DUMMYFUNCTION("""COMPUTED_VALUE"""),1891.0)</f>
        <v>1891</v>
      </c>
      <c r="F7027" s="115">
        <f>IFERROR(__xludf.DUMMYFUNCTION("""COMPUTED_VALUE"""),3231.0)</f>
        <v>3231</v>
      </c>
      <c r="G7027" s="115">
        <f>IFERROR(__xludf.DUMMYFUNCTION("""COMPUTED_VALUE"""),65.0)</f>
        <v>65</v>
      </c>
      <c r="H7027" s="116">
        <f>IFERROR(__xludf.DUMMYFUNCTION("""COMPUTED_VALUE"""),45913.0)</f>
        <v>45913</v>
      </c>
      <c r="I7027" s="115" t="str">
        <f>IFERROR(__xludf.DUMMYFUNCTION("""COMPUTED_VALUE"""),"11")</f>
        <v>11</v>
      </c>
      <c r="J7027" s="115"/>
      <c r="K7027" s="115"/>
    </row>
    <row r="7028">
      <c r="A7028" s="115" t="str">
        <f>IFERROR(__xludf.DUMMYFUNCTION("""COMPUTED_VALUE"""),"EAST")</f>
        <v>EAST</v>
      </c>
      <c r="B7028" s="115" t="str">
        <f>IFERROR(__xludf.DUMMYFUNCTION("""COMPUTED_VALUE"""),"Ashish Ranjan")</f>
        <v>Ashish Ranjan</v>
      </c>
      <c r="C7028" s="115" t="str">
        <f>IFERROR(__xludf.DUMMYFUNCTION("""COMPUTED_VALUE"""),"FLIPKART")</f>
        <v>FLIPKART</v>
      </c>
      <c r="D7028" s="115">
        <f>IFERROR(__xludf.DUMMYFUNCTION("""COMPUTED_VALUE"""),687229.0)</f>
        <v>687229</v>
      </c>
      <c r="E7028" s="115">
        <f>IFERROR(__xludf.DUMMYFUNCTION("""COMPUTED_VALUE"""),49337.0)</f>
        <v>49337</v>
      </c>
      <c r="F7028" s="115">
        <f>IFERROR(__xludf.DUMMYFUNCTION("""COMPUTED_VALUE"""),112684.0)</f>
        <v>112684</v>
      </c>
      <c r="G7028" s="115">
        <f>IFERROR(__xludf.DUMMYFUNCTION("""COMPUTED_VALUE"""),2397.0)</f>
        <v>2397</v>
      </c>
      <c r="H7028" s="116">
        <f>IFERROR(__xludf.DUMMYFUNCTION("""COMPUTED_VALUE"""),45913.0)</f>
        <v>45913</v>
      </c>
      <c r="I7028" s="115" t="str">
        <f>IFERROR(__xludf.DUMMYFUNCTION("""COMPUTED_VALUE"""),"11")</f>
        <v>11</v>
      </c>
      <c r="J7028" s="115"/>
      <c r="K7028" s="115"/>
    </row>
    <row r="7029">
      <c r="A7029" s="115" t="str">
        <f>IFERROR(__xludf.DUMMYFUNCTION("""COMPUTED_VALUE"""),"EAST")</f>
        <v>EAST</v>
      </c>
      <c r="B7029" s="115" t="str">
        <f>IFERROR(__xludf.DUMMYFUNCTION("""COMPUTED_VALUE"""),"Ashish Ranjan")</f>
        <v>Ashish Ranjan</v>
      </c>
      <c r="C7029" s="115" t="str">
        <f>IFERROR(__xludf.DUMMYFUNCTION("""COMPUTED_VALUE"""),"MYNTRA")</f>
        <v>MYNTRA</v>
      </c>
      <c r="D7029" s="115">
        <f>IFERROR(__xludf.DUMMYFUNCTION("""COMPUTED_VALUE"""),63267.0)</f>
        <v>63267</v>
      </c>
      <c r="E7029" s="115">
        <f>IFERROR(__xludf.DUMMYFUNCTION("""COMPUTED_VALUE"""),11300.0)</f>
        <v>11300</v>
      </c>
      <c r="F7029" s="115">
        <f>IFERROR(__xludf.DUMMYFUNCTION("""COMPUTED_VALUE"""),10328.0)</f>
        <v>10328</v>
      </c>
      <c r="G7029" s="115">
        <f>IFERROR(__xludf.DUMMYFUNCTION("""COMPUTED_VALUE"""),507.0)</f>
        <v>507</v>
      </c>
      <c r="H7029" s="116">
        <f>IFERROR(__xludf.DUMMYFUNCTION("""COMPUTED_VALUE"""),45913.0)</f>
        <v>45913</v>
      </c>
      <c r="I7029" s="115" t="str">
        <f>IFERROR(__xludf.DUMMYFUNCTION("""COMPUTED_VALUE"""),"11")</f>
        <v>11</v>
      </c>
      <c r="J7029" s="115"/>
      <c r="K7029" s="115"/>
    </row>
    <row r="7030">
      <c r="A7030" s="115" t="str">
        <f>IFERROR(__xludf.DUMMYFUNCTION("""COMPUTED_VALUE"""),"EAST")</f>
        <v>EAST</v>
      </c>
      <c r="B7030" s="115" t="str">
        <f>IFERROR(__xludf.DUMMYFUNCTION("""COMPUTED_VALUE"""),"Girish Chand")</f>
        <v>Girish Chand</v>
      </c>
      <c r="C7030" s="115" t="str">
        <f>IFERROR(__xludf.DUMMYFUNCTION("""COMPUTED_VALUE"""),"EXTERNAL")</f>
        <v>EXTERNAL</v>
      </c>
      <c r="D7030" s="115">
        <f>IFERROR(__xludf.DUMMYFUNCTION("""COMPUTED_VALUE"""),18908.0)</f>
        <v>18908</v>
      </c>
      <c r="E7030" s="115">
        <f>IFERROR(__xludf.DUMMYFUNCTION("""COMPUTED_VALUE"""),940.0)</f>
        <v>940</v>
      </c>
      <c r="F7030" s="115">
        <f>IFERROR(__xludf.DUMMYFUNCTION("""COMPUTED_VALUE"""),1219.0)</f>
        <v>1219</v>
      </c>
      <c r="G7030" s="115">
        <f>IFERROR(__xludf.DUMMYFUNCTION("""COMPUTED_VALUE"""),25.0)</f>
        <v>25</v>
      </c>
      <c r="H7030" s="116">
        <f>IFERROR(__xludf.DUMMYFUNCTION("""COMPUTED_VALUE"""),45913.0)</f>
        <v>45913</v>
      </c>
      <c r="I7030" s="115" t="str">
        <f>IFERROR(__xludf.DUMMYFUNCTION("""COMPUTED_VALUE"""),"11")</f>
        <v>11</v>
      </c>
      <c r="J7030" s="115"/>
      <c r="K7030" s="115"/>
    </row>
    <row r="7031">
      <c r="A7031" s="115" t="str">
        <f>IFERROR(__xludf.DUMMYFUNCTION("""COMPUTED_VALUE"""),"EAST")</f>
        <v>EAST</v>
      </c>
      <c r="B7031" s="115" t="str">
        <f>IFERROR(__xludf.DUMMYFUNCTION("""COMPUTED_VALUE"""),"Girish Chand")</f>
        <v>Girish Chand</v>
      </c>
      <c r="C7031" s="115" t="str">
        <f>IFERROR(__xludf.DUMMYFUNCTION("""COMPUTED_VALUE"""),"FLIPKART")</f>
        <v>FLIPKART</v>
      </c>
      <c r="D7031" s="115">
        <f>IFERROR(__xludf.DUMMYFUNCTION("""COMPUTED_VALUE"""),417504.0)</f>
        <v>417504</v>
      </c>
      <c r="E7031" s="115">
        <f>IFERROR(__xludf.DUMMYFUNCTION("""COMPUTED_VALUE"""),26868.0)</f>
        <v>26868</v>
      </c>
      <c r="F7031" s="115">
        <f>IFERROR(__xludf.DUMMYFUNCTION("""COMPUTED_VALUE"""),46980.0)</f>
        <v>46980</v>
      </c>
      <c r="G7031" s="115">
        <f>IFERROR(__xludf.DUMMYFUNCTION("""COMPUTED_VALUE"""),1050.0)</f>
        <v>1050</v>
      </c>
      <c r="H7031" s="116">
        <f>IFERROR(__xludf.DUMMYFUNCTION("""COMPUTED_VALUE"""),45913.0)</f>
        <v>45913</v>
      </c>
      <c r="I7031" s="115" t="str">
        <f>IFERROR(__xludf.DUMMYFUNCTION("""COMPUTED_VALUE"""),"11")</f>
        <v>11</v>
      </c>
      <c r="J7031" s="115"/>
      <c r="K7031" s="115"/>
    </row>
    <row r="7032">
      <c r="A7032" s="115" t="str">
        <f>IFERROR(__xludf.DUMMYFUNCTION("""COMPUTED_VALUE"""),"EAST")</f>
        <v>EAST</v>
      </c>
      <c r="B7032" s="115" t="str">
        <f>IFERROR(__xludf.DUMMYFUNCTION("""COMPUTED_VALUE"""),"Girish Chand")</f>
        <v>Girish Chand</v>
      </c>
      <c r="C7032" s="115" t="str">
        <f>IFERROR(__xludf.DUMMYFUNCTION("""COMPUTED_VALUE"""),"MYNTRA")</f>
        <v>MYNTRA</v>
      </c>
      <c r="D7032" s="115">
        <f>IFERROR(__xludf.DUMMYFUNCTION("""COMPUTED_VALUE"""),32569.0)</f>
        <v>32569</v>
      </c>
      <c r="E7032" s="115">
        <f>IFERROR(__xludf.DUMMYFUNCTION("""COMPUTED_VALUE"""),4858.0)</f>
        <v>4858</v>
      </c>
      <c r="F7032" s="115">
        <f>IFERROR(__xludf.DUMMYFUNCTION("""COMPUTED_VALUE"""),4285.0)</f>
        <v>4285</v>
      </c>
      <c r="G7032" s="115">
        <f>IFERROR(__xludf.DUMMYFUNCTION("""COMPUTED_VALUE"""),154.0)</f>
        <v>154</v>
      </c>
      <c r="H7032" s="116">
        <f>IFERROR(__xludf.DUMMYFUNCTION("""COMPUTED_VALUE"""),45913.0)</f>
        <v>45913</v>
      </c>
      <c r="I7032" s="115" t="str">
        <f>IFERROR(__xludf.DUMMYFUNCTION("""COMPUTED_VALUE"""),"11")</f>
        <v>11</v>
      </c>
      <c r="J7032" s="115"/>
      <c r="K7032" s="115"/>
    </row>
    <row r="7033">
      <c r="A7033" s="115" t="str">
        <f>IFERROR(__xludf.DUMMYFUNCTION("""COMPUTED_VALUE"""),"EAST")</f>
        <v>EAST</v>
      </c>
      <c r="B7033" s="115" t="str">
        <f>IFERROR(__xludf.DUMMYFUNCTION("""COMPUTED_VALUE"""),"Parag Kashyap")</f>
        <v>Parag Kashyap</v>
      </c>
      <c r="C7033" s="115" t="str">
        <f>IFERROR(__xludf.DUMMYFUNCTION("""COMPUTED_VALUE"""),"EXTERNAL")</f>
        <v>EXTERNAL</v>
      </c>
      <c r="D7033" s="115">
        <f>IFERROR(__xludf.DUMMYFUNCTION("""COMPUTED_VALUE"""),12460.0)</f>
        <v>12460</v>
      </c>
      <c r="E7033" s="115">
        <f>IFERROR(__xludf.DUMMYFUNCTION("""COMPUTED_VALUE"""),450.0)</f>
        <v>450</v>
      </c>
      <c r="F7033" s="115">
        <f>IFERROR(__xludf.DUMMYFUNCTION("""COMPUTED_VALUE"""),671.0)</f>
        <v>671</v>
      </c>
      <c r="G7033" s="115">
        <f>IFERROR(__xludf.DUMMYFUNCTION("""COMPUTED_VALUE"""),2.0)</f>
        <v>2</v>
      </c>
      <c r="H7033" s="116">
        <f>IFERROR(__xludf.DUMMYFUNCTION("""COMPUTED_VALUE"""),45913.0)</f>
        <v>45913</v>
      </c>
      <c r="I7033" s="115" t="str">
        <f>IFERROR(__xludf.DUMMYFUNCTION("""COMPUTED_VALUE"""),"11")</f>
        <v>11</v>
      </c>
      <c r="J7033" s="115"/>
      <c r="K7033" s="115"/>
    </row>
    <row r="7034">
      <c r="A7034" s="115" t="str">
        <f>IFERROR(__xludf.DUMMYFUNCTION("""COMPUTED_VALUE"""),"EAST")</f>
        <v>EAST</v>
      </c>
      <c r="B7034" s="115" t="str">
        <f>IFERROR(__xludf.DUMMYFUNCTION("""COMPUTED_VALUE"""),"Parag Kashyap")</f>
        <v>Parag Kashyap</v>
      </c>
      <c r="C7034" s="115" t="str">
        <f>IFERROR(__xludf.DUMMYFUNCTION("""COMPUTED_VALUE"""),"FLIPKART")</f>
        <v>FLIPKART</v>
      </c>
      <c r="D7034" s="115">
        <f>IFERROR(__xludf.DUMMYFUNCTION("""COMPUTED_VALUE"""),250764.0)</f>
        <v>250764</v>
      </c>
      <c r="E7034" s="115">
        <f>IFERROR(__xludf.DUMMYFUNCTION("""COMPUTED_VALUE"""),11740.0)</f>
        <v>11740</v>
      </c>
      <c r="F7034" s="115">
        <f>IFERROR(__xludf.DUMMYFUNCTION("""COMPUTED_VALUE"""),25236.0)</f>
        <v>25236</v>
      </c>
      <c r="G7034" s="115">
        <f>IFERROR(__xludf.DUMMYFUNCTION("""COMPUTED_VALUE"""),249.0)</f>
        <v>249</v>
      </c>
      <c r="H7034" s="116">
        <f>IFERROR(__xludf.DUMMYFUNCTION("""COMPUTED_VALUE"""),45913.0)</f>
        <v>45913</v>
      </c>
      <c r="I7034" s="115" t="str">
        <f>IFERROR(__xludf.DUMMYFUNCTION("""COMPUTED_VALUE"""),"11")</f>
        <v>11</v>
      </c>
      <c r="J7034" s="115"/>
      <c r="K7034" s="115"/>
    </row>
    <row r="7035">
      <c r="A7035" s="115" t="str">
        <f>IFERROR(__xludf.DUMMYFUNCTION("""COMPUTED_VALUE"""),"EAST")</f>
        <v>EAST</v>
      </c>
      <c r="B7035" s="115" t="str">
        <f>IFERROR(__xludf.DUMMYFUNCTION("""COMPUTED_VALUE"""),"Parag Kashyap")</f>
        <v>Parag Kashyap</v>
      </c>
      <c r="C7035" s="115" t="str">
        <f>IFERROR(__xludf.DUMMYFUNCTION("""COMPUTED_VALUE"""),"MYNTRA")</f>
        <v>MYNTRA</v>
      </c>
      <c r="D7035" s="115">
        <f>IFERROR(__xludf.DUMMYFUNCTION("""COMPUTED_VALUE"""),28259.0)</f>
        <v>28259</v>
      </c>
      <c r="E7035" s="115">
        <f>IFERROR(__xludf.DUMMYFUNCTION("""COMPUTED_VALUE"""),3779.0)</f>
        <v>3779</v>
      </c>
      <c r="F7035" s="115">
        <f>IFERROR(__xludf.DUMMYFUNCTION("""COMPUTED_VALUE"""),3373.0)</f>
        <v>3373</v>
      </c>
      <c r="G7035" s="115">
        <f>IFERROR(__xludf.DUMMYFUNCTION("""COMPUTED_VALUE"""),48.0)</f>
        <v>48</v>
      </c>
      <c r="H7035" s="116">
        <f>IFERROR(__xludf.DUMMYFUNCTION("""COMPUTED_VALUE"""),45913.0)</f>
        <v>45913</v>
      </c>
      <c r="I7035" s="115" t="str">
        <f>IFERROR(__xludf.DUMMYFUNCTION("""COMPUTED_VALUE"""),"11")</f>
        <v>11</v>
      </c>
      <c r="J7035" s="115"/>
      <c r="K7035" s="115"/>
    </row>
    <row r="7036">
      <c r="A7036" s="115" t="str">
        <f>IFERROR(__xludf.DUMMYFUNCTION("""COMPUTED_VALUE"""),"NORTH")</f>
        <v>NORTH</v>
      </c>
      <c r="B7036" s="115" t="str">
        <f>IFERROR(__xludf.DUMMYFUNCTION("""COMPUTED_VALUE"""),"Amit Kumar Pathak")</f>
        <v>Amit Kumar Pathak</v>
      </c>
      <c r="C7036" s="115" t="str">
        <f>IFERROR(__xludf.DUMMYFUNCTION("""COMPUTED_VALUE"""),"EXTERNAL")</f>
        <v>EXTERNAL</v>
      </c>
      <c r="D7036" s="115">
        <f>IFERROR(__xludf.DUMMYFUNCTION("""COMPUTED_VALUE"""),21923.0)</f>
        <v>21923</v>
      </c>
      <c r="E7036" s="115">
        <f>IFERROR(__xludf.DUMMYFUNCTION("""COMPUTED_VALUE"""),2119.0)</f>
        <v>2119</v>
      </c>
      <c r="F7036" s="115">
        <f>IFERROR(__xludf.DUMMYFUNCTION("""COMPUTED_VALUE"""),1874.0)</f>
        <v>1874</v>
      </c>
      <c r="G7036" s="115">
        <f>IFERROR(__xludf.DUMMYFUNCTION("""COMPUTED_VALUE"""),156.0)</f>
        <v>156</v>
      </c>
      <c r="H7036" s="116">
        <f>IFERROR(__xludf.DUMMYFUNCTION("""COMPUTED_VALUE"""),45913.0)</f>
        <v>45913</v>
      </c>
      <c r="I7036" s="115" t="str">
        <f>IFERROR(__xludf.DUMMYFUNCTION("""COMPUTED_VALUE"""),"11")</f>
        <v>11</v>
      </c>
      <c r="J7036" s="115"/>
      <c r="K7036" s="115"/>
    </row>
    <row r="7037">
      <c r="A7037" s="115" t="str">
        <f>IFERROR(__xludf.DUMMYFUNCTION("""COMPUTED_VALUE"""),"NORTH")</f>
        <v>NORTH</v>
      </c>
      <c r="B7037" s="115" t="str">
        <f>IFERROR(__xludf.DUMMYFUNCTION("""COMPUTED_VALUE"""),"Amit Kumar Pathak")</f>
        <v>Amit Kumar Pathak</v>
      </c>
      <c r="C7037" s="115" t="str">
        <f>IFERROR(__xludf.DUMMYFUNCTION("""COMPUTED_VALUE"""),"FLIPKART")</f>
        <v>FLIPKART</v>
      </c>
      <c r="D7037" s="115">
        <f>IFERROR(__xludf.DUMMYFUNCTION("""COMPUTED_VALUE"""),151568.0)</f>
        <v>151568</v>
      </c>
      <c r="E7037" s="115">
        <f>IFERROR(__xludf.DUMMYFUNCTION("""COMPUTED_VALUE"""),17774.0)</f>
        <v>17774</v>
      </c>
      <c r="F7037" s="115">
        <f>IFERROR(__xludf.DUMMYFUNCTION("""COMPUTED_VALUE"""),24849.0)</f>
        <v>24849</v>
      </c>
      <c r="G7037" s="115">
        <f>IFERROR(__xludf.DUMMYFUNCTION("""COMPUTED_VALUE"""),1565.0)</f>
        <v>1565</v>
      </c>
      <c r="H7037" s="116">
        <f>IFERROR(__xludf.DUMMYFUNCTION("""COMPUTED_VALUE"""),45913.0)</f>
        <v>45913</v>
      </c>
      <c r="I7037" s="115" t="str">
        <f>IFERROR(__xludf.DUMMYFUNCTION("""COMPUTED_VALUE"""),"11")</f>
        <v>11</v>
      </c>
      <c r="J7037" s="115"/>
      <c r="K7037" s="115"/>
    </row>
    <row r="7038">
      <c r="A7038" s="115" t="str">
        <f>IFERROR(__xludf.DUMMYFUNCTION("""COMPUTED_VALUE"""),"NORTH")</f>
        <v>NORTH</v>
      </c>
      <c r="B7038" s="115" t="str">
        <f>IFERROR(__xludf.DUMMYFUNCTION("""COMPUTED_VALUE"""),"Amit Kumar Pathak")</f>
        <v>Amit Kumar Pathak</v>
      </c>
      <c r="C7038" s="115" t="str">
        <f>IFERROR(__xludf.DUMMYFUNCTION("""COMPUTED_VALUE"""),"MYNTRA")</f>
        <v>MYNTRA</v>
      </c>
      <c r="D7038" s="115">
        <f>IFERROR(__xludf.DUMMYFUNCTION("""COMPUTED_VALUE"""),12450.0)</f>
        <v>12450</v>
      </c>
      <c r="E7038" s="115">
        <f>IFERROR(__xludf.DUMMYFUNCTION("""COMPUTED_VALUE"""),4344.0)</f>
        <v>4344</v>
      </c>
      <c r="F7038" s="115">
        <f>IFERROR(__xludf.DUMMYFUNCTION("""COMPUTED_VALUE"""),2585.0)</f>
        <v>2585</v>
      </c>
      <c r="G7038" s="115">
        <f>IFERROR(__xludf.DUMMYFUNCTION("""COMPUTED_VALUE"""),389.0)</f>
        <v>389</v>
      </c>
      <c r="H7038" s="116">
        <f>IFERROR(__xludf.DUMMYFUNCTION("""COMPUTED_VALUE"""),45913.0)</f>
        <v>45913</v>
      </c>
      <c r="I7038" s="115" t="str">
        <f>IFERROR(__xludf.DUMMYFUNCTION("""COMPUTED_VALUE"""),"11")</f>
        <v>11</v>
      </c>
      <c r="J7038" s="115"/>
      <c r="K7038" s="115"/>
    </row>
    <row r="7039">
      <c r="A7039" s="115" t="str">
        <f>IFERROR(__xludf.DUMMYFUNCTION("""COMPUTED_VALUE"""),"NORTH")</f>
        <v>NORTH</v>
      </c>
      <c r="B7039" s="115" t="str">
        <f>IFERROR(__xludf.DUMMYFUNCTION("""COMPUTED_VALUE"""),"Ashvani Bhatt")</f>
        <v>Ashvani Bhatt</v>
      </c>
      <c r="C7039" s="115" t="str">
        <f>IFERROR(__xludf.DUMMYFUNCTION("""COMPUTED_VALUE"""),"EXTERNAL")</f>
        <v>EXTERNAL</v>
      </c>
      <c r="D7039" s="115">
        <f>IFERROR(__xludf.DUMMYFUNCTION("""COMPUTED_VALUE"""),17.0)</f>
        <v>17</v>
      </c>
      <c r="E7039" s="115">
        <f>IFERROR(__xludf.DUMMYFUNCTION("""COMPUTED_VALUE"""),1.0)</f>
        <v>1</v>
      </c>
      <c r="F7039" s="115">
        <f>IFERROR(__xludf.DUMMYFUNCTION("""COMPUTED_VALUE"""),0.0)</f>
        <v>0</v>
      </c>
      <c r="G7039" s="115">
        <f>IFERROR(__xludf.DUMMYFUNCTION("""COMPUTED_VALUE"""),0.0)</f>
        <v>0</v>
      </c>
      <c r="H7039" s="116">
        <f>IFERROR(__xludf.DUMMYFUNCTION("""COMPUTED_VALUE"""),45913.0)</f>
        <v>45913</v>
      </c>
      <c r="I7039" s="115" t="str">
        <f>IFERROR(__xludf.DUMMYFUNCTION("""COMPUTED_VALUE"""),"11")</f>
        <v>11</v>
      </c>
      <c r="J7039" s="115"/>
      <c r="K7039" s="115"/>
    </row>
    <row r="7040">
      <c r="A7040" s="115" t="str">
        <f>IFERROR(__xludf.DUMMYFUNCTION("""COMPUTED_VALUE"""),"NORTH")</f>
        <v>NORTH</v>
      </c>
      <c r="B7040" s="115" t="str">
        <f>IFERROR(__xludf.DUMMYFUNCTION("""COMPUTED_VALUE"""),"Ashvani Bhatt")</f>
        <v>Ashvani Bhatt</v>
      </c>
      <c r="C7040" s="115" t="str">
        <f>IFERROR(__xludf.DUMMYFUNCTION("""COMPUTED_VALUE"""),"FLIPKART")</f>
        <v>FLIPKART</v>
      </c>
      <c r="D7040" s="115">
        <f>IFERROR(__xludf.DUMMYFUNCTION("""COMPUTED_VALUE"""),173.0)</f>
        <v>173</v>
      </c>
      <c r="E7040" s="115">
        <f>IFERROR(__xludf.DUMMYFUNCTION("""COMPUTED_VALUE"""),47.0)</f>
        <v>47</v>
      </c>
      <c r="F7040" s="115">
        <f>IFERROR(__xludf.DUMMYFUNCTION("""COMPUTED_VALUE"""),10.0)</f>
        <v>10</v>
      </c>
      <c r="G7040" s="115">
        <f>IFERROR(__xludf.DUMMYFUNCTION("""COMPUTED_VALUE"""),0.0)</f>
        <v>0</v>
      </c>
      <c r="H7040" s="116">
        <f>IFERROR(__xludf.DUMMYFUNCTION("""COMPUTED_VALUE"""),45913.0)</f>
        <v>45913</v>
      </c>
      <c r="I7040" s="115" t="str">
        <f>IFERROR(__xludf.DUMMYFUNCTION("""COMPUTED_VALUE"""),"11")</f>
        <v>11</v>
      </c>
      <c r="J7040" s="115"/>
      <c r="K7040" s="115"/>
    </row>
    <row r="7041">
      <c r="A7041" s="115" t="str">
        <f>IFERROR(__xludf.DUMMYFUNCTION("""COMPUTED_VALUE"""),"NORTH")</f>
        <v>NORTH</v>
      </c>
      <c r="B7041" s="115" t="str">
        <f>IFERROR(__xludf.DUMMYFUNCTION("""COMPUTED_VALUE"""),"Ashvani Bhatt")</f>
        <v>Ashvani Bhatt</v>
      </c>
      <c r="C7041" s="115" t="str">
        <f>IFERROR(__xludf.DUMMYFUNCTION("""COMPUTED_VALUE"""),"MYNTRA")</f>
        <v>MYNTRA</v>
      </c>
      <c r="D7041" s="115">
        <f>IFERROR(__xludf.DUMMYFUNCTION("""COMPUTED_VALUE"""),7.0)</f>
        <v>7</v>
      </c>
      <c r="E7041" s="115">
        <f>IFERROR(__xludf.DUMMYFUNCTION("""COMPUTED_VALUE"""),3.0)</f>
        <v>3</v>
      </c>
      <c r="F7041" s="115">
        <f>IFERROR(__xludf.DUMMYFUNCTION("""COMPUTED_VALUE"""),1.0)</f>
        <v>1</v>
      </c>
      <c r="G7041" s="115">
        <f>IFERROR(__xludf.DUMMYFUNCTION("""COMPUTED_VALUE"""),0.0)</f>
        <v>0</v>
      </c>
      <c r="H7041" s="116">
        <f>IFERROR(__xludf.DUMMYFUNCTION("""COMPUTED_VALUE"""),45913.0)</f>
        <v>45913</v>
      </c>
      <c r="I7041" s="115" t="str">
        <f>IFERROR(__xludf.DUMMYFUNCTION("""COMPUTED_VALUE"""),"11")</f>
        <v>11</v>
      </c>
      <c r="J7041" s="115"/>
      <c r="K7041" s="115"/>
    </row>
    <row r="7042">
      <c r="A7042" s="115" t="str">
        <f>IFERROR(__xludf.DUMMYFUNCTION("""COMPUTED_VALUE"""),"NORTH")</f>
        <v>NORTH</v>
      </c>
      <c r="B7042" s="115" t="str">
        <f>IFERROR(__xludf.DUMMYFUNCTION("""COMPUTED_VALUE"""),"Loveleen Singh")</f>
        <v>Loveleen Singh</v>
      </c>
      <c r="C7042" s="115" t="str">
        <f>IFERROR(__xludf.DUMMYFUNCTION("""COMPUTED_VALUE"""),"EXTERNAL")</f>
        <v>EXTERNAL</v>
      </c>
      <c r="D7042" s="115">
        <f>IFERROR(__xludf.DUMMYFUNCTION("""COMPUTED_VALUE"""),24375.0)</f>
        <v>24375</v>
      </c>
      <c r="E7042" s="115">
        <f>IFERROR(__xludf.DUMMYFUNCTION("""COMPUTED_VALUE"""),1136.0)</f>
        <v>1136</v>
      </c>
      <c r="F7042" s="115">
        <f>IFERROR(__xludf.DUMMYFUNCTION("""COMPUTED_VALUE"""),1515.0)</f>
        <v>1515</v>
      </c>
      <c r="G7042" s="115">
        <f>IFERROR(__xludf.DUMMYFUNCTION("""COMPUTED_VALUE"""),41.0)</f>
        <v>41</v>
      </c>
      <c r="H7042" s="116">
        <f>IFERROR(__xludf.DUMMYFUNCTION("""COMPUTED_VALUE"""),45913.0)</f>
        <v>45913</v>
      </c>
      <c r="I7042" s="115" t="str">
        <f>IFERROR(__xludf.DUMMYFUNCTION("""COMPUTED_VALUE"""),"11")</f>
        <v>11</v>
      </c>
      <c r="J7042" s="115"/>
      <c r="K7042" s="115"/>
    </row>
    <row r="7043">
      <c r="A7043" s="115" t="str">
        <f>IFERROR(__xludf.DUMMYFUNCTION("""COMPUTED_VALUE"""),"NORTH")</f>
        <v>NORTH</v>
      </c>
      <c r="B7043" s="115" t="str">
        <f>IFERROR(__xludf.DUMMYFUNCTION("""COMPUTED_VALUE"""),"Loveleen Singh")</f>
        <v>Loveleen Singh</v>
      </c>
      <c r="C7043" s="115" t="str">
        <f>IFERROR(__xludf.DUMMYFUNCTION("""COMPUTED_VALUE"""),"FLIPKART")</f>
        <v>FLIPKART</v>
      </c>
      <c r="D7043" s="115">
        <f>IFERROR(__xludf.DUMMYFUNCTION("""COMPUTED_VALUE"""),169147.0)</f>
        <v>169147</v>
      </c>
      <c r="E7043" s="115">
        <f>IFERROR(__xludf.DUMMYFUNCTION("""COMPUTED_VALUE"""),9737.0)</f>
        <v>9737</v>
      </c>
      <c r="F7043" s="115">
        <f>IFERROR(__xludf.DUMMYFUNCTION("""COMPUTED_VALUE"""),20523.0)</f>
        <v>20523</v>
      </c>
      <c r="G7043" s="115">
        <f>IFERROR(__xludf.DUMMYFUNCTION("""COMPUTED_VALUE"""),484.0)</f>
        <v>484</v>
      </c>
      <c r="H7043" s="116">
        <f>IFERROR(__xludf.DUMMYFUNCTION("""COMPUTED_VALUE"""),45913.0)</f>
        <v>45913</v>
      </c>
      <c r="I7043" s="115" t="str">
        <f>IFERROR(__xludf.DUMMYFUNCTION("""COMPUTED_VALUE"""),"11")</f>
        <v>11</v>
      </c>
      <c r="J7043" s="115"/>
      <c r="K7043" s="115"/>
    </row>
    <row r="7044">
      <c r="A7044" s="115" t="str">
        <f>IFERROR(__xludf.DUMMYFUNCTION("""COMPUTED_VALUE"""),"NORTH")</f>
        <v>NORTH</v>
      </c>
      <c r="B7044" s="115" t="str">
        <f>IFERROR(__xludf.DUMMYFUNCTION("""COMPUTED_VALUE"""),"Loveleen Singh")</f>
        <v>Loveleen Singh</v>
      </c>
      <c r="C7044" s="115" t="str">
        <f>IFERROR(__xludf.DUMMYFUNCTION("""COMPUTED_VALUE"""),"MYNTRA")</f>
        <v>MYNTRA</v>
      </c>
      <c r="D7044" s="115">
        <f>IFERROR(__xludf.DUMMYFUNCTION("""COMPUTED_VALUE"""),26116.0)</f>
        <v>26116</v>
      </c>
      <c r="E7044" s="115">
        <f>IFERROR(__xludf.DUMMYFUNCTION("""COMPUTED_VALUE"""),4018.0)</f>
        <v>4018</v>
      </c>
      <c r="F7044" s="115">
        <f>IFERROR(__xludf.DUMMYFUNCTION("""COMPUTED_VALUE"""),4513.0)</f>
        <v>4513</v>
      </c>
      <c r="G7044" s="115">
        <f>IFERROR(__xludf.DUMMYFUNCTION("""COMPUTED_VALUE"""),331.0)</f>
        <v>331</v>
      </c>
      <c r="H7044" s="116">
        <f>IFERROR(__xludf.DUMMYFUNCTION("""COMPUTED_VALUE"""),45913.0)</f>
        <v>45913</v>
      </c>
      <c r="I7044" s="115" t="str">
        <f>IFERROR(__xludf.DUMMYFUNCTION("""COMPUTED_VALUE"""),"11")</f>
        <v>11</v>
      </c>
      <c r="J7044" s="115"/>
      <c r="K7044" s="115"/>
    </row>
    <row r="7045">
      <c r="A7045" s="115" t="str">
        <f>IFERROR(__xludf.DUMMYFUNCTION("""COMPUTED_VALUE"""),"NORTH")</f>
        <v>NORTH</v>
      </c>
      <c r="B7045" s="115" t="str">
        <f>IFERROR(__xludf.DUMMYFUNCTION("""COMPUTED_VALUE"""),"Manoj Harsh")</f>
        <v>Manoj Harsh</v>
      </c>
      <c r="C7045" s="115" t="str">
        <f>IFERROR(__xludf.DUMMYFUNCTION("""COMPUTED_VALUE"""),"EXTERNAL")</f>
        <v>EXTERNAL</v>
      </c>
      <c r="D7045" s="115">
        <f>IFERROR(__xludf.DUMMYFUNCTION("""COMPUTED_VALUE"""),27973.0)</f>
        <v>27973</v>
      </c>
      <c r="E7045" s="115">
        <f>IFERROR(__xludf.DUMMYFUNCTION("""COMPUTED_VALUE"""),1240.0)</f>
        <v>1240</v>
      </c>
      <c r="F7045" s="115">
        <f>IFERROR(__xludf.DUMMYFUNCTION("""COMPUTED_VALUE"""),1784.0)</f>
        <v>1784</v>
      </c>
      <c r="G7045" s="115">
        <f>IFERROR(__xludf.DUMMYFUNCTION("""COMPUTED_VALUE"""),27.0)</f>
        <v>27</v>
      </c>
      <c r="H7045" s="116">
        <f>IFERROR(__xludf.DUMMYFUNCTION("""COMPUTED_VALUE"""),45913.0)</f>
        <v>45913</v>
      </c>
      <c r="I7045" s="115" t="str">
        <f>IFERROR(__xludf.DUMMYFUNCTION("""COMPUTED_VALUE"""),"11")</f>
        <v>11</v>
      </c>
      <c r="J7045" s="115"/>
      <c r="K7045" s="115"/>
    </row>
    <row r="7046">
      <c r="A7046" s="115" t="str">
        <f>IFERROR(__xludf.DUMMYFUNCTION("""COMPUTED_VALUE"""),"NORTH")</f>
        <v>NORTH</v>
      </c>
      <c r="B7046" s="115" t="str">
        <f>IFERROR(__xludf.DUMMYFUNCTION("""COMPUTED_VALUE"""),"Manoj Harsh")</f>
        <v>Manoj Harsh</v>
      </c>
      <c r="C7046" s="115" t="str">
        <f>IFERROR(__xludf.DUMMYFUNCTION("""COMPUTED_VALUE"""),"FLIPKART")</f>
        <v>FLIPKART</v>
      </c>
      <c r="D7046" s="115">
        <f>IFERROR(__xludf.DUMMYFUNCTION("""COMPUTED_VALUE"""),388945.0)</f>
        <v>388945</v>
      </c>
      <c r="E7046" s="115">
        <f>IFERROR(__xludf.DUMMYFUNCTION("""COMPUTED_VALUE"""),27702.0)</f>
        <v>27702</v>
      </c>
      <c r="F7046" s="115">
        <f>IFERROR(__xludf.DUMMYFUNCTION("""COMPUTED_VALUE"""),43578.0)</f>
        <v>43578</v>
      </c>
      <c r="G7046" s="115">
        <f>IFERROR(__xludf.DUMMYFUNCTION("""COMPUTED_VALUE"""),1022.0)</f>
        <v>1022</v>
      </c>
      <c r="H7046" s="116">
        <f>IFERROR(__xludf.DUMMYFUNCTION("""COMPUTED_VALUE"""),45913.0)</f>
        <v>45913</v>
      </c>
      <c r="I7046" s="115" t="str">
        <f>IFERROR(__xludf.DUMMYFUNCTION("""COMPUTED_VALUE"""),"11")</f>
        <v>11</v>
      </c>
      <c r="J7046" s="115"/>
      <c r="K7046" s="115"/>
    </row>
    <row r="7047">
      <c r="A7047" s="115" t="str">
        <f>IFERROR(__xludf.DUMMYFUNCTION("""COMPUTED_VALUE"""),"NORTH")</f>
        <v>NORTH</v>
      </c>
      <c r="B7047" s="115" t="str">
        <f>IFERROR(__xludf.DUMMYFUNCTION("""COMPUTED_VALUE"""),"Manoj Harsh")</f>
        <v>Manoj Harsh</v>
      </c>
      <c r="C7047" s="115" t="str">
        <f>IFERROR(__xludf.DUMMYFUNCTION("""COMPUTED_VALUE"""),"MYNTRA")</f>
        <v>MYNTRA</v>
      </c>
      <c r="D7047" s="115">
        <f>IFERROR(__xludf.DUMMYFUNCTION("""COMPUTED_VALUE"""),29845.0)</f>
        <v>29845</v>
      </c>
      <c r="E7047" s="115">
        <f>IFERROR(__xludf.DUMMYFUNCTION("""COMPUTED_VALUE"""),5160.0)</f>
        <v>5160</v>
      </c>
      <c r="F7047" s="115">
        <f>IFERROR(__xludf.DUMMYFUNCTION("""COMPUTED_VALUE"""),4024.0)</f>
        <v>4024</v>
      </c>
      <c r="G7047" s="115">
        <f>IFERROR(__xludf.DUMMYFUNCTION("""COMPUTED_VALUE"""),228.0)</f>
        <v>228</v>
      </c>
      <c r="H7047" s="116">
        <f>IFERROR(__xludf.DUMMYFUNCTION("""COMPUTED_VALUE"""),45913.0)</f>
        <v>45913</v>
      </c>
      <c r="I7047" s="115" t="str">
        <f>IFERROR(__xludf.DUMMYFUNCTION("""COMPUTED_VALUE"""),"11")</f>
        <v>11</v>
      </c>
      <c r="J7047" s="115"/>
      <c r="K7047" s="115"/>
    </row>
    <row r="7048">
      <c r="A7048" s="115" t="str">
        <f>IFERROR(__xludf.DUMMYFUNCTION("""COMPUTED_VALUE"""),"NORTH")</f>
        <v>NORTH</v>
      </c>
      <c r="B7048" s="115" t="str">
        <f>IFERROR(__xludf.DUMMYFUNCTION("""COMPUTED_VALUE"""),"Pradeep Kothari")</f>
        <v>Pradeep Kothari</v>
      </c>
      <c r="C7048" s="115" t="str">
        <f>IFERROR(__xludf.DUMMYFUNCTION("""COMPUTED_VALUE"""),"EXTERNAL")</f>
        <v>EXTERNAL</v>
      </c>
      <c r="D7048" s="115">
        <f>IFERROR(__xludf.DUMMYFUNCTION("""COMPUTED_VALUE"""),16150.0)</f>
        <v>16150</v>
      </c>
      <c r="E7048" s="115">
        <f>IFERROR(__xludf.DUMMYFUNCTION("""COMPUTED_VALUE"""),1001.0)</f>
        <v>1001</v>
      </c>
      <c r="F7048" s="115">
        <f>IFERROR(__xludf.DUMMYFUNCTION("""COMPUTED_VALUE"""),1445.0)</f>
        <v>1445</v>
      </c>
      <c r="G7048" s="115">
        <f>IFERROR(__xludf.DUMMYFUNCTION("""COMPUTED_VALUE"""),60.0)</f>
        <v>60</v>
      </c>
      <c r="H7048" s="116">
        <f>IFERROR(__xludf.DUMMYFUNCTION("""COMPUTED_VALUE"""),45913.0)</f>
        <v>45913</v>
      </c>
      <c r="I7048" s="115" t="str">
        <f>IFERROR(__xludf.DUMMYFUNCTION("""COMPUTED_VALUE"""),"11")</f>
        <v>11</v>
      </c>
      <c r="J7048" s="115"/>
      <c r="K7048" s="115"/>
    </row>
    <row r="7049">
      <c r="A7049" s="115" t="str">
        <f>IFERROR(__xludf.DUMMYFUNCTION("""COMPUTED_VALUE"""),"NORTH")</f>
        <v>NORTH</v>
      </c>
      <c r="B7049" s="115" t="str">
        <f>IFERROR(__xludf.DUMMYFUNCTION("""COMPUTED_VALUE"""),"Pradeep Kothari")</f>
        <v>Pradeep Kothari</v>
      </c>
      <c r="C7049" s="115" t="str">
        <f>IFERROR(__xludf.DUMMYFUNCTION("""COMPUTED_VALUE"""),"FLIPKART")</f>
        <v>FLIPKART</v>
      </c>
      <c r="D7049" s="115">
        <f>IFERROR(__xludf.DUMMYFUNCTION("""COMPUTED_VALUE"""),150295.0)</f>
        <v>150295</v>
      </c>
      <c r="E7049" s="115">
        <f>IFERROR(__xludf.DUMMYFUNCTION("""COMPUTED_VALUE"""),13489.0)</f>
        <v>13489</v>
      </c>
      <c r="F7049" s="115">
        <f>IFERROR(__xludf.DUMMYFUNCTION("""COMPUTED_VALUE"""),24735.0)</f>
        <v>24735</v>
      </c>
      <c r="G7049" s="115">
        <f>IFERROR(__xludf.DUMMYFUNCTION("""COMPUTED_VALUE"""),912.0)</f>
        <v>912</v>
      </c>
      <c r="H7049" s="116">
        <f>IFERROR(__xludf.DUMMYFUNCTION("""COMPUTED_VALUE"""),45913.0)</f>
        <v>45913</v>
      </c>
      <c r="I7049" s="115" t="str">
        <f>IFERROR(__xludf.DUMMYFUNCTION("""COMPUTED_VALUE"""),"11")</f>
        <v>11</v>
      </c>
      <c r="J7049" s="115"/>
      <c r="K7049" s="115"/>
    </row>
    <row r="7050">
      <c r="A7050" s="115" t="str">
        <f>IFERROR(__xludf.DUMMYFUNCTION("""COMPUTED_VALUE"""),"NORTH")</f>
        <v>NORTH</v>
      </c>
      <c r="B7050" s="115" t="str">
        <f>IFERROR(__xludf.DUMMYFUNCTION("""COMPUTED_VALUE"""),"Pradeep Kothari")</f>
        <v>Pradeep Kothari</v>
      </c>
      <c r="C7050" s="115" t="str">
        <f>IFERROR(__xludf.DUMMYFUNCTION("""COMPUTED_VALUE"""),"MYNTRA")</f>
        <v>MYNTRA</v>
      </c>
      <c r="D7050" s="115">
        <f>IFERROR(__xludf.DUMMYFUNCTION("""COMPUTED_VALUE"""),23381.0)</f>
        <v>23381</v>
      </c>
      <c r="E7050" s="115">
        <f>IFERROR(__xludf.DUMMYFUNCTION("""COMPUTED_VALUE"""),4648.0)</f>
        <v>4648</v>
      </c>
      <c r="F7050" s="115">
        <f>IFERROR(__xludf.DUMMYFUNCTION("""COMPUTED_VALUE"""),5918.0)</f>
        <v>5918</v>
      </c>
      <c r="G7050" s="115">
        <f>IFERROR(__xludf.DUMMYFUNCTION("""COMPUTED_VALUE"""),334.0)</f>
        <v>334</v>
      </c>
      <c r="H7050" s="116">
        <f>IFERROR(__xludf.DUMMYFUNCTION("""COMPUTED_VALUE"""),45913.0)</f>
        <v>45913</v>
      </c>
      <c r="I7050" s="115" t="str">
        <f>IFERROR(__xludf.DUMMYFUNCTION("""COMPUTED_VALUE"""),"11")</f>
        <v>11</v>
      </c>
      <c r="J7050" s="115"/>
      <c r="K7050" s="115"/>
    </row>
    <row r="7051">
      <c r="A7051" s="115" t="str">
        <f>IFERROR(__xludf.DUMMYFUNCTION("""COMPUTED_VALUE"""),"SOUTH")</f>
        <v>SOUTH</v>
      </c>
      <c r="B7051" s="115" t="str">
        <f>IFERROR(__xludf.DUMMYFUNCTION("""COMPUTED_VALUE"""),"Kandula Sampath")</f>
        <v>Kandula Sampath</v>
      </c>
      <c r="C7051" s="115" t="str">
        <f>IFERROR(__xludf.DUMMYFUNCTION("""COMPUTED_VALUE"""),"EXTERNAL")</f>
        <v>EXTERNAL</v>
      </c>
      <c r="D7051" s="115">
        <f>IFERROR(__xludf.DUMMYFUNCTION("""COMPUTED_VALUE"""),29227.0)</f>
        <v>29227</v>
      </c>
      <c r="E7051" s="115">
        <f>IFERROR(__xludf.DUMMYFUNCTION("""COMPUTED_VALUE"""),2427.0)</f>
        <v>2427</v>
      </c>
      <c r="F7051" s="115">
        <f>IFERROR(__xludf.DUMMYFUNCTION("""COMPUTED_VALUE"""),3053.0)</f>
        <v>3053</v>
      </c>
      <c r="G7051" s="115">
        <f>IFERROR(__xludf.DUMMYFUNCTION("""COMPUTED_VALUE"""),80.0)</f>
        <v>80</v>
      </c>
      <c r="H7051" s="116">
        <f>IFERROR(__xludf.DUMMYFUNCTION("""COMPUTED_VALUE"""),45913.0)</f>
        <v>45913</v>
      </c>
      <c r="I7051" s="115" t="str">
        <f>IFERROR(__xludf.DUMMYFUNCTION("""COMPUTED_VALUE"""),"11")</f>
        <v>11</v>
      </c>
      <c r="J7051" s="115"/>
      <c r="K7051" s="115"/>
    </row>
    <row r="7052">
      <c r="A7052" s="115" t="str">
        <f>IFERROR(__xludf.DUMMYFUNCTION("""COMPUTED_VALUE"""),"SOUTH")</f>
        <v>SOUTH</v>
      </c>
      <c r="B7052" s="115" t="str">
        <f>IFERROR(__xludf.DUMMYFUNCTION("""COMPUTED_VALUE"""),"Kandula Sampath")</f>
        <v>Kandula Sampath</v>
      </c>
      <c r="C7052" s="115" t="str">
        <f>IFERROR(__xludf.DUMMYFUNCTION("""COMPUTED_VALUE"""),"FLIPKART")</f>
        <v>FLIPKART</v>
      </c>
      <c r="D7052" s="115">
        <f>IFERROR(__xludf.DUMMYFUNCTION("""COMPUTED_VALUE"""),371331.0)</f>
        <v>371331</v>
      </c>
      <c r="E7052" s="115">
        <f>IFERROR(__xludf.DUMMYFUNCTION("""COMPUTED_VALUE"""),24664.0)</f>
        <v>24664</v>
      </c>
      <c r="F7052" s="115">
        <f>IFERROR(__xludf.DUMMYFUNCTION("""COMPUTED_VALUE"""),71221.0)</f>
        <v>71221</v>
      </c>
      <c r="G7052" s="115">
        <f>IFERROR(__xludf.DUMMYFUNCTION("""COMPUTED_VALUE"""),911.0)</f>
        <v>911</v>
      </c>
      <c r="H7052" s="116">
        <f>IFERROR(__xludf.DUMMYFUNCTION("""COMPUTED_VALUE"""),45913.0)</f>
        <v>45913</v>
      </c>
      <c r="I7052" s="115" t="str">
        <f>IFERROR(__xludf.DUMMYFUNCTION("""COMPUTED_VALUE"""),"11")</f>
        <v>11</v>
      </c>
      <c r="J7052" s="115"/>
      <c r="K7052" s="115"/>
    </row>
    <row r="7053">
      <c r="A7053" s="115" t="str">
        <f>IFERROR(__xludf.DUMMYFUNCTION("""COMPUTED_VALUE"""),"SOUTH")</f>
        <v>SOUTH</v>
      </c>
      <c r="B7053" s="115" t="str">
        <f>IFERROR(__xludf.DUMMYFUNCTION("""COMPUTED_VALUE"""),"Kandula Sampath")</f>
        <v>Kandula Sampath</v>
      </c>
      <c r="C7053" s="115" t="str">
        <f>IFERROR(__xludf.DUMMYFUNCTION("""COMPUTED_VALUE"""),"MYNTRA")</f>
        <v>MYNTRA</v>
      </c>
      <c r="D7053" s="115">
        <f>IFERROR(__xludf.DUMMYFUNCTION("""COMPUTED_VALUE"""),37524.0)</f>
        <v>37524</v>
      </c>
      <c r="E7053" s="115">
        <f>IFERROR(__xludf.DUMMYFUNCTION("""COMPUTED_VALUE"""),7029.0)</f>
        <v>7029</v>
      </c>
      <c r="F7053" s="115">
        <f>IFERROR(__xludf.DUMMYFUNCTION("""COMPUTED_VALUE"""),8144.0)</f>
        <v>8144</v>
      </c>
      <c r="G7053" s="115">
        <f>IFERROR(__xludf.DUMMYFUNCTION("""COMPUTED_VALUE"""),277.0)</f>
        <v>277</v>
      </c>
      <c r="H7053" s="116">
        <f>IFERROR(__xludf.DUMMYFUNCTION("""COMPUTED_VALUE"""),45913.0)</f>
        <v>45913</v>
      </c>
      <c r="I7053" s="115" t="str">
        <f>IFERROR(__xludf.DUMMYFUNCTION("""COMPUTED_VALUE"""),"11")</f>
        <v>11</v>
      </c>
      <c r="J7053" s="115"/>
      <c r="K7053" s="115"/>
    </row>
    <row r="7054">
      <c r="A7054" s="115" t="str">
        <f>IFERROR(__xludf.DUMMYFUNCTION("""COMPUTED_VALUE"""),"SOUTH")</f>
        <v>SOUTH</v>
      </c>
      <c r="B7054" s="115" t="str">
        <f>IFERROR(__xludf.DUMMYFUNCTION("""COMPUTED_VALUE"""),"Martin A")</f>
        <v>Martin A</v>
      </c>
      <c r="C7054" s="115" t="str">
        <f>IFERROR(__xludf.DUMMYFUNCTION("""COMPUTED_VALUE"""),"EXTERNAL")</f>
        <v>EXTERNAL</v>
      </c>
      <c r="D7054" s="115">
        <f>IFERROR(__xludf.DUMMYFUNCTION("""COMPUTED_VALUE"""),22800.0)</f>
        <v>22800</v>
      </c>
      <c r="E7054" s="115">
        <f>IFERROR(__xludf.DUMMYFUNCTION("""COMPUTED_VALUE"""),2377.0)</f>
        <v>2377</v>
      </c>
      <c r="F7054" s="115">
        <f>IFERROR(__xludf.DUMMYFUNCTION("""COMPUTED_VALUE"""),2355.0)</f>
        <v>2355</v>
      </c>
      <c r="G7054" s="115">
        <f>IFERROR(__xludf.DUMMYFUNCTION("""COMPUTED_VALUE"""),112.0)</f>
        <v>112</v>
      </c>
      <c r="H7054" s="116">
        <f>IFERROR(__xludf.DUMMYFUNCTION("""COMPUTED_VALUE"""),45913.0)</f>
        <v>45913</v>
      </c>
      <c r="I7054" s="115" t="str">
        <f>IFERROR(__xludf.DUMMYFUNCTION("""COMPUTED_VALUE"""),"11")</f>
        <v>11</v>
      </c>
      <c r="J7054" s="115"/>
      <c r="K7054" s="115"/>
    </row>
    <row r="7055">
      <c r="A7055" s="115" t="str">
        <f>IFERROR(__xludf.DUMMYFUNCTION("""COMPUTED_VALUE"""),"SOUTH")</f>
        <v>SOUTH</v>
      </c>
      <c r="B7055" s="115" t="str">
        <f>IFERROR(__xludf.DUMMYFUNCTION("""COMPUTED_VALUE"""),"Martin A")</f>
        <v>Martin A</v>
      </c>
      <c r="C7055" s="115" t="str">
        <f>IFERROR(__xludf.DUMMYFUNCTION("""COMPUTED_VALUE"""),"FLIPKART")</f>
        <v>FLIPKART</v>
      </c>
      <c r="D7055" s="115">
        <f>IFERROR(__xludf.DUMMYFUNCTION("""COMPUTED_VALUE"""),265318.0)</f>
        <v>265318</v>
      </c>
      <c r="E7055" s="115">
        <f>IFERROR(__xludf.DUMMYFUNCTION("""COMPUTED_VALUE"""),21416.0)</f>
        <v>21416</v>
      </c>
      <c r="F7055" s="115">
        <f>IFERROR(__xludf.DUMMYFUNCTION("""COMPUTED_VALUE"""),49640.0)</f>
        <v>49640</v>
      </c>
      <c r="G7055" s="115">
        <f>IFERROR(__xludf.DUMMYFUNCTION("""COMPUTED_VALUE"""),1276.0)</f>
        <v>1276</v>
      </c>
      <c r="H7055" s="116">
        <f>IFERROR(__xludf.DUMMYFUNCTION("""COMPUTED_VALUE"""),45913.0)</f>
        <v>45913</v>
      </c>
      <c r="I7055" s="115" t="str">
        <f>IFERROR(__xludf.DUMMYFUNCTION("""COMPUTED_VALUE"""),"11")</f>
        <v>11</v>
      </c>
      <c r="J7055" s="115"/>
      <c r="K7055" s="115"/>
    </row>
    <row r="7056">
      <c r="A7056" s="115" t="str">
        <f>IFERROR(__xludf.DUMMYFUNCTION("""COMPUTED_VALUE"""),"SOUTH")</f>
        <v>SOUTH</v>
      </c>
      <c r="B7056" s="115" t="str">
        <f>IFERROR(__xludf.DUMMYFUNCTION("""COMPUTED_VALUE"""),"Martin A")</f>
        <v>Martin A</v>
      </c>
      <c r="C7056" s="115" t="str">
        <f>IFERROR(__xludf.DUMMYFUNCTION("""COMPUTED_VALUE"""),"MYNTRA")</f>
        <v>MYNTRA</v>
      </c>
      <c r="D7056" s="115">
        <f>IFERROR(__xludf.DUMMYFUNCTION("""COMPUTED_VALUE"""),23631.0)</f>
        <v>23631</v>
      </c>
      <c r="E7056" s="115">
        <f>IFERROR(__xludf.DUMMYFUNCTION("""COMPUTED_VALUE"""),5454.0)</f>
        <v>5454</v>
      </c>
      <c r="F7056" s="115">
        <f>IFERROR(__xludf.DUMMYFUNCTION("""COMPUTED_VALUE"""),5325.0)</f>
        <v>5325</v>
      </c>
      <c r="G7056" s="115">
        <f>IFERROR(__xludf.DUMMYFUNCTION("""COMPUTED_VALUE"""),317.0)</f>
        <v>317</v>
      </c>
      <c r="H7056" s="116">
        <f>IFERROR(__xludf.DUMMYFUNCTION("""COMPUTED_VALUE"""),45913.0)</f>
        <v>45913</v>
      </c>
      <c r="I7056" s="115" t="str">
        <f>IFERROR(__xludf.DUMMYFUNCTION("""COMPUTED_VALUE"""),"11")</f>
        <v>11</v>
      </c>
      <c r="J7056" s="115"/>
      <c r="K7056" s="115"/>
    </row>
    <row r="7057">
      <c r="A7057" s="115" t="str">
        <f>IFERROR(__xludf.DUMMYFUNCTION("""COMPUTED_VALUE"""),"SOUTH")</f>
        <v>SOUTH</v>
      </c>
      <c r="B7057" s="115" t="str">
        <f>IFERROR(__xludf.DUMMYFUNCTION("""COMPUTED_VALUE"""),"Premkumar M")</f>
        <v>Premkumar M</v>
      </c>
      <c r="C7057" s="115" t="str">
        <f>IFERROR(__xludf.DUMMYFUNCTION("""COMPUTED_VALUE"""),"EXTERNAL")</f>
        <v>EXTERNAL</v>
      </c>
      <c r="D7057" s="115">
        <f>IFERROR(__xludf.DUMMYFUNCTION("""COMPUTED_VALUE"""),16800.0)</f>
        <v>16800</v>
      </c>
      <c r="E7057" s="115">
        <f>IFERROR(__xludf.DUMMYFUNCTION("""COMPUTED_VALUE"""),700.0)</f>
        <v>700</v>
      </c>
      <c r="F7057" s="115">
        <f>IFERROR(__xludf.DUMMYFUNCTION("""COMPUTED_VALUE"""),1092.0)</f>
        <v>1092</v>
      </c>
      <c r="G7057" s="115">
        <f>IFERROR(__xludf.DUMMYFUNCTION("""COMPUTED_VALUE"""),8.0)</f>
        <v>8</v>
      </c>
      <c r="H7057" s="116">
        <f>IFERROR(__xludf.DUMMYFUNCTION("""COMPUTED_VALUE"""),45913.0)</f>
        <v>45913</v>
      </c>
      <c r="I7057" s="115" t="str">
        <f>IFERROR(__xludf.DUMMYFUNCTION("""COMPUTED_VALUE"""),"11")</f>
        <v>11</v>
      </c>
      <c r="J7057" s="115"/>
      <c r="K7057" s="115"/>
    </row>
    <row r="7058">
      <c r="A7058" s="115" t="str">
        <f>IFERROR(__xludf.DUMMYFUNCTION("""COMPUTED_VALUE"""),"SOUTH")</f>
        <v>SOUTH</v>
      </c>
      <c r="B7058" s="115" t="str">
        <f>IFERROR(__xludf.DUMMYFUNCTION("""COMPUTED_VALUE"""),"Premkumar M")</f>
        <v>Premkumar M</v>
      </c>
      <c r="C7058" s="115" t="str">
        <f>IFERROR(__xludf.DUMMYFUNCTION("""COMPUTED_VALUE"""),"FLIPKART")</f>
        <v>FLIPKART</v>
      </c>
      <c r="D7058" s="115">
        <f>IFERROR(__xludf.DUMMYFUNCTION("""COMPUTED_VALUE"""),204185.0)</f>
        <v>204185</v>
      </c>
      <c r="E7058" s="115">
        <f>IFERROR(__xludf.DUMMYFUNCTION("""COMPUTED_VALUE"""),9350.0)</f>
        <v>9350</v>
      </c>
      <c r="F7058" s="115">
        <f>IFERROR(__xludf.DUMMYFUNCTION("""COMPUTED_VALUE"""),20768.0)</f>
        <v>20768</v>
      </c>
      <c r="G7058" s="115">
        <f>IFERROR(__xludf.DUMMYFUNCTION("""COMPUTED_VALUE"""),139.0)</f>
        <v>139</v>
      </c>
      <c r="H7058" s="116">
        <f>IFERROR(__xludf.DUMMYFUNCTION("""COMPUTED_VALUE"""),45913.0)</f>
        <v>45913</v>
      </c>
      <c r="I7058" s="115" t="str">
        <f>IFERROR(__xludf.DUMMYFUNCTION("""COMPUTED_VALUE"""),"11")</f>
        <v>11</v>
      </c>
      <c r="J7058" s="115"/>
      <c r="K7058" s="115"/>
    </row>
    <row r="7059">
      <c r="A7059" s="115" t="str">
        <f>IFERROR(__xludf.DUMMYFUNCTION("""COMPUTED_VALUE"""),"SOUTH")</f>
        <v>SOUTH</v>
      </c>
      <c r="B7059" s="115" t="str">
        <f>IFERROR(__xludf.DUMMYFUNCTION("""COMPUTED_VALUE"""),"Premkumar M")</f>
        <v>Premkumar M</v>
      </c>
      <c r="C7059" s="115" t="str">
        <f>IFERROR(__xludf.DUMMYFUNCTION("""COMPUTED_VALUE"""),"MYNTRA")</f>
        <v>MYNTRA</v>
      </c>
      <c r="D7059" s="115">
        <f>IFERROR(__xludf.DUMMYFUNCTION("""COMPUTED_VALUE"""),10339.0)</f>
        <v>10339</v>
      </c>
      <c r="E7059" s="115">
        <f>IFERROR(__xludf.DUMMYFUNCTION("""COMPUTED_VALUE"""),1661.0)</f>
        <v>1661</v>
      </c>
      <c r="F7059" s="115">
        <f>IFERROR(__xludf.DUMMYFUNCTION("""COMPUTED_VALUE"""),1221.0)</f>
        <v>1221</v>
      </c>
      <c r="G7059" s="115">
        <f>IFERROR(__xludf.DUMMYFUNCTION("""COMPUTED_VALUE"""),17.0)</f>
        <v>17</v>
      </c>
      <c r="H7059" s="116">
        <f>IFERROR(__xludf.DUMMYFUNCTION("""COMPUTED_VALUE"""),45913.0)</f>
        <v>45913</v>
      </c>
      <c r="I7059" s="115" t="str">
        <f>IFERROR(__xludf.DUMMYFUNCTION("""COMPUTED_VALUE"""),"11")</f>
        <v>11</v>
      </c>
      <c r="J7059" s="115"/>
      <c r="K7059" s="115"/>
    </row>
    <row r="7060">
      <c r="A7060" s="115" t="str">
        <f>IFERROR(__xludf.DUMMYFUNCTION("""COMPUTED_VALUE"""),"SOUTH")</f>
        <v>SOUTH</v>
      </c>
      <c r="B7060" s="115" t="str">
        <f>IFERROR(__xludf.DUMMYFUNCTION("""COMPUTED_VALUE"""),"Vineeth V")</f>
        <v>Vineeth V</v>
      </c>
      <c r="C7060" s="115" t="str">
        <f>IFERROR(__xludf.DUMMYFUNCTION("""COMPUTED_VALUE"""),"EXTERNAL")</f>
        <v>EXTERNAL</v>
      </c>
      <c r="D7060" s="115">
        <f>IFERROR(__xludf.DUMMYFUNCTION("""COMPUTED_VALUE"""),13245.0)</f>
        <v>13245</v>
      </c>
      <c r="E7060" s="115">
        <f>IFERROR(__xludf.DUMMYFUNCTION("""COMPUTED_VALUE"""),247.0)</f>
        <v>247</v>
      </c>
      <c r="F7060" s="115">
        <f>IFERROR(__xludf.DUMMYFUNCTION("""COMPUTED_VALUE"""),646.0)</f>
        <v>646</v>
      </c>
      <c r="G7060" s="115">
        <f>IFERROR(__xludf.DUMMYFUNCTION("""COMPUTED_VALUE"""),1.0)</f>
        <v>1</v>
      </c>
      <c r="H7060" s="116">
        <f>IFERROR(__xludf.DUMMYFUNCTION("""COMPUTED_VALUE"""),45913.0)</f>
        <v>45913</v>
      </c>
      <c r="I7060" s="115" t="str">
        <f>IFERROR(__xludf.DUMMYFUNCTION("""COMPUTED_VALUE"""),"11")</f>
        <v>11</v>
      </c>
      <c r="J7060" s="115"/>
      <c r="K7060" s="115"/>
    </row>
    <row r="7061">
      <c r="A7061" s="115" t="str">
        <f>IFERROR(__xludf.DUMMYFUNCTION("""COMPUTED_VALUE"""),"SOUTH")</f>
        <v>SOUTH</v>
      </c>
      <c r="B7061" s="115" t="str">
        <f>IFERROR(__xludf.DUMMYFUNCTION("""COMPUTED_VALUE"""),"Vineeth V")</f>
        <v>Vineeth V</v>
      </c>
      <c r="C7061" s="115" t="str">
        <f>IFERROR(__xludf.DUMMYFUNCTION("""COMPUTED_VALUE"""),"FLIPKART")</f>
        <v>FLIPKART</v>
      </c>
      <c r="D7061" s="115">
        <f>IFERROR(__xludf.DUMMYFUNCTION("""COMPUTED_VALUE"""),150191.0)</f>
        <v>150191</v>
      </c>
      <c r="E7061" s="115">
        <f>IFERROR(__xludf.DUMMYFUNCTION("""COMPUTED_VALUE"""),7067.0)</f>
        <v>7067</v>
      </c>
      <c r="F7061" s="115">
        <f>IFERROR(__xludf.DUMMYFUNCTION("""COMPUTED_VALUE"""),12660.0)</f>
        <v>12660</v>
      </c>
      <c r="G7061" s="115">
        <f>IFERROR(__xludf.DUMMYFUNCTION("""COMPUTED_VALUE"""),76.0)</f>
        <v>76</v>
      </c>
      <c r="H7061" s="116">
        <f>IFERROR(__xludf.DUMMYFUNCTION("""COMPUTED_VALUE"""),45913.0)</f>
        <v>45913</v>
      </c>
      <c r="I7061" s="115" t="str">
        <f>IFERROR(__xludf.DUMMYFUNCTION("""COMPUTED_VALUE"""),"11")</f>
        <v>11</v>
      </c>
      <c r="J7061" s="115"/>
      <c r="K7061" s="115"/>
    </row>
    <row r="7062">
      <c r="A7062" s="115" t="str">
        <f>IFERROR(__xludf.DUMMYFUNCTION("""COMPUTED_VALUE"""),"SOUTH")</f>
        <v>SOUTH</v>
      </c>
      <c r="B7062" s="115" t="str">
        <f>IFERROR(__xludf.DUMMYFUNCTION("""COMPUTED_VALUE"""),"Vineeth V")</f>
        <v>Vineeth V</v>
      </c>
      <c r="C7062" s="115" t="str">
        <f>IFERROR(__xludf.DUMMYFUNCTION("""COMPUTED_VALUE"""),"MYNTRA")</f>
        <v>MYNTRA</v>
      </c>
      <c r="D7062" s="115">
        <f>IFERROR(__xludf.DUMMYFUNCTION("""COMPUTED_VALUE"""),11746.0)</f>
        <v>11746</v>
      </c>
      <c r="E7062" s="115">
        <f>IFERROR(__xludf.DUMMYFUNCTION("""COMPUTED_VALUE"""),1622.0)</f>
        <v>1622</v>
      </c>
      <c r="F7062" s="115">
        <f>IFERROR(__xludf.DUMMYFUNCTION("""COMPUTED_VALUE"""),1230.0)</f>
        <v>1230</v>
      </c>
      <c r="G7062" s="115">
        <f>IFERROR(__xludf.DUMMYFUNCTION("""COMPUTED_VALUE"""),19.0)</f>
        <v>19</v>
      </c>
      <c r="H7062" s="116">
        <f>IFERROR(__xludf.DUMMYFUNCTION("""COMPUTED_VALUE"""),45913.0)</f>
        <v>45913</v>
      </c>
      <c r="I7062" s="115" t="str">
        <f>IFERROR(__xludf.DUMMYFUNCTION("""COMPUTED_VALUE"""),"11")</f>
        <v>11</v>
      </c>
      <c r="J7062" s="115"/>
      <c r="K7062" s="115"/>
    </row>
    <row r="7063">
      <c r="A7063" s="115" t="str">
        <f>IFERROR(__xludf.DUMMYFUNCTION("""COMPUTED_VALUE"""),"WEST")</f>
        <v>WEST</v>
      </c>
      <c r="B7063" s="115" t="str">
        <f>IFERROR(__xludf.DUMMYFUNCTION("""COMPUTED_VALUE"""),"Ashish Jakar")</f>
        <v>Ashish Jakar</v>
      </c>
      <c r="C7063" s="115" t="str">
        <f>IFERROR(__xludf.DUMMYFUNCTION("""COMPUTED_VALUE"""),"EXTERNAL")</f>
        <v>EXTERNAL</v>
      </c>
      <c r="D7063" s="115">
        <f>IFERROR(__xludf.DUMMYFUNCTION("""COMPUTED_VALUE"""),41567.0)</f>
        <v>41567</v>
      </c>
      <c r="E7063" s="115">
        <f>IFERROR(__xludf.DUMMYFUNCTION("""COMPUTED_VALUE"""),4025.0)</f>
        <v>4025</v>
      </c>
      <c r="F7063" s="115">
        <f>IFERROR(__xludf.DUMMYFUNCTION("""COMPUTED_VALUE"""),3412.0)</f>
        <v>3412</v>
      </c>
      <c r="G7063" s="115">
        <f>IFERROR(__xludf.DUMMYFUNCTION("""COMPUTED_VALUE"""),184.0)</f>
        <v>184</v>
      </c>
      <c r="H7063" s="116">
        <f>IFERROR(__xludf.DUMMYFUNCTION("""COMPUTED_VALUE"""),45913.0)</f>
        <v>45913</v>
      </c>
      <c r="I7063" s="115" t="str">
        <f>IFERROR(__xludf.DUMMYFUNCTION("""COMPUTED_VALUE"""),"11")</f>
        <v>11</v>
      </c>
      <c r="J7063" s="115"/>
      <c r="K7063" s="115"/>
    </row>
    <row r="7064">
      <c r="A7064" s="115" t="str">
        <f>IFERROR(__xludf.DUMMYFUNCTION("""COMPUTED_VALUE"""),"WEST")</f>
        <v>WEST</v>
      </c>
      <c r="B7064" s="115" t="str">
        <f>IFERROR(__xludf.DUMMYFUNCTION("""COMPUTED_VALUE"""),"Ashish Jakar")</f>
        <v>Ashish Jakar</v>
      </c>
      <c r="C7064" s="115" t="str">
        <f>IFERROR(__xludf.DUMMYFUNCTION("""COMPUTED_VALUE"""),"FLIPKART")</f>
        <v>FLIPKART</v>
      </c>
      <c r="D7064" s="115">
        <f>IFERROR(__xludf.DUMMYFUNCTION("""COMPUTED_VALUE"""),347625.0)</f>
        <v>347625</v>
      </c>
      <c r="E7064" s="115">
        <f>IFERROR(__xludf.DUMMYFUNCTION("""COMPUTED_VALUE"""),26285.0)</f>
        <v>26285</v>
      </c>
      <c r="F7064" s="115">
        <f>IFERROR(__xludf.DUMMYFUNCTION("""COMPUTED_VALUE"""),40184.0)</f>
        <v>40184</v>
      </c>
      <c r="G7064" s="115">
        <f>IFERROR(__xludf.DUMMYFUNCTION("""COMPUTED_VALUE"""),999.0)</f>
        <v>999</v>
      </c>
      <c r="H7064" s="116">
        <f>IFERROR(__xludf.DUMMYFUNCTION("""COMPUTED_VALUE"""),45913.0)</f>
        <v>45913</v>
      </c>
      <c r="I7064" s="115" t="str">
        <f>IFERROR(__xludf.DUMMYFUNCTION("""COMPUTED_VALUE"""),"11")</f>
        <v>11</v>
      </c>
      <c r="J7064" s="115"/>
      <c r="K7064" s="115"/>
    </row>
    <row r="7065">
      <c r="A7065" s="115" t="str">
        <f>IFERROR(__xludf.DUMMYFUNCTION("""COMPUTED_VALUE"""),"WEST")</f>
        <v>WEST</v>
      </c>
      <c r="B7065" s="115" t="str">
        <f>IFERROR(__xludf.DUMMYFUNCTION("""COMPUTED_VALUE"""),"Ashish Jakar")</f>
        <v>Ashish Jakar</v>
      </c>
      <c r="C7065" s="115" t="str">
        <f>IFERROR(__xludf.DUMMYFUNCTION("""COMPUTED_VALUE"""),"MYNTRA")</f>
        <v>MYNTRA</v>
      </c>
      <c r="D7065" s="115">
        <f>IFERROR(__xludf.DUMMYFUNCTION("""COMPUTED_VALUE"""),36057.0)</f>
        <v>36057</v>
      </c>
      <c r="E7065" s="115">
        <f>IFERROR(__xludf.DUMMYFUNCTION("""COMPUTED_VALUE"""),8502.0)</f>
        <v>8502</v>
      </c>
      <c r="F7065" s="115">
        <f>IFERROR(__xludf.DUMMYFUNCTION("""COMPUTED_VALUE"""),4933.0)</f>
        <v>4933</v>
      </c>
      <c r="G7065" s="115">
        <f>IFERROR(__xludf.DUMMYFUNCTION("""COMPUTED_VALUE"""),355.0)</f>
        <v>355</v>
      </c>
      <c r="H7065" s="116">
        <f>IFERROR(__xludf.DUMMYFUNCTION("""COMPUTED_VALUE"""),45913.0)</f>
        <v>45913</v>
      </c>
      <c r="I7065" s="115" t="str">
        <f>IFERROR(__xludf.DUMMYFUNCTION("""COMPUTED_VALUE"""),"11")</f>
        <v>11</v>
      </c>
      <c r="J7065" s="115"/>
      <c r="K7065" s="115"/>
    </row>
    <row r="7066">
      <c r="A7066" s="115" t="str">
        <f>IFERROR(__xludf.DUMMYFUNCTION("""COMPUTED_VALUE"""),"WEST")</f>
        <v>WEST</v>
      </c>
      <c r="B7066" s="115" t="str">
        <f>IFERROR(__xludf.DUMMYFUNCTION("""COMPUTED_VALUE"""),"Ashvani Bhatt")</f>
        <v>Ashvani Bhatt</v>
      </c>
      <c r="C7066" s="115" t="str">
        <f>IFERROR(__xludf.DUMMYFUNCTION("""COMPUTED_VALUE"""),"EXTERNAL")</f>
        <v>EXTERNAL</v>
      </c>
      <c r="D7066" s="115">
        <f>IFERROR(__xludf.DUMMYFUNCTION("""COMPUTED_VALUE"""),29827.0)</f>
        <v>29827</v>
      </c>
      <c r="E7066" s="115">
        <f>IFERROR(__xludf.DUMMYFUNCTION("""COMPUTED_VALUE"""),1626.0)</f>
        <v>1626</v>
      </c>
      <c r="F7066" s="115">
        <f>IFERROR(__xludf.DUMMYFUNCTION("""COMPUTED_VALUE"""),2680.0)</f>
        <v>2680</v>
      </c>
      <c r="G7066" s="115">
        <f>IFERROR(__xludf.DUMMYFUNCTION("""COMPUTED_VALUE"""),47.0)</f>
        <v>47</v>
      </c>
      <c r="H7066" s="116">
        <f>IFERROR(__xludf.DUMMYFUNCTION("""COMPUTED_VALUE"""),45913.0)</f>
        <v>45913</v>
      </c>
      <c r="I7066" s="115" t="str">
        <f>IFERROR(__xludf.DUMMYFUNCTION("""COMPUTED_VALUE"""),"11")</f>
        <v>11</v>
      </c>
      <c r="J7066" s="115"/>
      <c r="K7066" s="115"/>
    </row>
    <row r="7067">
      <c r="A7067" s="115" t="str">
        <f>IFERROR(__xludf.DUMMYFUNCTION("""COMPUTED_VALUE"""),"WEST")</f>
        <v>WEST</v>
      </c>
      <c r="B7067" s="115" t="str">
        <f>IFERROR(__xludf.DUMMYFUNCTION("""COMPUTED_VALUE"""),"Ashvani Bhatt")</f>
        <v>Ashvani Bhatt</v>
      </c>
      <c r="C7067" s="115" t="str">
        <f>IFERROR(__xludf.DUMMYFUNCTION("""COMPUTED_VALUE"""),"FLIPKART")</f>
        <v>FLIPKART</v>
      </c>
      <c r="D7067" s="115">
        <f>IFERROR(__xludf.DUMMYFUNCTION("""COMPUTED_VALUE"""),262076.0)</f>
        <v>262076</v>
      </c>
      <c r="E7067" s="115">
        <f>IFERROR(__xludf.DUMMYFUNCTION("""COMPUTED_VALUE"""),21457.0)</f>
        <v>21457</v>
      </c>
      <c r="F7067" s="115">
        <f>IFERROR(__xludf.DUMMYFUNCTION("""COMPUTED_VALUE"""),43367.0)</f>
        <v>43367</v>
      </c>
      <c r="G7067" s="115">
        <f>IFERROR(__xludf.DUMMYFUNCTION("""COMPUTED_VALUE"""),871.0)</f>
        <v>871</v>
      </c>
      <c r="H7067" s="116">
        <f>IFERROR(__xludf.DUMMYFUNCTION("""COMPUTED_VALUE"""),45913.0)</f>
        <v>45913</v>
      </c>
      <c r="I7067" s="115" t="str">
        <f>IFERROR(__xludf.DUMMYFUNCTION("""COMPUTED_VALUE"""),"11")</f>
        <v>11</v>
      </c>
      <c r="J7067" s="115"/>
      <c r="K7067" s="115"/>
    </row>
    <row r="7068">
      <c r="A7068" s="115" t="str">
        <f>IFERROR(__xludf.DUMMYFUNCTION("""COMPUTED_VALUE"""),"WEST")</f>
        <v>WEST</v>
      </c>
      <c r="B7068" s="115" t="str">
        <f>IFERROR(__xludf.DUMMYFUNCTION("""COMPUTED_VALUE"""),"Ashvani Bhatt")</f>
        <v>Ashvani Bhatt</v>
      </c>
      <c r="C7068" s="115" t="str">
        <f>IFERROR(__xludf.DUMMYFUNCTION("""COMPUTED_VALUE"""),"MYNTRA")</f>
        <v>MYNTRA</v>
      </c>
      <c r="D7068" s="115">
        <f>IFERROR(__xludf.DUMMYFUNCTION("""COMPUTED_VALUE"""),29205.0)</f>
        <v>29205</v>
      </c>
      <c r="E7068" s="115">
        <f>IFERROR(__xludf.DUMMYFUNCTION("""COMPUTED_VALUE"""),6385.0)</f>
        <v>6385</v>
      </c>
      <c r="F7068" s="115">
        <f>IFERROR(__xludf.DUMMYFUNCTION("""COMPUTED_VALUE"""),6288.0)</f>
        <v>6288</v>
      </c>
      <c r="G7068" s="115">
        <f>IFERROR(__xludf.DUMMYFUNCTION("""COMPUTED_VALUE"""),315.0)</f>
        <v>315</v>
      </c>
      <c r="H7068" s="116">
        <f>IFERROR(__xludf.DUMMYFUNCTION("""COMPUTED_VALUE"""),45913.0)</f>
        <v>45913</v>
      </c>
      <c r="I7068" s="115" t="str">
        <f>IFERROR(__xludf.DUMMYFUNCTION("""COMPUTED_VALUE"""),"11")</f>
        <v>11</v>
      </c>
      <c r="J7068" s="115"/>
      <c r="K7068" s="115"/>
    </row>
    <row r="7069">
      <c r="A7069" s="115"/>
      <c r="B7069" s="115"/>
      <c r="C7069" s="115" t="str">
        <f>IFERROR(__xludf.DUMMYFUNCTION("""COMPUTED_VALUE"""),"EXTERNAL")</f>
        <v>EXTERNAL</v>
      </c>
      <c r="D7069" s="115">
        <f>IFERROR(__xludf.DUMMYFUNCTION("""COMPUTED_VALUE"""),998.0)</f>
        <v>998</v>
      </c>
      <c r="E7069" s="115">
        <f>IFERROR(__xludf.DUMMYFUNCTION("""COMPUTED_VALUE"""),190.0)</f>
        <v>190</v>
      </c>
      <c r="F7069" s="115">
        <f>IFERROR(__xludf.DUMMYFUNCTION("""COMPUTED_VALUE"""),59.0)</f>
        <v>59</v>
      </c>
      <c r="G7069" s="115">
        <f>IFERROR(__xludf.DUMMYFUNCTION("""COMPUTED_VALUE"""),9.0)</f>
        <v>9</v>
      </c>
      <c r="H7069" s="116">
        <f>IFERROR(__xludf.DUMMYFUNCTION("""COMPUTED_VALUE"""),45913.0)</f>
        <v>45913</v>
      </c>
      <c r="I7069" s="115" t="str">
        <f>IFERROR(__xludf.DUMMYFUNCTION("""COMPUTED_VALUE"""),"11")</f>
        <v>11</v>
      </c>
      <c r="J7069" s="115"/>
      <c r="K7069" s="115"/>
    </row>
    <row r="7070">
      <c r="A7070" s="115"/>
      <c r="B7070" s="115"/>
      <c r="C7070" s="115" t="str">
        <f>IFERROR(__xludf.DUMMYFUNCTION("""COMPUTED_VALUE"""),"FLIPKART")</f>
        <v>FLIPKART</v>
      </c>
      <c r="D7070" s="115">
        <f>IFERROR(__xludf.DUMMYFUNCTION("""COMPUTED_VALUE"""),12425.0)</f>
        <v>12425</v>
      </c>
      <c r="E7070" s="115">
        <f>IFERROR(__xludf.DUMMYFUNCTION("""COMPUTED_VALUE"""),1233.0)</f>
        <v>1233</v>
      </c>
      <c r="F7070" s="115">
        <f>IFERROR(__xludf.DUMMYFUNCTION("""COMPUTED_VALUE"""),1011.0)</f>
        <v>1011</v>
      </c>
      <c r="G7070" s="115">
        <f>IFERROR(__xludf.DUMMYFUNCTION("""COMPUTED_VALUE"""),84.0)</f>
        <v>84</v>
      </c>
      <c r="H7070" s="116">
        <f>IFERROR(__xludf.DUMMYFUNCTION("""COMPUTED_VALUE"""),45913.0)</f>
        <v>45913</v>
      </c>
      <c r="I7070" s="115" t="str">
        <f>IFERROR(__xludf.DUMMYFUNCTION("""COMPUTED_VALUE"""),"11")</f>
        <v>11</v>
      </c>
      <c r="J7070" s="115"/>
      <c r="K7070" s="115"/>
    </row>
    <row r="7071">
      <c r="A7071" s="115"/>
      <c r="B7071" s="115"/>
      <c r="C7071" s="115" t="str">
        <f>IFERROR(__xludf.DUMMYFUNCTION("""COMPUTED_VALUE"""),"MYNTRA")</f>
        <v>MYNTRA</v>
      </c>
      <c r="D7071" s="115">
        <f>IFERROR(__xludf.DUMMYFUNCTION("""COMPUTED_VALUE"""),1241.0)</f>
        <v>1241</v>
      </c>
      <c r="E7071" s="115">
        <f>IFERROR(__xludf.DUMMYFUNCTION("""COMPUTED_VALUE"""),382.0)</f>
        <v>382</v>
      </c>
      <c r="F7071" s="115">
        <f>IFERROR(__xludf.DUMMYFUNCTION("""COMPUTED_VALUE"""),138.0)</f>
        <v>138</v>
      </c>
      <c r="G7071" s="115">
        <f>IFERROR(__xludf.DUMMYFUNCTION("""COMPUTED_VALUE"""),30.0)</f>
        <v>30</v>
      </c>
      <c r="H7071" s="116">
        <f>IFERROR(__xludf.DUMMYFUNCTION("""COMPUTED_VALUE"""),45913.0)</f>
        <v>45913</v>
      </c>
      <c r="I7071" s="115" t="str">
        <f>IFERROR(__xludf.DUMMYFUNCTION("""COMPUTED_VALUE"""),"11")</f>
        <v>11</v>
      </c>
      <c r="J7071" s="115"/>
      <c r="K7071" s="115"/>
    </row>
    <row r="7072">
      <c r="A7072" s="115" t="str">
        <f>IFERROR(__xludf.DUMMYFUNCTION("""COMPUTED_VALUE"""),"EAST")</f>
        <v>EAST</v>
      </c>
      <c r="B7072" s="115" t="str">
        <f>IFERROR(__xludf.DUMMYFUNCTION("""COMPUTED_VALUE"""),"Ashish Ranjan")</f>
        <v>Ashish Ranjan</v>
      </c>
      <c r="C7072" s="115" t="str">
        <f>IFERROR(__xludf.DUMMYFUNCTION("""COMPUTED_VALUE"""),"EXTERNAL")</f>
        <v>EXTERNAL</v>
      </c>
      <c r="D7072" s="115">
        <f>IFERROR(__xludf.DUMMYFUNCTION("""COMPUTED_VALUE"""),36862.0)</f>
        <v>36862</v>
      </c>
      <c r="E7072" s="115">
        <f>IFERROR(__xludf.DUMMYFUNCTION("""COMPUTED_VALUE"""),2313.0)</f>
        <v>2313</v>
      </c>
      <c r="F7072" s="115">
        <f>IFERROR(__xludf.DUMMYFUNCTION("""COMPUTED_VALUE"""),6202.0)</f>
        <v>6202</v>
      </c>
      <c r="G7072" s="115">
        <f>IFERROR(__xludf.DUMMYFUNCTION("""COMPUTED_VALUE"""),142.0)</f>
        <v>142</v>
      </c>
      <c r="H7072" s="116">
        <f>IFERROR(__xludf.DUMMYFUNCTION("""COMPUTED_VALUE"""),45913.0)</f>
        <v>45913</v>
      </c>
      <c r="I7072" s="115" t="str">
        <f>IFERROR(__xludf.DUMMYFUNCTION("""COMPUTED_VALUE"""),"12")</f>
        <v>12</v>
      </c>
      <c r="J7072" s="115"/>
      <c r="K7072" s="115"/>
    </row>
    <row r="7073">
      <c r="A7073" s="115" t="str">
        <f>IFERROR(__xludf.DUMMYFUNCTION("""COMPUTED_VALUE"""),"EAST")</f>
        <v>EAST</v>
      </c>
      <c r="B7073" s="115" t="str">
        <f>IFERROR(__xludf.DUMMYFUNCTION("""COMPUTED_VALUE"""),"Ashish Ranjan")</f>
        <v>Ashish Ranjan</v>
      </c>
      <c r="C7073" s="115" t="str">
        <f>IFERROR(__xludf.DUMMYFUNCTION("""COMPUTED_VALUE"""),"FLIPKART")</f>
        <v>FLIPKART</v>
      </c>
      <c r="D7073" s="115">
        <f>IFERROR(__xludf.DUMMYFUNCTION("""COMPUTED_VALUE"""),779274.0)</f>
        <v>779274</v>
      </c>
      <c r="E7073" s="115">
        <f>IFERROR(__xludf.DUMMYFUNCTION("""COMPUTED_VALUE"""),58184.0)</f>
        <v>58184</v>
      </c>
      <c r="F7073" s="115">
        <f>IFERROR(__xludf.DUMMYFUNCTION("""COMPUTED_VALUE"""),220480.0)</f>
        <v>220480</v>
      </c>
      <c r="G7073" s="115">
        <f>IFERROR(__xludf.DUMMYFUNCTION("""COMPUTED_VALUE"""),4903.0)</f>
        <v>4903</v>
      </c>
      <c r="H7073" s="116">
        <f>IFERROR(__xludf.DUMMYFUNCTION("""COMPUTED_VALUE"""),45913.0)</f>
        <v>45913</v>
      </c>
      <c r="I7073" s="115" t="str">
        <f>IFERROR(__xludf.DUMMYFUNCTION("""COMPUTED_VALUE"""),"12")</f>
        <v>12</v>
      </c>
      <c r="J7073" s="115"/>
      <c r="K7073" s="115"/>
    </row>
    <row r="7074">
      <c r="A7074" s="115" t="str">
        <f>IFERROR(__xludf.DUMMYFUNCTION("""COMPUTED_VALUE"""),"EAST")</f>
        <v>EAST</v>
      </c>
      <c r="B7074" s="115" t="str">
        <f>IFERROR(__xludf.DUMMYFUNCTION("""COMPUTED_VALUE"""),"Ashish Ranjan")</f>
        <v>Ashish Ranjan</v>
      </c>
      <c r="C7074" s="115" t="str">
        <f>IFERROR(__xludf.DUMMYFUNCTION("""COMPUTED_VALUE"""),"MYNTRA")</f>
        <v>MYNTRA</v>
      </c>
      <c r="D7074" s="115">
        <f>IFERROR(__xludf.DUMMYFUNCTION("""COMPUTED_VALUE"""),73766.0)</f>
        <v>73766</v>
      </c>
      <c r="E7074" s="115">
        <f>IFERROR(__xludf.DUMMYFUNCTION("""COMPUTED_VALUE"""),13600.0)</f>
        <v>13600</v>
      </c>
      <c r="F7074" s="115">
        <f>IFERROR(__xludf.DUMMYFUNCTION("""COMPUTED_VALUE"""),20530.0)</f>
        <v>20530</v>
      </c>
      <c r="G7074" s="115">
        <f>IFERROR(__xludf.DUMMYFUNCTION("""COMPUTED_VALUE"""),1152.0)</f>
        <v>1152</v>
      </c>
      <c r="H7074" s="116">
        <f>IFERROR(__xludf.DUMMYFUNCTION("""COMPUTED_VALUE"""),45913.0)</f>
        <v>45913</v>
      </c>
      <c r="I7074" s="115" t="str">
        <f>IFERROR(__xludf.DUMMYFUNCTION("""COMPUTED_VALUE"""),"12")</f>
        <v>12</v>
      </c>
      <c r="J7074" s="115"/>
      <c r="K7074" s="115"/>
    </row>
    <row r="7075">
      <c r="A7075" s="115" t="str">
        <f>IFERROR(__xludf.DUMMYFUNCTION("""COMPUTED_VALUE"""),"EAST")</f>
        <v>EAST</v>
      </c>
      <c r="B7075" s="115" t="str">
        <f>IFERROR(__xludf.DUMMYFUNCTION("""COMPUTED_VALUE"""),"Girish Chand")</f>
        <v>Girish Chand</v>
      </c>
      <c r="C7075" s="115" t="str">
        <f>IFERROR(__xludf.DUMMYFUNCTION("""COMPUTED_VALUE"""),"EXTERNAL")</f>
        <v>EXTERNAL</v>
      </c>
      <c r="D7075" s="115">
        <f>IFERROR(__xludf.DUMMYFUNCTION("""COMPUTED_VALUE"""),21412.0)</f>
        <v>21412</v>
      </c>
      <c r="E7075" s="115">
        <f>IFERROR(__xludf.DUMMYFUNCTION("""COMPUTED_VALUE"""),1190.0)</f>
        <v>1190</v>
      </c>
      <c r="F7075" s="115">
        <f>IFERROR(__xludf.DUMMYFUNCTION("""COMPUTED_VALUE"""),2513.0)</f>
        <v>2513</v>
      </c>
      <c r="G7075" s="115">
        <f>IFERROR(__xludf.DUMMYFUNCTION("""COMPUTED_VALUE"""),38.0)</f>
        <v>38</v>
      </c>
      <c r="H7075" s="116">
        <f>IFERROR(__xludf.DUMMYFUNCTION("""COMPUTED_VALUE"""),45913.0)</f>
        <v>45913</v>
      </c>
      <c r="I7075" s="115" t="str">
        <f>IFERROR(__xludf.DUMMYFUNCTION("""COMPUTED_VALUE"""),"12")</f>
        <v>12</v>
      </c>
      <c r="J7075" s="115"/>
      <c r="K7075" s="115"/>
    </row>
    <row r="7076">
      <c r="A7076" s="115" t="str">
        <f>IFERROR(__xludf.DUMMYFUNCTION("""COMPUTED_VALUE"""),"EAST")</f>
        <v>EAST</v>
      </c>
      <c r="B7076" s="115" t="str">
        <f>IFERROR(__xludf.DUMMYFUNCTION("""COMPUTED_VALUE"""),"Girish Chand")</f>
        <v>Girish Chand</v>
      </c>
      <c r="C7076" s="115" t="str">
        <f>IFERROR(__xludf.DUMMYFUNCTION("""COMPUTED_VALUE"""),"FLIPKART")</f>
        <v>FLIPKART</v>
      </c>
      <c r="D7076" s="115">
        <f>IFERROR(__xludf.DUMMYFUNCTION("""COMPUTED_VALUE"""),469344.0)</f>
        <v>469344</v>
      </c>
      <c r="E7076" s="115">
        <f>IFERROR(__xludf.DUMMYFUNCTION("""COMPUTED_VALUE"""),33771.0)</f>
        <v>33771</v>
      </c>
      <c r="F7076" s="115">
        <f>IFERROR(__xludf.DUMMYFUNCTION("""COMPUTED_VALUE"""),98198.0)</f>
        <v>98198</v>
      </c>
      <c r="G7076" s="115">
        <f>IFERROR(__xludf.DUMMYFUNCTION("""COMPUTED_VALUE"""),1866.0)</f>
        <v>1866</v>
      </c>
      <c r="H7076" s="116">
        <f>IFERROR(__xludf.DUMMYFUNCTION("""COMPUTED_VALUE"""),45913.0)</f>
        <v>45913</v>
      </c>
      <c r="I7076" s="115" t="str">
        <f>IFERROR(__xludf.DUMMYFUNCTION("""COMPUTED_VALUE"""),"12")</f>
        <v>12</v>
      </c>
      <c r="J7076" s="115"/>
      <c r="K7076" s="115"/>
    </row>
    <row r="7077">
      <c r="A7077" s="115" t="str">
        <f>IFERROR(__xludf.DUMMYFUNCTION("""COMPUTED_VALUE"""),"EAST")</f>
        <v>EAST</v>
      </c>
      <c r="B7077" s="115" t="str">
        <f>IFERROR(__xludf.DUMMYFUNCTION("""COMPUTED_VALUE"""),"Girish Chand")</f>
        <v>Girish Chand</v>
      </c>
      <c r="C7077" s="115" t="str">
        <f>IFERROR(__xludf.DUMMYFUNCTION("""COMPUTED_VALUE"""),"MYNTRA")</f>
        <v>MYNTRA</v>
      </c>
      <c r="D7077" s="115">
        <f>IFERROR(__xludf.DUMMYFUNCTION("""COMPUTED_VALUE"""),36549.0)</f>
        <v>36549</v>
      </c>
      <c r="E7077" s="115">
        <f>IFERROR(__xludf.DUMMYFUNCTION("""COMPUTED_VALUE"""),6092.0)</f>
        <v>6092</v>
      </c>
      <c r="F7077" s="115">
        <f>IFERROR(__xludf.DUMMYFUNCTION("""COMPUTED_VALUE"""),8621.0)</f>
        <v>8621</v>
      </c>
      <c r="G7077" s="115">
        <f>IFERROR(__xludf.DUMMYFUNCTION("""COMPUTED_VALUE"""),328.0)</f>
        <v>328</v>
      </c>
      <c r="H7077" s="116">
        <f>IFERROR(__xludf.DUMMYFUNCTION("""COMPUTED_VALUE"""),45913.0)</f>
        <v>45913</v>
      </c>
      <c r="I7077" s="115" t="str">
        <f>IFERROR(__xludf.DUMMYFUNCTION("""COMPUTED_VALUE"""),"12")</f>
        <v>12</v>
      </c>
      <c r="J7077" s="115"/>
      <c r="K7077" s="115"/>
    </row>
    <row r="7078">
      <c r="A7078" s="115" t="str">
        <f>IFERROR(__xludf.DUMMYFUNCTION("""COMPUTED_VALUE"""),"EAST")</f>
        <v>EAST</v>
      </c>
      <c r="B7078" s="115" t="str">
        <f>IFERROR(__xludf.DUMMYFUNCTION("""COMPUTED_VALUE"""),"Parag Kashyap")</f>
        <v>Parag Kashyap</v>
      </c>
      <c r="C7078" s="115" t="str">
        <f>IFERROR(__xludf.DUMMYFUNCTION("""COMPUTED_VALUE"""),"EXTERNAL")</f>
        <v>EXTERNAL</v>
      </c>
      <c r="D7078" s="115">
        <f>IFERROR(__xludf.DUMMYFUNCTION("""COMPUTED_VALUE"""),14639.0)</f>
        <v>14639</v>
      </c>
      <c r="E7078" s="115">
        <f>IFERROR(__xludf.DUMMYFUNCTION("""COMPUTED_VALUE"""),554.0)</f>
        <v>554</v>
      </c>
      <c r="F7078" s="115">
        <f>IFERROR(__xludf.DUMMYFUNCTION("""COMPUTED_VALUE"""),1490.0)</f>
        <v>1490</v>
      </c>
      <c r="G7078" s="115">
        <f>IFERROR(__xludf.DUMMYFUNCTION("""COMPUTED_VALUE"""),13.0)</f>
        <v>13</v>
      </c>
      <c r="H7078" s="116">
        <f>IFERROR(__xludf.DUMMYFUNCTION("""COMPUTED_VALUE"""),45913.0)</f>
        <v>45913</v>
      </c>
      <c r="I7078" s="115" t="str">
        <f>IFERROR(__xludf.DUMMYFUNCTION("""COMPUTED_VALUE"""),"12")</f>
        <v>12</v>
      </c>
      <c r="J7078" s="115"/>
      <c r="K7078" s="115"/>
    </row>
    <row r="7079">
      <c r="A7079" s="115" t="str">
        <f>IFERROR(__xludf.DUMMYFUNCTION("""COMPUTED_VALUE"""),"EAST")</f>
        <v>EAST</v>
      </c>
      <c r="B7079" s="115" t="str">
        <f>IFERROR(__xludf.DUMMYFUNCTION("""COMPUTED_VALUE"""),"Parag Kashyap")</f>
        <v>Parag Kashyap</v>
      </c>
      <c r="C7079" s="115" t="str">
        <f>IFERROR(__xludf.DUMMYFUNCTION("""COMPUTED_VALUE"""),"FLIPKART")</f>
        <v>FLIPKART</v>
      </c>
      <c r="D7079" s="115">
        <f>IFERROR(__xludf.DUMMYFUNCTION("""COMPUTED_VALUE"""),289579.0)</f>
        <v>289579</v>
      </c>
      <c r="E7079" s="115">
        <f>IFERROR(__xludf.DUMMYFUNCTION("""COMPUTED_VALUE"""),14706.0)</f>
        <v>14706</v>
      </c>
      <c r="F7079" s="115">
        <f>IFERROR(__xludf.DUMMYFUNCTION("""COMPUTED_VALUE"""),54759.0)</f>
        <v>54759</v>
      </c>
      <c r="G7079" s="115">
        <f>IFERROR(__xludf.DUMMYFUNCTION("""COMPUTED_VALUE"""),511.0)</f>
        <v>511</v>
      </c>
      <c r="H7079" s="116">
        <f>IFERROR(__xludf.DUMMYFUNCTION("""COMPUTED_VALUE"""),45913.0)</f>
        <v>45913</v>
      </c>
      <c r="I7079" s="115" t="str">
        <f>IFERROR(__xludf.DUMMYFUNCTION("""COMPUTED_VALUE"""),"12")</f>
        <v>12</v>
      </c>
      <c r="J7079" s="115"/>
      <c r="K7079" s="115"/>
    </row>
    <row r="7080">
      <c r="A7080" s="115" t="str">
        <f>IFERROR(__xludf.DUMMYFUNCTION("""COMPUTED_VALUE"""),"EAST")</f>
        <v>EAST</v>
      </c>
      <c r="B7080" s="115" t="str">
        <f>IFERROR(__xludf.DUMMYFUNCTION("""COMPUTED_VALUE"""),"Parag Kashyap")</f>
        <v>Parag Kashyap</v>
      </c>
      <c r="C7080" s="115" t="str">
        <f>IFERROR(__xludf.DUMMYFUNCTION("""COMPUTED_VALUE"""),"MYNTRA")</f>
        <v>MYNTRA</v>
      </c>
      <c r="D7080" s="115">
        <f>IFERROR(__xludf.DUMMYFUNCTION("""COMPUTED_VALUE"""),32370.0)</f>
        <v>32370</v>
      </c>
      <c r="E7080" s="115">
        <f>IFERROR(__xludf.DUMMYFUNCTION("""COMPUTED_VALUE"""),4684.0)</f>
        <v>4684</v>
      </c>
      <c r="F7080" s="115">
        <f>IFERROR(__xludf.DUMMYFUNCTION("""COMPUTED_VALUE"""),6863.0)</f>
        <v>6863</v>
      </c>
      <c r="G7080" s="115">
        <f>IFERROR(__xludf.DUMMYFUNCTION("""COMPUTED_VALUE"""),131.0)</f>
        <v>131</v>
      </c>
      <c r="H7080" s="116">
        <f>IFERROR(__xludf.DUMMYFUNCTION("""COMPUTED_VALUE"""),45913.0)</f>
        <v>45913</v>
      </c>
      <c r="I7080" s="115" t="str">
        <f>IFERROR(__xludf.DUMMYFUNCTION("""COMPUTED_VALUE"""),"12")</f>
        <v>12</v>
      </c>
      <c r="J7080" s="115"/>
      <c r="K7080" s="115"/>
    </row>
    <row r="7081">
      <c r="A7081" s="115" t="str">
        <f>IFERROR(__xludf.DUMMYFUNCTION("""COMPUTED_VALUE"""),"NORTH")</f>
        <v>NORTH</v>
      </c>
      <c r="B7081" s="115" t="str">
        <f>IFERROR(__xludf.DUMMYFUNCTION("""COMPUTED_VALUE"""),"Amit Kumar Pathak")</f>
        <v>Amit Kumar Pathak</v>
      </c>
      <c r="C7081" s="115" t="str">
        <f>IFERROR(__xludf.DUMMYFUNCTION("""COMPUTED_VALUE"""),"EXTERNAL")</f>
        <v>EXTERNAL</v>
      </c>
      <c r="D7081" s="115">
        <f>IFERROR(__xludf.DUMMYFUNCTION("""COMPUTED_VALUE"""),23839.0)</f>
        <v>23839</v>
      </c>
      <c r="E7081" s="115">
        <f>IFERROR(__xludf.DUMMYFUNCTION("""COMPUTED_VALUE"""),2373.0)</f>
        <v>2373</v>
      </c>
      <c r="F7081" s="115">
        <f>IFERROR(__xludf.DUMMYFUNCTION("""COMPUTED_VALUE"""),3354.0)</f>
        <v>3354</v>
      </c>
      <c r="G7081" s="115">
        <f>IFERROR(__xludf.DUMMYFUNCTION("""COMPUTED_VALUE"""),298.0)</f>
        <v>298</v>
      </c>
      <c r="H7081" s="116">
        <f>IFERROR(__xludf.DUMMYFUNCTION("""COMPUTED_VALUE"""),45913.0)</f>
        <v>45913</v>
      </c>
      <c r="I7081" s="115" t="str">
        <f>IFERROR(__xludf.DUMMYFUNCTION("""COMPUTED_VALUE"""),"12")</f>
        <v>12</v>
      </c>
      <c r="J7081" s="115"/>
      <c r="K7081" s="115"/>
    </row>
    <row r="7082">
      <c r="A7082" s="115" t="str">
        <f>IFERROR(__xludf.DUMMYFUNCTION("""COMPUTED_VALUE"""),"NORTH")</f>
        <v>NORTH</v>
      </c>
      <c r="B7082" s="115" t="str">
        <f>IFERROR(__xludf.DUMMYFUNCTION("""COMPUTED_VALUE"""),"Amit Kumar Pathak")</f>
        <v>Amit Kumar Pathak</v>
      </c>
      <c r="C7082" s="115" t="str">
        <f>IFERROR(__xludf.DUMMYFUNCTION("""COMPUTED_VALUE"""),"FLIPKART")</f>
        <v>FLIPKART</v>
      </c>
      <c r="D7082" s="115">
        <f>IFERROR(__xludf.DUMMYFUNCTION("""COMPUTED_VALUE"""),164977.0)</f>
        <v>164977</v>
      </c>
      <c r="E7082" s="115">
        <f>IFERROR(__xludf.DUMMYFUNCTION("""COMPUTED_VALUE"""),20086.0)</f>
        <v>20086</v>
      </c>
      <c r="F7082" s="115">
        <f>IFERROR(__xludf.DUMMYFUNCTION("""COMPUTED_VALUE"""),44007.0)</f>
        <v>44007</v>
      </c>
      <c r="G7082" s="115">
        <f>IFERROR(__xludf.DUMMYFUNCTION("""COMPUTED_VALUE"""),2913.0)</f>
        <v>2913</v>
      </c>
      <c r="H7082" s="116">
        <f>IFERROR(__xludf.DUMMYFUNCTION("""COMPUTED_VALUE"""),45913.0)</f>
        <v>45913</v>
      </c>
      <c r="I7082" s="115" t="str">
        <f>IFERROR(__xludf.DUMMYFUNCTION("""COMPUTED_VALUE"""),"12")</f>
        <v>12</v>
      </c>
      <c r="J7082" s="115"/>
      <c r="K7082" s="115"/>
    </row>
    <row r="7083">
      <c r="A7083" s="115" t="str">
        <f>IFERROR(__xludf.DUMMYFUNCTION("""COMPUTED_VALUE"""),"NORTH")</f>
        <v>NORTH</v>
      </c>
      <c r="B7083" s="115" t="str">
        <f>IFERROR(__xludf.DUMMYFUNCTION("""COMPUTED_VALUE"""),"Amit Kumar Pathak")</f>
        <v>Amit Kumar Pathak</v>
      </c>
      <c r="C7083" s="115" t="str">
        <f>IFERROR(__xludf.DUMMYFUNCTION("""COMPUTED_VALUE"""),"MYNTRA")</f>
        <v>MYNTRA</v>
      </c>
      <c r="D7083" s="115">
        <f>IFERROR(__xludf.DUMMYFUNCTION("""COMPUTED_VALUE"""),13601.0)</f>
        <v>13601</v>
      </c>
      <c r="E7083" s="115">
        <f>IFERROR(__xludf.DUMMYFUNCTION("""COMPUTED_VALUE"""),4844.0)</f>
        <v>4844</v>
      </c>
      <c r="F7083" s="115">
        <f>IFERROR(__xludf.DUMMYFUNCTION("""COMPUTED_VALUE"""),4378.0)</f>
        <v>4378</v>
      </c>
      <c r="G7083" s="115">
        <f>IFERROR(__xludf.DUMMYFUNCTION("""COMPUTED_VALUE"""),780.0)</f>
        <v>780</v>
      </c>
      <c r="H7083" s="116">
        <f>IFERROR(__xludf.DUMMYFUNCTION("""COMPUTED_VALUE"""),45913.0)</f>
        <v>45913</v>
      </c>
      <c r="I7083" s="115" t="str">
        <f>IFERROR(__xludf.DUMMYFUNCTION("""COMPUTED_VALUE"""),"12")</f>
        <v>12</v>
      </c>
      <c r="J7083" s="115"/>
      <c r="K7083" s="115"/>
    </row>
    <row r="7084">
      <c r="A7084" s="115" t="str">
        <f>IFERROR(__xludf.DUMMYFUNCTION("""COMPUTED_VALUE"""),"NORTH")</f>
        <v>NORTH</v>
      </c>
      <c r="B7084" s="115" t="str">
        <f>IFERROR(__xludf.DUMMYFUNCTION("""COMPUTED_VALUE"""),"Ashvani Bhatt")</f>
        <v>Ashvani Bhatt</v>
      </c>
      <c r="C7084" s="115" t="str">
        <f>IFERROR(__xludf.DUMMYFUNCTION("""COMPUTED_VALUE"""),"EXTERNAL")</f>
        <v>EXTERNAL</v>
      </c>
      <c r="D7084" s="115">
        <f>IFERROR(__xludf.DUMMYFUNCTION("""COMPUTED_VALUE"""),32.0)</f>
        <v>32</v>
      </c>
      <c r="E7084" s="115">
        <f>IFERROR(__xludf.DUMMYFUNCTION("""COMPUTED_VALUE"""),1.0)</f>
        <v>1</v>
      </c>
      <c r="F7084" s="115">
        <f>IFERROR(__xludf.DUMMYFUNCTION("""COMPUTED_VALUE"""),0.0)</f>
        <v>0</v>
      </c>
      <c r="G7084" s="115">
        <f>IFERROR(__xludf.DUMMYFUNCTION("""COMPUTED_VALUE"""),0.0)</f>
        <v>0</v>
      </c>
      <c r="H7084" s="116">
        <f>IFERROR(__xludf.DUMMYFUNCTION("""COMPUTED_VALUE"""),45913.0)</f>
        <v>45913</v>
      </c>
      <c r="I7084" s="115" t="str">
        <f>IFERROR(__xludf.DUMMYFUNCTION("""COMPUTED_VALUE"""),"12")</f>
        <v>12</v>
      </c>
      <c r="J7084" s="115"/>
      <c r="K7084" s="115"/>
    </row>
    <row r="7085">
      <c r="A7085" s="115" t="str">
        <f>IFERROR(__xludf.DUMMYFUNCTION("""COMPUTED_VALUE"""),"NORTH")</f>
        <v>NORTH</v>
      </c>
      <c r="B7085" s="115" t="str">
        <f>IFERROR(__xludf.DUMMYFUNCTION("""COMPUTED_VALUE"""),"Ashvani Bhatt")</f>
        <v>Ashvani Bhatt</v>
      </c>
      <c r="C7085" s="115" t="str">
        <f>IFERROR(__xludf.DUMMYFUNCTION("""COMPUTED_VALUE"""),"FLIPKART")</f>
        <v>FLIPKART</v>
      </c>
      <c r="D7085" s="115">
        <f>IFERROR(__xludf.DUMMYFUNCTION("""COMPUTED_VALUE"""),304.0)</f>
        <v>304</v>
      </c>
      <c r="E7085" s="115">
        <f>IFERROR(__xludf.DUMMYFUNCTION("""COMPUTED_VALUE"""),47.0)</f>
        <v>47</v>
      </c>
      <c r="F7085" s="115">
        <f>IFERROR(__xludf.DUMMYFUNCTION("""COMPUTED_VALUE"""),26.0)</f>
        <v>26</v>
      </c>
      <c r="G7085" s="115">
        <f>IFERROR(__xludf.DUMMYFUNCTION("""COMPUTED_VALUE"""),0.0)</f>
        <v>0</v>
      </c>
      <c r="H7085" s="116">
        <f>IFERROR(__xludf.DUMMYFUNCTION("""COMPUTED_VALUE"""),45913.0)</f>
        <v>45913</v>
      </c>
      <c r="I7085" s="115" t="str">
        <f>IFERROR(__xludf.DUMMYFUNCTION("""COMPUTED_VALUE"""),"12")</f>
        <v>12</v>
      </c>
      <c r="J7085" s="115"/>
      <c r="K7085" s="115"/>
    </row>
    <row r="7086">
      <c r="A7086" s="115" t="str">
        <f>IFERROR(__xludf.DUMMYFUNCTION("""COMPUTED_VALUE"""),"NORTH")</f>
        <v>NORTH</v>
      </c>
      <c r="B7086" s="115" t="str">
        <f>IFERROR(__xludf.DUMMYFUNCTION("""COMPUTED_VALUE"""),"Ashvani Bhatt")</f>
        <v>Ashvani Bhatt</v>
      </c>
      <c r="C7086" s="115" t="str">
        <f>IFERROR(__xludf.DUMMYFUNCTION("""COMPUTED_VALUE"""),"MYNTRA")</f>
        <v>MYNTRA</v>
      </c>
      <c r="D7086" s="115">
        <f>IFERROR(__xludf.DUMMYFUNCTION("""COMPUTED_VALUE"""),12.0)</f>
        <v>12</v>
      </c>
      <c r="E7086" s="115">
        <f>IFERROR(__xludf.DUMMYFUNCTION("""COMPUTED_VALUE"""),3.0)</f>
        <v>3</v>
      </c>
      <c r="F7086" s="115">
        <f>IFERROR(__xludf.DUMMYFUNCTION("""COMPUTED_VALUE"""),4.0)</f>
        <v>4</v>
      </c>
      <c r="G7086" s="115">
        <f>IFERROR(__xludf.DUMMYFUNCTION("""COMPUTED_VALUE"""),0.0)</f>
        <v>0</v>
      </c>
      <c r="H7086" s="116">
        <f>IFERROR(__xludf.DUMMYFUNCTION("""COMPUTED_VALUE"""),45913.0)</f>
        <v>45913</v>
      </c>
      <c r="I7086" s="115" t="str">
        <f>IFERROR(__xludf.DUMMYFUNCTION("""COMPUTED_VALUE"""),"12")</f>
        <v>12</v>
      </c>
      <c r="J7086" s="115"/>
      <c r="K7086" s="115"/>
    </row>
    <row r="7087">
      <c r="A7087" s="115" t="str">
        <f>IFERROR(__xludf.DUMMYFUNCTION("""COMPUTED_VALUE"""),"NORTH")</f>
        <v>NORTH</v>
      </c>
      <c r="B7087" s="115" t="str">
        <f>IFERROR(__xludf.DUMMYFUNCTION("""COMPUTED_VALUE"""),"Loveleen Singh")</f>
        <v>Loveleen Singh</v>
      </c>
      <c r="C7087" s="115" t="str">
        <f>IFERROR(__xludf.DUMMYFUNCTION("""COMPUTED_VALUE"""),"EXTERNAL")</f>
        <v>EXTERNAL</v>
      </c>
      <c r="D7087" s="115">
        <f>IFERROR(__xludf.DUMMYFUNCTION("""COMPUTED_VALUE"""),29592.0)</f>
        <v>29592</v>
      </c>
      <c r="E7087" s="115">
        <f>IFERROR(__xludf.DUMMYFUNCTION("""COMPUTED_VALUE"""),1498.0)</f>
        <v>1498</v>
      </c>
      <c r="F7087" s="115">
        <f>IFERROR(__xludf.DUMMYFUNCTION("""COMPUTED_VALUE"""),3213.0)</f>
        <v>3213</v>
      </c>
      <c r="G7087" s="115">
        <f>IFERROR(__xludf.DUMMYFUNCTION("""COMPUTED_VALUE"""),86.0)</f>
        <v>86</v>
      </c>
      <c r="H7087" s="116">
        <f>IFERROR(__xludf.DUMMYFUNCTION("""COMPUTED_VALUE"""),45913.0)</f>
        <v>45913</v>
      </c>
      <c r="I7087" s="115" t="str">
        <f>IFERROR(__xludf.DUMMYFUNCTION("""COMPUTED_VALUE"""),"12")</f>
        <v>12</v>
      </c>
      <c r="J7087" s="115"/>
      <c r="K7087" s="115"/>
    </row>
    <row r="7088">
      <c r="A7088" s="115" t="str">
        <f>IFERROR(__xludf.DUMMYFUNCTION("""COMPUTED_VALUE"""),"NORTH")</f>
        <v>NORTH</v>
      </c>
      <c r="B7088" s="115" t="str">
        <f>IFERROR(__xludf.DUMMYFUNCTION("""COMPUTED_VALUE"""),"Loveleen Singh")</f>
        <v>Loveleen Singh</v>
      </c>
      <c r="C7088" s="115" t="str">
        <f>IFERROR(__xludf.DUMMYFUNCTION("""COMPUTED_VALUE"""),"FLIPKART")</f>
        <v>FLIPKART</v>
      </c>
      <c r="D7088" s="115">
        <f>IFERROR(__xludf.DUMMYFUNCTION("""COMPUTED_VALUE"""),203097.0)</f>
        <v>203097</v>
      </c>
      <c r="E7088" s="115">
        <f>IFERROR(__xludf.DUMMYFUNCTION("""COMPUTED_VALUE"""),12530.0)</f>
        <v>12530</v>
      </c>
      <c r="F7088" s="115">
        <f>IFERROR(__xludf.DUMMYFUNCTION("""COMPUTED_VALUE"""),41894.0)</f>
        <v>41894</v>
      </c>
      <c r="G7088" s="115">
        <f>IFERROR(__xludf.DUMMYFUNCTION("""COMPUTED_VALUE"""),972.0)</f>
        <v>972</v>
      </c>
      <c r="H7088" s="116">
        <f>IFERROR(__xludf.DUMMYFUNCTION("""COMPUTED_VALUE"""),45913.0)</f>
        <v>45913</v>
      </c>
      <c r="I7088" s="115" t="str">
        <f>IFERROR(__xludf.DUMMYFUNCTION("""COMPUTED_VALUE"""),"12")</f>
        <v>12</v>
      </c>
      <c r="J7088" s="115"/>
      <c r="K7088" s="115"/>
    </row>
    <row r="7089">
      <c r="A7089" s="115" t="str">
        <f>IFERROR(__xludf.DUMMYFUNCTION("""COMPUTED_VALUE"""),"NORTH")</f>
        <v>NORTH</v>
      </c>
      <c r="B7089" s="115" t="str">
        <f>IFERROR(__xludf.DUMMYFUNCTION("""COMPUTED_VALUE"""),"Loveleen Singh")</f>
        <v>Loveleen Singh</v>
      </c>
      <c r="C7089" s="115" t="str">
        <f>IFERROR(__xludf.DUMMYFUNCTION("""COMPUTED_VALUE"""),"MYNTRA")</f>
        <v>MYNTRA</v>
      </c>
      <c r="D7089" s="115">
        <f>IFERROR(__xludf.DUMMYFUNCTION("""COMPUTED_VALUE"""),30611.0)</f>
        <v>30611</v>
      </c>
      <c r="E7089" s="115">
        <f>IFERROR(__xludf.DUMMYFUNCTION("""COMPUTED_VALUE"""),5149.0)</f>
        <v>5149</v>
      </c>
      <c r="F7089" s="115">
        <f>IFERROR(__xludf.DUMMYFUNCTION("""COMPUTED_VALUE"""),8256.0)</f>
        <v>8256</v>
      </c>
      <c r="G7089" s="115">
        <f>IFERROR(__xludf.DUMMYFUNCTION("""COMPUTED_VALUE"""),618.0)</f>
        <v>618</v>
      </c>
      <c r="H7089" s="116">
        <f>IFERROR(__xludf.DUMMYFUNCTION("""COMPUTED_VALUE"""),45913.0)</f>
        <v>45913</v>
      </c>
      <c r="I7089" s="115" t="str">
        <f>IFERROR(__xludf.DUMMYFUNCTION("""COMPUTED_VALUE"""),"12")</f>
        <v>12</v>
      </c>
      <c r="J7089" s="115"/>
      <c r="K7089" s="115"/>
    </row>
    <row r="7090">
      <c r="A7090" s="115" t="str">
        <f>IFERROR(__xludf.DUMMYFUNCTION("""COMPUTED_VALUE"""),"NORTH")</f>
        <v>NORTH</v>
      </c>
      <c r="B7090" s="115" t="str">
        <f>IFERROR(__xludf.DUMMYFUNCTION("""COMPUTED_VALUE"""),"Manoj Harsh")</f>
        <v>Manoj Harsh</v>
      </c>
      <c r="C7090" s="115" t="str">
        <f>IFERROR(__xludf.DUMMYFUNCTION("""COMPUTED_VALUE"""),"EXTERNAL")</f>
        <v>EXTERNAL</v>
      </c>
      <c r="D7090" s="115">
        <f>IFERROR(__xludf.DUMMYFUNCTION("""COMPUTED_VALUE"""),31865.0)</f>
        <v>31865</v>
      </c>
      <c r="E7090" s="115">
        <f>IFERROR(__xludf.DUMMYFUNCTION("""COMPUTED_VALUE"""),1551.0)</f>
        <v>1551</v>
      </c>
      <c r="F7090" s="115">
        <f>IFERROR(__xludf.DUMMYFUNCTION("""COMPUTED_VALUE"""),3933.0)</f>
        <v>3933</v>
      </c>
      <c r="G7090" s="115">
        <f>IFERROR(__xludf.DUMMYFUNCTION("""COMPUTED_VALUE"""),62.0)</f>
        <v>62</v>
      </c>
      <c r="H7090" s="116">
        <f>IFERROR(__xludf.DUMMYFUNCTION("""COMPUTED_VALUE"""),45913.0)</f>
        <v>45913</v>
      </c>
      <c r="I7090" s="115" t="str">
        <f>IFERROR(__xludf.DUMMYFUNCTION("""COMPUTED_VALUE"""),"12")</f>
        <v>12</v>
      </c>
      <c r="J7090" s="115"/>
      <c r="K7090" s="115"/>
    </row>
    <row r="7091">
      <c r="A7091" s="115" t="str">
        <f>IFERROR(__xludf.DUMMYFUNCTION("""COMPUTED_VALUE"""),"NORTH")</f>
        <v>NORTH</v>
      </c>
      <c r="B7091" s="115" t="str">
        <f>IFERROR(__xludf.DUMMYFUNCTION("""COMPUTED_VALUE"""),"Manoj Harsh")</f>
        <v>Manoj Harsh</v>
      </c>
      <c r="C7091" s="115" t="str">
        <f>IFERROR(__xludf.DUMMYFUNCTION("""COMPUTED_VALUE"""),"FLIPKART")</f>
        <v>FLIPKART</v>
      </c>
      <c r="D7091" s="115">
        <f>IFERROR(__xludf.DUMMYFUNCTION("""COMPUTED_VALUE"""),436920.0)</f>
        <v>436920</v>
      </c>
      <c r="E7091" s="115">
        <f>IFERROR(__xludf.DUMMYFUNCTION("""COMPUTED_VALUE"""),33247.0)</f>
        <v>33247</v>
      </c>
      <c r="F7091" s="115">
        <f>IFERROR(__xludf.DUMMYFUNCTION("""COMPUTED_VALUE"""),92009.0)</f>
        <v>92009</v>
      </c>
      <c r="G7091" s="115">
        <f>IFERROR(__xludf.DUMMYFUNCTION("""COMPUTED_VALUE"""),2018.0)</f>
        <v>2018</v>
      </c>
      <c r="H7091" s="116">
        <f>IFERROR(__xludf.DUMMYFUNCTION("""COMPUTED_VALUE"""),45913.0)</f>
        <v>45913</v>
      </c>
      <c r="I7091" s="115" t="str">
        <f>IFERROR(__xludf.DUMMYFUNCTION("""COMPUTED_VALUE"""),"12")</f>
        <v>12</v>
      </c>
      <c r="J7091" s="115"/>
      <c r="K7091" s="115"/>
    </row>
    <row r="7092">
      <c r="A7092" s="115" t="str">
        <f>IFERROR(__xludf.DUMMYFUNCTION("""COMPUTED_VALUE"""),"NORTH")</f>
        <v>NORTH</v>
      </c>
      <c r="B7092" s="115" t="str">
        <f>IFERROR(__xludf.DUMMYFUNCTION("""COMPUTED_VALUE"""),"Manoj Harsh")</f>
        <v>Manoj Harsh</v>
      </c>
      <c r="C7092" s="115" t="str">
        <f>IFERROR(__xludf.DUMMYFUNCTION("""COMPUTED_VALUE"""),"MYNTRA")</f>
        <v>MYNTRA</v>
      </c>
      <c r="D7092" s="115">
        <f>IFERROR(__xludf.DUMMYFUNCTION("""COMPUTED_VALUE"""),33331.0)</f>
        <v>33331</v>
      </c>
      <c r="E7092" s="115">
        <f>IFERROR(__xludf.DUMMYFUNCTION("""COMPUTED_VALUE"""),6094.0)</f>
        <v>6094</v>
      </c>
      <c r="F7092" s="115">
        <f>IFERROR(__xludf.DUMMYFUNCTION("""COMPUTED_VALUE"""),8355.0)</f>
        <v>8355</v>
      </c>
      <c r="G7092" s="115">
        <f>IFERROR(__xludf.DUMMYFUNCTION("""COMPUTED_VALUE"""),394.0)</f>
        <v>394</v>
      </c>
      <c r="H7092" s="116">
        <f>IFERROR(__xludf.DUMMYFUNCTION("""COMPUTED_VALUE"""),45913.0)</f>
        <v>45913</v>
      </c>
      <c r="I7092" s="115" t="str">
        <f>IFERROR(__xludf.DUMMYFUNCTION("""COMPUTED_VALUE"""),"12")</f>
        <v>12</v>
      </c>
      <c r="J7092" s="115"/>
      <c r="K7092" s="115"/>
    </row>
    <row r="7093">
      <c r="A7093" s="115" t="str">
        <f>IFERROR(__xludf.DUMMYFUNCTION("""COMPUTED_VALUE"""),"NORTH")</f>
        <v>NORTH</v>
      </c>
      <c r="B7093" s="115" t="str">
        <f>IFERROR(__xludf.DUMMYFUNCTION("""COMPUTED_VALUE"""),"Pradeep Kothari")</f>
        <v>Pradeep Kothari</v>
      </c>
      <c r="C7093" s="115" t="str">
        <f>IFERROR(__xludf.DUMMYFUNCTION("""COMPUTED_VALUE"""),"EXTERNAL")</f>
        <v>EXTERNAL</v>
      </c>
      <c r="D7093" s="115">
        <f>IFERROR(__xludf.DUMMYFUNCTION("""COMPUTED_VALUE"""),17980.0)</f>
        <v>17980</v>
      </c>
      <c r="E7093" s="115">
        <f>IFERROR(__xludf.DUMMYFUNCTION("""COMPUTED_VALUE"""),1251.0)</f>
        <v>1251</v>
      </c>
      <c r="F7093" s="115">
        <f>IFERROR(__xludf.DUMMYFUNCTION("""COMPUTED_VALUE"""),2798.0)</f>
        <v>2798</v>
      </c>
      <c r="G7093" s="115">
        <f>IFERROR(__xludf.DUMMYFUNCTION("""COMPUTED_VALUE"""),113.0)</f>
        <v>113</v>
      </c>
      <c r="H7093" s="116">
        <f>IFERROR(__xludf.DUMMYFUNCTION("""COMPUTED_VALUE"""),45913.0)</f>
        <v>45913</v>
      </c>
      <c r="I7093" s="115" t="str">
        <f>IFERROR(__xludf.DUMMYFUNCTION("""COMPUTED_VALUE"""),"12")</f>
        <v>12</v>
      </c>
      <c r="J7093" s="115"/>
      <c r="K7093" s="115"/>
    </row>
    <row r="7094">
      <c r="A7094" s="115" t="str">
        <f>IFERROR(__xludf.DUMMYFUNCTION("""COMPUTED_VALUE"""),"NORTH")</f>
        <v>NORTH</v>
      </c>
      <c r="B7094" s="115" t="str">
        <f>IFERROR(__xludf.DUMMYFUNCTION("""COMPUTED_VALUE"""),"Pradeep Kothari")</f>
        <v>Pradeep Kothari</v>
      </c>
      <c r="C7094" s="115" t="str">
        <f>IFERROR(__xludf.DUMMYFUNCTION("""COMPUTED_VALUE"""),"FLIPKART")</f>
        <v>FLIPKART</v>
      </c>
      <c r="D7094" s="115">
        <f>IFERROR(__xludf.DUMMYFUNCTION("""COMPUTED_VALUE"""),166301.0)</f>
        <v>166301</v>
      </c>
      <c r="E7094" s="115">
        <f>IFERROR(__xludf.DUMMYFUNCTION("""COMPUTED_VALUE"""),15879.0)</f>
        <v>15879</v>
      </c>
      <c r="F7094" s="115">
        <f>IFERROR(__xludf.DUMMYFUNCTION("""COMPUTED_VALUE"""),47155.0)</f>
        <v>47155</v>
      </c>
      <c r="G7094" s="115">
        <f>IFERROR(__xludf.DUMMYFUNCTION("""COMPUTED_VALUE"""),1794.0)</f>
        <v>1794</v>
      </c>
      <c r="H7094" s="116">
        <f>IFERROR(__xludf.DUMMYFUNCTION("""COMPUTED_VALUE"""),45913.0)</f>
        <v>45913</v>
      </c>
      <c r="I7094" s="115" t="str">
        <f>IFERROR(__xludf.DUMMYFUNCTION("""COMPUTED_VALUE"""),"12")</f>
        <v>12</v>
      </c>
      <c r="J7094" s="115"/>
      <c r="K7094" s="115"/>
    </row>
    <row r="7095">
      <c r="A7095" s="115" t="str">
        <f>IFERROR(__xludf.DUMMYFUNCTION("""COMPUTED_VALUE"""),"NORTH")</f>
        <v>NORTH</v>
      </c>
      <c r="B7095" s="115" t="str">
        <f>IFERROR(__xludf.DUMMYFUNCTION("""COMPUTED_VALUE"""),"Pradeep Kothari")</f>
        <v>Pradeep Kothari</v>
      </c>
      <c r="C7095" s="115" t="str">
        <f>IFERROR(__xludf.DUMMYFUNCTION("""COMPUTED_VALUE"""),"MYNTRA")</f>
        <v>MYNTRA</v>
      </c>
      <c r="D7095" s="115">
        <f>IFERROR(__xludf.DUMMYFUNCTION("""COMPUTED_VALUE"""),25688.0)</f>
        <v>25688</v>
      </c>
      <c r="E7095" s="115">
        <f>IFERROR(__xludf.DUMMYFUNCTION("""COMPUTED_VALUE"""),5492.0)</f>
        <v>5492</v>
      </c>
      <c r="F7095" s="115">
        <f>IFERROR(__xludf.DUMMYFUNCTION("""COMPUTED_VALUE"""),9755.0)</f>
        <v>9755</v>
      </c>
      <c r="G7095" s="115">
        <f>IFERROR(__xludf.DUMMYFUNCTION("""COMPUTED_VALUE"""),699.0)</f>
        <v>699</v>
      </c>
      <c r="H7095" s="116">
        <f>IFERROR(__xludf.DUMMYFUNCTION("""COMPUTED_VALUE"""),45913.0)</f>
        <v>45913</v>
      </c>
      <c r="I7095" s="115" t="str">
        <f>IFERROR(__xludf.DUMMYFUNCTION("""COMPUTED_VALUE"""),"12")</f>
        <v>12</v>
      </c>
      <c r="J7095" s="115"/>
      <c r="K7095" s="115"/>
    </row>
    <row r="7096">
      <c r="A7096" s="115" t="str">
        <f>IFERROR(__xludf.DUMMYFUNCTION("""COMPUTED_VALUE"""),"SOUTH")</f>
        <v>SOUTH</v>
      </c>
      <c r="B7096" s="115" t="str">
        <f>IFERROR(__xludf.DUMMYFUNCTION("""COMPUTED_VALUE"""),"Kandula Sampath")</f>
        <v>Kandula Sampath</v>
      </c>
      <c r="C7096" s="115" t="str">
        <f>IFERROR(__xludf.DUMMYFUNCTION("""COMPUTED_VALUE"""),"EXTERNAL")</f>
        <v>EXTERNAL</v>
      </c>
      <c r="D7096" s="115">
        <f>IFERROR(__xludf.DUMMYFUNCTION("""COMPUTED_VALUE"""),31895.0)</f>
        <v>31895</v>
      </c>
      <c r="E7096" s="115">
        <f>IFERROR(__xludf.DUMMYFUNCTION("""COMPUTED_VALUE"""),2940.0)</f>
        <v>2940</v>
      </c>
      <c r="F7096" s="115">
        <f>IFERROR(__xludf.DUMMYFUNCTION("""COMPUTED_VALUE"""),5197.0)</f>
        <v>5197</v>
      </c>
      <c r="G7096" s="115">
        <f>IFERROR(__xludf.DUMMYFUNCTION("""COMPUTED_VALUE"""),147.0)</f>
        <v>147</v>
      </c>
      <c r="H7096" s="116">
        <f>IFERROR(__xludf.DUMMYFUNCTION("""COMPUTED_VALUE"""),45913.0)</f>
        <v>45913</v>
      </c>
      <c r="I7096" s="115" t="str">
        <f>IFERROR(__xludf.DUMMYFUNCTION("""COMPUTED_VALUE"""),"12")</f>
        <v>12</v>
      </c>
      <c r="J7096" s="115"/>
      <c r="K7096" s="115"/>
    </row>
    <row r="7097">
      <c r="A7097" s="115" t="str">
        <f>IFERROR(__xludf.DUMMYFUNCTION("""COMPUTED_VALUE"""),"SOUTH")</f>
        <v>SOUTH</v>
      </c>
      <c r="B7097" s="115" t="str">
        <f>IFERROR(__xludf.DUMMYFUNCTION("""COMPUTED_VALUE"""),"Kandula Sampath")</f>
        <v>Kandula Sampath</v>
      </c>
      <c r="C7097" s="115" t="str">
        <f>IFERROR(__xludf.DUMMYFUNCTION("""COMPUTED_VALUE"""),"FLIPKART")</f>
        <v>FLIPKART</v>
      </c>
      <c r="D7097" s="115">
        <f>IFERROR(__xludf.DUMMYFUNCTION("""COMPUTED_VALUE"""),398894.0)</f>
        <v>398894</v>
      </c>
      <c r="E7097" s="115">
        <f>IFERROR(__xludf.DUMMYFUNCTION("""COMPUTED_VALUE"""),28835.0)</f>
        <v>28835</v>
      </c>
      <c r="F7097" s="115">
        <f>IFERROR(__xludf.DUMMYFUNCTION("""COMPUTED_VALUE"""),115850.0)</f>
        <v>115850</v>
      </c>
      <c r="G7097" s="115">
        <f>IFERROR(__xludf.DUMMYFUNCTION("""COMPUTED_VALUE"""),1813.0)</f>
        <v>1813</v>
      </c>
      <c r="H7097" s="116">
        <f>IFERROR(__xludf.DUMMYFUNCTION("""COMPUTED_VALUE"""),45913.0)</f>
        <v>45913</v>
      </c>
      <c r="I7097" s="115" t="str">
        <f>IFERROR(__xludf.DUMMYFUNCTION("""COMPUTED_VALUE"""),"12")</f>
        <v>12</v>
      </c>
      <c r="J7097" s="115"/>
      <c r="K7097" s="115"/>
    </row>
    <row r="7098">
      <c r="A7098" s="115" t="str">
        <f>IFERROR(__xludf.DUMMYFUNCTION("""COMPUTED_VALUE"""),"SOUTH")</f>
        <v>SOUTH</v>
      </c>
      <c r="B7098" s="115" t="str">
        <f>IFERROR(__xludf.DUMMYFUNCTION("""COMPUTED_VALUE"""),"Kandula Sampath")</f>
        <v>Kandula Sampath</v>
      </c>
      <c r="C7098" s="115" t="str">
        <f>IFERROR(__xludf.DUMMYFUNCTION("""COMPUTED_VALUE"""),"MYNTRA")</f>
        <v>MYNTRA</v>
      </c>
      <c r="D7098" s="115">
        <f>IFERROR(__xludf.DUMMYFUNCTION("""COMPUTED_VALUE"""),40332.0)</f>
        <v>40332</v>
      </c>
      <c r="E7098" s="115">
        <f>IFERROR(__xludf.DUMMYFUNCTION("""COMPUTED_VALUE"""),8134.0)</f>
        <v>8134</v>
      </c>
      <c r="F7098" s="115">
        <f>IFERROR(__xludf.DUMMYFUNCTION("""COMPUTED_VALUE"""),13186.0)</f>
        <v>13186</v>
      </c>
      <c r="G7098" s="115">
        <f>IFERROR(__xludf.DUMMYFUNCTION("""COMPUTED_VALUE"""),518.0)</f>
        <v>518</v>
      </c>
      <c r="H7098" s="116">
        <f>IFERROR(__xludf.DUMMYFUNCTION("""COMPUTED_VALUE"""),45913.0)</f>
        <v>45913</v>
      </c>
      <c r="I7098" s="115" t="str">
        <f>IFERROR(__xludf.DUMMYFUNCTION("""COMPUTED_VALUE"""),"12")</f>
        <v>12</v>
      </c>
      <c r="J7098" s="115"/>
      <c r="K7098" s="115"/>
    </row>
    <row r="7099">
      <c r="A7099" s="115" t="str">
        <f>IFERROR(__xludf.DUMMYFUNCTION("""COMPUTED_VALUE"""),"SOUTH")</f>
        <v>SOUTH</v>
      </c>
      <c r="B7099" s="115" t="str">
        <f>IFERROR(__xludf.DUMMYFUNCTION("""COMPUTED_VALUE"""),"Martin A")</f>
        <v>Martin A</v>
      </c>
      <c r="C7099" s="115" t="str">
        <f>IFERROR(__xludf.DUMMYFUNCTION("""COMPUTED_VALUE"""),"EXTERNAL")</f>
        <v>EXTERNAL</v>
      </c>
      <c r="D7099" s="115">
        <f>IFERROR(__xludf.DUMMYFUNCTION("""COMPUTED_VALUE"""),25678.0)</f>
        <v>25678</v>
      </c>
      <c r="E7099" s="115">
        <f>IFERROR(__xludf.DUMMYFUNCTION("""COMPUTED_VALUE"""),2777.0)</f>
        <v>2777</v>
      </c>
      <c r="F7099" s="115">
        <f>IFERROR(__xludf.DUMMYFUNCTION("""COMPUTED_VALUE"""),4123.0)</f>
        <v>4123</v>
      </c>
      <c r="G7099" s="115">
        <f>IFERROR(__xludf.DUMMYFUNCTION("""COMPUTED_VALUE"""),241.0)</f>
        <v>241</v>
      </c>
      <c r="H7099" s="116">
        <f>IFERROR(__xludf.DUMMYFUNCTION("""COMPUTED_VALUE"""),45913.0)</f>
        <v>45913</v>
      </c>
      <c r="I7099" s="115" t="str">
        <f>IFERROR(__xludf.DUMMYFUNCTION("""COMPUTED_VALUE"""),"12")</f>
        <v>12</v>
      </c>
      <c r="J7099" s="115"/>
      <c r="K7099" s="115"/>
    </row>
    <row r="7100">
      <c r="A7100" s="115" t="str">
        <f>IFERROR(__xludf.DUMMYFUNCTION("""COMPUTED_VALUE"""),"SOUTH")</f>
        <v>SOUTH</v>
      </c>
      <c r="B7100" s="115" t="str">
        <f>IFERROR(__xludf.DUMMYFUNCTION("""COMPUTED_VALUE"""),"Martin A")</f>
        <v>Martin A</v>
      </c>
      <c r="C7100" s="115" t="str">
        <f>IFERROR(__xludf.DUMMYFUNCTION("""COMPUTED_VALUE"""),"FLIPKART")</f>
        <v>FLIPKART</v>
      </c>
      <c r="D7100" s="115">
        <f>IFERROR(__xludf.DUMMYFUNCTION("""COMPUTED_VALUE"""),294122.0)</f>
        <v>294122</v>
      </c>
      <c r="E7100" s="115">
        <f>IFERROR(__xludf.DUMMYFUNCTION("""COMPUTED_VALUE"""),24314.0)</f>
        <v>24314</v>
      </c>
      <c r="F7100" s="115">
        <f>IFERROR(__xludf.DUMMYFUNCTION("""COMPUTED_VALUE"""),85393.0)</f>
        <v>85393</v>
      </c>
      <c r="G7100" s="115">
        <f>IFERROR(__xludf.DUMMYFUNCTION("""COMPUTED_VALUE"""),2260.0)</f>
        <v>2260</v>
      </c>
      <c r="H7100" s="116">
        <f>IFERROR(__xludf.DUMMYFUNCTION("""COMPUTED_VALUE"""),45913.0)</f>
        <v>45913</v>
      </c>
      <c r="I7100" s="115" t="str">
        <f>IFERROR(__xludf.DUMMYFUNCTION("""COMPUTED_VALUE"""),"12")</f>
        <v>12</v>
      </c>
      <c r="J7100" s="115"/>
      <c r="K7100" s="115"/>
    </row>
    <row r="7101">
      <c r="A7101" s="115" t="str">
        <f>IFERROR(__xludf.DUMMYFUNCTION("""COMPUTED_VALUE"""),"SOUTH")</f>
        <v>SOUTH</v>
      </c>
      <c r="B7101" s="115" t="str">
        <f>IFERROR(__xludf.DUMMYFUNCTION("""COMPUTED_VALUE"""),"Martin A")</f>
        <v>Martin A</v>
      </c>
      <c r="C7101" s="115" t="str">
        <f>IFERROR(__xludf.DUMMYFUNCTION("""COMPUTED_VALUE"""),"MYNTRA")</f>
        <v>MYNTRA</v>
      </c>
      <c r="D7101" s="115">
        <f>IFERROR(__xludf.DUMMYFUNCTION("""COMPUTED_VALUE"""),25630.0)</f>
        <v>25630</v>
      </c>
      <c r="E7101" s="115">
        <f>IFERROR(__xludf.DUMMYFUNCTION("""COMPUTED_VALUE"""),6176.0)</f>
        <v>6176</v>
      </c>
      <c r="F7101" s="115">
        <f>IFERROR(__xludf.DUMMYFUNCTION("""COMPUTED_VALUE"""),8915.0)</f>
        <v>8915</v>
      </c>
      <c r="G7101" s="115">
        <f>IFERROR(__xludf.DUMMYFUNCTION("""COMPUTED_VALUE"""),630.0)</f>
        <v>630</v>
      </c>
      <c r="H7101" s="116">
        <f>IFERROR(__xludf.DUMMYFUNCTION("""COMPUTED_VALUE"""),45913.0)</f>
        <v>45913</v>
      </c>
      <c r="I7101" s="115" t="str">
        <f>IFERROR(__xludf.DUMMYFUNCTION("""COMPUTED_VALUE"""),"12")</f>
        <v>12</v>
      </c>
      <c r="J7101" s="115"/>
      <c r="K7101" s="115"/>
    </row>
    <row r="7102">
      <c r="A7102" s="115" t="str">
        <f>IFERROR(__xludf.DUMMYFUNCTION("""COMPUTED_VALUE"""),"SOUTH")</f>
        <v>SOUTH</v>
      </c>
      <c r="B7102" s="115" t="str">
        <f>IFERROR(__xludf.DUMMYFUNCTION("""COMPUTED_VALUE"""),"Premkumar M")</f>
        <v>Premkumar M</v>
      </c>
      <c r="C7102" s="115" t="str">
        <f>IFERROR(__xludf.DUMMYFUNCTION("""COMPUTED_VALUE"""),"EXTERNAL")</f>
        <v>EXTERNAL</v>
      </c>
      <c r="D7102" s="115">
        <f>IFERROR(__xludf.DUMMYFUNCTION("""COMPUTED_VALUE"""),22235.0)</f>
        <v>22235</v>
      </c>
      <c r="E7102" s="115">
        <f>IFERROR(__xludf.DUMMYFUNCTION("""COMPUTED_VALUE"""),1077.0)</f>
        <v>1077</v>
      </c>
      <c r="F7102" s="115">
        <f>IFERROR(__xludf.DUMMYFUNCTION("""COMPUTED_VALUE"""),2368.0)</f>
        <v>2368</v>
      </c>
      <c r="G7102" s="115">
        <f>IFERROR(__xludf.DUMMYFUNCTION("""COMPUTED_VALUE"""),10.0)</f>
        <v>10</v>
      </c>
      <c r="H7102" s="116">
        <f>IFERROR(__xludf.DUMMYFUNCTION("""COMPUTED_VALUE"""),45913.0)</f>
        <v>45913</v>
      </c>
      <c r="I7102" s="115" t="str">
        <f>IFERROR(__xludf.DUMMYFUNCTION("""COMPUTED_VALUE"""),"12")</f>
        <v>12</v>
      </c>
      <c r="J7102" s="115"/>
      <c r="K7102" s="115"/>
    </row>
    <row r="7103">
      <c r="A7103" s="115" t="str">
        <f>IFERROR(__xludf.DUMMYFUNCTION("""COMPUTED_VALUE"""),"SOUTH")</f>
        <v>SOUTH</v>
      </c>
      <c r="B7103" s="115" t="str">
        <f>IFERROR(__xludf.DUMMYFUNCTION("""COMPUTED_VALUE"""),"Premkumar M")</f>
        <v>Premkumar M</v>
      </c>
      <c r="C7103" s="115" t="str">
        <f>IFERROR(__xludf.DUMMYFUNCTION("""COMPUTED_VALUE"""),"FLIPKART")</f>
        <v>FLIPKART</v>
      </c>
      <c r="D7103" s="115">
        <f>IFERROR(__xludf.DUMMYFUNCTION("""COMPUTED_VALUE"""),264319.0)</f>
        <v>264319</v>
      </c>
      <c r="E7103" s="115">
        <f>IFERROR(__xludf.DUMMYFUNCTION("""COMPUTED_VALUE"""),13373.0)</f>
        <v>13373</v>
      </c>
      <c r="F7103" s="115">
        <f>IFERROR(__xludf.DUMMYFUNCTION("""COMPUTED_VALUE"""),45995.0)</f>
        <v>45995</v>
      </c>
      <c r="G7103" s="115">
        <f>IFERROR(__xludf.DUMMYFUNCTION("""COMPUTED_VALUE"""),292.0)</f>
        <v>292</v>
      </c>
      <c r="H7103" s="116">
        <f>IFERROR(__xludf.DUMMYFUNCTION("""COMPUTED_VALUE"""),45913.0)</f>
        <v>45913</v>
      </c>
      <c r="I7103" s="115" t="str">
        <f>IFERROR(__xludf.DUMMYFUNCTION("""COMPUTED_VALUE"""),"12")</f>
        <v>12</v>
      </c>
      <c r="J7103" s="115"/>
      <c r="K7103" s="115"/>
    </row>
    <row r="7104">
      <c r="A7104" s="115" t="str">
        <f>IFERROR(__xludf.DUMMYFUNCTION("""COMPUTED_VALUE"""),"SOUTH")</f>
        <v>SOUTH</v>
      </c>
      <c r="B7104" s="115" t="str">
        <f>IFERROR(__xludf.DUMMYFUNCTION("""COMPUTED_VALUE"""),"Premkumar M")</f>
        <v>Premkumar M</v>
      </c>
      <c r="C7104" s="115" t="str">
        <f>IFERROR(__xludf.DUMMYFUNCTION("""COMPUTED_VALUE"""),"MYNTRA")</f>
        <v>MYNTRA</v>
      </c>
      <c r="D7104" s="115">
        <f>IFERROR(__xludf.DUMMYFUNCTION("""COMPUTED_VALUE"""),13135.0)</f>
        <v>13135</v>
      </c>
      <c r="E7104" s="115">
        <f>IFERROR(__xludf.DUMMYFUNCTION("""COMPUTED_VALUE"""),2275.0)</f>
        <v>2275</v>
      </c>
      <c r="F7104" s="115">
        <f>IFERROR(__xludf.DUMMYFUNCTION("""COMPUTED_VALUE"""),2723.0)</f>
        <v>2723</v>
      </c>
      <c r="G7104" s="115">
        <f>IFERROR(__xludf.DUMMYFUNCTION("""COMPUTED_VALUE"""),43.0)</f>
        <v>43</v>
      </c>
      <c r="H7104" s="116">
        <f>IFERROR(__xludf.DUMMYFUNCTION("""COMPUTED_VALUE"""),45913.0)</f>
        <v>45913</v>
      </c>
      <c r="I7104" s="115" t="str">
        <f>IFERROR(__xludf.DUMMYFUNCTION("""COMPUTED_VALUE"""),"12")</f>
        <v>12</v>
      </c>
      <c r="J7104" s="115"/>
      <c r="K7104" s="115"/>
    </row>
    <row r="7105">
      <c r="A7105" s="115" t="str">
        <f>IFERROR(__xludf.DUMMYFUNCTION("""COMPUTED_VALUE"""),"SOUTH")</f>
        <v>SOUTH</v>
      </c>
      <c r="B7105" s="115" t="str">
        <f>IFERROR(__xludf.DUMMYFUNCTION("""COMPUTED_VALUE"""),"Vineeth V")</f>
        <v>Vineeth V</v>
      </c>
      <c r="C7105" s="115" t="str">
        <f>IFERROR(__xludf.DUMMYFUNCTION("""COMPUTED_VALUE"""),"EXTERNAL")</f>
        <v>EXTERNAL</v>
      </c>
      <c r="D7105" s="115">
        <f>IFERROR(__xludf.DUMMYFUNCTION("""COMPUTED_VALUE"""),17593.0)</f>
        <v>17593</v>
      </c>
      <c r="E7105" s="115">
        <f>IFERROR(__xludf.DUMMYFUNCTION("""COMPUTED_VALUE"""),372.0)</f>
        <v>372</v>
      </c>
      <c r="F7105" s="115">
        <f>IFERROR(__xludf.DUMMYFUNCTION("""COMPUTED_VALUE"""),1790.0)</f>
        <v>1790</v>
      </c>
      <c r="G7105" s="115">
        <f>IFERROR(__xludf.DUMMYFUNCTION("""COMPUTED_VALUE"""),6.0)</f>
        <v>6</v>
      </c>
      <c r="H7105" s="116">
        <f>IFERROR(__xludf.DUMMYFUNCTION("""COMPUTED_VALUE"""),45913.0)</f>
        <v>45913</v>
      </c>
      <c r="I7105" s="115" t="str">
        <f>IFERROR(__xludf.DUMMYFUNCTION("""COMPUTED_VALUE"""),"12")</f>
        <v>12</v>
      </c>
      <c r="J7105" s="115"/>
      <c r="K7105" s="115"/>
    </row>
    <row r="7106">
      <c r="A7106" s="115" t="str">
        <f>IFERROR(__xludf.DUMMYFUNCTION("""COMPUTED_VALUE"""),"SOUTH")</f>
        <v>SOUTH</v>
      </c>
      <c r="B7106" s="115" t="str">
        <f>IFERROR(__xludf.DUMMYFUNCTION("""COMPUTED_VALUE"""),"Vineeth V")</f>
        <v>Vineeth V</v>
      </c>
      <c r="C7106" s="115" t="str">
        <f>IFERROR(__xludf.DUMMYFUNCTION("""COMPUTED_VALUE"""),"FLIPKART")</f>
        <v>FLIPKART</v>
      </c>
      <c r="D7106" s="115">
        <f>IFERROR(__xludf.DUMMYFUNCTION("""COMPUTED_VALUE"""),194536.0)</f>
        <v>194536</v>
      </c>
      <c r="E7106" s="115">
        <f>IFERROR(__xludf.DUMMYFUNCTION("""COMPUTED_VALUE"""),10372.0)</f>
        <v>10372</v>
      </c>
      <c r="F7106" s="115">
        <f>IFERROR(__xludf.DUMMYFUNCTION("""COMPUTED_VALUE"""),32895.0)</f>
        <v>32895</v>
      </c>
      <c r="G7106" s="115">
        <f>IFERROR(__xludf.DUMMYFUNCTION("""COMPUTED_VALUE"""),218.0)</f>
        <v>218</v>
      </c>
      <c r="H7106" s="116">
        <f>IFERROR(__xludf.DUMMYFUNCTION("""COMPUTED_VALUE"""),45913.0)</f>
        <v>45913</v>
      </c>
      <c r="I7106" s="115" t="str">
        <f>IFERROR(__xludf.DUMMYFUNCTION("""COMPUTED_VALUE"""),"12")</f>
        <v>12</v>
      </c>
      <c r="J7106" s="115"/>
      <c r="K7106" s="115"/>
    </row>
    <row r="7107">
      <c r="A7107" s="115" t="str">
        <f>IFERROR(__xludf.DUMMYFUNCTION("""COMPUTED_VALUE"""),"SOUTH")</f>
        <v>SOUTH</v>
      </c>
      <c r="B7107" s="115" t="str">
        <f>IFERROR(__xludf.DUMMYFUNCTION("""COMPUTED_VALUE"""),"Vineeth V")</f>
        <v>Vineeth V</v>
      </c>
      <c r="C7107" s="115" t="str">
        <f>IFERROR(__xludf.DUMMYFUNCTION("""COMPUTED_VALUE"""),"MYNTRA")</f>
        <v>MYNTRA</v>
      </c>
      <c r="D7107" s="115">
        <f>IFERROR(__xludf.DUMMYFUNCTION("""COMPUTED_VALUE"""),15110.0)</f>
        <v>15110</v>
      </c>
      <c r="E7107" s="115">
        <f>IFERROR(__xludf.DUMMYFUNCTION("""COMPUTED_VALUE"""),2377.0)</f>
        <v>2377</v>
      </c>
      <c r="F7107" s="115">
        <f>IFERROR(__xludf.DUMMYFUNCTION("""COMPUTED_VALUE"""),2960.0)</f>
        <v>2960</v>
      </c>
      <c r="G7107" s="115">
        <f>IFERROR(__xludf.DUMMYFUNCTION("""COMPUTED_VALUE"""),47.0)</f>
        <v>47</v>
      </c>
      <c r="H7107" s="116">
        <f>IFERROR(__xludf.DUMMYFUNCTION("""COMPUTED_VALUE"""),45913.0)</f>
        <v>45913</v>
      </c>
      <c r="I7107" s="115" t="str">
        <f>IFERROR(__xludf.DUMMYFUNCTION("""COMPUTED_VALUE"""),"12")</f>
        <v>12</v>
      </c>
      <c r="J7107" s="115"/>
      <c r="K7107" s="115"/>
    </row>
    <row r="7108">
      <c r="A7108" s="115" t="str">
        <f>IFERROR(__xludf.DUMMYFUNCTION("""COMPUTED_VALUE"""),"WEST")</f>
        <v>WEST</v>
      </c>
      <c r="B7108" s="115" t="str">
        <f>IFERROR(__xludf.DUMMYFUNCTION("""COMPUTED_VALUE"""),"Ashish Jakar")</f>
        <v>Ashish Jakar</v>
      </c>
      <c r="C7108" s="115" t="str">
        <f>IFERROR(__xludf.DUMMYFUNCTION("""COMPUTED_VALUE"""),"EXTERNAL")</f>
        <v>EXTERNAL</v>
      </c>
      <c r="D7108" s="115">
        <f>IFERROR(__xludf.DUMMYFUNCTION("""COMPUTED_VALUE"""),51635.0)</f>
        <v>51635</v>
      </c>
      <c r="E7108" s="115">
        <f>IFERROR(__xludf.DUMMYFUNCTION("""COMPUTED_VALUE"""),4836.0)</f>
        <v>4836</v>
      </c>
      <c r="F7108" s="115">
        <f>IFERROR(__xludf.DUMMYFUNCTION("""COMPUTED_VALUE"""),6592.0)</f>
        <v>6592</v>
      </c>
      <c r="G7108" s="115">
        <f>IFERROR(__xludf.DUMMYFUNCTION("""COMPUTED_VALUE"""),362.0)</f>
        <v>362</v>
      </c>
      <c r="H7108" s="116">
        <f>IFERROR(__xludf.DUMMYFUNCTION("""COMPUTED_VALUE"""),45913.0)</f>
        <v>45913</v>
      </c>
      <c r="I7108" s="115" t="str">
        <f>IFERROR(__xludf.DUMMYFUNCTION("""COMPUTED_VALUE"""),"12")</f>
        <v>12</v>
      </c>
      <c r="J7108" s="115"/>
      <c r="K7108" s="115"/>
    </row>
    <row r="7109">
      <c r="A7109" s="115" t="str">
        <f>IFERROR(__xludf.DUMMYFUNCTION("""COMPUTED_VALUE"""),"WEST")</f>
        <v>WEST</v>
      </c>
      <c r="B7109" s="115" t="str">
        <f>IFERROR(__xludf.DUMMYFUNCTION("""COMPUTED_VALUE"""),"Ashish Jakar")</f>
        <v>Ashish Jakar</v>
      </c>
      <c r="C7109" s="115" t="str">
        <f>IFERROR(__xludf.DUMMYFUNCTION("""COMPUTED_VALUE"""),"FLIPKART")</f>
        <v>FLIPKART</v>
      </c>
      <c r="D7109" s="115">
        <f>IFERROR(__xludf.DUMMYFUNCTION("""COMPUTED_VALUE"""),415563.0)</f>
        <v>415563</v>
      </c>
      <c r="E7109" s="115">
        <f>IFERROR(__xludf.DUMMYFUNCTION("""COMPUTED_VALUE"""),31889.0)</f>
        <v>31889</v>
      </c>
      <c r="F7109" s="115">
        <f>IFERROR(__xludf.DUMMYFUNCTION("""COMPUTED_VALUE"""),82416.0)</f>
        <v>82416</v>
      </c>
      <c r="G7109" s="115">
        <f>IFERROR(__xludf.DUMMYFUNCTION("""COMPUTED_VALUE"""),2211.0)</f>
        <v>2211</v>
      </c>
      <c r="H7109" s="116">
        <f>IFERROR(__xludf.DUMMYFUNCTION("""COMPUTED_VALUE"""),45913.0)</f>
        <v>45913</v>
      </c>
      <c r="I7109" s="115" t="str">
        <f>IFERROR(__xludf.DUMMYFUNCTION("""COMPUTED_VALUE"""),"12")</f>
        <v>12</v>
      </c>
      <c r="J7109" s="115"/>
      <c r="K7109" s="115"/>
    </row>
    <row r="7110">
      <c r="A7110" s="115" t="str">
        <f>IFERROR(__xludf.DUMMYFUNCTION("""COMPUTED_VALUE"""),"WEST")</f>
        <v>WEST</v>
      </c>
      <c r="B7110" s="115" t="str">
        <f>IFERROR(__xludf.DUMMYFUNCTION("""COMPUTED_VALUE"""),"Ashish Jakar")</f>
        <v>Ashish Jakar</v>
      </c>
      <c r="C7110" s="115" t="str">
        <f>IFERROR(__xludf.DUMMYFUNCTION("""COMPUTED_VALUE"""),"MYNTRA")</f>
        <v>MYNTRA</v>
      </c>
      <c r="D7110" s="115">
        <f>IFERROR(__xludf.DUMMYFUNCTION("""COMPUTED_VALUE"""),42449.0)</f>
        <v>42449</v>
      </c>
      <c r="E7110" s="115">
        <f>IFERROR(__xludf.DUMMYFUNCTION("""COMPUTED_VALUE"""),10155.0)</f>
        <v>10155</v>
      </c>
      <c r="F7110" s="115">
        <f>IFERROR(__xludf.DUMMYFUNCTION("""COMPUTED_VALUE"""),9907.0)</f>
        <v>9907</v>
      </c>
      <c r="G7110" s="115">
        <f>IFERROR(__xludf.DUMMYFUNCTION("""COMPUTED_VALUE"""),806.0)</f>
        <v>806</v>
      </c>
      <c r="H7110" s="116">
        <f>IFERROR(__xludf.DUMMYFUNCTION("""COMPUTED_VALUE"""),45913.0)</f>
        <v>45913</v>
      </c>
      <c r="I7110" s="115" t="str">
        <f>IFERROR(__xludf.DUMMYFUNCTION("""COMPUTED_VALUE"""),"12")</f>
        <v>12</v>
      </c>
      <c r="J7110" s="115"/>
      <c r="K7110" s="115"/>
    </row>
    <row r="7111">
      <c r="A7111" s="115" t="str">
        <f>IFERROR(__xludf.DUMMYFUNCTION("""COMPUTED_VALUE"""),"WEST")</f>
        <v>WEST</v>
      </c>
      <c r="B7111" s="115" t="str">
        <f>IFERROR(__xludf.DUMMYFUNCTION("""COMPUTED_VALUE"""),"Ashvani Bhatt")</f>
        <v>Ashvani Bhatt</v>
      </c>
      <c r="C7111" s="115" t="str">
        <f>IFERROR(__xludf.DUMMYFUNCTION("""COMPUTED_VALUE"""),"EXTERNAL")</f>
        <v>EXTERNAL</v>
      </c>
      <c r="D7111" s="115">
        <f>IFERROR(__xludf.DUMMYFUNCTION("""COMPUTED_VALUE"""),34344.0)</f>
        <v>34344</v>
      </c>
      <c r="E7111" s="115">
        <f>IFERROR(__xludf.DUMMYFUNCTION("""COMPUTED_VALUE"""),2016.0)</f>
        <v>2016</v>
      </c>
      <c r="F7111" s="115">
        <f>IFERROR(__xludf.DUMMYFUNCTION("""COMPUTED_VALUE"""),5184.0)</f>
        <v>5184</v>
      </c>
      <c r="G7111" s="115">
        <f>IFERROR(__xludf.DUMMYFUNCTION("""COMPUTED_VALUE"""),104.0)</f>
        <v>104</v>
      </c>
      <c r="H7111" s="116">
        <f>IFERROR(__xludf.DUMMYFUNCTION("""COMPUTED_VALUE"""),45913.0)</f>
        <v>45913</v>
      </c>
      <c r="I7111" s="115" t="str">
        <f>IFERROR(__xludf.DUMMYFUNCTION("""COMPUTED_VALUE"""),"12")</f>
        <v>12</v>
      </c>
      <c r="J7111" s="115"/>
      <c r="K7111" s="115"/>
    </row>
    <row r="7112">
      <c r="A7112" s="115" t="str">
        <f>IFERROR(__xludf.DUMMYFUNCTION("""COMPUTED_VALUE"""),"WEST")</f>
        <v>WEST</v>
      </c>
      <c r="B7112" s="115" t="str">
        <f>IFERROR(__xludf.DUMMYFUNCTION("""COMPUTED_VALUE"""),"Ashvani Bhatt")</f>
        <v>Ashvani Bhatt</v>
      </c>
      <c r="C7112" s="115" t="str">
        <f>IFERROR(__xludf.DUMMYFUNCTION("""COMPUTED_VALUE"""),"FLIPKART")</f>
        <v>FLIPKART</v>
      </c>
      <c r="D7112" s="115">
        <f>IFERROR(__xludf.DUMMYFUNCTION("""COMPUTED_VALUE"""),299072.0)</f>
        <v>299072</v>
      </c>
      <c r="E7112" s="115">
        <f>IFERROR(__xludf.DUMMYFUNCTION("""COMPUTED_VALUE"""),26050.0)</f>
        <v>26050</v>
      </c>
      <c r="F7112" s="115">
        <f>IFERROR(__xludf.DUMMYFUNCTION("""COMPUTED_VALUE"""),82219.0)</f>
        <v>82219</v>
      </c>
      <c r="G7112" s="115">
        <f>IFERROR(__xludf.DUMMYFUNCTION("""COMPUTED_VALUE"""),1876.0)</f>
        <v>1876</v>
      </c>
      <c r="H7112" s="116">
        <f>IFERROR(__xludf.DUMMYFUNCTION("""COMPUTED_VALUE"""),45913.0)</f>
        <v>45913</v>
      </c>
      <c r="I7112" s="115" t="str">
        <f>IFERROR(__xludf.DUMMYFUNCTION("""COMPUTED_VALUE"""),"12")</f>
        <v>12</v>
      </c>
      <c r="J7112" s="115"/>
      <c r="K7112" s="115"/>
    </row>
    <row r="7113">
      <c r="A7113" s="115" t="str">
        <f>IFERROR(__xludf.DUMMYFUNCTION("""COMPUTED_VALUE"""),"WEST")</f>
        <v>WEST</v>
      </c>
      <c r="B7113" s="115" t="str">
        <f>IFERROR(__xludf.DUMMYFUNCTION("""COMPUTED_VALUE"""),"Ashvani Bhatt")</f>
        <v>Ashvani Bhatt</v>
      </c>
      <c r="C7113" s="115" t="str">
        <f>IFERROR(__xludf.DUMMYFUNCTION("""COMPUTED_VALUE"""),"MYNTRA")</f>
        <v>MYNTRA</v>
      </c>
      <c r="D7113" s="115">
        <f>IFERROR(__xludf.DUMMYFUNCTION("""COMPUTED_VALUE"""),32726.0)</f>
        <v>32726</v>
      </c>
      <c r="E7113" s="115">
        <f>IFERROR(__xludf.DUMMYFUNCTION("""COMPUTED_VALUE"""),7608.0)</f>
        <v>7608</v>
      </c>
      <c r="F7113" s="115">
        <f>IFERROR(__xludf.DUMMYFUNCTION("""COMPUTED_VALUE"""),11217.0)</f>
        <v>11217</v>
      </c>
      <c r="G7113" s="115">
        <f>IFERROR(__xludf.DUMMYFUNCTION("""COMPUTED_VALUE"""),656.0)</f>
        <v>656</v>
      </c>
      <c r="H7113" s="116">
        <f>IFERROR(__xludf.DUMMYFUNCTION("""COMPUTED_VALUE"""),45913.0)</f>
        <v>45913</v>
      </c>
      <c r="I7113" s="115" t="str">
        <f>IFERROR(__xludf.DUMMYFUNCTION("""COMPUTED_VALUE"""),"12")</f>
        <v>12</v>
      </c>
      <c r="J7113" s="115"/>
      <c r="K7113" s="115"/>
    </row>
    <row r="7114">
      <c r="A7114" s="115"/>
      <c r="B7114" s="115"/>
      <c r="C7114" s="115" t="str">
        <f>IFERROR(__xludf.DUMMYFUNCTION("""COMPUTED_VALUE"""),"EXTERNAL")</f>
        <v>EXTERNAL</v>
      </c>
      <c r="D7114" s="115">
        <f>IFERROR(__xludf.DUMMYFUNCTION("""COMPUTED_VALUE"""),1192.0)</f>
        <v>1192</v>
      </c>
      <c r="E7114" s="115">
        <f>IFERROR(__xludf.DUMMYFUNCTION("""COMPUTED_VALUE"""),228.0)</f>
        <v>228</v>
      </c>
      <c r="F7114" s="115">
        <f>IFERROR(__xludf.DUMMYFUNCTION("""COMPUTED_VALUE"""),134.0)</f>
        <v>134</v>
      </c>
      <c r="G7114" s="115">
        <f>IFERROR(__xludf.DUMMYFUNCTION("""COMPUTED_VALUE"""),24.0)</f>
        <v>24</v>
      </c>
      <c r="H7114" s="116">
        <f>IFERROR(__xludf.DUMMYFUNCTION("""COMPUTED_VALUE"""),45913.0)</f>
        <v>45913</v>
      </c>
      <c r="I7114" s="115" t="str">
        <f>IFERROR(__xludf.DUMMYFUNCTION("""COMPUTED_VALUE"""),"12")</f>
        <v>12</v>
      </c>
      <c r="J7114" s="115"/>
      <c r="K7114" s="115"/>
    </row>
    <row r="7115">
      <c r="A7115" s="115"/>
      <c r="B7115" s="115"/>
      <c r="C7115" s="115" t="str">
        <f>IFERROR(__xludf.DUMMYFUNCTION("""COMPUTED_VALUE"""),"FLIPKART")</f>
        <v>FLIPKART</v>
      </c>
      <c r="D7115" s="115">
        <f>IFERROR(__xludf.DUMMYFUNCTION("""COMPUTED_VALUE"""),15215.0)</f>
        <v>15215</v>
      </c>
      <c r="E7115" s="115">
        <f>IFERROR(__xludf.DUMMYFUNCTION("""COMPUTED_VALUE"""),1427.0)</f>
        <v>1427</v>
      </c>
      <c r="F7115" s="115">
        <f>IFERROR(__xludf.DUMMYFUNCTION("""COMPUTED_VALUE"""),2368.0)</f>
        <v>2368</v>
      </c>
      <c r="G7115" s="115">
        <f>IFERROR(__xludf.DUMMYFUNCTION("""COMPUTED_VALUE"""),157.0)</f>
        <v>157</v>
      </c>
      <c r="H7115" s="116">
        <f>IFERROR(__xludf.DUMMYFUNCTION("""COMPUTED_VALUE"""),45913.0)</f>
        <v>45913</v>
      </c>
      <c r="I7115" s="115" t="str">
        <f>IFERROR(__xludf.DUMMYFUNCTION("""COMPUTED_VALUE"""),"12")</f>
        <v>12</v>
      </c>
      <c r="J7115" s="115"/>
      <c r="K7115" s="115"/>
    </row>
    <row r="7116">
      <c r="A7116" s="115"/>
      <c r="B7116" s="115"/>
      <c r="C7116" s="115" t="str">
        <f>IFERROR(__xludf.DUMMYFUNCTION("""COMPUTED_VALUE"""),"MYNTRA")</f>
        <v>MYNTRA</v>
      </c>
      <c r="D7116" s="115">
        <f>IFERROR(__xludf.DUMMYFUNCTION("""COMPUTED_VALUE"""),1520.0)</f>
        <v>1520</v>
      </c>
      <c r="E7116" s="115">
        <f>IFERROR(__xludf.DUMMYFUNCTION("""COMPUTED_VALUE"""),435.0)</f>
        <v>435</v>
      </c>
      <c r="F7116" s="115">
        <f>IFERROR(__xludf.DUMMYFUNCTION("""COMPUTED_VALUE"""),329.0)</f>
        <v>329</v>
      </c>
      <c r="G7116" s="115">
        <f>IFERROR(__xludf.DUMMYFUNCTION("""COMPUTED_VALUE"""),49.0)</f>
        <v>49</v>
      </c>
      <c r="H7116" s="116">
        <f>IFERROR(__xludf.DUMMYFUNCTION("""COMPUTED_VALUE"""),45913.0)</f>
        <v>45913</v>
      </c>
      <c r="I7116" s="115" t="str">
        <f>IFERROR(__xludf.DUMMYFUNCTION("""COMPUTED_VALUE"""),"12")</f>
        <v>12</v>
      </c>
      <c r="J7116" s="115"/>
      <c r="K7116" s="115"/>
    </row>
    <row r="7117">
      <c r="A7117" s="115" t="str">
        <f>IFERROR(__xludf.DUMMYFUNCTION("""COMPUTED_VALUE"""),"EAST")</f>
        <v>EAST</v>
      </c>
      <c r="B7117" s="115" t="str">
        <f>IFERROR(__xludf.DUMMYFUNCTION("""COMPUTED_VALUE"""),"Ashish Ranjan")</f>
        <v>Ashish Ranjan</v>
      </c>
      <c r="C7117" s="115" t="str">
        <f>IFERROR(__xludf.DUMMYFUNCTION("""COMPUTED_VALUE"""),"EXTERNAL")</f>
        <v>EXTERNAL</v>
      </c>
      <c r="D7117" s="115">
        <f>IFERROR(__xludf.DUMMYFUNCTION("""COMPUTED_VALUE"""),38933.0)</f>
        <v>38933</v>
      </c>
      <c r="E7117" s="115">
        <f>IFERROR(__xludf.DUMMYFUNCTION("""COMPUTED_VALUE"""),2577.0)</f>
        <v>2577</v>
      </c>
      <c r="F7117" s="115">
        <f>IFERROR(__xludf.DUMMYFUNCTION("""COMPUTED_VALUE"""),9622.0)</f>
        <v>9622</v>
      </c>
      <c r="G7117" s="115">
        <f>IFERROR(__xludf.DUMMYFUNCTION("""COMPUTED_VALUE"""),255.0)</f>
        <v>255</v>
      </c>
      <c r="H7117" s="116">
        <f>IFERROR(__xludf.DUMMYFUNCTION("""COMPUTED_VALUE"""),45913.0)</f>
        <v>45913</v>
      </c>
      <c r="I7117" s="115" t="str">
        <f>IFERROR(__xludf.DUMMYFUNCTION("""COMPUTED_VALUE"""),"13")</f>
        <v>13</v>
      </c>
      <c r="J7117" s="115"/>
      <c r="K7117" s="115"/>
    </row>
    <row r="7118">
      <c r="A7118" s="115" t="str">
        <f>IFERROR(__xludf.DUMMYFUNCTION("""COMPUTED_VALUE"""),"EAST")</f>
        <v>EAST</v>
      </c>
      <c r="B7118" s="115" t="str">
        <f>IFERROR(__xludf.DUMMYFUNCTION("""COMPUTED_VALUE"""),"Ashish Ranjan")</f>
        <v>Ashish Ranjan</v>
      </c>
      <c r="C7118" s="115" t="str">
        <f>IFERROR(__xludf.DUMMYFUNCTION("""COMPUTED_VALUE"""),"FLIPKART")</f>
        <v>FLIPKART</v>
      </c>
      <c r="D7118" s="115">
        <f>IFERROR(__xludf.DUMMYFUNCTION("""COMPUTED_VALUE"""),819943.0)</f>
        <v>819943</v>
      </c>
      <c r="E7118" s="115">
        <f>IFERROR(__xludf.DUMMYFUNCTION("""COMPUTED_VALUE"""),63723.0)</f>
        <v>63723</v>
      </c>
      <c r="F7118" s="115">
        <f>IFERROR(__xludf.DUMMYFUNCTION("""COMPUTED_VALUE"""),337818.0)</f>
        <v>337818</v>
      </c>
      <c r="G7118" s="115">
        <f>IFERROR(__xludf.DUMMYFUNCTION("""COMPUTED_VALUE"""),8586.0)</f>
        <v>8586</v>
      </c>
      <c r="H7118" s="116">
        <f>IFERROR(__xludf.DUMMYFUNCTION("""COMPUTED_VALUE"""),45913.0)</f>
        <v>45913</v>
      </c>
      <c r="I7118" s="115" t="str">
        <f>IFERROR(__xludf.DUMMYFUNCTION("""COMPUTED_VALUE"""),"13")</f>
        <v>13</v>
      </c>
      <c r="J7118" s="115"/>
      <c r="K7118" s="115"/>
    </row>
    <row r="7119">
      <c r="A7119" s="115" t="str">
        <f>IFERROR(__xludf.DUMMYFUNCTION("""COMPUTED_VALUE"""),"EAST")</f>
        <v>EAST</v>
      </c>
      <c r="B7119" s="115" t="str">
        <f>IFERROR(__xludf.DUMMYFUNCTION("""COMPUTED_VALUE"""),"Ashish Ranjan")</f>
        <v>Ashish Ranjan</v>
      </c>
      <c r="C7119" s="115" t="str">
        <f>IFERROR(__xludf.DUMMYFUNCTION("""COMPUTED_VALUE"""),"MYNTRA")</f>
        <v>MYNTRA</v>
      </c>
      <c r="D7119" s="115">
        <f>IFERROR(__xludf.DUMMYFUNCTION("""COMPUTED_VALUE"""),78289.0)</f>
        <v>78289</v>
      </c>
      <c r="E7119" s="115">
        <f>IFERROR(__xludf.DUMMYFUNCTION("""COMPUTED_VALUE"""),14949.0)</f>
        <v>14949</v>
      </c>
      <c r="F7119" s="115">
        <f>IFERROR(__xludf.DUMMYFUNCTION("""COMPUTED_VALUE"""),31606.0)</f>
        <v>31606</v>
      </c>
      <c r="G7119" s="115">
        <f>IFERROR(__xludf.DUMMYFUNCTION("""COMPUTED_VALUE"""),2112.0)</f>
        <v>2112</v>
      </c>
      <c r="H7119" s="116">
        <f>IFERROR(__xludf.DUMMYFUNCTION("""COMPUTED_VALUE"""),45913.0)</f>
        <v>45913</v>
      </c>
      <c r="I7119" s="115" t="str">
        <f>IFERROR(__xludf.DUMMYFUNCTION("""COMPUTED_VALUE"""),"13")</f>
        <v>13</v>
      </c>
      <c r="J7119" s="115"/>
      <c r="K7119" s="115"/>
    </row>
    <row r="7120">
      <c r="A7120" s="115" t="str">
        <f>IFERROR(__xludf.DUMMYFUNCTION("""COMPUTED_VALUE"""),"EAST")</f>
        <v>EAST</v>
      </c>
      <c r="B7120" s="115" t="str">
        <f>IFERROR(__xludf.DUMMYFUNCTION("""COMPUTED_VALUE"""),"Girish Chand")</f>
        <v>Girish Chand</v>
      </c>
      <c r="C7120" s="115" t="str">
        <f>IFERROR(__xludf.DUMMYFUNCTION("""COMPUTED_VALUE"""),"EXTERNAL")</f>
        <v>EXTERNAL</v>
      </c>
      <c r="D7120" s="115">
        <f>IFERROR(__xludf.DUMMYFUNCTION("""COMPUTED_VALUE"""),22244.0)</f>
        <v>22244</v>
      </c>
      <c r="E7120" s="115">
        <f>IFERROR(__xludf.DUMMYFUNCTION("""COMPUTED_VALUE"""),1302.0)</f>
        <v>1302</v>
      </c>
      <c r="F7120" s="115">
        <f>IFERROR(__xludf.DUMMYFUNCTION("""COMPUTED_VALUE"""),4134.0)</f>
        <v>4134</v>
      </c>
      <c r="G7120" s="115">
        <f>IFERROR(__xludf.DUMMYFUNCTION("""COMPUTED_VALUE"""),62.0)</f>
        <v>62</v>
      </c>
      <c r="H7120" s="116">
        <f>IFERROR(__xludf.DUMMYFUNCTION("""COMPUTED_VALUE"""),45913.0)</f>
        <v>45913</v>
      </c>
      <c r="I7120" s="115" t="str">
        <f>IFERROR(__xludf.DUMMYFUNCTION("""COMPUTED_VALUE"""),"13")</f>
        <v>13</v>
      </c>
      <c r="J7120" s="115"/>
      <c r="K7120" s="115"/>
    </row>
    <row r="7121">
      <c r="A7121" s="115" t="str">
        <f>IFERROR(__xludf.DUMMYFUNCTION("""COMPUTED_VALUE"""),"EAST")</f>
        <v>EAST</v>
      </c>
      <c r="B7121" s="115" t="str">
        <f>IFERROR(__xludf.DUMMYFUNCTION("""COMPUTED_VALUE"""),"Girish Chand")</f>
        <v>Girish Chand</v>
      </c>
      <c r="C7121" s="115" t="str">
        <f>IFERROR(__xludf.DUMMYFUNCTION("""COMPUTED_VALUE"""),"FLIPKART")</f>
        <v>FLIPKART</v>
      </c>
      <c r="D7121" s="115">
        <f>IFERROR(__xludf.DUMMYFUNCTION("""COMPUTED_VALUE"""),486515.0)</f>
        <v>486515</v>
      </c>
      <c r="E7121" s="115">
        <f>IFERROR(__xludf.DUMMYFUNCTION("""COMPUTED_VALUE"""),36421.0)</f>
        <v>36421</v>
      </c>
      <c r="F7121" s="115">
        <f>IFERROR(__xludf.DUMMYFUNCTION("""COMPUTED_VALUE"""),158000.0)</f>
        <v>158000</v>
      </c>
      <c r="G7121" s="115">
        <f>IFERROR(__xludf.DUMMYFUNCTION("""COMPUTED_VALUE"""),3188.0)</f>
        <v>3188</v>
      </c>
      <c r="H7121" s="116">
        <f>IFERROR(__xludf.DUMMYFUNCTION("""COMPUTED_VALUE"""),45913.0)</f>
        <v>45913</v>
      </c>
      <c r="I7121" s="115" t="str">
        <f>IFERROR(__xludf.DUMMYFUNCTION("""COMPUTED_VALUE"""),"13")</f>
        <v>13</v>
      </c>
      <c r="J7121" s="115"/>
      <c r="K7121" s="115"/>
    </row>
    <row r="7122">
      <c r="A7122" s="115" t="str">
        <f>IFERROR(__xludf.DUMMYFUNCTION("""COMPUTED_VALUE"""),"EAST")</f>
        <v>EAST</v>
      </c>
      <c r="B7122" s="115" t="str">
        <f>IFERROR(__xludf.DUMMYFUNCTION("""COMPUTED_VALUE"""),"Girish Chand")</f>
        <v>Girish Chand</v>
      </c>
      <c r="C7122" s="115" t="str">
        <f>IFERROR(__xludf.DUMMYFUNCTION("""COMPUTED_VALUE"""),"MYNTRA")</f>
        <v>MYNTRA</v>
      </c>
      <c r="D7122" s="115">
        <f>IFERROR(__xludf.DUMMYFUNCTION("""COMPUTED_VALUE"""),37945.0)</f>
        <v>37945</v>
      </c>
      <c r="E7122" s="115">
        <f>IFERROR(__xludf.DUMMYFUNCTION("""COMPUTED_VALUE"""),6541.0)</f>
        <v>6541</v>
      </c>
      <c r="F7122" s="115">
        <f>IFERROR(__xludf.DUMMYFUNCTION("""COMPUTED_VALUE"""),13407.0)</f>
        <v>13407</v>
      </c>
      <c r="G7122" s="115">
        <f>IFERROR(__xludf.DUMMYFUNCTION("""COMPUTED_VALUE"""),592.0)</f>
        <v>592</v>
      </c>
      <c r="H7122" s="116">
        <f>IFERROR(__xludf.DUMMYFUNCTION("""COMPUTED_VALUE"""),45913.0)</f>
        <v>45913</v>
      </c>
      <c r="I7122" s="115" t="str">
        <f>IFERROR(__xludf.DUMMYFUNCTION("""COMPUTED_VALUE"""),"13")</f>
        <v>13</v>
      </c>
      <c r="J7122" s="115"/>
      <c r="K7122" s="115"/>
    </row>
    <row r="7123">
      <c r="A7123" s="115" t="str">
        <f>IFERROR(__xludf.DUMMYFUNCTION("""COMPUTED_VALUE"""),"EAST")</f>
        <v>EAST</v>
      </c>
      <c r="B7123" s="115" t="str">
        <f>IFERROR(__xludf.DUMMYFUNCTION("""COMPUTED_VALUE"""),"Parag Kashyap")</f>
        <v>Parag Kashyap</v>
      </c>
      <c r="C7123" s="115" t="str">
        <f>IFERROR(__xludf.DUMMYFUNCTION("""COMPUTED_VALUE"""),"EXTERNAL")</f>
        <v>EXTERNAL</v>
      </c>
      <c r="D7123" s="115">
        <f>IFERROR(__xludf.DUMMYFUNCTION("""COMPUTED_VALUE"""),15616.0)</f>
        <v>15616</v>
      </c>
      <c r="E7123" s="115">
        <f>IFERROR(__xludf.DUMMYFUNCTION("""COMPUTED_VALUE"""),638.0)</f>
        <v>638</v>
      </c>
      <c r="F7123" s="115">
        <f>IFERROR(__xludf.DUMMYFUNCTION("""COMPUTED_VALUE"""),2541.0)</f>
        <v>2541</v>
      </c>
      <c r="G7123" s="115">
        <f>IFERROR(__xludf.DUMMYFUNCTION("""COMPUTED_VALUE"""),27.0)</f>
        <v>27</v>
      </c>
      <c r="H7123" s="116">
        <f>IFERROR(__xludf.DUMMYFUNCTION("""COMPUTED_VALUE"""),45913.0)</f>
        <v>45913</v>
      </c>
      <c r="I7123" s="115" t="str">
        <f>IFERROR(__xludf.DUMMYFUNCTION("""COMPUTED_VALUE"""),"13")</f>
        <v>13</v>
      </c>
      <c r="J7123" s="115"/>
      <c r="K7123" s="115"/>
    </row>
    <row r="7124">
      <c r="A7124" s="115" t="str">
        <f>IFERROR(__xludf.DUMMYFUNCTION("""COMPUTED_VALUE"""),"EAST")</f>
        <v>EAST</v>
      </c>
      <c r="B7124" s="115" t="str">
        <f>IFERROR(__xludf.DUMMYFUNCTION("""COMPUTED_VALUE"""),"Parag Kashyap")</f>
        <v>Parag Kashyap</v>
      </c>
      <c r="C7124" s="115" t="str">
        <f>IFERROR(__xludf.DUMMYFUNCTION("""COMPUTED_VALUE"""),"FLIPKART")</f>
        <v>FLIPKART</v>
      </c>
      <c r="D7124" s="115">
        <f>IFERROR(__xludf.DUMMYFUNCTION("""COMPUTED_VALUE"""),305604.0)</f>
        <v>305604</v>
      </c>
      <c r="E7124" s="115">
        <f>IFERROR(__xludf.DUMMYFUNCTION("""COMPUTED_VALUE"""),16505.0)</f>
        <v>16505</v>
      </c>
      <c r="F7124" s="115">
        <f>IFERROR(__xludf.DUMMYFUNCTION("""COMPUTED_VALUE"""),90934.0)</f>
        <v>90934</v>
      </c>
      <c r="G7124" s="115">
        <f>IFERROR(__xludf.DUMMYFUNCTION("""COMPUTED_VALUE"""),908.0)</f>
        <v>908</v>
      </c>
      <c r="H7124" s="116">
        <f>IFERROR(__xludf.DUMMYFUNCTION("""COMPUTED_VALUE"""),45913.0)</f>
        <v>45913</v>
      </c>
      <c r="I7124" s="115" t="str">
        <f>IFERROR(__xludf.DUMMYFUNCTION("""COMPUTED_VALUE"""),"13")</f>
        <v>13</v>
      </c>
      <c r="J7124" s="115"/>
      <c r="K7124" s="115"/>
    </row>
    <row r="7125">
      <c r="A7125" s="115" t="str">
        <f>IFERROR(__xludf.DUMMYFUNCTION("""COMPUTED_VALUE"""),"EAST")</f>
        <v>EAST</v>
      </c>
      <c r="B7125" s="115" t="str">
        <f>IFERROR(__xludf.DUMMYFUNCTION("""COMPUTED_VALUE"""),"Parag Kashyap")</f>
        <v>Parag Kashyap</v>
      </c>
      <c r="C7125" s="115" t="str">
        <f>IFERROR(__xludf.DUMMYFUNCTION("""COMPUTED_VALUE"""),"MYNTRA")</f>
        <v>MYNTRA</v>
      </c>
      <c r="D7125" s="115">
        <f>IFERROR(__xludf.DUMMYFUNCTION("""COMPUTED_VALUE"""),34617.0)</f>
        <v>34617</v>
      </c>
      <c r="E7125" s="115">
        <f>IFERROR(__xludf.DUMMYFUNCTION("""COMPUTED_VALUE"""),5276.0)</f>
        <v>5276</v>
      </c>
      <c r="F7125" s="115">
        <f>IFERROR(__xludf.DUMMYFUNCTION("""COMPUTED_VALUE"""),11181.0)</f>
        <v>11181</v>
      </c>
      <c r="G7125" s="115">
        <f>IFERROR(__xludf.DUMMYFUNCTION("""COMPUTED_VALUE"""),279.0)</f>
        <v>279</v>
      </c>
      <c r="H7125" s="116">
        <f>IFERROR(__xludf.DUMMYFUNCTION("""COMPUTED_VALUE"""),45913.0)</f>
        <v>45913</v>
      </c>
      <c r="I7125" s="115" t="str">
        <f>IFERROR(__xludf.DUMMYFUNCTION("""COMPUTED_VALUE"""),"13")</f>
        <v>13</v>
      </c>
      <c r="J7125" s="115"/>
      <c r="K7125" s="115"/>
    </row>
    <row r="7126">
      <c r="A7126" s="115" t="str">
        <f>IFERROR(__xludf.DUMMYFUNCTION("""COMPUTED_VALUE"""),"NORTH")</f>
        <v>NORTH</v>
      </c>
      <c r="B7126" s="115" t="str">
        <f>IFERROR(__xludf.DUMMYFUNCTION("""COMPUTED_VALUE"""),"Amit Kumar Pathak")</f>
        <v>Amit Kumar Pathak</v>
      </c>
      <c r="C7126" s="115" t="str">
        <f>IFERROR(__xludf.DUMMYFUNCTION("""COMPUTED_VALUE"""),"EXTERNAL")</f>
        <v>EXTERNAL</v>
      </c>
      <c r="D7126" s="115">
        <f>IFERROR(__xludf.DUMMYFUNCTION("""COMPUTED_VALUE"""),24818.0)</f>
        <v>24818</v>
      </c>
      <c r="E7126" s="115">
        <f>IFERROR(__xludf.DUMMYFUNCTION("""COMPUTED_VALUE"""),2453.0)</f>
        <v>2453</v>
      </c>
      <c r="F7126" s="115">
        <f>IFERROR(__xludf.DUMMYFUNCTION("""COMPUTED_VALUE"""),4852.0)</f>
        <v>4852</v>
      </c>
      <c r="G7126" s="115">
        <f>IFERROR(__xludf.DUMMYFUNCTION("""COMPUTED_VALUE"""),486.0)</f>
        <v>486</v>
      </c>
      <c r="H7126" s="116">
        <f>IFERROR(__xludf.DUMMYFUNCTION("""COMPUTED_VALUE"""),45913.0)</f>
        <v>45913</v>
      </c>
      <c r="I7126" s="115" t="str">
        <f>IFERROR(__xludf.DUMMYFUNCTION("""COMPUTED_VALUE"""),"13")</f>
        <v>13</v>
      </c>
      <c r="J7126" s="115"/>
      <c r="K7126" s="115"/>
    </row>
    <row r="7127">
      <c r="A7127" s="115" t="str">
        <f>IFERROR(__xludf.DUMMYFUNCTION("""COMPUTED_VALUE"""),"NORTH")</f>
        <v>NORTH</v>
      </c>
      <c r="B7127" s="115" t="str">
        <f>IFERROR(__xludf.DUMMYFUNCTION("""COMPUTED_VALUE"""),"Amit Kumar Pathak")</f>
        <v>Amit Kumar Pathak</v>
      </c>
      <c r="C7127" s="115" t="str">
        <f>IFERROR(__xludf.DUMMYFUNCTION("""COMPUTED_VALUE"""),"FLIPKART")</f>
        <v>FLIPKART</v>
      </c>
      <c r="D7127" s="115">
        <f>IFERROR(__xludf.DUMMYFUNCTION("""COMPUTED_VALUE"""),171364.0)</f>
        <v>171364</v>
      </c>
      <c r="E7127" s="115">
        <f>IFERROR(__xludf.DUMMYFUNCTION("""COMPUTED_VALUE"""),21055.0)</f>
        <v>21055</v>
      </c>
      <c r="F7127" s="115">
        <f>IFERROR(__xludf.DUMMYFUNCTION("""COMPUTED_VALUE"""),63604.0)</f>
        <v>63604</v>
      </c>
      <c r="G7127" s="115">
        <f>IFERROR(__xludf.DUMMYFUNCTION("""COMPUTED_VALUE"""),4459.0)</f>
        <v>4459</v>
      </c>
      <c r="H7127" s="116">
        <f>IFERROR(__xludf.DUMMYFUNCTION("""COMPUTED_VALUE"""),45913.0)</f>
        <v>45913</v>
      </c>
      <c r="I7127" s="115" t="str">
        <f>IFERROR(__xludf.DUMMYFUNCTION("""COMPUTED_VALUE"""),"13")</f>
        <v>13</v>
      </c>
      <c r="J7127" s="115"/>
      <c r="K7127" s="115"/>
    </row>
    <row r="7128">
      <c r="A7128" s="115" t="str">
        <f>IFERROR(__xludf.DUMMYFUNCTION("""COMPUTED_VALUE"""),"NORTH")</f>
        <v>NORTH</v>
      </c>
      <c r="B7128" s="115" t="str">
        <f>IFERROR(__xludf.DUMMYFUNCTION("""COMPUTED_VALUE"""),"Amit Kumar Pathak")</f>
        <v>Amit Kumar Pathak</v>
      </c>
      <c r="C7128" s="115" t="str">
        <f>IFERROR(__xludf.DUMMYFUNCTION("""COMPUTED_VALUE"""),"MYNTRA")</f>
        <v>MYNTRA</v>
      </c>
      <c r="D7128" s="115">
        <f>IFERROR(__xludf.DUMMYFUNCTION("""COMPUTED_VALUE"""),14119.0)</f>
        <v>14119</v>
      </c>
      <c r="E7128" s="115">
        <f>IFERROR(__xludf.DUMMYFUNCTION("""COMPUTED_VALUE"""),5083.0)</f>
        <v>5083</v>
      </c>
      <c r="F7128" s="115">
        <f>IFERROR(__xludf.DUMMYFUNCTION("""COMPUTED_VALUE"""),6273.0)</f>
        <v>6273</v>
      </c>
      <c r="G7128" s="115">
        <f>IFERROR(__xludf.DUMMYFUNCTION("""COMPUTED_VALUE"""),1218.0)</f>
        <v>1218</v>
      </c>
      <c r="H7128" s="116">
        <f>IFERROR(__xludf.DUMMYFUNCTION("""COMPUTED_VALUE"""),45913.0)</f>
        <v>45913</v>
      </c>
      <c r="I7128" s="115" t="str">
        <f>IFERROR(__xludf.DUMMYFUNCTION("""COMPUTED_VALUE"""),"13")</f>
        <v>13</v>
      </c>
      <c r="J7128" s="115"/>
      <c r="K7128" s="115"/>
    </row>
    <row r="7129">
      <c r="A7129" s="115" t="str">
        <f>IFERROR(__xludf.DUMMYFUNCTION("""COMPUTED_VALUE"""),"NORTH")</f>
        <v>NORTH</v>
      </c>
      <c r="B7129" s="115" t="str">
        <f>IFERROR(__xludf.DUMMYFUNCTION("""COMPUTED_VALUE"""),"Ashvani Bhatt")</f>
        <v>Ashvani Bhatt</v>
      </c>
      <c r="C7129" s="115" t="str">
        <f>IFERROR(__xludf.DUMMYFUNCTION("""COMPUTED_VALUE"""),"EXTERNAL")</f>
        <v>EXTERNAL</v>
      </c>
      <c r="D7129" s="115">
        <f>IFERROR(__xludf.DUMMYFUNCTION("""COMPUTED_VALUE"""),32.0)</f>
        <v>32</v>
      </c>
      <c r="E7129" s="115">
        <f>IFERROR(__xludf.DUMMYFUNCTION("""COMPUTED_VALUE"""),1.0)</f>
        <v>1</v>
      </c>
      <c r="F7129" s="115">
        <f>IFERROR(__xludf.DUMMYFUNCTION("""COMPUTED_VALUE"""),1.0)</f>
        <v>1</v>
      </c>
      <c r="G7129" s="115">
        <f>IFERROR(__xludf.DUMMYFUNCTION("""COMPUTED_VALUE"""),0.0)</f>
        <v>0</v>
      </c>
      <c r="H7129" s="116">
        <f>IFERROR(__xludf.DUMMYFUNCTION("""COMPUTED_VALUE"""),45913.0)</f>
        <v>45913</v>
      </c>
      <c r="I7129" s="115" t="str">
        <f>IFERROR(__xludf.DUMMYFUNCTION("""COMPUTED_VALUE"""),"13")</f>
        <v>13</v>
      </c>
      <c r="J7129" s="115"/>
      <c r="K7129" s="115"/>
    </row>
    <row r="7130">
      <c r="A7130" s="115" t="str">
        <f>IFERROR(__xludf.DUMMYFUNCTION("""COMPUTED_VALUE"""),"NORTH")</f>
        <v>NORTH</v>
      </c>
      <c r="B7130" s="115" t="str">
        <f>IFERROR(__xludf.DUMMYFUNCTION("""COMPUTED_VALUE"""),"Ashvani Bhatt")</f>
        <v>Ashvani Bhatt</v>
      </c>
      <c r="C7130" s="115" t="str">
        <f>IFERROR(__xludf.DUMMYFUNCTION("""COMPUTED_VALUE"""),"FLIPKART")</f>
        <v>FLIPKART</v>
      </c>
      <c r="D7130" s="115">
        <f>IFERROR(__xludf.DUMMYFUNCTION("""COMPUTED_VALUE"""),305.0)</f>
        <v>305</v>
      </c>
      <c r="E7130" s="115">
        <f>IFERROR(__xludf.DUMMYFUNCTION("""COMPUTED_VALUE"""),49.0)</f>
        <v>49</v>
      </c>
      <c r="F7130" s="115">
        <f>IFERROR(__xludf.DUMMYFUNCTION("""COMPUTED_VALUE"""),47.0)</f>
        <v>47</v>
      </c>
      <c r="G7130" s="115">
        <f>IFERROR(__xludf.DUMMYFUNCTION("""COMPUTED_VALUE"""),0.0)</f>
        <v>0</v>
      </c>
      <c r="H7130" s="116">
        <f>IFERROR(__xludf.DUMMYFUNCTION("""COMPUTED_VALUE"""),45913.0)</f>
        <v>45913</v>
      </c>
      <c r="I7130" s="115" t="str">
        <f>IFERROR(__xludf.DUMMYFUNCTION("""COMPUTED_VALUE"""),"13")</f>
        <v>13</v>
      </c>
      <c r="J7130" s="115"/>
      <c r="K7130" s="115"/>
    </row>
    <row r="7131">
      <c r="A7131" s="115" t="str">
        <f>IFERROR(__xludf.DUMMYFUNCTION("""COMPUTED_VALUE"""),"NORTH")</f>
        <v>NORTH</v>
      </c>
      <c r="B7131" s="115" t="str">
        <f>IFERROR(__xludf.DUMMYFUNCTION("""COMPUTED_VALUE"""),"Ashvani Bhatt")</f>
        <v>Ashvani Bhatt</v>
      </c>
      <c r="C7131" s="115" t="str">
        <f>IFERROR(__xludf.DUMMYFUNCTION("""COMPUTED_VALUE"""),"MYNTRA")</f>
        <v>MYNTRA</v>
      </c>
      <c r="D7131" s="115">
        <f>IFERROR(__xludf.DUMMYFUNCTION("""COMPUTED_VALUE"""),12.0)</f>
        <v>12</v>
      </c>
      <c r="E7131" s="115">
        <f>IFERROR(__xludf.DUMMYFUNCTION("""COMPUTED_VALUE"""),3.0)</f>
        <v>3</v>
      </c>
      <c r="F7131" s="115">
        <f>IFERROR(__xludf.DUMMYFUNCTION("""COMPUTED_VALUE"""),4.0)</f>
        <v>4</v>
      </c>
      <c r="G7131" s="115">
        <f>IFERROR(__xludf.DUMMYFUNCTION("""COMPUTED_VALUE"""),0.0)</f>
        <v>0</v>
      </c>
      <c r="H7131" s="116">
        <f>IFERROR(__xludf.DUMMYFUNCTION("""COMPUTED_VALUE"""),45913.0)</f>
        <v>45913</v>
      </c>
      <c r="I7131" s="115" t="str">
        <f>IFERROR(__xludf.DUMMYFUNCTION("""COMPUTED_VALUE"""),"13")</f>
        <v>13</v>
      </c>
      <c r="J7131" s="115"/>
      <c r="K7131" s="115"/>
    </row>
    <row r="7132">
      <c r="A7132" s="115" t="str">
        <f>IFERROR(__xludf.DUMMYFUNCTION("""COMPUTED_VALUE"""),"NORTH")</f>
        <v>NORTH</v>
      </c>
      <c r="B7132" s="115" t="str">
        <f>IFERROR(__xludf.DUMMYFUNCTION("""COMPUTED_VALUE"""),"Loveleen Singh")</f>
        <v>Loveleen Singh</v>
      </c>
      <c r="C7132" s="115" t="str">
        <f>IFERROR(__xludf.DUMMYFUNCTION("""COMPUTED_VALUE"""),"EXTERNAL")</f>
        <v>EXTERNAL</v>
      </c>
      <c r="D7132" s="115">
        <f>IFERROR(__xludf.DUMMYFUNCTION("""COMPUTED_VALUE"""),32190.0)</f>
        <v>32190</v>
      </c>
      <c r="E7132" s="115">
        <f>IFERROR(__xludf.DUMMYFUNCTION("""COMPUTED_VALUE"""),1689.0)</f>
        <v>1689</v>
      </c>
      <c r="F7132" s="115">
        <f>IFERROR(__xludf.DUMMYFUNCTION("""COMPUTED_VALUE"""),5437.0)</f>
        <v>5437</v>
      </c>
      <c r="G7132" s="115">
        <f>IFERROR(__xludf.DUMMYFUNCTION("""COMPUTED_VALUE"""),125.0)</f>
        <v>125</v>
      </c>
      <c r="H7132" s="116">
        <f>IFERROR(__xludf.DUMMYFUNCTION("""COMPUTED_VALUE"""),45913.0)</f>
        <v>45913</v>
      </c>
      <c r="I7132" s="115" t="str">
        <f>IFERROR(__xludf.DUMMYFUNCTION("""COMPUTED_VALUE"""),"13")</f>
        <v>13</v>
      </c>
      <c r="J7132" s="115"/>
      <c r="K7132" s="115"/>
    </row>
    <row r="7133">
      <c r="A7133" s="115" t="str">
        <f>IFERROR(__xludf.DUMMYFUNCTION("""COMPUTED_VALUE"""),"NORTH")</f>
        <v>NORTH</v>
      </c>
      <c r="B7133" s="115" t="str">
        <f>IFERROR(__xludf.DUMMYFUNCTION("""COMPUTED_VALUE"""),"Loveleen Singh")</f>
        <v>Loveleen Singh</v>
      </c>
      <c r="C7133" s="115" t="str">
        <f>IFERROR(__xludf.DUMMYFUNCTION("""COMPUTED_VALUE"""),"FLIPKART")</f>
        <v>FLIPKART</v>
      </c>
      <c r="D7133" s="115">
        <f>IFERROR(__xludf.DUMMYFUNCTION("""COMPUTED_VALUE"""),216513.0)</f>
        <v>216513</v>
      </c>
      <c r="E7133" s="115">
        <f>IFERROR(__xludf.DUMMYFUNCTION("""COMPUTED_VALUE"""),13963.0)</f>
        <v>13963</v>
      </c>
      <c r="F7133" s="115">
        <f>IFERROR(__xludf.DUMMYFUNCTION("""COMPUTED_VALUE"""),68291.0)</f>
        <v>68291</v>
      </c>
      <c r="G7133" s="115">
        <f>IFERROR(__xludf.DUMMYFUNCTION("""COMPUTED_VALUE"""),1705.0)</f>
        <v>1705</v>
      </c>
      <c r="H7133" s="116">
        <f>IFERROR(__xludf.DUMMYFUNCTION("""COMPUTED_VALUE"""),45913.0)</f>
        <v>45913</v>
      </c>
      <c r="I7133" s="115" t="str">
        <f>IFERROR(__xludf.DUMMYFUNCTION("""COMPUTED_VALUE"""),"13")</f>
        <v>13</v>
      </c>
      <c r="J7133" s="115"/>
      <c r="K7133" s="115"/>
    </row>
    <row r="7134">
      <c r="A7134" s="115" t="str">
        <f>IFERROR(__xludf.DUMMYFUNCTION("""COMPUTED_VALUE"""),"NORTH")</f>
        <v>NORTH</v>
      </c>
      <c r="B7134" s="115" t="str">
        <f>IFERROR(__xludf.DUMMYFUNCTION("""COMPUTED_VALUE"""),"Loveleen Singh")</f>
        <v>Loveleen Singh</v>
      </c>
      <c r="C7134" s="115" t="str">
        <f>IFERROR(__xludf.DUMMYFUNCTION("""COMPUTED_VALUE"""),"MYNTRA")</f>
        <v>MYNTRA</v>
      </c>
      <c r="D7134" s="115">
        <f>IFERROR(__xludf.DUMMYFUNCTION("""COMPUTED_VALUE"""),32126.0)</f>
        <v>32126</v>
      </c>
      <c r="E7134" s="115">
        <f>IFERROR(__xludf.DUMMYFUNCTION("""COMPUTED_VALUE"""),5633.0)</f>
        <v>5633</v>
      </c>
      <c r="F7134" s="115">
        <f>IFERROR(__xludf.DUMMYFUNCTION("""COMPUTED_VALUE"""),12422.0)</f>
        <v>12422</v>
      </c>
      <c r="G7134" s="115">
        <f>IFERROR(__xludf.DUMMYFUNCTION("""COMPUTED_VALUE"""),894.0)</f>
        <v>894</v>
      </c>
      <c r="H7134" s="116">
        <f>IFERROR(__xludf.DUMMYFUNCTION("""COMPUTED_VALUE"""),45913.0)</f>
        <v>45913</v>
      </c>
      <c r="I7134" s="115" t="str">
        <f>IFERROR(__xludf.DUMMYFUNCTION("""COMPUTED_VALUE"""),"13")</f>
        <v>13</v>
      </c>
      <c r="J7134" s="115"/>
      <c r="K7134" s="115"/>
    </row>
    <row r="7135">
      <c r="A7135" s="115" t="str">
        <f>IFERROR(__xludf.DUMMYFUNCTION("""COMPUTED_VALUE"""),"NORTH")</f>
        <v>NORTH</v>
      </c>
      <c r="B7135" s="115" t="str">
        <f>IFERROR(__xludf.DUMMYFUNCTION("""COMPUTED_VALUE"""),"Manoj Harsh")</f>
        <v>Manoj Harsh</v>
      </c>
      <c r="C7135" s="115" t="str">
        <f>IFERROR(__xludf.DUMMYFUNCTION("""COMPUTED_VALUE"""),"EXTERNAL")</f>
        <v>EXTERNAL</v>
      </c>
      <c r="D7135" s="115">
        <f>IFERROR(__xludf.DUMMYFUNCTION("""COMPUTED_VALUE"""),35476.0)</f>
        <v>35476</v>
      </c>
      <c r="E7135" s="115">
        <f>IFERROR(__xludf.DUMMYFUNCTION("""COMPUTED_VALUE"""),1708.0)</f>
        <v>1708</v>
      </c>
      <c r="F7135" s="115">
        <f>IFERROR(__xludf.DUMMYFUNCTION("""COMPUTED_VALUE"""),6672.0)</f>
        <v>6672</v>
      </c>
      <c r="G7135" s="115">
        <f>IFERROR(__xludf.DUMMYFUNCTION("""COMPUTED_VALUE"""),113.0)</f>
        <v>113</v>
      </c>
      <c r="H7135" s="116">
        <f>IFERROR(__xludf.DUMMYFUNCTION("""COMPUTED_VALUE"""),45913.0)</f>
        <v>45913</v>
      </c>
      <c r="I7135" s="115" t="str">
        <f>IFERROR(__xludf.DUMMYFUNCTION("""COMPUTED_VALUE"""),"13")</f>
        <v>13</v>
      </c>
      <c r="J7135" s="115"/>
      <c r="K7135" s="115"/>
    </row>
    <row r="7136">
      <c r="A7136" s="115" t="str">
        <f>IFERROR(__xludf.DUMMYFUNCTION("""COMPUTED_VALUE"""),"NORTH")</f>
        <v>NORTH</v>
      </c>
      <c r="B7136" s="115" t="str">
        <f>IFERROR(__xludf.DUMMYFUNCTION("""COMPUTED_VALUE"""),"Manoj Harsh")</f>
        <v>Manoj Harsh</v>
      </c>
      <c r="C7136" s="115" t="str">
        <f>IFERROR(__xludf.DUMMYFUNCTION("""COMPUTED_VALUE"""),"FLIPKART")</f>
        <v>FLIPKART</v>
      </c>
      <c r="D7136" s="115">
        <f>IFERROR(__xludf.DUMMYFUNCTION("""COMPUTED_VALUE"""),458912.0)</f>
        <v>458912</v>
      </c>
      <c r="E7136" s="115">
        <f>IFERROR(__xludf.DUMMYFUNCTION("""COMPUTED_VALUE"""),36473.0)</f>
        <v>36473</v>
      </c>
      <c r="F7136" s="115">
        <f>IFERROR(__xludf.DUMMYFUNCTION("""COMPUTED_VALUE"""),147637.0)</f>
        <v>147637</v>
      </c>
      <c r="G7136" s="115">
        <f>IFERROR(__xludf.DUMMYFUNCTION("""COMPUTED_VALUE"""),3574.0)</f>
        <v>3574</v>
      </c>
      <c r="H7136" s="116">
        <f>IFERROR(__xludf.DUMMYFUNCTION("""COMPUTED_VALUE"""),45913.0)</f>
        <v>45913</v>
      </c>
      <c r="I7136" s="115" t="str">
        <f>IFERROR(__xludf.DUMMYFUNCTION("""COMPUTED_VALUE"""),"13")</f>
        <v>13</v>
      </c>
      <c r="J7136" s="115"/>
      <c r="K7136" s="115"/>
    </row>
    <row r="7137">
      <c r="A7137" s="115" t="str">
        <f>IFERROR(__xludf.DUMMYFUNCTION("""COMPUTED_VALUE"""),"NORTH")</f>
        <v>NORTH</v>
      </c>
      <c r="B7137" s="115" t="str">
        <f>IFERROR(__xludf.DUMMYFUNCTION("""COMPUTED_VALUE"""),"Manoj Harsh")</f>
        <v>Manoj Harsh</v>
      </c>
      <c r="C7137" s="115" t="str">
        <f>IFERROR(__xludf.DUMMYFUNCTION("""COMPUTED_VALUE"""),"MYNTRA")</f>
        <v>MYNTRA</v>
      </c>
      <c r="D7137" s="115">
        <f>IFERROR(__xludf.DUMMYFUNCTION("""COMPUTED_VALUE"""),34779.0)</f>
        <v>34779</v>
      </c>
      <c r="E7137" s="115">
        <f>IFERROR(__xludf.DUMMYFUNCTION("""COMPUTED_VALUE"""),6596.0)</f>
        <v>6596</v>
      </c>
      <c r="F7137" s="115">
        <f>IFERROR(__xludf.DUMMYFUNCTION("""COMPUTED_VALUE"""),13200.0)</f>
        <v>13200</v>
      </c>
      <c r="G7137" s="115">
        <f>IFERROR(__xludf.DUMMYFUNCTION("""COMPUTED_VALUE"""),749.0)</f>
        <v>749</v>
      </c>
      <c r="H7137" s="116">
        <f>IFERROR(__xludf.DUMMYFUNCTION("""COMPUTED_VALUE"""),45913.0)</f>
        <v>45913</v>
      </c>
      <c r="I7137" s="115" t="str">
        <f>IFERROR(__xludf.DUMMYFUNCTION("""COMPUTED_VALUE"""),"13")</f>
        <v>13</v>
      </c>
      <c r="J7137" s="115"/>
      <c r="K7137" s="115"/>
    </row>
    <row r="7138">
      <c r="A7138" s="115" t="str">
        <f>IFERROR(__xludf.DUMMYFUNCTION("""COMPUTED_VALUE"""),"NORTH")</f>
        <v>NORTH</v>
      </c>
      <c r="B7138" s="115" t="str">
        <f>IFERROR(__xludf.DUMMYFUNCTION("""COMPUTED_VALUE"""),"Pradeep Kothari")</f>
        <v>Pradeep Kothari</v>
      </c>
      <c r="C7138" s="115" t="str">
        <f>IFERROR(__xludf.DUMMYFUNCTION("""COMPUTED_VALUE"""),"EXTERNAL")</f>
        <v>EXTERNAL</v>
      </c>
      <c r="D7138" s="115">
        <f>IFERROR(__xludf.DUMMYFUNCTION("""COMPUTED_VALUE"""),18879.0)</f>
        <v>18879</v>
      </c>
      <c r="E7138" s="115">
        <f>IFERROR(__xludf.DUMMYFUNCTION("""COMPUTED_VALUE"""),1337.0)</f>
        <v>1337</v>
      </c>
      <c r="F7138" s="115">
        <f>IFERROR(__xludf.DUMMYFUNCTION("""COMPUTED_VALUE"""),4240.0)</f>
        <v>4240</v>
      </c>
      <c r="G7138" s="115">
        <f>IFERROR(__xludf.DUMMYFUNCTION("""COMPUTED_VALUE"""),194.0)</f>
        <v>194</v>
      </c>
      <c r="H7138" s="116">
        <f>IFERROR(__xludf.DUMMYFUNCTION("""COMPUTED_VALUE"""),45913.0)</f>
        <v>45913</v>
      </c>
      <c r="I7138" s="115" t="str">
        <f>IFERROR(__xludf.DUMMYFUNCTION("""COMPUTED_VALUE"""),"13")</f>
        <v>13</v>
      </c>
      <c r="J7138" s="115"/>
      <c r="K7138" s="115"/>
    </row>
    <row r="7139">
      <c r="A7139" s="115" t="str">
        <f>IFERROR(__xludf.DUMMYFUNCTION("""COMPUTED_VALUE"""),"NORTH")</f>
        <v>NORTH</v>
      </c>
      <c r="B7139" s="115" t="str">
        <f>IFERROR(__xludf.DUMMYFUNCTION("""COMPUTED_VALUE"""),"Pradeep Kothari")</f>
        <v>Pradeep Kothari</v>
      </c>
      <c r="C7139" s="115" t="str">
        <f>IFERROR(__xludf.DUMMYFUNCTION("""COMPUTED_VALUE"""),"FLIPKART")</f>
        <v>FLIPKART</v>
      </c>
      <c r="D7139" s="115">
        <f>IFERROR(__xludf.DUMMYFUNCTION("""COMPUTED_VALUE"""),172058.0)</f>
        <v>172058</v>
      </c>
      <c r="E7139" s="115">
        <f>IFERROR(__xludf.DUMMYFUNCTION("""COMPUTED_VALUE"""),17081.0)</f>
        <v>17081</v>
      </c>
      <c r="F7139" s="115">
        <f>IFERROR(__xludf.DUMMYFUNCTION("""COMPUTED_VALUE"""),70350.0)</f>
        <v>70350</v>
      </c>
      <c r="G7139" s="115">
        <f>IFERROR(__xludf.DUMMYFUNCTION("""COMPUTED_VALUE"""),3102.0)</f>
        <v>3102</v>
      </c>
      <c r="H7139" s="116">
        <f>IFERROR(__xludf.DUMMYFUNCTION("""COMPUTED_VALUE"""),45913.0)</f>
        <v>45913</v>
      </c>
      <c r="I7139" s="115" t="str">
        <f>IFERROR(__xludf.DUMMYFUNCTION("""COMPUTED_VALUE"""),"13")</f>
        <v>13</v>
      </c>
      <c r="J7139" s="115"/>
      <c r="K7139" s="115"/>
    </row>
    <row r="7140">
      <c r="A7140" s="115" t="str">
        <f>IFERROR(__xludf.DUMMYFUNCTION("""COMPUTED_VALUE"""),"NORTH")</f>
        <v>NORTH</v>
      </c>
      <c r="B7140" s="115" t="str">
        <f>IFERROR(__xludf.DUMMYFUNCTION("""COMPUTED_VALUE"""),"Pradeep Kothari")</f>
        <v>Pradeep Kothari</v>
      </c>
      <c r="C7140" s="115" t="str">
        <f>IFERROR(__xludf.DUMMYFUNCTION("""COMPUTED_VALUE"""),"MYNTRA")</f>
        <v>MYNTRA</v>
      </c>
      <c r="D7140" s="115">
        <f>IFERROR(__xludf.DUMMYFUNCTION("""COMPUTED_VALUE"""),26447.0)</f>
        <v>26447</v>
      </c>
      <c r="E7140" s="115">
        <f>IFERROR(__xludf.DUMMYFUNCTION("""COMPUTED_VALUE"""),5884.0)</f>
        <v>5884</v>
      </c>
      <c r="F7140" s="115">
        <f>IFERROR(__xludf.DUMMYFUNCTION("""COMPUTED_VALUE"""),13555.0)</f>
        <v>13555</v>
      </c>
      <c r="G7140" s="115">
        <f>IFERROR(__xludf.DUMMYFUNCTION("""COMPUTED_VALUE"""),1237.0)</f>
        <v>1237</v>
      </c>
      <c r="H7140" s="116">
        <f>IFERROR(__xludf.DUMMYFUNCTION("""COMPUTED_VALUE"""),45913.0)</f>
        <v>45913</v>
      </c>
      <c r="I7140" s="115" t="str">
        <f>IFERROR(__xludf.DUMMYFUNCTION("""COMPUTED_VALUE"""),"13")</f>
        <v>13</v>
      </c>
      <c r="J7140" s="115"/>
      <c r="K7140" s="115"/>
    </row>
    <row r="7141">
      <c r="A7141" s="115" t="str">
        <f>IFERROR(__xludf.DUMMYFUNCTION("""COMPUTED_VALUE"""),"SOUTH")</f>
        <v>SOUTH</v>
      </c>
      <c r="B7141" s="115" t="str">
        <f>IFERROR(__xludf.DUMMYFUNCTION("""COMPUTED_VALUE"""),"Kandula Sampath")</f>
        <v>Kandula Sampath</v>
      </c>
      <c r="C7141" s="115" t="str">
        <f>IFERROR(__xludf.DUMMYFUNCTION("""COMPUTED_VALUE"""),"EXTERNAL")</f>
        <v>EXTERNAL</v>
      </c>
      <c r="D7141" s="115">
        <f>IFERROR(__xludf.DUMMYFUNCTION("""COMPUTED_VALUE"""),32889.0)</f>
        <v>32889</v>
      </c>
      <c r="E7141" s="115">
        <f>IFERROR(__xludf.DUMMYFUNCTION("""COMPUTED_VALUE"""),3197.0)</f>
        <v>3197</v>
      </c>
      <c r="F7141" s="115">
        <f>IFERROR(__xludf.DUMMYFUNCTION("""COMPUTED_VALUE"""),7357.0)</f>
        <v>7357</v>
      </c>
      <c r="G7141" s="115">
        <f>IFERROR(__xludf.DUMMYFUNCTION("""COMPUTED_VALUE"""),248.0)</f>
        <v>248</v>
      </c>
      <c r="H7141" s="116">
        <f>IFERROR(__xludf.DUMMYFUNCTION("""COMPUTED_VALUE"""),45913.0)</f>
        <v>45913</v>
      </c>
      <c r="I7141" s="115" t="str">
        <f>IFERROR(__xludf.DUMMYFUNCTION("""COMPUTED_VALUE"""),"13")</f>
        <v>13</v>
      </c>
      <c r="J7141" s="115"/>
      <c r="K7141" s="115"/>
    </row>
    <row r="7142">
      <c r="A7142" s="115" t="str">
        <f>IFERROR(__xludf.DUMMYFUNCTION("""COMPUTED_VALUE"""),"SOUTH")</f>
        <v>SOUTH</v>
      </c>
      <c r="B7142" s="115" t="str">
        <f>IFERROR(__xludf.DUMMYFUNCTION("""COMPUTED_VALUE"""),"Kandula Sampath")</f>
        <v>Kandula Sampath</v>
      </c>
      <c r="C7142" s="115" t="str">
        <f>IFERROR(__xludf.DUMMYFUNCTION("""COMPUTED_VALUE"""),"FLIPKART")</f>
        <v>FLIPKART</v>
      </c>
      <c r="D7142" s="115">
        <f>IFERROR(__xludf.DUMMYFUNCTION("""COMPUTED_VALUE"""),407416.0)</f>
        <v>407416</v>
      </c>
      <c r="E7142" s="115">
        <f>IFERROR(__xludf.DUMMYFUNCTION("""COMPUTED_VALUE"""),30789.0)</f>
        <v>30789</v>
      </c>
      <c r="F7142" s="115">
        <f>IFERROR(__xludf.DUMMYFUNCTION("""COMPUTED_VALUE"""),159607.0)</f>
        <v>159607</v>
      </c>
      <c r="G7142" s="115">
        <f>IFERROR(__xludf.DUMMYFUNCTION("""COMPUTED_VALUE"""),3176.0)</f>
        <v>3176</v>
      </c>
      <c r="H7142" s="116">
        <f>IFERROR(__xludf.DUMMYFUNCTION("""COMPUTED_VALUE"""),45913.0)</f>
        <v>45913</v>
      </c>
      <c r="I7142" s="115" t="str">
        <f>IFERROR(__xludf.DUMMYFUNCTION("""COMPUTED_VALUE"""),"13")</f>
        <v>13</v>
      </c>
      <c r="J7142" s="115"/>
      <c r="K7142" s="115"/>
    </row>
    <row r="7143">
      <c r="A7143" s="115" t="str">
        <f>IFERROR(__xludf.DUMMYFUNCTION("""COMPUTED_VALUE"""),"SOUTH")</f>
        <v>SOUTH</v>
      </c>
      <c r="B7143" s="115" t="str">
        <f>IFERROR(__xludf.DUMMYFUNCTION("""COMPUTED_VALUE"""),"Kandula Sampath")</f>
        <v>Kandula Sampath</v>
      </c>
      <c r="C7143" s="115" t="str">
        <f>IFERROR(__xludf.DUMMYFUNCTION("""COMPUTED_VALUE"""),"MYNTRA")</f>
        <v>MYNTRA</v>
      </c>
      <c r="D7143" s="115">
        <f>IFERROR(__xludf.DUMMYFUNCTION("""COMPUTED_VALUE"""),40968.0)</f>
        <v>40968</v>
      </c>
      <c r="E7143" s="115">
        <f>IFERROR(__xludf.DUMMYFUNCTION("""COMPUTED_VALUE"""),8683.0)</f>
        <v>8683</v>
      </c>
      <c r="F7143" s="115">
        <f>IFERROR(__xludf.DUMMYFUNCTION("""COMPUTED_VALUE"""),17906.0)</f>
        <v>17906</v>
      </c>
      <c r="G7143" s="115">
        <f>IFERROR(__xludf.DUMMYFUNCTION("""COMPUTED_VALUE"""),923.0)</f>
        <v>923</v>
      </c>
      <c r="H7143" s="116">
        <f>IFERROR(__xludf.DUMMYFUNCTION("""COMPUTED_VALUE"""),45913.0)</f>
        <v>45913</v>
      </c>
      <c r="I7143" s="115" t="str">
        <f>IFERROR(__xludf.DUMMYFUNCTION("""COMPUTED_VALUE"""),"13")</f>
        <v>13</v>
      </c>
      <c r="J7143" s="115"/>
      <c r="K7143" s="115"/>
    </row>
    <row r="7144">
      <c r="A7144" s="115" t="str">
        <f>IFERROR(__xludf.DUMMYFUNCTION("""COMPUTED_VALUE"""),"SOUTH")</f>
        <v>SOUTH</v>
      </c>
      <c r="B7144" s="115" t="str">
        <f>IFERROR(__xludf.DUMMYFUNCTION("""COMPUTED_VALUE"""),"Martin A")</f>
        <v>Martin A</v>
      </c>
      <c r="C7144" s="115" t="str">
        <f>IFERROR(__xludf.DUMMYFUNCTION("""COMPUTED_VALUE"""),"EXTERNAL")</f>
        <v>EXTERNAL</v>
      </c>
      <c r="D7144" s="115">
        <f>IFERROR(__xludf.DUMMYFUNCTION("""COMPUTED_VALUE"""),27549.0)</f>
        <v>27549</v>
      </c>
      <c r="E7144" s="115">
        <f>IFERROR(__xludf.DUMMYFUNCTION("""COMPUTED_VALUE"""),2976.0)</f>
        <v>2976</v>
      </c>
      <c r="F7144" s="115">
        <f>IFERROR(__xludf.DUMMYFUNCTION("""COMPUTED_VALUE"""),6020.0)</f>
        <v>6020</v>
      </c>
      <c r="G7144" s="115">
        <f>IFERROR(__xludf.DUMMYFUNCTION("""COMPUTED_VALUE"""),385.0)</f>
        <v>385</v>
      </c>
      <c r="H7144" s="116">
        <f>IFERROR(__xludf.DUMMYFUNCTION("""COMPUTED_VALUE"""),45913.0)</f>
        <v>45913</v>
      </c>
      <c r="I7144" s="115" t="str">
        <f>IFERROR(__xludf.DUMMYFUNCTION("""COMPUTED_VALUE"""),"13")</f>
        <v>13</v>
      </c>
      <c r="J7144" s="115"/>
      <c r="K7144" s="115"/>
    </row>
    <row r="7145">
      <c r="A7145" s="115" t="str">
        <f>IFERROR(__xludf.DUMMYFUNCTION("""COMPUTED_VALUE"""),"SOUTH")</f>
        <v>SOUTH</v>
      </c>
      <c r="B7145" s="115" t="str">
        <f>IFERROR(__xludf.DUMMYFUNCTION("""COMPUTED_VALUE"""),"Martin A")</f>
        <v>Martin A</v>
      </c>
      <c r="C7145" s="115" t="str">
        <f>IFERROR(__xludf.DUMMYFUNCTION("""COMPUTED_VALUE"""),"FLIPKART")</f>
        <v>FLIPKART</v>
      </c>
      <c r="D7145" s="115">
        <f>IFERROR(__xludf.DUMMYFUNCTION("""COMPUTED_VALUE"""),310010.0)</f>
        <v>310010</v>
      </c>
      <c r="E7145" s="115">
        <f>IFERROR(__xludf.DUMMYFUNCTION("""COMPUTED_VALUE"""),25869.0)</f>
        <v>25869</v>
      </c>
      <c r="F7145" s="115">
        <f>IFERROR(__xludf.DUMMYFUNCTION("""COMPUTED_VALUE"""),122304.0)</f>
        <v>122304</v>
      </c>
      <c r="G7145" s="115">
        <f>IFERROR(__xludf.DUMMYFUNCTION("""COMPUTED_VALUE"""),3642.0)</f>
        <v>3642</v>
      </c>
      <c r="H7145" s="116">
        <f>IFERROR(__xludf.DUMMYFUNCTION("""COMPUTED_VALUE"""),45913.0)</f>
        <v>45913</v>
      </c>
      <c r="I7145" s="115" t="str">
        <f>IFERROR(__xludf.DUMMYFUNCTION("""COMPUTED_VALUE"""),"13")</f>
        <v>13</v>
      </c>
      <c r="J7145" s="115"/>
      <c r="K7145" s="115"/>
    </row>
    <row r="7146">
      <c r="A7146" s="115" t="str">
        <f>IFERROR(__xludf.DUMMYFUNCTION("""COMPUTED_VALUE"""),"SOUTH")</f>
        <v>SOUTH</v>
      </c>
      <c r="B7146" s="115" t="str">
        <f>IFERROR(__xludf.DUMMYFUNCTION("""COMPUTED_VALUE"""),"Martin A")</f>
        <v>Martin A</v>
      </c>
      <c r="C7146" s="115" t="str">
        <f>IFERROR(__xludf.DUMMYFUNCTION("""COMPUTED_VALUE"""),"MYNTRA")</f>
        <v>MYNTRA</v>
      </c>
      <c r="D7146" s="115">
        <f>IFERROR(__xludf.DUMMYFUNCTION("""COMPUTED_VALUE"""),26760.0)</f>
        <v>26760</v>
      </c>
      <c r="E7146" s="115">
        <f>IFERROR(__xludf.DUMMYFUNCTION("""COMPUTED_VALUE"""),6502.0)</f>
        <v>6502</v>
      </c>
      <c r="F7146" s="115">
        <f>IFERROR(__xludf.DUMMYFUNCTION("""COMPUTED_VALUE"""),12423.0)</f>
        <v>12423</v>
      </c>
      <c r="G7146" s="115">
        <f>IFERROR(__xludf.DUMMYFUNCTION("""COMPUTED_VALUE"""),1030.0)</f>
        <v>1030</v>
      </c>
      <c r="H7146" s="116">
        <f>IFERROR(__xludf.DUMMYFUNCTION("""COMPUTED_VALUE"""),45913.0)</f>
        <v>45913</v>
      </c>
      <c r="I7146" s="115" t="str">
        <f>IFERROR(__xludf.DUMMYFUNCTION("""COMPUTED_VALUE"""),"13")</f>
        <v>13</v>
      </c>
      <c r="J7146" s="115"/>
      <c r="K7146" s="115"/>
    </row>
    <row r="7147">
      <c r="A7147" s="115" t="str">
        <f>IFERROR(__xludf.DUMMYFUNCTION("""COMPUTED_VALUE"""),"SOUTH")</f>
        <v>SOUTH</v>
      </c>
      <c r="B7147" s="115" t="str">
        <f>IFERROR(__xludf.DUMMYFUNCTION("""COMPUTED_VALUE"""),"Premkumar M")</f>
        <v>Premkumar M</v>
      </c>
      <c r="C7147" s="115" t="str">
        <f>IFERROR(__xludf.DUMMYFUNCTION("""COMPUTED_VALUE"""),"EXTERNAL")</f>
        <v>EXTERNAL</v>
      </c>
      <c r="D7147" s="115">
        <f>IFERROR(__xludf.DUMMYFUNCTION("""COMPUTED_VALUE"""),25246.0)</f>
        <v>25246</v>
      </c>
      <c r="E7147" s="115">
        <f>IFERROR(__xludf.DUMMYFUNCTION("""COMPUTED_VALUE"""),1292.0)</f>
        <v>1292</v>
      </c>
      <c r="F7147" s="115">
        <f>IFERROR(__xludf.DUMMYFUNCTION("""COMPUTED_VALUE"""),4098.0)</f>
        <v>4098</v>
      </c>
      <c r="G7147" s="115">
        <f>IFERROR(__xludf.DUMMYFUNCTION("""COMPUTED_VALUE"""),25.0)</f>
        <v>25</v>
      </c>
      <c r="H7147" s="116">
        <f>IFERROR(__xludf.DUMMYFUNCTION("""COMPUTED_VALUE"""),45913.0)</f>
        <v>45913</v>
      </c>
      <c r="I7147" s="115" t="str">
        <f>IFERROR(__xludf.DUMMYFUNCTION("""COMPUTED_VALUE"""),"13")</f>
        <v>13</v>
      </c>
      <c r="J7147" s="115"/>
      <c r="K7147" s="115"/>
    </row>
    <row r="7148">
      <c r="A7148" s="115" t="str">
        <f>IFERROR(__xludf.DUMMYFUNCTION("""COMPUTED_VALUE"""),"SOUTH")</f>
        <v>SOUTH</v>
      </c>
      <c r="B7148" s="115" t="str">
        <f>IFERROR(__xludf.DUMMYFUNCTION("""COMPUTED_VALUE"""),"Premkumar M")</f>
        <v>Premkumar M</v>
      </c>
      <c r="C7148" s="115" t="str">
        <f>IFERROR(__xludf.DUMMYFUNCTION("""COMPUTED_VALUE"""),"FLIPKART")</f>
        <v>FLIPKART</v>
      </c>
      <c r="D7148" s="115">
        <f>IFERROR(__xludf.DUMMYFUNCTION("""COMPUTED_VALUE"""),294248.0)</f>
        <v>294248</v>
      </c>
      <c r="E7148" s="115">
        <f>IFERROR(__xludf.DUMMYFUNCTION("""COMPUTED_VALUE"""),15449.0)</f>
        <v>15449</v>
      </c>
      <c r="F7148" s="115">
        <f>IFERROR(__xludf.DUMMYFUNCTION("""COMPUTED_VALUE"""),79147.0)</f>
        <v>79147</v>
      </c>
      <c r="G7148" s="115">
        <f>IFERROR(__xludf.DUMMYFUNCTION("""COMPUTED_VALUE"""),568.0)</f>
        <v>568</v>
      </c>
      <c r="H7148" s="116">
        <f>IFERROR(__xludf.DUMMYFUNCTION("""COMPUTED_VALUE"""),45913.0)</f>
        <v>45913</v>
      </c>
      <c r="I7148" s="115" t="str">
        <f>IFERROR(__xludf.DUMMYFUNCTION("""COMPUTED_VALUE"""),"13")</f>
        <v>13</v>
      </c>
      <c r="J7148" s="115"/>
      <c r="K7148" s="115"/>
    </row>
    <row r="7149">
      <c r="A7149" s="115" t="str">
        <f>IFERROR(__xludf.DUMMYFUNCTION("""COMPUTED_VALUE"""),"SOUTH")</f>
        <v>SOUTH</v>
      </c>
      <c r="B7149" s="115" t="str">
        <f>IFERROR(__xludf.DUMMYFUNCTION("""COMPUTED_VALUE"""),"Premkumar M")</f>
        <v>Premkumar M</v>
      </c>
      <c r="C7149" s="115" t="str">
        <f>IFERROR(__xludf.DUMMYFUNCTION("""COMPUTED_VALUE"""),"MYNTRA")</f>
        <v>MYNTRA</v>
      </c>
      <c r="D7149" s="115">
        <f>IFERROR(__xludf.DUMMYFUNCTION("""COMPUTED_VALUE"""),14541.0)</f>
        <v>14541</v>
      </c>
      <c r="E7149" s="115">
        <f>IFERROR(__xludf.DUMMYFUNCTION("""COMPUTED_VALUE"""),2593.0)</f>
        <v>2593</v>
      </c>
      <c r="F7149" s="115">
        <f>IFERROR(__xludf.DUMMYFUNCTION("""COMPUTED_VALUE"""),4615.0)</f>
        <v>4615</v>
      </c>
      <c r="G7149" s="115">
        <f>IFERROR(__xludf.DUMMYFUNCTION("""COMPUTED_VALUE"""),91.0)</f>
        <v>91</v>
      </c>
      <c r="H7149" s="116">
        <f>IFERROR(__xludf.DUMMYFUNCTION("""COMPUTED_VALUE"""),45913.0)</f>
        <v>45913</v>
      </c>
      <c r="I7149" s="115" t="str">
        <f>IFERROR(__xludf.DUMMYFUNCTION("""COMPUTED_VALUE"""),"13")</f>
        <v>13</v>
      </c>
      <c r="J7149" s="115"/>
      <c r="K7149" s="115"/>
    </row>
    <row r="7150">
      <c r="A7150" s="115" t="str">
        <f>IFERROR(__xludf.DUMMYFUNCTION("""COMPUTED_VALUE"""),"SOUTH")</f>
        <v>SOUTH</v>
      </c>
      <c r="B7150" s="115" t="str">
        <f>IFERROR(__xludf.DUMMYFUNCTION("""COMPUTED_VALUE"""),"Vineeth V")</f>
        <v>Vineeth V</v>
      </c>
      <c r="C7150" s="115" t="str">
        <f>IFERROR(__xludf.DUMMYFUNCTION("""COMPUTED_VALUE"""),"EXTERNAL")</f>
        <v>EXTERNAL</v>
      </c>
      <c r="D7150" s="115">
        <f>IFERROR(__xludf.DUMMYFUNCTION("""COMPUTED_VALUE"""),19307.0)</f>
        <v>19307</v>
      </c>
      <c r="E7150" s="115">
        <f>IFERROR(__xludf.DUMMYFUNCTION("""COMPUTED_VALUE"""),448.0)</f>
        <v>448</v>
      </c>
      <c r="F7150" s="115">
        <f>IFERROR(__xludf.DUMMYFUNCTION("""COMPUTED_VALUE"""),3454.0)</f>
        <v>3454</v>
      </c>
      <c r="G7150" s="115">
        <f>IFERROR(__xludf.DUMMYFUNCTION("""COMPUTED_VALUE"""),13.0)</f>
        <v>13</v>
      </c>
      <c r="H7150" s="116">
        <f>IFERROR(__xludf.DUMMYFUNCTION("""COMPUTED_VALUE"""),45913.0)</f>
        <v>45913</v>
      </c>
      <c r="I7150" s="115" t="str">
        <f>IFERROR(__xludf.DUMMYFUNCTION("""COMPUTED_VALUE"""),"13")</f>
        <v>13</v>
      </c>
      <c r="J7150" s="115"/>
      <c r="K7150" s="115"/>
    </row>
    <row r="7151">
      <c r="A7151" s="115" t="str">
        <f>IFERROR(__xludf.DUMMYFUNCTION("""COMPUTED_VALUE"""),"SOUTH")</f>
        <v>SOUTH</v>
      </c>
      <c r="B7151" s="115" t="str">
        <f>IFERROR(__xludf.DUMMYFUNCTION("""COMPUTED_VALUE"""),"Vineeth V")</f>
        <v>Vineeth V</v>
      </c>
      <c r="C7151" s="115" t="str">
        <f>IFERROR(__xludf.DUMMYFUNCTION("""COMPUTED_VALUE"""),"FLIPKART")</f>
        <v>FLIPKART</v>
      </c>
      <c r="D7151" s="115">
        <f>IFERROR(__xludf.DUMMYFUNCTION("""COMPUTED_VALUE"""),209861.0)</f>
        <v>209861</v>
      </c>
      <c r="E7151" s="115">
        <f>IFERROR(__xludf.DUMMYFUNCTION("""COMPUTED_VALUE"""),12352.0)</f>
        <v>12352</v>
      </c>
      <c r="F7151" s="115">
        <f>IFERROR(__xludf.DUMMYFUNCTION("""COMPUTED_VALUE"""),61519.0)</f>
        <v>61519</v>
      </c>
      <c r="G7151" s="115">
        <f>IFERROR(__xludf.DUMMYFUNCTION("""COMPUTED_VALUE"""),445.0)</f>
        <v>445</v>
      </c>
      <c r="H7151" s="116">
        <f>IFERROR(__xludf.DUMMYFUNCTION("""COMPUTED_VALUE"""),45913.0)</f>
        <v>45913</v>
      </c>
      <c r="I7151" s="115" t="str">
        <f>IFERROR(__xludf.DUMMYFUNCTION("""COMPUTED_VALUE"""),"13")</f>
        <v>13</v>
      </c>
      <c r="J7151" s="115"/>
      <c r="K7151" s="115"/>
    </row>
    <row r="7152">
      <c r="A7152" s="115" t="str">
        <f>IFERROR(__xludf.DUMMYFUNCTION("""COMPUTED_VALUE"""),"SOUTH")</f>
        <v>SOUTH</v>
      </c>
      <c r="B7152" s="115" t="str">
        <f>IFERROR(__xludf.DUMMYFUNCTION("""COMPUTED_VALUE"""),"Vineeth V")</f>
        <v>Vineeth V</v>
      </c>
      <c r="C7152" s="115" t="str">
        <f>IFERROR(__xludf.DUMMYFUNCTION("""COMPUTED_VALUE"""),"MYNTRA")</f>
        <v>MYNTRA</v>
      </c>
      <c r="D7152" s="115">
        <f>IFERROR(__xludf.DUMMYFUNCTION("""COMPUTED_VALUE"""),16222.0)</f>
        <v>16222</v>
      </c>
      <c r="E7152" s="115">
        <f>IFERROR(__xludf.DUMMYFUNCTION("""COMPUTED_VALUE"""),2893.0)</f>
        <v>2893</v>
      </c>
      <c r="F7152" s="115">
        <f>IFERROR(__xludf.DUMMYFUNCTION("""COMPUTED_VALUE"""),5342.0)</f>
        <v>5342</v>
      </c>
      <c r="G7152" s="115">
        <f>IFERROR(__xludf.DUMMYFUNCTION("""COMPUTED_VALUE"""),101.0)</f>
        <v>101</v>
      </c>
      <c r="H7152" s="116">
        <f>IFERROR(__xludf.DUMMYFUNCTION("""COMPUTED_VALUE"""),45913.0)</f>
        <v>45913</v>
      </c>
      <c r="I7152" s="115" t="str">
        <f>IFERROR(__xludf.DUMMYFUNCTION("""COMPUTED_VALUE"""),"13")</f>
        <v>13</v>
      </c>
      <c r="J7152" s="115"/>
      <c r="K7152" s="115"/>
    </row>
    <row r="7153">
      <c r="A7153" s="115" t="str">
        <f>IFERROR(__xludf.DUMMYFUNCTION("""COMPUTED_VALUE"""),"WEST")</f>
        <v>WEST</v>
      </c>
      <c r="B7153" s="115" t="str">
        <f>IFERROR(__xludf.DUMMYFUNCTION("""COMPUTED_VALUE"""),"Ashish Jakar")</f>
        <v>Ashish Jakar</v>
      </c>
      <c r="C7153" s="115" t="str">
        <f>IFERROR(__xludf.DUMMYFUNCTION("""COMPUTED_VALUE"""),"EXTERNAL")</f>
        <v>EXTERNAL</v>
      </c>
      <c r="D7153" s="115">
        <f>IFERROR(__xludf.DUMMYFUNCTION("""COMPUTED_VALUE"""),56627.0)</f>
        <v>56627</v>
      </c>
      <c r="E7153" s="115">
        <f>IFERROR(__xludf.DUMMYFUNCTION("""COMPUTED_VALUE"""),5321.0)</f>
        <v>5321</v>
      </c>
      <c r="F7153" s="115">
        <f>IFERROR(__xludf.DUMMYFUNCTION("""COMPUTED_VALUE"""),10281.0)</f>
        <v>10281</v>
      </c>
      <c r="G7153" s="115">
        <f>IFERROR(__xludf.DUMMYFUNCTION("""COMPUTED_VALUE"""),635.0)</f>
        <v>635</v>
      </c>
      <c r="H7153" s="116">
        <f>IFERROR(__xludf.DUMMYFUNCTION("""COMPUTED_VALUE"""),45913.0)</f>
        <v>45913</v>
      </c>
      <c r="I7153" s="115" t="str">
        <f>IFERROR(__xludf.DUMMYFUNCTION("""COMPUTED_VALUE"""),"13")</f>
        <v>13</v>
      </c>
      <c r="J7153" s="115"/>
      <c r="K7153" s="115"/>
    </row>
    <row r="7154">
      <c r="A7154" s="115" t="str">
        <f>IFERROR(__xludf.DUMMYFUNCTION("""COMPUTED_VALUE"""),"WEST")</f>
        <v>WEST</v>
      </c>
      <c r="B7154" s="115" t="str">
        <f>IFERROR(__xludf.DUMMYFUNCTION("""COMPUTED_VALUE"""),"Ashish Jakar")</f>
        <v>Ashish Jakar</v>
      </c>
      <c r="C7154" s="115" t="str">
        <f>IFERROR(__xludf.DUMMYFUNCTION("""COMPUTED_VALUE"""),"FLIPKART")</f>
        <v>FLIPKART</v>
      </c>
      <c r="D7154" s="115">
        <f>IFERROR(__xludf.DUMMYFUNCTION("""COMPUTED_VALUE"""),447696.0)</f>
        <v>447696</v>
      </c>
      <c r="E7154" s="115">
        <f>IFERROR(__xludf.DUMMYFUNCTION("""COMPUTED_VALUE"""),34965.0)</f>
        <v>34965</v>
      </c>
      <c r="F7154" s="115">
        <f>IFERROR(__xludf.DUMMYFUNCTION("""COMPUTED_VALUE"""),132454.0)</f>
        <v>132454</v>
      </c>
      <c r="G7154" s="115">
        <f>IFERROR(__xludf.DUMMYFUNCTION("""COMPUTED_VALUE"""),3967.0)</f>
        <v>3967</v>
      </c>
      <c r="H7154" s="116">
        <f>IFERROR(__xludf.DUMMYFUNCTION("""COMPUTED_VALUE"""),45913.0)</f>
        <v>45913</v>
      </c>
      <c r="I7154" s="115" t="str">
        <f>IFERROR(__xludf.DUMMYFUNCTION("""COMPUTED_VALUE"""),"13")</f>
        <v>13</v>
      </c>
      <c r="J7154" s="115"/>
      <c r="K7154" s="115"/>
    </row>
    <row r="7155">
      <c r="A7155" s="115" t="str">
        <f>IFERROR(__xludf.DUMMYFUNCTION("""COMPUTED_VALUE"""),"WEST")</f>
        <v>WEST</v>
      </c>
      <c r="B7155" s="115" t="str">
        <f>IFERROR(__xludf.DUMMYFUNCTION("""COMPUTED_VALUE"""),"Ashish Jakar")</f>
        <v>Ashish Jakar</v>
      </c>
      <c r="C7155" s="115" t="str">
        <f>IFERROR(__xludf.DUMMYFUNCTION("""COMPUTED_VALUE"""),"MYNTRA")</f>
        <v>MYNTRA</v>
      </c>
      <c r="D7155" s="115">
        <f>IFERROR(__xludf.DUMMYFUNCTION("""COMPUTED_VALUE"""),45210.0)</f>
        <v>45210</v>
      </c>
      <c r="E7155" s="115">
        <f>IFERROR(__xludf.DUMMYFUNCTION("""COMPUTED_VALUE"""),10964.0)</f>
        <v>10964</v>
      </c>
      <c r="F7155" s="115">
        <f>IFERROR(__xludf.DUMMYFUNCTION("""COMPUTED_VALUE"""),15803.0)</f>
        <v>15803</v>
      </c>
      <c r="G7155" s="115">
        <f>IFERROR(__xludf.DUMMYFUNCTION("""COMPUTED_VALUE"""),1410.0)</f>
        <v>1410</v>
      </c>
      <c r="H7155" s="116">
        <f>IFERROR(__xludf.DUMMYFUNCTION("""COMPUTED_VALUE"""),45913.0)</f>
        <v>45913</v>
      </c>
      <c r="I7155" s="115" t="str">
        <f>IFERROR(__xludf.DUMMYFUNCTION("""COMPUTED_VALUE"""),"13")</f>
        <v>13</v>
      </c>
      <c r="J7155" s="115"/>
      <c r="K7155" s="115"/>
    </row>
    <row r="7156">
      <c r="A7156" s="115" t="str">
        <f>IFERROR(__xludf.DUMMYFUNCTION("""COMPUTED_VALUE"""),"WEST")</f>
        <v>WEST</v>
      </c>
      <c r="B7156" s="115" t="str">
        <f>IFERROR(__xludf.DUMMYFUNCTION("""COMPUTED_VALUE"""),"Ashvani Bhatt")</f>
        <v>Ashvani Bhatt</v>
      </c>
      <c r="C7156" s="115" t="str">
        <f>IFERROR(__xludf.DUMMYFUNCTION("""COMPUTED_VALUE"""),"EXTERNAL")</f>
        <v>EXTERNAL</v>
      </c>
      <c r="D7156" s="115">
        <f>IFERROR(__xludf.DUMMYFUNCTION("""COMPUTED_VALUE"""),37037.0)</f>
        <v>37037</v>
      </c>
      <c r="E7156" s="115">
        <f>IFERROR(__xludf.DUMMYFUNCTION("""COMPUTED_VALUE"""),2222.0)</f>
        <v>2222</v>
      </c>
      <c r="F7156" s="115">
        <f>IFERROR(__xludf.DUMMYFUNCTION("""COMPUTED_VALUE"""),7897.0)</f>
        <v>7897</v>
      </c>
      <c r="G7156" s="115">
        <f>IFERROR(__xludf.DUMMYFUNCTION("""COMPUTED_VALUE"""),203.0)</f>
        <v>203</v>
      </c>
      <c r="H7156" s="116">
        <f>IFERROR(__xludf.DUMMYFUNCTION("""COMPUTED_VALUE"""),45913.0)</f>
        <v>45913</v>
      </c>
      <c r="I7156" s="115" t="str">
        <f>IFERROR(__xludf.DUMMYFUNCTION("""COMPUTED_VALUE"""),"13")</f>
        <v>13</v>
      </c>
      <c r="J7156" s="115"/>
      <c r="K7156" s="115"/>
    </row>
    <row r="7157">
      <c r="A7157" s="115" t="str">
        <f>IFERROR(__xludf.DUMMYFUNCTION("""COMPUTED_VALUE"""),"WEST")</f>
        <v>WEST</v>
      </c>
      <c r="B7157" s="115" t="str">
        <f>IFERROR(__xludf.DUMMYFUNCTION("""COMPUTED_VALUE"""),"Ashvani Bhatt")</f>
        <v>Ashvani Bhatt</v>
      </c>
      <c r="C7157" s="115" t="str">
        <f>IFERROR(__xludf.DUMMYFUNCTION("""COMPUTED_VALUE"""),"FLIPKART")</f>
        <v>FLIPKART</v>
      </c>
      <c r="D7157" s="115">
        <f>IFERROR(__xludf.DUMMYFUNCTION("""COMPUTED_VALUE"""),316500.0)</f>
        <v>316500</v>
      </c>
      <c r="E7157" s="115">
        <f>IFERROR(__xludf.DUMMYFUNCTION("""COMPUTED_VALUE"""),28652.0)</f>
        <v>28652</v>
      </c>
      <c r="F7157" s="115">
        <f>IFERROR(__xludf.DUMMYFUNCTION("""COMPUTED_VALUE"""),122996.0)</f>
        <v>122996</v>
      </c>
      <c r="G7157" s="115">
        <f>IFERROR(__xludf.DUMMYFUNCTION("""COMPUTED_VALUE"""),3421.0)</f>
        <v>3421</v>
      </c>
      <c r="H7157" s="116">
        <f>IFERROR(__xludf.DUMMYFUNCTION("""COMPUTED_VALUE"""),45913.0)</f>
        <v>45913</v>
      </c>
      <c r="I7157" s="115" t="str">
        <f>IFERROR(__xludf.DUMMYFUNCTION("""COMPUTED_VALUE"""),"13")</f>
        <v>13</v>
      </c>
      <c r="J7157" s="115"/>
      <c r="K7157" s="115"/>
    </row>
    <row r="7158">
      <c r="A7158" s="115" t="str">
        <f>IFERROR(__xludf.DUMMYFUNCTION("""COMPUTED_VALUE"""),"WEST")</f>
        <v>WEST</v>
      </c>
      <c r="B7158" s="115" t="str">
        <f>IFERROR(__xludf.DUMMYFUNCTION("""COMPUTED_VALUE"""),"Ashvani Bhatt")</f>
        <v>Ashvani Bhatt</v>
      </c>
      <c r="C7158" s="115" t="str">
        <f>IFERROR(__xludf.DUMMYFUNCTION("""COMPUTED_VALUE"""),"MYNTRA")</f>
        <v>MYNTRA</v>
      </c>
      <c r="D7158" s="115">
        <f>IFERROR(__xludf.DUMMYFUNCTION("""COMPUTED_VALUE"""),34243.0)</f>
        <v>34243</v>
      </c>
      <c r="E7158" s="115">
        <f>IFERROR(__xludf.DUMMYFUNCTION("""COMPUTED_VALUE"""),8259.0)</f>
        <v>8259</v>
      </c>
      <c r="F7158" s="115">
        <f>IFERROR(__xludf.DUMMYFUNCTION("""COMPUTED_VALUE"""),16070.0)</f>
        <v>16070</v>
      </c>
      <c r="G7158" s="115">
        <f>IFERROR(__xludf.DUMMYFUNCTION("""COMPUTED_VALUE"""),1170.0)</f>
        <v>1170</v>
      </c>
      <c r="H7158" s="116">
        <f>IFERROR(__xludf.DUMMYFUNCTION("""COMPUTED_VALUE"""),45913.0)</f>
        <v>45913</v>
      </c>
      <c r="I7158" s="115" t="str">
        <f>IFERROR(__xludf.DUMMYFUNCTION("""COMPUTED_VALUE"""),"13")</f>
        <v>13</v>
      </c>
      <c r="J7158" s="115"/>
      <c r="K7158" s="115"/>
    </row>
    <row r="7159">
      <c r="A7159" s="115"/>
      <c r="B7159" s="115"/>
      <c r="C7159" s="115" t="str">
        <f>IFERROR(__xludf.DUMMYFUNCTION("""COMPUTED_VALUE"""),"EXTERNAL")</f>
        <v>EXTERNAL</v>
      </c>
      <c r="D7159" s="115">
        <f>IFERROR(__xludf.DUMMYFUNCTION("""COMPUTED_VALUE"""),1384.0)</f>
        <v>1384</v>
      </c>
      <c r="E7159" s="115">
        <f>IFERROR(__xludf.DUMMYFUNCTION("""COMPUTED_VALUE"""),243.0)</f>
        <v>243</v>
      </c>
      <c r="F7159" s="115">
        <f>IFERROR(__xludf.DUMMYFUNCTION("""COMPUTED_VALUE"""),224.0)</f>
        <v>224</v>
      </c>
      <c r="G7159" s="115">
        <f>IFERROR(__xludf.DUMMYFUNCTION("""COMPUTED_VALUE"""),36.0)</f>
        <v>36</v>
      </c>
      <c r="H7159" s="116">
        <f>IFERROR(__xludf.DUMMYFUNCTION("""COMPUTED_VALUE"""),45913.0)</f>
        <v>45913</v>
      </c>
      <c r="I7159" s="115" t="str">
        <f>IFERROR(__xludf.DUMMYFUNCTION("""COMPUTED_VALUE"""),"13")</f>
        <v>13</v>
      </c>
      <c r="J7159" s="115"/>
      <c r="K7159" s="115"/>
    </row>
    <row r="7160">
      <c r="A7160" s="115"/>
      <c r="B7160" s="115"/>
      <c r="C7160" s="115" t="str">
        <f>IFERROR(__xludf.DUMMYFUNCTION("""COMPUTED_VALUE"""),"FLIPKART")</f>
        <v>FLIPKART</v>
      </c>
      <c r="D7160" s="115">
        <f>IFERROR(__xludf.DUMMYFUNCTION("""COMPUTED_VALUE"""),17216.0)</f>
        <v>17216</v>
      </c>
      <c r="E7160" s="115">
        <f>IFERROR(__xludf.DUMMYFUNCTION("""COMPUTED_VALUE"""),1571.0)</f>
        <v>1571</v>
      </c>
      <c r="F7160" s="115">
        <f>IFERROR(__xludf.DUMMYFUNCTION("""COMPUTED_VALUE"""),4022.0)</f>
        <v>4022</v>
      </c>
      <c r="G7160" s="115">
        <f>IFERROR(__xludf.DUMMYFUNCTION("""COMPUTED_VALUE"""),251.0)</f>
        <v>251</v>
      </c>
      <c r="H7160" s="116">
        <f>IFERROR(__xludf.DUMMYFUNCTION("""COMPUTED_VALUE"""),45913.0)</f>
        <v>45913</v>
      </c>
      <c r="I7160" s="115" t="str">
        <f>IFERROR(__xludf.DUMMYFUNCTION("""COMPUTED_VALUE"""),"13")</f>
        <v>13</v>
      </c>
      <c r="J7160" s="115"/>
      <c r="K7160" s="115"/>
    </row>
    <row r="7161">
      <c r="A7161" s="115"/>
      <c r="B7161" s="115"/>
      <c r="C7161" s="115" t="str">
        <f>IFERROR(__xludf.DUMMYFUNCTION("""COMPUTED_VALUE"""),"MYNTRA")</f>
        <v>MYNTRA</v>
      </c>
      <c r="D7161" s="115">
        <f>IFERROR(__xludf.DUMMYFUNCTION("""COMPUTED_VALUE"""),1708.0)</f>
        <v>1708</v>
      </c>
      <c r="E7161" s="115">
        <f>IFERROR(__xludf.DUMMYFUNCTION("""COMPUTED_VALUE"""),456.0)</f>
        <v>456</v>
      </c>
      <c r="F7161" s="115">
        <f>IFERROR(__xludf.DUMMYFUNCTION("""COMPUTED_VALUE"""),530.0)</f>
        <v>530</v>
      </c>
      <c r="G7161" s="115">
        <f>IFERROR(__xludf.DUMMYFUNCTION("""COMPUTED_VALUE"""),82.0)</f>
        <v>82</v>
      </c>
      <c r="H7161" s="116">
        <f>IFERROR(__xludf.DUMMYFUNCTION("""COMPUTED_VALUE"""),45913.0)</f>
        <v>45913</v>
      </c>
      <c r="I7161" s="115" t="str">
        <f>IFERROR(__xludf.DUMMYFUNCTION("""COMPUTED_VALUE"""),"13")</f>
        <v>13</v>
      </c>
      <c r="J7161" s="115"/>
      <c r="K7161" s="115"/>
    </row>
    <row r="7162">
      <c r="A7162" s="115" t="str">
        <f>IFERROR(__xludf.DUMMYFUNCTION("""COMPUTED_VALUE"""),"EAST")</f>
        <v>EAST</v>
      </c>
      <c r="B7162" s="115" t="str">
        <f>IFERROR(__xludf.DUMMYFUNCTION("""COMPUTED_VALUE"""),"Ashish Ranjan")</f>
        <v>Ashish Ranjan</v>
      </c>
      <c r="C7162" s="115" t="str">
        <f>IFERROR(__xludf.DUMMYFUNCTION("""COMPUTED_VALUE"""),"EXTERNAL")</f>
        <v>EXTERNAL</v>
      </c>
      <c r="D7162" s="115">
        <f>IFERROR(__xludf.DUMMYFUNCTION("""COMPUTED_VALUE"""),40055.0)</f>
        <v>40055</v>
      </c>
      <c r="E7162" s="115">
        <f>IFERROR(__xludf.DUMMYFUNCTION("""COMPUTED_VALUE"""),2666.0)</f>
        <v>2666</v>
      </c>
      <c r="F7162" s="115">
        <f>IFERROR(__xludf.DUMMYFUNCTION("""COMPUTED_VALUE"""),12761.0)</f>
        <v>12761</v>
      </c>
      <c r="G7162" s="115">
        <f>IFERROR(__xludf.DUMMYFUNCTION("""COMPUTED_VALUE"""),401.0)</f>
        <v>401</v>
      </c>
      <c r="H7162" s="116">
        <f>IFERROR(__xludf.DUMMYFUNCTION("""COMPUTED_VALUE"""),45913.0)</f>
        <v>45913</v>
      </c>
      <c r="I7162" s="115" t="str">
        <f>IFERROR(__xludf.DUMMYFUNCTION("""COMPUTED_VALUE"""),"14")</f>
        <v>14</v>
      </c>
      <c r="J7162" s="115"/>
      <c r="K7162" s="115"/>
    </row>
    <row r="7163">
      <c r="A7163" s="115" t="str">
        <f>IFERROR(__xludf.DUMMYFUNCTION("""COMPUTED_VALUE"""),"EAST")</f>
        <v>EAST</v>
      </c>
      <c r="B7163" s="115" t="str">
        <f>IFERROR(__xludf.DUMMYFUNCTION("""COMPUTED_VALUE"""),"Ashish Ranjan")</f>
        <v>Ashish Ranjan</v>
      </c>
      <c r="C7163" s="115" t="str">
        <f>IFERROR(__xludf.DUMMYFUNCTION("""COMPUTED_VALUE"""),"FLIPKART")</f>
        <v>FLIPKART</v>
      </c>
      <c r="D7163" s="115">
        <f>IFERROR(__xludf.DUMMYFUNCTION("""COMPUTED_VALUE"""),836601.0)</f>
        <v>836601</v>
      </c>
      <c r="E7163" s="115">
        <f>IFERROR(__xludf.DUMMYFUNCTION("""COMPUTED_VALUE"""),66048.0)</f>
        <v>66048</v>
      </c>
      <c r="F7163" s="115">
        <f>IFERROR(__xludf.DUMMYFUNCTION("""COMPUTED_VALUE"""),445898.0)</f>
        <v>445898</v>
      </c>
      <c r="G7163" s="115">
        <f>IFERROR(__xludf.DUMMYFUNCTION("""COMPUTED_VALUE"""),13285.0)</f>
        <v>13285</v>
      </c>
      <c r="H7163" s="116">
        <f>IFERROR(__xludf.DUMMYFUNCTION("""COMPUTED_VALUE"""),45913.0)</f>
        <v>45913</v>
      </c>
      <c r="I7163" s="115" t="str">
        <f>IFERROR(__xludf.DUMMYFUNCTION("""COMPUTED_VALUE"""),"14")</f>
        <v>14</v>
      </c>
      <c r="J7163" s="115"/>
      <c r="K7163" s="115"/>
    </row>
    <row r="7164">
      <c r="A7164" s="115" t="str">
        <f>IFERROR(__xludf.DUMMYFUNCTION("""COMPUTED_VALUE"""),"EAST")</f>
        <v>EAST</v>
      </c>
      <c r="B7164" s="115" t="str">
        <f>IFERROR(__xludf.DUMMYFUNCTION("""COMPUTED_VALUE"""),"Ashish Ranjan")</f>
        <v>Ashish Ranjan</v>
      </c>
      <c r="C7164" s="115" t="str">
        <f>IFERROR(__xludf.DUMMYFUNCTION("""COMPUTED_VALUE"""),"MYNTRA")</f>
        <v>MYNTRA</v>
      </c>
      <c r="D7164" s="115">
        <f>IFERROR(__xludf.DUMMYFUNCTION("""COMPUTED_VALUE"""),80413.0)</f>
        <v>80413</v>
      </c>
      <c r="E7164" s="115">
        <f>IFERROR(__xludf.DUMMYFUNCTION("""COMPUTED_VALUE"""),15541.0)</f>
        <v>15541</v>
      </c>
      <c r="F7164" s="115">
        <f>IFERROR(__xludf.DUMMYFUNCTION("""COMPUTED_VALUE"""),42361.0)</f>
        <v>42361</v>
      </c>
      <c r="G7164" s="115">
        <f>IFERROR(__xludf.DUMMYFUNCTION("""COMPUTED_VALUE"""),3203.0)</f>
        <v>3203</v>
      </c>
      <c r="H7164" s="116">
        <f>IFERROR(__xludf.DUMMYFUNCTION("""COMPUTED_VALUE"""),45913.0)</f>
        <v>45913</v>
      </c>
      <c r="I7164" s="115" t="str">
        <f>IFERROR(__xludf.DUMMYFUNCTION("""COMPUTED_VALUE"""),"14")</f>
        <v>14</v>
      </c>
      <c r="J7164" s="115"/>
      <c r="K7164" s="115"/>
    </row>
    <row r="7165">
      <c r="A7165" s="115" t="str">
        <f>IFERROR(__xludf.DUMMYFUNCTION("""COMPUTED_VALUE"""),"EAST")</f>
        <v>EAST</v>
      </c>
      <c r="B7165" s="115" t="str">
        <f>IFERROR(__xludf.DUMMYFUNCTION("""COMPUTED_VALUE"""),"Girish Chand")</f>
        <v>Girish Chand</v>
      </c>
      <c r="C7165" s="115" t="str">
        <f>IFERROR(__xludf.DUMMYFUNCTION("""COMPUTED_VALUE"""),"EXTERNAL")</f>
        <v>EXTERNAL</v>
      </c>
      <c r="D7165" s="115">
        <f>IFERROR(__xludf.DUMMYFUNCTION("""COMPUTED_VALUE"""),22832.0)</f>
        <v>22832</v>
      </c>
      <c r="E7165" s="115">
        <f>IFERROR(__xludf.DUMMYFUNCTION("""COMPUTED_VALUE"""),1340.0)</f>
        <v>1340</v>
      </c>
      <c r="F7165" s="115">
        <f>IFERROR(__xludf.DUMMYFUNCTION("""COMPUTED_VALUE"""),5624.0)</f>
        <v>5624</v>
      </c>
      <c r="G7165" s="115">
        <f>IFERROR(__xludf.DUMMYFUNCTION("""COMPUTED_VALUE"""),99.0)</f>
        <v>99</v>
      </c>
      <c r="H7165" s="116">
        <f>IFERROR(__xludf.DUMMYFUNCTION("""COMPUTED_VALUE"""),45913.0)</f>
        <v>45913</v>
      </c>
      <c r="I7165" s="115" t="str">
        <f>IFERROR(__xludf.DUMMYFUNCTION("""COMPUTED_VALUE"""),"14")</f>
        <v>14</v>
      </c>
      <c r="J7165" s="115"/>
      <c r="K7165" s="115"/>
    </row>
    <row r="7166">
      <c r="A7166" s="115" t="str">
        <f>IFERROR(__xludf.DUMMYFUNCTION("""COMPUTED_VALUE"""),"EAST")</f>
        <v>EAST</v>
      </c>
      <c r="B7166" s="115" t="str">
        <f>IFERROR(__xludf.DUMMYFUNCTION("""COMPUTED_VALUE"""),"Girish Chand")</f>
        <v>Girish Chand</v>
      </c>
      <c r="C7166" s="115" t="str">
        <f>IFERROR(__xludf.DUMMYFUNCTION("""COMPUTED_VALUE"""),"FLIPKART")</f>
        <v>FLIPKART</v>
      </c>
      <c r="D7166" s="115">
        <f>IFERROR(__xludf.DUMMYFUNCTION("""COMPUTED_VALUE"""),495253.0)</f>
        <v>495253</v>
      </c>
      <c r="E7166" s="115">
        <f>IFERROR(__xludf.DUMMYFUNCTION("""COMPUTED_VALUE"""),37505.0)</f>
        <v>37505</v>
      </c>
      <c r="F7166" s="115">
        <f>IFERROR(__xludf.DUMMYFUNCTION("""COMPUTED_VALUE"""),214912.0)</f>
        <v>214912</v>
      </c>
      <c r="G7166" s="115">
        <f>IFERROR(__xludf.DUMMYFUNCTION("""COMPUTED_VALUE"""),4911.0)</f>
        <v>4911</v>
      </c>
      <c r="H7166" s="116">
        <f>IFERROR(__xludf.DUMMYFUNCTION("""COMPUTED_VALUE"""),45913.0)</f>
        <v>45913</v>
      </c>
      <c r="I7166" s="115" t="str">
        <f>IFERROR(__xludf.DUMMYFUNCTION("""COMPUTED_VALUE"""),"14")</f>
        <v>14</v>
      </c>
      <c r="J7166" s="115"/>
      <c r="K7166" s="115"/>
    </row>
    <row r="7167">
      <c r="A7167" s="115" t="str">
        <f>IFERROR(__xludf.DUMMYFUNCTION("""COMPUTED_VALUE"""),"EAST")</f>
        <v>EAST</v>
      </c>
      <c r="B7167" s="115" t="str">
        <f>IFERROR(__xludf.DUMMYFUNCTION("""COMPUTED_VALUE"""),"Girish Chand")</f>
        <v>Girish Chand</v>
      </c>
      <c r="C7167" s="115" t="str">
        <f>IFERROR(__xludf.DUMMYFUNCTION("""COMPUTED_VALUE"""),"MYNTRA")</f>
        <v>MYNTRA</v>
      </c>
      <c r="D7167" s="115">
        <f>IFERROR(__xludf.DUMMYFUNCTION("""COMPUTED_VALUE"""),38614.0)</f>
        <v>38614</v>
      </c>
      <c r="E7167" s="115">
        <f>IFERROR(__xludf.DUMMYFUNCTION("""COMPUTED_VALUE"""),6807.0)</f>
        <v>6807</v>
      </c>
      <c r="F7167" s="115">
        <f>IFERROR(__xludf.DUMMYFUNCTION("""COMPUTED_VALUE"""),18068.0)</f>
        <v>18068</v>
      </c>
      <c r="G7167" s="115">
        <f>IFERROR(__xludf.DUMMYFUNCTION("""COMPUTED_VALUE"""),869.0)</f>
        <v>869</v>
      </c>
      <c r="H7167" s="116">
        <f>IFERROR(__xludf.DUMMYFUNCTION("""COMPUTED_VALUE"""),45913.0)</f>
        <v>45913</v>
      </c>
      <c r="I7167" s="115" t="str">
        <f>IFERROR(__xludf.DUMMYFUNCTION("""COMPUTED_VALUE"""),"14")</f>
        <v>14</v>
      </c>
      <c r="J7167" s="115"/>
      <c r="K7167" s="115"/>
    </row>
    <row r="7168">
      <c r="A7168" s="115" t="str">
        <f>IFERROR(__xludf.DUMMYFUNCTION("""COMPUTED_VALUE"""),"EAST")</f>
        <v>EAST</v>
      </c>
      <c r="B7168" s="115" t="str">
        <f>IFERROR(__xludf.DUMMYFUNCTION("""COMPUTED_VALUE"""),"Parag Kashyap")</f>
        <v>Parag Kashyap</v>
      </c>
      <c r="C7168" s="115" t="str">
        <f>IFERROR(__xludf.DUMMYFUNCTION("""COMPUTED_VALUE"""),"EXTERNAL")</f>
        <v>EXTERNAL</v>
      </c>
      <c r="D7168" s="115">
        <f>IFERROR(__xludf.DUMMYFUNCTION("""COMPUTED_VALUE"""),16028.0)</f>
        <v>16028</v>
      </c>
      <c r="E7168" s="115">
        <f>IFERROR(__xludf.DUMMYFUNCTION("""COMPUTED_VALUE"""),680.0)</f>
        <v>680</v>
      </c>
      <c r="F7168" s="115">
        <f>IFERROR(__xludf.DUMMYFUNCTION("""COMPUTED_VALUE"""),3599.0)</f>
        <v>3599</v>
      </c>
      <c r="G7168" s="115">
        <f>IFERROR(__xludf.DUMMYFUNCTION("""COMPUTED_VALUE"""),48.0)</f>
        <v>48</v>
      </c>
      <c r="H7168" s="116">
        <f>IFERROR(__xludf.DUMMYFUNCTION("""COMPUTED_VALUE"""),45913.0)</f>
        <v>45913</v>
      </c>
      <c r="I7168" s="115" t="str">
        <f>IFERROR(__xludf.DUMMYFUNCTION("""COMPUTED_VALUE"""),"14")</f>
        <v>14</v>
      </c>
      <c r="J7168" s="115"/>
      <c r="K7168" s="115"/>
    </row>
    <row r="7169">
      <c r="A7169" s="115" t="str">
        <f>IFERROR(__xludf.DUMMYFUNCTION("""COMPUTED_VALUE"""),"EAST")</f>
        <v>EAST</v>
      </c>
      <c r="B7169" s="115" t="str">
        <f>IFERROR(__xludf.DUMMYFUNCTION("""COMPUTED_VALUE"""),"Parag Kashyap")</f>
        <v>Parag Kashyap</v>
      </c>
      <c r="C7169" s="115" t="str">
        <f>IFERROR(__xludf.DUMMYFUNCTION("""COMPUTED_VALUE"""),"FLIPKART")</f>
        <v>FLIPKART</v>
      </c>
      <c r="D7169" s="115">
        <f>IFERROR(__xludf.DUMMYFUNCTION("""COMPUTED_VALUE"""),311943.0)</f>
        <v>311943</v>
      </c>
      <c r="E7169" s="115">
        <f>IFERROR(__xludf.DUMMYFUNCTION("""COMPUTED_VALUE"""),17498.0)</f>
        <v>17498</v>
      </c>
      <c r="F7169" s="115">
        <f>IFERROR(__xludf.DUMMYFUNCTION("""COMPUTED_VALUE"""),127983.0)</f>
        <v>127983</v>
      </c>
      <c r="G7169" s="115">
        <f>IFERROR(__xludf.DUMMYFUNCTION("""COMPUTED_VALUE"""),1556.0)</f>
        <v>1556</v>
      </c>
      <c r="H7169" s="116">
        <f>IFERROR(__xludf.DUMMYFUNCTION("""COMPUTED_VALUE"""),45913.0)</f>
        <v>45913</v>
      </c>
      <c r="I7169" s="115" t="str">
        <f>IFERROR(__xludf.DUMMYFUNCTION("""COMPUTED_VALUE"""),"14")</f>
        <v>14</v>
      </c>
      <c r="J7169" s="115"/>
      <c r="K7169" s="115"/>
    </row>
    <row r="7170">
      <c r="A7170" s="115" t="str">
        <f>IFERROR(__xludf.DUMMYFUNCTION("""COMPUTED_VALUE"""),"EAST")</f>
        <v>EAST</v>
      </c>
      <c r="B7170" s="115" t="str">
        <f>IFERROR(__xludf.DUMMYFUNCTION("""COMPUTED_VALUE"""),"Parag Kashyap")</f>
        <v>Parag Kashyap</v>
      </c>
      <c r="C7170" s="115" t="str">
        <f>IFERROR(__xludf.DUMMYFUNCTION("""COMPUTED_VALUE"""),"MYNTRA")</f>
        <v>MYNTRA</v>
      </c>
      <c r="D7170" s="115">
        <f>IFERROR(__xludf.DUMMYFUNCTION("""COMPUTED_VALUE"""),35707.0)</f>
        <v>35707</v>
      </c>
      <c r="E7170" s="115">
        <f>IFERROR(__xludf.DUMMYFUNCTION("""COMPUTED_VALUE"""),5753.0)</f>
        <v>5753</v>
      </c>
      <c r="F7170" s="115">
        <f>IFERROR(__xludf.DUMMYFUNCTION("""COMPUTED_VALUE"""),15349.0)</f>
        <v>15349</v>
      </c>
      <c r="G7170" s="115">
        <f>IFERROR(__xludf.DUMMYFUNCTION("""COMPUTED_VALUE"""),512.0)</f>
        <v>512</v>
      </c>
      <c r="H7170" s="116">
        <f>IFERROR(__xludf.DUMMYFUNCTION("""COMPUTED_VALUE"""),45913.0)</f>
        <v>45913</v>
      </c>
      <c r="I7170" s="115" t="str">
        <f>IFERROR(__xludf.DUMMYFUNCTION("""COMPUTED_VALUE"""),"14")</f>
        <v>14</v>
      </c>
      <c r="J7170" s="115"/>
      <c r="K7170" s="115"/>
    </row>
    <row r="7171">
      <c r="A7171" s="115" t="str">
        <f>IFERROR(__xludf.DUMMYFUNCTION("""COMPUTED_VALUE"""),"NORTH")</f>
        <v>NORTH</v>
      </c>
      <c r="B7171" s="115" t="str">
        <f>IFERROR(__xludf.DUMMYFUNCTION("""COMPUTED_VALUE"""),"Amit Kumar Pathak")</f>
        <v>Amit Kumar Pathak</v>
      </c>
      <c r="C7171" s="115" t="str">
        <f>IFERROR(__xludf.DUMMYFUNCTION("""COMPUTED_VALUE"""),"EXTERNAL")</f>
        <v>EXTERNAL</v>
      </c>
      <c r="D7171" s="115">
        <f>IFERROR(__xludf.DUMMYFUNCTION("""COMPUTED_VALUE"""),25550.0)</f>
        <v>25550</v>
      </c>
      <c r="E7171" s="115">
        <f>IFERROR(__xludf.DUMMYFUNCTION("""COMPUTED_VALUE"""),2500.0)</f>
        <v>2500</v>
      </c>
      <c r="F7171" s="115">
        <f>IFERROR(__xludf.DUMMYFUNCTION("""COMPUTED_VALUE"""),6231.0)</f>
        <v>6231</v>
      </c>
      <c r="G7171" s="115">
        <f>IFERROR(__xludf.DUMMYFUNCTION("""COMPUTED_VALUE"""),638.0)</f>
        <v>638</v>
      </c>
      <c r="H7171" s="116">
        <f>IFERROR(__xludf.DUMMYFUNCTION("""COMPUTED_VALUE"""),45913.0)</f>
        <v>45913</v>
      </c>
      <c r="I7171" s="115" t="str">
        <f>IFERROR(__xludf.DUMMYFUNCTION("""COMPUTED_VALUE"""),"14")</f>
        <v>14</v>
      </c>
      <c r="J7171" s="115"/>
      <c r="K7171" s="115"/>
    </row>
    <row r="7172">
      <c r="A7172" s="115" t="str">
        <f>IFERROR(__xludf.DUMMYFUNCTION("""COMPUTED_VALUE"""),"NORTH")</f>
        <v>NORTH</v>
      </c>
      <c r="B7172" s="115" t="str">
        <f>IFERROR(__xludf.DUMMYFUNCTION("""COMPUTED_VALUE"""),"Amit Kumar Pathak")</f>
        <v>Amit Kumar Pathak</v>
      </c>
      <c r="C7172" s="115" t="str">
        <f>IFERROR(__xludf.DUMMYFUNCTION("""COMPUTED_VALUE"""),"FLIPKART")</f>
        <v>FLIPKART</v>
      </c>
      <c r="D7172" s="115">
        <f>IFERROR(__xludf.DUMMYFUNCTION("""COMPUTED_VALUE"""),175929.0)</f>
        <v>175929</v>
      </c>
      <c r="E7172" s="115">
        <f>IFERROR(__xludf.DUMMYFUNCTION("""COMPUTED_VALUE"""),21502.0)</f>
        <v>21502</v>
      </c>
      <c r="F7172" s="115">
        <f>IFERROR(__xludf.DUMMYFUNCTION("""COMPUTED_VALUE"""),81039.0)</f>
        <v>81039</v>
      </c>
      <c r="G7172" s="115">
        <f>IFERROR(__xludf.DUMMYFUNCTION("""COMPUTED_VALUE"""),6158.0)</f>
        <v>6158</v>
      </c>
      <c r="H7172" s="116">
        <f>IFERROR(__xludf.DUMMYFUNCTION("""COMPUTED_VALUE"""),45913.0)</f>
        <v>45913</v>
      </c>
      <c r="I7172" s="115" t="str">
        <f>IFERROR(__xludf.DUMMYFUNCTION("""COMPUTED_VALUE"""),"14")</f>
        <v>14</v>
      </c>
      <c r="J7172" s="115"/>
      <c r="K7172" s="115"/>
    </row>
    <row r="7173">
      <c r="A7173" s="115" t="str">
        <f>IFERROR(__xludf.DUMMYFUNCTION("""COMPUTED_VALUE"""),"NORTH")</f>
        <v>NORTH</v>
      </c>
      <c r="B7173" s="115" t="str">
        <f>IFERROR(__xludf.DUMMYFUNCTION("""COMPUTED_VALUE"""),"Amit Kumar Pathak")</f>
        <v>Amit Kumar Pathak</v>
      </c>
      <c r="C7173" s="115" t="str">
        <f>IFERROR(__xludf.DUMMYFUNCTION("""COMPUTED_VALUE"""),"MYNTRA")</f>
        <v>MYNTRA</v>
      </c>
      <c r="D7173" s="115">
        <f>IFERROR(__xludf.DUMMYFUNCTION("""COMPUTED_VALUE"""),14596.0)</f>
        <v>14596</v>
      </c>
      <c r="E7173" s="115">
        <f>IFERROR(__xludf.DUMMYFUNCTION("""COMPUTED_VALUE"""),5184.0)</f>
        <v>5184</v>
      </c>
      <c r="F7173" s="115">
        <f>IFERROR(__xludf.DUMMYFUNCTION("""COMPUTED_VALUE"""),7903.0)</f>
        <v>7903</v>
      </c>
      <c r="G7173" s="115">
        <f>IFERROR(__xludf.DUMMYFUNCTION("""COMPUTED_VALUE"""),1684.0)</f>
        <v>1684</v>
      </c>
      <c r="H7173" s="116">
        <f>IFERROR(__xludf.DUMMYFUNCTION("""COMPUTED_VALUE"""),45913.0)</f>
        <v>45913</v>
      </c>
      <c r="I7173" s="115" t="str">
        <f>IFERROR(__xludf.DUMMYFUNCTION("""COMPUTED_VALUE"""),"14")</f>
        <v>14</v>
      </c>
      <c r="J7173" s="115"/>
      <c r="K7173" s="115"/>
    </row>
    <row r="7174">
      <c r="A7174" s="115" t="str">
        <f>IFERROR(__xludf.DUMMYFUNCTION("""COMPUTED_VALUE"""),"NORTH")</f>
        <v>NORTH</v>
      </c>
      <c r="B7174" s="115" t="str">
        <f>IFERROR(__xludf.DUMMYFUNCTION("""COMPUTED_VALUE"""),"Ashvani Bhatt")</f>
        <v>Ashvani Bhatt</v>
      </c>
      <c r="C7174" s="115" t="str">
        <f>IFERROR(__xludf.DUMMYFUNCTION("""COMPUTED_VALUE"""),"EXTERNAL")</f>
        <v>EXTERNAL</v>
      </c>
      <c r="D7174" s="115">
        <f>IFERROR(__xludf.DUMMYFUNCTION("""COMPUTED_VALUE"""),35.0)</f>
        <v>35</v>
      </c>
      <c r="E7174" s="115">
        <f>IFERROR(__xludf.DUMMYFUNCTION("""COMPUTED_VALUE"""),1.0)</f>
        <v>1</v>
      </c>
      <c r="F7174" s="115">
        <f>IFERROR(__xludf.DUMMYFUNCTION("""COMPUTED_VALUE"""),2.0)</f>
        <v>2</v>
      </c>
      <c r="G7174" s="115">
        <f>IFERROR(__xludf.DUMMYFUNCTION("""COMPUTED_VALUE"""),0.0)</f>
        <v>0</v>
      </c>
      <c r="H7174" s="116">
        <f>IFERROR(__xludf.DUMMYFUNCTION("""COMPUTED_VALUE"""),45913.0)</f>
        <v>45913</v>
      </c>
      <c r="I7174" s="115" t="str">
        <f>IFERROR(__xludf.DUMMYFUNCTION("""COMPUTED_VALUE"""),"14")</f>
        <v>14</v>
      </c>
      <c r="J7174" s="115"/>
      <c r="K7174" s="115"/>
    </row>
    <row r="7175">
      <c r="A7175" s="115" t="str">
        <f>IFERROR(__xludf.DUMMYFUNCTION("""COMPUTED_VALUE"""),"NORTH")</f>
        <v>NORTH</v>
      </c>
      <c r="B7175" s="115" t="str">
        <f>IFERROR(__xludf.DUMMYFUNCTION("""COMPUTED_VALUE"""),"Ashvani Bhatt")</f>
        <v>Ashvani Bhatt</v>
      </c>
      <c r="C7175" s="115" t="str">
        <f>IFERROR(__xludf.DUMMYFUNCTION("""COMPUTED_VALUE"""),"FLIPKART")</f>
        <v>FLIPKART</v>
      </c>
      <c r="D7175" s="115">
        <f>IFERROR(__xludf.DUMMYFUNCTION("""COMPUTED_VALUE"""),378.0)</f>
        <v>378</v>
      </c>
      <c r="E7175" s="115">
        <f>IFERROR(__xludf.DUMMYFUNCTION("""COMPUTED_VALUE"""),49.0)</f>
        <v>49</v>
      </c>
      <c r="F7175" s="115">
        <f>IFERROR(__xludf.DUMMYFUNCTION("""COMPUTED_VALUE"""),74.0)</f>
        <v>74</v>
      </c>
      <c r="G7175" s="115">
        <f>IFERROR(__xludf.DUMMYFUNCTION("""COMPUTED_VALUE"""),0.0)</f>
        <v>0</v>
      </c>
      <c r="H7175" s="116">
        <f>IFERROR(__xludf.DUMMYFUNCTION("""COMPUTED_VALUE"""),45913.0)</f>
        <v>45913</v>
      </c>
      <c r="I7175" s="115" t="str">
        <f>IFERROR(__xludf.DUMMYFUNCTION("""COMPUTED_VALUE"""),"14")</f>
        <v>14</v>
      </c>
      <c r="J7175" s="115"/>
      <c r="K7175" s="115"/>
    </row>
    <row r="7176">
      <c r="A7176" s="115" t="str">
        <f>IFERROR(__xludf.DUMMYFUNCTION("""COMPUTED_VALUE"""),"NORTH")</f>
        <v>NORTH</v>
      </c>
      <c r="B7176" s="115" t="str">
        <f>IFERROR(__xludf.DUMMYFUNCTION("""COMPUTED_VALUE"""),"Ashvani Bhatt")</f>
        <v>Ashvani Bhatt</v>
      </c>
      <c r="C7176" s="115" t="str">
        <f>IFERROR(__xludf.DUMMYFUNCTION("""COMPUTED_VALUE"""),"MYNTRA")</f>
        <v>MYNTRA</v>
      </c>
      <c r="D7176" s="115">
        <f>IFERROR(__xludf.DUMMYFUNCTION("""COMPUTED_VALUE"""),12.0)</f>
        <v>12</v>
      </c>
      <c r="E7176" s="115">
        <f>IFERROR(__xludf.DUMMYFUNCTION("""COMPUTED_VALUE"""),3.0)</f>
        <v>3</v>
      </c>
      <c r="F7176" s="115">
        <f>IFERROR(__xludf.DUMMYFUNCTION("""COMPUTED_VALUE"""),4.0)</f>
        <v>4</v>
      </c>
      <c r="G7176" s="115">
        <f>IFERROR(__xludf.DUMMYFUNCTION("""COMPUTED_VALUE"""),0.0)</f>
        <v>0</v>
      </c>
      <c r="H7176" s="116">
        <f>IFERROR(__xludf.DUMMYFUNCTION("""COMPUTED_VALUE"""),45913.0)</f>
        <v>45913</v>
      </c>
      <c r="I7176" s="115" t="str">
        <f>IFERROR(__xludf.DUMMYFUNCTION("""COMPUTED_VALUE"""),"14")</f>
        <v>14</v>
      </c>
      <c r="J7176" s="115"/>
      <c r="K7176" s="115"/>
    </row>
    <row r="7177">
      <c r="A7177" s="115" t="str">
        <f>IFERROR(__xludf.DUMMYFUNCTION("""COMPUTED_VALUE"""),"NORTH")</f>
        <v>NORTH</v>
      </c>
      <c r="B7177" s="115" t="str">
        <f>IFERROR(__xludf.DUMMYFUNCTION("""COMPUTED_VALUE"""),"Loveleen Singh")</f>
        <v>Loveleen Singh</v>
      </c>
      <c r="C7177" s="115" t="str">
        <f>IFERROR(__xludf.DUMMYFUNCTION("""COMPUTED_VALUE"""),"EXTERNAL")</f>
        <v>EXTERNAL</v>
      </c>
      <c r="D7177" s="115">
        <f>IFERROR(__xludf.DUMMYFUNCTION("""COMPUTED_VALUE"""),33425.0)</f>
        <v>33425</v>
      </c>
      <c r="E7177" s="115">
        <f>IFERROR(__xludf.DUMMYFUNCTION("""COMPUTED_VALUE"""),1759.0)</f>
        <v>1759</v>
      </c>
      <c r="F7177" s="115">
        <f>IFERROR(__xludf.DUMMYFUNCTION("""COMPUTED_VALUE"""),7643.0)</f>
        <v>7643</v>
      </c>
      <c r="G7177" s="115">
        <f>IFERROR(__xludf.DUMMYFUNCTION("""COMPUTED_VALUE"""),190.0)</f>
        <v>190</v>
      </c>
      <c r="H7177" s="116">
        <f>IFERROR(__xludf.DUMMYFUNCTION("""COMPUTED_VALUE"""),45913.0)</f>
        <v>45913</v>
      </c>
      <c r="I7177" s="115" t="str">
        <f>IFERROR(__xludf.DUMMYFUNCTION("""COMPUTED_VALUE"""),"14")</f>
        <v>14</v>
      </c>
      <c r="J7177" s="115"/>
      <c r="K7177" s="115"/>
    </row>
    <row r="7178">
      <c r="A7178" s="115" t="str">
        <f>IFERROR(__xludf.DUMMYFUNCTION("""COMPUTED_VALUE"""),"NORTH")</f>
        <v>NORTH</v>
      </c>
      <c r="B7178" s="115" t="str">
        <f>IFERROR(__xludf.DUMMYFUNCTION("""COMPUTED_VALUE"""),"Loveleen Singh")</f>
        <v>Loveleen Singh</v>
      </c>
      <c r="C7178" s="115" t="str">
        <f>IFERROR(__xludf.DUMMYFUNCTION("""COMPUTED_VALUE"""),"FLIPKART")</f>
        <v>FLIPKART</v>
      </c>
      <c r="D7178" s="115">
        <f>IFERROR(__xludf.DUMMYFUNCTION("""COMPUTED_VALUE"""),222372.0)</f>
        <v>222372</v>
      </c>
      <c r="E7178" s="115">
        <f>IFERROR(__xludf.DUMMYFUNCTION("""COMPUTED_VALUE"""),14565.0)</f>
        <v>14565</v>
      </c>
      <c r="F7178" s="115">
        <f>IFERROR(__xludf.DUMMYFUNCTION("""COMPUTED_VALUE"""),94339.0)</f>
        <v>94339</v>
      </c>
      <c r="G7178" s="115">
        <f>IFERROR(__xludf.DUMMYFUNCTION("""COMPUTED_VALUE"""),2651.0)</f>
        <v>2651</v>
      </c>
      <c r="H7178" s="116">
        <f>IFERROR(__xludf.DUMMYFUNCTION("""COMPUTED_VALUE"""),45913.0)</f>
        <v>45913</v>
      </c>
      <c r="I7178" s="115" t="str">
        <f>IFERROR(__xludf.DUMMYFUNCTION("""COMPUTED_VALUE"""),"14")</f>
        <v>14</v>
      </c>
      <c r="J7178" s="115"/>
      <c r="K7178" s="115"/>
    </row>
    <row r="7179">
      <c r="A7179" s="115" t="str">
        <f>IFERROR(__xludf.DUMMYFUNCTION("""COMPUTED_VALUE"""),"NORTH")</f>
        <v>NORTH</v>
      </c>
      <c r="B7179" s="115" t="str">
        <f>IFERROR(__xludf.DUMMYFUNCTION("""COMPUTED_VALUE"""),"Loveleen Singh")</f>
        <v>Loveleen Singh</v>
      </c>
      <c r="C7179" s="115" t="str">
        <f>IFERROR(__xludf.DUMMYFUNCTION("""COMPUTED_VALUE"""),"MYNTRA")</f>
        <v>MYNTRA</v>
      </c>
      <c r="D7179" s="115">
        <f>IFERROR(__xludf.DUMMYFUNCTION("""COMPUTED_VALUE"""),32659.0)</f>
        <v>32659</v>
      </c>
      <c r="E7179" s="115">
        <f>IFERROR(__xludf.DUMMYFUNCTION("""COMPUTED_VALUE"""),5831.0)</f>
        <v>5831</v>
      </c>
      <c r="F7179" s="115">
        <f>IFERROR(__xludf.DUMMYFUNCTION("""COMPUTED_VALUE"""),16417.0)</f>
        <v>16417</v>
      </c>
      <c r="G7179" s="115">
        <f>IFERROR(__xludf.DUMMYFUNCTION("""COMPUTED_VALUE"""),1273.0)</f>
        <v>1273</v>
      </c>
      <c r="H7179" s="116">
        <f>IFERROR(__xludf.DUMMYFUNCTION("""COMPUTED_VALUE"""),45913.0)</f>
        <v>45913</v>
      </c>
      <c r="I7179" s="115" t="str">
        <f>IFERROR(__xludf.DUMMYFUNCTION("""COMPUTED_VALUE"""),"14")</f>
        <v>14</v>
      </c>
      <c r="J7179" s="115"/>
      <c r="K7179" s="115"/>
    </row>
    <row r="7180">
      <c r="A7180" s="115" t="str">
        <f>IFERROR(__xludf.DUMMYFUNCTION("""COMPUTED_VALUE"""),"NORTH")</f>
        <v>NORTH</v>
      </c>
      <c r="B7180" s="115" t="str">
        <f>IFERROR(__xludf.DUMMYFUNCTION("""COMPUTED_VALUE"""),"Manoj Harsh")</f>
        <v>Manoj Harsh</v>
      </c>
      <c r="C7180" s="115" t="str">
        <f>IFERROR(__xludf.DUMMYFUNCTION("""COMPUTED_VALUE"""),"EXTERNAL")</f>
        <v>EXTERNAL</v>
      </c>
      <c r="D7180" s="115">
        <f>IFERROR(__xludf.DUMMYFUNCTION("""COMPUTED_VALUE"""),36527.0)</f>
        <v>36527</v>
      </c>
      <c r="E7180" s="115">
        <f>IFERROR(__xludf.DUMMYFUNCTION("""COMPUTED_VALUE"""),1790.0)</f>
        <v>1790</v>
      </c>
      <c r="F7180" s="115">
        <f>IFERROR(__xludf.DUMMYFUNCTION("""COMPUTED_VALUE"""),9454.0)</f>
        <v>9454</v>
      </c>
      <c r="G7180" s="115">
        <f>IFERROR(__xludf.DUMMYFUNCTION("""COMPUTED_VALUE"""),175.0)</f>
        <v>175</v>
      </c>
      <c r="H7180" s="116">
        <f>IFERROR(__xludf.DUMMYFUNCTION("""COMPUTED_VALUE"""),45913.0)</f>
        <v>45913</v>
      </c>
      <c r="I7180" s="115" t="str">
        <f>IFERROR(__xludf.DUMMYFUNCTION("""COMPUTED_VALUE"""),"14")</f>
        <v>14</v>
      </c>
      <c r="J7180" s="115"/>
      <c r="K7180" s="115"/>
    </row>
    <row r="7181">
      <c r="A7181" s="115" t="str">
        <f>IFERROR(__xludf.DUMMYFUNCTION("""COMPUTED_VALUE"""),"NORTH")</f>
        <v>NORTH</v>
      </c>
      <c r="B7181" s="115" t="str">
        <f>IFERROR(__xludf.DUMMYFUNCTION("""COMPUTED_VALUE"""),"Manoj Harsh")</f>
        <v>Manoj Harsh</v>
      </c>
      <c r="C7181" s="115" t="str">
        <f>IFERROR(__xludf.DUMMYFUNCTION("""COMPUTED_VALUE"""),"FLIPKART")</f>
        <v>FLIPKART</v>
      </c>
      <c r="D7181" s="115">
        <f>IFERROR(__xludf.DUMMYFUNCTION("""COMPUTED_VALUE"""),470612.0)</f>
        <v>470612</v>
      </c>
      <c r="E7181" s="115">
        <f>IFERROR(__xludf.DUMMYFUNCTION("""COMPUTED_VALUE"""),38277.0)</f>
        <v>38277</v>
      </c>
      <c r="F7181" s="115">
        <f>IFERROR(__xludf.DUMMYFUNCTION("""COMPUTED_VALUE"""),200866.0)</f>
        <v>200866</v>
      </c>
      <c r="G7181" s="115">
        <f>IFERROR(__xludf.DUMMYFUNCTION("""COMPUTED_VALUE"""),5787.0)</f>
        <v>5787</v>
      </c>
      <c r="H7181" s="116">
        <f>IFERROR(__xludf.DUMMYFUNCTION("""COMPUTED_VALUE"""),45913.0)</f>
        <v>45913</v>
      </c>
      <c r="I7181" s="115" t="str">
        <f>IFERROR(__xludf.DUMMYFUNCTION("""COMPUTED_VALUE"""),"14")</f>
        <v>14</v>
      </c>
      <c r="J7181" s="115"/>
      <c r="K7181" s="115"/>
    </row>
    <row r="7182">
      <c r="A7182" s="115" t="str">
        <f>IFERROR(__xludf.DUMMYFUNCTION("""COMPUTED_VALUE"""),"NORTH")</f>
        <v>NORTH</v>
      </c>
      <c r="B7182" s="115" t="str">
        <f>IFERROR(__xludf.DUMMYFUNCTION("""COMPUTED_VALUE"""),"Manoj Harsh")</f>
        <v>Manoj Harsh</v>
      </c>
      <c r="C7182" s="115" t="str">
        <f>IFERROR(__xludf.DUMMYFUNCTION("""COMPUTED_VALUE"""),"MYNTRA")</f>
        <v>MYNTRA</v>
      </c>
      <c r="D7182" s="115">
        <f>IFERROR(__xludf.DUMMYFUNCTION("""COMPUTED_VALUE"""),35545.0)</f>
        <v>35545</v>
      </c>
      <c r="E7182" s="115">
        <f>IFERROR(__xludf.DUMMYFUNCTION("""COMPUTED_VALUE"""),6852.0)</f>
        <v>6852</v>
      </c>
      <c r="F7182" s="115">
        <f>IFERROR(__xludf.DUMMYFUNCTION("""COMPUTED_VALUE"""),17562.0)</f>
        <v>17562</v>
      </c>
      <c r="G7182" s="115">
        <f>IFERROR(__xludf.DUMMYFUNCTION("""COMPUTED_VALUE"""),1272.0)</f>
        <v>1272</v>
      </c>
      <c r="H7182" s="116">
        <f>IFERROR(__xludf.DUMMYFUNCTION("""COMPUTED_VALUE"""),45913.0)</f>
        <v>45913</v>
      </c>
      <c r="I7182" s="115" t="str">
        <f>IFERROR(__xludf.DUMMYFUNCTION("""COMPUTED_VALUE"""),"14")</f>
        <v>14</v>
      </c>
      <c r="J7182" s="115"/>
      <c r="K7182" s="115"/>
    </row>
    <row r="7183">
      <c r="A7183" s="115" t="str">
        <f>IFERROR(__xludf.DUMMYFUNCTION("""COMPUTED_VALUE"""),"NORTH")</f>
        <v>NORTH</v>
      </c>
      <c r="B7183" s="115" t="str">
        <f>IFERROR(__xludf.DUMMYFUNCTION("""COMPUTED_VALUE"""),"Pradeep Kothari")</f>
        <v>Pradeep Kothari</v>
      </c>
      <c r="C7183" s="115" t="str">
        <f>IFERROR(__xludf.DUMMYFUNCTION("""COMPUTED_VALUE"""),"EXTERNAL")</f>
        <v>EXTERNAL</v>
      </c>
      <c r="D7183" s="115">
        <f>IFERROR(__xludf.DUMMYFUNCTION("""COMPUTED_VALUE"""),19206.0)</f>
        <v>19206</v>
      </c>
      <c r="E7183" s="115">
        <f>IFERROR(__xludf.DUMMYFUNCTION("""COMPUTED_VALUE"""),1377.0)</f>
        <v>1377</v>
      </c>
      <c r="F7183" s="115">
        <f>IFERROR(__xludf.DUMMYFUNCTION("""COMPUTED_VALUE"""),5511.0)</f>
        <v>5511</v>
      </c>
      <c r="G7183" s="115">
        <f>IFERROR(__xludf.DUMMYFUNCTION("""COMPUTED_VALUE"""),284.0)</f>
        <v>284</v>
      </c>
      <c r="H7183" s="116">
        <f>IFERROR(__xludf.DUMMYFUNCTION("""COMPUTED_VALUE"""),45913.0)</f>
        <v>45913</v>
      </c>
      <c r="I7183" s="115" t="str">
        <f>IFERROR(__xludf.DUMMYFUNCTION("""COMPUTED_VALUE"""),"14")</f>
        <v>14</v>
      </c>
      <c r="J7183" s="115"/>
      <c r="K7183" s="115"/>
    </row>
    <row r="7184">
      <c r="A7184" s="115" t="str">
        <f>IFERROR(__xludf.DUMMYFUNCTION("""COMPUTED_VALUE"""),"NORTH")</f>
        <v>NORTH</v>
      </c>
      <c r="B7184" s="115" t="str">
        <f>IFERROR(__xludf.DUMMYFUNCTION("""COMPUTED_VALUE"""),"Pradeep Kothari")</f>
        <v>Pradeep Kothari</v>
      </c>
      <c r="C7184" s="115" t="str">
        <f>IFERROR(__xludf.DUMMYFUNCTION("""COMPUTED_VALUE"""),"FLIPKART")</f>
        <v>FLIPKART</v>
      </c>
      <c r="D7184" s="115">
        <f>IFERROR(__xludf.DUMMYFUNCTION("""COMPUTED_VALUE"""),174428.0)</f>
        <v>174428</v>
      </c>
      <c r="E7184" s="115">
        <f>IFERROR(__xludf.DUMMYFUNCTION("""COMPUTED_VALUE"""),17449.0)</f>
        <v>17449</v>
      </c>
      <c r="F7184" s="115">
        <f>IFERROR(__xludf.DUMMYFUNCTION("""COMPUTED_VALUE"""),90468.0)</f>
        <v>90468</v>
      </c>
      <c r="G7184" s="115">
        <f>IFERROR(__xludf.DUMMYFUNCTION("""COMPUTED_VALUE"""),4643.0)</f>
        <v>4643</v>
      </c>
      <c r="H7184" s="116">
        <f>IFERROR(__xludf.DUMMYFUNCTION("""COMPUTED_VALUE"""),45913.0)</f>
        <v>45913</v>
      </c>
      <c r="I7184" s="115" t="str">
        <f>IFERROR(__xludf.DUMMYFUNCTION("""COMPUTED_VALUE"""),"14")</f>
        <v>14</v>
      </c>
      <c r="J7184" s="115"/>
      <c r="K7184" s="115"/>
    </row>
    <row r="7185">
      <c r="A7185" s="115" t="str">
        <f>IFERROR(__xludf.DUMMYFUNCTION("""COMPUTED_VALUE"""),"NORTH")</f>
        <v>NORTH</v>
      </c>
      <c r="B7185" s="115" t="str">
        <f>IFERROR(__xludf.DUMMYFUNCTION("""COMPUTED_VALUE"""),"Pradeep Kothari")</f>
        <v>Pradeep Kothari</v>
      </c>
      <c r="C7185" s="115" t="str">
        <f>IFERROR(__xludf.DUMMYFUNCTION("""COMPUTED_VALUE"""),"MYNTRA")</f>
        <v>MYNTRA</v>
      </c>
      <c r="D7185" s="115">
        <f>IFERROR(__xludf.DUMMYFUNCTION("""COMPUTED_VALUE"""),26769.0)</f>
        <v>26769</v>
      </c>
      <c r="E7185" s="115">
        <f>IFERROR(__xludf.DUMMYFUNCTION("""COMPUTED_VALUE"""),6006.0)</f>
        <v>6006</v>
      </c>
      <c r="F7185" s="115">
        <f>IFERROR(__xludf.DUMMYFUNCTION("""COMPUTED_VALUE"""),16554.0)</f>
        <v>16554</v>
      </c>
      <c r="G7185" s="115">
        <f>IFERROR(__xludf.DUMMYFUNCTION("""COMPUTED_VALUE"""),1824.0)</f>
        <v>1824</v>
      </c>
      <c r="H7185" s="116">
        <f>IFERROR(__xludf.DUMMYFUNCTION("""COMPUTED_VALUE"""),45913.0)</f>
        <v>45913</v>
      </c>
      <c r="I7185" s="115" t="str">
        <f>IFERROR(__xludf.DUMMYFUNCTION("""COMPUTED_VALUE"""),"14")</f>
        <v>14</v>
      </c>
      <c r="J7185" s="115"/>
      <c r="K7185" s="115"/>
    </row>
    <row r="7186">
      <c r="A7186" s="115" t="str">
        <f>IFERROR(__xludf.DUMMYFUNCTION("""COMPUTED_VALUE"""),"SOUTH")</f>
        <v>SOUTH</v>
      </c>
      <c r="B7186" s="115" t="str">
        <f>IFERROR(__xludf.DUMMYFUNCTION("""COMPUTED_VALUE"""),"Kandula Sampath")</f>
        <v>Kandula Sampath</v>
      </c>
      <c r="C7186" s="115" t="str">
        <f>IFERROR(__xludf.DUMMYFUNCTION("""COMPUTED_VALUE"""),"EXTERNAL")</f>
        <v>EXTERNAL</v>
      </c>
      <c r="D7186" s="115">
        <f>IFERROR(__xludf.DUMMYFUNCTION("""COMPUTED_VALUE"""),33300.0)</f>
        <v>33300</v>
      </c>
      <c r="E7186" s="115">
        <f>IFERROR(__xludf.DUMMYFUNCTION("""COMPUTED_VALUE"""),3272.0)</f>
        <v>3272</v>
      </c>
      <c r="F7186" s="115">
        <f>IFERROR(__xludf.DUMMYFUNCTION("""COMPUTED_VALUE"""),9241.0)</f>
        <v>9241</v>
      </c>
      <c r="G7186" s="115">
        <f>IFERROR(__xludf.DUMMYFUNCTION("""COMPUTED_VALUE"""),403.0)</f>
        <v>403</v>
      </c>
      <c r="H7186" s="116">
        <f>IFERROR(__xludf.DUMMYFUNCTION("""COMPUTED_VALUE"""),45913.0)</f>
        <v>45913</v>
      </c>
      <c r="I7186" s="115" t="str">
        <f>IFERROR(__xludf.DUMMYFUNCTION("""COMPUTED_VALUE"""),"14")</f>
        <v>14</v>
      </c>
      <c r="J7186" s="115"/>
      <c r="K7186" s="115"/>
    </row>
    <row r="7187">
      <c r="A7187" s="115" t="str">
        <f>IFERROR(__xludf.DUMMYFUNCTION("""COMPUTED_VALUE"""),"SOUTH")</f>
        <v>SOUTH</v>
      </c>
      <c r="B7187" s="115" t="str">
        <f>IFERROR(__xludf.DUMMYFUNCTION("""COMPUTED_VALUE"""),"Kandula Sampath")</f>
        <v>Kandula Sampath</v>
      </c>
      <c r="C7187" s="115" t="str">
        <f>IFERROR(__xludf.DUMMYFUNCTION("""COMPUTED_VALUE"""),"FLIPKART")</f>
        <v>FLIPKART</v>
      </c>
      <c r="D7187" s="115">
        <f>IFERROR(__xludf.DUMMYFUNCTION("""COMPUTED_VALUE"""),410658.0)</f>
        <v>410658</v>
      </c>
      <c r="E7187" s="115">
        <f>IFERROR(__xludf.DUMMYFUNCTION("""COMPUTED_VALUE"""),31566.0)</f>
        <v>31566</v>
      </c>
      <c r="F7187" s="115">
        <f>IFERROR(__xludf.DUMMYFUNCTION("""COMPUTED_VALUE"""),195493.0)</f>
        <v>195493</v>
      </c>
      <c r="G7187" s="115">
        <f>IFERROR(__xludf.DUMMYFUNCTION("""COMPUTED_VALUE"""),4817.0)</f>
        <v>4817</v>
      </c>
      <c r="H7187" s="116">
        <f>IFERROR(__xludf.DUMMYFUNCTION("""COMPUTED_VALUE"""),45913.0)</f>
        <v>45913</v>
      </c>
      <c r="I7187" s="115" t="str">
        <f>IFERROR(__xludf.DUMMYFUNCTION("""COMPUTED_VALUE"""),"14")</f>
        <v>14</v>
      </c>
      <c r="J7187" s="115"/>
      <c r="K7187" s="115"/>
    </row>
    <row r="7188">
      <c r="A7188" s="115" t="str">
        <f>IFERROR(__xludf.DUMMYFUNCTION("""COMPUTED_VALUE"""),"SOUTH")</f>
        <v>SOUTH</v>
      </c>
      <c r="B7188" s="115" t="str">
        <f>IFERROR(__xludf.DUMMYFUNCTION("""COMPUTED_VALUE"""),"Kandula Sampath")</f>
        <v>Kandula Sampath</v>
      </c>
      <c r="C7188" s="115" t="str">
        <f>IFERROR(__xludf.DUMMYFUNCTION("""COMPUTED_VALUE"""),"MYNTRA")</f>
        <v>MYNTRA</v>
      </c>
      <c r="D7188" s="115">
        <f>IFERROR(__xludf.DUMMYFUNCTION("""COMPUTED_VALUE"""),41271.0)</f>
        <v>41271</v>
      </c>
      <c r="E7188" s="115">
        <f>IFERROR(__xludf.DUMMYFUNCTION("""COMPUTED_VALUE"""),8931.0)</f>
        <v>8931</v>
      </c>
      <c r="F7188" s="115">
        <f>IFERROR(__xludf.DUMMYFUNCTION("""COMPUTED_VALUE"""),21766.0)</f>
        <v>21766</v>
      </c>
      <c r="G7188" s="115">
        <f>IFERROR(__xludf.DUMMYFUNCTION("""COMPUTED_VALUE"""),1397.0)</f>
        <v>1397</v>
      </c>
      <c r="H7188" s="116">
        <f>IFERROR(__xludf.DUMMYFUNCTION("""COMPUTED_VALUE"""),45913.0)</f>
        <v>45913</v>
      </c>
      <c r="I7188" s="115" t="str">
        <f>IFERROR(__xludf.DUMMYFUNCTION("""COMPUTED_VALUE"""),"14")</f>
        <v>14</v>
      </c>
      <c r="J7188" s="115"/>
      <c r="K7188" s="115"/>
    </row>
    <row r="7189">
      <c r="A7189" s="115" t="str">
        <f>IFERROR(__xludf.DUMMYFUNCTION("""COMPUTED_VALUE"""),"SOUTH")</f>
        <v>SOUTH</v>
      </c>
      <c r="B7189" s="115" t="str">
        <f>IFERROR(__xludf.DUMMYFUNCTION("""COMPUTED_VALUE"""),"Martin A")</f>
        <v>Martin A</v>
      </c>
      <c r="C7189" s="115" t="str">
        <f>IFERROR(__xludf.DUMMYFUNCTION("""COMPUTED_VALUE"""),"EXTERNAL")</f>
        <v>EXTERNAL</v>
      </c>
      <c r="D7189" s="115">
        <f>IFERROR(__xludf.DUMMYFUNCTION("""COMPUTED_VALUE"""),28138.0)</f>
        <v>28138</v>
      </c>
      <c r="E7189" s="115">
        <f>IFERROR(__xludf.DUMMYFUNCTION("""COMPUTED_VALUE"""),3048.0)</f>
        <v>3048</v>
      </c>
      <c r="F7189" s="115">
        <f>IFERROR(__xludf.DUMMYFUNCTION("""COMPUTED_VALUE"""),7719.0)</f>
        <v>7719</v>
      </c>
      <c r="G7189" s="115">
        <f>IFERROR(__xludf.DUMMYFUNCTION("""COMPUTED_VALUE"""),551.0)</f>
        <v>551</v>
      </c>
      <c r="H7189" s="116">
        <f>IFERROR(__xludf.DUMMYFUNCTION("""COMPUTED_VALUE"""),45913.0)</f>
        <v>45913</v>
      </c>
      <c r="I7189" s="115" t="str">
        <f>IFERROR(__xludf.DUMMYFUNCTION("""COMPUTED_VALUE"""),"14")</f>
        <v>14</v>
      </c>
      <c r="J7189" s="115"/>
      <c r="K7189" s="115"/>
    </row>
    <row r="7190">
      <c r="A7190" s="115" t="str">
        <f>IFERROR(__xludf.DUMMYFUNCTION("""COMPUTED_VALUE"""),"SOUTH")</f>
        <v>SOUTH</v>
      </c>
      <c r="B7190" s="115" t="str">
        <f>IFERROR(__xludf.DUMMYFUNCTION("""COMPUTED_VALUE"""),"Martin A")</f>
        <v>Martin A</v>
      </c>
      <c r="C7190" s="115" t="str">
        <f>IFERROR(__xludf.DUMMYFUNCTION("""COMPUTED_VALUE"""),"FLIPKART")</f>
        <v>FLIPKART</v>
      </c>
      <c r="D7190" s="115">
        <f>IFERROR(__xludf.DUMMYFUNCTION("""COMPUTED_VALUE"""),315600.0)</f>
        <v>315600</v>
      </c>
      <c r="E7190" s="115">
        <f>IFERROR(__xludf.DUMMYFUNCTION("""COMPUTED_VALUE"""),26618.0)</f>
        <v>26618</v>
      </c>
      <c r="F7190" s="115">
        <f>IFERROR(__xludf.DUMMYFUNCTION("""COMPUTED_VALUE"""),154613.0)</f>
        <v>154613</v>
      </c>
      <c r="G7190" s="115">
        <f>IFERROR(__xludf.DUMMYFUNCTION("""COMPUTED_VALUE"""),5227.0)</f>
        <v>5227</v>
      </c>
      <c r="H7190" s="116">
        <f>IFERROR(__xludf.DUMMYFUNCTION("""COMPUTED_VALUE"""),45913.0)</f>
        <v>45913</v>
      </c>
      <c r="I7190" s="115" t="str">
        <f>IFERROR(__xludf.DUMMYFUNCTION("""COMPUTED_VALUE"""),"14")</f>
        <v>14</v>
      </c>
      <c r="J7190" s="115"/>
      <c r="K7190" s="115"/>
    </row>
    <row r="7191">
      <c r="A7191" s="115" t="str">
        <f>IFERROR(__xludf.DUMMYFUNCTION("""COMPUTED_VALUE"""),"SOUTH")</f>
        <v>SOUTH</v>
      </c>
      <c r="B7191" s="115" t="str">
        <f>IFERROR(__xludf.DUMMYFUNCTION("""COMPUTED_VALUE"""),"Martin A")</f>
        <v>Martin A</v>
      </c>
      <c r="C7191" s="115" t="str">
        <f>IFERROR(__xludf.DUMMYFUNCTION("""COMPUTED_VALUE"""),"MYNTRA")</f>
        <v>MYNTRA</v>
      </c>
      <c r="D7191" s="115">
        <f>IFERROR(__xludf.DUMMYFUNCTION("""COMPUTED_VALUE"""),27048.0)</f>
        <v>27048</v>
      </c>
      <c r="E7191" s="115">
        <f>IFERROR(__xludf.DUMMYFUNCTION("""COMPUTED_VALUE"""),6693.0)</f>
        <v>6693</v>
      </c>
      <c r="F7191" s="115">
        <f>IFERROR(__xludf.DUMMYFUNCTION("""COMPUTED_VALUE"""),15551.0)</f>
        <v>15551</v>
      </c>
      <c r="G7191" s="115">
        <f>IFERROR(__xludf.DUMMYFUNCTION("""COMPUTED_VALUE"""),1547.0)</f>
        <v>1547</v>
      </c>
      <c r="H7191" s="116">
        <f>IFERROR(__xludf.DUMMYFUNCTION("""COMPUTED_VALUE"""),45913.0)</f>
        <v>45913</v>
      </c>
      <c r="I7191" s="115" t="str">
        <f>IFERROR(__xludf.DUMMYFUNCTION("""COMPUTED_VALUE"""),"14")</f>
        <v>14</v>
      </c>
      <c r="J7191" s="115"/>
      <c r="K7191" s="115"/>
    </row>
    <row r="7192">
      <c r="A7192" s="115" t="str">
        <f>IFERROR(__xludf.DUMMYFUNCTION("""COMPUTED_VALUE"""),"SOUTH")</f>
        <v>SOUTH</v>
      </c>
      <c r="B7192" s="115" t="str">
        <f>IFERROR(__xludf.DUMMYFUNCTION("""COMPUTED_VALUE"""),"Premkumar M")</f>
        <v>Premkumar M</v>
      </c>
      <c r="C7192" s="115" t="str">
        <f>IFERROR(__xludf.DUMMYFUNCTION("""COMPUTED_VALUE"""),"EXTERNAL")</f>
        <v>EXTERNAL</v>
      </c>
      <c r="D7192" s="115">
        <f>IFERROR(__xludf.DUMMYFUNCTION("""COMPUTED_VALUE"""),26632.0)</f>
        <v>26632</v>
      </c>
      <c r="E7192" s="115">
        <f>IFERROR(__xludf.DUMMYFUNCTION("""COMPUTED_VALUE"""),1414.0)</f>
        <v>1414</v>
      </c>
      <c r="F7192" s="115">
        <f>IFERROR(__xludf.DUMMYFUNCTION("""COMPUTED_VALUE"""),5968.0)</f>
        <v>5968</v>
      </c>
      <c r="G7192" s="115">
        <f>IFERROR(__xludf.DUMMYFUNCTION("""COMPUTED_VALUE"""),52.0)</f>
        <v>52</v>
      </c>
      <c r="H7192" s="116">
        <f>IFERROR(__xludf.DUMMYFUNCTION("""COMPUTED_VALUE"""),45913.0)</f>
        <v>45913</v>
      </c>
      <c r="I7192" s="115" t="str">
        <f>IFERROR(__xludf.DUMMYFUNCTION("""COMPUTED_VALUE"""),"14")</f>
        <v>14</v>
      </c>
      <c r="J7192" s="115"/>
      <c r="K7192" s="115"/>
    </row>
    <row r="7193">
      <c r="A7193" s="115" t="str">
        <f>IFERROR(__xludf.DUMMYFUNCTION("""COMPUTED_VALUE"""),"SOUTH")</f>
        <v>SOUTH</v>
      </c>
      <c r="B7193" s="115" t="str">
        <f>IFERROR(__xludf.DUMMYFUNCTION("""COMPUTED_VALUE"""),"Premkumar M")</f>
        <v>Premkumar M</v>
      </c>
      <c r="C7193" s="115" t="str">
        <f>IFERROR(__xludf.DUMMYFUNCTION("""COMPUTED_VALUE"""),"FLIPKART")</f>
        <v>FLIPKART</v>
      </c>
      <c r="D7193" s="115">
        <f>IFERROR(__xludf.DUMMYFUNCTION("""COMPUTED_VALUE"""),307917.0)</f>
        <v>307917</v>
      </c>
      <c r="E7193" s="115">
        <f>IFERROR(__xludf.DUMMYFUNCTION("""COMPUTED_VALUE"""),16586.0)</f>
        <v>16586</v>
      </c>
      <c r="F7193" s="115">
        <f>IFERROR(__xludf.DUMMYFUNCTION("""COMPUTED_VALUE"""),113366.0)</f>
        <v>113366</v>
      </c>
      <c r="G7193" s="115">
        <f>IFERROR(__xludf.DUMMYFUNCTION("""COMPUTED_VALUE"""),1006.0)</f>
        <v>1006</v>
      </c>
      <c r="H7193" s="116">
        <f>IFERROR(__xludf.DUMMYFUNCTION("""COMPUTED_VALUE"""),45913.0)</f>
        <v>45913</v>
      </c>
      <c r="I7193" s="115" t="str">
        <f>IFERROR(__xludf.DUMMYFUNCTION("""COMPUTED_VALUE"""),"14")</f>
        <v>14</v>
      </c>
      <c r="J7193" s="115"/>
      <c r="K7193" s="115"/>
    </row>
    <row r="7194">
      <c r="A7194" s="115" t="str">
        <f>IFERROR(__xludf.DUMMYFUNCTION("""COMPUTED_VALUE"""),"SOUTH")</f>
        <v>SOUTH</v>
      </c>
      <c r="B7194" s="115" t="str">
        <f>IFERROR(__xludf.DUMMYFUNCTION("""COMPUTED_VALUE"""),"Premkumar M")</f>
        <v>Premkumar M</v>
      </c>
      <c r="C7194" s="115" t="str">
        <f>IFERROR(__xludf.DUMMYFUNCTION("""COMPUTED_VALUE"""),"MYNTRA")</f>
        <v>MYNTRA</v>
      </c>
      <c r="D7194" s="115">
        <f>IFERROR(__xludf.DUMMYFUNCTION("""COMPUTED_VALUE"""),15206.0)</f>
        <v>15206</v>
      </c>
      <c r="E7194" s="115">
        <f>IFERROR(__xludf.DUMMYFUNCTION("""COMPUTED_VALUE"""),2787.0)</f>
        <v>2787</v>
      </c>
      <c r="F7194" s="115">
        <f>IFERROR(__xludf.DUMMYFUNCTION("""COMPUTED_VALUE"""),6511.0)</f>
        <v>6511</v>
      </c>
      <c r="G7194" s="115">
        <f>IFERROR(__xludf.DUMMYFUNCTION("""COMPUTED_VALUE"""),180.0)</f>
        <v>180</v>
      </c>
      <c r="H7194" s="116">
        <f>IFERROR(__xludf.DUMMYFUNCTION("""COMPUTED_VALUE"""),45913.0)</f>
        <v>45913</v>
      </c>
      <c r="I7194" s="115" t="str">
        <f>IFERROR(__xludf.DUMMYFUNCTION("""COMPUTED_VALUE"""),"14")</f>
        <v>14</v>
      </c>
      <c r="J7194" s="115"/>
      <c r="K7194" s="115"/>
    </row>
    <row r="7195">
      <c r="A7195" s="115" t="str">
        <f>IFERROR(__xludf.DUMMYFUNCTION("""COMPUTED_VALUE"""),"SOUTH")</f>
        <v>SOUTH</v>
      </c>
      <c r="B7195" s="115" t="str">
        <f>IFERROR(__xludf.DUMMYFUNCTION("""COMPUTED_VALUE"""),"Vineeth V")</f>
        <v>Vineeth V</v>
      </c>
      <c r="C7195" s="115" t="str">
        <f>IFERROR(__xludf.DUMMYFUNCTION("""COMPUTED_VALUE"""),"EXTERNAL")</f>
        <v>EXTERNAL</v>
      </c>
      <c r="D7195" s="115">
        <f>IFERROR(__xludf.DUMMYFUNCTION("""COMPUTED_VALUE"""),20059.0)</f>
        <v>20059</v>
      </c>
      <c r="E7195" s="115">
        <f>IFERROR(__xludf.DUMMYFUNCTION("""COMPUTED_VALUE"""),467.0)</f>
        <v>467</v>
      </c>
      <c r="F7195" s="115">
        <f>IFERROR(__xludf.DUMMYFUNCTION("""COMPUTED_VALUE"""),5244.0)</f>
        <v>5244</v>
      </c>
      <c r="G7195" s="115">
        <f>IFERROR(__xludf.DUMMYFUNCTION("""COMPUTED_VALUE"""),28.0)</f>
        <v>28</v>
      </c>
      <c r="H7195" s="116">
        <f>IFERROR(__xludf.DUMMYFUNCTION("""COMPUTED_VALUE"""),45913.0)</f>
        <v>45913</v>
      </c>
      <c r="I7195" s="115" t="str">
        <f>IFERROR(__xludf.DUMMYFUNCTION("""COMPUTED_VALUE"""),"14")</f>
        <v>14</v>
      </c>
      <c r="J7195" s="115"/>
      <c r="K7195" s="115"/>
    </row>
    <row r="7196">
      <c r="A7196" s="115" t="str">
        <f>IFERROR(__xludf.DUMMYFUNCTION("""COMPUTED_VALUE"""),"SOUTH")</f>
        <v>SOUTH</v>
      </c>
      <c r="B7196" s="115" t="str">
        <f>IFERROR(__xludf.DUMMYFUNCTION("""COMPUTED_VALUE"""),"Vineeth V")</f>
        <v>Vineeth V</v>
      </c>
      <c r="C7196" s="115" t="str">
        <f>IFERROR(__xludf.DUMMYFUNCTION("""COMPUTED_VALUE"""),"FLIPKART")</f>
        <v>FLIPKART</v>
      </c>
      <c r="D7196" s="115">
        <f>IFERROR(__xludf.DUMMYFUNCTION("""COMPUTED_VALUE"""),215646.0)</f>
        <v>215646</v>
      </c>
      <c r="E7196" s="115">
        <f>IFERROR(__xludf.DUMMYFUNCTION("""COMPUTED_VALUE"""),12778.0)</f>
        <v>12778</v>
      </c>
      <c r="F7196" s="115">
        <f>IFERROR(__xludf.DUMMYFUNCTION("""COMPUTED_VALUE"""),91116.0)</f>
        <v>91116</v>
      </c>
      <c r="G7196" s="115">
        <f>IFERROR(__xludf.DUMMYFUNCTION("""COMPUTED_VALUE"""),860.0)</f>
        <v>860</v>
      </c>
      <c r="H7196" s="116">
        <f>IFERROR(__xludf.DUMMYFUNCTION("""COMPUTED_VALUE"""),45913.0)</f>
        <v>45913</v>
      </c>
      <c r="I7196" s="115" t="str">
        <f>IFERROR(__xludf.DUMMYFUNCTION("""COMPUTED_VALUE"""),"14")</f>
        <v>14</v>
      </c>
      <c r="J7196" s="115"/>
      <c r="K7196" s="115"/>
    </row>
    <row r="7197">
      <c r="A7197" s="115" t="str">
        <f>IFERROR(__xludf.DUMMYFUNCTION("""COMPUTED_VALUE"""),"SOUTH")</f>
        <v>SOUTH</v>
      </c>
      <c r="B7197" s="115" t="str">
        <f>IFERROR(__xludf.DUMMYFUNCTION("""COMPUTED_VALUE"""),"Vineeth V")</f>
        <v>Vineeth V</v>
      </c>
      <c r="C7197" s="115" t="str">
        <f>IFERROR(__xludf.DUMMYFUNCTION("""COMPUTED_VALUE"""),"MYNTRA")</f>
        <v>MYNTRA</v>
      </c>
      <c r="D7197" s="115">
        <f>IFERROR(__xludf.DUMMYFUNCTION("""COMPUTED_VALUE"""),16670.0)</f>
        <v>16670</v>
      </c>
      <c r="E7197" s="115">
        <f>IFERROR(__xludf.DUMMYFUNCTION("""COMPUTED_VALUE"""),2993.0)</f>
        <v>2993</v>
      </c>
      <c r="F7197" s="115">
        <f>IFERROR(__xludf.DUMMYFUNCTION("""COMPUTED_VALUE"""),7574.0)</f>
        <v>7574</v>
      </c>
      <c r="G7197" s="115">
        <f>IFERROR(__xludf.DUMMYFUNCTION("""COMPUTED_VALUE"""),205.0)</f>
        <v>205</v>
      </c>
      <c r="H7197" s="116">
        <f>IFERROR(__xludf.DUMMYFUNCTION("""COMPUTED_VALUE"""),45913.0)</f>
        <v>45913</v>
      </c>
      <c r="I7197" s="115" t="str">
        <f>IFERROR(__xludf.DUMMYFUNCTION("""COMPUTED_VALUE"""),"14")</f>
        <v>14</v>
      </c>
      <c r="J7197" s="115"/>
      <c r="K7197" s="115"/>
    </row>
    <row r="7198">
      <c r="A7198" s="115" t="str">
        <f>IFERROR(__xludf.DUMMYFUNCTION("""COMPUTED_VALUE"""),"WEST")</f>
        <v>WEST</v>
      </c>
      <c r="B7198" s="115" t="str">
        <f>IFERROR(__xludf.DUMMYFUNCTION("""COMPUTED_VALUE"""),"Ashish Jakar")</f>
        <v>Ashish Jakar</v>
      </c>
      <c r="C7198" s="115" t="str">
        <f>IFERROR(__xludf.DUMMYFUNCTION("""COMPUTED_VALUE"""),"EXTERNAL")</f>
        <v>EXTERNAL</v>
      </c>
      <c r="D7198" s="115">
        <f>IFERROR(__xludf.DUMMYFUNCTION("""COMPUTED_VALUE"""),58330.0)</f>
        <v>58330</v>
      </c>
      <c r="E7198" s="115">
        <f>IFERROR(__xludf.DUMMYFUNCTION("""COMPUTED_VALUE"""),5480.0)</f>
        <v>5480</v>
      </c>
      <c r="F7198" s="115">
        <f>IFERROR(__xludf.DUMMYFUNCTION("""COMPUTED_VALUE"""),13694.0)</f>
        <v>13694</v>
      </c>
      <c r="G7198" s="115">
        <f>IFERROR(__xludf.DUMMYFUNCTION("""COMPUTED_VALUE"""),940.0)</f>
        <v>940</v>
      </c>
      <c r="H7198" s="116">
        <f>IFERROR(__xludf.DUMMYFUNCTION("""COMPUTED_VALUE"""),45913.0)</f>
        <v>45913</v>
      </c>
      <c r="I7198" s="115" t="str">
        <f>IFERROR(__xludf.DUMMYFUNCTION("""COMPUTED_VALUE"""),"14")</f>
        <v>14</v>
      </c>
      <c r="J7198" s="115"/>
      <c r="K7198" s="115"/>
    </row>
    <row r="7199">
      <c r="A7199" s="115" t="str">
        <f>IFERROR(__xludf.DUMMYFUNCTION("""COMPUTED_VALUE"""),"WEST")</f>
        <v>WEST</v>
      </c>
      <c r="B7199" s="115" t="str">
        <f>IFERROR(__xludf.DUMMYFUNCTION("""COMPUTED_VALUE"""),"Ashish Jakar")</f>
        <v>Ashish Jakar</v>
      </c>
      <c r="C7199" s="115" t="str">
        <f>IFERROR(__xludf.DUMMYFUNCTION("""COMPUTED_VALUE"""),"FLIPKART")</f>
        <v>FLIPKART</v>
      </c>
      <c r="D7199" s="115">
        <f>IFERROR(__xludf.DUMMYFUNCTION("""COMPUTED_VALUE"""),460151.0)</f>
        <v>460151</v>
      </c>
      <c r="E7199" s="115">
        <f>IFERROR(__xludf.DUMMYFUNCTION("""COMPUTED_VALUE"""),35937.0)</f>
        <v>35937</v>
      </c>
      <c r="F7199" s="115">
        <f>IFERROR(__xludf.DUMMYFUNCTION("""COMPUTED_VALUE"""),181257.0)</f>
        <v>181257</v>
      </c>
      <c r="G7199" s="115">
        <f>IFERROR(__xludf.DUMMYFUNCTION("""COMPUTED_VALUE"""),6096.0)</f>
        <v>6096</v>
      </c>
      <c r="H7199" s="116">
        <f>IFERROR(__xludf.DUMMYFUNCTION("""COMPUTED_VALUE"""),45913.0)</f>
        <v>45913</v>
      </c>
      <c r="I7199" s="115" t="str">
        <f>IFERROR(__xludf.DUMMYFUNCTION("""COMPUTED_VALUE"""),"14")</f>
        <v>14</v>
      </c>
      <c r="J7199" s="115"/>
      <c r="K7199" s="115"/>
    </row>
    <row r="7200">
      <c r="A7200" s="115" t="str">
        <f>IFERROR(__xludf.DUMMYFUNCTION("""COMPUTED_VALUE"""),"WEST")</f>
        <v>WEST</v>
      </c>
      <c r="B7200" s="115" t="str">
        <f>IFERROR(__xludf.DUMMYFUNCTION("""COMPUTED_VALUE"""),"Ashish Jakar")</f>
        <v>Ashish Jakar</v>
      </c>
      <c r="C7200" s="115" t="str">
        <f>IFERROR(__xludf.DUMMYFUNCTION("""COMPUTED_VALUE"""),"MYNTRA")</f>
        <v>MYNTRA</v>
      </c>
      <c r="D7200" s="115">
        <f>IFERROR(__xludf.DUMMYFUNCTION("""COMPUTED_VALUE"""),46315.0)</f>
        <v>46315</v>
      </c>
      <c r="E7200" s="115">
        <f>IFERROR(__xludf.DUMMYFUNCTION("""COMPUTED_VALUE"""),11245.0)</f>
        <v>11245</v>
      </c>
      <c r="F7200" s="115">
        <f>IFERROR(__xludf.DUMMYFUNCTION("""COMPUTED_VALUE"""),21255.0)</f>
        <v>21255</v>
      </c>
      <c r="G7200" s="115">
        <f>IFERROR(__xludf.DUMMYFUNCTION("""COMPUTED_VALUE"""),2215.0)</f>
        <v>2215</v>
      </c>
      <c r="H7200" s="116">
        <f>IFERROR(__xludf.DUMMYFUNCTION("""COMPUTED_VALUE"""),45913.0)</f>
        <v>45913</v>
      </c>
      <c r="I7200" s="115" t="str">
        <f>IFERROR(__xludf.DUMMYFUNCTION("""COMPUTED_VALUE"""),"14")</f>
        <v>14</v>
      </c>
      <c r="J7200" s="115"/>
      <c r="K7200" s="115"/>
    </row>
    <row r="7201">
      <c r="A7201" s="115" t="str">
        <f>IFERROR(__xludf.DUMMYFUNCTION("""COMPUTED_VALUE"""),"WEST")</f>
        <v>WEST</v>
      </c>
      <c r="B7201" s="115" t="str">
        <f>IFERROR(__xludf.DUMMYFUNCTION("""COMPUTED_VALUE"""),"Ashvani Bhatt")</f>
        <v>Ashvani Bhatt</v>
      </c>
      <c r="C7201" s="115" t="str">
        <f>IFERROR(__xludf.DUMMYFUNCTION("""COMPUTED_VALUE"""),"EXTERNAL")</f>
        <v>EXTERNAL</v>
      </c>
      <c r="D7201" s="115">
        <f>IFERROR(__xludf.DUMMYFUNCTION("""COMPUTED_VALUE"""),38379.0)</f>
        <v>38379</v>
      </c>
      <c r="E7201" s="115">
        <f>IFERROR(__xludf.DUMMYFUNCTION("""COMPUTED_VALUE"""),2318.0)</f>
        <v>2318</v>
      </c>
      <c r="F7201" s="115">
        <f>IFERROR(__xludf.DUMMYFUNCTION("""COMPUTED_VALUE"""),10445.0)</f>
        <v>10445</v>
      </c>
      <c r="G7201" s="115">
        <f>IFERROR(__xludf.DUMMYFUNCTION("""COMPUTED_VALUE"""),372.0)</f>
        <v>372</v>
      </c>
      <c r="H7201" s="116">
        <f>IFERROR(__xludf.DUMMYFUNCTION("""COMPUTED_VALUE"""),45913.0)</f>
        <v>45913</v>
      </c>
      <c r="I7201" s="115" t="str">
        <f>IFERROR(__xludf.DUMMYFUNCTION("""COMPUTED_VALUE"""),"14")</f>
        <v>14</v>
      </c>
      <c r="J7201" s="115"/>
      <c r="K7201" s="115"/>
    </row>
    <row r="7202">
      <c r="A7202" s="115" t="str">
        <f>IFERROR(__xludf.DUMMYFUNCTION("""COMPUTED_VALUE"""),"WEST")</f>
        <v>WEST</v>
      </c>
      <c r="B7202" s="115" t="str">
        <f>IFERROR(__xludf.DUMMYFUNCTION("""COMPUTED_VALUE"""),"Ashvani Bhatt")</f>
        <v>Ashvani Bhatt</v>
      </c>
      <c r="C7202" s="115" t="str">
        <f>IFERROR(__xludf.DUMMYFUNCTION("""COMPUTED_VALUE"""),"FLIPKART")</f>
        <v>FLIPKART</v>
      </c>
      <c r="D7202" s="115">
        <f>IFERROR(__xludf.DUMMYFUNCTION("""COMPUTED_VALUE"""),324961.0)</f>
        <v>324961</v>
      </c>
      <c r="E7202" s="115">
        <f>IFERROR(__xludf.DUMMYFUNCTION("""COMPUTED_VALUE"""),29815.0)</f>
        <v>29815</v>
      </c>
      <c r="F7202" s="115">
        <f>IFERROR(__xludf.DUMMYFUNCTION("""COMPUTED_VALUE"""),159882.0)</f>
        <v>159882</v>
      </c>
      <c r="G7202" s="115">
        <f>IFERROR(__xludf.DUMMYFUNCTION("""COMPUTED_VALUE"""),5534.0)</f>
        <v>5534</v>
      </c>
      <c r="H7202" s="116">
        <f>IFERROR(__xludf.DUMMYFUNCTION("""COMPUTED_VALUE"""),45913.0)</f>
        <v>45913</v>
      </c>
      <c r="I7202" s="115" t="str">
        <f>IFERROR(__xludf.DUMMYFUNCTION("""COMPUTED_VALUE"""),"14")</f>
        <v>14</v>
      </c>
      <c r="J7202" s="115"/>
      <c r="K7202" s="115"/>
    </row>
    <row r="7203">
      <c r="A7203" s="115" t="str">
        <f>IFERROR(__xludf.DUMMYFUNCTION("""COMPUTED_VALUE"""),"WEST")</f>
        <v>WEST</v>
      </c>
      <c r="B7203" s="115" t="str">
        <f>IFERROR(__xludf.DUMMYFUNCTION("""COMPUTED_VALUE"""),"Ashvani Bhatt")</f>
        <v>Ashvani Bhatt</v>
      </c>
      <c r="C7203" s="115" t="str">
        <f>IFERROR(__xludf.DUMMYFUNCTION("""COMPUTED_VALUE"""),"MYNTRA")</f>
        <v>MYNTRA</v>
      </c>
      <c r="D7203" s="115">
        <f>IFERROR(__xludf.DUMMYFUNCTION("""COMPUTED_VALUE"""),35128.0)</f>
        <v>35128</v>
      </c>
      <c r="E7203" s="115">
        <f>IFERROR(__xludf.DUMMYFUNCTION("""COMPUTED_VALUE"""),8633.0)</f>
        <v>8633</v>
      </c>
      <c r="F7203" s="115">
        <f>IFERROR(__xludf.DUMMYFUNCTION("""COMPUTED_VALUE"""),20311.0)</f>
        <v>20311</v>
      </c>
      <c r="G7203" s="115">
        <f>IFERROR(__xludf.DUMMYFUNCTION("""COMPUTED_VALUE"""),1985.0)</f>
        <v>1985</v>
      </c>
      <c r="H7203" s="116">
        <f>IFERROR(__xludf.DUMMYFUNCTION("""COMPUTED_VALUE"""),45913.0)</f>
        <v>45913</v>
      </c>
      <c r="I7203" s="115" t="str">
        <f>IFERROR(__xludf.DUMMYFUNCTION("""COMPUTED_VALUE"""),"14")</f>
        <v>14</v>
      </c>
      <c r="J7203" s="115"/>
      <c r="K7203" s="115"/>
    </row>
    <row r="7204">
      <c r="A7204" s="115"/>
      <c r="B7204" s="115"/>
      <c r="C7204" s="115" t="str">
        <f>IFERROR(__xludf.DUMMYFUNCTION("""COMPUTED_VALUE"""),"EXTERNAL")</f>
        <v>EXTERNAL</v>
      </c>
      <c r="D7204" s="115">
        <f>IFERROR(__xludf.DUMMYFUNCTION("""COMPUTED_VALUE"""),1475.0)</f>
        <v>1475</v>
      </c>
      <c r="E7204" s="115">
        <f>IFERROR(__xludf.DUMMYFUNCTION("""COMPUTED_VALUE"""),250.0)</f>
        <v>250</v>
      </c>
      <c r="F7204" s="115">
        <f>IFERROR(__xludf.DUMMYFUNCTION("""COMPUTED_VALUE"""),320.0)</f>
        <v>320</v>
      </c>
      <c r="G7204" s="115">
        <f>IFERROR(__xludf.DUMMYFUNCTION("""COMPUTED_VALUE"""),56.0)</f>
        <v>56</v>
      </c>
      <c r="H7204" s="116">
        <f>IFERROR(__xludf.DUMMYFUNCTION("""COMPUTED_VALUE"""),45913.0)</f>
        <v>45913</v>
      </c>
      <c r="I7204" s="115" t="str">
        <f>IFERROR(__xludf.DUMMYFUNCTION("""COMPUTED_VALUE"""),"14")</f>
        <v>14</v>
      </c>
      <c r="J7204" s="115"/>
      <c r="K7204" s="115"/>
    </row>
    <row r="7205">
      <c r="A7205" s="115"/>
      <c r="B7205" s="115"/>
      <c r="C7205" s="115" t="str">
        <f>IFERROR(__xludf.DUMMYFUNCTION("""COMPUTED_VALUE"""),"FLIPKART")</f>
        <v>FLIPKART</v>
      </c>
      <c r="D7205" s="115">
        <f>IFERROR(__xludf.DUMMYFUNCTION("""COMPUTED_VALUE"""),18295.0)</f>
        <v>18295</v>
      </c>
      <c r="E7205" s="115">
        <f>IFERROR(__xludf.DUMMYFUNCTION("""COMPUTED_VALUE"""),1619.0)</f>
        <v>1619</v>
      </c>
      <c r="F7205" s="115">
        <f>IFERROR(__xludf.DUMMYFUNCTION("""COMPUTED_VALUE"""),6008.0)</f>
        <v>6008</v>
      </c>
      <c r="G7205" s="115">
        <f>IFERROR(__xludf.DUMMYFUNCTION("""COMPUTED_VALUE"""),330.0)</f>
        <v>330</v>
      </c>
      <c r="H7205" s="116">
        <f>IFERROR(__xludf.DUMMYFUNCTION("""COMPUTED_VALUE"""),45913.0)</f>
        <v>45913</v>
      </c>
      <c r="I7205" s="115" t="str">
        <f>IFERROR(__xludf.DUMMYFUNCTION("""COMPUTED_VALUE"""),"14")</f>
        <v>14</v>
      </c>
      <c r="J7205" s="115"/>
      <c r="K7205" s="115"/>
    </row>
    <row r="7206">
      <c r="A7206" s="115"/>
      <c r="B7206" s="115"/>
      <c r="C7206" s="115" t="str">
        <f>IFERROR(__xludf.DUMMYFUNCTION("""COMPUTED_VALUE"""),"MYNTRA")</f>
        <v>MYNTRA</v>
      </c>
      <c r="D7206" s="115">
        <f>IFERROR(__xludf.DUMMYFUNCTION("""COMPUTED_VALUE"""),1785.0)</f>
        <v>1785</v>
      </c>
      <c r="E7206" s="115">
        <f>IFERROR(__xludf.DUMMYFUNCTION("""COMPUTED_VALUE"""),477.0)</f>
        <v>477</v>
      </c>
      <c r="F7206" s="115">
        <f>IFERROR(__xludf.DUMMYFUNCTION("""COMPUTED_VALUE"""),771.0)</f>
        <v>771</v>
      </c>
      <c r="G7206" s="115">
        <f>IFERROR(__xludf.DUMMYFUNCTION("""COMPUTED_VALUE"""),115.0)</f>
        <v>115</v>
      </c>
      <c r="H7206" s="116">
        <f>IFERROR(__xludf.DUMMYFUNCTION("""COMPUTED_VALUE"""),45913.0)</f>
        <v>45913</v>
      </c>
      <c r="I7206" s="115" t="str">
        <f>IFERROR(__xludf.DUMMYFUNCTION("""COMPUTED_VALUE"""),"14")</f>
        <v>14</v>
      </c>
      <c r="J7206" s="115"/>
      <c r="K7206" s="115"/>
    </row>
    <row r="7207">
      <c r="A7207" s="115" t="str">
        <f>IFERROR(__xludf.DUMMYFUNCTION("""COMPUTED_VALUE"""),"EAST")</f>
        <v>EAST</v>
      </c>
      <c r="B7207" s="115" t="str">
        <f>IFERROR(__xludf.DUMMYFUNCTION("""COMPUTED_VALUE"""),"Ashish Ranjan")</f>
        <v>Ashish Ranjan</v>
      </c>
      <c r="C7207" s="115" t="str">
        <f>IFERROR(__xludf.DUMMYFUNCTION("""COMPUTED_VALUE"""),"EXTERNAL")</f>
        <v>EXTERNAL</v>
      </c>
      <c r="D7207" s="115">
        <f>IFERROR(__xludf.DUMMYFUNCTION("""COMPUTED_VALUE"""),41081.0)</f>
        <v>41081</v>
      </c>
      <c r="E7207" s="115">
        <f>IFERROR(__xludf.DUMMYFUNCTION("""COMPUTED_VALUE"""),2718.0)</f>
        <v>2718</v>
      </c>
      <c r="F7207" s="115">
        <f>IFERROR(__xludf.DUMMYFUNCTION("""COMPUTED_VALUE"""),15454.0)</f>
        <v>15454</v>
      </c>
      <c r="G7207" s="115">
        <f>IFERROR(__xludf.DUMMYFUNCTION("""COMPUTED_VALUE"""),591.0)</f>
        <v>591</v>
      </c>
      <c r="H7207" s="116">
        <f>IFERROR(__xludf.DUMMYFUNCTION("""COMPUTED_VALUE"""),45913.0)</f>
        <v>45913</v>
      </c>
      <c r="I7207" s="115" t="str">
        <f>IFERROR(__xludf.DUMMYFUNCTION("""COMPUTED_VALUE"""),"15")</f>
        <v>15</v>
      </c>
      <c r="J7207" s="115"/>
      <c r="K7207" s="115"/>
    </row>
    <row r="7208">
      <c r="A7208" s="115" t="str">
        <f>IFERROR(__xludf.DUMMYFUNCTION("""COMPUTED_VALUE"""),"EAST")</f>
        <v>EAST</v>
      </c>
      <c r="B7208" s="115" t="str">
        <f>IFERROR(__xludf.DUMMYFUNCTION("""COMPUTED_VALUE"""),"Ashish Ranjan")</f>
        <v>Ashish Ranjan</v>
      </c>
      <c r="C7208" s="115" t="str">
        <f>IFERROR(__xludf.DUMMYFUNCTION("""COMPUTED_VALUE"""),"FLIPKART")</f>
        <v>FLIPKART</v>
      </c>
      <c r="D7208" s="115">
        <f>IFERROR(__xludf.DUMMYFUNCTION("""COMPUTED_VALUE"""),858376.0)</f>
        <v>858376</v>
      </c>
      <c r="E7208" s="115">
        <f>IFERROR(__xludf.DUMMYFUNCTION("""COMPUTED_VALUE"""),67919.0)</f>
        <v>67919</v>
      </c>
      <c r="F7208" s="115">
        <f>IFERROR(__xludf.DUMMYFUNCTION("""COMPUTED_VALUE"""),536494.0)</f>
        <v>536494</v>
      </c>
      <c r="G7208" s="115">
        <f>IFERROR(__xludf.DUMMYFUNCTION("""COMPUTED_VALUE"""),19321.0)</f>
        <v>19321</v>
      </c>
      <c r="H7208" s="116">
        <f>IFERROR(__xludf.DUMMYFUNCTION("""COMPUTED_VALUE"""),45913.0)</f>
        <v>45913</v>
      </c>
      <c r="I7208" s="115" t="str">
        <f>IFERROR(__xludf.DUMMYFUNCTION("""COMPUTED_VALUE"""),"15")</f>
        <v>15</v>
      </c>
      <c r="J7208" s="115"/>
      <c r="K7208" s="115"/>
    </row>
    <row r="7209">
      <c r="A7209" s="115" t="str">
        <f>IFERROR(__xludf.DUMMYFUNCTION("""COMPUTED_VALUE"""),"EAST")</f>
        <v>EAST</v>
      </c>
      <c r="B7209" s="115" t="str">
        <f>IFERROR(__xludf.DUMMYFUNCTION("""COMPUTED_VALUE"""),"Ashish Ranjan")</f>
        <v>Ashish Ranjan</v>
      </c>
      <c r="C7209" s="115" t="str">
        <f>IFERROR(__xludf.DUMMYFUNCTION("""COMPUTED_VALUE"""),"MYNTRA")</f>
        <v>MYNTRA</v>
      </c>
      <c r="D7209" s="115">
        <f>IFERROR(__xludf.DUMMYFUNCTION("""COMPUTED_VALUE"""),82518.0)</f>
        <v>82518</v>
      </c>
      <c r="E7209" s="115">
        <f>IFERROR(__xludf.DUMMYFUNCTION("""COMPUTED_VALUE"""),15945.0)</f>
        <v>15945</v>
      </c>
      <c r="F7209" s="115">
        <f>IFERROR(__xludf.DUMMYFUNCTION("""COMPUTED_VALUE"""),51261.0)</f>
        <v>51261</v>
      </c>
      <c r="G7209" s="115">
        <f>IFERROR(__xludf.DUMMYFUNCTION("""COMPUTED_VALUE"""),4532.0)</f>
        <v>4532</v>
      </c>
      <c r="H7209" s="116">
        <f>IFERROR(__xludf.DUMMYFUNCTION("""COMPUTED_VALUE"""),45913.0)</f>
        <v>45913</v>
      </c>
      <c r="I7209" s="115" t="str">
        <f>IFERROR(__xludf.DUMMYFUNCTION("""COMPUTED_VALUE"""),"15")</f>
        <v>15</v>
      </c>
      <c r="J7209" s="115"/>
      <c r="K7209" s="115"/>
    </row>
    <row r="7210">
      <c r="A7210" s="115" t="str">
        <f>IFERROR(__xludf.DUMMYFUNCTION("""COMPUTED_VALUE"""),"EAST")</f>
        <v>EAST</v>
      </c>
      <c r="B7210" s="115" t="str">
        <f>IFERROR(__xludf.DUMMYFUNCTION("""COMPUTED_VALUE"""),"Girish Chand")</f>
        <v>Girish Chand</v>
      </c>
      <c r="C7210" s="115" t="str">
        <f>IFERROR(__xludf.DUMMYFUNCTION("""COMPUTED_VALUE"""),"EXTERNAL")</f>
        <v>EXTERNAL</v>
      </c>
      <c r="D7210" s="115">
        <f>IFERROR(__xludf.DUMMYFUNCTION("""COMPUTED_VALUE"""),23302.0)</f>
        <v>23302</v>
      </c>
      <c r="E7210" s="115">
        <f>IFERROR(__xludf.DUMMYFUNCTION("""COMPUTED_VALUE"""),1362.0)</f>
        <v>1362</v>
      </c>
      <c r="F7210" s="115">
        <f>IFERROR(__xludf.DUMMYFUNCTION("""COMPUTED_VALUE"""),6985.0)</f>
        <v>6985</v>
      </c>
      <c r="G7210" s="115">
        <f>IFERROR(__xludf.DUMMYFUNCTION("""COMPUTED_VALUE"""),160.0)</f>
        <v>160</v>
      </c>
      <c r="H7210" s="116">
        <f>IFERROR(__xludf.DUMMYFUNCTION("""COMPUTED_VALUE"""),45913.0)</f>
        <v>45913</v>
      </c>
      <c r="I7210" s="115" t="str">
        <f>IFERROR(__xludf.DUMMYFUNCTION("""COMPUTED_VALUE"""),"15")</f>
        <v>15</v>
      </c>
      <c r="J7210" s="115"/>
      <c r="K7210" s="115"/>
    </row>
    <row r="7211">
      <c r="A7211" s="115" t="str">
        <f>IFERROR(__xludf.DUMMYFUNCTION("""COMPUTED_VALUE"""),"EAST")</f>
        <v>EAST</v>
      </c>
      <c r="B7211" s="115" t="str">
        <f>IFERROR(__xludf.DUMMYFUNCTION("""COMPUTED_VALUE"""),"Girish Chand")</f>
        <v>Girish Chand</v>
      </c>
      <c r="C7211" s="115" t="str">
        <f>IFERROR(__xludf.DUMMYFUNCTION("""COMPUTED_VALUE"""),"FLIPKART")</f>
        <v>FLIPKART</v>
      </c>
      <c r="D7211" s="115">
        <f>IFERROR(__xludf.DUMMYFUNCTION("""COMPUTED_VALUE"""),502514.0)</f>
        <v>502514</v>
      </c>
      <c r="E7211" s="115">
        <f>IFERROR(__xludf.DUMMYFUNCTION("""COMPUTED_VALUE"""),38406.0)</f>
        <v>38406</v>
      </c>
      <c r="F7211" s="115">
        <f>IFERROR(__xludf.DUMMYFUNCTION("""COMPUTED_VALUE"""),265463.0)</f>
        <v>265463</v>
      </c>
      <c r="G7211" s="115">
        <f>IFERROR(__xludf.DUMMYFUNCTION("""COMPUTED_VALUE"""),7595.0)</f>
        <v>7595</v>
      </c>
      <c r="H7211" s="116">
        <f>IFERROR(__xludf.DUMMYFUNCTION("""COMPUTED_VALUE"""),45913.0)</f>
        <v>45913</v>
      </c>
      <c r="I7211" s="115" t="str">
        <f>IFERROR(__xludf.DUMMYFUNCTION("""COMPUTED_VALUE"""),"15")</f>
        <v>15</v>
      </c>
      <c r="J7211" s="115"/>
      <c r="K7211" s="115"/>
    </row>
    <row r="7212">
      <c r="A7212" s="115" t="str">
        <f>IFERROR(__xludf.DUMMYFUNCTION("""COMPUTED_VALUE"""),"EAST")</f>
        <v>EAST</v>
      </c>
      <c r="B7212" s="115" t="str">
        <f>IFERROR(__xludf.DUMMYFUNCTION("""COMPUTED_VALUE"""),"Girish Chand")</f>
        <v>Girish Chand</v>
      </c>
      <c r="C7212" s="115" t="str">
        <f>IFERROR(__xludf.DUMMYFUNCTION("""COMPUTED_VALUE"""),"MYNTRA")</f>
        <v>MYNTRA</v>
      </c>
      <c r="D7212" s="115">
        <f>IFERROR(__xludf.DUMMYFUNCTION("""COMPUTED_VALUE"""),39138.0)</f>
        <v>39138</v>
      </c>
      <c r="E7212" s="115">
        <f>IFERROR(__xludf.DUMMYFUNCTION("""COMPUTED_VALUE"""),6968.0)</f>
        <v>6968</v>
      </c>
      <c r="F7212" s="115">
        <f>IFERROR(__xludf.DUMMYFUNCTION("""COMPUTED_VALUE"""),22074.0)</f>
        <v>22074</v>
      </c>
      <c r="G7212" s="115">
        <f>IFERROR(__xludf.DUMMYFUNCTION("""COMPUTED_VALUE"""),1326.0)</f>
        <v>1326</v>
      </c>
      <c r="H7212" s="116">
        <f>IFERROR(__xludf.DUMMYFUNCTION("""COMPUTED_VALUE"""),45913.0)</f>
        <v>45913</v>
      </c>
      <c r="I7212" s="115" t="str">
        <f>IFERROR(__xludf.DUMMYFUNCTION("""COMPUTED_VALUE"""),"15")</f>
        <v>15</v>
      </c>
      <c r="J7212" s="115"/>
      <c r="K7212" s="115"/>
    </row>
    <row r="7213">
      <c r="A7213" s="115" t="str">
        <f>IFERROR(__xludf.DUMMYFUNCTION("""COMPUTED_VALUE"""),"EAST")</f>
        <v>EAST</v>
      </c>
      <c r="B7213" s="115" t="str">
        <f>IFERROR(__xludf.DUMMYFUNCTION("""COMPUTED_VALUE"""),"Parag Kashyap")</f>
        <v>Parag Kashyap</v>
      </c>
      <c r="C7213" s="115" t="str">
        <f>IFERROR(__xludf.DUMMYFUNCTION("""COMPUTED_VALUE"""),"EXTERNAL")</f>
        <v>EXTERNAL</v>
      </c>
      <c r="D7213" s="115">
        <f>IFERROR(__xludf.DUMMYFUNCTION("""COMPUTED_VALUE"""),16284.0)</f>
        <v>16284</v>
      </c>
      <c r="E7213" s="115">
        <f>IFERROR(__xludf.DUMMYFUNCTION("""COMPUTED_VALUE"""),723.0)</f>
        <v>723</v>
      </c>
      <c r="F7213" s="115">
        <f>IFERROR(__xludf.DUMMYFUNCTION("""COMPUTED_VALUE"""),4625.0)</f>
        <v>4625</v>
      </c>
      <c r="G7213" s="115">
        <f>IFERROR(__xludf.DUMMYFUNCTION("""COMPUTED_VALUE"""),76.0)</f>
        <v>76</v>
      </c>
      <c r="H7213" s="116">
        <f>IFERROR(__xludf.DUMMYFUNCTION("""COMPUTED_VALUE"""),45913.0)</f>
        <v>45913</v>
      </c>
      <c r="I7213" s="115" t="str">
        <f>IFERROR(__xludf.DUMMYFUNCTION("""COMPUTED_VALUE"""),"15")</f>
        <v>15</v>
      </c>
      <c r="J7213" s="115"/>
      <c r="K7213" s="115"/>
    </row>
    <row r="7214">
      <c r="A7214" s="115" t="str">
        <f>IFERROR(__xludf.DUMMYFUNCTION("""COMPUTED_VALUE"""),"EAST")</f>
        <v>EAST</v>
      </c>
      <c r="B7214" s="115" t="str">
        <f>IFERROR(__xludf.DUMMYFUNCTION("""COMPUTED_VALUE"""),"Parag Kashyap")</f>
        <v>Parag Kashyap</v>
      </c>
      <c r="C7214" s="115" t="str">
        <f>IFERROR(__xludf.DUMMYFUNCTION("""COMPUTED_VALUE"""),"FLIPKART")</f>
        <v>FLIPKART</v>
      </c>
      <c r="D7214" s="115">
        <f>IFERROR(__xludf.DUMMYFUNCTION("""COMPUTED_VALUE"""),315037.0)</f>
        <v>315037</v>
      </c>
      <c r="E7214" s="115">
        <f>IFERROR(__xludf.DUMMYFUNCTION("""COMPUTED_VALUE"""),18266.0)</f>
        <v>18266</v>
      </c>
      <c r="F7214" s="115">
        <f>IFERROR(__xludf.DUMMYFUNCTION("""COMPUTED_VALUE"""),160735.0)</f>
        <v>160735</v>
      </c>
      <c r="G7214" s="115">
        <f>IFERROR(__xludf.DUMMYFUNCTION("""COMPUTED_VALUE"""),2567.0)</f>
        <v>2567</v>
      </c>
      <c r="H7214" s="116">
        <f>IFERROR(__xludf.DUMMYFUNCTION("""COMPUTED_VALUE"""),45913.0)</f>
        <v>45913</v>
      </c>
      <c r="I7214" s="115" t="str">
        <f>IFERROR(__xludf.DUMMYFUNCTION("""COMPUTED_VALUE"""),"15")</f>
        <v>15</v>
      </c>
      <c r="J7214" s="115"/>
      <c r="K7214" s="115"/>
    </row>
    <row r="7215">
      <c r="A7215" s="115" t="str">
        <f>IFERROR(__xludf.DUMMYFUNCTION("""COMPUTED_VALUE"""),"EAST")</f>
        <v>EAST</v>
      </c>
      <c r="B7215" s="115" t="str">
        <f>IFERROR(__xludf.DUMMYFUNCTION("""COMPUTED_VALUE"""),"Parag Kashyap")</f>
        <v>Parag Kashyap</v>
      </c>
      <c r="C7215" s="115" t="str">
        <f>IFERROR(__xludf.DUMMYFUNCTION("""COMPUTED_VALUE"""),"MYNTRA")</f>
        <v>MYNTRA</v>
      </c>
      <c r="D7215" s="115">
        <f>IFERROR(__xludf.DUMMYFUNCTION("""COMPUTED_VALUE"""),36342.0)</f>
        <v>36342</v>
      </c>
      <c r="E7215" s="115">
        <f>IFERROR(__xludf.DUMMYFUNCTION("""COMPUTED_VALUE"""),6016.0)</f>
        <v>6016</v>
      </c>
      <c r="F7215" s="115">
        <f>IFERROR(__xludf.DUMMYFUNCTION("""COMPUTED_VALUE"""),19313.0)</f>
        <v>19313</v>
      </c>
      <c r="G7215" s="115">
        <f>IFERROR(__xludf.DUMMYFUNCTION("""COMPUTED_VALUE"""),854.0)</f>
        <v>854</v>
      </c>
      <c r="H7215" s="116">
        <f>IFERROR(__xludf.DUMMYFUNCTION("""COMPUTED_VALUE"""),45913.0)</f>
        <v>45913</v>
      </c>
      <c r="I7215" s="115" t="str">
        <f>IFERROR(__xludf.DUMMYFUNCTION("""COMPUTED_VALUE"""),"15")</f>
        <v>15</v>
      </c>
      <c r="J7215" s="115"/>
      <c r="K7215" s="115"/>
    </row>
    <row r="7216">
      <c r="A7216" s="115" t="str">
        <f>IFERROR(__xludf.DUMMYFUNCTION("""COMPUTED_VALUE"""),"NORTH")</f>
        <v>NORTH</v>
      </c>
      <c r="B7216" s="115" t="str">
        <f>IFERROR(__xludf.DUMMYFUNCTION("""COMPUTED_VALUE"""),"Amit Kumar Pathak")</f>
        <v>Amit Kumar Pathak</v>
      </c>
      <c r="C7216" s="115" t="str">
        <f>IFERROR(__xludf.DUMMYFUNCTION("""COMPUTED_VALUE"""),"EXTERNAL")</f>
        <v>EXTERNAL</v>
      </c>
      <c r="D7216" s="115">
        <f>IFERROR(__xludf.DUMMYFUNCTION("""COMPUTED_VALUE"""),27817.0)</f>
        <v>27817</v>
      </c>
      <c r="E7216" s="115">
        <f>IFERROR(__xludf.DUMMYFUNCTION("""COMPUTED_VALUE"""),2559.0)</f>
        <v>2559</v>
      </c>
      <c r="F7216" s="115">
        <f>IFERROR(__xludf.DUMMYFUNCTION("""COMPUTED_VALUE"""),7434.0)</f>
        <v>7434</v>
      </c>
      <c r="G7216" s="115">
        <f>IFERROR(__xludf.DUMMYFUNCTION("""COMPUTED_VALUE"""),819.0)</f>
        <v>819</v>
      </c>
      <c r="H7216" s="116">
        <f>IFERROR(__xludf.DUMMYFUNCTION("""COMPUTED_VALUE"""),45913.0)</f>
        <v>45913</v>
      </c>
      <c r="I7216" s="115" t="str">
        <f>IFERROR(__xludf.DUMMYFUNCTION("""COMPUTED_VALUE"""),"15")</f>
        <v>15</v>
      </c>
      <c r="J7216" s="115"/>
      <c r="K7216" s="115"/>
    </row>
    <row r="7217">
      <c r="A7217" s="115" t="str">
        <f>IFERROR(__xludf.DUMMYFUNCTION("""COMPUTED_VALUE"""),"NORTH")</f>
        <v>NORTH</v>
      </c>
      <c r="B7217" s="115" t="str">
        <f>IFERROR(__xludf.DUMMYFUNCTION("""COMPUTED_VALUE"""),"Amit Kumar Pathak")</f>
        <v>Amit Kumar Pathak</v>
      </c>
      <c r="C7217" s="115" t="str">
        <f>IFERROR(__xludf.DUMMYFUNCTION("""COMPUTED_VALUE"""),"FLIPKART")</f>
        <v>FLIPKART</v>
      </c>
      <c r="D7217" s="115">
        <f>IFERROR(__xludf.DUMMYFUNCTION("""COMPUTED_VALUE"""),192696.0)</f>
        <v>192696</v>
      </c>
      <c r="E7217" s="115">
        <f>IFERROR(__xludf.DUMMYFUNCTION("""COMPUTED_VALUE"""),22333.0)</f>
        <v>22333</v>
      </c>
      <c r="F7217" s="115">
        <f>IFERROR(__xludf.DUMMYFUNCTION("""COMPUTED_VALUE"""),96900.0)</f>
        <v>96900</v>
      </c>
      <c r="G7217" s="115">
        <f>IFERROR(__xludf.DUMMYFUNCTION("""COMPUTED_VALUE"""),7860.0)</f>
        <v>7860</v>
      </c>
      <c r="H7217" s="116">
        <f>IFERROR(__xludf.DUMMYFUNCTION("""COMPUTED_VALUE"""),45913.0)</f>
        <v>45913</v>
      </c>
      <c r="I7217" s="115" t="str">
        <f>IFERROR(__xludf.DUMMYFUNCTION("""COMPUTED_VALUE"""),"15")</f>
        <v>15</v>
      </c>
      <c r="J7217" s="115"/>
      <c r="K7217" s="115"/>
    </row>
    <row r="7218">
      <c r="A7218" s="115" t="str">
        <f>IFERROR(__xludf.DUMMYFUNCTION("""COMPUTED_VALUE"""),"NORTH")</f>
        <v>NORTH</v>
      </c>
      <c r="B7218" s="115" t="str">
        <f>IFERROR(__xludf.DUMMYFUNCTION("""COMPUTED_VALUE"""),"Amit Kumar Pathak")</f>
        <v>Amit Kumar Pathak</v>
      </c>
      <c r="C7218" s="115" t="str">
        <f>IFERROR(__xludf.DUMMYFUNCTION("""COMPUTED_VALUE"""),"MYNTRA")</f>
        <v>MYNTRA</v>
      </c>
      <c r="D7218" s="115">
        <f>IFERROR(__xludf.DUMMYFUNCTION("""COMPUTED_VALUE"""),16128.0)</f>
        <v>16128</v>
      </c>
      <c r="E7218" s="115">
        <f>IFERROR(__xludf.DUMMYFUNCTION("""COMPUTED_VALUE"""),5426.0)</f>
        <v>5426</v>
      </c>
      <c r="F7218" s="115">
        <f>IFERROR(__xludf.DUMMYFUNCTION("""COMPUTED_VALUE"""),9294.0)</f>
        <v>9294</v>
      </c>
      <c r="G7218" s="115">
        <f>IFERROR(__xludf.DUMMYFUNCTION("""COMPUTED_VALUE"""),2111.0)</f>
        <v>2111</v>
      </c>
      <c r="H7218" s="116">
        <f>IFERROR(__xludf.DUMMYFUNCTION("""COMPUTED_VALUE"""),45913.0)</f>
        <v>45913</v>
      </c>
      <c r="I7218" s="115" t="str">
        <f>IFERROR(__xludf.DUMMYFUNCTION("""COMPUTED_VALUE"""),"15")</f>
        <v>15</v>
      </c>
      <c r="J7218" s="115"/>
      <c r="K7218" s="115"/>
    </row>
    <row r="7219">
      <c r="A7219" s="115" t="str">
        <f>IFERROR(__xludf.DUMMYFUNCTION("""COMPUTED_VALUE"""),"NORTH")</f>
        <v>NORTH</v>
      </c>
      <c r="B7219" s="115" t="str">
        <f>IFERROR(__xludf.DUMMYFUNCTION("""COMPUTED_VALUE"""),"Ashvani Bhatt")</f>
        <v>Ashvani Bhatt</v>
      </c>
      <c r="C7219" s="115" t="str">
        <f>IFERROR(__xludf.DUMMYFUNCTION("""COMPUTED_VALUE"""),"EXTERNAL")</f>
        <v>EXTERNAL</v>
      </c>
      <c r="D7219" s="115">
        <f>IFERROR(__xludf.DUMMYFUNCTION("""COMPUTED_VALUE"""),43.0)</f>
        <v>43</v>
      </c>
      <c r="E7219" s="115">
        <f>IFERROR(__xludf.DUMMYFUNCTION("""COMPUTED_VALUE"""),1.0)</f>
        <v>1</v>
      </c>
      <c r="F7219" s="115">
        <f>IFERROR(__xludf.DUMMYFUNCTION("""COMPUTED_VALUE"""),4.0)</f>
        <v>4</v>
      </c>
      <c r="G7219" s="115">
        <f>IFERROR(__xludf.DUMMYFUNCTION("""COMPUTED_VALUE"""),0.0)</f>
        <v>0</v>
      </c>
      <c r="H7219" s="116">
        <f>IFERROR(__xludf.DUMMYFUNCTION("""COMPUTED_VALUE"""),45913.0)</f>
        <v>45913</v>
      </c>
      <c r="I7219" s="115" t="str">
        <f>IFERROR(__xludf.DUMMYFUNCTION("""COMPUTED_VALUE"""),"15")</f>
        <v>15</v>
      </c>
      <c r="J7219" s="115"/>
      <c r="K7219" s="115"/>
    </row>
    <row r="7220">
      <c r="A7220" s="115" t="str">
        <f>IFERROR(__xludf.DUMMYFUNCTION("""COMPUTED_VALUE"""),"NORTH")</f>
        <v>NORTH</v>
      </c>
      <c r="B7220" s="115" t="str">
        <f>IFERROR(__xludf.DUMMYFUNCTION("""COMPUTED_VALUE"""),"Ashvani Bhatt")</f>
        <v>Ashvani Bhatt</v>
      </c>
      <c r="C7220" s="115" t="str">
        <f>IFERROR(__xludf.DUMMYFUNCTION("""COMPUTED_VALUE"""),"FLIPKART")</f>
        <v>FLIPKART</v>
      </c>
      <c r="D7220" s="115">
        <f>IFERROR(__xludf.DUMMYFUNCTION("""COMPUTED_VALUE"""),469.0)</f>
        <v>469</v>
      </c>
      <c r="E7220" s="115">
        <f>IFERROR(__xludf.DUMMYFUNCTION("""COMPUTED_VALUE"""),49.0)</f>
        <v>49</v>
      </c>
      <c r="F7220" s="115">
        <f>IFERROR(__xludf.DUMMYFUNCTION("""COMPUTED_VALUE"""),94.0)</f>
        <v>94</v>
      </c>
      <c r="G7220" s="115">
        <f>IFERROR(__xludf.DUMMYFUNCTION("""COMPUTED_VALUE"""),5.0)</f>
        <v>5</v>
      </c>
      <c r="H7220" s="116">
        <f>IFERROR(__xludf.DUMMYFUNCTION("""COMPUTED_VALUE"""),45913.0)</f>
        <v>45913</v>
      </c>
      <c r="I7220" s="115" t="str">
        <f>IFERROR(__xludf.DUMMYFUNCTION("""COMPUTED_VALUE"""),"15")</f>
        <v>15</v>
      </c>
      <c r="J7220" s="115"/>
      <c r="K7220" s="115"/>
    </row>
    <row r="7221">
      <c r="A7221" s="115" t="str">
        <f>IFERROR(__xludf.DUMMYFUNCTION("""COMPUTED_VALUE"""),"NORTH")</f>
        <v>NORTH</v>
      </c>
      <c r="B7221" s="115" t="str">
        <f>IFERROR(__xludf.DUMMYFUNCTION("""COMPUTED_VALUE"""),"Ashvani Bhatt")</f>
        <v>Ashvani Bhatt</v>
      </c>
      <c r="C7221" s="115" t="str">
        <f>IFERROR(__xludf.DUMMYFUNCTION("""COMPUTED_VALUE"""),"MYNTRA")</f>
        <v>MYNTRA</v>
      </c>
      <c r="D7221" s="115">
        <f>IFERROR(__xludf.DUMMYFUNCTION("""COMPUTED_VALUE"""),12.0)</f>
        <v>12</v>
      </c>
      <c r="E7221" s="115">
        <f>IFERROR(__xludf.DUMMYFUNCTION("""COMPUTED_VALUE"""),3.0)</f>
        <v>3</v>
      </c>
      <c r="F7221" s="115">
        <f>IFERROR(__xludf.DUMMYFUNCTION("""COMPUTED_VALUE"""),4.0)</f>
        <v>4</v>
      </c>
      <c r="G7221" s="115">
        <f>IFERROR(__xludf.DUMMYFUNCTION("""COMPUTED_VALUE"""),2.0)</f>
        <v>2</v>
      </c>
      <c r="H7221" s="116">
        <f>IFERROR(__xludf.DUMMYFUNCTION("""COMPUTED_VALUE"""),45913.0)</f>
        <v>45913</v>
      </c>
      <c r="I7221" s="115" t="str">
        <f>IFERROR(__xludf.DUMMYFUNCTION("""COMPUTED_VALUE"""),"15")</f>
        <v>15</v>
      </c>
      <c r="J7221" s="115"/>
      <c r="K7221" s="115"/>
    </row>
    <row r="7222">
      <c r="A7222" s="115" t="str">
        <f>IFERROR(__xludf.DUMMYFUNCTION("""COMPUTED_VALUE"""),"NORTH")</f>
        <v>NORTH</v>
      </c>
      <c r="B7222" s="115" t="str">
        <f>IFERROR(__xludf.DUMMYFUNCTION("""COMPUTED_VALUE"""),"Loveleen Singh")</f>
        <v>Loveleen Singh</v>
      </c>
      <c r="C7222" s="115" t="str">
        <f>IFERROR(__xludf.DUMMYFUNCTION("""COMPUTED_VALUE"""),"EXTERNAL")</f>
        <v>EXTERNAL</v>
      </c>
      <c r="D7222" s="115">
        <f>IFERROR(__xludf.DUMMYFUNCTION("""COMPUTED_VALUE"""),34087.0)</f>
        <v>34087</v>
      </c>
      <c r="E7222" s="115">
        <f>IFERROR(__xludf.DUMMYFUNCTION("""COMPUTED_VALUE"""),1830.0)</f>
        <v>1830</v>
      </c>
      <c r="F7222" s="115">
        <f>IFERROR(__xludf.DUMMYFUNCTION("""COMPUTED_VALUE"""),9542.0)</f>
        <v>9542</v>
      </c>
      <c r="G7222" s="115">
        <f>IFERROR(__xludf.DUMMYFUNCTION("""COMPUTED_VALUE"""),270.0)</f>
        <v>270</v>
      </c>
      <c r="H7222" s="116">
        <f>IFERROR(__xludf.DUMMYFUNCTION("""COMPUTED_VALUE"""),45913.0)</f>
        <v>45913</v>
      </c>
      <c r="I7222" s="115" t="str">
        <f>IFERROR(__xludf.DUMMYFUNCTION("""COMPUTED_VALUE"""),"15")</f>
        <v>15</v>
      </c>
      <c r="J7222" s="115"/>
      <c r="K7222" s="115"/>
    </row>
    <row r="7223">
      <c r="A7223" s="115" t="str">
        <f>IFERROR(__xludf.DUMMYFUNCTION("""COMPUTED_VALUE"""),"NORTH")</f>
        <v>NORTH</v>
      </c>
      <c r="B7223" s="115" t="str">
        <f>IFERROR(__xludf.DUMMYFUNCTION("""COMPUTED_VALUE"""),"Loveleen Singh")</f>
        <v>Loveleen Singh</v>
      </c>
      <c r="C7223" s="115" t="str">
        <f>IFERROR(__xludf.DUMMYFUNCTION("""COMPUTED_VALUE"""),"FLIPKART")</f>
        <v>FLIPKART</v>
      </c>
      <c r="D7223" s="115">
        <f>IFERROR(__xludf.DUMMYFUNCTION("""COMPUTED_VALUE"""),225197.0)</f>
        <v>225197</v>
      </c>
      <c r="E7223" s="115">
        <f>IFERROR(__xludf.DUMMYFUNCTION("""COMPUTED_VALUE"""),15189.0)</f>
        <v>15189</v>
      </c>
      <c r="F7223" s="115">
        <f>IFERROR(__xludf.DUMMYFUNCTION("""COMPUTED_VALUE"""),117302.0)</f>
        <v>117302</v>
      </c>
      <c r="G7223" s="115">
        <f>IFERROR(__xludf.DUMMYFUNCTION("""COMPUTED_VALUE"""),3713.0)</f>
        <v>3713</v>
      </c>
      <c r="H7223" s="116">
        <f>IFERROR(__xludf.DUMMYFUNCTION("""COMPUTED_VALUE"""),45913.0)</f>
        <v>45913</v>
      </c>
      <c r="I7223" s="115" t="str">
        <f>IFERROR(__xludf.DUMMYFUNCTION("""COMPUTED_VALUE"""),"15")</f>
        <v>15</v>
      </c>
      <c r="J7223" s="115"/>
      <c r="K7223" s="115"/>
    </row>
    <row r="7224">
      <c r="A7224" s="115" t="str">
        <f>IFERROR(__xludf.DUMMYFUNCTION("""COMPUTED_VALUE"""),"NORTH")</f>
        <v>NORTH</v>
      </c>
      <c r="B7224" s="115" t="str">
        <f>IFERROR(__xludf.DUMMYFUNCTION("""COMPUTED_VALUE"""),"Loveleen Singh")</f>
        <v>Loveleen Singh</v>
      </c>
      <c r="C7224" s="115" t="str">
        <f>IFERROR(__xludf.DUMMYFUNCTION("""COMPUTED_VALUE"""),"MYNTRA")</f>
        <v>MYNTRA</v>
      </c>
      <c r="D7224" s="115">
        <f>IFERROR(__xludf.DUMMYFUNCTION("""COMPUTED_VALUE"""),33326.0)</f>
        <v>33326</v>
      </c>
      <c r="E7224" s="115">
        <f>IFERROR(__xludf.DUMMYFUNCTION("""COMPUTED_VALUE"""),6009.0)</f>
        <v>6009</v>
      </c>
      <c r="F7224" s="115">
        <f>IFERROR(__xludf.DUMMYFUNCTION("""COMPUTED_VALUE"""),19639.0)</f>
        <v>19639</v>
      </c>
      <c r="G7224" s="115">
        <f>IFERROR(__xludf.DUMMYFUNCTION("""COMPUTED_VALUE"""),1724.0)</f>
        <v>1724</v>
      </c>
      <c r="H7224" s="116">
        <f>IFERROR(__xludf.DUMMYFUNCTION("""COMPUTED_VALUE"""),45913.0)</f>
        <v>45913</v>
      </c>
      <c r="I7224" s="115" t="str">
        <f>IFERROR(__xludf.DUMMYFUNCTION("""COMPUTED_VALUE"""),"15")</f>
        <v>15</v>
      </c>
      <c r="J7224" s="115"/>
      <c r="K7224" s="115"/>
    </row>
    <row r="7225">
      <c r="A7225" s="115" t="str">
        <f>IFERROR(__xludf.DUMMYFUNCTION("""COMPUTED_VALUE"""),"NORTH")</f>
        <v>NORTH</v>
      </c>
      <c r="B7225" s="115" t="str">
        <f>IFERROR(__xludf.DUMMYFUNCTION("""COMPUTED_VALUE"""),"Manoj Harsh")</f>
        <v>Manoj Harsh</v>
      </c>
      <c r="C7225" s="115" t="str">
        <f>IFERROR(__xludf.DUMMYFUNCTION("""COMPUTED_VALUE"""),"EXTERNAL")</f>
        <v>EXTERNAL</v>
      </c>
      <c r="D7225" s="115">
        <f>IFERROR(__xludf.DUMMYFUNCTION("""COMPUTED_VALUE"""),37480.0)</f>
        <v>37480</v>
      </c>
      <c r="E7225" s="115">
        <f>IFERROR(__xludf.DUMMYFUNCTION("""COMPUTED_VALUE"""),1859.0)</f>
        <v>1859</v>
      </c>
      <c r="F7225" s="115">
        <f>IFERROR(__xludf.DUMMYFUNCTION("""COMPUTED_VALUE"""),11884.0)</f>
        <v>11884</v>
      </c>
      <c r="G7225" s="115">
        <f>IFERROR(__xludf.DUMMYFUNCTION("""COMPUTED_VALUE"""),276.0)</f>
        <v>276</v>
      </c>
      <c r="H7225" s="116">
        <f>IFERROR(__xludf.DUMMYFUNCTION("""COMPUTED_VALUE"""),45913.0)</f>
        <v>45913</v>
      </c>
      <c r="I7225" s="115" t="str">
        <f>IFERROR(__xludf.DUMMYFUNCTION("""COMPUTED_VALUE"""),"15")</f>
        <v>15</v>
      </c>
      <c r="J7225" s="115"/>
      <c r="K7225" s="115"/>
    </row>
    <row r="7226">
      <c r="A7226" s="115" t="str">
        <f>IFERROR(__xludf.DUMMYFUNCTION("""COMPUTED_VALUE"""),"NORTH")</f>
        <v>NORTH</v>
      </c>
      <c r="B7226" s="115" t="str">
        <f>IFERROR(__xludf.DUMMYFUNCTION("""COMPUTED_VALUE"""),"Manoj Harsh")</f>
        <v>Manoj Harsh</v>
      </c>
      <c r="C7226" s="115" t="str">
        <f>IFERROR(__xludf.DUMMYFUNCTION("""COMPUTED_VALUE"""),"FLIPKART")</f>
        <v>FLIPKART</v>
      </c>
      <c r="D7226" s="115">
        <f>IFERROR(__xludf.DUMMYFUNCTION("""COMPUTED_VALUE"""),479981.0)</f>
        <v>479981</v>
      </c>
      <c r="E7226" s="115">
        <f>IFERROR(__xludf.DUMMYFUNCTION("""COMPUTED_VALUE"""),39776.0)</f>
        <v>39776</v>
      </c>
      <c r="F7226" s="115">
        <f>IFERROR(__xludf.DUMMYFUNCTION("""COMPUTED_VALUE"""),248922.0)</f>
        <v>248922</v>
      </c>
      <c r="G7226" s="115">
        <f>IFERROR(__xludf.DUMMYFUNCTION("""COMPUTED_VALUE"""),8633.0)</f>
        <v>8633</v>
      </c>
      <c r="H7226" s="116">
        <f>IFERROR(__xludf.DUMMYFUNCTION("""COMPUTED_VALUE"""),45913.0)</f>
        <v>45913</v>
      </c>
      <c r="I7226" s="115" t="str">
        <f>IFERROR(__xludf.DUMMYFUNCTION("""COMPUTED_VALUE"""),"15")</f>
        <v>15</v>
      </c>
      <c r="J7226" s="115"/>
      <c r="K7226" s="115"/>
    </row>
    <row r="7227">
      <c r="A7227" s="115" t="str">
        <f>IFERROR(__xludf.DUMMYFUNCTION("""COMPUTED_VALUE"""),"NORTH")</f>
        <v>NORTH</v>
      </c>
      <c r="B7227" s="115" t="str">
        <f>IFERROR(__xludf.DUMMYFUNCTION("""COMPUTED_VALUE"""),"Manoj Harsh")</f>
        <v>Manoj Harsh</v>
      </c>
      <c r="C7227" s="115" t="str">
        <f>IFERROR(__xludf.DUMMYFUNCTION("""COMPUTED_VALUE"""),"MYNTRA")</f>
        <v>MYNTRA</v>
      </c>
      <c r="D7227" s="115">
        <f>IFERROR(__xludf.DUMMYFUNCTION("""COMPUTED_VALUE"""),36202.0)</f>
        <v>36202</v>
      </c>
      <c r="E7227" s="115">
        <f>IFERROR(__xludf.DUMMYFUNCTION("""COMPUTED_VALUE"""),7183.0)</f>
        <v>7183</v>
      </c>
      <c r="F7227" s="115">
        <f>IFERROR(__xludf.DUMMYFUNCTION("""COMPUTED_VALUE"""),21202.0)</f>
        <v>21202</v>
      </c>
      <c r="G7227" s="115">
        <f>IFERROR(__xludf.DUMMYFUNCTION("""COMPUTED_VALUE"""),1871.0)</f>
        <v>1871</v>
      </c>
      <c r="H7227" s="116">
        <f>IFERROR(__xludf.DUMMYFUNCTION("""COMPUTED_VALUE"""),45913.0)</f>
        <v>45913</v>
      </c>
      <c r="I7227" s="115" t="str">
        <f>IFERROR(__xludf.DUMMYFUNCTION("""COMPUTED_VALUE"""),"15")</f>
        <v>15</v>
      </c>
      <c r="J7227" s="115"/>
      <c r="K7227" s="115"/>
    </row>
    <row r="7228">
      <c r="A7228" s="115" t="str">
        <f>IFERROR(__xludf.DUMMYFUNCTION("""COMPUTED_VALUE"""),"NORTH")</f>
        <v>NORTH</v>
      </c>
      <c r="B7228" s="115" t="str">
        <f>IFERROR(__xludf.DUMMYFUNCTION("""COMPUTED_VALUE"""),"Pradeep Kothari")</f>
        <v>Pradeep Kothari</v>
      </c>
      <c r="C7228" s="115" t="str">
        <f>IFERROR(__xludf.DUMMYFUNCTION("""COMPUTED_VALUE"""),"EXTERNAL")</f>
        <v>EXTERNAL</v>
      </c>
      <c r="D7228" s="115">
        <f>IFERROR(__xludf.DUMMYFUNCTION("""COMPUTED_VALUE"""),19570.0)</f>
        <v>19570</v>
      </c>
      <c r="E7228" s="115">
        <f>IFERROR(__xludf.DUMMYFUNCTION("""COMPUTED_VALUE"""),1394.0)</f>
        <v>1394</v>
      </c>
      <c r="F7228" s="115">
        <f>IFERROR(__xludf.DUMMYFUNCTION("""COMPUTED_VALUE"""),6538.0)</f>
        <v>6538</v>
      </c>
      <c r="G7228" s="115">
        <f>IFERROR(__xludf.DUMMYFUNCTION("""COMPUTED_VALUE"""),367.0)</f>
        <v>367</v>
      </c>
      <c r="H7228" s="116">
        <f>IFERROR(__xludf.DUMMYFUNCTION("""COMPUTED_VALUE"""),45913.0)</f>
        <v>45913</v>
      </c>
      <c r="I7228" s="115" t="str">
        <f>IFERROR(__xludf.DUMMYFUNCTION("""COMPUTED_VALUE"""),"15")</f>
        <v>15</v>
      </c>
      <c r="J7228" s="115"/>
      <c r="K7228" s="115"/>
    </row>
    <row r="7229">
      <c r="A7229" s="115" t="str">
        <f>IFERROR(__xludf.DUMMYFUNCTION("""COMPUTED_VALUE"""),"NORTH")</f>
        <v>NORTH</v>
      </c>
      <c r="B7229" s="115" t="str">
        <f>IFERROR(__xludf.DUMMYFUNCTION("""COMPUTED_VALUE"""),"Pradeep Kothari")</f>
        <v>Pradeep Kothari</v>
      </c>
      <c r="C7229" s="115" t="str">
        <f>IFERROR(__xludf.DUMMYFUNCTION("""COMPUTED_VALUE"""),"FLIPKART")</f>
        <v>FLIPKART</v>
      </c>
      <c r="D7229" s="115">
        <f>IFERROR(__xludf.DUMMYFUNCTION("""COMPUTED_VALUE"""),177198.0)</f>
        <v>177198</v>
      </c>
      <c r="E7229" s="115">
        <f>IFERROR(__xludf.DUMMYFUNCTION("""COMPUTED_VALUE"""),17710.0)</f>
        <v>17710</v>
      </c>
      <c r="F7229" s="115">
        <f>IFERROR(__xludf.DUMMYFUNCTION("""COMPUTED_VALUE"""),106511.0)</f>
        <v>106511</v>
      </c>
      <c r="G7229" s="115">
        <f>IFERROR(__xludf.DUMMYFUNCTION("""COMPUTED_VALUE"""),6296.0)</f>
        <v>6296</v>
      </c>
      <c r="H7229" s="116">
        <f>IFERROR(__xludf.DUMMYFUNCTION("""COMPUTED_VALUE"""),45913.0)</f>
        <v>45913</v>
      </c>
      <c r="I7229" s="115" t="str">
        <f>IFERROR(__xludf.DUMMYFUNCTION("""COMPUTED_VALUE"""),"15")</f>
        <v>15</v>
      </c>
      <c r="J7229" s="115"/>
      <c r="K7229" s="115"/>
    </row>
    <row r="7230">
      <c r="A7230" s="115" t="str">
        <f>IFERROR(__xludf.DUMMYFUNCTION("""COMPUTED_VALUE"""),"NORTH")</f>
        <v>NORTH</v>
      </c>
      <c r="B7230" s="115" t="str">
        <f>IFERROR(__xludf.DUMMYFUNCTION("""COMPUTED_VALUE"""),"Pradeep Kothari")</f>
        <v>Pradeep Kothari</v>
      </c>
      <c r="C7230" s="115" t="str">
        <f>IFERROR(__xludf.DUMMYFUNCTION("""COMPUTED_VALUE"""),"MYNTRA")</f>
        <v>MYNTRA</v>
      </c>
      <c r="D7230" s="115">
        <f>IFERROR(__xludf.DUMMYFUNCTION("""COMPUTED_VALUE"""),27025.0)</f>
        <v>27025</v>
      </c>
      <c r="E7230" s="115">
        <f>IFERROR(__xludf.DUMMYFUNCTION("""COMPUTED_VALUE"""),6075.0)</f>
        <v>6075</v>
      </c>
      <c r="F7230" s="115">
        <f>IFERROR(__xludf.DUMMYFUNCTION("""COMPUTED_VALUE"""),18717.0)</f>
        <v>18717</v>
      </c>
      <c r="G7230" s="115">
        <f>IFERROR(__xludf.DUMMYFUNCTION("""COMPUTED_VALUE"""),2449.0)</f>
        <v>2449</v>
      </c>
      <c r="H7230" s="116">
        <f>IFERROR(__xludf.DUMMYFUNCTION("""COMPUTED_VALUE"""),45913.0)</f>
        <v>45913</v>
      </c>
      <c r="I7230" s="115" t="str">
        <f>IFERROR(__xludf.DUMMYFUNCTION("""COMPUTED_VALUE"""),"15")</f>
        <v>15</v>
      </c>
      <c r="J7230" s="115"/>
      <c r="K7230" s="115"/>
    </row>
    <row r="7231">
      <c r="A7231" s="115" t="str">
        <f>IFERROR(__xludf.DUMMYFUNCTION("""COMPUTED_VALUE"""),"SOUTH")</f>
        <v>SOUTH</v>
      </c>
      <c r="B7231" s="115" t="str">
        <f>IFERROR(__xludf.DUMMYFUNCTION("""COMPUTED_VALUE"""),"Kandula Sampath")</f>
        <v>Kandula Sampath</v>
      </c>
      <c r="C7231" s="115" t="str">
        <f>IFERROR(__xludf.DUMMYFUNCTION("""COMPUTED_VALUE"""),"EXTERNAL")</f>
        <v>EXTERNAL</v>
      </c>
      <c r="D7231" s="115">
        <f>IFERROR(__xludf.DUMMYFUNCTION("""COMPUTED_VALUE"""),34115.0)</f>
        <v>34115</v>
      </c>
      <c r="E7231" s="115">
        <f>IFERROR(__xludf.DUMMYFUNCTION("""COMPUTED_VALUE"""),3348.0)</f>
        <v>3348</v>
      </c>
      <c r="F7231" s="115">
        <f>IFERROR(__xludf.DUMMYFUNCTION("""COMPUTED_VALUE"""),10737.0)</f>
        <v>10737</v>
      </c>
      <c r="G7231" s="115">
        <f>IFERROR(__xludf.DUMMYFUNCTION("""COMPUTED_VALUE"""),557.0)</f>
        <v>557</v>
      </c>
      <c r="H7231" s="116">
        <f>IFERROR(__xludf.DUMMYFUNCTION("""COMPUTED_VALUE"""),45913.0)</f>
        <v>45913</v>
      </c>
      <c r="I7231" s="115" t="str">
        <f>IFERROR(__xludf.DUMMYFUNCTION("""COMPUTED_VALUE"""),"15")</f>
        <v>15</v>
      </c>
      <c r="J7231" s="115"/>
      <c r="K7231" s="115"/>
    </row>
    <row r="7232">
      <c r="A7232" s="115" t="str">
        <f>IFERROR(__xludf.DUMMYFUNCTION("""COMPUTED_VALUE"""),"SOUTH")</f>
        <v>SOUTH</v>
      </c>
      <c r="B7232" s="115" t="str">
        <f>IFERROR(__xludf.DUMMYFUNCTION("""COMPUTED_VALUE"""),"Kandula Sampath")</f>
        <v>Kandula Sampath</v>
      </c>
      <c r="C7232" s="115" t="str">
        <f>IFERROR(__xludf.DUMMYFUNCTION("""COMPUTED_VALUE"""),"FLIPKART")</f>
        <v>FLIPKART</v>
      </c>
      <c r="D7232" s="115">
        <f>IFERROR(__xludf.DUMMYFUNCTION("""COMPUTED_VALUE"""),416146.0)</f>
        <v>416146</v>
      </c>
      <c r="E7232" s="115">
        <f>IFERROR(__xludf.DUMMYFUNCTION("""COMPUTED_VALUE"""),32537.0)</f>
        <v>32537</v>
      </c>
      <c r="F7232" s="115">
        <f>IFERROR(__xludf.DUMMYFUNCTION("""COMPUTED_VALUE"""),223044.0)</f>
        <v>223044</v>
      </c>
      <c r="G7232" s="115">
        <f>IFERROR(__xludf.DUMMYFUNCTION("""COMPUTED_VALUE"""),6560.0)</f>
        <v>6560</v>
      </c>
      <c r="H7232" s="116">
        <f>IFERROR(__xludf.DUMMYFUNCTION("""COMPUTED_VALUE"""),45913.0)</f>
        <v>45913</v>
      </c>
      <c r="I7232" s="115" t="str">
        <f>IFERROR(__xludf.DUMMYFUNCTION("""COMPUTED_VALUE"""),"15")</f>
        <v>15</v>
      </c>
      <c r="J7232" s="115"/>
      <c r="K7232" s="115"/>
    </row>
    <row r="7233">
      <c r="A7233" s="115" t="str">
        <f>IFERROR(__xludf.DUMMYFUNCTION("""COMPUTED_VALUE"""),"SOUTH")</f>
        <v>SOUTH</v>
      </c>
      <c r="B7233" s="115" t="str">
        <f>IFERROR(__xludf.DUMMYFUNCTION("""COMPUTED_VALUE"""),"Kandula Sampath")</f>
        <v>Kandula Sampath</v>
      </c>
      <c r="C7233" s="115" t="str">
        <f>IFERROR(__xludf.DUMMYFUNCTION("""COMPUTED_VALUE"""),"MYNTRA")</f>
        <v>MYNTRA</v>
      </c>
      <c r="D7233" s="115">
        <f>IFERROR(__xludf.DUMMYFUNCTION("""COMPUTED_VALUE"""),41700.0)</f>
        <v>41700</v>
      </c>
      <c r="E7233" s="115">
        <f>IFERROR(__xludf.DUMMYFUNCTION("""COMPUTED_VALUE"""),9235.0)</f>
        <v>9235</v>
      </c>
      <c r="F7233" s="115">
        <f>IFERROR(__xludf.DUMMYFUNCTION("""COMPUTED_VALUE"""),24527.0)</f>
        <v>24527</v>
      </c>
      <c r="G7233" s="115">
        <f>IFERROR(__xludf.DUMMYFUNCTION("""COMPUTED_VALUE"""),1845.0)</f>
        <v>1845</v>
      </c>
      <c r="H7233" s="116">
        <f>IFERROR(__xludf.DUMMYFUNCTION("""COMPUTED_VALUE"""),45913.0)</f>
        <v>45913</v>
      </c>
      <c r="I7233" s="115" t="str">
        <f>IFERROR(__xludf.DUMMYFUNCTION("""COMPUTED_VALUE"""),"15")</f>
        <v>15</v>
      </c>
      <c r="J7233" s="115"/>
      <c r="K7233" s="115"/>
    </row>
    <row r="7234">
      <c r="A7234" s="115" t="str">
        <f>IFERROR(__xludf.DUMMYFUNCTION("""COMPUTED_VALUE"""),"SOUTH")</f>
        <v>SOUTH</v>
      </c>
      <c r="B7234" s="115" t="str">
        <f>IFERROR(__xludf.DUMMYFUNCTION("""COMPUTED_VALUE"""),"Martin A")</f>
        <v>Martin A</v>
      </c>
      <c r="C7234" s="115" t="str">
        <f>IFERROR(__xludf.DUMMYFUNCTION("""COMPUTED_VALUE"""),"EXTERNAL")</f>
        <v>EXTERNAL</v>
      </c>
      <c r="D7234" s="115">
        <f>IFERROR(__xludf.DUMMYFUNCTION("""COMPUTED_VALUE"""),28795.0)</f>
        <v>28795</v>
      </c>
      <c r="E7234" s="115">
        <f>IFERROR(__xludf.DUMMYFUNCTION("""COMPUTED_VALUE"""),3095.0)</f>
        <v>3095</v>
      </c>
      <c r="F7234" s="115">
        <f>IFERROR(__xludf.DUMMYFUNCTION("""COMPUTED_VALUE"""),9066.0)</f>
        <v>9066</v>
      </c>
      <c r="G7234" s="115">
        <f>IFERROR(__xludf.DUMMYFUNCTION("""COMPUTED_VALUE"""),766.0)</f>
        <v>766</v>
      </c>
      <c r="H7234" s="116">
        <f>IFERROR(__xludf.DUMMYFUNCTION("""COMPUTED_VALUE"""),45913.0)</f>
        <v>45913</v>
      </c>
      <c r="I7234" s="115" t="str">
        <f>IFERROR(__xludf.DUMMYFUNCTION("""COMPUTED_VALUE"""),"15")</f>
        <v>15</v>
      </c>
      <c r="J7234" s="115"/>
      <c r="K7234" s="115"/>
    </row>
    <row r="7235">
      <c r="A7235" s="115" t="str">
        <f>IFERROR(__xludf.DUMMYFUNCTION("""COMPUTED_VALUE"""),"SOUTH")</f>
        <v>SOUTH</v>
      </c>
      <c r="B7235" s="115" t="str">
        <f>IFERROR(__xludf.DUMMYFUNCTION("""COMPUTED_VALUE"""),"Martin A")</f>
        <v>Martin A</v>
      </c>
      <c r="C7235" s="115" t="str">
        <f>IFERROR(__xludf.DUMMYFUNCTION("""COMPUTED_VALUE"""),"FLIPKART")</f>
        <v>FLIPKART</v>
      </c>
      <c r="D7235" s="115">
        <f>IFERROR(__xludf.DUMMYFUNCTION("""COMPUTED_VALUE"""),323128.0)</f>
        <v>323128</v>
      </c>
      <c r="E7235" s="115">
        <f>IFERROR(__xludf.DUMMYFUNCTION("""COMPUTED_VALUE"""),27303.0)</f>
        <v>27303</v>
      </c>
      <c r="F7235" s="115">
        <f>IFERROR(__xludf.DUMMYFUNCTION("""COMPUTED_VALUE"""),180528.0)</f>
        <v>180528</v>
      </c>
      <c r="G7235" s="115">
        <f>IFERROR(__xludf.DUMMYFUNCTION("""COMPUTED_VALUE"""),7283.0)</f>
        <v>7283</v>
      </c>
      <c r="H7235" s="116">
        <f>IFERROR(__xludf.DUMMYFUNCTION("""COMPUTED_VALUE"""),45913.0)</f>
        <v>45913</v>
      </c>
      <c r="I7235" s="115" t="str">
        <f>IFERROR(__xludf.DUMMYFUNCTION("""COMPUTED_VALUE"""),"15")</f>
        <v>15</v>
      </c>
      <c r="J7235" s="115"/>
      <c r="K7235" s="115"/>
    </row>
    <row r="7236">
      <c r="A7236" s="115" t="str">
        <f>IFERROR(__xludf.DUMMYFUNCTION("""COMPUTED_VALUE"""),"SOUTH")</f>
        <v>SOUTH</v>
      </c>
      <c r="B7236" s="115" t="str">
        <f>IFERROR(__xludf.DUMMYFUNCTION("""COMPUTED_VALUE"""),"Martin A")</f>
        <v>Martin A</v>
      </c>
      <c r="C7236" s="115" t="str">
        <f>IFERROR(__xludf.DUMMYFUNCTION("""COMPUTED_VALUE"""),"MYNTRA")</f>
        <v>MYNTRA</v>
      </c>
      <c r="D7236" s="115">
        <f>IFERROR(__xludf.DUMMYFUNCTION("""COMPUTED_VALUE"""),27669.0)</f>
        <v>27669</v>
      </c>
      <c r="E7236" s="115">
        <f>IFERROR(__xludf.DUMMYFUNCTION("""COMPUTED_VALUE"""),6812.0)</f>
        <v>6812</v>
      </c>
      <c r="F7236" s="115">
        <f>IFERROR(__xludf.DUMMYFUNCTION("""COMPUTED_VALUE"""),17889.0)</f>
        <v>17889</v>
      </c>
      <c r="G7236" s="115">
        <f>IFERROR(__xludf.DUMMYFUNCTION("""COMPUTED_VALUE"""),2125.0)</f>
        <v>2125</v>
      </c>
      <c r="H7236" s="116">
        <f>IFERROR(__xludf.DUMMYFUNCTION("""COMPUTED_VALUE"""),45913.0)</f>
        <v>45913</v>
      </c>
      <c r="I7236" s="115" t="str">
        <f>IFERROR(__xludf.DUMMYFUNCTION("""COMPUTED_VALUE"""),"15")</f>
        <v>15</v>
      </c>
      <c r="J7236" s="115"/>
      <c r="K7236" s="115"/>
    </row>
    <row r="7237">
      <c r="A7237" s="115" t="str">
        <f>IFERROR(__xludf.DUMMYFUNCTION("""COMPUTED_VALUE"""),"SOUTH")</f>
        <v>SOUTH</v>
      </c>
      <c r="B7237" s="115" t="str">
        <f>IFERROR(__xludf.DUMMYFUNCTION("""COMPUTED_VALUE"""),"Premkumar M")</f>
        <v>Premkumar M</v>
      </c>
      <c r="C7237" s="115" t="str">
        <f>IFERROR(__xludf.DUMMYFUNCTION("""COMPUTED_VALUE"""),"EXTERNAL")</f>
        <v>EXTERNAL</v>
      </c>
      <c r="D7237" s="115">
        <f>IFERROR(__xludf.DUMMYFUNCTION("""COMPUTED_VALUE"""),27808.0)</f>
        <v>27808</v>
      </c>
      <c r="E7237" s="115">
        <f>IFERROR(__xludf.DUMMYFUNCTION("""COMPUTED_VALUE"""),1487.0)</f>
        <v>1487</v>
      </c>
      <c r="F7237" s="115">
        <f>IFERROR(__xludf.DUMMYFUNCTION("""COMPUTED_VALUE"""),7815.0)</f>
        <v>7815</v>
      </c>
      <c r="G7237" s="115">
        <f>IFERROR(__xludf.DUMMYFUNCTION("""COMPUTED_VALUE"""),94.0)</f>
        <v>94</v>
      </c>
      <c r="H7237" s="116">
        <f>IFERROR(__xludf.DUMMYFUNCTION("""COMPUTED_VALUE"""),45913.0)</f>
        <v>45913</v>
      </c>
      <c r="I7237" s="115" t="str">
        <f>IFERROR(__xludf.DUMMYFUNCTION("""COMPUTED_VALUE"""),"15")</f>
        <v>15</v>
      </c>
      <c r="J7237" s="115"/>
      <c r="K7237" s="115"/>
    </row>
    <row r="7238">
      <c r="A7238" s="115" t="str">
        <f>IFERROR(__xludf.DUMMYFUNCTION("""COMPUTED_VALUE"""),"SOUTH")</f>
        <v>SOUTH</v>
      </c>
      <c r="B7238" s="115" t="str">
        <f>IFERROR(__xludf.DUMMYFUNCTION("""COMPUTED_VALUE"""),"Premkumar M")</f>
        <v>Premkumar M</v>
      </c>
      <c r="C7238" s="115" t="str">
        <f>IFERROR(__xludf.DUMMYFUNCTION("""COMPUTED_VALUE"""),"FLIPKART")</f>
        <v>FLIPKART</v>
      </c>
      <c r="D7238" s="115">
        <f>IFERROR(__xludf.DUMMYFUNCTION("""COMPUTED_VALUE"""),318125.0)</f>
        <v>318125</v>
      </c>
      <c r="E7238" s="115">
        <f>IFERROR(__xludf.DUMMYFUNCTION("""COMPUTED_VALUE"""),17463.0)</f>
        <v>17463</v>
      </c>
      <c r="F7238" s="115">
        <f>IFERROR(__xludf.DUMMYFUNCTION("""COMPUTED_VALUE"""),144424.0)</f>
        <v>144424</v>
      </c>
      <c r="G7238" s="115">
        <f>IFERROR(__xludf.DUMMYFUNCTION("""COMPUTED_VALUE"""),1742.0)</f>
        <v>1742</v>
      </c>
      <c r="H7238" s="116">
        <f>IFERROR(__xludf.DUMMYFUNCTION("""COMPUTED_VALUE"""),45913.0)</f>
        <v>45913</v>
      </c>
      <c r="I7238" s="115" t="str">
        <f>IFERROR(__xludf.DUMMYFUNCTION("""COMPUTED_VALUE"""),"15")</f>
        <v>15</v>
      </c>
      <c r="J7238" s="115"/>
      <c r="K7238" s="115"/>
    </row>
    <row r="7239">
      <c r="A7239" s="115" t="str">
        <f>IFERROR(__xludf.DUMMYFUNCTION("""COMPUTED_VALUE"""),"SOUTH")</f>
        <v>SOUTH</v>
      </c>
      <c r="B7239" s="115" t="str">
        <f>IFERROR(__xludf.DUMMYFUNCTION("""COMPUTED_VALUE"""),"Premkumar M")</f>
        <v>Premkumar M</v>
      </c>
      <c r="C7239" s="115" t="str">
        <f>IFERROR(__xludf.DUMMYFUNCTION("""COMPUTED_VALUE"""),"MYNTRA")</f>
        <v>MYNTRA</v>
      </c>
      <c r="D7239" s="115">
        <f>IFERROR(__xludf.DUMMYFUNCTION("""COMPUTED_VALUE"""),15706.0)</f>
        <v>15706</v>
      </c>
      <c r="E7239" s="115">
        <f>IFERROR(__xludf.DUMMYFUNCTION("""COMPUTED_VALUE"""),2926.0)</f>
        <v>2926</v>
      </c>
      <c r="F7239" s="115">
        <f>IFERROR(__xludf.DUMMYFUNCTION("""COMPUTED_VALUE"""),8114.0)</f>
        <v>8114</v>
      </c>
      <c r="G7239" s="115">
        <f>IFERROR(__xludf.DUMMYFUNCTION("""COMPUTED_VALUE"""),300.0)</f>
        <v>300</v>
      </c>
      <c r="H7239" s="116">
        <f>IFERROR(__xludf.DUMMYFUNCTION("""COMPUTED_VALUE"""),45913.0)</f>
        <v>45913</v>
      </c>
      <c r="I7239" s="115" t="str">
        <f>IFERROR(__xludf.DUMMYFUNCTION("""COMPUTED_VALUE"""),"15")</f>
        <v>15</v>
      </c>
      <c r="J7239" s="115"/>
      <c r="K7239" s="115"/>
    </row>
    <row r="7240">
      <c r="A7240" s="115" t="str">
        <f>IFERROR(__xludf.DUMMYFUNCTION("""COMPUTED_VALUE"""),"SOUTH")</f>
        <v>SOUTH</v>
      </c>
      <c r="B7240" s="115" t="str">
        <f>IFERROR(__xludf.DUMMYFUNCTION("""COMPUTED_VALUE"""),"Vineeth V")</f>
        <v>Vineeth V</v>
      </c>
      <c r="C7240" s="115" t="str">
        <f>IFERROR(__xludf.DUMMYFUNCTION("""COMPUTED_VALUE"""),"EXTERNAL")</f>
        <v>EXTERNAL</v>
      </c>
      <c r="D7240" s="115">
        <f>IFERROR(__xludf.DUMMYFUNCTION("""COMPUTED_VALUE"""),20521.0)</f>
        <v>20521</v>
      </c>
      <c r="E7240" s="115">
        <f>IFERROR(__xludf.DUMMYFUNCTION("""COMPUTED_VALUE"""),483.0)</f>
        <v>483</v>
      </c>
      <c r="F7240" s="115">
        <f>IFERROR(__xludf.DUMMYFUNCTION("""COMPUTED_VALUE"""),6941.0)</f>
        <v>6941</v>
      </c>
      <c r="G7240" s="115">
        <f>IFERROR(__xludf.DUMMYFUNCTION("""COMPUTED_VALUE"""),50.0)</f>
        <v>50</v>
      </c>
      <c r="H7240" s="116">
        <f>IFERROR(__xludf.DUMMYFUNCTION("""COMPUTED_VALUE"""),45913.0)</f>
        <v>45913</v>
      </c>
      <c r="I7240" s="115" t="str">
        <f>IFERROR(__xludf.DUMMYFUNCTION("""COMPUTED_VALUE"""),"15")</f>
        <v>15</v>
      </c>
      <c r="J7240" s="115"/>
      <c r="K7240" s="115"/>
    </row>
    <row r="7241">
      <c r="A7241" s="115" t="str">
        <f>IFERROR(__xludf.DUMMYFUNCTION("""COMPUTED_VALUE"""),"SOUTH")</f>
        <v>SOUTH</v>
      </c>
      <c r="B7241" s="115" t="str">
        <f>IFERROR(__xludf.DUMMYFUNCTION("""COMPUTED_VALUE"""),"Vineeth V")</f>
        <v>Vineeth V</v>
      </c>
      <c r="C7241" s="115" t="str">
        <f>IFERROR(__xludf.DUMMYFUNCTION("""COMPUTED_VALUE"""),"FLIPKART")</f>
        <v>FLIPKART</v>
      </c>
      <c r="D7241" s="115">
        <f>IFERROR(__xludf.DUMMYFUNCTION("""COMPUTED_VALUE"""),219050.0)</f>
        <v>219050</v>
      </c>
      <c r="E7241" s="115">
        <f>IFERROR(__xludf.DUMMYFUNCTION("""COMPUTED_VALUE"""),13132.0)</f>
        <v>13132</v>
      </c>
      <c r="F7241" s="115">
        <f>IFERROR(__xludf.DUMMYFUNCTION("""COMPUTED_VALUE"""),118314.0)</f>
        <v>118314</v>
      </c>
      <c r="G7241" s="115">
        <f>IFERROR(__xludf.DUMMYFUNCTION("""COMPUTED_VALUE"""),1637.0)</f>
        <v>1637</v>
      </c>
      <c r="H7241" s="116">
        <f>IFERROR(__xludf.DUMMYFUNCTION("""COMPUTED_VALUE"""),45913.0)</f>
        <v>45913</v>
      </c>
      <c r="I7241" s="115" t="str">
        <f>IFERROR(__xludf.DUMMYFUNCTION("""COMPUTED_VALUE"""),"15")</f>
        <v>15</v>
      </c>
      <c r="J7241" s="115"/>
      <c r="K7241" s="115"/>
    </row>
    <row r="7242">
      <c r="A7242" s="115" t="str">
        <f>IFERROR(__xludf.DUMMYFUNCTION("""COMPUTED_VALUE"""),"SOUTH")</f>
        <v>SOUTH</v>
      </c>
      <c r="B7242" s="115" t="str">
        <f>IFERROR(__xludf.DUMMYFUNCTION("""COMPUTED_VALUE"""),"Vineeth V")</f>
        <v>Vineeth V</v>
      </c>
      <c r="C7242" s="115" t="str">
        <f>IFERROR(__xludf.DUMMYFUNCTION("""COMPUTED_VALUE"""),"MYNTRA")</f>
        <v>MYNTRA</v>
      </c>
      <c r="D7242" s="115">
        <f>IFERROR(__xludf.DUMMYFUNCTION("""COMPUTED_VALUE"""),16961.0)</f>
        <v>16961</v>
      </c>
      <c r="E7242" s="115">
        <f>IFERROR(__xludf.DUMMYFUNCTION("""COMPUTED_VALUE"""),3072.0)</f>
        <v>3072</v>
      </c>
      <c r="F7242" s="115">
        <f>IFERROR(__xludf.DUMMYFUNCTION("""COMPUTED_VALUE"""),9712.0)</f>
        <v>9712</v>
      </c>
      <c r="G7242" s="115">
        <f>IFERROR(__xludf.DUMMYFUNCTION("""COMPUTED_VALUE"""),389.0)</f>
        <v>389</v>
      </c>
      <c r="H7242" s="116">
        <f>IFERROR(__xludf.DUMMYFUNCTION("""COMPUTED_VALUE"""),45913.0)</f>
        <v>45913</v>
      </c>
      <c r="I7242" s="115" t="str">
        <f>IFERROR(__xludf.DUMMYFUNCTION("""COMPUTED_VALUE"""),"15")</f>
        <v>15</v>
      </c>
      <c r="J7242" s="115"/>
      <c r="K7242" s="115"/>
    </row>
    <row r="7243">
      <c r="A7243" s="115" t="str">
        <f>IFERROR(__xludf.DUMMYFUNCTION("""COMPUTED_VALUE"""),"WEST")</f>
        <v>WEST</v>
      </c>
      <c r="B7243" s="115" t="str">
        <f>IFERROR(__xludf.DUMMYFUNCTION("""COMPUTED_VALUE"""),"Ashish Jakar")</f>
        <v>Ashish Jakar</v>
      </c>
      <c r="C7243" s="115" t="str">
        <f>IFERROR(__xludf.DUMMYFUNCTION("""COMPUTED_VALUE"""),"EXTERNAL")</f>
        <v>EXTERNAL</v>
      </c>
      <c r="D7243" s="115">
        <f>IFERROR(__xludf.DUMMYFUNCTION("""COMPUTED_VALUE"""),60796.0)</f>
        <v>60796</v>
      </c>
      <c r="E7243" s="115">
        <f>IFERROR(__xludf.DUMMYFUNCTION("""COMPUTED_VALUE"""),5574.0)</f>
        <v>5574</v>
      </c>
      <c r="F7243" s="115">
        <f>IFERROR(__xludf.DUMMYFUNCTION("""COMPUTED_VALUE"""),17323.0)</f>
        <v>17323</v>
      </c>
      <c r="G7243" s="115">
        <f>IFERROR(__xludf.DUMMYFUNCTION("""COMPUTED_VALUE"""),1238.0)</f>
        <v>1238</v>
      </c>
      <c r="H7243" s="116">
        <f>IFERROR(__xludf.DUMMYFUNCTION("""COMPUTED_VALUE"""),45913.0)</f>
        <v>45913</v>
      </c>
      <c r="I7243" s="115" t="str">
        <f>IFERROR(__xludf.DUMMYFUNCTION("""COMPUTED_VALUE"""),"15")</f>
        <v>15</v>
      </c>
      <c r="J7243" s="115"/>
      <c r="K7243" s="115"/>
    </row>
    <row r="7244">
      <c r="A7244" s="115" t="str">
        <f>IFERROR(__xludf.DUMMYFUNCTION("""COMPUTED_VALUE"""),"WEST")</f>
        <v>WEST</v>
      </c>
      <c r="B7244" s="115" t="str">
        <f>IFERROR(__xludf.DUMMYFUNCTION("""COMPUTED_VALUE"""),"Ashish Jakar")</f>
        <v>Ashish Jakar</v>
      </c>
      <c r="C7244" s="115" t="str">
        <f>IFERROR(__xludf.DUMMYFUNCTION("""COMPUTED_VALUE"""),"FLIPKART")</f>
        <v>FLIPKART</v>
      </c>
      <c r="D7244" s="115">
        <f>IFERROR(__xludf.DUMMYFUNCTION("""COMPUTED_VALUE"""),472858.0)</f>
        <v>472858</v>
      </c>
      <c r="E7244" s="115">
        <f>IFERROR(__xludf.DUMMYFUNCTION("""COMPUTED_VALUE"""),36709.0)</f>
        <v>36709</v>
      </c>
      <c r="F7244" s="115">
        <f>IFERROR(__xludf.DUMMYFUNCTION("""COMPUTED_VALUE"""),225313.0)</f>
        <v>225313</v>
      </c>
      <c r="G7244" s="115">
        <f>IFERROR(__xludf.DUMMYFUNCTION("""COMPUTED_VALUE"""),8306.0)</f>
        <v>8306</v>
      </c>
      <c r="H7244" s="116">
        <f>IFERROR(__xludf.DUMMYFUNCTION("""COMPUTED_VALUE"""),45913.0)</f>
        <v>45913</v>
      </c>
      <c r="I7244" s="115" t="str">
        <f>IFERROR(__xludf.DUMMYFUNCTION("""COMPUTED_VALUE"""),"15")</f>
        <v>15</v>
      </c>
      <c r="J7244" s="115"/>
      <c r="K7244" s="115"/>
    </row>
    <row r="7245">
      <c r="A7245" s="115" t="str">
        <f>IFERROR(__xludf.DUMMYFUNCTION("""COMPUTED_VALUE"""),"WEST")</f>
        <v>WEST</v>
      </c>
      <c r="B7245" s="115" t="str">
        <f>IFERROR(__xludf.DUMMYFUNCTION("""COMPUTED_VALUE"""),"Ashish Jakar")</f>
        <v>Ashish Jakar</v>
      </c>
      <c r="C7245" s="115" t="str">
        <f>IFERROR(__xludf.DUMMYFUNCTION("""COMPUTED_VALUE"""),"MYNTRA")</f>
        <v>MYNTRA</v>
      </c>
      <c r="D7245" s="115">
        <f>IFERROR(__xludf.DUMMYFUNCTION("""COMPUTED_VALUE"""),47662.0)</f>
        <v>47662</v>
      </c>
      <c r="E7245" s="115">
        <f>IFERROR(__xludf.DUMMYFUNCTION("""COMPUTED_VALUE"""),11467.0)</f>
        <v>11467</v>
      </c>
      <c r="F7245" s="115">
        <f>IFERROR(__xludf.DUMMYFUNCTION("""COMPUTED_VALUE"""),26089.0)</f>
        <v>26089</v>
      </c>
      <c r="G7245" s="115">
        <f>IFERROR(__xludf.DUMMYFUNCTION("""COMPUTED_VALUE"""),2996.0)</f>
        <v>2996</v>
      </c>
      <c r="H7245" s="116">
        <f>IFERROR(__xludf.DUMMYFUNCTION("""COMPUTED_VALUE"""),45913.0)</f>
        <v>45913</v>
      </c>
      <c r="I7245" s="115" t="str">
        <f>IFERROR(__xludf.DUMMYFUNCTION("""COMPUTED_VALUE"""),"15")</f>
        <v>15</v>
      </c>
      <c r="J7245" s="115"/>
      <c r="K7245" s="115"/>
    </row>
    <row r="7246">
      <c r="A7246" s="115" t="str">
        <f>IFERROR(__xludf.DUMMYFUNCTION("""COMPUTED_VALUE"""),"WEST")</f>
        <v>WEST</v>
      </c>
      <c r="B7246" s="115" t="str">
        <f>IFERROR(__xludf.DUMMYFUNCTION("""COMPUTED_VALUE"""),"Ashvani Bhatt")</f>
        <v>Ashvani Bhatt</v>
      </c>
      <c r="C7246" s="115" t="str">
        <f>IFERROR(__xludf.DUMMYFUNCTION("""COMPUTED_VALUE"""),"EXTERNAL")</f>
        <v>EXTERNAL</v>
      </c>
      <c r="D7246" s="115">
        <f>IFERROR(__xludf.DUMMYFUNCTION("""COMPUTED_VALUE"""),39842.0)</f>
        <v>39842</v>
      </c>
      <c r="E7246" s="115">
        <f>IFERROR(__xludf.DUMMYFUNCTION("""COMPUTED_VALUE"""),2399.0)</f>
        <v>2399</v>
      </c>
      <c r="F7246" s="115">
        <f>IFERROR(__xludf.DUMMYFUNCTION("""COMPUTED_VALUE"""),12531.0)</f>
        <v>12531</v>
      </c>
      <c r="G7246" s="115">
        <f>IFERROR(__xludf.DUMMYFUNCTION("""COMPUTED_VALUE"""),525.0)</f>
        <v>525</v>
      </c>
      <c r="H7246" s="116">
        <f>IFERROR(__xludf.DUMMYFUNCTION("""COMPUTED_VALUE"""),45913.0)</f>
        <v>45913</v>
      </c>
      <c r="I7246" s="115" t="str">
        <f>IFERROR(__xludf.DUMMYFUNCTION("""COMPUTED_VALUE"""),"15")</f>
        <v>15</v>
      </c>
      <c r="J7246" s="115"/>
      <c r="K7246" s="115"/>
    </row>
    <row r="7247">
      <c r="A7247" s="115" t="str">
        <f>IFERROR(__xludf.DUMMYFUNCTION("""COMPUTED_VALUE"""),"WEST")</f>
        <v>WEST</v>
      </c>
      <c r="B7247" s="115" t="str">
        <f>IFERROR(__xludf.DUMMYFUNCTION("""COMPUTED_VALUE"""),"Ashvani Bhatt")</f>
        <v>Ashvani Bhatt</v>
      </c>
      <c r="C7247" s="115" t="str">
        <f>IFERROR(__xludf.DUMMYFUNCTION("""COMPUTED_VALUE"""),"FLIPKART")</f>
        <v>FLIPKART</v>
      </c>
      <c r="D7247" s="115">
        <f>IFERROR(__xludf.DUMMYFUNCTION("""COMPUTED_VALUE"""),333326.0)</f>
        <v>333326</v>
      </c>
      <c r="E7247" s="115">
        <f>IFERROR(__xludf.DUMMYFUNCTION("""COMPUTED_VALUE"""),30889.0)</f>
        <v>30889</v>
      </c>
      <c r="F7247" s="115">
        <f>IFERROR(__xludf.DUMMYFUNCTION("""COMPUTED_VALUE"""),190069.0)</f>
        <v>190069</v>
      </c>
      <c r="G7247" s="115">
        <f>IFERROR(__xludf.DUMMYFUNCTION("""COMPUTED_VALUE"""),8055.0)</f>
        <v>8055</v>
      </c>
      <c r="H7247" s="116">
        <f>IFERROR(__xludf.DUMMYFUNCTION("""COMPUTED_VALUE"""),45913.0)</f>
        <v>45913</v>
      </c>
      <c r="I7247" s="115" t="str">
        <f>IFERROR(__xludf.DUMMYFUNCTION("""COMPUTED_VALUE"""),"15")</f>
        <v>15</v>
      </c>
      <c r="J7247" s="115"/>
      <c r="K7247" s="115"/>
    </row>
    <row r="7248">
      <c r="A7248" s="115" t="str">
        <f>IFERROR(__xludf.DUMMYFUNCTION("""COMPUTED_VALUE"""),"WEST")</f>
        <v>WEST</v>
      </c>
      <c r="B7248" s="115" t="str">
        <f>IFERROR(__xludf.DUMMYFUNCTION("""COMPUTED_VALUE"""),"Ashvani Bhatt")</f>
        <v>Ashvani Bhatt</v>
      </c>
      <c r="C7248" s="115" t="str">
        <f>IFERROR(__xludf.DUMMYFUNCTION("""COMPUTED_VALUE"""),"MYNTRA")</f>
        <v>MYNTRA</v>
      </c>
      <c r="D7248" s="115">
        <f>IFERROR(__xludf.DUMMYFUNCTION("""COMPUTED_VALUE"""),35798.0)</f>
        <v>35798</v>
      </c>
      <c r="E7248" s="115">
        <f>IFERROR(__xludf.DUMMYFUNCTION("""COMPUTED_VALUE"""),8874.0)</f>
        <v>8874</v>
      </c>
      <c r="F7248" s="115">
        <f>IFERROR(__xludf.DUMMYFUNCTION("""COMPUTED_VALUE"""),23533.0)</f>
        <v>23533</v>
      </c>
      <c r="G7248" s="115">
        <f>IFERROR(__xludf.DUMMYFUNCTION("""COMPUTED_VALUE"""),2752.0)</f>
        <v>2752</v>
      </c>
      <c r="H7248" s="116">
        <f>IFERROR(__xludf.DUMMYFUNCTION("""COMPUTED_VALUE"""),45913.0)</f>
        <v>45913</v>
      </c>
      <c r="I7248" s="115" t="str">
        <f>IFERROR(__xludf.DUMMYFUNCTION("""COMPUTED_VALUE"""),"15")</f>
        <v>15</v>
      </c>
      <c r="J7248" s="115"/>
      <c r="K7248" s="115"/>
    </row>
    <row r="7249">
      <c r="A7249" s="115"/>
      <c r="B7249" s="115"/>
      <c r="C7249" s="115" t="str">
        <f>IFERROR(__xludf.DUMMYFUNCTION("""COMPUTED_VALUE"""),"EXTERNAL")</f>
        <v>EXTERNAL</v>
      </c>
      <c r="D7249" s="115">
        <f>IFERROR(__xludf.DUMMYFUNCTION("""COMPUTED_VALUE"""),1598.0)</f>
        <v>1598</v>
      </c>
      <c r="E7249" s="115">
        <f>IFERROR(__xludf.DUMMYFUNCTION("""COMPUTED_VALUE"""),259.0)</f>
        <v>259</v>
      </c>
      <c r="F7249" s="115">
        <f>IFERROR(__xludf.DUMMYFUNCTION("""COMPUTED_VALUE"""),433.0)</f>
        <v>433</v>
      </c>
      <c r="G7249" s="115">
        <f>IFERROR(__xludf.DUMMYFUNCTION("""COMPUTED_VALUE"""),65.0)</f>
        <v>65</v>
      </c>
      <c r="H7249" s="116">
        <f>IFERROR(__xludf.DUMMYFUNCTION("""COMPUTED_VALUE"""),45913.0)</f>
        <v>45913</v>
      </c>
      <c r="I7249" s="115" t="str">
        <f>IFERROR(__xludf.DUMMYFUNCTION("""COMPUTED_VALUE"""),"15")</f>
        <v>15</v>
      </c>
      <c r="J7249" s="115"/>
      <c r="K7249" s="115"/>
    </row>
    <row r="7250">
      <c r="A7250" s="115"/>
      <c r="B7250" s="115"/>
      <c r="C7250" s="115" t="str">
        <f>IFERROR(__xludf.DUMMYFUNCTION("""COMPUTED_VALUE"""),"FLIPKART")</f>
        <v>FLIPKART</v>
      </c>
      <c r="D7250" s="115">
        <f>IFERROR(__xludf.DUMMYFUNCTION("""COMPUTED_VALUE"""),19449.0)</f>
        <v>19449</v>
      </c>
      <c r="E7250" s="115">
        <f>IFERROR(__xludf.DUMMYFUNCTION("""COMPUTED_VALUE"""),1710.0)</f>
        <v>1710</v>
      </c>
      <c r="F7250" s="115">
        <f>IFERROR(__xludf.DUMMYFUNCTION("""COMPUTED_VALUE"""),8089.0)</f>
        <v>8089</v>
      </c>
      <c r="G7250" s="115">
        <f>IFERROR(__xludf.DUMMYFUNCTION("""COMPUTED_VALUE"""),468.0)</f>
        <v>468</v>
      </c>
      <c r="H7250" s="116">
        <f>IFERROR(__xludf.DUMMYFUNCTION("""COMPUTED_VALUE"""),45913.0)</f>
        <v>45913</v>
      </c>
      <c r="I7250" s="115" t="str">
        <f>IFERROR(__xludf.DUMMYFUNCTION("""COMPUTED_VALUE"""),"15")</f>
        <v>15</v>
      </c>
      <c r="J7250" s="115"/>
      <c r="K7250" s="115"/>
    </row>
    <row r="7251">
      <c r="A7251" s="115"/>
      <c r="B7251" s="115"/>
      <c r="C7251" s="115" t="str">
        <f>IFERROR(__xludf.DUMMYFUNCTION("""COMPUTED_VALUE"""),"MYNTRA")</f>
        <v>MYNTRA</v>
      </c>
      <c r="D7251" s="115">
        <f>IFERROR(__xludf.DUMMYFUNCTION("""COMPUTED_VALUE"""),1880.0)</f>
        <v>1880</v>
      </c>
      <c r="E7251" s="115">
        <f>IFERROR(__xludf.DUMMYFUNCTION("""COMPUTED_VALUE"""),500.0)</f>
        <v>500</v>
      </c>
      <c r="F7251" s="115">
        <f>IFERROR(__xludf.DUMMYFUNCTION("""COMPUTED_VALUE"""),995.0)</f>
        <v>995</v>
      </c>
      <c r="G7251" s="115">
        <f>IFERROR(__xludf.DUMMYFUNCTION("""COMPUTED_VALUE"""),165.0)</f>
        <v>165</v>
      </c>
      <c r="H7251" s="116">
        <f>IFERROR(__xludf.DUMMYFUNCTION("""COMPUTED_VALUE"""),45913.0)</f>
        <v>45913</v>
      </c>
      <c r="I7251" s="115" t="str">
        <f>IFERROR(__xludf.DUMMYFUNCTION("""COMPUTED_VALUE"""),"15")</f>
        <v>15</v>
      </c>
      <c r="J7251" s="115"/>
      <c r="K7251" s="115"/>
    </row>
    <row r="7252">
      <c r="A7252" s="115" t="str">
        <f>IFERROR(__xludf.DUMMYFUNCTION("""COMPUTED_VALUE"""),"EAST")</f>
        <v>EAST</v>
      </c>
      <c r="B7252" s="115" t="str">
        <f>IFERROR(__xludf.DUMMYFUNCTION("""COMPUTED_VALUE"""),"Ashish Ranjan")</f>
        <v>Ashish Ranjan</v>
      </c>
      <c r="C7252" s="115" t="str">
        <f>IFERROR(__xludf.DUMMYFUNCTION("""COMPUTED_VALUE"""),"EXTERNAL")</f>
        <v>EXTERNAL</v>
      </c>
      <c r="D7252" s="115">
        <f>IFERROR(__xludf.DUMMYFUNCTION("""COMPUTED_VALUE"""),42015.0)</f>
        <v>42015</v>
      </c>
      <c r="E7252" s="115">
        <f>IFERROR(__xludf.DUMMYFUNCTION("""COMPUTED_VALUE"""),2763.0)</f>
        <v>2763</v>
      </c>
      <c r="F7252" s="115">
        <f>IFERROR(__xludf.DUMMYFUNCTION("""COMPUTED_VALUE"""),17836.0)</f>
        <v>17836</v>
      </c>
      <c r="G7252" s="115">
        <f>IFERROR(__xludf.DUMMYFUNCTION("""COMPUTED_VALUE"""),787.0)</f>
        <v>787</v>
      </c>
      <c r="H7252" s="116">
        <f>IFERROR(__xludf.DUMMYFUNCTION("""COMPUTED_VALUE"""),45913.0)</f>
        <v>45913</v>
      </c>
      <c r="I7252" s="115" t="str">
        <f>IFERROR(__xludf.DUMMYFUNCTION("""COMPUTED_VALUE"""),"16")</f>
        <v>16</v>
      </c>
      <c r="J7252" s="115"/>
      <c r="K7252" s="115"/>
    </row>
    <row r="7253">
      <c r="A7253" s="115" t="str">
        <f>IFERROR(__xludf.DUMMYFUNCTION("""COMPUTED_VALUE"""),"EAST")</f>
        <v>EAST</v>
      </c>
      <c r="B7253" s="115" t="str">
        <f>IFERROR(__xludf.DUMMYFUNCTION("""COMPUTED_VALUE"""),"Ashish Ranjan")</f>
        <v>Ashish Ranjan</v>
      </c>
      <c r="C7253" s="115" t="str">
        <f>IFERROR(__xludf.DUMMYFUNCTION("""COMPUTED_VALUE"""),"FLIPKART")</f>
        <v>FLIPKART</v>
      </c>
      <c r="D7253" s="115">
        <f>IFERROR(__xludf.DUMMYFUNCTION("""COMPUTED_VALUE"""),878867.0)</f>
        <v>878867</v>
      </c>
      <c r="E7253" s="115">
        <f>IFERROR(__xludf.DUMMYFUNCTION("""COMPUTED_VALUE"""),69910.0)</f>
        <v>69910</v>
      </c>
      <c r="F7253" s="115">
        <f>IFERROR(__xludf.DUMMYFUNCTION("""COMPUTED_VALUE"""),610979.0)</f>
        <v>610979</v>
      </c>
      <c r="G7253" s="115">
        <f>IFERROR(__xludf.DUMMYFUNCTION("""COMPUTED_VALUE"""),26100.0)</f>
        <v>26100</v>
      </c>
      <c r="H7253" s="116">
        <f>IFERROR(__xludf.DUMMYFUNCTION("""COMPUTED_VALUE"""),45913.0)</f>
        <v>45913</v>
      </c>
      <c r="I7253" s="115" t="str">
        <f>IFERROR(__xludf.DUMMYFUNCTION("""COMPUTED_VALUE"""),"16")</f>
        <v>16</v>
      </c>
      <c r="J7253" s="115"/>
      <c r="K7253" s="115"/>
    </row>
    <row r="7254">
      <c r="A7254" s="115" t="str">
        <f>IFERROR(__xludf.DUMMYFUNCTION("""COMPUTED_VALUE"""),"EAST")</f>
        <v>EAST</v>
      </c>
      <c r="B7254" s="115" t="str">
        <f>IFERROR(__xludf.DUMMYFUNCTION("""COMPUTED_VALUE"""),"Ashish Ranjan")</f>
        <v>Ashish Ranjan</v>
      </c>
      <c r="C7254" s="115" t="str">
        <f>IFERROR(__xludf.DUMMYFUNCTION("""COMPUTED_VALUE"""),"MYNTRA")</f>
        <v>MYNTRA</v>
      </c>
      <c r="D7254" s="115">
        <f>IFERROR(__xludf.DUMMYFUNCTION("""COMPUTED_VALUE"""),84617.0)</f>
        <v>84617</v>
      </c>
      <c r="E7254" s="115">
        <f>IFERROR(__xludf.DUMMYFUNCTION("""COMPUTED_VALUE"""),16380.0)</f>
        <v>16380</v>
      </c>
      <c r="F7254" s="115">
        <f>IFERROR(__xludf.DUMMYFUNCTION("""COMPUTED_VALUE"""),58485.0)</f>
        <v>58485</v>
      </c>
      <c r="G7254" s="115">
        <f>IFERROR(__xludf.DUMMYFUNCTION("""COMPUTED_VALUE"""),6063.0)</f>
        <v>6063</v>
      </c>
      <c r="H7254" s="116">
        <f>IFERROR(__xludf.DUMMYFUNCTION("""COMPUTED_VALUE"""),45913.0)</f>
        <v>45913</v>
      </c>
      <c r="I7254" s="115" t="str">
        <f>IFERROR(__xludf.DUMMYFUNCTION("""COMPUTED_VALUE"""),"16")</f>
        <v>16</v>
      </c>
      <c r="J7254" s="115"/>
      <c r="K7254" s="115"/>
    </row>
    <row r="7255">
      <c r="A7255" s="115" t="str">
        <f>IFERROR(__xludf.DUMMYFUNCTION("""COMPUTED_VALUE"""),"EAST")</f>
        <v>EAST</v>
      </c>
      <c r="B7255" s="115" t="str">
        <f>IFERROR(__xludf.DUMMYFUNCTION("""COMPUTED_VALUE"""),"Girish Chand")</f>
        <v>Girish Chand</v>
      </c>
      <c r="C7255" s="115" t="str">
        <f>IFERROR(__xludf.DUMMYFUNCTION("""COMPUTED_VALUE"""),"EXTERNAL")</f>
        <v>EXTERNAL</v>
      </c>
      <c r="D7255" s="115">
        <f>IFERROR(__xludf.DUMMYFUNCTION("""COMPUTED_VALUE"""),23542.0)</f>
        <v>23542</v>
      </c>
      <c r="E7255" s="115">
        <f>IFERROR(__xludf.DUMMYFUNCTION("""COMPUTED_VALUE"""),1387.0)</f>
        <v>1387</v>
      </c>
      <c r="F7255" s="115">
        <f>IFERROR(__xludf.DUMMYFUNCTION("""COMPUTED_VALUE"""),8153.0)</f>
        <v>8153</v>
      </c>
      <c r="G7255" s="115">
        <f>IFERROR(__xludf.DUMMYFUNCTION("""COMPUTED_VALUE"""),237.0)</f>
        <v>237</v>
      </c>
      <c r="H7255" s="116">
        <f>IFERROR(__xludf.DUMMYFUNCTION("""COMPUTED_VALUE"""),45913.0)</f>
        <v>45913</v>
      </c>
      <c r="I7255" s="115" t="str">
        <f>IFERROR(__xludf.DUMMYFUNCTION("""COMPUTED_VALUE"""),"16")</f>
        <v>16</v>
      </c>
      <c r="J7255" s="115"/>
      <c r="K7255" s="115"/>
    </row>
    <row r="7256">
      <c r="A7256" s="115" t="str">
        <f>IFERROR(__xludf.DUMMYFUNCTION("""COMPUTED_VALUE"""),"EAST")</f>
        <v>EAST</v>
      </c>
      <c r="B7256" s="115" t="str">
        <f>IFERROR(__xludf.DUMMYFUNCTION("""COMPUTED_VALUE"""),"Girish Chand")</f>
        <v>Girish Chand</v>
      </c>
      <c r="C7256" s="115" t="str">
        <f>IFERROR(__xludf.DUMMYFUNCTION("""COMPUTED_VALUE"""),"FLIPKART")</f>
        <v>FLIPKART</v>
      </c>
      <c r="D7256" s="115">
        <f>IFERROR(__xludf.DUMMYFUNCTION("""COMPUTED_VALUE"""),506127.0)</f>
        <v>506127</v>
      </c>
      <c r="E7256" s="115">
        <f>IFERROR(__xludf.DUMMYFUNCTION("""COMPUTED_VALUE"""),39069.0)</f>
        <v>39069</v>
      </c>
      <c r="F7256" s="115">
        <f>IFERROR(__xludf.DUMMYFUNCTION("""COMPUTED_VALUE"""),308239.0)</f>
        <v>308239</v>
      </c>
      <c r="G7256" s="115">
        <f>IFERROR(__xludf.DUMMYFUNCTION("""COMPUTED_VALUE"""),10901.0)</f>
        <v>10901</v>
      </c>
      <c r="H7256" s="116">
        <f>IFERROR(__xludf.DUMMYFUNCTION("""COMPUTED_VALUE"""),45913.0)</f>
        <v>45913</v>
      </c>
      <c r="I7256" s="115" t="str">
        <f>IFERROR(__xludf.DUMMYFUNCTION("""COMPUTED_VALUE"""),"16")</f>
        <v>16</v>
      </c>
      <c r="J7256" s="115"/>
      <c r="K7256" s="115"/>
    </row>
    <row r="7257">
      <c r="A7257" s="115" t="str">
        <f>IFERROR(__xludf.DUMMYFUNCTION("""COMPUTED_VALUE"""),"EAST")</f>
        <v>EAST</v>
      </c>
      <c r="B7257" s="115" t="str">
        <f>IFERROR(__xludf.DUMMYFUNCTION("""COMPUTED_VALUE"""),"Girish Chand")</f>
        <v>Girish Chand</v>
      </c>
      <c r="C7257" s="115" t="str">
        <f>IFERROR(__xludf.DUMMYFUNCTION("""COMPUTED_VALUE"""),"MYNTRA")</f>
        <v>MYNTRA</v>
      </c>
      <c r="D7257" s="115">
        <f>IFERROR(__xludf.DUMMYFUNCTION("""COMPUTED_VALUE"""),39370.0)</f>
        <v>39370</v>
      </c>
      <c r="E7257" s="115">
        <f>IFERROR(__xludf.DUMMYFUNCTION("""COMPUTED_VALUE"""),7050.0)</f>
        <v>7050</v>
      </c>
      <c r="F7257" s="115">
        <f>IFERROR(__xludf.DUMMYFUNCTION("""COMPUTED_VALUE"""),25513.0)</f>
        <v>25513</v>
      </c>
      <c r="G7257" s="115">
        <f>IFERROR(__xludf.DUMMYFUNCTION("""COMPUTED_VALUE"""),2040.0)</f>
        <v>2040</v>
      </c>
      <c r="H7257" s="116">
        <f>IFERROR(__xludf.DUMMYFUNCTION("""COMPUTED_VALUE"""),45913.0)</f>
        <v>45913</v>
      </c>
      <c r="I7257" s="115" t="str">
        <f>IFERROR(__xludf.DUMMYFUNCTION("""COMPUTED_VALUE"""),"16")</f>
        <v>16</v>
      </c>
      <c r="J7257" s="115"/>
      <c r="K7257" s="115"/>
    </row>
    <row r="7258">
      <c r="A7258" s="115" t="str">
        <f>IFERROR(__xludf.DUMMYFUNCTION("""COMPUTED_VALUE"""),"EAST")</f>
        <v>EAST</v>
      </c>
      <c r="B7258" s="115" t="str">
        <f>IFERROR(__xludf.DUMMYFUNCTION("""COMPUTED_VALUE"""),"Parag Kashyap")</f>
        <v>Parag Kashyap</v>
      </c>
      <c r="C7258" s="115" t="str">
        <f>IFERROR(__xludf.DUMMYFUNCTION("""COMPUTED_VALUE"""),"EXTERNAL")</f>
        <v>EXTERNAL</v>
      </c>
      <c r="D7258" s="115">
        <f>IFERROR(__xludf.DUMMYFUNCTION("""COMPUTED_VALUE"""),16493.0)</f>
        <v>16493</v>
      </c>
      <c r="E7258" s="115">
        <f>IFERROR(__xludf.DUMMYFUNCTION("""COMPUTED_VALUE"""),733.0)</f>
        <v>733</v>
      </c>
      <c r="F7258" s="115">
        <f>IFERROR(__xludf.DUMMYFUNCTION("""COMPUTED_VALUE"""),5513.0)</f>
        <v>5513</v>
      </c>
      <c r="G7258" s="115">
        <f>IFERROR(__xludf.DUMMYFUNCTION("""COMPUTED_VALUE"""),101.0)</f>
        <v>101</v>
      </c>
      <c r="H7258" s="116">
        <f>IFERROR(__xludf.DUMMYFUNCTION("""COMPUTED_VALUE"""),45913.0)</f>
        <v>45913</v>
      </c>
      <c r="I7258" s="115" t="str">
        <f>IFERROR(__xludf.DUMMYFUNCTION("""COMPUTED_VALUE"""),"16")</f>
        <v>16</v>
      </c>
      <c r="J7258" s="115"/>
      <c r="K7258" s="115"/>
    </row>
    <row r="7259">
      <c r="A7259" s="115" t="str">
        <f>IFERROR(__xludf.DUMMYFUNCTION("""COMPUTED_VALUE"""),"EAST")</f>
        <v>EAST</v>
      </c>
      <c r="B7259" s="115" t="str">
        <f>IFERROR(__xludf.DUMMYFUNCTION("""COMPUTED_VALUE"""),"Parag Kashyap")</f>
        <v>Parag Kashyap</v>
      </c>
      <c r="C7259" s="115" t="str">
        <f>IFERROR(__xludf.DUMMYFUNCTION("""COMPUTED_VALUE"""),"FLIPKART")</f>
        <v>FLIPKART</v>
      </c>
      <c r="D7259" s="115">
        <f>IFERROR(__xludf.DUMMYFUNCTION("""COMPUTED_VALUE"""),316588.0)</f>
        <v>316588</v>
      </c>
      <c r="E7259" s="115">
        <f>IFERROR(__xludf.DUMMYFUNCTION("""COMPUTED_VALUE"""),18622.0)</f>
        <v>18622</v>
      </c>
      <c r="F7259" s="115">
        <f>IFERROR(__xludf.DUMMYFUNCTION("""COMPUTED_VALUE"""),189649.0)</f>
        <v>189649</v>
      </c>
      <c r="G7259" s="115">
        <f>IFERROR(__xludf.DUMMYFUNCTION("""COMPUTED_VALUE"""),3922.0)</f>
        <v>3922</v>
      </c>
      <c r="H7259" s="116">
        <f>IFERROR(__xludf.DUMMYFUNCTION("""COMPUTED_VALUE"""),45913.0)</f>
        <v>45913</v>
      </c>
      <c r="I7259" s="115" t="str">
        <f>IFERROR(__xludf.DUMMYFUNCTION("""COMPUTED_VALUE"""),"16")</f>
        <v>16</v>
      </c>
      <c r="J7259" s="115"/>
      <c r="K7259" s="115"/>
    </row>
    <row r="7260">
      <c r="A7260" s="115" t="str">
        <f>IFERROR(__xludf.DUMMYFUNCTION("""COMPUTED_VALUE"""),"EAST")</f>
        <v>EAST</v>
      </c>
      <c r="B7260" s="115" t="str">
        <f>IFERROR(__xludf.DUMMYFUNCTION("""COMPUTED_VALUE"""),"Parag Kashyap")</f>
        <v>Parag Kashyap</v>
      </c>
      <c r="C7260" s="115" t="str">
        <f>IFERROR(__xludf.DUMMYFUNCTION("""COMPUTED_VALUE"""),"MYNTRA")</f>
        <v>MYNTRA</v>
      </c>
      <c r="D7260" s="115">
        <f>IFERROR(__xludf.DUMMYFUNCTION("""COMPUTED_VALUE"""),36484.0)</f>
        <v>36484</v>
      </c>
      <c r="E7260" s="115">
        <f>IFERROR(__xludf.DUMMYFUNCTION("""COMPUTED_VALUE"""),6075.0)</f>
        <v>6075</v>
      </c>
      <c r="F7260" s="115">
        <f>IFERROR(__xludf.DUMMYFUNCTION("""COMPUTED_VALUE"""),22730.0)</f>
        <v>22730</v>
      </c>
      <c r="G7260" s="115">
        <f>IFERROR(__xludf.DUMMYFUNCTION("""COMPUTED_VALUE"""),1300.0)</f>
        <v>1300</v>
      </c>
      <c r="H7260" s="116">
        <f>IFERROR(__xludf.DUMMYFUNCTION("""COMPUTED_VALUE"""),45913.0)</f>
        <v>45913</v>
      </c>
      <c r="I7260" s="115" t="str">
        <f>IFERROR(__xludf.DUMMYFUNCTION("""COMPUTED_VALUE"""),"16")</f>
        <v>16</v>
      </c>
      <c r="J7260" s="115"/>
      <c r="K7260" s="115"/>
    </row>
    <row r="7261">
      <c r="A7261" s="115" t="str">
        <f>IFERROR(__xludf.DUMMYFUNCTION("""COMPUTED_VALUE"""),"NORTH")</f>
        <v>NORTH</v>
      </c>
      <c r="B7261" s="115" t="str">
        <f>IFERROR(__xludf.DUMMYFUNCTION("""COMPUTED_VALUE"""),"Amit Kumar Pathak")</f>
        <v>Amit Kumar Pathak</v>
      </c>
      <c r="C7261" s="115" t="str">
        <f>IFERROR(__xludf.DUMMYFUNCTION("""COMPUTED_VALUE"""),"EXTERNAL")</f>
        <v>EXTERNAL</v>
      </c>
      <c r="D7261" s="115">
        <f>IFERROR(__xludf.DUMMYFUNCTION("""COMPUTED_VALUE"""),29572.0)</f>
        <v>29572</v>
      </c>
      <c r="E7261" s="115">
        <f>IFERROR(__xludf.DUMMYFUNCTION("""COMPUTED_VALUE"""),2611.0)</f>
        <v>2611</v>
      </c>
      <c r="F7261" s="115">
        <f>IFERROR(__xludf.DUMMYFUNCTION("""COMPUTED_VALUE"""),8655.0)</f>
        <v>8655</v>
      </c>
      <c r="G7261" s="115">
        <f>IFERROR(__xludf.DUMMYFUNCTION("""COMPUTED_VALUE"""),963.0)</f>
        <v>963</v>
      </c>
      <c r="H7261" s="116">
        <f>IFERROR(__xludf.DUMMYFUNCTION("""COMPUTED_VALUE"""),45913.0)</f>
        <v>45913</v>
      </c>
      <c r="I7261" s="115" t="str">
        <f>IFERROR(__xludf.DUMMYFUNCTION("""COMPUTED_VALUE"""),"16")</f>
        <v>16</v>
      </c>
      <c r="J7261" s="115"/>
      <c r="K7261" s="115"/>
    </row>
    <row r="7262">
      <c r="A7262" s="115" t="str">
        <f>IFERROR(__xludf.DUMMYFUNCTION("""COMPUTED_VALUE"""),"NORTH")</f>
        <v>NORTH</v>
      </c>
      <c r="B7262" s="115" t="str">
        <f>IFERROR(__xludf.DUMMYFUNCTION("""COMPUTED_VALUE"""),"Amit Kumar Pathak")</f>
        <v>Amit Kumar Pathak</v>
      </c>
      <c r="C7262" s="115" t="str">
        <f>IFERROR(__xludf.DUMMYFUNCTION("""COMPUTED_VALUE"""),"FLIPKART")</f>
        <v>FLIPKART</v>
      </c>
      <c r="D7262" s="115">
        <f>IFERROR(__xludf.DUMMYFUNCTION("""COMPUTED_VALUE"""),207937.0)</f>
        <v>207937</v>
      </c>
      <c r="E7262" s="115">
        <f>IFERROR(__xludf.DUMMYFUNCTION("""COMPUTED_VALUE"""),23036.0)</f>
        <v>23036</v>
      </c>
      <c r="F7262" s="115">
        <f>IFERROR(__xludf.DUMMYFUNCTION("""COMPUTED_VALUE"""),112985.0)</f>
        <v>112985</v>
      </c>
      <c r="G7262" s="115">
        <f>IFERROR(__xludf.DUMMYFUNCTION("""COMPUTED_VALUE"""),9381.0)</f>
        <v>9381</v>
      </c>
      <c r="H7262" s="116">
        <f>IFERROR(__xludf.DUMMYFUNCTION("""COMPUTED_VALUE"""),45913.0)</f>
        <v>45913</v>
      </c>
      <c r="I7262" s="115" t="str">
        <f>IFERROR(__xludf.DUMMYFUNCTION("""COMPUTED_VALUE"""),"16")</f>
        <v>16</v>
      </c>
      <c r="J7262" s="115"/>
      <c r="K7262" s="115"/>
    </row>
    <row r="7263">
      <c r="A7263" s="115" t="str">
        <f>IFERROR(__xludf.DUMMYFUNCTION("""COMPUTED_VALUE"""),"NORTH")</f>
        <v>NORTH</v>
      </c>
      <c r="B7263" s="115" t="str">
        <f>IFERROR(__xludf.DUMMYFUNCTION("""COMPUTED_VALUE"""),"Amit Kumar Pathak")</f>
        <v>Amit Kumar Pathak</v>
      </c>
      <c r="C7263" s="115" t="str">
        <f>IFERROR(__xludf.DUMMYFUNCTION("""COMPUTED_VALUE"""),"MYNTRA")</f>
        <v>MYNTRA</v>
      </c>
      <c r="D7263" s="115">
        <f>IFERROR(__xludf.DUMMYFUNCTION("""COMPUTED_VALUE"""),17407.0)</f>
        <v>17407</v>
      </c>
      <c r="E7263" s="115">
        <f>IFERROR(__xludf.DUMMYFUNCTION("""COMPUTED_VALUE"""),5587.0)</f>
        <v>5587</v>
      </c>
      <c r="F7263" s="115">
        <f>IFERROR(__xludf.DUMMYFUNCTION("""COMPUTED_VALUE"""),10741.0)</f>
        <v>10741</v>
      </c>
      <c r="G7263" s="115">
        <f>IFERROR(__xludf.DUMMYFUNCTION("""COMPUTED_VALUE"""),2535.0)</f>
        <v>2535</v>
      </c>
      <c r="H7263" s="116">
        <f>IFERROR(__xludf.DUMMYFUNCTION("""COMPUTED_VALUE"""),45913.0)</f>
        <v>45913</v>
      </c>
      <c r="I7263" s="115" t="str">
        <f>IFERROR(__xludf.DUMMYFUNCTION("""COMPUTED_VALUE"""),"16")</f>
        <v>16</v>
      </c>
      <c r="J7263" s="115"/>
      <c r="K7263" s="115"/>
    </row>
    <row r="7264">
      <c r="A7264" s="115" t="str">
        <f>IFERROR(__xludf.DUMMYFUNCTION("""COMPUTED_VALUE"""),"NORTH")</f>
        <v>NORTH</v>
      </c>
      <c r="B7264" s="115" t="str">
        <f>IFERROR(__xludf.DUMMYFUNCTION("""COMPUTED_VALUE"""),"Ashvani Bhatt")</f>
        <v>Ashvani Bhatt</v>
      </c>
      <c r="C7264" s="115" t="str">
        <f>IFERROR(__xludf.DUMMYFUNCTION("""COMPUTED_VALUE"""),"EXTERNAL")</f>
        <v>EXTERNAL</v>
      </c>
      <c r="D7264" s="115">
        <f>IFERROR(__xludf.DUMMYFUNCTION("""COMPUTED_VALUE"""),45.0)</f>
        <v>45</v>
      </c>
      <c r="E7264" s="115">
        <f>IFERROR(__xludf.DUMMYFUNCTION("""COMPUTED_VALUE"""),1.0)</f>
        <v>1</v>
      </c>
      <c r="F7264" s="115">
        <f>IFERROR(__xludf.DUMMYFUNCTION("""COMPUTED_VALUE"""),5.0)</f>
        <v>5</v>
      </c>
      <c r="G7264" s="115">
        <f>IFERROR(__xludf.DUMMYFUNCTION("""COMPUTED_VALUE"""),0.0)</f>
        <v>0</v>
      </c>
      <c r="H7264" s="116">
        <f>IFERROR(__xludf.DUMMYFUNCTION("""COMPUTED_VALUE"""),45913.0)</f>
        <v>45913</v>
      </c>
      <c r="I7264" s="115" t="str">
        <f>IFERROR(__xludf.DUMMYFUNCTION("""COMPUTED_VALUE"""),"16")</f>
        <v>16</v>
      </c>
      <c r="J7264" s="115"/>
      <c r="K7264" s="115"/>
    </row>
    <row r="7265">
      <c r="A7265" s="115" t="str">
        <f>IFERROR(__xludf.DUMMYFUNCTION("""COMPUTED_VALUE"""),"NORTH")</f>
        <v>NORTH</v>
      </c>
      <c r="B7265" s="115" t="str">
        <f>IFERROR(__xludf.DUMMYFUNCTION("""COMPUTED_VALUE"""),"Ashvani Bhatt")</f>
        <v>Ashvani Bhatt</v>
      </c>
      <c r="C7265" s="115" t="str">
        <f>IFERROR(__xludf.DUMMYFUNCTION("""COMPUTED_VALUE"""),"FLIPKART")</f>
        <v>FLIPKART</v>
      </c>
      <c r="D7265" s="115">
        <f>IFERROR(__xludf.DUMMYFUNCTION("""COMPUTED_VALUE"""),512.0)</f>
        <v>512</v>
      </c>
      <c r="E7265" s="115">
        <f>IFERROR(__xludf.DUMMYFUNCTION("""COMPUTED_VALUE"""),49.0)</f>
        <v>49</v>
      </c>
      <c r="F7265" s="115">
        <f>IFERROR(__xludf.DUMMYFUNCTION("""COMPUTED_VALUE"""),126.0)</f>
        <v>126</v>
      </c>
      <c r="G7265" s="115">
        <f>IFERROR(__xludf.DUMMYFUNCTION("""COMPUTED_VALUE"""),7.0)</f>
        <v>7</v>
      </c>
      <c r="H7265" s="116">
        <f>IFERROR(__xludf.DUMMYFUNCTION("""COMPUTED_VALUE"""),45913.0)</f>
        <v>45913</v>
      </c>
      <c r="I7265" s="115" t="str">
        <f>IFERROR(__xludf.DUMMYFUNCTION("""COMPUTED_VALUE"""),"16")</f>
        <v>16</v>
      </c>
      <c r="J7265" s="115"/>
      <c r="K7265" s="115"/>
    </row>
    <row r="7266">
      <c r="A7266" s="115" t="str">
        <f>IFERROR(__xludf.DUMMYFUNCTION("""COMPUTED_VALUE"""),"NORTH")</f>
        <v>NORTH</v>
      </c>
      <c r="B7266" s="115" t="str">
        <f>IFERROR(__xludf.DUMMYFUNCTION("""COMPUTED_VALUE"""),"Ashvani Bhatt")</f>
        <v>Ashvani Bhatt</v>
      </c>
      <c r="C7266" s="115" t="str">
        <f>IFERROR(__xludf.DUMMYFUNCTION("""COMPUTED_VALUE"""),"MYNTRA")</f>
        <v>MYNTRA</v>
      </c>
      <c r="D7266" s="115">
        <f>IFERROR(__xludf.DUMMYFUNCTION("""COMPUTED_VALUE"""),12.0)</f>
        <v>12</v>
      </c>
      <c r="E7266" s="115">
        <f>IFERROR(__xludf.DUMMYFUNCTION("""COMPUTED_VALUE"""),3.0)</f>
        <v>3</v>
      </c>
      <c r="F7266" s="115">
        <f>IFERROR(__xludf.DUMMYFUNCTION("""COMPUTED_VALUE"""),5.0)</f>
        <v>5</v>
      </c>
      <c r="G7266" s="115">
        <f>IFERROR(__xludf.DUMMYFUNCTION("""COMPUTED_VALUE"""),2.0)</f>
        <v>2</v>
      </c>
      <c r="H7266" s="116">
        <f>IFERROR(__xludf.DUMMYFUNCTION("""COMPUTED_VALUE"""),45913.0)</f>
        <v>45913</v>
      </c>
      <c r="I7266" s="115" t="str">
        <f>IFERROR(__xludf.DUMMYFUNCTION("""COMPUTED_VALUE"""),"16")</f>
        <v>16</v>
      </c>
      <c r="J7266" s="115"/>
      <c r="K7266" s="115"/>
    </row>
    <row r="7267">
      <c r="A7267" s="115" t="str">
        <f>IFERROR(__xludf.DUMMYFUNCTION("""COMPUTED_VALUE"""),"NORTH")</f>
        <v>NORTH</v>
      </c>
      <c r="B7267" s="115" t="str">
        <f>IFERROR(__xludf.DUMMYFUNCTION("""COMPUTED_VALUE"""),"Loveleen Singh")</f>
        <v>Loveleen Singh</v>
      </c>
      <c r="C7267" s="115" t="str">
        <f>IFERROR(__xludf.DUMMYFUNCTION("""COMPUTED_VALUE"""),"EXTERNAL")</f>
        <v>EXTERNAL</v>
      </c>
      <c r="D7267" s="115">
        <f>IFERROR(__xludf.DUMMYFUNCTION("""COMPUTED_VALUE"""),34366.0)</f>
        <v>34366</v>
      </c>
      <c r="E7267" s="115">
        <f>IFERROR(__xludf.DUMMYFUNCTION("""COMPUTED_VALUE"""),1867.0)</f>
        <v>1867</v>
      </c>
      <c r="F7267" s="115">
        <f>IFERROR(__xludf.DUMMYFUNCTION("""COMPUTED_VALUE"""),11193.0)</f>
        <v>11193</v>
      </c>
      <c r="G7267" s="115">
        <f>IFERROR(__xludf.DUMMYFUNCTION("""COMPUTED_VALUE"""),400.0)</f>
        <v>400</v>
      </c>
      <c r="H7267" s="116">
        <f>IFERROR(__xludf.DUMMYFUNCTION("""COMPUTED_VALUE"""),45913.0)</f>
        <v>45913</v>
      </c>
      <c r="I7267" s="115" t="str">
        <f>IFERROR(__xludf.DUMMYFUNCTION("""COMPUTED_VALUE"""),"16")</f>
        <v>16</v>
      </c>
      <c r="J7267" s="115"/>
      <c r="K7267" s="115"/>
    </row>
    <row r="7268">
      <c r="A7268" s="115" t="str">
        <f>IFERROR(__xludf.DUMMYFUNCTION("""COMPUTED_VALUE"""),"NORTH")</f>
        <v>NORTH</v>
      </c>
      <c r="B7268" s="115" t="str">
        <f>IFERROR(__xludf.DUMMYFUNCTION("""COMPUTED_VALUE"""),"Loveleen Singh")</f>
        <v>Loveleen Singh</v>
      </c>
      <c r="C7268" s="115" t="str">
        <f>IFERROR(__xludf.DUMMYFUNCTION("""COMPUTED_VALUE"""),"FLIPKART")</f>
        <v>FLIPKART</v>
      </c>
      <c r="D7268" s="115">
        <f>IFERROR(__xludf.DUMMYFUNCTION("""COMPUTED_VALUE"""),226433.0)</f>
        <v>226433</v>
      </c>
      <c r="E7268" s="115">
        <f>IFERROR(__xludf.DUMMYFUNCTION("""COMPUTED_VALUE"""),15410.0)</f>
        <v>15410</v>
      </c>
      <c r="F7268" s="115">
        <f>IFERROR(__xludf.DUMMYFUNCTION("""COMPUTED_VALUE"""),136794.0)</f>
        <v>136794</v>
      </c>
      <c r="G7268" s="115">
        <f>IFERROR(__xludf.DUMMYFUNCTION("""COMPUTED_VALUE"""),4965.0)</f>
        <v>4965</v>
      </c>
      <c r="H7268" s="116">
        <f>IFERROR(__xludf.DUMMYFUNCTION("""COMPUTED_VALUE"""),45913.0)</f>
        <v>45913</v>
      </c>
      <c r="I7268" s="115" t="str">
        <f>IFERROR(__xludf.DUMMYFUNCTION("""COMPUTED_VALUE"""),"16")</f>
        <v>16</v>
      </c>
      <c r="J7268" s="115"/>
      <c r="K7268" s="115"/>
    </row>
    <row r="7269">
      <c r="A7269" s="115" t="str">
        <f>IFERROR(__xludf.DUMMYFUNCTION("""COMPUTED_VALUE"""),"NORTH")</f>
        <v>NORTH</v>
      </c>
      <c r="B7269" s="115" t="str">
        <f>IFERROR(__xludf.DUMMYFUNCTION("""COMPUTED_VALUE"""),"Loveleen Singh")</f>
        <v>Loveleen Singh</v>
      </c>
      <c r="C7269" s="115" t="str">
        <f>IFERROR(__xludf.DUMMYFUNCTION("""COMPUTED_VALUE"""),"MYNTRA")</f>
        <v>MYNTRA</v>
      </c>
      <c r="D7269" s="115">
        <f>IFERROR(__xludf.DUMMYFUNCTION("""COMPUTED_VALUE"""),33710.0)</f>
        <v>33710</v>
      </c>
      <c r="E7269" s="115">
        <f>IFERROR(__xludf.DUMMYFUNCTION("""COMPUTED_VALUE"""),6217.0)</f>
        <v>6217</v>
      </c>
      <c r="F7269" s="115">
        <f>IFERROR(__xludf.DUMMYFUNCTION("""COMPUTED_VALUE"""),22301.0)</f>
        <v>22301</v>
      </c>
      <c r="G7269" s="115">
        <f>IFERROR(__xludf.DUMMYFUNCTION("""COMPUTED_VALUE"""),2396.0)</f>
        <v>2396</v>
      </c>
      <c r="H7269" s="116">
        <f>IFERROR(__xludf.DUMMYFUNCTION("""COMPUTED_VALUE"""),45913.0)</f>
        <v>45913</v>
      </c>
      <c r="I7269" s="115" t="str">
        <f>IFERROR(__xludf.DUMMYFUNCTION("""COMPUTED_VALUE"""),"16")</f>
        <v>16</v>
      </c>
      <c r="J7269" s="115"/>
      <c r="K7269" s="115"/>
    </row>
    <row r="7270">
      <c r="A7270" s="115" t="str">
        <f>IFERROR(__xludf.DUMMYFUNCTION("""COMPUTED_VALUE"""),"NORTH")</f>
        <v>NORTH</v>
      </c>
      <c r="B7270" s="115" t="str">
        <f>IFERROR(__xludf.DUMMYFUNCTION("""COMPUTED_VALUE"""),"Manoj Harsh")</f>
        <v>Manoj Harsh</v>
      </c>
      <c r="C7270" s="115" t="str">
        <f>IFERROR(__xludf.DUMMYFUNCTION("""COMPUTED_VALUE"""),"EXTERNAL")</f>
        <v>EXTERNAL</v>
      </c>
      <c r="D7270" s="115">
        <f>IFERROR(__xludf.DUMMYFUNCTION("""COMPUTED_VALUE"""),37892.0)</f>
        <v>37892</v>
      </c>
      <c r="E7270" s="115">
        <f>IFERROR(__xludf.DUMMYFUNCTION("""COMPUTED_VALUE"""),1892.0)</f>
        <v>1892</v>
      </c>
      <c r="F7270" s="115">
        <f>IFERROR(__xludf.DUMMYFUNCTION("""COMPUTED_VALUE"""),13971.0)</f>
        <v>13971</v>
      </c>
      <c r="G7270" s="115">
        <f>IFERROR(__xludf.DUMMYFUNCTION("""COMPUTED_VALUE"""),396.0)</f>
        <v>396</v>
      </c>
      <c r="H7270" s="116">
        <f>IFERROR(__xludf.DUMMYFUNCTION("""COMPUTED_VALUE"""),45913.0)</f>
        <v>45913</v>
      </c>
      <c r="I7270" s="115" t="str">
        <f>IFERROR(__xludf.DUMMYFUNCTION("""COMPUTED_VALUE"""),"16")</f>
        <v>16</v>
      </c>
      <c r="J7270" s="115"/>
      <c r="K7270" s="115"/>
    </row>
    <row r="7271">
      <c r="A7271" s="115" t="str">
        <f>IFERROR(__xludf.DUMMYFUNCTION("""COMPUTED_VALUE"""),"NORTH")</f>
        <v>NORTH</v>
      </c>
      <c r="B7271" s="115" t="str">
        <f>IFERROR(__xludf.DUMMYFUNCTION("""COMPUTED_VALUE"""),"Manoj Harsh")</f>
        <v>Manoj Harsh</v>
      </c>
      <c r="C7271" s="115" t="str">
        <f>IFERROR(__xludf.DUMMYFUNCTION("""COMPUTED_VALUE"""),"FLIPKART")</f>
        <v>FLIPKART</v>
      </c>
      <c r="D7271" s="115">
        <f>IFERROR(__xludf.DUMMYFUNCTION("""COMPUTED_VALUE"""),483936.0)</f>
        <v>483936</v>
      </c>
      <c r="E7271" s="115">
        <f>IFERROR(__xludf.DUMMYFUNCTION("""COMPUTED_VALUE"""),40521.0)</f>
        <v>40521</v>
      </c>
      <c r="F7271" s="115">
        <f>IFERROR(__xludf.DUMMYFUNCTION("""COMPUTED_VALUE"""),290838.0)</f>
        <v>290838</v>
      </c>
      <c r="G7271" s="115">
        <f>IFERROR(__xludf.DUMMYFUNCTION("""COMPUTED_VALUE"""),12222.0)</f>
        <v>12222</v>
      </c>
      <c r="H7271" s="116">
        <f>IFERROR(__xludf.DUMMYFUNCTION("""COMPUTED_VALUE"""),45913.0)</f>
        <v>45913</v>
      </c>
      <c r="I7271" s="115" t="str">
        <f>IFERROR(__xludf.DUMMYFUNCTION("""COMPUTED_VALUE"""),"16")</f>
        <v>16</v>
      </c>
      <c r="J7271" s="115"/>
      <c r="K7271" s="115"/>
    </row>
    <row r="7272">
      <c r="A7272" s="115" t="str">
        <f>IFERROR(__xludf.DUMMYFUNCTION("""COMPUTED_VALUE"""),"NORTH")</f>
        <v>NORTH</v>
      </c>
      <c r="B7272" s="115" t="str">
        <f>IFERROR(__xludf.DUMMYFUNCTION("""COMPUTED_VALUE"""),"Manoj Harsh")</f>
        <v>Manoj Harsh</v>
      </c>
      <c r="C7272" s="115" t="str">
        <f>IFERROR(__xludf.DUMMYFUNCTION("""COMPUTED_VALUE"""),"MYNTRA")</f>
        <v>MYNTRA</v>
      </c>
      <c r="D7272" s="115">
        <f>IFERROR(__xludf.DUMMYFUNCTION("""COMPUTED_VALUE"""),36470.0)</f>
        <v>36470</v>
      </c>
      <c r="E7272" s="115">
        <f>IFERROR(__xludf.DUMMYFUNCTION("""COMPUTED_VALUE"""),7272.0)</f>
        <v>7272</v>
      </c>
      <c r="F7272" s="115">
        <f>IFERROR(__xludf.DUMMYFUNCTION("""COMPUTED_VALUE"""),24083.0)</f>
        <v>24083</v>
      </c>
      <c r="G7272" s="115">
        <f>IFERROR(__xludf.DUMMYFUNCTION("""COMPUTED_VALUE"""),2620.0)</f>
        <v>2620</v>
      </c>
      <c r="H7272" s="116">
        <f>IFERROR(__xludf.DUMMYFUNCTION("""COMPUTED_VALUE"""),45913.0)</f>
        <v>45913</v>
      </c>
      <c r="I7272" s="115" t="str">
        <f>IFERROR(__xludf.DUMMYFUNCTION("""COMPUTED_VALUE"""),"16")</f>
        <v>16</v>
      </c>
      <c r="J7272" s="115"/>
      <c r="K7272" s="115"/>
    </row>
    <row r="7273">
      <c r="A7273" s="115" t="str">
        <f>IFERROR(__xludf.DUMMYFUNCTION("""COMPUTED_VALUE"""),"NORTH")</f>
        <v>NORTH</v>
      </c>
      <c r="B7273" s="115" t="str">
        <f>IFERROR(__xludf.DUMMYFUNCTION("""COMPUTED_VALUE"""),"Pradeep Kothari")</f>
        <v>Pradeep Kothari</v>
      </c>
      <c r="C7273" s="115" t="str">
        <f>IFERROR(__xludf.DUMMYFUNCTION("""COMPUTED_VALUE"""),"EXTERNAL")</f>
        <v>EXTERNAL</v>
      </c>
      <c r="D7273" s="115">
        <f>IFERROR(__xludf.DUMMYFUNCTION("""COMPUTED_VALUE"""),19906.0)</f>
        <v>19906</v>
      </c>
      <c r="E7273" s="115">
        <f>IFERROR(__xludf.DUMMYFUNCTION("""COMPUTED_VALUE"""),1403.0)</f>
        <v>1403</v>
      </c>
      <c r="F7273" s="115">
        <f>IFERROR(__xludf.DUMMYFUNCTION("""COMPUTED_VALUE"""),7262.0)</f>
        <v>7262</v>
      </c>
      <c r="G7273" s="115">
        <f>IFERROR(__xludf.DUMMYFUNCTION("""COMPUTED_VALUE"""),459.0)</f>
        <v>459</v>
      </c>
      <c r="H7273" s="116">
        <f>IFERROR(__xludf.DUMMYFUNCTION("""COMPUTED_VALUE"""),45913.0)</f>
        <v>45913</v>
      </c>
      <c r="I7273" s="115" t="str">
        <f>IFERROR(__xludf.DUMMYFUNCTION("""COMPUTED_VALUE"""),"16")</f>
        <v>16</v>
      </c>
      <c r="J7273" s="115"/>
      <c r="K7273" s="115"/>
    </row>
    <row r="7274">
      <c r="A7274" s="115" t="str">
        <f>IFERROR(__xludf.DUMMYFUNCTION("""COMPUTED_VALUE"""),"NORTH")</f>
        <v>NORTH</v>
      </c>
      <c r="B7274" s="115" t="str">
        <f>IFERROR(__xludf.DUMMYFUNCTION("""COMPUTED_VALUE"""),"Pradeep Kothari")</f>
        <v>Pradeep Kothari</v>
      </c>
      <c r="C7274" s="115" t="str">
        <f>IFERROR(__xludf.DUMMYFUNCTION("""COMPUTED_VALUE"""),"FLIPKART")</f>
        <v>FLIPKART</v>
      </c>
      <c r="D7274" s="115">
        <f>IFERROR(__xludf.DUMMYFUNCTION("""COMPUTED_VALUE"""),179369.0)</f>
        <v>179369</v>
      </c>
      <c r="E7274" s="115">
        <f>IFERROR(__xludf.DUMMYFUNCTION("""COMPUTED_VALUE"""),17901.0)</f>
        <v>17901</v>
      </c>
      <c r="F7274" s="115">
        <f>IFERROR(__xludf.DUMMYFUNCTION("""COMPUTED_VALUE"""),119048.0)</f>
        <v>119048</v>
      </c>
      <c r="G7274" s="115">
        <f>IFERROR(__xludf.DUMMYFUNCTION("""COMPUTED_VALUE"""),7934.0)</f>
        <v>7934</v>
      </c>
      <c r="H7274" s="116">
        <f>IFERROR(__xludf.DUMMYFUNCTION("""COMPUTED_VALUE"""),45913.0)</f>
        <v>45913</v>
      </c>
      <c r="I7274" s="115" t="str">
        <f>IFERROR(__xludf.DUMMYFUNCTION("""COMPUTED_VALUE"""),"16")</f>
        <v>16</v>
      </c>
      <c r="J7274" s="115"/>
      <c r="K7274" s="115"/>
    </row>
    <row r="7275">
      <c r="A7275" s="115" t="str">
        <f>IFERROR(__xludf.DUMMYFUNCTION("""COMPUTED_VALUE"""),"NORTH")</f>
        <v>NORTH</v>
      </c>
      <c r="B7275" s="115" t="str">
        <f>IFERROR(__xludf.DUMMYFUNCTION("""COMPUTED_VALUE"""),"Pradeep Kothari")</f>
        <v>Pradeep Kothari</v>
      </c>
      <c r="C7275" s="115" t="str">
        <f>IFERROR(__xludf.DUMMYFUNCTION("""COMPUTED_VALUE"""),"MYNTRA")</f>
        <v>MYNTRA</v>
      </c>
      <c r="D7275" s="115">
        <f>IFERROR(__xludf.DUMMYFUNCTION("""COMPUTED_VALUE"""),27311.0)</f>
        <v>27311</v>
      </c>
      <c r="E7275" s="115">
        <f>IFERROR(__xludf.DUMMYFUNCTION("""COMPUTED_VALUE"""),6160.0)</f>
        <v>6160</v>
      </c>
      <c r="F7275" s="115">
        <f>IFERROR(__xludf.DUMMYFUNCTION("""COMPUTED_VALUE"""),20217.0)</f>
        <v>20217</v>
      </c>
      <c r="G7275" s="115">
        <f>IFERROR(__xludf.DUMMYFUNCTION("""COMPUTED_VALUE"""),3138.0)</f>
        <v>3138</v>
      </c>
      <c r="H7275" s="116">
        <f>IFERROR(__xludf.DUMMYFUNCTION("""COMPUTED_VALUE"""),45913.0)</f>
        <v>45913</v>
      </c>
      <c r="I7275" s="115" t="str">
        <f>IFERROR(__xludf.DUMMYFUNCTION("""COMPUTED_VALUE"""),"16")</f>
        <v>16</v>
      </c>
      <c r="J7275" s="115"/>
      <c r="K7275" s="115"/>
    </row>
    <row r="7276">
      <c r="A7276" s="115" t="str">
        <f>IFERROR(__xludf.DUMMYFUNCTION("""COMPUTED_VALUE"""),"SOUTH")</f>
        <v>SOUTH</v>
      </c>
      <c r="B7276" s="115" t="str">
        <f>IFERROR(__xludf.DUMMYFUNCTION("""COMPUTED_VALUE"""),"Kandula Sampath")</f>
        <v>Kandula Sampath</v>
      </c>
      <c r="C7276" s="115" t="str">
        <f>IFERROR(__xludf.DUMMYFUNCTION("""COMPUTED_VALUE"""),"EXTERNAL")</f>
        <v>EXTERNAL</v>
      </c>
      <c r="D7276" s="115">
        <f>IFERROR(__xludf.DUMMYFUNCTION("""COMPUTED_VALUE"""),34698.0)</f>
        <v>34698</v>
      </c>
      <c r="E7276" s="115">
        <f>IFERROR(__xludf.DUMMYFUNCTION("""COMPUTED_VALUE"""),3389.0)</f>
        <v>3389</v>
      </c>
      <c r="F7276" s="115">
        <f>IFERROR(__xludf.DUMMYFUNCTION("""COMPUTED_VALUE"""),12039.0)</f>
        <v>12039</v>
      </c>
      <c r="G7276" s="115">
        <f>IFERROR(__xludf.DUMMYFUNCTION("""COMPUTED_VALUE"""),705.0)</f>
        <v>705</v>
      </c>
      <c r="H7276" s="116">
        <f>IFERROR(__xludf.DUMMYFUNCTION("""COMPUTED_VALUE"""),45913.0)</f>
        <v>45913</v>
      </c>
      <c r="I7276" s="115" t="str">
        <f>IFERROR(__xludf.DUMMYFUNCTION("""COMPUTED_VALUE"""),"16")</f>
        <v>16</v>
      </c>
      <c r="J7276" s="115"/>
      <c r="K7276" s="115"/>
    </row>
    <row r="7277">
      <c r="A7277" s="115" t="str">
        <f>IFERROR(__xludf.DUMMYFUNCTION("""COMPUTED_VALUE"""),"SOUTH")</f>
        <v>SOUTH</v>
      </c>
      <c r="B7277" s="115" t="str">
        <f>IFERROR(__xludf.DUMMYFUNCTION("""COMPUTED_VALUE"""),"Kandula Sampath")</f>
        <v>Kandula Sampath</v>
      </c>
      <c r="C7277" s="115" t="str">
        <f>IFERROR(__xludf.DUMMYFUNCTION("""COMPUTED_VALUE"""),"FLIPKART")</f>
        <v>FLIPKART</v>
      </c>
      <c r="D7277" s="115">
        <f>IFERROR(__xludf.DUMMYFUNCTION("""COMPUTED_VALUE"""),419219.0)</f>
        <v>419219</v>
      </c>
      <c r="E7277" s="115">
        <f>IFERROR(__xludf.DUMMYFUNCTION("""COMPUTED_VALUE"""),33038.0)</f>
        <v>33038</v>
      </c>
      <c r="F7277" s="115">
        <f>IFERROR(__xludf.DUMMYFUNCTION("""COMPUTED_VALUE"""),248011.0)</f>
        <v>248011</v>
      </c>
      <c r="G7277" s="115">
        <f>IFERROR(__xludf.DUMMYFUNCTION("""COMPUTED_VALUE"""),8675.0)</f>
        <v>8675</v>
      </c>
      <c r="H7277" s="116">
        <f>IFERROR(__xludf.DUMMYFUNCTION("""COMPUTED_VALUE"""),45913.0)</f>
        <v>45913</v>
      </c>
      <c r="I7277" s="115" t="str">
        <f>IFERROR(__xludf.DUMMYFUNCTION("""COMPUTED_VALUE"""),"16")</f>
        <v>16</v>
      </c>
      <c r="J7277" s="115"/>
      <c r="K7277" s="115"/>
    </row>
    <row r="7278">
      <c r="A7278" s="115" t="str">
        <f>IFERROR(__xludf.DUMMYFUNCTION("""COMPUTED_VALUE"""),"SOUTH")</f>
        <v>SOUTH</v>
      </c>
      <c r="B7278" s="115" t="str">
        <f>IFERROR(__xludf.DUMMYFUNCTION("""COMPUTED_VALUE"""),"Kandula Sampath")</f>
        <v>Kandula Sampath</v>
      </c>
      <c r="C7278" s="115" t="str">
        <f>IFERROR(__xludf.DUMMYFUNCTION("""COMPUTED_VALUE"""),"MYNTRA")</f>
        <v>MYNTRA</v>
      </c>
      <c r="D7278" s="115">
        <f>IFERROR(__xludf.DUMMYFUNCTION("""COMPUTED_VALUE"""),41941.0)</f>
        <v>41941</v>
      </c>
      <c r="E7278" s="115">
        <f>IFERROR(__xludf.DUMMYFUNCTION("""COMPUTED_VALUE"""),9367.0)</f>
        <v>9367</v>
      </c>
      <c r="F7278" s="115">
        <f>IFERROR(__xludf.DUMMYFUNCTION("""COMPUTED_VALUE"""),26936.0)</f>
        <v>26936</v>
      </c>
      <c r="G7278" s="115">
        <f>IFERROR(__xludf.DUMMYFUNCTION("""COMPUTED_VALUE"""),2477.0)</f>
        <v>2477</v>
      </c>
      <c r="H7278" s="116">
        <f>IFERROR(__xludf.DUMMYFUNCTION("""COMPUTED_VALUE"""),45913.0)</f>
        <v>45913</v>
      </c>
      <c r="I7278" s="115" t="str">
        <f>IFERROR(__xludf.DUMMYFUNCTION("""COMPUTED_VALUE"""),"16")</f>
        <v>16</v>
      </c>
      <c r="J7278" s="115"/>
      <c r="K7278" s="115"/>
    </row>
    <row r="7279">
      <c r="A7279" s="115" t="str">
        <f>IFERROR(__xludf.DUMMYFUNCTION("""COMPUTED_VALUE"""),"SOUTH")</f>
        <v>SOUTH</v>
      </c>
      <c r="B7279" s="115" t="str">
        <f>IFERROR(__xludf.DUMMYFUNCTION("""COMPUTED_VALUE"""),"Martin A")</f>
        <v>Martin A</v>
      </c>
      <c r="C7279" s="115" t="str">
        <f>IFERROR(__xludf.DUMMYFUNCTION("""COMPUTED_VALUE"""),"EXTERNAL")</f>
        <v>EXTERNAL</v>
      </c>
      <c r="D7279" s="115">
        <f>IFERROR(__xludf.DUMMYFUNCTION("""COMPUTED_VALUE"""),29786.0)</f>
        <v>29786</v>
      </c>
      <c r="E7279" s="115">
        <f>IFERROR(__xludf.DUMMYFUNCTION("""COMPUTED_VALUE"""),3171.0)</f>
        <v>3171</v>
      </c>
      <c r="F7279" s="115">
        <f>IFERROR(__xludf.DUMMYFUNCTION("""COMPUTED_VALUE"""),10324.0)</f>
        <v>10324</v>
      </c>
      <c r="G7279" s="115">
        <f>IFERROR(__xludf.DUMMYFUNCTION("""COMPUTED_VALUE"""),934.0)</f>
        <v>934</v>
      </c>
      <c r="H7279" s="116">
        <f>IFERROR(__xludf.DUMMYFUNCTION("""COMPUTED_VALUE"""),45913.0)</f>
        <v>45913</v>
      </c>
      <c r="I7279" s="115" t="str">
        <f>IFERROR(__xludf.DUMMYFUNCTION("""COMPUTED_VALUE"""),"16")</f>
        <v>16</v>
      </c>
      <c r="J7279" s="115"/>
      <c r="K7279" s="115"/>
    </row>
    <row r="7280">
      <c r="A7280" s="115" t="str">
        <f>IFERROR(__xludf.DUMMYFUNCTION("""COMPUTED_VALUE"""),"SOUTH")</f>
        <v>SOUTH</v>
      </c>
      <c r="B7280" s="115" t="str">
        <f>IFERROR(__xludf.DUMMYFUNCTION("""COMPUTED_VALUE"""),"Martin A")</f>
        <v>Martin A</v>
      </c>
      <c r="C7280" s="115" t="str">
        <f>IFERROR(__xludf.DUMMYFUNCTION("""COMPUTED_VALUE"""),"FLIPKART")</f>
        <v>FLIPKART</v>
      </c>
      <c r="D7280" s="115">
        <f>IFERROR(__xludf.DUMMYFUNCTION("""COMPUTED_VALUE"""),333676.0)</f>
        <v>333676</v>
      </c>
      <c r="E7280" s="115">
        <f>IFERROR(__xludf.DUMMYFUNCTION("""COMPUTED_VALUE"""),27999.0)</f>
        <v>27999</v>
      </c>
      <c r="F7280" s="115">
        <f>IFERROR(__xludf.DUMMYFUNCTION("""COMPUTED_VALUE"""),202625.0)</f>
        <v>202625</v>
      </c>
      <c r="G7280" s="115">
        <f>IFERROR(__xludf.DUMMYFUNCTION("""COMPUTED_VALUE"""),9447.0)</f>
        <v>9447</v>
      </c>
      <c r="H7280" s="116">
        <f>IFERROR(__xludf.DUMMYFUNCTION("""COMPUTED_VALUE"""),45913.0)</f>
        <v>45913</v>
      </c>
      <c r="I7280" s="115" t="str">
        <f>IFERROR(__xludf.DUMMYFUNCTION("""COMPUTED_VALUE"""),"16")</f>
        <v>16</v>
      </c>
      <c r="J7280" s="115"/>
      <c r="K7280" s="115"/>
    </row>
    <row r="7281">
      <c r="A7281" s="115" t="str">
        <f>IFERROR(__xludf.DUMMYFUNCTION("""COMPUTED_VALUE"""),"SOUTH")</f>
        <v>SOUTH</v>
      </c>
      <c r="B7281" s="115" t="str">
        <f>IFERROR(__xludf.DUMMYFUNCTION("""COMPUTED_VALUE"""),"Martin A")</f>
        <v>Martin A</v>
      </c>
      <c r="C7281" s="115" t="str">
        <f>IFERROR(__xludf.DUMMYFUNCTION("""COMPUTED_VALUE"""),"MYNTRA")</f>
        <v>MYNTRA</v>
      </c>
      <c r="D7281" s="115">
        <f>IFERROR(__xludf.DUMMYFUNCTION("""COMPUTED_VALUE"""),28880.0)</f>
        <v>28880</v>
      </c>
      <c r="E7281" s="115">
        <f>IFERROR(__xludf.DUMMYFUNCTION("""COMPUTED_VALUE"""),7001.0)</f>
        <v>7001</v>
      </c>
      <c r="F7281" s="115">
        <f>IFERROR(__xludf.DUMMYFUNCTION("""COMPUTED_VALUE"""),19817.0)</f>
        <v>19817</v>
      </c>
      <c r="G7281" s="115">
        <f>IFERROR(__xludf.DUMMYFUNCTION("""COMPUTED_VALUE"""),2754.0)</f>
        <v>2754</v>
      </c>
      <c r="H7281" s="116">
        <f>IFERROR(__xludf.DUMMYFUNCTION("""COMPUTED_VALUE"""),45913.0)</f>
        <v>45913</v>
      </c>
      <c r="I7281" s="115" t="str">
        <f>IFERROR(__xludf.DUMMYFUNCTION("""COMPUTED_VALUE"""),"16")</f>
        <v>16</v>
      </c>
      <c r="J7281" s="115"/>
      <c r="K7281" s="115"/>
    </row>
    <row r="7282">
      <c r="A7282" s="115" t="str">
        <f>IFERROR(__xludf.DUMMYFUNCTION("""COMPUTED_VALUE"""),"SOUTH")</f>
        <v>SOUTH</v>
      </c>
      <c r="B7282" s="115" t="str">
        <f>IFERROR(__xludf.DUMMYFUNCTION("""COMPUTED_VALUE"""),"Premkumar M")</f>
        <v>Premkumar M</v>
      </c>
      <c r="C7282" s="115" t="str">
        <f>IFERROR(__xludf.DUMMYFUNCTION("""COMPUTED_VALUE"""),"EXTERNAL")</f>
        <v>EXTERNAL</v>
      </c>
      <c r="D7282" s="115">
        <f>IFERROR(__xludf.DUMMYFUNCTION("""COMPUTED_VALUE"""),28408.0)</f>
        <v>28408</v>
      </c>
      <c r="E7282" s="115">
        <f>IFERROR(__xludf.DUMMYFUNCTION("""COMPUTED_VALUE"""),1528.0)</f>
        <v>1528</v>
      </c>
      <c r="F7282" s="115">
        <f>IFERROR(__xludf.DUMMYFUNCTION("""COMPUTED_VALUE"""),9449.0)</f>
        <v>9449</v>
      </c>
      <c r="G7282" s="115">
        <f>IFERROR(__xludf.DUMMYFUNCTION("""COMPUTED_VALUE"""),136.0)</f>
        <v>136</v>
      </c>
      <c r="H7282" s="116">
        <f>IFERROR(__xludf.DUMMYFUNCTION("""COMPUTED_VALUE"""),45913.0)</f>
        <v>45913</v>
      </c>
      <c r="I7282" s="115" t="str">
        <f>IFERROR(__xludf.DUMMYFUNCTION("""COMPUTED_VALUE"""),"16")</f>
        <v>16</v>
      </c>
      <c r="J7282" s="115"/>
      <c r="K7282" s="115"/>
    </row>
    <row r="7283">
      <c r="A7283" s="115" t="str">
        <f>IFERROR(__xludf.DUMMYFUNCTION("""COMPUTED_VALUE"""),"SOUTH")</f>
        <v>SOUTH</v>
      </c>
      <c r="B7283" s="115" t="str">
        <f>IFERROR(__xludf.DUMMYFUNCTION("""COMPUTED_VALUE"""),"Premkumar M")</f>
        <v>Premkumar M</v>
      </c>
      <c r="C7283" s="115" t="str">
        <f>IFERROR(__xludf.DUMMYFUNCTION("""COMPUTED_VALUE"""),"FLIPKART")</f>
        <v>FLIPKART</v>
      </c>
      <c r="D7283" s="115">
        <f>IFERROR(__xludf.DUMMYFUNCTION("""COMPUTED_VALUE"""),324152.0)</f>
        <v>324152</v>
      </c>
      <c r="E7283" s="115">
        <f>IFERROR(__xludf.DUMMYFUNCTION("""COMPUTED_VALUE"""),18000.0)</f>
        <v>18000</v>
      </c>
      <c r="F7283" s="115">
        <f>IFERROR(__xludf.DUMMYFUNCTION("""COMPUTED_VALUE"""),173053.0)</f>
        <v>173053</v>
      </c>
      <c r="G7283" s="115">
        <f>IFERROR(__xludf.DUMMYFUNCTION("""COMPUTED_VALUE"""),2597.0)</f>
        <v>2597</v>
      </c>
      <c r="H7283" s="116">
        <f>IFERROR(__xludf.DUMMYFUNCTION("""COMPUTED_VALUE"""),45913.0)</f>
        <v>45913</v>
      </c>
      <c r="I7283" s="115" t="str">
        <f>IFERROR(__xludf.DUMMYFUNCTION("""COMPUTED_VALUE"""),"16")</f>
        <v>16</v>
      </c>
      <c r="J7283" s="115"/>
      <c r="K7283" s="115"/>
    </row>
    <row r="7284">
      <c r="A7284" s="115" t="str">
        <f>IFERROR(__xludf.DUMMYFUNCTION("""COMPUTED_VALUE"""),"SOUTH")</f>
        <v>SOUTH</v>
      </c>
      <c r="B7284" s="115" t="str">
        <f>IFERROR(__xludf.DUMMYFUNCTION("""COMPUTED_VALUE"""),"Premkumar M")</f>
        <v>Premkumar M</v>
      </c>
      <c r="C7284" s="115" t="str">
        <f>IFERROR(__xludf.DUMMYFUNCTION("""COMPUTED_VALUE"""),"MYNTRA")</f>
        <v>MYNTRA</v>
      </c>
      <c r="D7284" s="115">
        <f>IFERROR(__xludf.DUMMYFUNCTION("""COMPUTED_VALUE"""),15958.0)</f>
        <v>15958</v>
      </c>
      <c r="E7284" s="115">
        <f>IFERROR(__xludf.DUMMYFUNCTION("""COMPUTED_VALUE"""),2977.0)</f>
        <v>2977</v>
      </c>
      <c r="F7284" s="115">
        <f>IFERROR(__xludf.DUMMYFUNCTION("""COMPUTED_VALUE"""),9573.0)</f>
        <v>9573</v>
      </c>
      <c r="G7284" s="115">
        <f>IFERROR(__xludf.DUMMYFUNCTION("""COMPUTED_VALUE"""),429.0)</f>
        <v>429</v>
      </c>
      <c r="H7284" s="116">
        <f>IFERROR(__xludf.DUMMYFUNCTION("""COMPUTED_VALUE"""),45913.0)</f>
        <v>45913</v>
      </c>
      <c r="I7284" s="115" t="str">
        <f>IFERROR(__xludf.DUMMYFUNCTION("""COMPUTED_VALUE"""),"16")</f>
        <v>16</v>
      </c>
      <c r="J7284" s="115"/>
      <c r="K7284" s="115"/>
    </row>
    <row r="7285">
      <c r="A7285" s="115" t="str">
        <f>IFERROR(__xludf.DUMMYFUNCTION("""COMPUTED_VALUE"""),"SOUTH")</f>
        <v>SOUTH</v>
      </c>
      <c r="B7285" s="115" t="str">
        <f>IFERROR(__xludf.DUMMYFUNCTION("""COMPUTED_VALUE"""),"Vineeth V")</f>
        <v>Vineeth V</v>
      </c>
      <c r="C7285" s="115" t="str">
        <f>IFERROR(__xludf.DUMMYFUNCTION("""COMPUTED_VALUE"""),"EXTERNAL")</f>
        <v>EXTERNAL</v>
      </c>
      <c r="D7285" s="115">
        <f>IFERROR(__xludf.DUMMYFUNCTION("""COMPUTED_VALUE"""),20711.0)</f>
        <v>20711</v>
      </c>
      <c r="E7285" s="115">
        <f>IFERROR(__xludf.DUMMYFUNCTION("""COMPUTED_VALUE"""),490.0)</f>
        <v>490</v>
      </c>
      <c r="F7285" s="115">
        <f>IFERROR(__xludf.DUMMYFUNCTION("""COMPUTED_VALUE"""),8384.0)</f>
        <v>8384</v>
      </c>
      <c r="G7285" s="115">
        <f>IFERROR(__xludf.DUMMYFUNCTION("""COMPUTED_VALUE"""),87.0)</f>
        <v>87</v>
      </c>
      <c r="H7285" s="116">
        <f>IFERROR(__xludf.DUMMYFUNCTION("""COMPUTED_VALUE"""),45913.0)</f>
        <v>45913</v>
      </c>
      <c r="I7285" s="115" t="str">
        <f>IFERROR(__xludf.DUMMYFUNCTION("""COMPUTED_VALUE"""),"16")</f>
        <v>16</v>
      </c>
      <c r="J7285" s="115"/>
      <c r="K7285" s="115"/>
    </row>
    <row r="7286">
      <c r="A7286" s="115" t="str">
        <f>IFERROR(__xludf.DUMMYFUNCTION("""COMPUTED_VALUE"""),"SOUTH")</f>
        <v>SOUTH</v>
      </c>
      <c r="B7286" s="115" t="str">
        <f>IFERROR(__xludf.DUMMYFUNCTION("""COMPUTED_VALUE"""),"Vineeth V")</f>
        <v>Vineeth V</v>
      </c>
      <c r="C7286" s="115" t="str">
        <f>IFERROR(__xludf.DUMMYFUNCTION("""COMPUTED_VALUE"""),"FLIPKART")</f>
        <v>FLIPKART</v>
      </c>
      <c r="D7286" s="115">
        <f>IFERROR(__xludf.DUMMYFUNCTION("""COMPUTED_VALUE"""),220328.0)</f>
        <v>220328</v>
      </c>
      <c r="E7286" s="115">
        <f>IFERROR(__xludf.DUMMYFUNCTION("""COMPUTED_VALUE"""),13276.0)</f>
        <v>13276</v>
      </c>
      <c r="F7286" s="115">
        <f>IFERROR(__xludf.DUMMYFUNCTION("""COMPUTED_VALUE"""),142184.0)</f>
        <v>142184</v>
      </c>
      <c r="G7286" s="115">
        <f>IFERROR(__xludf.DUMMYFUNCTION("""COMPUTED_VALUE"""),2614.0)</f>
        <v>2614</v>
      </c>
      <c r="H7286" s="116">
        <f>IFERROR(__xludf.DUMMYFUNCTION("""COMPUTED_VALUE"""),45913.0)</f>
        <v>45913</v>
      </c>
      <c r="I7286" s="115" t="str">
        <f>IFERROR(__xludf.DUMMYFUNCTION("""COMPUTED_VALUE"""),"16")</f>
        <v>16</v>
      </c>
      <c r="J7286" s="115"/>
      <c r="K7286" s="115"/>
    </row>
    <row r="7287">
      <c r="A7287" s="115" t="str">
        <f>IFERROR(__xludf.DUMMYFUNCTION("""COMPUTED_VALUE"""),"SOUTH")</f>
        <v>SOUTH</v>
      </c>
      <c r="B7287" s="115" t="str">
        <f>IFERROR(__xludf.DUMMYFUNCTION("""COMPUTED_VALUE"""),"Vineeth V")</f>
        <v>Vineeth V</v>
      </c>
      <c r="C7287" s="115" t="str">
        <f>IFERROR(__xludf.DUMMYFUNCTION("""COMPUTED_VALUE"""),"MYNTRA")</f>
        <v>MYNTRA</v>
      </c>
      <c r="D7287" s="115">
        <f>IFERROR(__xludf.DUMMYFUNCTION("""COMPUTED_VALUE"""),17052.0)</f>
        <v>17052</v>
      </c>
      <c r="E7287" s="115">
        <f>IFERROR(__xludf.DUMMYFUNCTION("""COMPUTED_VALUE"""),3110.0)</f>
        <v>3110</v>
      </c>
      <c r="F7287" s="115">
        <f>IFERROR(__xludf.DUMMYFUNCTION("""COMPUTED_VALUE"""),11579.0)</f>
        <v>11579</v>
      </c>
      <c r="G7287" s="115">
        <f>IFERROR(__xludf.DUMMYFUNCTION("""COMPUTED_VALUE"""),621.0)</f>
        <v>621</v>
      </c>
      <c r="H7287" s="116">
        <f>IFERROR(__xludf.DUMMYFUNCTION("""COMPUTED_VALUE"""),45913.0)</f>
        <v>45913</v>
      </c>
      <c r="I7287" s="115" t="str">
        <f>IFERROR(__xludf.DUMMYFUNCTION("""COMPUTED_VALUE"""),"16")</f>
        <v>16</v>
      </c>
      <c r="J7287" s="115"/>
      <c r="K7287" s="115"/>
    </row>
    <row r="7288">
      <c r="A7288" s="115" t="str">
        <f>IFERROR(__xludf.DUMMYFUNCTION("""COMPUTED_VALUE"""),"WEST")</f>
        <v>WEST</v>
      </c>
      <c r="B7288" s="115" t="str">
        <f>IFERROR(__xludf.DUMMYFUNCTION("""COMPUTED_VALUE"""),"Ashish Jakar")</f>
        <v>Ashish Jakar</v>
      </c>
      <c r="C7288" s="115" t="str">
        <f>IFERROR(__xludf.DUMMYFUNCTION("""COMPUTED_VALUE"""),"EXTERNAL")</f>
        <v>EXTERNAL</v>
      </c>
      <c r="D7288" s="115">
        <f>IFERROR(__xludf.DUMMYFUNCTION("""COMPUTED_VALUE"""),62340.0)</f>
        <v>62340</v>
      </c>
      <c r="E7288" s="115">
        <f>IFERROR(__xludf.DUMMYFUNCTION("""COMPUTED_VALUE"""),5638.0)</f>
        <v>5638</v>
      </c>
      <c r="F7288" s="115">
        <f>IFERROR(__xludf.DUMMYFUNCTION("""COMPUTED_VALUE"""),20348.0)</f>
        <v>20348</v>
      </c>
      <c r="G7288" s="115">
        <f>IFERROR(__xludf.DUMMYFUNCTION("""COMPUTED_VALUE"""),1522.0)</f>
        <v>1522</v>
      </c>
      <c r="H7288" s="116">
        <f>IFERROR(__xludf.DUMMYFUNCTION("""COMPUTED_VALUE"""),45913.0)</f>
        <v>45913</v>
      </c>
      <c r="I7288" s="115" t="str">
        <f>IFERROR(__xludf.DUMMYFUNCTION("""COMPUTED_VALUE"""),"16")</f>
        <v>16</v>
      </c>
      <c r="J7288" s="115"/>
      <c r="K7288" s="115"/>
    </row>
    <row r="7289">
      <c r="A7289" s="115" t="str">
        <f>IFERROR(__xludf.DUMMYFUNCTION("""COMPUTED_VALUE"""),"WEST")</f>
        <v>WEST</v>
      </c>
      <c r="B7289" s="115" t="str">
        <f>IFERROR(__xludf.DUMMYFUNCTION("""COMPUTED_VALUE"""),"Ashish Jakar")</f>
        <v>Ashish Jakar</v>
      </c>
      <c r="C7289" s="115" t="str">
        <f>IFERROR(__xludf.DUMMYFUNCTION("""COMPUTED_VALUE"""),"FLIPKART")</f>
        <v>FLIPKART</v>
      </c>
      <c r="D7289" s="115">
        <f>IFERROR(__xludf.DUMMYFUNCTION("""COMPUTED_VALUE"""),483400.0)</f>
        <v>483400</v>
      </c>
      <c r="E7289" s="115">
        <f>IFERROR(__xludf.DUMMYFUNCTION("""COMPUTED_VALUE"""),37248.0)</f>
        <v>37248</v>
      </c>
      <c r="F7289" s="115">
        <f>IFERROR(__xludf.DUMMYFUNCTION("""COMPUTED_VALUE"""),263362.0)</f>
        <v>263362</v>
      </c>
      <c r="G7289" s="115">
        <f>IFERROR(__xludf.DUMMYFUNCTION("""COMPUTED_VALUE"""),10871.0)</f>
        <v>10871</v>
      </c>
      <c r="H7289" s="116">
        <f>IFERROR(__xludf.DUMMYFUNCTION("""COMPUTED_VALUE"""),45913.0)</f>
        <v>45913</v>
      </c>
      <c r="I7289" s="115" t="str">
        <f>IFERROR(__xludf.DUMMYFUNCTION("""COMPUTED_VALUE"""),"16")</f>
        <v>16</v>
      </c>
      <c r="J7289" s="115"/>
      <c r="K7289" s="115"/>
    </row>
    <row r="7290">
      <c r="A7290" s="115" t="str">
        <f>IFERROR(__xludf.DUMMYFUNCTION("""COMPUTED_VALUE"""),"WEST")</f>
        <v>WEST</v>
      </c>
      <c r="B7290" s="115" t="str">
        <f>IFERROR(__xludf.DUMMYFUNCTION("""COMPUTED_VALUE"""),"Ashish Jakar")</f>
        <v>Ashish Jakar</v>
      </c>
      <c r="C7290" s="115" t="str">
        <f>IFERROR(__xludf.DUMMYFUNCTION("""COMPUTED_VALUE"""),"MYNTRA")</f>
        <v>MYNTRA</v>
      </c>
      <c r="D7290" s="115">
        <f>IFERROR(__xludf.DUMMYFUNCTION("""COMPUTED_VALUE"""),48906.0)</f>
        <v>48906</v>
      </c>
      <c r="E7290" s="115">
        <f>IFERROR(__xludf.DUMMYFUNCTION("""COMPUTED_VALUE"""),11600.0)</f>
        <v>11600</v>
      </c>
      <c r="F7290" s="115">
        <f>IFERROR(__xludf.DUMMYFUNCTION("""COMPUTED_VALUE"""),30372.0)</f>
        <v>30372</v>
      </c>
      <c r="G7290" s="115">
        <f>IFERROR(__xludf.DUMMYFUNCTION("""COMPUTED_VALUE"""),3899.0)</f>
        <v>3899</v>
      </c>
      <c r="H7290" s="116">
        <f>IFERROR(__xludf.DUMMYFUNCTION("""COMPUTED_VALUE"""),45913.0)</f>
        <v>45913</v>
      </c>
      <c r="I7290" s="115" t="str">
        <f>IFERROR(__xludf.DUMMYFUNCTION("""COMPUTED_VALUE"""),"16")</f>
        <v>16</v>
      </c>
      <c r="J7290" s="115"/>
      <c r="K7290" s="115"/>
    </row>
    <row r="7291">
      <c r="A7291" s="115" t="str">
        <f>IFERROR(__xludf.DUMMYFUNCTION("""COMPUTED_VALUE"""),"WEST")</f>
        <v>WEST</v>
      </c>
      <c r="B7291" s="115" t="str">
        <f>IFERROR(__xludf.DUMMYFUNCTION("""COMPUTED_VALUE"""),"Ashvani Bhatt")</f>
        <v>Ashvani Bhatt</v>
      </c>
      <c r="C7291" s="115" t="str">
        <f>IFERROR(__xludf.DUMMYFUNCTION("""COMPUTED_VALUE"""),"EXTERNAL")</f>
        <v>EXTERNAL</v>
      </c>
      <c r="D7291" s="115">
        <f>IFERROR(__xludf.DUMMYFUNCTION("""COMPUTED_VALUE"""),40632.0)</f>
        <v>40632</v>
      </c>
      <c r="E7291" s="115">
        <f>IFERROR(__xludf.DUMMYFUNCTION("""COMPUTED_VALUE"""),2426.0)</f>
        <v>2426</v>
      </c>
      <c r="F7291" s="115">
        <f>IFERROR(__xludf.DUMMYFUNCTION("""COMPUTED_VALUE"""),14310.0)</f>
        <v>14310</v>
      </c>
      <c r="G7291" s="115">
        <f>IFERROR(__xludf.DUMMYFUNCTION("""COMPUTED_VALUE"""),696.0)</f>
        <v>696</v>
      </c>
      <c r="H7291" s="116">
        <f>IFERROR(__xludf.DUMMYFUNCTION("""COMPUTED_VALUE"""),45913.0)</f>
        <v>45913</v>
      </c>
      <c r="I7291" s="115" t="str">
        <f>IFERROR(__xludf.DUMMYFUNCTION("""COMPUTED_VALUE"""),"16")</f>
        <v>16</v>
      </c>
      <c r="J7291" s="115"/>
      <c r="K7291" s="115"/>
    </row>
    <row r="7292">
      <c r="A7292" s="115" t="str">
        <f>IFERROR(__xludf.DUMMYFUNCTION("""COMPUTED_VALUE"""),"WEST")</f>
        <v>WEST</v>
      </c>
      <c r="B7292" s="115" t="str">
        <f>IFERROR(__xludf.DUMMYFUNCTION("""COMPUTED_VALUE"""),"Ashvani Bhatt")</f>
        <v>Ashvani Bhatt</v>
      </c>
      <c r="C7292" s="115" t="str">
        <f>IFERROR(__xludf.DUMMYFUNCTION("""COMPUTED_VALUE"""),"FLIPKART")</f>
        <v>FLIPKART</v>
      </c>
      <c r="D7292" s="115">
        <f>IFERROR(__xludf.DUMMYFUNCTION("""COMPUTED_VALUE"""),337516.0)</f>
        <v>337516</v>
      </c>
      <c r="E7292" s="115">
        <f>IFERROR(__xludf.DUMMYFUNCTION("""COMPUTED_VALUE"""),31403.0)</f>
        <v>31403</v>
      </c>
      <c r="F7292" s="115">
        <f>IFERROR(__xludf.DUMMYFUNCTION("""COMPUTED_VALUE"""),214660.0)</f>
        <v>214660</v>
      </c>
      <c r="G7292" s="115">
        <f>IFERROR(__xludf.DUMMYFUNCTION("""COMPUTED_VALUE"""),11019.0)</f>
        <v>11019</v>
      </c>
      <c r="H7292" s="116">
        <f>IFERROR(__xludf.DUMMYFUNCTION("""COMPUTED_VALUE"""),45913.0)</f>
        <v>45913</v>
      </c>
      <c r="I7292" s="115" t="str">
        <f>IFERROR(__xludf.DUMMYFUNCTION("""COMPUTED_VALUE"""),"16")</f>
        <v>16</v>
      </c>
      <c r="J7292" s="115"/>
      <c r="K7292" s="115"/>
    </row>
    <row r="7293">
      <c r="A7293" s="115" t="str">
        <f>IFERROR(__xludf.DUMMYFUNCTION("""COMPUTED_VALUE"""),"WEST")</f>
        <v>WEST</v>
      </c>
      <c r="B7293" s="115" t="str">
        <f>IFERROR(__xludf.DUMMYFUNCTION("""COMPUTED_VALUE"""),"Ashvani Bhatt")</f>
        <v>Ashvani Bhatt</v>
      </c>
      <c r="C7293" s="115" t="str">
        <f>IFERROR(__xludf.DUMMYFUNCTION("""COMPUTED_VALUE"""),"MYNTRA")</f>
        <v>MYNTRA</v>
      </c>
      <c r="D7293" s="115">
        <f>IFERROR(__xludf.DUMMYFUNCTION("""COMPUTED_VALUE"""),36118.0)</f>
        <v>36118</v>
      </c>
      <c r="E7293" s="115">
        <f>IFERROR(__xludf.DUMMYFUNCTION("""COMPUTED_VALUE"""),8966.0)</f>
        <v>8966</v>
      </c>
      <c r="F7293" s="115">
        <f>IFERROR(__xludf.DUMMYFUNCTION("""COMPUTED_VALUE"""),25954.0)</f>
        <v>25954</v>
      </c>
      <c r="G7293" s="115">
        <f>IFERROR(__xludf.DUMMYFUNCTION("""COMPUTED_VALUE"""),3628.0)</f>
        <v>3628</v>
      </c>
      <c r="H7293" s="116">
        <f>IFERROR(__xludf.DUMMYFUNCTION("""COMPUTED_VALUE"""),45913.0)</f>
        <v>45913</v>
      </c>
      <c r="I7293" s="115" t="str">
        <f>IFERROR(__xludf.DUMMYFUNCTION("""COMPUTED_VALUE"""),"16")</f>
        <v>16</v>
      </c>
      <c r="J7293" s="115"/>
      <c r="K7293" s="115"/>
    </row>
    <row r="7294">
      <c r="A7294" s="115"/>
      <c r="B7294" s="115"/>
      <c r="C7294" s="115" t="str">
        <f>IFERROR(__xludf.DUMMYFUNCTION("""COMPUTED_VALUE"""),"EXTERNAL")</f>
        <v>EXTERNAL</v>
      </c>
      <c r="D7294" s="115">
        <f>IFERROR(__xludf.DUMMYFUNCTION("""COMPUTED_VALUE"""),1655.0)</f>
        <v>1655</v>
      </c>
      <c r="E7294" s="115">
        <f>IFERROR(__xludf.DUMMYFUNCTION("""COMPUTED_VALUE"""),268.0)</f>
        <v>268</v>
      </c>
      <c r="F7294" s="115">
        <f>IFERROR(__xludf.DUMMYFUNCTION("""COMPUTED_VALUE"""),541.0)</f>
        <v>541</v>
      </c>
      <c r="G7294" s="115">
        <f>IFERROR(__xludf.DUMMYFUNCTION("""COMPUTED_VALUE"""),79.0)</f>
        <v>79</v>
      </c>
      <c r="H7294" s="116">
        <f>IFERROR(__xludf.DUMMYFUNCTION("""COMPUTED_VALUE"""),45913.0)</f>
        <v>45913</v>
      </c>
      <c r="I7294" s="115" t="str">
        <f>IFERROR(__xludf.DUMMYFUNCTION("""COMPUTED_VALUE"""),"16")</f>
        <v>16</v>
      </c>
      <c r="J7294" s="115"/>
      <c r="K7294" s="115"/>
    </row>
    <row r="7295">
      <c r="A7295" s="115"/>
      <c r="B7295" s="115"/>
      <c r="C7295" s="115" t="str">
        <f>IFERROR(__xludf.DUMMYFUNCTION("""COMPUTED_VALUE"""),"FLIPKART")</f>
        <v>FLIPKART</v>
      </c>
      <c r="D7295" s="115">
        <f>IFERROR(__xludf.DUMMYFUNCTION("""COMPUTED_VALUE"""),20154.0)</f>
        <v>20154</v>
      </c>
      <c r="E7295" s="115">
        <f>IFERROR(__xludf.DUMMYFUNCTION("""COMPUTED_VALUE"""),1757.0)</f>
        <v>1757</v>
      </c>
      <c r="F7295" s="115">
        <f>IFERROR(__xludf.DUMMYFUNCTION("""COMPUTED_VALUE"""),9926.0)</f>
        <v>9926</v>
      </c>
      <c r="G7295" s="115">
        <f>IFERROR(__xludf.DUMMYFUNCTION("""COMPUTED_VALUE"""),609.0)</f>
        <v>609</v>
      </c>
      <c r="H7295" s="116">
        <f>IFERROR(__xludf.DUMMYFUNCTION("""COMPUTED_VALUE"""),45913.0)</f>
        <v>45913</v>
      </c>
      <c r="I7295" s="115" t="str">
        <f>IFERROR(__xludf.DUMMYFUNCTION("""COMPUTED_VALUE"""),"16")</f>
        <v>16</v>
      </c>
      <c r="J7295" s="115"/>
      <c r="K7295" s="115"/>
    </row>
    <row r="7296">
      <c r="A7296" s="115"/>
      <c r="B7296" s="115"/>
      <c r="C7296" s="115" t="str">
        <f>IFERROR(__xludf.DUMMYFUNCTION("""COMPUTED_VALUE"""),"MYNTRA")</f>
        <v>MYNTRA</v>
      </c>
      <c r="D7296" s="115">
        <f>IFERROR(__xludf.DUMMYFUNCTION("""COMPUTED_VALUE"""),1930.0)</f>
        <v>1930</v>
      </c>
      <c r="E7296" s="115">
        <f>IFERROR(__xludf.DUMMYFUNCTION("""COMPUTED_VALUE"""),511.0)</f>
        <v>511</v>
      </c>
      <c r="F7296" s="115">
        <f>IFERROR(__xludf.DUMMYFUNCTION("""COMPUTED_VALUE"""),1170.0)</f>
        <v>1170</v>
      </c>
      <c r="G7296" s="115">
        <f>IFERROR(__xludf.DUMMYFUNCTION("""COMPUTED_VALUE"""),210.0)</f>
        <v>210</v>
      </c>
      <c r="H7296" s="116">
        <f>IFERROR(__xludf.DUMMYFUNCTION("""COMPUTED_VALUE"""),45913.0)</f>
        <v>45913</v>
      </c>
      <c r="I7296" s="115" t="str">
        <f>IFERROR(__xludf.DUMMYFUNCTION("""COMPUTED_VALUE"""),"16")</f>
        <v>16</v>
      </c>
      <c r="J7296" s="115"/>
      <c r="K7296" s="115"/>
    </row>
    <row r="7297">
      <c r="A7297" s="115" t="str">
        <f>IFERROR(__xludf.DUMMYFUNCTION("""COMPUTED_VALUE"""),"EAST")</f>
        <v>EAST</v>
      </c>
      <c r="B7297" s="115" t="str">
        <f>IFERROR(__xludf.DUMMYFUNCTION("""COMPUTED_VALUE"""),"Ashish Ranjan")</f>
        <v>Ashish Ranjan</v>
      </c>
      <c r="C7297" s="115" t="str">
        <f>IFERROR(__xludf.DUMMYFUNCTION("""COMPUTED_VALUE"""),"EXTERNAL")</f>
        <v>EXTERNAL</v>
      </c>
      <c r="D7297" s="115">
        <f>IFERROR(__xludf.DUMMYFUNCTION("""COMPUTED_VALUE"""),42430.0)</f>
        <v>42430</v>
      </c>
      <c r="E7297" s="115">
        <f>IFERROR(__xludf.DUMMYFUNCTION("""COMPUTED_VALUE"""),2782.0)</f>
        <v>2782</v>
      </c>
      <c r="F7297" s="115">
        <f>IFERROR(__xludf.DUMMYFUNCTION("""COMPUTED_VALUE"""),19859.0)</f>
        <v>19859</v>
      </c>
      <c r="G7297" s="115">
        <f>IFERROR(__xludf.DUMMYFUNCTION("""COMPUTED_VALUE"""),953.0)</f>
        <v>953</v>
      </c>
      <c r="H7297" s="116">
        <f>IFERROR(__xludf.DUMMYFUNCTION("""COMPUTED_VALUE"""),45913.0)</f>
        <v>45913</v>
      </c>
      <c r="I7297" s="115" t="str">
        <f>IFERROR(__xludf.DUMMYFUNCTION("""COMPUTED_VALUE"""),"17")</f>
        <v>17</v>
      </c>
      <c r="J7297" s="115"/>
      <c r="K7297" s="115"/>
    </row>
    <row r="7298">
      <c r="A7298" s="115" t="str">
        <f>IFERROR(__xludf.DUMMYFUNCTION("""COMPUTED_VALUE"""),"EAST")</f>
        <v>EAST</v>
      </c>
      <c r="B7298" s="115" t="str">
        <f>IFERROR(__xludf.DUMMYFUNCTION("""COMPUTED_VALUE"""),"Ashish Ranjan")</f>
        <v>Ashish Ranjan</v>
      </c>
      <c r="C7298" s="115" t="str">
        <f>IFERROR(__xludf.DUMMYFUNCTION("""COMPUTED_VALUE"""),"FLIPKART")</f>
        <v>FLIPKART</v>
      </c>
      <c r="D7298" s="115">
        <f>IFERROR(__xludf.DUMMYFUNCTION("""COMPUTED_VALUE"""),888180.0)</f>
        <v>888180</v>
      </c>
      <c r="E7298" s="115">
        <f>IFERROR(__xludf.DUMMYFUNCTION("""COMPUTED_VALUE"""),70910.0)</f>
        <v>70910</v>
      </c>
      <c r="F7298" s="115">
        <f>IFERROR(__xludf.DUMMYFUNCTION("""COMPUTED_VALUE"""),673317.0)</f>
        <v>673317</v>
      </c>
      <c r="G7298" s="115">
        <f>IFERROR(__xludf.DUMMYFUNCTION("""COMPUTED_VALUE"""),32656.0)</f>
        <v>32656</v>
      </c>
      <c r="H7298" s="116">
        <f>IFERROR(__xludf.DUMMYFUNCTION("""COMPUTED_VALUE"""),45913.0)</f>
        <v>45913</v>
      </c>
      <c r="I7298" s="115" t="str">
        <f>IFERROR(__xludf.DUMMYFUNCTION("""COMPUTED_VALUE"""),"17")</f>
        <v>17</v>
      </c>
      <c r="J7298" s="115"/>
      <c r="K7298" s="115"/>
    </row>
    <row r="7299">
      <c r="A7299" s="115" t="str">
        <f>IFERROR(__xludf.DUMMYFUNCTION("""COMPUTED_VALUE"""),"EAST")</f>
        <v>EAST</v>
      </c>
      <c r="B7299" s="115" t="str">
        <f>IFERROR(__xludf.DUMMYFUNCTION("""COMPUTED_VALUE"""),"Ashish Ranjan")</f>
        <v>Ashish Ranjan</v>
      </c>
      <c r="C7299" s="115" t="str">
        <f>IFERROR(__xludf.DUMMYFUNCTION("""COMPUTED_VALUE"""),"MYNTRA")</f>
        <v>MYNTRA</v>
      </c>
      <c r="D7299" s="115">
        <f>IFERROR(__xludf.DUMMYFUNCTION("""COMPUTED_VALUE"""),85488.0)</f>
        <v>85488</v>
      </c>
      <c r="E7299" s="115">
        <f>IFERROR(__xludf.DUMMYFUNCTION("""COMPUTED_VALUE"""),16540.0)</f>
        <v>16540</v>
      </c>
      <c r="F7299" s="115">
        <f>IFERROR(__xludf.DUMMYFUNCTION("""COMPUTED_VALUE"""),64636.0)</f>
        <v>64636</v>
      </c>
      <c r="G7299" s="115">
        <f>IFERROR(__xludf.DUMMYFUNCTION("""COMPUTED_VALUE"""),7476.0)</f>
        <v>7476</v>
      </c>
      <c r="H7299" s="116">
        <f>IFERROR(__xludf.DUMMYFUNCTION("""COMPUTED_VALUE"""),45913.0)</f>
        <v>45913</v>
      </c>
      <c r="I7299" s="115" t="str">
        <f>IFERROR(__xludf.DUMMYFUNCTION("""COMPUTED_VALUE"""),"17")</f>
        <v>17</v>
      </c>
      <c r="J7299" s="115"/>
      <c r="K7299" s="115"/>
    </row>
    <row r="7300">
      <c r="A7300" s="115" t="str">
        <f>IFERROR(__xludf.DUMMYFUNCTION("""COMPUTED_VALUE"""),"EAST")</f>
        <v>EAST</v>
      </c>
      <c r="B7300" s="115" t="str">
        <f>IFERROR(__xludf.DUMMYFUNCTION("""COMPUTED_VALUE"""),"Girish Chand")</f>
        <v>Girish Chand</v>
      </c>
      <c r="C7300" s="115" t="str">
        <f>IFERROR(__xludf.DUMMYFUNCTION("""COMPUTED_VALUE"""),"EXTERNAL")</f>
        <v>EXTERNAL</v>
      </c>
      <c r="D7300" s="115">
        <f>IFERROR(__xludf.DUMMYFUNCTION("""COMPUTED_VALUE"""),23639.0)</f>
        <v>23639</v>
      </c>
      <c r="E7300" s="115">
        <f>IFERROR(__xludf.DUMMYFUNCTION("""COMPUTED_VALUE"""),1392.0)</f>
        <v>1392</v>
      </c>
      <c r="F7300" s="115">
        <f>IFERROR(__xludf.DUMMYFUNCTION("""COMPUTED_VALUE"""),9136.0)</f>
        <v>9136</v>
      </c>
      <c r="G7300" s="115">
        <f>IFERROR(__xludf.DUMMYFUNCTION("""COMPUTED_VALUE"""),331.0)</f>
        <v>331</v>
      </c>
      <c r="H7300" s="116">
        <f>IFERROR(__xludf.DUMMYFUNCTION("""COMPUTED_VALUE"""),45913.0)</f>
        <v>45913</v>
      </c>
      <c r="I7300" s="115" t="str">
        <f>IFERROR(__xludf.DUMMYFUNCTION("""COMPUTED_VALUE"""),"17")</f>
        <v>17</v>
      </c>
      <c r="J7300" s="115"/>
      <c r="K7300" s="115"/>
    </row>
    <row r="7301">
      <c r="A7301" s="115" t="str">
        <f>IFERROR(__xludf.DUMMYFUNCTION("""COMPUTED_VALUE"""),"EAST")</f>
        <v>EAST</v>
      </c>
      <c r="B7301" s="115" t="str">
        <f>IFERROR(__xludf.DUMMYFUNCTION("""COMPUTED_VALUE"""),"Girish Chand")</f>
        <v>Girish Chand</v>
      </c>
      <c r="C7301" s="115" t="str">
        <f>IFERROR(__xludf.DUMMYFUNCTION("""COMPUTED_VALUE"""),"FLIPKART")</f>
        <v>FLIPKART</v>
      </c>
      <c r="D7301" s="115">
        <f>IFERROR(__xludf.DUMMYFUNCTION("""COMPUTED_VALUE"""),507724.0)</f>
        <v>507724</v>
      </c>
      <c r="E7301" s="115">
        <f>IFERROR(__xludf.DUMMYFUNCTION("""COMPUTED_VALUE"""),39304.0)</f>
        <v>39304</v>
      </c>
      <c r="F7301" s="115">
        <f>IFERROR(__xludf.DUMMYFUNCTION("""COMPUTED_VALUE"""),340829.0)</f>
        <v>340829</v>
      </c>
      <c r="G7301" s="115">
        <f>IFERROR(__xludf.DUMMYFUNCTION("""COMPUTED_VALUE"""),14918.0)</f>
        <v>14918</v>
      </c>
      <c r="H7301" s="116">
        <f>IFERROR(__xludf.DUMMYFUNCTION("""COMPUTED_VALUE"""),45913.0)</f>
        <v>45913</v>
      </c>
      <c r="I7301" s="115" t="str">
        <f>IFERROR(__xludf.DUMMYFUNCTION("""COMPUTED_VALUE"""),"17")</f>
        <v>17</v>
      </c>
      <c r="J7301" s="115"/>
      <c r="K7301" s="115"/>
    </row>
    <row r="7302">
      <c r="A7302" s="115" t="str">
        <f>IFERROR(__xludf.DUMMYFUNCTION("""COMPUTED_VALUE"""),"EAST")</f>
        <v>EAST</v>
      </c>
      <c r="B7302" s="115" t="str">
        <f>IFERROR(__xludf.DUMMYFUNCTION("""COMPUTED_VALUE"""),"Girish Chand")</f>
        <v>Girish Chand</v>
      </c>
      <c r="C7302" s="115" t="str">
        <f>IFERROR(__xludf.DUMMYFUNCTION("""COMPUTED_VALUE"""),"MYNTRA")</f>
        <v>MYNTRA</v>
      </c>
      <c r="D7302" s="115">
        <f>IFERROR(__xludf.DUMMYFUNCTION("""COMPUTED_VALUE"""),39468.0)</f>
        <v>39468</v>
      </c>
      <c r="E7302" s="115">
        <f>IFERROR(__xludf.DUMMYFUNCTION("""COMPUTED_VALUE"""),7108.0)</f>
        <v>7108</v>
      </c>
      <c r="F7302" s="115">
        <f>IFERROR(__xludf.DUMMYFUNCTION("""COMPUTED_VALUE"""),28010.0)</f>
        <v>28010</v>
      </c>
      <c r="G7302" s="115">
        <f>IFERROR(__xludf.DUMMYFUNCTION("""COMPUTED_VALUE"""),2783.0)</f>
        <v>2783</v>
      </c>
      <c r="H7302" s="116">
        <f>IFERROR(__xludf.DUMMYFUNCTION("""COMPUTED_VALUE"""),45913.0)</f>
        <v>45913</v>
      </c>
      <c r="I7302" s="115" t="str">
        <f>IFERROR(__xludf.DUMMYFUNCTION("""COMPUTED_VALUE"""),"17")</f>
        <v>17</v>
      </c>
      <c r="J7302" s="115"/>
      <c r="K7302" s="115"/>
    </row>
    <row r="7303">
      <c r="A7303" s="115" t="str">
        <f>IFERROR(__xludf.DUMMYFUNCTION("""COMPUTED_VALUE"""),"EAST")</f>
        <v>EAST</v>
      </c>
      <c r="B7303" s="115" t="str">
        <f>IFERROR(__xludf.DUMMYFUNCTION("""COMPUTED_VALUE"""),"Parag Kashyap")</f>
        <v>Parag Kashyap</v>
      </c>
      <c r="C7303" s="115" t="str">
        <f>IFERROR(__xludf.DUMMYFUNCTION("""COMPUTED_VALUE"""),"EXTERNAL")</f>
        <v>EXTERNAL</v>
      </c>
      <c r="D7303" s="115">
        <f>IFERROR(__xludf.DUMMYFUNCTION("""COMPUTED_VALUE"""),16546.0)</f>
        <v>16546</v>
      </c>
      <c r="E7303" s="115">
        <f>IFERROR(__xludf.DUMMYFUNCTION("""COMPUTED_VALUE"""),734.0)</f>
        <v>734</v>
      </c>
      <c r="F7303" s="115">
        <f>IFERROR(__xludf.DUMMYFUNCTION("""COMPUTED_VALUE"""),6182.0)</f>
        <v>6182</v>
      </c>
      <c r="G7303" s="115">
        <f>IFERROR(__xludf.DUMMYFUNCTION("""COMPUTED_VALUE"""),144.0)</f>
        <v>144</v>
      </c>
      <c r="H7303" s="116">
        <f>IFERROR(__xludf.DUMMYFUNCTION("""COMPUTED_VALUE"""),45913.0)</f>
        <v>45913</v>
      </c>
      <c r="I7303" s="115" t="str">
        <f>IFERROR(__xludf.DUMMYFUNCTION("""COMPUTED_VALUE"""),"17")</f>
        <v>17</v>
      </c>
      <c r="J7303" s="115"/>
      <c r="K7303" s="115"/>
    </row>
    <row r="7304">
      <c r="A7304" s="115" t="str">
        <f>IFERROR(__xludf.DUMMYFUNCTION("""COMPUTED_VALUE"""),"EAST")</f>
        <v>EAST</v>
      </c>
      <c r="B7304" s="115" t="str">
        <f>IFERROR(__xludf.DUMMYFUNCTION("""COMPUTED_VALUE"""),"Parag Kashyap")</f>
        <v>Parag Kashyap</v>
      </c>
      <c r="C7304" s="115" t="str">
        <f>IFERROR(__xludf.DUMMYFUNCTION("""COMPUTED_VALUE"""),"FLIPKART")</f>
        <v>FLIPKART</v>
      </c>
      <c r="D7304" s="115">
        <f>IFERROR(__xludf.DUMMYFUNCTION("""COMPUTED_VALUE"""),317039.0)</f>
        <v>317039</v>
      </c>
      <c r="E7304" s="115">
        <f>IFERROR(__xludf.DUMMYFUNCTION("""COMPUTED_VALUE"""),18808.0)</f>
        <v>18808</v>
      </c>
      <c r="F7304" s="115">
        <f>IFERROR(__xludf.DUMMYFUNCTION("""COMPUTED_VALUE"""),212225.0)</f>
        <v>212225</v>
      </c>
      <c r="G7304" s="115">
        <f>IFERROR(__xludf.DUMMYFUNCTION("""COMPUTED_VALUE"""),5612.0)</f>
        <v>5612</v>
      </c>
      <c r="H7304" s="116">
        <f>IFERROR(__xludf.DUMMYFUNCTION("""COMPUTED_VALUE"""),45913.0)</f>
        <v>45913</v>
      </c>
      <c r="I7304" s="115" t="str">
        <f>IFERROR(__xludf.DUMMYFUNCTION("""COMPUTED_VALUE"""),"17")</f>
        <v>17</v>
      </c>
      <c r="J7304" s="115"/>
      <c r="K7304" s="115"/>
    </row>
    <row r="7305">
      <c r="A7305" s="115" t="str">
        <f>IFERROR(__xludf.DUMMYFUNCTION("""COMPUTED_VALUE"""),"EAST")</f>
        <v>EAST</v>
      </c>
      <c r="B7305" s="115" t="str">
        <f>IFERROR(__xludf.DUMMYFUNCTION("""COMPUTED_VALUE"""),"Parag Kashyap")</f>
        <v>Parag Kashyap</v>
      </c>
      <c r="C7305" s="115" t="str">
        <f>IFERROR(__xludf.DUMMYFUNCTION("""COMPUTED_VALUE"""),"MYNTRA")</f>
        <v>MYNTRA</v>
      </c>
      <c r="D7305" s="115">
        <f>IFERROR(__xludf.DUMMYFUNCTION("""COMPUTED_VALUE"""),36575.0)</f>
        <v>36575</v>
      </c>
      <c r="E7305" s="115">
        <f>IFERROR(__xludf.DUMMYFUNCTION("""COMPUTED_VALUE"""),6095.0)</f>
        <v>6095</v>
      </c>
      <c r="F7305" s="115">
        <f>IFERROR(__xludf.DUMMYFUNCTION("""COMPUTED_VALUE"""),25226.0)</f>
        <v>25226</v>
      </c>
      <c r="G7305" s="115">
        <f>IFERROR(__xludf.DUMMYFUNCTION("""COMPUTED_VALUE"""),1887.0)</f>
        <v>1887</v>
      </c>
      <c r="H7305" s="116">
        <f>IFERROR(__xludf.DUMMYFUNCTION("""COMPUTED_VALUE"""),45913.0)</f>
        <v>45913</v>
      </c>
      <c r="I7305" s="115" t="str">
        <f>IFERROR(__xludf.DUMMYFUNCTION("""COMPUTED_VALUE"""),"17")</f>
        <v>17</v>
      </c>
      <c r="J7305" s="115"/>
      <c r="K7305" s="115"/>
    </row>
    <row r="7306">
      <c r="A7306" s="115" t="str">
        <f>IFERROR(__xludf.DUMMYFUNCTION("""COMPUTED_VALUE"""),"NORTH")</f>
        <v>NORTH</v>
      </c>
      <c r="B7306" s="115" t="str">
        <f>IFERROR(__xludf.DUMMYFUNCTION("""COMPUTED_VALUE"""),"Amit Kumar Pathak")</f>
        <v>Amit Kumar Pathak</v>
      </c>
      <c r="C7306" s="115" t="str">
        <f>IFERROR(__xludf.DUMMYFUNCTION("""COMPUTED_VALUE"""),"EXTERNAL")</f>
        <v>EXTERNAL</v>
      </c>
      <c r="D7306" s="115">
        <f>IFERROR(__xludf.DUMMYFUNCTION("""COMPUTED_VALUE"""),30288.0)</f>
        <v>30288</v>
      </c>
      <c r="E7306" s="115">
        <f>IFERROR(__xludf.DUMMYFUNCTION("""COMPUTED_VALUE"""),2634.0)</f>
        <v>2634</v>
      </c>
      <c r="F7306" s="115">
        <f>IFERROR(__xludf.DUMMYFUNCTION("""COMPUTED_VALUE"""),9989.0)</f>
        <v>9989</v>
      </c>
      <c r="G7306" s="115">
        <f>IFERROR(__xludf.DUMMYFUNCTION("""COMPUTED_VALUE"""),1094.0)</f>
        <v>1094</v>
      </c>
      <c r="H7306" s="116">
        <f>IFERROR(__xludf.DUMMYFUNCTION("""COMPUTED_VALUE"""),45913.0)</f>
        <v>45913</v>
      </c>
      <c r="I7306" s="115" t="str">
        <f>IFERROR(__xludf.DUMMYFUNCTION("""COMPUTED_VALUE"""),"17")</f>
        <v>17</v>
      </c>
      <c r="J7306" s="115"/>
      <c r="K7306" s="115"/>
    </row>
    <row r="7307">
      <c r="A7307" s="115" t="str">
        <f>IFERROR(__xludf.DUMMYFUNCTION("""COMPUTED_VALUE"""),"NORTH")</f>
        <v>NORTH</v>
      </c>
      <c r="B7307" s="115" t="str">
        <f>IFERROR(__xludf.DUMMYFUNCTION("""COMPUTED_VALUE"""),"Amit Kumar Pathak")</f>
        <v>Amit Kumar Pathak</v>
      </c>
      <c r="C7307" s="115" t="str">
        <f>IFERROR(__xludf.DUMMYFUNCTION("""COMPUTED_VALUE"""),"FLIPKART")</f>
        <v>FLIPKART</v>
      </c>
      <c r="D7307" s="115">
        <f>IFERROR(__xludf.DUMMYFUNCTION("""COMPUTED_VALUE"""),216286.0)</f>
        <v>216286</v>
      </c>
      <c r="E7307" s="115">
        <f>IFERROR(__xludf.DUMMYFUNCTION("""COMPUTED_VALUE"""),23354.0)</f>
        <v>23354</v>
      </c>
      <c r="F7307" s="115">
        <f>IFERROR(__xludf.DUMMYFUNCTION("""COMPUTED_VALUE"""),129810.0)</f>
        <v>129810</v>
      </c>
      <c r="G7307" s="115">
        <f>IFERROR(__xludf.DUMMYFUNCTION("""COMPUTED_VALUE"""),11058.0)</f>
        <v>11058</v>
      </c>
      <c r="H7307" s="116">
        <f>IFERROR(__xludf.DUMMYFUNCTION("""COMPUTED_VALUE"""),45913.0)</f>
        <v>45913</v>
      </c>
      <c r="I7307" s="115" t="str">
        <f>IFERROR(__xludf.DUMMYFUNCTION("""COMPUTED_VALUE"""),"17")</f>
        <v>17</v>
      </c>
      <c r="J7307" s="115"/>
      <c r="K7307" s="115"/>
    </row>
    <row r="7308">
      <c r="A7308" s="115" t="str">
        <f>IFERROR(__xludf.DUMMYFUNCTION("""COMPUTED_VALUE"""),"NORTH")</f>
        <v>NORTH</v>
      </c>
      <c r="B7308" s="115" t="str">
        <f>IFERROR(__xludf.DUMMYFUNCTION("""COMPUTED_VALUE"""),"Amit Kumar Pathak")</f>
        <v>Amit Kumar Pathak</v>
      </c>
      <c r="C7308" s="115" t="str">
        <f>IFERROR(__xludf.DUMMYFUNCTION("""COMPUTED_VALUE"""),"MYNTRA")</f>
        <v>MYNTRA</v>
      </c>
      <c r="D7308" s="115">
        <f>IFERROR(__xludf.DUMMYFUNCTION("""COMPUTED_VALUE"""),17897.0)</f>
        <v>17897</v>
      </c>
      <c r="E7308" s="115">
        <f>IFERROR(__xludf.DUMMYFUNCTION("""COMPUTED_VALUE"""),5649.0)</f>
        <v>5649</v>
      </c>
      <c r="F7308" s="115">
        <f>IFERROR(__xludf.DUMMYFUNCTION("""COMPUTED_VALUE"""),12194.0)</f>
        <v>12194</v>
      </c>
      <c r="G7308" s="115">
        <f>IFERROR(__xludf.DUMMYFUNCTION("""COMPUTED_VALUE"""),2935.0)</f>
        <v>2935</v>
      </c>
      <c r="H7308" s="116">
        <f>IFERROR(__xludf.DUMMYFUNCTION("""COMPUTED_VALUE"""),45913.0)</f>
        <v>45913</v>
      </c>
      <c r="I7308" s="115" t="str">
        <f>IFERROR(__xludf.DUMMYFUNCTION("""COMPUTED_VALUE"""),"17")</f>
        <v>17</v>
      </c>
      <c r="J7308" s="115"/>
      <c r="K7308" s="115"/>
    </row>
    <row r="7309">
      <c r="A7309" s="115" t="str">
        <f>IFERROR(__xludf.DUMMYFUNCTION("""COMPUTED_VALUE"""),"NORTH")</f>
        <v>NORTH</v>
      </c>
      <c r="B7309" s="115" t="str">
        <f>IFERROR(__xludf.DUMMYFUNCTION("""COMPUTED_VALUE"""),"Loveleen Singh")</f>
        <v>Loveleen Singh</v>
      </c>
      <c r="C7309" s="115" t="str">
        <f>IFERROR(__xludf.DUMMYFUNCTION("""COMPUTED_VALUE"""),"EXTERNAL")</f>
        <v>EXTERNAL</v>
      </c>
      <c r="D7309" s="115">
        <f>IFERROR(__xludf.DUMMYFUNCTION("""COMPUTED_VALUE"""),34568.0)</f>
        <v>34568</v>
      </c>
      <c r="E7309" s="115">
        <f>IFERROR(__xludf.DUMMYFUNCTION("""COMPUTED_VALUE"""),1875.0)</f>
        <v>1875</v>
      </c>
      <c r="F7309" s="115">
        <f>IFERROR(__xludf.DUMMYFUNCTION("""COMPUTED_VALUE"""),12515.0)</f>
        <v>12515</v>
      </c>
      <c r="G7309" s="115">
        <f>IFERROR(__xludf.DUMMYFUNCTION("""COMPUTED_VALUE"""),516.0)</f>
        <v>516</v>
      </c>
      <c r="H7309" s="116">
        <f>IFERROR(__xludf.DUMMYFUNCTION("""COMPUTED_VALUE"""),45913.0)</f>
        <v>45913</v>
      </c>
      <c r="I7309" s="115" t="str">
        <f>IFERROR(__xludf.DUMMYFUNCTION("""COMPUTED_VALUE"""),"17")</f>
        <v>17</v>
      </c>
      <c r="J7309" s="115"/>
      <c r="K7309" s="115"/>
    </row>
    <row r="7310">
      <c r="A7310" s="115" t="str">
        <f>IFERROR(__xludf.DUMMYFUNCTION("""COMPUTED_VALUE"""),"NORTH")</f>
        <v>NORTH</v>
      </c>
      <c r="B7310" s="115" t="str">
        <f>IFERROR(__xludf.DUMMYFUNCTION("""COMPUTED_VALUE"""),"Loveleen Singh")</f>
        <v>Loveleen Singh</v>
      </c>
      <c r="C7310" s="115" t="str">
        <f>IFERROR(__xludf.DUMMYFUNCTION("""COMPUTED_VALUE"""),"FLIPKART")</f>
        <v>FLIPKART</v>
      </c>
      <c r="D7310" s="115">
        <f>IFERROR(__xludf.DUMMYFUNCTION("""COMPUTED_VALUE"""),226864.0)</f>
        <v>226864</v>
      </c>
      <c r="E7310" s="115">
        <f>IFERROR(__xludf.DUMMYFUNCTION("""COMPUTED_VALUE"""),15466.0)</f>
        <v>15466</v>
      </c>
      <c r="F7310" s="115">
        <f>IFERROR(__xludf.DUMMYFUNCTION("""COMPUTED_VALUE"""),151941.0)</f>
        <v>151941</v>
      </c>
      <c r="G7310" s="115">
        <f>IFERROR(__xludf.DUMMYFUNCTION("""COMPUTED_VALUE"""),6278.0)</f>
        <v>6278</v>
      </c>
      <c r="H7310" s="116">
        <f>IFERROR(__xludf.DUMMYFUNCTION("""COMPUTED_VALUE"""),45913.0)</f>
        <v>45913</v>
      </c>
      <c r="I7310" s="115" t="str">
        <f>IFERROR(__xludf.DUMMYFUNCTION("""COMPUTED_VALUE"""),"17")</f>
        <v>17</v>
      </c>
      <c r="J7310" s="115"/>
      <c r="K7310" s="115"/>
    </row>
    <row r="7311">
      <c r="A7311" s="115" t="str">
        <f>IFERROR(__xludf.DUMMYFUNCTION("""COMPUTED_VALUE"""),"NORTH")</f>
        <v>NORTH</v>
      </c>
      <c r="B7311" s="115" t="str">
        <f>IFERROR(__xludf.DUMMYFUNCTION("""COMPUTED_VALUE"""),"Loveleen Singh")</f>
        <v>Loveleen Singh</v>
      </c>
      <c r="C7311" s="115" t="str">
        <f>IFERROR(__xludf.DUMMYFUNCTION("""COMPUTED_VALUE"""),"MYNTRA")</f>
        <v>MYNTRA</v>
      </c>
      <c r="D7311" s="115">
        <f>IFERROR(__xludf.DUMMYFUNCTION("""COMPUTED_VALUE"""),33765.0)</f>
        <v>33765</v>
      </c>
      <c r="E7311" s="115">
        <f>IFERROR(__xludf.DUMMYFUNCTION("""COMPUTED_VALUE"""),6231.0)</f>
        <v>6231</v>
      </c>
      <c r="F7311" s="115">
        <f>IFERROR(__xludf.DUMMYFUNCTION("""COMPUTED_VALUE"""),24434.0)</f>
        <v>24434</v>
      </c>
      <c r="G7311" s="115">
        <f>IFERROR(__xludf.DUMMYFUNCTION("""COMPUTED_VALUE"""),2908.0)</f>
        <v>2908</v>
      </c>
      <c r="H7311" s="116">
        <f>IFERROR(__xludf.DUMMYFUNCTION("""COMPUTED_VALUE"""),45913.0)</f>
        <v>45913</v>
      </c>
      <c r="I7311" s="115" t="str">
        <f>IFERROR(__xludf.DUMMYFUNCTION("""COMPUTED_VALUE"""),"17")</f>
        <v>17</v>
      </c>
      <c r="J7311" s="115"/>
      <c r="K7311" s="115"/>
    </row>
    <row r="7312">
      <c r="A7312" s="115" t="str">
        <f>IFERROR(__xludf.DUMMYFUNCTION("""COMPUTED_VALUE"""),"NORTH")</f>
        <v>NORTH</v>
      </c>
      <c r="B7312" s="115" t="str">
        <f>IFERROR(__xludf.DUMMYFUNCTION("""COMPUTED_VALUE"""),"Manoj Harsh")</f>
        <v>Manoj Harsh</v>
      </c>
      <c r="C7312" s="115" t="str">
        <f>IFERROR(__xludf.DUMMYFUNCTION("""COMPUTED_VALUE"""),"EXTERNAL")</f>
        <v>EXTERNAL</v>
      </c>
      <c r="D7312" s="115">
        <f>IFERROR(__xludf.DUMMYFUNCTION("""COMPUTED_VALUE"""),38024.0)</f>
        <v>38024</v>
      </c>
      <c r="E7312" s="115">
        <f>IFERROR(__xludf.DUMMYFUNCTION("""COMPUTED_VALUE"""),1896.0)</f>
        <v>1896</v>
      </c>
      <c r="F7312" s="115">
        <f>IFERROR(__xludf.DUMMYFUNCTION("""COMPUTED_VALUE"""),15647.0)</f>
        <v>15647</v>
      </c>
      <c r="G7312" s="115">
        <f>IFERROR(__xludf.DUMMYFUNCTION("""COMPUTED_VALUE"""),511.0)</f>
        <v>511</v>
      </c>
      <c r="H7312" s="116">
        <f>IFERROR(__xludf.DUMMYFUNCTION("""COMPUTED_VALUE"""),45913.0)</f>
        <v>45913</v>
      </c>
      <c r="I7312" s="115" t="str">
        <f>IFERROR(__xludf.DUMMYFUNCTION("""COMPUTED_VALUE"""),"17")</f>
        <v>17</v>
      </c>
      <c r="J7312" s="115"/>
      <c r="K7312" s="115"/>
    </row>
    <row r="7313">
      <c r="A7313" s="115" t="str">
        <f>IFERROR(__xludf.DUMMYFUNCTION("""COMPUTED_VALUE"""),"NORTH")</f>
        <v>NORTH</v>
      </c>
      <c r="B7313" s="115" t="str">
        <f>IFERROR(__xludf.DUMMYFUNCTION("""COMPUTED_VALUE"""),"Manoj Harsh")</f>
        <v>Manoj Harsh</v>
      </c>
      <c r="C7313" s="115" t="str">
        <f>IFERROR(__xludf.DUMMYFUNCTION("""COMPUTED_VALUE"""),"FLIPKART")</f>
        <v>FLIPKART</v>
      </c>
      <c r="D7313" s="115">
        <f>IFERROR(__xludf.DUMMYFUNCTION("""COMPUTED_VALUE"""),485412.0)</f>
        <v>485412</v>
      </c>
      <c r="E7313" s="115">
        <f>IFERROR(__xludf.DUMMYFUNCTION("""COMPUTED_VALUE"""),40768.0)</f>
        <v>40768</v>
      </c>
      <c r="F7313" s="115">
        <f>IFERROR(__xludf.DUMMYFUNCTION("""COMPUTED_VALUE"""),322907.0)</f>
        <v>322907</v>
      </c>
      <c r="G7313" s="115">
        <f>IFERROR(__xludf.DUMMYFUNCTION("""COMPUTED_VALUE"""),16281.0)</f>
        <v>16281</v>
      </c>
      <c r="H7313" s="116">
        <f>IFERROR(__xludf.DUMMYFUNCTION("""COMPUTED_VALUE"""),45913.0)</f>
        <v>45913</v>
      </c>
      <c r="I7313" s="115" t="str">
        <f>IFERROR(__xludf.DUMMYFUNCTION("""COMPUTED_VALUE"""),"17")</f>
        <v>17</v>
      </c>
      <c r="J7313" s="115"/>
      <c r="K7313" s="115"/>
    </row>
    <row r="7314">
      <c r="A7314" s="115" t="str">
        <f>IFERROR(__xludf.DUMMYFUNCTION("""COMPUTED_VALUE"""),"NORTH")</f>
        <v>NORTH</v>
      </c>
      <c r="B7314" s="115" t="str">
        <f>IFERROR(__xludf.DUMMYFUNCTION("""COMPUTED_VALUE"""),"Manoj Harsh")</f>
        <v>Manoj Harsh</v>
      </c>
      <c r="C7314" s="115" t="str">
        <f>IFERROR(__xludf.DUMMYFUNCTION("""COMPUTED_VALUE"""),"MYNTRA")</f>
        <v>MYNTRA</v>
      </c>
      <c r="D7314" s="115">
        <f>IFERROR(__xludf.DUMMYFUNCTION("""COMPUTED_VALUE"""),36566.0)</f>
        <v>36566</v>
      </c>
      <c r="E7314" s="115">
        <f>IFERROR(__xludf.DUMMYFUNCTION("""COMPUTED_VALUE"""),7387.0)</f>
        <v>7387</v>
      </c>
      <c r="F7314" s="115">
        <f>IFERROR(__xludf.DUMMYFUNCTION("""COMPUTED_VALUE"""),26442.0)</f>
        <v>26442</v>
      </c>
      <c r="G7314" s="115">
        <f>IFERROR(__xludf.DUMMYFUNCTION("""COMPUTED_VALUE"""),3348.0)</f>
        <v>3348</v>
      </c>
      <c r="H7314" s="116">
        <f>IFERROR(__xludf.DUMMYFUNCTION("""COMPUTED_VALUE"""),45913.0)</f>
        <v>45913</v>
      </c>
      <c r="I7314" s="115" t="str">
        <f>IFERROR(__xludf.DUMMYFUNCTION("""COMPUTED_VALUE"""),"17")</f>
        <v>17</v>
      </c>
      <c r="J7314" s="115"/>
      <c r="K7314" s="115"/>
    </row>
    <row r="7315">
      <c r="A7315" s="115" t="str">
        <f>IFERROR(__xludf.DUMMYFUNCTION("""COMPUTED_VALUE"""),"NORTH")</f>
        <v>NORTH</v>
      </c>
      <c r="B7315" s="115" t="str">
        <f>IFERROR(__xludf.DUMMYFUNCTION("""COMPUTED_VALUE"""),"Pradeep Kothari")</f>
        <v>Pradeep Kothari</v>
      </c>
      <c r="C7315" s="115" t="str">
        <f>IFERROR(__xludf.DUMMYFUNCTION("""COMPUTED_VALUE"""),"EXTERNAL")</f>
        <v>EXTERNAL</v>
      </c>
      <c r="D7315" s="115">
        <f>IFERROR(__xludf.DUMMYFUNCTION("""COMPUTED_VALUE"""),19992.0)</f>
        <v>19992</v>
      </c>
      <c r="E7315" s="115">
        <f>IFERROR(__xludf.DUMMYFUNCTION("""COMPUTED_VALUE"""),1404.0)</f>
        <v>1404</v>
      </c>
      <c r="F7315" s="115">
        <f>IFERROR(__xludf.DUMMYFUNCTION("""COMPUTED_VALUE"""),7915.0)</f>
        <v>7915</v>
      </c>
      <c r="G7315" s="115">
        <f>IFERROR(__xludf.DUMMYFUNCTION("""COMPUTED_VALUE"""),553.0)</f>
        <v>553</v>
      </c>
      <c r="H7315" s="116">
        <f>IFERROR(__xludf.DUMMYFUNCTION("""COMPUTED_VALUE"""),45913.0)</f>
        <v>45913</v>
      </c>
      <c r="I7315" s="115" t="str">
        <f>IFERROR(__xludf.DUMMYFUNCTION("""COMPUTED_VALUE"""),"17")</f>
        <v>17</v>
      </c>
      <c r="J7315" s="115"/>
      <c r="K7315" s="115"/>
    </row>
    <row r="7316">
      <c r="A7316" s="115" t="str">
        <f>IFERROR(__xludf.DUMMYFUNCTION("""COMPUTED_VALUE"""),"NORTH")</f>
        <v>NORTH</v>
      </c>
      <c r="B7316" s="115" t="str">
        <f>IFERROR(__xludf.DUMMYFUNCTION("""COMPUTED_VALUE"""),"Pradeep Kothari")</f>
        <v>Pradeep Kothari</v>
      </c>
      <c r="C7316" s="115" t="str">
        <f>IFERROR(__xludf.DUMMYFUNCTION("""COMPUTED_VALUE"""),"FLIPKART")</f>
        <v>FLIPKART</v>
      </c>
      <c r="D7316" s="115">
        <f>IFERROR(__xludf.DUMMYFUNCTION("""COMPUTED_VALUE"""),179817.0)</f>
        <v>179817</v>
      </c>
      <c r="E7316" s="115">
        <f>IFERROR(__xludf.DUMMYFUNCTION("""COMPUTED_VALUE"""),17948.0)</f>
        <v>17948</v>
      </c>
      <c r="F7316" s="115">
        <f>IFERROR(__xludf.DUMMYFUNCTION("""COMPUTED_VALUE"""),128047.0)</f>
        <v>128047</v>
      </c>
      <c r="G7316" s="115">
        <f>IFERROR(__xludf.DUMMYFUNCTION("""COMPUTED_VALUE"""),9488.0)</f>
        <v>9488</v>
      </c>
      <c r="H7316" s="116">
        <f>IFERROR(__xludf.DUMMYFUNCTION("""COMPUTED_VALUE"""),45913.0)</f>
        <v>45913</v>
      </c>
      <c r="I7316" s="115" t="str">
        <f>IFERROR(__xludf.DUMMYFUNCTION("""COMPUTED_VALUE"""),"17")</f>
        <v>17</v>
      </c>
      <c r="J7316" s="115"/>
      <c r="K7316" s="115"/>
    </row>
    <row r="7317">
      <c r="A7317" s="115" t="str">
        <f>IFERROR(__xludf.DUMMYFUNCTION("""COMPUTED_VALUE"""),"NORTH")</f>
        <v>NORTH</v>
      </c>
      <c r="B7317" s="115" t="str">
        <f>IFERROR(__xludf.DUMMYFUNCTION("""COMPUTED_VALUE"""),"Pradeep Kothari")</f>
        <v>Pradeep Kothari</v>
      </c>
      <c r="C7317" s="115" t="str">
        <f>IFERROR(__xludf.DUMMYFUNCTION("""COMPUTED_VALUE"""),"MYNTRA")</f>
        <v>MYNTRA</v>
      </c>
      <c r="D7317" s="115">
        <f>IFERROR(__xludf.DUMMYFUNCTION("""COMPUTED_VALUE"""),27350.0)</f>
        <v>27350</v>
      </c>
      <c r="E7317" s="115">
        <f>IFERROR(__xludf.DUMMYFUNCTION("""COMPUTED_VALUE"""),6175.0)</f>
        <v>6175</v>
      </c>
      <c r="F7317" s="115">
        <f>IFERROR(__xludf.DUMMYFUNCTION("""COMPUTED_VALUE"""),21523.0)</f>
        <v>21523</v>
      </c>
      <c r="G7317" s="115">
        <f>IFERROR(__xludf.DUMMYFUNCTION("""COMPUTED_VALUE"""),3712.0)</f>
        <v>3712</v>
      </c>
      <c r="H7317" s="116">
        <f>IFERROR(__xludf.DUMMYFUNCTION("""COMPUTED_VALUE"""),45913.0)</f>
        <v>45913</v>
      </c>
      <c r="I7317" s="115" t="str">
        <f>IFERROR(__xludf.DUMMYFUNCTION("""COMPUTED_VALUE"""),"17")</f>
        <v>17</v>
      </c>
      <c r="J7317" s="115"/>
      <c r="K7317" s="115"/>
    </row>
    <row r="7318">
      <c r="A7318" s="115" t="str">
        <f>IFERROR(__xludf.DUMMYFUNCTION("""COMPUTED_VALUE"""),"SOUTH")</f>
        <v>SOUTH</v>
      </c>
      <c r="B7318" s="115" t="str">
        <f>IFERROR(__xludf.DUMMYFUNCTION("""COMPUTED_VALUE"""),"Kandula Sampath")</f>
        <v>Kandula Sampath</v>
      </c>
      <c r="C7318" s="115" t="str">
        <f>IFERROR(__xludf.DUMMYFUNCTION("""COMPUTED_VALUE"""),"EXTERNAL")</f>
        <v>EXTERNAL</v>
      </c>
      <c r="D7318" s="115">
        <f>IFERROR(__xludf.DUMMYFUNCTION("""COMPUTED_VALUE"""),34882.0)</f>
        <v>34882</v>
      </c>
      <c r="E7318" s="115">
        <f>IFERROR(__xludf.DUMMYFUNCTION("""COMPUTED_VALUE"""),3393.0)</f>
        <v>3393</v>
      </c>
      <c r="F7318" s="115">
        <f>IFERROR(__xludf.DUMMYFUNCTION("""COMPUTED_VALUE"""),13331.0)</f>
        <v>13331</v>
      </c>
      <c r="G7318" s="115">
        <f>IFERROR(__xludf.DUMMYFUNCTION("""COMPUTED_VALUE"""),874.0)</f>
        <v>874</v>
      </c>
      <c r="H7318" s="116">
        <f>IFERROR(__xludf.DUMMYFUNCTION("""COMPUTED_VALUE"""),45913.0)</f>
        <v>45913</v>
      </c>
      <c r="I7318" s="115" t="str">
        <f>IFERROR(__xludf.DUMMYFUNCTION("""COMPUTED_VALUE"""),"17")</f>
        <v>17</v>
      </c>
      <c r="J7318" s="115"/>
      <c r="K7318" s="115"/>
    </row>
    <row r="7319">
      <c r="A7319" s="115" t="str">
        <f>IFERROR(__xludf.DUMMYFUNCTION("""COMPUTED_VALUE"""),"SOUTH")</f>
        <v>SOUTH</v>
      </c>
      <c r="B7319" s="115" t="str">
        <f>IFERROR(__xludf.DUMMYFUNCTION("""COMPUTED_VALUE"""),"Kandula Sampath")</f>
        <v>Kandula Sampath</v>
      </c>
      <c r="C7319" s="115" t="str">
        <f>IFERROR(__xludf.DUMMYFUNCTION("""COMPUTED_VALUE"""),"FLIPKART")</f>
        <v>FLIPKART</v>
      </c>
      <c r="D7319" s="115">
        <f>IFERROR(__xludf.DUMMYFUNCTION("""COMPUTED_VALUE"""),419939.0)</f>
        <v>419939</v>
      </c>
      <c r="E7319" s="115">
        <f>IFERROR(__xludf.DUMMYFUNCTION("""COMPUTED_VALUE"""),33229.0)</f>
        <v>33229</v>
      </c>
      <c r="F7319" s="115">
        <f>IFERROR(__xludf.DUMMYFUNCTION("""COMPUTED_VALUE"""),272100.0)</f>
        <v>272100</v>
      </c>
      <c r="G7319" s="115">
        <f>IFERROR(__xludf.DUMMYFUNCTION("""COMPUTED_VALUE"""),11098.0)</f>
        <v>11098</v>
      </c>
      <c r="H7319" s="116">
        <f>IFERROR(__xludf.DUMMYFUNCTION("""COMPUTED_VALUE"""),45913.0)</f>
        <v>45913</v>
      </c>
      <c r="I7319" s="115" t="str">
        <f>IFERROR(__xludf.DUMMYFUNCTION("""COMPUTED_VALUE"""),"17")</f>
        <v>17</v>
      </c>
      <c r="J7319" s="115"/>
      <c r="K7319" s="115"/>
    </row>
    <row r="7320">
      <c r="A7320" s="115" t="str">
        <f>IFERROR(__xludf.DUMMYFUNCTION("""COMPUTED_VALUE"""),"SOUTH")</f>
        <v>SOUTH</v>
      </c>
      <c r="B7320" s="115" t="str">
        <f>IFERROR(__xludf.DUMMYFUNCTION("""COMPUTED_VALUE"""),"Kandula Sampath")</f>
        <v>Kandula Sampath</v>
      </c>
      <c r="C7320" s="115" t="str">
        <f>IFERROR(__xludf.DUMMYFUNCTION("""COMPUTED_VALUE"""),"MYNTRA")</f>
        <v>MYNTRA</v>
      </c>
      <c r="D7320" s="115">
        <f>IFERROR(__xludf.DUMMYFUNCTION("""COMPUTED_VALUE"""),41983.0)</f>
        <v>41983</v>
      </c>
      <c r="E7320" s="115">
        <f>IFERROR(__xludf.DUMMYFUNCTION("""COMPUTED_VALUE"""),9405.0)</f>
        <v>9405</v>
      </c>
      <c r="F7320" s="115">
        <f>IFERROR(__xludf.DUMMYFUNCTION("""COMPUTED_VALUE"""),29281.0)</f>
        <v>29281</v>
      </c>
      <c r="G7320" s="115">
        <f>IFERROR(__xludf.DUMMYFUNCTION("""COMPUTED_VALUE"""),3194.0)</f>
        <v>3194</v>
      </c>
      <c r="H7320" s="116">
        <f>IFERROR(__xludf.DUMMYFUNCTION("""COMPUTED_VALUE"""),45913.0)</f>
        <v>45913</v>
      </c>
      <c r="I7320" s="115" t="str">
        <f>IFERROR(__xludf.DUMMYFUNCTION("""COMPUTED_VALUE"""),"17")</f>
        <v>17</v>
      </c>
      <c r="J7320" s="115"/>
      <c r="K7320" s="115"/>
    </row>
    <row r="7321">
      <c r="A7321" s="115" t="str">
        <f>IFERROR(__xludf.DUMMYFUNCTION("""COMPUTED_VALUE"""),"SOUTH")</f>
        <v>SOUTH</v>
      </c>
      <c r="B7321" s="115" t="str">
        <f>IFERROR(__xludf.DUMMYFUNCTION("""COMPUTED_VALUE"""),"Martin A")</f>
        <v>Martin A</v>
      </c>
      <c r="C7321" s="115" t="str">
        <f>IFERROR(__xludf.DUMMYFUNCTION("""COMPUTED_VALUE"""),"EXTERNAL")</f>
        <v>EXTERNAL</v>
      </c>
      <c r="D7321" s="115">
        <f>IFERROR(__xludf.DUMMYFUNCTION("""COMPUTED_VALUE"""),30300.0)</f>
        <v>30300</v>
      </c>
      <c r="E7321" s="115">
        <f>IFERROR(__xludf.DUMMYFUNCTION("""COMPUTED_VALUE"""),3190.0)</f>
        <v>3190</v>
      </c>
      <c r="F7321" s="115">
        <f>IFERROR(__xludf.DUMMYFUNCTION("""COMPUTED_VALUE"""),11418.0)</f>
        <v>11418</v>
      </c>
      <c r="G7321" s="115">
        <f>IFERROR(__xludf.DUMMYFUNCTION("""COMPUTED_VALUE"""),1155.0)</f>
        <v>1155</v>
      </c>
      <c r="H7321" s="116">
        <f>IFERROR(__xludf.DUMMYFUNCTION("""COMPUTED_VALUE"""),45913.0)</f>
        <v>45913</v>
      </c>
      <c r="I7321" s="115" t="str">
        <f>IFERROR(__xludf.DUMMYFUNCTION("""COMPUTED_VALUE"""),"17")</f>
        <v>17</v>
      </c>
      <c r="J7321" s="115"/>
      <c r="K7321" s="115"/>
    </row>
    <row r="7322">
      <c r="A7322" s="115" t="str">
        <f>IFERROR(__xludf.DUMMYFUNCTION("""COMPUTED_VALUE"""),"SOUTH")</f>
        <v>SOUTH</v>
      </c>
      <c r="B7322" s="115" t="str">
        <f>IFERROR(__xludf.DUMMYFUNCTION("""COMPUTED_VALUE"""),"Martin A")</f>
        <v>Martin A</v>
      </c>
      <c r="C7322" s="115" t="str">
        <f>IFERROR(__xludf.DUMMYFUNCTION("""COMPUTED_VALUE"""),"FLIPKART")</f>
        <v>FLIPKART</v>
      </c>
      <c r="D7322" s="115">
        <f>IFERROR(__xludf.DUMMYFUNCTION("""COMPUTED_VALUE"""),339136.0)</f>
        <v>339136</v>
      </c>
      <c r="E7322" s="115">
        <f>IFERROR(__xludf.DUMMYFUNCTION("""COMPUTED_VALUE"""),28298.0)</f>
        <v>28298</v>
      </c>
      <c r="F7322" s="115">
        <f>IFERROR(__xludf.DUMMYFUNCTION("""COMPUTED_VALUE"""),223339.0)</f>
        <v>223339</v>
      </c>
      <c r="G7322" s="115">
        <f>IFERROR(__xludf.DUMMYFUNCTION("""COMPUTED_VALUE"""),11624.0)</f>
        <v>11624</v>
      </c>
      <c r="H7322" s="116">
        <f>IFERROR(__xludf.DUMMYFUNCTION("""COMPUTED_VALUE"""),45913.0)</f>
        <v>45913</v>
      </c>
      <c r="I7322" s="115" t="str">
        <f>IFERROR(__xludf.DUMMYFUNCTION("""COMPUTED_VALUE"""),"17")</f>
        <v>17</v>
      </c>
      <c r="J7322" s="115"/>
      <c r="K7322" s="115"/>
    </row>
    <row r="7323">
      <c r="A7323" s="115" t="str">
        <f>IFERROR(__xludf.DUMMYFUNCTION("""COMPUTED_VALUE"""),"SOUTH")</f>
        <v>SOUTH</v>
      </c>
      <c r="B7323" s="115" t="str">
        <f>IFERROR(__xludf.DUMMYFUNCTION("""COMPUTED_VALUE"""),"Martin A")</f>
        <v>Martin A</v>
      </c>
      <c r="C7323" s="115" t="str">
        <f>IFERROR(__xludf.DUMMYFUNCTION("""COMPUTED_VALUE"""),"MYNTRA")</f>
        <v>MYNTRA</v>
      </c>
      <c r="D7323" s="115">
        <f>IFERROR(__xludf.DUMMYFUNCTION("""COMPUTED_VALUE"""),29597.0)</f>
        <v>29597</v>
      </c>
      <c r="E7323" s="115">
        <f>IFERROR(__xludf.DUMMYFUNCTION("""COMPUTED_VALUE"""),7071.0)</f>
        <v>7071</v>
      </c>
      <c r="F7323" s="115">
        <f>IFERROR(__xludf.DUMMYFUNCTION("""COMPUTED_VALUE"""),21687.0)</f>
        <v>21687</v>
      </c>
      <c r="G7323" s="115">
        <f>IFERROR(__xludf.DUMMYFUNCTION("""COMPUTED_VALUE"""),3349.0)</f>
        <v>3349</v>
      </c>
      <c r="H7323" s="116">
        <f>IFERROR(__xludf.DUMMYFUNCTION("""COMPUTED_VALUE"""),45913.0)</f>
        <v>45913</v>
      </c>
      <c r="I7323" s="115" t="str">
        <f>IFERROR(__xludf.DUMMYFUNCTION("""COMPUTED_VALUE"""),"17")</f>
        <v>17</v>
      </c>
      <c r="J7323" s="115"/>
      <c r="K7323" s="115"/>
    </row>
    <row r="7324">
      <c r="A7324" s="115" t="str">
        <f>IFERROR(__xludf.DUMMYFUNCTION("""COMPUTED_VALUE"""),"SOUTH")</f>
        <v>SOUTH</v>
      </c>
      <c r="B7324" s="115" t="str">
        <f>IFERROR(__xludf.DUMMYFUNCTION("""COMPUTED_VALUE"""),"Premkumar M")</f>
        <v>Premkumar M</v>
      </c>
      <c r="C7324" s="115" t="str">
        <f>IFERROR(__xludf.DUMMYFUNCTION("""COMPUTED_VALUE"""),"EXTERNAL")</f>
        <v>EXTERNAL</v>
      </c>
      <c r="D7324" s="115">
        <f>IFERROR(__xludf.DUMMYFUNCTION("""COMPUTED_VALUE"""),28704.0)</f>
        <v>28704</v>
      </c>
      <c r="E7324" s="115">
        <f>IFERROR(__xludf.DUMMYFUNCTION("""COMPUTED_VALUE"""),1554.0)</f>
        <v>1554</v>
      </c>
      <c r="F7324" s="115">
        <f>IFERROR(__xludf.DUMMYFUNCTION("""COMPUTED_VALUE"""),11029.0)</f>
        <v>11029</v>
      </c>
      <c r="G7324" s="115">
        <f>IFERROR(__xludf.DUMMYFUNCTION("""COMPUTED_VALUE"""),201.0)</f>
        <v>201</v>
      </c>
      <c r="H7324" s="116">
        <f>IFERROR(__xludf.DUMMYFUNCTION("""COMPUTED_VALUE"""),45913.0)</f>
        <v>45913</v>
      </c>
      <c r="I7324" s="115" t="str">
        <f>IFERROR(__xludf.DUMMYFUNCTION("""COMPUTED_VALUE"""),"17")</f>
        <v>17</v>
      </c>
      <c r="J7324" s="115"/>
      <c r="K7324" s="115"/>
    </row>
    <row r="7325">
      <c r="A7325" s="115" t="str">
        <f>IFERROR(__xludf.DUMMYFUNCTION("""COMPUTED_VALUE"""),"SOUTH")</f>
        <v>SOUTH</v>
      </c>
      <c r="B7325" s="115" t="str">
        <f>IFERROR(__xludf.DUMMYFUNCTION("""COMPUTED_VALUE"""),"Premkumar M")</f>
        <v>Premkumar M</v>
      </c>
      <c r="C7325" s="115" t="str">
        <f>IFERROR(__xludf.DUMMYFUNCTION("""COMPUTED_VALUE"""),"FLIPKART")</f>
        <v>FLIPKART</v>
      </c>
      <c r="D7325" s="115">
        <f>IFERROR(__xludf.DUMMYFUNCTION("""COMPUTED_VALUE"""),327086.0)</f>
        <v>327086</v>
      </c>
      <c r="E7325" s="115">
        <f>IFERROR(__xludf.DUMMYFUNCTION("""COMPUTED_VALUE"""),18237.0)</f>
        <v>18237</v>
      </c>
      <c r="F7325" s="115">
        <f>IFERROR(__xludf.DUMMYFUNCTION("""COMPUTED_VALUE"""),199528.0)</f>
        <v>199528</v>
      </c>
      <c r="G7325" s="115">
        <f>IFERROR(__xludf.DUMMYFUNCTION("""COMPUTED_VALUE"""),3784.0)</f>
        <v>3784</v>
      </c>
      <c r="H7325" s="116">
        <f>IFERROR(__xludf.DUMMYFUNCTION("""COMPUTED_VALUE"""),45913.0)</f>
        <v>45913</v>
      </c>
      <c r="I7325" s="115" t="str">
        <f>IFERROR(__xludf.DUMMYFUNCTION("""COMPUTED_VALUE"""),"17")</f>
        <v>17</v>
      </c>
      <c r="J7325" s="115"/>
      <c r="K7325" s="115"/>
    </row>
    <row r="7326">
      <c r="A7326" s="115" t="str">
        <f>IFERROR(__xludf.DUMMYFUNCTION("""COMPUTED_VALUE"""),"SOUTH")</f>
        <v>SOUTH</v>
      </c>
      <c r="B7326" s="115" t="str">
        <f>IFERROR(__xludf.DUMMYFUNCTION("""COMPUTED_VALUE"""),"Premkumar M")</f>
        <v>Premkumar M</v>
      </c>
      <c r="C7326" s="115" t="str">
        <f>IFERROR(__xludf.DUMMYFUNCTION("""COMPUTED_VALUE"""),"MYNTRA")</f>
        <v>MYNTRA</v>
      </c>
      <c r="D7326" s="115">
        <f>IFERROR(__xludf.DUMMYFUNCTION("""COMPUTED_VALUE"""),16061.0)</f>
        <v>16061</v>
      </c>
      <c r="E7326" s="115">
        <f>IFERROR(__xludf.DUMMYFUNCTION("""COMPUTED_VALUE"""),2992.0)</f>
        <v>2992</v>
      </c>
      <c r="F7326" s="115">
        <f>IFERROR(__xludf.DUMMYFUNCTION("""COMPUTED_VALUE"""),10941.0)</f>
        <v>10941</v>
      </c>
      <c r="G7326" s="115">
        <f>IFERROR(__xludf.DUMMYFUNCTION("""COMPUTED_VALUE"""),613.0)</f>
        <v>613</v>
      </c>
      <c r="H7326" s="116">
        <f>IFERROR(__xludf.DUMMYFUNCTION("""COMPUTED_VALUE"""),45913.0)</f>
        <v>45913</v>
      </c>
      <c r="I7326" s="115" t="str">
        <f>IFERROR(__xludf.DUMMYFUNCTION("""COMPUTED_VALUE"""),"17")</f>
        <v>17</v>
      </c>
      <c r="J7326" s="115"/>
      <c r="K7326" s="115"/>
    </row>
    <row r="7327">
      <c r="A7327" s="115" t="str">
        <f>IFERROR(__xludf.DUMMYFUNCTION("""COMPUTED_VALUE"""),"SOUTH")</f>
        <v>SOUTH</v>
      </c>
      <c r="B7327" s="115" t="str">
        <f>IFERROR(__xludf.DUMMYFUNCTION("""COMPUTED_VALUE"""),"Vineeth V")</f>
        <v>Vineeth V</v>
      </c>
      <c r="C7327" s="115" t="str">
        <f>IFERROR(__xludf.DUMMYFUNCTION("""COMPUTED_VALUE"""),"EXTERNAL")</f>
        <v>EXTERNAL</v>
      </c>
      <c r="D7327" s="115">
        <f>IFERROR(__xludf.DUMMYFUNCTION("""COMPUTED_VALUE"""),20773.0)</f>
        <v>20773</v>
      </c>
      <c r="E7327" s="115">
        <f>IFERROR(__xludf.DUMMYFUNCTION("""COMPUTED_VALUE"""),491.0)</f>
        <v>491</v>
      </c>
      <c r="F7327" s="115">
        <f>IFERROR(__xludf.DUMMYFUNCTION("""COMPUTED_VALUE"""),9523.0)</f>
        <v>9523</v>
      </c>
      <c r="G7327" s="115">
        <f>IFERROR(__xludf.DUMMYFUNCTION("""COMPUTED_VALUE"""),123.0)</f>
        <v>123</v>
      </c>
      <c r="H7327" s="116">
        <f>IFERROR(__xludf.DUMMYFUNCTION("""COMPUTED_VALUE"""),45913.0)</f>
        <v>45913</v>
      </c>
      <c r="I7327" s="115" t="str">
        <f>IFERROR(__xludf.DUMMYFUNCTION("""COMPUTED_VALUE"""),"17")</f>
        <v>17</v>
      </c>
      <c r="J7327" s="115"/>
      <c r="K7327" s="115"/>
    </row>
    <row r="7328">
      <c r="A7328" s="115" t="str">
        <f>IFERROR(__xludf.DUMMYFUNCTION("""COMPUTED_VALUE"""),"SOUTH")</f>
        <v>SOUTH</v>
      </c>
      <c r="B7328" s="115" t="str">
        <f>IFERROR(__xludf.DUMMYFUNCTION("""COMPUTED_VALUE"""),"Vineeth V")</f>
        <v>Vineeth V</v>
      </c>
      <c r="C7328" s="115" t="str">
        <f>IFERROR(__xludf.DUMMYFUNCTION("""COMPUTED_VALUE"""),"FLIPKART")</f>
        <v>FLIPKART</v>
      </c>
      <c r="D7328" s="115">
        <f>IFERROR(__xludf.DUMMYFUNCTION("""COMPUTED_VALUE"""),220875.0)</f>
        <v>220875</v>
      </c>
      <c r="E7328" s="115">
        <f>IFERROR(__xludf.DUMMYFUNCTION("""COMPUTED_VALUE"""),13315.0)</f>
        <v>13315</v>
      </c>
      <c r="F7328" s="115">
        <f>IFERROR(__xludf.DUMMYFUNCTION("""COMPUTED_VALUE"""),160457.0)</f>
        <v>160457</v>
      </c>
      <c r="G7328" s="115">
        <f>IFERROR(__xludf.DUMMYFUNCTION("""COMPUTED_VALUE"""),3841.0)</f>
        <v>3841</v>
      </c>
      <c r="H7328" s="116">
        <f>IFERROR(__xludf.DUMMYFUNCTION("""COMPUTED_VALUE"""),45913.0)</f>
        <v>45913</v>
      </c>
      <c r="I7328" s="115" t="str">
        <f>IFERROR(__xludf.DUMMYFUNCTION("""COMPUTED_VALUE"""),"17")</f>
        <v>17</v>
      </c>
      <c r="J7328" s="115"/>
      <c r="K7328" s="115"/>
    </row>
    <row r="7329">
      <c r="A7329" s="115" t="str">
        <f>IFERROR(__xludf.DUMMYFUNCTION("""COMPUTED_VALUE"""),"SOUTH")</f>
        <v>SOUTH</v>
      </c>
      <c r="B7329" s="115" t="str">
        <f>IFERROR(__xludf.DUMMYFUNCTION("""COMPUTED_VALUE"""),"Vineeth V")</f>
        <v>Vineeth V</v>
      </c>
      <c r="C7329" s="115" t="str">
        <f>IFERROR(__xludf.DUMMYFUNCTION("""COMPUTED_VALUE"""),"MYNTRA")</f>
        <v>MYNTRA</v>
      </c>
      <c r="D7329" s="115">
        <f>IFERROR(__xludf.DUMMYFUNCTION("""COMPUTED_VALUE"""),17071.0)</f>
        <v>17071</v>
      </c>
      <c r="E7329" s="115">
        <f>IFERROR(__xludf.DUMMYFUNCTION("""COMPUTED_VALUE"""),3116.0)</f>
        <v>3116</v>
      </c>
      <c r="F7329" s="115">
        <f>IFERROR(__xludf.DUMMYFUNCTION("""COMPUTED_VALUE"""),13003.0)</f>
        <v>13003</v>
      </c>
      <c r="G7329" s="115">
        <f>IFERROR(__xludf.DUMMYFUNCTION("""COMPUTED_VALUE"""),885.0)</f>
        <v>885</v>
      </c>
      <c r="H7329" s="116">
        <f>IFERROR(__xludf.DUMMYFUNCTION("""COMPUTED_VALUE"""),45913.0)</f>
        <v>45913</v>
      </c>
      <c r="I7329" s="115" t="str">
        <f>IFERROR(__xludf.DUMMYFUNCTION("""COMPUTED_VALUE"""),"17")</f>
        <v>17</v>
      </c>
      <c r="J7329" s="115"/>
      <c r="K7329" s="115"/>
    </row>
    <row r="7330">
      <c r="A7330" s="115" t="str">
        <f>IFERROR(__xludf.DUMMYFUNCTION("""COMPUTED_VALUE"""),"WEST")</f>
        <v>WEST</v>
      </c>
      <c r="B7330" s="115" t="str">
        <f>IFERROR(__xludf.DUMMYFUNCTION("""COMPUTED_VALUE"""),"Ashish Jakar")</f>
        <v>Ashish Jakar</v>
      </c>
      <c r="C7330" s="115" t="str">
        <f>IFERROR(__xludf.DUMMYFUNCTION("""COMPUTED_VALUE"""),"EXTERNAL")</f>
        <v>EXTERNAL</v>
      </c>
      <c r="D7330" s="115">
        <f>IFERROR(__xludf.DUMMYFUNCTION("""COMPUTED_VALUE"""),63602.0)</f>
        <v>63602</v>
      </c>
      <c r="E7330" s="115">
        <f>IFERROR(__xludf.DUMMYFUNCTION("""COMPUTED_VALUE"""),5662.0)</f>
        <v>5662</v>
      </c>
      <c r="F7330" s="115">
        <f>IFERROR(__xludf.DUMMYFUNCTION("""COMPUTED_VALUE"""),22905.0)</f>
        <v>22905</v>
      </c>
      <c r="G7330" s="115">
        <f>IFERROR(__xludf.DUMMYFUNCTION("""COMPUTED_VALUE"""),1767.0)</f>
        <v>1767</v>
      </c>
      <c r="H7330" s="116">
        <f>IFERROR(__xludf.DUMMYFUNCTION("""COMPUTED_VALUE"""),45913.0)</f>
        <v>45913</v>
      </c>
      <c r="I7330" s="115" t="str">
        <f>IFERROR(__xludf.DUMMYFUNCTION("""COMPUTED_VALUE"""),"17")</f>
        <v>17</v>
      </c>
      <c r="J7330" s="115"/>
      <c r="K7330" s="115"/>
    </row>
    <row r="7331">
      <c r="A7331" s="115" t="str">
        <f>IFERROR(__xludf.DUMMYFUNCTION("""COMPUTED_VALUE"""),"WEST")</f>
        <v>WEST</v>
      </c>
      <c r="B7331" s="115" t="str">
        <f>IFERROR(__xludf.DUMMYFUNCTION("""COMPUTED_VALUE"""),"Ashish Jakar")</f>
        <v>Ashish Jakar</v>
      </c>
      <c r="C7331" s="115" t="str">
        <f>IFERROR(__xludf.DUMMYFUNCTION("""COMPUTED_VALUE"""),"FLIPKART")</f>
        <v>FLIPKART</v>
      </c>
      <c r="D7331" s="115">
        <f>IFERROR(__xludf.DUMMYFUNCTION("""COMPUTED_VALUE"""),490691.0)</f>
        <v>490691</v>
      </c>
      <c r="E7331" s="115">
        <f>IFERROR(__xludf.DUMMYFUNCTION("""COMPUTED_VALUE"""),37568.0)</f>
        <v>37568</v>
      </c>
      <c r="F7331" s="115">
        <f>IFERROR(__xludf.DUMMYFUNCTION("""COMPUTED_VALUE"""),297802.0)</f>
        <v>297802</v>
      </c>
      <c r="G7331" s="115">
        <f>IFERROR(__xludf.DUMMYFUNCTION("""COMPUTED_VALUE"""),13516.0)</f>
        <v>13516</v>
      </c>
      <c r="H7331" s="116">
        <f>IFERROR(__xludf.DUMMYFUNCTION("""COMPUTED_VALUE"""),45913.0)</f>
        <v>45913</v>
      </c>
      <c r="I7331" s="115" t="str">
        <f>IFERROR(__xludf.DUMMYFUNCTION("""COMPUTED_VALUE"""),"17")</f>
        <v>17</v>
      </c>
      <c r="J7331" s="115"/>
      <c r="K7331" s="115"/>
    </row>
    <row r="7332">
      <c r="A7332" s="115" t="str">
        <f>IFERROR(__xludf.DUMMYFUNCTION("""COMPUTED_VALUE"""),"WEST")</f>
        <v>WEST</v>
      </c>
      <c r="B7332" s="115" t="str">
        <f>IFERROR(__xludf.DUMMYFUNCTION("""COMPUTED_VALUE"""),"Ashish Jakar")</f>
        <v>Ashish Jakar</v>
      </c>
      <c r="C7332" s="115" t="str">
        <f>IFERROR(__xludf.DUMMYFUNCTION("""COMPUTED_VALUE"""),"MYNTRA")</f>
        <v>MYNTRA</v>
      </c>
      <c r="D7332" s="115">
        <f>IFERROR(__xludf.DUMMYFUNCTION("""COMPUTED_VALUE"""),49771.0)</f>
        <v>49771</v>
      </c>
      <c r="E7332" s="115">
        <f>IFERROR(__xludf.DUMMYFUNCTION("""COMPUTED_VALUE"""),11710.0)</f>
        <v>11710</v>
      </c>
      <c r="F7332" s="115">
        <f>IFERROR(__xludf.DUMMYFUNCTION("""COMPUTED_VALUE"""),34019.0)</f>
        <v>34019</v>
      </c>
      <c r="G7332" s="115">
        <f>IFERROR(__xludf.DUMMYFUNCTION("""COMPUTED_VALUE"""),4753.0)</f>
        <v>4753</v>
      </c>
      <c r="H7332" s="116">
        <f>IFERROR(__xludf.DUMMYFUNCTION("""COMPUTED_VALUE"""),45913.0)</f>
        <v>45913</v>
      </c>
      <c r="I7332" s="115" t="str">
        <f>IFERROR(__xludf.DUMMYFUNCTION("""COMPUTED_VALUE"""),"17")</f>
        <v>17</v>
      </c>
      <c r="J7332" s="115"/>
      <c r="K7332" s="115"/>
    </row>
    <row r="7333">
      <c r="A7333" s="115" t="str">
        <f>IFERROR(__xludf.DUMMYFUNCTION("""COMPUTED_VALUE"""),"WEST")</f>
        <v>WEST</v>
      </c>
      <c r="B7333" s="115" t="str">
        <f>IFERROR(__xludf.DUMMYFUNCTION("""COMPUTED_VALUE"""),"Ashvani Bhatt")</f>
        <v>Ashvani Bhatt</v>
      </c>
      <c r="C7333" s="115" t="str">
        <f>IFERROR(__xludf.DUMMYFUNCTION("""COMPUTED_VALUE"""),"EXTERNAL")</f>
        <v>EXTERNAL</v>
      </c>
      <c r="D7333" s="115">
        <f>IFERROR(__xludf.DUMMYFUNCTION("""COMPUTED_VALUE"""),41057.0)</f>
        <v>41057</v>
      </c>
      <c r="E7333" s="115">
        <f>IFERROR(__xludf.DUMMYFUNCTION("""COMPUTED_VALUE"""),2444.0)</f>
        <v>2444</v>
      </c>
      <c r="F7333" s="115">
        <f>IFERROR(__xludf.DUMMYFUNCTION("""COMPUTED_VALUE"""),15776.0)</f>
        <v>15776</v>
      </c>
      <c r="G7333" s="115">
        <f>IFERROR(__xludf.DUMMYFUNCTION("""COMPUTED_VALUE"""),844.0)</f>
        <v>844</v>
      </c>
      <c r="H7333" s="116">
        <f>IFERROR(__xludf.DUMMYFUNCTION("""COMPUTED_VALUE"""),45913.0)</f>
        <v>45913</v>
      </c>
      <c r="I7333" s="115" t="str">
        <f>IFERROR(__xludf.DUMMYFUNCTION("""COMPUTED_VALUE"""),"17")</f>
        <v>17</v>
      </c>
      <c r="J7333" s="115"/>
      <c r="K7333" s="115"/>
    </row>
    <row r="7334">
      <c r="A7334" s="115" t="str">
        <f>IFERROR(__xludf.DUMMYFUNCTION("""COMPUTED_VALUE"""),"WEST")</f>
        <v>WEST</v>
      </c>
      <c r="B7334" s="115" t="str">
        <f>IFERROR(__xludf.DUMMYFUNCTION("""COMPUTED_VALUE"""),"Ashvani Bhatt")</f>
        <v>Ashvani Bhatt</v>
      </c>
      <c r="C7334" s="115" t="str">
        <f>IFERROR(__xludf.DUMMYFUNCTION("""COMPUTED_VALUE"""),"FLIPKART")</f>
        <v>FLIPKART</v>
      </c>
      <c r="D7334" s="115">
        <f>IFERROR(__xludf.DUMMYFUNCTION("""COMPUTED_VALUE"""),340298.0)</f>
        <v>340298</v>
      </c>
      <c r="E7334" s="115">
        <f>IFERROR(__xludf.DUMMYFUNCTION("""COMPUTED_VALUE"""),31678.0)</f>
        <v>31678</v>
      </c>
      <c r="F7334" s="115">
        <f>IFERROR(__xludf.DUMMYFUNCTION("""COMPUTED_VALUE"""),234371.0)</f>
        <v>234371</v>
      </c>
      <c r="G7334" s="115">
        <f>IFERROR(__xludf.DUMMYFUNCTION("""COMPUTED_VALUE"""),13665.0)</f>
        <v>13665</v>
      </c>
      <c r="H7334" s="116">
        <f>IFERROR(__xludf.DUMMYFUNCTION("""COMPUTED_VALUE"""),45913.0)</f>
        <v>45913</v>
      </c>
      <c r="I7334" s="115" t="str">
        <f>IFERROR(__xludf.DUMMYFUNCTION("""COMPUTED_VALUE"""),"17")</f>
        <v>17</v>
      </c>
      <c r="J7334" s="115"/>
      <c r="K7334" s="115"/>
    </row>
    <row r="7335">
      <c r="A7335" s="115" t="str">
        <f>IFERROR(__xludf.DUMMYFUNCTION("""COMPUTED_VALUE"""),"WEST")</f>
        <v>WEST</v>
      </c>
      <c r="B7335" s="115" t="str">
        <f>IFERROR(__xludf.DUMMYFUNCTION("""COMPUTED_VALUE"""),"Ashvani Bhatt")</f>
        <v>Ashvani Bhatt</v>
      </c>
      <c r="C7335" s="115" t="str">
        <f>IFERROR(__xludf.DUMMYFUNCTION("""COMPUTED_VALUE"""),"MYNTRA")</f>
        <v>MYNTRA</v>
      </c>
      <c r="D7335" s="115">
        <f>IFERROR(__xludf.DUMMYFUNCTION("""COMPUTED_VALUE"""),36277.0)</f>
        <v>36277</v>
      </c>
      <c r="E7335" s="115">
        <f>IFERROR(__xludf.DUMMYFUNCTION("""COMPUTED_VALUE"""),8996.0)</f>
        <v>8996</v>
      </c>
      <c r="F7335" s="115">
        <f>IFERROR(__xludf.DUMMYFUNCTION("""COMPUTED_VALUE"""),27879.0)</f>
        <v>27879</v>
      </c>
      <c r="G7335" s="115">
        <f>IFERROR(__xludf.DUMMYFUNCTION("""COMPUTED_VALUE"""),4421.0)</f>
        <v>4421</v>
      </c>
      <c r="H7335" s="116">
        <f>IFERROR(__xludf.DUMMYFUNCTION("""COMPUTED_VALUE"""),45913.0)</f>
        <v>45913</v>
      </c>
      <c r="I7335" s="115" t="str">
        <f>IFERROR(__xludf.DUMMYFUNCTION("""COMPUTED_VALUE"""),"17")</f>
        <v>17</v>
      </c>
      <c r="J7335" s="115"/>
      <c r="K7335" s="115"/>
    </row>
    <row r="7336">
      <c r="A7336" s="115"/>
      <c r="B7336" s="115"/>
      <c r="C7336" s="115" t="str">
        <f>IFERROR(__xludf.DUMMYFUNCTION("""COMPUTED_VALUE"""),"EXTERNAL")</f>
        <v>EXTERNAL</v>
      </c>
      <c r="D7336" s="115">
        <f>IFERROR(__xludf.DUMMYFUNCTION("""COMPUTED_VALUE"""),1659.0)</f>
        <v>1659</v>
      </c>
      <c r="E7336" s="115">
        <f>IFERROR(__xludf.DUMMYFUNCTION("""COMPUTED_VALUE"""),268.0)</f>
        <v>268</v>
      </c>
      <c r="F7336" s="115">
        <f>IFERROR(__xludf.DUMMYFUNCTION("""COMPUTED_VALUE"""),641.0)</f>
        <v>641</v>
      </c>
      <c r="G7336" s="115">
        <f>IFERROR(__xludf.DUMMYFUNCTION("""COMPUTED_VALUE"""),93.0)</f>
        <v>93</v>
      </c>
      <c r="H7336" s="116">
        <f>IFERROR(__xludf.DUMMYFUNCTION("""COMPUTED_VALUE"""),45913.0)</f>
        <v>45913</v>
      </c>
      <c r="I7336" s="115" t="str">
        <f>IFERROR(__xludf.DUMMYFUNCTION("""COMPUTED_VALUE"""),"17")</f>
        <v>17</v>
      </c>
      <c r="J7336" s="115"/>
      <c r="K7336" s="115"/>
    </row>
    <row r="7337">
      <c r="A7337" s="115"/>
      <c r="B7337" s="115"/>
      <c r="C7337" s="115" t="str">
        <f>IFERROR(__xludf.DUMMYFUNCTION("""COMPUTED_VALUE"""),"FLIPKART")</f>
        <v>FLIPKART</v>
      </c>
      <c r="D7337" s="115">
        <f>IFERROR(__xludf.DUMMYFUNCTION("""COMPUTED_VALUE"""),20239.0)</f>
        <v>20239</v>
      </c>
      <c r="E7337" s="115">
        <f>IFERROR(__xludf.DUMMYFUNCTION("""COMPUTED_VALUE"""),1760.0)</f>
        <v>1760</v>
      </c>
      <c r="F7337" s="115">
        <f>IFERROR(__xludf.DUMMYFUNCTION("""COMPUTED_VALUE"""),11722.0)</f>
        <v>11722</v>
      </c>
      <c r="G7337" s="115">
        <f>IFERROR(__xludf.DUMMYFUNCTION("""COMPUTED_VALUE"""),717.0)</f>
        <v>717</v>
      </c>
      <c r="H7337" s="116">
        <f>IFERROR(__xludf.DUMMYFUNCTION("""COMPUTED_VALUE"""),45913.0)</f>
        <v>45913</v>
      </c>
      <c r="I7337" s="115" t="str">
        <f>IFERROR(__xludf.DUMMYFUNCTION("""COMPUTED_VALUE"""),"17")</f>
        <v>17</v>
      </c>
      <c r="J7337" s="115"/>
      <c r="K7337" s="115"/>
    </row>
    <row r="7338">
      <c r="A7338" s="115"/>
      <c r="B7338" s="115"/>
      <c r="C7338" s="115" t="str">
        <f>IFERROR(__xludf.DUMMYFUNCTION("""COMPUTED_VALUE"""),"MYNTRA")</f>
        <v>MYNTRA</v>
      </c>
      <c r="D7338" s="115">
        <f>IFERROR(__xludf.DUMMYFUNCTION("""COMPUTED_VALUE"""),1941.0)</f>
        <v>1941</v>
      </c>
      <c r="E7338" s="115">
        <f>IFERROR(__xludf.DUMMYFUNCTION("""COMPUTED_VALUE"""),514.0)</f>
        <v>514</v>
      </c>
      <c r="F7338" s="115">
        <f>IFERROR(__xludf.DUMMYFUNCTION("""COMPUTED_VALUE"""),1299.0)</f>
        <v>1299</v>
      </c>
      <c r="G7338" s="115">
        <f>IFERROR(__xludf.DUMMYFUNCTION("""COMPUTED_VALUE"""),242.0)</f>
        <v>242</v>
      </c>
      <c r="H7338" s="116">
        <f>IFERROR(__xludf.DUMMYFUNCTION("""COMPUTED_VALUE"""),45913.0)</f>
        <v>45913</v>
      </c>
      <c r="I7338" s="115" t="str">
        <f>IFERROR(__xludf.DUMMYFUNCTION("""COMPUTED_VALUE"""),"17")</f>
        <v>17</v>
      </c>
      <c r="J7338" s="115"/>
      <c r="K7338" s="115"/>
    </row>
    <row r="7339">
      <c r="A7339" s="115" t="str">
        <f>IFERROR(__xludf.DUMMYFUNCTION("""COMPUTED_VALUE"""),"EAST")</f>
        <v>EAST</v>
      </c>
      <c r="B7339" s="115" t="str">
        <f>IFERROR(__xludf.DUMMYFUNCTION("""COMPUTED_VALUE"""),"Ashish Ranjan")</f>
        <v>Ashish Ranjan</v>
      </c>
      <c r="C7339" s="115" t="str">
        <f>IFERROR(__xludf.DUMMYFUNCTION("""COMPUTED_VALUE"""),"EXTERNAL")</f>
        <v>EXTERNAL</v>
      </c>
      <c r="D7339" s="115">
        <f>IFERROR(__xludf.DUMMYFUNCTION("""COMPUTED_VALUE"""),42605.0)</f>
        <v>42605</v>
      </c>
      <c r="E7339" s="115">
        <f>IFERROR(__xludf.DUMMYFUNCTION("""COMPUTED_VALUE"""),2789.0)</f>
        <v>2789</v>
      </c>
      <c r="F7339" s="115">
        <f>IFERROR(__xludf.DUMMYFUNCTION("""COMPUTED_VALUE"""),21560.0)</f>
        <v>21560</v>
      </c>
      <c r="G7339" s="115">
        <f>IFERROR(__xludf.DUMMYFUNCTION("""COMPUTED_VALUE"""),1158.0)</f>
        <v>1158</v>
      </c>
      <c r="H7339" s="116">
        <f>IFERROR(__xludf.DUMMYFUNCTION("""COMPUTED_VALUE"""),45913.0)</f>
        <v>45913</v>
      </c>
      <c r="I7339" s="115" t="str">
        <f>IFERROR(__xludf.DUMMYFUNCTION("""COMPUTED_VALUE"""),"18")</f>
        <v>18</v>
      </c>
      <c r="J7339" s="115"/>
      <c r="K7339" s="115"/>
    </row>
    <row r="7340">
      <c r="A7340" s="115" t="str">
        <f>IFERROR(__xludf.DUMMYFUNCTION("""COMPUTED_VALUE"""),"EAST")</f>
        <v>EAST</v>
      </c>
      <c r="B7340" s="115" t="str">
        <f>IFERROR(__xludf.DUMMYFUNCTION("""COMPUTED_VALUE"""),"Ashish Ranjan")</f>
        <v>Ashish Ranjan</v>
      </c>
      <c r="C7340" s="115" t="str">
        <f>IFERROR(__xludf.DUMMYFUNCTION("""COMPUTED_VALUE"""),"FLIPKART")</f>
        <v>FLIPKART</v>
      </c>
      <c r="D7340" s="115">
        <f>IFERROR(__xludf.DUMMYFUNCTION("""COMPUTED_VALUE"""),891374.0)</f>
        <v>891374</v>
      </c>
      <c r="E7340" s="115">
        <f>IFERROR(__xludf.DUMMYFUNCTION("""COMPUTED_VALUE"""),71282.0)</f>
        <v>71282</v>
      </c>
      <c r="F7340" s="115">
        <f>IFERROR(__xludf.DUMMYFUNCTION("""COMPUTED_VALUE"""),724367.0)</f>
        <v>724367</v>
      </c>
      <c r="G7340" s="115">
        <f>IFERROR(__xludf.DUMMYFUNCTION("""COMPUTED_VALUE"""),39351.0)</f>
        <v>39351</v>
      </c>
      <c r="H7340" s="116">
        <f>IFERROR(__xludf.DUMMYFUNCTION("""COMPUTED_VALUE"""),45913.0)</f>
        <v>45913</v>
      </c>
      <c r="I7340" s="115" t="str">
        <f>IFERROR(__xludf.DUMMYFUNCTION("""COMPUTED_VALUE"""),"18")</f>
        <v>18</v>
      </c>
      <c r="J7340" s="115"/>
      <c r="K7340" s="115"/>
    </row>
    <row r="7341">
      <c r="A7341" s="115" t="str">
        <f>IFERROR(__xludf.DUMMYFUNCTION("""COMPUTED_VALUE"""),"EAST")</f>
        <v>EAST</v>
      </c>
      <c r="B7341" s="115" t="str">
        <f>IFERROR(__xludf.DUMMYFUNCTION("""COMPUTED_VALUE"""),"Ashish Ranjan")</f>
        <v>Ashish Ranjan</v>
      </c>
      <c r="C7341" s="115" t="str">
        <f>IFERROR(__xludf.DUMMYFUNCTION("""COMPUTED_VALUE"""),"MYNTRA")</f>
        <v>MYNTRA</v>
      </c>
      <c r="D7341" s="115">
        <f>IFERROR(__xludf.DUMMYFUNCTION("""COMPUTED_VALUE"""),85901.0)</f>
        <v>85901</v>
      </c>
      <c r="E7341" s="115">
        <f>IFERROR(__xludf.DUMMYFUNCTION("""COMPUTED_VALUE"""),16598.0)</f>
        <v>16598</v>
      </c>
      <c r="F7341" s="115">
        <f>IFERROR(__xludf.DUMMYFUNCTION("""COMPUTED_VALUE"""),69768.0)</f>
        <v>69768</v>
      </c>
      <c r="G7341" s="115">
        <f>IFERROR(__xludf.DUMMYFUNCTION("""COMPUTED_VALUE"""),8976.0)</f>
        <v>8976</v>
      </c>
      <c r="H7341" s="116">
        <f>IFERROR(__xludf.DUMMYFUNCTION("""COMPUTED_VALUE"""),45913.0)</f>
        <v>45913</v>
      </c>
      <c r="I7341" s="115" t="str">
        <f>IFERROR(__xludf.DUMMYFUNCTION("""COMPUTED_VALUE"""),"18")</f>
        <v>18</v>
      </c>
      <c r="J7341" s="115"/>
      <c r="K7341" s="115"/>
    </row>
    <row r="7342">
      <c r="A7342" s="115" t="str">
        <f>IFERROR(__xludf.DUMMYFUNCTION("""COMPUTED_VALUE"""),"EAST")</f>
        <v>EAST</v>
      </c>
      <c r="B7342" s="115" t="str">
        <f>IFERROR(__xludf.DUMMYFUNCTION("""COMPUTED_VALUE"""),"Girish Chand")</f>
        <v>Girish Chand</v>
      </c>
      <c r="C7342" s="115" t="str">
        <f>IFERROR(__xludf.DUMMYFUNCTION("""COMPUTED_VALUE"""),"EXTERNAL")</f>
        <v>EXTERNAL</v>
      </c>
      <c r="D7342" s="115">
        <f>IFERROR(__xludf.DUMMYFUNCTION("""COMPUTED_VALUE"""),23680.0)</f>
        <v>23680</v>
      </c>
      <c r="E7342" s="115">
        <f>IFERROR(__xludf.DUMMYFUNCTION("""COMPUTED_VALUE"""),1392.0)</f>
        <v>1392</v>
      </c>
      <c r="F7342" s="115">
        <f>IFERROR(__xludf.DUMMYFUNCTION("""COMPUTED_VALUE"""),9836.0)</f>
        <v>9836</v>
      </c>
      <c r="G7342" s="115">
        <f>IFERROR(__xludf.DUMMYFUNCTION("""COMPUTED_VALUE"""),433.0)</f>
        <v>433</v>
      </c>
      <c r="H7342" s="116">
        <f>IFERROR(__xludf.DUMMYFUNCTION("""COMPUTED_VALUE"""),45913.0)</f>
        <v>45913</v>
      </c>
      <c r="I7342" s="115" t="str">
        <f>IFERROR(__xludf.DUMMYFUNCTION("""COMPUTED_VALUE"""),"18")</f>
        <v>18</v>
      </c>
      <c r="J7342" s="115"/>
      <c r="K7342" s="115"/>
    </row>
    <row r="7343">
      <c r="A7343" s="115" t="str">
        <f>IFERROR(__xludf.DUMMYFUNCTION("""COMPUTED_VALUE"""),"EAST")</f>
        <v>EAST</v>
      </c>
      <c r="B7343" s="115" t="str">
        <f>IFERROR(__xludf.DUMMYFUNCTION("""COMPUTED_VALUE"""),"Girish Chand")</f>
        <v>Girish Chand</v>
      </c>
      <c r="C7343" s="115" t="str">
        <f>IFERROR(__xludf.DUMMYFUNCTION("""COMPUTED_VALUE"""),"FLIPKART")</f>
        <v>FLIPKART</v>
      </c>
      <c r="D7343" s="115">
        <f>IFERROR(__xludf.DUMMYFUNCTION("""COMPUTED_VALUE"""),508346.0)</f>
        <v>508346</v>
      </c>
      <c r="E7343" s="115">
        <f>IFERROR(__xludf.DUMMYFUNCTION("""COMPUTED_VALUE"""),39409.0)</f>
        <v>39409</v>
      </c>
      <c r="F7343" s="115">
        <f>IFERROR(__xludf.DUMMYFUNCTION("""COMPUTED_VALUE"""),363679.0)</f>
        <v>363679</v>
      </c>
      <c r="G7343" s="115">
        <f>IFERROR(__xludf.DUMMYFUNCTION("""COMPUTED_VALUE"""),19132.0)</f>
        <v>19132</v>
      </c>
      <c r="H7343" s="116">
        <f>IFERROR(__xludf.DUMMYFUNCTION("""COMPUTED_VALUE"""),45913.0)</f>
        <v>45913</v>
      </c>
      <c r="I7343" s="115" t="str">
        <f>IFERROR(__xludf.DUMMYFUNCTION("""COMPUTED_VALUE"""),"18")</f>
        <v>18</v>
      </c>
      <c r="J7343" s="115"/>
      <c r="K7343" s="115"/>
    </row>
    <row r="7344">
      <c r="A7344" s="115" t="str">
        <f>IFERROR(__xludf.DUMMYFUNCTION("""COMPUTED_VALUE"""),"EAST")</f>
        <v>EAST</v>
      </c>
      <c r="B7344" s="115" t="str">
        <f>IFERROR(__xludf.DUMMYFUNCTION("""COMPUTED_VALUE"""),"Girish Chand")</f>
        <v>Girish Chand</v>
      </c>
      <c r="C7344" s="115" t="str">
        <f>IFERROR(__xludf.DUMMYFUNCTION("""COMPUTED_VALUE"""),"MYNTRA")</f>
        <v>MYNTRA</v>
      </c>
      <c r="D7344" s="115">
        <f>IFERROR(__xludf.DUMMYFUNCTION("""COMPUTED_VALUE"""),39493.0)</f>
        <v>39493</v>
      </c>
      <c r="E7344" s="115">
        <f>IFERROR(__xludf.DUMMYFUNCTION("""COMPUTED_VALUE"""),7127.0)</f>
        <v>7127</v>
      </c>
      <c r="F7344" s="115">
        <f>IFERROR(__xludf.DUMMYFUNCTION("""COMPUTED_VALUE"""),29804.0)</f>
        <v>29804</v>
      </c>
      <c r="G7344" s="115">
        <f>IFERROR(__xludf.DUMMYFUNCTION("""COMPUTED_VALUE"""),3618.0)</f>
        <v>3618</v>
      </c>
      <c r="H7344" s="116">
        <f>IFERROR(__xludf.DUMMYFUNCTION("""COMPUTED_VALUE"""),45913.0)</f>
        <v>45913</v>
      </c>
      <c r="I7344" s="115" t="str">
        <f>IFERROR(__xludf.DUMMYFUNCTION("""COMPUTED_VALUE"""),"18")</f>
        <v>18</v>
      </c>
      <c r="J7344" s="115"/>
      <c r="K7344" s="115"/>
    </row>
    <row r="7345">
      <c r="A7345" s="115" t="str">
        <f>IFERROR(__xludf.DUMMYFUNCTION("""COMPUTED_VALUE"""),"EAST")</f>
        <v>EAST</v>
      </c>
      <c r="B7345" s="115" t="str">
        <f>IFERROR(__xludf.DUMMYFUNCTION("""COMPUTED_VALUE"""),"Parag Kashyap")</f>
        <v>Parag Kashyap</v>
      </c>
      <c r="C7345" s="115" t="str">
        <f>IFERROR(__xludf.DUMMYFUNCTION("""COMPUTED_VALUE"""),"EXTERNAL")</f>
        <v>EXTERNAL</v>
      </c>
      <c r="D7345" s="115">
        <f>IFERROR(__xludf.DUMMYFUNCTION("""COMPUTED_VALUE"""),16565.0)</f>
        <v>16565</v>
      </c>
      <c r="E7345" s="115">
        <f>IFERROR(__xludf.DUMMYFUNCTION("""COMPUTED_VALUE"""),736.0)</f>
        <v>736</v>
      </c>
      <c r="F7345" s="115">
        <f>IFERROR(__xludf.DUMMYFUNCTION("""COMPUTED_VALUE"""),6738.0)</f>
        <v>6738</v>
      </c>
      <c r="G7345" s="115">
        <f>IFERROR(__xludf.DUMMYFUNCTION("""COMPUTED_VALUE"""),194.0)</f>
        <v>194</v>
      </c>
      <c r="H7345" s="116">
        <f>IFERROR(__xludf.DUMMYFUNCTION("""COMPUTED_VALUE"""),45913.0)</f>
        <v>45913</v>
      </c>
      <c r="I7345" s="115" t="str">
        <f>IFERROR(__xludf.DUMMYFUNCTION("""COMPUTED_VALUE"""),"18")</f>
        <v>18</v>
      </c>
      <c r="J7345" s="115"/>
      <c r="K7345" s="115"/>
    </row>
    <row r="7346">
      <c r="A7346" s="115" t="str">
        <f>IFERROR(__xludf.DUMMYFUNCTION("""COMPUTED_VALUE"""),"EAST")</f>
        <v>EAST</v>
      </c>
      <c r="B7346" s="115" t="str">
        <f>IFERROR(__xludf.DUMMYFUNCTION("""COMPUTED_VALUE"""),"Parag Kashyap")</f>
        <v>Parag Kashyap</v>
      </c>
      <c r="C7346" s="115" t="str">
        <f>IFERROR(__xludf.DUMMYFUNCTION("""COMPUTED_VALUE"""),"FLIPKART")</f>
        <v>FLIPKART</v>
      </c>
      <c r="D7346" s="115">
        <f>IFERROR(__xludf.DUMMYFUNCTION("""COMPUTED_VALUE"""),317227.0)</f>
        <v>317227</v>
      </c>
      <c r="E7346" s="115">
        <f>IFERROR(__xludf.DUMMYFUNCTION("""COMPUTED_VALUE"""),18866.0)</f>
        <v>18866</v>
      </c>
      <c r="F7346" s="115">
        <f>IFERROR(__xludf.DUMMYFUNCTION("""COMPUTED_VALUE"""),229537.0)</f>
        <v>229537</v>
      </c>
      <c r="G7346" s="115">
        <f>IFERROR(__xludf.DUMMYFUNCTION("""COMPUTED_VALUE"""),7567.0)</f>
        <v>7567</v>
      </c>
      <c r="H7346" s="116">
        <f>IFERROR(__xludf.DUMMYFUNCTION("""COMPUTED_VALUE"""),45913.0)</f>
        <v>45913</v>
      </c>
      <c r="I7346" s="115" t="str">
        <f>IFERROR(__xludf.DUMMYFUNCTION("""COMPUTED_VALUE"""),"18")</f>
        <v>18</v>
      </c>
      <c r="J7346" s="115"/>
      <c r="K7346" s="115"/>
    </row>
    <row r="7347">
      <c r="A7347" s="115" t="str">
        <f>IFERROR(__xludf.DUMMYFUNCTION("""COMPUTED_VALUE"""),"EAST")</f>
        <v>EAST</v>
      </c>
      <c r="B7347" s="115" t="str">
        <f>IFERROR(__xludf.DUMMYFUNCTION("""COMPUTED_VALUE"""),"Parag Kashyap")</f>
        <v>Parag Kashyap</v>
      </c>
      <c r="C7347" s="115" t="str">
        <f>IFERROR(__xludf.DUMMYFUNCTION("""COMPUTED_VALUE"""),"MYNTRA")</f>
        <v>MYNTRA</v>
      </c>
      <c r="D7347" s="115">
        <f>IFERROR(__xludf.DUMMYFUNCTION("""COMPUTED_VALUE"""),36582.0)</f>
        <v>36582</v>
      </c>
      <c r="E7347" s="115">
        <f>IFERROR(__xludf.DUMMYFUNCTION("""COMPUTED_VALUE"""),6103.0)</f>
        <v>6103</v>
      </c>
      <c r="F7347" s="115">
        <f>IFERROR(__xludf.DUMMYFUNCTION("""COMPUTED_VALUE"""),27041.0)</f>
        <v>27041</v>
      </c>
      <c r="G7347" s="115">
        <f>IFERROR(__xludf.DUMMYFUNCTION("""COMPUTED_VALUE"""),2526.0)</f>
        <v>2526</v>
      </c>
      <c r="H7347" s="116">
        <f>IFERROR(__xludf.DUMMYFUNCTION("""COMPUTED_VALUE"""),45913.0)</f>
        <v>45913</v>
      </c>
      <c r="I7347" s="115" t="str">
        <f>IFERROR(__xludf.DUMMYFUNCTION("""COMPUTED_VALUE"""),"18")</f>
        <v>18</v>
      </c>
      <c r="J7347" s="115"/>
      <c r="K7347" s="115"/>
    </row>
    <row r="7348">
      <c r="A7348" s="115" t="str">
        <f>IFERROR(__xludf.DUMMYFUNCTION("""COMPUTED_VALUE"""),"NORTH")</f>
        <v>NORTH</v>
      </c>
      <c r="B7348" s="115" t="str">
        <f>IFERROR(__xludf.DUMMYFUNCTION("""COMPUTED_VALUE"""),"Amit Kumar Pathak")</f>
        <v>Amit Kumar Pathak</v>
      </c>
      <c r="C7348" s="115" t="str">
        <f>IFERROR(__xludf.DUMMYFUNCTION("""COMPUTED_VALUE"""),"EXTERNAL")</f>
        <v>EXTERNAL</v>
      </c>
      <c r="D7348" s="115">
        <f>IFERROR(__xludf.DUMMYFUNCTION("""COMPUTED_VALUE"""),30436.0)</f>
        <v>30436</v>
      </c>
      <c r="E7348" s="115">
        <f>IFERROR(__xludf.DUMMYFUNCTION("""COMPUTED_VALUE"""),2637.0)</f>
        <v>2637</v>
      </c>
      <c r="F7348" s="115">
        <f>IFERROR(__xludf.DUMMYFUNCTION("""COMPUTED_VALUE"""),11207.0)</f>
        <v>11207</v>
      </c>
      <c r="G7348" s="115">
        <f>IFERROR(__xludf.DUMMYFUNCTION("""COMPUTED_VALUE"""),1229.0)</f>
        <v>1229</v>
      </c>
      <c r="H7348" s="116">
        <f>IFERROR(__xludf.DUMMYFUNCTION("""COMPUTED_VALUE"""),45913.0)</f>
        <v>45913</v>
      </c>
      <c r="I7348" s="115" t="str">
        <f>IFERROR(__xludf.DUMMYFUNCTION("""COMPUTED_VALUE"""),"18")</f>
        <v>18</v>
      </c>
      <c r="J7348" s="115"/>
      <c r="K7348" s="115"/>
    </row>
    <row r="7349">
      <c r="A7349" s="115" t="str">
        <f>IFERROR(__xludf.DUMMYFUNCTION("""COMPUTED_VALUE"""),"NORTH")</f>
        <v>NORTH</v>
      </c>
      <c r="B7349" s="115" t="str">
        <f>IFERROR(__xludf.DUMMYFUNCTION("""COMPUTED_VALUE"""),"Amit Kumar Pathak")</f>
        <v>Amit Kumar Pathak</v>
      </c>
      <c r="C7349" s="115" t="str">
        <f>IFERROR(__xludf.DUMMYFUNCTION("""COMPUTED_VALUE"""),"FLIPKART")</f>
        <v>FLIPKART</v>
      </c>
      <c r="D7349" s="115">
        <f>IFERROR(__xludf.DUMMYFUNCTION("""COMPUTED_VALUE"""),217424.0)</f>
        <v>217424</v>
      </c>
      <c r="E7349" s="115">
        <f>IFERROR(__xludf.DUMMYFUNCTION("""COMPUTED_VALUE"""),23427.0)</f>
        <v>23427</v>
      </c>
      <c r="F7349" s="115">
        <f>IFERROR(__xludf.DUMMYFUNCTION("""COMPUTED_VALUE"""),144506.0)</f>
        <v>144506</v>
      </c>
      <c r="G7349" s="115">
        <f>IFERROR(__xludf.DUMMYFUNCTION("""COMPUTED_VALUE"""),12652.0)</f>
        <v>12652</v>
      </c>
      <c r="H7349" s="116">
        <f>IFERROR(__xludf.DUMMYFUNCTION("""COMPUTED_VALUE"""),45913.0)</f>
        <v>45913</v>
      </c>
      <c r="I7349" s="115" t="str">
        <f>IFERROR(__xludf.DUMMYFUNCTION("""COMPUTED_VALUE"""),"18")</f>
        <v>18</v>
      </c>
      <c r="J7349" s="115"/>
      <c r="K7349" s="115"/>
    </row>
    <row r="7350">
      <c r="A7350" s="115" t="str">
        <f>IFERROR(__xludf.DUMMYFUNCTION("""COMPUTED_VALUE"""),"NORTH")</f>
        <v>NORTH</v>
      </c>
      <c r="B7350" s="115" t="str">
        <f>IFERROR(__xludf.DUMMYFUNCTION("""COMPUTED_VALUE"""),"Amit Kumar Pathak")</f>
        <v>Amit Kumar Pathak</v>
      </c>
      <c r="C7350" s="115" t="str">
        <f>IFERROR(__xludf.DUMMYFUNCTION("""COMPUTED_VALUE"""),"MYNTRA")</f>
        <v>MYNTRA</v>
      </c>
      <c r="D7350" s="115">
        <f>IFERROR(__xludf.DUMMYFUNCTION("""COMPUTED_VALUE"""),17937.0)</f>
        <v>17937</v>
      </c>
      <c r="E7350" s="115">
        <f>IFERROR(__xludf.DUMMYFUNCTION("""COMPUTED_VALUE"""),5663.0)</f>
        <v>5663</v>
      </c>
      <c r="F7350" s="115">
        <f>IFERROR(__xludf.DUMMYFUNCTION("""COMPUTED_VALUE"""),13479.0)</f>
        <v>13479</v>
      </c>
      <c r="G7350" s="115">
        <f>IFERROR(__xludf.DUMMYFUNCTION("""COMPUTED_VALUE"""),3273.0)</f>
        <v>3273</v>
      </c>
      <c r="H7350" s="116">
        <f>IFERROR(__xludf.DUMMYFUNCTION("""COMPUTED_VALUE"""),45913.0)</f>
        <v>45913</v>
      </c>
      <c r="I7350" s="115" t="str">
        <f>IFERROR(__xludf.DUMMYFUNCTION("""COMPUTED_VALUE"""),"18")</f>
        <v>18</v>
      </c>
      <c r="J7350" s="115"/>
      <c r="K7350" s="115"/>
    </row>
    <row r="7351">
      <c r="A7351" s="115" t="str">
        <f>IFERROR(__xludf.DUMMYFUNCTION("""COMPUTED_VALUE"""),"NORTH")</f>
        <v>NORTH</v>
      </c>
      <c r="B7351" s="115" t="str">
        <f>IFERROR(__xludf.DUMMYFUNCTION("""COMPUTED_VALUE"""),"Loveleen Singh")</f>
        <v>Loveleen Singh</v>
      </c>
      <c r="C7351" s="115" t="str">
        <f>IFERROR(__xludf.DUMMYFUNCTION("""COMPUTED_VALUE"""),"EXTERNAL")</f>
        <v>EXTERNAL</v>
      </c>
      <c r="D7351" s="115">
        <f>IFERROR(__xludf.DUMMYFUNCTION("""COMPUTED_VALUE"""),34600.0)</f>
        <v>34600</v>
      </c>
      <c r="E7351" s="115">
        <f>IFERROR(__xludf.DUMMYFUNCTION("""COMPUTED_VALUE"""),1876.0)</f>
        <v>1876</v>
      </c>
      <c r="F7351" s="115">
        <f>IFERROR(__xludf.DUMMYFUNCTION("""COMPUTED_VALUE"""),13529.0)</f>
        <v>13529</v>
      </c>
      <c r="G7351" s="115">
        <f>IFERROR(__xludf.DUMMYFUNCTION("""COMPUTED_VALUE"""),613.0)</f>
        <v>613</v>
      </c>
      <c r="H7351" s="116">
        <f>IFERROR(__xludf.DUMMYFUNCTION("""COMPUTED_VALUE"""),45913.0)</f>
        <v>45913</v>
      </c>
      <c r="I7351" s="115" t="str">
        <f>IFERROR(__xludf.DUMMYFUNCTION("""COMPUTED_VALUE"""),"18")</f>
        <v>18</v>
      </c>
      <c r="J7351" s="115"/>
      <c r="K7351" s="115"/>
    </row>
    <row r="7352">
      <c r="A7352" s="115" t="str">
        <f>IFERROR(__xludf.DUMMYFUNCTION("""COMPUTED_VALUE"""),"NORTH")</f>
        <v>NORTH</v>
      </c>
      <c r="B7352" s="115" t="str">
        <f>IFERROR(__xludf.DUMMYFUNCTION("""COMPUTED_VALUE"""),"Loveleen Singh")</f>
        <v>Loveleen Singh</v>
      </c>
      <c r="C7352" s="115" t="str">
        <f>IFERROR(__xludf.DUMMYFUNCTION("""COMPUTED_VALUE"""),"FLIPKART")</f>
        <v>FLIPKART</v>
      </c>
      <c r="D7352" s="115">
        <f>IFERROR(__xludf.DUMMYFUNCTION("""COMPUTED_VALUE"""),226912.0)</f>
        <v>226912</v>
      </c>
      <c r="E7352" s="115">
        <f>IFERROR(__xludf.DUMMYFUNCTION("""COMPUTED_VALUE"""),15488.0)</f>
        <v>15488</v>
      </c>
      <c r="F7352" s="115">
        <f>IFERROR(__xludf.DUMMYFUNCTION("""COMPUTED_VALUE"""),163557.0)</f>
        <v>163557</v>
      </c>
      <c r="G7352" s="115">
        <f>IFERROR(__xludf.DUMMYFUNCTION("""COMPUTED_VALUE"""),7588.0)</f>
        <v>7588</v>
      </c>
      <c r="H7352" s="116">
        <f>IFERROR(__xludf.DUMMYFUNCTION("""COMPUTED_VALUE"""),45913.0)</f>
        <v>45913</v>
      </c>
      <c r="I7352" s="115" t="str">
        <f>IFERROR(__xludf.DUMMYFUNCTION("""COMPUTED_VALUE"""),"18")</f>
        <v>18</v>
      </c>
      <c r="J7352" s="115"/>
      <c r="K7352" s="115"/>
    </row>
    <row r="7353">
      <c r="A7353" s="115" t="str">
        <f>IFERROR(__xludf.DUMMYFUNCTION("""COMPUTED_VALUE"""),"NORTH")</f>
        <v>NORTH</v>
      </c>
      <c r="B7353" s="115" t="str">
        <f>IFERROR(__xludf.DUMMYFUNCTION("""COMPUTED_VALUE"""),"Loveleen Singh")</f>
        <v>Loveleen Singh</v>
      </c>
      <c r="C7353" s="115" t="str">
        <f>IFERROR(__xludf.DUMMYFUNCTION("""COMPUTED_VALUE"""),"MYNTRA")</f>
        <v>MYNTRA</v>
      </c>
      <c r="D7353" s="115">
        <f>IFERROR(__xludf.DUMMYFUNCTION("""COMPUTED_VALUE"""),33777.0)</f>
        <v>33777</v>
      </c>
      <c r="E7353" s="115">
        <f>IFERROR(__xludf.DUMMYFUNCTION("""COMPUTED_VALUE"""),6242.0)</f>
        <v>6242</v>
      </c>
      <c r="F7353" s="115">
        <f>IFERROR(__xludf.DUMMYFUNCTION("""COMPUTED_VALUE"""),25943.0)</f>
        <v>25943</v>
      </c>
      <c r="G7353" s="115">
        <f>IFERROR(__xludf.DUMMYFUNCTION("""COMPUTED_VALUE"""),3352.0)</f>
        <v>3352</v>
      </c>
      <c r="H7353" s="116">
        <f>IFERROR(__xludf.DUMMYFUNCTION("""COMPUTED_VALUE"""),45913.0)</f>
        <v>45913</v>
      </c>
      <c r="I7353" s="115" t="str">
        <f>IFERROR(__xludf.DUMMYFUNCTION("""COMPUTED_VALUE"""),"18")</f>
        <v>18</v>
      </c>
      <c r="J7353" s="115"/>
      <c r="K7353" s="115"/>
    </row>
    <row r="7354">
      <c r="A7354" s="115" t="str">
        <f>IFERROR(__xludf.DUMMYFUNCTION("""COMPUTED_VALUE"""),"NORTH")</f>
        <v>NORTH</v>
      </c>
      <c r="B7354" s="115" t="str">
        <f>IFERROR(__xludf.DUMMYFUNCTION("""COMPUTED_VALUE"""),"Manoj Harsh")</f>
        <v>Manoj Harsh</v>
      </c>
      <c r="C7354" s="115" t="str">
        <f>IFERROR(__xludf.DUMMYFUNCTION("""COMPUTED_VALUE"""),"EXTERNAL")</f>
        <v>EXTERNAL</v>
      </c>
      <c r="D7354" s="115">
        <f>IFERROR(__xludf.DUMMYFUNCTION("""COMPUTED_VALUE"""),38057.0)</f>
        <v>38057</v>
      </c>
      <c r="E7354" s="115">
        <f>IFERROR(__xludf.DUMMYFUNCTION("""COMPUTED_VALUE"""),1901.0)</f>
        <v>1901</v>
      </c>
      <c r="F7354" s="115">
        <f>IFERROR(__xludf.DUMMYFUNCTION("""COMPUTED_VALUE"""),17030.0)</f>
        <v>17030</v>
      </c>
      <c r="G7354" s="115">
        <f>IFERROR(__xludf.DUMMYFUNCTION("""COMPUTED_VALUE"""),645.0)</f>
        <v>645</v>
      </c>
      <c r="H7354" s="116">
        <f>IFERROR(__xludf.DUMMYFUNCTION("""COMPUTED_VALUE"""),45913.0)</f>
        <v>45913</v>
      </c>
      <c r="I7354" s="115" t="str">
        <f>IFERROR(__xludf.DUMMYFUNCTION("""COMPUTED_VALUE"""),"18")</f>
        <v>18</v>
      </c>
      <c r="J7354" s="115"/>
      <c r="K7354" s="115"/>
    </row>
    <row r="7355">
      <c r="A7355" s="115" t="str">
        <f>IFERROR(__xludf.DUMMYFUNCTION("""COMPUTED_VALUE"""),"NORTH")</f>
        <v>NORTH</v>
      </c>
      <c r="B7355" s="115" t="str">
        <f>IFERROR(__xludf.DUMMYFUNCTION("""COMPUTED_VALUE"""),"Manoj Harsh")</f>
        <v>Manoj Harsh</v>
      </c>
      <c r="C7355" s="115" t="str">
        <f>IFERROR(__xludf.DUMMYFUNCTION("""COMPUTED_VALUE"""),"FLIPKART")</f>
        <v>FLIPKART</v>
      </c>
      <c r="D7355" s="115">
        <f>IFERROR(__xludf.DUMMYFUNCTION("""COMPUTED_VALUE"""),485710.0)</f>
        <v>485710</v>
      </c>
      <c r="E7355" s="115">
        <f>IFERROR(__xludf.DUMMYFUNCTION("""COMPUTED_VALUE"""),40878.0)</f>
        <v>40878</v>
      </c>
      <c r="F7355" s="115">
        <f>IFERROR(__xludf.DUMMYFUNCTION("""COMPUTED_VALUE"""),346956.0)</f>
        <v>346956</v>
      </c>
      <c r="G7355" s="115">
        <f>IFERROR(__xludf.DUMMYFUNCTION("""COMPUTED_VALUE"""),20671.0)</f>
        <v>20671</v>
      </c>
      <c r="H7355" s="116">
        <f>IFERROR(__xludf.DUMMYFUNCTION("""COMPUTED_VALUE"""),45913.0)</f>
        <v>45913</v>
      </c>
      <c r="I7355" s="115" t="str">
        <f>IFERROR(__xludf.DUMMYFUNCTION("""COMPUTED_VALUE"""),"18")</f>
        <v>18</v>
      </c>
      <c r="J7355" s="115"/>
      <c r="K7355" s="115"/>
    </row>
    <row r="7356">
      <c r="A7356" s="115" t="str">
        <f>IFERROR(__xludf.DUMMYFUNCTION("""COMPUTED_VALUE"""),"NORTH")</f>
        <v>NORTH</v>
      </c>
      <c r="B7356" s="115" t="str">
        <f>IFERROR(__xludf.DUMMYFUNCTION("""COMPUTED_VALUE"""),"Manoj Harsh")</f>
        <v>Manoj Harsh</v>
      </c>
      <c r="C7356" s="115" t="str">
        <f>IFERROR(__xludf.DUMMYFUNCTION("""COMPUTED_VALUE"""),"MYNTRA")</f>
        <v>MYNTRA</v>
      </c>
      <c r="D7356" s="115">
        <f>IFERROR(__xludf.DUMMYFUNCTION("""COMPUTED_VALUE"""),36582.0)</f>
        <v>36582</v>
      </c>
      <c r="E7356" s="115">
        <f>IFERROR(__xludf.DUMMYFUNCTION("""COMPUTED_VALUE"""),7412.0)</f>
        <v>7412</v>
      </c>
      <c r="F7356" s="115">
        <f>IFERROR(__xludf.DUMMYFUNCTION("""COMPUTED_VALUE"""),28130.0)</f>
        <v>28130</v>
      </c>
      <c r="G7356" s="115">
        <f>IFERROR(__xludf.DUMMYFUNCTION("""COMPUTED_VALUE"""),4051.0)</f>
        <v>4051</v>
      </c>
      <c r="H7356" s="116">
        <f>IFERROR(__xludf.DUMMYFUNCTION("""COMPUTED_VALUE"""),45913.0)</f>
        <v>45913</v>
      </c>
      <c r="I7356" s="115" t="str">
        <f>IFERROR(__xludf.DUMMYFUNCTION("""COMPUTED_VALUE"""),"18")</f>
        <v>18</v>
      </c>
      <c r="J7356" s="115"/>
      <c r="K7356" s="115"/>
    </row>
    <row r="7357">
      <c r="A7357" s="115" t="str">
        <f>IFERROR(__xludf.DUMMYFUNCTION("""COMPUTED_VALUE"""),"NORTH")</f>
        <v>NORTH</v>
      </c>
      <c r="B7357" s="115" t="str">
        <f>IFERROR(__xludf.DUMMYFUNCTION("""COMPUTED_VALUE"""),"Pradeep Kothari")</f>
        <v>Pradeep Kothari</v>
      </c>
      <c r="C7357" s="115" t="str">
        <f>IFERROR(__xludf.DUMMYFUNCTION("""COMPUTED_VALUE"""),"EXTERNAL")</f>
        <v>EXTERNAL</v>
      </c>
      <c r="D7357" s="115">
        <f>IFERROR(__xludf.DUMMYFUNCTION("""COMPUTED_VALUE"""),20030.0)</f>
        <v>20030</v>
      </c>
      <c r="E7357" s="115">
        <f>IFERROR(__xludf.DUMMYFUNCTION("""COMPUTED_VALUE"""),1406.0)</f>
        <v>1406</v>
      </c>
      <c r="F7357" s="115">
        <f>IFERROR(__xludf.DUMMYFUNCTION("""COMPUTED_VALUE"""),8314.0)</f>
        <v>8314</v>
      </c>
      <c r="G7357" s="115">
        <f>IFERROR(__xludf.DUMMYFUNCTION("""COMPUTED_VALUE"""),611.0)</f>
        <v>611</v>
      </c>
      <c r="H7357" s="116">
        <f>IFERROR(__xludf.DUMMYFUNCTION("""COMPUTED_VALUE"""),45913.0)</f>
        <v>45913</v>
      </c>
      <c r="I7357" s="115" t="str">
        <f>IFERROR(__xludf.DUMMYFUNCTION("""COMPUTED_VALUE"""),"18")</f>
        <v>18</v>
      </c>
      <c r="J7357" s="115"/>
      <c r="K7357" s="115"/>
    </row>
    <row r="7358">
      <c r="A7358" s="115" t="str">
        <f>IFERROR(__xludf.DUMMYFUNCTION("""COMPUTED_VALUE"""),"NORTH")</f>
        <v>NORTH</v>
      </c>
      <c r="B7358" s="115" t="str">
        <f>IFERROR(__xludf.DUMMYFUNCTION("""COMPUTED_VALUE"""),"Pradeep Kothari")</f>
        <v>Pradeep Kothari</v>
      </c>
      <c r="C7358" s="115" t="str">
        <f>IFERROR(__xludf.DUMMYFUNCTION("""COMPUTED_VALUE"""),"FLIPKART")</f>
        <v>FLIPKART</v>
      </c>
      <c r="D7358" s="115">
        <f>IFERROR(__xludf.DUMMYFUNCTION("""COMPUTED_VALUE"""),179962.0)</f>
        <v>179962</v>
      </c>
      <c r="E7358" s="115">
        <f>IFERROR(__xludf.DUMMYFUNCTION("""COMPUTED_VALUE"""),17964.0)</f>
        <v>17964</v>
      </c>
      <c r="F7358" s="115">
        <f>IFERROR(__xludf.DUMMYFUNCTION("""COMPUTED_VALUE"""),134644.0)</f>
        <v>134644</v>
      </c>
      <c r="G7358" s="115">
        <f>IFERROR(__xludf.DUMMYFUNCTION("""COMPUTED_VALUE"""),10704.0)</f>
        <v>10704</v>
      </c>
      <c r="H7358" s="116">
        <f>IFERROR(__xludf.DUMMYFUNCTION("""COMPUTED_VALUE"""),45913.0)</f>
        <v>45913</v>
      </c>
      <c r="I7358" s="115" t="str">
        <f>IFERROR(__xludf.DUMMYFUNCTION("""COMPUTED_VALUE"""),"18")</f>
        <v>18</v>
      </c>
      <c r="J7358" s="115"/>
      <c r="K7358" s="115"/>
    </row>
    <row r="7359">
      <c r="A7359" s="115" t="str">
        <f>IFERROR(__xludf.DUMMYFUNCTION("""COMPUTED_VALUE"""),"NORTH")</f>
        <v>NORTH</v>
      </c>
      <c r="B7359" s="115" t="str">
        <f>IFERROR(__xludf.DUMMYFUNCTION("""COMPUTED_VALUE"""),"Pradeep Kothari")</f>
        <v>Pradeep Kothari</v>
      </c>
      <c r="C7359" s="115" t="str">
        <f>IFERROR(__xludf.DUMMYFUNCTION("""COMPUTED_VALUE"""),"MYNTRA")</f>
        <v>MYNTRA</v>
      </c>
      <c r="D7359" s="115">
        <f>IFERROR(__xludf.DUMMYFUNCTION("""COMPUTED_VALUE"""),27366.0)</f>
        <v>27366</v>
      </c>
      <c r="E7359" s="115">
        <f>IFERROR(__xludf.DUMMYFUNCTION("""COMPUTED_VALUE"""),6179.0)</f>
        <v>6179</v>
      </c>
      <c r="F7359" s="115">
        <f>IFERROR(__xludf.DUMMYFUNCTION("""COMPUTED_VALUE"""),22309.0)</f>
        <v>22309</v>
      </c>
      <c r="G7359" s="115">
        <f>IFERROR(__xludf.DUMMYFUNCTION("""COMPUTED_VALUE"""),4127.0)</f>
        <v>4127</v>
      </c>
      <c r="H7359" s="116">
        <f>IFERROR(__xludf.DUMMYFUNCTION("""COMPUTED_VALUE"""),45913.0)</f>
        <v>45913</v>
      </c>
      <c r="I7359" s="115" t="str">
        <f>IFERROR(__xludf.DUMMYFUNCTION("""COMPUTED_VALUE"""),"18")</f>
        <v>18</v>
      </c>
      <c r="J7359" s="115"/>
      <c r="K7359" s="115"/>
    </row>
    <row r="7360">
      <c r="A7360" s="115" t="str">
        <f>IFERROR(__xludf.DUMMYFUNCTION("""COMPUTED_VALUE"""),"SOUTH")</f>
        <v>SOUTH</v>
      </c>
      <c r="B7360" s="115" t="str">
        <f>IFERROR(__xludf.DUMMYFUNCTION("""COMPUTED_VALUE"""),"Kandula Sampath")</f>
        <v>Kandula Sampath</v>
      </c>
      <c r="C7360" s="115" t="str">
        <f>IFERROR(__xludf.DUMMYFUNCTION("""COMPUTED_VALUE"""),"EXTERNAL")</f>
        <v>EXTERNAL</v>
      </c>
      <c r="D7360" s="115">
        <f>IFERROR(__xludf.DUMMYFUNCTION("""COMPUTED_VALUE"""),34933.0)</f>
        <v>34933</v>
      </c>
      <c r="E7360" s="115">
        <f>IFERROR(__xludf.DUMMYFUNCTION("""COMPUTED_VALUE"""),3396.0)</f>
        <v>3396</v>
      </c>
      <c r="F7360" s="115">
        <f>IFERROR(__xludf.DUMMYFUNCTION("""COMPUTED_VALUE"""),14459.0)</f>
        <v>14459</v>
      </c>
      <c r="G7360" s="115">
        <f>IFERROR(__xludf.DUMMYFUNCTION("""COMPUTED_VALUE"""),1052.0)</f>
        <v>1052</v>
      </c>
      <c r="H7360" s="116">
        <f>IFERROR(__xludf.DUMMYFUNCTION("""COMPUTED_VALUE"""),45913.0)</f>
        <v>45913</v>
      </c>
      <c r="I7360" s="115" t="str">
        <f>IFERROR(__xludf.DUMMYFUNCTION("""COMPUTED_VALUE"""),"18")</f>
        <v>18</v>
      </c>
      <c r="J7360" s="115"/>
      <c r="K7360" s="115"/>
    </row>
    <row r="7361">
      <c r="A7361" s="115" t="str">
        <f>IFERROR(__xludf.DUMMYFUNCTION("""COMPUTED_VALUE"""),"SOUTH")</f>
        <v>SOUTH</v>
      </c>
      <c r="B7361" s="115" t="str">
        <f>IFERROR(__xludf.DUMMYFUNCTION("""COMPUTED_VALUE"""),"Kandula Sampath")</f>
        <v>Kandula Sampath</v>
      </c>
      <c r="C7361" s="115" t="str">
        <f>IFERROR(__xludf.DUMMYFUNCTION("""COMPUTED_VALUE"""),"FLIPKART")</f>
        <v>FLIPKART</v>
      </c>
      <c r="D7361" s="115">
        <f>IFERROR(__xludf.DUMMYFUNCTION("""COMPUTED_VALUE"""),420228.0)</f>
        <v>420228</v>
      </c>
      <c r="E7361" s="115">
        <f>IFERROR(__xludf.DUMMYFUNCTION("""COMPUTED_VALUE"""),33308.0)</f>
        <v>33308</v>
      </c>
      <c r="F7361" s="115">
        <f>IFERROR(__xludf.DUMMYFUNCTION("""COMPUTED_VALUE"""),293583.0)</f>
        <v>293583</v>
      </c>
      <c r="G7361" s="115">
        <f>IFERROR(__xludf.DUMMYFUNCTION("""COMPUTED_VALUE"""),13873.0)</f>
        <v>13873</v>
      </c>
      <c r="H7361" s="116">
        <f>IFERROR(__xludf.DUMMYFUNCTION("""COMPUTED_VALUE"""),45913.0)</f>
        <v>45913</v>
      </c>
      <c r="I7361" s="115" t="str">
        <f>IFERROR(__xludf.DUMMYFUNCTION("""COMPUTED_VALUE"""),"18")</f>
        <v>18</v>
      </c>
      <c r="J7361" s="115"/>
      <c r="K7361" s="115"/>
    </row>
    <row r="7362">
      <c r="A7362" s="115" t="str">
        <f>IFERROR(__xludf.DUMMYFUNCTION("""COMPUTED_VALUE"""),"SOUTH")</f>
        <v>SOUTH</v>
      </c>
      <c r="B7362" s="115" t="str">
        <f>IFERROR(__xludf.DUMMYFUNCTION("""COMPUTED_VALUE"""),"Kandula Sampath")</f>
        <v>Kandula Sampath</v>
      </c>
      <c r="C7362" s="115" t="str">
        <f>IFERROR(__xludf.DUMMYFUNCTION("""COMPUTED_VALUE"""),"MYNTRA")</f>
        <v>MYNTRA</v>
      </c>
      <c r="D7362" s="115">
        <f>IFERROR(__xludf.DUMMYFUNCTION("""COMPUTED_VALUE"""),41999.0)</f>
        <v>41999</v>
      </c>
      <c r="E7362" s="115">
        <f>IFERROR(__xludf.DUMMYFUNCTION("""COMPUTED_VALUE"""),9422.0)</f>
        <v>9422</v>
      </c>
      <c r="F7362" s="115">
        <f>IFERROR(__xludf.DUMMYFUNCTION("""COMPUTED_VALUE"""),31516.0)</f>
        <v>31516</v>
      </c>
      <c r="G7362" s="115">
        <f>IFERROR(__xludf.DUMMYFUNCTION("""COMPUTED_VALUE"""),3947.0)</f>
        <v>3947</v>
      </c>
      <c r="H7362" s="116">
        <f>IFERROR(__xludf.DUMMYFUNCTION("""COMPUTED_VALUE"""),45913.0)</f>
        <v>45913</v>
      </c>
      <c r="I7362" s="115" t="str">
        <f>IFERROR(__xludf.DUMMYFUNCTION("""COMPUTED_VALUE"""),"18")</f>
        <v>18</v>
      </c>
      <c r="J7362" s="115"/>
      <c r="K7362" s="115"/>
    </row>
    <row r="7363">
      <c r="A7363" s="115" t="str">
        <f>IFERROR(__xludf.DUMMYFUNCTION("""COMPUTED_VALUE"""),"SOUTH")</f>
        <v>SOUTH</v>
      </c>
      <c r="B7363" s="115" t="str">
        <f>IFERROR(__xludf.DUMMYFUNCTION("""COMPUTED_VALUE"""),"Martin A")</f>
        <v>Martin A</v>
      </c>
      <c r="C7363" s="115" t="str">
        <f>IFERROR(__xludf.DUMMYFUNCTION("""COMPUTED_VALUE"""),"EXTERNAL")</f>
        <v>EXTERNAL</v>
      </c>
      <c r="D7363" s="115">
        <f>IFERROR(__xludf.DUMMYFUNCTION("""COMPUTED_VALUE"""),30529.0)</f>
        <v>30529</v>
      </c>
      <c r="E7363" s="115">
        <f>IFERROR(__xludf.DUMMYFUNCTION("""COMPUTED_VALUE"""),3208.0)</f>
        <v>3208</v>
      </c>
      <c r="F7363" s="115">
        <f>IFERROR(__xludf.DUMMYFUNCTION("""COMPUTED_VALUE"""),12444.0)</f>
        <v>12444</v>
      </c>
      <c r="G7363" s="115">
        <f>IFERROR(__xludf.DUMMYFUNCTION("""COMPUTED_VALUE"""),1324.0)</f>
        <v>1324</v>
      </c>
      <c r="H7363" s="116">
        <f>IFERROR(__xludf.DUMMYFUNCTION("""COMPUTED_VALUE"""),45913.0)</f>
        <v>45913</v>
      </c>
      <c r="I7363" s="115" t="str">
        <f>IFERROR(__xludf.DUMMYFUNCTION("""COMPUTED_VALUE"""),"18")</f>
        <v>18</v>
      </c>
      <c r="J7363" s="115"/>
      <c r="K7363" s="115"/>
    </row>
    <row r="7364">
      <c r="A7364" s="115" t="str">
        <f>IFERROR(__xludf.DUMMYFUNCTION("""COMPUTED_VALUE"""),"SOUTH")</f>
        <v>SOUTH</v>
      </c>
      <c r="B7364" s="115" t="str">
        <f>IFERROR(__xludf.DUMMYFUNCTION("""COMPUTED_VALUE"""),"Martin A")</f>
        <v>Martin A</v>
      </c>
      <c r="C7364" s="115" t="str">
        <f>IFERROR(__xludf.DUMMYFUNCTION("""COMPUTED_VALUE"""),"FLIPKART")</f>
        <v>FLIPKART</v>
      </c>
      <c r="D7364" s="115">
        <f>IFERROR(__xludf.DUMMYFUNCTION("""COMPUTED_VALUE"""),341584.0)</f>
        <v>341584</v>
      </c>
      <c r="E7364" s="115">
        <f>IFERROR(__xludf.DUMMYFUNCTION("""COMPUTED_VALUE"""),28508.0)</f>
        <v>28508</v>
      </c>
      <c r="F7364" s="115">
        <f>IFERROR(__xludf.DUMMYFUNCTION("""COMPUTED_VALUE"""),240880.0)</f>
        <v>240880</v>
      </c>
      <c r="G7364" s="115">
        <f>IFERROR(__xludf.DUMMYFUNCTION("""COMPUTED_VALUE"""),14143.0)</f>
        <v>14143</v>
      </c>
      <c r="H7364" s="116">
        <f>IFERROR(__xludf.DUMMYFUNCTION("""COMPUTED_VALUE"""),45913.0)</f>
        <v>45913</v>
      </c>
      <c r="I7364" s="115" t="str">
        <f>IFERROR(__xludf.DUMMYFUNCTION("""COMPUTED_VALUE"""),"18")</f>
        <v>18</v>
      </c>
      <c r="J7364" s="115"/>
      <c r="K7364" s="115"/>
    </row>
    <row r="7365">
      <c r="A7365" s="115" t="str">
        <f>IFERROR(__xludf.DUMMYFUNCTION("""COMPUTED_VALUE"""),"SOUTH")</f>
        <v>SOUTH</v>
      </c>
      <c r="B7365" s="115" t="str">
        <f>IFERROR(__xludf.DUMMYFUNCTION("""COMPUTED_VALUE"""),"Martin A")</f>
        <v>Martin A</v>
      </c>
      <c r="C7365" s="115" t="str">
        <f>IFERROR(__xludf.DUMMYFUNCTION("""COMPUTED_VALUE"""),"MYNTRA")</f>
        <v>MYNTRA</v>
      </c>
      <c r="D7365" s="115">
        <f>IFERROR(__xludf.DUMMYFUNCTION("""COMPUTED_VALUE"""),29828.0)</f>
        <v>29828</v>
      </c>
      <c r="E7365" s="115">
        <f>IFERROR(__xludf.DUMMYFUNCTION("""COMPUTED_VALUE"""),7119.0)</f>
        <v>7119</v>
      </c>
      <c r="F7365" s="115">
        <f>IFERROR(__xludf.DUMMYFUNCTION("""COMPUTED_VALUE"""),23444.0)</f>
        <v>23444</v>
      </c>
      <c r="G7365" s="115">
        <f>IFERROR(__xludf.DUMMYFUNCTION("""COMPUTED_VALUE"""),3961.0)</f>
        <v>3961</v>
      </c>
      <c r="H7365" s="116">
        <f>IFERROR(__xludf.DUMMYFUNCTION("""COMPUTED_VALUE"""),45913.0)</f>
        <v>45913</v>
      </c>
      <c r="I7365" s="115" t="str">
        <f>IFERROR(__xludf.DUMMYFUNCTION("""COMPUTED_VALUE"""),"18")</f>
        <v>18</v>
      </c>
      <c r="J7365" s="115"/>
      <c r="K7365" s="115"/>
    </row>
    <row r="7366">
      <c r="A7366" s="115" t="str">
        <f>IFERROR(__xludf.DUMMYFUNCTION("""COMPUTED_VALUE"""),"SOUTH")</f>
        <v>SOUTH</v>
      </c>
      <c r="B7366" s="115" t="str">
        <f>IFERROR(__xludf.DUMMYFUNCTION("""COMPUTED_VALUE"""),"Premkumar M")</f>
        <v>Premkumar M</v>
      </c>
      <c r="C7366" s="115" t="str">
        <f>IFERROR(__xludf.DUMMYFUNCTION("""COMPUTED_VALUE"""),"EXTERNAL")</f>
        <v>EXTERNAL</v>
      </c>
      <c r="D7366" s="115">
        <f>IFERROR(__xludf.DUMMYFUNCTION("""COMPUTED_VALUE"""),28820.0)</f>
        <v>28820</v>
      </c>
      <c r="E7366" s="115">
        <f>IFERROR(__xludf.DUMMYFUNCTION("""COMPUTED_VALUE"""),1560.0)</f>
        <v>1560</v>
      </c>
      <c r="F7366" s="115">
        <f>IFERROR(__xludf.DUMMYFUNCTION("""COMPUTED_VALUE"""),12474.0)</f>
        <v>12474</v>
      </c>
      <c r="G7366" s="115">
        <f>IFERROR(__xludf.DUMMYFUNCTION("""COMPUTED_VALUE"""),302.0)</f>
        <v>302</v>
      </c>
      <c r="H7366" s="116">
        <f>IFERROR(__xludf.DUMMYFUNCTION("""COMPUTED_VALUE"""),45913.0)</f>
        <v>45913</v>
      </c>
      <c r="I7366" s="115" t="str">
        <f>IFERROR(__xludf.DUMMYFUNCTION("""COMPUTED_VALUE"""),"18")</f>
        <v>18</v>
      </c>
      <c r="J7366" s="115"/>
      <c r="K7366" s="115"/>
    </row>
    <row r="7367">
      <c r="A7367" s="115" t="str">
        <f>IFERROR(__xludf.DUMMYFUNCTION("""COMPUTED_VALUE"""),"SOUTH")</f>
        <v>SOUTH</v>
      </c>
      <c r="B7367" s="115" t="str">
        <f>IFERROR(__xludf.DUMMYFUNCTION("""COMPUTED_VALUE"""),"Premkumar M")</f>
        <v>Premkumar M</v>
      </c>
      <c r="C7367" s="115" t="str">
        <f>IFERROR(__xludf.DUMMYFUNCTION("""COMPUTED_VALUE"""),"FLIPKART")</f>
        <v>FLIPKART</v>
      </c>
      <c r="D7367" s="115">
        <f>IFERROR(__xludf.DUMMYFUNCTION("""COMPUTED_VALUE"""),328063.0)</f>
        <v>328063</v>
      </c>
      <c r="E7367" s="115">
        <f>IFERROR(__xludf.DUMMYFUNCTION("""COMPUTED_VALUE"""),18312.0)</f>
        <v>18312</v>
      </c>
      <c r="F7367" s="115">
        <f>IFERROR(__xludf.DUMMYFUNCTION("""COMPUTED_VALUE"""),222902.0)</f>
        <v>222902</v>
      </c>
      <c r="G7367" s="115">
        <f>IFERROR(__xludf.DUMMYFUNCTION("""COMPUTED_VALUE"""),5010.0)</f>
        <v>5010</v>
      </c>
      <c r="H7367" s="116">
        <f>IFERROR(__xludf.DUMMYFUNCTION("""COMPUTED_VALUE"""),45913.0)</f>
        <v>45913</v>
      </c>
      <c r="I7367" s="115" t="str">
        <f>IFERROR(__xludf.DUMMYFUNCTION("""COMPUTED_VALUE"""),"18")</f>
        <v>18</v>
      </c>
      <c r="J7367" s="115"/>
      <c r="K7367" s="115"/>
    </row>
    <row r="7368">
      <c r="A7368" s="115" t="str">
        <f>IFERROR(__xludf.DUMMYFUNCTION("""COMPUTED_VALUE"""),"SOUTH")</f>
        <v>SOUTH</v>
      </c>
      <c r="B7368" s="115" t="str">
        <f>IFERROR(__xludf.DUMMYFUNCTION("""COMPUTED_VALUE"""),"Premkumar M")</f>
        <v>Premkumar M</v>
      </c>
      <c r="C7368" s="115" t="str">
        <f>IFERROR(__xludf.DUMMYFUNCTION("""COMPUTED_VALUE"""),"MYNTRA")</f>
        <v>MYNTRA</v>
      </c>
      <c r="D7368" s="115">
        <f>IFERROR(__xludf.DUMMYFUNCTION("""COMPUTED_VALUE"""),16092.0)</f>
        <v>16092</v>
      </c>
      <c r="E7368" s="115">
        <f>IFERROR(__xludf.DUMMYFUNCTION("""COMPUTED_VALUE"""),2997.0)</f>
        <v>2997</v>
      </c>
      <c r="F7368" s="115">
        <f>IFERROR(__xludf.DUMMYFUNCTION("""COMPUTED_VALUE"""),12095.0)</f>
        <v>12095</v>
      </c>
      <c r="G7368" s="115">
        <f>IFERROR(__xludf.DUMMYFUNCTION("""COMPUTED_VALUE"""),838.0)</f>
        <v>838</v>
      </c>
      <c r="H7368" s="116">
        <f>IFERROR(__xludf.DUMMYFUNCTION("""COMPUTED_VALUE"""),45913.0)</f>
        <v>45913</v>
      </c>
      <c r="I7368" s="115" t="str">
        <f>IFERROR(__xludf.DUMMYFUNCTION("""COMPUTED_VALUE"""),"18")</f>
        <v>18</v>
      </c>
      <c r="J7368" s="115"/>
      <c r="K7368" s="115"/>
    </row>
    <row r="7369">
      <c r="A7369" s="115" t="str">
        <f>IFERROR(__xludf.DUMMYFUNCTION("""COMPUTED_VALUE"""),"SOUTH")</f>
        <v>SOUTH</v>
      </c>
      <c r="B7369" s="115" t="str">
        <f>IFERROR(__xludf.DUMMYFUNCTION("""COMPUTED_VALUE"""),"Vineeth V")</f>
        <v>Vineeth V</v>
      </c>
      <c r="C7369" s="115" t="str">
        <f>IFERROR(__xludf.DUMMYFUNCTION("""COMPUTED_VALUE"""),"EXTERNAL")</f>
        <v>EXTERNAL</v>
      </c>
      <c r="D7369" s="115">
        <f>IFERROR(__xludf.DUMMYFUNCTION("""COMPUTED_VALUE"""),20790.0)</f>
        <v>20790</v>
      </c>
      <c r="E7369" s="115">
        <f>IFERROR(__xludf.DUMMYFUNCTION("""COMPUTED_VALUE"""),491.0)</f>
        <v>491</v>
      </c>
      <c r="F7369" s="115">
        <f>IFERROR(__xludf.DUMMYFUNCTION("""COMPUTED_VALUE"""),10356.0)</f>
        <v>10356</v>
      </c>
      <c r="G7369" s="115">
        <f>IFERROR(__xludf.DUMMYFUNCTION("""COMPUTED_VALUE"""),168.0)</f>
        <v>168</v>
      </c>
      <c r="H7369" s="116">
        <f>IFERROR(__xludf.DUMMYFUNCTION("""COMPUTED_VALUE"""),45913.0)</f>
        <v>45913</v>
      </c>
      <c r="I7369" s="115" t="str">
        <f>IFERROR(__xludf.DUMMYFUNCTION("""COMPUTED_VALUE"""),"18")</f>
        <v>18</v>
      </c>
      <c r="J7369" s="115"/>
      <c r="K7369" s="115"/>
    </row>
    <row r="7370">
      <c r="A7370" s="115" t="str">
        <f>IFERROR(__xludf.DUMMYFUNCTION("""COMPUTED_VALUE"""),"SOUTH")</f>
        <v>SOUTH</v>
      </c>
      <c r="B7370" s="115" t="str">
        <f>IFERROR(__xludf.DUMMYFUNCTION("""COMPUTED_VALUE"""),"Vineeth V")</f>
        <v>Vineeth V</v>
      </c>
      <c r="C7370" s="115" t="str">
        <f>IFERROR(__xludf.DUMMYFUNCTION("""COMPUTED_VALUE"""),"FLIPKART")</f>
        <v>FLIPKART</v>
      </c>
      <c r="D7370" s="115">
        <f>IFERROR(__xludf.DUMMYFUNCTION("""COMPUTED_VALUE"""),221096.0)</f>
        <v>221096</v>
      </c>
      <c r="E7370" s="115">
        <f>IFERROR(__xludf.DUMMYFUNCTION("""COMPUTED_VALUE"""),13337.0)</f>
        <v>13337</v>
      </c>
      <c r="F7370" s="115">
        <f>IFERROR(__xludf.DUMMYFUNCTION("""COMPUTED_VALUE"""),173345.0)</f>
        <v>173345</v>
      </c>
      <c r="G7370" s="115">
        <f>IFERROR(__xludf.DUMMYFUNCTION("""COMPUTED_VALUE"""),5163.0)</f>
        <v>5163</v>
      </c>
      <c r="H7370" s="116">
        <f>IFERROR(__xludf.DUMMYFUNCTION("""COMPUTED_VALUE"""),45913.0)</f>
        <v>45913</v>
      </c>
      <c r="I7370" s="115" t="str">
        <f>IFERROR(__xludf.DUMMYFUNCTION("""COMPUTED_VALUE"""),"18")</f>
        <v>18</v>
      </c>
      <c r="J7370" s="115"/>
      <c r="K7370" s="115"/>
    </row>
    <row r="7371">
      <c r="A7371" s="115" t="str">
        <f>IFERROR(__xludf.DUMMYFUNCTION("""COMPUTED_VALUE"""),"SOUTH")</f>
        <v>SOUTH</v>
      </c>
      <c r="B7371" s="115" t="str">
        <f>IFERROR(__xludf.DUMMYFUNCTION("""COMPUTED_VALUE"""),"Vineeth V")</f>
        <v>Vineeth V</v>
      </c>
      <c r="C7371" s="115" t="str">
        <f>IFERROR(__xludf.DUMMYFUNCTION("""COMPUTED_VALUE"""),"MYNTRA")</f>
        <v>MYNTRA</v>
      </c>
      <c r="D7371" s="115">
        <f>IFERROR(__xludf.DUMMYFUNCTION("""COMPUTED_VALUE"""),17084.0)</f>
        <v>17084</v>
      </c>
      <c r="E7371" s="115">
        <f>IFERROR(__xludf.DUMMYFUNCTION("""COMPUTED_VALUE"""),3120.0)</f>
        <v>3120</v>
      </c>
      <c r="F7371" s="115">
        <f>IFERROR(__xludf.DUMMYFUNCTION("""COMPUTED_VALUE"""),13980.0)</f>
        <v>13980</v>
      </c>
      <c r="G7371" s="115">
        <f>IFERROR(__xludf.DUMMYFUNCTION("""COMPUTED_VALUE"""),1231.0)</f>
        <v>1231</v>
      </c>
      <c r="H7371" s="116">
        <f>IFERROR(__xludf.DUMMYFUNCTION("""COMPUTED_VALUE"""),45913.0)</f>
        <v>45913</v>
      </c>
      <c r="I7371" s="115" t="str">
        <f>IFERROR(__xludf.DUMMYFUNCTION("""COMPUTED_VALUE"""),"18")</f>
        <v>18</v>
      </c>
      <c r="J7371" s="115"/>
      <c r="K7371" s="115"/>
    </row>
    <row r="7372">
      <c r="A7372" s="115" t="str">
        <f>IFERROR(__xludf.DUMMYFUNCTION("""COMPUTED_VALUE"""),"WEST")</f>
        <v>WEST</v>
      </c>
      <c r="B7372" s="115" t="str">
        <f>IFERROR(__xludf.DUMMYFUNCTION("""COMPUTED_VALUE"""),"Ashish Jakar")</f>
        <v>Ashish Jakar</v>
      </c>
      <c r="C7372" s="115" t="str">
        <f>IFERROR(__xludf.DUMMYFUNCTION("""COMPUTED_VALUE"""),"EXTERNAL")</f>
        <v>EXTERNAL</v>
      </c>
      <c r="D7372" s="115">
        <f>IFERROR(__xludf.DUMMYFUNCTION("""COMPUTED_VALUE"""),64138.0)</f>
        <v>64138</v>
      </c>
      <c r="E7372" s="115">
        <f>IFERROR(__xludf.DUMMYFUNCTION("""COMPUTED_VALUE"""),5677.0)</f>
        <v>5677</v>
      </c>
      <c r="F7372" s="115">
        <f>IFERROR(__xludf.DUMMYFUNCTION("""COMPUTED_VALUE"""),25374.0)</f>
        <v>25374</v>
      </c>
      <c r="G7372" s="115">
        <f>IFERROR(__xludf.DUMMYFUNCTION("""COMPUTED_VALUE"""),2029.0)</f>
        <v>2029</v>
      </c>
      <c r="H7372" s="116">
        <f>IFERROR(__xludf.DUMMYFUNCTION("""COMPUTED_VALUE"""),45913.0)</f>
        <v>45913</v>
      </c>
      <c r="I7372" s="115" t="str">
        <f>IFERROR(__xludf.DUMMYFUNCTION("""COMPUTED_VALUE"""),"18")</f>
        <v>18</v>
      </c>
      <c r="J7372" s="115"/>
      <c r="K7372" s="115"/>
    </row>
    <row r="7373">
      <c r="A7373" s="115" t="str">
        <f>IFERROR(__xludf.DUMMYFUNCTION("""COMPUTED_VALUE"""),"WEST")</f>
        <v>WEST</v>
      </c>
      <c r="B7373" s="115" t="str">
        <f>IFERROR(__xludf.DUMMYFUNCTION("""COMPUTED_VALUE"""),"Ashish Jakar")</f>
        <v>Ashish Jakar</v>
      </c>
      <c r="C7373" s="115" t="str">
        <f>IFERROR(__xludf.DUMMYFUNCTION("""COMPUTED_VALUE"""),"FLIPKART")</f>
        <v>FLIPKART</v>
      </c>
      <c r="D7373" s="115">
        <f>IFERROR(__xludf.DUMMYFUNCTION("""COMPUTED_VALUE"""),493401.0)</f>
        <v>493401</v>
      </c>
      <c r="E7373" s="115">
        <f>IFERROR(__xludf.DUMMYFUNCTION("""COMPUTED_VALUE"""),37667.0)</f>
        <v>37667</v>
      </c>
      <c r="F7373" s="115">
        <f>IFERROR(__xludf.DUMMYFUNCTION("""COMPUTED_VALUE"""),327016.0)</f>
        <v>327016</v>
      </c>
      <c r="G7373" s="115">
        <f>IFERROR(__xludf.DUMMYFUNCTION("""COMPUTED_VALUE"""),16537.0)</f>
        <v>16537</v>
      </c>
      <c r="H7373" s="116">
        <f>IFERROR(__xludf.DUMMYFUNCTION("""COMPUTED_VALUE"""),45913.0)</f>
        <v>45913</v>
      </c>
      <c r="I7373" s="115" t="str">
        <f>IFERROR(__xludf.DUMMYFUNCTION("""COMPUTED_VALUE"""),"18")</f>
        <v>18</v>
      </c>
      <c r="J7373" s="115"/>
      <c r="K7373" s="115"/>
    </row>
    <row r="7374">
      <c r="A7374" s="115" t="str">
        <f>IFERROR(__xludf.DUMMYFUNCTION("""COMPUTED_VALUE"""),"WEST")</f>
        <v>WEST</v>
      </c>
      <c r="B7374" s="115" t="str">
        <f>IFERROR(__xludf.DUMMYFUNCTION("""COMPUTED_VALUE"""),"Ashish Jakar")</f>
        <v>Ashish Jakar</v>
      </c>
      <c r="C7374" s="115" t="str">
        <f>IFERROR(__xludf.DUMMYFUNCTION("""COMPUTED_VALUE"""),"MYNTRA")</f>
        <v>MYNTRA</v>
      </c>
      <c r="D7374" s="115">
        <f>IFERROR(__xludf.DUMMYFUNCTION("""COMPUTED_VALUE"""),50043.0)</f>
        <v>50043</v>
      </c>
      <c r="E7374" s="115">
        <f>IFERROR(__xludf.DUMMYFUNCTION("""COMPUTED_VALUE"""),11734.0)</f>
        <v>11734</v>
      </c>
      <c r="F7374" s="115">
        <f>IFERROR(__xludf.DUMMYFUNCTION("""COMPUTED_VALUE"""),37175.0)</f>
        <v>37175</v>
      </c>
      <c r="G7374" s="115">
        <f>IFERROR(__xludf.DUMMYFUNCTION("""COMPUTED_VALUE"""),5700.0)</f>
        <v>5700</v>
      </c>
      <c r="H7374" s="116">
        <f>IFERROR(__xludf.DUMMYFUNCTION("""COMPUTED_VALUE"""),45913.0)</f>
        <v>45913</v>
      </c>
      <c r="I7374" s="115" t="str">
        <f>IFERROR(__xludf.DUMMYFUNCTION("""COMPUTED_VALUE"""),"18")</f>
        <v>18</v>
      </c>
      <c r="J7374" s="115"/>
      <c r="K7374" s="115"/>
    </row>
    <row r="7375">
      <c r="A7375" s="115" t="str">
        <f>IFERROR(__xludf.DUMMYFUNCTION("""COMPUTED_VALUE"""),"WEST")</f>
        <v>WEST</v>
      </c>
      <c r="B7375" s="115" t="str">
        <f>IFERROR(__xludf.DUMMYFUNCTION("""COMPUTED_VALUE"""),"Ashvani Bhatt")</f>
        <v>Ashvani Bhatt</v>
      </c>
      <c r="C7375" s="115" t="str">
        <f>IFERROR(__xludf.DUMMYFUNCTION("""COMPUTED_VALUE"""),"EXTERNAL")</f>
        <v>EXTERNAL</v>
      </c>
      <c r="D7375" s="115">
        <f>IFERROR(__xludf.DUMMYFUNCTION("""COMPUTED_VALUE"""),41166.0)</f>
        <v>41166</v>
      </c>
      <c r="E7375" s="115">
        <f>IFERROR(__xludf.DUMMYFUNCTION("""COMPUTED_VALUE"""),2445.0)</f>
        <v>2445</v>
      </c>
      <c r="F7375" s="115">
        <f>IFERROR(__xludf.DUMMYFUNCTION("""COMPUTED_VALUE"""),16915.0)</f>
        <v>16915</v>
      </c>
      <c r="G7375" s="115">
        <f>IFERROR(__xludf.DUMMYFUNCTION("""COMPUTED_VALUE"""),1031.0)</f>
        <v>1031</v>
      </c>
      <c r="H7375" s="116">
        <f>IFERROR(__xludf.DUMMYFUNCTION("""COMPUTED_VALUE"""),45913.0)</f>
        <v>45913</v>
      </c>
      <c r="I7375" s="115" t="str">
        <f>IFERROR(__xludf.DUMMYFUNCTION("""COMPUTED_VALUE"""),"18")</f>
        <v>18</v>
      </c>
      <c r="J7375" s="115"/>
      <c r="K7375" s="115"/>
    </row>
    <row r="7376">
      <c r="A7376" s="115" t="str">
        <f>IFERROR(__xludf.DUMMYFUNCTION("""COMPUTED_VALUE"""),"WEST")</f>
        <v>WEST</v>
      </c>
      <c r="B7376" s="115" t="str">
        <f>IFERROR(__xludf.DUMMYFUNCTION("""COMPUTED_VALUE"""),"Ashvani Bhatt")</f>
        <v>Ashvani Bhatt</v>
      </c>
      <c r="C7376" s="115" t="str">
        <f>IFERROR(__xludf.DUMMYFUNCTION("""COMPUTED_VALUE"""),"FLIPKART")</f>
        <v>FLIPKART</v>
      </c>
      <c r="D7376" s="115">
        <f>IFERROR(__xludf.DUMMYFUNCTION("""COMPUTED_VALUE"""),340888.0)</f>
        <v>340888</v>
      </c>
      <c r="E7376" s="115">
        <f>IFERROR(__xludf.DUMMYFUNCTION("""COMPUTED_VALUE"""),31727.0)</f>
        <v>31727</v>
      </c>
      <c r="F7376" s="115">
        <f>IFERROR(__xludf.DUMMYFUNCTION("""COMPUTED_VALUE"""),249188.0)</f>
        <v>249188</v>
      </c>
      <c r="G7376" s="115">
        <f>IFERROR(__xludf.DUMMYFUNCTION("""COMPUTED_VALUE"""),16277.0)</f>
        <v>16277</v>
      </c>
      <c r="H7376" s="116">
        <f>IFERROR(__xludf.DUMMYFUNCTION("""COMPUTED_VALUE"""),45913.0)</f>
        <v>45913</v>
      </c>
      <c r="I7376" s="115" t="str">
        <f>IFERROR(__xludf.DUMMYFUNCTION("""COMPUTED_VALUE"""),"18")</f>
        <v>18</v>
      </c>
      <c r="J7376" s="115"/>
      <c r="K7376" s="115"/>
    </row>
    <row r="7377">
      <c r="A7377" s="115" t="str">
        <f>IFERROR(__xludf.DUMMYFUNCTION("""COMPUTED_VALUE"""),"WEST")</f>
        <v>WEST</v>
      </c>
      <c r="B7377" s="115" t="str">
        <f>IFERROR(__xludf.DUMMYFUNCTION("""COMPUTED_VALUE"""),"Ashvani Bhatt")</f>
        <v>Ashvani Bhatt</v>
      </c>
      <c r="C7377" s="115" t="str">
        <f>IFERROR(__xludf.DUMMYFUNCTION("""COMPUTED_VALUE"""),"MYNTRA")</f>
        <v>MYNTRA</v>
      </c>
      <c r="D7377" s="115">
        <f>IFERROR(__xludf.DUMMYFUNCTION("""COMPUTED_VALUE"""),36306.0)</f>
        <v>36306</v>
      </c>
      <c r="E7377" s="115">
        <f>IFERROR(__xludf.DUMMYFUNCTION("""COMPUTED_VALUE"""),9012.0)</f>
        <v>9012</v>
      </c>
      <c r="F7377" s="115">
        <f>IFERROR(__xludf.DUMMYFUNCTION("""COMPUTED_VALUE"""),29193.0)</f>
        <v>29193</v>
      </c>
      <c r="G7377" s="115">
        <f>IFERROR(__xludf.DUMMYFUNCTION("""COMPUTED_VALUE"""),5113.0)</f>
        <v>5113</v>
      </c>
      <c r="H7377" s="116">
        <f>IFERROR(__xludf.DUMMYFUNCTION("""COMPUTED_VALUE"""),45913.0)</f>
        <v>45913</v>
      </c>
      <c r="I7377" s="115" t="str">
        <f>IFERROR(__xludf.DUMMYFUNCTION("""COMPUTED_VALUE"""),"18")</f>
        <v>18</v>
      </c>
      <c r="J7377" s="115"/>
      <c r="K7377" s="115"/>
    </row>
    <row r="7378">
      <c r="A7378" s="115"/>
      <c r="B7378" s="115"/>
      <c r="C7378" s="115" t="str">
        <f>IFERROR(__xludf.DUMMYFUNCTION("""COMPUTED_VALUE"""),"EXTERNAL")</f>
        <v>EXTERNAL</v>
      </c>
      <c r="D7378" s="115">
        <f>IFERROR(__xludf.DUMMYFUNCTION("""COMPUTED_VALUE"""),1662.0)</f>
        <v>1662</v>
      </c>
      <c r="E7378" s="115">
        <f>IFERROR(__xludf.DUMMYFUNCTION("""COMPUTED_VALUE"""),268.0)</f>
        <v>268</v>
      </c>
      <c r="F7378" s="115">
        <f>IFERROR(__xludf.DUMMYFUNCTION("""COMPUTED_VALUE"""),735.0)</f>
        <v>735</v>
      </c>
      <c r="G7378" s="115">
        <f>IFERROR(__xludf.DUMMYFUNCTION("""COMPUTED_VALUE"""),111.0)</f>
        <v>111</v>
      </c>
      <c r="H7378" s="116">
        <f>IFERROR(__xludf.DUMMYFUNCTION("""COMPUTED_VALUE"""),45913.0)</f>
        <v>45913</v>
      </c>
      <c r="I7378" s="115" t="str">
        <f>IFERROR(__xludf.DUMMYFUNCTION("""COMPUTED_VALUE"""),"18")</f>
        <v>18</v>
      </c>
      <c r="J7378" s="115"/>
      <c r="K7378" s="115"/>
    </row>
    <row r="7379">
      <c r="A7379" s="115"/>
      <c r="B7379" s="115"/>
      <c r="C7379" s="115" t="str">
        <f>IFERROR(__xludf.DUMMYFUNCTION("""COMPUTED_VALUE"""),"FLIPKART")</f>
        <v>FLIPKART</v>
      </c>
      <c r="D7379" s="115">
        <f>IFERROR(__xludf.DUMMYFUNCTION("""COMPUTED_VALUE"""),20301.0)</f>
        <v>20301</v>
      </c>
      <c r="E7379" s="115">
        <f>IFERROR(__xludf.DUMMYFUNCTION("""COMPUTED_VALUE"""),1761.0)</f>
        <v>1761</v>
      </c>
      <c r="F7379" s="115">
        <f>IFERROR(__xludf.DUMMYFUNCTION("""COMPUTED_VALUE"""),13288.0)</f>
        <v>13288</v>
      </c>
      <c r="G7379" s="115">
        <f>IFERROR(__xludf.DUMMYFUNCTION("""COMPUTED_VALUE"""),816.0)</f>
        <v>816</v>
      </c>
      <c r="H7379" s="116">
        <f>IFERROR(__xludf.DUMMYFUNCTION("""COMPUTED_VALUE"""),45913.0)</f>
        <v>45913</v>
      </c>
      <c r="I7379" s="115" t="str">
        <f>IFERROR(__xludf.DUMMYFUNCTION("""COMPUTED_VALUE"""),"18")</f>
        <v>18</v>
      </c>
      <c r="J7379" s="115"/>
      <c r="K7379" s="115"/>
    </row>
    <row r="7380">
      <c r="A7380" s="115"/>
      <c r="B7380" s="115"/>
      <c r="C7380" s="115" t="str">
        <f>IFERROR(__xludf.DUMMYFUNCTION("""COMPUTED_VALUE"""),"MYNTRA")</f>
        <v>MYNTRA</v>
      </c>
      <c r="D7380" s="115">
        <f>IFERROR(__xludf.DUMMYFUNCTION("""COMPUTED_VALUE"""),1948.0)</f>
        <v>1948</v>
      </c>
      <c r="E7380" s="115">
        <f>IFERROR(__xludf.DUMMYFUNCTION("""COMPUTED_VALUE"""),515.0)</f>
        <v>515</v>
      </c>
      <c r="F7380" s="115">
        <f>IFERROR(__xludf.DUMMYFUNCTION("""COMPUTED_VALUE"""),1428.0)</f>
        <v>1428</v>
      </c>
      <c r="G7380" s="115">
        <f>IFERROR(__xludf.DUMMYFUNCTION("""COMPUTED_VALUE"""),289.0)</f>
        <v>289</v>
      </c>
      <c r="H7380" s="116">
        <f>IFERROR(__xludf.DUMMYFUNCTION("""COMPUTED_VALUE"""),45913.0)</f>
        <v>45913</v>
      </c>
      <c r="I7380" s="115" t="str">
        <f>IFERROR(__xludf.DUMMYFUNCTION("""COMPUTED_VALUE"""),"18")</f>
        <v>18</v>
      </c>
      <c r="J7380" s="115"/>
      <c r="K7380" s="115"/>
    </row>
    <row r="7381">
      <c r="A7381" s="115" t="str">
        <f>IFERROR(__xludf.DUMMYFUNCTION("""COMPUTED_VALUE"""),"EAST")</f>
        <v>EAST</v>
      </c>
      <c r="B7381" s="115" t="str">
        <f>IFERROR(__xludf.DUMMYFUNCTION("""COMPUTED_VALUE"""),"Ashish Ranjan")</f>
        <v>Ashish Ranjan</v>
      </c>
      <c r="C7381" s="115" t="str">
        <f>IFERROR(__xludf.DUMMYFUNCTION("""COMPUTED_VALUE"""),"EXTERNAL")</f>
        <v>EXTERNAL</v>
      </c>
      <c r="D7381" s="115">
        <f>IFERROR(__xludf.DUMMYFUNCTION("""COMPUTED_VALUE"""),42733.0)</f>
        <v>42733</v>
      </c>
      <c r="E7381" s="115">
        <f>IFERROR(__xludf.DUMMYFUNCTION("""COMPUTED_VALUE"""),2793.0)</f>
        <v>2793</v>
      </c>
      <c r="F7381" s="115">
        <f>IFERROR(__xludf.DUMMYFUNCTION("""COMPUTED_VALUE"""),22882.0)</f>
        <v>22882</v>
      </c>
      <c r="G7381" s="115">
        <f>IFERROR(__xludf.DUMMYFUNCTION("""COMPUTED_VALUE"""),1367.0)</f>
        <v>1367</v>
      </c>
      <c r="H7381" s="116">
        <f>IFERROR(__xludf.DUMMYFUNCTION("""COMPUTED_VALUE"""),45913.0)</f>
        <v>45913</v>
      </c>
      <c r="I7381" s="115" t="str">
        <f>IFERROR(__xludf.DUMMYFUNCTION("""COMPUTED_VALUE"""),"19")</f>
        <v>19</v>
      </c>
      <c r="J7381" s="115"/>
      <c r="K7381" s="115"/>
    </row>
    <row r="7382">
      <c r="A7382" s="115" t="str">
        <f>IFERROR(__xludf.DUMMYFUNCTION("""COMPUTED_VALUE"""),"EAST")</f>
        <v>EAST</v>
      </c>
      <c r="B7382" s="115" t="str">
        <f>IFERROR(__xludf.DUMMYFUNCTION("""COMPUTED_VALUE"""),"Ashish Ranjan")</f>
        <v>Ashish Ranjan</v>
      </c>
      <c r="C7382" s="115" t="str">
        <f>IFERROR(__xludf.DUMMYFUNCTION("""COMPUTED_VALUE"""),"FLIPKART")</f>
        <v>FLIPKART</v>
      </c>
      <c r="D7382" s="115">
        <f>IFERROR(__xludf.DUMMYFUNCTION("""COMPUTED_VALUE"""),893969.0)</f>
        <v>893969</v>
      </c>
      <c r="E7382" s="115">
        <f>IFERROR(__xludf.DUMMYFUNCTION("""COMPUTED_VALUE"""),71588.0)</f>
        <v>71588</v>
      </c>
      <c r="F7382" s="115">
        <f>IFERROR(__xludf.DUMMYFUNCTION("""COMPUTED_VALUE"""),761007.0)</f>
        <v>761007</v>
      </c>
      <c r="G7382" s="115">
        <f>IFERROR(__xludf.DUMMYFUNCTION("""COMPUTED_VALUE"""),45832.0)</f>
        <v>45832</v>
      </c>
      <c r="H7382" s="116">
        <f>IFERROR(__xludf.DUMMYFUNCTION("""COMPUTED_VALUE"""),45913.0)</f>
        <v>45913</v>
      </c>
      <c r="I7382" s="115" t="str">
        <f>IFERROR(__xludf.DUMMYFUNCTION("""COMPUTED_VALUE"""),"19")</f>
        <v>19</v>
      </c>
      <c r="J7382" s="115"/>
      <c r="K7382" s="115"/>
    </row>
    <row r="7383">
      <c r="A7383" s="115" t="str">
        <f>IFERROR(__xludf.DUMMYFUNCTION("""COMPUTED_VALUE"""),"EAST")</f>
        <v>EAST</v>
      </c>
      <c r="B7383" s="115" t="str">
        <f>IFERROR(__xludf.DUMMYFUNCTION("""COMPUTED_VALUE"""),"Ashish Ranjan")</f>
        <v>Ashish Ranjan</v>
      </c>
      <c r="C7383" s="115" t="str">
        <f>IFERROR(__xludf.DUMMYFUNCTION("""COMPUTED_VALUE"""),"MYNTRA")</f>
        <v>MYNTRA</v>
      </c>
      <c r="D7383" s="115">
        <f>IFERROR(__xludf.DUMMYFUNCTION("""COMPUTED_VALUE"""),86190.0)</f>
        <v>86190</v>
      </c>
      <c r="E7383" s="115">
        <f>IFERROR(__xludf.DUMMYFUNCTION("""COMPUTED_VALUE"""),16651.0)</f>
        <v>16651</v>
      </c>
      <c r="F7383" s="115">
        <f>IFERROR(__xludf.DUMMYFUNCTION("""COMPUTED_VALUE"""),73566.0)</f>
        <v>73566</v>
      </c>
      <c r="G7383" s="115">
        <f>IFERROR(__xludf.DUMMYFUNCTION("""COMPUTED_VALUE"""),10465.0)</f>
        <v>10465</v>
      </c>
      <c r="H7383" s="116">
        <f>IFERROR(__xludf.DUMMYFUNCTION("""COMPUTED_VALUE"""),45913.0)</f>
        <v>45913</v>
      </c>
      <c r="I7383" s="115" t="str">
        <f>IFERROR(__xludf.DUMMYFUNCTION("""COMPUTED_VALUE"""),"19")</f>
        <v>19</v>
      </c>
      <c r="J7383" s="115"/>
      <c r="K7383" s="115"/>
    </row>
    <row r="7384">
      <c r="A7384" s="115" t="str">
        <f>IFERROR(__xludf.DUMMYFUNCTION("""COMPUTED_VALUE"""),"EAST")</f>
        <v>EAST</v>
      </c>
      <c r="B7384" s="115" t="str">
        <f>IFERROR(__xludf.DUMMYFUNCTION("""COMPUTED_VALUE"""),"Girish Chand")</f>
        <v>Girish Chand</v>
      </c>
      <c r="C7384" s="115" t="str">
        <f>IFERROR(__xludf.DUMMYFUNCTION("""COMPUTED_VALUE"""),"EXTERNAL")</f>
        <v>EXTERNAL</v>
      </c>
      <c r="D7384" s="115">
        <f>IFERROR(__xludf.DUMMYFUNCTION("""COMPUTED_VALUE"""),23751.0)</f>
        <v>23751</v>
      </c>
      <c r="E7384" s="115">
        <f>IFERROR(__xludf.DUMMYFUNCTION("""COMPUTED_VALUE"""),1393.0)</f>
        <v>1393</v>
      </c>
      <c r="F7384" s="115">
        <f>IFERROR(__xludf.DUMMYFUNCTION("""COMPUTED_VALUE"""),10308.0)</f>
        <v>10308</v>
      </c>
      <c r="G7384" s="115">
        <f>IFERROR(__xludf.DUMMYFUNCTION("""COMPUTED_VALUE"""),523.0)</f>
        <v>523</v>
      </c>
      <c r="H7384" s="116">
        <f>IFERROR(__xludf.DUMMYFUNCTION("""COMPUTED_VALUE"""),45913.0)</f>
        <v>45913</v>
      </c>
      <c r="I7384" s="115" t="str">
        <f>IFERROR(__xludf.DUMMYFUNCTION("""COMPUTED_VALUE"""),"19")</f>
        <v>19</v>
      </c>
      <c r="J7384" s="115"/>
      <c r="K7384" s="115"/>
    </row>
    <row r="7385">
      <c r="A7385" s="115" t="str">
        <f>IFERROR(__xludf.DUMMYFUNCTION("""COMPUTED_VALUE"""),"EAST")</f>
        <v>EAST</v>
      </c>
      <c r="B7385" s="115" t="str">
        <f>IFERROR(__xludf.DUMMYFUNCTION("""COMPUTED_VALUE"""),"Girish Chand")</f>
        <v>Girish Chand</v>
      </c>
      <c r="C7385" s="115" t="str">
        <f>IFERROR(__xludf.DUMMYFUNCTION("""COMPUTED_VALUE"""),"FLIPKART")</f>
        <v>FLIPKART</v>
      </c>
      <c r="D7385" s="115">
        <f>IFERROR(__xludf.DUMMYFUNCTION("""COMPUTED_VALUE"""),508686.0)</f>
        <v>508686</v>
      </c>
      <c r="E7385" s="115">
        <f>IFERROR(__xludf.DUMMYFUNCTION("""COMPUTED_VALUE"""),39493.0)</f>
        <v>39493</v>
      </c>
      <c r="F7385" s="115">
        <f>IFERROR(__xludf.DUMMYFUNCTION("""COMPUTED_VALUE"""),377906.0)</f>
        <v>377906</v>
      </c>
      <c r="G7385" s="115">
        <f>IFERROR(__xludf.DUMMYFUNCTION("""COMPUTED_VALUE"""),23247.0)</f>
        <v>23247</v>
      </c>
      <c r="H7385" s="116">
        <f>IFERROR(__xludf.DUMMYFUNCTION("""COMPUTED_VALUE"""),45913.0)</f>
        <v>45913</v>
      </c>
      <c r="I7385" s="115" t="str">
        <f>IFERROR(__xludf.DUMMYFUNCTION("""COMPUTED_VALUE"""),"19")</f>
        <v>19</v>
      </c>
      <c r="J7385" s="115"/>
      <c r="K7385" s="115"/>
    </row>
    <row r="7386">
      <c r="A7386" s="115" t="str">
        <f>IFERROR(__xludf.DUMMYFUNCTION("""COMPUTED_VALUE"""),"EAST")</f>
        <v>EAST</v>
      </c>
      <c r="B7386" s="115" t="str">
        <f>IFERROR(__xludf.DUMMYFUNCTION("""COMPUTED_VALUE"""),"Girish Chand")</f>
        <v>Girish Chand</v>
      </c>
      <c r="C7386" s="115" t="str">
        <f>IFERROR(__xludf.DUMMYFUNCTION("""COMPUTED_VALUE"""),"MYNTRA")</f>
        <v>MYNTRA</v>
      </c>
      <c r="D7386" s="115">
        <f>IFERROR(__xludf.DUMMYFUNCTION("""COMPUTED_VALUE"""),39503.0)</f>
        <v>39503</v>
      </c>
      <c r="E7386" s="115">
        <f>IFERROR(__xludf.DUMMYFUNCTION("""COMPUTED_VALUE"""),7153.0)</f>
        <v>7153</v>
      </c>
      <c r="F7386" s="115">
        <f>IFERROR(__xludf.DUMMYFUNCTION("""COMPUTED_VALUE"""),30778.0)</f>
        <v>30778</v>
      </c>
      <c r="G7386" s="115">
        <f>IFERROR(__xludf.DUMMYFUNCTION("""COMPUTED_VALUE"""),4338.0)</f>
        <v>4338</v>
      </c>
      <c r="H7386" s="116">
        <f>IFERROR(__xludf.DUMMYFUNCTION("""COMPUTED_VALUE"""),45913.0)</f>
        <v>45913</v>
      </c>
      <c r="I7386" s="115" t="str">
        <f>IFERROR(__xludf.DUMMYFUNCTION("""COMPUTED_VALUE"""),"19")</f>
        <v>19</v>
      </c>
      <c r="J7386" s="115"/>
      <c r="K7386" s="115"/>
    </row>
    <row r="7387">
      <c r="A7387" s="115" t="str">
        <f>IFERROR(__xludf.DUMMYFUNCTION("""COMPUTED_VALUE"""),"EAST")</f>
        <v>EAST</v>
      </c>
      <c r="B7387" s="115" t="str">
        <f>IFERROR(__xludf.DUMMYFUNCTION("""COMPUTED_VALUE"""),"Parag Kashyap")</f>
        <v>Parag Kashyap</v>
      </c>
      <c r="C7387" s="115" t="str">
        <f>IFERROR(__xludf.DUMMYFUNCTION("""COMPUTED_VALUE"""),"EXTERNAL")</f>
        <v>EXTERNAL</v>
      </c>
      <c r="D7387" s="115">
        <f>IFERROR(__xludf.DUMMYFUNCTION("""COMPUTED_VALUE"""),16575.0)</f>
        <v>16575</v>
      </c>
      <c r="E7387" s="115">
        <f>IFERROR(__xludf.DUMMYFUNCTION("""COMPUTED_VALUE"""),736.0)</f>
        <v>736</v>
      </c>
      <c r="F7387" s="115">
        <f>IFERROR(__xludf.DUMMYFUNCTION("""COMPUTED_VALUE"""),7166.0)</f>
        <v>7166</v>
      </c>
      <c r="G7387" s="115">
        <f>IFERROR(__xludf.DUMMYFUNCTION("""COMPUTED_VALUE"""),259.0)</f>
        <v>259</v>
      </c>
      <c r="H7387" s="116">
        <f>IFERROR(__xludf.DUMMYFUNCTION("""COMPUTED_VALUE"""),45913.0)</f>
        <v>45913</v>
      </c>
      <c r="I7387" s="115" t="str">
        <f>IFERROR(__xludf.DUMMYFUNCTION("""COMPUTED_VALUE"""),"19")</f>
        <v>19</v>
      </c>
      <c r="J7387" s="115"/>
      <c r="K7387" s="115"/>
    </row>
    <row r="7388">
      <c r="A7388" s="115" t="str">
        <f>IFERROR(__xludf.DUMMYFUNCTION("""COMPUTED_VALUE"""),"EAST")</f>
        <v>EAST</v>
      </c>
      <c r="B7388" s="115" t="str">
        <f>IFERROR(__xludf.DUMMYFUNCTION("""COMPUTED_VALUE"""),"Parag Kashyap")</f>
        <v>Parag Kashyap</v>
      </c>
      <c r="C7388" s="115" t="str">
        <f>IFERROR(__xludf.DUMMYFUNCTION("""COMPUTED_VALUE"""),"FLIPKART")</f>
        <v>FLIPKART</v>
      </c>
      <c r="D7388" s="115">
        <f>IFERROR(__xludf.DUMMYFUNCTION("""COMPUTED_VALUE"""),317309.0)</f>
        <v>317309</v>
      </c>
      <c r="E7388" s="115">
        <f>IFERROR(__xludf.DUMMYFUNCTION("""COMPUTED_VALUE"""),18907.0)</f>
        <v>18907</v>
      </c>
      <c r="F7388" s="115">
        <f>IFERROR(__xludf.DUMMYFUNCTION("""COMPUTED_VALUE"""),241186.0)</f>
        <v>241186</v>
      </c>
      <c r="G7388" s="115">
        <f>IFERROR(__xludf.DUMMYFUNCTION("""COMPUTED_VALUE"""),9835.0)</f>
        <v>9835</v>
      </c>
      <c r="H7388" s="116">
        <f>IFERROR(__xludf.DUMMYFUNCTION("""COMPUTED_VALUE"""),45913.0)</f>
        <v>45913</v>
      </c>
      <c r="I7388" s="115" t="str">
        <f>IFERROR(__xludf.DUMMYFUNCTION("""COMPUTED_VALUE"""),"19")</f>
        <v>19</v>
      </c>
      <c r="J7388" s="115"/>
      <c r="K7388" s="115"/>
    </row>
    <row r="7389">
      <c r="A7389" s="115" t="str">
        <f>IFERROR(__xludf.DUMMYFUNCTION("""COMPUTED_VALUE"""),"EAST")</f>
        <v>EAST</v>
      </c>
      <c r="B7389" s="115" t="str">
        <f>IFERROR(__xludf.DUMMYFUNCTION("""COMPUTED_VALUE"""),"Parag Kashyap")</f>
        <v>Parag Kashyap</v>
      </c>
      <c r="C7389" s="115" t="str">
        <f>IFERROR(__xludf.DUMMYFUNCTION("""COMPUTED_VALUE"""),"MYNTRA")</f>
        <v>MYNTRA</v>
      </c>
      <c r="D7389" s="115">
        <f>IFERROR(__xludf.DUMMYFUNCTION("""COMPUTED_VALUE"""),36587.0)</f>
        <v>36587</v>
      </c>
      <c r="E7389" s="115">
        <f>IFERROR(__xludf.DUMMYFUNCTION("""COMPUTED_VALUE"""),6106.0)</f>
        <v>6106</v>
      </c>
      <c r="F7389" s="115">
        <f>IFERROR(__xludf.DUMMYFUNCTION("""COMPUTED_VALUE"""),28314.0)</f>
        <v>28314</v>
      </c>
      <c r="G7389" s="115">
        <f>IFERROR(__xludf.DUMMYFUNCTION("""COMPUTED_VALUE"""),3258.0)</f>
        <v>3258</v>
      </c>
      <c r="H7389" s="116">
        <f>IFERROR(__xludf.DUMMYFUNCTION("""COMPUTED_VALUE"""),45913.0)</f>
        <v>45913</v>
      </c>
      <c r="I7389" s="115" t="str">
        <f>IFERROR(__xludf.DUMMYFUNCTION("""COMPUTED_VALUE"""),"19")</f>
        <v>19</v>
      </c>
      <c r="J7389" s="115"/>
      <c r="K7389" s="115"/>
    </row>
    <row r="7390">
      <c r="A7390" s="115" t="str">
        <f>IFERROR(__xludf.DUMMYFUNCTION("""COMPUTED_VALUE"""),"NORTH")</f>
        <v>NORTH</v>
      </c>
      <c r="B7390" s="115" t="str">
        <f>IFERROR(__xludf.DUMMYFUNCTION("""COMPUTED_VALUE"""),"Amit Kumar Pathak")</f>
        <v>Amit Kumar Pathak</v>
      </c>
      <c r="C7390" s="115" t="str">
        <f>IFERROR(__xludf.DUMMYFUNCTION("""COMPUTED_VALUE"""),"EXTERNAL")</f>
        <v>EXTERNAL</v>
      </c>
      <c r="D7390" s="115">
        <f>IFERROR(__xludf.DUMMYFUNCTION("""COMPUTED_VALUE"""),30535.0)</f>
        <v>30535</v>
      </c>
      <c r="E7390" s="115">
        <f>IFERROR(__xludf.DUMMYFUNCTION("""COMPUTED_VALUE"""),2644.0)</f>
        <v>2644</v>
      </c>
      <c r="F7390" s="115">
        <f>IFERROR(__xludf.DUMMYFUNCTION("""COMPUTED_VALUE"""),12108.0)</f>
        <v>12108</v>
      </c>
      <c r="G7390" s="115">
        <f>IFERROR(__xludf.DUMMYFUNCTION("""COMPUTED_VALUE"""),1370.0)</f>
        <v>1370</v>
      </c>
      <c r="H7390" s="116">
        <f>IFERROR(__xludf.DUMMYFUNCTION("""COMPUTED_VALUE"""),45913.0)</f>
        <v>45913</v>
      </c>
      <c r="I7390" s="115" t="str">
        <f>IFERROR(__xludf.DUMMYFUNCTION("""COMPUTED_VALUE"""),"19")</f>
        <v>19</v>
      </c>
      <c r="J7390" s="115"/>
      <c r="K7390" s="115"/>
    </row>
    <row r="7391">
      <c r="A7391" s="115" t="str">
        <f>IFERROR(__xludf.DUMMYFUNCTION("""COMPUTED_VALUE"""),"NORTH")</f>
        <v>NORTH</v>
      </c>
      <c r="B7391" s="115" t="str">
        <f>IFERROR(__xludf.DUMMYFUNCTION("""COMPUTED_VALUE"""),"Amit Kumar Pathak")</f>
        <v>Amit Kumar Pathak</v>
      </c>
      <c r="C7391" s="115" t="str">
        <f>IFERROR(__xludf.DUMMYFUNCTION("""COMPUTED_VALUE"""),"FLIPKART")</f>
        <v>FLIPKART</v>
      </c>
      <c r="D7391" s="115">
        <f>IFERROR(__xludf.DUMMYFUNCTION("""COMPUTED_VALUE"""),217899.0)</f>
        <v>217899</v>
      </c>
      <c r="E7391" s="115">
        <f>IFERROR(__xludf.DUMMYFUNCTION("""COMPUTED_VALUE"""),23511.0)</f>
        <v>23511</v>
      </c>
      <c r="F7391" s="115">
        <f>IFERROR(__xludf.DUMMYFUNCTION("""COMPUTED_VALUE"""),155500.0)</f>
        <v>155500</v>
      </c>
      <c r="G7391" s="115">
        <f>IFERROR(__xludf.DUMMYFUNCTION("""COMPUTED_VALUE"""),14184.0)</f>
        <v>14184</v>
      </c>
      <c r="H7391" s="116">
        <f>IFERROR(__xludf.DUMMYFUNCTION("""COMPUTED_VALUE"""),45913.0)</f>
        <v>45913</v>
      </c>
      <c r="I7391" s="115" t="str">
        <f>IFERROR(__xludf.DUMMYFUNCTION("""COMPUTED_VALUE"""),"19")</f>
        <v>19</v>
      </c>
      <c r="J7391" s="115"/>
      <c r="K7391" s="115"/>
    </row>
    <row r="7392">
      <c r="A7392" s="115" t="str">
        <f>IFERROR(__xludf.DUMMYFUNCTION("""COMPUTED_VALUE"""),"NORTH")</f>
        <v>NORTH</v>
      </c>
      <c r="B7392" s="115" t="str">
        <f>IFERROR(__xludf.DUMMYFUNCTION("""COMPUTED_VALUE"""),"Amit Kumar Pathak")</f>
        <v>Amit Kumar Pathak</v>
      </c>
      <c r="C7392" s="115" t="str">
        <f>IFERROR(__xludf.DUMMYFUNCTION("""COMPUTED_VALUE"""),"MYNTRA")</f>
        <v>MYNTRA</v>
      </c>
      <c r="D7392" s="115">
        <f>IFERROR(__xludf.DUMMYFUNCTION("""COMPUTED_VALUE"""),17976.0)</f>
        <v>17976</v>
      </c>
      <c r="E7392" s="115">
        <f>IFERROR(__xludf.DUMMYFUNCTION("""COMPUTED_VALUE"""),5679.0)</f>
        <v>5679</v>
      </c>
      <c r="F7392" s="115">
        <f>IFERROR(__xludf.DUMMYFUNCTION("""COMPUTED_VALUE"""),14408.0)</f>
        <v>14408</v>
      </c>
      <c r="G7392" s="115">
        <f>IFERROR(__xludf.DUMMYFUNCTION("""COMPUTED_VALUE"""),3622.0)</f>
        <v>3622</v>
      </c>
      <c r="H7392" s="116">
        <f>IFERROR(__xludf.DUMMYFUNCTION("""COMPUTED_VALUE"""),45913.0)</f>
        <v>45913</v>
      </c>
      <c r="I7392" s="115" t="str">
        <f>IFERROR(__xludf.DUMMYFUNCTION("""COMPUTED_VALUE"""),"19")</f>
        <v>19</v>
      </c>
      <c r="J7392" s="115"/>
      <c r="K7392" s="115"/>
    </row>
    <row r="7393">
      <c r="A7393" s="115" t="str">
        <f>IFERROR(__xludf.DUMMYFUNCTION("""COMPUTED_VALUE"""),"NORTH")</f>
        <v>NORTH</v>
      </c>
      <c r="B7393" s="115" t="str">
        <f>IFERROR(__xludf.DUMMYFUNCTION("""COMPUTED_VALUE"""),"Loveleen Singh")</f>
        <v>Loveleen Singh</v>
      </c>
      <c r="C7393" s="115" t="str">
        <f>IFERROR(__xludf.DUMMYFUNCTION("""COMPUTED_VALUE"""),"EXTERNAL")</f>
        <v>EXTERNAL</v>
      </c>
      <c r="D7393" s="115">
        <f>IFERROR(__xludf.DUMMYFUNCTION("""COMPUTED_VALUE"""),34661.0)</f>
        <v>34661</v>
      </c>
      <c r="E7393" s="115">
        <f>IFERROR(__xludf.DUMMYFUNCTION("""COMPUTED_VALUE"""),1877.0)</f>
        <v>1877</v>
      </c>
      <c r="F7393" s="115">
        <f>IFERROR(__xludf.DUMMYFUNCTION("""COMPUTED_VALUE"""),14214.0)</f>
        <v>14214</v>
      </c>
      <c r="G7393" s="115">
        <f>IFERROR(__xludf.DUMMYFUNCTION("""COMPUTED_VALUE"""),709.0)</f>
        <v>709</v>
      </c>
      <c r="H7393" s="116">
        <f>IFERROR(__xludf.DUMMYFUNCTION("""COMPUTED_VALUE"""),45913.0)</f>
        <v>45913</v>
      </c>
      <c r="I7393" s="115" t="str">
        <f>IFERROR(__xludf.DUMMYFUNCTION("""COMPUTED_VALUE"""),"19")</f>
        <v>19</v>
      </c>
      <c r="J7393" s="115"/>
      <c r="K7393" s="115"/>
    </row>
    <row r="7394">
      <c r="A7394" s="115" t="str">
        <f>IFERROR(__xludf.DUMMYFUNCTION("""COMPUTED_VALUE"""),"NORTH")</f>
        <v>NORTH</v>
      </c>
      <c r="B7394" s="115" t="str">
        <f>IFERROR(__xludf.DUMMYFUNCTION("""COMPUTED_VALUE"""),"Loveleen Singh")</f>
        <v>Loveleen Singh</v>
      </c>
      <c r="C7394" s="115" t="str">
        <f>IFERROR(__xludf.DUMMYFUNCTION("""COMPUTED_VALUE"""),"FLIPKART")</f>
        <v>FLIPKART</v>
      </c>
      <c r="D7394" s="115">
        <f>IFERROR(__xludf.DUMMYFUNCTION("""COMPUTED_VALUE"""),227188.0)</f>
        <v>227188</v>
      </c>
      <c r="E7394" s="115">
        <f>IFERROR(__xludf.DUMMYFUNCTION("""COMPUTED_VALUE"""),15501.0)</f>
        <v>15501</v>
      </c>
      <c r="F7394" s="115">
        <f>IFERROR(__xludf.DUMMYFUNCTION("""COMPUTED_VALUE"""),171066.0)</f>
        <v>171066</v>
      </c>
      <c r="G7394" s="115">
        <f>IFERROR(__xludf.DUMMYFUNCTION("""COMPUTED_VALUE"""),8728.0)</f>
        <v>8728</v>
      </c>
      <c r="H7394" s="116">
        <f>IFERROR(__xludf.DUMMYFUNCTION("""COMPUTED_VALUE"""),45913.0)</f>
        <v>45913</v>
      </c>
      <c r="I7394" s="115" t="str">
        <f>IFERROR(__xludf.DUMMYFUNCTION("""COMPUTED_VALUE"""),"19")</f>
        <v>19</v>
      </c>
      <c r="J7394" s="115"/>
      <c r="K7394" s="115"/>
    </row>
    <row r="7395">
      <c r="A7395" s="115" t="str">
        <f>IFERROR(__xludf.DUMMYFUNCTION("""COMPUTED_VALUE"""),"NORTH")</f>
        <v>NORTH</v>
      </c>
      <c r="B7395" s="115" t="str">
        <f>IFERROR(__xludf.DUMMYFUNCTION("""COMPUTED_VALUE"""),"Loveleen Singh")</f>
        <v>Loveleen Singh</v>
      </c>
      <c r="C7395" s="115" t="str">
        <f>IFERROR(__xludf.DUMMYFUNCTION("""COMPUTED_VALUE"""),"MYNTRA")</f>
        <v>MYNTRA</v>
      </c>
      <c r="D7395" s="115">
        <f>IFERROR(__xludf.DUMMYFUNCTION("""COMPUTED_VALUE"""),33803.0)</f>
        <v>33803</v>
      </c>
      <c r="E7395" s="115">
        <f>IFERROR(__xludf.DUMMYFUNCTION("""COMPUTED_VALUE"""),6244.0)</f>
        <v>6244</v>
      </c>
      <c r="F7395" s="115">
        <f>IFERROR(__xludf.DUMMYFUNCTION("""COMPUTED_VALUE"""),26822.0)</f>
        <v>26822</v>
      </c>
      <c r="G7395" s="115">
        <f>IFERROR(__xludf.DUMMYFUNCTION("""COMPUTED_VALUE"""),3784.0)</f>
        <v>3784</v>
      </c>
      <c r="H7395" s="116">
        <f>IFERROR(__xludf.DUMMYFUNCTION("""COMPUTED_VALUE"""),45913.0)</f>
        <v>45913</v>
      </c>
      <c r="I7395" s="115" t="str">
        <f>IFERROR(__xludf.DUMMYFUNCTION("""COMPUTED_VALUE"""),"19")</f>
        <v>19</v>
      </c>
      <c r="J7395" s="115"/>
      <c r="K7395" s="115"/>
    </row>
    <row r="7396">
      <c r="A7396" s="115" t="str">
        <f>IFERROR(__xludf.DUMMYFUNCTION("""COMPUTED_VALUE"""),"NORTH")</f>
        <v>NORTH</v>
      </c>
      <c r="B7396" s="115" t="str">
        <f>IFERROR(__xludf.DUMMYFUNCTION("""COMPUTED_VALUE"""),"Manoj Harsh")</f>
        <v>Manoj Harsh</v>
      </c>
      <c r="C7396" s="115" t="str">
        <f>IFERROR(__xludf.DUMMYFUNCTION("""COMPUTED_VALUE"""),"EXTERNAL")</f>
        <v>EXTERNAL</v>
      </c>
      <c r="D7396" s="115">
        <f>IFERROR(__xludf.DUMMYFUNCTION("""COMPUTED_VALUE"""),38082.0)</f>
        <v>38082</v>
      </c>
      <c r="E7396" s="115">
        <f>IFERROR(__xludf.DUMMYFUNCTION("""COMPUTED_VALUE"""),1903.0)</f>
        <v>1903</v>
      </c>
      <c r="F7396" s="115">
        <f>IFERROR(__xludf.DUMMYFUNCTION("""COMPUTED_VALUE"""),17904.0)</f>
        <v>17904</v>
      </c>
      <c r="G7396" s="115">
        <f>IFERROR(__xludf.DUMMYFUNCTION("""COMPUTED_VALUE"""),772.0)</f>
        <v>772</v>
      </c>
      <c r="H7396" s="116">
        <f>IFERROR(__xludf.DUMMYFUNCTION("""COMPUTED_VALUE"""),45913.0)</f>
        <v>45913</v>
      </c>
      <c r="I7396" s="115" t="str">
        <f>IFERROR(__xludf.DUMMYFUNCTION("""COMPUTED_VALUE"""),"19")</f>
        <v>19</v>
      </c>
      <c r="J7396" s="115"/>
      <c r="K7396" s="115"/>
    </row>
    <row r="7397">
      <c r="A7397" s="115" t="str">
        <f>IFERROR(__xludf.DUMMYFUNCTION("""COMPUTED_VALUE"""),"NORTH")</f>
        <v>NORTH</v>
      </c>
      <c r="B7397" s="115" t="str">
        <f>IFERROR(__xludf.DUMMYFUNCTION("""COMPUTED_VALUE"""),"Manoj Harsh")</f>
        <v>Manoj Harsh</v>
      </c>
      <c r="C7397" s="115" t="str">
        <f>IFERROR(__xludf.DUMMYFUNCTION("""COMPUTED_VALUE"""),"FLIPKART")</f>
        <v>FLIPKART</v>
      </c>
      <c r="D7397" s="115">
        <f>IFERROR(__xludf.DUMMYFUNCTION("""COMPUTED_VALUE"""),486187.0)</f>
        <v>486187</v>
      </c>
      <c r="E7397" s="115">
        <f>IFERROR(__xludf.DUMMYFUNCTION("""COMPUTED_VALUE"""),40964.0)</f>
        <v>40964</v>
      </c>
      <c r="F7397" s="115">
        <f>IFERROR(__xludf.DUMMYFUNCTION("""COMPUTED_VALUE"""),361928.0)</f>
        <v>361928</v>
      </c>
      <c r="G7397" s="115">
        <f>IFERROR(__xludf.DUMMYFUNCTION("""COMPUTED_VALUE"""),24153.0)</f>
        <v>24153</v>
      </c>
      <c r="H7397" s="116">
        <f>IFERROR(__xludf.DUMMYFUNCTION("""COMPUTED_VALUE"""),45913.0)</f>
        <v>45913</v>
      </c>
      <c r="I7397" s="115" t="str">
        <f>IFERROR(__xludf.DUMMYFUNCTION("""COMPUTED_VALUE"""),"19")</f>
        <v>19</v>
      </c>
      <c r="J7397" s="115"/>
      <c r="K7397" s="115"/>
    </row>
    <row r="7398">
      <c r="A7398" s="115" t="str">
        <f>IFERROR(__xludf.DUMMYFUNCTION("""COMPUTED_VALUE"""),"NORTH")</f>
        <v>NORTH</v>
      </c>
      <c r="B7398" s="115" t="str">
        <f>IFERROR(__xludf.DUMMYFUNCTION("""COMPUTED_VALUE"""),"Manoj Harsh")</f>
        <v>Manoj Harsh</v>
      </c>
      <c r="C7398" s="115" t="str">
        <f>IFERROR(__xludf.DUMMYFUNCTION("""COMPUTED_VALUE"""),"MYNTRA")</f>
        <v>MYNTRA</v>
      </c>
      <c r="D7398" s="115">
        <f>IFERROR(__xludf.DUMMYFUNCTION("""COMPUTED_VALUE"""),36597.0)</f>
        <v>36597</v>
      </c>
      <c r="E7398" s="115">
        <f>IFERROR(__xludf.DUMMYFUNCTION("""COMPUTED_VALUE"""),7426.0)</f>
        <v>7426</v>
      </c>
      <c r="F7398" s="115">
        <f>IFERROR(__xludf.DUMMYFUNCTION("""COMPUTED_VALUE"""),29125.0)</f>
        <v>29125</v>
      </c>
      <c r="G7398" s="115">
        <f>IFERROR(__xludf.DUMMYFUNCTION("""COMPUTED_VALUE"""),4688.0)</f>
        <v>4688</v>
      </c>
      <c r="H7398" s="116">
        <f>IFERROR(__xludf.DUMMYFUNCTION("""COMPUTED_VALUE"""),45913.0)</f>
        <v>45913</v>
      </c>
      <c r="I7398" s="115" t="str">
        <f>IFERROR(__xludf.DUMMYFUNCTION("""COMPUTED_VALUE"""),"19")</f>
        <v>19</v>
      </c>
      <c r="J7398" s="115"/>
      <c r="K7398" s="115"/>
    </row>
    <row r="7399">
      <c r="A7399" s="115" t="str">
        <f>IFERROR(__xludf.DUMMYFUNCTION("""COMPUTED_VALUE"""),"NORTH")</f>
        <v>NORTH</v>
      </c>
      <c r="B7399" s="115" t="str">
        <f>IFERROR(__xludf.DUMMYFUNCTION("""COMPUTED_VALUE"""),"Pradeep Kothari")</f>
        <v>Pradeep Kothari</v>
      </c>
      <c r="C7399" s="115" t="str">
        <f>IFERROR(__xludf.DUMMYFUNCTION("""COMPUTED_VALUE"""),"EXTERNAL")</f>
        <v>EXTERNAL</v>
      </c>
      <c r="D7399" s="115">
        <f>IFERROR(__xludf.DUMMYFUNCTION("""COMPUTED_VALUE"""),20041.0)</f>
        <v>20041</v>
      </c>
      <c r="E7399" s="115">
        <f>IFERROR(__xludf.DUMMYFUNCTION("""COMPUTED_VALUE"""),1406.0)</f>
        <v>1406</v>
      </c>
      <c r="F7399" s="115">
        <f>IFERROR(__xludf.DUMMYFUNCTION("""COMPUTED_VALUE"""),8613.0)</f>
        <v>8613</v>
      </c>
      <c r="G7399" s="115">
        <f>IFERROR(__xludf.DUMMYFUNCTION("""COMPUTED_VALUE"""),681.0)</f>
        <v>681</v>
      </c>
      <c r="H7399" s="116">
        <f>IFERROR(__xludf.DUMMYFUNCTION("""COMPUTED_VALUE"""),45913.0)</f>
        <v>45913</v>
      </c>
      <c r="I7399" s="115" t="str">
        <f>IFERROR(__xludf.DUMMYFUNCTION("""COMPUTED_VALUE"""),"19")</f>
        <v>19</v>
      </c>
      <c r="J7399" s="115"/>
      <c r="K7399" s="115"/>
    </row>
    <row r="7400">
      <c r="A7400" s="115" t="str">
        <f>IFERROR(__xludf.DUMMYFUNCTION("""COMPUTED_VALUE"""),"NORTH")</f>
        <v>NORTH</v>
      </c>
      <c r="B7400" s="115" t="str">
        <f>IFERROR(__xludf.DUMMYFUNCTION("""COMPUTED_VALUE"""),"Pradeep Kothari")</f>
        <v>Pradeep Kothari</v>
      </c>
      <c r="C7400" s="115" t="str">
        <f>IFERROR(__xludf.DUMMYFUNCTION("""COMPUTED_VALUE"""),"FLIPKART")</f>
        <v>FLIPKART</v>
      </c>
      <c r="D7400" s="115">
        <f>IFERROR(__xludf.DUMMYFUNCTION("""COMPUTED_VALUE"""),180056.0)</f>
        <v>180056</v>
      </c>
      <c r="E7400" s="115">
        <f>IFERROR(__xludf.DUMMYFUNCTION("""COMPUTED_VALUE"""),17976.0)</f>
        <v>17976</v>
      </c>
      <c r="F7400" s="115">
        <f>IFERROR(__xludf.DUMMYFUNCTION("""COMPUTED_VALUE"""),138758.0)</f>
        <v>138758</v>
      </c>
      <c r="G7400" s="115">
        <f>IFERROR(__xludf.DUMMYFUNCTION("""COMPUTED_VALUE"""),11754.0)</f>
        <v>11754</v>
      </c>
      <c r="H7400" s="116">
        <f>IFERROR(__xludf.DUMMYFUNCTION("""COMPUTED_VALUE"""),45913.0)</f>
        <v>45913</v>
      </c>
      <c r="I7400" s="115" t="str">
        <f>IFERROR(__xludf.DUMMYFUNCTION("""COMPUTED_VALUE"""),"19")</f>
        <v>19</v>
      </c>
      <c r="J7400" s="115"/>
      <c r="K7400" s="115"/>
    </row>
    <row r="7401">
      <c r="A7401" s="115" t="str">
        <f>IFERROR(__xludf.DUMMYFUNCTION("""COMPUTED_VALUE"""),"NORTH")</f>
        <v>NORTH</v>
      </c>
      <c r="B7401" s="115" t="str">
        <f>IFERROR(__xludf.DUMMYFUNCTION("""COMPUTED_VALUE"""),"Pradeep Kothari")</f>
        <v>Pradeep Kothari</v>
      </c>
      <c r="C7401" s="115" t="str">
        <f>IFERROR(__xludf.DUMMYFUNCTION("""COMPUTED_VALUE"""),"MYNTRA")</f>
        <v>MYNTRA</v>
      </c>
      <c r="D7401" s="115">
        <f>IFERROR(__xludf.DUMMYFUNCTION("""COMPUTED_VALUE"""),27370.0)</f>
        <v>27370</v>
      </c>
      <c r="E7401" s="115">
        <f>IFERROR(__xludf.DUMMYFUNCTION("""COMPUTED_VALUE"""),6184.0)</f>
        <v>6184</v>
      </c>
      <c r="F7401" s="115">
        <f>IFERROR(__xludf.DUMMYFUNCTION("""COMPUTED_VALUE"""),22902.0)</f>
        <v>22902</v>
      </c>
      <c r="G7401" s="115">
        <f>IFERROR(__xludf.DUMMYFUNCTION("""COMPUTED_VALUE"""),4459.0)</f>
        <v>4459</v>
      </c>
      <c r="H7401" s="116">
        <f>IFERROR(__xludf.DUMMYFUNCTION("""COMPUTED_VALUE"""),45913.0)</f>
        <v>45913</v>
      </c>
      <c r="I7401" s="115" t="str">
        <f>IFERROR(__xludf.DUMMYFUNCTION("""COMPUTED_VALUE"""),"19")</f>
        <v>19</v>
      </c>
      <c r="J7401" s="115"/>
      <c r="K7401" s="115"/>
    </row>
    <row r="7402">
      <c r="A7402" s="115" t="str">
        <f>IFERROR(__xludf.DUMMYFUNCTION("""COMPUTED_VALUE"""),"SOUTH")</f>
        <v>SOUTH</v>
      </c>
      <c r="B7402" s="115" t="str">
        <f>IFERROR(__xludf.DUMMYFUNCTION("""COMPUTED_VALUE"""),"Kandula Sampath")</f>
        <v>Kandula Sampath</v>
      </c>
      <c r="C7402" s="115" t="str">
        <f>IFERROR(__xludf.DUMMYFUNCTION("""COMPUTED_VALUE"""),"EXTERNAL")</f>
        <v>EXTERNAL</v>
      </c>
      <c r="D7402" s="115">
        <f>IFERROR(__xludf.DUMMYFUNCTION("""COMPUTED_VALUE"""),34951.0)</f>
        <v>34951</v>
      </c>
      <c r="E7402" s="115">
        <f>IFERROR(__xludf.DUMMYFUNCTION("""COMPUTED_VALUE"""),3398.0)</f>
        <v>3398</v>
      </c>
      <c r="F7402" s="115">
        <f>IFERROR(__xludf.DUMMYFUNCTION("""COMPUTED_VALUE"""),15311.0)</f>
        <v>15311</v>
      </c>
      <c r="G7402" s="115">
        <f>IFERROR(__xludf.DUMMYFUNCTION("""COMPUTED_VALUE"""),1224.0)</f>
        <v>1224</v>
      </c>
      <c r="H7402" s="116">
        <f>IFERROR(__xludf.DUMMYFUNCTION("""COMPUTED_VALUE"""),45913.0)</f>
        <v>45913</v>
      </c>
      <c r="I7402" s="115" t="str">
        <f>IFERROR(__xludf.DUMMYFUNCTION("""COMPUTED_VALUE"""),"19")</f>
        <v>19</v>
      </c>
      <c r="J7402" s="115"/>
      <c r="K7402" s="115"/>
    </row>
    <row r="7403">
      <c r="A7403" s="115" t="str">
        <f>IFERROR(__xludf.DUMMYFUNCTION("""COMPUTED_VALUE"""),"SOUTH")</f>
        <v>SOUTH</v>
      </c>
      <c r="B7403" s="115" t="str">
        <f>IFERROR(__xludf.DUMMYFUNCTION("""COMPUTED_VALUE"""),"Kandula Sampath")</f>
        <v>Kandula Sampath</v>
      </c>
      <c r="C7403" s="115" t="str">
        <f>IFERROR(__xludf.DUMMYFUNCTION("""COMPUTED_VALUE"""),"FLIPKART")</f>
        <v>FLIPKART</v>
      </c>
      <c r="D7403" s="115">
        <f>IFERROR(__xludf.DUMMYFUNCTION("""COMPUTED_VALUE"""),420443.0)</f>
        <v>420443</v>
      </c>
      <c r="E7403" s="115">
        <f>IFERROR(__xludf.DUMMYFUNCTION("""COMPUTED_VALUE"""),33378.0)</f>
        <v>33378</v>
      </c>
      <c r="F7403" s="115">
        <f>IFERROR(__xludf.DUMMYFUNCTION("""COMPUTED_VALUE"""),309006.0)</f>
        <v>309006</v>
      </c>
      <c r="G7403" s="115">
        <f>IFERROR(__xludf.DUMMYFUNCTION("""COMPUTED_VALUE"""),16450.0)</f>
        <v>16450</v>
      </c>
      <c r="H7403" s="116">
        <f>IFERROR(__xludf.DUMMYFUNCTION("""COMPUTED_VALUE"""),45913.0)</f>
        <v>45913</v>
      </c>
      <c r="I7403" s="115" t="str">
        <f>IFERROR(__xludf.DUMMYFUNCTION("""COMPUTED_VALUE"""),"19")</f>
        <v>19</v>
      </c>
      <c r="J7403" s="115"/>
      <c r="K7403" s="115"/>
    </row>
    <row r="7404">
      <c r="A7404" s="115" t="str">
        <f>IFERROR(__xludf.DUMMYFUNCTION("""COMPUTED_VALUE"""),"SOUTH")</f>
        <v>SOUTH</v>
      </c>
      <c r="B7404" s="115" t="str">
        <f>IFERROR(__xludf.DUMMYFUNCTION("""COMPUTED_VALUE"""),"Kandula Sampath")</f>
        <v>Kandula Sampath</v>
      </c>
      <c r="C7404" s="115" t="str">
        <f>IFERROR(__xludf.DUMMYFUNCTION("""COMPUTED_VALUE"""),"MYNTRA")</f>
        <v>MYNTRA</v>
      </c>
      <c r="D7404" s="115">
        <f>IFERROR(__xludf.DUMMYFUNCTION("""COMPUTED_VALUE"""),42005.0)</f>
        <v>42005</v>
      </c>
      <c r="E7404" s="115">
        <f>IFERROR(__xludf.DUMMYFUNCTION("""COMPUTED_VALUE"""),9437.0)</f>
        <v>9437</v>
      </c>
      <c r="F7404" s="115">
        <f>IFERROR(__xludf.DUMMYFUNCTION("""COMPUTED_VALUE"""),32993.0)</f>
        <v>32993</v>
      </c>
      <c r="G7404" s="115">
        <f>IFERROR(__xludf.DUMMYFUNCTION("""COMPUTED_VALUE"""),4698.0)</f>
        <v>4698</v>
      </c>
      <c r="H7404" s="116">
        <f>IFERROR(__xludf.DUMMYFUNCTION("""COMPUTED_VALUE"""),45913.0)</f>
        <v>45913</v>
      </c>
      <c r="I7404" s="115" t="str">
        <f>IFERROR(__xludf.DUMMYFUNCTION("""COMPUTED_VALUE"""),"19")</f>
        <v>19</v>
      </c>
      <c r="J7404" s="115"/>
      <c r="K7404" s="115"/>
    </row>
    <row r="7405">
      <c r="A7405" s="115" t="str">
        <f>IFERROR(__xludf.DUMMYFUNCTION("""COMPUTED_VALUE"""),"SOUTH")</f>
        <v>SOUTH</v>
      </c>
      <c r="B7405" s="115" t="str">
        <f>IFERROR(__xludf.DUMMYFUNCTION("""COMPUTED_VALUE"""),"Martin A")</f>
        <v>Martin A</v>
      </c>
      <c r="C7405" s="115" t="str">
        <f>IFERROR(__xludf.DUMMYFUNCTION("""COMPUTED_VALUE"""),"EXTERNAL")</f>
        <v>EXTERNAL</v>
      </c>
      <c r="D7405" s="115">
        <f>IFERROR(__xludf.DUMMYFUNCTION("""COMPUTED_VALUE"""),30645.0)</f>
        <v>30645</v>
      </c>
      <c r="E7405" s="115">
        <f>IFERROR(__xludf.DUMMYFUNCTION("""COMPUTED_VALUE"""),3226.0)</f>
        <v>3226</v>
      </c>
      <c r="F7405" s="115">
        <f>IFERROR(__xludf.DUMMYFUNCTION("""COMPUTED_VALUE"""),13178.0)</f>
        <v>13178</v>
      </c>
      <c r="G7405" s="115">
        <f>IFERROR(__xludf.DUMMYFUNCTION("""COMPUTED_VALUE"""),1507.0)</f>
        <v>1507</v>
      </c>
      <c r="H7405" s="116">
        <f>IFERROR(__xludf.DUMMYFUNCTION("""COMPUTED_VALUE"""),45913.0)</f>
        <v>45913</v>
      </c>
      <c r="I7405" s="115" t="str">
        <f>IFERROR(__xludf.DUMMYFUNCTION("""COMPUTED_VALUE"""),"19")</f>
        <v>19</v>
      </c>
      <c r="J7405" s="115"/>
      <c r="K7405" s="115"/>
    </row>
    <row r="7406">
      <c r="A7406" s="115" t="str">
        <f>IFERROR(__xludf.DUMMYFUNCTION("""COMPUTED_VALUE"""),"SOUTH")</f>
        <v>SOUTH</v>
      </c>
      <c r="B7406" s="115" t="str">
        <f>IFERROR(__xludf.DUMMYFUNCTION("""COMPUTED_VALUE"""),"Martin A")</f>
        <v>Martin A</v>
      </c>
      <c r="C7406" s="115" t="str">
        <f>IFERROR(__xludf.DUMMYFUNCTION("""COMPUTED_VALUE"""),"FLIPKART")</f>
        <v>FLIPKART</v>
      </c>
      <c r="D7406" s="115">
        <f>IFERROR(__xludf.DUMMYFUNCTION("""COMPUTED_VALUE"""),343036.0)</f>
        <v>343036</v>
      </c>
      <c r="E7406" s="115">
        <f>IFERROR(__xludf.DUMMYFUNCTION("""COMPUTED_VALUE"""),28630.0)</f>
        <v>28630</v>
      </c>
      <c r="F7406" s="115">
        <f>IFERROR(__xludf.DUMMYFUNCTION("""COMPUTED_VALUE"""),253739.0)</f>
        <v>253739</v>
      </c>
      <c r="G7406" s="115">
        <f>IFERROR(__xludf.DUMMYFUNCTION("""COMPUTED_VALUE"""),16425.0)</f>
        <v>16425</v>
      </c>
      <c r="H7406" s="116">
        <f>IFERROR(__xludf.DUMMYFUNCTION("""COMPUTED_VALUE"""),45913.0)</f>
        <v>45913</v>
      </c>
      <c r="I7406" s="115" t="str">
        <f>IFERROR(__xludf.DUMMYFUNCTION("""COMPUTED_VALUE"""),"19")</f>
        <v>19</v>
      </c>
      <c r="J7406" s="115"/>
      <c r="K7406" s="115"/>
    </row>
    <row r="7407">
      <c r="A7407" s="115" t="str">
        <f>IFERROR(__xludf.DUMMYFUNCTION("""COMPUTED_VALUE"""),"SOUTH")</f>
        <v>SOUTH</v>
      </c>
      <c r="B7407" s="115" t="str">
        <f>IFERROR(__xludf.DUMMYFUNCTION("""COMPUTED_VALUE"""),"Martin A")</f>
        <v>Martin A</v>
      </c>
      <c r="C7407" s="115" t="str">
        <f>IFERROR(__xludf.DUMMYFUNCTION("""COMPUTED_VALUE"""),"MYNTRA")</f>
        <v>MYNTRA</v>
      </c>
      <c r="D7407" s="115">
        <f>IFERROR(__xludf.DUMMYFUNCTION("""COMPUTED_VALUE"""),29927.0)</f>
        <v>29927</v>
      </c>
      <c r="E7407" s="115">
        <f>IFERROR(__xludf.DUMMYFUNCTION("""COMPUTED_VALUE"""),7130.0)</f>
        <v>7130</v>
      </c>
      <c r="F7407" s="115">
        <f>IFERROR(__xludf.DUMMYFUNCTION("""COMPUTED_VALUE"""),24618.0)</f>
        <v>24618</v>
      </c>
      <c r="G7407" s="115">
        <f>IFERROR(__xludf.DUMMYFUNCTION("""COMPUTED_VALUE"""),4463.0)</f>
        <v>4463</v>
      </c>
      <c r="H7407" s="116">
        <f>IFERROR(__xludf.DUMMYFUNCTION("""COMPUTED_VALUE"""),45913.0)</f>
        <v>45913</v>
      </c>
      <c r="I7407" s="115" t="str">
        <f>IFERROR(__xludf.DUMMYFUNCTION("""COMPUTED_VALUE"""),"19")</f>
        <v>19</v>
      </c>
      <c r="J7407" s="115"/>
      <c r="K7407" s="115"/>
    </row>
    <row r="7408">
      <c r="A7408" s="115" t="str">
        <f>IFERROR(__xludf.DUMMYFUNCTION("""COMPUTED_VALUE"""),"SOUTH")</f>
        <v>SOUTH</v>
      </c>
      <c r="B7408" s="115" t="str">
        <f>IFERROR(__xludf.DUMMYFUNCTION("""COMPUTED_VALUE"""),"Premkumar M")</f>
        <v>Premkumar M</v>
      </c>
      <c r="C7408" s="115" t="str">
        <f>IFERROR(__xludf.DUMMYFUNCTION("""COMPUTED_VALUE"""),"EXTERNAL")</f>
        <v>EXTERNAL</v>
      </c>
      <c r="D7408" s="115">
        <f>IFERROR(__xludf.DUMMYFUNCTION("""COMPUTED_VALUE"""),28881.0)</f>
        <v>28881</v>
      </c>
      <c r="E7408" s="115">
        <f>IFERROR(__xludf.DUMMYFUNCTION("""COMPUTED_VALUE"""),1561.0)</f>
        <v>1561</v>
      </c>
      <c r="F7408" s="115">
        <f>IFERROR(__xludf.DUMMYFUNCTION("""COMPUTED_VALUE"""),13631.0)</f>
        <v>13631</v>
      </c>
      <c r="G7408" s="115">
        <f>IFERROR(__xludf.DUMMYFUNCTION("""COMPUTED_VALUE"""),410.0)</f>
        <v>410</v>
      </c>
      <c r="H7408" s="116">
        <f>IFERROR(__xludf.DUMMYFUNCTION("""COMPUTED_VALUE"""),45913.0)</f>
        <v>45913</v>
      </c>
      <c r="I7408" s="115" t="str">
        <f>IFERROR(__xludf.DUMMYFUNCTION("""COMPUTED_VALUE"""),"19")</f>
        <v>19</v>
      </c>
      <c r="J7408" s="115"/>
      <c r="K7408" s="115"/>
    </row>
    <row r="7409">
      <c r="A7409" s="115" t="str">
        <f>IFERROR(__xludf.DUMMYFUNCTION("""COMPUTED_VALUE"""),"SOUTH")</f>
        <v>SOUTH</v>
      </c>
      <c r="B7409" s="115" t="str">
        <f>IFERROR(__xludf.DUMMYFUNCTION("""COMPUTED_VALUE"""),"Premkumar M")</f>
        <v>Premkumar M</v>
      </c>
      <c r="C7409" s="115" t="str">
        <f>IFERROR(__xludf.DUMMYFUNCTION("""COMPUTED_VALUE"""),"FLIPKART")</f>
        <v>FLIPKART</v>
      </c>
      <c r="D7409" s="115">
        <f>IFERROR(__xludf.DUMMYFUNCTION("""COMPUTED_VALUE"""),328816.0)</f>
        <v>328816</v>
      </c>
      <c r="E7409" s="115">
        <f>IFERROR(__xludf.DUMMYFUNCTION("""COMPUTED_VALUE"""),18374.0)</f>
        <v>18374</v>
      </c>
      <c r="F7409" s="115">
        <f>IFERROR(__xludf.DUMMYFUNCTION("""COMPUTED_VALUE"""),241677.0)</f>
        <v>241677</v>
      </c>
      <c r="G7409" s="115">
        <f>IFERROR(__xludf.DUMMYFUNCTION("""COMPUTED_VALUE"""),6633.0)</f>
        <v>6633</v>
      </c>
      <c r="H7409" s="116">
        <f>IFERROR(__xludf.DUMMYFUNCTION("""COMPUTED_VALUE"""),45913.0)</f>
        <v>45913</v>
      </c>
      <c r="I7409" s="115" t="str">
        <f>IFERROR(__xludf.DUMMYFUNCTION("""COMPUTED_VALUE"""),"19")</f>
        <v>19</v>
      </c>
      <c r="J7409" s="115"/>
      <c r="K7409" s="115"/>
    </row>
    <row r="7410">
      <c r="A7410" s="115" t="str">
        <f>IFERROR(__xludf.DUMMYFUNCTION("""COMPUTED_VALUE"""),"SOUTH")</f>
        <v>SOUTH</v>
      </c>
      <c r="B7410" s="115" t="str">
        <f>IFERROR(__xludf.DUMMYFUNCTION("""COMPUTED_VALUE"""),"Premkumar M")</f>
        <v>Premkumar M</v>
      </c>
      <c r="C7410" s="115" t="str">
        <f>IFERROR(__xludf.DUMMYFUNCTION("""COMPUTED_VALUE"""),"MYNTRA")</f>
        <v>MYNTRA</v>
      </c>
      <c r="D7410" s="115">
        <f>IFERROR(__xludf.DUMMYFUNCTION("""COMPUTED_VALUE"""),16117.0)</f>
        <v>16117</v>
      </c>
      <c r="E7410" s="115">
        <f>IFERROR(__xludf.DUMMYFUNCTION("""COMPUTED_VALUE"""),3000.0)</f>
        <v>3000</v>
      </c>
      <c r="F7410" s="115">
        <f>IFERROR(__xludf.DUMMYFUNCTION("""COMPUTED_VALUE"""),12943.0)</f>
        <v>12943</v>
      </c>
      <c r="G7410" s="115">
        <f>IFERROR(__xludf.DUMMYFUNCTION("""COMPUTED_VALUE"""),1125.0)</f>
        <v>1125</v>
      </c>
      <c r="H7410" s="116">
        <f>IFERROR(__xludf.DUMMYFUNCTION("""COMPUTED_VALUE"""),45913.0)</f>
        <v>45913</v>
      </c>
      <c r="I7410" s="115" t="str">
        <f>IFERROR(__xludf.DUMMYFUNCTION("""COMPUTED_VALUE"""),"19")</f>
        <v>19</v>
      </c>
      <c r="J7410" s="115"/>
      <c r="K7410" s="115"/>
    </row>
    <row r="7411">
      <c r="A7411" s="115" t="str">
        <f>IFERROR(__xludf.DUMMYFUNCTION("""COMPUTED_VALUE"""),"SOUTH")</f>
        <v>SOUTH</v>
      </c>
      <c r="B7411" s="115" t="str">
        <f>IFERROR(__xludf.DUMMYFUNCTION("""COMPUTED_VALUE"""),"Vineeth V")</f>
        <v>Vineeth V</v>
      </c>
      <c r="C7411" s="115" t="str">
        <f>IFERROR(__xludf.DUMMYFUNCTION("""COMPUTED_VALUE"""),"EXTERNAL")</f>
        <v>EXTERNAL</v>
      </c>
      <c r="D7411" s="115">
        <f>IFERROR(__xludf.DUMMYFUNCTION("""COMPUTED_VALUE"""),20795.0)</f>
        <v>20795</v>
      </c>
      <c r="E7411" s="115">
        <f>IFERROR(__xludf.DUMMYFUNCTION("""COMPUTED_VALUE"""),491.0)</f>
        <v>491</v>
      </c>
      <c r="F7411" s="115">
        <f>IFERROR(__xludf.DUMMYFUNCTION("""COMPUTED_VALUE"""),10887.0)</f>
        <v>10887</v>
      </c>
      <c r="G7411" s="115">
        <f>IFERROR(__xludf.DUMMYFUNCTION("""COMPUTED_VALUE"""),218.0)</f>
        <v>218</v>
      </c>
      <c r="H7411" s="116">
        <f>IFERROR(__xludf.DUMMYFUNCTION("""COMPUTED_VALUE"""),45913.0)</f>
        <v>45913</v>
      </c>
      <c r="I7411" s="115" t="str">
        <f>IFERROR(__xludf.DUMMYFUNCTION("""COMPUTED_VALUE"""),"19")</f>
        <v>19</v>
      </c>
      <c r="J7411" s="115"/>
      <c r="K7411" s="115"/>
    </row>
    <row r="7412">
      <c r="A7412" s="115" t="str">
        <f>IFERROR(__xludf.DUMMYFUNCTION("""COMPUTED_VALUE"""),"SOUTH")</f>
        <v>SOUTH</v>
      </c>
      <c r="B7412" s="115" t="str">
        <f>IFERROR(__xludf.DUMMYFUNCTION("""COMPUTED_VALUE"""),"Vineeth V")</f>
        <v>Vineeth V</v>
      </c>
      <c r="C7412" s="115" t="str">
        <f>IFERROR(__xludf.DUMMYFUNCTION("""COMPUTED_VALUE"""),"FLIPKART")</f>
        <v>FLIPKART</v>
      </c>
      <c r="D7412" s="115">
        <f>IFERROR(__xludf.DUMMYFUNCTION("""COMPUTED_VALUE"""),221165.0)</f>
        <v>221165</v>
      </c>
      <c r="E7412" s="115">
        <f>IFERROR(__xludf.DUMMYFUNCTION("""COMPUTED_VALUE"""),13347.0)</f>
        <v>13347</v>
      </c>
      <c r="F7412" s="115">
        <f>IFERROR(__xludf.DUMMYFUNCTION("""COMPUTED_VALUE"""),181403.0)</f>
        <v>181403</v>
      </c>
      <c r="G7412" s="115">
        <f>IFERROR(__xludf.DUMMYFUNCTION("""COMPUTED_VALUE"""),6457.0)</f>
        <v>6457</v>
      </c>
      <c r="H7412" s="116">
        <f>IFERROR(__xludf.DUMMYFUNCTION("""COMPUTED_VALUE"""),45913.0)</f>
        <v>45913</v>
      </c>
      <c r="I7412" s="115" t="str">
        <f>IFERROR(__xludf.DUMMYFUNCTION("""COMPUTED_VALUE"""),"19")</f>
        <v>19</v>
      </c>
      <c r="J7412" s="115"/>
      <c r="K7412" s="115"/>
    </row>
    <row r="7413">
      <c r="A7413" s="115" t="str">
        <f>IFERROR(__xludf.DUMMYFUNCTION("""COMPUTED_VALUE"""),"SOUTH")</f>
        <v>SOUTH</v>
      </c>
      <c r="B7413" s="115" t="str">
        <f>IFERROR(__xludf.DUMMYFUNCTION("""COMPUTED_VALUE"""),"Vineeth V")</f>
        <v>Vineeth V</v>
      </c>
      <c r="C7413" s="115" t="str">
        <f>IFERROR(__xludf.DUMMYFUNCTION("""COMPUTED_VALUE"""),"MYNTRA")</f>
        <v>MYNTRA</v>
      </c>
      <c r="D7413" s="115">
        <f>IFERROR(__xludf.DUMMYFUNCTION("""COMPUTED_VALUE"""),17087.0)</f>
        <v>17087</v>
      </c>
      <c r="E7413" s="115">
        <f>IFERROR(__xludf.DUMMYFUNCTION("""COMPUTED_VALUE"""),3123.0)</f>
        <v>3123</v>
      </c>
      <c r="F7413" s="115">
        <f>IFERROR(__xludf.DUMMYFUNCTION("""COMPUTED_VALUE"""),14580.0)</f>
        <v>14580</v>
      </c>
      <c r="G7413" s="115">
        <f>IFERROR(__xludf.DUMMYFUNCTION("""COMPUTED_VALUE"""),1519.0)</f>
        <v>1519</v>
      </c>
      <c r="H7413" s="116">
        <f>IFERROR(__xludf.DUMMYFUNCTION("""COMPUTED_VALUE"""),45913.0)</f>
        <v>45913</v>
      </c>
      <c r="I7413" s="115" t="str">
        <f>IFERROR(__xludf.DUMMYFUNCTION("""COMPUTED_VALUE"""),"19")</f>
        <v>19</v>
      </c>
      <c r="J7413" s="115"/>
      <c r="K7413" s="115"/>
    </row>
    <row r="7414">
      <c r="A7414" s="115" t="str">
        <f>IFERROR(__xludf.DUMMYFUNCTION("""COMPUTED_VALUE"""),"WEST")</f>
        <v>WEST</v>
      </c>
      <c r="B7414" s="115" t="str">
        <f>IFERROR(__xludf.DUMMYFUNCTION("""COMPUTED_VALUE"""),"Ashish Jakar")</f>
        <v>Ashish Jakar</v>
      </c>
      <c r="C7414" s="115" t="str">
        <f>IFERROR(__xludf.DUMMYFUNCTION("""COMPUTED_VALUE"""),"EXTERNAL")</f>
        <v>EXTERNAL</v>
      </c>
      <c r="D7414" s="115">
        <f>IFERROR(__xludf.DUMMYFUNCTION("""COMPUTED_VALUE"""),64493.0)</f>
        <v>64493</v>
      </c>
      <c r="E7414" s="115">
        <f>IFERROR(__xludf.DUMMYFUNCTION("""COMPUTED_VALUE"""),5681.0)</f>
        <v>5681</v>
      </c>
      <c r="F7414" s="115">
        <f>IFERROR(__xludf.DUMMYFUNCTION("""COMPUTED_VALUE"""),27172.0)</f>
        <v>27172</v>
      </c>
      <c r="G7414" s="115">
        <f>IFERROR(__xludf.DUMMYFUNCTION("""COMPUTED_VALUE"""),2321.0)</f>
        <v>2321</v>
      </c>
      <c r="H7414" s="116">
        <f>IFERROR(__xludf.DUMMYFUNCTION("""COMPUTED_VALUE"""),45913.0)</f>
        <v>45913</v>
      </c>
      <c r="I7414" s="115" t="str">
        <f>IFERROR(__xludf.DUMMYFUNCTION("""COMPUTED_VALUE"""),"19")</f>
        <v>19</v>
      </c>
      <c r="J7414" s="115"/>
      <c r="K7414" s="115"/>
    </row>
    <row r="7415">
      <c r="A7415" s="115" t="str">
        <f>IFERROR(__xludf.DUMMYFUNCTION("""COMPUTED_VALUE"""),"WEST")</f>
        <v>WEST</v>
      </c>
      <c r="B7415" s="115" t="str">
        <f>IFERROR(__xludf.DUMMYFUNCTION("""COMPUTED_VALUE"""),"Ashish Jakar")</f>
        <v>Ashish Jakar</v>
      </c>
      <c r="C7415" s="115" t="str">
        <f>IFERROR(__xludf.DUMMYFUNCTION("""COMPUTED_VALUE"""),"FLIPKART")</f>
        <v>FLIPKART</v>
      </c>
      <c r="D7415" s="115">
        <f>IFERROR(__xludf.DUMMYFUNCTION("""COMPUTED_VALUE"""),495478.0)</f>
        <v>495478</v>
      </c>
      <c r="E7415" s="115">
        <f>IFERROR(__xludf.DUMMYFUNCTION("""COMPUTED_VALUE"""),37743.0)</f>
        <v>37743</v>
      </c>
      <c r="F7415" s="115">
        <f>IFERROR(__xludf.DUMMYFUNCTION("""COMPUTED_VALUE"""),348997.0)</f>
        <v>348997</v>
      </c>
      <c r="G7415" s="115">
        <f>IFERROR(__xludf.DUMMYFUNCTION("""COMPUTED_VALUE"""),19211.0)</f>
        <v>19211</v>
      </c>
      <c r="H7415" s="116">
        <f>IFERROR(__xludf.DUMMYFUNCTION("""COMPUTED_VALUE"""),45913.0)</f>
        <v>45913</v>
      </c>
      <c r="I7415" s="115" t="str">
        <f>IFERROR(__xludf.DUMMYFUNCTION("""COMPUTED_VALUE"""),"19")</f>
        <v>19</v>
      </c>
      <c r="J7415" s="115"/>
      <c r="K7415" s="115"/>
    </row>
    <row r="7416">
      <c r="A7416" s="115" t="str">
        <f>IFERROR(__xludf.DUMMYFUNCTION("""COMPUTED_VALUE"""),"WEST")</f>
        <v>WEST</v>
      </c>
      <c r="B7416" s="115" t="str">
        <f>IFERROR(__xludf.DUMMYFUNCTION("""COMPUTED_VALUE"""),"Ashish Jakar")</f>
        <v>Ashish Jakar</v>
      </c>
      <c r="C7416" s="115" t="str">
        <f>IFERROR(__xludf.DUMMYFUNCTION("""COMPUTED_VALUE"""),"MYNTRA")</f>
        <v>MYNTRA</v>
      </c>
      <c r="D7416" s="115">
        <f>IFERROR(__xludf.DUMMYFUNCTION("""COMPUTED_VALUE"""),50228.0)</f>
        <v>50228</v>
      </c>
      <c r="E7416" s="115">
        <f>IFERROR(__xludf.DUMMYFUNCTION("""COMPUTED_VALUE"""),11751.0)</f>
        <v>11751</v>
      </c>
      <c r="F7416" s="115">
        <f>IFERROR(__xludf.DUMMYFUNCTION("""COMPUTED_VALUE"""),39469.0)</f>
        <v>39469</v>
      </c>
      <c r="G7416" s="115">
        <f>IFERROR(__xludf.DUMMYFUNCTION("""COMPUTED_VALUE"""),6522.0)</f>
        <v>6522</v>
      </c>
      <c r="H7416" s="116">
        <f>IFERROR(__xludf.DUMMYFUNCTION("""COMPUTED_VALUE"""),45913.0)</f>
        <v>45913</v>
      </c>
      <c r="I7416" s="115" t="str">
        <f>IFERROR(__xludf.DUMMYFUNCTION("""COMPUTED_VALUE"""),"19")</f>
        <v>19</v>
      </c>
      <c r="J7416" s="115"/>
      <c r="K7416" s="115"/>
    </row>
    <row r="7417">
      <c r="A7417" s="115" t="str">
        <f>IFERROR(__xludf.DUMMYFUNCTION("""COMPUTED_VALUE"""),"WEST")</f>
        <v>WEST</v>
      </c>
      <c r="B7417" s="115" t="str">
        <f>IFERROR(__xludf.DUMMYFUNCTION("""COMPUTED_VALUE"""),"Ashvani Bhatt")</f>
        <v>Ashvani Bhatt</v>
      </c>
      <c r="C7417" s="115" t="str">
        <f>IFERROR(__xludf.DUMMYFUNCTION("""COMPUTED_VALUE"""),"EXTERNAL")</f>
        <v>EXTERNAL</v>
      </c>
      <c r="D7417" s="115">
        <f>IFERROR(__xludf.DUMMYFUNCTION("""COMPUTED_VALUE"""),41296.0)</f>
        <v>41296</v>
      </c>
      <c r="E7417" s="115">
        <f>IFERROR(__xludf.DUMMYFUNCTION("""COMPUTED_VALUE"""),2448.0)</f>
        <v>2448</v>
      </c>
      <c r="F7417" s="115">
        <f>IFERROR(__xludf.DUMMYFUNCTION("""COMPUTED_VALUE"""),17714.0)</f>
        <v>17714</v>
      </c>
      <c r="G7417" s="115">
        <f>IFERROR(__xludf.DUMMYFUNCTION("""COMPUTED_VALUE"""),1198.0)</f>
        <v>1198</v>
      </c>
      <c r="H7417" s="116">
        <f>IFERROR(__xludf.DUMMYFUNCTION("""COMPUTED_VALUE"""),45913.0)</f>
        <v>45913</v>
      </c>
      <c r="I7417" s="115" t="str">
        <f>IFERROR(__xludf.DUMMYFUNCTION("""COMPUTED_VALUE"""),"19")</f>
        <v>19</v>
      </c>
      <c r="J7417" s="115"/>
      <c r="K7417" s="115"/>
    </row>
    <row r="7418">
      <c r="A7418" s="115" t="str">
        <f>IFERROR(__xludf.DUMMYFUNCTION("""COMPUTED_VALUE"""),"WEST")</f>
        <v>WEST</v>
      </c>
      <c r="B7418" s="115" t="str">
        <f>IFERROR(__xludf.DUMMYFUNCTION("""COMPUTED_VALUE"""),"Ashvani Bhatt")</f>
        <v>Ashvani Bhatt</v>
      </c>
      <c r="C7418" s="115" t="str">
        <f>IFERROR(__xludf.DUMMYFUNCTION("""COMPUTED_VALUE"""),"FLIPKART")</f>
        <v>FLIPKART</v>
      </c>
      <c r="D7418" s="115">
        <f>IFERROR(__xludf.DUMMYFUNCTION("""COMPUTED_VALUE"""),341447.0)</f>
        <v>341447</v>
      </c>
      <c r="E7418" s="115">
        <f>IFERROR(__xludf.DUMMYFUNCTION("""COMPUTED_VALUE"""),31782.0)</f>
        <v>31782</v>
      </c>
      <c r="F7418" s="115">
        <f>IFERROR(__xludf.DUMMYFUNCTION("""COMPUTED_VALUE"""),259018.0)</f>
        <v>259018</v>
      </c>
      <c r="G7418" s="115">
        <f>IFERROR(__xludf.DUMMYFUNCTION("""COMPUTED_VALUE"""),18594.0)</f>
        <v>18594</v>
      </c>
      <c r="H7418" s="116">
        <f>IFERROR(__xludf.DUMMYFUNCTION("""COMPUTED_VALUE"""),45913.0)</f>
        <v>45913</v>
      </c>
      <c r="I7418" s="115" t="str">
        <f>IFERROR(__xludf.DUMMYFUNCTION("""COMPUTED_VALUE"""),"19")</f>
        <v>19</v>
      </c>
      <c r="J7418" s="115"/>
      <c r="K7418" s="115"/>
    </row>
    <row r="7419">
      <c r="A7419" s="115" t="str">
        <f>IFERROR(__xludf.DUMMYFUNCTION("""COMPUTED_VALUE"""),"WEST")</f>
        <v>WEST</v>
      </c>
      <c r="B7419" s="115" t="str">
        <f>IFERROR(__xludf.DUMMYFUNCTION("""COMPUTED_VALUE"""),"Ashvani Bhatt")</f>
        <v>Ashvani Bhatt</v>
      </c>
      <c r="C7419" s="115" t="str">
        <f>IFERROR(__xludf.DUMMYFUNCTION("""COMPUTED_VALUE"""),"MYNTRA")</f>
        <v>MYNTRA</v>
      </c>
      <c r="D7419" s="115">
        <f>IFERROR(__xludf.DUMMYFUNCTION("""COMPUTED_VALUE"""),36331.0)</f>
        <v>36331</v>
      </c>
      <c r="E7419" s="115">
        <f>IFERROR(__xludf.DUMMYFUNCTION("""COMPUTED_VALUE"""),9020.0)</f>
        <v>9020</v>
      </c>
      <c r="F7419" s="115">
        <f>IFERROR(__xludf.DUMMYFUNCTION("""COMPUTED_VALUE"""),30087.0)</f>
        <v>30087</v>
      </c>
      <c r="G7419" s="115">
        <f>IFERROR(__xludf.DUMMYFUNCTION("""COMPUTED_VALUE"""),5721.0)</f>
        <v>5721</v>
      </c>
      <c r="H7419" s="116">
        <f>IFERROR(__xludf.DUMMYFUNCTION("""COMPUTED_VALUE"""),45913.0)</f>
        <v>45913</v>
      </c>
      <c r="I7419" s="115" t="str">
        <f>IFERROR(__xludf.DUMMYFUNCTION("""COMPUTED_VALUE"""),"19")</f>
        <v>19</v>
      </c>
      <c r="J7419" s="115"/>
      <c r="K7419" s="115"/>
    </row>
    <row r="7420">
      <c r="A7420" s="115"/>
      <c r="B7420" s="115"/>
      <c r="C7420" s="115" t="str">
        <f>IFERROR(__xludf.DUMMYFUNCTION("""COMPUTED_VALUE"""),"EXTERNAL")</f>
        <v>EXTERNAL</v>
      </c>
      <c r="D7420" s="115">
        <f>IFERROR(__xludf.DUMMYFUNCTION("""COMPUTED_VALUE"""),1665.0)</f>
        <v>1665</v>
      </c>
      <c r="E7420" s="115">
        <f>IFERROR(__xludf.DUMMYFUNCTION("""COMPUTED_VALUE"""),268.0)</f>
        <v>268</v>
      </c>
      <c r="F7420" s="115">
        <f>IFERROR(__xludf.DUMMYFUNCTION("""COMPUTED_VALUE"""),779.0)</f>
        <v>779</v>
      </c>
      <c r="G7420" s="115">
        <f>IFERROR(__xludf.DUMMYFUNCTION("""COMPUTED_VALUE"""),120.0)</f>
        <v>120</v>
      </c>
      <c r="H7420" s="116">
        <f>IFERROR(__xludf.DUMMYFUNCTION("""COMPUTED_VALUE"""),45913.0)</f>
        <v>45913</v>
      </c>
      <c r="I7420" s="115" t="str">
        <f>IFERROR(__xludf.DUMMYFUNCTION("""COMPUTED_VALUE"""),"19")</f>
        <v>19</v>
      </c>
      <c r="J7420" s="115"/>
      <c r="K7420" s="115"/>
    </row>
    <row r="7421">
      <c r="A7421" s="115"/>
      <c r="B7421" s="115"/>
      <c r="C7421" s="115" t="str">
        <f>IFERROR(__xludf.DUMMYFUNCTION("""COMPUTED_VALUE"""),"FLIPKART")</f>
        <v>FLIPKART</v>
      </c>
      <c r="D7421" s="115">
        <f>IFERROR(__xludf.DUMMYFUNCTION("""COMPUTED_VALUE"""),20354.0)</f>
        <v>20354</v>
      </c>
      <c r="E7421" s="115">
        <f>IFERROR(__xludf.DUMMYFUNCTION("""COMPUTED_VALUE"""),1767.0)</f>
        <v>1767</v>
      </c>
      <c r="F7421" s="115">
        <f>IFERROR(__xludf.DUMMYFUNCTION("""COMPUTED_VALUE"""),14397.0)</f>
        <v>14397</v>
      </c>
      <c r="G7421" s="115">
        <f>IFERROR(__xludf.DUMMYFUNCTION("""COMPUTED_VALUE"""),971.0)</f>
        <v>971</v>
      </c>
      <c r="H7421" s="116">
        <f>IFERROR(__xludf.DUMMYFUNCTION("""COMPUTED_VALUE"""),45913.0)</f>
        <v>45913</v>
      </c>
      <c r="I7421" s="115" t="str">
        <f>IFERROR(__xludf.DUMMYFUNCTION("""COMPUTED_VALUE"""),"19")</f>
        <v>19</v>
      </c>
      <c r="J7421" s="115"/>
      <c r="K7421" s="115"/>
    </row>
    <row r="7422">
      <c r="A7422" s="115"/>
      <c r="B7422" s="115"/>
      <c r="C7422" s="115" t="str">
        <f>IFERROR(__xludf.DUMMYFUNCTION("""COMPUTED_VALUE"""),"MYNTRA")</f>
        <v>MYNTRA</v>
      </c>
      <c r="D7422" s="115">
        <f>IFERROR(__xludf.DUMMYFUNCTION("""COMPUTED_VALUE"""),1958.0)</f>
        <v>1958</v>
      </c>
      <c r="E7422" s="115">
        <f>IFERROR(__xludf.DUMMYFUNCTION("""COMPUTED_VALUE"""),515.0)</f>
        <v>515</v>
      </c>
      <c r="F7422" s="115">
        <f>IFERROR(__xludf.DUMMYFUNCTION("""COMPUTED_VALUE"""),1544.0)</f>
        <v>1544</v>
      </c>
      <c r="G7422" s="115">
        <f>IFERROR(__xludf.DUMMYFUNCTION("""COMPUTED_VALUE"""),341.0)</f>
        <v>341</v>
      </c>
      <c r="H7422" s="116">
        <f>IFERROR(__xludf.DUMMYFUNCTION("""COMPUTED_VALUE"""),45913.0)</f>
        <v>45913</v>
      </c>
      <c r="I7422" s="115" t="str">
        <f>IFERROR(__xludf.DUMMYFUNCTION("""COMPUTED_VALUE"""),"19")</f>
        <v>19</v>
      </c>
      <c r="J7422" s="115"/>
      <c r="K7422" s="115"/>
    </row>
    <row r="7423">
      <c r="A7423" s="115" t="str">
        <f>IFERROR(__xludf.DUMMYFUNCTION("""COMPUTED_VALUE"""),"EAST")</f>
        <v>EAST</v>
      </c>
      <c r="B7423" s="115" t="str">
        <f>IFERROR(__xludf.DUMMYFUNCTION("""COMPUTED_VALUE"""),"Ashish Ranjan")</f>
        <v>Ashish Ranjan</v>
      </c>
      <c r="C7423" s="115" t="str">
        <f>IFERROR(__xludf.DUMMYFUNCTION("""COMPUTED_VALUE"""),"EXTERNAL")</f>
        <v>EXTERNAL</v>
      </c>
      <c r="D7423" s="115">
        <f>IFERROR(__xludf.DUMMYFUNCTION("""COMPUTED_VALUE"""),42860.0)</f>
        <v>42860</v>
      </c>
      <c r="E7423" s="115">
        <f>IFERROR(__xludf.DUMMYFUNCTION("""COMPUTED_VALUE"""),2800.0)</f>
        <v>2800</v>
      </c>
      <c r="F7423" s="115">
        <f>IFERROR(__xludf.DUMMYFUNCTION("""COMPUTED_VALUE"""),23747.0)</f>
        <v>23747</v>
      </c>
      <c r="G7423" s="115">
        <f>IFERROR(__xludf.DUMMYFUNCTION("""COMPUTED_VALUE"""),1579.0)</f>
        <v>1579</v>
      </c>
      <c r="H7423" s="116">
        <f>IFERROR(__xludf.DUMMYFUNCTION("""COMPUTED_VALUE"""),45913.0)</f>
        <v>45913</v>
      </c>
      <c r="I7423" s="115" t="str">
        <f>IFERROR(__xludf.DUMMYFUNCTION("""COMPUTED_VALUE"""),"20")</f>
        <v>20</v>
      </c>
      <c r="J7423" s="115"/>
      <c r="K7423" s="115"/>
    </row>
    <row r="7424">
      <c r="A7424" s="115" t="str">
        <f>IFERROR(__xludf.DUMMYFUNCTION("""COMPUTED_VALUE"""),"EAST")</f>
        <v>EAST</v>
      </c>
      <c r="B7424" s="115" t="str">
        <f>IFERROR(__xludf.DUMMYFUNCTION("""COMPUTED_VALUE"""),"Ashish Ranjan")</f>
        <v>Ashish Ranjan</v>
      </c>
      <c r="C7424" s="115" t="str">
        <f>IFERROR(__xludf.DUMMYFUNCTION("""COMPUTED_VALUE"""),"FLIPKART")</f>
        <v>FLIPKART</v>
      </c>
      <c r="D7424" s="115">
        <f>IFERROR(__xludf.DUMMYFUNCTION("""COMPUTED_VALUE"""),896624.0)</f>
        <v>896624</v>
      </c>
      <c r="E7424" s="115">
        <f>IFERROR(__xludf.DUMMYFUNCTION("""COMPUTED_VALUE"""),71903.0)</f>
        <v>71903</v>
      </c>
      <c r="F7424" s="115">
        <f>IFERROR(__xludf.DUMMYFUNCTION("""COMPUTED_VALUE"""),784843.0)</f>
        <v>784843</v>
      </c>
      <c r="G7424" s="115">
        <f>IFERROR(__xludf.DUMMYFUNCTION("""COMPUTED_VALUE"""),51681.0)</f>
        <v>51681</v>
      </c>
      <c r="H7424" s="116">
        <f>IFERROR(__xludf.DUMMYFUNCTION("""COMPUTED_VALUE"""),45913.0)</f>
        <v>45913</v>
      </c>
      <c r="I7424" s="115" t="str">
        <f>IFERROR(__xludf.DUMMYFUNCTION("""COMPUTED_VALUE"""),"20")</f>
        <v>20</v>
      </c>
      <c r="J7424" s="115"/>
      <c r="K7424" s="115"/>
    </row>
    <row r="7425">
      <c r="A7425" s="115" t="str">
        <f>IFERROR(__xludf.DUMMYFUNCTION("""COMPUTED_VALUE"""),"EAST")</f>
        <v>EAST</v>
      </c>
      <c r="B7425" s="115" t="str">
        <f>IFERROR(__xludf.DUMMYFUNCTION("""COMPUTED_VALUE"""),"Ashish Ranjan")</f>
        <v>Ashish Ranjan</v>
      </c>
      <c r="C7425" s="115" t="str">
        <f>IFERROR(__xludf.DUMMYFUNCTION("""COMPUTED_VALUE"""),"MYNTRA")</f>
        <v>MYNTRA</v>
      </c>
      <c r="D7425" s="115">
        <f>IFERROR(__xludf.DUMMYFUNCTION("""COMPUTED_VALUE"""),86510.0)</f>
        <v>86510</v>
      </c>
      <c r="E7425" s="115">
        <f>IFERROR(__xludf.DUMMYFUNCTION("""COMPUTED_VALUE"""),16712.0)</f>
        <v>16712</v>
      </c>
      <c r="F7425" s="115">
        <f>IFERROR(__xludf.DUMMYFUNCTION("""COMPUTED_VALUE"""),76103.0)</f>
        <v>76103</v>
      </c>
      <c r="G7425" s="115">
        <f>IFERROR(__xludf.DUMMYFUNCTION("""COMPUTED_VALUE"""),11815.0)</f>
        <v>11815</v>
      </c>
      <c r="H7425" s="116">
        <f>IFERROR(__xludf.DUMMYFUNCTION("""COMPUTED_VALUE"""),45913.0)</f>
        <v>45913</v>
      </c>
      <c r="I7425" s="115" t="str">
        <f>IFERROR(__xludf.DUMMYFUNCTION("""COMPUTED_VALUE"""),"20")</f>
        <v>20</v>
      </c>
      <c r="J7425" s="115"/>
      <c r="K7425" s="115"/>
    </row>
    <row r="7426">
      <c r="A7426" s="115" t="str">
        <f>IFERROR(__xludf.DUMMYFUNCTION("""COMPUTED_VALUE"""),"EAST")</f>
        <v>EAST</v>
      </c>
      <c r="B7426" s="115" t="str">
        <f>IFERROR(__xludf.DUMMYFUNCTION("""COMPUTED_VALUE"""),"Girish Chand")</f>
        <v>Girish Chand</v>
      </c>
      <c r="C7426" s="115" t="str">
        <f>IFERROR(__xludf.DUMMYFUNCTION("""COMPUTED_VALUE"""),"EXTERNAL")</f>
        <v>EXTERNAL</v>
      </c>
      <c r="D7426" s="115">
        <f>IFERROR(__xludf.DUMMYFUNCTION("""COMPUTED_VALUE"""),23781.0)</f>
        <v>23781</v>
      </c>
      <c r="E7426" s="115">
        <f>IFERROR(__xludf.DUMMYFUNCTION("""COMPUTED_VALUE"""),1395.0)</f>
        <v>1395</v>
      </c>
      <c r="F7426" s="115">
        <f>IFERROR(__xludf.DUMMYFUNCTION("""COMPUTED_VALUE"""),10571.0)</f>
        <v>10571</v>
      </c>
      <c r="G7426" s="115">
        <f>IFERROR(__xludf.DUMMYFUNCTION("""COMPUTED_VALUE"""),624.0)</f>
        <v>624</v>
      </c>
      <c r="H7426" s="116">
        <f>IFERROR(__xludf.DUMMYFUNCTION("""COMPUTED_VALUE"""),45913.0)</f>
        <v>45913</v>
      </c>
      <c r="I7426" s="115" t="str">
        <f>IFERROR(__xludf.DUMMYFUNCTION("""COMPUTED_VALUE"""),"20")</f>
        <v>20</v>
      </c>
      <c r="J7426" s="115"/>
      <c r="K7426" s="115"/>
    </row>
    <row r="7427">
      <c r="A7427" s="115" t="str">
        <f>IFERROR(__xludf.DUMMYFUNCTION("""COMPUTED_VALUE"""),"EAST")</f>
        <v>EAST</v>
      </c>
      <c r="B7427" s="115" t="str">
        <f>IFERROR(__xludf.DUMMYFUNCTION("""COMPUTED_VALUE"""),"Girish Chand")</f>
        <v>Girish Chand</v>
      </c>
      <c r="C7427" s="115" t="str">
        <f>IFERROR(__xludf.DUMMYFUNCTION("""COMPUTED_VALUE"""),"FLIPKART")</f>
        <v>FLIPKART</v>
      </c>
      <c r="D7427" s="115">
        <f>IFERROR(__xludf.DUMMYFUNCTION("""COMPUTED_VALUE"""),509031.0)</f>
        <v>509031</v>
      </c>
      <c r="E7427" s="115">
        <f>IFERROR(__xludf.DUMMYFUNCTION("""COMPUTED_VALUE"""),39552.0)</f>
        <v>39552</v>
      </c>
      <c r="F7427" s="115">
        <f>IFERROR(__xludf.DUMMYFUNCTION("""COMPUTED_VALUE"""),384973.0)</f>
        <v>384973</v>
      </c>
      <c r="G7427" s="115">
        <f>IFERROR(__xludf.DUMMYFUNCTION("""COMPUTED_VALUE"""),26476.0)</f>
        <v>26476</v>
      </c>
      <c r="H7427" s="116">
        <f>IFERROR(__xludf.DUMMYFUNCTION("""COMPUTED_VALUE"""),45913.0)</f>
        <v>45913</v>
      </c>
      <c r="I7427" s="115" t="str">
        <f>IFERROR(__xludf.DUMMYFUNCTION("""COMPUTED_VALUE"""),"20")</f>
        <v>20</v>
      </c>
      <c r="J7427" s="115"/>
      <c r="K7427" s="115"/>
    </row>
    <row r="7428">
      <c r="A7428" s="115" t="str">
        <f>IFERROR(__xludf.DUMMYFUNCTION("""COMPUTED_VALUE"""),"EAST")</f>
        <v>EAST</v>
      </c>
      <c r="B7428" s="115" t="str">
        <f>IFERROR(__xludf.DUMMYFUNCTION("""COMPUTED_VALUE"""),"Girish Chand")</f>
        <v>Girish Chand</v>
      </c>
      <c r="C7428" s="115" t="str">
        <f>IFERROR(__xludf.DUMMYFUNCTION("""COMPUTED_VALUE"""),"MYNTRA")</f>
        <v>MYNTRA</v>
      </c>
      <c r="D7428" s="115">
        <f>IFERROR(__xludf.DUMMYFUNCTION("""COMPUTED_VALUE"""),39517.0)</f>
        <v>39517</v>
      </c>
      <c r="E7428" s="115">
        <f>IFERROR(__xludf.DUMMYFUNCTION("""COMPUTED_VALUE"""),7157.0)</f>
        <v>7157</v>
      </c>
      <c r="F7428" s="115">
        <f>IFERROR(__xludf.DUMMYFUNCTION("""COMPUTED_VALUE"""),31267.0)</f>
        <v>31267</v>
      </c>
      <c r="G7428" s="115">
        <f>IFERROR(__xludf.DUMMYFUNCTION("""COMPUTED_VALUE"""),4912.0)</f>
        <v>4912</v>
      </c>
      <c r="H7428" s="116">
        <f>IFERROR(__xludf.DUMMYFUNCTION("""COMPUTED_VALUE"""),45913.0)</f>
        <v>45913</v>
      </c>
      <c r="I7428" s="115" t="str">
        <f>IFERROR(__xludf.DUMMYFUNCTION("""COMPUTED_VALUE"""),"20")</f>
        <v>20</v>
      </c>
      <c r="J7428" s="115"/>
      <c r="K7428" s="115"/>
    </row>
    <row r="7429">
      <c r="A7429" s="115" t="str">
        <f>IFERROR(__xludf.DUMMYFUNCTION("""COMPUTED_VALUE"""),"EAST")</f>
        <v>EAST</v>
      </c>
      <c r="B7429" s="115" t="str">
        <f>IFERROR(__xludf.DUMMYFUNCTION("""COMPUTED_VALUE"""),"Parag Kashyap")</f>
        <v>Parag Kashyap</v>
      </c>
      <c r="C7429" s="115" t="str">
        <f>IFERROR(__xludf.DUMMYFUNCTION("""COMPUTED_VALUE"""),"EXTERNAL")</f>
        <v>EXTERNAL</v>
      </c>
      <c r="D7429" s="115">
        <f>IFERROR(__xludf.DUMMYFUNCTION("""COMPUTED_VALUE"""),16583.0)</f>
        <v>16583</v>
      </c>
      <c r="E7429" s="115">
        <f>IFERROR(__xludf.DUMMYFUNCTION("""COMPUTED_VALUE"""),740.0)</f>
        <v>740</v>
      </c>
      <c r="F7429" s="115">
        <f>IFERROR(__xludf.DUMMYFUNCTION("""COMPUTED_VALUE"""),7404.0)</f>
        <v>7404</v>
      </c>
      <c r="G7429" s="115">
        <f>IFERROR(__xludf.DUMMYFUNCTION("""COMPUTED_VALUE"""),301.0)</f>
        <v>301</v>
      </c>
      <c r="H7429" s="116">
        <f>IFERROR(__xludf.DUMMYFUNCTION("""COMPUTED_VALUE"""),45913.0)</f>
        <v>45913</v>
      </c>
      <c r="I7429" s="115" t="str">
        <f>IFERROR(__xludf.DUMMYFUNCTION("""COMPUTED_VALUE"""),"20")</f>
        <v>20</v>
      </c>
      <c r="J7429" s="115"/>
      <c r="K7429" s="115"/>
    </row>
    <row r="7430">
      <c r="A7430" s="115" t="str">
        <f>IFERROR(__xludf.DUMMYFUNCTION("""COMPUTED_VALUE"""),"EAST")</f>
        <v>EAST</v>
      </c>
      <c r="B7430" s="115" t="str">
        <f>IFERROR(__xludf.DUMMYFUNCTION("""COMPUTED_VALUE"""),"Parag Kashyap")</f>
        <v>Parag Kashyap</v>
      </c>
      <c r="C7430" s="115" t="str">
        <f>IFERROR(__xludf.DUMMYFUNCTION("""COMPUTED_VALUE"""),"FLIPKART")</f>
        <v>FLIPKART</v>
      </c>
      <c r="D7430" s="115">
        <f>IFERROR(__xludf.DUMMYFUNCTION("""COMPUTED_VALUE"""),317381.0)</f>
        <v>317381</v>
      </c>
      <c r="E7430" s="115">
        <f>IFERROR(__xludf.DUMMYFUNCTION("""COMPUTED_VALUE"""),18962.0)</f>
        <v>18962</v>
      </c>
      <c r="F7430" s="115">
        <f>IFERROR(__xludf.DUMMYFUNCTION("""COMPUTED_VALUE"""),248034.0)</f>
        <v>248034</v>
      </c>
      <c r="G7430" s="115">
        <f>IFERROR(__xludf.DUMMYFUNCTION("""COMPUTED_VALUE"""),11560.0)</f>
        <v>11560</v>
      </c>
      <c r="H7430" s="116">
        <f>IFERROR(__xludf.DUMMYFUNCTION("""COMPUTED_VALUE"""),45913.0)</f>
        <v>45913</v>
      </c>
      <c r="I7430" s="115" t="str">
        <f>IFERROR(__xludf.DUMMYFUNCTION("""COMPUTED_VALUE"""),"20")</f>
        <v>20</v>
      </c>
      <c r="J7430" s="115"/>
      <c r="K7430" s="115"/>
    </row>
    <row r="7431">
      <c r="A7431" s="115" t="str">
        <f>IFERROR(__xludf.DUMMYFUNCTION("""COMPUTED_VALUE"""),"EAST")</f>
        <v>EAST</v>
      </c>
      <c r="B7431" s="115" t="str">
        <f>IFERROR(__xludf.DUMMYFUNCTION("""COMPUTED_VALUE"""),"Parag Kashyap")</f>
        <v>Parag Kashyap</v>
      </c>
      <c r="C7431" s="115" t="str">
        <f>IFERROR(__xludf.DUMMYFUNCTION("""COMPUTED_VALUE"""),"MYNTRA")</f>
        <v>MYNTRA</v>
      </c>
      <c r="D7431" s="115">
        <f>IFERROR(__xludf.DUMMYFUNCTION("""COMPUTED_VALUE"""),36594.0)</f>
        <v>36594</v>
      </c>
      <c r="E7431" s="115">
        <f>IFERROR(__xludf.DUMMYFUNCTION("""COMPUTED_VALUE"""),6110.0)</f>
        <v>6110</v>
      </c>
      <c r="F7431" s="115">
        <f>IFERROR(__xludf.DUMMYFUNCTION("""COMPUTED_VALUE"""),29131.0)</f>
        <v>29131</v>
      </c>
      <c r="G7431" s="115">
        <f>IFERROR(__xludf.DUMMYFUNCTION("""COMPUTED_VALUE"""),3799.0)</f>
        <v>3799</v>
      </c>
      <c r="H7431" s="116">
        <f>IFERROR(__xludf.DUMMYFUNCTION("""COMPUTED_VALUE"""),45913.0)</f>
        <v>45913</v>
      </c>
      <c r="I7431" s="115" t="str">
        <f>IFERROR(__xludf.DUMMYFUNCTION("""COMPUTED_VALUE"""),"20")</f>
        <v>20</v>
      </c>
      <c r="J7431" s="115"/>
      <c r="K7431" s="115"/>
    </row>
    <row r="7432">
      <c r="A7432" s="115" t="str">
        <f>IFERROR(__xludf.DUMMYFUNCTION("""COMPUTED_VALUE"""),"NORTH")</f>
        <v>NORTH</v>
      </c>
      <c r="B7432" s="115" t="str">
        <f>IFERROR(__xludf.DUMMYFUNCTION("""COMPUTED_VALUE"""),"Amit Kumar Pathak")</f>
        <v>Amit Kumar Pathak</v>
      </c>
      <c r="C7432" s="115" t="str">
        <f>IFERROR(__xludf.DUMMYFUNCTION("""COMPUTED_VALUE"""),"EXTERNAL")</f>
        <v>EXTERNAL</v>
      </c>
      <c r="D7432" s="115">
        <f>IFERROR(__xludf.DUMMYFUNCTION("""COMPUTED_VALUE"""),30587.0)</f>
        <v>30587</v>
      </c>
      <c r="E7432" s="115">
        <f>IFERROR(__xludf.DUMMYFUNCTION("""COMPUTED_VALUE"""),2649.0)</f>
        <v>2649</v>
      </c>
      <c r="F7432" s="115">
        <f>IFERROR(__xludf.DUMMYFUNCTION("""COMPUTED_VALUE"""),12635.0)</f>
        <v>12635</v>
      </c>
      <c r="G7432" s="115">
        <f>IFERROR(__xludf.DUMMYFUNCTION("""COMPUTED_VALUE"""),1482.0)</f>
        <v>1482</v>
      </c>
      <c r="H7432" s="116">
        <f>IFERROR(__xludf.DUMMYFUNCTION("""COMPUTED_VALUE"""),45913.0)</f>
        <v>45913</v>
      </c>
      <c r="I7432" s="115" t="str">
        <f>IFERROR(__xludf.DUMMYFUNCTION("""COMPUTED_VALUE"""),"20")</f>
        <v>20</v>
      </c>
      <c r="J7432" s="115"/>
      <c r="K7432" s="115"/>
    </row>
    <row r="7433">
      <c r="A7433" s="115" t="str">
        <f>IFERROR(__xludf.DUMMYFUNCTION("""COMPUTED_VALUE"""),"NORTH")</f>
        <v>NORTH</v>
      </c>
      <c r="B7433" s="115" t="str">
        <f>IFERROR(__xludf.DUMMYFUNCTION("""COMPUTED_VALUE"""),"Amit Kumar Pathak")</f>
        <v>Amit Kumar Pathak</v>
      </c>
      <c r="C7433" s="115" t="str">
        <f>IFERROR(__xludf.DUMMYFUNCTION("""COMPUTED_VALUE"""),"FLIPKART")</f>
        <v>FLIPKART</v>
      </c>
      <c r="D7433" s="115">
        <f>IFERROR(__xludf.DUMMYFUNCTION("""COMPUTED_VALUE"""),218363.0)</f>
        <v>218363</v>
      </c>
      <c r="E7433" s="115">
        <f>IFERROR(__xludf.DUMMYFUNCTION("""COMPUTED_VALUE"""),23577.0)</f>
        <v>23577</v>
      </c>
      <c r="F7433" s="115">
        <f>IFERROR(__xludf.DUMMYFUNCTION("""COMPUTED_VALUE"""),163851.0)</f>
        <v>163851</v>
      </c>
      <c r="G7433" s="115">
        <f>IFERROR(__xludf.DUMMYFUNCTION("""COMPUTED_VALUE"""),15498.0)</f>
        <v>15498</v>
      </c>
      <c r="H7433" s="116">
        <f>IFERROR(__xludf.DUMMYFUNCTION("""COMPUTED_VALUE"""),45913.0)</f>
        <v>45913</v>
      </c>
      <c r="I7433" s="115" t="str">
        <f>IFERROR(__xludf.DUMMYFUNCTION("""COMPUTED_VALUE"""),"20")</f>
        <v>20</v>
      </c>
      <c r="J7433" s="115"/>
      <c r="K7433" s="115"/>
    </row>
    <row r="7434">
      <c r="A7434" s="115" t="str">
        <f>IFERROR(__xludf.DUMMYFUNCTION("""COMPUTED_VALUE"""),"NORTH")</f>
        <v>NORTH</v>
      </c>
      <c r="B7434" s="115" t="str">
        <f>IFERROR(__xludf.DUMMYFUNCTION("""COMPUTED_VALUE"""),"Amit Kumar Pathak")</f>
        <v>Amit Kumar Pathak</v>
      </c>
      <c r="C7434" s="115" t="str">
        <f>IFERROR(__xludf.DUMMYFUNCTION("""COMPUTED_VALUE"""),"MYNTRA")</f>
        <v>MYNTRA</v>
      </c>
      <c r="D7434" s="115">
        <f>IFERROR(__xludf.DUMMYFUNCTION("""COMPUTED_VALUE"""),18015.0)</f>
        <v>18015</v>
      </c>
      <c r="E7434" s="115">
        <f>IFERROR(__xludf.DUMMYFUNCTION("""COMPUTED_VALUE"""),5698.0)</f>
        <v>5698</v>
      </c>
      <c r="F7434" s="115">
        <f>IFERROR(__xludf.DUMMYFUNCTION("""COMPUTED_VALUE"""),15031.0)</f>
        <v>15031</v>
      </c>
      <c r="G7434" s="115">
        <f>IFERROR(__xludf.DUMMYFUNCTION("""COMPUTED_VALUE"""),3873.0)</f>
        <v>3873</v>
      </c>
      <c r="H7434" s="116">
        <f>IFERROR(__xludf.DUMMYFUNCTION("""COMPUTED_VALUE"""),45913.0)</f>
        <v>45913</v>
      </c>
      <c r="I7434" s="115" t="str">
        <f>IFERROR(__xludf.DUMMYFUNCTION("""COMPUTED_VALUE"""),"20")</f>
        <v>20</v>
      </c>
      <c r="J7434" s="115"/>
      <c r="K7434" s="115"/>
    </row>
    <row r="7435">
      <c r="A7435" s="115" t="str">
        <f>IFERROR(__xludf.DUMMYFUNCTION("""COMPUTED_VALUE"""),"NORTH")</f>
        <v>NORTH</v>
      </c>
      <c r="B7435" s="115" t="str">
        <f>IFERROR(__xludf.DUMMYFUNCTION("""COMPUTED_VALUE"""),"Loveleen Singh")</f>
        <v>Loveleen Singh</v>
      </c>
      <c r="C7435" s="115" t="str">
        <f>IFERROR(__xludf.DUMMYFUNCTION("""COMPUTED_VALUE"""),"EXTERNAL")</f>
        <v>EXTERNAL</v>
      </c>
      <c r="D7435" s="115">
        <f>IFERROR(__xludf.DUMMYFUNCTION("""COMPUTED_VALUE"""),34666.0)</f>
        <v>34666</v>
      </c>
      <c r="E7435" s="115">
        <f>IFERROR(__xludf.DUMMYFUNCTION("""COMPUTED_VALUE"""),1878.0)</f>
        <v>1878</v>
      </c>
      <c r="F7435" s="115">
        <f>IFERROR(__xludf.DUMMYFUNCTION("""COMPUTED_VALUE"""),14611.0)</f>
        <v>14611</v>
      </c>
      <c r="G7435" s="115">
        <f>IFERROR(__xludf.DUMMYFUNCTION("""COMPUTED_VALUE"""),816.0)</f>
        <v>816</v>
      </c>
      <c r="H7435" s="116">
        <f>IFERROR(__xludf.DUMMYFUNCTION("""COMPUTED_VALUE"""),45913.0)</f>
        <v>45913</v>
      </c>
      <c r="I7435" s="115" t="str">
        <f>IFERROR(__xludf.DUMMYFUNCTION("""COMPUTED_VALUE"""),"20")</f>
        <v>20</v>
      </c>
      <c r="J7435" s="115"/>
      <c r="K7435" s="115"/>
    </row>
    <row r="7436">
      <c r="A7436" s="115" t="str">
        <f>IFERROR(__xludf.DUMMYFUNCTION("""COMPUTED_VALUE"""),"NORTH")</f>
        <v>NORTH</v>
      </c>
      <c r="B7436" s="115" t="str">
        <f>IFERROR(__xludf.DUMMYFUNCTION("""COMPUTED_VALUE"""),"Loveleen Singh")</f>
        <v>Loveleen Singh</v>
      </c>
      <c r="C7436" s="115" t="str">
        <f>IFERROR(__xludf.DUMMYFUNCTION("""COMPUTED_VALUE"""),"FLIPKART")</f>
        <v>FLIPKART</v>
      </c>
      <c r="D7436" s="115">
        <f>IFERROR(__xludf.DUMMYFUNCTION("""COMPUTED_VALUE"""),227311.0)</f>
        <v>227311</v>
      </c>
      <c r="E7436" s="115">
        <f>IFERROR(__xludf.DUMMYFUNCTION("""COMPUTED_VALUE"""),15517.0)</f>
        <v>15517</v>
      </c>
      <c r="F7436" s="115">
        <f>IFERROR(__xludf.DUMMYFUNCTION("""COMPUTED_VALUE"""),175114.0)</f>
        <v>175114</v>
      </c>
      <c r="G7436" s="115">
        <f>IFERROR(__xludf.DUMMYFUNCTION("""COMPUTED_VALUE"""),9843.0)</f>
        <v>9843</v>
      </c>
      <c r="H7436" s="116">
        <f>IFERROR(__xludf.DUMMYFUNCTION("""COMPUTED_VALUE"""),45913.0)</f>
        <v>45913</v>
      </c>
      <c r="I7436" s="115" t="str">
        <f>IFERROR(__xludf.DUMMYFUNCTION("""COMPUTED_VALUE"""),"20")</f>
        <v>20</v>
      </c>
      <c r="J7436" s="115"/>
      <c r="K7436" s="115"/>
    </row>
    <row r="7437">
      <c r="A7437" s="115" t="str">
        <f>IFERROR(__xludf.DUMMYFUNCTION("""COMPUTED_VALUE"""),"NORTH")</f>
        <v>NORTH</v>
      </c>
      <c r="B7437" s="115" t="str">
        <f>IFERROR(__xludf.DUMMYFUNCTION("""COMPUTED_VALUE"""),"Loveleen Singh")</f>
        <v>Loveleen Singh</v>
      </c>
      <c r="C7437" s="115" t="str">
        <f>IFERROR(__xludf.DUMMYFUNCTION("""COMPUTED_VALUE"""),"MYNTRA")</f>
        <v>MYNTRA</v>
      </c>
      <c r="D7437" s="115">
        <f>IFERROR(__xludf.DUMMYFUNCTION("""COMPUTED_VALUE"""),33811.0)</f>
        <v>33811</v>
      </c>
      <c r="E7437" s="115">
        <f>IFERROR(__xludf.DUMMYFUNCTION("""COMPUTED_VALUE"""),6248.0)</f>
        <v>6248</v>
      </c>
      <c r="F7437" s="115">
        <f>IFERROR(__xludf.DUMMYFUNCTION("""COMPUTED_VALUE"""),27405.0)</f>
        <v>27405</v>
      </c>
      <c r="G7437" s="115">
        <f>IFERROR(__xludf.DUMMYFUNCTION("""COMPUTED_VALUE"""),4148.0)</f>
        <v>4148</v>
      </c>
      <c r="H7437" s="116">
        <f>IFERROR(__xludf.DUMMYFUNCTION("""COMPUTED_VALUE"""),45913.0)</f>
        <v>45913</v>
      </c>
      <c r="I7437" s="115" t="str">
        <f>IFERROR(__xludf.DUMMYFUNCTION("""COMPUTED_VALUE"""),"20")</f>
        <v>20</v>
      </c>
      <c r="J7437" s="115"/>
      <c r="K7437" s="115"/>
    </row>
    <row r="7438">
      <c r="A7438" s="115" t="str">
        <f>IFERROR(__xludf.DUMMYFUNCTION("""COMPUTED_VALUE"""),"NORTH")</f>
        <v>NORTH</v>
      </c>
      <c r="B7438" s="115" t="str">
        <f>IFERROR(__xludf.DUMMYFUNCTION("""COMPUTED_VALUE"""),"Manoj Harsh")</f>
        <v>Manoj Harsh</v>
      </c>
      <c r="C7438" s="115" t="str">
        <f>IFERROR(__xludf.DUMMYFUNCTION("""COMPUTED_VALUE"""),"EXTERNAL")</f>
        <v>EXTERNAL</v>
      </c>
      <c r="D7438" s="115">
        <f>IFERROR(__xludf.DUMMYFUNCTION("""COMPUTED_VALUE"""),38102.0)</f>
        <v>38102</v>
      </c>
      <c r="E7438" s="115">
        <f>IFERROR(__xludf.DUMMYFUNCTION("""COMPUTED_VALUE"""),1905.0)</f>
        <v>1905</v>
      </c>
      <c r="F7438" s="115">
        <f>IFERROR(__xludf.DUMMYFUNCTION("""COMPUTED_VALUE"""),18348.0)</f>
        <v>18348</v>
      </c>
      <c r="G7438" s="115">
        <f>IFERROR(__xludf.DUMMYFUNCTION("""COMPUTED_VALUE"""),896.0)</f>
        <v>896</v>
      </c>
      <c r="H7438" s="116">
        <f>IFERROR(__xludf.DUMMYFUNCTION("""COMPUTED_VALUE"""),45913.0)</f>
        <v>45913</v>
      </c>
      <c r="I7438" s="115" t="str">
        <f>IFERROR(__xludf.DUMMYFUNCTION("""COMPUTED_VALUE"""),"20")</f>
        <v>20</v>
      </c>
      <c r="J7438" s="115"/>
      <c r="K7438" s="115"/>
    </row>
    <row r="7439">
      <c r="A7439" s="115" t="str">
        <f>IFERROR(__xludf.DUMMYFUNCTION("""COMPUTED_VALUE"""),"NORTH")</f>
        <v>NORTH</v>
      </c>
      <c r="B7439" s="115" t="str">
        <f>IFERROR(__xludf.DUMMYFUNCTION("""COMPUTED_VALUE"""),"Manoj Harsh")</f>
        <v>Manoj Harsh</v>
      </c>
      <c r="C7439" s="115" t="str">
        <f>IFERROR(__xludf.DUMMYFUNCTION("""COMPUTED_VALUE"""),"FLIPKART")</f>
        <v>FLIPKART</v>
      </c>
      <c r="D7439" s="115">
        <f>IFERROR(__xludf.DUMMYFUNCTION("""COMPUTED_VALUE"""),486502.0)</f>
        <v>486502</v>
      </c>
      <c r="E7439" s="115">
        <f>IFERROR(__xludf.DUMMYFUNCTION("""COMPUTED_VALUE"""),41038.0)</f>
        <v>41038</v>
      </c>
      <c r="F7439" s="115">
        <f>IFERROR(__xludf.DUMMYFUNCTION("""COMPUTED_VALUE"""),369906.0)</f>
        <v>369906</v>
      </c>
      <c r="G7439" s="115">
        <f>IFERROR(__xludf.DUMMYFUNCTION("""COMPUTED_VALUE"""),26941.0)</f>
        <v>26941</v>
      </c>
      <c r="H7439" s="116">
        <f>IFERROR(__xludf.DUMMYFUNCTION("""COMPUTED_VALUE"""),45913.0)</f>
        <v>45913</v>
      </c>
      <c r="I7439" s="115" t="str">
        <f>IFERROR(__xludf.DUMMYFUNCTION("""COMPUTED_VALUE"""),"20")</f>
        <v>20</v>
      </c>
      <c r="J7439" s="115"/>
      <c r="K7439" s="115"/>
    </row>
    <row r="7440">
      <c r="A7440" s="115" t="str">
        <f>IFERROR(__xludf.DUMMYFUNCTION("""COMPUTED_VALUE"""),"NORTH")</f>
        <v>NORTH</v>
      </c>
      <c r="B7440" s="115" t="str">
        <f>IFERROR(__xludf.DUMMYFUNCTION("""COMPUTED_VALUE"""),"Manoj Harsh")</f>
        <v>Manoj Harsh</v>
      </c>
      <c r="C7440" s="115" t="str">
        <f>IFERROR(__xludf.DUMMYFUNCTION("""COMPUTED_VALUE"""),"MYNTRA")</f>
        <v>MYNTRA</v>
      </c>
      <c r="D7440" s="115">
        <f>IFERROR(__xludf.DUMMYFUNCTION("""COMPUTED_VALUE"""),36609.0)</f>
        <v>36609</v>
      </c>
      <c r="E7440" s="115">
        <f>IFERROR(__xludf.DUMMYFUNCTION("""COMPUTED_VALUE"""),7461.0)</f>
        <v>7461</v>
      </c>
      <c r="F7440" s="115">
        <f>IFERROR(__xludf.DUMMYFUNCTION("""COMPUTED_VALUE"""),29607.0)</f>
        <v>29607</v>
      </c>
      <c r="G7440" s="115">
        <f>IFERROR(__xludf.DUMMYFUNCTION("""COMPUTED_VALUE"""),5172.0)</f>
        <v>5172</v>
      </c>
      <c r="H7440" s="116">
        <f>IFERROR(__xludf.DUMMYFUNCTION("""COMPUTED_VALUE"""),45913.0)</f>
        <v>45913</v>
      </c>
      <c r="I7440" s="115" t="str">
        <f>IFERROR(__xludf.DUMMYFUNCTION("""COMPUTED_VALUE"""),"20")</f>
        <v>20</v>
      </c>
      <c r="J7440" s="115"/>
      <c r="K7440" s="115"/>
    </row>
    <row r="7441">
      <c r="A7441" s="115" t="str">
        <f>IFERROR(__xludf.DUMMYFUNCTION("""COMPUTED_VALUE"""),"NORTH")</f>
        <v>NORTH</v>
      </c>
      <c r="B7441" s="115" t="str">
        <f>IFERROR(__xludf.DUMMYFUNCTION("""COMPUTED_VALUE"""),"Pradeep Kothari")</f>
        <v>Pradeep Kothari</v>
      </c>
      <c r="C7441" s="115" t="str">
        <f>IFERROR(__xludf.DUMMYFUNCTION("""COMPUTED_VALUE"""),"EXTERNAL")</f>
        <v>EXTERNAL</v>
      </c>
      <c r="D7441" s="115">
        <f>IFERROR(__xludf.DUMMYFUNCTION("""COMPUTED_VALUE"""),20047.0)</f>
        <v>20047</v>
      </c>
      <c r="E7441" s="115">
        <f>IFERROR(__xludf.DUMMYFUNCTION("""COMPUTED_VALUE"""),1406.0)</f>
        <v>1406</v>
      </c>
      <c r="F7441" s="115">
        <f>IFERROR(__xludf.DUMMYFUNCTION("""COMPUTED_VALUE"""),8787.0)</f>
        <v>8787</v>
      </c>
      <c r="G7441" s="115">
        <f>IFERROR(__xludf.DUMMYFUNCTION("""COMPUTED_VALUE"""),742.0)</f>
        <v>742</v>
      </c>
      <c r="H7441" s="116">
        <f>IFERROR(__xludf.DUMMYFUNCTION("""COMPUTED_VALUE"""),45913.0)</f>
        <v>45913</v>
      </c>
      <c r="I7441" s="115" t="str">
        <f>IFERROR(__xludf.DUMMYFUNCTION("""COMPUTED_VALUE"""),"20")</f>
        <v>20</v>
      </c>
      <c r="J7441" s="115"/>
      <c r="K7441" s="115"/>
    </row>
    <row r="7442">
      <c r="A7442" s="115" t="str">
        <f>IFERROR(__xludf.DUMMYFUNCTION("""COMPUTED_VALUE"""),"NORTH")</f>
        <v>NORTH</v>
      </c>
      <c r="B7442" s="115" t="str">
        <f>IFERROR(__xludf.DUMMYFUNCTION("""COMPUTED_VALUE"""),"Pradeep Kothari")</f>
        <v>Pradeep Kothari</v>
      </c>
      <c r="C7442" s="115" t="str">
        <f>IFERROR(__xludf.DUMMYFUNCTION("""COMPUTED_VALUE"""),"FLIPKART")</f>
        <v>FLIPKART</v>
      </c>
      <c r="D7442" s="115">
        <f>IFERROR(__xludf.DUMMYFUNCTION("""COMPUTED_VALUE"""),180129.0)</f>
        <v>180129</v>
      </c>
      <c r="E7442" s="115">
        <f>IFERROR(__xludf.DUMMYFUNCTION("""COMPUTED_VALUE"""),17988.0)</f>
        <v>17988</v>
      </c>
      <c r="F7442" s="115">
        <f>IFERROR(__xludf.DUMMYFUNCTION("""COMPUTED_VALUE"""),140876.0)</f>
        <v>140876</v>
      </c>
      <c r="G7442" s="115">
        <f>IFERROR(__xludf.DUMMYFUNCTION("""COMPUTED_VALUE"""),12629.0)</f>
        <v>12629</v>
      </c>
      <c r="H7442" s="116">
        <f>IFERROR(__xludf.DUMMYFUNCTION("""COMPUTED_VALUE"""),45913.0)</f>
        <v>45913</v>
      </c>
      <c r="I7442" s="115" t="str">
        <f>IFERROR(__xludf.DUMMYFUNCTION("""COMPUTED_VALUE"""),"20")</f>
        <v>20</v>
      </c>
      <c r="J7442" s="115"/>
      <c r="K7442" s="115"/>
    </row>
    <row r="7443">
      <c r="A7443" s="115" t="str">
        <f>IFERROR(__xludf.DUMMYFUNCTION("""COMPUTED_VALUE"""),"NORTH")</f>
        <v>NORTH</v>
      </c>
      <c r="B7443" s="115" t="str">
        <f>IFERROR(__xludf.DUMMYFUNCTION("""COMPUTED_VALUE"""),"Pradeep Kothari")</f>
        <v>Pradeep Kothari</v>
      </c>
      <c r="C7443" s="115" t="str">
        <f>IFERROR(__xludf.DUMMYFUNCTION("""COMPUTED_VALUE"""),"MYNTRA")</f>
        <v>MYNTRA</v>
      </c>
      <c r="D7443" s="115">
        <f>IFERROR(__xludf.DUMMYFUNCTION("""COMPUTED_VALUE"""),27378.0)</f>
        <v>27378</v>
      </c>
      <c r="E7443" s="115">
        <f>IFERROR(__xludf.DUMMYFUNCTION("""COMPUTED_VALUE"""),6184.0)</f>
        <v>6184</v>
      </c>
      <c r="F7443" s="115">
        <f>IFERROR(__xludf.DUMMYFUNCTION("""COMPUTED_VALUE"""),23173.0)</f>
        <v>23173</v>
      </c>
      <c r="G7443" s="115">
        <f>IFERROR(__xludf.DUMMYFUNCTION("""COMPUTED_VALUE"""),4681.0)</f>
        <v>4681</v>
      </c>
      <c r="H7443" s="116">
        <f>IFERROR(__xludf.DUMMYFUNCTION("""COMPUTED_VALUE"""),45913.0)</f>
        <v>45913</v>
      </c>
      <c r="I7443" s="115" t="str">
        <f>IFERROR(__xludf.DUMMYFUNCTION("""COMPUTED_VALUE"""),"20")</f>
        <v>20</v>
      </c>
      <c r="J7443" s="115"/>
      <c r="K7443" s="115"/>
    </row>
    <row r="7444">
      <c r="A7444" s="115" t="str">
        <f>IFERROR(__xludf.DUMMYFUNCTION("""COMPUTED_VALUE"""),"SOUTH")</f>
        <v>SOUTH</v>
      </c>
      <c r="B7444" s="115" t="str">
        <f>IFERROR(__xludf.DUMMYFUNCTION("""COMPUTED_VALUE"""),"Kandula Sampath")</f>
        <v>Kandula Sampath</v>
      </c>
      <c r="C7444" s="115" t="str">
        <f>IFERROR(__xludf.DUMMYFUNCTION("""COMPUTED_VALUE"""),"EXTERNAL")</f>
        <v>EXTERNAL</v>
      </c>
      <c r="D7444" s="115">
        <f>IFERROR(__xludf.DUMMYFUNCTION("""COMPUTED_VALUE"""),34967.0)</f>
        <v>34967</v>
      </c>
      <c r="E7444" s="115">
        <f>IFERROR(__xludf.DUMMYFUNCTION("""COMPUTED_VALUE"""),3398.0)</f>
        <v>3398</v>
      </c>
      <c r="F7444" s="115">
        <f>IFERROR(__xludf.DUMMYFUNCTION("""COMPUTED_VALUE"""),15840.0)</f>
        <v>15840</v>
      </c>
      <c r="G7444" s="115">
        <f>IFERROR(__xludf.DUMMYFUNCTION("""COMPUTED_VALUE"""),1353.0)</f>
        <v>1353</v>
      </c>
      <c r="H7444" s="116">
        <f>IFERROR(__xludf.DUMMYFUNCTION("""COMPUTED_VALUE"""),45913.0)</f>
        <v>45913</v>
      </c>
      <c r="I7444" s="115" t="str">
        <f>IFERROR(__xludf.DUMMYFUNCTION("""COMPUTED_VALUE"""),"20")</f>
        <v>20</v>
      </c>
      <c r="J7444" s="115"/>
      <c r="K7444" s="115"/>
    </row>
    <row r="7445">
      <c r="A7445" s="115" t="str">
        <f>IFERROR(__xludf.DUMMYFUNCTION("""COMPUTED_VALUE"""),"SOUTH")</f>
        <v>SOUTH</v>
      </c>
      <c r="B7445" s="115" t="str">
        <f>IFERROR(__xludf.DUMMYFUNCTION("""COMPUTED_VALUE"""),"Kandula Sampath")</f>
        <v>Kandula Sampath</v>
      </c>
      <c r="C7445" s="115" t="str">
        <f>IFERROR(__xludf.DUMMYFUNCTION("""COMPUTED_VALUE"""),"FLIPKART")</f>
        <v>FLIPKART</v>
      </c>
      <c r="D7445" s="115">
        <f>IFERROR(__xludf.DUMMYFUNCTION("""COMPUTED_VALUE"""),420556.0)</f>
        <v>420556</v>
      </c>
      <c r="E7445" s="115">
        <f>IFERROR(__xludf.DUMMYFUNCTION("""COMPUTED_VALUE"""),33447.0)</f>
        <v>33447</v>
      </c>
      <c r="F7445" s="115">
        <f>IFERROR(__xludf.DUMMYFUNCTION("""COMPUTED_VALUE"""),318436.0)</f>
        <v>318436</v>
      </c>
      <c r="G7445" s="115">
        <f>IFERROR(__xludf.DUMMYFUNCTION("""COMPUTED_VALUE"""),18563.0)</f>
        <v>18563</v>
      </c>
      <c r="H7445" s="116">
        <f>IFERROR(__xludf.DUMMYFUNCTION("""COMPUTED_VALUE"""),45913.0)</f>
        <v>45913</v>
      </c>
      <c r="I7445" s="115" t="str">
        <f>IFERROR(__xludf.DUMMYFUNCTION("""COMPUTED_VALUE"""),"20")</f>
        <v>20</v>
      </c>
      <c r="J7445" s="115"/>
      <c r="K7445" s="115"/>
    </row>
    <row r="7446">
      <c r="A7446" s="115" t="str">
        <f>IFERROR(__xludf.DUMMYFUNCTION("""COMPUTED_VALUE"""),"SOUTH")</f>
        <v>SOUTH</v>
      </c>
      <c r="B7446" s="115" t="str">
        <f>IFERROR(__xludf.DUMMYFUNCTION("""COMPUTED_VALUE"""),"Kandula Sampath")</f>
        <v>Kandula Sampath</v>
      </c>
      <c r="C7446" s="115" t="str">
        <f>IFERROR(__xludf.DUMMYFUNCTION("""COMPUTED_VALUE"""),"MYNTRA")</f>
        <v>MYNTRA</v>
      </c>
      <c r="D7446" s="115">
        <f>IFERROR(__xludf.DUMMYFUNCTION("""COMPUTED_VALUE"""),42010.0)</f>
        <v>42010</v>
      </c>
      <c r="E7446" s="115">
        <f>IFERROR(__xludf.DUMMYFUNCTION("""COMPUTED_VALUE"""),9446.0)</f>
        <v>9446</v>
      </c>
      <c r="F7446" s="115">
        <f>IFERROR(__xludf.DUMMYFUNCTION("""COMPUTED_VALUE"""),33947.0)</f>
        <v>33947</v>
      </c>
      <c r="G7446" s="115">
        <f>IFERROR(__xludf.DUMMYFUNCTION("""COMPUTED_VALUE"""),5286.0)</f>
        <v>5286</v>
      </c>
      <c r="H7446" s="116">
        <f>IFERROR(__xludf.DUMMYFUNCTION("""COMPUTED_VALUE"""),45913.0)</f>
        <v>45913</v>
      </c>
      <c r="I7446" s="115" t="str">
        <f>IFERROR(__xludf.DUMMYFUNCTION("""COMPUTED_VALUE"""),"20")</f>
        <v>20</v>
      </c>
      <c r="J7446" s="115"/>
      <c r="K7446" s="115"/>
    </row>
    <row r="7447">
      <c r="A7447" s="115" t="str">
        <f>IFERROR(__xludf.DUMMYFUNCTION("""COMPUTED_VALUE"""),"SOUTH")</f>
        <v>SOUTH</v>
      </c>
      <c r="B7447" s="115" t="str">
        <f>IFERROR(__xludf.DUMMYFUNCTION("""COMPUTED_VALUE"""),"Martin A")</f>
        <v>Martin A</v>
      </c>
      <c r="C7447" s="115" t="str">
        <f>IFERROR(__xludf.DUMMYFUNCTION("""COMPUTED_VALUE"""),"EXTERNAL")</f>
        <v>EXTERNAL</v>
      </c>
      <c r="D7447" s="115">
        <f>IFERROR(__xludf.DUMMYFUNCTION("""COMPUTED_VALUE"""),30740.0)</f>
        <v>30740</v>
      </c>
      <c r="E7447" s="115">
        <f>IFERROR(__xludf.DUMMYFUNCTION("""COMPUTED_VALUE"""),3236.0)</f>
        <v>3236</v>
      </c>
      <c r="F7447" s="115">
        <f>IFERROR(__xludf.DUMMYFUNCTION("""COMPUTED_VALUE"""),13711.0)</f>
        <v>13711</v>
      </c>
      <c r="G7447" s="115">
        <f>IFERROR(__xludf.DUMMYFUNCTION("""COMPUTED_VALUE"""),1650.0)</f>
        <v>1650</v>
      </c>
      <c r="H7447" s="116">
        <f>IFERROR(__xludf.DUMMYFUNCTION("""COMPUTED_VALUE"""),45913.0)</f>
        <v>45913</v>
      </c>
      <c r="I7447" s="115" t="str">
        <f>IFERROR(__xludf.DUMMYFUNCTION("""COMPUTED_VALUE"""),"20")</f>
        <v>20</v>
      </c>
      <c r="J7447" s="115"/>
      <c r="K7447" s="115"/>
    </row>
    <row r="7448">
      <c r="A7448" s="115" t="str">
        <f>IFERROR(__xludf.DUMMYFUNCTION("""COMPUTED_VALUE"""),"SOUTH")</f>
        <v>SOUTH</v>
      </c>
      <c r="B7448" s="115" t="str">
        <f>IFERROR(__xludf.DUMMYFUNCTION("""COMPUTED_VALUE"""),"Martin A")</f>
        <v>Martin A</v>
      </c>
      <c r="C7448" s="115" t="str">
        <f>IFERROR(__xludf.DUMMYFUNCTION("""COMPUTED_VALUE"""),"FLIPKART")</f>
        <v>FLIPKART</v>
      </c>
      <c r="D7448" s="115">
        <f>IFERROR(__xludf.DUMMYFUNCTION("""COMPUTED_VALUE"""),344259.0)</f>
        <v>344259</v>
      </c>
      <c r="E7448" s="115">
        <f>IFERROR(__xludf.DUMMYFUNCTION("""COMPUTED_VALUE"""),28762.0)</f>
        <v>28762</v>
      </c>
      <c r="F7448" s="115">
        <f>IFERROR(__xludf.DUMMYFUNCTION("""COMPUTED_VALUE"""),262366.0)</f>
        <v>262366</v>
      </c>
      <c r="G7448" s="115">
        <f>IFERROR(__xludf.DUMMYFUNCTION("""COMPUTED_VALUE"""),18338.0)</f>
        <v>18338</v>
      </c>
      <c r="H7448" s="116">
        <f>IFERROR(__xludf.DUMMYFUNCTION("""COMPUTED_VALUE"""),45913.0)</f>
        <v>45913</v>
      </c>
      <c r="I7448" s="115" t="str">
        <f>IFERROR(__xludf.DUMMYFUNCTION("""COMPUTED_VALUE"""),"20")</f>
        <v>20</v>
      </c>
      <c r="J7448" s="115"/>
      <c r="K7448" s="115"/>
    </row>
    <row r="7449">
      <c r="A7449" s="115" t="str">
        <f>IFERROR(__xludf.DUMMYFUNCTION("""COMPUTED_VALUE"""),"SOUTH")</f>
        <v>SOUTH</v>
      </c>
      <c r="B7449" s="115" t="str">
        <f>IFERROR(__xludf.DUMMYFUNCTION("""COMPUTED_VALUE"""),"Martin A")</f>
        <v>Martin A</v>
      </c>
      <c r="C7449" s="115" t="str">
        <f>IFERROR(__xludf.DUMMYFUNCTION("""COMPUTED_VALUE"""),"MYNTRA")</f>
        <v>MYNTRA</v>
      </c>
      <c r="D7449" s="115">
        <f>IFERROR(__xludf.DUMMYFUNCTION("""COMPUTED_VALUE"""),30054.0)</f>
        <v>30054</v>
      </c>
      <c r="E7449" s="115">
        <f>IFERROR(__xludf.DUMMYFUNCTION("""COMPUTED_VALUE"""),7149.0)</f>
        <v>7149</v>
      </c>
      <c r="F7449" s="115">
        <f>IFERROR(__xludf.DUMMYFUNCTION("""COMPUTED_VALUE"""),25353.0)</f>
        <v>25353</v>
      </c>
      <c r="G7449" s="115">
        <f>IFERROR(__xludf.DUMMYFUNCTION("""COMPUTED_VALUE"""),4859.0)</f>
        <v>4859</v>
      </c>
      <c r="H7449" s="116">
        <f>IFERROR(__xludf.DUMMYFUNCTION("""COMPUTED_VALUE"""),45913.0)</f>
        <v>45913</v>
      </c>
      <c r="I7449" s="115" t="str">
        <f>IFERROR(__xludf.DUMMYFUNCTION("""COMPUTED_VALUE"""),"20")</f>
        <v>20</v>
      </c>
      <c r="J7449" s="115"/>
      <c r="K7449" s="115"/>
    </row>
    <row r="7450">
      <c r="A7450" s="115" t="str">
        <f>IFERROR(__xludf.DUMMYFUNCTION("""COMPUTED_VALUE"""),"SOUTH")</f>
        <v>SOUTH</v>
      </c>
      <c r="B7450" s="115" t="str">
        <f>IFERROR(__xludf.DUMMYFUNCTION("""COMPUTED_VALUE"""),"Premkumar M")</f>
        <v>Premkumar M</v>
      </c>
      <c r="C7450" s="115" t="str">
        <f>IFERROR(__xludf.DUMMYFUNCTION("""COMPUTED_VALUE"""),"EXTERNAL")</f>
        <v>EXTERNAL</v>
      </c>
      <c r="D7450" s="115">
        <f>IFERROR(__xludf.DUMMYFUNCTION("""COMPUTED_VALUE"""),28933.0)</f>
        <v>28933</v>
      </c>
      <c r="E7450" s="115">
        <f>IFERROR(__xludf.DUMMYFUNCTION("""COMPUTED_VALUE"""),1567.0)</f>
        <v>1567</v>
      </c>
      <c r="F7450" s="115">
        <f>IFERROR(__xludf.DUMMYFUNCTION("""COMPUTED_VALUE"""),14520.0)</f>
        <v>14520</v>
      </c>
      <c r="G7450" s="115">
        <f>IFERROR(__xludf.DUMMYFUNCTION("""COMPUTED_VALUE"""),569.0)</f>
        <v>569</v>
      </c>
      <c r="H7450" s="116">
        <f>IFERROR(__xludf.DUMMYFUNCTION("""COMPUTED_VALUE"""),45913.0)</f>
        <v>45913</v>
      </c>
      <c r="I7450" s="115" t="str">
        <f>IFERROR(__xludf.DUMMYFUNCTION("""COMPUTED_VALUE"""),"20")</f>
        <v>20</v>
      </c>
      <c r="J7450" s="115"/>
      <c r="K7450" s="115"/>
    </row>
    <row r="7451">
      <c r="A7451" s="115" t="str">
        <f>IFERROR(__xludf.DUMMYFUNCTION("""COMPUTED_VALUE"""),"SOUTH")</f>
        <v>SOUTH</v>
      </c>
      <c r="B7451" s="115" t="str">
        <f>IFERROR(__xludf.DUMMYFUNCTION("""COMPUTED_VALUE"""),"Premkumar M")</f>
        <v>Premkumar M</v>
      </c>
      <c r="C7451" s="115" t="str">
        <f>IFERROR(__xludf.DUMMYFUNCTION("""COMPUTED_VALUE"""),"FLIPKART")</f>
        <v>FLIPKART</v>
      </c>
      <c r="D7451" s="115">
        <f>IFERROR(__xludf.DUMMYFUNCTION("""COMPUTED_VALUE"""),329486.0)</f>
        <v>329486</v>
      </c>
      <c r="E7451" s="115">
        <f>IFERROR(__xludf.DUMMYFUNCTION("""COMPUTED_VALUE"""),18421.0)</f>
        <v>18421</v>
      </c>
      <c r="F7451" s="115">
        <f>IFERROR(__xludf.DUMMYFUNCTION("""COMPUTED_VALUE"""),254838.0)</f>
        <v>254838</v>
      </c>
      <c r="G7451" s="115">
        <f>IFERROR(__xludf.DUMMYFUNCTION("""COMPUTED_VALUE"""),8418.0)</f>
        <v>8418</v>
      </c>
      <c r="H7451" s="116">
        <f>IFERROR(__xludf.DUMMYFUNCTION("""COMPUTED_VALUE"""),45913.0)</f>
        <v>45913</v>
      </c>
      <c r="I7451" s="115" t="str">
        <f>IFERROR(__xludf.DUMMYFUNCTION("""COMPUTED_VALUE"""),"20")</f>
        <v>20</v>
      </c>
      <c r="J7451" s="115"/>
      <c r="K7451" s="115"/>
    </row>
    <row r="7452">
      <c r="A7452" s="115" t="str">
        <f>IFERROR(__xludf.DUMMYFUNCTION("""COMPUTED_VALUE"""),"SOUTH")</f>
        <v>SOUTH</v>
      </c>
      <c r="B7452" s="115" t="str">
        <f>IFERROR(__xludf.DUMMYFUNCTION("""COMPUTED_VALUE"""),"Premkumar M")</f>
        <v>Premkumar M</v>
      </c>
      <c r="C7452" s="115" t="str">
        <f>IFERROR(__xludf.DUMMYFUNCTION("""COMPUTED_VALUE"""),"MYNTRA")</f>
        <v>MYNTRA</v>
      </c>
      <c r="D7452" s="115">
        <f>IFERROR(__xludf.DUMMYFUNCTION("""COMPUTED_VALUE"""),16158.0)</f>
        <v>16158</v>
      </c>
      <c r="E7452" s="115">
        <f>IFERROR(__xludf.DUMMYFUNCTION("""COMPUTED_VALUE"""),3005.0)</f>
        <v>3005</v>
      </c>
      <c r="F7452" s="115">
        <f>IFERROR(__xludf.DUMMYFUNCTION("""COMPUTED_VALUE"""),13510.0)</f>
        <v>13510</v>
      </c>
      <c r="G7452" s="115">
        <f>IFERROR(__xludf.DUMMYFUNCTION("""COMPUTED_VALUE"""),1431.0)</f>
        <v>1431</v>
      </c>
      <c r="H7452" s="116">
        <f>IFERROR(__xludf.DUMMYFUNCTION("""COMPUTED_VALUE"""),45913.0)</f>
        <v>45913</v>
      </c>
      <c r="I7452" s="115" t="str">
        <f>IFERROR(__xludf.DUMMYFUNCTION("""COMPUTED_VALUE"""),"20")</f>
        <v>20</v>
      </c>
      <c r="J7452" s="115"/>
      <c r="K7452" s="115"/>
    </row>
    <row r="7453">
      <c r="A7453" s="115" t="str">
        <f>IFERROR(__xludf.DUMMYFUNCTION("""COMPUTED_VALUE"""),"SOUTH")</f>
        <v>SOUTH</v>
      </c>
      <c r="B7453" s="115" t="str">
        <f>IFERROR(__xludf.DUMMYFUNCTION("""COMPUTED_VALUE"""),"Vineeth V")</f>
        <v>Vineeth V</v>
      </c>
      <c r="C7453" s="115" t="str">
        <f>IFERROR(__xludf.DUMMYFUNCTION("""COMPUTED_VALUE"""),"EXTERNAL")</f>
        <v>EXTERNAL</v>
      </c>
      <c r="D7453" s="115">
        <f>IFERROR(__xludf.DUMMYFUNCTION("""COMPUTED_VALUE"""),20833.0)</f>
        <v>20833</v>
      </c>
      <c r="E7453" s="115">
        <f>IFERROR(__xludf.DUMMYFUNCTION("""COMPUTED_VALUE"""),491.0)</f>
        <v>491</v>
      </c>
      <c r="F7453" s="115">
        <f>IFERROR(__xludf.DUMMYFUNCTION("""COMPUTED_VALUE"""),11191.0)</f>
        <v>11191</v>
      </c>
      <c r="G7453" s="115">
        <f>IFERROR(__xludf.DUMMYFUNCTION("""COMPUTED_VALUE"""),254.0)</f>
        <v>254</v>
      </c>
      <c r="H7453" s="116">
        <f>IFERROR(__xludf.DUMMYFUNCTION("""COMPUTED_VALUE"""),45913.0)</f>
        <v>45913</v>
      </c>
      <c r="I7453" s="115" t="str">
        <f>IFERROR(__xludf.DUMMYFUNCTION("""COMPUTED_VALUE"""),"20")</f>
        <v>20</v>
      </c>
      <c r="J7453" s="115"/>
      <c r="K7453" s="115"/>
    </row>
    <row r="7454">
      <c r="A7454" s="115" t="str">
        <f>IFERROR(__xludf.DUMMYFUNCTION("""COMPUTED_VALUE"""),"SOUTH")</f>
        <v>SOUTH</v>
      </c>
      <c r="B7454" s="115" t="str">
        <f>IFERROR(__xludf.DUMMYFUNCTION("""COMPUTED_VALUE"""),"Vineeth V")</f>
        <v>Vineeth V</v>
      </c>
      <c r="C7454" s="115" t="str">
        <f>IFERROR(__xludf.DUMMYFUNCTION("""COMPUTED_VALUE"""),"FLIPKART")</f>
        <v>FLIPKART</v>
      </c>
      <c r="D7454" s="115">
        <f>IFERROR(__xludf.DUMMYFUNCTION("""COMPUTED_VALUE"""),221317.0)</f>
        <v>221317</v>
      </c>
      <c r="E7454" s="115">
        <f>IFERROR(__xludf.DUMMYFUNCTION("""COMPUTED_VALUE"""),13359.0)</f>
        <v>13359</v>
      </c>
      <c r="F7454" s="115">
        <f>IFERROR(__xludf.DUMMYFUNCTION("""COMPUTED_VALUE"""),185978.0)</f>
        <v>185978</v>
      </c>
      <c r="G7454" s="115">
        <f>IFERROR(__xludf.DUMMYFUNCTION("""COMPUTED_VALUE"""),7607.0)</f>
        <v>7607</v>
      </c>
      <c r="H7454" s="116">
        <f>IFERROR(__xludf.DUMMYFUNCTION("""COMPUTED_VALUE"""),45913.0)</f>
        <v>45913</v>
      </c>
      <c r="I7454" s="115" t="str">
        <f>IFERROR(__xludf.DUMMYFUNCTION("""COMPUTED_VALUE"""),"20")</f>
        <v>20</v>
      </c>
      <c r="J7454" s="115"/>
      <c r="K7454" s="115"/>
    </row>
    <row r="7455">
      <c r="A7455" s="115" t="str">
        <f>IFERROR(__xludf.DUMMYFUNCTION("""COMPUTED_VALUE"""),"SOUTH")</f>
        <v>SOUTH</v>
      </c>
      <c r="B7455" s="115" t="str">
        <f>IFERROR(__xludf.DUMMYFUNCTION("""COMPUTED_VALUE"""),"Vineeth V")</f>
        <v>Vineeth V</v>
      </c>
      <c r="C7455" s="115" t="str">
        <f>IFERROR(__xludf.DUMMYFUNCTION("""COMPUTED_VALUE"""),"MYNTRA")</f>
        <v>MYNTRA</v>
      </c>
      <c r="D7455" s="115">
        <f>IFERROR(__xludf.DUMMYFUNCTION("""COMPUTED_VALUE"""),17100.0)</f>
        <v>17100</v>
      </c>
      <c r="E7455" s="115">
        <f>IFERROR(__xludf.DUMMYFUNCTION("""COMPUTED_VALUE"""),3129.0)</f>
        <v>3129</v>
      </c>
      <c r="F7455" s="115">
        <f>IFERROR(__xludf.DUMMYFUNCTION("""COMPUTED_VALUE"""),14889.0)</f>
        <v>14889</v>
      </c>
      <c r="G7455" s="115">
        <f>IFERROR(__xludf.DUMMYFUNCTION("""COMPUTED_VALUE"""),1781.0)</f>
        <v>1781</v>
      </c>
      <c r="H7455" s="116">
        <f>IFERROR(__xludf.DUMMYFUNCTION("""COMPUTED_VALUE"""),45913.0)</f>
        <v>45913</v>
      </c>
      <c r="I7455" s="115" t="str">
        <f>IFERROR(__xludf.DUMMYFUNCTION("""COMPUTED_VALUE"""),"20")</f>
        <v>20</v>
      </c>
      <c r="J7455" s="115"/>
      <c r="K7455" s="115"/>
    </row>
    <row r="7456">
      <c r="A7456" s="115" t="str">
        <f>IFERROR(__xludf.DUMMYFUNCTION("""COMPUTED_VALUE"""),"WEST")</f>
        <v>WEST</v>
      </c>
      <c r="B7456" s="115" t="str">
        <f>IFERROR(__xludf.DUMMYFUNCTION("""COMPUTED_VALUE"""),"Ashish Jakar")</f>
        <v>Ashish Jakar</v>
      </c>
      <c r="C7456" s="115" t="str">
        <f>IFERROR(__xludf.DUMMYFUNCTION("""COMPUTED_VALUE"""),"EXTERNAL")</f>
        <v>EXTERNAL</v>
      </c>
      <c r="D7456" s="115">
        <f>IFERROR(__xludf.DUMMYFUNCTION("""COMPUTED_VALUE"""),64796.0)</f>
        <v>64796</v>
      </c>
      <c r="E7456" s="115">
        <f>IFERROR(__xludf.DUMMYFUNCTION("""COMPUTED_VALUE"""),5694.0)</f>
        <v>5694</v>
      </c>
      <c r="F7456" s="115">
        <f>IFERROR(__xludf.DUMMYFUNCTION("""COMPUTED_VALUE"""),28483.0)</f>
        <v>28483</v>
      </c>
      <c r="G7456" s="115">
        <f>IFERROR(__xludf.DUMMYFUNCTION("""COMPUTED_VALUE"""),2563.0)</f>
        <v>2563</v>
      </c>
      <c r="H7456" s="116">
        <f>IFERROR(__xludf.DUMMYFUNCTION("""COMPUTED_VALUE"""),45913.0)</f>
        <v>45913</v>
      </c>
      <c r="I7456" s="115" t="str">
        <f>IFERROR(__xludf.DUMMYFUNCTION("""COMPUTED_VALUE"""),"20")</f>
        <v>20</v>
      </c>
      <c r="J7456" s="115"/>
      <c r="K7456" s="115"/>
    </row>
    <row r="7457">
      <c r="A7457" s="115" t="str">
        <f>IFERROR(__xludf.DUMMYFUNCTION("""COMPUTED_VALUE"""),"WEST")</f>
        <v>WEST</v>
      </c>
      <c r="B7457" s="115" t="str">
        <f>IFERROR(__xludf.DUMMYFUNCTION("""COMPUTED_VALUE"""),"Ashish Jakar")</f>
        <v>Ashish Jakar</v>
      </c>
      <c r="C7457" s="115" t="str">
        <f>IFERROR(__xludf.DUMMYFUNCTION("""COMPUTED_VALUE"""),"FLIPKART")</f>
        <v>FLIPKART</v>
      </c>
      <c r="D7457" s="115">
        <f>IFERROR(__xludf.DUMMYFUNCTION("""COMPUTED_VALUE"""),496829.0)</f>
        <v>496829</v>
      </c>
      <c r="E7457" s="115">
        <f>IFERROR(__xludf.DUMMYFUNCTION("""COMPUTED_VALUE"""),37834.0)</f>
        <v>37834</v>
      </c>
      <c r="F7457" s="115">
        <f>IFERROR(__xludf.DUMMYFUNCTION("""COMPUTED_VALUE"""),363626.0)</f>
        <v>363626</v>
      </c>
      <c r="G7457" s="115">
        <f>IFERROR(__xludf.DUMMYFUNCTION("""COMPUTED_VALUE"""),21445.0)</f>
        <v>21445</v>
      </c>
      <c r="H7457" s="116">
        <f>IFERROR(__xludf.DUMMYFUNCTION("""COMPUTED_VALUE"""),45913.0)</f>
        <v>45913</v>
      </c>
      <c r="I7457" s="115" t="str">
        <f>IFERROR(__xludf.DUMMYFUNCTION("""COMPUTED_VALUE"""),"20")</f>
        <v>20</v>
      </c>
      <c r="J7457" s="115"/>
      <c r="K7457" s="115"/>
    </row>
    <row r="7458">
      <c r="A7458" s="115" t="str">
        <f>IFERROR(__xludf.DUMMYFUNCTION("""COMPUTED_VALUE"""),"WEST")</f>
        <v>WEST</v>
      </c>
      <c r="B7458" s="115" t="str">
        <f>IFERROR(__xludf.DUMMYFUNCTION("""COMPUTED_VALUE"""),"Ashish Jakar")</f>
        <v>Ashish Jakar</v>
      </c>
      <c r="C7458" s="115" t="str">
        <f>IFERROR(__xludf.DUMMYFUNCTION("""COMPUTED_VALUE"""),"MYNTRA")</f>
        <v>MYNTRA</v>
      </c>
      <c r="D7458" s="115">
        <f>IFERROR(__xludf.DUMMYFUNCTION("""COMPUTED_VALUE"""),50394.0)</f>
        <v>50394</v>
      </c>
      <c r="E7458" s="115">
        <f>IFERROR(__xludf.DUMMYFUNCTION("""COMPUTED_VALUE"""),11776.0)</f>
        <v>11776</v>
      </c>
      <c r="F7458" s="115">
        <f>IFERROR(__xludf.DUMMYFUNCTION("""COMPUTED_VALUE"""),41018.0)</f>
        <v>41018</v>
      </c>
      <c r="G7458" s="115">
        <f>IFERROR(__xludf.DUMMYFUNCTION("""COMPUTED_VALUE"""),7144.0)</f>
        <v>7144</v>
      </c>
      <c r="H7458" s="116">
        <f>IFERROR(__xludf.DUMMYFUNCTION("""COMPUTED_VALUE"""),45913.0)</f>
        <v>45913</v>
      </c>
      <c r="I7458" s="115" t="str">
        <f>IFERROR(__xludf.DUMMYFUNCTION("""COMPUTED_VALUE"""),"20")</f>
        <v>20</v>
      </c>
      <c r="J7458" s="115"/>
      <c r="K7458" s="115"/>
    </row>
    <row r="7459">
      <c r="A7459" s="115" t="str">
        <f>IFERROR(__xludf.DUMMYFUNCTION("""COMPUTED_VALUE"""),"WEST")</f>
        <v>WEST</v>
      </c>
      <c r="B7459" s="115" t="str">
        <f>IFERROR(__xludf.DUMMYFUNCTION("""COMPUTED_VALUE"""),"Ashvani Bhatt")</f>
        <v>Ashvani Bhatt</v>
      </c>
      <c r="C7459" s="115" t="str">
        <f>IFERROR(__xludf.DUMMYFUNCTION("""COMPUTED_VALUE"""),"EXTERNAL")</f>
        <v>EXTERNAL</v>
      </c>
      <c r="D7459" s="115">
        <f>IFERROR(__xludf.DUMMYFUNCTION("""COMPUTED_VALUE"""),41368.0)</f>
        <v>41368</v>
      </c>
      <c r="E7459" s="115">
        <f>IFERROR(__xludf.DUMMYFUNCTION("""COMPUTED_VALUE"""),2448.0)</f>
        <v>2448</v>
      </c>
      <c r="F7459" s="115">
        <f>IFERROR(__xludf.DUMMYFUNCTION("""COMPUTED_VALUE"""),18229.0)</f>
        <v>18229</v>
      </c>
      <c r="G7459" s="115">
        <f>IFERROR(__xludf.DUMMYFUNCTION("""COMPUTED_VALUE"""),1360.0)</f>
        <v>1360</v>
      </c>
      <c r="H7459" s="116">
        <f>IFERROR(__xludf.DUMMYFUNCTION("""COMPUTED_VALUE"""),45913.0)</f>
        <v>45913</v>
      </c>
      <c r="I7459" s="115" t="str">
        <f>IFERROR(__xludf.DUMMYFUNCTION("""COMPUTED_VALUE"""),"20")</f>
        <v>20</v>
      </c>
      <c r="J7459" s="115"/>
      <c r="K7459" s="115"/>
    </row>
    <row r="7460">
      <c r="A7460" s="115" t="str">
        <f>IFERROR(__xludf.DUMMYFUNCTION("""COMPUTED_VALUE"""),"WEST")</f>
        <v>WEST</v>
      </c>
      <c r="B7460" s="115" t="str">
        <f>IFERROR(__xludf.DUMMYFUNCTION("""COMPUTED_VALUE"""),"Ashvani Bhatt")</f>
        <v>Ashvani Bhatt</v>
      </c>
      <c r="C7460" s="115" t="str">
        <f>IFERROR(__xludf.DUMMYFUNCTION("""COMPUTED_VALUE"""),"FLIPKART")</f>
        <v>FLIPKART</v>
      </c>
      <c r="D7460" s="115">
        <f>IFERROR(__xludf.DUMMYFUNCTION("""COMPUTED_VALUE"""),341935.0)</f>
        <v>341935</v>
      </c>
      <c r="E7460" s="115">
        <f>IFERROR(__xludf.DUMMYFUNCTION("""COMPUTED_VALUE"""),31815.0)</f>
        <v>31815</v>
      </c>
      <c r="F7460" s="115">
        <f>IFERROR(__xludf.DUMMYFUNCTION("""COMPUTED_VALUE"""),264965.0)</f>
        <v>264965</v>
      </c>
      <c r="G7460" s="115">
        <f>IFERROR(__xludf.DUMMYFUNCTION("""COMPUTED_VALUE"""),20680.0)</f>
        <v>20680</v>
      </c>
      <c r="H7460" s="116">
        <f>IFERROR(__xludf.DUMMYFUNCTION("""COMPUTED_VALUE"""),45913.0)</f>
        <v>45913</v>
      </c>
      <c r="I7460" s="115" t="str">
        <f>IFERROR(__xludf.DUMMYFUNCTION("""COMPUTED_VALUE"""),"20")</f>
        <v>20</v>
      </c>
      <c r="J7460" s="115"/>
      <c r="K7460" s="115"/>
    </row>
    <row r="7461">
      <c r="A7461" s="115" t="str">
        <f>IFERROR(__xludf.DUMMYFUNCTION("""COMPUTED_VALUE"""),"WEST")</f>
        <v>WEST</v>
      </c>
      <c r="B7461" s="115" t="str">
        <f>IFERROR(__xludf.DUMMYFUNCTION("""COMPUTED_VALUE"""),"Ashvani Bhatt")</f>
        <v>Ashvani Bhatt</v>
      </c>
      <c r="C7461" s="115" t="str">
        <f>IFERROR(__xludf.DUMMYFUNCTION("""COMPUTED_VALUE"""),"MYNTRA")</f>
        <v>MYNTRA</v>
      </c>
      <c r="D7461" s="115">
        <f>IFERROR(__xludf.DUMMYFUNCTION("""COMPUTED_VALUE"""),36363.0)</f>
        <v>36363</v>
      </c>
      <c r="E7461" s="115">
        <f>IFERROR(__xludf.DUMMYFUNCTION("""COMPUTED_VALUE"""),9024.0)</f>
        <v>9024</v>
      </c>
      <c r="F7461" s="115">
        <f>IFERROR(__xludf.DUMMYFUNCTION("""COMPUTED_VALUE"""),30602.0)</f>
        <v>30602</v>
      </c>
      <c r="G7461" s="115">
        <f>IFERROR(__xludf.DUMMYFUNCTION("""COMPUTED_VALUE"""),6205.0)</f>
        <v>6205</v>
      </c>
      <c r="H7461" s="116">
        <f>IFERROR(__xludf.DUMMYFUNCTION("""COMPUTED_VALUE"""),45913.0)</f>
        <v>45913</v>
      </c>
      <c r="I7461" s="115" t="str">
        <f>IFERROR(__xludf.DUMMYFUNCTION("""COMPUTED_VALUE"""),"20")</f>
        <v>20</v>
      </c>
      <c r="J7461" s="115"/>
      <c r="K7461" s="115"/>
    </row>
    <row r="7462">
      <c r="A7462" s="115"/>
      <c r="B7462" s="115"/>
      <c r="C7462" s="115" t="str">
        <f>IFERROR(__xludf.DUMMYFUNCTION("""COMPUTED_VALUE"""),"EXTERNAL")</f>
        <v>EXTERNAL</v>
      </c>
      <c r="D7462" s="115">
        <f>IFERROR(__xludf.DUMMYFUNCTION("""COMPUTED_VALUE"""),1671.0)</f>
        <v>1671</v>
      </c>
      <c r="E7462" s="115">
        <f>IFERROR(__xludf.DUMMYFUNCTION("""COMPUTED_VALUE"""),269.0)</f>
        <v>269</v>
      </c>
      <c r="F7462" s="115">
        <f>IFERROR(__xludf.DUMMYFUNCTION("""COMPUTED_VALUE"""),815.0)</f>
        <v>815</v>
      </c>
      <c r="G7462" s="115">
        <f>IFERROR(__xludf.DUMMYFUNCTION("""COMPUTED_VALUE"""),127.0)</f>
        <v>127</v>
      </c>
      <c r="H7462" s="116">
        <f>IFERROR(__xludf.DUMMYFUNCTION("""COMPUTED_VALUE"""),45913.0)</f>
        <v>45913</v>
      </c>
      <c r="I7462" s="115" t="str">
        <f>IFERROR(__xludf.DUMMYFUNCTION("""COMPUTED_VALUE"""),"20")</f>
        <v>20</v>
      </c>
      <c r="J7462" s="115"/>
      <c r="K7462" s="115"/>
    </row>
    <row r="7463">
      <c r="A7463" s="115"/>
      <c r="B7463" s="115"/>
      <c r="C7463" s="115" t="str">
        <f>IFERROR(__xludf.DUMMYFUNCTION("""COMPUTED_VALUE"""),"FLIPKART")</f>
        <v>FLIPKART</v>
      </c>
      <c r="D7463" s="115">
        <f>IFERROR(__xludf.DUMMYFUNCTION("""COMPUTED_VALUE"""),20404.0)</f>
        <v>20404</v>
      </c>
      <c r="E7463" s="115">
        <f>IFERROR(__xludf.DUMMYFUNCTION("""COMPUTED_VALUE"""),1778.0)</f>
        <v>1778</v>
      </c>
      <c r="F7463" s="115">
        <f>IFERROR(__xludf.DUMMYFUNCTION("""COMPUTED_VALUE"""),15073.0)</f>
        <v>15073</v>
      </c>
      <c r="G7463" s="115">
        <f>IFERROR(__xludf.DUMMYFUNCTION("""COMPUTED_VALUE"""),1091.0)</f>
        <v>1091</v>
      </c>
      <c r="H7463" s="116">
        <f>IFERROR(__xludf.DUMMYFUNCTION("""COMPUTED_VALUE"""),45913.0)</f>
        <v>45913</v>
      </c>
      <c r="I7463" s="115" t="str">
        <f>IFERROR(__xludf.DUMMYFUNCTION("""COMPUTED_VALUE"""),"20")</f>
        <v>20</v>
      </c>
      <c r="J7463" s="115"/>
      <c r="K7463" s="115"/>
    </row>
    <row r="7464">
      <c r="A7464" s="115"/>
      <c r="B7464" s="115"/>
      <c r="C7464" s="115" t="str">
        <f>IFERROR(__xludf.DUMMYFUNCTION("""COMPUTED_VALUE"""),"MYNTRA")</f>
        <v>MYNTRA</v>
      </c>
      <c r="D7464" s="115">
        <f>IFERROR(__xludf.DUMMYFUNCTION("""COMPUTED_VALUE"""),1967.0)</f>
        <v>1967</v>
      </c>
      <c r="E7464" s="115">
        <f>IFERROR(__xludf.DUMMYFUNCTION("""COMPUTED_VALUE"""),516.0)</f>
        <v>516</v>
      </c>
      <c r="F7464" s="115">
        <f>IFERROR(__xludf.DUMMYFUNCTION("""COMPUTED_VALUE"""),1610.0)</f>
        <v>1610</v>
      </c>
      <c r="G7464" s="115">
        <f>IFERROR(__xludf.DUMMYFUNCTION("""COMPUTED_VALUE"""),372.0)</f>
        <v>372</v>
      </c>
      <c r="H7464" s="116">
        <f>IFERROR(__xludf.DUMMYFUNCTION("""COMPUTED_VALUE"""),45913.0)</f>
        <v>45913</v>
      </c>
      <c r="I7464" s="115" t="str">
        <f>IFERROR(__xludf.DUMMYFUNCTION("""COMPUTED_VALUE"""),"20")</f>
        <v>20</v>
      </c>
      <c r="J7464" s="115"/>
      <c r="K7464" s="115"/>
    </row>
    <row r="7465">
      <c r="A7465" s="115" t="str">
        <f>IFERROR(__xludf.DUMMYFUNCTION("""COMPUTED_VALUE"""),"EAST")</f>
        <v>EAST</v>
      </c>
      <c r="B7465" s="115" t="str">
        <f>IFERROR(__xludf.DUMMYFUNCTION("""COMPUTED_VALUE"""),"Ashish Ranjan")</f>
        <v>Ashish Ranjan</v>
      </c>
      <c r="C7465" s="115" t="str">
        <f>IFERROR(__xludf.DUMMYFUNCTION("""COMPUTED_VALUE"""),"EXTERNAL")</f>
        <v>EXTERNAL</v>
      </c>
      <c r="D7465" s="115">
        <f>IFERROR(__xludf.DUMMYFUNCTION("""COMPUTED_VALUE"""),43475.0)</f>
        <v>43475</v>
      </c>
      <c r="E7465" s="115">
        <f>IFERROR(__xludf.DUMMYFUNCTION("""COMPUTED_VALUE"""),2823.0)</f>
        <v>2823</v>
      </c>
      <c r="F7465" s="115">
        <f>IFERROR(__xludf.DUMMYFUNCTION("""COMPUTED_VALUE"""),24539.0)</f>
        <v>24539</v>
      </c>
      <c r="G7465" s="115">
        <f>IFERROR(__xludf.DUMMYFUNCTION("""COMPUTED_VALUE"""),1731.0)</f>
        <v>1731</v>
      </c>
      <c r="H7465" s="116">
        <f>IFERROR(__xludf.DUMMYFUNCTION("""COMPUTED_VALUE"""),45913.0)</f>
        <v>45913</v>
      </c>
      <c r="I7465" s="115" t="str">
        <f>IFERROR(__xludf.DUMMYFUNCTION("""COMPUTED_VALUE"""),"21")</f>
        <v>21</v>
      </c>
      <c r="J7465" s="115"/>
      <c r="K7465" s="115"/>
    </row>
    <row r="7466">
      <c r="A7466" s="115" t="str">
        <f>IFERROR(__xludf.DUMMYFUNCTION("""COMPUTED_VALUE"""),"EAST")</f>
        <v>EAST</v>
      </c>
      <c r="B7466" s="115" t="str">
        <f>IFERROR(__xludf.DUMMYFUNCTION("""COMPUTED_VALUE"""),"Ashish Ranjan")</f>
        <v>Ashish Ranjan</v>
      </c>
      <c r="C7466" s="115" t="str">
        <f>IFERROR(__xludf.DUMMYFUNCTION("""COMPUTED_VALUE"""),"FLIPKART")</f>
        <v>FLIPKART</v>
      </c>
      <c r="D7466" s="115">
        <f>IFERROR(__xludf.DUMMYFUNCTION("""COMPUTED_VALUE"""),910337.0)</f>
        <v>910337</v>
      </c>
      <c r="E7466" s="115">
        <f>IFERROR(__xludf.DUMMYFUNCTION("""COMPUTED_VALUE"""),73598.0)</f>
        <v>73598</v>
      </c>
      <c r="F7466" s="115">
        <f>IFERROR(__xludf.DUMMYFUNCTION("""COMPUTED_VALUE"""),808318.0)</f>
        <v>808318</v>
      </c>
      <c r="G7466" s="115">
        <f>IFERROR(__xludf.DUMMYFUNCTION("""COMPUTED_VALUE"""),57310.0)</f>
        <v>57310</v>
      </c>
      <c r="H7466" s="116">
        <f>IFERROR(__xludf.DUMMYFUNCTION("""COMPUTED_VALUE"""),45913.0)</f>
        <v>45913</v>
      </c>
      <c r="I7466" s="115" t="str">
        <f>IFERROR(__xludf.DUMMYFUNCTION("""COMPUTED_VALUE"""),"21")</f>
        <v>21</v>
      </c>
      <c r="J7466" s="115"/>
      <c r="K7466" s="115"/>
    </row>
    <row r="7467">
      <c r="A7467" s="115" t="str">
        <f>IFERROR(__xludf.DUMMYFUNCTION("""COMPUTED_VALUE"""),"EAST")</f>
        <v>EAST</v>
      </c>
      <c r="B7467" s="115" t="str">
        <f>IFERROR(__xludf.DUMMYFUNCTION("""COMPUTED_VALUE"""),"Ashish Ranjan")</f>
        <v>Ashish Ranjan</v>
      </c>
      <c r="C7467" s="115" t="str">
        <f>IFERROR(__xludf.DUMMYFUNCTION("""COMPUTED_VALUE"""),"MYNTRA")</f>
        <v>MYNTRA</v>
      </c>
      <c r="D7467" s="115">
        <f>IFERROR(__xludf.DUMMYFUNCTION("""COMPUTED_VALUE"""),88255.0)</f>
        <v>88255</v>
      </c>
      <c r="E7467" s="115">
        <f>IFERROR(__xludf.DUMMYFUNCTION("""COMPUTED_VALUE"""),16880.0)</f>
        <v>16880</v>
      </c>
      <c r="F7467" s="115">
        <f>IFERROR(__xludf.DUMMYFUNCTION("""COMPUTED_VALUE"""),78903.0)</f>
        <v>78903</v>
      </c>
      <c r="G7467" s="115">
        <f>IFERROR(__xludf.DUMMYFUNCTION("""COMPUTED_VALUE"""),12870.0)</f>
        <v>12870</v>
      </c>
      <c r="H7467" s="116">
        <f>IFERROR(__xludf.DUMMYFUNCTION("""COMPUTED_VALUE"""),45913.0)</f>
        <v>45913</v>
      </c>
      <c r="I7467" s="115" t="str">
        <f>IFERROR(__xludf.DUMMYFUNCTION("""COMPUTED_VALUE"""),"21")</f>
        <v>21</v>
      </c>
      <c r="J7467" s="115"/>
      <c r="K7467" s="115"/>
    </row>
    <row r="7468">
      <c r="A7468" s="115" t="str">
        <f>IFERROR(__xludf.DUMMYFUNCTION("""COMPUTED_VALUE"""),"EAST")</f>
        <v>EAST</v>
      </c>
      <c r="B7468" s="115" t="str">
        <f>IFERROR(__xludf.DUMMYFUNCTION("""COMPUTED_VALUE"""),"Girish Chand")</f>
        <v>Girish Chand</v>
      </c>
      <c r="C7468" s="115" t="str">
        <f>IFERROR(__xludf.DUMMYFUNCTION("""COMPUTED_VALUE"""),"EXTERNAL")</f>
        <v>EXTERNAL</v>
      </c>
      <c r="D7468" s="115">
        <f>IFERROR(__xludf.DUMMYFUNCTION("""COMPUTED_VALUE"""),23826.0)</f>
        <v>23826</v>
      </c>
      <c r="E7468" s="115">
        <f>IFERROR(__xludf.DUMMYFUNCTION("""COMPUTED_VALUE"""),1400.0)</f>
        <v>1400</v>
      </c>
      <c r="F7468" s="115">
        <f>IFERROR(__xludf.DUMMYFUNCTION("""COMPUTED_VALUE"""),10699.0)</f>
        <v>10699</v>
      </c>
      <c r="G7468" s="115">
        <f>IFERROR(__xludf.DUMMYFUNCTION("""COMPUTED_VALUE"""),685.0)</f>
        <v>685</v>
      </c>
      <c r="H7468" s="116">
        <f>IFERROR(__xludf.DUMMYFUNCTION("""COMPUTED_VALUE"""),45913.0)</f>
        <v>45913</v>
      </c>
      <c r="I7468" s="115" t="str">
        <f>IFERROR(__xludf.DUMMYFUNCTION("""COMPUTED_VALUE"""),"21")</f>
        <v>21</v>
      </c>
      <c r="J7468" s="115"/>
      <c r="K7468" s="115"/>
    </row>
    <row r="7469">
      <c r="A7469" s="115" t="str">
        <f>IFERROR(__xludf.DUMMYFUNCTION("""COMPUTED_VALUE"""),"EAST")</f>
        <v>EAST</v>
      </c>
      <c r="B7469" s="115" t="str">
        <f>IFERROR(__xludf.DUMMYFUNCTION("""COMPUTED_VALUE"""),"Girish Chand")</f>
        <v>Girish Chand</v>
      </c>
      <c r="C7469" s="115" t="str">
        <f>IFERROR(__xludf.DUMMYFUNCTION("""COMPUTED_VALUE"""),"FLIPKART")</f>
        <v>FLIPKART</v>
      </c>
      <c r="D7469" s="115">
        <f>IFERROR(__xludf.DUMMYFUNCTION("""COMPUTED_VALUE"""),509976.0)</f>
        <v>509976</v>
      </c>
      <c r="E7469" s="115">
        <f>IFERROR(__xludf.DUMMYFUNCTION("""COMPUTED_VALUE"""),40071.0)</f>
        <v>40071</v>
      </c>
      <c r="F7469" s="115">
        <f>IFERROR(__xludf.DUMMYFUNCTION("""COMPUTED_VALUE"""),388095.0)</f>
        <v>388095</v>
      </c>
      <c r="G7469" s="115">
        <f>IFERROR(__xludf.DUMMYFUNCTION("""COMPUTED_VALUE"""),28864.0)</f>
        <v>28864</v>
      </c>
      <c r="H7469" s="116">
        <f>IFERROR(__xludf.DUMMYFUNCTION("""COMPUTED_VALUE"""),45913.0)</f>
        <v>45913</v>
      </c>
      <c r="I7469" s="115" t="str">
        <f>IFERROR(__xludf.DUMMYFUNCTION("""COMPUTED_VALUE"""),"21")</f>
        <v>21</v>
      </c>
      <c r="J7469" s="115"/>
      <c r="K7469" s="115"/>
    </row>
    <row r="7470">
      <c r="A7470" s="115" t="str">
        <f>IFERROR(__xludf.DUMMYFUNCTION("""COMPUTED_VALUE"""),"EAST")</f>
        <v>EAST</v>
      </c>
      <c r="B7470" s="115" t="str">
        <f>IFERROR(__xludf.DUMMYFUNCTION("""COMPUTED_VALUE"""),"Girish Chand")</f>
        <v>Girish Chand</v>
      </c>
      <c r="C7470" s="115" t="str">
        <f>IFERROR(__xludf.DUMMYFUNCTION("""COMPUTED_VALUE"""),"MYNTRA")</f>
        <v>MYNTRA</v>
      </c>
      <c r="D7470" s="115">
        <f>IFERROR(__xludf.DUMMYFUNCTION("""COMPUTED_VALUE"""),39607.0)</f>
        <v>39607</v>
      </c>
      <c r="E7470" s="115">
        <f>IFERROR(__xludf.DUMMYFUNCTION("""COMPUTED_VALUE"""),7273.0)</f>
        <v>7273</v>
      </c>
      <c r="F7470" s="115">
        <f>IFERROR(__xludf.DUMMYFUNCTION("""COMPUTED_VALUE"""),31574.0)</f>
        <v>31574</v>
      </c>
      <c r="G7470" s="115">
        <f>IFERROR(__xludf.DUMMYFUNCTION("""COMPUTED_VALUE"""),5309.0)</f>
        <v>5309</v>
      </c>
      <c r="H7470" s="116">
        <f>IFERROR(__xludf.DUMMYFUNCTION("""COMPUTED_VALUE"""),45913.0)</f>
        <v>45913</v>
      </c>
      <c r="I7470" s="115" t="str">
        <f>IFERROR(__xludf.DUMMYFUNCTION("""COMPUTED_VALUE"""),"21")</f>
        <v>21</v>
      </c>
      <c r="J7470" s="115"/>
      <c r="K7470" s="115"/>
    </row>
    <row r="7471">
      <c r="A7471" s="115" t="str">
        <f>IFERROR(__xludf.DUMMYFUNCTION("""COMPUTED_VALUE"""),"EAST")</f>
        <v>EAST</v>
      </c>
      <c r="B7471" s="115" t="str">
        <f>IFERROR(__xludf.DUMMYFUNCTION("""COMPUTED_VALUE"""),"Parag Kashyap")</f>
        <v>Parag Kashyap</v>
      </c>
      <c r="C7471" s="115" t="str">
        <f>IFERROR(__xludf.DUMMYFUNCTION("""COMPUTED_VALUE"""),"EXTERNAL")</f>
        <v>EXTERNAL</v>
      </c>
      <c r="D7471" s="115">
        <f>IFERROR(__xludf.DUMMYFUNCTION("""COMPUTED_VALUE"""),16614.0)</f>
        <v>16614</v>
      </c>
      <c r="E7471" s="115">
        <f>IFERROR(__xludf.DUMMYFUNCTION("""COMPUTED_VALUE"""),744.0)</f>
        <v>744</v>
      </c>
      <c r="F7471" s="115">
        <f>IFERROR(__xludf.DUMMYFUNCTION("""COMPUTED_VALUE"""),7547.0)</f>
        <v>7547</v>
      </c>
      <c r="G7471" s="115">
        <f>IFERROR(__xludf.DUMMYFUNCTION("""COMPUTED_VALUE"""),336.0)</f>
        <v>336</v>
      </c>
      <c r="H7471" s="116">
        <f>IFERROR(__xludf.DUMMYFUNCTION("""COMPUTED_VALUE"""),45913.0)</f>
        <v>45913</v>
      </c>
      <c r="I7471" s="115" t="str">
        <f>IFERROR(__xludf.DUMMYFUNCTION("""COMPUTED_VALUE"""),"21")</f>
        <v>21</v>
      </c>
      <c r="J7471" s="115"/>
      <c r="K7471" s="115"/>
    </row>
    <row r="7472">
      <c r="A7472" s="115" t="str">
        <f>IFERROR(__xludf.DUMMYFUNCTION("""COMPUTED_VALUE"""),"EAST")</f>
        <v>EAST</v>
      </c>
      <c r="B7472" s="115" t="str">
        <f>IFERROR(__xludf.DUMMYFUNCTION("""COMPUTED_VALUE"""),"Parag Kashyap")</f>
        <v>Parag Kashyap</v>
      </c>
      <c r="C7472" s="115" t="str">
        <f>IFERROR(__xludf.DUMMYFUNCTION("""COMPUTED_VALUE"""),"FLIPKART")</f>
        <v>FLIPKART</v>
      </c>
      <c r="D7472" s="115">
        <f>IFERROR(__xludf.DUMMYFUNCTION("""COMPUTED_VALUE"""),317590.0)</f>
        <v>317590</v>
      </c>
      <c r="E7472" s="115">
        <f>IFERROR(__xludf.DUMMYFUNCTION("""COMPUTED_VALUE"""),19317.0)</f>
        <v>19317</v>
      </c>
      <c r="F7472" s="115">
        <f>IFERROR(__xludf.DUMMYFUNCTION("""COMPUTED_VALUE"""),252087.0)</f>
        <v>252087</v>
      </c>
      <c r="G7472" s="115">
        <f>IFERROR(__xludf.DUMMYFUNCTION("""COMPUTED_VALUE"""),13224.0)</f>
        <v>13224</v>
      </c>
      <c r="H7472" s="116">
        <f>IFERROR(__xludf.DUMMYFUNCTION("""COMPUTED_VALUE"""),45913.0)</f>
        <v>45913</v>
      </c>
      <c r="I7472" s="115" t="str">
        <f>IFERROR(__xludf.DUMMYFUNCTION("""COMPUTED_VALUE"""),"21")</f>
        <v>21</v>
      </c>
      <c r="J7472" s="115"/>
      <c r="K7472" s="115"/>
    </row>
    <row r="7473">
      <c r="A7473" s="115" t="str">
        <f>IFERROR(__xludf.DUMMYFUNCTION("""COMPUTED_VALUE"""),"EAST")</f>
        <v>EAST</v>
      </c>
      <c r="B7473" s="115" t="str">
        <f>IFERROR(__xludf.DUMMYFUNCTION("""COMPUTED_VALUE"""),"Parag Kashyap")</f>
        <v>Parag Kashyap</v>
      </c>
      <c r="C7473" s="115" t="str">
        <f>IFERROR(__xludf.DUMMYFUNCTION("""COMPUTED_VALUE"""),"MYNTRA")</f>
        <v>MYNTRA</v>
      </c>
      <c r="D7473" s="115">
        <f>IFERROR(__xludf.DUMMYFUNCTION("""COMPUTED_VALUE"""),36611.0)</f>
        <v>36611</v>
      </c>
      <c r="E7473" s="115">
        <f>IFERROR(__xludf.DUMMYFUNCTION("""COMPUTED_VALUE"""),6134.0)</f>
        <v>6134</v>
      </c>
      <c r="F7473" s="115">
        <f>IFERROR(__xludf.DUMMYFUNCTION("""COMPUTED_VALUE"""),29549.0)</f>
        <v>29549</v>
      </c>
      <c r="G7473" s="115">
        <f>IFERROR(__xludf.DUMMYFUNCTION("""COMPUTED_VALUE"""),4265.0)</f>
        <v>4265</v>
      </c>
      <c r="H7473" s="116">
        <f>IFERROR(__xludf.DUMMYFUNCTION("""COMPUTED_VALUE"""),45913.0)</f>
        <v>45913</v>
      </c>
      <c r="I7473" s="115" t="str">
        <f>IFERROR(__xludf.DUMMYFUNCTION("""COMPUTED_VALUE"""),"21")</f>
        <v>21</v>
      </c>
      <c r="J7473" s="115"/>
      <c r="K7473" s="115"/>
    </row>
    <row r="7474">
      <c r="A7474" s="115" t="str">
        <f>IFERROR(__xludf.DUMMYFUNCTION("""COMPUTED_VALUE"""),"NORTH")</f>
        <v>NORTH</v>
      </c>
      <c r="B7474" s="115" t="str">
        <f>IFERROR(__xludf.DUMMYFUNCTION("""COMPUTED_VALUE"""),"Amit Kumar Pathak")</f>
        <v>Amit Kumar Pathak</v>
      </c>
      <c r="C7474" s="115" t="str">
        <f>IFERROR(__xludf.DUMMYFUNCTION("""COMPUTED_VALUE"""),"EXTERNAL")</f>
        <v>EXTERNAL</v>
      </c>
      <c r="D7474" s="115">
        <f>IFERROR(__xludf.DUMMYFUNCTION("""COMPUTED_VALUE"""),30741.0)</f>
        <v>30741</v>
      </c>
      <c r="E7474" s="115">
        <f>IFERROR(__xludf.DUMMYFUNCTION("""COMPUTED_VALUE"""),2661.0)</f>
        <v>2661</v>
      </c>
      <c r="F7474" s="115">
        <f>IFERROR(__xludf.DUMMYFUNCTION("""COMPUTED_VALUE"""),12941.0)</f>
        <v>12941</v>
      </c>
      <c r="G7474" s="115">
        <f>IFERROR(__xludf.DUMMYFUNCTION("""COMPUTED_VALUE"""),1590.0)</f>
        <v>1590</v>
      </c>
      <c r="H7474" s="116">
        <f>IFERROR(__xludf.DUMMYFUNCTION("""COMPUTED_VALUE"""),45913.0)</f>
        <v>45913</v>
      </c>
      <c r="I7474" s="115" t="str">
        <f>IFERROR(__xludf.DUMMYFUNCTION("""COMPUTED_VALUE"""),"21")</f>
        <v>21</v>
      </c>
      <c r="J7474" s="115"/>
      <c r="K7474" s="115"/>
    </row>
    <row r="7475">
      <c r="A7475" s="115" t="str">
        <f>IFERROR(__xludf.DUMMYFUNCTION("""COMPUTED_VALUE"""),"NORTH")</f>
        <v>NORTH</v>
      </c>
      <c r="B7475" s="115" t="str">
        <f>IFERROR(__xludf.DUMMYFUNCTION("""COMPUTED_VALUE"""),"Amit Kumar Pathak")</f>
        <v>Amit Kumar Pathak</v>
      </c>
      <c r="C7475" s="115" t="str">
        <f>IFERROR(__xludf.DUMMYFUNCTION("""COMPUTED_VALUE"""),"FLIPKART")</f>
        <v>FLIPKART</v>
      </c>
      <c r="D7475" s="115">
        <f>IFERROR(__xludf.DUMMYFUNCTION("""COMPUTED_VALUE"""),219534.0)</f>
        <v>219534</v>
      </c>
      <c r="E7475" s="115">
        <f>IFERROR(__xludf.DUMMYFUNCTION("""COMPUTED_VALUE"""),23851.0)</f>
        <v>23851</v>
      </c>
      <c r="F7475" s="115">
        <f>IFERROR(__xludf.DUMMYFUNCTION("""COMPUTED_VALUE"""),169781.0)</f>
        <v>169781</v>
      </c>
      <c r="G7475" s="115">
        <f>IFERROR(__xludf.DUMMYFUNCTION("""COMPUTED_VALUE"""),16597.0)</f>
        <v>16597</v>
      </c>
      <c r="H7475" s="116">
        <f>IFERROR(__xludf.DUMMYFUNCTION("""COMPUTED_VALUE"""),45913.0)</f>
        <v>45913</v>
      </c>
      <c r="I7475" s="115" t="str">
        <f>IFERROR(__xludf.DUMMYFUNCTION("""COMPUTED_VALUE"""),"21")</f>
        <v>21</v>
      </c>
      <c r="J7475" s="115"/>
      <c r="K7475" s="115"/>
    </row>
    <row r="7476">
      <c r="A7476" s="115" t="str">
        <f>IFERROR(__xludf.DUMMYFUNCTION("""COMPUTED_VALUE"""),"NORTH")</f>
        <v>NORTH</v>
      </c>
      <c r="B7476" s="115" t="str">
        <f>IFERROR(__xludf.DUMMYFUNCTION("""COMPUTED_VALUE"""),"Amit Kumar Pathak")</f>
        <v>Amit Kumar Pathak</v>
      </c>
      <c r="C7476" s="115" t="str">
        <f>IFERROR(__xludf.DUMMYFUNCTION("""COMPUTED_VALUE"""),"MYNTRA")</f>
        <v>MYNTRA</v>
      </c>
      <c r="D7476" s="115">
        <f>IFERROR(__xludf.DUMMYFUNCTION("""COMPUTED_VALUE"""),18103.0)</f>
        <v>18103</v>
      </c>
      <c r="E7476" s="115">
        <f>IFERROR(__xludf.DUMMYFUNCTION("""COMPUTED_VALUE"""),5775.0)</f>
        <v>5775</v>
      </c>
      <c r="F7476" s="115">
        <f>IFERROR(__xludf.DUMMYFUNCTION("""COMPUTED_VALUE"""),15363.0)</f>
        <v>15363</v>
      </c>
      <c r="G7476" s="115">
        <f>IFERROR(__xludf.DUMMYFUNCTION("""COMPUTED_VALUE"""),4109.0)</f>
        <v>4109</v>
      </c>
      <c r="H7476" s="116">
        <f>IFERROR(__xludf.DUMMYFUNCTION("""COMPUTED_VALUE"""),45913.0)</f>
        <v>45913</v>
      </c>
      <c r="I7476" s="115" t="str">
        <f>IFERROR(__xludf.DUMMYFUNCTION("""COMPUTED_VALUE"""),"21")</f>
        <v>21</v>
      </c>
      <c r="J7476" s="115"/>
      <c r="K7476" s="115"/>
    </row>
    <row r="7477">
      <c r="A7477" s="115" t="str">
        <f>IFERROR(__xludf.DUMMYFUNCTION("""COMPUTED_VALUE"""),"NORTH")</f>
        <v>NORTH</v>
      </c>
      <c r="B7477" s="115" t="str">
        <f>IFERROR(__xludf.DUMMYFUNCTION("""COMPUTED_VALUE"""),"Loveleen Singh")</f>
        <v>Loveleen Singh</v>
      </c>
      <c r="C7477" s="115" t="str">
        <f>IFERROR(__xludf.DUMMYFUNCTION("""COMPUTED_VALUE"""),"EXTERNAL")</f>
        <v>EXTERNAL</v>
      </c>
      <c r="D7477" s="115">
        <f>IFERROR(__xludf.DUMMYFUNCTION("""COMPUTED_VALUE"""),34726.0)</f>
        <v>34726</v>
      </c>
      <c r="E7477" s="115">
        <f>IFERROR(__xludf.DUMMYFUNCTION("""COMPUTED_VALUE"""),1885.0)</f>
        <v>1885</v>
      </c>
      <c r="F7477" s="115">
        <f>IFERROR(__xludf.DUMMYFUNCTION("""COMPUTED_VALUE"""),14787.0)</f>
        <v>14787</v>
      </c>
      <c r="G7477" s="115">
        <f>IFERROR(__xludf.DUMMYFUNCTION("""COMPUTED_VALUE"""),874.0)</f>
        <v>874</v>
      </c>
      <c r="H7477" s="116">
        <f>IFERROR(__xludf.DUMMYFUNCTION("""COMPUTED_VALUE"""),45913.0)</f>
        <v>45913</v>
      </c>
      <c r="I7477" s="115" t="str">
        <f>IFERROR(__xludf.DUMMYFUNCTION("""COMPUTED_VALUE"""),"21")</f>
        <v>21</v>
      </c>
      <c r="J7477" s="115"/>
      <c r="K7477" s="115"/>
    </row>
    <row r="7478">
      <c r="A7478" s="115" t="str">
        <f>IFERROR(__xludf.DUMMYFUNCTION("""COMPUTED_VALUE"""),"NORTH")</f>
        <v>NORTH</v>
      </c>
      <c r="B7478" s="115" t="str">
        <f>IFERROR(__xludf.DUMMYFUNCTION("""COMPUTED_VALUE"""),"Loveleen Singh")</f>
        <v>Loveleen Singh</v>
      </c>
      <c r="C7478" s="115" t="str">
        <f>IFERROR(__xludf.DUMMYFUNCTION("""COMPUTED_VALUE"""),"FLIPKART")</f>
        <v>FLIPKART</v>
      </c>
      <c r="D7478" s="115">
        <f>IFERROR(__xludf.DUMMYFUNCTION("""COMPUTED_VALUE"""),227581.0)</f>
        <v>227581</v>
      </c>
      <c r="E7478" s="115">
        <f>IFERROR(__xludf.DUMMYFUNCTION("""COMPUTED_VALUE"""),15608.0)</f>
        <v>15608</v>
      </c>
      <c r="F7478" s="115">
        <f>IFERROR(__xludf.DUMMYFUNCTION("""COMPUTED_VALUE"""),176928.0)</f>
        <v>176928</v>
      </c>
      <c r="G7478" s="115">
        <f>IFERROR(__xludf.DUMMYFUNCTION("""COMPUTED_VALUE"""),10530.0)</f>
        <v>10530</v>
      </c>
      <c r="H7478" s="116">
        <f>IFERROR(__xludf.DUMMYFUNCTION("""COMPUTED_VALUE"""),45913.0)</f>
        <v>45913</v>
      </c>
      <c r="I7478" s="115" t="str">
        <f>IFERROR(__xludf.DUMMYFUNCTION("""COMPUTED_VALUE"""),"21")</f>
        <v>21</v>
      </c>
      <c r="J7478" s="115"/>
      <c r="K7478" s="115"/>
    </row>
    <row r="7479">
      <c r="A7479" s="115" t="str">
        <f>IFERROR(__xludf.DUMMYFUNCTION("""COMPUTED_VALUE"""),"NORTH")</f>
        <v>NORTH</v>
      </c>
      <c r="B7479" s="115" t="str">
        <f>IFERROR(__xludf.DUMMYFUNCTION("""COMPUTED_VALUE"""),"Loveleen Singh")</f>
        <v>Loveleen Singh</v>
      </c>
      <c r="C7479" s="115" t="str">
        <f>IFERROR(__xludf.DUMMYFUNCTION("""COMPUTED_VALUE"""),"MYNTRA")</f>
        <v>MYNTRA</v>
      </c>
      <c r="D7479" s="115">
        <f>IFERROR(__xludf.DUMMYFUNCTION("""COMPUTED_VALUE"""),33895.0)</f>
        <v>33895</v>
      </c>
      <c r="E7479" s="115">
        <f>IFERROR(__xludf.DUMMYFUNCTION("""COMPUTED_VALUE"""),6267.0)</f>
        <v>6267</v>
      </c>
      <c r="F7479" s="115">
        <f>IFERROR(__xludf.DUMMYFUNCTION("""COMPUTED_VALUE"""),27923.0)</f>
        <v>27923</v>
      </c>
      <c r="G7479" s="115">
        <f>IFERROR(__xludf.DUMMYFUNCTION("""COMPUTED_VALUE"""),4361.0)</f>
        <v>4361</v>
      </c>
      <c r="H7479" s="116">
        <f>IFERROR(__xludf.DUMMYFUNCTION("""COMPUTED_VALUE"""),45913.0)</f>
        <v>45913</v>
      </c>
      <c r="I7479" s="115" t="str">
        <f>IFERROR(__xludf.DUMMYFUNCTION("""COMPUTED_VALUE"""),"21")</f>
        <v>21</v>
      </c>
      <c r="J7479" s="115"/>
      <c r="K7479" s="115"/>
    </row>
    <row r="7480">
      <c r="A7480" s="115" t="str">
        <f>IFERROR(__xludf.DUMMYFUNCTION("""COMPUTED_VALUE"""),"NORTH")</f>
        <v>NORTH</v>
      </c>
      <c r="B7480" s="115" t="str">
        <f>IFERROR(__xludf.DUMMYFUNCTION("""COMPUTED_VALUE"""),"Manoj Harsh")</f>
        <v>Manoj Harsh</v>
      </c>
      <c r="C7480" s="115" t="str">
        <f>IFERROR(__xludf.DUMMYFUNCTION("""COMPUTED_VALUE"""),"EXTERNAL")</f>
        <v>EXTERNAL</v>
      </c>
      <c r="D7480" s="115">
        <f>IFERROR(__xludf.DUMMYFUNCTION("""COMPUTED_VALUE"""),38178.0)</f>
        <v>38178</v>
      </c>
      <c r="E7480" s="115">
        <f>IFERROR(__xludf.DUMMYFUNCTION("""COMPUTED_VALUE"""),1920.0)</f>
        <v>1920</v>
      </c>
      <c r="F7480" s="115">
        <f>IFERROR(__xludf.DUMMYFUNCTION("""COMPUTED_VALUE"""),18564.0)</f>
        <v>18564</v>
      </c>
      <c r="G7480" s="115">
        <f>IFERROR(__xludf.DUMMYFUNCTION("""COMPUTED_VALUE"""),991.0)</f>
        <v>991</v>
      </c>
      <c r="H7480" s="116">
        <f>IFERROR(__xludf.DUMMYFUNCTION("""COMPUTED_VALUE"""),45913.0)</f>
        <v>45913</v>
      </c>
      <c r="I7480" s="115" t="str">
        <f>IFERROR(__xludf.DUMMYFUNCTION("""COMPUTED_VALUE"""),"21")</f>
        <v>21</v>
      </c>
      <c r="J7480" s="115"/>
      <c r="K7480" s="115"/>
    </row>
    <row r="7481">
      <c r="A7481" s="115" t="str">
        <f>IFERROR(__xludf.DUMMYFUNCTION("""COMPUTED_VALUE"""),"NORTH")</f>
        <v>NORTH</v>
      </c>
      <c r="B7481" s="115" t="str">
        <f>IFERROR(__xludf.DUMMYFUNCTION("""COMPUTED_VALUE"""),"Manoj Harsh")</f>
        <v>Manoj Harsh</v>
      </c>
      <c r="C7481" s="115" t="str">
        <f>IFERROR(__xludf.DUMMYFUNCTION("""COMPUTED_VALUE"""),"FLIPKART")</f>
        <v>FLIPKART</v>
      </c>
      <c r="D7481" s="115">
        <f>IFERROR(__xludf.DUMMYFUNCTION("""COMPUTED_VALUE"""),487390.0)</f>
        <v>487390</v>
      </c>
      <c r="E7481" s="115">
        <f>IFERROR(__xludf.DUMMYFUNCTION("""COMPUTED_VALUE"""),41576.0)</f>
        <v>41576</v>
      </c>
      <c r="F7481" s="115">
        <f>IFERROR(__xludf.DUMMYFUNCTION("""COMPUTED_VALUE"""),374042.0)</f>
        <v>374042</v>
      </c>
      <c r="G7481" s="115">
        <f>IFERROR(__xludf.DUMMYFUNCTION("""COMPUTED_VALUE"""),28963.0)</f>
        <v>28963</v>
      </c>
      <c r="H7481" s="116">
        <f>IFERROR(__xludf.DUMMYFUNCTION("""COMPUTED_VALUE"""),45913.0)</f>
        <v>45913</v>
      </c>
      <c r="I7481" s="115" t="str">
        <f>IFERROR(__xludf.DUMMYFUNCTION("""COMPUTED_VALUE"""),"21")</f>
        <v>21</v>
      </c>
      <c r="J7481" s="115"/>
      <c r="K7481" s="115"/>
    </row>
    <row r="7482">
      <c r="A7482" s="115" t="str">
        <f>IFERROR(__xludf.DUMMYFUNCTION("""COMPUTED_VALUE"""),"NORTH")</f>
        <v>NORTH</v>
      </c>
      <c r="B7482" s="115" t="str">
        <f>IFERROR(__xludf.DUMMYFUNCTION("""COMPUTED_VALUE"""),"Manoj Harsh")</f>
        <v>Manoj Harsh</v>
      </c>
      <c r="C7482" s="115" t="str">
        <f>IFERROR(__xludf.DUMMYFUNCTION("""COMPUTED_VALUE"""),"MYNTRA")</f>
        <v>MYNTRA</v>
      </c>
      <c r="D7482" s="115">
        <f>IFERROR(__xludf.DUMMYFUNCTION("""COMPUTED_VALUE"""),36657.0)</f>
        <v>36657</v>
      </c>
      <c r="E7482" s="115">
        <f>IFERROR(__xludf.DUMMYFUNCTION("""COMPUTED_VALUE"""),7602.0)</f>
        <v>7602</v>
      </c>
      <c r="F7482" s="115">
        <f>IFERROR(__xludf.DUMMYFUNCTION("""COMPUTED_VALUE"""),29851.0)</f>
        <v>29851</v>
      </c>
      <c r="G7482" s="115">
        <f>IFERROR(__xludf.DUMMYFUNCTION("""COMPUTED_VALUE"""),5563.0)</f>
        <v>5563</v>
      </c>
      <c r="H7482" s="116">
        <f>IFERROR(__xludf.DUMMYFUNCTION("""COMPUTED_VALUE"""),45913.0)</f>
        <v>45913</v>
      </c>
      <c r="I7482" s="115" t="str">
        <f>IFERROR(__xludf.DUMMYFUNCTION("""COMPUTED_VALUE"""),"21")</f>
        <v>21</v>
      </c>
      <c r="J7482" s="115"/>
      <c r="K7482" s="115"/>
    </row>
    <row r="7483">
      <c r="A7483" s="115" t="str">
        <f>IFERROR(__xludf.DUMMYFUNCTION("""COMPUTED_VALUE"""),"NORTH")</f>
        <v>NORTH</v>
      </c>
      <c r="B7483" s="115" t="str">
        <f>IFERROR(__xludf.DUMMYFUNCTION("""COMPUTED_VALUE"""),"Pradeep Kothari")</f>
        <v>Pradeep Kothari</v>
      </c>
      <c r="C7483" s="115" t="str">
        <f>IFERROR(__xludf.DUMMYFUNCTION("""COMPUTED_VALUE"""),"EXTERNAL")</f>
        <v>EXTERNAL</v>
      </c>
      <c r="D7483" s="115">
        <f>IFERROR(__xludf.DUMMYFUNCTION("""COMPUTED_VALUE"""),20072.0)</f>
        <v>20072</v>
      </c>
      <c r="E7483" s="115">
        <f>IFERROR(__xludf.DUMMYFUNCTION("""COMPUTED_VALUE"""),1408.0)</f>
        <v>1408</v>
      </c>
      <c r="F7483" s="115">
        <f>IFERROR(__xludf.DUMMYFUNCTION("""COMPUTED_VALUE"""),8855.0)</f>
        <v>8855</v>
      </c>
      <c r="G7483" s="115">
        <f>IFERROR(__xludf.DUMMYFUNCTION("""COMPUTED_VALUE"""),773.0)</f>
        <v>773</v>
      </c>
      <c r="H7483" s="116">
        <f>IFERROR(__xludf.DUMMYFUNCTION("""COMPUTED_VALUE"""),45913.0)</f>
        <v>45913</v>
      </c>
      <c r="I7483" s="115" t="str">
        <f>IFERROR(__xludf.DUMMYFUNCTION("""COMPUTED_VALUE"""),"21")</f>
        <v>21</v>
      </c>
      <c r="J7483" s="115"/>
      <c r="K7483" s="115"/>
    </row>
    <row r="7484">
      <c r="A7484" s="115" t="str">
        <f>IFERROR(__xludf.DUMMYFUNCTION("""COMPUTED_VALUE"""),"NORTH")</f>
        <v>NORTH</v>
      </c>
      <c r="B7484" s="115" t="str">
        <f>IFERROR(__xludf.DUMMYFUNCTION("""COMPUTED_VALUE"""),"Pradeep Kothari")</f>
        <v>Pradeep Kothari</v>
      </c>
      <c r="C7484" s="115" t="str">
        <f>IFERROR(__xludf.DUMMYFUNCTION("""COMPUTED_VALUE"""),"FLIPKART")</f>
        <v>FLIPKART</v>
      </c>
      <c r="D7484" s="115">
        <f>IFERROR(__xludf.DUMMYFUNCTION("""COMPUTED_VALUE"""),180316.0)</f>
        <v>180316</v>
      </c>
      <c r="E7484" s="115">
        <f>IFERROR(__xludf.DUMMYFUNCTION("""COMPUTED_VALUE"""),18117.0)</f>
        <v>18117</v>
      </c>
      <c r="F7484" s="115">
        <f>IFERROR(__xludf.DUMMYFUNCTION("""COMPUTED_VALUE"""),141836.0)</f>
        <v>141836</v>
      </c>
      <c r="G7484" s="115">
        <f>IFERROR(__xludf.DUMMYFUNCTION("""COMPUTED_VALUE"""),13129.0)</f>
        <v>13129</v>
      </c>
      <c r="H7484" s="116">
        <f>IFERROR(__xludf.DUMMYFUNCTION("""COMPUTED_VALUE"""),45913.0)</f>
        <v>45913</v>
      </c>
      <c r="I7484" s="115" t="str">
        <f>IFERROR(__xludf.DUMMYFUNCTION("""COMPUTED_VALUE"""),"21")</f>
        <v>21</v>
      </c>
      <c r="J7484" s="115"/>
      <c r="K7484" s="115"/>
    </row>
    <row r="7485">
      <c r="A7485" s="115" t="str">
        <f>IFERROR(__xludf.DUMMYFUNCTION("""COMPUTED_VALUE"""),"NORTH")</f>
        <v>NORTH</v>
      </c>
      <c r="B7485" s="115" t="str">
        <f>IFERROR(__xludf.DUMMYFUNCTION("""COMPUTED_VALUE"""),"Pradeep Kothari")</f>
        <v>Pradeep Kothari</v>
      </c>
      <c r="C7485" s="115" t="str">
        <f>IFERROR(__xludf.DUMMYFUNCTION("""COMPUTED_VALUE"""),"MYNTRA")</f>
        <v>MYNTRA</v>
      </c>
      <c r="D7485" s="115">
        <f>IFERROR(__xludf.DUMMYFUNCTION("""COMPUTED_VALUE"""),27394.0)</f>
        <v>27394</v>
      </c>
      <c r="E7485" s="115">
        <f>IFERROR(__xludf.DUMMYFUNCTION("""COMPUTED_VALUE"""),6276.0)</f>
        <v>6276</v>
      </c>
      <c r="F7485" s="115">
        <f>IFERROR(__xludf.DUMMYFUNCTION("""COMPUTED_VALUE"""),23280.0)</f>
        <v>23280</v>
      </c>
      <c r="G7485" s="115">
        <f>IFERROR(__xludf.DUMMYFUNCTION("""COMPUTED_VALUE"""),4845.0)</f>
        <v>4845</v>
      </c>
      <c r="H7485" s="116">
        <f>IFERROR(__xludf.DUMMYFUNCTION("""COMPUTED_VALUE"""),45913.0)</f>
        <v>45913</v>
      </c>
      <c r="I7485" s="115" t="str">
        <f>IFERROR(__xludf.DUMMYFUNCTION("""COMPUTED_VALUE"""),"21")</f>
        <v>21</v>
      </c>
      <c r="J7485" s="115"/>
      <c r="K7485" s="115"/>
    </row>
    <row r="7486">
      <c r="A7486" s="115" t="str">
        <f>IFERROR(__xludf.DUMMYFUNCTION("""COMPUTED_VALUE"""),"SOUTH")</f>
        <v>SOUTH</v>
      </c>
      <c r="B7486" s="115" t="str">
        <f>IFERROR(__xludf.DUMMYFUNCTION("""COMPUTED_VALUE"""),"Kandula Sampath")</f>
        <v>Kandula Sampath</v>
      </c>
      <c r="C7486" s="115" t="str">
        <f>IFERROR(__xludf.DUMMYFUNCTION("""COMPUTED_VALUE"""),"EXTERNAL")</f>
        <v>EXTERNAL</v>
      </c>
      <c r="D7486" s="115">
        <f>IFERROR(__xludf.DUMMYFUNCTION("""COMPUTED_VALUE"""),35091.0)</f>
        <v>35091</v>
      </c>
      <c r="E7486" s="115">
        <f>IFERROR(__xludf.DUMMYFUNCTION("""COMPUTED_VALUE"""),3410.0)</f>
        <v>3410</v>
      </c>
      <c r="F7486" s="115">
        <f>IFERROR(__xludf.DUMMYFUNCTION("""COMPUTED_VALUE"""),16122.0)</f>
        <v>16122</v>
      </c>
      <c r="G7486" s="115">
        <f>IFERROR(__xludf.DUMMYFUNCTION("""COMPUTED_VALUE"""),1489.0)</f>
        <v>1489</v>
      </c>
      <c r="H7486" s="116">
        <f>IFERROR(__xludf.DUMMYFUNCTION("""COMPUTED_VALUE"""),45913.0)</f>
        <v>45913</v>
      </c>
      <c r="I7486" s="115" t="str">
        <f>IFERROR(__xludf.DUMMYFUNCTION("""COMPUTED_VALUE"""),"21")</f>
        <v>21</v>
      </c>
      <c r="J7486" s="115"/>
      <c r="K7486" s="115"/>
    </row>
    <row r="7487">
      <c r="A7487" s="115" t="str">
        <f>IFERROR(__xludf.DUMMYFUNCTION("""COMPUTED_VALUE"""),"SOUTH")</f>
        <v>SOUTH</v>
      </c>
      <c r="B7487" s="115" t="str">
        <f>IFERROR(__xludf.DUMMYFUNCTION("""COMPUTED_VALUE"""),"Kandula Sampath")</f>
        <v>Kandula Sampath</v>
      </c>
      <c r="C7487" s="115" t="str">
        <f>IFERROR(__xludf.DUMMYFUNCTION("""COMPUTED_VALUE"""),"FLIPKART")</f>
        <v>FLIPKART</v>
      </c>
      <c r="D7487" s="115">
        <f>IFERROR(__xludf.DUMMYFUNCTION("""COMPUTED_VALUE"""),421433.0)</f>
        <v>421433</v>
      </c>
      <c r="E7487" s="115">
        <f>IFERROR(__xludf.DUMMYFUNCTION("""COMPUTED_VALUE"""),33839.0)</f>
        <v>33839</v>
      </c>
      <c r="F7487" s="115">
        <f>IFERROR(__xludf.DUMMYFUNCTION("""COMPUTED_VALUE"""),323377.0)</f>
        <v>323377</v>
      </c>
      <c r="G7487" s="115">
        <f>IFERROR(__xludf.DUMMYFUNCTION("""COMPUTED_VALUE"""),20725.0)</f>
        <v>20725</v>
      </c>
      <c r="H7487" s="116">
        <f>IFERROR(__xludf.DUMMYFUNCTION("""COMPUTED_VALUE"""),45913.0)</f>
        <v>45913</v>
      </c>
      <c r="I7487" s="115" t="str">
        <f>IFERROR(__xludf.DUMMYFUNCTION("""COMPUTED_VALUE"""),"21")</f>
        <v>21</v>
      </c>
      <c r="J7487" s="115"/>
      <c r="K7487" s="115"/>
    </row>
    <row r="7488">
      <c r="A7488" s="115" t="str">
        <f>IFERROR(__xludf.DUMMYFUNCTION("""COMPUTED_VALUE"""),"SOUTH")</f>
        <v>SOUTH</v>
      </c>
      <c r="B7488" s="115" t="str">
        <f>IFERROR(__xludf.DUMMYFUNCTION("""COMPUTED_VALUE"""),"Kandula Sampath")</f>
        <v>Kandula Sampath</v>
      </c>
      <c r="C7488" s="115" t="str">
        <f>IFERROR(__xludf.DUMMYFUNCTION("""COMPUTED_VALUE"""),"MYNTRA")</f>
        <v>MYNTRA</v>
      </c>
      <c r="D7488" s="115">
        <f>IFERROR(__xludf.DUMMYFUNCTION("""COMPUTED_VALUE"""),42111.0)</f>
        <v>42111</v>
      </c>
      <c r="E7488" s="115">
        <f>IFERROR(__xludf.DUMMYFUNCTION("""COMPUTED_VALUE"""),9499.0)</f>
        <v>9499</v>
      </c>
      <c r="F7488" s="115">
        <f>IFERROR(__xludf.DUMMYFUNCTION("""COMPUTED_VALUE"""),34532.0)</f>
        <v>34532</v>
      </c>
      <c r="G7488" s="115">
        <f>IFERROR(__xludf.DUMMYFUNCTION("""COMPUTED_VALUE"""),5872.0)</f>
        <v>5872</v>
      </c>
      <c r="H7488" s="116">
        <f>IFERROR(__xludf.DUMMYFUNCTION("""COMPUTED_VALUE"""),45913.0)</f>
        <v>45913</v>
      </c>
      <c r="I7488" s="115" t="str">
        <f>IFERROR(__xludf.DUMMYFUNCTION("""COMPUTED_VALUE"""),"21")</f>
        <v>21</v>
      </c>
      <c r="J7488" s="115"/>
      <c r="K7488" s="115"/>
    </row>
    <row r="7489">
      <c r="A7489" s="115" t="str">
        <f>IFERROR(__xludf.DUMMYFUNCTION("""COMPUTED_VALUE"""),"SOUTH")</f>
        <v>SOUTH</v>
      </c>
      <c r="B7489" s="115" t="str">
        <f>IFERROR(__xludf.DUMMYFUNCTION("""COMPUTED_VALUE"""),"Martin A")</f>
        <v>Martin A</v>
      </c>
      <c r="C7489" s="115" t="str">
        <f>IFERROR(__xludf.DUMMYFUNCTION("""COMPUTED_VALUE"""),"EXTERNAL")</f>
        <v>EXTERNAL</v>
      </c>
      <c r="D7489" s="115">
        <f>IFERROR(__xludf.DUMMYFUNCTION("""COMPUTED_VALUE"""),31536.0)</f>
        <v>31536</v>
      </c>
      <c r="E7489" s="115">
        <f>IFERROR(__xludf.DUMMYFUNCTION("""COMPUTED_VALUE"""),3262.0)</f>
        <v>3262</v>
      </c>
      <c r="F7489" s="115">
        <f>IFERROR(__xludf.DUMMYFUNCTION("""COMPUTED_VALUE"""),14239.0)</f>
        <v>14239</v>
      </c>
      <c r="G7489" s="115">
        <f>IFERROR(__xludf.DUMMYFUNCTION("""COMPUTED_VALUE"""),1774.0)</f>
        <v>1774</v>
      </c>
      <c r="H7489" s="116">
        <f>IFERROR(__xludf.DUMMYFUNCTION("""COMPUTED_VALUE"""),45913.0)</f>
        <v>45913</v>
      </c>
      <c r="I7489" s="115" t="str">
        <f>IFERROR(__xludf.DUMMYFUNCTION("""COMPUTED_VALUE"""),"21")</f>
        <v>21</v>
      </c>
      <c r="J7489" s="115"/>
      <c r="K7489" s="115"/>
    </row>
    <row r="7490">
      <c r="A7490" s="115" t="str">
        <f>IFERROR(__xludf.DUMMYFUNCTION("""COMPUTED_VALUE"""),"SOUTH")</f>
        <v>SOUTH</v>
      </c>
      <c r="B7490" s="115" t="str">
        <f>IFERROR(__xludf.DUMMYFUNCTION("""COMPUTED_VALUE"""),"Martin A")</f>
        <v>Martin A</v>
      </c>
      <c r="C7490" s="115" t="str">
        <f>IFERROR(__xludf.DUMMYFUNCTION("""COMPUTED_VALUE"""),"FLIPKART")</f>
        <v>FLIPKART</v>
      </c>
      <c r="D7490" s="115">
        <f>IFERROR(__xludf.DUMMYFUNCTION("""COMPUTED_VALUE"""),352686.0)</f>
        <v>352686</v>
      </c>
      <c r="E7490" s="115">
        <f>IFERROR(__xludf.DUMMYFUNCTION("""COMPUTED_VALUE"""),29271.0)</f>
        <v>29271</v>
      </c>
      <c r="F7490" s="115">
        <f>IFERROR(__xludf.DUMMYFUNCTION("""COMPUTED_VALUE"""),271890.0)</f>
        <v>271890</v>
      </c>
      <c r="G7490" s="115">
        <f>IFERROR(__xludf.DUMMYFUNCTION("""COMPUTED_VALUE"""),19792.0)</f>
        <v>19792</v>
      </c>
      <c r="H7490" s="116">
        <f>IFERROR(__xludf.DUMMYFUNCTION("""COMPUTED_VALUE"""),45913.0)</f>
        <v>45913</v>
      </c>
      <c r="I7490" s="115" t="str">
        <f>IFERROR(__xludf.DUMMYFUNCTION("""COMPUTED_VALUE"""),"21")</f>
        <v>21</v>
      </c>
      <c r="J7490" s="115"/>
      <c r="K7490" s="115"/>
    </row>
    <row r="7491">
      <c r="A7491" s="115" t="str">
        <f>IFERROR(__xludf.DUMMYFUNCTION("""COMPUTED_VALUE"""),"SOUTH")</f>
        <v>SOUTH</v>
      </c>
      <c r="B7491" s="115" t="str">
        <f>IFERROR(__xludf.DUMMYFUNCTION("""COMPUTED_VALUE"""),"Martin A")</f>
        <v>Martin A</v>
      </c>
      <c r="C7491" s="115" t="str">
        <f>IFERROR(__xludf.DUMMYFUNCTION("""COMPUTED_VALUE"""),"MYNTRA")</f>
        <v>MYNTRA</v>
      </c>
      <c r="D7491" s="115">
        <f>IFERROR(__xludf.DUMMYFUNCTION("""COMPUTED_VALUE"""),30710.0)</f>
        <v>30710</v>
      </c>
      <c r="E7491" s="115">
        <f>IFERROR(__xludf.DUMMYFUNCTION("""COMPUTED_VALUE"""),7240.0)</f>
        <v>7240</v>
      </c>
      <c r="F7491" s="115">
        <f>IFERROR(__xludf.DUMMYFUNCTION("""COMPUTED_VALUE"""),26138.0)</f>
        <v>26138</v>
      </c>
      <c r="G7491" s="115">
        <f>IFERROR(__xludf.DUMMYFUNCTION("""COMPUTED_VALUE"""),5126.0)</f>
        <v>5126</v>
      </c>
      <c r="H7491" s="116">
        <f>IFERROR(__xludf.DUMMYFUNCTION("""COMPUTED_VALUE"""),45913.0)</f>
        <v>45913</v>
      </c>
      <c r="I7491" s="115" t="str">
        <f>IFERROR(__xludf.DUMMYFUNCTION("""COMPUTED_VALUE"""),"21")</f>
        <v>21</v>
      </c>
      <c r="J7491" s="115"/>
      <c r="K7491" s="115"/>
    </row>
    <row r="7492">
      <c r="A7492" s="115" t="str">
        <f>IFERROR(__xludf.DUMMYFUNCTION("""COMPUTED_VALUE"""),"SOUTH")</f>
        <v>SOUTH</v>
      </c>
      <c r="B7492" s="115" t="str">
        <f>IFERROR(__xludf.DUMMYFUNCTION("""COMPUTED_VALUE"""),"Premkumar M")</f>
        <v>Premkumar M</v>
      </c>
      <c r="C7492" s="115" t="str">
        <f>IFERROR(__xludf.DUMMYFUNCTION("""COMPUTED_VALUE"""),"EXTERNAL")</f>
        <v>EXTERNAL</v>
      </c>
      <c r="D7492" s="115">
        <f>IFERROR(__xludf.DUMMYFUNCTION("""COMPUTED_VALUE"""),29235.0)</f>
        <v>29235</v>
      </c>
      <c r="E7492" s="115">
        <f>IFERROR(__xludf.DUMMYFUNCTION("""COMPUTED_VALUE"""),1587.0)</f>
        <v>1587</v>
      </c>
      <c r="F7492" s="115">
        <f>IFERROR(__xludf.DUMMYFUNCTION("""COMPUTED_VALUE"""),15104.0)</f>
        <v>15104</v>
      </c>
      <c r="G7492" s="115">
        <f>IFERROR(__xludf.DUMMYFUNCTION("""COMPUTED_VALUE"""),681.0)</f>
        <v>681</v>
      </c>
      <c r="H7492" s="116">
        <f>IFERROR(__xludf.DUMMYFUNCTION("""COMPUTED_VALUE"""),45913.0)</f>
        <v>45913</v>
      </c>
      <c r="I7492" s="115" t="str">
        <f>IFERROR(__xludf.DUMMYFUNCTION("""COMPUTED_VALUE"""),"21")</f>
        <v>21</v>
      </c>
      <c r="J7492" s="115"/>
      <c r="K7492" s="115"/>
    </row>
    <row r="7493">
      <c r="A7493" s="115" t="str">
        <f>IFERROR(__xludf.DUMMYFUNCTION("""COMPUTED_VALUE"""),"SOUTH")</f>
        <v>SOUTH</v>
      </c>
      <c r="B7493" s="115" t="str">
        <f>IFERROR(__xludf.DUMMYFUNCTION("""COMPUTED_VALUE"""),"Premkumar M")</f>
        <v>Premkumar M</v>
      </c>
      <c r="C7493" s="115" t="str">
        <f>IFERROR(__xludf.DUMMYFUNCTION("""COMPUTED_VALUE"""),"FLIPKART")</f>
        <v>FLIPKART</v>
      </c>
      <c r="D7493" s="115">
        <f>IFERROR(__xludf.DUMMYFUNCTION("""COMPUTED_VALUE"""),332327.0)</f>
        <v>332327</v>
      </c>
      <c r="E7493" s="115">
        <f>IFERROR(__xludf.DUMMYFUNCTION("""COMPUTED_VALUE"""),18757.0)</f>
        <v>18757</v>
      </c>
      <c r="F7493" s="115">
        <f>IFERROR(__xludf.DUMMYFUNCTION("""COMPUTED_VALUE"""),263647.0)</f>
        <v>263647</v>
      </c>
      <c r="G7493" s="115">
        <f>IFERROR(__xludf.DUMMYFUNCTION("""COMPUTED_VALUE"""),10208.0)</f>
        <v>10208</v>
      </c>
      <c r="H7493" s="116">
        <f>IFERROR(__xludf.DUMMYFUNCTION("""COMPUTED_VALUE"""),45913.0)</f>
        <v>45913</v>
      </c>
      <c r="I7493" s="115" t="str">
        <f>IFERROR(__xludf.DUMMYFUNCTION("""COMPUTED_VALUE"""),"21")</f>
        <v>21</v>
      </c>
      <c r="J7493" s="115"/>
      <c r="K7493" s="115"/>
    </row>
    <row r="7494">
      <c r="A7494" s="115" t="str">
        <f>IFERROR(__xludf.DUMMYFUNCTION("""COMPUTED_VALUE"""),"SOUTH")</f>
        <v>SOUTH</v>
      </c>
      <c r="B7494" s="115" t="str">
        <f>IFERROR(__xludf.DUMMYFUNCTION("""COMPUTED_VALUE"""),"Premkumar M")</f>
        <v>Premkumar M</v>
      </c>
      <c r="C7494" s="115" t="str">
        <f>IFERROR(__xludf.DUMMYFUNCTION("""COMPUTED_VALUE"""),"MYNTRA")</f>
        <v>MYNTRA</v>
      </c>
      <c r="D7494" s="115">
        <f>IFERROR(__xludf.DUMMYFUNCTION("""COMPUTED_VALUE"""),16292.0)</f>
        <v>16292</v>
      </c>
      <c r="E7494" s="115">
        <f>IFERROR(__xludf.DUMMYFUNCTION("""COMPUTED_VALUE"""),3029.0)</f>
        <v>3029</v>
      </c>
      <c r="F7494" s="115">
        <f>IFERROR(__xludf.DUMMYFUNCTION("""COMPUTED_VALUE"""),13946.0)</f>
        <v>13946</v>
      </c>
      <c r="G7494" s="115">
        <f>IFERROR(__xludf.DUMMYFUNCTION("""COMPUTED_VALUE"""),1734.0)</f>
        <v>1734</v>
      </c>
      <c r="H7494" s="116">
        <f>IFERROR(__xludf.DUMMYFUNCTION("""COMPUTED_VALUE"""),45913.0)</f>
        <v>45913</v>
      </c>
      <c r="I7494" s="115" t="str">
        <f>IFERROR(__xludf.DUMMYFUNCTION("""COMPUTED_VALUE"""),"21")</f>
        <v>21</v>
      </c>
      <c r="J7494" s="115"/>
      <c r="K7494" s="115"/>
    </row>
    <row r="7495">
      <c r="A7495" s="115" t="str">
        <f>IFERROR(__xludf.DUMMYFUNCTION("""COMPUTED_VALUE"""),"SOUTH")</f>
        <v>SOUTH</v>
      </c>
      <c r="B7495" s="115" t="str">
        <f>IFERROR(__xludf.DUMMYFUNCTION("""COMPUTED_VALUE"""),"Vineeth V")</f>
        <v>Vineeth V</v>
      </c>
      <c r="C7495" s="115" t="str">
        <f>IFERROR(__xludf.DUMMYFUNCTION("""COMPUTED_VALUE"""),"EXTERNAL")</f>
        <v>EXTERNAL</v>
      </c>
      <c r="D7495" s="115">
        <f>IFERROR(__xludf.DUMMYFUNCTION("""COMPUTED_VALUE"""),20994.0)</f>
        <v>20994</v>
      </c>
      <c r="E7495" s="115">
        <f>IFERROR(__xludf.DUMMYFUNCTION("""COMPUTED_VALUE"""),496.0)</f>
        <v>496</v>
      </c>
      <c r="F7495" s="115">
        <f>IFERROR(__xludf.DUMMYFUNCTION("""COMPUTED_VALUE"""),11374.0)</f>
        <v>11374</v>
      </c>
      <c r="G7495" s="115">
        <f>IFERROR(__xludf.DUMMYFUNCTION("""COMPUTED_VALUE"""),289.0)</f>
        <v>289</v>
      </c>
      <c r="H7495" s="116">
        <f>IFERROR(__xludf.DUMMYFUNCTION("""COMPUTED_VALUE"""),45913.0)</f>
        <v>45913</v>
      </c>
      <c r="I7495" s="115" t="str">
        <f>IFERROR(__xludf.DUMMYFUNCTION("""COMPUTED_VALUE"""),"21")</f>
        <v>21</v>
      </c>
      <c r="J7495" s="115"/>
      <c r="K7495" s="115"/>
    </row>
    <row r="7496">
      <c r="A7496" s="115" t="str">
        <f>IFERROR(__xludf.DUMMYFUNCTION("""COMPUTED_VALUE"""),"SOUTH")</f>
        <v>SOUTH</v>
      </c>
      <c r="B7496" s="115" t="str">
        <f>IFERROR(__xludf.DUMMYFUNCTION("""COMPUTED_VALUE"""),"Vineeth V")</f>
        <v>Vineeth V</v>
      </c>
      <c r="C7496" s="115" t="str">
        <f>IFERROR(__xludf.DUMMYFUNCTION("""COMPUTED_VALUE"""),"FLIPKART")</f>
        <v>FLIPKART</v>
      </c>
      <c r="D7496" s="115">
        <f>IFERROR(__xludf.DUMMYFUNCTION("""COMPUTED_VALUE"""),221994.0)</f>
        <v>221994</v>
      </c>
      <c r="E7496" s="115">
        <f>IFERROR(__xludf.DUMMYFUNCTION("""COMPUTED_VALUE"""),13438.0)</f>
        <v>13438</v>
      </c>
      <c r="F7496" s="115">
        <f>IFERROR(__xludf.DUMMYFUNCTION("""COMPUTED_VALUE"""),188469.0)</f>
        <v>188469</v>
      </c>
      <c r="G7496" s="115">
        <f>IFERROR(__xludf.DUMMYFUNCTION("""COMPUTED_VALUE"""),8389.0)</f>
        <v>8389</v>
      </c>
      <c r="H7496" s="116">
        <f>IFERROR(__xludf.DUMMYFUNCTION("""COMPUTED_VALUE"""),45913.0)</f>
        <v>45913</v>
      </c>
      <c r="I7496" s="115" t="str">
        <f>IFERROR(__xludf.DUMMYFUNCTION("""COMPUTED_VALUE"""),"21")</f>
        <v>21</v>
      </c>
      <c r="J7496" s="115"/>
      <c r="K7496" s="115"/>
    </row>
    <row r="7497">
      <c r="A7497" s="115" t="str">
        <f>IFERROR(__xludf.DUMMYFUNCTION("""COMPUTED_VALUE"""),"SOUTH")</f>
        <v>SOUTH</v>
      </c>
      <c r="B7497" s="115" t="str">
        <f>IFERROR(__xludf.DUMMYFUNCTION("""COMPUTED_VALUE"""),"Vineeth V")</f>
        <v>Vineeth V</v>
      </c>
      <c r="C7497" s="115" t="str">
        <f>IFERROR(__xludf.DUMMYFUNCTION("""COMPUTED_VALUE"""),"MYNTRA")</f>
        <v>MYNTRA</v>
      </c>
      <c r="D7497" s="115">
        <f>IFERROR(__xludf.DUMMYFUNCTION("""COMPUTED_VALUE"""),17136.0)</f>
        <v>17136</v>
      </c>
      <c r="E7497" s="115">
        <f>IFERROR(__xludf.DUMMYFUNCTION("""COMPUTED_VALUE"""),3147.0)</f>
        <v>3147</v>
      </c>
      <c r="F7497" s="115">
        <f>IFERROR(__xludf.DUMMYFUNCTION("""COMPUTED_VALUE"""),15065.0)</f>
        <v>15065</v>
      </c>
      <c r="G7497" s="115">
        <f>IFERROR(__xludf.DUMMYFUNCTION("""COMPUTED_VALUE"""),1988.0)</f>
        <v>1988</v>
      </c>
      <c r="H7497" s="116">
        <f>IFERROR(__xludf.DUMMYFUNCTION("""COMPUTED_VALUE"""),45913.0)</f>
        <v>45913</v>
      </c>
      <c r="I7497" s="115" t="str">
        <f>IFERROR(__xludf.DUMMYFUNCTION("""COMPUTED_VALUE"""),"21")</f>
        <v>21</v>
      </c>
      <c r="J7497" s="115"/>
      <c r="K7497" s="115"/>
    </row>
    <row r="7498">
      <c r="A7498" s="115" t="str">
        <f>IFERROR(__xludf.DUMMYFUNCTION("""COMPUTED_VALUE"""),"WEST")</f>
        <v>WEST</v>
      </c>
      <c r="B7498" s="115" t="str">
        <f>IFERROR(__xludf.DUMMYFUNCTION("""COMPUTED_VALUE"""),"Ashish Jakar")</f>
        <v>Ashish Jakar</v>
      </c>
      <c r="C7498" s="115" t="str">
        <f>IFERROR(__xludf.DUMMYFUNCTION("""COMPUTED_VALUE"""),"EXTERNAL")</f>
        <v>EXTERNAL</v>
      </c>
      <c r="D7498" s="115">
        <f>IFERROR(__xludf.DUMMYFUNCTION("""COMPUTED_VALUE"""),65314.0)</f>
        <v>65314</v>
      </c>
      <c r="E7498" s="115">
        <f>IFERROR(__xludf.DUMMYFUNCTION("""COMPUTED_VALUE"""),5707.0)</f>
        <v>5707</v>
      </c>
      <c r="F7498" s="115">
        <f>IFERROR(__xludf.DUMMYFUNCTION("""COMPUTED_VALUE"""),29290.0)</f>
        <v>29290</v>
      </c>
      <c r="G7498" s="115">
        <f>IFERROR(__xludf.DUMMYFUNCTION("""COMPUTED_VALUE"""),2755.0)</f>
        <v>2755</v>
      </c>
      <c r="H7498" s="116">
        <f>IFERROR(__xludf.DUMMYFUNCTION("""COMPUTED_VALUE"""),45913.0)</f>
        <v>45913</v>
      </c>
      <c r="I7498" s="115" t="str">
        <f>IFERROR(__xludf.DUMMYFUNCTION("""COMPUTED_VALUE"""),"21")</f>
        <v>21</v>
      </c>
      <c r="J7498" s="115"/>
      <c r="K7498" s="115"/>
    </row>
    <row r="7499">
      <c r="A7499" s="115" t="str">
        <f>IFERROR(__xludf.DUMMYFUNCTION("""COMPUTED_VALUE"""),"WEST")</f>
        <v>WEST</v>
      </c>
      <c r="B7499" s="115" t="str">
        <f>IFERROR(__xludf.DUMMYFUNCTION("""COMPUTED_VALUE"""),"Ashish Jakar")</f>
        <v>Ashish Jakar</v>
      </c>
      <c r="C7499" s="115" t="str">
        <f>IFERROR(__xludf.DUMMYFUNCTION("""COMPUTED_VALUE"""),"FLIPKART")</f>
        <v>FLIPKART</v>
      </c>
      <c r="D7499" s="115">
        <f>IFERROR(__xludf.DUMMYFUNCTION("""COMPUTED_VALUE"""),500390.0)</f>
        <v>500390</v>
      </c>
      <c r="E7499" s="115">
        <f>IFERROR(__xludf.DUMMYFUNCTION("""COMPUTED_VALUE"""),38117.0)</f>
        <v>38117</v>
      </c>
      <c r="F7499" s="115">
        <f>IFERROR(__xludf.DUMMYFUNCTION("""COMPUTED_VALUE"""),373219.0)</f>
        <v>373219</v>
      </c>
      <c r="G7499" s="115">
        <f>IFERROR(__xludf.DUMMYFUNCTION("""COMPUTED_VALUE"""),23436.0)</f>
        <v>23436</v>
      </c>
      <c r="H7499" s="116">
        <f>IFERROR(__xludf.DUMMYFUNCTION("""COMPUTED_VALUE"""),45913.0)</f>
        <v>45913</v>
      </c>
      <c r="I7499" s="115" t="str">
        <f>IFERROR(__xludf.DUMMYFUNCTION("""COMPUTED_VALUE"""),"21")</f>
        <v>21</v>
      </c>
      <c r="J7499" s="115"/>
      <c r="K7499" s="115"/>
    </row>
    <row r="7500">
      <c r="A7500" s="115" t="str">
        <f>IFERROR(__xludf.DUMMYFUNCTION("""COMPUTED_VALUE"""),"WEST")</f>
        <v>WEST</v>
      </c>
      <c r="B7500" s="115" t="str">
        <f>IFERROR(__xludf.DUMMYFUNCTION("""COMPUTED_VALUE"""),"Ashish Jakar")</f>
        <v>Ashish Jakar</v>
      </c>
      <c r="C7500" s="115" t="str">
        <f>IFERROR(__xludf.DUMMYFUNCTION("""COMPUTED_VALUE"""),"MYNTRA")</f>
        <v>MYNTRA</v>
      </c>
      <c r="D7500" s="115">
        <f>IFERROR(__xludf.DUMMYFUNCTION("""COMPUTED_VALUE"""),50778.0)</f>
        <v>50778</v>
      </c>
      <c r="E7500" s="115">
        <f>IFERROR(__xludf.DUMMYFUNCTION("""COMPUTED_VALUE"""),11834.0)</f>
        <v>11834</v>
      </c>
      <c r="F7500" s="115">
        <f>IFERROR(__xludf.DUMMYFUNCTION("""COMPUTED_VALUE"""),42109.0)</f>
        <v>42109</v>
      </c>
      <c r="G7500" s="115">
        <f>IFERROR(__xludf.DUMMYFUNCTION("""COMPUTED_VALUE"""),7705.0)</f>
        <v>7705</v>
      </c>
      <c r="H7500" s="116">
        <f>IFERROR(__xludf.DUMMYFUNCTION("""COMPUTED_VALUE"""),45913.0)</f>
        <v>45913</v>
      </c>
      <c r="I7500" s="115" t="str">
        <f>IFERROR(__xludf.DUMMYFUNCTION("""COMPUTED_VALUE"""),"21")</f>
        <v>21</v>
      </c>
      <c r="J7500" s="115"/>
      <c r="K7500" s="115"/>
    </row>
    <row r="7501">
      <c r="A7501" s="115" t="str">
        <f>IFERROR(__xludf.DUMMYFUNCTION("""COMPUTED_VALUE"""),"WEST")</f>
        <v>WEST</v>
      </c>
      <c r="B7501" s="115" t="str">
        <f>IFERROR(__xludf.DUMMYFUNCTION("""COMPUTED_VALUE"""),"Ashvani Bhatt")</f>
        <v>Ashvani Bhatt</v>
      </c>
      <c r="C7501" s="115" t="str">
        <f>IFERROR(__xludf.DUMMYFUNCTION("""COMPUTED_VALUE"""),"EXTERNAL")</f>
        <v>EXTERNAL</v>
      </c>
      <c r="D7501" s="115">
        <f>IFERROR(__xludf.DUMMYFUNCTION("""COMPUTED_VALUE"""),41618.0)</f>
        <v>41618</v>
      </c>
      <c r="E7501" s="115">
        <f>IFERROR(__xludf.DUMMYFUNCTION("""COMPUTED_VALUE"""),2451.0)</f>
        <v>2451</v>
      </c>
      <c r="F7501" s="115">
        <f>IFERROR(__xludf.DUMMYFUNCTION("""COMPUTED_VALUE"""),18559.0)</f>
        <v>18559</v>
      </c>
      <c r="G7501" s="115">
        <f>IFERROR(__xludf.DUMMYFUNCTION("""COMPUTED_VALUE"""),1502.0)</f>
        <v>1502</v>
      </c>
      <c r="H7501" s="116">
        <f>IFERROR(__xludf.DUMMYFUNCTION("""COMPUTED_VALUE"""),45913.0)</f>
        <v>45913</v>
      </c>
      <c r="I7501" s="115" t="str">
        <f>IFERROR(__xludf.DUMMYFUNCTION("""COMPUTED_VALUE"""),"21")</f>
        <v>21</v>
      </c>
      <c r="J7501" s="115"/>
      <c r="K7501" s="115"/>
    </row>
    <row r="7502">
      <c r="A7502" s="115" t="str">
        <f>IFERROR(__xludf.DUMMYFUNCTION("""COMPUTED_VALUE"""),"WEST")</f>
        <v>WEST</v>
      </c>
      <c r="B7502" s="115" t="str">
        <f>IFERROR(__xludf.DUMMYFUNCTION("""COMPUTED_VALUE"""),"Ashvani Bhatt")</f>
        <v>Ashvani Bhatt</v>
      </c>
      <c r="C7502" s="115" t="str">
        <f>IFERROR(__xludf.DUMMYFUNCTION("""COMPUTED_VALUE"""),"FLIPKART")</f>
        <v>FLIPKART</v>
      </c>
      <c r="D7502" s="115">
        <f>IFERROR(__xludf.DUMMYFUNCTION("""COMPUTED_VALUE"""),343276.0)</f>
        <v>343276</v>
      </c>
      <c r="E7502" s="115">
        <f>IFERROR(__xludf.DUMMYFUNCTION("""COMPUTED_VALUE"""),32036.0)</f>
        <v>32036</v>
      </c>
      <c r="F7502" s="115">
        <f>IFERROR(__xludf.DUMMYFUNCTION("""COMPUTED_VALUE"""),268238.0)</f>
        <v>268238</v>
      </c>
      <c r="G7502" s="115">
        <f>IFERROR(__xludf.DUMMYFUNCTION("""COMPUTED_VALUE"""),22334.0)</f>
        <v>22334</v>
      </c>
      <c r="H7502" s="116">
        <f>IFERROR(__xludf.DUMMYFUNCTION("""COMPUTED_VALUE"""),45913.0)</f>
        <v>45913</v>
      </c>
      <c r="I7502" s="115" t="str">
        <f>IFERROR(__xludf.DUMMYFUNCTION("""COMPUTED_VALUE"""),"21")</f>
        <v>21</v>
      </c>
      <c r="J7502" s="115"/>
      <c r="K7502" s="115"/>
    </row>
    <row r="7503">
      <c r="A7503" s="115" t="str">
        <f>IFERROR(__xludf.DUMMYFUNCTION("""COMPUTED_VALUE"""),"WEST")</f>
        <v>WEST</v>
      </c>
      <c r="B7503" s="115" t="str">
        <f>IFERROR(__xludf.DUMMYFUNCTION("""COMPUTED_VALUE"""),"Ashvani Bhatt")</f>
        <v>Ashvani Bhatt</v>
      </c>
      <c r="C7503" s="115" t="str">
        <f>IFERROR(__xludf.DUMMYFUNCTION("""COMPUTED_VALUE"""),"MYNTRA")</f>
        <v>MYNTRA</v>
      </c>
      <c r="D7503" s="115">
        <f>IFERROR(__xludf.DUMMYFUNCTION("""COMPUTED_VALUE"""),36500.0)</f>
        <v>36500</v>
      </c>
      <c r="E7503" s="115">
        <f>IFERROR(__xludf.DUMMYFUNCTION("""COMPUTED_VALUE"""),9089.0)</f>
        <v>9089</v>
      </c>
      <c r="F7503" s="115">
        <f>IFERROR(__xludf.DUMMYFUNCTION("""COMPUTED_VALUE"""),30883.0)</f>
        <v>30883</v>
      </c>
      <c r="G7503" s="115">
        <f>IFERROR(__xludf.DUMMYFUNCTION("""COMPUTED_VALUE"""),6587.0)</f>
        <v>6587</v>
      </c>
      <c r="H7503" s="116">
        <f>IFERROR(__xludf.DUMMYFUNCTION("""COMPUTED_VALUE"""),45913.0)</f>
        <v>45913</v>
      </c>
      <c r="I7503" s="115" t="str">
        <f>IFERROR(__xludf.DUMMYFUNCTION("""COMPUTED_VALUE"""),"21")</f>
        <v>21</v>
      </c>
      <c r="J7503" s="115"/>
      <c r="K7503" s="115"/>
    </row>
    <row r="7504">
      <c r="A7504" s="115"/>
      <c r="B7504" s="115"/>
      <c r="C7504" s="115" t="str">
        <f>IFERROR(__xludf.DUMMYFUNCTION("""COMPUTED_VALUE"""),"EXTERNAL")</f>
        <v>EXTERNAL</v>
      </c>
      <c r="D7504" s="115">
        <f>IFERROR(__xludf.DUMMYFUNCTION("""COMPUTED_VALUE"""),1685.0)</f>
        <v>1685</v>
      </c>
      <c r="E7504" s="115">
        <f>IFERROR(__xludf.DUMMYFUNCTION("""COMPUTED_VALUE"""),270.0)</f>
        <v>270</v>
      </c>
      <c r="F7504" s="115">
        <f>IFERROR(__xludf.DUMMYFUNCTION("""COMPUTED_VALUE"""),838.0)</f>
        <v>838</v>
      </c>
      <c r="G7504" s="115">
        <f>IFERROR(__xludf.DUMMYFUNCTION("""COMPUTED_VALUE"""),131.0)</f>
        <v>131</v>
      </c>
      <c r="H7504" s="116">
        <f>IFERROR(__xludf.DUMMYFUNCTION("""COMPUTED_VALUE"""),45913.0)</f>
        <v>45913</v>
      </c>
      <c r="I7504" s="115" t="str">
        <f>IFERROR(__xludf.DUMMYFUNCTION("""COMPUTED_VALUE"""),"21")</f>
        <v>21</v>
      </c>
      <c r="J7504" s="115"/>
      <c r="K7504" s="115"/>
    </row>
    <row r="7505">
      <c r="A7505" s="115"/>
      <c r="B7505" s="115"/>
      <c r="C7505" s="115" t="str">
        <f>IFERROR(__xludf.DUMMYFUNCTION("""COMPUTED_VALUE"""),"FLIPKART")</f>
        <v>FLIPKART</v>
      </c>
      <c r="D7505" s="115">
        <f>IFERROR(__xludf.DUMMYFUNCTION("""COMPUTED_VALUE"""),20714.0)</f>
        <v>20714</v>
      </c>
      <c r="E7505" s="115">
        <f>IFERROR(__xludf.DUMMYFUNCTION("""COMPUTED_VALUE"""),1803.0)</f>
        <v>1803</v>
      </c>
      <c r="F7505" s="115">
        <f>IFERROR(__xludf.DUMMYFUNCTION("""COMPUTED_VALUE"""),15635.0)</f>
        <v>15635</v>
      </c>
      <c r="G7505" s="115">
        <f>IFERROR(__xludf.DUMMYFUNCTION("""COMPUTED_VALUE"""),1197.0)</f>
        <v>1197</v>
      </c>
      <c r="H7505" s="116">
        <f>IFERROR(__xludf.DUMMYFUNCTION("""COMPUTED_VALUE"""),45913.0)</f>
        <v>45913</v>
      </c>
      <c r="I7505" s="115" t="str">
        <f>IFERROR(__xludf.DUMMYFUNCTION("""COMPUTED_VALUE"""),"21")</f>
        <v>21</v>
      </c>
      <c r="J7505" s="115"/>
      <c r="K7505" s="115"/>
    </row>
    <row r="7506">
      <c r="A7506" s="115"/>
      <c r="B7506" s="115"/>
      <c r="C7506" s="115" t="str">
        <f>IFERROR(__xludf.DUMMYFUNCTION("""COMPUTED_VALUE"""),"MYNTRA")</f>
        <v>MYNTRA</v>
      </c>
      <c r="D7506" s="115">
        <f>IFERROR(__xludf.DUMMYFUNCTION("""COMPUTED_VALUE"""),1983.0)</f>
        <v>1983</v>
      </c>
      <c r="E7506" s="115">
        <f>IFERROR(__xludf.DUMMYFUNCTION("""COMPUTED_VALUE"""),519.0)</f>
        <v>519</v>
      </c>
      <c r="F7506" s="115">
        <f>IFERROR(__xludf.DUMMYFUNCTION("""COMPUTED_VALUE"""),1658.0)</f>
        <v>1658</v>
      </c>
      <c r="G7506" s="115">
        <f>IFERROR(__xludf.DUMMYFUNCTION("""COMPUTED_VALUE"""),382.0)</f>
        <v>382</v>
      </c>
      <c r="H7506" s="116">
        <f>IFERROR(__xludf.DUMMYFUNCTION("""COMPUTED_VALUE"""),45913.0)</f>
        <v>45913</v>
      </c>
      <c r="I7506" s="115" t="str">
        <f>IFERROR(__xludf.DUMMYFUNCTION("""COMPUTED_VALUE"""),"21")</f>
        <v>21</v>
      </c>
      <c r="J7506" s="115"/>
      <c r="K7506" s="115"/>
    </row>
    <row r="7507">
      <c r="A7507" s="115" t="str">
        <f>IFERROR(__xludf.DUMMYFUNCTION("""COMPUTED_VALUE"""),"EAST")</f>
        <v>EAST</v>
      </c>
      <c r="B7507" s="115" t="str">
        <f>IFERROR(__xludf.DUMMYFUNCTION("""COMPUTED_VALUE"""),"Ashish Ranjan")</f>
        <v>Ashish Ranjan</v>
      </c>
      <c r="C7507" s="115" t="str">
        <f>IFERROR(__xludf.DUMMYFUNCTION("""COMPUTED_VALUE"""),"EXTERNAL")</f>
        <v>EXTERNAL</v>
      </c>
      <c r="D7507" s="115">
        <f>IFERROR(__xludf.DUMMYFUNCTION("""COMPUTED_VALUE"""),43861.0)</f>
        <v>43861</v>
      </c>
      <c r="E7507" s="115">
        <f>IFERROR(__xludf.DUMMYFUNCTION("""COMPUTED_VALUE"""),2850.0)</f>
        <v>2850</v>
      </c>
      <c r="F7507" s="115">
        <f>IFERROR(__xludf.DUMMYFUNCTION("""COMPUTED_VALUE"""),25116.0)</f>
        <v>25116</v>
      </c>
      <c r="G7507" s="115">
        <f>IFERROR(__xludf.DUMMYFUNCTION("""COMPUTED_VALUE"""),1885.0)</f>
        <v>1885</v>
      </c>
      <c r="H7507" s="116">
        <f>IFERROR(__xludf.DUMMYFUNCTION("""COMPUTED_VALUE"""),45913.0)</f>
        <v>45913</v>
      </c>
      <c r="I7507" s="115" t="str">
        <f>IFERROR(__xludf.DUMMYFUNCTION("""COMPUTED_VALUE"""),"22")</f>
        <v>22</v>
      </c>
      <c r="J7507" s="115"/>
      <c r="K7507" s="115"/>
    </row>
    <row r="7508">
      <c r="A7508" s="115" t="str">
        <f>IFERROR(__xludf.DUMMYFUNCTION("""COMPUTED_VALUE"""),"EAST")</f>
        <v>EAST</v>
      </c>
      <c r="B7508" s="115" t="str">
        <f>IFERROR(__xludf.DUMMYFUNCTION("""COMPUTED_VALUE"""),"Ashish Ranjan")</f>
        <v>Ashish Ranjan</v>
      </c>
      <c r="C7508" s="115" t="str">
        <f>IFERROR(__xludf.DUMMYFUNCTION("""COMPUTED_VALUE"""),"FLIPKART")</f>
        <v>FLIPKART</v>
      </c>
      <c r="D7508" s="115">
        <f>IFERROR(__xludf.DUMMYFUNCTION("""COMPUTED_VALUE"""),917014.0)</f>
        <v>917014</v>
      </c>
      <c r="E7508" s="115">
        <f>IFERROR(__xludf.DUMMYFUNCTION("""COMPUTED_VALUE"""),75873.0)</f>
        <v>75873</v>
      </c>
      <c r="F7508" s="115">
        <f>IFERROR(__xludf.DUMMYFUNCTION("""COMPUTED_VALUE"""),820976.0)</f>
        <v>820976</v>
      </c>
      <c r="G7508" s="115">
        <f>IFERROR(__xludf.DUMMYFUNCTION("""COMPUTED_VALUE"""),62405.0)</f>
        <v>62405</v>
      </c>
      <c r="H7508" s="116">
        <f>IFERROR(__xludf.DUMMYFUNCTION("""COMPUTED_VALUE"""),45913.0)</f>
        <v>45913</v>
      </c>
      <c r="I7508" s="115" t="str">
        <f>IFERROR(__xludf.DUMMYFUNCTION("""COMPUTED_VALUE"""),"22")</f>
        <v>22</v>
      </c>
      <c r="J7508" s="115"/>
      <c r="K7508" s="115"/>
    </row>
    <row r="7509">
      <c r="A7509" s="115" t="str">
        <f>IFERROR(__xludf.DUMMYFUNCTION("""COMPUTED_VALUE"""),"EAST")</f>
        <v>EAST</v>
      </c>
      <c r="B7509" s="115" t="str">
        <f>IFERROR(__xludf.DUMMYFUNCTION("""COMPUTED_VALUE"""),"Ashish Ranjan")</f>
        <v>Ashish Ranjan</v>
      </c>
      <c r="C7509" s="115" t="str">
        <f>IFERROR(__xludf.DUMMYFUNCTION("""COMPUTED_VALUE"""),"MYNTRA")</f>
        <v>MYNTRA</v>
      </c>
      <c r="D7509" s="115">
        <f>IFERROR(__xludf.DUMMYFUNCTION("""COMPUTED_VALUE"""),89348.0)</f>
        <v>89348</v>
      </c>
      <c r="E7509" s="115">
        <f>IFERROR(__xludf.DUMMYFUNCTION("""COMPUTED_VALUE"""),17006.0)</f>
        <v>17006</v>
      </c>
      <c r="F7509" s="115">
        <f>IFERROR(__xludf.DUMMYFUNCTION("""COMPUTED_VALUE"""),80659.0)</f>
        <v>80659</v>
      </c>
      <c r="G7509" s="115">
        <f>IFERROR(__xludf.DUMMYFUNCTION("""COMPUTED_VALUE"""),13689.0)</f>
        <v>13689</v>
      </c>
      <c r="H7509" s="116">
        <f>IFERROR(__xludf.DUMMYFUNCTION("""COMPUTED_VALUE"""),45913.0)</f>
        <v>45913</v>
      </c>
      <c r="I7509" s="115" t="str">
        <f>IFERROR(__xludf.DUMMYFUNCTION("""COMPUTED_VALUE"""),"22")</f>
        <v>22</v>
      </c>
      <c r="J7509" s="115"/>
      <c r="K7509" s="115"/>
    </row>
    <row r="7510">
      <c r="A7510" s="115" t="str">
        <f>IFERROR(__xludf.DUMMYFUNCTION("""COMPUTED_VALUE"""),"EAST")</f>
        <v>EAST</v>
      </c>
      <c r="B7510" s="115" t="str">
        <f>IFERROR(__xludf.DUMMYFUNCTION("""COMPUTED_VALUE"""),"Girish Chand")</f>
        <v>Girish Chand</v>
      </c>
      <c r="C7510" s="115" t="str">
        <f>IFERROR(__xludf.DUMMYFUNCTION("""COMPUTED_VALUE"""),"EXTERNAL")</f>
        <v>EXTERNAL</v>
      </c>
      <c r="D7510" s="115">
        <f>IFERROR(__xludf.DUMMYFUNCTION("""COMPUTED_VALUE"""),23855.0)</f>
        <v>23855</v>
      </c>
      <c r="E7510" s="115">
        <f>IFERROR(__xludf.DUMMYFUNCTION("""COMPUTED_VALUE"""),1413.0)</f>
        <v>1413</v>
      </c>
      <c r="F7510" s="115">
        <f>IFERROR(__xludf.DUMMYFUNCTION("""COMPUTED_VALUE"""),10745.0)</f>
        <v>10745</v>
      </c>
      <c r="G7510" s="115">
        <f>IFERROR(__xludf.DUMMYFUNCTION("""COMPUTED_VALUE"""),720.0)</f>
        <v>720</v>
      </c>
      <c r="H7510" s="116">
        <f>IFERROR(__xludf.DUMMYFUNCTION("""COMPUTED_VALUE"""),45913.0)</f>
        <v>45913</v>
      </c>
      <c r="I7510" s="115" t="str">
        <f>IFERROR(__xludf.DUMMYFUNCTION("""COMPUTED_VALUE"""),"22")</f>
        <v>22</v>
      </c>
      <c r="J7510" s="115"/>
      <c r="K7510" s="115"/>
    </row>
    <row r="7511">
      <c r="A7511" s="115" t="str">
        <f>IFERROR(__xludf.DUMMYFUNCTION("""COMPUTED_VALUE"""),"EAST")</f>
        <v>EAST</v>
      </c>
      <c r="B7511" s="115" t="str">
        <f>IFERROR(__xludf.DUMMYFUNCTION("""COMPUTED_VALUE"""),"Girish Chand")</f>
        <v>Girish Chand</v>
      </c>
      <c r="C7511" s="115" t="str">
        <f>IFERROR(__xludf.DUMMYFUNCTION("""COMPUTED_VALUE"""),"FLIPKART")</f>
        <v>FLIPKART</v>
      </c>
      <c r="D7511" s="115">
        <f>IFERROR(__xludf.DUMMYFUNCTION("""COMPUTED_VALUE"""),510400.0)</f>
        <v>510400</v>
      </c>
      <c r="E7511" s="115">
        <f>IFERROR(__xludf.DUMMYFUNCTION("""COMPUTED_VALUE"""),40779.0)</f>
        <v>40779</v>
      </c>
      <c r="F7511" s="115">
        <f>IFERROR(__xludf.DUMMYFUNCTION("""COMPUTED_VALUE"""),389286.0)</f>
        <v>389286</v>
      </c>
      <c r="G7511" s="115">
        <f>IFERROR(__xludf.DUMMYFUNCTION("""COMPUTED_VALUE"""),30491.0)</f>
        <v>30491</v>
      </c>
      <c r="H7511" s="116">
        <f>IFERROR(__xludf.DUMMYFUNCTION("""COMPUTED_VALUE"""),45913.0)</f>
        <v>45913</v>
      </c>
      <c r="I7511" s="115" t="str">
        <f>IFERROR(__xludf.DUMMYFUNCTION("""COMPUTED_VALUE"""),"22")</f>
        <v>22</v>
      </c>
      <c r="J7511" s="115"/>
      <c r="K7511" s="115"/>
    </row>
    <row r="7512">
      <c r="A7512" s="115" t="str">
        <f>IFERROR(__xludf.DUMMYFUNCTION("""COMPUTED_VALUE"""),"EAST")</f>
        <v>EAST</v>
      </c>
      <c r="B7512" s="115" t="str">
        <f>IFERROR(__xludf.DUMMYFUNCTION("""COMPUTED_VALUE"""),"Girish Chand")</f>
        <v>Girish Chand</v>
      </c>
      <c r="C7512" s="115" t="str">
        <f>IFERROR(__xludf.DUMMYFUNCTION("""COMPUTED_VALUE"""),"MYNTRA")</f>
        <v>MYNTRA</v>
      </c>
      <c r="D7512" s="115">
        <f>IFERROR(__xludf.DUMMYFUNCTION("""COMPUTED_VALUE"""),39643.0)</f>
        <v>39643</v>
      </c>
      <c r="E7512" s="115">
        <f>IFERROR(__xludf.DUMMYFUNCTION("""COMPUTED_VALUE"""),7317.0)</f>
        <v>7317</v>
      </c>
      <c r="F7512" s="115">
        <f>IFERROR(__xludf.DUMMYFUNCTION("""COMPUTED_VALUE"""),31681.0)</f>
        <v>31681</v>
      </c>
      <c r="G7512" s="115">
        <f>IFERROR(__xludf.DUMMYFUNCTION("""COMPUTED_VALUE"""),5511.0)</f>
        <v>5511</v>
      </c>
      <c r="H7512" s="116">
        <f>IFERROR(__xludf.DUMMYFUNCTION("""COMPUTED_VALUE"""),45913.0)</f>
        <v>45913</v>
      </c>
      <c r="I7512" s="115" t="str">
        <f>IFERROR(__xludf.DUMMYFUNCTION("""COMPUTED_VALUE"""),"22")</f>
        <v>22</v>
      </c>
      <c r="J7512" s="115"/>
      <c r="K7512" s="115"/>
    </row>
    <row r="7513">
      <c r="A7513" s="115" t="str">
        <f>IFERROR(__xludf.DUMMYFUNCTION("""COMPUTED_VALUE"""),"EAST")</f>
        <v>EAST</v>
      </c>
      <c r="B7513" s="115" t="str">
        <f>IFERROR(__xludf.DUMMYFUNCTION("""COMPUTED_VALUE"""),"Parag Kashyap")</f>
        <v>Parag Kashyap</v>
      </c>
      <c r="C7513" s="115" t="str">
        <f>IFERROR(__xludf.DUMMYFUNCTION("""COMPUTED_VALUE"""),"EXTERNAL")</f>
        <v>EXTERNAL</v>
      </c>
      <c r="D7513" s="115">
        <f>IFERROR(__xludf.DUMMYFUNCTION("""COMPUTED_VALUE"""),16623.0)</f>
        <v>16623</v>
      </c>
      <c r="E7513" s="115">
        <f>IFERROR(__xludf.DUMMYFUNCTION("""COMPUTED_VALUE"""),748.0)</f>
        <v>748</v>
      </c>
      <c r="F7513" s="115">
        <f>IFERROR(__xludf.DUMMYFUNCTION("""COMPUTED_VALUE"""),7611.0)</f>
        <v>7611</v>
      </c>
      <c r="G7513" s="115">
        <f>IFERROR(__xludf.DUMMYFUNCTION("""COMPUTED_VALUE"""),373.0)</f>
        <v>373</v>
      </c>
      <c r="H7513" s="116">
        <f>IFERROR(__xludf.DUMMYFUNCTION("""COMPUTED_VALUE"""),45913.0)</f>
        <v>45913</v>
      </c>
      <c r="I7513" s="115" t="str">
        <f>IFERROR(__xludf.DUMMYFUNCTION("""COMPUTED_VALUE"""),"22")</f>
        <v>22</v>
      </c>
      <c r="J7513" s="115"/>
      <c r="K7513" s="115"/>
    </row>
    <row r="7514">
      <c r="A7514" s="115" t="str">
        <f>IFERROR(__xludf.DUMMYFUNCTION("""COMPUTED_VALUE"""),"EAST")</f>
        <v>EAST</v>
      </c>
      <c r="B7514" s="115" t="str">
        <f>IFERROR(__xludf.DUMMYFUNCTION("""COMPUTED_VALUE"""),"Parag Kashyap")</f>
        <v>Parag Kashyap</v>
      </c>
      <c r="C7514" s="115" t="str">
        <f>IFERROR(__xludf.DUMMYFUNCTION("""COMPUTED_VALUE"""),"FLIPKART")</f>
        <v>FLIPKART</v>
      </c>
      <c r="D7514" s="115">
        <f>IFERROR(__xludf.DUMMYFUNCTION("""COMPUTED_VALUE"""),317764.0)</f>
        <v>317764</v>
      </c>
      <c r="E7514" s="115">
        <f>IFERROR(__xludf.DUMMYFUNCTION("""COMPUTED_VALUE"""),20072.0)</f>
        <v>20072</v>
      </c>
      <c r="F7514" s="115">
        <f>IFERROR(__xludf.DUMMYFUNCTION("""COMPUTED_VALUE"""),253975.0)</f>
        <v>253975</v>
      </c>
      <c r="G7514" s="115">
        <f>IFERROR(__xludf.DUMMYFUNCTION("""COMPUTED_VALUE"""),14841.0)</f>
        <v>14841</v>
      </c>
      <c r="H7514" s="116">
        <f>IFERROR(__xludf.DUMMYFUNCTION("""COMPUTED_VALUE"""),45913.0)</f>
        <v>45913</v>
      </c>
      <c r="I7514" s="115" t="str">
        <f>IFERROR(__xludf.DUMMYFUNCTION("""COMPUTED_VALUE"""),"22")</f>
        <v>22</v>
      </c>
      <c r="J7514" s="115"/>
      <c r="K7514" s="115"/>
    </row>
    <row r="7515">
      <c r="A7515" s="115" t="str">
        <f>IFERROR(__xludf.DUMMYFUNCTION("""COMPUTED_VALUE"""),"EAST")</f>
        <v>EAST</v>
      </c>
      <c r="B7515" s="115" t="str">
        <f>IFERROR(__xludf.DUMMYFUNCTION("""COMPUTED_VALUE"""),"Parag Kashyap")</f>
        <v>Parag Kashyap</v>
      </c>
      <c r="C7515" s="115" t="str">
        <f>IFERROR(__xludf.DUMMYFUNCTION("""COMPUTED_VALUE"""),"MYNTRA")</f>
        <v>MYNTRA</v>
      </c>
      <c r="D7515" s="115">
        <f>IFERROR(__xludf.DUMMYFUNCTION("""COMPUTED_VALUE"""),36634.0)</f>
        <v>36634</v>
      </c>
      <c r="E7515" s="115">
        <f>IFERROR(__xludf.DUMMYFUNCTION("""COMPUTED_VALUE"""),6165.0)</f>
        <v>6165</v>
      </c>
      <c r="F7515" s="115">
        <f>IFERROR(__xludf.DUMMYFUNCTION("""COMPUTED_VALUE"""),29749.0)</f>
        <v>29749</v>
      </c>
      <c r="G7515" s="115">
        <f>IFERROR(__xludf.DUMMYFUNCTION("""COMPUTED_VALUE"""),4584.0)</f>
        <v>4584</v>
      </c>
      <c r="H7515" s="116">
        <f>IFERROR(__xludf.DUMMYFUNCTION("""COMPUTED_VALUE"""),45913.0)</f>
        <v>45913</v>
      </c>
      <c r="I7515" s="115" t="str">
        <f>IFERROR(__xludf.DUMMYFUNCTION("""COMPUTED_VALUE"""),"22")</f>
        <v>22</v>
      </c>
      <c r="J7515" s="115"/>
      <c r="K7515" s="115"/>
    </row>
    <row r="7516">
      <c r="A7516" s="115" t="str">
        <f>IFERROR(__xludf.DUMMYFUNCTION("""COMPUTED_VALUE"""),"NORTH")</f>
        <v>NORTH</v>
      </c>
      <c r="B7516" s="115" t="str">
        <f>IFERROR(__xludf.DUMMYFUNCTION("""COMPUTED_VALUE"""),"Amit Kumar Pathak")</f>
        <v>Amit Kumar Pathak</v>
      </c>
      <c r="C7516" s="115" t="str">
        <f>IFERROR(__xludf.DUMMYFUNCTION("""COMPUTED_VALUE"""),"EXTERNAL")</f>
        <v>EXTERNAL</v>
      </c>
      <c r="D7516" s="115">
        <f>IFERROR(__xludf.DUMMYFUNCTION("""COMPUTED_VALUE"""),30765.0)</f>
        <v>30765</v>
      </c>
      <c r="E7516" s="115">
        <f>IFERROR(__xludf.DUMMYFUNCTION("""COMPUTED_VALUE"""),2676.0)</f>
        <v>2676</v>
      </c>
      <c r="F7516" s="115">
        <f>IFERROR(__xludf.DUMMYFUNCTION("""COMPUTED_VALUE"""),13083.0)</f>
        <v>13083</v>
      </c>
      <c r="G7516" s="115">
        <f>IFERROR(__xludf.DUMMYFUNCTION("""COMPUTED_VALUE"""),1649.0)</f>
        <v>1649</v>
      </c>
      <c r="H7516" s="116">
        <f>IFERROR(__xludf.DUMMYFUNCTION("""COMPUTED_VALUE"""),45913.0)</f>
        <v>45913</v>
      </c>
      <c r="I7516" s="115" t="str">
        <f>IFERROR(__xludf.DUMMYFUNCTION("""COMPUTED_VALUE"""),"22")</f>
        <v>22</v>
      </c>
      <c r="J7516" s="115"/>
      <c r="K7516" s="115"/>
    </row>
    <row r="7517">
      <c r="A7517" s="115" t="str">
        <f>IFERROR(__xludf.DUMMYFUNCTION("""COMPUTED_VALUE"""),"NORTH")</f>
        <v>NORTH</v>
      </c>
      <c r="B7517" s="115" t="str">
        <f>IFERROR(__xludf.DUMMYFUNCTION("""COMPUTED_VALUE"""),"Amit Kumar Pathak")</f>
        <v>Amit Kumar Pathak</v>
      </c>
      <c r="C7517" s="115" t="str">
        <f>IFERROR(__xludf.DUMMYFUNCTION("""COMPUTED_VALUE"""),"FLIPKART")</f>
        <v>FLIPKART</v>
      </c>
      <c r="D7517" s="115">
        <f>IFERROR(__xludf.DUMMYFUNCTION("""COMPUTED_VALUE"""),219774.0)</f>
        <v>219774</v>
      </c>
      <c r="E7517" s="115">
        <f>IFERROR(__xludf.DUMMYFUNCTION("""COMPUTED_VALUE"""),23973.0)</f>
        <v>23973</v>
      </c>
      <c r="F7517" s="115">
        <f>IFERROR(__xludf.DUMMYFUNCTION("""COMPUTED_VALUE"""),172493.0)</f>
        <v>172493</v>
      </c>
      <c r="G7517" s="115">
        <f>IFERROR(__xludf.DUMMYFUNCTION("""COMPUTED_VALUE"""),17327.0)</f>
        <v>17327</v>
      </c>
      <c r="H7517" s="116">
        <f>IFERROR(__xludf.DUMMYFUNCTION("""COMPUTED_VALUE"""),45913.0)</f>
        <v>45913</v>
      </c>
      <c r="I7517" s="115" t="str">
        <f>IFERROR(__xludf.DUMMYFUNCTION("""COMPUTED_VALUE"""),"22")</f>
        <v>22</v>
      </c>
      <c r="J7517" s="115"/>
      <c r="K7517" s="115"/>
    </row>
    <row r="7518">
      <c r="A7518" s="115" t="str">
        <f>IFERROR(__xludf.DUMMYFUNCTION("""COMPUTED_VALUE"""),"NORTH")</f>
        <v>NORTH</v>
      </c>
      <c r="B7518" s="115" t="str">
        <f>IFERROR(__xludf.DUMMYFUNCTION("""COMPUTED_VALUE"""),"Amit Kumar Pathak")</f>
        <v>Amit Kumar Pathak</v>
      </c>
      <c r="C7518" s="115" t="str">
        <f>IFERROR(__xludf.DUMMYFUNCTION("""COMPUTED_VALUE"""),"MYNTRA")</f>
        <v>MYNTRA</v>
      </c>
      <c r="D7518" s="115">
        <f>IFERROR(__xludf.DUMMYFUNCTION("""COMPUTED_VALUE"""),18112.0)</f>
        <v>18112</v>
      </c>
      <c r="E7518" s="115">
        <f>IFERROR(__xludf.DUMMYFUNCTION("""COMPUTED_VALUE"""),5807.0)</f>
        <v>5807</v>
      </c>
      <c r="F7518" s="115">
        <f>IFERROR(__xludf.DUMMYFUNCTION("""COMPUTED_VALUE"""),15507.0)</f>
        <v>15507</v>
      </c>
      <c r="G7518" s="115">
        <f>IFERROR(__xludf.DUMMYFUNCTION("""COMPUTED_VALUE"""),4268.0)</f>
        <v>4268</v>
      </c>
      <c r="H7518" s="116">
        <f>IFERROR(__xludf.DUMMYFUNCTION("""COMPUTED_VALUE"""),45913.0)</f>
        <v>45913</v>
      </c>
      <c r="I7518" s="115" t="str">
        <f>IFERROR(__xludf.DUMMYFUNCTION("""COMPUTED_VALUE"""),"22")</f>
        <v>22</v>
      </c>
      <c r="J7518" s="115"/>
      <c r="K7518" s="115"/>
    </row>
    <row r="7519">
      <c r="A7519" s="115" t="str">
        <f>IFERROR(__xludf.DUMMYFUNCTION("""COMPUTED_VALUE"""),"NORTH")</f>
        <v>NORTH</v>
      </c>
      <c r="B7519" s="115" t="str">
        <f>IFERROR(__xludf.DUMMYFUNCTION("""COMPUTED_VALUE"""),"Loveleen Singh")</f>
        <v>Loveleen Singh</v>
      </c>
      <c r="C7519" s="115" t="str">
        <f>IFERROR(__xludf.DUMMYFUNCTION("""COMPUTED_VALUE"""),"EXTERNAL")</f>
        <v>EXTERNAL</v>
      </c>
      <c r="D7519" s="115">
        <f>IFERROR(__xludf.DUMMYFUNCTION("""COMPUTED_VALUE"""),34790.0)</f>
        <v>34790</v>
      </c>
      <c r="E7519" s="115">
        <f>IFERROR(__xludf.DUMMYFUNCTION("""COMPUTED_VALUE"""),1887.0)</f>
        <v>1887</v>
      </c>
      <c r="F7519" s="115">
        <f>IFERROR(__xludf.DUMMYFUNCTION("""COMPUTED_VALUE"""),14864.0)</f>
        <v>14864</v>
      </c>
      <c r="G7519" s="115">
        <f>IFERROR(__xludf.DUMMYFUNCTION("""COMPUTED_VALUE"""),914.0)</f>
        <v>914</v>
      </c>
      <c r="H7519" s="116">
        <f>IFERROR(__xludf.DUMMYFUNCTION("""COMPUTED_VALUE"""),45913.0)</f>
        <v>45913</v>
      </c>
      <c r="I7519" s="115" t="str">
        <f>IFERROR(__xludf.DUMMYFUNCTION("""COMPUTED_VALUE"""),"22")</f>
        <v>22</v>
      </c>
      <c r="J7519" s="115"/>
      <c r="K7519" s="115"/>
    </row>
    <row r="7520">
      <c r="A7520" s="115" t="str">
        <f>IFERROR(__xludf.DUMMYFUNCTION("""COMPUTED_VALUE"""),"NORTH")</f>
        <v>NORTH</v>
      </c>
      <c r="B7520" s="115" t="str">
        <f>IFERROR(__xludf.DUMMYFUNCTION("""COMPUTED_VALUE"""),"Loveleen Singh")</f>
        <v>Loveleen Singh</v>
      </c>
      <c r="C7520" s="115" t="str">
        <f>IFERROR(__xludf.DUMMYFUNCTION("""COMPUTED_VALUE"""),"FLIPKART")</f>
        <v>FLIPKART</v>
      </c>
      <c r="D7520" s="115">
        <f>IFERROR(__xludf.DUMMYFUNCTION("""COMPUTED_VALUE"""),227809.0)</f>
        <v>227809</v>
      </c>
      <c r="E7520" s="115">
        <f>IFERROR(__xludf.DUMMYFUNCTION("""COMPUTED_VALUE"""),15668.0)</f>
        <v>15668</v>
      </c>
      <c r="F7520" s="115">
        <f>IFERROR(__xludf.DUMMYFUNCTION("""COMPUTED_VALUE"""),177700.0)</f>
        <v>177700</v>
      </c>
      <c r="G7520" s="115">
        <f>IFERROR(__xludf.DUMMYFUNCTION("""COMPUTED_VALUE"""),10930.0)</f>
        <v>10930</v>
      </c>
      <c r="H7520" s="116">
        <f>IFERROR(__xludf.DUMMYFUNCTION("""COMPUTED_VALUE"""),45913.0)</f>
        <v>45913</v>
      </c>
      <c r="I7520" s="115" t="str">
        <f>IFERROR(__xludf.DUMMYFUNCTION("""COMPUTED_VALUE"""),"22")</f>
        <v>22</v>
      </c>
      <c r="J7520" s="115"/>
      <c r="K7520" s="115"/>
    </row>
    <row r="7521">
      <c r="A7521" s="115" t="str">
        <f>IFERROR(__xludf.DUMMYFUNCTION("""COMPUTED_VALUE"""),"NORTH")</f>
        <v>NORTH</v>
      </c>
      <c r="B7521" s="115" t="str">
        <f>IFERROR(__xludf.DUMMYFUNCTION("""COMPUTED_VALUE"""),"Loveleen Singh")</f>
        <v>Loveleen Singh</v>
      </c>
      <c r="C7521" s="115" t="str">
        <f>IFERROR(__xludf.DUMMYFUNCTION("""COMPUTED_VALUE"""),"MYNTRA")</f>
        <v>MYNTRA</v>
      </c>
      <c r="D7521" s="115">
        <f>IFERROR(__xludf.DUMMYFUNCTION("""COMPUTED_VALUE"""),33955.0)</f>
        <v>33955</v>
      </c>
      <c r="E7521" s="115">
        <f>IFERROR(__xludf.DUMMYFUNCTION("""COMPUTED_VALUE"""),6272.0)</f>
        <v>6272</v>
      </c>
      <c r="F7521" s="115">
        <f>IFERROR(__xludf.DUMMYFUNCTION("""COMPUTED_VALUE"""),28089.0)</f>
        <v>28089</v>
      </c>
      <c r="G7521" s="115">
        <f>IFERROR(__xludf.DUMMYFUNCTION("""COMPUTED_VALUE"""),4448.0)</f>
        <v>4448</v>
      </c>
      <c r="H7521" s="116">
        <f>IFERROR(__xludf.DUMMYFUNCTION("""COMPUTED_VALUE"""),45913.0)</f>
        <v>45913</v>
      </c>
      <c r="I7521" s="115" t="str">
        <f>IFERROR(__xludf.DUMMYFUNCTION("""COMPUTED_VALUE"""),"22")</f>
        <v>22</v>
      </c>
      <c r="J7521" s="115"/>
      <c r="K7521" s="115"/>
    </row>
    <row r="7522">
      <c r="A7522" s="115" t="str">
        <f>IFERROR(__xludf.DUMMYFUNCTION("""COMPUTED_VALUE"""),"NORTH")</f>
        <v>NORTH</v>
      </c>
      <c r="B7522" s="115" t="str">
        <f>IFERROR(__xludf.DUMMYFUNCTION("""COMPUTED_VALUE"""),"Manoj Harsh")</f>
        <v>Manoj Harsh</v>
      </c>
      <c r="C7522" s="115" t="str">
        <f>IFERROR(__xludf.DUMMYFUNCTION("""COMPUTED_VALUE"""),"EXTERNAL")</f>
        <v>EXTERNAL</v>
      </c>
      <c r="D7522" s="115">
        <f>IFERROR(__xludf.DUMMYFUNCTION("""COMPUTED_VALUE"""),38208.0)</f>
        <v>38208</v>
      </c>
      <c r="E7522" s="115">
        <f>IFERROR(__xludf.DUMMYFUNCTION("""COMPUTED_VALUE"""),1923.0)</f>
        <v>1923</v>
      </c>
      <c r="F7522" s="115">
        <f>IFERROR(__xludf.DUMMYFUNCTION("""COMPUTED_VALUE"""),18696.0)</f>
        <v>18696</v>
      </c>
      <c r="G7522" s="115">
        <f>IFERROR(__xludf.DUMMYFUNCTION("""COMPUTED_VALUE"""),1034.0)</f>
        <v>1034</v>
      </c>
      <c r="H7522" s="116">
        <f>IFERROR(__xludf.DUMMYFUNCTION("""COMPUTED_VALUE"""),45913.0)</f>
        <v>45913</v>
      </c>
      <c r="I7522" s="115" t="str">
        <f>IFERROR(__xludf.DUMMYFUNCTION("""COMPUTED_VALUE"""),"22")</f>
        <v>22</v>
      </c>
      <c r="J7522" s="115"/>
      <c r="K7522" s="115"/>
    </row>
    <row r="7523">
      <c r="A7523" s="115" t="str">
        <f>IFERROR(__xludf.DUMMYFUNCTION("""COMPUTED_VALUE"""),"NORTH")</f>
        <v>NORTH</v>
      </c>
      <c r="B7523" s="115" t="str">
        <f>IFERROR(__xludf.DUMMYFUNCTION("""COMPUTED_VALUE"""),"Manoj Harsh")</f>
        <v>Manoj Harsh</v>
      </c>
      <c r="C7523" s="115" t="str">
        <f>IFERROR(__xludf.DUMMYFUNCTION("""COMPUTED_VALUE"""),"FLIPKART")</f>
        <v>FLIPKART</v>
      </c>
      <c r="D7523" s="115">
        <f>IFERROR(__xludf.DUMMYFUNCTION("""COMPUTED_VALUE"""),487855.0)</f>
        <v>487855</v>
      </c>
      <c r="E7523" s="115">
        <f>IFERROR(__xludf.DUMMYFUNCTION("""COMPUTED_VALUE"""),42008.0)</f>
        <v>42008</v>
      </c>
      <c r="F7523" s="115">
        <f>IFERROR(__xludf.DUMMYFUNCTION("""COMPUTED_VALUE"""),375848.0)</f>
        <v>375848</v>
      </c>
      <c r="G7523" s="115">
        <f>IFERROR(__xludf.DUMMYFUNCTION("""COMPUTED_VALUE"""),30116.0)</f>
        <v>30116</v>
      </c>
      <c r="H7523" s="116">
        <f>IFERROR(__xludf.DUMMYFUNCTION("""COMPUTED_VALUE"""),45913.0)</f>
        <v>45913</v>
      </c>
      <c r="I7523" s="115" t="str">
        <f>IFERROR(__xludf.DUMMYFUNCTION("""COMPUTED_VALUE"""),"22")</f>
        <v>22</v>
      </c>
      <c r="J7523" s="115"/>
      <c r="K7523" s="115"/>
    </row>
    <row r="7524">
      <c r="A7524" s="115" t="str">
        <f>IFERROR(__xludf.DUMMYFUNCTION("""COMPUTED_VALUE"""),"NORTH")</f>
        <v>NORTH</v>
      </c>
      <c r="B7524" s="115" t="str">
        <f>IFERROR(__xludf.DUMMYFUNCTION("""COMPUTED_VALUE"""),"Manoj Harsh")</f>
        <v>Manoj Harsh</v>
      </c>
      <c r="C7524" s="115" t="str">
        <f>IFERROR(__xludf.DUMMYFUNCTION("""COMPUTED_VALUE"""),"MYNTRA")</f>
        <v>MYNTRA</v>
      </c>
      <c r="D7524" s="115">
        <f>IFERROR(__xludf.DUMMYFUNCTION("""COMPUTED_VALUE"""),36697.0)</f>
        <v>36697</v>
      </c>
      <c r="E7524" s="115">
        <f>IFERROR(__xludf.DUMMYFUNCTION("""COMPUTED_VALUE"""),7662.0)</f>
        <v>7662</v>
      </c>
      <c r="F7524" s="115">
        <f>IFERROR(__xludf.DUMMYFUNCTION("""COMPUTED_VALUE"""),29999.0)</f>
        <v>29999</v>
      </c>
      <c r="G7524" s="115">
        <f>IFERROR(__xludf.DUMMYFUNCTION("""COMPUTED_VALUE"""),5718.0)</f>
        <v>5718</v>
      </c>
      <c r="H7524" s="116">
        <f>IFERROR(__xludf.DUMMYFUNCTION("""COMPUTED_VALUE"""),45913.0)</f>
        <v>45913</v>
      </c>
      <c r="I7524" s="115" t="str">
        <f>IFERROR(__xludf.DUMMYFUNCTION("""COMPUTED_VALUE"""),"22")</f>
        <v>22</v>
      </c>
      <c r="J7524" s="115"/>
      <c r="K7524" s="115"/>
    </row>
    <row r="7525">
      <c r="A7525" s="115" t="str">
        <f>IFERROR(__xludf.DUMMYFUNCTION("""COMPUTED_VALUE"""),"NORTH")</f>
        <v>NORTH</v>
      </c>
      <c r="B7525" s="115" t="str">
        <f>IFERROR(__xludf.DUMMYFUNCTION("""COMPUTED_VALUE"""),"Pradeep Kothari")</f>
        <v>Pradeep Kothari</v>
      </c>
      <c r="C7525" s="115" t="str">
        <f>IFERROR(__xludf.DUMMYFUNCTION("""COMPUTED_VALUE"""),"EXTERNAL")</f>
        <v>EXTERNAL</v>
      </c>
      <c r="D7525" s="115">
        <f>IFERROR(__xludf.DUMMYFUNCTION("""COMPUTED_VALUE"""),20088.0)</f>
        <v>20088</v>
      </c>
      <c r="E7525" s="115">
        <f>IFERROR(__xludf.DUMMYFUNCTION("""COMPUTED_VALUE"""),1410.0)</f>
        <v>1410</v>
      </c>
      <c r="F7525" s="115">
        <f>IFERROR(__xludf.DUMMYFUNCTION("""COMPUTED_VALUE"""),8890.0)</f>
        <v>8890</v>
      </c>
      <c r="G7525" s="115">
        <f>IFERROR(__xludf.DUMMYFUNCTION("""COMPUTED_VALUE"""),803.0)</f>
        <v>803</v>
      </c>
      <c r="H7525" s="116">
        <f>IFERROR(__xludf.DUMMYFUNCTION("""COMPUTED_VALUE"""),45913.0)</f>
        <v>45913</v>
      </c>
      <c r="I7525" s="115" t="str">
        <f>IFERROR(__xludf.DUMMYFUNCTION("""COMPUTED_VALUE"""),"22")</f>
        <v>22</v>
      </c>
      <c r="J7525" s="115"/>
      <c r="K7525" s="115"/>
    </row>
    <row r="7526">
      <c r="A7526" s="115" t="str">
        <f>IFERROR(__xludf.DUMMYFUNCTION("""COMPUTED_VALUE"""),"NORTH")</f>
        <v>NORTH</v>
      </c>
      <c r="B7526" s="115" t="str">
        <f>IFERROR(__xludf.DUMMYFUNCTION("""COMPUTED_VALUE"""),"Pradeep Kothari")</f>
        <v>Pradeep Kothari</v>
      </c>
      <c r="C7526" s="115" t="str">
        <f>IFERROR(__xludf.DUMMYFUNCTION("""COMPUTED_VALUE"""),"FLIPKART")</f>
        <v>FLIPKART</v>
      </c>
      <c r="D7526" s="115">
        <f>IFERROR(__xludf.DUMMYFUNCTION("""COMPUTED_VALUE"""),180506.0)</f>
        <v>180506</v>
      </c>
      <c r="E7526" s="115">
        <f>IFERROR(__xludf.DUMMYFUNCTION("""COMPUTED_VALUE"""),18174.0)</f>
        <v>18174</v>
      </c>
      <c r="F7526" s="115">
        <f>IFERROR(__xludf.DUMMYFUNCTION("""COMPUTED_VALUE"""),142257.0)</f>
        <v>142257</v>
      </c>
      <c r="G7526" s="115">
        <f>IFERROR(__xludf.DUMMYFUNCTION("""COMPUTED_VALUE"""),13352.0)</f>
        <v>13352</v>
      </c>
      <c r="H7526" s="116">
        <f>IFERROR(__xludf.DUMMYFUNCTION("""COMPUTED_VALUE"""),45913.0)</f>
        <v>45913</v>
      </c>
      <c r="I7526" s="115" t="str">
        <f>IFERROR(__xludf.DUMMYFUNCTION("""COMPUTED_VALUE"""),"22")</f>
        <v>22</v>
      </c>
      <c r="J7526" s="115"/>
      <c r="K7526" s="115"/>
    </row>
    <row r="7527">
      <c r="A7527" s="115" t="str">
        <f>IFERROR(__xludf.DUMMYFUNCTION("""COMPUTED_VALUE"""),"NORTH")</f>
        <v>NORTH</v>
      </c>
      <c r="B7527" s="115" t="str">
        <f>IFERROR(__xludf.DUMMYFUNCTION("""COMPUTED_VALUE"""),"Pradeep Kothari")</f>
        <v>Pradeep Kothari</v>
      </c>
      <c r="C7527" s="115" t="str">
        <f>IFERROR(__xludf.DUMMYFUNCTION("""COMPUTED_VALUE"""),"MYNTRA")</f>
        <v>MYNTRA</v>
      </c>
      <c r="D7527" s="115">
        <f>IFERROR(__xludf.DUMMYFUNCTION("""COMPUTED_VALUE"""),27406.0)</f>
        <v>27406</v>
      </c>
      <c r="E7527" s="115">
        <f>IFERROR(__xludf.DUMMYFUNCTION("""COMPUTED_VALUE"""),6290.0)</f>
        <v>6290</v>
      </c>
      <c r="F7527" s="115">
        <f>IFERROR(__xludf.DUMMYFUNCTION("""COMPUTED_VALUE"""),23369.0)</f>
        <v>23369</v>
      </c>
      <c r="G7527" s="115">
        <f>IFERROR(__xludf.DUMMYFUNCTION("""COMPUTED_VALUE"""),4888.0)</f>
        <v>4888</v>
      </c>
      <c r="H7527" s="116">
        <f>IFERROR(__xludf.DUMMYFUNCTION("""COMPUTED_VALUE"""),45913.0)</f>
        <v>45913</v>
      </c>
      <c r="I7527" s="115" t="str">
        <f>IFERROR(__xludf.DUMMYFUNCTION("""COMPUTED_VALUE"""),"22")</f>
        <v>22</v>
      </c>
      <c r="J7527" s="115"/>
      <c r="K7527" s="115"/>
    </row>
    <row r="7528">
      <c r="A7528" s="115" t="str">
        <f>IFERROR(__xludf.DUMMYFUNCTION("""COMPUTED_VALUE"""),"SOUTH")</f>
        <v>SOUTH</v>
      </c>
      <c r="B7528" s="115" t="str">
        <f>IFERROR(__xludf.DUMMYFUNCTION("""COMPUTED_VALUE"""),"Kandula Sampath")</f>
        <v>Kandula Sampath</v>
      </c>
      <c r="C7528" s="115" t="str">
        <f>IFERROR(__xludf.DUMMYFUNCTION("""COMPUTED_VALUE"""),"EXTERNAL")</f>
        <v>EXTERNAL</v>
      </c>
      <c r="D7528" s="115">
        <f>IFERROR(__xludf.DUMMYFUNCTION("""COMPUTED_VALUE"""),35122.0)</f>
        <v>35122</v>
      </c>
      <c r="E7528" s="115">
        <f>IFERROR(__xludf.DUMMYFUNCTION("""COMPUTED_VALUE"""),3423.0)</f>
        <v>3423</v>
      </c>
      <c r="F7528" s="115">
        <f>IFERROR(__xludf.DUMMYFUNCTION("""COMPUTED_VALUE"""),16252.0)</f>
        <v>16252</v>
      </c>
      <c r="G7528" s="115">
        <f>IFERROR(__xludf.DUMMYFUNCTION("""COMPUTED_VALUE"""),1605.0)</f>
        <v>1605</v>
      </c>
      <c r="H7528" s="116">
        <f>IFERROR(__xludf.DUMMYFUNCTION("""COMPUTED_VALUE"""),45913.0)</f>
        <v>45913</v>
      </c>
      <c r="I7528" s="115" t="str">
        <f>IFERROR(__xludf.DUMMYFUNCTION("""COMPUTED_VALUE"""),"22")</f>
        <v>22</v>
      </c>
      <c r="J7528" s="115"/>
      <c r="K7528" s="115"/>
    </row>
    <row r="7529">
      <c r="A7529" s="115" t="str">
        <f>IFERROR(__xludf.DUMMYFUNCTION("""COMPUTED_VALUE"""),"SOUTH")</f>
        <v>SOUTH</v>
      </c>
      <c r="B7529" s="115" t="str">
        <f>IFERROR(__xludf.DUMMYFUNCTION("""COMPUTED_VALUE"""),"Kandula Sampath")</f>
        <v>Kandula Sampath</v>
      </c>
      <c r="C7529" s="115" t="str">
        <f>IFERROR(__xludf.DUMMYFUNCTION("""COMPUTED_VALUE"""),"FLIPKART")</f>
        <v>FLIPKART</v>
      </c>
      <c r="D7529" s="115">
        <f>IFERROR(__xludf.DUMMYFUNCTION("""COMPUTED_VALUE"""),421822.0)</f>
        <v>421822</v>
      </c>
      <c r="E7529" s="115">
        <f>IFERROR(__xludf.DUMMYFUNCTION("""COMPUTED_VALUE"""),34208.0)</f>
        <v>34208</v>
      </c>
      <c r="F7529" s="115">
        <f>IFERROR(__xludf.DUMMYFUNCTION("""COMPUTED_VALUE"""),325311.0)</f>
        <v>325311</v>
      </c>
      <c r="G7529" s="115">
        <f>IFERROR(__xludf.DUMMYFUNCTION("""COMPUTED_VALUE"""),22284.0)</f>
        <v>22284</v>
      </c>
      <c r="H7529" s="116">
        <f>IFERROR(__xludf.DUMMYFUNCTION("""COMPUTED_VALUE"""),45913.0)</f>
        <v>45913</v>
      </c>
      <c r="I7529" s="115" t="str">
        <f>IFERROR(__xludf.DUMMYFUNCTION("""COMPUTED_VALUE"""),"22")</f>
        <v>22</v>
      </c>
      <c r="J7529" s="115"/>
      <c r="K7529" s="115"/>
    </row>
    <row r="7530">
      <c r="A7530" s="115" t="str">
        <f>IFERROR(__xludf.DUMMYFUNCTION("""COMPUTED_VALUE"""),"SOUTH")</f>
        <v>SOUTH</v>
      </c>
      <c r="B7530" s="115" t="str">
        <f>IFERROR(__xludf.DUMMYFUNCTION("""COMPUTED_VALUE"""),"Kandula Sampath")</f>
        <v>Kandula Sampath</v>
      </c>
      <c r="C7530" s="115" t="str">
        <f>IFERROR(__xludf.DUMMYFUNCTION("""COMPUTED_VALUE"""),"MYNTRA")</f>
        <v>MYNTRA</v>
      </c>
      <c r="D7530" s="115">
        <f>IFERROR(__xludf.DUMMYFUNCTION("""COMPUTED_VALUE"""),42135.0)</f>
        <v>42135</v>
      </c>
      <c r="E7530" s="115">
        <f>IFERROR(__xludf.DUMMYFUNCTION("""COMPUTED_VALUE"""),9530.0)</f>
        <v>9530</v>
      </c>
      <c r="F7530" s="115">
        <f>IFERROR(__xludf.DUMMYFUNCTION("""COMPUTED_VALUE"""),34722.0)</f>
        <v>34722</v>
      </c>
      <c r="G7530" s="115">
        <f>IFERROR(__xludf.DUMMYFUNCTION("""COMPUTED_VALUE"""),6251.0)</f>
        <v>6251</v>
      </c>
      <c r="H7530" s="116">
        <f>IFERROR(__xludf.DUMMYFUNCTION("""COMPUTED_VALUE"""),45913.0)</f>
        <v>45913</v>
      </c>
      <c r="I7530" s="115" t="str">
        <f>IFERROR(__xludf.DUMMYFUNCTION("""COMPUTED_VALUE"""),"22")</f>
        <v>22</v>
      </c>
      <c r="J7530" s="115"/>
      <c r="K7530" s="115"/>
    </row>
    <row r="7531">
      <c r="A7531" s="115" t="str">
        <f>IFERROR(__xludf.DUMMYFUNCTION("""COMPUTED_VALUE"""),"SOUTH")</f>
        <v>SOUTH</v>
      </c>
      <c r="B7531" s="115" t="str">
        <f>IFERROR(__xludf.DUMMYFUNCTION("""COMPUTED_VALUE"""),"Martin A")</f>
        <v>Martin A</v>
      </c>
      <c r="C7531" s="115" t="str">
        <f>IFERROR(__xludf.DUMMYFUNCTION("""COMPUTED_VALUE"""),"EXTERNAL")</f>
        <v>EXTERNAL</v>
      </c>
      <c r="D7531" s="115">
        <f>IFERROR(__xludf.DUMMYFUNCTION("""COMPUTED_VALUE"""),31779.0)</f>
        <v>31779</v>
      </c>
      <c r="E7531" s="115">
        <f>IFERROR(__xludf.DUMMYFUNCTION("""COMPUTED_VALUE"""),3283.0)</f>
        <v>3283</v>
      </c>
      <c r="F7531" s="115">
        <f>IFERROR(__xludf.DUMMYFUNCTION("""COMPUTED_VALUE"""),14402.0)</f>
        <v>14402</v>
      </c>
      <c r="G7531" s="115">
        <f>IFERROR(__xludf.DUMMYFUNCTION("""COMPUTED_VALUE"""),1851.0)</f>
        <v>1851</v>
      </c>
      <c r="H7531" s="116">
        <f>IFERROR(__xludf.DUMMYFUNCTION("""COMPUTED_VALUE"""),45913.0)</f>
        <v>45913</v>
      </c>
      <c r="I7531" s="115" t="str">
        <f>IFERROR(__xludf.DUMMYFUNCTION("""COMPUTED_VALUE"""),"22")</f>
        <v>22</v>
      </c>
      <c r="J7531" s="115"/>
      <c r="K7531" s="115"/>
    </row>
    <row r="7532">
      <c r="A7532" s="115" t="str">
        <f>IFERROR(__xludf.DUMMYFUNCTION("""COMPUTED_VALUE"""),"SOUTH")</f>
        <v>SOUTH</v>
      </c>
      <c r="B7532" s="115" t="str">
        <f>IFERROR(__xludf.DUMMYFUNCTION("""COMPUTED_VALUE"""),"Martin A")</f>
        <v>Martin A</v>
      </c>
      <c r="C7532" s="115" t="str">
        <f>IFERROR(__xludf.DUMMYFUNCTION("""COMPUTED_VALUE"""),"FLIPKART")</f>
        <v>FLIPKART</v>
      </c>
      <c r="D7532" s="115">
        <f>IFERROR(__xludf.DUMMYFUNCTION("""COMPUTED_VALUE"""),354743.0)</f>
        <v>354743</v>
      </c>
      <c r="E7532" s="115">
        <f>IFERROR(__xludf.DUMMYFUNCTION("""COMPUTED_VALUE"""),29735.0)</f>
        <v>29735</v>
      </c>
      <c r="F7532" s="115">
        <f>IFERROR(__xludf.DUMMYFUNCTION("""COMPUTED_VALUE"""),274988.0)</f>
        <v>274988</v>
      </c>
      <c r="G7532" s="115">
        <f>IFERROR(__xludf.DUMMYFUNCTION("""COMPUTED_VALUE"""),20837.0)</f>
        <v>20837</v>
      </c>
      <c r="H7532" s="116">
        <f>IFERROR(__xludf.DUMMYFUNCTION("""COMPUTED_VALUE"""),45913.0)</f>
        <v>45913</v>
      </c>
      <c r="I7532" s="115" t="str">
        <f>IFERROR(__xludf.DUMMYFUNCTION("""COMPUTED_VALUE"""),"22")</f>
        <v>22</v>
      </c>
      <c r="J7532" s="115"/>
      <c r="K7532" s="115"/>
    </row>
    <row r="7533">
      <c r="A7533" s="115" t="str">
        <f>IFERROR(__xludf.DUMMYFUNCTION("""COMPUTED_VALUE"""),"SOUTH")</f>
        <v>SOUTH</v>
      </c>
      <c r="B7533" s="115" t="str">
        <f>IFERROR(__xludf.DUMMYFUNCTION("""COMPUTED_VALUE"""),"Martin A")</f>
        <v>Martin A</v>
      </c>
      <c r="C7533" s="115" t="str">
        <f>IFERROR(__xludf.DUMMYFUNCTION("""COMPUTED_VALUE"""),"MYNTRA")</f>
        <v>MYNTRA</v>
      </c>
      <c r="D7533" s="115">
        <f>IFERROR(__xludf.DUMMYFUNCTION("""COMPUTED_VALUE"""),30885.0)</f>
        <v>30885</v>
      </c>
      <c r="E7533" s="115">
        <f>IFERROR(__xludf.DUMMYFUNCTION("""COMPUTED_VALUE"""),7305.0)</f>
        <v>7305</v>
      </c>
      <c r="F7533" s="115">
        <f>IFERROR(__xludf.DUMMYFUNCTION("""COMPUTED_VALUE"""),26394.0)</f>
        <v>26394</v>
      </c>
      <c r="G7533" s="115">
        <f>IFERROR(__xludf.DUMMYFUNCTION("""COMPUTED_VALUE"""),5278.0)</f>
        <v>5278</v>
      </c>
      <c r="H7533" s="116">
        <f>IFERROR(__xludf.DUMMYFUNCTION("""COMPUTED_VALUE"""),45913.0)</f>
        <v>45913</v>
      </c>
      <c r="I7533" s="115" t="str">
        <f>IFERROR(__xludf.DUMMYFUNCTION("""COMPUTED_VALUE"""),"22")</f>
        <v>22</v>
      </c>
      <c r="J7533" s="115"/>
      <c r="K7533" s="115"/>
    </row>
    <row r="7534">
      <c r="A7534" s="115" t="str">
        <f>IFERROR(__xludf.DUMMYFUNCTION("""COMPUTED_VALUE"""),"SOUTH")</f>
        <v>SOUTH</v>
      </c>
      <c r="B7534" s="115" t="str">
        <f>IFERROR(__xludf.DUMMYFUNCTION("""COMPUTED_VALUE"""),"Premkumar M")</f>
        <v>Premkumar M</v>
      </c>
      <c r="C7534" s="115" t="str">
        <f>IFERROR(__xludf.DUMMYFUNCTION("""COMPUTED_VALUE"""),"EXTERNAL")</f>
        <v>EXTERNAL</v>
      </c>
      <c r="D7534" s="115">
        <f>IFERROR(__xludf.DUMMYFUNCTION("""COMPUTED_VALUE"""),29388.0)</f>
        <v>29388</v>
      </c>
      <c r="E7534" s="115">
        <f>IFERROR(__xludf.DUMMYFUNCTION("""COMPUTED_VALUE"""),1602.0)</f>
        <v>1602</v>
      </c>
      <c r="F7534" s="115">
        <f>IFERROR(__xludf.DUMMYFUNCTION("""COMPUTED_VALUE"""),15509.0)</f>
        <v>15509</v>
      </c>
      <c r="G7534" s="115">
        <f>IFERROR(__xludf.DUMMYFUNCTION("""COMPUTED_VALUE"""),798.0)</f>
        <v>798</v>
      </c>
      <c r="H7534" s="116">
        <f>IFERROR(__xludf.DUMMYFUNCTION("""COMPUTED_VALUE"""),45913.0)</f>
        <v>45913</v>
      </c>
      <c r="I7534" s="115" t="str">
        <f>IFERROR(__xludf.DUMMYFUNCTION("""COMPUTED_VALUE"""),"22")</f>
        <v>22</v>
      </c>
      <c r="J7534" s="115"/>
      <c r="K7534" s="115"/>
    </row>
    <row r="7535">
      <c r="A7535" s="115" t="str">
        <f>IFERROR(__xludf.DUMMYFUNCTION("""COMPUTED_VALUE"""),"SOUTH")</f>
        <v>SOUTH</v>
      </c>
      <c r="B7535" s="115" t="str">
        <f>IFERROR(__xludf.DUMMYFUNCTION("""COMPUTED_VALUE"""),"Premkumar M")</f>
        <v>Premkumar M</v>
      </c>
      <c r="C7535" s="115" t="str">
        <f>IFERROR(__xludf.DUMMYFUNCTION("""COMPUTED_VALUE"""),"FLIPKART")</f>
        <v>FLIPKART</v>
      </c>
      <c r="D7535" s="115">
        <f>IFERROR(__xludf.DUMMYFUNCTION("""COMPUTED_VALUE"""),333001.0)</f>
        <v>333001</v>
      </c>
      <c r="E7535" s="115">
        <f>IFERROR(__xludf.DUMMYFUNCTION("""COMPUTED_VALUE"""),19109.0)</f>
        <v>19109</v>
      </c>
      <c r="F7535" s="115">
        <f>IFERROR(__xludf.DUMMYFUNCTION("""COMPUTED_VALUE"""),267811.0)</f>
        <v>267811</v>
      </c>
      <c r="G7535" s="115">
        <f>IFERROR(__xludf.DUMMYFUNCTION("""COMPUTED_VALUE"""),11685.0)</f>
        <v>11685</v>
      </c>
      <c r="H7535" s="116">
        <f>IFERROR(__xludf.DUMMYFUNCTION("""COMPUTED_VALUE"""),45913.0)</f>
        <v>45913</v>
      </c>
      <c r="I7535" s="115" t="str">
        <f>IFERROR(__xludf.DUMMYFUNCTION("""COMPUTED_VALUE"""),"22")</f>
        <v>22</v>
      </c>
      <c r="J7535" s="115"/>
      <c r="K7535" s="115"/>
    </row>
    <row r="7536">
      <c r="A7536" s="115" t="str">
        <f>IFERROR(__xludf.DUMMYFUNCTION("""COMPUTED_VALUE"""),"SOUTH")</f>
        <v>SOUTH</v>
      </c>
      <c r="B7536" s="115" t="str">
        <f>IFERROR(__xludf.DUMMYFUNCTION("""COMPUTED_VALUE"""),"Premkumar M")</f>
        <v>Premkumar M</v>
      </c>
      <c r="C7536" s="115" t="str">
        <f>IFERROR(__xludf.DUMMYFUNCTION("""COMPUTED_VALUE"""),"MYNTRA")</f>
        <v>MYNTRA</v>
      </c>
      <c r="D7536" s="115">
        <f>IFERROR(__xludf.DUMMYFUNCTION("""COMPUTED_VALUE"""),16329.0)</f>
        <v>16329</v>
      </c>
      <c r="E7536" s="115">
        <f>IFERROR(__xludf.DUMMYFUNCTION("""COMPUTED_VALUE"""),3045.0)</f>
        <v>3045</v>
      </c>
      <c r="F7536" s="115">
        <f>IFERROR(__xludf.DUMMYFUNCTION("""COMPUTED_VALUE"""),14176.0)</f>
        <v>14176</v>
      </c>
      <c r="G7536" s="115">
        <f>IFERROR(__xludf.DUMMYFUNCTION("""COMPUTED_VALUE"""),1944.0)</f>
        <v>1944</v>
      </c>
      <c r="H7536" s="116">
        <f>IFERROR(__xludf.DUMMYFUNCTION("""COMPUTED_VALUE"""),45913.0)</f>
        <v>45913</v>
      </c>
      <c r="I7536" s="115" t="str">
        <f>IFERROR(__xludf.DUMMYFUNCTION("""COMPUTED_VALUE"""),"22")</f>
        <v>22</v>
      </c>
      <c r="J7536" s="115"/>
      <c r="K7536" s="115"/>
    </row>
    <row r="7537">
      <c r="A7537" s="115" t="str">
        <f>IFERROR(__xludf.DUMMYFUNCTION("""COMPUTED_VALUE"""),"SOUTH")</f>
        <v>SOUTH</v>
      </c>
      <c r="B7537" s="115" t="str">
        <f>IFERROR(__xludf.DUMMYFUNCTION("""COMPUTED_VALUE"""),"Vineeth V")</f>
        <v>Vineeth V</v>
      </c>
      <c r="C7537" s="115" t="str">
        <f>IFERROR(__xludf.DUMMYFUNCTION("""COMPUTED_VALUE"""),"EXTERNAL")</f>
        <v>EXTERNAL</v>
      </c>
      <c r="D7537" s="115">
        <f>IFERROR(__xludf.DUMMYFUNCTION("""COMPUTED_VALUE"""),21030.0)</f>
        <v>21030</v>
      </c>
      <c r="E7537" s="115">
        <f>IFERROR(__xludf.DUMMYFUNCTION("""COMPUTED_VALUE"""),498.0)</f>
        <v>498</v>
      </c>
      <c r="F7537" s="115">
        <f>IFERROR(__xludf.DUMMYFUNCTION("""COMPUTED_VALUE"""),11454.0)</f>
        <v>11454</v>
      </c>
      <c r="G7537" s="115">
        <f>IFERROR(__xludf.DUMMYFUNCTION("""COMPUTED_VALUE"""),309.0)</f>
        <v>309</v>
      </c>
      <c r="H7537" s="116">
        <f>IFERROR(__xludf.DUMMYFUNCTION("""COMPUTED_VALUE"""),45913.0)</f>
        <v>45913</v>
      </c>
      <c r="I7537" s="115" t="str">
        <f>IFERROR(__xludf.DUMMYFUNCTION("""COMPUTED_VALUE"""),"22")</f>
        <v>22</v>
      </c>
      <c r="J7537" s="115"/>
      <c r="K7537" s="115"/>
    </row>
    <row r="7538">
      <c r="A7538" s="115" t="str">
        <f>IFERROR(__xludf.DUMMYFUNCTION("""COMPUTED_VALUE"""),"SOUTH")</f>
        <v>SOUTH</v>
      </c>
      <c r="B7538" s="115" t="str">
        <f>IFERROR(__xludf.DUMMYFUNCTION("""COMPUTED_VALUE"""),"Vineeth V")</f>
        <v>Vineeth V</v>
      </c>
      <c r="C7538" s="115" t="str">
        <f>IFERROR(__xludf.DUMMYFUNCTION("""COMPUTED_VALUE"""),"FLIPKART")</f>
        <v>FLIPKART</v>
      </c>
      <c r="D7538" s="115">
        <f>IFERROR(__xludf.DUMMYFUNCTION("""COMPUTED_VALUE"""),222226.0)</f>
        <v>222226</v>
      </c>
      <c r="E7538" s="115">
        <f>IFERROR(__xludf.DUMMYFUNCTION("""COMPUTED_VALUE"""),13496.0)</f>
        <v>13496</v>
      </c>
      <c r="F7538" s="115">
        <f>IFERROR(__xludf.DUMMYFUNCTION("""COMPUTED_VALUE"""),189607.0)</f>
        <v>189607</v>
      </c>
      <c r="G7538" s="115">
        <f>IFERROR(__xludf.DUMMYFUNCTION("""COMPUTED_VALUE"""),8936.0)</f>
        <v>8936</v>
      </c>
      <c r="H7538" s="116">
        <f>IFERROR(__xludf.DUMMYFUNCTION("""COMPUTED_VALUE"""),45913.0)</f>
        <v>45913</v>
      </c>
      <c r="I7538" s="115" t="str">
        <f>IFERROR(__xludf.DUMMYFUNCTION("""COMPUTED_VALUE"""),"22")</f>
        <v>22</v>
      </c>
      <c r="J7538" s="115"/>
      <c r="K7538" s="115"/>
    </row>
    <row r="7539">
      <c r="A7539" s="115" t="str">
        <f>IFERROR(__xludf.DUMMYFUNCTION("""COMPUTED_VALUE"""),"SOUTH")</f>
        <v>SOUTH</v>
      </c>
      <c r="B7539" s="115" t="str">
        <f>IFERROR(__xludf.DUMMYFUNCTION("""COMPUTED_VALUE"""),"Vineeth V")</f>
        <v>Vineeth V</v>
      </c>
      <c r="C7539" s="115" t="str">
        <f>IFERROR(__xludf.DUMMYFUNCTION("""COMPUTED_VALUE"""),"MYNTRA")</f>
        <v>MYNTRA</v>
      </c>
      <c r="D7539" s="115">
        <f>IFERROR(__xludf.DUMMYFUNCTION("""COMPUTED_VALUE"""),17149.0)</f>
        <v>17149</v>
      </c>
      <c r="E7539" s="115">
        <f>IFERROR(__xludf.DUMMYFUNCTION("""COMPUTED_VALUE"""),3160.0)</f>
        <v>3160</v>
      </c>
      <c r="F7539" s="115">
        <f>IFERROR(__xludf.DUMMYFUNCTION("""COMPUTED_VALUE"""),15148.0)</f>
        <v>15148</v>
      </c>
      <c r="G7539" s="115">
        <f>IFERROR(__xludf.DUMMYFUNCTION("""COMPUTED_VALUE"""),2092.0)</f>
        <v>2092</v>
      </c>
      <c r="H7539" s="116">
        <f>IFERROR(__xludf.DUMMYFUNCTION("""COMPUTED_VALUE"""),45913.0)</f>
        <v>45913</v>
      </c>
      <c r="I7539" s="115" t="str">
        <f>IFERROR(__xludf.DUMMYFUNCTION("""COMPUTED_VALUE"""),"22")</f>
        <v>22</v>
      </c>
      <c r="J7539" s="115"/>
      <c r="K7539" s="115"/>
    </row>
    <row r="7540">
      <c r="A7540" s="115" t="str">
        <f>IFERROR(__xludf.DUMMYFUNCTION("""COMPUTED_VALUE"""),"WEST")</f>
        <v>WEST</v>
      </c>
      <c r="B7540" s="115" t="str">
        <f>IFERROR(__xludf.DUMMYFUNCTION("""COMPUTED_VALUE"""),"Ashish Jakar")</f>
        <v>Ashish Jakar</v>
      </c>
      <c r="C7540" s="115" t="str">
        <f>IFERROR(__xludf.DUMMYFUNCTION("""COMPUTED_VALUE"""),"EXTERNAL")</f>
        <v>EXTERNAL</v>
      </c>
      <c r="D7540" s="115">
        <f>IFERROR(__xludf.DUMMYFUNCTION("""COMPUTED_VALUE"""),65609.0)</f>
        <v>65609</v>
      </c>
      <c r="E7540" s="115">
        <f>IFERROR(__xludf.DUMMYFUNCTION("""COMPUTED_VALUE"""),5718.0)</f>
        <v>5718</v>
      </c>
      <c r="F7540" s="115">
        <f>IFERROR(__xludf.DUMMYFUNCTION("""COMPUTED_VALUE"""),29703.0)</f>
        <v>29703</v>
      </c>
      <c r="G7540" s="115">
        <f>IFERROR(__xludf.DUMMYFUNCTION("""COMPUTED_VALUE"""),2903.0)</f>
        <v>2903</v>
      </c>
      <c r="H7540" s="116">
        <f>IFERROR(__xludf.DUMMYFUNCTION("""COMPUTED_VALUE"""),45913.0)</f>
        <v>45913</v>
      </c>
      <c r="I7540" s="115" t="str">
        <f>IFERROR(__xludf.DUMMYFUNCTION("""COMPUTED_VALUE"""),"22")</f>
        <v>22</v>
      </c>
      <c r="J7540" s="115"/>
      <c r="K7540" s="115"/>
    </row>
    <row r="7541">
      <c r="A7541" s="115" t="str">
        <f>IFERROR(__xludf.DUMMYFUNCTION("""COMPUTED_VALUE"""),"WEST")</f>
        <v>WEST</v>
      </c>
      <c r="B7541" s="115" t="str">
        <f>IFERROR(__xludf.DUMMYFUNCTION("""COMPUTED_VALUE"""),"Ashish Jakar")</f>
        <v>Ashish Jakar</v>
      </c>
      <c r="C7541" s="115" t="str">
        <f>IFERROR(__xludf.DUMMYFUNCTION("""COMPUTED_VALUE"""),"FLIPKART")</f>
        <v>FLIPKART</v>
      </c>
      <c r="D7541" s="115">
        <f>IFERROR(__xludf.DUMMYFUNCTION("""COMPUTED_VALUE"""),502045.0)</f>
        <v>502045</v>
      </c>
      <c r="E7541" s="115">
        <f>IFERROR(__xludf.DUMMYFUNCTION("""COMPUTED_VALUE"""),38451.0)</f>
        <v>38451</v>
      </c>
      <c r="F7541" s="115">
        <f>IFERROR(__xludf.DUMMYFUNCTION("""COMPUTED_VALUE"""),377761.0)</f>
        <v>377761</v>
      </c>
      <c r="G7541" s="115">
        <f>IFERROR(__xludf.DUMMYFUNCTION("""COMPUTED_VALUE"""),24887.0)</f>
        <v>24887</v>
      </c>
      <c r="H7541" s="116">
        <f>IFERROR(__xludf.DUMMYFUNCTION("""COMPUTED_VALUE"""),45913.0)</f>
        <v>45913</v>
      </c>
      <c r="I7541" s="115" t="str">
        <f>IFERROR(__xludf.DUMMYFUNCTION("""COMPUTED_VALUE"""),"22")</f>
        <v>22</v>
      </c>
      <c r="J7541" s="115"/>
      <c r="K7541" s="115"/>
    </row>
    <row r="7542">
      <c r="A7542" s="115" t="str">
        <f>IFERROR(__xludf.DUMMYFUNCTION("""COMPUTED_VALUE"""),"WEST")</f>
        <v>WEST</v>
      </c>
      <c r="B7542" s="115" t="str">
        <f>IFERROR(__xludf.DUMMYFUNCTION("""COMPUTED_VALUE"""),"Ashish Jakar")</f>
        <v>Ashish Jakar</v>
      </c>
      <c r="C7542" s="115" t="str">
        <f>IFERROR(__xludf.DUMMYFUNCTION("""COMPUTED_VALUE"""),"MYNTRA")</f>
        <v>MYNTRA</v>
      </c>
      <c r="D7542" s="115">
        <f>IFERROR(__xludf.DUMMYFUNCTION("""COMPUTED_VALUE"""),50901.0)</f>
        <v>50901</v>
      </c>
      <c r="E7542" s="115">
        <f>IFERROR(__xludf.DUMMYFUNCTION("""COMPUTED_VALUE"""),11894.0)</f>
        <v>11894</v>
      </c>
      <c r="F7542" s="115">
        <f>IFERROR(__xludf.DUMMYFUNCTION("""COMPUTED_VALUE"""),42594.0)</f>
        <v>42594</v>
      </c>
      <c r="G7542" s="115">
        <f>IFERROR(__xludf.DUMMYFUNCTION("""COMPUTED_VALUE"""),8065.0)</f>
        <v>8065</v>
      </c>
      <c r="H7542" s="116">
        <f>IFERROR(__xludf.DUMMYFUNCTION("""COMPUTED_VALUE"""),45913.0)</f>
        <v>45913</v>
      </c>
      <c r="I7542" s="115" t="str">
        <f>IFERROR(__xludf.DUMMYFUNCTION("""COMPUTED_VALUE"""),"22")</f>
        <v>22</v>
      </c>
      <c r="J7542" s="115"/>
      <c r="K7542" s="115"/>
    </row>
    <row r="7543">
      <c r="A7543" s="115" t="str">
        <f>IFERROR(__xludf.DUMMYFUNCTION("""COMPUTED_VALUE"""),"WEST")</f>
        <v>WEST</v>
      </c>
      <c r="B7543" s="115" t="str">
        <f>IFERROR(__xludf.DUMMYFUNCTION("""COMPUTED_VALUE"""),"Ashvani Bhatt")</f>
        <v>Ashvani Bhatt</v>
      </c>
      <c r="C7543" s="115" t="str">
        <f>IFERROR(__xludf.DUMMYFUNCTION("""COMPUTED_VALUE"""),"EXTERNAL")</f>
        <v>EXTERNAL</v>
      </c>
      <c r="D7543" s="115">
        <f>IFERROR(__xludf.DUMMYFUNCTION("""COMPUTED_VALUE"""),41780.0)</f>
        <v>41780</v>
      </c>
      <c r="E7543" s="115">
        <f>IFERROR(__xludf.DUMMYFUNCTION("""COMPUTED_VALUE"""),2460.0)</f>
        <v>2460</v>
      </c>
      <c r="F7543" s="115">
        <f>IFERROR(__xludf.DUMMYFUNCTION("""COMPUTED_VALUE"""),18704.0)</f>
        <v>18704</v>
      </c>
      <c r="G7543" s="115">
        <f>IFERROR(__xludf.DUMMYFUNCTION("""COMPUTED_VALUE"""),1597.0)</f>
        <v>1597</v>
      </c>
      <c r="H7543" s="116">
        <f>IFERROR(__xludf.DUMMYFUNCTION("""COMPUTED_VALUE"""),45913.0)</f>
        <v>45913</v>
      </c>
      <c r="I7543" s="115" t="str">
        <f>IFERROR(__xludf.DUMMYFUNCTION("""COMPUTED_VALUE"""),"22")</f>
        <v>22</v>
      </c>
      <c r="J7543" s="115"/>
      <c r="K7543" s="115"/>
    </row>
    <row r="7544">
      <c r="A7544" s="115" t="str">
        <f>IFERROR(__xludf.DUMMYFUNCTION("""COMPUTED_VALUE"""),"WEST")</f>
        <v>WEST</v>
      </c>
      <c r="B7544" s="115" t="str">
        <f>IFERROR(__xludf.DUMMYFUNCTION("""COMPUTED_VALUE"""),"Ashvani Bhatt")</f>
        <v>Ashvani Bhatt</v>
      </c>
      <c r="C7544" s="115" t="str">
        <f>IFERROR(__xludf.DUMMYFUNCTION("""COMPUTED_VALUE"""),"FLIPKART")</f>
        <v>FLIPKART</v>
      </c>
      <c r="D7544" s="115">
        <f>IFERROR(__xludf.DUMMYFUNCTION("""COMPUTED_VALUE"""),344335.0)</f>
        <v>344335</v>
      </c>
      <c r="E7544" s="115">
        <f>IFERROR(__xludf.DUMMYFUNCTION("""COMPUTED_VALUE"""),32282.0)</f>
        <v>32282</v>
      </c>
      <c r="F7544" s="115">
        <f>IFERROR(__xludf.DUMMYFUNCTION("""COMPUTED_VALUE"""),269980.0)</f>
        <v>269980</v>
      </c>
      <c r="G7544" s="115">
        <f>IFERROR(__xludf.DUMMYFUNCTION("""COMPUTED_VALUE"""),23535.0)</f>
        <v>23535</v>
      </c>
      <c r="H7544" s="116">
        <f>IFERROR(__xludf.DUMMYFUNCTION("""COMPUTED_VALUE"""),45913.0)</f>
        <v>45913</v>
      </c>
      <c r="I7544" s="115" t="str">
        <f>IFERROR(__xludf.DUMMYFUNCTION("""COMPUTED_VALUE"""),"22")</f>
        <v>22</v>
      </c>
      <c r="J7544" s="115"/>
      <c r="K7544" s="115"/>
    </row>
    <row r="7545">
      <c r="A7545" s="115" t="str">
        <f>IFERROR(__xludf.DUMMYFUNCTION("""COMPUTED_VALUE"""),"WEST")</f>
        <v>WEST</v>
      </c>
      <c r="B7545" s="115" t="str">
        <f>IFERROR(__xludf.DUMMYFUNCTION("""COMPUTED_VALUE"""),"Ashvani Bhatt")</f>
        <v>Ashvani Bhatt</v>
      </c>
      <c r="C7545" s="115" t="str">
        <f>IFERROR(__xludf.DUMMYFUNCTION("""COMPUTED_VALUE"""),"MYNTRA")</f>
        <v>MYNTRA</v>
      </c>
      <c r="D7545" s="115">
        <f>IFERROR(__xludf.DUMMYFUNCTION("""COMPUTED_VALUE"""),36566.0)</f>
        <v>36566</v>
      </c>
      <c r="E7545" s="115">
        <f>IFERROR(__xludf.DUMMYFUNCTION("""COMPUTED_VALUE"""),9129.0)</f>
        <v>9129</v>
      </c>
      <c r="F7545" s="115">
        <f>IFERROR(__xludf.DUMMYFUNCTION("""COMPUTED_VALUE"""),31016.0)</f>
        <v>31016</v>
      </c>
      <c r="G7545" s="115">
        <f>IFERROR(__xludf.DUMMYFUNCTION("""COMPUTED_VALUE"""),6852.0)</f>
        <v>6852</v>
      </c>
      <c r="H7545" s="116">
        <f>IFERROR(__xludf.DUMMYFUNCTION("""COMPUTED_VALUE"""),45913.0)</f>
        <v>45913</v>
      </c>
      <c r="I7545" s="115" t="str">
        <f>IFERROR(__xludf.DUMMYFUNCTION("""COMPUTED_VALUE"""),"22")</f>
        <v>22</v>
      </c>
      <c r="J7545" s="115"/>
      <c r="K7545" s="115"/>
    </row>
    <row r="7546">
      <c r="A7546" s="115"/>
      <c r="B7546" s="115"/>
      <c r="C7546" s="115" t="str">
        <f>IFERROR(__xludf.DUMMYFUNCTION("""COMPUTED_VALUE"""),"EXTERNAL")</f>
        <v>EXTERNAL</v>
      </c>
      <c r="D7546" s="115">
        <f>IFERROR(__xludf.DUMMYFUNCTION("""COMPUTED_VALUE"""),1702.0)</f>
        <v>1702</v>
      </c>
      <c r="E7546" s="115">
        <f>IFERROR(__xludf.DUMMYFUNCTION("""COMPUTED_VALUE"""),270.0)</f>
        <v>270</v>
      </c>
      <c r="F7546" s="115">
        <f>IFERROR(__xludf.DUMMYFUNCTION("""COMPUTED_VALUE"""),841.0)</f>
        <v>841</v>
      </c>
      <c r="G7546" s="115">
        <f>IFERROR(__xludf.DUMMYFUNCTION("""COMPUTED_VALUE"""),157.0)</f>
        <v>157</v>
      </c>
      <c r="H7546" s="116">
        <f>IFERROR(__xludf.DUMMYFUNCTION("""COMPUTED_VALUE"""),45913.0)</f>
        <v>45913</v>
      </c>
      <c r="I7546" s="115" t="str">
        <f>IFERROR(__xludf.DUMMYFUNCTION("""COMPUTED_VALUE"""),"22")</f>
        <v>22</v>
      </c>
      <c r="J7546" s="115"/>
      <c r="K7546" s="115"/>
    </row>
    <row r="7547">
      <c r="A7547" s="115"/>
      <c r="B7547" s="115"/>
      <c r="C7547" s="115" t="str">
        <f>IFERROR(__xludf.DUMMYFUNCTION("""COMPUTED_VALUE"""),"FLIPKART")</f>
        <v>FLIPKART</v>
      </c>
      <c r="D7547" s="115">
        <f>IFERROR(__xludf.DUMMYFUNCTION("""COMPUTED_VALUE"""),21094.0)</f>
        <v>21094</v>
      </c>
      <c r="E7547" s="115">
        <f>IFERROR(__xludf.DUMMYFUNCTION("""COMPUTED_VALUE"""),1817.0)</f>
        <v>1817</v>
      </c>
      <c r="F7547" s="115">
        <f>IFERROR(__xludf.DUMMYFUNCTION("""COMPUTED_VALUE"""),15876.0)</f>
        <v>15876</v>
      </c>
      <c r="G7547" s="115">
        <f>IFERROR(__xludf.DUMMYFUNCTION("""COMPUTED_VALUE"""),1384.0)</f>
        <v>1384</v>
      </c>
      <c r="H7547" s="116">
        <f>IFERROR(__xludf.DUMMYFUNCTION("""COMPUTED_VALUE"""),45913.0)</f>
        <v>45913</v>
      </c>
      <c r="I7547" s="115" t="str">
        <f>IFERROR(__xludf.DUMMYFUNCTION("""COMPUTED_VALUE"""),"22")</f>
        <v>22</v>
      </c>
      <c r="J7547" s="115"/>
      <c r="K7547" s="115"/>
    </row>
    <row r="7548">
      <c r="A7548" s="115"/>
      <c r="B7548" s="115"/>
      <c r="C7548" s="115" t="str">
        <f>IFERROR(__xludf.DUMMYFUNCTION("""COMPUTED_VALUE"""),"MYNTRA")</f>
        <v>MYNTRA</v>
      </c>
      <c r="D7548" s="115">
        <f>IFERROR(__xludf.DUMMYFUNCTION("""COMPUTED_VALUE"""),1985.0)</f>
        <v>1985</v>
      </c>
      <c r="E7548" s="115">
        <f>IFERROR(__xludf.DUMMYFUNCTION("""COMPUTED_VALUE"""),519.0)</f>
        <v>519</v>
      </c>
      <c r="F7548" s="115">
        <f>IFERROR(__xludf.DUMMYFUNCTION("""COMPUTED_VALUE"""),1666.0)</f>
        <v>1666</v>
      </c>
      <c r="G7548" s="115">
        <f>IFERROR(__xludf.DUMMYFUNCTION("""COMPUTED_VALUE"""),409.0)</f>
        <v>409</v>
      </c>
      <c r="H7548" s="116">
        <f>IFERROR(__xludf.DUMMYFUNCTION("""COMPUTED_VALUE"""),45913.0)</f>
        <v>45913</v>
      </c>
      <c r="I7548" s="115" t="str">
        <f>IFERROR(__xludf.DUMMYFUNCTION("""COMPUTED_VALUE"""),"22")</f>
        <v>22</v>
      </c>
      <c r="J7548" s="115"/>
      <c r="K7548" s="11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6.63"/>
    <col customWidth="1" min="6" max="6" width="18.5"/>
  </cols>
  <sheetData>
    <row r="1">
      <c r="A1" s="77" t="s">
        <v>76</v>
      </c>
      <c r="B1" s="77" t="s">
        <v>4</v>
      </c>
      <c r="C1" s="140" t="s">
        <v>77</v>
      </c>
      <c r="D1" s="140" t="s">
        <v>78</v>
      </c>
      <c r="E1" s="140" t="s">
        <v>79</v>
      </c>
      <c r="F1" s="140" t="s">
        <v>80</v>
      </c>
      <c r="G1" s="140" t="s">
        <v>45</v>
      </c>
      <c r="H1" s="140" t="s">
        <v>46</v>
      </c>
    </row>
    <row r="2">
      <c r="A2" s="115" t="str">
        <f>IFERROR(__xludf.DUMMYFUNCTION("IMPORTRANGE(""1nFPxuutMV9BIX5XBnsgz88uunIcRG9kSNtB3ehdYobk"",""EKL Views!O19:O32"")"),"West")</f>
        <v>West</v>
      </c>
      <c r="B2" s="115" t="str">
        <f>IFERROR(__xludf.DUMMYFUNCTION("IMPORTRANGE(""1nFPxuutMV9BIX5XBnsgz88uunIcRG9kSNtB3ehdYobk"",""EKL Views!A19:A32"")"),"Ashish Jakar")</f>
        <v>Ashish Jakar</v>
      </c>
      <c r="C2" s="141">
        <f>IFERROR(__xludf.DUMMYFUNCTION("IMPORTRANGE(""1nFPxuutMV9BIX5XBnsgz88uunIcRG9kSNtB3ehdYobk"",""EKL Views!D19:D32"")"),492831.0)</f>
        <v>492831</v>
      </c>
      <c r="D2" s="141">
        <f>IFERROR(__xludf.DUMMYFUNCTION("IMPORTRANGE(""1nFPxuutMV9BIX5XBnsgz88uunIcRG9kSNtB3ehdYobk"",""EKL Views!E19:E32"")"),80607.0)</f>
        <v>80607</v>
      </c>
      <c r="E2" s="142">
        <f>IFERROR(__xludf.DUMMYFUNCTION("IMPORTRANGE(""1nFPxuutMV9BIX5XBnsgz88uunIcRG9kSNtB3ehdYobk"",""EKL Views!M19:M32"")"),0.0)</f>
        <v>0</v>
      </c>
      <c r="F2" s="142">
        <f>IFERROR(__xludf.DUMMYFUNCTION("IMPORTRANGE(""1nFPxuutMV9BIX5XBnsgz88uunIcRG9kSNtB3ehdYobk"",""EKL Views!N19:N32"")"),445.0)</f>
        <v>445</v>
      </c>
      <c r="G2" s="143">
        <f t="shared" ref="G2:G15" si="1">today()</f>
        <v>45914</v>
      </c>
      <c r="H2" s="144"/>
    </row>
    <row r="3">
      <c r="A3" s="115" t="str">
        <f>IFERROR(__xludf.DUMMYFUNCTION("""COMPUTED_VALUE"""),"East")</f>
        <v>East</v>
      </c>
      <c r="B3" s="115" t="str">
        <f>IFERROR(__xludf.DUMMYFUNCTION("""COMPUTED_VALUE"""),"Ashish Ranjan (ODCG)")</f>
        <v>Ashish Ranjan (ODCG)</v>
      </c>
      <c r="C3" s="145">
        <f>IFERROR(__xludf.DUMMYFUNCTION("""COMPUTED_VALUE"""),326695.0)</f>
        <v>326695</v>
      </c>
      <c r="D3" s="145">
        <f>IFERROR(__xludf.DUMMYFUNCTION("""COMPUTED_VALUE"""),58671.0)</f>
        <v>58671</v>
      </c>
      <c r="E3" s="140">
        <f>IFERROR(__xludf.DUMMYFUNCTION("""COMPUTED_VALUE"""),0.0)</f>
        <v>0</v>
      </c>
      <c r="F3" s="140">
        <f>IFERROR(__xludf.DUMMYFUNCTION("""COMPUTED_VALUE"""),441.0)</f>
        <v>441</v>
      </c>
      <c r="G3" s="143">
        <f t="shared" si="1"/>
        <v>45914</v>
      </c>
      <c r="H3" s="144"/>
    </row>
    <row r="4">
      <c r="A4" s="115" t="str">
        <f>IFERROR(__xludf.DUMMYFUNCTION("""COMPUTED_VALUE"""),"East")</f>
        <v>East</v>
      </c>
      <c r="B4" s="115" t="str">
        <f>IFERROR(__xludf.DUMMYFUNCTION("""COMPUTED_VALUE"""),"Ashish Ranjan (WBSK)")</f>
        <v>Ashish Ranjan (WBSK)</v>
      </c>
      <c r="C4" s="145">
        <f>IFERROR(__xludf.DUMMYFUNCTION("""COMPUTED_VALUE"""),596595.0)</f>
        <v>596595</v>
      </c>
      <c r="D4" s="145">
        <f>IFERROR(__xludf.DUMMYFUNCTION("""COMPUTED_VALUE"""),116835.0)</f>
        <v>116835</v>
      </c>
      <c r="E4" s="140">
        <f>IFERROR(__xludf.DUMMYFUNCTION("""COMPUTED_VALUE"""),0.0)</f>
        <v>0</v>
      </c>
      <c r="F4" s="140">
        <f>IFERROR(__xludf.DUMMYFUNCTION("""COMPUTED_VALUE"""),323.0)</f>
        <v>323</v>
      </c>
      <c r="G4" s="143">
        <f t="shared" si="1"/>
        <v>45914</v>
      </c>
      <c r="H4" s="144"/>
    </row>
    <row r="5">
      <c r="A5" s="115" t="str">
        <f>IFERROR(__xludf.DUMMYFUNCTION("""COMPUTED_VALUE"""),"West")</f>
        <v>West</v>
      </c>
      <c r="B5" s="115" t="str">
        <f>IFERROR(__xludf.DUMMYFUNCTION("""COMPUTED_VALUE"""),"Ashvani Bhatt")</f>
        <v>Ashvani Bhatt</v>
      </c>
      <c r="C5" s="145">
        <f>IFERROR(__xludf.DUMMYFUNCTION("""COMPUTED_VALUE"""),390351.0)</f>
        <v>390351</v>
      </c>
      <c r="D5" s="145">
        <f>IFERROR(__xludf.DUMMYFUNCTION("""COMPUTED_VALUE"""),62377.0)</f>
        <v>62377</v>
      </c>
      <c r="E5" s="140">
        <f>IFERROR(__xludf.DUMMYFUNCTION("""COMPUTED_VALUE"""),0.0)</f>
        <v>0</v>
      </c>
      <c r="F5" s="140">
        <f>IFERROR(__xludf.DUMMYFUNCTION("""COMPUTED_VALUE"""),559.0)</f>
        <v>559</v>
      </c>
      <c r="G5" s="143">
        <f t="shared" si="1"/>
        <v>45914</v>
      </c>
      <c r="H5" s="144"/>
    </row>
    <row r="6">
      <c r="A6" s="115" t="str">
        <f>IFERROR(__xludf.DUMMYFUNCTION("""COMPUTED_VALUE"""),"East")</f>
        <v>East</v>
      </c>
      <c r="B6" s="115" t="str">
        <f>IFERROR(__xludf.DUMMYFUNCTION("""COMPUTED_VALUE"""),"Girish Chand")</f>
        <v>Girish Chand</v>
      </c>
      <c r="C6" s="145">
        <f>IFERROR(__xludf.DUMMYFUNCTION("""COMPUTED_VALUE"""),558230.0)</f>
        <v>558230</v>
      </c>
      <c r="D6" s="145">
        <f>IFERROR(__xludf.DUMMYFUNCTION("""COMPUTED_VALUE"""),98917.0)</f>
        <v>98917</v>
      </c>
      <c r="E6" s="140">
        <f>IFERROR(__xludf.DUMMYFUNCTION("""COMPUTED_VALUE"""),1.0)</f>
        <v>1</v>
      </c>
      <c r="F6" s="140">
        <f>IFERROR(__xludf.DUMMYFUNCTION("""COMPUTED_VALUE"""),459.0)</f>
        <v>459</v>
      </c>
      <c r="G6" s="143">
        <f t="shared" si="1"/>
        <v>45914</v>
      </c>
      <c r="H6" s="144"/>
    </row>
    <row r="7">
      <c r="A7" s="115" t="str">
        <f>IFERROR(__xludf.DUMMYFUNCTION("""COMPUTED_VALUE"""),"North")</f>
        <v>North</v>
      </c>
      <c r="B7" s="115" t="str">
        <f>IFERROR(__xludf.DUMMYFUNCTION("""COMPUTED_VALUE"""),"Gori Shankar Das")</f>
        <v>Gori Shankar Das</v>
      </c>
      <c r="C7" s="145">
        <f>IFERROR(__xludf.DUMMYFUNCTION("""COMPUTED_VALUE"""),268621.0)</f>
        <v>268621</v>
      </c>
      <c r="D7" s="145">
        <f>IFERROR(__xludf.DUMMYFUNCTION("""COMPUTED_VALUE"""),43732.0)</f>
        <v>43732</v>
      </c>
      <c r="E7" s="140">
        <f>IFERROR(__xludf.DUMMYFUNCTION("""COMPUTED_VALUE"""),0.0)</f>
        <v>0</v>
      </c>
      <c r="F7" s="140">
        <f>IFERROR(__xludf.DUMMYFUNCTION("""COMPUTED_VALUE"""),94.0)</f>
        <v>94</v>
      </c>
      <c r="G7" s="143">
        <f t="shared" si="1"/>
        <v>45914</v>
      </c>
      <c r="H7" s="144"/>
    </row>
    <row r="8">
      <c r="A8" s="115" t="str">
        <f>IFERROR(__xludf.DUMMYFUNCTION("""COMPUTED_VALUE"""),"South")</f>
        <v>South</v>
      </c>
      <c r="B8" s="115" t="str">
        <f>IFERROR(__xludf.DUMMYFUNCTION("""COMPUTED_VALUE"""),"Kandula Sampath Kumar")</f>
        <v>Kandula Sampath Kumar</v>
      </c>
      <c r="C8" s="145">
        <f>IFERROR(__xludf.DUMMYFUNCTION("""COMPUTED_VALUE"""),434970.0)</f>
        <v>434970</v>
      </c>
      <c r="D8" s="145">
        <f>IFERROR(__xludf.DUMMYFUNCTION("""COMPUTED_VALUE"""),70972.0)</f>
        <v>70972</v>
      </c>
      <c r="E8" s="140">
        <f>IFERROR(__xludf.DUMMYFUNCTION("""COMPUTED_VALUE"""),0.0)</f>
        <v>0</v>
      </c>
      <c r="F8" s="140">
        <f>IFERROR(__xludf.DUMMYFUNCTION("""COMPUTED_VALUE"""),482.0)</f>
        <v>482</v>
      </c>
      <c r="G8" s="143">
        <f t="shared" si="1"/>
        <v>45914</v>
      </c>
      <c r="H8" s="144"/>
    </row>
    <row r="9">
      <c r="A9" s="115" t="str">
        <f>IFERROR(__xludf.DUMMYFUNCTION("""COMPUTED_VALUE"""),"North")</f>
        <v>North</v>
      </c>
      <c r="B9" s="115" t="str">
        <f>IFERROR(__xludf.DUMMYFUNCTION("""COMPUTED_VALUE"""),"Loveleen Singh")</f>
        <v>Loveleen Singh</v>
      </c>
      <c r="C9" s="145">
        <f>IFERROR(__xludf.DUMMYFUNCTION("""COMPUTED_VALUE"""),270385.0)</f>
        <v>270385</v>
      </c>
      <c r="D9" s="145">
        <f>IFERROR(__xludf.DUMMYFUNCTION("""COMPUTED_VALUE"""),39167.0)</f>
        <v>39167</v>
      </c>
      <c r="E9" s="140">
        <f>IFERROR(__xludf.DUMMYFUNCTION("""COMPUTED_VALUE"""),1.0)</f>
        <v>1</v>
      </c>
      <c r="F9" s="140">
        <f>IFERROR(__xludf.DUMMYFUNCTION("""COMPUTED_VALUE"""),375.0)</f>
        <v>375</v>
      </c>
      <c r="G9" s="143">
        <f t="shared" si="1"/>
        <v>45914</v>
      </c>
      <c r="H9" s="144"/>
    </row>
    <row r="10">
      <c r="A10" s="115" t="str">
        <f>IFERROR(__xludf.DUMMYFUNCTION("""COMPUTED_VALUE"""),"North")</f>
        <v>North</v>
      </c>
      <c r="B10" s="115" t="str">
        <f>IFERROR(__xludf.DUMMYFUNCTION("""COMPUTED_VALUE"""),"Manoj Harsh")</f>
        <v>Manoj Harsh</v>
      </c>
      <c r="C10" s="145">
        <f>IFERROR(__xludf.DUMMYFUNCTION("""COMPUTED_VALUE"""),575132.0)</f>
        <v>575132</v>
      </c>
      <c r="D10" s="145">
        <f>IFERROR(__xludf.DUMMYFUNCTION("""COMPUTED_VALUE"""),82548.0)</f>
        <v>82548</v>
      </c>
      <c r="E10" s="140">
        <f>IFERROR(__xludf.DUMMYFUNCTION("""COMPUTED_VALUE"""),0.0)</f>
        <v>0</v>
      </c>
      <c r="F10" s="140">
        <f>IFERROR(__xludf.DUMMYFUNCTION("""COMPUTED_VALUE"""),718.0)</f>
        <v>718</v>
      </c>
      <c r="G10" s="143">
        <f t="shared" si="1"/>
        <v>45914</v>
      </c>
      <c r="H10" s="144"/>
    </row>
    <row r="11">
      <c r="A11" s="115" t="str">
        <f>IFERROR(__xludf.DUMMYFUNCTION("""COMPUTED_VALUE"""),"South")</f>
        <v>South</v>
      </c>
      <c r="B11" s="115" t="str">
        <f>IFERROR(__xludf.DUMMYFUNCTION("""COMPUTED_VALUE"""),"Martin A")</f>
        <v>Martin A</v>
      </c>
      <c r="C11" s="145">
        <f>IFERROR(__xludf.DUMMYFUNCTION("""COMPUTED_VALUE"""),387729.0)</f>
        <v>387729</v>
      </c>
      <c r="D11" s="145">
        <f>IFERROR(__xludf.DUMMYFUNCTION("""COMPUTED_VALUE"""),60681.0)</f>
        <v>60681</v>
      </c>
      <c r="E11" s="140">
        <f>IFERROR(__xludf.DUMMYFUNCTION("""COMPUTED_VALUE"""),0.0)</f>
        <v>0</v>
      </c>
      <c r="F11" s="140">
        <f>IFERROR(__xludf.DUMMYFUNCTION("""COMPUTED_VALUE"""),302.0)</f>
        <v>302</v>
      </c>
      <c r="G11" s="143">
        <f t="shared" si="1"/>
        <v>45914</v>
      </c>
      <c r="H11" s="144"/>
    </row>
    <row r="12">
      <c r="A12" s="115" t="str">
        <f>IFERROR(__xludf.DUMMYFUNCTION("""COMPUTED_VALUE"""),"East")</f>
        <v>East</v>
      </c>
      <c r="B12" s="115" t="str">
        <f>IFERROR(__xludf.DUMMYFUNCTION("""COMPUTED_VALUE"""),"Parag Kashyap")</f>
        <v>Parag Kashyap</v>
      </c>
      <c r="C12" s="145">
        <f>IFERROR(__xludf.DUMMYFUNCTION("""COMPUTED_VALUE"""),375173.0)</f>
        <v>375173</v>
      </c>
      <c r="D12" s="145">
        <f>IFERROR(__xludf.DUMMYFUNCTION("""COMPUTED_VALUE"""),71805.0)</f>
        <v>71805</v>
      </c>
      <c r="E12" s="140">
        <f>IFERROR(__xludf.DUMMYFUNCTION("""COMPUTED_VALUE"""),1.0)</f>
        <v>1</v>
      </c>
      <c r="F12" s="140">
        <f>IFERROR(__xludf.DUMMYFUNCTION("""COMPUTED_VALUE"""),383.0)</f>
        <v>383</v>
      </c>
      <c r="G12" s="143">
        <f t="shared" si="1"/>
        <v>45914</v>
      </c>
      <c r="H12" s="144"/>
    </row>
    <row r="13">
      <c r="A13" s="115" t="str">
        <f>IFERROR(__xludf.DUMMYFUNCTION("""COMPUTED_VALUE"""),"North")</f>
        <v>North</v>
      </c>
      <c r="B13" s="115" t="str">
        <f>IFERROR(__xludf.DUMMYFUNCTION("""COMPUTED_VALUE"""),"Pradeep Kothari")</f>
        <v>Pradeep Kothari</v>
      </c>
      <c r="C13" s="145">
        <f>IFERROR(__xludf.DUMMYFUNCTION("""COMPUTED_VALUE"""),230747.0)</f>
        <v>230747</v>
      </c>
      <c r="D13" s="145">
        <f>IFERROR(__xludf.DUMMYFUNCTION("""COMPUTED_VALUE"""),31520.0)</f>
        <v>31520</v>
      </c>
      <c r="E13" s="140">
        <f>IFERROR(__xludf.DUMMYFUNCTION("""COMPUTED_VALUE"""),0.0)</f>
        <v>0</v>
      </c>
      <c r="F13" s="140">
        <f>IFERROR(__xludf.DUMMYFUNCTION("""COMPUTED_VALUE"""),309.0)</f>
        <v>309</v>
      </c>
      <c r="G13" s="143">
        <f t="shared" si="1"/>
        <v>45914</v>
      </c>
      <c r="H13" s="144"/>
    </row>
    <row r="14">
      <c r="A14" s="115" t="str">
        <f>IFERROR(__xludf.DUMMYFUNCTION("""COMPUTED_VALUE"""),"South")</f>
        <v>South</v>
      </c>
      <c r="B14" s="115" t="str">
        <f>IFERROR(__xludf.DUMMYFUNCTION("""COMPUTED_VALUE"""),"Premkumar M")</f>
        <v>Premkumar M</v>
      </c>
      <c r="C14" s="145">
        <f>IFERROR(__xludf.DUMMYFUNCTION("""COMPUTED_VALUE"""),351928.0)</f>
        <v>351928</v>
      </c>
      <c r="D14" s="145">
        <f>IFERROR(__xludf.DUMMYFUNCTION("""COMPUTED_VALUE"""),58656.0)</f>
        <v>58656</v>
      </c>
      <c r="E14" s="140">
        <f>IFERROR(__xludf.DUMMYFUNCTION("""COMPUTED_VALUE"""),0.0)</f>
        <v>0</v>
      </c>
      <c r="F14" s="140">
        <f>IFERROR(__xludf.DUMMYFUNCTION("""COMPUTED_VALUE"""),321.0)</f>
        <v>321</v>
      </c>
      <c r="G14" s="143">
        <f t="shared" si="1"/>
        <v>45914</v>
      </c>
      <c r="H14" s="144"/>
    </row>
    <row r="15">
      <c r="A15" s="115" t="str">
        <f>IFERROR(__xludf.DUMMYFUNCTION("""COMPUTED_VALUE"""),"South")</f>
        <v>South</v>
      </c>
      <c r="B15" s="115" t="str">
        <f>IFERROR(__xludf.DUMMYFUNCTION("""COMPUTED_VALUE"""),"Vineeth V")</f>
        <v>Vineeth V</v>
      </c>
      <c r="C15" s="145">
        <f>IFERROR(__xludf.DUMMYFUNCTION("""COMPUTED_VALUE"""),268864.0)</f>
        <v>268864</v>
      </c>
      <c r="D15" s="145">
        <f>IFERROR(__xludf.DUMMYFUNCTION("""COMPUTED_VALUE"""),37995.0)</f>
        <v>37995</v>
      </c>
      <c r="E15" s="140">
        <f>IFERROR(__xludf.DUMMYFUNCTION("""COMPUTED_VALUE"""),0.0)</f>
        <v>0</v>
      </c>
      <c r="F15" s="140">
        <f>IFERROR(__xludf.DUMMYFUNCTION("""COMPUTED_VALUE"""),195.0)</f>
        <v>195</v>
      </c>
      <c r="G15" s="143">
        <f t="shared" si="1"/>
        <v>45914</v>
      </c>
      <c r="H15" s="144"/>
    </row>
    <row r="16">
      <c r="C16" s="145"/>
      <c r="D16" s="145"/>
      <c r="E16" s="140"/>
      <c r="F16" s="140"/>
      <c r="G16" s="143"/>
      <c r="H16" s="144"/>
    </row>
    <row r="17">
      <c r="C17" s="145"/>
      <c r="D17" s="145"/>
      <c r="E17" s="140"/>
      <c r="F17" s="140"/>
      <c r="G17" s="143"/>
      <c r="H17" s="144"/>
    </row>
    <row r="18">
      <c r="C18" s="145"/>
      <c r="D18" s="145"/>
      <c r="E18" s="140"/>
      <c r="F18" s="140"/>
      <c r="G18" s="143"/>
      <c r="H18" s="144"/>
    </row>
    <row r="19">
      <c r="C19" s="145"/>
      <c r="D19" s="145"/>
      <c r="E19" s="140"/>
      <c r="F19" s="140"/>
      <c r="G19" s="143"/>
      <c r="H19" s="144"/>
    </row>
    <row r="20">
      <c r="C20" s="145"/>
      <c r="D20" s="145"/>
      <c r="E20" s="140"/>
      <c r="F20" s="140"/>
      <c r="G20" s="143"/>
      <c r="H20" s="144"/>
    </row>
    <row r="21">
      <c r="C21" s="145"/>
      <c r="D21" s="145"/>
      <c r="E21" s="140"/>
      <c r="F21" s="140"/>
      <c r="G21" s="143"/>
      <c r="H21" s="144"/>
    </row>
    <row r="22">
      <c r="C22" s="145"/>
      <c r="D22" s="145"/>
      <c r="E22" s="140"/>
      <c r="F22" s="140"/>
      <c r="G22" s="143"/>
      <c r="H22" s="144"/>
    </row>
    <row r="23">
      <c r="C23" s="145"/>
      <c r="D23" s="145"/>
      <c r="E23" s="140"/>
      <c r="F23" s="140"/>
      <c r="G23" s="143"/>
      <c r="H23" s="144"/>
    </row>
    <row r="24">
      <c r="C24" s="145"/>
      <c r="D24" s="145"/>
      <c r="E24" s="140"/>
      <c r="F24" s="140"/>
      <c r="G24" s="143"/>
      <c r="H24" s="144"/>
    </row>
    <row r="25">
      <c r="C25" s="145"/>
      <c r="D25" s="145"/>
      <c r="E25" s="140"/>
      <c r="F25" s="140"/>
      <c r="G25" s="143"/>
      <c r="H25" s="144"/>
    </row>
    <row r="26">
      <c r="C26" s="145"/>
      <c r="D26" s="145"/>
      <c r="E26" s="140"/>
      <c r="F26" s="140"/>
      <c r="G26" s="143"/>
      <c r="H26" s="144"/>
    </row>
    <row r="27">
      <c r="C27" s="145"/>
      <c r="D27" s="145"/>
      <c r="E27" s="140"/>
      <c r="F27" s="140"/>
      <c r="G27" s="143"/>
      <c r="H27" s="144"/>
    </row>
    <row r="28">
      <c r="C28" s="145"/>
      <c r="D28" s="145"/>
      <c r="E28" s="140"/>
      <c r="F28" s="140"/>
      <c r="G28" s="143"/>
      <c r="H28" s="144"/>
    </row>
    <row r="29">
      <c r="C29" s="145"/>
      <c r="D29" s="145"/>
      <c r="E29" s="140"/>
      <c r="F29" s="140"/>
      <c r="G29" s="143"/>
      <c r="H29" s="144"/>
    </row>
    <row r="30">
      <c r="C30" s="145"/>
      <c r="D30" s="145"/>
      <c r="E30" s="140"/>
      <c r="F30" s="140"/>
      <c r="G30" s="143"/>
      <c r="H30" s="144"/>
    </row>
    <row r="31">
      <c r="C31" s="145"/>
      <c r="D31" s="145"/>
      <c r="E31" s="140"/>
      <c r="F31" s="140"/>
      <c r="G31" s="143"/>
      <c r="H31" s="144"/>
    </row>
    <row r="32">
      <c r="C32" s="145"/>
      <c r="D32" s="145"/>
      <c r="E32" s="140"/>
      <c r="F32" s="140"/>
      <c r="G32" s="143"/>
      <c r="H32" s="144"/>
    </row>
    <row r="33">
      <c r="C33" s="145"/>
      <c r="D33" s="145"/>
      <c r="E33" s="140"/>
      <c r="F33" s="140"/>
      <c r="G33" s="143"/>
      <c r="H33" s="144"/>
    </row>
    <row r="34">
      <c r="C34" s="145"/>
      <c r="D34" s="145"/>
      <c r="E34" s="140"/>
      <c r="F34" s="140"/>
      <c r="G34" s="143"/>
      <c r="H34" s="144"/>
    </row>
    <row r="35">
      <c r="C35" s="145"/>
      <c r="D35" s="145"/>
      <c r="E35" s="140"/>
      <c r="F35" s="140"/>
      <c r="G35" s="143"/>
      <c r="H35" s="144"/>
    </row>
    <row r="36">
      <c r="C36" s="145"/>
      <c r="D36" s="145"/>
      <c r="E36" s="140"/>
      <c r="F36" s="140"/>
      <c r="G36" s="143"/>
      <c r="H36" s="144"/>
    </row>
    <row r="37">
      <c r="C37" s="145"/>
      <c r="D37" s="145"/>
      <c r="E37" s="140"/>
      <c r="F37" s="140"/>
      <c r="G37" s="143"/>
      <c r="H37" s="144"/>
    </row>
    <row r="38">
      <c r="C38" s="145"/>
      <c r="D38" s="145"/>
      <c r="E38" s="140"/>
      <c r="F38" s="140"/>
      <c r="G38" s="143"/>
      <c r="H38" s="144"/>
    </row>
    <row r="39">
      <c r="C39" s="145"/>
      <c r="D39" s="145"/>
      <c r="E39" s="140"/>
      <c r="F39" s="140"/>
      <c r="G39" s="143"/>
      <c r="H39" s="144"/>
    </row>
    <row r="40">
      <c r="C40" s="145"/>
      <c r="D40" s="145"/>
      <c r="E40" s="140"/>
      <c r="F40" s="140"/>
      <c r="G40" s="143"/>
      <c r="H40" s="144"/>
    </row>
    <row r="41">
      <c r="C41" s="145"/>
      <c r="D41" s="145"/>
      <c r="E41" s="140"/>
      <c r="F41" s="140"/>
      <c r="G41" s="143"/>
      <c r="H41" s="144"/>
    </row>
    <row r="42">
      <c r="C42" s="145"/>
      <c r="D42" s="145"/>
      <c r="E42" s="140"/>
      <c r="F42" s="140"/>
      <c r="G42" s="143"/>
      <c r="H42" s="144"/>
    </row>
    <row r="43">
      <c r="C43" s="145"/>
      <c r="D43" s="145"/>
      <c r="E43" s="140"/>
      <c r="F43" s="140"/>
      <c r="G43" s="143"/>
      <c r="H43" s="144"/>
    </row>
    <row r="44">
      <c r="C44" s="145"/>
      <c r="D44" s="145"/>
      <c r="E44" s="140"/>
      <c r="F44" s="140"/>
      <c r="G44" s="143"/>
      <c r="H44" s="144"/>
    </row>
    <row r="45">
      <c r="C45" s="145"/>
      <c r="D45" s="145"/>
      <c r="E45" s="140"/>
      <c r="F45" s="140"/>
      <c r="G45" s="143"/>
      <c r="H45" s="144"/>
    </row>
    <row r="46">
      <c r="C46" s="145"/>
      <c r="D46" s="145"/>
      <c r="E46" s="140"/>
      <c r="F46" s="140"/>
      <c r="G46" s="143"/>
      <c r="H46" s="144"/>
    </row>
    <row r="47">
      <c r="C47" s="145"/>
      <c r="D47" s="145"/>
      <c r="E47" s="140"/>
      <c r="F47" s="140"/>
      <c r="G47" s="143"/>
      <c r="H47" s="144"/>
    </row>
    <row r="48">
      <c r="C48" s="145"/>
      <c r="D48" s="145"/>
      <c r="E48" s="140"/>
      <c r="F48" s="140"/>
      <c r="G48" s="143"/>
      <c r="H48" s="144"/>
    </row>
    <row r="49">
      <c r="C49" s="145"/>
      <c r="D49" s="145"/>
      <c r="E49" s="140"/>
      <c r="F49" s="140"/>
      <c r="G49" s="143"/>
      <c r="H49" s="144"/>
    </row>
    <row r="50">
      <c r="C50" s="145"/>
      <c r="D50" s="145"/>
      <c r="E50" s="140"/>
      <c r="F50" s="140"/>
      <c r="G50" s="143"/>
      <c r="H50" s="144"/>
    </row>
    <row r="51">
      <c r="C51" s="145"/>
      <c r="D51" s="145"/>
      <c r="E51" s="140"/>
      <c r="F51" s="140"/>
      <c r="G51" s="143"/>
      <c r="H51" s="144"/>
    </row>
    <row r="52">
      <c r="C52" s="145"/>
      <c r="D52" s="145"/>
      <c r="E52" s="140"/>
      <c r="F52" s="140"/>
      <c r="G52" s="143"/>
      <c r="H52" s="144"/>
    </row>
    <row r="53">
      <c r="C53" s="145"/>
      <c r="D53" s="145"/>
      <c r="E53" s="140"/>
      <c r="F53" s="140"/>
      <c r="G53" s="143"/>
      <c r="H53" s="144"/>
    </row>
    <row r="54">
      <c r="C54" s="145"/>
      <c r="D54" s="145"/>
      <c r="E54" s="140"/>
      <c r="F54" s="140"/>
      <c r="G54" s="143"/>
      <c r="H54" s="144"/>
    </row>
    <row r="55">
      <c r="C55" s="145"/>
      <c r="D55" s="145"/>
      <c r="E55" s="140"/>
      <c r="F55" s="140"/>
      <c r="G55" s="143"/>
      <c r="H55" s="144"/>
    </row>
    <row r="56">
      <c r="C56" s="145"/>
      <c r="D56" s="145"/>
      <c r="E56" s="140"/>
      <c r="F56" s="140"/>
      <c r="G56" s="143"/>
      <c r="H56" s="144"/>
    </row>
    <row r="57">
      <c r="C57" s="145"/>
      <c r="D57" s="145"/>
      <c r="E57" s="140"/>
      <c r="F57" s="140"/>
      <c r="G57" s="143"/>
      <c r="H57" s="144"/>
    </row>
    <row r="58">
      <c r="C58" s="145"/>
      <c r="D58" s="145"/>
      <c r="E58" s="140"/>
      <c r="F58" s="140"/>
      <c r="G58" s="143"/>
      <c r="H58" s="144"/>
    </row>
    <row r="59">
      <c r="C59" s="145"/>
      <c r="D59" s="145"/>
      <c r="E59" s="140"/>
      <c r="F59" s="140"/>
      <c r="G59" s="143"/>
      <c r="H59" s="144"/>
    </row>
    <row r="60">
      <c r="C60" s="145"/>
      <c r="D60" s="145"/>
      <c r="E60" s="140"/>
      <c r="F60" s="140"/>
      <c r="G60" s="143"/>
      <c r="H60" s="144"/>
    </row>
    <row r="61">
      <c r="C61" s="145"/>
      <c r="D61" s="145"/>
      <c r="E61" s="140"/>
      <c r="F61" s="140"/>
      <c r="G61" s="143"/>
      <c r="H61" s="144"/>
    </row>
    <row r="62">
      <c r="C62" s="145"/>
      <c r="D62" s="145"/>
      <c r="E62" s="140"/>
      <c r="F62" s="140"/>
      <c r="G62" s="143"/>
      <c r="H62" s="144"/>
    </row>
    <row r="63">
      <c r="C63" s="145"/>
      <c r="D63" s="145"/>
      <c r="E63" s="140"/>
      <c r="F63" s="140"/>
      <c r="G63" s="143"/>
      <c r="H63" s="144"/>
    </row>
    <row r="64">
      <c r="C64" s="145"/>
      <c r="D64" s="145"/>
      <c r="E64" s="140"/>
      <c r="F64" s="140"/>
      <c r="G64" s="143"/>
      <c r="H64" s="144"/>
    </row>
    <row r="65">
      <c r="C65" s="145"/>
      <c r="D65" s="145"/>
      <c r="E65" s="140"/>
      <c r="F65" s="140"/>
      <c r="G65" s="143"/>
      <c r="H65" s="144"/>
    </row>
    <row r="66">
      <c r="C66" s="145"/>
      <c r="D66" s="145"/>
      <c r="E66" s="140"/>
      <c r="F66" s="140"/>
      <c r="G66" s="143"/>
      <c r="H66" s="144"/>
    </row>
    <row r="67">
      <c r="C67" s="145"/>
      <c r="D67" s="145"/>
      <c r="E67" s="140"/>
      <c r="F67" s="140"/>
      <c r="G67" s="143"/>
      <c r="H67" s="144"/>
    </row>
    <row r="68">
      <c r="C68" s="145"/>
      <c r="D68" s="145"/>
      <c r="E68" s="140"/>
      <c r="F68" s="140"/>
      <c r="G68" s="143"/>
      <c r="H68" s="144"/>
    </row>
    <row r="69">
      <c r="C69" s="145"/>
      <c r="D69" s="145"/>
      <c r="E69" s="140"/>
      <c r="F69" s="140"/>
      <c r="G69" s="143"/>
      <c r="H69" s="144"/>
    </row>
    <row r="70">
      <c r="C70" s="145"/>
      <c r="D70" s="145"/>
      <c r="E70" s="140"/>
      <c r="F70" s="140"/>
      <c r="G70" s="143"/>
      <c r="H70" s="144"/>
    </row>
    <row r="71">
      <c r="C71" s="145"/>
      <c r="D71" s="145"/>
      <c r="E71" s="140"/>
      <c r="F71" s="140"/>
      <c r="G71" s="143"/>
      <c r="H71" s="144"/>
    </row>
    <row r="72">
      <c r="C72" s="145"/>
      <c r="D72" s="145"/>
      <c r="E72" s="140"/>
      <c r="F72" s="140"/>
      <c r="G72" s="143"/>
      <c r="H72" s="144"/>
    </row>
    <row r="73">
      <c r="C73" s="145"/>
      <c r="D73" s="145"/>
      <c r="E73" s="140"/>
      <c r="F73" s="140"/>
      <c r="G73" s="143"/>
      <c r="H73" s="144"/>
    </row>
    <row r="74">
      <c r="C74" s="145"/>
      <c r="D74" s="145"/>
      <c r="E74" s="140"/>
      <c r="F74" s="140"/>
      <c r="G74" s="143"/>
      <c r="H74" s="144"/>
    </row>
    <row r="75">
      <c r="C75" s="145"/>
      <c r="D75" s="145"/>
      <c r="E75" s="140"/>
      <c r="F75" s="140"/>
      <c r="G75" s="143"/>
      <c r="H75" s="144"/>
    </row>
    <row r="76">
      <c r="C76" s="145"/>
      <c r="D76" s="145"/>
      <c r="E76" s="140"/>
      <c r="F76" s="140"/>
      <c r="G76" s="143"/>
      <c r="H76" s="144"/>
    </row>
    <row r="77">
      <c r="C77" s="145"/>
      <c r="D77" s="145"/>
      <c r="E77" s="140"/>
      <c r="F77" s="140"/>
      <c r="G77" s="143"/>
      <c r="H77" s="144"/>
    </row>
    <row r="78">
      <c r="C78" s="145"/>
      <c r="D78" s="145"/>
      <c r="E78" s="140"/>
      <c r="F78" s="140"/>
      <c r="G78" s="143"/>
      <c r="H78" s="144"/>
    </row>
    <row r="79">
      <c r="C79" s="145"/>
      <c r="D79" s="145"/>
      <c r="E79" s="140"/>
      <c r="F79" s="140"/>
      <c r="G79" s="143"/>
      <c r="H79" s="144"/>
    </row>
    <row r="80">
      <c r="C80" s="145"/>
      <c r="D80" s="145"/>
      <c r="E80" s="140"/>
      <c r="F80" s="140"/>
      <c r="G80" s="143"/>
      <c r="H80" s="144"/>
    </row>
    <row r="81">
      <c r="C81" s="145"/>
      <c r="D81" s="145"/>
      <c r="E81" s="140"/>
      <c r="F81" s="140"/>
      <c r="G81" s="143"/>
      <c r="H81" s="144"/>
    </row>
    <row r="82">
      <c r="C82" s="145"/>
      <c r="D82" s="145"/>
      <c r="E82" s="140"/>
      <c r="F82" s="140"/>
      <c r="G82" s="143"/>
      <c r="H82" s="144"/>
    </row>
    <row r="83">
      <c r="C83" s="145"/>
      <c r="D83" s="145"/>
      <c r="E83" s="140"/>
      <c r="F83" s="140"/>
      <c r="G83" s="143"/>
      <c r="H83" s="144"/>
    </row>
    <row r="84">
      <c r="C84" s="145"/>
      <c r="D84" s="145"/>
      <c r="E84" s="140"/>
      <c r="F84" s="140"/>
      <c r="G84" s="143"/>
      <c r="H84" s="144"/>
    </row>
    <row r="85">
      <c r="C85" s="145"/>
      <c r="D85" s="145"/>
      <c r="E85" s="140"/>
      <c r="F85" s="140"/>
      <c r="G85" s="143"/>
      <c r="H85" s="144"/>
    </row>
    <row r="86">
      <c r="C86" s="145"/>
      <c r="D86" s="145"/>
      <c r="E86" s="140"/>
      <c r="F86" s="140"/>
      <c r="G86" s="143"/>
      <c r="H86" s="144"/>
    </row>
    <row r="87">
      <c r="C87" s="145"/>
      <c r="D87" s="145"/>
      <c r="E87" s="140"/>
      <c r="F87" s="140"/>
      <c r="G87" s="143"/>
      <c r="H87" s="144"/>
    </row>
    <row r="88">
      <c r="C88" s="145"/>
      <c r="D88" s="145"/>
      <c r="E88" s="140"/>
      <c r="F88" s="140"/>
      <c r="G88" s="143"/>
      <c r="H88" s="144"/>
    </row>
    <row r="89">
      <c r="C89" s="145"/>
      <c r="D89" s="145"/>
      <c r="E89" s="140"/>
      <c r="F89" s="140"/>
      <c r="G89" s="143"/>
      <c r="H89" s="144"/>
    </row>
    <row r="90">
      <c r="C90" s="145"/>
      <c r="D90" s="145"/>
      <c r="E90" s="140"/>
      <c r="F90" s="140"/>
      <c r="G90" s="143"/>
      <c r="H90" s="144"/>
    </row>
    <row r="91">
      <c r="C91" s="145"/>
      <c r="D91" s="145"/>
      <c r="E91" s="140"/>
      <c r="F91" s="140"/>
      <c r="G91" s="143"/>
      <c r="H91" s="144"/>
    </row>
    <row r="92">
      <c r="C92" s="145"/>
      <c r="D92" s="145"/>
      <c r="E92" s="140"/>
      <c r="F92" s="140"/>
      <c r="G92" s="143"/>
      <c r="H92" s="144"/>
    </row>
    <row r="93">
      <c r="C93" s="145"/>
      <c r="D93" s="145"/>
      <c r="E93" s="140"/>
      <c r="F93" s="140"/>
      <c r="G93" s="143"/>
      <c r="H93" s="144"/>
    </row>
    <row r="94">
      <c r="C94" s="145"/>
      <c r="D94" s="145"/>
      <c r="E94" s="140"/>
      <c r="F94" s="140"/>
      <c r="G94" s="143"/>
      <c r="H94" s="144"/>
    </row>
    <row r="95">
      <c r="C95" s="145"/>
      <c r="D95" s="145"/>
      <c r="E95" s="140"/>
      <c r="F95" s="140"/>
      <c r="G95" s="143"/>
      <c r="H95" s="144"/>
    </row>
    <row r="96">
      <c r="C96" s="145"/>
      <c r="D96" s="145"/>
      <c r="E96" s="140"/>
      <c r="F96" s="140"/>
      <c r="G96" s="143"/>
      <c r="H96" s="144"/>
    </row>
    <row r="97">
      <c r="C97" s="145"/>
      <c r="D97" s="145"/>
      <c r="E97" s="140"/>
      <c r="F97" s="140"/>
      <c r="G97" s="143"/>
      <c r="H97" s="144"/>
    </row>
    <row r="98">
      <c r="C98" s="145"/>
      <c r="D98" s="145"/>
      <c r="E98" s="140"/>
      <c r="F98" s="140"/>
      <c r="G98" s="143"/>
      <c r="H98" s="144"/>
    </row>
    <row r="99">
      <c r="C99" s="145"/>
      <c r="D99" s="145"/>
      <c r="E99" s="140"/>
      <c r="F99" s="140"/>
      <c r="G99" s="143"/>
      <c r="H99" s="144"/>
    </row>
    <row r="100">
      <c r="C100" s="145"/>
      <c r="D100" s="145"/>
      <c r="E100" s="140"/>
      <c r="F100" s="140"/>
      <c r="G100" s="143"/>
      <c r="H100" s="144"/>
    </row>
    <row r="101">
      <c r="C101" s="145"/>
      <c r="D101" s="145"/>
      <c r="E101" s="140"/>
      <c r="F101" s="140"/>
      <c r="G101" s="143"/>
      <c r="H101" s="144"/>
    </row>
    <row r="102">
      <c r="C102" s="145"/>
      <c r="D102" s="145"/>
      <c r="E102" s="140"/>
      <c r="F102" s="140"/>
      <c r="G102" s="143"/>
      <c r="H102" s="144"/>
    </row>
    <row r="103">
      <c r="C103" s="145"/>
      <c r="D103" s="145"/>
      <c r="E103" s="140"/>
      <c r="F103" s="140"/>
      <c r="G103" s="143"/>
      <c r="H103" s="144"/>
    </row>
    <row r="104">
      <c r="C104" s="145"/>
      <c r="D104" s="145"/>
      <c r="E104" s="140"/>
      <c r="F104" s="140"/>
      <c r="G104" s="143"/>
      <c r="H104" s="144"/>
    </row>
    <row r="105">
      <c r="C105" s="145"/>
      <c r="D105" s="145"/>
      <c r="E105" s="140"/>
      <c r="F105" s="140"/>
      <c r="G105" s="143"/>
      <c r="H105" s="144"/>
    </row>
    <row r="106">
      <c r="A106" s="77"/>
      <c r="B106" s="77"/>
      <c r="C106" s="145"/>
      <c r="D106" s="145"/>
      <c r="E106" s="140"/>
      <c r="F106" s="140"/>
      <c r="G106" s="143"/>
      <c r="H106" s="144"/>
    </row>
    <row r="107">
      <c r="A107" s="77"/>
      <c r="B107" s="77"/>
      <c r="C107" s="145"/>
      <c r="D107" s="145"/>
      <c r="E107" s="140"/>
      <c r="F107" s="140"/>
      <c r="G107" s="143"/>
      <c r="H107" s="144"/>
    </row>
    <row r="108">
      <c r="A108" s="77"/>
      <c r="B108" s="77"/>
      <c r="C108" s="145"/>
      <c r="D108" s="145"/>
      <c r="E108" s="140"/>
      <c r="F108" s="140"/>
      <c r="G108" s="143"/>
      <c r="H108" s="144"/>
    </row>
    <row r="109">
      <c r="A109" s="77"/>
      <c r="B109" s="77"/>
      <c r="C109" s="145"/>
      <c r="D109" s="145"/>
      <c r="E109" s="140"/>
      <c r="F109" s="140"/>
      <c r="G109" s="143"/>
      <c r="H109" s="144"/>
    </row>
    <row r="110">
      <c r="A110" s="77"/>
      <c r="B110" s="77"/>
      <c r="C110" s="145"/>
      <c r="D110" s="145"/>
      <c r="E110" s="140"/>
      <c r="F110" s="140"/>
      <c r="G110" s="143"/>
      <c r="H110" s="144"/>
    </row>
    <row r="111">
      <c r="A111" s="77"/>
      <c r="B111" s="77"/>
      <c r="C111" s="145"/>
      <c r="D111" s="145"/>
      <c r="E111" s="140"/>
      <c r="F111" s="140"/>
      <c r="G111" s="143"/>
      <c r="H111" s="144"/>
    </row>
    <row r="112">
      <c r="A112" s="77"/>
      <c r="B112" s="77"/>
      <c r="C112" s="145"/>
      <c r="D112" s="145"/>
      <c r="E112" s="140"/>
      <c r="F112" s="140"/>
      <c r="G112" s="143"/>
      <c r="H112" s="144"/>
    </row>
    <row r="113">
      <c r="A113" s="77"/>
      <c r="B113" s="77"/>
      <c r="C113" s="145"/>
      <c r="D113" s="145"/>
      <c r="E113" s="140"/>
      <c r="F113" s="140"/>
      <c r="G113" s="143"/>
      <c r="H113" s="144"/>
    </row>
    <row r="114">
      <c r="A114" s="77"/>
      <c r="B114" s="77"/>
      <c r="C114" s="145"/>
      <c r="D114" s="145"/>
      <c r="E114" s="140"/>
      <c r="F114" s="140"/>
      <c r="G114" s="143"/>
      <c r="H114" s="144"/>
    </row>
    <row r="115">
      <c r="A115" s="77"/>
      <c r="B115" s="77"/>
      <c r="C115" s="145"/>
      <c r="D115" s="145"/>
      <c r="E115" s="140"/>
      <c r="F115" s="140"/>
      <c r="G115" s="143"/>
      <c r="H115" s="144"/>
    </row>
    <row r="116">
      <c r="A116" s="77"/>
      <c r="B116" s="77"/>
      <c r="C116" s="145"/>
      <c r="D116" s="145"/>
      <c r="E116" s="140"/>
      <c r="F116" s="140"/>
      <c r="G116" s="143"/>
      <c r="H116" s="144"/>
    </row>
    <row r="117">
      <c r="A117" s="77"/>
      <c r="B117" s="77"/>
      <c r="C117" s="145"/>
      <c r="D117" s="145"/>
      <c r="E117" s="140"/>
      <c r="F117" s="140"/>
      <c r="G117" s="143"/>
      <c r="H117" s="144"/>
    </row>
    <row r="118">
      <c r="A118" s="77"/>
      <c r="B118" s="77"/>
      <c r="C118" s="145"/>
      <c r="D118" s="145"/>
      <c r="E118" s="140"/>
      <c r="F118" s="140"/>
      <c r="G118" s="143"/>
      <c r="H118" s="144"/>
    </row>
    <row r="119">
      <c r="A119" s="77"/>
      <c r="B119" s="77"/>
      <c r="C119" s="145"/>
      <c r="D119" s="145"/>
      <c r="E119" s="140"/>
      <c r="F119" s="140"/>
      <c r="G119" s="143"/>
      <c r="H119" s="144"/>
    </row>
    <row r="120">
      <c r="A120" s="77"/>
      <c r="B120" s="77"/>
      <c r="C120" s="145"/>
      <c r="D120" s="145"/>
      <c r="E120" s="140"/>
      <c r="F120" s="140"/>
      <c r="G120" s="143"/>
      <c r="H120" s="144"/>
    </row>
    <row r="121">
      <c r="A121" s="77"/>
      <c r="B121" s="77"/>
      <c r="C121" s="145"/>
      <c r="D121" s="145"/>
      <c r="E121" s="140"/>
      <c r="F121" s="140"/>
      <c r="G121" s="143"/>
      <c r="H121" s="144"/>
    </row>
    <row r="122">
      <c r="A122" s="77"/>
      <c r="B122" s="77"/>
      <c r="C122" s="145"/>
      <c r="D122" s="145"/>
      <c r="E122" s="140"/>
      <c r="F122" s="140"/>
      <c r="G122" s="143"/>
      <c r="H122" s="144"/>
    </row>
    <row r="123">
      <c r="A123" s="77"/>
      <c r="B123" s="77"/>
      <c r="C123" s="145"/>
      <c r="D123" s="145"/>
      <c r="E123" s="140"/>
      <c r="F123" s="140"/>
      <c r="G123" s="143"/>
      <c r="H123" s="144"/>
    </row>
    <row r="124">
      <c r="A124" s="77"/>
      <c r="B124" s="77"/>
      <c r="C124" s="145"/>
      <c r="D124" s="145"/>
      <c r="E124" s="140"/>
      <c r="F124" s="140"/>
      <c r="G124" s="143"/>
      <c r="H124" s="144"/>
    </row>
    <row r="125">
      <c r="A125" s="77"/>
      <c r="B125" s="77"/>
      <c r="C125" s="145"/>
      <c r="D125" s="145"/>
      <c r="E125" s="140"/>
      <c r="F125" s="140"/>
      <c r="G125" s="143"/>
      <c r="H125" s="144"/>
    </row>
    <row r="126">
      <c r="A126" s="77"/>
      <c r="B126" s="77"/>
      <c r="C126" s="145"/>
      <c r="D126" s="145"/>
      <c r="E126" s="140"/>
      <c r="F126" s="140"/>
      <c r="G126" s="143"/>
      <c r="H126" s="144"/>
    </row>
    <row r="127">
      <c r="A127" s="77"/>
      <c r="B127" s="77"/>
      <c r="C127" s="145"/>
      <c r="D127" s="145"/>
      <c r="E127" s="140"/>
      <c r="F127" s="140"/>
      <c r="G127" s="143"/>
      <c r="H127" s="144"/>
    </row>
    <row r="128">
      <c r="A128" s="77"/>
      <c r="B128" s="77"/>
      <c r="C128" s="145"/>
      <c r="D128" s="145"/>
      <c r="E128" s="140"/>
      <c r="F128" s="140"/>
      <c r="G128" s="143"/>
      <c r="H128" s="144"/>
    </row>
    <row r="129">
      <c r="A129" s="77"/>
      <c r="B129" s="77"/>
      <c r="C129" s="145"/>
      <c r="D129" s="145"/>
      <c r="E129" s="140"/>
      <c r="F129" s="140"/>
      <c r="G129" s="143"/>
      <c r="H129" s="144"/>
    </row>
    <row r="130">
      <c r="A130" s="77"/>
      <c r="B130" s="77"/>
      <c r="C130" s="145"/>
      <c r="D130" s="145"/>
      <c r="E130" s="140"/>
      <c r="F130" s="140"/>
      <c r="G130" s="143"/>
      <c r="H130" s="144"/>
    </row>
    <row r="131">
      <c r="A131" s="77"/>
      <c r="B131" s="77"/>
      <c r="C131" s="145"/>
      <c r="D131" s="145"/>
      <c r="E131" s="140"/>
      <c r="F131" s="140"/>
      <c r="G131" s="143"/>
      <c r="H131" s="144"/>
    </row>
    <row r="132">
      <c r="A132" s="77"/>
      <c r="B132" s="77"/>
      <c r="C132" s="145"/>
      <c r="D132" s="145"/>
      <c r="E132" s="140"/>
      <c r="F132" s="140"/>
      <c r="G132" s="143"/>
      <c r="H132" s="144"/>
    </row>
    <row r="133">
      <c r="A133" s="77"/>
      <c r="B133" s="77"/>
      <c r="C133" s="145"/>
      <c r="D133" s="145"/>
      <c r="E133" s="140"/>
      <c r="F133" s="140"/>
      <c r="G133" s="143"/>
      <c r="H133" s="144"/>
    </row>
    <row r="134">
      <c r="A134" s="77"/>
      <c r="B134" s="77"/>
      <c r="C134" s="145"/>
      <c r="D134" s="145"/>
      <c r="E134" s="140"/>
      <c r="F134" s="140"/>
      <c r="G134" s="143"/>
      <c r="H134" s="144"/>
    </row>
    <row r="135">
      <c r="A135" s="77"/>
      <c r="B135" s="77"/>
      <c r="C135" s="145"/>
      <c r="D135" s="145"/>
      <c r="E135" s="140"/>
      <c r="F135" s="140"/>
      <c r="G135" s="143"/>
      <c r="H135" s="144"/>
    </row>
    <row r="136">
      <c r="A136" s="77"/>
      <c r="B136" s="77"/>
      <c r="C136" s="145"/>
      <c r="D136" s="145"/>
      <c r="E136" s="140"/>
      <c r="F136" s="140"/>
      <c r="G136" s="143"/>
      <c r="H136" s="144"/>
    </row>
    <row r="137">
      <c r="A137" s="77"/>
      <c r="B137" s="77"/>
      <c r="C137" s="145"/>
      <c r="D137" s="145"/>
      <c r="E137" s="140"/>
      <c r="F137" s="140"/>
      <c r="G137" s="143"/>
      <c r="H137" s="144"/>
    </row>
    <row r="138">
      <c r="A138" s="77"/>
      <c r="B138" s="77"/>
      <c r="C138" s="145"/>
      <c r="D138" s="145"/>
      <c r="E138" s="140"/>
      <c r="F138" s="140"/>
      <c r="G138" s="143"/>
      <c r="H138" s="144"/>
    </row>
    <row r="139">
      <c r="A139" s="77"/>
      <c r="B139" s="77"/>
      <c r="C139" s="145"/>
      <c r="D139" s="145"/>
      <c r="E139" s="140"/>
      <c r="F139" s="140"/>
      <c r="G139" s="143"/>
      <c r="H139" s="144"/>
    </row>
    <row r="140">
      <c r="A140" s="77"/>
      <c r="B140" s="77"/>
      <c r="C140" s="145"/>
      <c r="D140" s="145"/>
      <c r="E140" s="140"/>
      <c r="F140" s="140"/>
      <c r="G140" s="143"/>
      <c r="H140" s="144"/>
    </row>
    <row r="141">
      <c r="A141" s="77"/>
      <c r="B141" s="77"/>
      <c r="C141" s="145"/>
      <c r="D141" s="145"/>
      <c r="E141" s="140"/>
      <c r="F141" s="140"/>
      <c r="G141" s="143"/>
      <c r="H141" s="144"/>
    </row>
    <row r="142">
      <c r="A142" s="77"/>
      <c r="B142" s="77"/>
      <c r="C142" s="145"/>
      <c r="D142" s="145"/>
      <c r="E142" s="140"/>
      <c r="F142" s="140"/>
      <c r="G142" s="143"/>
      <c r="H142" s="144"/>
    </row>
    <row r="143">
      <c r="A143" s="77"/>
      <c r="B143" s="77"/>
      <c r="C143" s="145"/>
      <c r="D143" s="145"/>
      <c r="E143" s="140"/>
      <c r="F143" s="140"/>
      <c r="G143" s="143"/>
      <c r="H143" s="144"/>
    </row>
    <row r="144">
      <c r="A144" s="77"/>
      <c r="B144" s="77"/>
      <c r="C144" s="145"/>
      <c r="D144" s="145"/>
      <c r="E144" s="140"/>
      <c r="F144" s="140"/>
      <c r="G144" s="143"/>
      <c r="H144" s="144"/>
    </row>
    <row r="145">
      <c r="A145" s="77"/>
      <c r="B145" s="77"/>
      <c r="C145" s="145"/>
      <c r="D145" s="145"/>
      <c r="E145" s="140"/>
      <c r="F145" s="140"/>
      <c r="G145" s="143"/>
      <c r="H145" s="144"/>
    </row>
    <row r="146">
      <c r="A146" s="77"/>
      <c r="B146" s="77"/>
      <c r="C146" s="145"/>
      <c r="D146" s="145"/>
      <c r="E146" s="140"/>
      <c r="F146" s="140"/>
      <c r="G146" s="143"/>
      <c r="H146" s="144"/>
    </row>
    <row r="147">
      <c r="A147" s="77"/>
      <c r="B147" s="77"/>
      <c r="C147" s="145"/>
      <c r="D147" s="145"/>
      <c r="E147" s="140"/>
      <c r="F147" s="140"/>
      <c r="G147" s="143"/>
      <c r="H147" s="144"/>
    </row>
    <row r="148">
      <c r="A148" s="77"/>
      <c r="B148" s="77"/>
      <c r="C148" s="145"/>
      <c r="D148" s="145"/>
      <c r="E148" s="140"/>
      <c r="F148" s="140"/>
      <c r="G148" s="143"/>
      <c r="H148" s="144"/>
    </row>
    <row r="149">
      <c r="A149" s="77"/>
      <c r="B149" s="77"/>
      <c r="C149" s="145"/>
      <c r="D149" s="145"/>
      <c r="E149" s="140"/>
      <c r="F149" s="140"/>
      <c r="G149" s="143"/>
      <c r="H149" s="144"/>
    </row>
    <row r="150">
      <c r="A150" s="77"/>
      <c r="B150" s="77"/>
      <c r="C150" s="145"/>
      <c r="D150" s="145"/>
      <c r="E150" s="140"/>
      <c r="F150" s="140"/>
      <c r="G150" s="143"/>
      <c r="H150" s="144"/>
    </row>
    <row r="151">
      <c r="A151" s="77"/>
      <c r="B151" s="77"/>
      <c r="C151" s="145"/>
      <c r="D151" s="145"/>
      <c r="E151" s="140"/>
      <c r="F151" s="140"/>
      <c r="G151" s="143"/>
      <c r="H151" s="144"/>
    </row>
    <row r="152">
      <c r="A152" s="77"/>
      <c r="B152" s="77"/>
      <c r="C152" s="145"/>
      <c r="D152" s="145"/>
      <c r="E152" s="140"/>
      <c r="F152" s="140"/>
      <c r="G152" s="143"/>
      <c r="H152" s="144"/>
    </row>
    <row r="153">
      <c r="A153" s="77"/>
      <c r="B153" s="77"/>
      <c r="C153" s="145"/>
      <c r="D153" s="145"/>
      <c r="E153" s="140"/>
      <c r="F153" s="140"/>
      <c r="G153" s="143"/>
      <c r="H153" s="144"/>
    </row>
    <row r="154">
      <c r="A154" s="77"/>
      <c r="B154" s="77"/>
      <c r="C154" s="145"/>
      <c r="D154" s="145"/>
      <c r="E154" s="140"/>
      <c r="F154" s="140"/>
      <c r="G154" s="143"/>
      <c r="H154" s="144"/>
    </row>
    <row r="155">
      <c r="A155" s="77"/>
      <c r="B155" s="77"/>
      <c r="C155" s="145"/>
      <c r="D155" s="145"/>
      <c r="E155" s="140"/>
      <c r="F155" s="140"/>
      <c r="G155" s="143"/>
      <c r="H155" s="144"/>
    </row>
    <row r="156">
      <c r="A156" s="77"/>
      <c r="B156" s="77"/>
      <c r="C156" s="145"/>
      <c r="D156" s="145"/>
      <c r="E156" s="140"/>
      <c r="F156" s="140"/>
      <c r="G156" s="143"/>
      <c r="H156" s="144"/>
    </row>
    <row r="157">
      <c r="A157" s="77"/>
      <c r="B157" s="77"/>
      <c r="C157" s="145"/>
      <c r="D157" s="145"/>
      <c r="E157" s="140"/>
      <c r="F157" s="140"/>
      <c r="G157" s="143"/>
      <c r="H157" s="144"/>
    </row>
    <row r="158">
      <c r="A158" s="77"/>
      <c r="B158" s="77"/>
      <c r="C158" s="145"/>
      <c r="D158" s="145"/>
      <c r="E158" s="140"/>
      <c r="F158" s="140"/>
      <c r="G158" s="143"/>
      <c r="H158" s="144"/>
    </row>
    <row r="159">
      <c r="A159" s="77"/>
      <c r="B159" s="77"/>
      <c r="C159" s="145"/>
      <c r="D159" s="145"/>
      <c r="E159" s="140"/>
      <c r="F159" s="140"/>
      <c r="G159" s="143"/>
      <c r="H159" s="144"/>
    </row>
    <row r="160">
      <c r="A160" s="77"/>
      <c r="B160" s="77"/>
      <c r="C160" s="145"/>
      <c r="D160" s="145"/>
      <c r="E160" s="140"/>
      <c r="F160" s="140"/>
      <c r="G160" s="143"/>
      <c r="H160" s="144"/>
    </row>
    <row r="161">
      <c r="A161" s="77"/>
      <c r="B161" s="77"/>
      <c r="C161" s="145"/>
      <c r="D161" s="145"/>
      <c r="E161" s="140"/>
      <c r="F161" s="140"/>
      <c r="G161" s="143"/>
      <c r="H161" s="144"/>
    </row>
    <row r="162">
      <c r="A162" s="77"/>
      <c r="B162" s="77"/>
      <c r="C162" s="145"/>
      <c r="D162" s="145"/>
      <c r="E162" s="140"/>
      <c r="F162" s="140"/>
      <c r="G162" s="143"/>
      <c r="H162" s="144"/>
    </row>
    <row r="163">
      <c r="A163" s="77"/>
      <c r="B163" s="77"/>
      <c r="C163" s="145"/>
      <c r="D163" s="145"/>
      <c r="E163" s="140"/>
      <c r="F163" s="140"/>
      <c r="G163" s="143"/>
      <c r="H163" s="144"/>
    </row>
    <row r="164">
      <c r="A164" s="77"/>
      <c r="B164" s="77"/>
      <c r="C164" s="145"/>
      <c r="D164" s="145"/>
      <c r="E164" s="140"/>
      <c r="F164" s="140"/>
      <c r="G164" s="143"/>
      <c r="H164" s="144"/>
    </row>
    <row r="165">
      <c r="A165" s="77"/>
      <c r="B165" s="77"/>
      <c r="C165" s="145"/>
      <c r="D165" s="145"/>
      <c r="E165" s="140"/>
      <c r="F165" s="140"/>
      <c r="G165" s="143"/>
      <c r="H165" s="144"/>
    </row>
    <row r="166">
      <c r="A166" s="77"/>
      <c r="B166" s="77"/>
      <c r="C166" s="145"/>
      <c r="D166" s="145"/>
      <c r="E166" s="140"/>
      <c r="F166" s="140"/>
      <c r="G166" s="143"/>
      <c r="H166" s="144"/>
    </row>
    <row r="167">
      <c r="A167" s="77"/>
      <c r="B167" s="77"/>
      <c r="C167" s="145"/>
      <c r="D167" s="145"/>
      <c r="E167" s="140"/>
      <c r="F167" s="140"/>
      <c r="G167" s="143"/>
      <c r="H167" s="144"/>
    </row>
    <row r="168">
      <c r="A168" s="77"/>
      <c r="B168" s="77"/>
      <c r="C168" s="145"/>
      <c r="D168" s="145"/>
      <c r="E168" s="140"/>
      <c r="F168" s="140"/>
      <c r="G168" s="143"/>
      <c r="H168" s="144"/>
    </row>
    <row r="169">
      <c r="A169" s="77"/>
      <c r="B169" s="77"/>
      <c r="C169" s="145"/>
      <c r="D169" s="145"/>
      <c r="E169" s="140"/>
      <c r="F169" s="140"/>
      <c r="G169" s="143"/>
      <c r="H169" s="144"/>
    </row>
    <row r="170">
      <c r="A170" s="77"/>
      <c r="B170" s="77"/>
      <c r="C170" s="145"/>
      <c r="D170" s="145"/>
      <c r="E170" s="140"/>
      <c r="F170" s="140"/>
      <c r="G170" s="143"/>
      <c r="H170" s="144"/>
    </row>
    <row r="171">
      <c r="A171" s="77"/>
      <c r="B171" s="77"/>
      <c r="C171" s="145"/>
      <c r="D171" s="145"/>
      <c r="E171" s="140"/>
      <c r="F171" s="140"/>
      <c r="G171" s="143"/>
      <c r="H171" s="144"/>
    </row>
    <row r="172">
      <c r="A172" s="77"/>
      <c r="B172" s="77"/>
      <c r="C172" s="145"/>
      <c r="D172" s="145"/>
      <c r="E172" s="140"/>
      <c r="F172" s="140"/>
      <c r="G172" s="143"/>
      <c r="H172" s="144"/>
    </row>
    <row r="173">
      <c r="A173" s="77"/>
      <c r="B173" s="77"/>
      <c r="C173" s="145"/>
      <c r="D173" s="145"/>
      <c r="E173" s="140"/>
      <c r="F173" s="140"/>
      <c r="G173" s="143"/>
      <c r="H173" s="144"/>
    </row>
    <row r="174">
      <c r="A174" s="77"/>
      <c r="B174" s="77"/>
      <c r="C174" s="145"/>
      <c r="D174" s="145"/>
      <c r="E174" s="140"/>
      <c r="F174" s="140"/>
      <c r="G174" s="143"/>
      <c r="H174" s="144"/>
    </row>
    <row r="175">
      <c r="A175" s="77"/>
      <c r="B175" s="77"/>
      <c r="C175" s="145"/>
      <c r="D175" s="145"/>
      <c r="E175" s="140"/>
      <c r="F175" s="140"/>
      <c r="G175" s="143"/>
      <c r="H175" s="144"/>
    </row>
    <row r="176">
      <c r="A176" s="77"/>
      <c r="B176" s="77"/>
      <c r="C176" s="145"/>
      <c r="D176" s="145"/>
      <c r="E176" s="140"/>
      <c r="F176" s="140"/>
      <c r="G176" s="143"/>
      <c r="H176" s="144"/>
    </row>
    <row r="177">
      <c r="A177" s="77"/>
      <c r="B177" s="77"/>
      <c r="C177" s="145"/>
      <c r="D177" s="145"/>
      <c r="E177" s="140"/>
      <c r="F177" s="140"/>
      <c r="G177" s="143"/>
      <c r="H177" s="144"/>
    </row>
    <row r="178">
      <c r="A178" s="77"/>
      <c r="B178" s="77"/>
      <c r="C178" s="145"/>
      <c r="D178" s="145"/>
      <c r="E178" s="140"/>
      <c r="F178" s="140"/>
      <c r="G178" s="143"/>
      <c r="H178" s="144"/>
    </row>
    <row r="179">
      <c r="A179" s="77"/>
      <c r="B179" s="77"/>
      <c r="C179" s="145"/>
      <c r="D179" s="145"/>
      <c r="E179" s="140"/>
      <c r="F179" s="140"/>
      <c r="G179" s="143"/>
      <c r="H179" s="144"/>
    </row>
    <row r="180">
      <c r="A180" s="77"/>
      <c r="B180" s="77"/>
      <c r="C180" s="145"/>
      <c r="D180" s="145"/>
      <c r="E180" s="140"/>
      <c r="F180" s="140"/>
      <c r="G180" s="143"/>
      <c r="H180" s="144"/>
    </row>
    <row r="181">
      <c r="A181" s="77"/>
      <c r="B181" s="77"/>
      <c r="C181" s="145"/>
      <c r="D181" s="145"/>
      <c r="E181" s="140"/>
      <c r="F181" s="140"/>
      <c r="G181" s="143"/>
      <c r="H181" s="144"/>
    </row>
    <row r="182">
      <c r="A182" s="77"/>
      <c r="B182" s="77"/>
      <c r="C182" s="145"/>
      <c r="D182" s="145"/>
      <c r="E182" s="140"/>
      <c r="F182" s="140"/>
      <c r="G182" s="143"/>
      <c r="H182" s="144"/>
    </row>
    <row r="183">
      <c r="A183" s="77"/>
      <c r="B183" s="77"/>
      <c r="C183" s="145"/>
      <c r="D183" s="145"/>
      <c r="E183" s="140"/>
      <c r="F183" s="140"/>
      <c r="G183" s="143"/>
      <c r="H183" s="144"/>
    </row>
    <row r="184">
      <c r="A184" s="77"/>
      <c r="B184" s="77"/>
      <c r="C184" s="145"/>
      <c r="D184" s="145"/>
      <c r="E184" s="140"/>
      <c r="F184" s="140"/>
      <c r="G184" s="143"/>
      <c r="H184" s="144"/>
    </row>
    <row r="185">
      <c r="A185" s="77"/>
      <c r="B185" s="77"/>
      <c r="C185" s="145"/>
      <c r="D185" s="145"/>
      <c r="E185" s="140"/>
      <c r="F185" s="140"/>
      <c r="G185" s="143"/>
      <c r="H185" s="144"/>
    </row>
    <row r="186">
      <c r="A186" s="77"/>
      <c r="B186" s="77"/>
      <c r="C186" s="145"/>
      <c r="D186" s="145"/>
      <c r="E186" s="140"/>
      <c r="F186" s="140"/>
      <c r="G186" s="143"/>
      <c r="H186" s="144"/>
    </row>
    <row r="187">
      <c r="A187" s="77"/>
      <c r="B187" s="77"/>
      <c r="C187" s="145"/>
      <c r="D187" s="145"/>
      <c r="E187" s="140"/>
      <c r="F187" s="140"/>
      <c r="G187" s="143"/>
      <c r="H187" s="144"/>
    </row>
    <row r="188">
      <c r="A188" s="77"/>
      <c r="B188" s="77"/>
      <c r="C188" s="145"/>
      <c r="D188" s="145"/>
      <c r="E188" s="140"/>
      <c r="F188" s="140"/>
      <c r="G188" s="143"/>
      <c r="H188" s="144"/>
    </row>
    <row r="189">
      <c r="A189" s="77"/>
      <c r="B189" s="77"/>
      <c r="C189" s="145"/>
      <c r="D189" s="145"/>
      <c r="E189" s="140"/>
      <c r="F189" s="140"/>
      <c r="G189" s="143"/>
      <c r="H189" s="144"/>
    </row>
    <row r="190">
      <c r="A190" s="77"/>
      <c r="B190" s="77"/>
      <c r="C190" s="145"/>
      <c r="D190" s="145"/>
      <c r="E190" s="140"/>
      <c r="F190" s="140"/>
      <c r="G190" s="143"/>
      <c r="H190" s="144"/>
    </row>
    <row r="191">
      <c r="A191" s="77"/>
      <c r="B191" s="77"/>
      <c r="C191" s="145"/>
      <c r="D191" s="145"/>
      <c r="E191" s="140"/>
      <c r="F191" s="140"/>
      <c r="G191" s="143"/>
      <c r="H191" s="144"/>
    </row>
    <row r="192">
      <c r="A192" s="77"/>
      <c r="B192" s="77"/>
      <c r="C192" s="145"/>
      <c r="D192" s="145"/>
      <c r="E192" s="140"/>
      <c r="F192" s="140"/>
      <c r="G192" s="143"/>
      <c r="H192" s="144"/>
    </row>
    <row r="193">
      <c r="A193" s="77"/>
      <c r="B193" s="77"/>
      <c r="C193" s="145"/>
      <c r="D193" s="145"/>
      <c r="E193" s="140"/>
      <c r="F193" s="140"/>
      <c r="G193" s="143"/>
      <c r="H193" s="144"/>
    </row>
    <row r="194">
      <c r="A194" s="77"/>
      <c r="B194" s="77"/>
      <c r="C194" s="145"/>
      <c r="D194" s="145"/>
      <c r="E194" s="140"/>
      <c r="F194" s="140"/>
      <c r="G194" s="143"/>
      <c r="H194" s="144"/>
    </row>
    <row r="195">
      <c r="A195" s="77"/>
      <c r="B195" s="77"/>
      <c r="C195" s="145"/>
      <c r="D195" s="145"/>
      <c r="E195" s="140"/>
      <c r="F195" s="140"/>
      <c r="G195" s="143"/>
      <c r="H195" s="144"/>
    </row>
    <row r="196">
      <c r="A196" s="77"/>
      <c r="B196" s="77"/>
      <c r="C196" s="145"/>
      <c r="D196" s="145"/>
      <c r="E196" s="140"/>
      <c r="F196" s="140"/>
      <c r="G196" s="143"/>
      <c r="H196" s="144"/>
    </row>
    <row r="197">
      <c r="A197" s="77"/>
      <c r="B197" s="77"/>
      <c r="C197" s="145"/>
      <c r="D197" s="145"/>
      <c r="E197" s="140"/>
      <c r="F197" s="140"/>
      <c r="G197" s="143"/>
      <c r="H197" s="144"/>
    </row>
    <row r="198">
      <c r="A198" s="77"/>
      <c r="B198" s="77"/>
      <c r="C198" s="145"/>
      <c r="D198" s="145"/>
      <c r="E198" s="140"/>
      <c r="F198" s="140"/>
      <c r="G198" s="143"/>
      <c r="H198" s="144"/>
    </row>
    <row r="199">
      <c r="A199" s="77"/>
      <c r="B199" s="77"/>
      <c r="C199" s="145"/>
      <c r="D199" s="145"/>
      <c r="E199" s="140"/>
      <c r="F199" s="140"/>
      <c r="G199" s="143"/>
      <c r="H199" s="144"/>
    </row>
    <row r="200">
      <c r="A200" s="77"/>
      <c r="B200" s="77"/>
      <c r="C200" s="145"/>
      <c r="D200" s="145"/>
      <c r="E200" s="140"/>
      <c r="F200" s="140"/>
      <c r="G200" s="143"/>
      <c r="H200" s="144"/>
    </row>
    <row r="201">
      <c r="A201" s="77"/>
      <c r="B201" s="77"/>
      <c r="C201" s="145"/>
      <c r="D201" s="145"/>
      <c r="E201" s="140"/>
      <c r="F201" s="140"/>
      <c r="G201" s="143"/>
      <c r="H201" s="144"/>
    </row>
    <row r="202">
      <c r="A202" s="77"/>
      <c r="B202" s="77"/>
      <c r="C202" s="145"/>
      <c r="D202" s="145"/>
      <c r="E202" s="140"/>
      <c r="F202" s="140"/>
      <c r="G202" s="143"/>
      <c r="H202" s="144"/>
    </row>
    <row r="203">
      <c r="A203" s="77"/>
      <c r="B203" s="77"/>
      <c r="C203" s="145"/>
      <c r="D203" s="145"/>
      <c r="E203" s="140"/>
      <c r="F203" s="140"/>
      <c r="G203" s="143"/>
      <c r="H203" s="144"/>
    </row>
    <row r="204">
      <c r="A204" s="77"/>
      <c r="B204" s="77"/>
      <c r="C204" s="145"/>
      <c r="D204" s="145"/>
      <c r="E204" s="140"/>
      <c r="F204" s="140"/>
      <c r="G204" s="143"/>
      <c r="H204" s="144"/>
    </row>
    <row r="205">
      <c r="A205" s="77"/>
      <c r="B205" s="77"/>
      <c r="C205" s="145"/>
      <c r="D205" s="145"/>
      <c r="E205" s="140"/>
      <c r="F205" s="140"/>
      <c r="G205" s="143"/>
      <c r="H205" s="144"/>
    </row>
    <row r="206">
      <c r="A206" s="77"/>
      <c r="B206" s="77"/>
      <c r="C206" s="145"/>
      <c r="D206" s="145"/>
      <c r="E206" s="140"/>
      <c r="F206" s="140"/>
      <c r="G206" s="143"/>
      <c r="H206" s="144"/>
    </row>
    <row r="207">
      <c r="A207" s="77"/>
      <c r="B207" s="77"/>
      <c r="C207" s="145"/>
      <c r="D207" s="145"/>
      <c r="E207" s="140"/>
      <c r="F207" s="140"/>
      <c r="G207" s="143"/>
      <c r="H207" s="144"/>
    </row>
    <row r="208">
      <c r="A208" s="77"/>
      <c r="B208" s="77"/>
      <c r="C208" s="145"/>
      <c r="D208" s="145"/>
      <c r="E208" s="140"/>
      <c r="F208" s="140"/>
      <c r="G208" s="143"/>
      <c r="H208" s="144"/>
    </row>
    <row r="209">
      <c r="A209" s="77"/>
      <c r="B209" s="77"/>
      <c r="C209" s="145"/>
      <c r="D209" s="145"/>
      <c r="E209" s="140"/>
      <c r="F209" s="140"/>
      <c r="G209" s="143"/>
      <c r="H209" s="144"/>
    </row>
    <row r="210">
      <c r="A210" s="77"/>
      <c r="B210" s="77"/>
      <c r="C210" s="145"/>
      <c r="D210" s="145"/>
      <c r="E210" s="140"/>
      <c r="F210" s="140"/>
      <c r="G210" s="143"/>
      <c r="H210" s="144"/>
    </row>
    <row r="211">
      <c r="A211" s="77"/>
      <c r="B211" s="77"/>
      <c r="C211" s="145"/>
      <c r="D211" s="145"/>
      <c r="E211" s="140"/>
      <c r="F211" s="140"/>
      <c r="G211" s="143"/>
      <c r="H211" s="144"/>
    </row>
    <row r="212">
      <c r="A212" s="77"/>
      <c r="B212" s="77"/>
      <c r="C212" s="145"/>
      <c r="D212" s="145"/>
      <c r="E212" s="140"/>
      <c r="F212" s="140"/>
      <c r="G212" s="143"/>
      <c r="H212" s="144"/>
    </row>
    <row r="213">
      <c r="A213" s="77"/>
      <c r="B213" s="77"/>
      <c r="C213" s="145"/>
      <c r="D213" s="145"/>
      <c r="E213" s="140"/>
      <c r="F213" s="140"/>
      <c r="G213" s="143"/>
      <c r="H213" s="144"/>
    </row>
    <row r="214">
      <c r="A214" s="77"/>
      <c r="B214" s="77"/>
      <c r="C214" s="145"/>
      <c r="D214" s="145"/>
      <c r="E214" s="140"/>
      <c r="F214" s="140"/>
      <c r="G214" s="143"/>
      <c r="H214" s="144"/>
    </row>
    <row r="215">
      <c r="A215" s="77"/>
      <c r="B215" s="77"/>
      <c r="C215" s="145"/>
      <c r="D215" s="145"/>
      <c r="E215" s="140"/>
      <c r="F215" s="140"/>
      <c r="G215" s="143"/>
      <c r="H215" s="144"/>
    </row>
    <row r="216">
      <c r="A216" s="77"/>
      <c r="B216" s="77"/>
      <c r="C216" s="145"/>
      <c r="D216" s="145"/>
      <c r="E216" s="140"/>
      <c r="F216" s="140"/>
      <c r="G216" s="143"/>
      <c r="H216" s="144"/>
    </row>
    <row r="217">
      <c r="A217" s="77"/>
      <c r="B217" s="77"/>
      <c r="C217" s="145"/>
      <c r="D217" s="145"/>
      <c r="E217" s="140"/>
      <c r="F217" s="140"/>
      <c r="G217" s="143"/>
      <c r="H217" s="144"/>
    </row>
    <row r="218">
      <c r="A218" s="77"/>
      <c r="B218" s="77"/>
      <c r="C218" s="145"/>
      <c r="D218" s="145"/>
      <c r="E218" s="140"/>
      <c r="F218" s="140"/>
      <c r="G218" s="143"/>
      <c r="H218" s="144"/>
    </row>
    <row r="219">
      <c r="A219" s="77"/>
      <c r="B219" s="77"/>
      <c r="C219" s="145"/>
      <c r="D219" s="145"/>
      <c r="E219" s="140"/>
      <c r="F219" s="140"/>
      <c r="G219" s="143"/>
      <c r="H219" s="144"/>
    </row>
    <row r="220">
      <c r="A220" s="77"/>
      <c r="B220" s="77"/>
      <c r="C220" s="145"/>
      <c r="D220" s="145"/>
      <c r="E220" s="140"/>
      <c r="F220" s="140"/>
      <c r="G220" s="143"/>
      <c r="H220" s="144"/>
    </row>
    <row r="221">
      <c r="A221" s="77"/>
      <c r="B221" s="77"/>
      <c r="C221" s="145"/>
      <c r="D221" s="145"/>
      <c r="E221" s="140"/>
      <c r="F221" s="140"/>
      <c r="G221" s="143"/>
      <c r="H221" s="144"/>
    </row>
    <row r="222">
      <c r="A222" s="77"/>
      <c r="B222" s="77"/>
      <c r="C222" s="145"/>
      <c r="D222" s="145"/>
      <c r="E222" s="140"/>
      <c r="F222" s="140"/>
      <c r="G222" s="143"/>
      <c r="H222" s="144"/>
    </row>
    <row r="223">
      <c r="A223" s="77"/>
      <c r="B223" s="77"/>
      <c r="C223" s="145"/>
      <c r="D223" s="145"/>
      <c r="E223" s="140"/>
      <c r="F223" s="140"/>
      <c r="G223" s="143"/>
      <c r="H223" s="144"/>
    </row>
    <row r="224">
      <c r="A224" s="77"/>
      <c r="B224" s="77"/>
      <c r="C224" s="145"/>
      <c r="D224" s="145"/>
      <c r="E224" s="140"/>
      <c r="F224" s="140"/>
      <c r="G224" s="143"/>
      <c r="H224" s="144"/>
    </row>
    <row r="225">
      <c r="A225" s="77"/>
      <c r="B225" s="77"/>
      <c r="C225" s="145"/>
      <c r="D225" s="145"/>
      <c r="E225" s="140"/>
      <c r="F225" s="140"/>
      <c r="G225" s="143"/>
      <c r="H225" s="144"/>
    </row>
    <row r="226">
      <c r="A226" s="77"/>
      <c r="B226" s="77"/>
      <c r="C226" s="145"/>
      <c r="D226" s="145"/>
      <c r="E226" s="140"/>
      <c r="F226" s="140"/>
      <c r="G226" s="143"/>
      <c r="H226" s="144"/>
    </row>
    <row r="227">
      <c r="A227" s="77"/>
      <c r="B227" s="77"/>
      <c r="C227" s="145"/>
      <c r="D227" s="145"/>
      <c r="E227" s="140"/>
      <c r="F227" s="140"/>
      <c r="G227" s="143"/>
      <c r="H227" s="144"/>
    </row>
    <row r="228">
      <c r="A228" s="77"/>
      <c r="B228" s="77"/>
      <c r="C228" s="145"/>
      <c r="D228" s="145"/>
      <c r="E228" s="140"/>
      <c r="F228" s="140"/>
      <c r="G228" s="143"/>
      <c r="H228" s="144"/>
    </row>
    <row r="229">
      <c r="A229" s="77"/>
      <c r="B229" s="77"/>
      <c r="C229" s="145"/>
      <c r="D229" s="145"/>
      <c r="E229" s="140"/>
      <c r="F229" s="140"/>
      <c r="G229" s="143"/>
      <c r="H229" s="144"/>
    </row>
    <row r="230">
      <c r="A230" s="77"/>
      <c r="B230" s="77"/>
      <c r="C230" s="145"/>
      <c r="D230" s="145"/>
      <c r="E230" s="140"/>
      <c r="F230" s="140"/>
      <c r="G230" s="143"/>
      <c r="H230" s="144"/>
    </row>
    <row r="231">
      <c r="A231" s="77"/>
      <c r="B231" s="77"/>
      <c r="C231" s="145"/>
      <c r="D231" s="145"/>
      <c r="E231" s="140"/>
      <c r="F231" s="140"/>
      <c r="G231" s="143"/>
      <c r="H231" s="144"/>
    </row>
    <row r="232">
      <c r="A232" s="77"/>
      <c r="B232" s="77"/>
      <c r="C232" s="145"/>
      <c r="D232" s="145"/>
      <c r="E232" s="140"/>
      <c r="F232" s="140"/>
      <c r="G232" s="143"/>
      <c r="H232" s="144"/>
    </row>
    <row r="233">
      <c r="A233" s="77"/>
      <c r="B233" s="77"/>
      <c r="C233" s="145"/>
      <c r="D233" s="145"/>
      <c r="E233" s="140"/>
      <c r="F233" s="140"/>
      <c r="G233" s="143"/>
      <c r="H233" s="144"/>
    </row>
    <row r="234">
      <c r="A234" s="77"/>
      <c r="B234" s="77"/>
      <c r="C234" s="145"/>
      <c r="D234" s="145"/>
      <c r="E234" s="140"/>
      <c r="F234" s="140"/>
      <c r="G234" s="143"/>
      <c r="H234" s="144"/>
    </row>
    <row r="235">
      <c r="A235" s="77"/>
      <c r="B235" s="77"/>
      <c r="C235" s="145"/>
      <c r="D235" s="145"/>
      <c r="E235" s="140"/>
      <c r="F235" s="140"/>
      <c r="G235" s="143"/>
      <c r="H235" s="144"/>
    </row>
    <row r="236">
      <c r="A236" s="77"/>
      <c r="B236" s="77"/>
      <c r="C236" s="145"/>
      <c r="D236" s="145"/>
      <c r="E236" s="140"/>
      <c r="F236" s="140"/>
      <c r="G236" s="143"/>
      <c r="H236" s="144"/>
    </row>
    <row r="237">
      <c r="A237" s="77"/>
      <c r="B237" s="77"/>
      <c r="C237" s="145"/>
      <c r="D237" s="145"/>
      <c r="E237" s="140"/>
      <c r="F237" s="140"/>
      <c r="G237" s="143"/>
      <c r="H237" s="144"/>
    </row>
    <row r="238">
      <c r="A238" s="77"/>
      <c r="B238" s="77"/>
      <c r="C238" s="145"/>
      <c r="D238" s="145"/>
      <c r="E238" s="140"/>
      <c r="F238" s="140"/>
      <c r="G238" s="143"/>
      <c r="H238" s="144"/>
    </row>
    <row r="239">
      <c r="A239" s="77"/>
      <c r="B239" s="77"/>
      <c r="C239" s="145"/>
      <c r="D239" s="145"/>
      <c r="E239" s="140"/>
      <c r="F239" s="140"/>
      <c r="G239" s="143"/>
      <c r="H239" s="144"/>
    </row>
    <row r="240">
      <c r="A240" s="77"/>
      <c r="B240" s="77"/>
      <c r="C240" s="145"/>
      <c r="D240" s="145"/>
      <c r="E240" s="140"/>
      <c r="F240" s="140"/>
      <c r="G240" s="143"/>
      <c r="H240" s="144"/>
    </row>
    <row r="241">
      <c r="A241" s="77"/>
      <c r="B241" s="77"/>
      <c r="C241" s="145"/>
      <c r="D241" s="145"/>
      <c r="E241" s="140"/>
      <c r="F241" s="140"/>
      <c r="G241" s="143"/>
      <c r="H241" s="144"/>
    </row>
    <row r="242">
      <c r="A242" s="77"/>
      <c r="B242" s="77"/>
      <c r="C242" s="145"/>
      <c r="D242" s="145"/>
      <c r="E242" s="140"/>
      <c r="F242" s="140"/>
      <c r="G242" s="143"/>
      <c r="H242" s="144"/>
    </row>
    <row r="243">
      <c r="A243" s="77"/>
      <c r="B243" s="77"/>
      <c r="C243" s="145"/>
      <c r="D243" s="145"/>
      <c r="E243" s="140"/>
      <c r="F243" s="140"/>
      <c r="G243" s="143"/>
      <c r="H243" s="144"/>
    </row>
    <row r="244">
      <c r="A244" s="77"/>
      <c r="B244" s="77"/>
      <c r="C244" s="145"/>
      <c r="D244" s="145"/>
      <c r="E244" s="140"/>
      <c r="F244" s="140"/>
      <c r="G244" s="143"/>
      <c r="H244" s="144"/>
    </row>
    <row r="245">
      <c r="A245" s="77"/>
      <c r="B245" s="77"/>
      <c r="C245" s="145"/>
      <c r="D245" s="145"/>
      <c r="E245" s="140"/>
      <c r="F245" s="140"/>
      <c r="G245" s="143"/>
      <c r="H245" s="144"/>
    </row>
    <row r="246">
      <c r="A246" s="77"/>
      <c r="B246" s="77"/>
      <c r="C246" s="145"/>
      <c r="D246" s="145"/>
      <c r="E246" s="140"/>
      <c r="F246" s="140"/>
      <c r="G246" s="143"/>
      <c r="H246" s="144"/>
    </row>
    <row r="247">
      <c r="A247" s="77"/>
      <c r="B247" s="77"/>
      <c r="C247" s="145"/>
      <c r="D247" s="145"/>
      <c r="E247" s="140"/>
      <c r="F247" s="140"/>
      <c r="G247" s="143"/>
      <c r="H247" s="144"/>
    </row>
    <row r="248">
      <c r="A248" s="77"/>
      <c r="B248" s="77"/>
      <c r="C248" s="145"/>
      <c r="D248" s="145"/>
      <c r="E248" s="140"/>
      <c r="F248" s="140"/>
      <c r="G248" s="143"/>
      <c r="H248" s="144"/>
    </row>
    <row r="249">
      <c r="A249" s="77"/>
      <c r="B249" s="77"/>
      <c r="C249" s="145"/>
      <c r="D249" s="145"/>
      <c r="E249" s="140"/>
      <c r="F249" s="140"/>
      <c r="G249" s="143"/>
      <c r="H249" s="144"/>
    </row>
    <row r="250">
      <c r="A250" s="77"/>
      <c r="B250" s="77"/>
      <c r="C250" s="145"/>
      <c r="D250" s="145"/>
      <c r="E250" s="140"/>
      <c r="F250" s="140"/>
      <c r="G250" s="143"/>
      <c r="H250" s="144"/>
    </row>
    <row r="251">
      <c r="A251" s="77"/>
      <c r="B251" s="77"/>
      <c r="C251" s="145"/>
      <c r="D251" s="145"/>
      <c r="E251" s="140"/>
      <c r="F251" s="140"/>
      <c r="G251" s="143"/>
      <c r="H251" s="144"/>
    </row>
    <row r="252">
      <c r="A252" s="77"/>
      <c r="B252" s="77"/>
      <c r="C252" s="145"/>
      <c r="D252" s="145"/>
      <c r="E252" s="140"/>
      <c r="F252" s="140"/>
      <c r="G252" s="143"/>
      <c r="H252" s="144"/>
    </row>
    <row r="253">
      <c r="A253" s="77"/>
      <c r="B253" s="77"/>
      <c r="C253" s="145"/>
      <c r="D253" s="145"/>
      <c r="E253" s="140"/>
      <c r="F253" s="140"/>
      <c r="G253" s="143"/>
      <c r="H253" s="144"/>
    </row>
    <row r="254">
      <c r="A254" s="77"/>
      <c r="B254" s="77"/>
      <c r="C254" s="145"/>
      <c r="D254" s="145"/>
      <c r="E254" s="140"/>
      <c r="F254" s="140"/>
      <c r="G254" s="143"/>
      <c r="H254" s="144"/>
    </row>
    <row r="255">
      <c r="A255" s="77"/>
      <c r="B255" s="77"/>
      <c r="C255" s="145"/>
      <c r="D255" s="145"/>
      <c r="E255" s="140"/>
      <c r="F255" s="140"/>
      <c r="G255" s="143"/>
      <c r="H255" s="144"/>
    </row>
    <row r="256">
      <c r="A256" s="77"/>
      <c r="B256" s="77"/>
      <c r="C256" s="145"/>
      <c r="D256" s="145"/>
      <c r="E256" s="140"/>
      <c r="F256" s="140"/>
      <c r="G256" s="143"/>
      <c r="H256" s="144"/>
    </row>
    <row r="257">
      <c r="A257" s="77"/>
      <c r="B257" s="77"/>
      <c r="C257" s="145"/>
      <c r="D257" s="145"/>
      <c r="E257" s="140"/>
      <c r="F257" s="140"/>
      <c r="G257" s="143"/>
      <c r="H257" s="144"/>
    </row>
    <row r="258">
      <c r="A258" s="77"/>
      <c r="B258" s="77"/>
      <c r="C258" s="145"/>
      <c r="D258" s="145"/>
      <c r="E258" s="140"/>
      <c r="F258" s="140"/>
      <c r="G258" s="143"/>
      <c r="H258" s="144"/>
    </row>
    <row r="259">
      <c r="A259" s="77"/>
      <c r="B259" s="77"/>
      <c r="C259" s="145"/>
      <c r="D259" s="145"/>
      <c r="E259" s="140"/>
      <c r="F259" s="140"/>
      <c r="G259" s="143"/>
      <c r="H259" s="144"/>
    </row>
    <row r="260">
      <c r="A260" s="77"/>
      <c r="B260" s="77"/>
      <c r="C260" s="145"/>
      <c r="D260" s="145"/>
      <c r="E260" s="140"/>
      <c r="F260" s="140"/>
      <c r="G260" s="143"/>
      <c r="H260" s="144"/>
    </row>
    <row r="261">
      <c r="A261" s="77"/>
      <c r="B261" s="77"/>
      <c r="C261" s="145"/>
      <c r="D261" s="145"/>
      <c r="E261" s="140"/>
      <c r="F261" s="140"/>
      <c r="G261" s="143"/>
      <c r="H261" s="144"/>
    </row>
    <row r="262">
      <c r="A262" s="77"/>
      <c r="B262" s="77"/>
      <c r="C262" s="145"/>
      <c r="D262" s="145"/>
      <c r="E262" s="140"/>
      <c r="F262" s="140"/>
      <c r="G262" s="143"/>
      <c r="H262" s="144"/>
    </row>
    <row r="263">
      <c r="A263" s="77"/>
      <c r="B263" s="77"/>
      <c r="C263" s="145"/>
      <c r="D263" s="145"/>
      <c r="E263" s="140"/>
      <c r="F263" s="140"/>
      <c r="G263" s="143"/>
      <c r="H263" s="144"/>
    </row>
    <row r="264">
      <c r="A264" s="77"/>
      <c r="B264" s="77"/>
      <c r="C264" s="145"/>
      <c r="D264" s="145"/>
      <c r="E264" s="140"/>
      <c r="F264" s="140"/>
      <c r="G264" s="143"/>
      <c r="H264" s="144"/>
    </row>
    <row r="265">
      <c r="A265" s="77"/>
      <c r="B265" s="77"/>
      <c r="C265" s="145"/>
      <c r="D265" s="145"/>
      <c r="E265" s="140"/>
      <c r="F265" s="140"/>
      <c r="G265" s="143"/>
      <c r="H265" s="144"/>
    </row>
    <row r="266">
      <c r="A266" s="77"/>
      <c r="B266" s="77"/>
      <c r="C266" s="145"/>
      <c r="D266" s="145"/>
      <c r="E266" s="140"/>
      <c r="F266" s="140"/>
      <c r="G266" s="143"/>
      <c r="H266" s="144"/>
    </row>
    <row r="267">
      <c r="A267" s="77"/>
      <c r="B267" s="77"/>
      <c r="C267" s="145"/>
      <c r="D267" s="145"/>
      <c r="E267" s="140"/>
      <c r="F267" s="140"/>
      <c r="G267" s="143"/>
      <c r="H267" s="144"/>
    </row>
    <row r="268">
      <c r="A268" s="77"/>
      <c r="B268" s="77"/>
      <c r="C268" s="145"/>
      <c r="D268" s="145"/>
      <c r="E268" s="140"/>
      <c r="F268" s="140"/>
      <c r="G268" s="143"/>
      <c r="H268" s="144"/>
    </row>
    <row r="269">
      <c r="A269" s="77"/>
      <c r="B269" s="77"/>
      <c r="C269" s="145"/>
      <c r="D269" s="145"/>
      <c r="E269" s="140"/>
      <c r="F269" s="140"/>
      <c r="G269" s="143"/>
      <c r="H269" s="144"/>
    </row>
    <row r="270">
      <c r="A270" s="77"/>
      <c r="B270" s="77"/>
      <c r="C270" s="145"/>
      <c r="D270" s="145"/>
      <c r="E270" s="140"/>
      <c r="F270" s="140"/>
      <c r="G270" s="143"/>
      <c r="H270" s="144"/>
    </row>
    <row r="271">
      <c r="A271" s="77"/>
      <c r="B271" s="77"/>
      <c r="C271" s="145"/>
      <c r="D271" s="145"/>
      <c r="E271" s="140"/>
      <c r="F271" s="140"/>
      <c r="G271" s="143"/>
      <c r="H271" s="144"/>
    </row>
    <row r="272">
      <c r="A272" s="77"/>
      <c r="B272" s="77"/>
      <c r="C272" s="145"/>
      <c r="D272" s="145"/>
      <c r="E272" s="140"/>
      <c r="F272" s="140"/>
      <c r="G272" s="143"/>
      <c r="H272" s="144"/>
    </row>
    <row r="273">
      <c r="A273" s="77"/>
      <c r="B273" s="77"/>
      <c r="C273" s="145"/>
      <c r="D273" s="145"/>
      <c r="E273" s="140"/>
      <c r="F273" s="140"/>
      <c r="G273" s="143"/>
      <c r="H273" s="144"/>
    </row>
    <row r="274">
      <c r="A274" s="77"/>
      <c r="B274" s="77"/>
      <c r="C274" s="145"/>
      <c r="D274" s="145"/>
      <c r="E274" s="140"/>
      <c r="F274" s="140"/>
      <c r="G274" s="143"/>
      <c r="H274" s="144"/>
    </row>
    <row r="275">
      <c r="A275" s="77"/>
      <c r="B275" s="77"/>
      <c r="C275" s="145"/>
      <c r="D275" s="145"/>
      <c r="E275" s="140"/>
      <c r="F275" s="140"/>
      <c r="G275" s="143"/>
      <c r="H275" s="144"/>
    </row>
    <row r="276">
      <c r="A276" s="77"/>
      <c r="B276" s="77"/>
      <c r="C276" s="145"/>
      <c r="D276" s="145"/>
      <c r="E276" s="140"/>
      <c r="F276" s="140"/>
      <c r="G276" s="143"/>
      <c r="H276" s="144"/>
    </row>
    <row r="277">
      <c r="A277" s="77"/>
      <c r="B277" s="77"/>
      <c r="C277" s="145"/>
      <c r="D277" s="145"/>
      <c r="E277" s="140"/>
      <c r="F277" s="140"/>
      <c r="G277" s="143"/>
      <c r="H277" s="144"/>
    </row>
    <row r="278">
      <c r="A278" s="77"/>
      <c r="B278" s="77"/>
      <c r="C278" s="145"/>
      <c r="D278" s="145"/>
      <c r="E278" s="140"/>
      <c r="F278" s="140"/>
      <c r="G278" s="143"/>
      <c r="H278" s="144"/>
    </row>
    <row r="279">
      <c r="A279" s="77"/>
      <c r="B279" s="77"/>
      <c r="C279" s="145"/>
      <c r="D279" s="145"/>
      <c r="E279" s="140"/>
      <c r="F279" s="140"/>
      <c r="G279" s="143"/>
      <c r="H279" s="144"/>
    </row>
    <row r="280">
      <c r="A280" s="77"/>
      <c r="B280" s="77"/>
      <c r="C280" s="145"/>
      <c r="D280" s="145"/>
      <c r="E280" s="140"/>
      <c r="F280" s="140"/>
      <c r="G280" s="143"/>
      <c r="H280" s="144"/>
    </row>
    <row r="281">
      <c r="A281" s="77"/>
      <c r="B281" s="77"/>
      <c r="C281" s="145"/>
      <c r="D281" s="145"/>
      <c r="E281" s="140"/>
      <c r="F281" s="140"/>
      <c r="G281" s="143"/>
      <c r="H281" s="144"/>
    </row>
    <row r="282">
      <c r="A282" s="77"/>
      <c r="B282" s="77"/>
      <c r="C282" s="145"/>
      <c r="D282" s="145"/>
      <c r="E282" s="140"/>
      <c r="F282" s="140"/>
      <c r="G282" s="143"/>
      <c r="H282" s="144"/>
    </row>
    <row r="283">
      <c r="A283" s="77"/>
      <c r="B283" s="77"/>
      <c r="C283" s="145"/>
      <c r="D283" s="145"/>
      <c r="E283" s="140"/>
      <c r="F283" s="140"/>
      <c r="G283" s="143"/>
      <c r="H283" s="144"/>
    </row>
    <row r="284">
      <c r="A284" s="77"/>
      <c r="B284" s="77"/>
      <c r="C284" s="145"/>
      <c r="D284" s="145"/>
      <c r="E284" s="140"/>
      <c r="F284" s="140"/>
      <c r="G284" s="143"/>
      <c r="H284" s="144"/>
    </row>
    <row r="285">
      <c r="A285" s="77"/>
      <c r="B285" s="77"/>
      <c r="C285" s="145"/>
      <c r="D285" s="145"/>
      <c r="E285" s="140"/>
      <c r="F285" s="140"/>
      <c r="G285" s="143"/>
      <c r="H285" s="144"/>
    </row>
    <row r="286">
      <c r="A286" s="77"/>
      <c r="B286" s="77"/>
      <c r="C286" s="145"/>
      <c r="D286" s="145"/>
      <c r="E286" s="140"/>
      <c r="F286" s="140"/>
      <c r="G286" s="143"/>
      <c r="H286" s="144"/>
    </row>
    <row r="287">
      <c r="A287" s="77"/>
      <c r="B287" s="77"/>
      <c r="C287" s="145"/>
      <c r="D287" s="145"/>
      <c r="E287" s="140"/>
      <c r="F287" s="140"/>
      <c r="G287" s="143"/>
      <c r="H287" s="144"/>
    </row>
    <row r="288">
      <c r="A288" s="77"/>
      <c r="B288" s="77"/>
      <c r="C288" s="145"/>
      <c r="D288" s="145"/>
      <c r="E288" s="140"/>
      <c r="F288" s="140"/>
      <c r="G288" s="143"/>
      <c r="H288" s="144"/>
    </row>
    <row r="289">
      <c r="A289" s="77"/>
      <c r="B289" s="77"/>
      <c r="C289" s="145"/>
      <c r="D289" s="145"/>
      <c r="E289" s="140"/>
      <c r="F289" s="140"/>
      <c r="G289" s="143"/>
      <c r="H289" s="144"/>
    </row>
    <row r="290">
      <c r="A290" s="77"/>
      <c r="B290" s="77"/>
      <c r="C290" s="145"/>
      <c r="D290" s="145"/>
      <c r="E290" s="140"/>
      <c r="F290" s="140"/>
      <c r="G290" s="143"/>
      <c r="H290" s="144"/>
    </row>
    <row r="291">
      <c r="A291" s="77"/>
      <c r="B291" s="77"/>
      <c r="C291" s="145"/>
      <c r="D291" s="145"/>
      <c r="E291" s="140"/>
      <c r="F291" s="140"/>
      <c r="G291" s="143"/>
      <c r="H291" s="144"/>
    </row>
    <row r="292">
      <c r="A292" s="77"/>
      <c r="B292" s="77"/>
      <c r="C292" s="145"/>
      <c r="D292" s="145"/>
      <c r="E292" s="140"/>
      <c r="F292" s="140"/>
      <c r="G292" s="143"/>
      <c r="H292" s="144"/>
    </row>
    <row r="293">
      <c r="A293" s="77"/>
      <c r="B293" s="77"/>
      <c r="C293" s="145"/>
      <c r="D293" s="145"/>
      <c r="E293" s="140"/>
      <c r="F293" s="140"/>
      <c r="G293" s="143"/>
      <c r="H293" s="144"/>
    </row>
    <row r="294">
      <c r="A294" s="77"/>
      <c r="B294" s="77"/>
      <c r="C294" s="145"/>
      <c r="D294" s="145"/>
      <c r="E294" s="140"/>
      <c r="F294" s="140"/>
      <c r="G294" s="143"/>
      <c r="H294" s="144"/>
    </row>
    <row r="295">
      <c r="A295" s="77"/>
      <c r="B295" s="77"/>
      <c r="C295" s="145"/>
      <c r="D295" s="145"/>
      <c r="E295" s="140"/>
      <c r="F295" s="140"/>
      <c r="G295" s="143"/>
      <c r="H295" s="144"/>
    </row>
    <row r="296">
      <c r="A296" s="77"/>
      <c r="B296" s="77"/>
      <c r="C296" s="145"/>
      <c r="D296" s="145"/>
      <c r="E296" s="140"/>
      <c r="F296" s="140"/>
      <c r="G296" s="143"/>
      <c r="H296" s="144"/>
    </row>
    <row r="297">
      <c r="A297" s="77"/>
      <c r="B297" s="77"/>
      <c r="C297" s="145"/>
      <c r="D297" s="145"/>
      <c r="E297" s="140"/>
      <c r="F297" s="140"/>
      <c r="G297" s="143"/>
      <c r="H297" s="144"/>
    </row>
    <row r="298">
      <c r="A298" s="77"/>
      <c r="B298" s="77"/>
      <c r="C298" s="145"/>
      <c r="D298" s="145"/>
      <c r="E298" s="140"/>
      <c r="F298" s="140"/>
      <c r="G298" s="143"/>
      <c r="H298" s="144"/>
    </row>
    <row r="299">
      <c r="A299" s="77"/>
      <c r="B299" s="77"/>
      <c r="C299" s="145"/>
      <c r="D299" s="145"/>
      <c r="E299" s="140"/>
      <c r="F299" s="140"/>
      <c r="G299" s="143"/>
      <c r="H299" s="144"/>
    </row>
    <row r="300">
      <c r="A300" s="77"/>
      <c r="B300" s="77"/>
      <c r="C300" s="145"/>
      <c r="D300" s="145"/>
      <c r="E300" s="140"/>
      <c r="F300" s="140"/>
      <c r="G300" s="143"/>
      <c r="H300" s="144"/>
    </row>
    <row r="301">
      <c r="A301" s="77"/>
      <c r="B301" s="77"/>
      <c r="C301" s="145"/>
      <c r="D301" s="145"/>
      <c r="E301" s="140"/>
      <c r="F301" s="140"/>
      <c r="G301" s="143"/>
      <c r="H301" s="144"/>
    </row>
    <row r="302">
      <c r="A302" s="77"/>
      <c r="B302" s="77"/>
      <c r="C302" s="145"/>
      <c r="D302" s="145"/>
      <c r="E302" s="140"/>
      <c r="F302" s="140"/>
      <c r="G302" s="143"/>
      <c r="H302" s="144"/>
    </row>
    <row r="303">
      <c r="A303" s="77"/>
      <c r="B303" s="77"/>
      <c r="C303" s="145"/>
      <c r="D303" s="145"/>
      <c r="E303" s="140"/>
      <c r="F303" s="140"/>
      <c r="G303" s="143"/>
      <c r="H303" s="144"/>
    </row>
    <row r="304">
      <c r="A304" s="77"/>
      <c r="B304" s="77"/>
      <c r="C304" s="145"/>
      <c r="D304" s="145"/>
      <c r="E304" s="140"/>
      <c r="F304" s="140"/>
      <c r="G304" s="143"/>
      <c r="H304" s="144"/>
    </row>
    <row r="305">
      <c r="A305" s="77"/>
      <c r="B305" s="77"/>
      <c r="C305" s="145"/>
      <c r="D305" s="145"/>
      <c r="E305" s="140"/>
      <c r="F305" s="140"/>
      <c r="G305" s="143"/>
      <c r="H305" s="144"/>
    </row>
    <row r="306">
      <c r="A306" s="77"/>
      <c r="B306" s="77"/>
      <c r="C306" s="145"/>
      <c r="D306" s="145"/>
      <c r="E306" s="140"/>
      <c r="F306" s="140"/>
      <c r="G306" s="143"/>
      <c r="H306" s="144"/>
    </row>
    <row r="307">
      <c r="A307" s="77"/>
      <c r="B307" s="77"/>
      <c r="C307" s="145"/>
      <c r="D307" s="145"/>
      <c r="E307" s="140"/>
      <c r="F307" s="140"/>
      <c r="G307" s="143"/>
      <c r="H307" s="144"/>
    </row>
    <row r="308">
      <c r="A308" s="77"/>
      <c r="B308" s="77"/>
      <c r="C308" s="145"/>
      <c r="D308" s="145"/>
      <c r="E308" s="140"/>
      <c r="F308" s="140"/>
      <c r="G308" s="143"/>
      <c r="H308" s="144"/>
    </row>
    <row r="309">
      <c r="A309" s="77"/>
      <c r="B309" s="77"/>
      <c r="C309" s="145"/>
      <c r="D309" s="145"/>
      <c r="E309" s="140"/>
      <c r="F309" s="140"/>
      <c r="G309" s="143"/>
      <c r="H309" s="144"/>
    </row>
    <row r="310">
      <c r="A310" s="77"/>
      <c r="B310" s="77"/>
      <c r="C310" s="145"/>
      <c r="D310" s="145"/>
      <c r="E310" s="140"/>
      <c r="F310" s="140"/>
      <c r="G310" s="143"/>
      <c r="H310" s="144"/>
    </row>
    <row r="311">
      <c r="A311" s="77"/>
      <c r="B311" s="77"/>
      <c r="C311" s="145"/>
      <c r="D311" s="145"/>
      <c r="E311" s="140"/>
      <c r="F311" s="140"/>
      <c r="G311" s="143"/>
      <c r="H311" s="144"/>
    </row>
    <row r="312">
      <c r="A312" s="77"/>
      <c r="B312" s="77"/>
      <c r="C312" s="145"/>
      <c r="D312" s="145"/>
      <c r="E312" s="140"/>
      <c r="F312" s="140"/>
      <c r="G312" s="143"/>
      <c r="H312" s="144"/>
    </row>
    <row r="313">
      <c r="A313" s="77"/>
      <c r="B313" s="77"/>
      <c r="C313" s="145"/>
      <c r="D313" s="145"/>
      <c r="E313" s="140"/>
      <c r="F313" s="140"/>
      <c r="G313" s="143"/>
      <c r="H313" s="144"/>
    </row>
    <row r="314">
      <c r="A314" s="77"/>
      <c r="B314" s="77"/>
      <c r="C314" s="145"/>
      <c r="D314" s="145"/>
      <c r="E314" s="140"/>
      <c r="F314" s="140"/>
      <c r="G314" s="143"/>
      <c r="H314" s="144"/>
    </row>
    <row r="315">
      <c r="A315" s="77"/>
      <c r="B315" s="77"/>
      <c r="C315" s="145"/>
      <c r="D315" s="145"/>
      <c r="E315" s="140"/>
      <c r="F315" s="140"/>
      <c r="G315" s="143"/>
      <c r="H315" s="144"/>
    </row>
    <row r="316">
      <c r="A316" s="77"/>
      <c r="B316" s="77"/>
      <c r="C316" s="145"/>
      <c r="D316" s="145"/>
      <c r="E316" s="140"/>
      <c r="F316" s="140"/>
      <c r="G316" s="143"/>
      <c r="H316" s="144"/>
    </row>
    <row r="317">
      <c r="A317" s="77"/>
      <c r="B317" s="77"/>
      <c r="C317" s="145"/>
      <c r="D317" s="145"/>
      <c r="E317" s="140"/>
      <c r="F317" s="140"/>
      <c r="G317" s="143"/>
      <c r="H317" s="144"/>
    </row>
    <row r="318">
      <c r="A318" s="77"/>
      <c r="B318" s="77"/>
      <c r="C318" s="145"/>
      <c r="D318" s="145"/>
      <c r="E318" s="140"/>
      <c r="F318" s="140"/>
      <c r="G318" s="143"/>
      <c r="H318" s="144"/>
    </row>
    <row r="319">
      <c r="A319" s="77"/>
      <c r="B319" s="77"/>
      <c r="C319" s="145"/>
      <c r="D319" s="145"/>
      <c r="E319" s="140"/>
      <c r="F319" s="140"/>
      <c r="G319" s="143"/>
      <c r="H319" s="144"/>
    </row>
    <row r="320">
      <c r="A320" s="77"/>
      <c r="B320" s="77"/>
      <c r="C320" s="145"/>
      <c r="D320" s="145"/>
      <c r="E320" s="140"/>
      <c r="F320" s="140"/>
      <c r="G320" s="143"/>
      <c r="H320" s="144"/>
    </row>
    <row r="321">
      <c r="A321" s="77"/>
      <c r="B321" s="77"/>
      <c r="C321" s="145"/>
      <c r="D321" s="145"/>
      <c r="E321" s="140"/>
      <c r="F321" s="140"/>
      <c r="G321" s="143"/>
      <c r="H321" s="144"/>
    </row>
    <row r="322">
      <c r="A322" s="77"/>
      <c r="B322" s="77"/>
      <c r="C322" s="145"/>
      <c r="D322" s="145"/>
      <c r="E322" s="140"/>
      <c r="F322" s="140"/>
      <c r="G322" s="143"/>
      <c r="H322" s="144"/>
    </row>
    <row r="323">
      <c r="A323" s="77"/>
      <c r="B323" s="77"/>
      <c r="C323" s="145"/>
      <c r="D323" s="145"/>
      <c r="E323" s="140"/>
      <c r="F323" s="140"/>
      <c r="G323" s="143"/>
      <c r="H323" s="144"/>
    </row>
    <row r="324">
      <c r="A324" s="77"/>
      <c r="B324" s="77"/>
      <c r="C324" s="145"/>
      <c r="D324" s="145"/>
      <c r="E324" s="140"/>
      <c r="F324" s="140"/>
      <c r="G324" s="143"/>
      <c r="H324" s="144"/>
    </row>
    <row r="325">
      <c r="A325" s="77"/>
      <c r="B325" s="77"/>
      <c r="C325" s="145"/>
      <c r="D325" s="145"/>
      <c r="E325" s="140"/>
      <c r="F325" s="140"/>
      <c r="G325" s="143"/>
      <c r="H325" s="144"/>
    </row>
    <row r="326">
      <c r="A326" s="77"/>
      <c r="B326" s="77"/>
      <c r="C326" s="145"/>
      <c r="D326" s="145"/>
      <c r="E326" s="140"/>
      <c r="F326" s="140"/>
      <c r="G326" s="143"/>
      <c r="H326" s="144"/>
    </row>
    <row r="327">
      <c r="A327" s="77"/>
      <c r="B327" s="77"/>
      <c r="C327" s="145"/>
      <c r="D327" s="145"/>
      <c r="E327" s="140"/>
      <c r="F327" s="140"/>
      <c r="G327" s="143"/>
      <c r="H327" s="144"/>
    </row>
    <row r="328">
      <c r="A328" s="77"/>
      <c r="B328" s="77"/>
      <c r="C328" s="145"/>
      <c r="D328" s="145"/>
      <c r="E328" s="140"/>
      <c r="F328" s="140"/>
      <c r="G328" s="143"/>
      <c r="H328" s="144"/>
    </row>
    <row r="329">
      <c r="A329" s="77"/>
      <c r="B329" s="77"/>
      <c r="C329" s="145"/>
      <c r="D329" s="145"/>
      <c r="E329" s="140"/>
      <c r="F329" s="140"/>
      <c r="G329" s="143"/>
      <c r="H329" s="144"/>
    </row>
    <row r="330">
      <c r="A330" s="77"/>
      <c r="B330" s="77"/>
      <c r="C330" s="145"/>
      <c r="D330" s="145"/>
      <c r="E330" s="140"/>
      <c r="F330" s="140"/>
      <c r="G330" s="143"/>
      <c r="H330" s="144"/>
    </row>
    <row r="331">
      <c r="A331" s="77"/>
      <c r="B331" s="77"/>
      <c r="C331" s="145"/>
      <c r="D331" s="145"/>
      <c r="E331" s="140"/>
      <c r="F331" s="140"/>
      <c r="G331" s="143"/>
      <c r="H331" s="144"/>
    </row>
    <row r="332">
      <c r="A332" s="77"/>
      <c r="B332" s="77"/>
      <c r="C332" s="145"/>
      <c r="D332" s="145"/>
      <c r="E332" s="140"/>
      <c r="F332" s="140"/>
      <c r="G332" s="143"/>
      <c r="H332" s="144"/>
    </row>
    <row r="333">
      <c r="A333" s="77"/>
      <c r="B333" s="77"/>
      <c r="C333" s="145"/>
      <c r="D333" s="145"/>
      <c r="E333" s="140"/>
      <c r="F333" s="140"/>
      <c r="G333" s="143"/>
      <c r="H333" s="144"/>
    </row>
    <row r="334">
      <c r="A334" s="77"/>
      <c r="B334" s="77"/>
      <c r="C334" s="145"/>
      <c r="D334" s="145"/>
      <c r="E334" s="140"/>
      <c r="F334" s="140"/>
      <c r="G334" s="143"/>
      <c r="H334" s="144"/>
    </row>
    <row r="335">
      <c r="A335" s="77"/>
      <c r="B335" s="77"/>
      <c r="C335" s="145"/>
      <c r="D335" s="145"/>
      <c r="E335" s="140"/>
      <c r="F335" s="140"/>
      <c r="G335" s="143"/>
      <c r="H335" s="144"/>
    </row>
    <row r="336">
      <c r="A336" s="77"/>
      <c r="B336" s="77"/>
      <c r="C336" s="145"/>
      <c r="D336" s="145"/>
      <c r="E336" s="140"/>
      <c r="F336" s="140"/>
      <c r="G336" s="143"/>
      <c r="H336" s="144"/>
    </row>
    <row r="337">
      <c r="A337" s="77"/>
      <c r="B337" s="77"/>
      <c r="C337" s="145"/>
      <c r="D337" s="145"/>
      <c r="E337" s="140"/>
      <c r="F337" s="140"/>
      <c r="G337" s="143"/>
      <c r="H337" s="144"/>
    </row>
    <row r="338">
      <c r="A338" s="77"/>
      <c r="B338" s="77"/>
      <c r="C338" s="145"/>
      <c r="D338" s="145"/>
      <c r="E338" s="140"/>
      <c r="F338" s="140"/>
      <c r="G338" s="143"/>
      <c r="H338" s="144"/>
    </row>
    <row r="339">
      <c r="A339" s="77"/>
      <c r="B339" s="77"/>
      <c r="C339" s="145"/>
      <c r="D339" s="145"/>
      <c r="E339" s="140"/>
      <c r="F339" s="140"/>
      <c r="G339" s="143"/>
      <c r="H339" s="144"/>
    </row>
    <row r="340">
      <c r="A340" s="77"/>
      <c r="B340" s="77"/>
      <c r="C340" s="145"/>
      <c r="D340" s="145"/>
      <c r="E340" s="140"/>
      <c r="F340" s="140"/>
      <c r="G340" s="143"/>
      <c r="H340" s="144"/>
    </row>
    <row r="341">
      <c r="A341" s="77"/>
      <c r="B341" s="77"/>
      <c r="C341" s="145"/>
      <c r="D341" s="145"/>
      <c r="E341" s="140"/>
      <c r="F341" s="140"/>
      <c r="G341" s="143"/>
      <c r="H341" s="144"/>
    </row>
    <row r="342">
      <c r="A342" s="77"/>
      <c r="B342" s="77"/>
      <c r="C342" s="145"/>
      <c r="D342" s="145"/>
      <c r="E342" s="140"/>
      <c r="F342" s="140"/>
      <c r="G342" s="143"/>
      <c r="H342" s="144"/>
    </row>
    <row r="343">
      <c r="A343" s="77"/>
      <c r="B343" s="77"/>
      <c r="C343" s="145"/>
      <c r="D343" s="145"/>
      <c r="E343" s="140"/>
      <c r="F343" s="140"/>
      <c r="G343" s="143"/>
      <c r="H343" s="144"/>
    </row>
    <row r="344">
      <c r="A344" s="77"/>
      <c r="B344" s="77"/>
      <c r="C344" s="145"/>
      <c r="D344" s="145"/>
      <c r="E344" s="140"/>
      <c r="F344" s="140"/>
      <c r="G344" s="143"/>
      <c r="H344" s="144"/>
    </row>
    <row r="345">
      <c r="A345" s="77"/>
      <c r="B345" s="77"/>
      <c r="C345" s="145"/>
      <c r="D345" s="145"/>
      <c r="E345" s="140"/>
      <c r="F345" s="140"/>
      <c r="G345" s="143"/>
      <c r="H345" s="144"/>
    </row>
    <row r="346">
      <c r="A346" s="77"/>
      <c r="B346" s="77"/>
      <c r="C346" s="145"/>
      <c r="D346" s="145"/>
      <c r="E346" s="140"/>
      <c r="F346" s="140"/>
      <c r="G346" s="143"/>
      <c r="H346" s="144"/>
    </row>
    <row r="347">
      <c r="A347" s="77"/>
      <c r="B347" s="77"/>
      <c r="C347" s="145"/>
      <c r="D347" s="145"/>
      <c r="E347" s="140"/>
      <c r="F347" s="140"/>
      <c r="G347" s="143"/>
      <c r="H347" s="144"/>
    </row>
    <row r="348">
      <c r="A348" s="77"/>
      <c r="B348" s="77"/>
      <c r="C348" s="145"/>
      <c r="D348" s="145"/>
      <c r="E348" s="140"/>
      <c r="F348" s="140"/>
      <c r="G348" s="143"/>
      <c r="H348" s="144"/>
    </row>
    <row r="349">
      <c r="A349" s="77"/>
      <c r="B349" s="77"/>
      <c r="C349" s="145"/>
      <c r="D349" s="145"/>
      <c r="E349" s="140"/>
      <c r="F349" s="140"/>
      <c r="G349" s="143"/>
      <c r="H349" s="144"/>
    </row>
    <row r="350">
      <c r="A350" s="77"/>
      <c r="B350" s="77"/>
      <c r="C350" s="145"/>
      <c r="D350" s="145"/>
      <c r="E350" s="140"/>
      <c r="F350" s="140"/>
      <c r="G350" s="143"/>
      <c r="H350" s="144"/>
    </row>
    <row r="351">
      <c r="A351" s="77"/>
      <c r="B351" s="77"/>
      <c r="C351" s="145"/>
      <c r="D351" s="145"/>
      <c r="E351" s="140"/>
      <c r="F351" s="140"/>
      <c r="G351" s="143"/>
      <c r="H351" s="144"/>
    </row>
    <row r="352">
      <c r="A352" s="77"/>
      <c r="B352" s="77"/>
      <c r="C352" s="145"/>
      <c r="D352" s="145"/>
      <c r="E352" s="140"/>
      <c r="F352" s="140"/>
      <c r="G352" s="143"/>
      <c r="H352" s="144"/>
    </row>
    <row r="353">
      <c r="A353" s="77"/>
      <c r="B353" s="77"/>
      <c r="C353" s="145"/>
      <c r="D353" s="145"/>
      <c r="E353" s="140"/>
      <c r="F353" s="140"/>
      <c r="G353" s="143"/>
      <c r="H353" s="144"/>
    </row>
    <row r="354">
      <c r="A354" s="77"/>
      <c r="B354" s="77"/>
      <c r="C354" s="145"/>
      <c r="D354" s="145"/>
      <c r="E354" s="140"/>
      <c r="F354" s="140"/>
      <c r="G354" s="143"/>
      <c r="H354" s="144"/>
    </row>
    <row r="355">
      <c r="A355" s="77"/>
      <c r="B355" s="77"/>
      <c r="C355" s="145"/>
      <c r="D355" s="145"/>
      <c r="E355" s="140"/>
      <c r="F355" s="140"/>
      <c r="G355" s="143"/>
      <c r="H355" s="144"/>
    </row>
    <row r="356">
      <c r="A356" s="77"/>
      <c r="B356" s="77"/>
      <c r="C356" s="145"/>
      <c r="D356" s="145"/>
      <c r="E356" s="140"/>
      <c r="F356" s="140"/>
      <c r="G356" s="143"/>
      <c r="H356" s="144"/>
    </row>
    <row r="357">
      <c r="A357" s="77"/>
      <c r="B357" s="77"/>
      <c r="C357" s="145"/>
      <c r="D357" s="145"/>
      <c r="E357" s="140"/>
      <c r="F357" s="140"/>
      <c r="G357" s="143"/>
      <c r="H357" s="144"/>
    </row>
    <row r="358">
      <c r="A358" s="77"/>
      <c r="B358" s="77"/>
      <c r="C358" s="145"/>
      <c r="D358" s="145"/>
      <c r="E358" s="140"/>
      <c r="F358" s="140"/>
      <c r="G358" s="143"/>
      <c r="H358" s="144"/>
    </row>
    <row r="359">
      <c r="A359" s="77"/>
      <c r="B359" s="77"/>
      <c r="C359" s="145"/>
      <c r="D359" s="145"/>
      <c r="E359" s="140"/>
      <c r="F359" s="140"/>
      <c r="G359" s="143"/>
      <c r="H359" s="144"/>
    </row>
    <row r="360">
      <c r="A360" s="77"/>
      <c r="B360" s="77"/>
      <c r="C360" s="145"/>
      <c r="D360" s="145"/>
      <c r="E360" s="140"/>
      <c r="F360" s="140"/>
      <c r="G360" s="143"/>
      <c r="H360" s="144"/>
    </row>
    <row r="361">
      <c r="A361" s="77"/>
      <c r="B361" s="77"/>
      <c r="C361" s="145"/>
      <c r="D361" s="145"/>
      <c r="E361" s="140"/>
      <c r="F361" s="140"/>
      <c r="G361" s="143"/>
      <c r="H361" s="144"/>
    </row>
    <row r="362">
      <c r="A362" s="77"/>
      <c r="B362" s="77"/>
      <c r="C362" s="145"/>
      <c r="D362" s="145"/>
      <c r="E362" s="140"/>
      <c r="F362" s="140"/>
      <c r="G362" s="143"/>
      <c r="H362" s="144"/>
    </row>
    <row r="363">
      <c r="A363" s="77"/>
      <c r="B363" s="77"/>
      <c r="C363" s="145"/>
      <c r="D363" s="145"/>
      <c r="E363" s="140"/>
      <c r="F363" s="140"/>
      <c r="G363" s="143"/>
      <c r="H363" s="144"/>
    </row>
    <row r="364">
      <c r="A364" s="77"/>
      <c r="B364" s="77"/>
      <c r="C364" s="145"/>
      <c r="D364" s="145"/>
      <c r="E364" s="140"/>
      <c r="F364" s="140"/>
      <c r="G364" s="143"/>
      <c r="H364" s="144"/>
    </row>
    <row r="365">
      <c r="A365" s="77"/>
      <c r="B365" s="77"/>
      <c r="C365" s="145"/>
      <c r="D365" s="145"/>
      <c r="E365" s="140"/>
      <c r="F365" s="140"/>
      <c r="G365" s="143"/>
      <c r="H365" s="144"/>
    </row>
    <row r="366">
      <c r="A366" s="77"/>
      <c r="B366" s="77"/>
      <c r="C366" s="145"/>
      <c r="D366" s="145"/>
      <c r="E366" s="140"/>
      <c r="F366" s="140"/>
      <c r="G366" s="143"/>
      <c r="H366" s="144"/>
    </row>
    <row r="367">
      <c r="A367" s="77"/>
      <c r="B367" s="77"/>
      <c r="C367" s="145"/>
      <c r="D367" s="145"/>
      <c r="E367" s="140"/>
      <c r="F367" s="140"/>
      <c r="G367" s="143"/>
      <c r="H367" s="144"/>
    </row>
    <row r="368">
      <c r="A368" s="77"/>
      <c r="B368" s="77"/>
      <c r="C368" s="145"/>
      <c r="D368" s="145"/>
      <c r="E368" s="140"/>
      <c r="F368" s="140"/>
      <c r="G368" s="143"/>
      <c r="H368" s="144"/>
    </row>
    <row r="369">
      <c r="A369" s="77"/>
      <c r="B369" s="77"/>
      <c r="C369" s="145"/>
      <c r="D369" s="145"/>
      <c r="E369" s="140"/>
      <c r="F369" s="140"/>
      <c r="G369" s="143"/>
      <c r="H369" s="144"/>
    </row>
    <row r="370">
      <c r="A370" s="77"/>
      <c r="B370" s="77"/>
      <c r="C370" s="145"/>
      <c r="D370" s="145"/>
      <c r="E370" s="140"/>
      <c r="F370" s="140"/>
      <c r="G370" s="143"/>
      <c r="H370" s="144"/>
    </row>
    <row r="371">
      <c r="A371" s="77"/>
      <c r="B371" s="77"/>
      <c r="C371" s="145"/>
      <c r="D371" s="145"/>
      <c r="E371" s="140"/>
      <c r="F371" s="140"/>
      <c r="G371" s="143"/>
      <c r="H371" s="144"/>
    </row>
    <row r="372">
      <c r="A372" s="77"/>
      <c r="B372" s="77"/>
      <c r="C372" s="145"/>
      <c r="D372" s="145"/>
      <c r="E372" s="140"/>
      <c r="F372" s="140"/>
      <c r="G372" s="143"/>
      <c r="H372" s="144"/>
    </row>
    <row r="373">
      <c r="A373" s="77"/>
      <c r="B373" s="77"/>
      <c r="C373" s="145"/>
      <c r="D373" s="145"/>
      <c r="E373" s="140"/>
      <c r="F373" s="140"/>
      <c r="G373" s="143"/>
      <c r="H373" s="144"/>
    </row>
    <row r="374">
      <c r="A374" s="77"/>
      <c r="B374" s="77"/>
      <c r="C374" s="145"/>
      <c r="D374" s="145"/>
      <c r="E374" s="140"/>
      <c r="F374" s="140"/>
      <c r="G374" s="143"/>
      <c r="H374" s="144"/>
    </row>
    <row r="375">
      <c r="A375" s="77"/>
      <c r="B375" s="77"/>
      <c r="C375" s="145"/>
      <c r="D375" s="145"/>
      <c r="E375" s="140"/>
      <c r="F375" s="140"/>
      <c r="G375" s="143"/>
      <c r="H375" s="144"/>
    </row>
    <row r="376">
      <c r="A376" s="77"/>
      <c r="B376" s="77"/>
      <c r="C376" s="145"/>
      <c r="D376" s="145"/>
      <c r="E376" s="140"/>
      <c r="F376" s="140"/>
      <c r="G376" s="143"/>
      <c r="H376" s="144"/>
    </row>
    <row r="377">
      <c r="A377" s="77"/>
      <c r="B377" s="77"/>
      <c r="C377" s="145"/>
      <c r="D377" s="145"/>
      <c r="E377" s="140"/>
      <c r="F377" s="140"/>
      <c r="G377" s="143"/>
      <c r="H377" s="144"/>
    </row>
    <row r="378">
      <c r="A378" s="77"/>
      <c r="B378" s="77"/>
      <c r="C378" s="145"/>
      <c r="D378" s="145"/>
      <c r="E378" s="140"/>
      <c r="F378" s="140"/>
      <c r="G378" s="143"/>
      <c r="H378" s="144"/>
    </row>
    <row r="379">
      <c r="A379" s="77"/>
      <c r="B379" s="77"/>
      <c r="C379" s="145"/>
      <c r="D379" s="145"/>
      <c r="E379" s="140"/>
      <c r="F379" s="140"/>
      <c r="G379" s="143"/>
      <c r="H379" s="144"/>
    </row>
    <row r="380">
      <c r="A380" s="77"/>
      <c r="B380" s="77"/>
      <c r="C380" s="145"/>
      <c r="D380" s="145"/>
      <c r="E380" s="140"/>
      <c r="F380" s="140"/>
      <c r="G380" s="143"/>
      <c r="H380" s="144"/>
    </row>
    <row r="381">
      <c r="A381" s="77"/>
      <c r="B381" s="77"/>
      <c r="C381" s="145"/>
      <c r="D381" s="145"/>
      <c r="E381" s="140"/>
      <c r="F381" s="140"/>
      <c r="G381" s="143"/>
      <c r="H381" s="144"/>
    </row>
    <row r="382">
      <c r="A382" s="77"/>
      <c r="B382" s="77"/>
      <c r="C382" s="145"/>
      <c r="D382" s="145"/>
      <c r="E382" s="140"/>
      <c r="F382" s="140"/>
      <c r="G382" s="143"/>
      <c r="H382" s="144"/>
    </row>
    <row r="383">
      <c r="A383" s="77"/>
      <c r="B383" s="77"/>
      <c r="C383" s="145"/>
      <c r="D383" s="145"/>
      <c r="E383" s="140"/>
      <c r="F383" s="140"/>
      <c r="G383" s="143"/>
      <c r="H383" s="144"/>
    </row>
    <row r="384">
      <c r="A384" s="77"/>
      <c r="B384" s="77"/>
      <c r="C384" s="145"/>
      <c r="D384" s="145"/>
      <c r="E384" s="140"/>
      <c r="F384" s="140"/>
      <c r="G384" s="143"/>
      <c r="H384" s="144"/>
    </row>
    <row r="385">
      <c r="A385" s="77"/>
      <c r="B385" s="77"/>
      <c r="C385" s="145"/>
      <c r="D385" s="145"/>
      <c r="E385" s="140"/>
      <c r="F385" s="140"/>
      <c r="G385" s="143"/>
      <c r="H385" s="144"/>
    </row>
    <row r="386">
      <c r="A386" s="77"/>
      <c r="B386" s="77"/>
      <c r="C386" s="145"/>
      <c r="D386" s="145"/>
      <c r="E386" s="140"/>
      <c r="F386" s="140"/>
      <c r="G386" s="143"/>
      <c r="H386" s="144"/>
    </row>
    <row r="387">
      <c r="A387" s="77"/>
      <c r="B387" s="77"/>
      <c r="C387" s="145"/>
      <c r="D387" s="145"/>
      <c r="E387" s="140"/>
      <c r="F387" s="140"/>
      <c r="G387" s="143"/>
      <c r="H387" s="144"/>
    </row>
    <row r="388">
      <c r="A388" s="77"/>
      <c r="B388" s="77"/>
      <c r="C388" s="145"/>
      <c r="D388" s="145"/>
      <c r="E388" s="140"/>
      <c r="F388" s="140"/>
      <c r="G388" s="143"/>
      <c r="H388" s="144"/>
    </row>
    <row r="389">
      <c r="A389" s="77"/>
      <c r="B389" s="77"/>
      <c r="C389" s="145"/>
      <c r="D389" s="145"/>
      <c r="E389" s="140"/>
      <c r="F389" s="140"/>
      <c r="G389" s="143"/>
      <c r="H389" s="144"/>
    </row>
    <row r="390">
      <c r="A390" s="77"/>
      <c r="B390" s="77"/>
      <c r="C390" s="145"/>
      <c r="D390" s="145"/>
      <c r="E390" s="140"/>
      <c r="F390" s="140"/>
      <c r="G390" s="143"/>
      <c r="H390" s="144"/>
    </row>
    <row r="391">
      <c r="A391" s="77"/>
      <c r="B391" s="77"/>
      <c r="C391" s="145"/>
      <c r="D391" s="145"/>
      <c r="E391" s="140"/>
      <c r="F391" s="140"/>
      <c r="G391" s="143"/>
      <c r="H391" s="144"/>
    </row>
    <row r="392">
      <c r="A392" s="77"/>
      <c r="B392" s="77"/>
      <c r="C392" s="145"/>
      <c r="D392" s="145"/>
      <c r="E392" s="140"/>
      <c r="F392" s="140"/>
      <c r="G392" s="143"/>
      <c r="H392" s="144"/>
    </row>
    <row r="393">
      <c r="A393" s="77"/>
      <c r="B393" s="77"/>
      <c r="C393" s="145"/>
      <c r="D393" s="145"/>
      <c r="E393" s="140"/>
      <c r="F393" s="140"/>
      <c r="G393" s="143"/>
      <c r="H393" s="144"/>
    </row>
    <row r="394">
      <c r="A394" s="77"/>
      <c r="B394" s="77"/>
      <c r="C394" s="145"/>
      <c r="D394" s="145"/>
      <c r="E394" s="140"/>
      <c r="F394" s="140"/>
      <c r="G394" s="143"/>
      <c r="H394" s="144"/>
    </row>
    <row r="395">
      <c r="A395" s="77"/>
      <c r="B395" s="77"/>
      <c r="C395" s="145"/>
      <c r="D395" s="145"/>
      <c r="E395" s="140"/>
      <c r="F395" s="140"/>
      <c r="G395" s="143"/>
      <c r="H395" s="144"/>
    </row>
    <row r="396">
      <c r="A396" s="77"/>
      <c r="B396" s="77"/>
      <c r="C396" s="145"/>
      <c r="D396" s="145"/>
      <c r="E396" s="140"/>
      <c r="F396" s="140"/>
      <c r="G396" s="143"/>
      <c r="H396" s="144"/>
    </row>
    <row r="397">
      <c r="A397" s="77"/>
      <c r="B397" s="77"/>
      <c r="C397" s="145"/>
      <c r="D397" s="145"/>
      <c r="E397" s="140"/>
      <c r="F397" s="140"/>
      <c r="G397" s="143"/>
      <c r="H397" s="144"/>
    </row>
    <row r="398">
      <c r="A398" s="77"/>
      <c r="B398" s="77"/>
      <c r="C398" s="145"/>
      <c r="D398" s="145"/>
      <c r="E398" s="140"/>
      <c r="F398" s="140"/>
      <c r="G398" s="143"/>
      <c r="H398" s="144"/>
    </row>
    <row r="399">
      <c r="A399" s="77"/>
      <c r="B399" s="77"/>
      <c r="C399" s="145"/>
      <c r="D399" s="145"/>
      <c r="E399" s="140"/>
      <c r="F399" s="140"/>
      <c r="G399" s="143"/>
      <c r="H399" s="144"/>
    </row>
    <row r="400">
      <c r="A400" s="77"/>
      <c r="B400" s="77"/>
      <c r="C400" s="145"/>
      <c r="D400" s="145"/>
      <c r="E400" s="140"/>
      <c r="F400" s="140"/>
      <c r="G400" s="143"/>
      <c r="H400" s="144"/>
    </row>
    <row r="401">
      <c r="A401" s="77"/>
      <c r="B401" s="77"/>
      <c r="C401" s="145"/>
      <c r="D401" s="145"/>
      <c r="E401" s="140"/>
      <c r="F401" s="140"/>
      <c r="G401" s="143"/>
      <c r="H401" s="144"/>
    </row>
    <row r="402">
      <c r="A402" s="77"/>
      <c r="B402" s="77"/>
      <c r="C402" s="145"/>
      <c r="D402" s="145"/>
      <c r="E402" s="140"/>
      <c r="F402" s="140"/>
      <c r="G402" s="143"/>
      <c r="H402" s="144"/>
    </row>
    <row r="403">
      <c r="A403" s="77"/>
      <c r="B403" s="77"/>
      <c r="C403" s="145"/>
      <c r="D403" s="145"/>
      <c r="E403" s="140"/>
      <c r="F403" s="140"/>
      <c r="G403" s="143"/>
      <c r="H403" s="144"/>
    </row>
    <row r="404">
      <c r="A404" s="77"/>
      <c r="B404" s="77"/>
      <c r="C404" s="145"/>
      <c r="D404" s="145"/>
      <c r="E404" s="140"/>
      <c r="F404" s="140"/>
      <c r="G404" s="143"/>
      <c r="H404" s="144"/>
    </row>
    <row r="405">
      <c r="A405" s="77"/>
      <c r="B405" s="77"/>
      <c r="C405" s="145"/>
      <c r="D405" s="145"/>
      <c r="E405" s="140"/>
      <c r="F405" s="140"/>
      <c r="G405" s="143"/>
      <c r="H405" s="144"/>
    </row>
    <row r="406">
      <c r="A406" s="77"/>
      <c r="B406" s="77"/>
      <c r="C406" s="145"/>
      <c r="D406" s="145"/>
      <c r="E406" s="140"/>
      <c r="F406" s="140"/>
      <c r="G406" s="143"/>
      <c r="H406" s="144"/>
    </row>
    <row r="407">
      <c r="A407" s="77"/>
      <c r="B407" s="77"/>
      <c r="C407" s="145"/>
      <c r="D407" s="145"/>
      <c r="E407" s="140"/>
      <c r="F407" s="140"/>
      <c r="G407" s="143"/>
      <c r="H407" s="144"/>
    </row>
    <row r="408">
      <c r="A408" s="77"/>
      <c r="B408" s="77"/>
      <c r="C408" s="145"/>
      <c r="D408" s="145"/>
      <c r="E408" s="140"/>
      <c r="F408" s="140"/>
      <c r="G408" s="143"/>
      <c r="H408" s="144"/>
    </row>
    <row r="409">
      <c r="A409" s="77"/>
      <c r="B409" s="77"/>
      <c r="C409" s="145"/>
      <c r="D409" s="145"/>
      <c r="E409" s="140"/>
      <c r="F409" s="140"/>
      <c r="G409" s="143"/>
      <c r="H409" s="144"/>
    </row>
    <row r="410">
      <c r="A410" s="77"/>
      <c r="B410" s="77"/>
      <c r="C410" s="145"/>
      <c r="D410" s="145"/>
      <c r="E410" s="140"/>
      <c r="F410" s="140"/>
      <c r="G410" s="143"/>
      <c r="H410" s="144"/>
    </row>
    <row r="411">
      <c r="A411" s="77"/>
      <c r="B411" s="77"/>
      <c r="C411" s="145"/>
      <c r="D411" s="145"/>
      <c r="E411" s="140"/>
      <c r="F411" s="140"/>
      <c r="G411" s="143"/>
      <c r="H411" s="144"/>
    </row>
    <row r="412">
      <c r="A412" s="77"/>
      <c r="B412" s="77"/>
      <c r="C412" s="145"/>
      <c r="D412" s="145"/>
      <c r="E412" s="140"/>
      <c r="F412" s="140"/>
      <c r="G412" s="143"/>
      <c r="H412" s="144"/>
    </row>
    <row r="413">
      <c r="A413" s="77"/>
      <c r="B413" s="77"/>
      <c r="C413" s="145"/>
      <c r="D413" s="145"/>
      <c r="E413" s="140"/>
      <c r="F413" s="140"/>
      <c r="G413" s="143"/>
      <c r="H413" s="144"/>
    </row>
    <row r="414">
      <c r="A414" s="77"/>
      <c r="B414" s="77"/>
      <c r="C414" s="145"/>
      <c r="D414" s="145"/>
      <c r="E414" s="140"/>
      <c r="F414" s="140"/>
      <c r="G414" s="143"/>
      <c r="H414" s="144"/>
    </row>
    <row r="415">
      <c r="A415" s="77"/>
      <c r="B415" s="77"/>
      <c r="C415" s="145"/>
      <c r="D415" s="145"/>
      <c r="E415" s="140"/>
      <c r="F415" s="140"/>
      <c r="G415" s="143"/>
      <c r="H415" s="144"/>
    </row>
    <row r="416">
      <c r="A416" s="77"/>
      <c r="B416" s="77"/>
      <c r="C416" s="145"/>
      <c r="D416" s="145"/>
      <c r="E416" s="140"/>
      <c r="F416" s="140"/>
      <c r="G416" s="143"/>
      <c r="H416" s="144"/>
    </row>
    <row r="417">
      <c r="A417" s="77"/>
      <c r="B417" s="77"/>
      <c r="C417" s="145"/>
      <c r="D417" s="145"/>
      <c r="E417" s="140"/>
      <c r="F417" s="140"/>
      <c r="G417" s="143"/>
      <c r="H417" s="144"/>
    </row>
    <row r="418">
      <c r="A418" s="77"/>
      <c r="B418" s="77"/>
      <c r="C418" s="145"/>
      <c r="D418" s="145"/>
      <c r="E418" s="140"/>
      <c r="F418" s="140"/>
      <c r="G418" s="143"/>
      <c r="H418" s="144"/>
    </row>
    <row r="419">
      <c r="A419" s="77"/>
      <c r="B419" s="77"/>
      <c r="C419" s="145"/>
      <c r="D419" s="145"/>
      <c r="E419" s="140"/>
      <c r="F419" s="140"/>
      <c r="G419" s="143"/>
      <c r="H419" s="144"/>
    </row>
    <row r="420">
      <c r="A420" s="77"/>
      <c r="B420" s="77"/>
      <c r="C420" s="145"/>
      <c r="D420" s="145"/>
      <c r="E420" s="140"/>
      <c r="F420" s="140"/>
      <c r="G420" s="143"/>
      <c r="H420" s="144"/>
    </row>
    <row r="421">
      <c r="A421" s="77"/>
      <c r="B421" s="77"/>
      <c r="C421" s="145"/>
      <c r="D421" s="145"/>
      <c r="E421" s="140"/>
      <c r="F421" s="140"/>
      <c r="G421" s="143"/>
      <c r="H421" s="144"/>
    </row>
    <row r="422">
      <c r="A422" s="77"/>
      <c r="B422" s="77"/>
      <c r="C422" s="145"/>
      <c r="D422" s="145"/>
      <c r="E422" s="140"/>
      <c r="F422" s="140"/>
      <c r="G422" s="143"/>
      <c r="H422" s="144"/>
    </row>
    <row r="423">
      <c r="A423" s="77"/>
      <c r="B423" s="77"/>
      <c r="C423" s="145"/>
      <c r="D423" s="145"/>
      <c r="E423" s="140"/>
      <c r="F423" s="140"/>
      <c r="G423" s="143"/>
      <c r="H423" s="144"/>
    </row>
    <row r="424">
      <c r="A424" s="77"/>
      <c r="B424" s="77"/>
      <c r="C424" s="145"/>
      <c r="D424" s="145"/>
      <c r="E424" s="140"/>
      <c r="F424" s="140"/>
      <c r="G424" s="143"/>
      <c r="H424" s="144"/>
    </row>
    <row r="425">
      <c r="A425" s="77"/>
      <c r="B425" s="77"/>
      <c r="C425" s="145"/>
      <c r="D425" s="145"/>
      <c r="E425" s="140"/>
      <c r="F425" s="140"/>
      <c r="G425" s="143"/>
      <c r="H425" s="144"/>
    </row>
    <row r="426">
      <c r="A426" s="77"/>
      <c r="B426" s="77"/>
      <c r="C426" s="145"/>
      <c r="D426" s="145"/>
      <c r="E426" s="140"/>
      <c r="F426" s="140"/>
      <c r="G426" s="143"/>
      <c r="H426" s="144"/>
    </row>
    <row r="427">
      <c r="A427" s="77"/>
      <c r="B427" s="77"/>
      <c r="C427" s="145"/>
      <c r="D427" s="145"/>
      <c r="E427" s="140"/>
      <c r="F427" s="140"/>
      <c r="G427" s="143"/>
      <c r="H427" s="144"/>
    </row>
    <row r="428">
      <c r="A428" s="77"/>
      <c r="B428" s="77"/>
      <c r="C428" s="145"/>
      <c r="D428" s="145"/>
      <c r="E428" s="140"/>
      <c r="F428" s="140"/>
      <c r="G428" s="143"/>
      <c r="H428" s="144"/>
    </row>
    <row r="429">
      <c r="A429" s="77"/>
      <c r="B429" s="77"/>
      <c r="C429" s="145"/>
      <c r="D429" s="145"/>
      <c r="E429" s="140"/>
      <c r="F429" s="140"/>
      <c r="G429" s="143"/>
      <c r="H429" s="144"/>
    </row>
    <row r="430">
      <c r="A430" s="77"/>
      <c r="B430" s="77"/>
      <c r="C430" s="145"/>
      <c r="D430" s="145"/>
      <c r="E430" s="140"/>
      <c r="F430" s="140"/>
      <c r="G430" s="143"/>
      <c r="H430" s="144"/>
    </row>
    <row r="431">
      <c r="A431" s="77"/>
      <c r="B431" s="77"/>
      <c r="C431" s="145"/>
      <c r="D431" s="145"/>
      <c r="E431" s="140"/>
      <c r="F431" s="140"/>
      <c r="G431" s="143"/>
      <c r="H431" s="144"/>
    </row>
    <row r="432">
      <c r="A432" s="77"/>
      <c r="B432" s="77"/>
      <c r="C432" s="145"/>
      <c r="D432" s="145"/>
      <c r="E432" s="140"/>
      <c r="F432" s="140"/>
      <c r="G432" s="143"/>
      <c r="H432" s="144"/>
    </row>
    <row r="433">
      <c r="A433" s="77"/>
      <c r="B433" s="77"/>
      <c r="C433" s="145"/>
      <c r="D433" s="145"/>
      <c r="E433" s="140"/>
      <c r="F433" s="140"/>
      <c r="G433" s="143"/>
      <c r="H433" s="144"/>
    </row>
    <row r="434">
      <c r="A434" s="77"/>
      <c r="B434" s="77"/>
      <c r="C434" s="145"/>
      <c r="D434" s="145"/>
      <c r="E434" s="140"/>
      <c r="F434" s="140"/>
      <c r="G434" s="143"/>
      <c r="H434" s="144"/>
    </row>
    <row r="435">
      <c r="A435" s="77"/>
      <c r="B435" s="77"/>
      <c r="C435" s="145"/>
      <c r="D435" s="145"/>
      <c r="E435" s="140"/>
      <c r="F435" s="140"/>
      <c r="G435" s="143"/>
      <c r="H435" s="144"/>
    </row>
    <row r="436">
      <c r="A436" s="77"/>
      <c r="B436" s="77"/>
      <c r="C436" s="145"/>
      <c r="D436" s="145"/>
      <c r="E436" s="140"/>
      <c r="F436" s="140"/>
      <c r="G436" s="143"/>
      <c r="H436" s="144"/>
    </row>
    <row r="437">
      <c r="A437" s="77"/>
      <c r="B437" s="77"/>
      <c r="C437" s="145"/>
      <c r="D437" s="145"/>
      <c r="E437" s="140"/>
      <c r="F437" s="140"/>
      <c r="G437" s="143"/>
      <c r="H437" s="144"/>
    </row>
    <row r="438">
      <c r="A438" s="77"/>
      <c r="B438" s="77"/>
      <c r="C438" s="145"/>
      <c r="D438" s="145"/>
      <c r="E438" s="140"/>
      <c r="F438" s="140"/>
      <c r="G438" s="143"/>
      <c r="H438" s="144"/>
    </row>
    <row r="439">
      <c r="A439" s="77"/>
      <c r="B439" s="77"/>
      <c r="C439" s="145"/>
      <c r="D439" s="145"/>
      <c r="E439" s="140"/>
      <c r="F439" s="140"/>
      <c r="G439" s="143"/>
      <c r="H439" s="144"/>
    </row>
    <row r="440">
      <c r="A440" s="77"/>
      <c r="B440" s="77"/>
      <c r="C440" s="145"/>
      <c r="D440" s="145"/>
      <c r="E440" s="140"/>
      <c r="F440" s="140"/>
      <c r="G440" s="143"/>
      <c r="H440" s="144"/>
    </row>
    <row r="441">
      <c r="A441" s="77"/>
      <c r="B441" s="77"/>
      <c r="C441" s="145"/>
      <c r="D441" s="145"/>
      <c r="E441" s="140"/>
      <c r="F441" s="140"/>
      <c r="G441" s="143"/>
      <c r="H441" s="144"/>
    </row>
    <row r="442">
      <c r="A442" s="77"/>
      <c r="B442" s="77"/>
      <c r="C442" s="145"/>
      <c r="D442" s="145"/>
      <c r="E442" s="140"/>
      <c r="F442" s="140"/>
      <c r="G442" s="143"/>
      <c r="H442" s="144"/>
    </row>
    <row r="443">
      <c r="A443" s="77"/>
      <c r="B443" s="77"/>
      <c r="C443" s="145"/>
      <c r="D443" s="145"/>
      <c r="E443" s="140"/>
      <c r="F443" s="140"/>
      <c r="G443" s="143"/>
      <c r="H443" s="144"/>
    </row>
    <row r="444">
      <c r="A444" s="77"/>
      <c r="B444" s="77"/>
      <c r="C444" s="145"/>
      <c r="D444" s="145"/>
      <c r="E444" s="140"/>
      <c r="F444" s="140"/>
      <c r="G444" s="143"/>
      <c r="H444" s="144"/>
    </row>
    <row r="445">
      <c r="A445" s="77"/>
      <c r="B445" s="77"/>
      <c r="C445" s="145"/>
      <c r="D445" s="145"/>
      <c r="E445" s="140"/>
      <c r="F445" s="140"/>
      <c r="G445" s="143"/>
      <c r="H445" s="144"/>
    </row>
    <row r="446">
      <c r="A446" s="77"/>
      <c r="B446" s="77"/>
      <c r="C446" s="145"/>
      <c r="D446" s="145"/>
      <c r="E446" s="140"/>
      <c r="F446" s="140"/>
      <c r="G446" s="143"/>
      <c r="H446" s="144"/>
    </row>
    <row r="447">
      <c r="A447" s="77"/>
      <c r="B447" s="77"/>
      <c r="C447" s="145"/>
      <c r="D447" s="145"/>
      <c r="E447" s="140"/>
      <c r="F447" s="140"/>
      <c r="G447" s="143"/>
      <c r="H447" s="144"/>
    </row>
    <row r="448">
      <c r="A448" s="77"/>
      <c r="B448" s="77"/>
      <c r="C448" s="145"/>
      <c r="D448" s="145"/>
      <c r="E448" s="140"/>
      <c r="F448" s="140"/>
      <c r="G448" s="143"/>
      <c r="H448" s="144"/>
    </row>
    <row r="449">
      <c r="A449" s="77"/>
      <c r="B449" s="77"/>
      <c r="C449" s="145"/>
      <c r="D449" s="145"/>
      <c r="E449" s="140"/>
      <c r="F449" s="140"/>
      <c r="G449" s="143"/>
      <c r="H449" s="144"/>
    </row>
    <row r="450">
      <c r="A450" s="77"/>
      <c r="B450" s="77"/>
      <c r="C450" s="145"/>
      <c r="D450" s="145"/>
      <c r="E450" s="140"/>
      <c r="F450" s="140"/>
      <c r="G450" s="143"/>
      <c r="H450" s="144"/>
    </row>
    <row r="451">
      <c r="A451" s="77"/>
      <c r="B451" s="77"/>
      <c r="C451" s="145"/>
      <c r="D451" s="145"/>
      <c r="E451" s="140"/>
      <c r="F451" s="140"/>
      <c r="G451" s="143"/>
      <c r="H451" s="144"/>
    </row>
    <row r="452">
      <c r="A452" s="77"/>
      <c r="B452" s="77"/>
      <c r="C452" s="145"/>
      <c r="D452" s="145"/>
      <c r="E452" s="140"/>
      <c r="F452" s="140"/>
      <c r="G452" s="143"/>
      <c r="H452" s="144"/>
    </row>
    <row r="453">
      <c r="A453" s="77"/>
      <c r="B453" s="77"/>
      <c r="C453" s="145"/>
      <c r="D453" s="145"/>
      <c r="E453" s="140"/>
      <c r="F453" s="140"/>
      <c r="G453" s="143"/>
      <c r="H453" s="144"/>
    </row>
    <row r="454">
      <c r="A454" s="77"/>
      <c r="B454" s="77"/>
      <c r="C454" s="145"/>
      <c r="D454" s="145"/>
      <c r="E454" s="140"/>
      <c r="F454" s="140"/>
      <c r="G454" s="143"/>
      <c r="H454" s="144"/>
    </row>
    <row r="455">
      <c r="A455" s="77"/>
      <c r="B455" s="77"/>
      <c r="C455" s="145"/>
      <c r="D455" s="145"/>
      <c r="E455" s="140"/>
      <c r="F455" s="140"/>
      <c r="G455" s="143"/>
      <c r="H455" s="144"/>
    </row>
    <row r="456">
      <c r="A456" s="77"/>
      <c r="B456" s="77"/>
      <c r="C456" s="145"/>
      <c r="D456" s="145"/>
      <c r="E456" s="140"/>
      <c r="F456" s="140"/>
      <c r="G456" s="143"/>
      <c r="H456" s="144"/>
    </row>
    <row r="457">
      <c r="A457" s="77"/>
      <c r="B457" s="77"/>
      <c r="C457" s="145"/>
      <c r="D457" s="145"/>
      <c r="E457" s="140"/>
      <c r="F457" s="140"/>
      <c r="G457" s="143"/>
      <c r="H457" s="144"/>
    </row>
    <row r="458">
      <c r="A458" s="77"/>
      <c r="B458" s="77"/>
      <c r="C458" s="145"/>
      <c r="D458" s="145"/>
      <c r="E458" s="140"/>
      <c r="F458" s="140"/>
      <c r="G458" s="143"/>
      <c r="H458" s="144"/>
    </row>
    <row r="459">
      <c r="A459" s="77"/>
      <c r="B459" s="77"/>
      <c r="C459" s="145"/>
      <c r="D459" s="145"/>
      <c r="E459" s="140"/>
      <c r="F459" s="140"/>
      <c r="G459" s="143"/>
      <c r="H459" s="144"/>
    </row>
    <row r="460">
      <c r="A460" s="77"/>
      <c r="B460" s="77"/>
      <c r="C460" s="145"/>
      <c r="D460" s="145"/>
      <c r="E460" s="140"/>
      <c r="F460" s="140"/>
      <c r="G460" s="143"/>
      <c r="H460" s="144"/>
    </row>
    <row r="461">
      <c r="A461" s="77"/>
      <c r="B461" s="77"/>
      <c r="C461" s="145"/>
      <c r="D461" s="145"/>
      <c r="E461" s="140"/>
      <c r="F461" s="140"/>
      <c r="G461" s="143"/>
      <c r="H461" s="144"/>
    </row>
    <row r="462">
      <c r="A462" s="77"/>
      <c r="B462" s="77"/>
      <c r="C462" s="145"/>
      <c r="D462" s="145"/>
      <c r="E462" s="140"/>
      <c r="F462" s="140"/>
      <c r="G462" s="143"/>
      <c r="H462" s="144"/>
    </row>
    <row r="463">
      <c r="A463" s="77"/>
      <c r="B463" s="77"/>
      <c r="C463" s="145"/>
      <c r="D463" s="145"/>
      <c r="E463" s="140"/>
      <c r="F463" s="140"/>
      <c r="G463" s="143"/>
      <c r="H463" s="144"/>
    </row>
    <row r="464">
      <c r="A464" s="77"/>
      <c r="B464" s="77"/>
      <c r="C464" s="145"/>
      <c r="D464" s="145"/>
      <c r="E464" s="140"/>
      <c r="F464" s="140"/>
      <c r="G464" s="143"/>
      <c r="H464" s="144"/>
    </row>
    <row r="465">
      <c r="A465" s="77"/>
      <c r="B465" s="77"/>
      <c r="C465" s="145"/>
      <c r="D465" s="145"/>
      <c r="E465" s="140"/>
      <c r="F465" s="140"/>
      <c r="G465" s="143"/>
      <c r="H465" s="144"/>
    </row>
    <row r="466">
      <c r="A466" s="77"/>
      <c r="B466" s="77"/>
      <c r="C466" s="145"/>
      <c r="D466" s="145"/>
      <c r="E466" s="140"/>
      <c r="F466" s="140"/>
      <c r="G466" s="143"/>
      <c r="H466" s="144"/>
    </row>
    <row r="467">
      <c r="A467" s="77"/>
      <c r="B467" s="77"/>
      <c r="C467" s="145"/>
      <c r="D467" s="145"/>
      <c r="E467" s="140"/>
      <c r="F467" s="140"/>
      <c r="G467" s="143"/>
      <c r="H467" s="144"/>
    </row>
    <row r="468">
      <c r="A468" s="77"/>
      <c r="B468" s="77"/>
      <c r="C468" s="145"/>
      <c r="D468" s="145"/>
      <c r="E468" s="140"/>
      <c r="F468" s="140"/>
      <c r="G468" s="143"/>
      <c r="H468" s="144"/>
    </row>
    <row r="469">
      <c r="A469" s="77"/>
      <c r="B469" s="77"/>
      <c r="C469" s="145"/>
      <c r="D469" s="145"/>
      <c r="E469" s="140"/>
      <c r="F469" s="140"/>
      <c r="G469" s="143"/>
      <c r="H469" s="144"/>
    </row>
    <row r="470">
      <c r="A470" s="77"/>
      <c r="B470" s="77"/>
      <c r="C470" s="145"/>
      <c r="D470" s="145"/>
      <c r="E470" s="140"/>
      <c r="F470" s="140"/>
      <c r="G470" s="143"/>
      <c r="H470" s="144"/>
    </row>
    <row r="471">
      <c r="A471" s="77"/>
      <c r="B471" s="77"/>
      <c r="C471" s="145"/>
      <c r="D471" s="145"/>
      <c r="E471" s="140"/>
      <c r="F471" s="140"/>
      <c r="G471" s="143"/>
      <c r="H471" s="144"/>
    </row>
    <row r="472">
      <c r="A472" s="77"/>
      <c r="B472" s="77"/>
      <c r="C472" s="145"/>
      <c r="D472" s="145"/>
      <c r="E472" s="140"/>
      <c r="F472" s="140"/>
      <c r="G472" s="143"/>
      <c r="H472" s="144"/>
    </row>
    <row r="473">
      <c r="A473" s="77"/>
      <c r="B473" s="77"/>
      <c r="C473" s="145"/>
      <c r="D473" s="145"/>
      <c r="E473" s="140"/>
      <c r="F473" s="140"/>
      <c r="G473" s="143"/>
      <c r="H473" s="144"/>
    </row>
    <row r="474">
      <c r="A474" s="77"/>
      <c r="B474" s="77"/>
      <c r="C474" s="145"/>
      <c r="D474" s="145"/>
      <c r="E474" s="140"/>
      <c r="F474" s="140"/>
      <c r="G474" s="143"/>
      <c r="H474" s="144"/>
    </row>
    <row r="475">
      <c r="A475" s="77"/>
      <c r="B475" s="77"/>
      <c r="C475" s="145"/>
      <c r="D475" s="145"/>
      <c r="E475" s="140"/>
      <c r="F475" s="140"/>
      <c r="G475" s="143"/>
      <c r="H475" s="144"/>
    </row>
    <row r="476">
      <c r="A476" s="77"/>
      <c r="B476" s="77"/>
      <c r="C476" s="145"/>
      <c r="D476" s="145"/>
      <c r="E476" s="140"/>
      <c r="F476" s="140"/>
      <c r="G476" s="143"/>
      <c r="H476" s="144"/>
    </row>
    <row r="477">
      <c r="A477" s="77"/>
      <c r="B477" s="77"/>
      <c r="C477" s="145"/>
      <c r="D477" s="145"/>
      <c r="E477" s="140"/>
      <c r="F477" s="140"/>
      <c r="G477" s="143"/>
      <c r="H477" s="144"/>
    </row>
    <row r="478">
      <c r="A478" s="77"/>
      <c r="B478" s="77"/>
      <c r="C478" s="145"/>
      <c r="D478" s="145"/>
      <c r="E478" s="140"/>
      <c r="F478" s="140"/>
      <c r="G478" s="143"/>
      <c r="H478" s="144"/>
    </row>
    <row r="479">
      <c r="A479" s="77"/>
      <c r="B479" s="77"/>
      <c r="C479" s="145"/>
      <c r="D479" s="145"/>
      <c r="E479" s="140"/>
      <c r="F479" s="140"/>
      <c r="G479" s="143"/>
      <c r="H479" s="144"/>
    </row>
    <row r="480">
      <c r="A480" s="77"/>
      <c r="B480" s="77"/>
      <c r="C480" s="145"/>
      <c r="D480" s="145"/>
      <c r="E480" s="140"/>
      <c r="F480" s="140"/>
      <c r="G480" s="143"/>
      <c r="H480" s="144"/>
    </row>
    <row r="481">
      <c r="A481" s="77"/>
      <c r="B481" s="77"/>
      <c r="C481" s="145"/>
      <c r="D481" s="145"/>
      <c r="E481" s="140"/>
      <c r="F481" s="140"/>
      <c r="G481" s="143"/>
      <c r="H481" s="144"/>
    </row>
    <row r="482">
      <c r="A482" s="77"/>
      <c r="B482" s="77"/>
      <c r="C482" s="145"/>
      <c r="D482" s="145"/>
      <c r="E482" s="140"/>
      <c r="F482" s="140"/>
      <c r="G482" s="143"/>
      <c r="H482" s="144"/>
    </row>
    <row r="483">
      <c r="A483" s="77"/>
      <c r="B483" s="77"/>
      <c r="C483" s="145"/>
      <c r="D483" s="145"/>
      <c r="E483" s="140"/>
      <c r="F483" s="140"/>
      <c r="G483" s="143"/>
      <c r="H483" s="144"/>
    </row>
    <row r="484">
      <c r="A484" s="77"/>
      <c r="B484" s="77"/>
      <c r="C484" s="145"/>
      <c r="D484" s="145"/>
      <c r="E484" s="140"/>
      <c r="F484" s="140"/>
      <c r="G484" s="143"/>
      <c r="H484" s="144"/>
    </row>
    <row r="485">
      <c r="A485" s="77"/>
      <c r="B485" s="77"/>
      <c r="C485" s="145"/>
      <c r="D485" s="145"/>
      <c r="E485" s="140"/>
      <c r="F485" s="140"/>
      <c r="G485" s="143"/>
      <c r="H485" s="144"/>
    </row>
    <row r="486">
      <c r="A486" s="77"/>
      <c r="B486" s="77"/>
      <c r="C486" s="145"/>
      <c r="D486" s="145"/>
      <c r="E486" s="140"/>
      <c r="F486" s="140"/>
      <c r="G486" s="143"/>
      <c r="H486" s="144"/>
    </row>
    <row r="487">
      <c r="A487" s="77"/>
      <c r="B487" s="77"/>
      <c r="C487" s="145"/>
      <c r="D487" s="145"/>
      <c r="E487" s="140"/>
      <c r="F487" s="140"/>
      <c r="G487" s="143"/>
      <c r="H487" s="144"/>
    </row>
    <row r="488">
      <c r="A488" s="77"/>
      <c r="B488" s="77"/>
      <c r="C488" s="145"/>
      <c r="D488" s="145"/>
      <c r="E488" s="140"/>
      <c r="F488" s="140"/>
      <c r="G488" s="143"/>
      <c r="H488" s="144"/>
    </row>
    <row r="489">
      <c r="A489" s="77"/>
      <c r="B489" s="77"/>
      <c r="C489" s="145"/>
      <c r="D489" s="145"/>
      <c r="E489" s="140"/>
      <c r="F489" s="140"/>
      <c r="G489" s="143"/>
      <c r="H489" s="144"/>
    </row>
    <row r="490">
      <c r="A490" s="77"/>
      <c r="B490" s="77"/>
      <c r="C490" s="145"/>
      <c r="D490" s="145"/>
      <c r="E490" s="140"/>
      <c r="F490" s="140"/>
      <c r="G490" s="143"/>
      <c r="H490" s="144"/>
    </row>
    <row r="491">
      <c r="A491" s="77"/>
      <c r="B491" s="77"/>
      <c r="C491" s="145"/>
      <c r="D491" s="145"/>
      <c r="E491" s="140"/>
      <c r="F491" s="140"/>
      <c r="G491" s="143"/>
      <c r="H491" s="144"/>
    </row>
    <row r="492">
      <c r="A492" s="77"/>
      <c r="B492" s="77"/>
      <c r="C492" s="145"/>
      <c r="D492" s="145"/>
      <c r="E492" s="140"/>
      <c r="F492" s="140"/>
      <c r="G492" s="143"/>
      <c r="H492" s="144"/>
    </row>
    <row r="493">
      <c r="A493" s="77"/>
      <c r="B493" s="77"/>
      <c r="C493" s="145"/>
      <c r="D493" s="145"/>
      <c r="E493" s="140"/>
      <c r="F493" s="140"/>
      <c r="G493" s="143"/>
      <c r="H493" s="144"/>
    </row>
    <row r="494">
      <c r="A494" s="77"/>
      <c r="B494" s="77"/>
      <c r="C494" s="145"/>
      <c r="D494" s="145"/>
      <c r="E494" s="140"/>
      <c r="F494" s="140"/>
      <c r="G494" s="143"/>
      <c r="H494" s="144"/>
    </row>
    <row r="495">
      <c r="A495" s="77"/>
      <c r="B495" s="77"/>
      <c r="C495" s="145"/>
      <c r="D495" s="145"/>
      <c r="E495" s="140"/>
      <c r="F495" s="140"/>
      <c r="G495" s="143"/>
      <c r="H495" s="144"/>
    </row>
    <row r="496">
      <c r="A496" s="77"/>
      <c r="B496" s="77"/>
      <c r="C496" s="145"/>
      <c r="D496" s="145"/>
      <c r="E496" s="140"/>
      <c r="F496" s="140"/>
      <c r="G496" s="143"/>
      <c r="H496" s="144"/>
    </row>
    <row r="497">
      <c r="A497" s="77"/>
      <c r="B497" s="77"/>
      <c r="C497" s="145"/>
      <c r="D497" s="145"/>
      <c r="E497" s="140"/>
      <c r="F497" s="140"/>
      <c r="G497" s="143"/>
      <c r="H497" s="144"/>
    </row>
    <row r="498">
      <c r="A498" s="77"/>
      <c r="B498" s="77"/>
      <c r="C498" s="145"/>
      <c r="D498" s="145"/>
      <c r="E498" s="140"/>
      <c r="F498" s="140"/>
      <c r="G498" s="143"/>
      <c r="H498" s="144"/>
    </row>
    <row r="499">
      <c r="A499" s="77"/>
      <c r="B499" s="77"/>
      <c r="C499" s="145"/>
      <c r="D499" s="145"/>
      <c r="E499" s="140"/>
      <c r="F499" s="140"/>
      <c r="G499" s="143"/>
      <c r="H499" s="144"/>
    </row>
    <row r="500">
      <c r="A500" s="77"/>
      <c r="B500" s="77"/>
      <c r="C500" s="145"/>
      <c r="D500" s="145"/>
      <c r="E500" s="140"/>
      <c r="F500" s="140"/>
      <c r="G500" s="143"/>
      <c r="H500" s="144"/>
    </row>
    <row r="501">
      <c r="A501" s="77"/>
      <c r="B501" s="77"/>
      <c r="C501" s="145"/>
      <c r="D501" s="145"/>
      <c r="E501" s="140"/>
      <c r="F501" s="140"/>
      <c r="G501" s="143"/>
      <c r="H501" s="144"/>
    </row>
    <row r="502">
      <c r="A502" s="77"/>
      <c r="B502" s="77"/>
      <c r="C502" s="145"/>
      <c r="D502" s="145"/>
      <c r="E502" s="140"/>
      <c r="F502" s="140"/>
      <c r="G502" s="143"/>
      <c r="H502" s="144"/>
    </row>
    <row r="503">
      <c r="A503" s="77"/>
      <c r="B503" s="77"/>
      <c r="C503" s="145"/>
      <c r="D503" s="145"/>
      <c r="E503" s="140"/>
      <c r="F503" s="140"/>
      <c r="G503" s="143"/>
      <c r="H503" s="144"/>
    </row>
    <row r="504">
      <c r="A504" s="77"/>
      <c r="B504" s="77"/>
      <c r="C504" s="145"/>
      <c r="D504" s="145"/>
      <c r="E504" s="140"/>
      <c r="F504" s="140"/>
      <c r="G504" s="143"/>
      <c r="H504" s="144"/>
    </row>
    <row r="505">
      <c r="A505" s="77"/>
      <c r="B505" s="77"/>
      <c r="C505" s="145"/>
      <c r="D505" s="145"/>
      <c r="E505" s="140"/>
      <c r="F505" s="140"/>
      <c r="G505" s="143"/>
      <c r="H505" s="144"/>
    </row>
    <row r="506">
      <c r="A506" s="77"/>
      <c r="B506" s="77"/>
      <c r="C506" s="145"/>
      <c r="D506" s="145"/>
      <c r="E506" s="140"/>
      <c r="F506" s="140"/>
      <c r="G506" s="143"/>
      <c r="H506" s="144"/>
    </row>
    <row r="507">
      <c r="A507" s="77"/>
      <c r="B507" s="77"/>
      <c r="C507" s="145"/>
      <c r="D507" s="145"/>
      <c r="E507" s="140"/>
      <c r="F507" s="140"/>
      <c r="G507" s="143"/>
      <c r="H507" s="144"/>
    </row>
    <row r="508">
      <c r="A508" s="77"/>
      <c r="B508" s="77"/>
      <c r="C508" s="145"/>
      <c r="D508" s="145"/>
      <c r="E508" s="140"/>
      <c r="F508" s="140"/>
      <c r="G508" s="143"/>
      <c r="H508" s="144"/>
    </row>
    <row r="509">
      <c r="A509" s="77"/>
      <c r="B509" s="77"/>
      <c r="C509" s="145"/>
      <c r="D509" s="145"/>
      <c r="E509" s="140"/>
      <c r="F509" s="140"/>
      <c r="G509" s="143"/>
      <c r="H509" s="144"/>
    </row>
    <row r="510">
      <c r="A510" s="77"/>
      <c r="B510" s="77"/>
      <c r="C510" s="145"/>
      <c r="D510" s="145"/>
      <c r="E510" s="140"/>
      <c r="F510" s="140"/>
      <c r="G510" s="143"/>
      <c r="H510" s="144"/>
    </row>
    <row r="511">
      <c r="A511" s="77"/>
      <c r="B511" s="77"/>
      <c r="C511" s="145"/>
      <c r="D511" s="145"/>
      <c r="E511" s="140"/>
      <c r="F511" s="140"/>
      <c r="G511" s="143"/>
      <c r="H511" s="144"/>
    </row>
    <row r="512">
      <c r="A512" s="77"/>
      <c r="B512" s="77"/>
      <c r="C512" s="145"/>
      <c r="D512" s="145"/>
      <c r="E512" s="140"/>
      <c r="F512" s="140"/>
      <c r="G512" s="143"/>
      <c r="H512" s="144"/>
    </row>
    <row r="513">
      <c r="A513" s="77"/>
      <c r="B513" s="77"/>
      <c r="C513" s="145"/>
      <c r="D513" s="145"/>
      <c r="E513" s="140"/>
      <c r="F513" s="140"/>
      <c r="G513" s="143"/>
      <c r="H513" s="144"/>
    </row>
    <row r="514">
      <c r="A514" s="77"/>
      <c r="B514" s="77"/>
      <c r="C514" s="145"/>
      <c r="D514" s="145"/>
      <c r="E514" s="140"/>
      <c r="F514" s="140"/>
      <c r="G514" s="143"/>
      <c r="H514" s="144"/>
    </row>
    <row r="515">
      <c r="A515" s="77"/>
      <c r="B515" s="77"/>
      <c r="C515" s="145"/>
      <c r="D515" s="145"/>
      <c r="E515" s="140"/>
      <c r="F515" s="140"/>
      <c r="G515" s="143"/>
      <c r="H515" s="144"/>
    </row>
    <row r="516">
      <c r="A516" s="77"/>
      <c r="B516" s="77"/>
      <c r="C516" s="145"/>
      <c r="D516" s="145"/>
      <c r="E516" s="140"/>
      <c r="F516" s="140"/>
      <c r="G516" s="143"/>
      <c r="H516" s="144"/>
    </row>
    <row r="517">
      <c r="A517" s="77"/>
      <c r="B517" s="77"/>
      <c r="C517" s="145"/>
      <c r="D517" s="145"/>
      <c r="E517" s="140"/>
      <c r="F517" s="140"/>
      <c r="G517" s="143"/>
      <c r="H517" s="144"/>
    </row>
    <row r="518">
      <c r="A518" s="77"/>
      <c r="B518" s="77"/>
      <c r="C518" s="145"/>
      <c r="D518" s="145"/>
      <c r="E518" s="140"/>
      <c r="F518" s="140"/>
      <c r="G518" s="143"/>
      <c r="H518" s="144"/>
    </row>
    <row r="519">
      <c r="A519" s="77"/>
      <c r="B519" s="77"/>
      <c r="C519" s="145"/>
      <c r="D519" s="145"/>
      <c r="E519" s="140"/>
      <c r="F519" s="140"/>
      <c r="G519" s="143"/>
      <c r="H519" s="144"/>
    </row>
    <row r="520">
      <c r="A520" s="77"/>
      <c r="B520" s="77"/>
      <c r="C520" s="145"/>
      <c r="D520" s="145"/>
      <c r="E520" s="140"/>
      <c r="F520" s="140"/>
      <c r="G520" s="143"/>
      <c r="H520" s="144"/>
    </row>
    <row r="521">
      <c r="A521" s="77"/>
      <c r="B521" s="77"/>
      <c r="C521" s="145"/>
      <c r="D521" s="145"/>
      <c r="E521" s="140"/>
      <c r="F521" s="140"/>
      <c r="G521" s="143"/>
      <c r="H521" s="144"/>
    </row>
    <row r="522">
      <c r="A522" s="77"/>
      <c r="B522" s="77"/>
      <c r="C522" s="145"/>
      <c r="D522" s="145"/>
      <c r="E522" s="140"/>
      <c r="F522" s="140"/>
      <c r="G522" s="143"/>
      <c r="H522" s="144"/>
    </row>
    <row r="523">
      <c r="A523" s="77"/>
      <c r="B523" s="77"/>
      <c r="C523" s="145"/>
      <c r="D523" s="145"/>
      <c r="E523" s="140"/>
      <c r="F523" s="140"/>
      <c r="G523" s="143"/>
      <c r="H523" s="144"/>
    </row>
    <row r="524">
      <c r="A524" s="77"/>
      <c r="B524" s="77"/>
      <c r="C524" s="145"/>
      <c r="D524" s="145"/>
      <c r="E524" s="140"/>
      <c r="F524" s="140"/>
      <c r="G524" s="143"/>
      <c r="H524" s="144"/>
    </row>
    <row r="525">
      <c r="A525" s="77"/>
      <c r="B525" s="77"/>
      <c r="C525" s="145"/>
      <c r="D525" s="145"/>
      <c r="E525" s="140"/>
      <c r="F525" s="140"/>
      <c r="G525" s="143"/>
      <c r="H525" s="144"/>
    </row>
    <row r="526">
      <c r="A526" s="77"/>
      <c r="B526" s="77"/>
      <c r="C526" s="145"/>
      <c r="D526" s="145"/>
      <c r="E526" s="140"/>
      <c r="F526" s="140"/>
      <c r="G526" s="143"/>
      <c r="H526" s="144"/>
    </row>
    <row r="527">
      <c r="A527" s="77"/>
      <c r="B527" s="77"/>
      <c r="C527" s="145"/>
      <c r="D527" s="145"/>
      <c r="E527" s="140"/>
      <c r="F527" s="140"/>
      <c r="G527" s="143"/>
      <c r="H527" s="144"/>
    </row>
    <row r="528">
      <c r="A528" s="77"/>
      <c r="B528" s="77"/>
      <c r="C528" s="145"/>
      <c r="D528" s="145"/>
      <c r="E528" s="140"/>
      <c r="F528" s="140"/>
      <c r="G528" s="143"/>
      <c r="H528" s="144"/>
    </row>
    <row r="529">
      <c r="A529" s="77"/>
      <c r="B529" s="77"/>
      <c r="C529" s="145"/>
      <c r="D529" s="145"/>
      <c r="E529" s="140"/>
      <c r="F529" s="140"/>
      <c r="G529" s="143"/>
      <c r="H529" s="144"/>
    </row>
    <row r="530">
      <c r="A530" s="77"/>
      <c r="B530" s="77"/>
      <c r="C530" s="145"/>
      <c r="D530" s="145"/>
      <c r="E530" s="140"/>
      <c r="F530" s="140"/>
      <c r="G530" s="143"/>
      <c r="H530" s="144"/>
    </row>
    <row r="531">
      <c r="A531" s="77"/>
      <c r="B531" s="77"/>
      <c r="C531" s="145"/>
      <c r="D531" s="145"/>
      <c r="E531" s="140"/>
      <c r="F531" s="140"/>
      <c r="G531" s="143"/>
      <c r="H531" s="144"/>
    </row>
    <row r="532">
      <c r="A532" s="77"/>
      <c r="B532" s="77"/>
      <c r="C532" s="145"/>
      <c r="D532" s="145"/>
      <c r="E532" s="140"/>
      <c r="F532" s="140"/>
      <c r="G532" s="143"/>
      <c r="H532" s="144"/>
    </row>
    <row r="533">
      <c r="A533" s="77"/>
      <c r="B533" s="77"/>
      <c r="C533" s="145"/>
      <c r="D533" s="145"/>
      <c r="E533" s="140"/>
      <c r="F533" s="140"/>
      <c r="G533" s="143"/>
      <c r="H533" s="144"/>
    </row>
    <row r="534">
      <c r="A534" s="77"/>
      <c r="B534" s="77"/>
      <c r="C534" s="145"/>
      <c r="D534" s="145"/>
      <c r="E534" s="140"/>
      <c r="F534" s="140"/>
      <c r="G534" s="143"/>
      <c r="H534" s="144"/>
    </row>
    <row r="535">
      <c r="A535" s="77"/>
      <c r="B535" s="77"/>
      <c r="C535" s="145"/>
      <c r="D535" s="145"/>
      <c r="E535" s="140"/>
      <c r="F535" s="140"/>
      <c r="G535" s="143"/>
      <c r="H535" s="144"/>
    </row>
    <row r="536">
      <c r="A536" s="77"/>
      <c r="B536" s="77"/>
      <c r="C536" s="145"/>
      <c r="D536" s="145"/>
      <c r="E536" s="140"/>
      <c r="F536" s="140"/>
      <c r="G536" s="143"/>
      <c r="H536" s="144"/>
    </row>
    <row r="537">
      <c r="A537" s="77"/>
      <c r="B537" s="77"/>
      <c r="C537" s="145"/>
      <c r="D537" s="145"/>
      <c r="E537" s="140"/>
      <c r="F537" s="140"/>
      <c r="G537" s="143"/>
      <c r="H537" s="144"/>
    </row>
    <row r="538">
      <c r="A538" s="77"/>
      <c r="B538" s="77"/>
      <c r="C538" s="145"/>
      <c r="D538" s="145"/>
      <c r="E538" s="140"/>
      <c r="F538" s="140"/>
      <c r="G538" s="143"/>
      <c r="H538" s="144"/>
    </row>
    <row r="539">
      <c r="A539" s="77"/>
      <c r="B539" s="77"/>
      <c r="C539" s="145"/>
      <c r="D539" s="145"/>
      <c r="E539" s="140"/>
      <c r="F539" s="140"/>
      <c r="G539" s="143"/>
      <c r="H539" s="144"/>
    </row>
    <row r="540">
      <c r="A540" s="77"/>
      <c r="B540" s="77"/>
      <c r="C540" s="145"/>
      <c r="D540" s="145"/>
      <c r="E540" s="140"/>
      <c r="F540" s="140"/>
      <c r="G540" s="143"/>
      <c r="H540" s="144"/>
    </row>
    <row r="541">
      <c r="A541" s="77"/>
      <c r="B541" s="77"/>
      <c r="C541" s="145"/>
      <c r="D541" s="145"/>
      <c r="E541" s="140"/>
      <c r="F541" s="140"/>
      <c r="G541" s="143"/>
      <c r="H541" s="144"/>
    </row>
    <row r="542">
      <c r="A542" s="77"/>
      <c r="B542" s="77"/>
      <c r="C542" s="145"/>
      <c r="D542" s="145"/>
      <c r="E542" s="140"/>
      <c r="F542" s="140"/>
      <c r="G542" s="143"/>
      <c r="H542" s="144"/>
    </row>
    <row r="543">
      <c r="A543" s="77"/>
      <c r="B543" s="77"/>
      <c r="C543" s="145"/>
      <c r="D543" s="145"/>
      <c r="E543" s="140"/>
      <c r="F543" s="140"/>
      <c r="G543" s="143"/>
      <c r="H543" s="144"/>
    </row>
    <row r="544">
      <c r="A544" s="77"/>
      <c r="B544" s="77"/>
      <c r="C544" s="145"/>
      <c r="D544" s="145"/>
      <c r="E544" s="140"/>
      <c r="F544" s="140"/>
      <c r="G544" s="143"/>
      <c r="H544" s="144"/>
    </row>
    <row r="545">
      <c r="A545" s="77"/>
      <c r="B545" s="77"/>
      <c r="C545" s="145"/>
      <c r="D545" s="145"/>
      <c r="E545" s="140"/>
      <c r="F545" s="140"/>
      <c r="G545" s="143"/>
      <c r="H545" s="144"/>
    </row>
    <row r="546">
      <c r="A546" s="77"/>
      <c r="B546" s="77"/>
      <c r="C546" s="145"/>
      <c r="D546" s="145"/>
      <c r="E546" s="140"/>
      <c r="F546" s="140"/>
      <c r="G546" s="143"/>
      <c r="H546" s="144"/>
    </row>
    <row r="547">
      <c r="A547" s="77"/>
      <c r="B547" s="77"/>
      <c r="C547" s="145"/>
      <c r="D547" s="145"/>
      <c r="E547" s="140"/>
      <c r="F547" s="140"/>
      <c r="G547" s="143"/>
      <c r="H547" s="144"/>
    </row>
    <row r="548">
      <c r="A548" s="77"/>
      <c r="B548" s="77"/>
      <c r="C548" s="145"/>
      <c r="D548" s="145"/>
      <c r="E548" s="140"/>
      <c r="F548" s="140"/>
      <c r="G548" s="143"/>
      <c r="H548" s="144"/>
    </row>
    <row r="549">
      <c r="A549" s="77"/>
      <c r="B549" s="77"/>
      <c r="C549" s="145"/>
      <c r="D549" s="145"/>
      <c r="E549" s="140"/>
      <c r="F549" s="140"/>
      <c r="G549" s="143"/>
      <c r="H549" s="144"/>
    </row>
    <row r="550">
      <c r="A550" s="77"/>
      <c r="B550" s="77"/>
      <c r="C550" s="145"/>
      <c r="D550" s="145"/>
      <c r="E550" s="140"/>
      <c r="F550" s="140"/>
      <c r="G550" s="143"/>
      <c r="H550" s="144"/>
    </row>
    <row r="551">
      <c r="A551" s="77"/>
      <c r="B551" s="77"/>
      <c r="C551" s="145"/>
      <c r="D551" s="145"/>
      <c r="E551" s="140"/>
      <c r="F551" s="140"/>
      <c r="G551" s="143"/>
      <c r="H551" s="144"/>
    </row>
    <row r="552">
      <c r="A552" s="77"/>
      <c r="B552" s="77"/>
      <c r="C552" s="145"/>
      <c r="D552" s="145"/>
      <c r="E552" s="140"/>
      <c r="F552" s="140"/>
      <c r="G552" s="143"/>
      <c r="H552" s="144"/>
    </row>
    <row r="553">
      <c r="A553" s="77"/>
      <c r="B553" s="77"/>
      <c r="C553" s="145"/>
      <c r="D553" s="145"/>
      <c r="E553" s="140"/>
      <c r="F553" s="140"/>
      <c r="G553" s="143"/>
      <c r="H553" s="144"/>
    </row>
    <row r="554">
      <c r="A554" s="77"/>
      <c r="B554" s="77"/>
      <c r="C554" s="145"/>
      <c r="D554" s="145"/>
      <c r="E554" s="140"/>
      <c r="F554" s="140"/>
      <c r="G554" s="143"/>
      <c r="H554" s="144"/>
    </row>
    <row r="555">
      <c r="A555" s="77"/>
      <c r="B555" s="77"/>
      <c r="C555" s="145"/>
      <c r="D555" s="145"/>
      <c r="E555" s="140"/>
      <c r="F555" s="140"/>
      <c r="G555" s="143"/>
      <c r="H555" s="144"/>
    </row>
    <row r="556">
      <c r="A556" s="77"/>
      <c r="B556" s="77"/>
      <c r="C556" s="145"/>
      <c r="D556" s="145"/>
      <c r="E556" s="140"/>
      <c r="F556" s="140"/>
      <c r="G556" s="143"/>
      <c r="H556" s="144"/>
    </row>
    <row r="557">
      <c r="A557" s="77"/>
      <c r="B557" s="77"/>
      <c r="C557" s="145"/>
      <c r="D557" s="145"/>
      <c r="E557" s="140"/>
      <c r="F557" s="140"/>
      <c r="G557" s="143"/>
      <c r="H557" s="144"/>
    </row>
    <row r="558">
      <c r="A558" s="77"/>
      <c r="B558" s="77"/>
      <c r="C558" s="145"/>
      <c r="D558" s="145"/>
      <c r="E558" s="140"/>
      <c r="F558" s="140"/>
      <c r="G558" s="143"/>
      <c r="H558" s="144"/>
    </row>
    <row r="559">
      <c r="A559" s="77"/>
      <c r="B559" s="77"/>
      <c r="C559" s="145"/>
      <c r="D559" s="145"/>
      <c r="E559" s="140"/>
      <c r="F559" s="140"/>
      <c r="G559" s="143"/>
      <c r="H559" s="144"/>
    </row>
    <row r="560">
      <c r="A560" s="77"/>
      <c r="B560" s="77"/>
      <c r="C560" s="145"/>
      <c r="D560" s="145"/>
      <c r="E560" s="140"/>
      <c r="F560" s="140"/>
      <c r="G560" s="143"/>
      <c r="H560" s="144"/>
    </row>
    <row r="561">
      <c r="A561" s="77"/>
      <c r="B561" s="77"/>
      <c r="C561" s="145"/>
      <c r="D561" s="145"/>
      <c r="E561" s="140"/>
      <c r="F561" s="140"/>
      <c r="G561" s="143"/>
      <c r="H561" s="144"/>
    </row>
    <row r="562">
      <c r="A562" s="77"/>
      <c r="B562" s="77"/>
      <c r="C562" s="145"/>
      <c r="D562" s="145"/>
      <c r="E562" s="140"/>
      <c r="F562" s="140"/>
      <c r="G562" s="143"/>
      <c r="H562" s="144"/>
    </row>
    <row r="563">
      <c r="A563" s="77"/>
      <c r="B563" s="77"/>
      <c r="C563" s="145"/>
      <c r="D563" s="145"/>
      <c r="E563" s="140"/>
      <c r="F563" s="140"/>
      <c r="G563" s="143"/>
      <c r="H563" s="144"/>
    </row>
    <row r="564">
      <c r="A564" s="77"/>
      <c r="B564" s="77"/>
      <c r="C564" s="145"/>
      <c r="D564" s="145"/>
      <c r="E564" s="140"/>
      <c r="F564" s="140"/>
      <c r="G564" s="143"/>
      <c r="H564" s="144"/>
    </row>
    <row r="565">
      <c r="A565" s="77"/>
      <c r="B565" s="77"/>
      <c r="C565" s="145"/>
      <c r="D565" s="145"/>
      <c r="E565" s="140"/>
      <c r="F565" s="140"/>
      <c r="G565" s="143"/>
      <c r="H565" s="144"/>
    </row>
    <row r="566">
      <c r="A566" s="77"/>
      <c r="B566" s="77"/>
      <c r="C566" s="145"/>
      <c r="D566" s="145"/>
      <c r="E566" s="140"/>
      <c r="F566" s="140"/>
      <c r="G566" s="143"/>
      <c r="H566" s="144"/>
    </row>
    <row r="567">
      <c r="A567" s="77"/>
      <c r="B567" s="77"/>
      <c r="C567" s="145"/>
      <c r="D567" s="145"/>
      <c r="E567" s="140"/>
      <c r="F567" s="140"/>
      <c r="G567" s="143"/>
      <c r="H567" s="144"/>
    </row>
    <row r="568">
      <c r="A568" s="77"/>
      <c r="B568" s="77"/>
      <c r="C568" s="145"/>
      <c r="D568" s="145"/>
      <c r="E568" s="140"/>
      <c r="F568" s="140"/>
      <c r="G568" s="143"/>
      <c r="H568" s="144"/>
    </row>
    <row r="569">
      <c r="A569" s="77"/>
      <c r="B569" s="77"/>
      <c r="C569" s="145"/>
      <c r="D569" s="145"/>
      <c r="E569" s="140"/>
      <c r="F569" s="140"/>
      <c r="G569" s="143"/>
      <c r="H569" s="144"/>
    </row>
    <row r="570">
      <c r="A570" s="77"/>
      <c r="B570" s="77"/>
      <c r="C570" s="145"/>
      <c r="D570" s="145"/>
      <c r="E570" s="140"/>
      <c r="F570" s="140"/>
      <c r="G570" s="143"/>
      <c r="H570" s="144"/>
    </row>
    <row r="571">
      <c r="A571" s="77"/>
      <c r="B571" s="77"/>
      <c r="C571" s="145"/>
      <c r="D571" s="145"/>
      <c r="E571" s="140"/>
      <c r="F571" s="140"/>
      <c r="G571" s="143"/>
      <c r="H571" s="144"/>
    </row>
    <row r="572">
      <c r="A572" s="77"/>
      <c r="B572" s="77"/>
      <c r="C572" s="145"/>
      <c r="D572" s="145"/>
      <c r="E572" s="140"/>
      <c r="F572" s="140"/>
      <c r="G572" s="143"/>
      <c r="H572" s="144"/>
    </row>
    <row r="573">
      <c r="A573" s="77"/>
      <c r="B573" s="77"/>
      <c r="C573" s="145"/>
      <c r="D573" s="145"/>
      <c r="E573" s="140"/>
      <c r="F573" s="140"/>
      <c r="G573" s="143"/>
      <c r="H573" s="144"/>
    </row>
    <row r="574">
      <c r="A574" s="77"/>
      <c r="B574" s="77"/>
      <c r="C574" s="145"/>
      <c r="D574" s="145"/>
      <c r="E574" s="140"/>
      <c r="F574" s="140"/>
      <c r="G574" s="143"/>
      <c r="H574" s="144"/>
    </row>
    <row r="575">
      <c r="A575" s="77"/>
      <c r="B575" s="77"/>
      <c r="C575" s="145"/>
      <c r="D575" s="145"/>
      <c r="E575" s="140"/>
      <c r="F575" s="140"/>
      <c r="G575" s="143"/>
      <c r="H575" s="144"/>
    </row>
    <row r="576">
      <c r="A576" s="77"/>
      <c r="B576" s="77"/>
      <c r="C576" s="145"/>
      <c r="D576" s="145"/>
      <c r="E576" s="140"/>
      <c r="F576" s="140"/>
      <c r="G576" s="143"/>
      <c r="H576" s="144"/>
    </row>
    <row r="577">
      <c r="A577" s="77"/>
      <c r="B577" s="77"/>
      <c r="C577" s="145"/>
      <c r="D577" s="145"/>
      <c r="E577" s="140"/>
      <c r="F577" s="140"/>
      <c r="G577" s="143"/>
      <c r="H577" s="144"/>
    </row>
    <row r="578">
      <c r="A578" s="77"/>
      <c r="B578" s="77"/>
      <c r="C578" s="145"/>
      <c r="D578" s="145"/>
      <c r="E578" s="140"/>
      <c r="F578" s="140"/>
      <c r="G578" s="143"/>
      <c r="H578" s="144"/>
    </row>
    <row r="579">
      <c r="A579" s="77"/>
      <c r="B579" s="77"/>
      <c r="C579" s="145"/>
      <c r="D579" s="145"/>
      <c r="E579" s="140"/>
      <c r="F579" s="140"/>
      <c r="G579" s="143"/>
      <c r="H579" s="144"/>
    </row>
    <row r="580">
      <c r="A580" s="77"/>
      <c r="B580" s="77"/>
      <c r="C580" s="145"/>
      <c r="D580" s="145"/>
      <c r="E580" s="140"/>
      <c r="F580" s="140"/>
      <c r="G580" s="143"/>
      <c r="H580" s="144"/>
    </row>
    <row r="581">
      <c r="A581" s="77"/>
      <c r="B581" s="77"/>
      <c r="C581" s="145"/>
      <c r="D581" s="145"/>
      <c r="E581" s="140"/>
      <c r="F581" s="140"/>
      <c r="G581" s="143"/>
      <c r="H581" s="144"/>
    </row>
    <row r="582">
      <c r="A582" s="77"/>
      <c r="B582" s="77"/>
      <c r="C582" s="145"/>
      <c r="D582" s="145"/>
      <c r="E582" s="140"/>
      <c r="F582" s="140"/>
      <c r="G582" s="143"/>
      <c r="H582" s="144"/>
    </row>
    <row r="583">
      <c r="A583" s="77"/>
      <c r="B583" s="77"/>
      <c r="C583" s="145"/>
      <c r="D583" s="145"/>
      <c r="E583" s="140"/>
      <c r="F583" s="140"/>
      <c r="G583" s="143"/>
      <c r="H583" s="144"/>
    </row>
    <row r="584">
      <c r="A584" s="77"/>
      <c r="B584" s="77"/>
      <c r="C584" s="145"/>
      <c r="D584" s="145"/>
      <c r="E584" s="140"/>
      <c r="F584" s="140"/>
      <c r="G584" s="143"/>
      <c r="H584" s="144"/>
    </row>
    <row r="585">
      <c r="A585" s="77"/>
      <c r="B585" s="77"/>
      <c r="C585" s="145"/>
      <c r="D585" s="145"/>
      <c r="E585" s="140"/>
      <c r="F585" s="140"/>
      <c r="G585" s="143"/>
      <c r="H585" s="144"/>
    </row>
    <row r="586">
      <c r="A586" s="77"/>
      <c r="B586" s="77"/>
      <c r="C586" s="145"/>
      <c r="D586" s="145"/>
      <c r="E586" s="140"/>
      <c r="F586" s="140"/>
      <c r="G586" s="143"/>
      <c r="H586" s="144"/>
    </row>
    <row r="587">
      <c r="A587" s="77"/>
      <c r="B587" s="77"/>
      <c r="C587" s="145"/>
      <c r="D587" s="145"/>
      <c r="E587" s="140"/>
      <c r="F587" s="140"/>
      <c r="G587" s="143"/>
      <c r="H587" s="144"/>
    </row>
    <row r="588">
      <c r="A588" s="77"/>
      <c r="B588" s="77"/>
      <c r="C588" s="145"/>
      <c r="D588" s="145"/>
      <c r="E588" s="140"/>
      <c r="F588" s="140"/>
      <c r="G588" s="143"/>
      <c r="H588" s="144"/>
    </row>
    <row r="589">
      <c r="A589" s="77"/>
      <c r="B589" s="77"/>
      <c r="C589" s="145"/>
      <c r="D589" s="145"/>
      <c r="E589" s="140"/>
      <c r="F589" s="140"/>
      <c r="G589" s="143"/>
      <c r="H589" s="144"/>
    </row>
    <row r="590">
      <c r="A590" s="77"/>
      <c r="B590" s="77"/>
      <c r="C590" s="145"/>
      <c r="D590" s="145"/>
      <c r="E590" s="140"/>
      <c r="F590" s="140"/>
      <c r="G590" s="143"/>
      <c r="H590" s="144"/>
    </row>
    <row r="591">
      <c r="A591" s="77"/>
      <c r="B591" s="77"/>
      <c r="C591" s="145"/>
      <c r="D591" s="145"/>
      <c r="E591" s="140"/>
      <c r="F591" s="140"/>
      <c r="G591" s="143"/>
      <c r="H591" s="144"/>
    </row>
    <row r="592">
      <c r="A592" s="77"/>
      <c r="B592" s="77"/>
      <c r="C592" s="145"/>
      <c r="D592" s="145"/>
      <c r="E592" s="140"/>
      <c r="F592" s="140"/>
      <c r="G592" s="143"/>
      <c r="H592" s="144"/>
    </row>
    <row r="593">
      <c r="A593" s="77"/>
      <c r="B593" s="77"/>
      <c r="C593" s="145"/>
      <c r="D593" s="145"/>
      <c r="E593" s="140"/>
      <c r="F593" s="140"/>
      <c r="G593" s="143"/>
      <c r="H593" s="144"/>
    </row>
    <row r="594">
      <c r="A594" s="77"/>
      <c r="B594" s="77"/>
      <c r="C594" s="145"/>
      <c r="D594" s="145"/>
      <c r="E594" s="140"/>
      <c r="F594" s="140"/>
      <c r="G594" s="143"/>
      <c r="H594" s="144"/>
    </row>
    <row r="595">
      <c r="A595" s="77"/>
      <c r="B595" s="77"/>
      <c r="C595" s="145"/>
      <c r="D595" s="145"/>
      <c r="E595" s="140"/>
      <c r="F595" s="140"/>
      <c r="G595" s="143"/>
      <c r="H595" s="144"/>
    </row>
    <row r="596">
      <c r="A596" s="77"/>
      <c r="B596" s="77"/>
      <c r="C596" s="145"/>
      <c r="D596" s="145"/>
      <c r="E596" s="140"/>
      <c r="F596" s="140"/>
      <c r="G596" s="143"/>
      <c r="H596" s="144"/>
    </row>
    <row r="597">
      <c r="A597" s="77"/>
      <c r="B597" s="77"/>
      <c r="C597" s="145"/>
      <c r="D597" s="145"/>
      <c r="E597" s="140"/>
      <c r="F597" s="140"/>
      <c r="G597" s="143"/>
      <c r="H597" s="144"/>
    </row>
    <row r="598">
      <c r="A598" s="77"/>
      <c r="B598" s="77"/>
      <c r="C598" s="145"/>
      <c r="D598" s="145"/>
      <c r="E598" s="140"/>
      <c r="F598" s="140"/>
      <c r="G598" s="143"/>
      <c r="H598" s="144"/>
    </row>
    <row r="599">
      <c r="A599" s="77"/>
      <c r="B599" s="77"/>
      <c r="C599" s="145"/>
      <c r="D599" s="145"/>
      <c r="E599" s="140"/>
      <c r="F599" s="140"/>
      <c r="G599" s="143"/>
      <c r="H599" s="144"/>
    </row>
    <row r="600">
      <c r="A600" s="77"/>
      <c r="B600" s="77"/>
      <c r="C600" s="145"/>
      <c r="D600" s="145"/>
      <c r="E600" s="140"/>
      <c r="F600" s="140"/>
      <c r="G600" s="143"/>
      <c r="H600" s="144"/>
    </row>
    <row r="601">
      <c r="A601" s="77"/>
      <c r="B601" s="77"/>
      <c r="C601" s="145"/>
      <c r="D601" s="145"/>
      <c r="E601" s="140"/>
      <c r="F601" s="140"/>
      <c r="G601" s="143"/>
      <c r="H601" s="144"/>
    </row>
    <row r="602">
      <c r="A602" s="77"/>
      <c r="B602" s="77"/>
      <c r="C602" s="145"/>
      <c r="D602" s="145"/>
      <c r="E602" s="140"/>
      <c r="F602" s="140"/>
      <c r="G602" s="143"/>
      <c r="H602" s="144"/>
    </row>
    <row r="603">
      <c r="A603" s="77"/>
      <c r="B603" s="77"/>
      <c r="C603" s="145"/>
      <c r="D603" s="145"/>
      <c r="E603" s="140"/>
      <c r="F603" s="140"/>
      <c r="G603" s="143"/>
      <c r="H603" s="144"/>
    </row>
    <row r="604">
      <c r="A604" s="77"/>
      <c r="B604" s="77"/>
      <c r="C604" s="145"/>
      <c r="D604" s="145"/>
      <c r="E604" s="140"/>
      <c r="F604" s="140"/>
      <c r="G604" s="143"/>
      <c r="H604" s="144"/>
    </row>
    <row r="605">
      <c r="A605" s="77"/>
      <c r="B605" s="77"/>
      <c r="C605" s="145"/>
      <c r="D605" s="145"/>
      <c r="E605" s="140"/>
      <c r="F605" s="140"/>
      <c r="G605" s="143"/>
      <c r="H605" s="144"/>
    </row>
    <row r="606">
      <c r="A606" s="77"/>
      <c r="B606" s="77"/>
      <c r="C606" s="145"/>
      <c r="D606" s="145"/>
      <c r="E606" s="140"/>
      <c r="F606" s="140"/>
      <c r="G606" s="143"/>
      <c r="H606" s="144"/>
    </row>
    <row r="607">
      <c r="A607" s="77"/>
      <c r="B607" s="77"/>
      <c r="C607" s="145"/>
      <c r="D607" s="145"/>
      <c r="E607" s="140"/>
      <c r="F607" s="140"/>
      <c r="G607" s="143"/>
      <c r="H607" s="144"/>
    </row>
    <row r="608">
      <c r="A608" s="77"/>
      <c r="B608" s="77"/>
      <c r="C608" s="145"/>
      <c r="D608" s="145"/>
      <c r="E608" s="140"/>
      <c r="F608" s="140"/>
      <c r="G608" s="143"/>
      <c r="H608" s="144"/>
    </row>
    <row r="609">
      <c r="A609" s="77"/>
      <c r="B609" s="77"/>
      <c r="C609" s="145"/>
      <c r="D609" s="145"/>
      <c r="E609" s="140"/>
      <c r="F609" s="140"/>
      <c r="G609" s="143"/>
      <c r="H609" s="144"/>
    </row>
    <row r="610">
      <c r="A610" s="77"/>
      <c r="B610" s="77"/>
      <c r="C610" s="145"/>
      <c r="D610" s="145"/>
      <c r="E610" s="140"/>
      <c r="F610" s="140"/>
      <c r="G610" s="143"/>
      <c r="H610" s="144"/>
    </row>
    <row r="611">
      <c r="A611" s="77"/>
      <c r="B611" s="77"/>
      <c r="C611" s="145"/>
      <c r="D611" s="145"/>
      <c r="E611" s="140"/>
      <c r="F611" s="140"/>
      <c r="G611" s="143"/>
      <c r="H611" s="144"/>
    </row>
    <row r="612">
      <c r="A612" s="77"/>
      <c r="B612" s="77"/>
      <c r="C612" s="145"/>
      <c r="D612" s="145"/>
      <c r="E612" s="140"/>
      <c r="F612" s="140"/>
      <c r="G612" s="143"/>
      <c r="H612" s="144"/>
    </row>
    <row r="613">
      <c r="A613" s="77"/>
      <c r="B613" s="77"/>
      <c r="C613" s="145"/>
      <c r="D613" s="145"/>
      <c r="E613" s="140"/>
      <c r="F613" s="140"/>
      <c r="G613" s="143"/>
      <c r="H613" s="144"/>
    </row>
    <row r="614">
      <c r="A614" s="77"/>
      <c r="B614" s="77"/>
      <c r="C614" s="145"/>
      <c r="D614" s="145"/>
      <c r="E614" s="140"/>
      <c r="F614" s="140"/>
      <c r="G614" s="143"/>
      <c r="H614" s="144"/>
    </row>
    <row r="615">
      <c r="A615" s="77"/>
      <c r="B615" s="77"/>
      <c r="C615" s="145"/>
      <c r="D615" s="145"/>
      <c r="E615" s="140"/>
      <c r="F615" s="140"/>
      <c r="G615" s="143"/>
      <c r="H615" s="144"/>
    </row>
    <row r="616">
      <c r="A616" s="77"/>
      <c r="B616" s="77"/>
      <c r="C616" s="145"/>
      <c r="D616" s="145"/>
      <c r="E616" s="140"/>
      <c r="F616" s="140"/>
      <c r="G616" s="143"/>
      <c r="H616" s="144"/>
    </row>
    <row r="617">
      <c r="A617" s="77"/>
      <c r="B617" s="77"/>
      <c r="C617" s="145"/>
      <c r="D617" s="145"/>
      <c r="E617" s="140"/>
      <c r="F617" s="140"/>
      <c r="G617" s="143"/>
      <c r="H617" s="144"/>
    </row>
    <row r="618">
      <c r="A618" s="77"/>
      <c r="B618" s="77"/>
      <c r="C618" s="145"/>
      <c r="D618" s="145"/>
      <c r="E618" s="140"/>
      <c r="F618" s="140"/>
      <c r="G618" s="143"/>
      <c r="H618" s="144"/>
    </row>
    <row r="619">
      <c r="A619" s="77"/>
      <c r="B619" s="77"/>
      <c r="C619" s="145"/>
      <c r="D619" s="145"/>
      <c r="E619" s="140"/>
      <c r="F619" s="140"/>
      <c r="G619" s="143"/>
      <c r="H619" s="144"/>
    </row>
    <row r="620">
      <c r="A620" s="77"/>
      <c r="B620" s="77"/>
      <c r="C620" s="145"/>
      <c r="D620" s="145"/>
      <c r="E620" s="140"/>
      <c r="F620" s="140"/>
      <c r="G620" s="143"/>
      <c r="H620" s="144"/>
    </row>
    <row r="621">
      <c r="A621" s="77"/>
      <c r="B621" s="77"/>
      <c r="C621" s="145"/>
      <c r="D621" s="145"/>
      <c r="E621" s="140"/>
      <c r="F621" s="140"/>
      <c r="G621" s="143"/>
      <c r="H621" s="144"/>
    </row>
    <row r="622">
      <c r="A622" s="77"/>
      <c r="B622" s="77"/>
      <c r="C622" s="145"/>
      <c r="D622" s="145"/>
      <c r="E622" s="140"/>
      <c r="F622" s="140"/>
      <c r="G622" s="143"/>
      <c r="H622" s="144"/>
    </row>
    <row r="623">
      <c r="A623" s="77"/>
      <c r="B623" s="77"/>
      <c r="C623" s="145"/>
      <c r="D623" s="145"/>
      <c r="E623" s="140"/>
      <c r="F623" s="140"/>
      <c r="G623" s="143"/>
      <c r="H623" s="144"/>
    </row>
    <row r="624">
      <c r="A624" s="77"/>
      <c r="B624" s="77"/>
      <c r="C624" s="145"/>
      <c r="D624" s="145"/>
      <c r="E624" s="140"/>
      <c r="F624" s="140"/>
      <c r="G624" s="143"/>
      <c r="H624" s="144"/>
    </row>
    <row r="625">
      <c r="A625" s="77"/>
      <c r="B625" s="77"/>
      <c r="C625" s="145"/>
      <c r="D625" s="145"/>
      <c r="E625" s="140"/>
      <c r="F625" s="140"/>
      <c r="G625" s="143"/>
      <c r="H625" s="144"/>
    </row>
    <row r="626">
      <c r="A626" s="77"/>
      <c r="B626" s="77"/>
      <c r="C626" s="145"/>
      <c r="D626" s="145"/>
      <c r="E626" s="140"/>
      <c r="F626" s="140"/>
      <c r="G626" s="143"/>
      <c r="H626" s="144"/>
    </row>
    <row r="627">
      <c r="A627" s="77"/>
      <c r="B627" s="77"/>
      <c r="C627" s="145"/>
      <c r="D627" s="145"/>
      <c r="E627" s="140"/>
      <c r="F627" s="140"/>
      <c r="G627" s="143"/>
      <c r="H627" s="144"/>
    </row>
    <row r="628">
      <c r="A628" s="77"/>
      <c r="B628" s="77"/>
      <c r="C628" s="145"/>
      <c r="D628" s="145"/>
      <c r="E628" s="140"/>
      <c r="F628" s="140"/>
      <c r="G628" s="143"/>
      <c r="H628" s="144"/>
    </row>
    <row r="629">
      <c r="A629" s="77"/>
      <c r="B629" s="77"/>
      <c r="C629" s="145"/>
      <c r="D629" s="145"/>
      <c r="E629" s="140"/>
      <c r="F629" s="140"/>
      <c r="G629" s="143"/>
      <c r="H629" s="144"/>
    </row>
    <row r="630">
      <c r="A630" s="77"/>
      <c r="B630" s="77"/>
      <c r="C630" s="145"/>
      <c r="D630" s="145"/>
      <c r="E630" s="140"/>
      <c r="F630" s="140"/>
      <c r="G630" s="143"/>
      <c r="H630" s="144"/>
    </row>
    <row r="631">
      <c r="A631" s="77"/>
      <c r="B631" s="77"/>
      <c r="C631" s="145"/>
      <c r="D631" s="145"/>
      <c r="E631" s="140"/>
      <c r="F631" s="140"/>
      <c r="G631" s="143"/>
      <c r="H631" s="144"/>
    </row>
    <row r="632">
      <c r="A632" s="77"/>
      <c r="B632" s="77"/>
      <c r="C632" s="145"/>
      <c r="D632" s="145"/>
      <c r="E632" s="140"/>
      <c r="F632" s="140"/>
      <c r="G632" s="143"/>
      <c r="H632" s="144"/>
    </row>
    <row r="633">
      <c r="A633" s="77"/>
      <c r="B633" s="77"/>
      <c r="C633" s="145"/>
      <c r="D633" s="145"/>
      <c r="E633" s="140"/>
      <c r="F633" s="140"/>
      <c r="G633" s="143"/>
      <c r="H633" s="144"/>
    </row>
    <row r="634">
      <c r="A634" s="77"/>
      <c r="B634" s="77"/>
      <c r="C634" s="145"/>
      <c r="D634" s="145"/>
      <c r="E634" s="140"/>
      <c r="F634" s="140"/>
      <c r="G634" s="143"/>
      <c r="H634" s="144"/>
    </row>
    <row r="635">
      <c r="A635" s="77"/>
      <c r="B635" s="77"/>
      <c r="C635" s="145"/>
      <c r="D635" s="145"/>
      <c r="E635" s="140"/>
      <c r="F635" s="140"/>
      <c r="G635" s="143"/>
      <c r="H635" s="144"/>
    </row>
    <row r="636">
      <c r="A636" s="77"/>
      <c r="B636" s="77"/>
      <c r="C636" s="145"/>
      <c r="D636" s="145"/>
      <c r="E636" s="140"/>
      <c r="F636" s="140"/>
      <c r="G636" s="143"/>
      <c r="H636" s="144"/>
    </row>
    <row r="637">
      <c r="A637" s="77"/>
      <c r="B637" s="77"/>
      <c r="C637" s="145"/>
      <c r="D637" s="145"/>
      <c r="E637" s="140"/>
      <c r="F637" s="140"/>
      <c r="G637" s="143"/>
      <c r="H637" s="144"/>
    </row>
    <row r="638">
      <c r="A638" s="77"/>
      <c r="B638" s="77"/>
      <c r="C638" s="145"/>
      <c r="D638" s="145"/>
      <c r="E638" s="140"/>
      <c r="F638" s="140"/>
      <c r="G638" s="143"/>
      <c r="H638" s="144"/>
    </row>
    <row r="639">
      <c r="A639" s="77"/>
      <c r="B639" s="77"/>
      <c r="C639" s="145"/>
      <c r="D639" s="145"/>
      <c r="E639" s="140"/>
      <c r="F639" s="140"/>
      <c r="G639" s="143"/>
      <c r="H639" s="144"/>
    </row>
    <row r="640">
      <c r="A640" s="77"/>
      <c r="B640" s="77"/>
      <c r="C640" s="145"/>
      <c r="D640" s="145"/>
      <c r="E640" s="140"/>
      <c r="F640" s="140"/>
      <c r="G640" s="143"/>
      <c r="H640" s="144"/>
    </row>
    <row r="641">
      <c r="A641" s="77"/>
      <c r="B641" s="77"/>
      <c r="C641" s="145"/>
      <c r="D641" s="145"/>
      <c r="E641" s="140"/>
      <c r="F641" s="140"/>
      <c r="G641" s="143"/>
      <c r="H641" s="144"/>
    </row>
    <row r="642">
      <c r="A642" s="77"/>
      <c r="B642" s="77"/>
      <c r="C642" s="145"/>
      <c r="D642" s="145"/>
      <c r="E642" s="140"/>
      <c r="F642" s="140"/>
      <c r="G642" s="143"/>
      <c r="H642" s="144"/>
    </row>
    <row r="643">
      <c r="A643" s="77"/>
      <c r="B643" s="77"/>
      <c r="C643" s="145"/>
      <c r="D643" s="145"/>
      <c r="E643" s="140"/>
      <c r="F643" s="140"/>
      <c r="G643" s="143"/>
      <c r="H643" s="144"/>
    </row>
    <row r="644">
      <c r="A644" s="77"/>
      <c r="B644" s="77"/>
      <c r="C644" s="145"/>
      <c r="D644" s="145"/>
      <c r="E644" s="140"/>
      <c r="F644" s="140"/>
      <c r="G644" s="143"/>
      <c r="H644" s="144"/>
    </row>
    <row r="645">
      <c r="A645" s="77"/>
      <c r="B645" s="77"/>
      <c r="C645" s="145"/>
      <c r="D645" s="145"/>
      <c r="E645" s="140"/>
      <c r="F645" s="140"/>
      <c r="G645" s="143"/>
      <c r="H645" s="144"/>
    </row>
    <row r="646">
      <c r="A646" s="77"/>
      <c r="B646" s="77"/>
      <c r="C646" s="145"/>
      <c r="D646" s="145"/>
      <c r="E646" s="140"/>
      <c r="F646" s="140"/>
      <c r="G646" s="143"/>
      <c r="H646" s="144"/>
    </row>
    <row r="647">
      <c r="A647" s="77"/>
      <c r="B647" s="77"/>
      <c r="C647" s="145"/>
      <c r="D647" s="145"/>
      <c r="E647" s="140"/>
      <c r="F647" s="140"/>
      <c r="G647" s="143"/>
      <c r="H647" s="144"/>
    </row>
    <row r="648">
      <c r="A648" s="77"/>
      <c r="B648" s="77"/>
      <c r="C648" s="145"/>
      <c r="D648" s="145"/>
      <c r="E648" s="140"/>
      <c r="F648" s="140"/>
      <c r="G648" s="143"/>
      <c r="H648" s="144"/>
    </row>
    <row r="649">
      <c r="A649" s="77"/>
      <c r="B649" s="77"/>
      <c r="C649" s="145"/>
      <c r="D649" s="145"/>
      <c r="E649" s="140"/>
      <c r="F649" s="140"/>
      <c r="G649" s="143"/>
      <c r="H649" s="144"/>
    </row>
    <row r="650">
      <c r="A650" s="77"/>
      <c r="B650" s="77"/>
      <c r="C650" s="145"/>
      <c r="D650" s="145"/>
      <c r="E650" s="140"/>
      <c r="F650" s="140"/>
      <c r="G650" s="143"/>
      <c r="H650" s="144"/>
    </row>
    <row r="651">
      <c r="A651" s="77"/>
      <c r="B651" s="77"/>
      <c r="C651" s="145"/>
      <c r="D651" s="145"/>
      <c r="E651" s="140"/>
      <c r="F651" s="140"/>
      <c r="G651" s="143"/>
      <c r="H651" s="144"/>
    </row>
    <row r="652">
      <c r="A652" s="77"/>
      <c r="B652" s="77"/>
      <c r="C652" s="145"/>
      <c r="D652" s="145"/>
      <c r="E652" s="140"/>
      <c r="F652" s="140"/>
      <c r="G652" s="143"/>
      <c r="H652" s="144"/>
    </row>
    <row r="653">
      <c r="A653" s="77"/>
      <c r="B653" s="77"/>
      <c r="C653" s="145"/>
      <c r="D653" s="145"/>
      <c r="E653" s="140"/>
      <c r="F653" s="140"/>
      <c r="G653" s="143"/>
      <c r="H653" s="144"/>
    </row>
    <row r="654">
      <c r="A654" s="77"/>
      <c r="B654" s="77"/>
      <c r="C654" s="145"/>
      <c r="D654" s="145"/>
      <c r="E654" s="140"/>
      <c r="F654" s="140"/>
      <c r="G654" s="143"/>
      <c r="H654" s="144"/>
    </row>
    <row r="655">
      <c r="A655" s="77"/>
      <c r="B655" s="77"/>
      <c r="C655" s="145"/>
      <c r="D655" s="145"/>
      <c r="E655" s="140"/>
      <c r="F655" s="140"/>
      <c r="G655" s="143"/>
      <c r="H655" s="144"/>
    </row>
    <row r="656">
      <c r="A656" s="77"/>
      <c r="B656" s="77"/>
      <c r="C656" s="145"/>
      <c r="D656" s="145"/>
      <c r="E656" s="140"/>
      <c r="F656" s="140"/>
      <c r="G656" s="143"/>
      <c r="H656" s="144"/>
    </row>
    <row r="657">
      <c r="A657" s="77"/>
      <c r="B657" s="77"/>
      <c r="C657" s="145"/>
      <c r="D657" s="145"/>
      <c r="E657" s="140"/>
      <c r="F657" s="140"/>
      <c r="G657" s="143"/>
      <c r="H657" s="144"/>
    </row>
    <row r="658">
      <c r="A658" s="77"/>
      <c r="B658" s="77"/>
      <c r="C658" s="145"/>
      <c r="D658" s="145"/>
      <c r="E658" s="140"/>
      <c r="F658" s="140"/>
      <c r="G658" s="143"/>
      <c r="H658" s="144"/>
    </row>
    <row r="659">
      <c r="A659" s="77"/>
      <c r="B659" s="77"/>
      <c r="C659" s="145"/>
      <c r="D659" s="145"/>
      <c r="E659" s="140"/>
      <c r="F659" s="140"/>
      <c r="G659" s="143"/>
      <c r="H659" s="144"/>
    </row>
    <row r="660">
      <c r="A660" s="77"/>
      <c r="B660" s="77"/>
      <c r="C660" s="145"/>
      <c r="D660" s="145"/>
      <c r="E660" s="140"/>
      <c r="F660" s="140"/>
      <c r="G660" s="143"/>
      <c r="H660" s="144"/>
    </row>
    <row r="661">
      <c r="A661" s="77"/>
      <c r="B661" s="77"/>
      <c r="C661" s="145"/>
      <c r="D661" s="145"/>
      <c r="E661" s="140"/>
      <c r="F661" s="140"/>
      <c r="G661" s="143"/>
      <c r="H661" s="144"/>
    </row>
    <row r="662">
      <c r="A662" s="77"/>
      <c r="B662" s="77"/>
      <c r="C662" s="145"/>
      <c r="D662" s="145"/>
      <c r="E662" s="140"/>
      <c r="F662" s="140"/>
      <c r="G662" s="143"/>
      <c r="H662" s="144"/>
    </row>
    <row r="663">
      <c r="A663" s="77"/>
      <c r="B663" s="77"/>
      <c r="C663" s="145"/>
      <c r="D663" s="145"/>
      <c r="E663" s="140"/>
      <c r="F663" s="140"/>
      <c r="G663" s="143"/>
      <c r="H663" s="144"/>
    </row>
    <row r="664">
      <c r="A664" s="77"/>
      <c r="B664" s="77"/>
      <c r="C664" s="145"/>
      <c r="D664" s="145"/>
      <c r="E664" s="140"/>
      <c r="F664" s="140"/>
      <c r="G664" s="143"/>
      <c r="H664" s="144"/>
    </row>
    <row r="665">
      <c r="A665" s="77"/>
      <c r="B665" s="77"/>
      <c r="C665" s="145"/>
      <c r="D665" s="145"/>
      <c r="E665" s="140"/>
      <c r="F665" s="140"/>
      <c r="G665" s="143"/>
      <c r="H665" s="144"/>
    </row>
    <row r="666">
      <c r="A666" s="77"/>
      <c r="B666" s="77"/>
      <c r="C666" s="145"/>
      <c r="D666" s="145"/>
      <c r="E666" s="140"/>
      <c r="F666" s="140"/>
      <c r="G666" s="143"/>
      <c r="H666" s="144"/>
    </row>
    <row r="667">
      <c r="A667" s="77"/>
      <c r="B667" s="77"/>
      <c r="C667" s="145"/>
      <c r="D667" s="145"/>
      <c r="E667" s="140"/>
      <c r="F667" s="140"/>
      <c r="G667" s="143"/>
      <c r="H667" s="144"/>
    </row>
    <row r="668">
      <c r="A668" s="77"/>
      <c r="B668" s="77"/>
      <c r="C668" s="145"/>
      <c r="D668" s="145"/>
      <c r="E668" s="140"/>
      <c r="F668" s="140"/>
      <c r="G668" s="143"/>
      <c r="H668" s="144"/>
    </row>
    <row r="669">
      <c r="A669" s="77"/>
      <c r="B669" s="77"/>
      <c r="C669" s="145"/>
      <c r="D669" s="145"/>
      <c r="E669" s="140"/>
      <c r="F669" s="140"/>
      <c r="G669" s="143"/>
      <c r="H669" s="144"/>
    </row>
    <row r="670">
      <c r="A670" s="77"/>
      <c r="B670" s="77"/>
      <c r="C670" s="145"/>
      <c r="D670" s="145"/>
      <c r="E670" s="140"/>
      <c r="F670" s="140"/>
      <c r="G670" s="143"/>
      <c r="H670" s="144"/>
    </row>
    <row r="671">
      <c r="A671" s="77"/>
      <c r="B671" s="77"/>
      <c r="C671" s="145"/>
      <c r="D671" s="145"/>
      <c r="E671" s="140"/>
      <c r="F671" s="140"/>
      <c r="G671" s="143"/>
      <c r="H671" s="144"/>
    </row>
    <row r="672">
      <c r="A672" s="77"/>
      <c r="B672" s="77"/>
      <c r="C672" s="145"/>
      <c r="D672" s="145"/>
      <c r="E672" s="140"/>
      <c r="F672" s="140"/>
      <c r="G672" s="143"/>
      <c r="H672" s="144"/>
    </row>
    <row r="673">
      <c r="A673" s="77"/>
      <c r="B673" s="77"/>
      <c r="C673" s="145"/>
      <c r="D673" s="145"/>
      <c r="E673" s="140"/>
      <c r="F673" s="140"/>
      <c r="G673" s="143"/>
      <c r="H673" s="144"/>
    </row>
    <row r="674">
      <c r="A674" s="77"/>
      <c r="B674" s="77"/>
      <c r="C674" s="145"/>
      <c r="D674" s="145"/>
      <c r="E674" s="140"/>
      <c r="F674" s="140"/>
      <c r="G674" s="143"/>
      <c r="H674" s="144"/>
    </row>
    <row r="675">
      <c r="A675" s="77"/>
      <c r="B675" s="77"/>
      <c r="C675" s="145"/>
      <c r="D675" s="145"/>
      <c r="E675" s="140"/>
      <c r="F675" s="140"/>
      <c r="G675" s="143"/>
      <c r="H675" s="144"/>
    </row>
    <row r="676">
      <c r="A676" s="77"/>
      <c r="B676" s="77"/>
      <c r="C676" s="145"/>
      <c r="D676" s="145"/>
      <c r="E676" s="140"/>
      <c r="F676" s="140"/>
      <c r="G676" s="143"/>
      <c r="H676" s="144"/>
    </row>
    <row r="677">
      <c r="A677" s="77"/>
      <c r="B677" s="77"/>
      <c r="C677" s="145"/>
      <c r="D677" s="145"/>
      <c r="E677" s="140"/>
      <c r="F677" s="140"/>
      <c r="G677" s="143"/>
      <c r="H677" s="144"/>
    </row>
    <row r="678">
      <c r="A678" s="77"/>
      <c r="B678" s="77"/>
      <c r="C678" s="145"/>
      <c r="D678" s="145"/>
      <c r="E678" s="140"/>
      <c r="F678" s="140"/>
      <c r="G678" s="143"/>
      <c r="H678" s="144"/>
    </row>
    <row r="679">
      <c r="A679" s="77"/>
      <c r="B679" s="77"/>
      <c r="C679" s="145"/>
      <c r="D679" s="145"/>
      <c r="E679" s="140"/>
      <c r="F679" s="140"/>
      <c r="G679" s="143"/>
      <c r="H679" s="144"/>
    </row>
    <row r="680">
      <c r="A680" s="77"/>
      <c r="B680" s="77"/>
      <c r="C680" s="145"/>
      <c r="D680" s="145"/>
      <c r="E680" s="140"/>
      <c r="F680" s="140"/>
      <c r="G680" s="143"/>
      <c r="H680" s="144"/>
    </row>
    <row r="681">
      <c r="A681" s="77"/>
      <c r="B681" s="77"/>
      <c r="C681" s="145"/>
      <c r="D681" s="145"/>
      <c r="E681" s="140"/>
      <c r="F681" s="140"/>
      <c r="G681" s="143"/>
      <c r="H681" s="144"/>
    </row>
    <row r="682">
      <c r="A682" s="77"/>
      <c r="B682" s="77"/>
      <c r="C682" s="145"/>
      <c r="D682" s="145"/>
      <c r="E682" s="140"/>
      <c r="F682" s="140"/>
      <c r="G682" s="143"/>
      <c r="H682" s="144"/>
    </row>
    <row r="683">
      <c r="A683" s="77"/>
      <c r="B683" s="77"/>
      <c r="C683" s="145"/>
      <c r="D683" s="145"/>
      <c r="E683" s="140"/>
      <c r="F683" s="140"/>
      <c r="G683" s="143"/>
      <c r="H683" s="144"/>
    </row>
    <row r="684">
      <c r="A684" s="77"/>
      <c r="B684" s="77"/>
      <c r="C684" s="145"/>
      <c r="D684" s="145"/>
      <c r="E684" s="140"/>
      <c r="F684" s="140"/>
      <c r="G684" s="143"/>
      <c r="H684" s="144"/>
    </row>
    <row r="685">
      <c r="A685" s="77"/>
      <c r="B685" s="77"/>
      <c r="C685" s="145"/>
      <c r="D685" s="145"/>
      <c r="E685" s="140"/>
      <c r="F685" s="140"/>
      <c r="G685" s="143"/>
      <c r="H685" s="144"/>
    </row>
    <row r="686">
      <c r="A686" s="77"/>
      <c r="B686" s="77"/>
      <c r="C686" s="145"/>
      <c r="D686" s="145"/>
      <c r="E686" s="140"/>
      <c r="F686" s="140"/>
      <c r="G686" s="143"/>
      <c r="H686" s="144"/>
    </row>
    <row r="687">
      <c r="A687" s="77"/>
      <c r="B687" s="77"/>
      <c r="C687" s="145"/>
      <c r="D687" s="145"/>
      <c r="E687" s="140"/>
      <c r="F687" s="140"/>
      <c r="G687" s="143"/>
      <c r="H687" s="144"/>
    </row>
    <row r="688">
      <c r="A688" s="77"/>
      <c r="B688" s="77"/>
      <c r="C688" s="145"/>
      <c r="D688" s="145"/>
      <c r="E688" s="140"/>
      <c r="F688" s="140"/>
      <c r="G688" s="143"/>
      <c r="H688" s="144"/>
    </row>
    <row r="689">
      <c r="A689" s="77"/>
      <c r="B689" s="77"/>
      <c r="C689" s="145"/>
      <c r="D689" s="145"/>
      <c r="E689" s="140"/>
      <c r="F689" s="140"/>
      <c r="G689" s="143"/>
      <c r="H689" s="144"/>
    </row>
    <row r="690">
      <c r="A690" s="77"/>
      <c r="B690" s="77"/>
      <c r="C690" s="145"/>
      <c r="D690" s="145"/>
      <c r="E690" s="140"/>
      <c r="F690" s="140"/>
      <c r="G690" s="143"/>
      <c r="H690" s="144"/>
    </row>
    <row r="691">
      <c r="A691" s="77"/>
      <c r="B691" s="77"/>
      <c r="C691" s="145"/>
      <c r="D691" s="145"/>
      <c r="E691" s="140"/>
      <c r="F691" s="140"/>
      <c r="G691" s="143"/>
      <c r="H691" s="144"/>
    </row>
    <row r="692">
      <c r="A692" s="77"/>
      <c r="B692" s="77"/>
      <c r="C692" s="145"/>
      <c r="D692" s="145"/>
      <c r="E692" s="140"/>
      <c r="F692" s="140"/>
      <c r="G692" s="143"/>
      <c r="H692" s="144"/>
    </row>
    <row r="693">
      <c r="A693" s="77"/>
      <c r="B693" s="77"/>
      <c r="C693" s="145"/>
      <c r="D693" s="145"/>
      <c r="E693" s="140"/>
      <c r="F693" s="140"/>
      <c r="G693" s="143"/>
      <c r="H693" s="144"/>
    </row>
    <row r="694">
      <c r="A694" s="77"/>
      <c r="B694" s="77"/>
      <c r="C694" s="145"/>
      <c r="D694" s="145"/>
      <c r="E694" s="140"/>
      <c r="F694" s="140"/>
      <c r="G694" s="143"/>
      <c r="H694" s="144"/>
    </row>
    <row r="695">
      <c r="A695" s="77"/>
      <c r="B695" s="77"/>
      <c r="C695" s="145"/>
      <c r="D695" s="145"/>
      <c r="E695" s="140"/>
      <c r="F695" s="140"/>
      <c r="G695" s="143"/>
      <c r="H695" s="144"/>
    </row>
    <row r="696">
      <c r="A696" s="77"/>
      <c r="B696" s="77"/>
      <c r="C696" s="145"/>
      <c r="D696" s="145"/>
      <c r="E696" s="140"/>
      <c r="F696" s="140"/>
      <c r="G696" s="143"/>
      <c r="H696" s="144"/>
    </row>
    <row r="697">
      <c r="A697" s="77"/>
      <c r="B697" s="77"/>
      <c r="C697" s="145"/>
      <c r="D697" s="145"/>
      <c r="E697" s="140"/>
      <c r="F697" s="140"/>
      <c r="G697" s="143"/>
      <c r="H697" s="144"/>
    </row>
    <row r="698">
      <c r="A698" s="77"/>
      <c r="B698" s="77"/>
      <c r="C698" s="145"/>
      <c r="D698" s="145"/>
      <c r="E698" s="140"/>
      <c r="F698" s="140"/>
      <c r="G698" s="143"/>
      <c r="H698" s="144"/>
    </row>
    <row r="699">
      <c r="A699" s="77"/>
      <c r="B699" s="77"/>
      <c r="C699" s="145"/>
      <c r="D699" s="145"/>
      <c r="E699" s="140"/>
      <c r="F699" s="140"/>
      <c r="G699" s="143"/>
      <c r="H699" s="144"/>
    </row>
    <row r="700">
      <c r="A700" s="77"/>
      <c r="B700" s="77"/>
      <c r="C700" s="145"/>
      <c r="D700" s="145"/>
      <c r="E700" s="140"/>
      <c r="F700" s="140"/>
      <c r="G700" s="143"/>
      <c r="H700" s="144"/>
    </row>
    <row r="701">
      <c r="A701" s="77"/>
      <c r="B701" s="77"/>
      <c r="C701" s="145"/>
      <c r="D701" s="145"/>
      <c r="E701" s="140"/>
      <c r="F701" s="140"/>
      <c r="G701" s="143"/>
      <c r="H701" s="144"/>
    </row>
    <row r="702">
      <c r="A702" s="77"/>
      <c r="B702" s="77"/>
      <c r="C702" s="145"/>
      <c r="D702" s="145"/>
      <c r="E702" s="140"/>
      <c r="F702" s="140"/>
      <c r="G702" s="143"/>
      <c r="H702" s="144"/>
    </row>
    <row r="703">
      <c r="A703" s="77"/>
      <c r="B703" s="77"/>
      <c r="C703" s="145"/>
      <c r="D703" s="145"/>
      <c r="E703" s="140"/>
      <c r="F703" s="140"/>
      <c r="G703" s="143"/>
      <c r="H703" s="144"/>
    </row>
    <row r="704">
      <c r="A704" s="77"/>
      <c r="B704" s="77"/>
      <c r="C704" s="145"/>
      <c r="D704" s="145"/>
      <c r="E704" s="140"/>
      <c r="F704" s="140"/>
      <c r="G704" s="143"/>
      <c r="H704" s="144"/>
    </row>
    <row r="705">
      <c r="A705" s="77"/>
      <c r="B705" s="77"/>
      <c r="C705" s="145"/>
      <c r="D705" s="145"/>
      <c r="E705" s="140"/>
      <c r="F705" s="140"/>
      <c r="G705" s="143"/>
      <c r="H705" s="144"/>
    </row>
    <row r="706">
      <c r="A706" s="77"/>
      <c r="B706" s="77"/>
      <c r="C706" s="145"/>
      <c r="D706" s="145"/>
      <c r="E706" s="140"/>
      <c r="F706" s="140"/>
      <c r="G706" s="143"/>
      <c r="H706" s="144"/>
    </row>
    <row r="707">
      <c r="A707" s="77"/>
      <c r="B707" s="77"/>
      <c r="C707" s="145"/>
      <c r="D707" s="145"/>
      <c r="E707" s="140"/>
      <c r="F707" s="140"/>
      <c r="G707" s="143"/>
      <c r="H707" s="144"/>
    </row>
    <row r="708">
      <c r="A708" s="77"/>
      <c r="B708" s="77"/>
      <c r="C708" s="145"/>
      <c r="D708" s="145"/>
      <c r="E708" s="140"/>
      <c r="F708" s="140"/>
      <c r="G708" s="143"/>
      <c r="H708" s="144"/>
    </row>
    <row r="709">
      <c r="A709" s="77"/>
      <c r="B709" s="77"/>
      <c r="C709" s="145"/>
      <c r="D709" s="145"/>
      <c r="E709" s="140"/>
      <c r="F709" s="140"/>
      <c r="G709" s="143"/>
      <c r="H709" s="144"/>
    </row>
    <row r="710">
      <c r="A710" s="77"/>
      <c r="B710" s="77"/>
      <c r="C710" s="145"/>
      <c r="D710" s="145"/>
      <c r="E710" s="140"/>
      <c r="F710" s="140"/>
      <c r="G710" s="143"/>
      <c r="H710" s="144"/>
    </row>
    <row r="711">
      <c r="A711" s="77"/>
      <c r="B711" s="77"/>
      <c r="C711" s="145"/>
      <c r="D711" s="145"/>
      <c r="E711" s="140"/>
      <c r="F711" s="140"/>
      <c r="G711" s="143"/>
      <c r="H711" s="144"/>
    </row>
    <row r="712">
      <c r="A712" s="77"/>
      <c r="B712" s="77"/>
      <c r="C712" s="145"/>
      <c r="D712" s="145"/>
      <c r="E712" s="140"/>
      <c r="F712" s="140"/>
      <c r="G712" s="143"/>
      <c r="H712" s="144"/>
    </row>
    <row r="713">
      <c r="A713" s="77"/>
      <c r="B713" s="77"/>
      <c r="C713" s="145"/>
      <c r="D713" s="145"/>
      <c r="E713" s="140"/>
      <c r="F713" s="140"/>
      <c r="G713" s="143"/>
      <c r="H713" s="144"/>
    </row>
    <row r="714">
      <c r="A714" s="77"/>
      <c r="B714" s="77"/>
      <c r="C714" s="145"/>
      <c r="D714" s="145"/>
      <c r="E714" s="140"/>
      <c r="F714" s="140"/>
      <c r="G714" s="143"/>
      <c r="H714" s="144"/>
    </row>
    <row r="715">
      <c r="A715" s="77"/>
      <c r="B715" s="77"/>
      <c r="C715" s="145"/>
      <c r="D715" s="145"/>
      <c r="E715" s="140"/>
      <c r="F715" s="140"/>
      <c r="G715" s="143"/>
      <c r="H715" s="144"/>
    </row>
    <row r="716">
      <c r="A716" s="77"/>
      <c r="B716" s="77"/>
      <c r="C716" s="145"/>
      <c r="D716" s="145"/>
      <c r="E716" s="140"/>
      <c r="F716" s="140"/>
      <c r="G716" s="143"/>
      <c r="H716" s="144"/>
    </row>
    <row r="717">
      <c r="A717" s="77"/>
      <c r="B717" s="77"/>
      <c r="C717" s="145"/>
      <c r="D717" s="145"/>
      <c r="E717" s="140"/>
      <c r="F717" s="140"/>
      <c r="G717" s="143"/>
      <c r="H717" s="144"/>
    </row>
    <row r="718">
      <c r="A718" s="77"/>
      <c r="B718" s="77"/>
      <c r="C718" s="145"/>
      <c r="D718" s="145"/>
      <c r="E718" s="140"/>
      <c r="F718" s="140"/>
      <c r="G718" s="143"/>
      <c r="H718" s="144"/>
    </row>
    <row r="719">
      <c r="A719" s="77"/>
      <c r="B719" s="77"/>
      <c r="C719" s="145"/>
      <c r="D719" s="145"/>
      <c r="E719" s="140"/>
      <c r="F719" s="140"/>
      <c r="G719" s="143"/>
      <c r="H719" s="144"/>
    </row>
    <row r="720">
      <c r="A720" s="77"/>
      <c r="B720" s="77"/>
      <c r="C720" s="145"/>
      <c r="D720" s="145"/>
      <c r="E720" s="140"/>
      <c r="F720" s="140"/>
      <c r="G720" s="143"/>
      <c r="H720" s="144"/>
    </row>
    <row r="721">
      <c r="A721" s="77"/>
      <c r="B721" s="77"/>
      <c r="C721" s="145"/>
      <c r="D721" s="145"/>
      <c r="E721" s="140"/>
      <c r="F721" s="140"/>
      <c r="G721" s="143"/>
      <c r="H721" s="144"/>
    </row>
    <row r="722">
      <c r="A722" s="77"/>
      <c r="B722" s="77"/>
      <c r="C722" s="145"/>
      <c r="D722" s="145"/>
      <c r="E722" s="140"/>
      <c r="F722" s="140"/>
      <c r="G722" s="143"/>
      <c r="H722" s="144"/>
    </row>
    <row r="723">
      <c r="A723" s="77"/>
      <c r="B723" s="77"/>
      <c r="C723" s="145"/>
      <c r="D723" s="145"/>
      <c r="E723" s="140"/>
      <c r="F723" s="140"/>
      <c r="G723" s="143"/>
      <c r="H723" s="144"/>
    </row>
    <row r="724">
      <c r="A724" s="77"/>
      <c r="B724" s="77"/>
      <c r="C724" s="145"/>
      <c r="D724" s="145"/>
      <c r="E724" s="140"/>
      <c r="F724" s="140"/>
      <c r="G724" s="143"/>
      <c r="H724" s="144"/>
    </row>
    <row r="725">
      <c r="A725" s="77"/>
      <c r="B725" s="77"/>
      <c r="C725" s="145"/>
      <c r="D725" s="145"/>
      <c r="E725" s="140"/>
      <c r="F725" s="140"/>
      <c r="G725" s="143"/>
      <c r="H725" s="144"/>
    </row>
    <row r="726">
      <c r="A726" s="77"/>
      <c r="B726" s="77"/>
      <c r="C726" s="145"/>
      <c r="D726" s="145"/>
      <c r="E726" s="140"/>
      <c r="F726" s="140"/>
      <c r="G726" s="143"/>
      <c r="H726" s="144"/>
    </row>
    <row r="727">
      <c r="A727" s="77"/>
      <c r="B727" s="77"/>
      <c r="C727" s="145"/>
      <c r="D727" s="145"/>
      <c r="E727" s="140"/>
      <c r="F727" s="140"/>
      <c r="G727" s="143"/>
      <c r="H727" s="144"/>
    </row>
    <row r="728">
      <c r="A728" s="77"/>
      <c r="B728" s="77"/>
      <c r="C728" s="145"/>
      <c r="D728" s="145"/>
      <c r="E728" s="140"/>
      <c r="F728" s="140"/>
      <c r="G728" s="143"/>
      <c r="H728" s="144"/>
    </row>
    <row r="729">
      <c r="A729" s="77"/>
      <c r="B729" s="77"/>
      <c r="C729" s="145"/>
      <c r="D729" s="145"/>
      <c r="E729" s="140"/>
      <c r="F729" s="140"/>
      <c r="G729" s="143"/>
      <c r="H729" s="144"/>
    </row>
    <row r="730">
      <c r="A730" s="77"/>
      <c r="B730" s="77"/>
      <c r="C730" s="145"/>
      <c r="D730" s="145"/>
      <c r="E730" s="140"/>
      <c r="F730" s="140"/>
      <c r="G730" s="143"/>
      <c r="H730" s="144"/>
    </row>
    <row r="731">
      <c r="A731" s="77"/>
      <c r="B731" s="77"/>
      <c r="C731" s="145"/>
      <c r="D731" s="145"/>
      <c r="E731" s="140"/>
      <c r="F731" s="140"/>
      <c r="G731" s="143"/>
      <c r="H731" s="144"/>
    </row>
    <row r="732">
      <c r="A732" s="77"/>
      <c r="B732" s="77"/>
      <c r="C732" s="145"/>
      <c r="D732" s="145"/>
      <c r="E732" s="140"/>
      <c r="F732" s="140"/>
      <c r="G732" s="143"/>
      <c r="H732" s="144"/>
    </row>
    <row r="733">
      <c r="A733" s="77"/>
      <c r="B733" s="77"/>
      <c r="C733" s="145"/>
      <c r="D733" s="145"/>
      <c r="E733" s="140"/>
      <c r="F733" s="140"/>
      <c r="G733" s="143"/>
      <c r="H733" s="144"/>
    </row>
    <row r="734">
      <c r="A734" s="77"/>
      <c r="B734" s="77"/>
      <c r="C734" s="145"/>
      <c r="D734" s="145"/>
      <c r="E734" s="140"/>
      <c r="F734" s="140"/>
      <c r="G734" s="143"/>
      <c r="H734" s="144"/>
    </row>
    <row r="735">
      <c r="A735" s="77"/>
      <c r="B735" s="77"/>
      <c r="C735" s="145"/>
      <c r="D735" s="145"/>
      <c r="E735" s="140"/>
      <c r="F735" s="140"/>
      <c r="G735" s="143"/>
      <c r="H735" s="144"/>
    </row>
    <row r="736">
      <c r="A736" s="77"/>
      <c r="B736" s="77"/>
      <c r="C736" s="145"/>
      <c r="D736" s="145"/>
      <c r="E736" s="140"/>
      <c r="F736" s="140"/>
      <c r="G736" s="143"/>
      <c r="H736" s="144"/>
    </row>
    <row r="737">
      <c r="A737" s="77"/>
      <c r="B737" s="77"/>
      <c r="C737" s="145"/>
      <c r="D737" s="145"/>
      <c r="E737" s="140"/>
      <c r="F737" s="140"/>
      <c r="G737" s="143"/>
      <c r="H737" s="144"/>
    </row>
    <row r="738">
      <c r="A738" s="77"/>
      <c r="B738" s="77"/>
      <c r="C738" s="145"/>
      <c r="D738" s="145"/>
      <c r="E738" s="140"/>
      <c r="F738" s="140"/>
      <c r="G738" s="143"/>
      <c r="H738" s="144"/>
    </row>
    <row r="739">
      <c r="A739" s="77"/>
      <c r="B739" s="77"/>
      <c r="C739" s="145"/>
      <c r="D739" s="145"/>
      <c r="E739" s="140"/>
      <c r="F739" s="140"/>
      <c r="G739" s="143"/>
      <c r="H739" s="144"/>
    </row>
    <row r="740">
      <c r="A740" s="77"/>
      <c r="B740" s="77"/>
      <c r="C740" s="145"/>
      <c r="D740" s="145"/>
      <c r="E740" s="140"/>
      <c r="F740" s="140"/>
      <c r="G740" s="143"/>
      <c r="H740" s="144"/>
    </row>
    <row r="741">
      <c r="A741" s="77"/>
      <c r="B741" s="77"/>
      <c r="C741" s="145"/>
      <c r="D741" s="145"/>
      <c r="E741" s="140"/>
      <c r="F741" s="140"/>
      <c r="G741" s="143"/>
      <c r="H741" s="144"/>
    </row>
    <row r="742">
      <c r="A742" s="77"/>
      <c r="B742" s="77"/>
      <c r="C742" s="145"/>
      <c r="D742" s="145"/>
      <c r="E742" s="140"/>
      <c r="F742" s="140"/>
      <c r="G742" s="143"/>
      <c r="H742" s="144"/>
    </row>
    <row r="743">
      <c r="A743" s="77"/>
      <c r="B743" s="77"/>
      <c r="C743" s="145"/>
      <c r="D743" s="145"/>
      <c r="E743" s="140"/>
      <c r="F743" s="140"/>
      <c r="G743" s="143"/>
      <c r="H743" s="144"/>
    </row>
    <row r="744">
      <c r="A744" s="77"/>
      <c r="B744" s="77"/>
      <c r="C744" s="145"/>
      <c r="D744" s="145"/>
      <c r="E744" s="140"/>
      <c r="F744" s="140"/>
      <c r="G744" s="143"/>
      <c r="H744" s="144"/>
    </row>
    <row r="745">
      <c r="A745" s="77"/>
      <c r="B745" s="77"/>
      <c r="C745" s="145"/>
      <c r="D745" s="145"/>
      <c r="E745" s="140"/>
      <c r="F745" s="140"/>
      <c r="G745" s="143"/>
      <c r="H745" s="144"/>
    </row>
    <row r="746">
      <c r="A746" s="77"/>
      <c r="B746" s="77"/>
      <c r="C746" s="145"/>
      <c r="D746" s="145"/>
      <c r="E746" s="140"/>
      <c r="F746" s="140"/>
      <c r="G746" s="143"/>
      <c r="H746" s="144"/>
    </row>
    <row r="747">
      <c r="A747" s="77"/>
      <c r="B747" s="77"/>
      <c r="C747" s="145"/>
      <c r="D747" s="145"/>
      <c r="E747" s="140"/>
      <c r="F747" s="140"/>
      <c r="G747" s="143"/>
      <c r="H747" s="144"/>
    </row>
    <row r="748">
      <c r="A748" s="77"/>
      <c r="B748" s="77"/>
      <c r="C748" s="145"/>
      <c r="D748" s="145"/>
      <c r="E748" s="140"/>
      <c r="F748" s="140"/>
      <c r="G748" s="143"/>
      <c r="H748" s="144"/>
    </row>
    <row r="749">
      <c r="A749" s="77"/>
      <c r="B749" s="77"/>
      <c r="C749" s="145"/>
      <c r="D749" s="145"/>
      <c r="E749" s="140"/>
      <c r="F749" s="140"/>
      <c r="G749" s="143"/>
      <c r="H749" s="144"/>
    </row>
    <row r="750">
      <c r="A750" s="77"/>
      <c r="B750" s="77"/>
      <c r="C750" s="145"/>
      <c r="D750" s="145"/>
      <c r="E750" s="140"/>
      <c r="F750" s="140"/>
      <c r="G750" s="143"/>
      <c r="H750" s="144"/>
    </row>
    <row r="751">
      <c r="A751" s="77"/>
      <c r="B751" s="77"/>
      <c r="C751" s="145"/>
      <c r="D751" s="145"/>
      <c r="E751" s="140"/>
      <c r="F751" s="140"/>
      <c r="G751" s="143"/>
      <c r="H751" s="144"/>
    </row>
    <row r="752">
      <c r="A752" s="77"/>
      <c r="B752" s="77"/>
      <c r="C752" s="145"/>
      <c r="D752" s="145"/>
      <c r="E752" s="140"/>
      <c r="F752" s="140"/>
      <c r="G752" s="143"/>
      <c r="H752" s="144"/>
    </row>
    <row r="753">
      <c r="A753" s="77"/>
      <c r="B753" s="77"/>
      <c r="C753" s="145"/>
      <c r="D753" s="145"/>
      <c r="E753" s="140"/>
      <c r="F753" s="140"/>
      <c r="G753" s="143"/>
      <c r="H753" s="144"/>
    </row>
    <row r="754">
      <c r="A754" s="77"/>
      <c r="B754" s="77"/>
      <c r="C754" s="145"/>
      <c r="D754" s="145"/>
      <c r="E754" s="140"/>
      <c r="F754" s="140"/>
      <c r="G754" s="143"/>
      <c r="H754" s="144"/>
    </row>
    <row r="755">
      <c r="A755" s="77"/>
      <c r="B755" s="77"/>
      <c r="C755" s="145"/>
      <c r="D755" s="145"/>
      <c r="E755" s="140"/>
      <c r="F755" s="140"/>
      <c r="G755" s="143"/>
      <c r="H755" s="144"/>
    </row>
    <row r="756">
      <c r="A756" s="77"/>
      <c r="B756" s="77"/>
      <c r="C756" s="145"/>
      <c r="D756" s="145"/>
      <c r="E756" s="140"/>
      <c r="F756" s="140"/>
      <c r="G756" s="143"/>
      <c r="H756" s="144"/>
    </row>
    <row r="757">
      <c r="A757" s="77"/>
      <c r="B757" s="77"/>
      <c r="C757" s="145"/>
      <c r="D757" s="145"/>
      <c r="E757" s="140"/>
      <c r="F757" s="140"/>
      <c r="G757" s="143"/>
      <c r="H757" s="144"/>
    </row>
    <row r="758">
      <c r="A758" s="77"/>
      <c r="B758" s="77"/>
      <c r="C758" s="145"/>
      <c r="D758" s="145"/>
      <c r="E758" s="140"/>
      <c r="F758" s="140"/>
      <c r="G758" s="143"/>
      <c r="H758" s="144"/>
    </row>
    <row r="759">
      <c r="A759" s="77"/>
      <c r="B759" s="77"/>
      <c r="C759" s="145"/>
      <c r="D759" s="145"/>
      <c r="E759" s="140"/>
      <c r="F759" s="140"/>
      <c r="G759" s="143"/>
      <c r="H759" s="144"/>
    </row>
    <row r="760">
      <c r="A760" s="77"/>
      <c r="B760" s="77"/>
      <c r="C760" s="145"/>
      <c r="D760" s="145"/>
      <c r="E760" s="140"/>
      <c r="F760" s="140"/>
      <c r="G760" s="143"/>
      <c r="H760" s="144"/>
    </row>
    <row r="761">
      <c r="A761" s="77"/>
      <c r="B761" s="77"/>
      <c r="C761" s="145"/>
      <c r="D761" s="145"/>
      <c r="E761" s="140"/>
      <c r="F761" s="140"/>
      <c r="G761" s="143"/>
      <c r="H761" s="144"/>
    </row>
    <row r="762">
      <c r="A762" s="77"/>
      <c r="B762" s="77"/>
      <c r="C762" s="145"/>
      <c r="D762" s="145"/>
      <c r="E762" s="140"/>
      <c r="F762" s="140"/>
      <c r="G762" s="143"/>
      <c r="H762" s="144"/>
    </row>
    <row r="763">
      <c r="A763" s="77"/>
      <c r="B763" s="77"/>
      <c r="C763" s="145"/>
      <c r="D763" s="145"/>
      <c r="E763" s="140"/>
      <c r="F763" s="140"/>
      <c r="G763" s="143"/>
      <c r="H763" s="144"/>
    </row>
    <row r="764">
      <c r="A764" s="77"/>
      <c r="B764" s="77"/>
      <c r="C764" s="145"/>
      <c r="D764" s="145"/>
      <c r="E764" s="140"/>
      <c r="F764" s="140"/>
      <c r="G764" s="143"/>
      <c r="H764" s="144"/>
    </row>
    <row r="765">
      <c r="A765" s="77"/>
      <c r="B765" s="77"/>
      <c r="C765" s="145"/>
      <c r="D765" s="145"/>
      <c r="E765" s="140"/>
      <c r="F765" s="140"/>
      <c r="G765" s="143"/>
      <c r="H765" s="144"/>
    </row>
    <row r="766">
      <c r="A766" s="77"/>
      <c r="B766" s="77"/>
      <c r="C766" s="145"/>
      <c r="D766" s="145"/>
      <c r="E766" s="140"/>
      <c r="F766" s="140"/>
      <c r="G766" s="143"/>
      <c r="H766" s="144"/>
    </row>
    <row r="767">
      <c r="A767" s="77"/>
      <c r="B767" s="77"/>
      <c r="C767" s="145"/>
      <c r="D767" s="145"/>
      <c r="E767" s="140"/>
      <c r="F767" s="140"/>
      <c r="G767" s="143"/>
      <c r="H767" s="144"/>
    </row>
    <row r="768">
      <c r="A768" s="77"/>
      <c r="B768" s="77"/>
      <c r="C768" s="145"/>
      <c r="D768" s="145"/>
      <c r="E768" s="140"/>
      <c r="F768" s="140"/>
      <c r="G768" s="143"/>
      <c r="H768" s="144"/>
    </row>
    <row r="769">
      <c r="A769" s="77"/>
      <c r="B769" s="77"/>
      <c r="C769" s="145"/>
      <c r="D769" s="145"/>
      <c r="E769" s="140"/>
      <c r="F769" s="140"/>
      <c r="G769" s="143"/>
      <c r="H769" s="144"/>
    </row>
    <row r="770">
      <c r="A770" s="77"/>
      <c r="B770" s="77"/>
      <c r="C770" s="145"/>
      <c r="D770" s="145"/>
      <c r="E770" s="140"/>
      <c r="F770" s="140"/>
      <c r="G770" s="143"/>
      <c r="H770" s="144"/>
    </row>
    <row r="771">
      <c r="A771" s="77"/>
      <c r="B771" s="77"/>
      <c r="C771" s="145"/>
      <c r="D771" s="145"/>
      <c r="E771" s="140"/>
      <c r="F771" s="140"/>
      <c r="G771" s="143"/>
      <c r="H771" s="144"/>
    </row>
    <row r="772">
      <c r="A772" s="77"/>
      <c r="B772" s="77"/>
      <c r="C772" s="145"/>
      <c r="D772" s="145"/>
      <c r="E772" s="140"/>
      <c r="F772" s="140"/>
      <c r="G772" s="143"/>
      <c r="H772" s="144"/>
    </row>
    <row r="773">
      <c r="A773" s="77"/>
      <c r="B773" s="77"/>
      <c r="C773" s="145"/>
      <c r="D773" s="145"/>
      <c r="E773" s="140"/>
      <c r="F773" s="140"/>
      <c r="G773" s="143"/>
      <c r="H773" s="144"/>
    </row>
    <row r="774">
      <c r="A774" s="77"/>
      <c r="B774" s="77"/>
      <c r="C774" s="145"/>
      <c r="D774" s="145"/>
      <c r="E774" s="140"/>
      <c r="F774" s="140"/>
      <c r="G774" s="143"/>
      <c r="H774" s="144"/>
    </row>
    <row r="775">
      <c r="A775" s="77"/>
      <c r="B775" s="77"/>
      <c r="C775" s="145"/>
      <c r="D775" s="145"/>
      <c r="E775" s="140"/>
      <c r="F775" s="140"/>
      <c r="G775" s="143"/>
      <c r="H775" s="144"/>
    </row>
    <row r="776">
      <c r="A776" s="77"/>
      <c r="B776" s="77"/>
      <c r="C776" s="145"/>
      <c r="D776" s="145"/>
      <c r="E776" s="140"/>
      <c r="F776" s="140"/>
      <c r="G776" s="143"/>
      <c r="H776" s="144"/>
    </row>
    <row r="777">
      <c r="A777" s="77"/>
      <c r="B777" s="77"/>
      <c r="C777" s="145"/>
      <c r="D777" s="145"/>
      <c r="E777" s="140"/>
      <c r="F777" s="140"/>
      <c r="G777" s="143"/>
      <c r="H777" s="144"/>
    </row>
    <row r="778">
      <c r="A778" s="77"/>
      <c r="B778" s="77"/>
      <c r="C778" s="145"/>
      <c r="D778" s="145"/>
      <c r="E778" s="140"/>
      <c r="F778" s="140"/>
      <c r="G778" s="143"/>
      <c r="H778" s="144"/>
    </row>
    <row r="779">
      <c r="A779" s="77"/>
      <c r="B779" s="77"/>
      <c r="C779" s="145"/>
      <c r="D779" s="145"/>
      <c r="E779" s="140"/>
      <c r="F779" s="140"/>
      <c r="G779" s="143"/>
      <c r="H779" s="144"/>
    </row>
    <row r="780">
      <c r="A780" s="77"/>
      <c r="B780" s="77"/>
      <c r="C780" s="145"/>
      <c r="D780" s="145"/>
      <c r="E780" s="140"/>
      <c r="F780" s="140"/>
      <c r="G780" s="143"/>
      <c r="H780" s="144"/>
    </row>
    <row r="781">
      <c r="A781" s="77"/>
      <c r="B781" s="77"/>
      <c r="C781" s="145"/>
      <c r="D781" s="145"/>
      <c r="E781" s="140"/>
      <c r="F781" s="140"/>
      <c r="G781" s="143"/>
      <c r="H781" s="144"/>
    </row>
    <row r="782">
      <c r="A782" s="77"/>
      <c r="B782" s="77"/>
      <c r="C782" s="145"/>
      <c r="D782" s="145"/>
      <c r="E782" s="140"/>
      <c r="F782" s="140"/>
      <c r="G782" s="143"/>
      <c r="H782" s="144"/>
    </row>
    <row r="783">
      <c r="A783" s="77"/>
      <c r="B783" s="77"/>
      <c r="C783" s="145"/>
      <c r="D783" s="145"/>
      <c r="E783" s="140"/>
      <c r="F783" s="140"/>
      <c r="G783" s="143"/>
      <c r="H783" s="144"/>
    </row>
    <row r="784">
      <c r="A784" s="77"/>
      <c r="B784" s="77"/>
      <c r="C784" s="145"/>
      <c r="D784" s="145"/>
      <c r="E784" s="140"/>
      <c r="F784" s="140"/>
      <c r="G784" s="143"/>
      <c r="H784" s="144"/>
    </row>
    <row r="785">
      <c r="A785" s="77"/>
      <c r="B785" s="77"/>
      <c r="C785" s="145"/>
      <c r="D785" s="145"/>
      <c r="E785" s="140"/>
      <c r="F785" s="140"/>
      <c r="G785" s="143"/>
      <c r="H785" s="144"/>
    </row>
    <row r="786">
      <c r="A786" s="77"/>
      <c r="B786" s="77"/>
      <c r="C786" s="145"/>
      <c r="D786" s="145"/>
      <c r="E786" s="140"/>
      <c r="F786" s="140"/>
      <c r="G786" s="143"/>
      <c r="H786" s="144"/>
    </row>
    <row r="787">
      <c r="A787" s="77"/>
      <c r="B787" s="77"/>
      <c r="C787" s="145"/>
      <c r="D787" s="145"/>
      <c r="E787" s="140"/>
      <c r="F787" s="140"/>
      <c r="G787" s="143"/>
      <c r="H787" s="144"/>
    </row>
    <row r="788">
      <c r="A788" s="77"/>
      <c r="B788" s="77"/>
      <c r="C788" s="145"/>
      <c r="D788" s="145"/>
      <c r="E788" s="140"/>
      <c r="F788" s="140"/>
      <c r="G788" s="143"/>
      <c r="H788" s="144"/>
    </row>
    <row r="789">
      <c r="A789" s="77"/>
      <c r="B789" s="77"/>
      <c r="C789" s="145"/>
      <c r="D789" s="145"/>
      <c r="E789" s="140"/>
      <c r="F789" s="140"/>
      <c r="G789" s="143"/>
      <c r="H789" s="144"/>
    </row>
    <row r="790">
      <c r="A790" s="77"/>
      <c r="B790" s="77"/>
      <c r="C790" s="145"/>
      <c r="D790" s="145"/>
      <c r="E790" s="140"/>
      <c r="F790" s="140"/>
      <c r="G790" s="143"/>
      <c r="H790" s="144"/>
    </row>
    <row r="791">
      <c r="A791" s="77"/>
      <c r="B791" s="77"/>
      <c r="C791" s="145"/>
      <c r="D791" s="145"/>
      <c r="E791" s="140"/>
      <c r="F791" s="140"/>
      <c r="G791" s="143"/>
      <c r="H791" s="144"/>
    </row>
    <row r="792">
      <c r="A792" s="77"/>
      <c r="B792" s="77"/>
      <c r="C792" s="145"/>
      <c r="D792" s="145"/>
      <c r="E792" s="140"/>
      <c r="F792" s="140"/>
      <c r="G792" s="143"/>
      <c r="H792" s="144"/>
    </row>
    <row r="793">
      <c r="A793" s="77"/>
      <c r="B793" s="77"/>
      <c r="C793" s="145"/>
      <c r="D793" s="145"/>
      <c r="E793" s="140"/>
      <c r="F793" s="140"/>
      <c r="G793" s="143"/>
      <c r="H793" s="144"/>
    </row>
    <row r="794">
      <c r="A794" s="77"/>
      <c r="B794" s="77"/>
      <c r="C794" s="145"/>
      <c r="D794" s="145"/>
      <c r="E794" s="140"/>
      <c r="F794" s="140"/>
      <c r="G794" s="143"/>
      <c r="H794" s="144"/>
    </row>
    <row r="795">
      <c r="A795" s="77"/>
      <c r="B795" s="77"/>
      <c r="C795" s="145"/>
      <c r="D795" s="145"/>
      <c r="E795" s="140"/>
      <c r="F795" s="140"/>
      <c r="G795" s="143"/>
      <c r="H795" s="144"/>
    </row>
    <row r="796">
      <c r="A796" s="77"/>
      <c r="B796" s="77"/>
      <c r="C796" s="145"/>
      <c r="D796" s="145"/>
      <c r="E796" s="140"/>
      <c r="F796" s="140"/>
      <c r="G796" s="143"/>
      <c r="H796" s="144"/>
    </row>
    <row r="797">
      <c r="A797" s="77"/>
      <c r="B797" s="77"/>
      <c r="C797" s="145"/>
      <c r="D797" s="145"/>
      <c r="E797" s="140"/>
      <c r="F797" s="140"/>
      <c r="G797" s="143"/>
      <c r="H797" s="144"/>
    </row>
    <row r="798">
      <c r="A798" s="77"/>
      <c r="B798" s="77"/>
      <c r="C798" s="145"/>
      <c r="D798" s="145"/>
      <c r="E798" s="140"/>
      <c r="F798" s="140"/>
      <c r="G798" s="143"/>
      <c r="H798" s="144"/>
    </row>
    <row r="799">
      <c r="A799" s="77"/>
      <c r="B799" s="77"/>
      <c r="C799" s="145"/>
      <c r="D799" s="145"/>
      <c r="E799" s="140"/>
      <c r="F799" s="140"/>
      <c r="G799" s="143"/>
      <c r="H799" s="144"/>
    </row>
    <row r="800">
      <c r="A800" s="77"/>
      <c r="B800" s="77"/>
      <c r="C800" s="145"/>
      <c r="D800" s="145"/>
      <c r="E800" s="140"/>
      <c r="F800" s="140"/>
      <c r="G800" s="143"/>
      <c r="H800" s="144"/>
    </row>
    <row r="801">
      <c r="A801" s="77"/>
      <c r="B801" s="77"/>
      <c r="C801" s="145"/>
      <c r="D801" s="145"/>
      <c r="E801" s="140"/>
      <c r="F801" s="140"/>
      <c r="G801" s="143"/>
      <c r="H801" s="144"/>
    </row>
    <row r="802">
      <c r="A802" s="77"/>
      <c r="B802" s="77"/>
      <c r="C802" s="145"/>
      <c r="D802" s="145"/>
      <c r="E802" s="140"/>
      <c r="F802" s="140"/>
      <c r="G802" s="143"/>
      <c r="H802" s="144"/>
    </row>
    <row r="803">
      <c r="A803" s="77"/>
      <c r="B803" s="77"/>
      <c r="C803" s="145"/>
      <c r="D803" s="145"/>
      <c r="E803" s="140"/>
      <c r="F803" s="140"/>
      <c r="G803" s="143"/>
      <c r="H803" s="144"/>
    </row>
    <row r="804">
      <c r="A804" s="77"/>
      <c r="B804" s="77"/>
      <c r="C804" s="145"/>
      <c r="D804" s="145"/>
      <c r="E804" s="140"/>
      <c r="F804" s="140"/>
      <c r="G804" s="143"/>
      <c r="H804" s="144"/>
    </row>
    <row r="805">
      <c r="A805" s="77"/>
      <c r="B805" s="77"/>
      <c r="C805" s="145"/>
      <c r="D805" s="145"/>
      <c r="E805" s="140"/>
      <c r="F805" s="140"/>
      <c r="G805" s="143"/>
      <c r="H805" s="144"/>
    </row>
    <row r="806">
      <c r="A806" s="77"/>
      <c r="B806" s="77"/>
      <c r="C806" s="145"/>
      <c r="D806" s="145"/>
      <c r="E806" s="140"/>
      <c r="F806" s="140"/>
      <c r="G806" s="143"/>
      <c r="H806" s="144"/>
    </row>
    <row r="807">
      <c r="A807" s="77"/>
      <c r="B807" s="77"/>
      <c r="C807" s="145"/>
      <c r="D807" s="145"/>
      <c r="E807" s="140"/>
      <c r="F807" s="140"/>
      <c r="G807" s="143"/>
      <c r="H807" s="144"/>
    </row>
    <row r="808">
      <c r="A808" s="77"/>
      <c r="B808" s="77"/>
      <c r="C808" s="145"/>
      <c r="D808" s="145"/>
      <c r="E808" s="140"/>
      <c r="F808" s="140"/>
      <c r="G808" s="143"/>
      <c r="H808" s="144"/>
    </row>
    <row r="809">
      <c r="A809" s="77"/>
      <c r="B809" s="77"/>
      <c r="C809" s="145"/>
      <c r="D809" s="145"/>
      <c r="E809" s="140"/>
      <c r="F809" s="140"/>
      <c r="G809" s="143"/>
      <c r="H809" s="144"/>
    </row>
    <row r="810">
      <c r="A810" s="77"/>
      <c r="B810" s="77"/>
      <c r="C810" s="145"/>
      <c r="D810" s="145"/>
      <c r="E810" s="140"/>
      <c r="F810" s="140"/>
      <c r="G810" s="143"/>
      <c r="H810" s="144"/>
    </row>
    <row r="811">
      <c r="A811" s="77"/>
      <c r="B811" s="77"/>
      <c r="C811" s="145"/>
      <c r="D811" s="145"/>
      <c r="E811" s="140"/>
      <c r="F811" s="140"/>
      <c r="G811" s="143"/>
      <c r="H811" s="144"/>
    </row>
    <row r="812">
      <c r="A812" s="77"/>
      <c r="B812" s="77"/>
      <c r="C812" s="145"/>
      <c r="D812" s="145"/>
      <c r="E812" s="140"/>
      <c r="F812" s="140"/>
      <c r="G812" s="143"/>
      <c r="H812" s="144"/>
    </row>
    <row r="813">
      <c r="A813" s="77"/>
      <c r="B813" s="77"/>
      <c r="C813" s="145"/>
      <c r="D813" s="145"/>
      <c r="E813" s="140"/>
      <c r="F813" s="140"/>
      <c r="G813" s="143"/>
      <c r="H813" s="144"/>
    </row>
    <row r="814">
      <c r="A814" s="77"/>
      <c r="B814" s="77"/>
      <c r="C814" s="145"/>
      <c r="D814" s="145"/>
      <c r="E814" s="140"/>
      <c r="F814" s="140"/>
      <c r="G814" s="143"/>
      <c r="H814" s="144"/>
    </row>
    <row r="815">
      <c r="A815" s="77"/>
      <c r="B815" s="77"/>
      <c r="C815" s="145"/>
      <c r="D815" s="145"/>
      <c r="E815" s="140"/>
      <c r="F815" s="140"/>
      <c r="G815" s="143"/>
      <c r="H815" s="144"/>
    </row>
    <row r="816">
      <c r="A816" s="77"/>
      <c r="B816" s="77"/>
      <c r="C816" s="145"/>
      <c r="D816" s="145"/>
      <c r="E816" s="140"/>
      <c r="F816" s="140"/>
      <c r="G816" s="143"/>
      <c r="H816" s="144"/>
    </row>
    <row r="817">
      <c r="A817" s="77"/>
      <c r="B817" s="77"/>
      <c r="C817" s="145"/>
      <c r="D817" s="145"/>
      <c r="E817" s="140"/>
      <c r="F817" s="140"/>
      <c r="G817" s="143"/>
      <c r="H817" s="144"/>
    </row>
    <row r="818">
      <c r="A818" s="77"/>
      <c r="B818" s="77"/>
      <c r="C818" s="145"/>
      <c r="D818" s="145"/>
      <c r="E818" s="140"/>
      <c r="F818" s="140"/>
      <c r="G818" s="143"/>
      <c r="H818" s="144"/>
    </row>
    <row r="819">
      <c r="A819" s="77"/>
      <c r="B819" s="77"/>
      <c r="C819" s="145"/>
      <c r="D819" s="145"/>
      <c r="E819" s="140"/>
      <c r="F819" s="140"/>
      <c r="G819" s="143"/>
      <c r="H819" s="144"/>
    </row>
    <row r="820">
      <c r="A820" s="77"/>
      <c r="B820" s="77"/>
      <c r="C820" s="145"/>
      <c r="D820" s="145"/>
      <c r="E820" s="140"/>
      <c r="F820" s="140"/>
      <c r="G820" s="143"/>
      <c r="H820" s="144"/>
    </row>
    <row r="821">
      <c r="A821" s="77"/>
      <c r="B821" s="77"/>
      <c r="C821" s="145"/>
      <c r="D821" s="145"/>
      <c r="E821" s="140"/>
      <c r="F821" s="140"/>
      <c r="G821" s="143"/>
      <c r="H821" s="144"/>
    </row>
    <row r="822">
      <c r="A822" s="77"/>
      <c r="B822" s="77"/>
      <c r="C822" s="145"/>
      <c r="D822" s="145"/>
      <c r="E822" s="140"/>
      <c r="F822" s="140"/>
      <c r="G822" s="143"/>
      <c r="H822" s="144"/>
    </row>
    <row r="823">
      <c r="A823" s="77"/>
      <c r="B823" s="77"/>
      <c r="C823" s="145"/>
      <c r="D823" s="145"/>
      <c r="E823" s="140"/>
      <c r="F823" s="140"/>
      <c r="G823" s="143"/>
      <c r="H823" s="144"/>
    </row>
    <row r="824">
      <c r="A824" s="77"/>
      <c r="B824" s="77"/>
      <c r="C824" s="145"/>
      <c r="D824" s="145"/>
      <c r="E824" s="140"/>
      <c r="F824" s="140"/>
      <c r="G824" s="143"/>
      <c r="H824" s="144"/>
    </row>
    <row r="825">
      <c r="A825" s="77"/>
      <c r="B825" s="77"/>
      <c r="C825" s="145"/>
      <c r="D825" s="145"/>
      <c r="E825" s="140"/>
      <c r="F825" s="140"/>
      <c r="G825" s="143"/>
      <c r="H825" s="144"/>
    </row>
    <row r="826">
      <c r="A826" s="77"/>
      <c r="B826" s="77"/>
      <c r="C826" s="145"/>
      <c r="D826" s="145"/>
      <c r="E826" s="140"/>
      <c r="F826" s="140"/>
      <c r="G826" s="143"/>
      <c r="H826" s="144"/>
    </row>
    <row r="827">
      <c r="A827" s="77"/>
      <c r="B827" s="77"/>
      <c r="C827" s="145"/>
      <c r="D827" s="145"/>
      <c r="E827" s="140"/>
      <c r="F827" s="140"/>
      <c r="G827" s="143"/>
      <c r="H827" s="144"/>
    </row>
    <row r="828">
      <c r="A828" s="77"/>
      <c r="B828" s="77"/>
      <c r="C828" s="145"/>
      <c r="D828" s="145"/>
      <c r="E828" s="140"/>
      <c r="F828" s="140"/>
      <c r="G828" s="143"/>
      <c r="H828" s="144"/>
    </row>
    <row r="829">
      <c r="A829" s="77"/>
      <c r="B829" s="77"/>
      <c r="C829" s="145"/>
      <c r="D829" s="145"/>
      <c r="E829" s="140"/>
      <c r="F829" s="140"/>
      <c r="G829" s="143"/>
      <c r="H829" s="144"/>
    </row>
    <row r="830">
      <c r="A830" s="77"/>
      <c r="B830" s="77"/>
      <c r="C830" s="145"/>
      <c r="D830" s="145"/>
      <c r="E830" s="140"/>
      <c r="F830" s="140"/>
      <c r="G830" s="143"/>
      <c r="H830" s="144"/>
    </row>
    <row r="831">
      <c r="A831" s="77"/>
      <c r="B831" s="77"/>
      <c r="C831" s="145"/>
      <c r="D831" s="145"/>
      <c r="E831" s="140"/>
      <c r="F831" s="140"/>
      <c r="G831" s="143"/>
      <c r="H831" s="144"/>
    </row>
    <row r="832">
      <c r="A832" s="77"/>
      <c r="B832" s="77"/>
      <c r="C832" s="145"/>
      <c r="D832" s="145"/>
      <c r="E832" s="140"/>
      <c r="F832" s="140"/>
      <c r="G832" s="143"/>
      <c r="H832" s="144"/>
    </row>
    <row r="833">
      <c r="A833" s="77"/>
      <c r="B833" s="77"/>
      <c r="C833" s="145"/>
      <c r="D833" s="145"/>
      <c r="E833" s="140"/>
      <c r="F833" s="140"/>
      <c r="G833" s="143"/>
      <c r="H833" s="144"/>
    </row>
    <row r="834">
      <c r="A834" s="77"/>
      <c r="B834" s="77"/>
      <c r="C834" s="145"/>
      <c r="D834" s="145"/>
      <c r="E834" s="140"/>
      <c r="F834" s="140"/>
      <c r="G834" s="143"/>
      <c r="H834" s="144"/>
    </row>
    <row r="835">
      <c r="A835" s="77"/>
      <c r="B835" s="77"/>
      <c r="C835" s="145"/>
      <c r="D835" s="145"/>
      <c r="E835" s="140"/>
      <c r="F835" s="140"/>
      <c r="G835" s="143"/>
      <c r="H835" s="144"/>
    </row>
    <row r="836">
      <c r="A836" s="77"/>
      <c r="B836" s="77"/>
      <c r="C836" s="145"/>
      <c r="D836" s="145"/>
      <c r="E836" s="140"/>
      <c r="F836" s="140"/>
      <c r="G836" s="143"/>
      <c r="H836" s="144"/>
    </row>
    <row r="837">
      <c r="A837" s="77"/>
      <c r="B837" s="77"/>
      <c r="C837" s="145"/>
      <c r="D837" s="145"/>
      <c r="E837" s="140"/>
      <c r="F837" s="140"/>
      <c r="G837" s="143"/>
      <c r="H837" s="144"/>
    </row>
    <row r="838">
      <c r="A838" s="77"/>
      <c r="B838" s="77"/>
      <c r="C838" s="145"/>
      <c r="D838" s="145"/>
      <c r="E838" s="140"/>
      <c r="F838" s="140"/>
      <c r="G838" s="143"/>
      <c r="H838" s="144"/>
    </row>
    <row r="839">
      <c r="A839" s="77"/>
      <c r="B839" s="77"/>
      <c r="C839" s="145"/>
      <c r="D839" s="145"/>
      <c r="E839" s="140"/>
      <c r="F839" s="140"/>
      <c r="G839" s="143"/>
      <c r="H839" s="144"/>
    </row>
    <row r="840">
      <c r="A840" s="77"/>
      <c r="B840" s="77"/>
      <c r="C840" s="145"/>
      <c r="D840" s="145"/>
      <c r="E840" s="140"/>
      <c r="F840" s="140"/>
      <c r="G840" s="143"/>
      <c r="H840" s="144"/>
    </row>
    <row r="841">
      <c r="A841" s="77"/>
      <c r="B841" s="77"/>
      <c r="C841" s="145"/>
      <c r="D841" s="145"/>
      <c r="E841" s="140"/>
      <c r="F841" s="140"/>
      <c r="G841" s="143"/>
      <c r="H841" s="144"/>
    </row>
    <row r="842">
      <c r="A842" s="77"/>
      <c r="B842" s="77"/>
      <c r="C842" s="145"/>
      <c r="D842" s="145"/>
      <c r="E842" s="140"/>
      <c r="F842" s="140"/>
      <c r="G842" s="143"/>
      <c r="H842" s="144"/>
    </row>
    <row r="843">
      <c r="A843" s="77"/>
      <c r="B843" s="77"/>
      <c r="C843" s="145"/>
      <c r="D843" s="145"/>
      <c r="E843" s="140"/>
      <c r="F843" s="140"/>
      <c r="G843" s="143"/>
      <c r="H843" s="144"/>
    </row>
    <row r="844">
      <c r="A844" s="77"/>
      <c r="B844" s="77"/>
      <c r="C844" s="145"/>
      <c r="D844" s="145"/>
      <c r="E844" s="140"/>
      <c r="F844" s="140"/>
      <c r="G844" s="143"/>
      <c r="H844" s="144"/>
    </row>
    <row r="845">
      <c r="A845" s="77"/>
      <c r="B845" s="77"/>
      <c r="C845" s="145"/>
      <c r="D845" s="145"/>
      <c r="E845" s="140"/>
      <c r="F845" s="140"/>
      <c r="G845" s="143"/>
      <c r="H845" s="144"/>
    </row>
    <row r="846">
      <c r="A846" s="77"/>
      <c r="B846" s="77"/>
      <c r="C846" s="145"/>
      <c r="D846" s="145"/>
      <c r="E846" s="140"/>
      <c r="F846" s="140"/>
      <c r="G846" s="143"/>
      <c r="H846" s="144"/>
    </row>
    <row r="847">
      <c r="A847" s="77"/>
      <c r="B847" s="77"/>
      <c r="C847" s="145"/>
      <c r="D847" s="145"/>
      <c r="E847" s="140"/>
      <c r="F847" s="140"/>
      <c r="G847" s="143"/>
      <c r="H847" s="144"/>
    </row>
    <row r="848">
      <c r="A848" s="77"/>
      <c r="B848" s="77"/>
      <c r="C848" s="145"/>
      <c r="D848" s="145"/>
      <c r="E848" s="140"/>
      <c r="F848" s="140"/>
      <c r="G848" s="143"/>
      <c r="H848" s="144"/>
    </row>
    <row r="849">
      <c r="A849" s="77"/>
      <c r="B849" s="77"/>
      <c r="C849" s="145"/>
      <c r="D849" s="145"/>
      <c r="E849" s="140"/>
      <c r="F849" s="140"/>
      <c r="G849" s="143"/>
      <c r="H849" s="144"/>
    </row>
    <row r="850">
      <c r="A850" s="77"/>
      <c r="B850" s="77"/>
      <c r="C850" s="145"/>
      <c r="D850" s="145"/>
      <c r="E850" s="140"/>
      <c r="F850" s="140"/>
      <c r="G850" s="143"/>
      <c r="H850" s="144"/>
    </row>
    <row r="851">
      <c r="A851" s="77"/>
      <c r="B851" s="77"/>
      <c r="C851" s="145"/>
      <c r="D851" s="145"/>
      <c r="E851" s="140"/>
      <c r="F851" s="140"/>
      <c r="G851" s="143"/>
      <c r="H851" s="144"/>
    </row>
    <row r="852">
      <c r="A852" s="77"/>
      <c r="B852" s="77"/>
      <c r="C852" s="145"/>
      <c r="D852" s="145"/>
      <c r="E852" s="140"/>
      <c r="F852" s="140"/>
      <c r="G852" s="143"/>
      <c r="H852" s="144"/>
    </row>
    <row r="853">
      <c r="A853" s="77"/>
      <c r="B853" s="77"/>
      <c r="C853" s="145"/>
      <c r="D853" s="145"/>
      <c r="E853" s="140"/>
      <c r="F853" s="140"/>
      <c r="G853" s="143"/>
      <c r="H853" s="144"/>
    </row>
    <row r="854">
      <c r="A854" s="77"/>
      <c r="B854" s="77"/>
      <c r="C854" s="145"/>
      <c r="D854" s="145"/>
      <c r="E854" s="140"/>
      <c r="F854" s="140"/>
      <c r="G854" s="143"/>
      <c r="H854" s="144"/>
    </row>
    <row r="855">
      <c r="A855" s="77"/>
      <c r="B855" s="77"/>
      <c r="C855" s="145"/>
      <c r="D855" s="145"/>
      <c r="E855" s="140"/>
      <c r="F855" s="140"/>
      <c r="G855" s="143"/>
      <c r="H855" s="144"/>
    </row>
    <row r="856">
      <c r="A856" s="77"/>
      <c r="B856" s="77"/>
      <c r="C856" s="145"/>
      <c r="D856" s="145"/>
      <c r="E856" s="140"/>
      <c r="F856" s="140"/>
      <c r="G856" s="143"/>
      <c r="H856" s="144"/>
    </row>
    <row r="857">
      <c r="A857" s="77"/>
      <c r="B857" s="77"/>
      <c r="C857" s="145"/>
      <c r="D857" s="145"/>
      <c r="E857" s="140"/>
      <c r="F857" s="140"/>
      <c r="G857" s="143"/>
      <c r="H857" s="144"/>
    </row>
    <row r="858">
      <c r="A858" s="77"/>
      <c r="B858" s="77"/>
      <c r="C858" s="145"/>
      <c r="D858" s="145"/>
      <c r="E858" s="140"/>
      <c r="F858" s="140"/>
      <c r="G858" s="143"/>
      <c r="H858" s="144"/>
    </row>
    <row r="859">
      <c r="A859" s="77"/>
      <c r="B859" s="77"/>
      <c r="C859" s="145"/>
      <c r="D859" s="145"/>
      <c r="E859" s="140"/>
      <c r="F859" s="140"/>
      <c r="G859" s="143"/>
      <c r="H859" s="144"/>
    </row>
    <row r="860">
      <c r="A860" s="77"/>
      <c r="B860" s="77"/>
      <c r="C860" s="145"/>
      <c r="D860" s="145"/>
      <c r="E860" s="140"/>
      <c r="F860" s="140"/>
      <c r="G860" s="143"/>
      <c r="H860" s="144"/>
    </row>
    <row r="861">
      <c r="A861" s="77"/>
      <c r="B861" s="77"/>
      <c r="C861" s="145"/>
      <c r="D861" s="145"/>
      <c r="E861" s="140"/>
      <c r="F861" s="140"/>
      <c r="G861" s="143"/>
      <c r="H861" s="144"/>
    </row>
    <row r="862">
      <c r="A862" s="77"/>
      <c r="B862" s="77"/>
      <c r="C862" s="145"/>
      <c r="D862" s="145"/>
      <c r="E862" s="140"/>
      <c r="F862" s="140"/>
      <c r="G862" s="143"/>
      <c r="H862" s="144"/>
    </row>
    <row r="863">
      <c r="A863" s="77"/>
      <c r="B863" s="77"/>
      <c r="C863" s="145"/>
      <c r="D863" s="145"/>
      <c r="E863" s="140"/>
      <c r="F863" s="140"/>
      <c r="G863" s="143"/>
      <c r="H863" s="144"/>
    </row>
    <row r="864">
      <c r="A864" s="77"/>
      <c r="B864" s="77"/>
      <c r="C864" s="145"/>
      <c r="D864" s="145"/>
      <c r="E864" s="140"/>
      <c r="F864" s="140"/>
      <c r="G864" s="143"/>
      <c r="H864" s="144"/>
    </row>
    <row r="865">
      <c r="A865" s="77"/>
      <c r="B865" s="77"/>
      <c r="C865" s="145"/>
      <c r="D865" s="145"/>
      <c r="E865" s="140"/>
      <c r="F865" s="140"/>
      <c r="G865" s="143"/>
      <c r="H865" s="144"/>
    </row>
    <row r="866">
      <c r="A866" s="77"/>
      <c r="B866" s="77"/>
      <c r="C866" s="145"/>
      <c r="D866" s="145"/>
      <c r="E866" s="140"/>
      <c r="F866" s="140"/>
      <c r="G866" s="143"/>
      <c r="H866" s="144"/>
    </row>
    <row r="867">
      <c r="A867" s="77"/>
      <c r="B867" s="77"/>
      <c r="C867" s="145"/>
      <c r="D867" s="145"/>
      <c r="E867" s="140"/>
      <c r="F867" s="140"/>
      <c r="G867" s="143"/>
      <c r="H867" s="144"/>
    </row>
    <row r="868">
      <c r="A868" s="77"/>
      <c r="B868" s="77"/>
      <c r="C868" s="145"/>
      <c r="D868" s="145"/>
      <c r="E868" s="140"/>
      <c r="F868" s="140"/>
      <c r="G868" s="143"/>
      <c r="H868" s="144"/>
    </row>
    <row r="869">
      <c r="A869" s="77"/>
      <c r="B869" s="77"/>
      <c r="C869" s="145"/>
      <c r="D869" s="145"/>
      <c r="E869" s="140"/>
      <c r="F869" s="140"/>
      <c r="G869" s="143"/>
      <c r="H869" s="144"/>
    </row>
    <row r="870">
      <c r="A870" s="77"/>
      <c r="B870" s="77"/>
      <c r="C870" s="145"/>
      <c r="D870" s="145"/>
      <c r="E870" s="140"/>
      <c r="F870" s="140"/>
      <c r="G870" s="143"/>
      <c r="H870" s="144"/>
    </row>
    <row r="871">
      <c r="A871" s="77"/>
      <c r="B871" s="77"/>
      <c r="C871" s="145"/>
      <c r="D871" s="145"/>
      <c r="E871" s="140"/>
      <c r="F871" s="140"/>
      <c r="G871" s="143"/>
      <c r="H871" s="144"/>
    </row>
    <row r="872">
      <c r="A872" s="77"/>
      <c r="B872" s="77"/>
      <c r="C872" s="145"/>
      <c r="D872" s="145"/>
      <c r="E872" s="140"/>
      <c r="F872" s="140"/>
      <c r="G872" s="143"/>
      <c r="H872" s="144"/>
    </row>
    <row r="873">
      <c r="A873" s="77"/>
      <c r="B873" s="77"/>
      <c r="C873" s="145"/>
      <c r="D873" s="145"/>
      <c r="E873" s="140"/>
      <c r="F873" s="140"/>
      <c r="G873" s="143"/>
      <c r="H873" s="144"/>
    </row>
    <row r="874">
      <c r="A874" s="77"/>
      <c r="B874" s="77"/>
      <c r="C874" s="145"/>
      <c r="D874" s="145"/>
      <c r="E874" s="140"/>
      <c r="F874" s="140"/>
      <c r="G874" s="143"/>
      <c r="H874" s="144"/>
    </row>
    <row r="875">
      <c r="A875" s="77"/>
      <c r="B875" s="77"/>
      <c r="C875" s="145"/>
      <c r="D875" s="145"/>
      <c r="E875" s="140"/>
      <c r="F875" s="140"/>
      <c r="G875" s="143"/>
      <c r="H875" s="144"/>
    </row>
    <row r="876">
      <c r="A876" s="77"/>
      <c r="B876" s="77"/>
      <c r="C876" s="145"/>
      <c r="D876" s="145"/>
      <c r="E876" s="140"/>
      <c r="F876" s="140"/>
      <c r="G876" s="143"/>
      <c r="H876" s="144"/>
    </row>
    <row r="877">
      <c r="A877" s="77"/>
      <c r="B877" s="77"/>
      <c r="C877" s="145"/>
      <c r="D877" s="145"/>
      <c r="E877" s="140"/>
      <c r="F877" s="140"/>
      <c r="G877" s="143"/>
      <c r="H877" s="144"/>
    </row>
    <row r="878">
      <c r="A878" s="77"/>
      <c r="B878" s="77"/>
      <c r="C878" s="145"/>
      <c r="D878" s="145"/>
      <c r="E878" s="140"/>
      <c r="F878" s="140"/>
      <c r="G878" s="143"/>
      <c r="H878" s="144"/>
    </row>
    <row r="879">
      <c r="A879" s="77"/>
      <c r="B879" s="77"/>
      <c r="C879" s="145"/>
      <c r="D879" s="145"/>
      <c r="E879" s="140"/>
      <c r="F879" s="140"/>
      <c r="G879" s="143"/>
      <c r="H879" s="144"/>
    </row>
    <row r="880">
      <c r="A880" s="77"/>
      <c r="B880" s="77"/>
      <c r="C880" s="145"/>
      <c r="D880" s="145"/>
      <c r="E880" s="140"/>
      <c r="F880" s="140"/>
      <c r="G880" s="143"/>
      <c r="H880" s="144"/>
    </row>
    <row r="881">
      <c r="A881" s="77"/>
      <c r="B881" s="77"/>
      <c r="C881" s="145"/>
      <c r="D881" s="145"/>
      <c r="E881" s="140"/>
      <c r="F881" s="140"/>
      <c r="G881" s="143"/>
      <c r="H881" s="144"/>
    </row>
    <row r="882">
      <c r="A882" s="77"/>
      <c r="B882" s="77"/>
      <c r="C882" s="145"/>
      <c r="D882" s="145"/>
      <c r="E882" s="140"/>
      <c r="F882" s="140"/>
      <c r="G882" s="143"/>
      <c r="H882" s="144"/>
    </row>
    <row r="883">
      <c r="A883" s="77"/>
      <c r="B883" s="77"/>
      <c r="C883" s="145"/>
      <c r="D883" s="145"/>
      <c r="E883" s="140"/>
      <c r="F883" s="140"/>
      <c r="G883" s="143"/>
      <c r="H883" s="144"/>
    </row>
    <row r="884">
      <c r="A884" s="77"/>
      <c r="B884" s="77"/>
      <c r="C884" s="145"/>
      <c r="D884" s="145"/>
      <c r="E884" s="140"/>
      <c r="F884" s="140"/>
      <c r="G884" s="143"/>
      <c r="H884" s="144"/>
    </row>
    <row r="885">
      <c r="A885" s="77"/>
      <c r="B885" s="77"/>
      <c r="C885" s="145"/>
      <c r="D885" s="145"/>
      <c r="E885" s="140"/>
      <c r="F885" s="140"/>
      <c r="G885" s="143"/>
      <c r="H885" s="144"/>
    </row>
    <row r="886">
      <c r="A886" s="77"/>
      <c r="B886" s="77"/>
      <c r="C886" s="145"/>
      <c r="D886" s="145"/>
      <c r="E886" s="140"/>
      <c r="F886" s="140"/>
      <c r="G886" s="143"/>
      <c r="H886" s="144"/>
    </row>
    <row r="887">
      <c r="A887" s="77"/>
      <c r="B887" s="77"/>
      <c r="C887" s="145"/>
      <c r="D887" s="145"/>
      <c r="E887" s="140"/>
      <c r="F887" s="140"/>
      <c r="G887" s="143"/>
      <c r="H887" s="144"/>
    </row>
    <row r="888">
      <c r="A888" s="77"/>
      <c r="B888" s="77"/>
      <c r="C888" s="145"/>
      <c r="D888" s="145"/>
      <c r="E888" s="140"/>
      <c r="F888" s="140"/>
      <c r="G888" s="143"/>
      <c r="H888" s="144"/>
    </row>
    <row r="889">
      <c r="A889" s="77"/>
      <c r="B889" s="77"/>
      <c r="C889" s="145"/>
      <c r="D889" s="145"/>
      <c r="E889" s="140"/>
      <c r="F889" s="140"/>
      <c r="G889" s="143"/>
      <c r="H889" s="144"/>
    </row>
    <row r="890">
      <c r="A890" s="77"/>
      <c r="B890" s="77"/>
      <c r="C890" s="145"/>
      <c r="D890" s="145"/>
      <c r="E890" s="140"/>
      <c r="F890" s="140"/>
      <c r="G890" s="143"/>
      <c r="H890" s="144"/>
    </row>
    <row r="891">
      <c r="A891" s="77"/>
      <c r="B891" s="77"/>
      <c r="C891" s="145"/>
      <c r="D891" s="145"/>
      <c r="E891" s="140"/>
      <c r="F891" s="140"/>
      <c r="G891" s="143"/>
      <c r="H891" s="144"/>
    </row>
    <row r="892">
      <c r="A892" s="77"/>
      <c r="B892" s="77"/>
      <c r="C892" s="145"/>
      <c r="D892" s="145"/>
      <c r="E892" s="140"/>
      <c r="F892" s="140"/>
      <c r="G892" s="143"/>
      <c r="H892" s="144"/>
    </row>
    <row r="893">
      <c r="A893" s="77"/>
      <c r="B893" s="77"/>
      <c r="C893" s="145"/>
      <c r="D893" s="145"/>
      <c r="E893" s="140"/>
      <c r="F893" s="140"/>
      <c r="G893" s="143"/>
      <c r="H893" s="144"/>
    </row>
    <row r="894">
      <c r="A894" s="77"/>
      <c r="B894" s="77"/>
      <c r="C894" s="145"/>
      <c r="D894" s="145"/>
      <c r="E894" s="140"/>
      <c r="F894" s="140"/>
      <c r="G894" s="143"/>
      <c r="H894" s="144"/>
    </row>
    <row r="895">
      <c r="A895" s="77"/>
      <c r="B895" s="77"/>
      <c r="C895" s="145"/>
      <c r="D895" s="145"/>
      <c r="E895" s="140"/>
      <c r="F895" s="140"/>
      <c r="G895" s="143"/>
      <c r="H895" s="144"/>
    </row>
    <row r="896">
      <c r="A896" s="77"/>
      <c r="B896" s="77"/>
      <c r="C896" s="145"/>
      <c r="D896" s="145"/>
      <c r="E896" s="140"/>
      <c r="F896" s="140"/>
      <c r="G896" s="143"/>
      <c r="H896" s="144"/>
    </row>
    <row r="897">
      <c r="A897" s="77"/>
      <c r="B897" s="77"/>
      <c r="C897" s="145"/>
      <c r="D897" s="145"/>
      <c r="E897" s="140"/>
      <c r="F897" s="140"/>
      <c r="G897" s="143"/>
      <c r="H897" s="144"/>
    </row>
    <row r="898">
      <c r="A898" s="77"/>
      <c r="B898" s="77"/>
      <c r="C898" s="145"/>
      <c r="D898" s="145"/>
      <c r="E898" s="140"/>
      <c r="F898" s="140"/>
      <c r="G898" s="143"/>
      <c r="H898" s="144"/>
    </row>
    <row r="899">
      <c r="A899" s="77"/>
      <c r="B899" s="77"/>
      <c r="C899" s="145"/>
      <c r="D899" s="145"/>
      <c r="E899" s="140"/>
      <c r="F899" s="140"/>
      <c r="G899" s="143"/>
      <c r="H899" s="144"/>
    </row>
    <row r="900">
      <c r="A900" s="77"/>
      <c r="B900" s="77"/>
      <c r="C900" s="145"/>
      <c r="D900" s="145"/>
      <c r="E900" s="140"/>
      <c r="F900" s="140"/>
      <c r="G900" s="143"/>
      <c r="H900" s="144"/>
    </row>
    <row r="901">
      <c r="A901" s="77"/>
      <c r="B901" s="77"/>
      <c r="C901" s="145"/>
      <c r="D901" s="145"/>
      <c r="E901" s="140"/>
      <c r="F901" s="140"/>
      <c r="G901" s="143"/>
      <c r="H901" s="144"/>
    </row>
    <row r="902">
      <c r="A902" s="77"/>
      <c r="B902" s="77"/>
      <c r="C902" s="145"/>
      <c r="D902" s="145"/>
      <c r="E902" s="140"/>
      <c r="F902" s="140"/>
      <c r="G902" s="143"/>
      <c r="H902" s="144"/>
    </row>
    <row r="903">
      <c r="A903" s="77"/>
      <c r="B903" s="77"/>
      <c r="C903" s="145"/>
      <c r="D903" s="145"/>
      <c r="E903" s="140"/>
      <c r="F903" s="140"/>
      <c r="G903" s="143"/>
      <c r="H903" s="144"/>
    </row>
    <row r="904">
      <c r="A904" s="77"/>
      <c r="B904" s="77"/>
      <c r="C904" s="145"/>
      <c r="D904" s="145"/>
      <c r="E904" s="140"/>
      <c r="F904" s="140"/>
      <c r="G904" s="143"/>
      <c r="H904" s="144"/>
    </row>
    <row r="905">
      <c r="A905" s="77"/>
      <c r="B905" s="77"/>
      <c r="C905" s="145"/>
      <c r="D905" s="145"/>
      <c r="E905" s="140"/>
      <c r="F905" s="140"/>
      <c r="G905" s="143"/>
      <c r="H905" s="144"/>
    </row>
    <row r="906">
      <c r="A906" s="77"/>
      <c r="B906" s="77"/>
      <c r="C906" s="145"/>
      <c r="D906" s="145"/>
      <c r="E906" s="140"/>
      <c r="F906" s="140"/>
      <c r="G906" s="143"/>
      <c r="H906" s="144"/>
    </row>
    <row r="907">
      <c r="A907" s="77"/>
      <c r="B907" s="77"/>
      <c r="C907" s="145"/>
      <c r="D907" s="145"/>
      <c r="E907" s="140"/>
      <c r="F907" s="140"/>
      <c r="G907" s="143"/>
      <c r="H907" s="144"/>
    </row>
    <row r="908">
      <c r="A908" s="77"/>
      <c r="B908" s="77"/>
      <c r="C908" s="145"/>
      <c r="D908" s="145"/>
      <c r="E908" s="140"/>
      <c r="F908" s="140"/>
      <c r="G908" s="143"/>
      <c r="H908" s="144"/>
    </row>
    <row r="909">
      <c r="A909" s="77"/>
      <c r="B909" s="77"/>
      <c r="C909" s="145"/>
      <c r="D909" s="145"/>
      <c r="E909" s="140"/>
      <c r="F909" s="140"/>
      <c r="G909" s="143"/>
      <c r="H909" s="144"/>
    </row>
    <row r="910">
      <c r="A910" s="77"/>
      <c r="B910" s="77"/>
      <c r="C910" s="145"/>
      <c r="D910" s="145"/>
      <c r="E910" s="140"/>
      <c r="F910" s="140"/>
      <c r="G910" s="143"/>
      <c r="H910" s="144"/>
    </row>
    <row r="911">
      <c r="A911" s="77"/>
      <c r="B911" s="77"/>
      <c r="C911" s="145"/>
      <c r="D911" s="145"/>
      <c r="E911" s="140"/>
      <c r="F911" s="140"/>
      <c r="G911" s="143"/>
      <c r="H911" s="144"/>
    </row>
    <row r="912">
      <c r="A912" s="77"/>
      <c r="B912" s="77"/>
      <c r="C912" s="145"/>
      <c r="D912" s="145"/>
      <c r="E912" s="140"/>
      <c r="F912" s="140"/>
      <c r="G912" s="143"/>
      <c r="H912" s="144"/>
    </row>
    <row r="913">
      <c r="A913" s="77"/>
      <c r="B913" s="77"/>
      <c r="C913" s="145"/>
      <c r="D913" s="145"/>
      <c r="E913" s="140"/>
      <c r="F913" s="140"/>
      <c r="G913" s="143"/>
      <c r="H913" s="144"/>
    </row>
    <row r="914">
      <c r="A914" s="77"/>
      <c r="B914" s="77"/>
      <c r="C914" s="145"/>
      <c r="D914" s="145"/>
      <c r="E914" s="140"/>
      <c r="F914" s="140"/>
      <c r="G914" s="143"/>
      <c r="H914" s="144"/>
    </row>
    <row r="915">
      <c r="A915" s="77"/>
      <c r="B915" s="77"/>
      <c r="C915" s="145"/>
      <c r="D915" s="145"/>
      <c r="E915" s="140"/>
      <c r="F915" s="140"/>
      <c r="G915" s="143"/>
      <c r="H915" s="144"/>
    </row>
    <row r="916">
      <c r="A916" s="77"/>
      <c r="B916" s="77"/>
      <c r="C916" s="145"/>
      <c r="D916" s="145"/>
      <c r="E916" s="140"/>
      <c r="F916" s="140"/>
      <c r="G916" s="143"/>
      <c r="H916" s="144"/>
    </row>
    <row r="917">
      <c r="A917" s="77"/>
      <c r="B917" s="77"/>
      <c r="C917" s="145"/>
      <c r="D917" s="145"/>
      <c r="E917" s="140"/>
      <c r="F917" s="140"/>
      <c r="G917" s="143"/>
      <c r="H917" s="144"/>
    </row>
    <row r="918">
      <c r="A918" s="77"/>
      <c r="B918" s="77"/>
      <c r="C918" s="145"/>
      <c r="D918" s="145"/>
      <c r="E918" s="140"/>
      <c r="F918" s="140"/>
      <c r="G918" s="143"/>
      <c r="H918" s="144"/>
    </row>
    <row r="919">
      <c r="A919" s="77"/>
      <c r="B919" s="77"/>
      <c r="C919" s="145"/>
      <c r="D919" s="145"/>
      <c r="E919" s="140"/>
      <c r="F919" s="140"/>
      <c r="G919" s="143"/>
      <c r="H919" s="144"/>
    </row>
    <row r="920">
      <c r="A920" s="77"/>
      <c r="B920" s="77"/>
      <c r="C920" s="145"/>
      <c r="D920" s="145"/>
      <c r="E920" s="140"/>
      <c r="F920" s="140"/>
      <c r="G920" s="143"/>
      <c r="H920" s="144"/>
    </row>
    <row r="921">
      <c r="A921" s="77"/>
      <c r="B921" s="77"/>
      <c r="C921" s="145"/>
      <c r="D921" s="145"/>
      <c r="E921" s="140"/>
      <c r="F921" s="140"/>
      <c r="G921" s="143"/>
      <c r="H921" s="144"/>
    </row>
    <row r="922">
      <c r="A922" s="77"/>
      <c r="B922" s="77"/>
      <c r="C922" s="145"/>
      <c r="D922" s="145"/>
      <c r="E922" s="140"/>
      <c r="F922" s="140"/>
      <c r="G922" s="143"/>
      <c r="H922" s="144"/>
    </row>
    <row r="923">
      <c r="A923" s="77"/>
      <c r="B923" s="77"/>
      <c r="C923" s="145"/>
      <c r="D923" s="145"/>
      <c r="E923" s="140"/>
      <c r="F923" s="140"/>
      <c r="G923" s="143"/>
      <c r="H923" s="144"/>
    </row>
    <row r="924">
      <c r="A924" s="77"/>
      <c r="B924" s="77"/>
      <c r="C924" s="145"/>
      <c r="D924" s="145"/>
      <c r="E924" s="140"/>
      <c r="F924" s="140"/>
      <c r="G924" s="143"/>
      <c r="H924" s="144"/>
    </row>
    <row r="925">
      <c r="A925" s="77"/>
      <c r="B925" s="77"/>
      <c r="C925" s="145"/>
      <c r="D925" s="145"/>
      <c r="E925" s="140"/>
      <c r="F925" s="140"/>
      <c r="G925" s="143"/>
      <c r="H925" s="144"/>
    </row>
    <row r="926">
      <c r="A926" s="77"/>
      <c r="B926" s="77"/>
      <c r="C926" s="145"/>
      <c r="D926" s="145"/>
      <c r="E926" s="140"/>
      <c r="F926" s="140"/>
      <c r="G926" s="143"/>
      <c r="H926" s="144"/>
    </row>
    <row r="927">
      <c r="A927" s="77"/>
      <c r="B927" s="77"/>
      <c r="C927" s="145"/>
      <c r="D927" s="145"/>
      <c r="E927" s="140"/>
      <c r="F927" s="140"/>
      <c r="G927" s="143"/>
      <c r="H927" s="144"/>
    </row>
    <row r="928">
      <c r="A928" s="77"/>
      <c r="B928" s="77"/>
      <c r="C928" s="145"/>
      <c r="D928" s="145"/>
      <c r="E928" s="140"/>
      <c r="F928" s="140"/>
      <c r="G928" s="143"/>
      <c r="H928" s="144"/>
    </row>
    <row r="929">
      <c r="A929" s="77"/>
      <c r="B929" s="77"/>
      <c r="C929" s="145"/>
      <c r="D929" s="145"/>
      <c r="E929" s="140"/>
      <c r="F929" s="140"/>
      <c r="G929" s="143"/>
      <c r="H929" s="144"/>
    </row>
    <row r="930">
      <c r="A930" s="77"/>
      <c r="B930" s="77"/>
      <c r="C930" s="145"/>
      <c r="D930" s="145"/>
      <c r="E930" s="140"/>
      <c r="F930" s="140"/>
      <c r="G930" s="143"/>
      <c r="H930" s="144"/>
    </row>
    <row r="931">
      <c r="A931" s="77"/>
      <c r="B931" s="77"/>
      <c r="C931" s="145"/>
      <c r="D931" s="145"/>
      <c r="E931" s="140"/>
      <c r="F931" s="140"/>
      <c r="G931" s="143"/>
      <c r="H931" s="144"/>
    </row>
    <row r="932">
      <c r="A932" s="77"/>
      <c r="B932" s="77"/>
      <c r="C932" s="145"/>
      <c r="D932" s="145"/>
      <c r="E932" s="140"/>
      <c r="F932" s="140"/>
      <c r="G932" s="143"/>
      <c r="H932" s="144"/>
    </row>
    <row r="933">
      <c r="A933" s="77"/>
      <c r="B933" s="77"/>
      <c r="C933" s="145"/>
      <c r="D933" s="145"/>
      <c r="E933" s="140"/>
      <c r="F933" s="140"/>
      <c r="G933" s="143"/>
      <c r="H933" s="144"/>
    </row>
    <row r="934">
      <c r="A934" s="77"/>
      <c r="B934" s="77"/>
      <c r="C934" s="145"/>
      <c r="D934" s="145"/>
      <c r="E934" s="140"/>
      <c r="F934" s="140"/>
      <c r="G934" s="143"/>
      <c r="H934" s="144"/>
    </row>
    <row r="935">
      <c r="A935" s="77"/>
      <c r="B935" s="77"/>
      <c r="C935" s="145"/>
      <c r="D935" s="145"/>
      <c r="E935" s="140"/>
      <c r="F935" s="140"/>
      <c r="G935" s="143"/>
      <c r="H935" s="144"/>
    </row>
    <row r="936">
      <c r="A936" s="77"/>
      <c r="B936" s="77"/>
      <c r="C936" s="145"/>
      <c r="D936" s="145"/>
      <c r="E936" s="140"/>
      <c r="F936" s="140"/>
      <c r="G936" s="143"/>
      <c r="H936" s="144"/>
    </row>
    <row r="937">
      <c r="A937" s="77"/>
      <c r="B937" s="77"/>
      <c r="C937" s="145"/>
      <c r="D937" s="145"/>
      <c r="E937" s="140"/>
      <c r="F937" s="140"/>
      <c r="G937" s="143"/>
      <c r="H937" s="144"/>
    </row>
    <row r="938">
      <c r="A938" s="77"/>
      <c r="B938" s="77"/>
      <c r="C938" s="145"/>
      <c r="D938" s="145"/>
      <c r="E938" s="140"/>
      <c r="F938" s="140"/>
      <c r="G938" s="143"/>
      <c r="H938" s="144"/>
    </row>
    <row r="939">
      <c r="A939" s="77"/>
      <c r="B939" s="77"/>
      <c r="C939" s="145"/>
      <c r="D939" s="145"/>
      <c r="E939" s="140"/>
      <c r="F939" s="140"/>
      <c r="G939" s="143"/>
      <c r="H939" s="144"/>
    </row>
    <row r="940">
      <c r="A940" s="77"/>
      <c r="B940" s="77"/>
      <c r="C940" s="145"/>
      <c r="D940" s="145"/>
      <c r="E940" s="140"/>
      <c r="F940" s="140"/>
      <c r="G940" s="143"/>
      <c r="H940" s="144"/>
    </row>
    <row r="941">
      <c r="A941" s="77"/>
      <c r="B941" s="77"/>
      <c r="C941" s="145"/>
      <c r="D941" s="145"/>
      <c r="E941" s="140"/>
      <c r="F941" s="140"/>
      <c r="G941" s="143"/>
      <c r="H941" s="144"/>
    </row>
    <row r="942">
      <c r="A942" s="77"/>
      <c r="B942" s="77"/>
      <c r="C942" s="145"/>
      <c r="D942" s="145"/>
      <c r="E942" s="140"/>
      <c r="F942" s="140"/>
      <c r="G942" s="143"/>
      <c r="H942" s="144"/>
    </row>
    <row r="943">
      <c r="A943" s="77"/>
      <c r="B943" s="77"/>
      <c r="C943" s="145"/>
      <c r="D943" s="145"/>
      <c r="E943" s="140"/>
      <c r="F943" s="140"/>
      <c r="G943" s="143"/>
      <c r="H943" s="144"/>
    </row>
    <row r="944">
      <c r="A944" s="77"/>
      <c r="B944" s="77"/>
      <c r="C944" s="145"/>
      <c r="D944" s="145"/>
      <c r="E944" s="140"/>
      <c r="F944" s="140"/>
      <c r="G944" s="143"/>
      <c r="H944" s="144"/>
    </row>
    <row r="945">
      <c r="A945" s="77"/>
      <c r="B945" s="77"/>
      <c r="C945" s="145"/>
      <c r="D945" s="145"/>
      <c r="E945" s="140"/>
      <c r="F945" s="140"/>
      <c r="G945" s="143"/>
      <c r="H945" s="144"/>
    </row>
    <row r="946">
      <c r="A946" s="77"/>
      <c r="B946" s="77"/>
      <c r="C946" s="145"/>
      <c r="D946" s="145"/>
      <c r="E946" s="140"/>
      <c r="F946" s="140"/>
      <c r="G946" s="143"/>
      <c r="H946" s="144"/>
    </row>
    <row r="947">
      <c r="A947" s="77"/>
      <c r="B947" s="77"/>
      <c r="C947" s="145"/>
      <c r="D947" s="145"/>
      <c r="E947" s="140"/>
      <c r="F947" s="140"/>
      <c r="G947" s="143"/>
      <c r="H947" s="144"/>
    </row>
    <row r="948">
      <c r="A948" s="77"/>
      <c r="B948" s="77"/>
      <c r="C948" s="145"/>
      <c r="D948" s="145"/>
      <c r="E948" s="140"/>
      <c r="F948" s="140"/>
      <c r="G948" s="143"/>
      <c r="H948" s="144"/>
    </row>
    <row r="949">
      <c r="A949" s="77"/>
      <c r="B949" s="77"/>
      <c r="C949" s="145"/>
      <c r="D949" s="145"/>
      <c r="E949" s="140"/>
      <c r="F949" s="140"/>
      <c r="G949" s="143"/>
      <c r="H949" s="144"/>
    </row>
    <row r="950">
      <c r="A950" s="77"/>
      <c r="B950" s="77"/>
      <c r="C950" s="145"/>
      <c r="D950" s="145"/>
      <c r="E950" s="140"/>
      <c r="F950" s="140"/>
      <c r="G950" s="143"/>
      <c r="H950" s="144"/>
    </row>
    <row r="951">
      <c r="A951" s="77"/>
      <c r="B951" s="77"/>
      <c r="C951" s="145"/>
      <c r="D951" s="145"/>
      <c r="E951" s="140"/>
      <c r="F951" s="140"/>
      <c r="G951" s="143"/>
      <c r="H951" s="144"/>
    </row>
    <row r="952">
      <c r="A952" s="77"/>
      <c r="B952" s="77"/>
      <c r="C952" s="145"/>
      <c r="D952" s="145"/>
      <c r="E952" s="140"/>
      <c r="F952" s="140"/>
      <c r="G952" s="143"/>
      <c r="H952" s="144"/>
    </row>
    <row r="953">
      <c r="A953" s="77"/>
      <c r="B953" s="77"/>
      <c r="C953" s="145"/>
      <c r="D953" s="145"/>
      <c r="E953" s="140"/>
      <c r="F953" s="140"/>
      <c r="G953" s="143"/>
      <c r="H953" s="144"/>
    </row>
    <row r="954">
      <c r="A954" s="77"/>
      <c r="B954" s="77"/>
      <c r="C954" s="145"/>
      <c r="D954" s="145"/>
      <c r="E954" s="140"/>
      <c r="F954" s="140"/>
      <c r="G954" s="143"/>
      <c r="H954" s="144"/>
    </row>
    <row r="955">
      <c r="A955" s="77"/>
      <c r="B955" s="77"/>
      <c r="C955" s="145"/>
      <c r="D955" s="145"/>
      <c r="E955" s="140"/>
      <c r="F955" s="140"/>
      <c r="G955" s="143"/>
      <c r="H955" s="144"/>
    </row>
    <row r="956">
      <c r="A956" s="77"/>
      <c r="B956" s="77"/>
      <c r="C956" s="145"/>
      <c r="D956" s="145"/>
      <c r="E956" s="140"/>
      <c r="F956" s="140"/>
      <c r="G956" s="143"/>
      <c r="H956" s="144"/>
    </row>
    <row r="957">
      <c r="A957" s="77"/>
      <c r="B957" s="77"/>
      <c r="C957" s="145"/>
      <c r="D957" s="145"/>
      <c r="E957" s="140"/>
      <c r="F957" s="140"/>
      <c r="G957" s="143"/>
      <c r="H957" s="144"/>
    </row>
    <row r="958">
      <c r="A958" s="77"/>
      <c r="B958" s="77"/>
      <c r="C958" s="145"/>
      <c r="D958" s="145"/>
      <c r="E958" s="140"/>
      <c r="F958" s="140"/>
      <c r="G958" s="143"/>
      <c r="H958" s="144"/>
    </row>
    <row r="959">
      <c r="A959" s="77"/>
      <c r="B959" s="77"/>
      <c r="C959" s="145"/>
      <c r="D959" s="145"/>
      <c r="E959" s="140"/>
      <c r="F959" s="140"/>
      <c r="G959" s="143"/>
      <c r="H959" s="144"/>
    </row>
    <row r="960">
      <c r="A960" s="77"/>
      <c r="B960" s="77"/>
      <c r="C960" s="145"/>
      <c r="D960" s="145"/>
      <c r="E960" s="140"/>
      <c r="F960" s="140"/>
      <c r="G960" s="143"/>
      <c r="H960" s="144"/>
    </row>
    <row r="961">
      <c r="A961" s="77"/>
      <c r="B961" s="77"/>
      <c r="C961" s="145"/>
      <c r="D961" s="145"/>
      <c r="E961" s="140"/>
      <c r="F961" s="140"/>
      <c r="G961" s="143"/>
      <c r="H961" s="144"/>
    </row>
    <row r="962">
      <c r="A962" s="77"/>
      <c r="B962" s="77"/>
      <c r="C962" s="145"/>
      <c r="D962" s="145"/>
      <c r="E962" s="140"/>
      <c r="F962" s="140"/>
      <c r="G962" s="143"/>
      <c r="H962" s="144"/>
    </row>
    <row r="963">
      <c r="A963" s="77"/>
      <c r="B963" s="77"/>
      <c r="C963" s="145"/>
      <c r="D963" s="145"/>
      <c r="E963" s="140"/>
      <c r="F963" s="140"/>
      <c r="G963" s="143"/>
      <c r="H963" s="144"/>
    </row>
    <row r="964">
      <c r="A964" s="77"/>
      <c r="B964" s="77"/>
      <c r="C964" s="145"/>
      <c r="D964" s="145"/>
      <c r="E964" s="140"/>
      <c r="F964" s="140"/>
      <c r="G964" s="143"/>
      <c r="H964" s="144"/>
    </row>
    <row r="965">
      <c r="A965" s="77"/>
      <c r="B965" s="77"/>
      <c r="C965" s="145"/>
      <c r="D965" s="145"/>
      <c r="E965" s="140"/>
      <c r="F965" s="140"/>
      <c r="G965" s="143"/>
      <c r="H965" s="144"/>
    </row>
    <row r="966">
      <c r="A966" s="77"/>
      <c r="B966" s="77"/>
      <c r="C966" s="145"/>
      <c r="D966" s="145"/>
      <c r="E966" s="140"/>
      <c r="F966" s="140"/>
      <c r="G966" s="143"/>
      <c r="H966" s="144"/>
    </row>
    <row r="967">
      <c r="A967" s="77"/>
      <c r="B967" s="77"/>
      <c r="C967" s="145"/>
      <c r="D967" s="145"/>
      <c r="E967" s="140"/>
      <c r="F967" s="140"/>
      <c r="G967" s="143"/>
      <c r="H967" s="144"/>
    </row>
    <row r="968">
      <c r="A968" s="77"/>
      <c r="B968" s="77"/>
      <c r="C968" s="145"/>
      <c r="D968" s="145"/>
      <c r="E968" s="140"/>
      <c r="F968" s="140"/>
      <c r="G968" s="143"/>
      <c r="H968" s="144"/>
    </row>
    <row r="969">
      <c r="A969" s="77"/>
      <c r="B969" s="77"/>
      <c r="C969" s="145"/>
      <c r="D969" s="145"/>
      <c r="E969" s="140"/>
      <c r="F969" s="140"/>
      <c r="G969" s="143"/>
      <c r="H969" s="144"/>
    </row>
    <row r="970">
      <c r="A970" s="77"/>
      <c r="B970" s="77"/>
      <c r="C970" s="145"/>
      <c r="D970" s="145"/>
      <c r="E970" s="140"/>
      <c r="F970" s="140"/>
      <c r="G970" s="143"/>
      <c r="H970" s="144"/>
    </row>
    <row r="971">
      <c r="A971" s="77"/>
      <c r="B971" s="77"/>
      <c r="C971" s="145"/>
      <c r="D971" s="145"/>
      <c r="E971" s="140"/>
      <c r="F971" s="140"/>
      <c r="G971" s="143"/>
      <c r="H971" s="144"/>
    </row>
    <row r="972">
      <c r="A972" s="77"/>
      <c r="B972" s="77"/>
      <c r="C972" s="145"/>
      <c r="D972" s="145"/>
      <c r="E972" s="140"/>
      <c r="F972" s="140"/>
      <c r="G972" s="143"/>
      <c r="H972" s="144"/>
    </row>
    <row r="973">
      <c r="A973" s="77"/>
      <c r="B973" s="77"/>
      <c r="C973" s="145"/>
      <c r="D973" s="145"/>
      <c r="E973" s="140"/>
      <c r="F973" s="140"/>
      <c r="G973" s="143"/>
      <c r="H973" s="144"/>
    </row>
    <row r="974">
      <c r="A974" s="77"/>
      <c r="B974" s="77"/>
      <c r="C974" s="145"/>
      <c r="D974" s="145"/>
      <c r="E974" s="140"/>
      <c r="F974" s="140"/>
      <c r="G974" s="143"/>
      <c r="H974" s="144"/>
    </row>
    <row r="975">
      <c r="A975" s="77"/>
      <c r="B975" s="77"/>
      <c r="C975" s="145"/>
      <c r="D975" s="145"/>
      <c r="E975" s="140"/>
      <c r="F975" s="140"/>
      <c r="G975" s="143"/>
      <c r="H975" s="144"/>
    </row>
    <row r="976">
      <c r="A976" s="77"/>
      <c r="B976" s="77"/>
      <c r="C976" s="145"/>
      <c r="D976" s="145"/>
      <c r="E976" s="140"/>
      <c r="F976" s="140"/>
      <c r="G976" s="143"/>
      <c r="H976" s="144"/>
    </row>
    <row r="977">
      <c r="A977" s="77"/>
      <c r="B977" s="77"/>
      <c r="C977" s="145"/>
      <c r="D977" s="145"/>
      <c r="E977" s="140"/>
      <c r="F977" s="140"/>
      <c r="G977" s="143"/>
      <c r="H977" s="144"/>
    </row>
    <row r="978">
      <c r="A978" s="77"/>
      <c r="B978" s="77"/>
      <c r="C978" s="145"/>
      <c r="D978" s="145"/>
      <c r="E978" s="140"/>
      <c r="F978" s="140"/>
      <c r="G978" s="143"/>
      <c r="H978" s="144"/>
    </row>
    <row r="979">
      <c r="A979" s="77"/>
      <c r="B979" s="77"/>
      <c r="C979" s="145"/>
      <c r="D979" s="145"/>
      <c r="E979" s="140"/>
      <c r="F979" s="140"/>
      <c r="G979" s="143"/>
      <c r="H979" s="144"/>
    </row>
    <row r="980">
      <c r="A980" s="77"/>
      <c r="B980" s="77"/>
      <c r="C980" s="145"/>
      <c r="D980" s="145"/>
      <c r="E980" s="140"/>
      <c r="F980" s="140"/>
      <c r="G980" s="143"/>
      <c r="H980" s="144"/>
    </row>
    <row r="981">
      <c r="A981" s="77"/>
      <c r="B981" s="77"/>
      <c r="C981" s="145"/>
      <c r="D981" s="145"/>
      <c r="E981" s="140"/>
      <c r="F981" s="140"/>
      <c r="G981" s="143"/>
      <c r="H981" s="144"/>
    </row>
    <row r="982">
      <c r="A982" s="77"/>
      <c r="B982" s="77"/>
      <c r="C982" s="145"/>
      <c r="D982" s="145"/>
      <c r="E982" s="140"/>
      <c r="F982" s="140"/>
      <c r="G982" s="143"/>
      <c r="H982" s="144"/>
    </row>
    <row r="983">
      <c r="A983" s="77"/>
      <c r="B983" s="77"/>
      <c r="C983" s="145"/>
      <c r="D983" s="145"/>
      <c r="E983" s="140"/>
      <c r="F983" s="140"/>
      <c r="G983" s="143"/>
      <c r="H983" s="144"/>
    </row>
    <row r="984">
      <c r="A984" s="77"/>
      <c r="B984" s="77"/>
      <c r="C984" s="145"/>
      <c r="D984" s="145"/>
      <c r="E984" s="140"/>
      <c r="F984" s="140"/>
      <c r="G984" s="143"/>
      <c r="H984" s="144"/>
    </row>
    <row r="985">
      <c r="A985" s="77"/>
      <c r="B985" s="77"/>
      <c r="C985" s="145"/>
      <c r="D985" s="145"/>
      <c r="E985" s="140"/>
      <c r="F985" s="140"/>
      <c r="G985" s="143"/>
      <c r="H985" s="144"/>
    </row>
    <row r="986">
      <c r="A986" s="77"/>
      <c r="B986" s="77"/>
      <c r="C986" s="145"/>
      <c r="D986" s="145"/>
      <c r="E986" s="140"/>
      <c r="F986" s="140"/>
      <c r="G986" s="143"/>
      <c r="H986" s="144"/>
    </row>
    <row r="987">
      <c r="A987" s="77"/>
      <c r="B987" s="77"/>
      <c r="C987" s="145"/>
      <c r="D987" s="145"/>
      <c r="E987" s="140"/>
      <c r="F987" s="140"/>
      <c r="G987" s="143"/>
      <c r="H987" s="144"/>
    </row>
    <row r="988">
      <c r="A988" s="77"/>
      <c r="B988" s="77"/>
      <c r="C988" s="145"/>
      <c r="D988" s="145"/>
      <c r="E988" s="140"/>
      <c r="F988" s="140"/>
      <c r="G988" s="143"/>
      <c r="H988" s="144"/>
    </row>
    <row r="989">
      <c r="A989" s="77"/>
      <c r="B989" s="77"/>
      <c r="C989" s="145"/>
      <c r="D989" s="145"/>
      <c r="E989" s="140"/>
      <c r="F989" s="140"/>
      <c r="G989" s="143"/>
      <c r="H989" s="144"/>
    </row>
    <row r="990">
      <c r="A990" s="77"/>
      <c r="B990" s="77"/>
      <c r="C990" s="145"/>
      <c r="D990" s="145"/>
      <c r="E990" s="140"/>
      <c r="F990" s="140"/>
      <c r="G990" s="143"/>
      <c r="H990" s="144"/>
    </row>
    <row r="991">
      <c r="A991" s="77"/>
      <c r="B991" s="77"/>
      <c r="C991" s="145"/>
      <c r="D991" s="145"/>
      <c r="E991" s="140"/>
      <c r="F991" s="140"/>
      <c r="G991" s="143"/>
      <c r="H991" s="144"/>
    </row>
    <row r="992">
      <c r="A992" s="77"/>
      <c r="B992" s="77"/>
      <c r="C992" s="145"/>
      <c r="D992" s="145"/>
      <c r="E992" s="140"/>
      <c r="F992" s="140"/>
      <c r="G992" s="143"/>
      <c r="H992" s="144"/>
    </row>
    <row r="993">
      <c r="A993" s="77"/>
      <c r="B993" s="77"/>
      <c r="C993" s="145"/>
      <c r="D993" s="145"/>
      <c r="E993" s="140"/>
      <c r="F993" s="140"/>
      <c r="G993" s="143"/>
      <c r="H993" s="144"/>
    </row>
    <row r="994">
      <c r="A994" s="77"/>
      <c r="B994" s="77"/>
      <c r="C994" s="145"/>
      <c r="D994" s="145"/>
      <c r="E994" s="140"/>
      <c r="F994" s="140"/>
      <c r="G994" s="143"/>
      <c r="H994" s="144"/>
    </row>
    <row r="995">
      <c r="A995" s="77"/>
      <c r="B995" s="77"/>
      <c r="C995" s="145"/>
      <c r="D995" s="145"/>
      <c r="E995" s="140"/>
      <c r="F995" s="140"/>
      <c r="G995" s="143"/>
      <c r="H995" s="144"/>
    </row>
    <row r="996">
      <c r="A996" s="77"/>
      <c r="B996" s="77"/>
      <c r="C996" s="145"/>
      <c r="D996" s="145"/>
      <c r="E996" s="140"/>
      <c r="F996" s="140"/>
      <c r="G996" s="143"/>
      <c r="H996" s="144"/>
    </row>
    <row r="997">
      <c r="A997" s="77"/>
      <c r="B997" s="77"/>
      <c r="C997" s="145"/>
      <c r="D997" s="145"/>
      <c r="E997" s="140"/>
      <c r="F997" s="140"/>
      <c r="G997" s="143"/>
      <c r="H997" s="144"/>
    </row>
    <row r="998">
      <c r="A998" s="77"/>
      <c r="B998" s="77"/>
      <c r="C998" s="145"/>
      <c r="D998" s="145"/>
      <c r="E998" s="140"/>
      <c r="F998" s="140"/>
      <c r="G998" s="143"/>
      <c r="H998" s="144"/>
    </row>
    <row r="999">
      <c r="A999" s="77"/>
      <c r="B999" s="77"/>
      <c r="C999" s="145"/>
      <c r="D999" s="145"/>
      <c r="E999" s="140"/>
      <c r="F999" s="140"/>
      <c r="G999" s="143"/>
      <c r="H999" s="144"/>
    </row>
    <row r="1000">
      <c r="A1000" s="77"/>
      <c r="B1000" s="77"/>
      <c r="C1000" s="145"/>
      <c r="D1000" s="145"/>
      <c r="E1000" s="140"/>
      <c r="F1000" s="140"/>
      <c r="G1000" s="143"/>
      <c r="H1000" s="144"/>
    </row>
    <row r="1001">
      <c r="A1001" s="77"/>
      <c r="B1001" s="77"/>
      <c r="C1001" s="145"/>
      <c r="D1001" s="145"/>
      <c r="E1001" s="140"/>
      <c r="F1001" s="140"/>
      <c r="G1001" s="143"/>
      <c r="H1001" s="144"/>
    </row>
    <row r="1002">
      <c r="A1002" s="77"/>
      <c r="B1002" s="77"/>
      <c r="C1002" s="145"/>
      <c r="D1002" s="145"/>
      <c r="E1002" s="140"/>
      <c r="F1002" s="140"/>
      <c r="G1002" s="143"/>
      <c r="H1002" s="144"/>
    </row>
    <row r="1003">
      <c r="A1003" s="77"/>
      <c r="B1003" s="77"/>
      <c r="C1003" s="145"/>
      <c r="D1003" s="145"/>
      <c r="E1003" s="140"/>
      <c r="F1003" s="140"/>
      <c r="G1003" s="143"/>
      <c r="H1003" s="144"/>
    </row>
    <row r="1004">
      <c r="A1004" s="77"/>
      <c r="B1004" s="77"/>
      <c r="C1004" s="145"/>
      <c r="D1004" s="145"/>
      <c r="E1004" s="140"/>
      <c r="F1004" s="140"/>
      <c r="G1004" s="143"/>
      <c r="H1004" s="144"/>
    </row>
    <row r="1005">
      <c r="A1005" s="77"/>
      <c r="B1005" s="77"/>
      <c r="C1005" s="145"/>
      <c r="D1005" s="145"/>
      <c r="E1005" s="140"/>
      <c r="F1005" s="140"/>
      <c r="G1005" s="143"/>
      <c r="H1005" s="144"/>
    </row>
    <row r="1006">
      <c r="A1006" s="77"/>
      <c r="B1006" s="77"/>
      <c r="C1006" s="145"/>
      <c r="D1006" s="145"/>
      <c r="E1006" s="140"/>
      <c r="F1006" s="140"/>
      <c r="G1006" s="143"/>
      <c r="H1006" s="144"/>
    </row>
    <row r="1007">
      <c r="A1007" s="77"/>
      <c r="B1007" s="77"/>
      <c r="C1007" s="145"/>
      <c r="D1007" s="145"/>
      <c r="E1007" s="140"/>
      <c r="F1007" s="140"/>
      <c r="G1007" s="143"/>
      <c r="H1007" s="144"/>
    </row>
    <row r="1008">
      <c r="A1008" s="77"/>
      <c r="B1008" s="77"/>
      <c r="C1008" s="145"/>
      <c r="D1008" s="145"/>
      <c r="E1008" s="140"/>
      <c r="F1008" s="140"/>
      <c r="G1008" s="143"/>
      <c r="H1008" s="144"/>
    </row>
    <row r="1009">
      <c r="A1009" s="77"/>
      <c r="B1009" s="77"/>
      <c r="C1009" s="145"/>
      <c r="D1009" s="145"/>
      <c r="E1009" s="140"/>
      <c r="F1009" s="140"/>
      <c r="G1009" s="143"/>
      <c r="H1009" s="144"/>
    </row>
    <row r="1010">
      <c r="A1010" s="77"/>
      <c r="B1010" s="77"/>
      <c r="C1010" s="145"/>
      <c r="D1010" s="145"/>
      <c r="E1010" s="140"/>
      <c r="F1010" s="140"/>
      <c r="G1010" s="143"/>
      <c r="H1010" s="144"/>
    </row>
    <row r="1011">
      <c r="A1011" s="77"/>
      <c r="B1011" s="77"/>
      <c r="C1011" s="145"/>
      <c r="D1011" s="145"/>
      <c r="E1011" s="140"/>
      <c r="F1011" s="140"/>
      <c r="G1011" s="143"/>
      <c r="H1011" s="144"/>
    </row>
    <row r="1012">
      <c r="A1012" s="77"/>
      <c r="B1012" s="77"/>
      <c r="C1012" s="145"/>
      <c r="D1012" s="145"/>
      <c r="E1012" s="140"/>
      <c r="F1012" s="140"/>
      <c r="G1012" s="143"/>
      <c r="H1012" s="144"/>
    </row>
    <row r="1013">
      <c r="A1013" s="77"/>
      <c r="B1013" s="77"/>
      <c r="C1013" s="145"/>
      <c r="D1013" s="145"/>
      <c r="E1013" s="140"/>
      <c r="F1013" s="140"/>
      <c r="G1013" s="143"/>
      <c r="H1013" s="144"/>
    </row>
    <row r="1014">
      <c r="A1014" s="77"/>
      <c r="B1014" s="77"/>
      <c r="C1014" s="145"/>
      <c r="D1014" s="145"/>
      <c r="E1014" s="140"/>
      <c r="F1014" s="140"/>
      <c r="G1014" s="143"/>
      <c r="H1014" s="144"/>
    </row>
    <row r="1015">
      <c r="A1015" s="77"/>
      <c r="B1015" s="77"/>
      <c r="C1015" s="145"/>
      <c r="D1015" s="145"/>
      <c r="E1015" s="140"/>
      <c r="F1015" s="140"/>
      <c r="G1015" s="143"/>
      <c r="H1015" s="144"/>
    </row>
    <row r="1016">
      <c r="A1016" s="77"/>
      <c r="B1016" s="77"/>
      <c r="C1016" s="145"/>
      <c r="D1016" s="145"/>
      <c r="E1016" s="140"/>
      <c r="F1016" s="140"/>
      <c r="G1016" s="143"/>
      <c r="H1016" s="144"/>
    </row>
    <row r="1017">
      <c r="A1017" s="77"/>
      <c r="B1017" s="77"/>
      <c r="C1017" s="145"/>
      <c r="D1017" s="145"/>
      <c r="E1017" s="140"/>
      <c r="F1017" s="140"/>
      <c r="G1017" s="143"/>
      <c r="H1017" s="144"/>
    </row>
    <row r="1018">
      <c r="A1018" s="77"/>
      <c r="B1018" s="77"/>
      <c r="C1018" s="145"/>
      <c r="D1018" s="145"/>
      <c r="E1018" s="140"/>
      <c r="F1018" s="140"/>
      <c r="G1018" s="143"/>
      <c r="H1018" s="144"/>
    </row>
    <row r="1019">
      <c r="A1019" s="77"/>
      <c r="B1019" s="77"/>
      <c r="C1019" s="145"/>
      <c r="D1019" s="145"/>
      <c r="E1019" s="140"/>
      <c r="F1019" s="140"/>
      <c r="G1019" s="143"/>
      <c r="H1019" s="144"/>
    </row>
    <row r="1020">
      <c r="A1020" s="77"/>
      <c r="B1020" s="77"/>
      <c r="C1020" s="145"/>
      <c r="D1020" s="145"/>
      <c r="E1020" s="140"/>
      <c r="F1020" s="140"/>
      <c r="G1020" s="143"/>
      <c r="H1020" s="144"/>
    </row>
    <row r="1021">
      <c r="A1021" s="77"/>
      <c r="B1021" s="77"/>
      <c r="C1021" s="145"/>
      <c r="D1021" s="145"/>
      <c r="E1021" s="140"/>
      <c r="F1021" s="140"/>
      <c r="G1021" s="143"/>
      <c r="H1021" s="144"/>
    </row>
    <row r="1022">
      <c r="A1022" s="77"/>
      <c r="B1022" s="77"/>
      <c r="C1022" s="145"/>
      <c r="D1022" s="145"/>
      <c r="E1022" s="140"/>
      <c r="F1022" s="140"/>
      <c r="G1022" s="143"/>
      <c r="H1022" s="144"/>
    </row>
    <row r="1023">
      <c r="A1023" s="77"/>
      <c r="B1023" s="77"/>
      <c r="C1023" s="145"/>
      <c r="D1023" s="145"/>
      <c r="E1023" s="140"/>
      <c r="F1023" s="140"/>
      <c r="G1023" s="143"/>
      <c r="H1023" s="144"/>
    </row>
    <row r="1024">
      <c r="A1024" s="77"/>
      <c r="B1024" s="77"/>
      <c r="C1024" s="145"/>
      <c r="D1024" s="145"/>
      <c r="E1024" s="140"/>
      <c r="F1024" s="140"/>
      <c r="G1024" s="143"/>
      <c r="H1024" s="144"/>
    </row>
    <row r="1025">
      <c r="A1025" s="77"/>
      <c r="B1025" s="77"/>
      <c r="C1025" s="145"/>
      <c r="D1025" s="145"/>
      <c r="E1025" s="140"/>
      <c r="F1025" s="140"/>
      <c r="G1025" s="143"/>
      <c r="H1025" s="144"/>
    </row>
    <row r="1026">
      <c r="A1026" s="77"/>
      <c r="B1026" s="77"/>
      <c r="C1026" s="145"/>
      <c r="D1026" s="145"/>
      <c r="E1026" s="140"/>
      <c r="F1026" s="140"/>
      <c r="G1026" s="143"/>
      <c r="H1026" s="144"/>
    </row>
    <row r="1027">
      <c r="A1027" s="77"/>
      <c r="B1027" s="77"/>
      <c r="C1027" s="145"/>
      <c r="D1027" s="145"/>
      <c r="E1027" s="140"/>
      <c r="F1027" s="140"/>
      <c r="G1027" s="143"/>
      <c r="H1027" s="144"/>
    </row>
    <row r="1028">
      <c r="A1028" s="77"/>
      <c r="B1028" s="77"/>
      <c r="C1028" s="145"/>
      <c r="D1028" s="145"/>
      <c r="E1028" s="140"/>
      <c r="F1028" s="140"/>
      <c r="G1028" s="143"/>
      <c r="H1028" s="144"/>
    </row>
    <row r="1029">
      <c r="A1029" s="77"/>
      <c r="B1029" s="77"/>
      <c r="C1029" s="145"/>
      <c r="D1029" s="145"/>
      <c r="E1029" s="140"/>
      <c r="F1029" s="140"/>
      <c r="G1029" s="143"/>
      <c r="H1029" s="144"/>
    </row>
    <row r="1030">
      <c r="A1030" s="77"/>
      <c r="B1030" s="77"/>
      <c r="C1030" s="145"/>
      <c r="D1030" s="145"/>
      <c r="E1030" s="140"/>
      <c r="F1030" s="140"/>
      <c r="G1030" s="143"/>
      <c r="H1030" s="144"/>
    </row>
    <row r="1031">
      <c r="A1031" s="77"/>
      <c r="B1031" s="77"/>
      <c r="C1031" s="145"/>
      <c r="D1031" s="145"/>
      <c r="E1031" s="140"/>
      <c r="F1031" s="140"/>
      <c r="G1031" s="143"/>
      <c r="H1031" s="144"/>
    </row>
    <row r="1032">
      <c r="A1032" s="77"/>
      <c r="B1032" s="77"/>
      <c r="C1032" s="145"/>
      <c r="D1032" s="145"/>
      <c r="E1032" s="140"/>
      <c r="F1032" s="140"/>
      <c r="G1032" s="143"/>
      <c r="H1032" s="144"/>
    </row>
    <row r="1033">
      <c r="A1033" s="77"/>
      <c r="B1033" s="77"/>
      <c r="C1033" s="145"/>
      <c r="D1033" s="145"/>
      <c r="E1033" s="140"/>
      <c r="F1033" s="140"/>
      <c r="G1033" s="143"/>
      <c r="H1033" s="144"/>
    </row>
    <row r="1034">
      <c r="A1034" s="77"/>
      <c r="B1034" s="77"/>
      <c r="C1034" s="145"/>
      <c r="D1034" s="145"/>
      <c r="E1034" s="140"/>
      <c r="F1034" s="140"/>
      <c r="G1034" s="143"/>
      <c r="H1034" s="144"/>
    </row>
    <row r="1035">
      <c r="A1035" s="77"/>
      <c r="B1035" s="77"/>
      <c r="C1035" s="145"/>
      <c r="D1035" s="145"/>
      <c r="E1035" s="140"/>
      <c r="F1035" s="140"/>
      <c r="G1035" s="143"/>
      <c r="H1035" s="144"/>
    </row>
    <row r="1036">
      <c r="A1036" s="77"/>
      <c r="B1036" s="77"/>
      <c r="C1036" s="145"/>
      <c r="D1036" s="145"/>
      <c r="E1036" s="140"/>
      <c r="F1036" s="140"/>
      <c r="G1036" s="143"/>
      <c r="H1036" s="144"/>
    </row>
    <row r="1037">
      <c r="A1037" s="77"/>
      <c r="B1037" s="77"/>
      <c r="C1037" s="145"/>
      <c r="D1037" s="145"/>
      <c r="E1037" s="140"/>
      <c r="F1037" s="140"/>
      <c r="G1037" s="143"/>
      <c r="H1037" s="144"/>
    </row>
    <row r="1038">
      <c r="A1038" s="77"/>
      <c r="B1038" s="77"/>
      <c r="C1038" s="145"/>
      <c r="D1038" s="145"/>
      <c r="E1038" s="140"/>
      <c r="F1038" s="140"/>
      <c r="G1038" s="143"/>
      <c r="H1038" s="144"/>
    </row>
    <row r="1039">
      <c r="A1039" s="77"/>
      <c r="B1039" s="77"/>
      <c r="C1039" s="145"/>
      <c r="D1039" s="145"/>
      <c r="E1039" s="140"/>
      <c r="F1039" s="140"/>
      <c r="G1039" s="143"/>
      <c r="H1039" s="144"/>
    </row>
    <row r="1040">
      <c r="A1040" s="77"/>
      <c r="B1040" s="77"/>
      <c r="C1040" s="145"/>
      <c r="D1040" s="145"/>
      <c r="E1040" s="140"/>
      <c r="F1040" s="140"/>
      <c r="G1040" s="143"/>
      <c r="H1040" s="144"/>
    </row>
    <row r="1041">
      <c r="A1041" s="77"/>
      <c r="B1041" s="77"/>
      <c r="C1041" s="145"/>
      <c r="D1041" s="145"/>
      <c r="E1041" s="140"/>
      <c r="F1041" s="140"/>
      <c r="G1041" s="143"/>
      <c r="H1041" s="144"/>
    </row>
    <row r="1042">
      <c r="A1042" s="77"/>
      <c r="B1042" s="77"/>
      <c r="C1042" s="145"/>
      <c r="D1042" s="145"/>
      <c r="E1042" s="140"/>
      <c r="F1042" s="140"/>
      <c r="G1042" s="143"/>
      <c r="H1042" s="144"/>
    </row>
    <row r="1043">
      <c r="A1043" s="77"/>
      <c r="B1043" s="77"/>
      <c r="C1043" s="145"/>
      <c r="D1043" s="145"/>
      <c r="E1043" s="140"/>
      <c r="F1043" s="140"/>
      <c r="G1043" s="143"/>
      <c r="H1043" s="144"/>
    </row>
    <row r="1044">
      <c r="A1044" s="77"/>
      <c r="B1044" s="77"/>
      <c r="C1044" s="145"/>
      <c r="D1044" s="145"/>
      <c r="E1044" s="140"/>
      <c r="F1044" s="140"/>
      <c r="G1044" s="143"/>
      <c r="H1044" s="144"/>
    </row>
    <row r="1045">
      <c r="A1045" s="77"/>
      <c r="B1045" s="77"/>
      <c r="C1045" s="145"/>
      <c r="D1045" s="145"/>
      <c r="E1045" s="140"/>
      <c r="F1045" s="140"/>
      <c r="G1045" s="143"/>
      <c r="H1045" s="144"/>
    </row>
    <row r="1046">
      <c r="A1046" s="77"/>
      <c r="B1046" s="77"/>
      <c r="C1046" s="145"/>
      <c r="D1046" s="145"/>
      <c r="E1046" s="140"/>
      <c r="F1046" s="140"/>
      <c r="G1046" s="143"/>
      <c r="H1046" s="144"/>
    </row>
    <row r="1047">
      <c r="A1047" s="77"/>
      <c r="B1047" s="77"/>
      <c r="C1047" s="145"/>
      <c r="D1047" s="145"/>
      <c r="E1047" s="140"/>
      <c r="F1047" s="140"/>
      <c r="G1047" s="143"/>
      <c r="H1047" s="144"/>
    </row>
    <row r="1048">
      <c r="A1048" s="77"/>
      <c r="B1048" s="77"/>
      <c r="C1048" s="145"/>
      <c r="D1048" s="145"/>
      <c r="E1048" s="140"/>
      <c r="F1048" s="140"/>
      <c r="G1048" s="143"/>
      <c r="H1048" s="144"/>
    </row>
    <row r="1049">
      <c r="A1049" s="77"/>
      <c r="B1049" s="77"/>
      <c r="C1049" s="145"/>
      <c r="D1049" s="145"/>
      <c r="E1049" s="140"/>
      <c r="F1049" s="140"/>
      <c r="G1049" s="143"/>
      <c r="H1049" s="144"/>
    </row>
    <row r="1050">
      <c r="A1050" s="77"/>
      <c r="B1050" s="77"/>
      <c r="C1050" s="145"/>
      <c r="D1050" s="145"/>
      <c r="E1050" s="140"/>
      <c r="F1050" s="140"/>
      <c r="G1050" s="143"/>
      <c r="H1050" s="144"/>
    </row>
    <row r="1051">
      <c r="A1051" s="77"/>
      <c r="B1051" s="77"/>
      <c r="C1051" s="145"/>
      <c r="D1051" s="145"/>
      <c r="E1051" s="140"/>
      <c r="F1051" s="140"/>
      <c r="G1051" s="143"/>
      <c r="H1051" s="14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5" t="s">
        <v>47</v>
      </c>
      <c r="B1" s="115" t="s">
        <v>20</v>
      </c>
      <c r="C1" s="115">
        <v>15436.0</v>
      </c>
      <c r="D1" s="116">
        <v>45873.0</v>
      </c>
      <c r="E1" s="12" t="s">
        <v>3</v>
      </c>
      <c r="F1" s="115" t="str">
        <f t="shared" ref="F1:F1288" si="1">B1&amp;TEXT(D1,"YYYY-MM-DD")&amp;E1</f>
        <v>Ashish Ranjan2025-08-0417</v>
      </c>
    </row>
    <row r="2">
      <c r="A2" s="115" t="s">
        <v>47</v>
      </c>
      <c r="B2" s="115" t="s">
        <v>21</v>
      </c>
      <c r="C2" s="115">
        <v>8992.0</v>
      </c>
      <c r="D2" s="116">
        <v>45873.0</v>
      </c>
      <c r="E2" s="12" t="s">
        <v>3</v>
      </c>
      <c r="F2" s="115" t="str">
        <f t="shared" si="1"/>
        <v>Girish Chand2025-08-0417</v>
      </c>
    </row>
    <row r="3">
      <c r="A3" s="115" t="s">
        <v>47</v>
      </c>
      <c r="B3" s="115" t="s">
        <v>22</v>
      </c>
      <c r="C3" s="115">
        <v>6809.0</v>
      </c>
      <c r="D3" s="116">
        <v>45873.0</v>
      </c>
      <c r="E3" s="12" t="s">
        <v>3</v>
      </c>
      <c r="F3" s="115" t="str">
        <f t="shared" si="1"/>
        <v>Parag Kashyap2025-08-0417</v>
      </c>
    </row>
    <row r="4">
      <c r="A4" s="115" t="s">
        <v>49</v>
      </c>
      <c r="B4" s="115" t="s">
        <v>15</v>
      </c>
      <c r="C4" s="115">
        <v>4349.0</v>
      </c>
      <c r="D4" s="116">
        <v>45873.0</v>
      </c>
      <c r="E4" s="12" t="s">
        <v>3</v>
      </c>
      <c r="F4" s="115" t="str">
        <f t="shared" si="1"/>
        <v>Amit Kumar Pathak2025-08-0417</v>
      </c>
    </row>
    <row r="5">
      <c r="A5" s="115" t="s">
        <v>49</v>
      </c>
      <c r="B5" s="115" t="s">
        <v>17</v>
      </c>
      <c r="C5" s="115">
        <v>4624.0</v>
      </c>
      <c r="D5" s="116">
        <v>45873.0</v>
      </c>
      <c r="E5" s="12" t="s">
        <v>3</v>
      </c>
      <c r="F5" s="115" t="str">
        <f t="shared" si="1"/>
        <v>Loveleen Singh2025-08-0417</v>
      </c>
    </row>
    <row r="6">
      <c r="A6" s="115" t="s">
        <v>49</v>
      </c>
      <c r="B6" s="115" t="s">
        <v>16</v>
      </c>
      <c r="C6" s="115">
        <v>9420.0</v>
      </c>
      <c r="D6" s="116">
        <v>45873.0</v>
      </c>
      <c r="E6" s="12" t="s">
        <v>3</v>
      </c>
      <c r="F6" s="115" t="str">
        <f t="shared" si="1"/>
        <v>Manoj Harsh2025-08-0417</v>
      </c>
    </row>
    <row r="7">
      <c r="A7" s="115" t="s">
        <v>49</v>
      </c>
      <c r="B7" s="115" t="s">
        <v>18</v>
      </c>
      <c r="C7" s="115">
        <v>4092.0</v>
      </c>
      <c r="D7" s="116">
        <v>45873.0</v>
      </c>
      <c r="E7" s="12" t="s">
        <v>3</v>
      </c>
      <c r="F7" s="115" t="str">
        <f t="shared" si="1"/>
        <v>Pradeep Kothari2025-08-0417</v>
      </c>
    </row>
    <row r="8">
      <c r="A8" s="115" t="s">
        <v>50</v>
      </c>
      <c r="B8" s="115" t="s">
        <v>24</v>
      </c>
      <c r="C8" s="115">
        <v>7538.0</v>
      </c>
      <c r="D8" s="116">
        <v>45873.0</v>
      </c>
      <c r="E8" s="12" t="s">
        <v>3</v>
      </c>
      <c r="F8" s="115" t="str">
        <f t="shared" si="1"/>
        <v>Kandula Sampath2025-08-0417</v>
      </c>
    </row>
    <row r="9">
      <c r="A9" s="115" t="s">
        <v>50</v>
      </c>
      <c r="B9" s="115" t="s">
        <v>25</v>
      </c>
      <c r="C9" s="115">
        <v>6073.0</v>
      </c>
      <c r="D9" s="116">
        <v>45873.0</v>
      </c>
      <c r="E9" s="12" t="s">
        <v>3</v>
      </c>
      <c r="F9" s="115" t="str">
        <f t="shared" si="1"/>
        <v>Martin A2025-08-0417</v>
      </c>
    </row>
    <row r="10">
      <c r="A10" s="115" t="s">
        <v>50</v>
      </c>
      <c r="B10" s="115" t="s">
        <v>26</v>
      </c>
      <c r="C10" s="115">
        <v>5217.0</v>
      </c>
      <c r="D10" s="116">
        <v>45873.0</v>
      </c>
      <c r="E10" s="12" t="s">
        <v>3</v>
      </c>
      <c r="F10" s="115" t="str">
        <f t="shared" si="1"/>
        <v>Premkumar M2025-08-0417</v>
      </c>
    </row>
    <row r="11">
      <c r="A11" s="115" t="s">
        <v>50</v>
      </c>
      <c r="B11" s="115" t="s">
        <v>27</v>
      </c>
      <c r="C11" s="115">
        <v>4219.0</v>
      </c>
      <c r="D11" s="116">
        <v>45873.0</v>
      </c>
      <c r="E11" s="12" t="s">
        <v>3</v>
      </c>
      <c r="F11" s="115" t="str">
        <f t="shared" si="1"/>
        <v>Vineeth V2025-08-0417</v>
      </c>
    </row>
    <row r="12">
      <c r="A12" s="115" t="s">
        <v>51</v>
      </c>
      <c r="B12" s="115" t="s">
        <v>29</v>
      </c>
      <c r="C12" s="115">
        <v>8947.0</v>
      </c>
      <c r="D12" s="116">
        <v>45873.0</v>
      </c>
      <c r="E12" s="12" t="s">
        <v>3</v>
      </c>
      <c r="F12" s="115" t="str">
        <f t="shared" si="1"/>
        <v>Ashish Jakar2025-08-0417</v>
      </c>
    </row>
    <row r="13">
      <c r="A13" s="115" t="s">
        <v>51</v>
      </c>
      <c r="B13" s="115" t="s">
        <v>30</v>
      </c>
      <c r="C13" s="115">
        <v>7308.0</v>
      </c>
      <c r="D13" s="116">
        <v>45873.0</v>
      </c>
      <c r="E13" s="12" t="s">
        <v>3</v>
      </c>
      <c r="F13" s="115" t="str">
        <f t="shared" si="1"/>
        <v>Ashvani Bhatt2025-08-0417</v>
      </c>
    </row>
    <row r="14">
      <c r="A14" s="12" t="s">
        <v>81</v>
      </c>
      <c r="B14" s="12" t="s">
        <v>81</v>
      </c>
      <c r="C14" s="115">
        <v>310.0</v>
      </c>
      <c r="D14" s="116">
        <v>45873.0</v>
      </c>
      <c r="E14" s="12" t="s">
        <v>3</v>
      </c>
      <c r="F14" s="115" t="str">
        <f t="shared" si="1"/>
        <v>02025-08-0417</v>
      </c>
    </row>
    <row r="15">
      <c r="A15" s="115" t="s">
        <v>47</v>
      </c>
      <c r="B15" s="115" t="s">
        <v>20</v>
      </c>
      <c r="C15" s="115">
        <v>14890.0</v>
      </c>
      <c r="D15" s="116">
        <v>45883.0</v>
      </c>
      <c r="E15" s="12" t="s">
        <v>61</v>
      </c>
      <c r="F15" s="115" t="str">
        <f t="shared" si="1"/>
        <v>Ashish Ranjan2025-08-1411</v>
      </c>
    </row>
    <row r="16">
      <c r="A16" s="115" t="s">
        <v>47</v>
      </c>
      <c r="B16" s="115" t="s">
        <v>21</v>
      </c>
      <c r="C16" s="115">
        <v>8831.0</v>
      </c>
      <c r="D16" s="116">
        <v>45883.0</v>
      </c>
      <c r="E16" s="12" t="s">
        <v>61</v>
      </c>
      <c r="F16" s="115" t="str">
        <f t="shared" si="1"/>
        <v>Girish Chand2025-08-1411</v>
      </c>
    </row>
    <row r="17">
      <c r="A17" s="115" t="s">
        <v>47</v>
      </c>
      <c r="B17" s="115" t="s">
        <v>22</v>
      </c>
      <c r="C17" s="115">
        <v>5840.0</v>
      </c>
      <c r="D17" s="116">
        <v>45883.0</v>
      </c>
      <c r="E17" s="12" t="s">
        <v>61</v>
      </c>
      <c r="F17" s="115" t="str">
        <f t="shared" si="1"/>
        <v>Parag Kashyap2025-08-1411</v>
      </c>
    </row>
    <row r="18">
      <c r="A18" s="115" t="s">
        <v>49</v>
      </c>
      <c r="B18" s="115" t="s">
        <v>15</v>
      </c>
      <c r="C18" s="115">
        <v>2278.0</v>
      </c>
      <c r="D18" s="116">
        <v>45883.0</v>
      </c>
      <c r="E18" s="12" t="s">
        <v>61</v>
      </c>
      <c r="F18" s="115" t="str">
        <f t="shared" si="1"/>
        <v>Amit Kumar Pathak2025-08-1411</v>
      </c>
    </row>
    <row r="19">
      <c r="A19" s="115" t="s">
        <v>49</v>
      </c>
      <c r="B19" s="115" t="s">
        <v>17</v>
      </c>
      <c r="C19" s="115">
        <v>3281.0</v>
      </c>
      <c r="D19" s="116">
        <v>45883.0</v>
      </c>
      <c r="E19" s="12" t="s">
        <v>61</v>
      </c>
      <c r="F19" s="115" t="str">
        <f t="shared" si="1"/>
        <v>Loveleen Singh2025-08-1411</v>
      </c>
    </row>
    <row r="20">
      <c r="A20" s="115" t="s">
        <v>49</v>
      </c>
      <c r="B20" s="115" t="s">
        <v>16</v>
      </c>
      <c r="C20" s="115">
        <v>8161.0</v>
      </c>
      <c r="D20" s="116">
        <v>45883.0</v>
      </c>
      <c r="E20" s="12" t="s">
        <v>61</v>
      </c>
      <c r="F20" s="115" t="str">
        <f t="shared" si="1"/>
        <v>Manoj Harsh2025-08-1411</v>
      </c>
    </row>
    <row r="21">
      <c r="A21" s="115" t="s">
        <v>49</v>
      </c>
      <c r="B21" s="115" t="s">
        <v>18</v>
      </c>
      <c r="C21" s="115">
        <v>3487.0</v>
      </c>
      <c r="D21" s="116">
        <v>45883.0</v>
      </c>
      <c r="E21" s="12" t="s">
        <v>61</v>
      </c>
      <c r="F21" s="115" t="str">
        <f t="shared" si="1"/>
        <v>Pradeep Kothari2025-08-1411</v>
      </c>
    </row>
    <row r="22">
      <c r="A22" s="115" t="s">
        <v>50</v>
      </c>
      <c r="B22" s="115" t="s">
        <v>24</v>
      </c>
      <c r="C22" s="115">
        <v>6499.0</v>
      </c>
      <c r="D22" s="116">
        <v>45883.0</v>
      </c>
      <c r="E22" s="12" t="s">
        <v>61</v>
      </c>
      <c r="F22" s="115" t="str">
        <f t="shared" si="1"/>
        <v>Kandula Sampath2025-08-1411</v>
      </c>
    </row>
    <row r="23">
      <c r="A23" s="115" t="s">
        <v>50</v>
      </c>
      <c r="B23" s="115" t="s">
        <v>25</v>
      </c>
      <c r="C23" s="115">
        <v>5067.0</v>
      </c>
      <c r="D23" s="116">
        <v>45883.0</v>
      </c>
      <c r="E23" s="12" t="s">
        <v>61</v>
      </c>
      <c r="F23" s="115" t="str">
        <f t="shared" si="1"/>
        <v>Martin A2025-08-1411</v>
      </c>
    </row>
    <row r="24">
      <c r="A24" s="115" t="s">
        <v>50</v>
      </c>
      <c r="B24" s="115" t="s">
        <v>26</v>
      </c>
      <c r="C24" s="115">
        <v>4136.0</v>
      </c>
      <c r="D24" s="116">
        <v>45883.0</v>
      </c>
      <c r="E24" s="12" t="s">
        <v>61</v>
      </c>
      <c r="F24" s="115" t="str">
        <f t="shared" si="1"/>
        <v>Premkumar M2025-08-1411</v>
      </c>
    </row>
    <row r="25">
      <c r="A25" s="115" t="s">
        <v>50</v>
      </c>
      <c r="B25" s="115" t="s">
        <v>27</v>
      </c>
      <c r="C25" s="115">
        <v>3116.0</v>
      </c>
      <c r="D25" s="116">
        <v>45883.0</v>
      </c>
      <c r="E25" s="12" t="s">
        <v>61</v>
      </c>
      <c r="F25" s="115" t="str">
        <f t="shared" si="1"/>
        <v>Vineeth V2025-08-1411</v>
      </c>
    </row>
    <row r="26">
      <c r="A26" s="115" t="s">
        <v>51</v>
      </c>
      <c r="B26" s="115" t="s">
        <v>29</v>
      </c>
      <c r="C26" s="115">
        <v>6676.0</v>
      </c>
      <c r="D26" s="116">
        <v>45883.0</v>
      </c>
      <c r="E26" s="12" t="s">
        <v>61</v>
      </c>
      <c r="F26" s="115" t="str">
        <f t="shared" si="1"/>
        <v>Ashish Jakar2025-08-1411</v>
      </c>
    </row>
    <row r="27">
      <c r="A27" s="115" t="s">
        <v>51</v>
      </c>
      <c r="B27" s="115" t="s">
        <v>30</v>
      </c>
      <c r="C27" s="115">
        <v>5939.0</v>
      </c>
      <c r="D27" s="116">
        <v>45883.0</v>
      </c>
      <c r="E27" s="12" t="s">
        <v>61</v>
      </c>
      <c r="F27" s="115" t="str">
        <f t="shared" si="1"/>
        <v>Ashvani Bhatt2025-08-1411</v>
      </c>
    </row>
    <row r="28">
      <c r="A28" s="12" t="s">
        <v>81</v>
      </c>
      <c r="B28" s="12" t="s">
        <v>81</v>
      </c>
      <c r="C28" s="115">
        <v>231.0</v>
      </c>
      <c r="D28" s="116">
        <v>45883.0</v>
      </c>
      <c r="E28" s="12" t="s">
        <v>61</v>
      </c>
      <c r="F28" s="115" t="str">
        <f t="shared" si="1"/>
        <v>02025-08-1411</v>
      </c>
    </row>
    <row r="29">
      <c r="A29" s="115" t="s">
        <v>47</v>
      </c>
      <c r="B29" s="115" t="s">
        <v>20</v>
      </c>
      <c r="C29" s="115">
        <v>17224.0</v>
      </c>
      <c r="D29" s="116">
        <v>45883.0</v>
      </c>
      <c r="E29" s="12" t="s">
        <v>54</v>
      </c>
      <c r="F29" s="115" t="str">
        <f t="shared" si="1"/>
        <v>Ashish Ranjan2025-08-1419</v>
      </c>
    </row>
    <row r="30">
      <c r="A30" s="115" t="s">
        <v>47</v>
      </c>
      <c r="B30" s="115" t="s">
        <v>21</v>
      </c>
      <c r="C30" s="115">
        <v>10268.0</v>
      </c>
      <c r="D30" s="116">
        <v>45883.0</v>
      </c>
      <c r="E30" s="12" t="s">
        <v>54</v>
      </c>
      <c r="F30" s="115" t="str">
        <f t="shared" si="1"/>
        <v>Girish Chand2025-08-1419</v>
      </c>
    </row>
    <row r="31">
      <c r="A31" s="115" t="s">
        <v>47</v>
      </c>
      <c r="B31" s="115" t="s">
        <v>22</v>
      </c>
      <c r="C31" s="115">
        <v>7231.0</v>
      </c>
      <c r="D31" s="116">
        <v>45883.0</v>
      </c>
      <c r="E31" s="12" t="s">
        <v>54</v>
      </c>
      <c r="F31" s="115" t="str">
        <f t="shared" si="1"/>
        <v>Parag Kashyap2025-08-1419</v>
      </c>
    </row>
    <row r="32">
      <c r="A32" s="115" t="s">
        <v>49</v>
      </c>
      <c r="B32" s="115" t="s">
        <v>15</v>
      </c>
      <c r="C32" s="115">
        <v>3738.0</v>
      </c>
      <c r="D32" s="116">
        <v>45883.0</v>
      </c>
      <c r="E32" s="12" t="s">
        <v>54</v>
      </c>
      <c r="F32" s="115" t="str">
        <f t="shared" si="1"/>
        <v>Amit Kumar Pathak2025-08-1419</v>
      </c>
    </row>
    <row r="33">
      <c r="A33" s="115" t="s">
        <v>49</v>
      </c>
      <c r="B33" s="115" t="s">
        <v>17</v>
      </c>
      <c r="C33" s="115">
        <v>4737.0</v>
      </c>
      <c r="D33" s="116">
        <v>45883.0</v>
      </c>
      <c r="E33" s="12" t="s">
        <v>54</v>
      </c>
      <c r="F33" s="115" t="str">
        <f t="shared" si="1"/>
        <v>Loveleen Singh2025-08-1419</v>
      </c>
    </row>
    <row r="34">
      <c r="A34" s="115" t="s">
        <v>49</v>
      </c>
      <c r="B34" s="115" t="s">
        <v>16</v>
      </c>
      <c r="C34" s="115">
        <v>10825.0</v>
      </c>
      <c r="D34" s="116">
        <v>45883.0</v>
      </c>
      <c r="E34" s="12" t="s">
        <v>54</v>
      </c>
      <c r="F34" s="115" t="str">
        <f t="shared" si="1"/>
        <v>Manoj Harsh2025-08-1419</v>
      </c>
    </row>
    <row r="35">
      <c r="A35" s="115" t="s">
        <v>49</v>
      </c>
      <c r="B35" s="115" t="s">
        <v>18</v>
      </c>
      <c r="C35" s="115">
        <v>4188.0</v>
      </c>
      <c r="D35" s="116">
        <v>45883.0</v>
      </c>
      <c r="E35" s="12" t="s">
        <v>54</v>
      </c>
      <c r="F35" s="115" t="str">
        <f t="shared" si="1"/>
        <v>Pradeep Kothari2025-08-1419</v>
      </c>
    </row>
    <row r="36">
      <c r="A36" s="115" t="s">
        <v>19</v>
      </c>
      <c r="B36" s="115" t="s">
        <v>15</v>
      </c>
      <c r="C36" s="115">
        <v>7.0</v>
      </c>
      <c r="D36" s="116">
        <v>45883.0</v>
      </c>
      <c r="E36" s="12" t="s">
        <v>54</v>
      </c>
      <c r="F36" s="115" t="str">
        <f t="shared" si="1"/>
        <v>Amit Kumar Pathak2025-08-1419</v>
      </c>
    </row>
    <row r="37">
      <c r="A37" s="115" t="s">
        <v>50</v>
      </c>
      <c r="B37" s="115" t="s">
        <v>24</v>
      </c>
      <c r="C37" s="115">
        <v>7496.0</v>
      </c>
      <c r="D37" s="116">
        <v>45883.0</v>
      </c>
      <c r="E37" s="12" t="s">
        <v>54</v>
      </c>
      <c r="F37" s="115" t="str">
        <f t="shared" si="1"/>
        <v>Kandula Sampath2025-08-1419</v>
      </c>
    </row>
    <row r="38">
      <c r="A38" s="115" t="s">
        <v>50</v>
      </c>
      <c r="B38" s="115" t="s">
        <v>25</v>
      </c>
      <c r="C38" s="115">
        <v>6340.0</v>
      </c>
      <c r="D38" s="116">
        <v>45883.0</v>
      </c>
      <c r="E38" s="12" t="s">
        <v>54</v>
      </c>
      <c r="F38" s="115" t="str">
        <f t="shared" si="1"/>
        <v>Martin A2025-08-1419</v>
      </c>
    </row>
    <row r="39">
      <c r="A39" s="115" t="s">
        <v>50</v>
      </c>
      <c r="B39" s="115" t="s">
        <v>26</v>
      </c>
      <c r="C39" s="115">
        <v>5495.0</v>
      </c>
      <c r="D39" s="116">
        <v>45883.0</v>
      </c>
      <c r="E39" s="12" t="s">
        <v>54</v>
      </c>
      <c r="F39" s="115" t="str">
        <f t="shared" si="1"/>
        <v>Premkumar M2025-08-1419</v>
      </c>
    </row>
    <row r="40">
      <c r="A40" s="115" t="s">
        <v>50</v>
      </c>
      <c r="B40" s="115" t="s">
        <v>27</v>
      </c>
      <c r="C40" s="115">
        <v>4348.0</v>
      </c>
      <c r="D40" s="116">
        <v>45883.0</v>
      </c>
      <c r="E40" s="12" t="s">
        <v>54</v>
      </c>
      <c r="F40" s="115" t="str">
        <f t="shared" si="1"/>
        <v>Vineeth V2025-08-1419</v>
      </c>
    </row>
    <row r="41">
      <c r="A41" s="115" t="s">
        <v>51</v>
      </c>
      <c r="B41" s="115" t="s">
        <v>29</v>
      </c>
      <c r="C41" s="115">
        <v>9418.0</v>
      </c>
      <c r="D41" s="116">
        <v>45883.0</v>
      </c>
      <c r="E41" s="12" t="s">
        <v>54</v>
      </c>
      <c r="F41" s="115" t="str">
        <f t="shared" si="1"/>
        <v>Ashish Jakar2025-08-1419</v>
      </c>
    </row>
    <row r="42">
      <c r="A42" s="115" t="s">
        <v>51</v>
      </c>
      <c r="B42" s="115" t="s">
        <v>30</v>
      </c>
      <c r="C42" s="115">
        <v>7445.0</v>
      </c>
      <c r="D42" s="116">
        <v>45883.0</v>
      </c>
      <c r="E42" s="12" t="s">
        <v>54</v>
      </c>
      <c r="F42" s="115" t="str">
        <f t="shared" si="1"/>
        <v>Ashvani Bhatt2025-08-1419</v>
      </c>
    </row>
    <row r="43">
      <c r="A43" s="12" t="s">
        <v>81</v>
      </c>
      <c r="B43" s="12" t="s">
        <v>81</v>
      </c>
      <c r="C43" s="115">
        <v>416.0</v>
      </c>
      <c r="D43" s="116">
        <v>45883.0</v>
      </c>
      <c r="E43" s="12" t="s">
        <v>54</v>
      </c>
      <c r="F43" s="115" t="str">
        <f t="shared" si="1"/>
        <v>02025-08-1419</v>
      </c>
    </row>
    <row r="44">
      <c r="A44" s="115" t="s">
        <v>47</v>
      </c>
      <c r="B44" s="115" t="s">
        <v>20</v>
      </c>
      <c r="C44" s="115">
        <v>17241.0</v>
      </c>
      <c r="D44" s="116">
        <v>45883.0</v>
      </c>
      <c r="E44" s="12" t="s">
        <v>55</v>
      </c>
      <c r="F44" s="115" t="str">
        <f t="shared" si="1"/>
        <v>Ashish Ranjan2025-08-1420</v>
      </c>
    </row>
    <row r="45">
      <c r="A45" s="115" t="s">
        <v>47</v>
      </c>
      <c r="B45" s="115" t="s">
        <v>21</v>
      </c>
      <c r="C45" s="115">
        <v>10272.0</v>
      </c>
      <c r="D45" s="116">
        <v>45883.0</v>
      </c>
      <c r="E45" s="12" t="s">
        <v>55</v>
      </c>
      <c r="F45" s="115" t="str">
        <f t="shared" si="1"/>
        <v>Girish Chand2025-08-1420</v>
      </c>
    </row>
    <row r="46">
      <c r="A46" s="115" t="s">
        <v>47</v>
      </c>
      <c r="B46" s="115" t="s">
        <v>22</v>
      </c>
      <c r="C46" s="115">
        <v>7240.0</v>
      </c>
      <c r="D46" s="116">
        <v>45883.0</v>
      </c>
      <c r="E46" s="12" t="s">
        <v>55</v>
      </c>
      <c r="F46" s="115" t="str">
        <f t="shared" si="1"/>
        <v>Parag Kashyap2025-08-1420</v>
      </c>
    </row>
    <row r="47">
      <c r="A47" s="115" t="s">
        <v>49</v>
      </c>
      <c r="B47" s="115" t="s">
        <v>15</v>
      </c>
      <c r="C47" s="115">
        <v>3746.0</v>
      </c>
      <c r="D47" s="116">
        <v>45883.0</v>
      </c>
      <c r="E47" s="12" t="s">
        <v>55</v>
      </c>
      <c r="F47" s="115" t="str">
        <f t="shared" si="1"/>
        <v>Amit Kumar Pathak2025-08-1420</v>
      </c>
    </row>
    <row r="48">
      <c r="A48" s="115" t="s">
        <v>49</v>
      </c>
      <c r="B48" s="115" t="s">
        <v>17</v>
      </c>
      <c r="C48" s="115">
        <v>4743.0</v>
      </c>
      <c r="D48" s="116">
        <v>45883.0</v>
      </c>
      <c r="E48" s="12" t="s">
        <v>55</v>
      </c>
      <c r="F48" s="115" t="str">
        <f t="shared" si="1"/>
        <v>Loveleen Singh2025-08-1420</v>
      </c>
    </row>
    <row r="49">
      <c r="A49" s="115" t="s">
        <v>49</v>
      </c>
      <c r="B49" s="115" t="s">
        <v>16</v>
      </c>
      <c r="C49" s="115">
        <v>10830.0</v>
      </c>
      <c r="D49" s="116">
        <v>45883.0</v>
      </c>
      <c r="E49" s="12" t="s">
        <v>55</v>
      </c>
      <c r="F49" s="115" t="str">
        <f t="shared" si="1"/>
        <v>Manoj Harsh2025-08-1420</v>
      </c>
    </row>
    <row r="50">
      <c r="A50" s="115" t="s">
        <v>49</v>
      </c>
      <c r="B50" s="115" t="s">
        <v>18</v>
      </c>
      <c r="C50" s="115">
        <v>4192.0</v>
      </c>
      <c r="D50" s="116">
        <v>45883.0</v>
      </c>
      <c r="E50" s="12" t="s">
        <v>55</v>
      </c>
      <c r="F50" s="115" t="str">
        <f t="shared" si="1"/>
        <v>Pradeep Kothari2025-08-1420</v>
      </c>
    </row>
    <row r="51">
      <c r="A51" s="115" t="s">
        <v>19</v>
      </c>
      <c r="B51" s="115" t="s">
        <v>15</v>
      </c>
      <c r="C51" s="115">
        <v>7.0</v>
      </c>
      <c r="D51" s="116">
        <v>45883.0</v>
      </c>
      <c r="E51" s="12" t="s">
        <v>55</v>
      </c>
      <c r="F51" s="115" t="str">
        <f t="shared" si="1"/>
        <v>Amit Kumar Pathak2025-08-1420</v>
      </c>
    </row>
    <row r="52">
      <c r="A52" s="115" t="s">
        <v>50</v>
      </c>
      <c r="B52" s="115" t="s">
        <v>24</v>
      </c>
      <c r="C52" s="115">
        <v>7504.0</v>
      </c>
      <c r="D52" s="116">
        <v>45883.0</v>
      </c>
      <c r="E52" s="12" t="s">
        <v>55</v>
      </c>
      <c r="F52" s="115" t="str">
        <f t="shared" si="1"/>
        <v>Kandula Sampath2025-08-1420</v>
      </c>
    </row>
    <row r="53">
      <c r="A53" s="115" t="s">
        <v>50</v>
      </c>
      <c r="B53" s="115" t="s">
        <v>25</v>
      </c>
      <c r="C53" s="115">
        <v>6357.0</v>
      </c>
      <c r="D53" s="116">
        <v>45883.0</v>
      </c>
      <c r="E53" s="12" t="s">
        <v>55</v>
      </c>
      <c r="F53" s="115" t="str">
        <f t="shared" si="1"/>
        <v>Martin A2025-08-1420</v>
      </c>
    </row>
    <row r="54">
      <c r="A54" s="115" t="s">
        <v>50</v>
      </c>
      <c r="B54" s="115" t="s">
        <v>26</v>
      </c>
      <c r="C54" s="115">
        <v>5498.0</v>
      </c>
      <c r="D54" s="116">
        <v>45883.0</v>
      </c>
      <c r="E54" s="12" t="s">
        <v>55</v>
      </c>
      <c r="F54" s="115" t="str">
        <f t="shared" si="1"/>
        <v>Premkumar M2025-08-1420</v>
      </c>
    </row>
    <row r="55">
      <c r="A55" s="115" t="s">
        <v>50</v>
      </c>
      <c r="B55" s="115" t="s">
        <v>27</v>
      </c>
      <c r="C55" s="115">
        <v>4351.0</v>
      </c>
      <c r="D55" s="116">
        <v>45883.0</v>
      </c>
      <c r="E55" s="12" t="s">
        <v>55</v>
      </c>
      <c r="F55" s="115" t="str">
        <f t="shared" si="1"/>
        <v>Vineeth V2025-08-1420</v>
      </c>
    </row>
    <row r="56">
      <c r="A56" s="115" t="s">
        <v>51</v>
      </c>
      <c r="B56" s="115" t="s">
        <v>29</v>
      </c>
      <c r="C56" s="115">
        <v>9447.0</v>
      </c>
      <c r="D56" s="116">
        <v>45883.0</v>
      </c>
      <c r="E56" s="12" t="s">
        <v>55</v>
      </c>
      <c r="F56" s="115" t="str">
        <f t="shared" si="1"/>
        <v>Ashish Jakar2025-08-1420</v>
      </c>
    </row>
    <row r="57">
      <c r="A57" s="115" t="s">
        <v>51</v>
      </c>
      <c r="B57" s="115" t="s">
        <v>30</v>
      </c>
      <c r="C57" s="115">
        <v>7454.0</v>
      </c>
      <c r="D57" s="116">
        <v>45883.0</v>
      </c>
      <c r="E57" s="12" t="s">
        <v>55</v>
      </c>
      <c r="F57" s="115" t="str">
        <f t="shared" si="1"/>
        <v>Ashvani Bhatt2025-08-1420</v>
      </c>
    </row>
    <row r="58">
      <c r="A58" s="12" t="s">
        <v>81</v>
      </c>
      <c r="B58" s="12" t="s">
        <v>81</v>
      </c>
      <c r="C58" s="115">
        <v>419.0</v>
      </c>
      <c r="D58" s="116">
        <v>45883.0</v>
      </c>
      <c r="E58" s="12" t="s">
        <v>55</v>
      </c>
      <c r="F58" s="115" t="str">
        <f t="shared" si="1"/>
        <v>02025-08-1420</v>
      </c>
    </row>
    <row r="59">
      <c r="A59" s="115" t="s">
        <v>47</v>
      </c>
      <c r="B59" s="115" t="s">
        <v>20</v>
      </c>
      <c r="C59" s="115">
        <v>17280.0</v>
      </c>
      <c r="D59" s="116">
        <v>45883.0</v>
      </c>
      <c r="E59" s="12" t="s">
        <v>57</v>
      </c>
      <c r="F59" s="115" t="str">
        <f t="shared" si="1"/>
        <v>Ashish Ranjan2025-08-1422</v>
      </c>
    </row>
    <row r="60">
      <c r="A60" s="115" t="s">
        <v>47</v>
      </c>
      <c r="B60" s="115" t="s">
        <v>21</v>
      </c>
      <c r="C60" s="115">
        <v>10275.0</v>
      </c>
      <c r="D60" s="116">
        <v>45883.0</v>
      </c>
      <c r="E60" s="12" t="s">
        <v>57</v>
      </c>
      <c r="F60" s="115" t="str">
        <f t="shared" si="1"/>
        <v>Girish Chand2025-08-1422</v>
      </c>
    </row>
    <row r="61">
      <c r="A61" s="115" t="s">
        <v>47</v>
      </c>
      <c r="B61" s="115" t="s">
        <v>22</v>
      </c>
      <c r="C61" s="115">
        <v>7243.0</v>
      </c>
      <c r="D61" s="116">
        <v>45883.0</v>
      </c>
      <c r="E61" s="12" t="s">
        <v>57</v>
      </c>
      <c r="F61" s="115" t="str">
        <f t="shared" si="1"/>
        <v>Parag Kashyap2025-08-1422</v>
      </c>
    </row>
    <row r="62">
      <c r="A62" s="115" t="s">
        <v>49</v>
      </c>
      <c r="B62" s="115" t="s">
        <v>15</v>
      </c>
      <c r="C62" s="115">
        <v>3751.0</v>
      </c>
      <c r="D62" s="116">
        <v>45883.0</v>
      </c>
      <c r="E62" s="12" t="s">
        <v>57</v>
      </c>
      <c r="F62" s="115" t="str">
        <f t="shared" si="1"/>
        <v>Amit Kumar Pathak2025-08-1422</v>
      </c>
    </row>
    <row r="63">
      <c r="A63" s="115" t="s">
        <v>49</v>
      </c>
      <c r="B63" s="115" t="s">
        <v>17</v>
      </c>
      <c r="C63" s="115">
        <v>4747.0</v>
      </c>
      <c r="D63" s="116">
        <v>45883.0</v>
      </c>
      <c r="E63" s="12" t="s">
        <v>57</v>
      </c>
      <c r="F63" s="115" t="str">
        <f t="shared" si="1"/>
        <v>Loveleen Singh2025-08-1422</v>
      </c>
    </row>
    <row r="64">
      <c r="A64" s="115" t="s">
        <v>49</v>
      </c>
      <c r="B64" s="115" t="s">
        <v>16</v>
      </c>
      <c r="C64" s="115">
        <v>10840.0</v>
      </c>
      <c r="D64" s="116">
        <v>45883.0</v>
      </c>
      <c r="E64" s="12" t="s">
        <v>57</v>
      </c>
      <c r="F64" s="115" t="str">
        <f t="shared" si="1"/>
        <v>Manoj Harsh2025-08-1422</v>
      </c>
    </row>
    <row r="65">
      <c r="A65" s="115" t="s">
        <v>49</v>
      </c>
      <c r="B65" s="115" t="s">
        <v>18</v>
      </c>
      <c r="C65" s="115">
        <v>4198.0</v>
      </c>
      <c r="D65" s="116">
        <v>45883.0</v>
      </c>
      <c r="E65" s="12" t="s">
        <v>57</v>
      </c>
      <c r="F65" s="115" t="str">
        <f t="shared" si="1"/>
        <v>Pradeep Kothari2025-08-1422</v>
      </c>
    </row>
    <row r="66">
      <c r="A66" s="115" t="s">
        <v>19</v>
      </c>
      <c r="B66" s="115" t="s">
        <v>15</v>
      </c>
      <c r="C66" s="115">
        <v>7.0</v>
      </c>
      <c r="D66" s="116">
        <v>45883.0</v>
      </c>
      <c r="E66" s="12" t="s">
        <v>57</v>
      </c>
      <c r="F66" s="115" t="str">
        <f t="shared" si="1"/>
        <v>Amit Kumar Pathak2025-08-1422</v>
      </c>
    </row>
    <row r="67">
      <c r="A67" s="115" t="s">
        <v>50</v>
      </c>
      <c r="B67" s="115" t="s">
        <v>24</v>
      </c>
      <c r="C67" s="115">
        <v>7509.0</v>
      </c>
      <c r="D67" s="116">
        <v>45883.0</v>
      </c>
      <c r="E67" s="12" t="s">
        <v>57</v>
      </c>
      <c r="F67" s="115" t="str">
        <f t="shared" si="1"/>
        <v>Kandula Sampath2025-08-1422</v>
      </c>
    </row>
    <row r="68">
      <c r="A68" s="115" t="s">
        <v>50</v>
      </c>
      <c r="B68" s="115" t="s">
        <v>25</v>
      </c>
      <c r="C68" s="115">
        <v>6367.0</v>
      </c>
      <c r="D68" s="116">
        <v>45883.0</v>
      </c>
      <c r="E68" s="12" t="s">
        <v>57</v>
      </c>
      <c r="F68" s="115" t="str">
        <f t="shared" si="1"/>
        <v>Martin A2025-08-1422</v>
      </c>
    </row>
    <row r="69">
      <c r="A69" s="115" t="s">
        <v>50</v>
      </c>
      <c r="B69" s="115" t="s">
        <v>26</v>
      </c>
      <c r="C69" s="115">
        <v>5504.0</v>
      </c>
      <c r="D69" s="116">
        <v>45883.0</v>
      </c>
      <c r="E69" s="12" t="s">
        <v>57</v>
      </c>
      <c r="F69" s="115" t="str">
        <f t="shared" si="1"/>
        <v>Premkumar M2025-08-1422</v>
      </c>
    </row>
    <row r="70">
      <c r="A70" s="115" t="s">
        <v>50</v>
      </c>
      <c r="B70" s="115" t="s">
        <v>27</v>
      </c>
      <c r="C70" s="115">
        <v>4356.0</v>
      </c>
      <c r="D70" s="116">
        <v>45883.0</v>
      </c>
      <c r="E70" s="12" t="s">
        <v>57</v>
      </c>
      <c r="F70" s="115" t="str">
        <f t="shared" si="1"/>
        <v>Vineeth V2025-08-1422</v>
      </c>
    </row>
    <row r="71">
      <c r="A71" s="115" t="s">
        <v>51</v>
      </c>
      <c r="B71" s="115" t="s">
        <v>29</v>
      </c>
      <c r="C71" s="115">
        <v>9453.0</v>
      </c>
      <c r="D71" s="116">
        <v>45883.0</v>
      </c>
      <c r="E71" s="12" t="s">
        <v>57</v>
      </c>
      <c r="F71" s="115" t="str">
        <f t="shared" si="1"/>
        <v>Ashish Jakar2025-08-1422</v>
      </c>
    </row>
    <row r="72">
      <c r="A72" s="115" t="s">
        <v>51</v>
      </c>
      <c r="B72" s="115" t="s">
        <v>30</v>
      </c>
      <c r="C72" s="115">
        <v>7459.0</v>
      </c>
      <c r="D72" s="116">
        <v>45883.0</v>
      </c>
      <c r="E72" s="12" t="s">
        <v>57</v>
      </c>
      <c r="F72" s="115" t="str">
        <f t="shared" si="1"/>
        <v>Ashvani Bhatt2025-08-1422</v>
      </c>
    </row>
    <row r="73">
      <c r="A73" s="12" t="s">
        <v>81</v>
      </c>
      <c r="B73" s="12" t="s">
        <v>81</v>
      </c>
      <c r="C73" s="115">
        <v>421.0</v>
      </c>
      <c r="D73" s="116">
        <v>45883.0</v>
      </c>
      <c r="E73" s="12" t="s">
        <v>57</v>
      </c>
      <c r="F73" s="115" t="str">
        <f t="shared" si="1"/>
        <v>02025-08-1422</v>
      </c>
    </row>
    <row r="74">
      <c r="A74" s="115" t="s">
        <v>47</v>
      </c>
      <c r="B74" s="115" t="s">
        <v>20</v>
      </c>
      <c r="C74" s="115">
        <v>11518.0</v>
      </c>
      <c r="D74" s="116">
        <v>45884.0</v>
      </c>
      <c r="E74" s="12" t="s">
        <v>60</v>
      </c>
      <c r="F74" s="115" t="str">
        <f t="shared" si="1"/>
        <v>Ashish Ranjan2025-08-1510</v>
      </c>
    </row>
    <row r="75">
      <c r="A75" s="115" t="s">
        <v>47</v>
      </c>
      <c r="B75" s="115" t="s">
        <v>21</v>
      </c>
      <c r="C75" s="115">
        <v>6403.0</v>
      </c>
      <c r="D75" s="116">
        <v>45884.0</v>
      </c>
      <c r="E75" s="12" t="s">
        <v>60</v>
      </c>
      <c r="F75" s="115" t="str">
        <f t="shared" si="1"/>
        <v>Girish Chand2025-08-1510</v>
      </c>
    </row>
    <row r="76">
      <c r="A76" s="115" t="s">
        <v>47</v>
      </c>
      <c r="B76" s="115" t="s">
        <v>22</v>
      </c>
      <c r="C76" s="115">
        <v>3017.0</v>
      </c>
      <c r="D76" s="116">
        <v>45884.0</v>
      </c>
      <c r="E76" s="12" t="s">
        <v>60</v>
      </c>
      <c r="F76" s="115" t="str">
        <f t="shared" si="1"/>
        <v>Parag Kashyap2025-08-1510</v>
      </c>
    </row>
    <row r="77">
      <c r="A77" s="115" t="s">
        <v>49</v>
      </c>
      <c r="B77" s="115" t="s">
        <v>15</v>
      </c>
      <c r="C77" s="115">
        <v>2278.0</v>
      </c>
      <c r="D77" s="116">
        <v>45884.0</v>
      </c>
      <c r="E77" s="12" t="s">
        <v>60</v>
      </c>
      <c r="F77" s="115" t="str">
        <f t="shared" si="1"/>
        <v>Amit Kumar Pathak2025-08-1510</v>
      </c>
    </row>
    <row r="78">
      <c r="A78" s="115" t="s">
        <v>49</v>
      </c>
      <c r="B78" s="115" t="s">
        <v>17</v>
      </c>
      <c r="C78" s="115">
        <v>2329.0</v>
      </c>
      <c r="D78" s="116">
        <v>45884.0</v>
      </c>
      <c r="E78" s="12" t="s">
        <v>60</v>
      </c>
      <c r="F78" s="115" t="str">
        <f t="shared" si="1"/>
        <v>Loveleen Singh2025-08-1510</v>
      </c>
    </row>
    <row r="79">
      <c r="A79" s="115" t="s">
        <v>49</v>
      </c>
      <c r="B79" s="115" t="s">
        <v>16</v>
      </c>
      <c r="C79" s="115">
        <v>5701.0</v>
      </c>
      <c r="D79" s="116">
        <v>45884.0</v>
      </c>
      <c r="E79" s="12" t="s">
        <v>60</v>
      </c>
      <c r="F79" s="115" t="str">
        <f t="shared" si="1"/>
        <v>Manoj Harsh2025-08-1510</v>
      </c>
    </row>
    <row r="80">
      <c r="A80" s="115" t="s">
        <v>49</v>
      </c>
      <c r="B80" s="115" t="s">
        <v>18</v>
      </c>
      <c r="C80" s="115">
        <v>2576.0</v>
      </c>
      <c r="D80" s="116">
        <v>45884.0</v>
      </c>
      <c r="E80" s="12" t="s">
        <v>60</v>
      </c>
      <c r="F80" s="115" t="str">
        <f t="shared" si="1"/>
        <v>Pradeep Kothari2025-08-1510</v>
      </c>
    </row>
    <row r="81">
      <c r="A81" s="115" t="s">
        <v>50</v>
      </c>
      <c r="B81" s="115" t="s">
        <v>24</v>
      </c>
      <c r="C81" s="115">
        <v>5252.0</v>
      </c>
      <c r="D81" s="116">
        <v>45884.0</v>
      </c>
      <c r="E81" s="12" t="s">
        <v>60</v>
      </c>
      <c r="F81" s="115" t="str">
        <f t="shared" si="1"/>
        <v>Kandula Sampath2025-08-1510</v>
      </c>
    </row>
    <row r="82">
      <c r="A82" s="115" t="s">
        <v>50</v>
      </c>
      <c r="B82" s="115" t="s">
        <v>25</v>
      </c>
      <c r="C82" s="115">
        <v>3952.0</v>
      </c>
      <c r="D82" s="116">
        <v>45884.0</v>
      </c>
      <c r="E82" s="12" t="s">
        <v>60</v>
      </c>
      <c r="F82" s="115" t="str">
        <f t="shared" si="1"/>
        <v>Martin A2025-08-1510</v>
      </c>
    </row>
    <row r="83">
      <c r="A83" s="115" t="s">
        <v>50</v>
      </c>
      <c r="B83" s="115" t="s">
        <v>26</v>
      </c>
      <c r="C83" s="115">
        <v>2409.0</v>
      </c>
      <c r="D83" s="116">
        <v>45884.0</v>
      </c>
      <c r="E83" s="12" t="s">
        <v>60</v>
      </c>
      <c r="F83" s="115" t="str">
        <f t="shared" si="1"/>
        <v>Premkumar M2025-08-1510</v>
      </c>
    </row>
    <row r="84">
      <c r="A84" s="115" t="s">
        <v>50</v>
      </c>
      <c r="B84" s="115" t="s">
        <v>27</v>
      </c>
      <c r="C84" s="115">
        <v>1304.0</v>
      </c>
      <c r="D84" s="116">
        <v>45884.0</v>
      </c>
      <c r="E84" s="12" t="s">
        <v>60</v>
      </c>
      <c r="F84" s="115" t="str">
        <f t="shared" si="1"/>
        <v>Vineeth V2025-08-1510</v>
      </c>
    </row>
    <row r="85">
      <c r="A85" s="115" t="s">
        <v>51</v>
      </c>
      <c r="B85" s="115" t="s">
        <v>29</v>
      </c>
      <c r="C85" s="115">
        <v>4159.0</v>
      </c>
      <c r="D85" s="116">
        <v>45884.0</v>
      </c>
      <c r="E85" s="12" t="s">
        <v>60</v>
      </c>
      <c r="F85" s="115" t="str">
        <f t="shared" si="1"/>
        <v>Ashish Jakar2025-08-1510</v>
      </c>
    </row>
    <row r="86">
      <c r="A86" s="115" t="s">
        <v>51</v>
      </c>
      <c r="B86" s="115" t="s">
        <v>30</v>
      </c>
      <c r="C86" s="115">
        <v>4269.0</v>
      </c>
      <c r="D86" s="116">
        <v>45884.0</v>
      </c>
      <c r="E86" s="12" t="s">
        <v>60</v>
      </c>
      <c r="F86" s="115" t="str">
        <f t="shared" si="1"/>
        <v>Ashvani Bhatt2025-08-1510</v>
      </c>
    </row>
    <row r="87">
      <c r="A87" s="12" t="s">
        <v>81</v>
      </c>
      <c r="B87" s="12" t="s">
        <v>81</v>
      </c>
      <c r="C87" s="115">
        <v>162.0</v>
      </c>
      <c r="D87" s="116">
        <v>45884.0</v>
      </c>
      <c r="E87" s="12" t="s">
        <v>60</v>
      </c>
      <c r="F87" s="115" t="str">
        <f t="shared" si="1"/>
        <v>02025-08-1510</v>
      </c>
    </row>
    <row r="88">
      <c r="A88" s="115" t="s">
        <v>47</v>
      </c>
      <c r="B88" s="115" t="s">
        <v>20</v>
      </c>
      <c r="C88" s="115">
        <v>15599.0</v>
      </c>
      <c r="D88" s="116">
        <v>45884.0</v>
      </c>
      <c r="E88" s="12" t="s">
        <v>62</v>
      </c>
      <c r="F88" s="115" t="str">
        <f t="shared" si="1"/>
        <v>Ashish Ranjan2025-08-1512</v>
      </c>
    </row>
    <row r="89">
      <c r="A89" s="115" t="s">
        <v>47</v>
      </c>
      <c r="B89" s="115" t="s">
        <v>21</v>
      </c>
      <c r="C89" s="115">
        <v>9628.0</v>
      </c>
      <c r="D89" s="116">
        <v>45884.0</v>
      </c>
      <c r="E89" s="12" t="s">
        <v>62</v>
      </c>
      <c r="F89" s="115" t="str">
        <f t="shared" si="1"/>
        <v>Girish Chand2025-08-1512</v>
      </c>
    </row>
    <row r="90">
      <c r="A90" s="115" t="s">
        <v>47</v>
      </c>
      <c r="B90" s="115" t="s">
        <v>22</v>
      </c>
      <c r="C90" s="115">
        <v>4605.0</v>
      </c>
      <c r="D90" s="116">
        <v>45884.0</v>
      </c>
      <c r="E90" s="12" t="s">
        <v>62</v>
      </c>
      <c r="F90" s="115" t="str">
        <f t="shared" si="1"/>
        <v>Parag Kashyap2025-08-1512</v>
      </c>
    </row>
    <row r="91">
      <c r="A91" s="115" t="s">
        <v>49</v>
      </c>
      <c r="B91" s="115" t="s">
        <v>15</v>
      </c>
      <c r="C91" s="115">
        <v>3106.0</v>
      </c>
      <c r="D91" s="116">
        <v>45884.0</v>
      </c>
      <c r="E91" s="12" t="s">
        <v>62</v>
      </c>
      <c r="F91" s="115" t="str">
        <f t="shared" si="1"/>
        <v>Amit Kumar Pathak2025-08-1512</v>
      </c>
    </row>
    <row r="92">
      <c r="A92" s="115" t="s">
        <v>49</v>
      </c>
      <c r="B92" s="115" t="s">
        <v>17</v>
      </c>
      <c r="C92" s="115">
        <v>4309.0</v>
      </c>
      <c r="D92" s="116">
        <v>45884.0</v>
      </c>
      <c r="E92" s="12" t="s">
        <v>62</v>
      </c>
      <c r="F92" s="115" t="str">
        <f t="shared" si="1"/>
        <v>Loveleen Singh2025-08-1512</v>
      </c>
    </row>
    <row r="93">
      <c r="A93" s="115" t="s">
        <v>49</v>
      </c>
      <c r="B93" s="115" t="s">
        <v>16</v>
      </c>
      <c r="C93" s="115">
        <v>9481.0</v>
      </c>
      <c r="D93" s="116">
        <v>45884.0</v>
      </c>
      <c r="E93" s="12" t="s">
        <v>62</v>
      </c>
      <c r="F93" s="115" t="str">
        <f t="shared" si="1"/>
        <v>Manoj Harsh2025-08-1512</v>
      </c>
    </row>
    <row r="94">
      <c r="A94" s="115" t="s">
        <v>49</v>
      </c>
      <c r="B94" s="115" t="s">
        <v>18</v>
      </c>
      <c r="C94" s="115">
        <v>3910.0</v>
      </c>
      <c r="D94" s="116">
        <v>45884.0</v>
      </c>
      <c r="E94" s="12" t="s">
        <v>62</v>
      </c>
      <c r="F94" s="115" t="str">
        <f t="shared" si="1"/>
        <v>Pradeep Kothari2025-08-1512</v>
      </c>
    </row>
    <row r="95">
      <c r="A95" s="115" t="s">
        <v>19</v>
      </c>
      <c r="B95" s="115" t="s">
        <v>15</v>
      </c>
      <c r="C95" s="115">
        <v>7.0</v>
      </c>
      <c r="D95" s="116">
        <v>45884.0</v>
      </c>
      <c r="E95" s="12" t="s">
        <v>62</v>
      </c>
      <c r="F95" s="115" t="str">
        <f t="shared" si="1"/>
        <v>Amit Kumar Pathak2025-08-1512</v>
      </c>
    </row>
    <row r="96">
      <c r="A96" s="115" t="s">
        <v>50</v>
      </c>
      <c r="B96" s="115" t="s">
        <v>24</v>
      </c>
      <c r="C96" s="115">
        <v>7114.0</v>
      </c>
      <c r="D96" s="116">
        <v>45884.0</v>
      </c>
      <c r="E96" s="12" t="s">
        <v>62</v>
      </c>
      <c r="F96" s="115" t="str">
        <f t="shared" si="1"/>
        <v>Kandula Sampath2025-08-1512</v>
      </c>
    </row>
    <row r="97">
      <c r="A97" s="115" t="s">
        <v>50</v>
      </c>
      <c r="B97" s="115" t="s">
        <v>25</v>
      </c>
      <c r="C97" s="115">
        <v>5177.0</v>
      </c>
      <c r="D97" s="116">
        <v>45884.0</v>
      </c>
      <c r="E97" s="12" t="s">
        <v>62</v>
      </c>
      <c r="F97" s="115" t="str">
        <f t="shared" si="1"/>
        <v>Martin A2025-08-1512</v>
      </c>
    </row>
    <row r="98">
      <c r="A98" s="115" t="s">
        <v>50</v>
      </c>
      <c r="B98" s="115" t="s">
        <v>26</v>
      </c>
      <c r="C98" s="115">
        <v>4439.0</v>
      </c>
      <c r="D98" s="116">
        <v>45884.0</v>
      </c>
      <c r="E98" s="12" t="s">
        <v>62</v>
      </c>
      <c r="F98" s="115" t="str">
        <f t="shared" si="1"/>
        <v>Premkumar M2025-08-1512</v>
      </c>
    </row>
    <row r="99">
      <c r="A99" s="115" t="s">
        <v>50</v>
      </c>
      <c r="B99" s="115" t="s">
        <v>27</v>
      </c>
      <c r="C99" s="115">
        <v>3741.0</v>
      </c>
      <c r="D99" s="116">
        <v>45884.0</v>
      </c>
      <c r="E99" s="12" t="s">
        <v>62</v>
      </c>
      <c r="F99" s="115" t="str">
        <f t="shared" si="1"/>
        <v>Vineeth V2025-08-1512</v>
      </c>
    </row>
    <row r="100">
      <c r="A100" s="115" t="s">
        <v>51</v>
      </c>
      <c r="B100" s="115" t="s">
        <v>29</v>
      </c>
      <c r="C100" s="115">
        <v>7267.0</v>
      </c>
      <c r="D100" s="116">
        <v>45884.0</v>
      </c>
      <c r="E100" s="12" t="s">
        <v>62</v>
      </c>
      <c r="F100" s="115" t="str">
        <f t="shared" si="1"/>
        <v>Ashish Jakar2025-08-1512</v>
      </c>
    </row>
    <row r="101">
      <c r="A101" s="115" t="s">
        <v>51</v>
      </c>
      <c r="B101" s="115" t="s">
        <v>30</v>
      </c>
      <c r="C101" s="115">
        <v>6549.0</v>
      </c>
      <c r="D101" s="116">
        <v>45884.0</v>
      </c>
      <c r="E101" s="12" t="s">
        <v>62</v>
      </c>
      <c r="F101" s="115" t="str">
        <f t="shared" si="1"/>
        <v>Ashvani Bhatt2025-08-1512</v>
      </c>
    </row>
    <row r="102">
      <c r="A102" s="12" t="s">
        <v>81</v>
      </c>
      <c r="B102" s="12" t="s">
        <v>81</v>
      </c>
      <c r="C102" s="115">
        <v>318.0</v>
      </c>
      <c r="D102" s="116">
        <v>45884.0</v>
      </c>
      <c r="E102" s="12" t="s">
        <v>62</v>
      </c>
      <c r="F102" s="115" t="str">
        <f t="shared" si="1"/>
        <v>02025-08-1512</v>
      </c>
    </row>
    <row r="103">
      <c r="A103" s="115" t="s">
        <v>47</v>
      </c>
      <c r="B103" s="115" t="s">
        <v>20</v>
      </c>
      <c r="C103" s="115">
        <v>16037.0</v>
      </c>
      <c r="D103" s="116">
        <v>45884.0</v>
      </c>
      <c r="E103" s="12" t="s">
        <v>48</v>
      </c>
      <c r="F103" s="115" t="str">
        <f t="shared" si="1"/>
        <v>Ashish Ranjan2025-08-1513</v>
      </c>
    </row>
    <row r="104">
      <c r="A104" s="115" t="s">
        <v>47</v>
      </c>
      <c r="B104" s="115" t="s">
        <v>21</v>
      </c>
      <c r="C104" s="115">
        <v>9997.0</v>
      </c>
      <c r="D104" s="116">
        <v>45884.0</v>
      </c>
      <c r="E104" s="12" t="s">
        <v>48</v>
      </c>
      <c r="F104" s="115" t="str">
        <f t="shared" si="1"/>
        <v>Girish Chand2025-08-1513</v>
      </c>
    </row>
    <row r="105">
      <c r="A105" s="115" t="s">
        <v>47</v>
      </c>
      <c r="B105" s="115" t="s">
        <v>22</v>
      </c>
      <c r="C105" s="115">
        <v>4815.0</v>
      </c>
      <c r="D105" s="116">
        <v>45884.0</v>
      </c>
      <c r="E105" s="12" t="s">
        <v>48</v>
      </c>
      <c r="F105" s="115" t="str">
        <f t="shared" si="1"/>
        <v>Parag Kashyap2025-08-1513</v>
      </c>
    </row>
    <row r="106">
      <c r="A106" s="115" t="s">
        <v>49</v>
      </c>
      <c r="B106" s="115" t="s">
        <v>15</v>
      </c>
      <c r="C106" s="115">
        <v>3236.0</v>
      </c>
      <c r="D106" s="116">
        <v>45884.0</v>
      </c>
      <c r="E106" s="12" t="s">
        <v>48</v>
      </c>
      <c r="F106" s="115" t="str">
        <f t="shared" si="1"/>
        <v>Amit Kumar Pathak2025-08-1513</v>
      </c>
    </row>
    <row r="107">
      <c r="A107" s="115" t="s">
        <v>49</v>
      </c>
      <c r="B107" s="115" t="s">
        <v>17</v>
      </c>
      <c r="C107" s="115">
        <v>4589.0</v>
      </c>
      <c r="D107" s="116">
        <v>45884.0</v>
      </c>
      <c r="E107" s="12" t="s">
        <v>48</v>
      </c>
      <c r="F107" s="115" t="str">
        <f t="shared" si="1"/>
        <v>Loveleen Singh2025-08-1513</v>
      </c>
    </row>
    <row r="108">
      <c r="A108" s="115" t="s">
        <v>49</v>
      </c>
      <c r="B108" s="115" t="s">
        <v>16</v>
      </c>
      <c r="C108" s="115">
        <v>10065.0</v>
      </c>
      <c r="D108" s="116">
        <v>45884.0</v>
      </c>
      <c r="E108" s="12" t="s">
        <v>48</v>
      </c>
      <c r="F108" s="115" t="str">
        <f t="shared" si="1"/>
        <v>Manoj Harsh2025-08-1513</v>
      </c>
    </row>
    <row r="109">
      <c r="A109" s="115" t="s">
        <v>49</v>
      </c>
      <c r="B109" s="115" t="s">
        <v>18</v>
      </c>
      <c r="C109" s="115">
        <v>4016.0</v>
      </c>
      <c r="D109" s="116">
        <v>45884.0</v>
      </c>
      <c r="E109" s="12" t="s">
        <v>48</v>
      </c>
      <c r="F109" s="115" t="str">
        <f t="shared" si="1"/>
        <v>Pradeep Kothari2025-08-1513</v>
      </c>
    </row>
    <row r="110">
      <c r="A110" s="115" t="s">
        <v>19</v>
      </c>
      <c r="B110" s="115" t="s">
        <v>15</v>
      </c>
      <c r="C110" s="115">
        <v>7.0</v>
      </c>
      <c r="D110" s="116">
        <v>45884.0</v>
      </c>
      <c r="E110" s="12" t="s">
        <v>48</v>
      </c>
      <c r="F110" s="115" t="str">
        <f t="shared" si="1"/>
        <v>Amit Kumar Pathak2025-08-1513</v>
      </c>
    </row>
    <row r="111">
      <c r="A111" s="115" t="s">
        <v>50</v>
      </c>
      <c r="B111" s="115" t="s">
        <v>24</v>
      </c>
      <c r="C111" s="115">
        <v>7312.0</v>
      </c>
      <c r="D111" s="116">
        <v>45884.0</v>
      </c>
      <c r="E111" s="12" t="s">
        <v>48</v>
      </c>
      <c r="F111" s="115" t="str">
        <f t="shared" si="1"/>
        <v>Kandula Sampath2025-08-1513</v>
      </c>
    </row>
    <row r="112">
      <c r="A112" s="115" t="s">
        <v>50</v>
      </c>
      <c r="B112" s="115" t="s">
        <v>25</v>
      </c>
      <c r="C112" s="115">
        <v>5400.0</v>
      </c>
      <c r="D112" s="116">
        <v>45884.0</v>
      </c>
      <c r="E112" s="12" t="s">
        <v>48</v>
      </c>
      <c r="F112" s="115" t="str">
        <f t="shared" si="1"/>
        <v>Martin A2025-08-1513</v>
      </c>
    </row>
    <row r="113">
      <c r="A113" s="115" t="s">
        <v>50</v>
      </c>
      <c r="B113" s="115" t="s">
        <v>26</v>
      </c>
      <c r="C113" s="115">
        <v>4869.0</v>
      </c>
      <c r="D113" s="116">
        <v>45884.0</v>
      </c>
      <c r="E113" s="12" t="s">
        <v>48</v>
      </c>
      <c r="F113" s="115" t="str">
        <f t="shared" si="1"/>
        <v>Premkumar M2025-08-1513</v>
      </c>
    </row>
    <row r="114">
      <c r="A114" s="115" t="s">
        <v>50</v>
      </c>
      <c r="B114" s="115" t="s">
        <v>27</v>
      </c>
      <c r="C114" s="115">
        <v>4102.0</v>
      </c>
      <c r="D114" s="116">
        <v>45884.0</v>
      </c>
      <c r="E114" s="12" t="s">
        <v>48</v>
      </c>
      <c r="F114" s="115" t="str">
        <f t="shared" si="1"/>
        <v>Vineeth V2025-08-1513</v>
      </c>
    </row>
    <row r="115">
      <c r="A115" s="115" t="s">
        <v>51</v>
      </c>
      <c r="B115" s="115" t="s">
        <v>29</v>
      </c>
      <c r="C115" s="115">
        <v>7787.0</v>
      </c>
      <c r="D115" s="116">
        <v>45884.0</v>
      </c>
      <c r="E115" s="12" t="s">
        <v>48</v>
      </c>
      <c r="F115" s="115" t="str">
        <f t="shared" si="1"/>
        <v>Ashish Jakar2025-08-1513</v>
      </c>
    </row>
    <row r="116">
      <c r="A116" s="115" t="s">
        <v>51</v>
      </c>
      <c r="B116" s="115" t="s">
        <v>30</v>
      </c>
      <c r="C116" s="115">
        <v>6876.0</v>
      </c>
      <c r="D116" s="116">
        <v>45884.0</v>
      </c>
      <c r="E116" s="12" t="s">
        <v>48</v>
      </c>
      <c r="F116" s="115" t="str">
        <f t="shared" si="1"/>
        <v>Ashvani Bhatt2025-08-1513</v>
      </c>
    </row>
    <row r="117">
      <c r="A117" s="12" t="s">
        <v>81</v>
      </c>
      <c r="B117" s="12" t="s">
        <v>81</v>
      </c>
      <c r="C117" s="115">
        <v>360.0</v>
      </c>
      <c r="D117" s="116">
        <v>45884.0</v>
      </c>
      <c r="E117" s="12" t="s">
        <v>48</v>
      </c>
      <c r="F117" s="115" t="str">
        <f t="shared" si="1"/>
        <v>02025-08-1513</v>
      </c>
    </row>
    <row r="118">
      <c r="A118" s="115" t="s">
        <v>47</v>
      </c>
      <c r="B118" s="115" t="s">
        <v>20</v>
      </c>
      <c r="C118" s="115">
        <v>16208.0</v>
      </c>
      <c r="D118" s="116">
        <v>45884.0</v>
      </c>
      <c r="E118" s="12" t="s">
        <v>63</v>
      </c>
      <c r="F118" s="115" t="str">
        <f t="shared" si="1"/>
        <v>Ashish Ranjan2025-08-1514</v>
      </c>
    </row>
    <row r="119">
      <c r="A119" s="115" t="s">
        <v>47</v>
      </c>
      <c r="B119" s="115" t="s">
        <v>21</v>
      </c>
      <c r="C119" s="115">
        <v>10164.0</v>
      </c>
      <c r="D119" s="116">
        <v>45884.0</v>
      </c>
      <c r="E119" s="12" t="s">
        <v>63</v>
      </c>
      <c r="F119" s="115" t="str">
        <f t="shared" si="1"/>
        <v>Girish Chand2025-08-1514</v>
      </c>
    </row>
    <row r="120">
      <c r="A120" s="115" t="s">
        <v>47</v>
      </c>
      <c r="B120" s="115" t="s">
        <v>22</v>
      </c>
      <c r="C120" s="115">
        <v>4914.0</v>
      </c>
      <c r="D120" s="116">
        <v>45884.0</v>
      </c>
      <c r="E120" s="12" t="s">
        <v>63</v>
      </c>
      <c r="F120" s="115" t="str">
        <f t="shared" si="1"/>
        <v>Parag Kashyap2025-08-1514</v>
      </c>
    </row>
    <row r="121">
      <c r="A121" s="115" t="s">
        <v>49</v>
      </c>
      <c r="B121" s="115" t="s">
        <v>15</v>
      </c>
      <c r="C121" s="115">
        <v>3309.0</v>
      </c>
      <c r="D121" s="116">
        <v>45884.0</v>
      </c>
      <c r="E121" s="12" t="s">
        <v>63</v>
      </c>
      <c r="F121" s="115" t="str">
        <f t="shared" si="1"/>
        <v>Amit Kumar Pathak2025-08-1514</v>
      </c>
    </row>
    <row r="122">
      <c r="A122" s="115" t="s">
        <v>49</v>
      </c>
      <c r="B122" s="115" t="s">
        <v>17</v>
      </c>
      <c r="C122" s="115">
        <v>4678.0</v>
      </c>
      <c r="D122" s="116">
        <v>45884.0</v>
      </c>
      <c r="E122" s="12" t="s">
        <v>63</v>
      </c>
      <c r="F122" s="115" t="str">
        <f t="shared" si="1"/>
        <v>Loveleen Singh2025-08-1514</v>
      </c>
    </row>
    <row r="123">
      <c r="A123" s="115" t="s">
        <v>49</v>
      </c>
      <c r="B123" s="115" t="s">
        <v>16</v>
      </c>
      <c r="C123" s="115">
        <v>10350.0</v>
      </c>
      <c r="D123" s="116">
        <v>45884.0</v>
      </c>
      <c r="E123" s="12" t="s">
        <v>63</v>
      </c>
      <c r="F123" s="115" t="str">
        <f t="shared" si="1"/>
        <v>Manoj Harsh2025-08-1514</v>
      </c>
    </row>
    <row r="124">
      <c r="A124" s="115" t="s">
        <v>49</v>
      </c>
      <c r="B124" s="115" t="s">
        <v>18</v>
      </c>
      <c r="C124" s="115">
        <v>4078.0</v>
      </c>
      <c r="D124" s="116">
        <v>45884.0</v>
      </c>
      <c r="E124" s="12" t="s">
        <v>63</v>
      </c>
      <c r="F124" s="115" t="str">
        <f t="shared" si="1"/>
        <v>Pradeep Kothari2025-08-1514</v>
      </c>
    </row>
    <row r="125">
      <c r="A125" s="115" t="s">
        <v>19</v>
      </c>
      <c r="B125" s="115" t="s">
        <v>15</v>
      </c>
      <c r="C125" s="115">
        <v>7.0</v>
      </c>
      <c r="D125" s="116">
        <v>45884.0</v>
      </c>
      <c r="E125" s="12" t="s">
        <v>63</v>
      </c>
      <c r="F125" s="115" t="str">
        <f t="shared" si="1"/>
        <v>Amit Kumar Pathak2025-08-1514</v>
      </c>
    </row>
    <row r="126">
      <c r="A126" s="115" t="s">
        <v>50</v>
      </c>
      <c r="B126" s="115" t="s">
        <v>24</v>
      </c>
      <c r="C126" s="115">
        <v>7395.0</v>
      </c>
      <c r="D126" s="116">
        <v>45884.0</v>
      </c>
      <c r="E126" s="12" t="s">
        <v>63</v>
      </c>
      <c r="F126" s="115" t="str">
        <f t="shared" si="1"/>
        <v>Kandula Sampath2025-08-1514</v>
      </c>
    </row>
    <row r="127">
      <c r="A127" s="115" t="s">
        <v>50</v>
      </c>
      <c r="B127" s="115" t="s">
        <v>25</v>
      </c>
      <c r="C127" s="115">
        <v>5509.0</v>
      </c>
      <c r="D127" s="116">
        <v>45884.0</v>
      </c>
      <c r="E127" s="12" t="s">
        <v>63</v>
      </c>
      <c r="F127" s="115" t="str">
        <f t="shared" si="1"/>
        <v>Martin A2025-08-1514</v>
      </c>
    </row>
    <row r="128">
      <c r="A128" s="115" t="s">
        <v>50</v>
      </c>
      <c r="B128" s="115" t="s">
        <v>26</v>
      </c>
      <c r="C128" s="115">
        <v>5061.0</v>
      </c>
      <c r="D128" s="116">
        <v>45884.0</v>
      </c>
      <c r="E128" s="12" t="s">
        <v>63</v>
      </c>
      <c r="F128" s="115" t="str">
        <f t="shared" si="1"/>
        <v>Premkumar M2025-08-1514</v>
      </c>
    </row>
    <row r="129">
      <c r="A129" s="115" t="s">
        <v>50</v>
      </c>
      <c r="B129" s="115" t="s">
        <v>27</v>
      </c>
      <c r="C129" s="115">
        <v>4213.0</v>
      </c>
      <c r="D129" s="116">
        <v>45884.0</v>
      </c>
      <c r="E129" s="12" t="s">
        <v>63</v>
      </c>
      <c r="F129" s="115" t="str">
        <f t="shared" si="1"/>
        <v>Vineeth V2025-08-1514</v>
      </c>
    </row>
    <row r="130">
      <c r="A130" s="115" t="s">
        <v>51</v>
      </c>
      <c r="B130" s="115" t="s">
        <v>29</v>
      </c>
      <c r="C130" s="115">
        <v>8060.0</v>
      </c>
      <c r="D130" s="116">
        <v>45884.0</v>
      </c>
      <c r="E130" s="12" t="s">
        <v>63</v>
      </c>
      <c r="F130" s="115" t="str">
        <f t="shared" si="1"/>
        <v>Ashish Jakar2025-08-1514</v>
      </c>
    </row>
    <row r="131">
      <c r="A131" s="115" t="s">
        <v>51</v>
      </c>
      <c r="B131" s="115" t="s">
        <v>30</v>
      </c>
      <c r="C131" s="115">
        <v>7008.0</v>
      </c>
      <c r="D131" s="116">
        <v>45884.0</v>
      </c>
      <c r="E131" s="12" t="s">
        <v>63</v>
      </c>
      <c r="F131" s="115" t="str">
        <f t="shared" si="1"/>
        <v>Ashvani Bhatt2025-08-1514</v>
      </c>
    </row>
    <row r="132">
      <c r="A132" s="12" t="s">
        <v>81</v>
      </c>
      <c r="B132" s="12" t="s">
        <v>81</v>
      </c>
      <c r="C132" s="115">
        <v>396.0</v>
      </c>
      <c r="D132" s="116">
        <v>45884.0</v>
      </c>
      <c r="E132" s="12" t="s">
        <v>63</v>
      </c>
      <c r="F132" s="115" t="str">
        <f t="shared" si="1"/>
        <v>02025-08-1514</v>
      </c>
    </row>
    <row r="133">
      <c r="A133" s="115" t="s">
        <v>47</v>
      </c>
      <c r="B133" s="115" t="s">
        <v>20</v>
      </c>
      <c r="C133" s="115">
        <v>16353.0</v>
      </c>
      <c r="D133" s="116">
        <v>45884.0</v>
      </c>
      <c r="E133" s="12" t="s">
        <v>64</v>
      </c>
      <c r="F133" s="115" t="str">
        <f t="shared" si="1"/>
        <v>Ashish Ranjan2025-08-1515</v>
      </c>
    </row>
    <row r="134">
      <c r="A134" s="115" t="s">
        <v>47</v>
      </c>
      <c r="B134" s="115" t="s">
        <v>21</v>
      </c>
      <c r="C134" s="115">
        <v>10262.0</v>
      </c>
      <c r="D134" s="116">
        <v>45884.0</v>
      </c>
      <c r="E134" s="12" t="s">
        <v>64</v>
      </c>
      <c r="F134" s="115" t="str">
        <f t="shared" si="1"/>
        <v>Girish Chand2025-08-1515</v>
      </c>
    </row>
    <row r="135">
      <c r="A135" s="115" t="s">
        <v>47</v>
      </c>
      <c r="B135" s="115" t="s">
        <v>22</v>
      </c>
      <c r="C135" s="115">
        <v>4956.0</v>
      </c>
      <c r="D135" s="116">
        <v>45884.0</v>
      </c>
      <c r="E135" s="12" t="s">
        <v>64</v>
      </c>
      <c r="F135" s="115" t="str">
        <f t="shared" si="1"/>
        <v>Parag Kashyap2025-08-1515</v>
      </c>
    </row>
    <row r="136">
      <c r="A136" s="115" t="s">
        <v>49</v>
      </c>
      <c r="B136" s="115" t="s">
        <v>15</v>
      </c>
      <c r="C136" s="115">
        <v>3410.0</v>
      </c>
      <c r="D136" s="116">
        <v>45884.0</v>
      </c>
      <c r="E136" s="12" t="s">
        <v>64</v>
      </c>
      <c r="F136" s="115" t="str">
        <f t="shared" si="1"/>
        <v>Amit Kumar Pathak2025-08-1515</v>
      </c>
    </row>
    <row r="137">
      <c r="A137" s="115" t="s">
        <v>49</v>
      </c>
      <c r="B137" s="115" t="s">
        <v>17</v>
      </c>
      <c r="C137" s="115">
        <v>4718.0</v>
      </c>
      <c r="D137" s="116">
        <v>45884.0</v>
      </c>
      <c r="E137" s="12" t="s">
        <v>64</v>
      </c>
      <c r="F137" s="115" t="str">
        <f t="shared" si="1"/>
        <v>Loveleen Singh2025-08-1515</v>
      </c>
    </row>
    <row r="138">
      <c r="A138" s="115" t="s">
        <v>49</v>
      </c>
      <c r="B138" s="115" t="s">
        <v>16</v>
      </c>
      <c r="C138" s="115">
        <v>10490.0</v>
      </c>
      <c r="D138" s="116">
        <v>45884.0</v>
      </c>
      <c r="E138" s="12" t="s">
        <v>64</v>
      </c>
      <c r="F138" s="115" t="str">
        <f t="shared" si="1"/>
        <v>Manoj Harsh2025-08-1515</v>
      </c>
    </row>
    <row r="139">
      <c r="A139" s="115" t="s">
        <v>49</v>
      </c>
      <c r="B139" s="115" t="s">
        <v>18</v>
      </c>
      <c r="C139" s="115">
        <v>4125.0</v>
      </c>
      <c r="D139" s="116">
        <v>45884.0</v>
      </c>
      <c r="E139" s="12" t="s">
        <v>64</v>
      </c>
      <c r="F139" s="115" t="str">
        <f t="shared" si="1"/>
        <v>Pradeep Kothari2025-08-1515</v>
      </c>
    </row>
    <row r="140">
      <c r="A140" s="115" t="s">
        <v>19</v>
      </c>
      <c r="B140" s="115" t="s">
        <v>15</v>
      </c>
      <c r="C140" s="115">
        <v>7.0</v>
      </c>
      <c r="D140" s="116">
        <v>45884.0</v>
      </c>
      <c r="E140" s="12" t="s">
        <v>64</v>
      </c>
      <c r="F140" s="115" t="str">
        <f t="shared" si="1"/>
        <v>Amit Kumar Pathak2025-08-1515</v>
      </c>
    </row>
    <row r="141">
      <c r="A141" s="115" t="s">
        <v>50</v>
      </c>
      <c r="B141" s="115" t="s">
        <v>24</v>
      </c>
      <c r="C141" s="115">
        <v>7464.0</v>
      </c>
      <c r="D141" s="116">
        <v>45884.0</v>
      </c>
      <c r="E141" s="12" t="s">
        <v>64</v>
      </c>
      <c r="F141" s="115" t="str">
        <f t="shared" si="1"/>
        <v>Kandula Sampath2025-08-1515</v>
      </c>
    </row>
    <row r="142">
      <c r="A142" s="115" t="s">
        <v>50</v>
      </c>
      <c r="B142" s="115" t="s">
        <v>25</v>
      </c>
      <c r="C142" s="115">
        <v>5585.0</v>
      </c>
      <c r="D142" s="116">
        <v>45884.0</v>
      </c>
      <c r="E142" s="12" t="s">
        <v>64</v>
      </c>
      <c r="F142" s="115" t="str">
        <f t="shared" si="1"/>
        <v>Martin A2025-08-1515</v>
      </c>
    </row>
    <row r="143">
      <c r="A143" s="115" t="s">
        <v>50</v>
      </c>
      <c r="B143" s="115" t="s">
        <v>26</v>
      </c>
      <c r="C143" s="115">
        <v>5169.0</v>
      </c>
      <c r="D143" s="116">
        <v>45884.0</v>
      </c>
      <c r="E143" s="12" t="s">
        <v>64</v>
      </c>
      <c r="F143" s="115" t="str">
        <f t="shared" si="1"/>
        <v>Premkumar M2025-08-1515</v>
      </c>
    </row>
    <row r="144">
      <c r="A144" s="115" t="s">
        <v>50</v>
      </c>
      <c r="B144" s="115" t="s">
        <v>27</v>
      </c>
      <c r="C144" s="115">
        <v>4269.0</v>
      </c>
      <c r="D144" s="116">
        <v>45884.0</v>
      </c>
      <c r="E144" s="12" t="s">
        <v>64</v>
      </c>
      <c r="F144" s="115" t="str">
        <f t="shared" si="1"/>
        <v>Vineeth V2025-08-1515</v>
      </c>
    </row>
    <row r="145">
      <c r="A145" s="115" t="s">
        <v>51</v>
      </c>
      <c r="B145" s="115" t="s">
        <v>29</v>
      </c>
      <c r="C145" s="115">
        <v>8241.0</v>
      </c>
      <c r="D145" s="116">
        <v>45884.0</v>
      </c>
      <c r="E145" s="12" t="s">
        <v>64</v>
      </c>
      <c r="F145" s="115" t="str">
        <f t="shared" si="1"/>
        <v>Ashish Jakar2025-08-1515</v>
      </c>
    </row>
    <row r="146">
      <c r="A146" s="115" t="s">
        <v>51</v>
      </c>
      <c r="B146" s="115" t="s">
        <v>30</v>
      </c>
      <c r="C146" s="115">
        <v>7114.0</v>
      </c>
      <c r="D146" s="116">
        <v>45884.0</v>
      </c>
      <c r="E146" s="12" t="s">
        <v>64</v>
      </c>
      <c r="F146" s="115" t="str">
        <f t="shared" si="1"/>
        <v>Ashvani Bhatt2025-08-1515</v>
      </c>
    </row>
    <row r="147">
      <c r="A147" s="12" t="s">
        <v>81</v>
      </c>
      <c r="B147" s="12" t="s">
        <v>81</v>
      </c>
      <c r="C147" s="115">
        <v>419.0</v>
      </c>
      <c r="D147" s="116">
        <v>45884.0</v>
      </c>
      <c r="E147" s="12" t="s">
        <v>64</v>
      </c>
      <c r="F147" s="115" t="str">
        <f t="shared" si="1"/>
        <v>02025-08-1515</v>
      </c>
    </row>
    <row r="148">
      <c r="A148" s="115" t="s">
        <v>47</v>
      </c>
      <c r="B148" s="115" t="s">
        <v>20</v>
      </c>
      <c r="C148" s="115">
        <v>16459.0</v>
      </c>
      <c r="D148" s="116">
        <v>45884.0</v>
      </c>
      <c r="E148" s="12" t="s">
        <v>65</v>
      </c>
      <c r="F148" s="115" t="str">
        <f t="shared" si="1"/>
        <v>Ashish Ranjan2025-08-1516</v>
      </c>
    </row>
    <row r="149">
      <c r="A149" s="115" t="s">
        <v>47</v>
      </c>
      <c r="B149" s="115" t="s">
        <v>21</v>
      </c>
      <c r="C149" s="115">
        <v>10313.0</v>
      </c>
      <c r="D149" s="116">
        <v>45884.0</v>
      </c>
      <c r="E149" s="12" t="s">
        <v>65</v>
      </c>
      <c r="F149" s="115" t="str">
        <f t="shared" si="1"/>
        <v>Girish Chand2025-08-1516</v>
      </c>
    </row>
    <row r="150">
      <c r="A150" s="115" t="s">
        <v>47</v>
      </c>
      <c r="B150" s="115" t="s">
        <v>22</v>
      </c>
      <c r="C150" s="115">
        <v>4983.0</v>
      </c>
      <c r="D150" s="116">
        <v>45884.0</v>
      </c>
      <c r="E150" s="12" t="s">
        <v>65</v>
      </c>
      <c r="F150" s="115" t="str">
        <f t="shared" si="1"/>
        <v>Parag Kashyap2025-08-1516</v>
      </c>
    </row>
    <row r="151">
      <c r="A151" s="115" t="s">
        <v>49</v>
      </c>
      <c r="B151" s="115" t="s">
        <v>15</v>
      </c>
      <c r="C151" s="115">
        <v>3541.0</v>
      </c>
      <c r="D151" s="116">
        <v>45884.0</v>
      </c>
      <c r="E151" s="12" t="s">
        <v>65</v>
      </c>
      <c r="F151" s="115" t="str">
        <f t="shared" si="1"/>
        <v>Amit Kumar Pathak2025-08-1516</v>
      </c>
    </row>
    <row r="152">
      <c r="A152" s="115" t="s">
        <v>49</v>
      </c>
      <c r="B152" s="115" t="s">
        <v>17</v>
      </c>
      <c r="C152" s="115">
        <v>4742.0</v>
      </c>
      <c r="D152" s="116">
        <v>45884.0</v>
      </c>
      <c r="E152" s="12" t="s">
        <v>65</v>
      </c>
      <c r="F152" s="115" t="str">
        <f t="shared" si="1"/>
        <v>Loveleen Singh2025-08-1516</v>
      </c>
    </row>
    <row r="153">
      <c r="A153" s="115" t="s">
        <v>49</v>
      </c>
      <c r="B153" s="115" t="s">
        <v>16</v>
      </c>
      <c r="C153" s="115">
        <v>10566.0</v>
      </c>
      <c r="D153" s="116">
        <v>45884.0</v>
      </c>
      <c r="E153" s="12" t="s">
        <v>65</v>
      </c>
      <c r="F153" s="115" t="str">
        <f t="shared" si="1"/>
        <v>Manoj Harsh2025-08-1516</v>
      </c>
    </row>
    <row r="154">
      <c r="A154" s="115" t="s">
        <v>49</v>
      </c>
      <c r="B154" s="115" t="s">
        <v>18</v>
      </c>
      <c r="C154" s="115">
        <v>4155.0</v>
      </c>
      <c r="D154" s="116">
        <v>45884.0</v>
      </c>
      <c r="E154" s="12" t="s">
        <v>65</v>
      </c>
      <c r="F154" s="115" t="str">
        <f t="shared" si="1"/>
        <v>Pradeep Kothari2025-08-1516</v>
      </c>
    </row>
    <row r="155">
      <c r="A155" s="115" t="s">
        <v>19</v>
      </c>
      <c r="B155" s="115" t="s">
        <v>15</v>
      </c>
      <c r="C155" s="115">
        <v>7.0</v>
      </c>
      <c r="D155" s="116">
        <v>45884.0</v>
      </c>
      <c r="E155" s="12" t="s">
        <v>65</v>
      </c>
      <c r="F155" s="115" t="str">
        <f t="shared" si="1"/>
        <v>Amit Kumar Pathak2025-08-1516</v>
      </c>
    </row>
    <row r="156">
      <c r="A156" s="115" t="s">
        <v>50</v>
      </c>
      <c r="B156" s="115" t="s">
        <v>24</v>
      </c>
      <c r="C156" s="115">
        <v>7560.0</v>
      </c>
      <c r="D156" s="116">
        <v>45884.0</v>
      </c>
      <c r="E156" s="12" t="s">
        <v>65</v>
      </c>
      <c r="F156" s="115" t="str">
        <f t="shared" si="1"/>
        <v>Kandula Sampath2025-08-1516</v>
      </c>
    </row>
    <row r="157">
      <c r="A157" s="115" t="s">
        <v>50</v>
      </c>
      <c r="B157" s="115" t="s">
        <v>25</v>
      </c>
      <c r="C157" s="115">
        <v>5735.0</v>
      </c>
      <c r="D157" s="116">
        <v>45884.0</v>
      </c>
      <c r="E157" s="12" t="s">
        <v>65</v>
      </c>
      <c r="F157" s="115" t="str">
        <f t="shared" si="1"/>
        <v>Martin A2025-08-1516</v>
      </c>
    </row>
    <row r="158">
      <c r="A158" s="115" t="s">
        <v>50</v>
      </c>
      <c r="B158" s="115" t="s">
        <v>26</v>
      </c>
      <c r="C158" s="115">
        <v>5229.0</v>
      </c>
      <c r="D158" s="116">
        <v>45884.0</v>
      </c>
      <c r="E158" s="12" t="s">
        <v>65</v>
      </c>
      <c r="F158" s="115" t="str">
        <f t="shared" si="1"/>
        <v>Premkumar M2025-08-1516</v>
      </c>
    </row>
    <row r="159">
      <c r="A159" s="115" t="s">
        <v>50</v>
      </c>
      <c r="B159" s="115" t="s">
        <v>27</v>
      </c>
      <c r="C159" s="115">
        <v>4287.0</v>
      </c>
      <c r="D159" s="116">
        <v>45884.0</v>
      </c>
      <c r="E159" s="12" t="s">
        <v>65</v>
      </c>
      <c r="F159" s="115" t="str">
        <f t="shared" si="1"/>
        <v>Vineeth V2025-08-1516</v>
      </c>
    </row>
    <row r="160">
      <c r="A160" s="115" t="s">
        <v>51</v>
      </c>
      <c r="B160" s="115" t="s">
        <v>29</v>
      </c>
      <c r="C160" s="115">
        <v>8442.0</v>
      </c>
      <c r="D160" s="116">
        <v>45884.0</v>
      </c>
      <c r="E160" s="12" t="s">
        <v>65</v>
      </c>
      <c r="F160" s="115" t="str">
        <f t="shared" si="1"/>
        <v>Ashish Jakar2025-08-1516</v>
      </c>
    </row>
    <row r="161">
      <c r="A161" s="115" t="s">
        <v>51</v>
      </c>
      <c r="B161" s="115" t="s">
        <v>30</v>
      </c>
      <c r="C161" s="115">
        <v>7172.0</v>
      </c>
      <c r="D161" s="116">
        <v>45884.0</v>
      </c>
      <c r="E161" s="12" t="s">
        <v>65</v>
      </c>
      <c r="F161" s="115" t="str">
        <f t="shared" si="1"/>
        <v>Ashvani Bhatt2025-08-1516</v>
      </c>
    </row>
    <row r="162">
      <c r="A162" s="12" t="s">
        <v>81</v>
      </c>
      <c r="B162" s="12" t="s">
        <v>81</v>
      </c>
      <c r="C162" s="115">
        <v>442.0</v>
      </c>
      <c r="D162" s="116">
        <v>45884.0</v>
      </c>
      <c r="E162" s="12" t="s">
        <v>65</v>
      </c>
      <c r="F162" s="115" t="str">
        <f t="shared" si="1"/>
        <v>02025-08-1516</v>
      </c>
    </row>
    <row r="163">
      <c r="A163" s="115" t="s">
        <v>47</v>
      </c>
      <c r="B163" s="115" t="s">
        <v>20</v>
      </c>
      <c r="C163" s="115">
        <v>16542.0</v>
      </c>
      <c r="D163" s="116">
        <v>45884.0</v>
      </c>
      <c r="E163" s="12" t="s">
        <v>3</v>
      </c>
      <c r="F163" s="115" t="str">
        <f t="shared" si="1"/>
        <v>Ashish Ranjan2025-08-1517</v>
      </c>
    </row>
    <row r="164">
      <c r="A164" s="115" t="s">
        <v>47</v>
      </c>
      <c r="B164" s="115" t="s">
        <v>21</v>
      </c>
      <c r="C164" s="115">
        <v>10335.0</v>
      </c>
      <c r="D164" s="116">
        <v>45884.0</v>
      </c>
      <c r="E164" s="12" t="s">
        <v>3</v>
      </c>
      <c r="F164" s="115" t="str">
        <f t="shared" si="1"/>
        <v>Girish Chand2025-08-1517</v>
      </c>
    </row>
    <row r="165">
      <c r="A165" s="115" t="s">
        <v>47</v>
      </c>
      <c r="B165" s="115" t="s">
        <v>22</v>
      </c>
      <c r="C165" s="115">
        <v>4995.0</v>
      </c>
      <c r="D165" s="116">
        <v>45884.0</v>
      </c>
      <c r="E165" s="12" t="s">
        <v>3</v>
      </c>
      <c r="F165" s="115" t="str">
        <f t="shared" si="1"/>
        <v>Parag Kashyap2025-08-1517</v>
      </c>
    </row>
    <row r="166">
      <c r="A166" s="115" t="s">
        <v>49</v>
      </c>
      <c r="B166" s="115" t="s">
        <v>15</v>
      </c>
      <c r="C166" s="115">
        <v>3628.0</v>
      </c>
      <c r="D166" s="116">
        <v>45884.0</v>
      </c>
      <c r="E166" s="12" t="s">
        <v>3</v>
      </c>
      <c r="F166" s="115" t="str">
        <f t="shared" si="1"/>
        <v>Amit Kumar Pathak2025-08-1517</v>
      </c>
    </row>
    <row r="167">
      <c r="A167" s="115" t="s">
        <v>49</v>
      </c>
      <c r="B167" s="115" t="s">
        <v>17</v>
      </c>
      <c r="C167" s="115">
        <v>4749.0</v>
      </c>
      <c r="D167" s="116">
        <v>45884.0</v>
      </c>
      <c r="E167" s="12" t="s">
        <v>3</v>
      </c>
      <c r="F167" s="115" t="str">
        <f t="shared" si="1"/>
        <v>Loveleen Singh2025-08-1517</v>
      </c>
    </row>
    <row r="168">
      <c r="A168" s="115" t="s">
        <v>49</v>
      </c>
      <c r="B168" s="115" t="s">
        <v>16</v>
      </c>
      <c r="C168" s="115">
        <v>10597.0</v>
      </c>
      <c r="D168" s="116">
        <v>45884.0</v>
      </c>
      <c r="E168" s="12" t="s">
        <v>3</v>
      </c>
      <c r="F168" s="115" t="str">
        <f t="shared" si="1"/>
        <v>Manoj Harsh2025-08-1517</v>
      </c>
    </row>
    <row r="169">
      <c r="A169" s="115" t="s">
        <v>49</v>
      </c>
      <c r="B169" s="115" t="s">
        <v>18</v>
      </c>
      <c r="C169" s="115">
        <v>4168.0</v>
      </c>
      <c r="D169" s="116">
        <v>45884.0</v>
      </c>
      <c r="E169" s="12" t="s">
        <v>3</v>
      </c>
      <c r="F169" s="115" t="str">
        <f t="shared" si="1"/>
        <v>Pradeep Kothari2025-08-1517</v>
      </c>
    </row>
    <row r="170">
      <c r="A170" s="115" t="s">
        <v>19</v>
      </c>
      <c r="B170" s="115" t="s">
        <v>15</v>
      </c>
      <c r="C170" s="115">
        <v>7.0</v>
      </c>
      <c r="D170" s="116">
        <v>45884.0</v>
      </c>
      <c r="E170" s="12" t="s">
        <v>3</v>
      </c>
      <c r="F170" s="115" t="str">
        <f t="shared" si="1"/>
        <v>Amit Kumar Pathak2025-08-1517</v>
      </c>
    </row>
    <row r="171">
      <c r="A171" s="115" t="s">
        <v>50</v>
      </c>
      <c r="B171" s="115" t="s">
        <v>24</v>
      </c>
      <c r="C171" s="115">
        <v>7614.0</v>
      </c>
      <c r="D171" s="116">
        <v>45884.0</v>
      </c>
      <c r="E171" s="12" t="s">
        <v>3</v>
      </c>
      <c r="F171" s="115" t="str">
        <f t="shared" si="1"/>
        <v>Kandula Sampath2025-08-1517</v>
      </c>
    </row>
    <row r="172">
      <c r="A172" s="115" t="s">
        <v>50</v>
      </c>
      <c r="B172" s="115" t="s">
        <v>25</v>
      </c>
      <c r="C172" s="115">
        <v>5917.0</v>
      </c>
      <c r="D172" s="116">
        <v>45884.0</v>
      </c>
      <c r="E172" s="12" t="s">
        <v>3</v>
      </c>
      <c r="F172" s="115" t="str">
        <f t="shared" si="1"/>
        <v>Martin A2025-08-1517</v>
      </c>
    </row>
    <row r="173">
      <c r="A173" s="115" t="s">
        <v>50</v>
      </c>
      <c r="B173" s="115" t="s">
        <v>26</v>
      </c>
      <c r="C173" s="115">
        <v>5269.0</v>
      </c>
      <c r="D173" s="116">
        <v>45884.0</v>
      </c>
      <c r="E173" s="12" t="s">
        <v>3</v>
      </c>
      <c r="F173" s="115" t="str">
        <f t="shared" si="1"/>
        <v>Premkumar M2025-08-1517</v>
      </c>
    </row>
    <row r="174">
      <c r="A174" s="115" t="s">
        <v>50</v>
      </c>
      <c r="B174" s="115" t="s">
        <v>27</v>
      </c>
      <c r="C174" s="115">
        <v>4300.0</v>
      </c>
      <c r="D174" s="116">
        <v>45884.0</v>
      </c>
      <c r="E174" s="12" t="s">
        <v>3</v>
      </c>
      <c r="F174" s="115" t="str">
        <f t="shared" si="1"/>
        <v>Vineeth V2025-08-1517</v>
      </c>
    </row>
    <row r="175">
      <c r="A175" s="115" t="s">
        <v>51</v>
      </c>
      <c r="B175" s="115" t="s">
        <v>29</v>
      </c>
      <c r="C175" s="115">
        <v>8632.0</v>
      </c>
      <c r="D175" s="116">
        <v>45884.0</v>
      </c>
      <c r="E175" s="12" t="s">
        <v>3</v>
      </c>
      <c r="F175" s="115" t="str">
        <f t="shared" si="1"/>
        <v>Ashish Jakar2025-08-1517</v>
      </c>
    </row>
    <row r="176">
      <c r="A176" s="115" t="s">
        <v>51</v>
      </c>
      <c r="B176" s="115" t="s">
        <v>30</v>
      </c>
      <c r="C176" s="115">
        <v>7196.0</v>
      </c>
      <c r="D176" s="116">
        <v>45884.0</v>
      </c>
      <c r="E176" s="12" t="s">
        <v>3</v>
      </c>
      <c r="F176" s="115" t="str">
        <f t="shared" si="1"/>
        <v>Ashvani Bhatt2025-08-1517</v>
      </c>
    </row>
    <row r="177">
      <c r="A177" s="12" t="s">
        <v>81</v>
      </c>
      <c r="B177" s="12" t="s">
        <v>81</v>
      </c>
      <c r="C177" s="115">
        <v>463.0</v>
      </c>
      <c r="D177" s="116">
        <v>45884.0</v>
      </c>
      <c r="E177" s="12" t="s">
        <v>3</v>
      </c>
      <c r="F177" s="115" t="str">
        <f t="shared" si="1"/>
        <v>02025-08-1517</v>
      </c>
    </row>
    <row r="178">
      <c r="A178" s="115" t="s">
        <v>47</v>
      </c>
      <c r="B178" s="115" t="s">
        <v>20</v>
      </c>
      <c r="C178" s="115">
        <v>16568.0</v>
      </c>
      <c r="D178" s="116">
        <v>45884.0</v>
      </c>
      <c r="E178" s="12" t="s">
        <v>53</v>
      </c>
      <c r="F178" s="115" t="str">
        <f t="shared" si="1"/>
        <v>Ashish Ranjan2025-08-1518</v>
      </c>
    </row>
    <row r="179">
      <c r="A179" s="115" t="s">
        <v>47</v>
      </c>
      <c r="B179" s="115" t="s">
        <v>21</v>
      </c>
      <c r="C179" s="115">
        <v>10359.0</v>
      </c>
      <c r="D179" s="116">
        <v>45884.0</v>
      </c>
      <c r="E179" s="12" t="s">
        <v>53</v>
      </c>
      <c r="F179" s="115" t="str">
        <f t="shared" si="1"/>
        <v>Girish Chand2025-08-1518</v>
      </c>
    </row>
    <row r="180">
      <c r="A180" s="115" t="s">
        <v>47</v>
      </c>
      <c r="B180" s="115" t="s">
        <v>22</v>
      </c>
      <c r="C180" s="115">
        <v>5000.0</v>
      </c>
      <c r="D180" s="116">
        <v>45884.0</v>
      </c>
      <c r="E180" s="12" t="s">
        <v>53</v>
      </c>
      <c r="F180" s="115" t="str">
        <f t="shared" si="1"/>
        <v>Parag Kashyap2025-08-1518</v>
      </c>
    </row>
    <row r="181">
      <c r="A181" s="115" t="s">
        <v>49</v>
      </c>
      <c r="B181" s="115" t="s">
        <v>15</v>
      </c>
      <c r="C181" s="115">
        <v>3652.0</v>
      </c>
      <c r="D181" s="116">
        <v>45884.0</v>
      </c>
      <c r="E181" s="12" t="s">
        <v>53</v>
      </c>
      <c r="F181" s="115" t="str">
        <f t="shared" si="1"/>
        <v>Amit Kumar Pathak2025-08-1518</v>
      </c>
    </row>
    <row r="182">
      <c r="A182" s="115" t="s">
        <v>49</v>
      </c>
      <c r="B182" s="115" t="s">
        <v>17</v>
      </c>
      <c r="C182" s="115">
        <v>4753.0</v>
      </c>
      <c r="D182" s="116">
        <v>45884.0</v>
      </c>
      <c r="E182" s="12" t="s">
        <v>53</v>
      </c>
      <c r="F182" s="115" t="str">
        <f t="shared" si="1"/>
        <v>Loveleen Singh2025-08-1518</v>
      </c>
    </row>
    <row r="183">
      <c r="A183" s="115" t="s">
        <v>49</v>
      </c>
      <c r="B183" s="115" t="s">
        <v>16</v>
      </c>
      <c r="C183" s="115">
        <v>10626.0</v>
      </c>
      <c r="D183" s="116">
        <v>45884.0</v>
      </c>
      <c r="E183" s="12" t="s">
        <v>53</v>
      </c>
      <c r="F183" s="115" t="str">
        <f t="shared" si="1"/>
        <v>Manoj Harsh2025-08-1518</v>
      </c>
    </row>
    <row r="184">
      <c r="A184" s="115" t="s">
        <v>49</v>
      </c>
      <c r="B184" s="115" t="s">
        <v>18</v>
      </c>
      <c r="C184" s="115">
        <v>4174.0</v>
      </c>
      <c r="D184" s="116">
        <v>45884.0</v>
      </c>
      <c r="E184" s="12" t="s">
        <v>53</v>
      </c>
      <c r="F184" s="115" t="str">
        <f t="shared" si="1"/>
        <v>Pradeep Kothari2025-08-1518</v>
      </c>
    </row>
    <row r="185">
      <c r="A185" s="115" t="s">
        <v>19</v>
      </c>
      <c r="B185" s="115" t="s">
        <v>15</v>
      </c>
      <c r="C185" s="115">
        <v>7.0</v>
      </c>
      <c r="D185" s="116">
        <v>45884.0</v>
      </c>
      <c r="E185" s="12" t="s">
        <v>53</v>
      </c>
      <c r="F185" s="115" t="str">
        <f t="shared" si="1"/>
        <v>Amit Kumar Pathak2025-08-1518</v>
      </c>
    </row>
    <row r="186">
      <c r="A186" s="115" t="s">
        <v>50</v>
      </c>
      <c r="B186" s="115" t="s">
        <v>24</v>
      </c>
      <c r="C186" s="115">
        <v>7639.0</v>
      </c>
      <c r="D186" s="116">
        <v>45884.0</v>
      </c>
      <c r="E186" s="12" t="s">
        <v>53</v>
      </c>
      <c r="F186" s="115" t="str">
        <f t="shared" si="1"/>
        <v>Kandula Sampath2025-08-1518</v>
      </c>
    </row>
    <row r="187">
      <c r="A187" s="115" t="s">
        <v>50</v>
      </c>
      <c r="B187" s="115" t="s">
        <v>25</v>
      </c>
      <c r="C187" s="115">
        <v>6018.0</v>
      </c>
      <c r="D187" s="116">
        <v>45884.0</v>
      </c>
      <c r="E187" s="12" t="s">
        <v>53</v>
      </c>
      <c r="F187" s="115" t="str">
        <f t="shared" si="1"/>
        <v>Martin A2025-08-1518</v>
      </c>
    </row>
    <row r="188">
      <c r="A188" s="115" t="s">
        <v>50</v>
      </c>
      <c r="B188" s="115" t="s">
        <v>26</v>
      </c>
      <c r="C188" s="115">
        <v>5289.0</v>
      </c>
      <c r="D188" s="116">
        <v>45884.0</v>
      </c>
      <c r="E188" s="12" t="s">
        <v>53</v>
      </c>
      <c r="F188" s="115" t="str">
        <f t="shared" si="1"/>
        <v>Premkumar M2025-08-1518</v>
      </c>
    </row>
    <row r="189">
      <c r="A189" s="115" t="s">
        <v>50</v>
      </c>
      <c r="B189" s="115" t="s">
        <v>27</v>
      </c>
      <c r="C189" s="115">
        <v>4304.0</v>
      </c>
      <c r="D189" s="116">
        <v>45884.0</v>
      </c>
      <c r="E189" s="12" t="s">
        <v>53</v>
      </c>
      <c r="F189" s="115" t="str">
        <f t="shared" si="1"/>
        <v>Vineeth V2025-08-1518</v>
      </c>
    </row>
    <row r="190">
      <c r="A190" s="115" t="s">
        <v>51</v>
      </c>
      <c r="B190" s="115" t="s">
        <v>29</v>
      </c>
      <c r="C190" s="115">
        <v>8703.0</v>
      </c>
      <c r="D190" s="116">
        <v>45884.0</v>
      </c>
      <c r="E190" s="12" t="s">
        <v>53</v>
      </c>
      <c r="F190" s="115" t="str">
        <f t="shared" si="1"/>
        <v>Ashish Jakar2025-08-1518</v>
      </c>
    </row>
    <row r="191">
      <c r="A191" s="115" t="s">
        <v>51</v>
      </c>
      <c r="B191" s="115" t="s">
        <v>30</v>
      </c>
      <c r="C191" s="115">
        <v>7212.0</v>
      </c>
      <c r="D191" s="116">
        <v>45884.0</v>
      </c>
      <c r="E191" s="12" t="s">
        <v>53</v>
      </c>
      <c r="F191" s="115" t="str">
        <f t="shared" si="1"/>
        <v>Ashvani Bhatt2025-08-1518</v>
      </c>
    </row>
    <row r="192">
      <c r="A192" s="12" t="s">
        <v>81</v>
      </c>
      <c r="B192" s="12" t="s">
        <v>81</v>
      </c>
      <c r="C192" s="115">
        <v>469.0</v>
      </c>
      <c r="D192" s="116">
        <v>45884.0</v>
      </c>
      <c r="E192" s="12" t="s">
        <v>53</v>
      </c>
      <c r="F192" s="115" t="str">
        <f t="shared" si="1"/>
        <v>02025-08-1518</v>
      </c>
    </row>
    <row r="193">
      <c r="A193" s="115" t="s">
        <v>47</v>
      </c>
      <c r="B193" s="115" t="s">
        <v>20</v>
      </c>
      <c r="C193" s="115">
        <v>16587.0</v>
      </c>
      <c r="D193" s="116">
        <v>45884.0</v>
      </c>
      <c r="E193" s="12" t="s">
        <v>54</v>
      </c>
      <c r="F193" s="115" t="str">
        <f t="shared" si="1"/>
        <v>Ashish Ranjan2025-08-1519</v>
      </c>
    </row>
    <row r="194">
      <c r="A194" s="115" t="s">
        <v>47</v>
      </c>
      <c r="B194" s="115" t="s">
        <v>21</v>
      </c>
      <c r="C194" s="115">
        <v>10374.0</v>
      </c>
      <c r="D194" s="116">
        <v>45884.0</v>
      </c>
      <c r="E194" s="12" t="s">
        <v>54</v>
      </c>
      <c r="F194" s="115" t="str">
        <f t="shared" si="1"/>
        <v>Girish Chand2025-08-1519</v>
      </c>
    </row>
    <row r="195">
      <c r="A195" s="115" t="s">
        <v>47</v>
      </c>
      <c r="B195" s="115" t="s">
        <v>22</v>
      </c>
      <c r="C195" s="115">
        <v>5001.0</v>
      </c>
      <c r="D195" s="116">
        <v>45884.0</v>
      </c>
      <c r="E195" s="12" t="s">
        <v>54</v>
      </c>
      <c r="F195" s="115" t="str">
        <f t="shared" si="1"/>
        <v>Parag Kashyap2025-08-1519</v>
      </c>
    </row>
    <row r="196">
      <c r="A196" s="115" t="s">
        <v>49</v>
      </c>
      <c r="B196" s="115" t="s">
        <v>15</v>
      </c>
      <c r="C196" s="115">
        <v>3662.0</v>
      </c>
      <c r="D196" s="116">
        <v>45884.0</v>
      </c>
      <c r="E196" s="12" t="s">
        <v>54</v>
      </c>
      <c r="F196" s="115" t="str">
        <f t="shared" si="1"/>
        <v>Amit Kumar Pathak2025-08-1519</v>
      </c>
    </row>
    <row r="197">
      <c r="A197" s="115" t="s">
        <v>49</v>
      </c>
      <c r="B197" s="115" t="s">
        <v>17</v>
      </c>
      <c r="C197" s="115">
        <v>4757.0</v>
      </c>
      <c r="D197" s="116">
        <v>45884.0</v>
      </c>
      <c r="E197" s="12" t="s">
        <v>54</v>
      </c>
      <c r="F197" s="115" t="str">
        <f t="shared" si="1"/>
        <v>Loveleen Singh2025-08-1519</v>
      </c>
    </row>
    <row r="198">
      <c r="A198" s="115" t="s">
        <v>49</v>
      </c>
      <c r="B198" s="115" t="s">
        <v>16</v>
      </c>
      <c r="C198" s="115">
        <v>10643.0</v>
      </c>
      <c r="D198" s="116">
        <v>45884.0</v>
      </c>
      <c r="E198" s="12" t="s">
        <v>54</v>
      </c>
      <c r="F198" s="115" t="str">
        <f t="shared" si="1"/>
        <v>Manoj Harsh2025-08-1519</v>
      </c>
    </row>
    <row r="199">
      <c r="A199" s="115" t="s">
        <v>49</v>
      </c>
      <c r="B199" s="115" t="s">
        <v>18</v>
      </c>
      <c r="C199" s="115">
        <v>4188.0</v>
      </c>
      <c r="D199" s="116">
        <v>45884.0</v>
      </c>
      <c r="E199" s="12" t="s">
        <v>54</v>
      </c>
      <c r="F199" s="115" t="str">
        <f t="shared" si="1"/>
        <v>Pradeep Kothari2025-08-1519</v>
      </c>
    </row>
    <row r="200">
      <c r="A200" s="115" t="s">
        <v>19</v>
      </c>
      <c r="B200" s="115" t="s">
        <v>15</v>
      </c>
      <c r="C200" s="115">
        <v>7.0</v>
      </c>
      <c r="D200" s="116">
        <v>45884.0</v>
      </c>
      <c r="E200" s="12" t="s">
        <v>54</v>
      </c>
      <c r="F200" s="115" t="str">
        <f t="shared" si="1"/>
        <v>Amit Kumar Pathak2025-08-1519</v>
      </c>
    </row>
    <row r="201">
      <c r="A201" s="115" t="s">
        <v>50</v>
      </c>
      <c r="B201" s="115" t="s">
        <v>24</v>
      </c>
      <c r="C201" s="115">
        <v>7645.0</v>
      </c>
      <c r="D201" s="116">
        <v>45884.0</v>
      </c>
      <c r="E201" s="12" t="s">
        <v>54</v>
      </c>
      <c r="F201" s="115" t="str">
        <f t="shared" si="1"/>
        <v>Kandula Sampath2025-08-1519</v>
      </c>
    </row>
    <row r="202">
      <c r="A202" s="115" t="s">
        <v>50</v>
      </c>
      <c r="B202" s="115" t="s">
        <v>25</v>
      </c>
      <c r="C202" s="115">
        <v>6066.0</v>
      </c>
      <c r="D202" s="116">
        <v>45884.0</v>
      </c>
      <c r="E202" s="12" t="s">
        <v>54</v>
      </c>
      <c r="F202" s="115" t="str">
        <f t="shared" si="1"/>
        <v>Martin A2025-08-1519</v>
      </c>
    </row>
    <row r="203">
      <c r="A203" s="115" t="s">
        <v>50</v>
      </c>
      <c r="B203" s="115" t="s">
        <v>26</v>
      </c>
      <c r="C203" s="115">
        <v>5304.0</v>
      </c>
      <c r="D203" s="116">
        <v>45884.0</v>
      </c>
      <c r="E203" s="12" t="s">
        <v>54</v>
      </c>
      <c r="F203" s="115" t="str">
        <f t="shared" si="1"/>
        <v>Premkumar M2025-08-1519</v>
      </c>
    </row>
    <row r="204">
      <c r="A204" s="115" t="s">
        <v>50</v>
      </c>
      <c r="B204" s="115" t="s">
        <v>27</v>
      </c>
      <c r="C204" s="115">
        <v>4313.0</v>
      </c>
      <c r="D204" s="116">
        <v>45884.0</v>
      </c>
      <c r="E204" s="12" t="s">
        <v>54</v>
      </c>
      <c r="F204" s="115" t="str">
        <f t="shared" si="1"/>
        <v>Vineeth V2025-08-1519</v>
      </c>
    </row>
    <row r="205">
      <c r="A205" s="115" t="s">
        <v>51</v>
      </c>
      <c r="B205" s="115" t="s">
        <v>29</v>
      </c>
      <c r="C205" s="115">
        <v>8730.0</v>
      </c>
      <c r="D205" s="116">
        <v>45884.0</v>
      </c>
      <c r="E205" s="12" t="s">
        <v>54</v>
      </c>
      <c r="F205" s="115" t="str">
        <f t="shared" si="1"/>
        <v>Ashish Jakar2025-08-1519</v>
      </c>
    </row>
    <row r="206">
      <c r="A206" s="115" t="s">
        <v>51</v>
      </c>
      <c r="B206" s="115" t="s">
        <v>30</v>
      </c>
      <c r="C206" s="115">
        <v>7215.0</v>
      </c>
      <c r="D206" s="116">
        <v>45884.0</v>
      </c>
      <c r="E206" s="12" t="s">
        <v>54</v>
      </c>
      <c r="F206" s="115" t="str">
        <f t="shared" si="1"/>
        <v>Ashvani Bhatt2025-08-1519</v>
      </c>
    </row>
    <row r="207">
      <c r="A207" s="12" t="s">
        <v>81</v>
      </c>
      <c r="B207" s="12" t="s">
        <v>81</v>
      </c>
      <c r="C207" s="115">
        <v>480.0</v>
      </c>
      <c r="D207" s="116">
        <v>45884.0</v>
      </c>
      <c r="E207" s="12" t="s">
        <v>54</v>
      </c>
      <c r="F207" s="115" t="str">
        <f t="shared" si="1"/>
        <v>02025-08-1519</v>
      </c>
    </row>
    <row r="208">
      <c r="A208" s="115" t="s">
        <v>47</v>
      </c>
      <c r="B208" s="115" t="s">
        <v>20</v>
      </c>
      <c r="C208" s="115">
        <v>16611.0</v>
      </c>
      <c r="D208" s="116">
        <v>45884.0</v>
      </c>
      <c r="E208" s="12" t="s">
        <v>57</v>
      </c>
      <c r="F208" s="115" t="str">
        <f t="shared" si="1"/>
        <v>Ashish Ranjan2025-08-1522</v>
      </c>
    </row>
    <row r="209">
      <c r="A209" s="115" t="s">
        <v>47</v>
      </c>
      <c r="B209" s="115" t="s">
        <v>21</v>
      </c>
      <c r="C209" s="115">
        <v>10389.0</v>
      </c>
      <c r="D209" s="116">
        <v>45884.0</v>
      </c>
      <c r="E209" s="12" t="s">
        <v>57</v>
      </c>
      <c r="F209" s="115" t="str">
        <f t="shared" si="1"/>
        <v>Girish Chand2025-08-1522</v>
      </c>
    </row>
    <row r="210">
      <c r="A210" s="115" t="s">
        <v>47</v>
      </c>
      <c r="B210" s="115" t="s">
        <v>22</v>
      </c>
      <c r="C210" s="115">
        <v>5008.0</v>
      </c>
      <c r="D210" s="116">
        <v>45884.0</v>
      </c>
      <c r="E210" s="12" t="s">
        <v>57</v>
      </c>
      <c r="F210" s="115" t="str">
        <f t="shared" si="1"/>
        <v>Parag Kashyap2025-08-1522</v>
      </c>
    </row>
    <row r="211">
      <c r="A211" s="115" t="s">
        <v>49</v>
      </c>
      <c r="B211" s="115" t="s">
        <v>15</v>
      </c>
      <c r="C211" s="115">
        <v>3674.0</v>
      </c>
      <c r="D211" s="116">
        <v>45884.0</v>
      </c>
      <c r="E211" s="12" t="s">
        <v>57</v>
      </c>
      <c r="F211" s="115" t="str">
        <f t="shared" si="1"/>
        <v>Amit Kumar Pathak2025-08-1522</v>
      </c>
    </row>
    <row r="212">
      <c r="A212" s="115" t="s">
        <v>49</v>
      </c>
      <c r="B212" s="115" t="s">
        <v>17</v>
      </c>
      <c r="C212" s="115">
        <v>4762.0</v>
      </c>
      <c r="D212" s="116">
        <v>45884.0</v>
      </c>
      <c r="E212" s="12" t="s">
        <v>57</v>
      </c>
      <c r="F212" s="115" t="str">
        <f t="shared" si="1"/>
        <v>Loveleen Singh2025-08-1522</v>
      </c>
    </row>
    <row r="213">
      <c r="A213" s="115" t="s">
        <v>49</v>
      </c>
      <c r="B213" s="115" t="s">
        <v>16</v>
      </c>
      <c r="C213" s="115">
        <v>10658.0</v>
      </c>
      <c r="D213" s="116">
        <v>45884.0</v>
      </c>
      <c r="E213" s="12" t="s">
        <v>57</v>
      </c>
      <c r="F213" s="115" t="str">
        <f t="shared" si="1"/>
        <v>Manoj Harsh2025-08-1522</v>
      </c>
    </row>
    <row r="214">
      <c r="A214" s="115" t="s">
        <v>49</v>
      </c>
      <c r="B214" s="115" t="s">
        <v>18</v>
      </c>
      <c r="C214" s="115">
        <v>4200.0</v>
      </c>
      <c r="D214" s="116">
        <v>45884.0</v>
      </c>
      <c r="E214" s="12" t="s">
        <v>57</v>
      </c>
      <c r="F214" s="115" t="str">
        <f t="shared" si="1"/>
        <v>Pradeep Kothari2025-08-1522</v>
      </c>
    </row>
    <row r="215">
      <c r="A215" s="115" t="s">
        <v>19</v>
      </c>
      <c r="B215" s="115" t="s">
        <v>15</v>
      </c>
      <c r="C215" s="115">
        <v>7.0</v>
      </c>
      <c r="D215" s="116">
        <v>45884.0</v>
      </c>
      <c r="E215" s="12" t="s">
        <v>57</v>
      </c>
      <c r="F215" s="115" t="str">
        <f t="shared" si="1"/>
        <v>Amit Kumar Pathak2025-08-1522</v>
      </c>
    </row>
    <row r="216">
      <c r="A216" s="115" t="s">
        <v>50</v>
      </c>
      <c r="B216" s="115" t="s">
        <v>24</v>
      </c>
      <c r="C216" s="115">
        <v>7657.0</v>
      </c>
      <c r="D216" s="116">
        <v>45884.0</v>
      </c>
      <c r="E216" s="12" t="s">
        <v>57</v>
      </c>
      <c r="F216" s="115" t="str">
        <f t="shared" si="1"/>
        <v>Kandula Sampath2025-08-1522</v>
      </c>
    </row>
    <row r="217">
      <c r="A217" s="115" t="s">
        <v>50</v>
      </c>
      <c r="B217" s="115" t="s">
        <v>25</v>
      </c>
      <c r="C217" s="115">
        <v>6088.0</v>
      </c>
      <c r="D217" s="116">
        <v>45884.0</v>
      </c>
      <c r="E217" s="12" t="s">
        <v>57</v>
      </c>
      <c r="F217" s="115" t="str">
        <f t="shared" si="1"/>
        <v>Martin A2025-08-1522</v>
      </c>
    </row>
    <row r="218">
      <c r="A218" s="115" t="s">
        <v>50</v>
      </c>
      <c r="B218" s="115" t="s">
        <v>26</v>
      </c>
      <c r="C218" s="115">
        <v>5314.0</v>
      </c>
      <c r="D218" s="116">
        <v>45884.0</v>
      </c>
      <c r="E218" s="12" t="s">
        <v>57</v>
      </c>
      <c r="F218" s="115" t="str">
        <f t="shared" si="1"/>
        <v>Premkumar M2025-08-1522</v>
      </c>
    </row>
    <row r="219">
      <c r="A219" s="115" t="s">
        <v>50</v>
      </c>
      <c r="B219" s="115" t="s">
        <v>27</v>
      </c>
      <c r="C219" s="115">
        <v>4321.0</v>
      </c>
      <c r="D219" s="116">
        <v>45884.0</v>
      </c>
      <c r="E219" s="12" t="s">
        <v>57</v>
      </c>
      <c r="F219" s="115" t="str">
        <f t="shared" si="1"/>
        <v>Vineeth V2025-08-1522</v>
      </c>
    </row>
    <row r="220">
      <c r="A220" s="115" t="s">
        <v>51</v>
      </c>
      <c r="B220" s="115" t="s">
        <v>29</v>
      </c>
      <c r="C220" s="115">
        <v>8757.0</v>
      </c>
      <c r="D220" s="116">
        <v>45884.0</v>
      </c>
      <c r="E220" s="12" t="s">
        <v>57</v>
      </c>
      <c r="F220" s="115" t="str">
        <f t="shared" si="1"/>
        <v>Ashish Jakar2025-08-1522</v>
      </c>
    </row>
    <row r="221">
      <c r="A221" s="115" t="s">
        <v>51</v>
      </c>
      <c r="B221" s="115" t="s">
        <v>30</v>
      </c>
      <c r="C221" s="115">
        <v>7225.0</v>
      </c>
      <c r="D221" s="116">
        <v>45884.0</v>
      </c>
      <c r="E221" s="12" t="s">
        <v>57</v>
      </c>
      <c r="F221" s="115" t="str">
        <f t="shared" si="1"/>
        <v>Ashvani Bhatt2025-08-1522</v>
      </c>
    </row>
    <row r="222">
      <c r="A222" s="12" t="s">
        <v>81</v>
      </c>
      <c r="B222" s="12" t="s">
        <v>81</v>
      </c>
      <c r="C222" s="115">
        <v>483.0</v>
      </c>
      <c r="D222" s="116">
        <v>45884.0</v>
      </c>
      <c r="E222" s="12" t="s">
        <v>57</v>
      </c>
      <c r="F222" s="115" t="str">
        <f t="shared" si="1"/>
        <v>02025-08-1522</v>
      </c>
    </row>
    <row r="223">
      <c r="A223" s="115" t="s">
        <v>47</v>
      </c>
      <c r="B223" s="115" t="s">
        <v>20</v>
      </c>
      <c r="C223" s="115">
        <v>14546.0</v>
      </c>
      <c r="D223" s="116">
        <v>45885.0</v>
      </c>
      <c r="E223" s="12" t="s">
        <v>61</v>
      </c>
      <c r="F223" s="115" t="str">
        <f t="shared" si="1"/>
        <v>Ashish Ranjan2025-08-1611</v>
      </c>
    </row>
    <row r="224">
      <c r="A224" s="115" t="s">
        <v>47</v>
      </c>
      <c r="B224" s="115" t="s">
        <v>21</v>
      </c>
      <c r="C224" s="115">
        <v>8821.0</v>
      </c>
      <c r="D224" s="116">
        <v>45885.0</v>
      </c>
      <c r="E224" s="12" t="s">
        <v>61</v>
      </c>
      <c r="F224" s="115" t="str">
        <f t="shared" si="1"/>
        <v>Girish Chand2025-08-1611</v>
      </c>
    </row>
    <row r="225">
      <c r="A225" s="115" t="s">
        <v>47</v>
      </c>
      <c r="B225" s="115" t="s">
        <v>22</v>
      </c>
      <c r="C225" s="115">
        <v>5763.0</v>
      </c>
      <c r="D225" s="116">
        <v>45885.0</v>
      </c>
      <c r="E225" s="12" t="s">
        <v>61</v>
      </c>
      <c r="F225" s="115" t="str">
        <f t="shared" si="1"/>
        <v>Parag Kashyap2025-08-1611</v>
      </c>
    </row>
    <row r="226">
      <c r="A226" s="115" t="s">
        <v>49</v>
      </c>
      <c r="B226" s="115" t="s">
        <v>15</v>
      </c>
      <c r="C226" s="115">
        <v>3120.0</v>
      </c>
      <c r="D226" s="116">
        <v>45885.0</v>
      </c>
      <c r="E226" s="12" t="s">
        <v>61</v>
      </c>
      <c r="F226" s="115" t="str">
        <f t="shared" si="1"/>
        <v>Amit Kumar Pathak2025-08-1611</v>
      </c>
    </row>
    <row r="227">
      <c r="A227" s="115" t="s">
        <v>49</v>
      </c>
      <c r="B227" s="115" t="s">
        <v>17</v>
      </c>
      <c r="C227" s="115">
        <v>3782.0</v>
      </c>
      <c r="D227" s="116">
        <v>45885.0</v>
      </c>
      <c r="E227" s="12" t="s">
        <v>61</v>
      </c>
      <c r="F227" s="115" t="str">
        <f t="shared" si="1"/>
        <v>Loveleen Singh2025-08-1611</v>
      </c>
    </row>
    <row r="228">
      <c r="A228" s="115" t="s">
        <v>49</v>
      </c>
      <c r="B228" s="115" t="s">
        <v>16</v>
      </c>
      <c r="C228" s="115">
        <v>8681.0</v>
      </c>
      <c r="D228" s="116">
        <v>45885.0</v>
      </c>
      <c r="E228" s="12" t="s">
        <v>61</v>
      </c>
      <c r="F228" s="115" t="str">
        <f t="shared" si="1"/>
        <v>Manoj Harsh2025-08-1611</v>
      </c>
    </row>
    <row r="229">
      <c r="A229" s="115" t="s">
        <v>49</v>
      </c>
      <c r="B229" s="115" t="s">
        <v>18</v>
      </c>
      <c r="C229" s="115">
        <v>3590.0</v>
      </c>
      <c r="D229" s="116">
        <v>45885.0</v>
      </c>
      <c r="E229" s="12" t="s">
        <v>61</v>
      </c>
      <c r="F229" s="115" t="str">
        <f t="shared" si="1"/>
        <v>Pradeep Kothari2025-08-1611</v>
      </c>
    </row>
    <row r="230">
      <c r="A230" s="115" t="s">
        <v>19</v>
      </c>
      <c r="B230" s="115" t="s">
        <v>15</v>
      </c>
      <c r="C230" s="115">
        <v>5.0</v>
      </c>
      <c r="D230" s="116">
        <v>45885.0</v>
      </c>
      <c r="E230" s="12" t="s">
        <v>61</v>
      </c>
      <c r="F230" s="115" t="str">
        <f t="shared" si="1"/>
        <v>Amit Kumar Pathak2025-08-1611</v>
      </c>
    </row>
    <row r="231">
      <c r="A231" s="115" t="s">
        <v>50</v>
      </c>
      <c r="B231" s="115" t="s">
        <v>24</v>
      </c>
      <c r="C231" s="115">
        <v>6426.0</v>
      </c>
      <c r="D231" s="116">
        <v>45885.0</v>
      </c>
      <c r="E231" s="12" t="s">
        <v>61</v>
      </c>
      <c r="F231" s="115" t="str">
        <f t="shared" si="1"/>
        <v>Kandula Sampath2025-08-1611</v>
      </c>
    </row>
    <row r="232">
      <c r="A232" s="115" t="s">
        <v>50</v>
      </c>
      <c r="B232" s="115" t="s">
        <v>25</v>
      </c>
      <c r="C232" s="115">
        <v>4683.0</v>
      </c>
      <c r="D232" s="116">
        <v>45885.0</v>
      </c>
      <c r="E232" s="12" t="s">
        <v>61</v>
      </c>
      <c r="F232" s="115" t="str">
        <f t="shared" si="1"/>
        <v>Martin A2025-08-1611</v>
      </c>
    </row>
    <row r="233">
      <c r="A233" s="115" t="s">
        <v>50</v>
      </c>
      <c r="B233" s="115" t="s">
        <v>26</v>
      </c>
      <c r="C233" s="115">
        <v>3509.0</v>
      </c>
      <c r="D233" s="116">
        <v>45885.0</v>
      </c>
      <c r="E233" s="12" t="s">
        <v>61</v>
      </c>
      <c r="F233" s="115" t="str">
        <f t="shared" si="1"/>
        <v>Premkumar M2025-08-1611</v>
      </c>
    </row>
    <row r="234">
      <c r="A234" s="115" t="s">
        <v>50</v>
      </c>
      <c r="B234" s="115" t="s">
        <v>27</v>
      </c>
      <c r="C234" s="115">
        <v>2741.0</v>
      </c>
      <c r="D234" s="116">
        <v>45885.0</v>
      </c>
      <c r="E234" s="12" t="s">
        <v>61</v>
      </c>
      <c r="F234" s="115" t="str">
        <f t="shared" si="1"/>
        <v>Vineeth V2025-08-1611</v>
      </c>
    </row>
    <row r="235">
      <c r="A235" s="115" t="s">
        <v>51</v>
      </c>
      <c r="B235" s="115" t="s">
        <v>29</v>
      </c>
      <c r="C235" s="115">
        <v>6179.0</v>
      </c>
      <c r="D235" s="116">
        <v>45885.0</v>
      </c>
      <c r="E235" s="12" t="s">
        <v>61</v>
      </c>
      <c r="F235" s="115" t="str">
        <f t="shared" si="1"/>
        <v>Ashish Jakar2025-08-1611</v>
      </c>
    </row>
    <row r="236">
      <c r="A236" s="115" t="s">
        <v>51</v>
      </c>
      <c r="B236" s="115" t="s">
        <v>30</v>
      </c>
      <c r="C236" s="115">
        <v>5395.0</v>
      </c>
      <c r="D236" s="116">
        <v>45885.0</v>
      </c>
      <c r="E236" s="12" t="s">
        <v>61</v>
      </c>
      <c r="F236" s="115" t="str">
        <f t="shared" si="1"/>
        <v>Ashvani Bhatt2025-08-1611</v>
      </c>
    </row>
    <row r="237">
      <c r="A237" s="12" t="s">
        <v>81</v>
      </c>
      <c r="B237" s="12" t="s">
        <v>81</v>
      </c>
      <c r="C237" s="115">
        <v>284.0</v>
      </c>
      <c r="D237" s="116">
        <v>45885.0</v>
      </c>
      <c r="E237" s="12" t="s">
        <v>61</v>
      </c>
      <c r="F237" s="115" t="str">
        <f t="shared" si="1"/>
        <v>02025-08-1611</v>
      </c>
    </row>
    <row r="238">
      <c r="A238" s="115" t="s">
        <v>47</v>
      </c>
      <c r="B238" s="115" t="s">
        <v>20</v>
      </c>
      <c r="C238" s="115">
        <v>15664.0</v>
      </c>
      <c r="D238" s="116">
        <v>45885.0</v>
      </c>
      <c r="E238" s="12" t="s">
        <v>62</v>
      </c>
      <c r="F238" s="115" t="str">
        <f t="shared" si="1"/>
        <v>Ashish Ranjan2025-08-1612</v>
      </c>
    </row>
    <row r="239">
      <c r="A239" s="115" t="s">
        <v>47</v>
      </c>
      <c r="B239" s="115" t="s">
        <v>21</v>
      </c>
      <c r="C239" s="115">
        <v>9644.0</v>
      </c>
      <c r="D239" s="116">
        <v>45885.0</v>
      </c>
      <c r="E239" s="12" t="s">
        <v>62</v>
      </c>
      <c r="F239" s="115" t="str">
        <f t="shared" si="1"/>
        <v>Girish Chand2025-08-1612</v>
      </c>
    </row>
    <row r="240">
      <c r="A240" s="115" t="s">
        <v>47</v>
      </c>
      <c r="B240" s="115" t="s">
        <v>22</v>
      </c>
      <c r="C240" s="115">
        <v>6542.0</v>
      </c>
      <c r="D240" s="116">
        <v>45885.0</v>
      </c>
      <c r="E240" s="12" t="s">
        <v>62</v>
      </c>
      <c r="F240" s="115" t="str">
        <f t="shared" si="1"/>
        <v>Parag Kashyap2025-08-1612</v>
      </c>
    </row>
    <row r="241">
      <c r="A241" s="115" t="s">
        <v>49</v>
      </c>
      <c r="B241" s="115" t="s">
        <v>15</v>
      </c>
      <c r="C241" s="115">
        <v>3489.0</v>
      </c>
      <c r="D241" s="116">
        <v>45885.0</v>
      </c>
      <c r="E241" s="12" t="s">
        <v>62</v>
      </c>
      <c r="F241" s="115" t="str">
        <f t="shared" si="1"/>
        <v>Amit Kumar Pathak2025-08-1612</v>
      </c>
    </row>
    <row r="242">
      <c r="A242" s="115" t="s">
        <v>49</v>
      </c>
      <c r="B242" s="115" t="s">
        <v>17</v>
      </c>
      <c r="C242" s="115">
        <v>4390.0</v>
      </c>
      <c r="D242" s="116">
        <v>45885.0</v>
      </c>
      <c r="E242" s="12" t="s">
        <v>62</v>
      </c>
      <c r="F242" s="115" t="str">
        <f t="shared" si="1"/>
        <v>Loveleen Singh2025-08-1612</v>
      </c>
    </row>
    <row r="243">
      <c r="A243" s="115" t="s">
        <v>49</v>
      </c>
      <c r="B243" s="115" t="s">
        <v>16</v>
      </c>
      <c r="C243" s="115">
        <v>9757.0</v>
      </c>
      <c r="D243" s="116">
        <v>45885.0</v>
      </c>
      <c r="E243" s="12" t="s">
        <v>62</v>
      </c>
      <c r="F243" s="115" t="str">
        <f t="shared" si="1"/>
        <v>Manoj Harsh2025-08-1612</v>
      </c>
    </row>
    <row r="244">
      <c r="A244" s="115" t="s">
        <v>49</v>
      </c>
      <c r="B244" s="115" t="s">
        <v>18</v>
      </c>
      <c r="C244" s="115">
        <v>3928.0</v>
      </c>
      <c r="D244" s="116">
        <v>45885.0</v>
      </c>
      <c r="E244" s="12" t="s">
        <v>62</v>
      </c>
      <c r="F244" s="115" t="str">
        <f t="shared" si="1"/>
        <v>Pradeep Kothari2025-08-1612</v>
      </c>
    </row>
    <row r="245">
      <c r="A245" s="115" t="s">
        <v>19</v>
      </c>
      <c r="B245" s="115" t="s">
        <v>15</v>
      </c>
      <c r="C245" s="115">
        <v>7.0</v>
      </c>
      <c r="D245" s="116">
        <v>45885.0</v>
      </c>
      <c r="E245" s="12" t="s">
        <v>62</v>
      </c>
      <c r="F245" s="115" t="str">
        <f t="shared" si="1"/>
        <v>Amit Kumar Pathak2025-08-1612</v>
      </c>
    </row>
    <row r="246">
      <c r="A246" s="115" t="s">
        <v>50</v>
      </c>
      <c r="B246" s="115" t="s">
        <v>24</v>
      </c>
      <c r="C246" s="115">
        <v>7072.0</v>
      </c>
      <c r="D246" s="116">
        <v>45885.0</v>
      </c>
      <c r="E246" s="12" t="s">
        <v>62</v>
      </c>
      <c r="F246" s="115" t="str">
        <f t="shared" si="1"/>
        <v>Kandula Sampath2025-08-1612</v>
      </c>
    </row>
    <row r="247">
      <c r="A247" s="115" t="s">
        <v>50</v>
      </c>
      <c r="B247" s="115" t="s">
        <v>25</v>
      </c>
      <c r="C247" s="115">
        <v>5108.0</v>
      </c>
      <c r="D247" s="116">
        <v>45885.0</v>
      </c>
      <c r="E247" s="12" t="s">
        <v>62</v>
      </c>
      <c r="F247" s="115" t="str">
        <f t="shared" si="1"/>
        <v>Martin A2025-08-1612</v>
      </c>
    </row>
    <row r="248">
      <c r="A248" s="115" t="s">
        <v>50</v>
      </c>
      <c r="B248" s="115" t="s">
        <v>26</v>
      </c>
      <c r="C248" s="115">
        <v>4342.0</v>
      </c>
      <c r="D248" s="116">
        <v>45885.0</v>
      </c>
      <c r="E248" s="12" t="s">
        <v>62</v>
      </c>
      <c r="F248" s="115" t="str">
        <f t="shared" si="1"/>
        <v>Premkumar M2025-08-1612</v>
      </c>
    </row>
    <row r="249">
      <c r="A249" s="115" t="s">
        <v>50</v>
      </c>
      <c r="B249" s="115" t="s">
        <v>27</v>
      </c>
      <c r="C249" s="115">
        <v>3747.0</v>
      </c>
      <c r="D249" s="116">
        <v>45885.0</v>
      </c>
      <c r="E249" s="12" t="s">
        <v>62</v>
      </c>
      <c r="F249" s="115" t="str">
        <f t="shared" si="1"/>
        <v>Vineeth V2025-08-1612</v>
      </c>
    </row>
    <row r="250">
      <c r="A250" s="115" t="s">
        <v>51</v>
      </c>
      <c r="B250" s="115" t="s">
        <v>29</v>
      </c>
      <c r="C250" s="115">
        <v>7142.0</v>
      </c>
      <c r="D250" s="116">
        <v>45885.0</v>
      </c>
      <c r="E250" s="12" t="s">
        <v>62</v>
      </c>
      <c r="F250" s="115" t="str">
        <f t="shared" si="1"/>
        <v>Ashish Jakar2025-08-1612</v>
      </c>
    </row>
    <row r="251">
      <c r="A251" s="115" t="s">
        <v>51</v>
      </c>
      <c r="B251" s="115" t="s">
        <v>30</v>
      </c>
      <c r="C251" s="115">
        <v>5980.0</v>
      </c>
      <c r="D251" s="116">
        <v>45885.0</v>
      </c>
      <c r="E251" s="12" t="s">
        <v>62</v>
      </c>
      <c r="F251" s="115" t="str">
        <f t="shared" si="1"/>
        <v>Ashvani Bhatt2025-08-1612</v>
      </c>
    </row>
    <row r="252">
      <c r="C252" s="115">
        <v>375.0</v>
      </c>
      <c r="D252" s="116">
        <v>45885.0</v>
      </c>
      <c r="E252" s="12" t="s">
        <v>62</v>
      </c>
      <c r="F252" s="115" t="str">
        <f t="shared" si="1"/>
        <v>2025-08-1612</v>
      </c>
    </row>
    <row r="253">
      <c r="A253" s="115" t="s">
        <v>47</v>
      </c>
      <c r="B253" s="115" t="s">
        <v>20</v>
      </c>
      <c r="C253" s="115">
        <v>16397.0</v>
      </c>
      <c r="D253" s="116">
        <v>45885.0</v>
      </c>
      <c r="E253" s="12" t="s">
        <v>63</v>
      </c>
      <c r="F253" s="115" t="str">
        <f t="shared" si="1"/>
        <v>Ashish Ranjan2025-08-1614</v>
      </c>
    </row>
    <row r="254">
      <c r="A254" s="115" t="s">
        <v>47</v>
      </c>
      <c r="B254" s="115" t="s">
        <v>21</v>
      </c>
      <c r="C254" s="115">
        <v>10067.0</v>
      </c>
      <c r="D254" s="116">
        <v>45885.0</v>
      </c>
      <c r="E254" s="12" t="s">
        <v>63</v>
      </c>
      <c r="F254" s="115" t="str">
        <f t="shared" si="1"/>
        <v>Girish Chand2025-08-1614</v>
      </c>
    </row>
    <row r="255">
      <c r="A255" s="115" t="s">
        <v>47</v>
      </c>
      <c r="B255" s="115" t="s">
        <v>22</v>
      </c>
      <c r="C255" s="115">
        <v>6909.0</v>
      </c>
      <c r="D255" s="116">
        <v>45885.0</v>
      </c>
      <c r="E255" s="12" t="s">
        <v>63</v>
      </c>
      <c r="F255" s="115" t="str">
        <f t="shared" si="1"/>
        <v>Parag Kashyap2025-08-1614</v>
      </c>
    </row>
    <row r="256">
      <c r="A256" s="115" t="s">
        <v>49</v>
      </c>
      <c r="B256" s="115" t="s">
        <v>15</v>
      </c>
      <c r="C256" s="115">
        <v>3835.0</v>
      </c>
      <c r="D256" s="116">
        <v>45885.0</v>
      </c>
      <c r="E256" s="12" t="s">
        <v>63</v>
      </c>
      <c r="F256" s="115" t="str">
        <f t="shared" si="1"/>
        <v>Amit Kumar Pathak2025-08-1614</v>
      </c>
    </row>
    <row r="257">
      <c r="A257" s="115" t="s">
        <v>49</v>
      </c>
      <c r="B257" s="115" t="s">
        <v>17</v>
      </c>
      <c r="C257" s="115">
        <v>4747.0</v>
      </c>
      <c r="D257" s="116">
        <v>45885.0</v>
      </c>
      <c r="E257" s="12" t="s">
        <v>63</v>
      </c>
      <c r="F257" s="115" t="str">
        <f t="shared" si="1"/>
        <v>Loveleen Singh2025-08-1614</v>
      </c>
    </row>
    <row r="258">
      <c r="A258" s="115" t="s">
        <v>49</v>
      </c>
      <c r="B258" s="115" t="s">
        <v>16</v>
      </c>
      <c r="C258" s="115">
        <v>10470.0</v>
      </c>
      <c r="D258" s="116">
        <v>45885.0</v>
      </c>
      <c r="E258" s="12" t="s">
        <v>63</v>
      </c>
      <c r="F258" s="115" t="str">
        <f t="shared" si="1"/>
        <v>Manoj Harsh2025-08-1614</v>
      </c>
    </row>
    <row r="259">
      <c r="A259" s="115" t="s">
        <v>49</v>
      </c>
      <c r="B259" s="115" t="s">
        <v>18</v>
      </c>
      <c r="C259" s="115">
        <v>4121.0</v>
      </c>
      <c r="D259" s="116">
        <v>45885.0</v>
      </c>
      <c r="E259" s="12" t="s">
        <v>63</v>
      </c>
      <c r="F259" s="115" t="str">
        <f t="shared" si="1"/>
        <v>Pradeep Kothari2025-08-1614</v>
      </c>
    </row>
    <row r="260">
      <c r="A260" s="115" t="s">
        <v>50</v>
      </c>
      <c r="B260" s="115" t="s">
        <v>24</v>
      </c>
      <c r="C260" s="115">
        <v>7448.0</v>
      </c>
      <c r="D260" s="116">
        <v>45885.0</v>
      </c>
      <c r="E260" s="12" t="s">
        <v>63</v>
      </c>
      <c r="F260" s="115" t="str">
        <f t="shared" si="1"/>
        <v>Kandula Sampath2025-08-1614</v>
      </c>
    </row>
    <row r="261">
      <c r="A261" s="115" t="s">
        <v>50</v>
      </c>
      <c r="B261" s="115" t="s">
        <v>25</v>
      </c>
      <c r="C261" s="115">
        <v>5484.0</v>
      </c>
      <c r="D261" s="116">
        <v>45885.0</v>
      </c>
      <c r="E261" s="12" t="s">
        <v>63</v>
      </c>
      <c r="F261" s="115" t="str">
        <f t="shared" si="1"/>
        <v>Martin A2025-08-1614</v>
      </c>
    </row>
    <row r="262">
      <c r="A262" s="115" t="s">
        <v>50</v>
      </c>
      <c r="B262" s="115" t="s">
        <v>26</v>
      </c>
      <c r="C262" s="115">
        <v>5051.0</v>
      </c>
      <c r="D262" s="116">
        <v>45885.0</v>
      </c>
      <c r="E262" s="12" t="s">
        <v>63</v>
      </c>
      <c r="F262" s="115" t="str">
        <f t="shared" si="1"/>
        <v>Premkumar M2025-08-1614</v>
      </c>
    </row>
    <row r="263">
      <c r="A263" s="115" t="s">
        <v>50</v>
      </c>
      <c r="B263" s="115" t="s">
        <v>27</v>
      </c>
      <c r="C263" s="115">
        <v>4232.0</v>
      </c>
      <c r="D263" s="116">
        <v>45885.0</v>
      </c>
      <c r="E263" s="12" t="s">
        <v>63</v>
      </c>
      <c r="F263" s="115" t="str">
        <f t="shared" si="1"/>
        <v>Vineeth V2025-08-1614</v>
      </c>
    </row>
    <row r="264">
      <c r="A264" s="115" t="s">
        <v>51</v>
      </c>
      <c r="B264" s="115" t="s">
        <v>29</v>
      </c>
      <c r="C264" s="115">
        <v>7892.0</v>
      </c>
      <c r="D264" s="116">
        <v>45885.0</v>
      </c>
      <c r="E264" s="12" t="s">
        <v>63</v>
      </c>
      <c r="F264" s="115" t="str">
        <f t="shared" si="1"/>
        <v>Ashish Jakar2025-08-1614</v>
      </c>
    </row>
    <row r="265">
      <c r="A265" s="115" t="s">
        <v>51</v>
      </c>
      <c r="B265" s="115" t="s">
        <v>30</v>
      </c>
      <c r="C265" s="115">
        <v>6441.0</v>
      </c>
      <c r="D265" s="116">
        <v>45885.0</v>
      </c>
      <c r="E265" s="12" t="s">
        <v>63</v>
      </c>
      <c r="F265" s="115" t="str">
        <f t="shared" si="1"/>
        <v>Ashvani Bhatt2025-08-1614</v>
      </c>
    </row>
    <row r="266">
      <c r="C266" s="115">
        <v>482.0</v>
      </c>
      <c r="D266" s="116">
        <v>45885.0</v>
      </c>
      <c r="E266" s="12" t="s">
        <v>63</v>
      </c>
      <c r="F266" s="115" t="str">
        <f t="shared" si="1"/>
        <v>2025-08-1614</v>
      </c>
    </row>
    <row r="267">
      <c r="A267" s="115" t="s">
        <v>47</v>
      </c>
      <c r="B267" s="115" t="s">
        <v>20</v>
      </c>
      <c r="C267" s="115">
        <v>16587.0</v>
      </c>
      <c r="D267" s="116">
        <v>45885.0</v>
      </c>
      <c r="E267" s="12" t="s">
        <v>64</v>
      </c>
      <c r="F267" s="115" t="str">
        <f t="shared" si="1"/>
        <v>Ashish Ranjan2025-08-1615</v>
      </c>
    </row>
    <row r="268">
      <c r="A268" s="115" t="s">
        <v>47</v>
      </c>
      <c r="B268" s="115" t="s">
        <v>21</v>
      </c>
      <c r="C268" s="115">
        <v>10127.0</v>
      </c>
      <c r="D268" s="116">
        <v>45885.0</v>
      </c>
      <c r="E268" s="12" t="s">
        <v>64</v>
      </c>
      <c r="F268" s="115" t="str">
        <f t="shared" si="1"/>
        <v>Girish Chand2025-08-1615</v>
      </c>
    </row>
    <row r="269">
      <c r="A269" s="115" t="s">
        <v>47</v>
      </c>
      <c r="B269" s="115" t="s">
        <v>22</v>
      </c>
      <c r="C269" s="115">
        <v>6955.0</v>
      </c>
      <c r="D269" s="116">
        <v>45885.0</v>
      </c>
      <c r="E269" s="12" t="s">
        <v>64</v>
      </c>
      <c r="F269" s="115" t="str">
        <f t="shared" si="1"/>
        <v>Parag Kashyap2025-08-1615</v>
      </c>
    </row>
    <row r="270">
      <c r="A270" s="115" t="s">
        <v>49</v>
      </c>
      <c r="B270" s="115" t="s">
        <v>15</v>
      </c>
      <c r="C270" s="115">
        <v>3991.0</v>
      </c>
      <c r="D270" s="116">
        <v>45885.0</v>
      </c>
      <c r="E270" s="12" t="s">
        <v>64</v>
      </c>
      <c r="F270" s="115" t="str">
        <f t="shared" si="1"/>
        <v>Amit Kumar Pathak2025-08-1615</v>
      </c>
    </row>
    <row r="271">
      <c r="A271" s="115" t="s">
        <v>49</v>
      </c>
      <c r="B271" s="115" t="s">
        <v>17</v>
      </c>
      <c r="C271" s="115">
        <v>4789.0</v>
      </c>
      <c r="D271" s="116">
        <v>45885.0</v>
      </c>
      <c r="E271" s="12" t="s">
        <v>64</v>
      </c>
      <c r="F271" s="115" t="str">
        <f t="shared" si="1"/>
        <v>Loveleen Singh2025-08-1615</v>
      </c>
    </row>
    <row r="272">
      <c r="A272" s="115" t="s">
        <v>49</v>
      </c>
      <c r="B272" s="115" t="s">
        <v>16</v>
      </c>
      <c r="C272" s="115">
        <v>10594.0</v>
      </c>
      <c r="D272" s="116">
        <v>45885.0</v>
      </c>
      <c r="E272" s="12" t="s">
        <v>64</v>
      </c>
      <c r="F272" s="115" t="str">
        <f t="shared" si="1"/>
        <v>Manoj Harsh2025-08-1615</v>
      </c>
    </row>
    <row r="273">
      <c r="A273" s="115" t="s">
        <v>49</v>
      </c>
      <c r="B273" s="115" t="s">
        <v>18</v>
      </c>
      <c r="C273" s="115">
        <v>4175.0</v>
      </c>
      <c r="D273" s="116">
        <v>45885.0</v>
      </c>
      <c r="E273" s="12" t="s">
        <v>64</v>
      </c>
      <c r="F273" s="115" t="str">
        <f t="shared" si="1"/>
        <v>Pradeep Kothari2025-08-1615</v>
      </c>
    </row>
    <row r="274">
      <c r="A274" s="115" t="s">
        <v>50</v>
      </c>
      <c r="B274" s="115" t="s">
        <v>24</v>
      </c>
      <c r="C274" s="115">
        <v>7542.0</v>
      </c>
      <c r="D274" s="116">
        <v>45885.0</v>
      </c>
      <c r="E274" s="12" t="s">
        <v>64</v>
      </c>
      <c r="F274" s="115" t="str">
        <f t="shared" si="1"/>
        <v>Kandula Sampath2025-08-1615</v>
      </c>
    </row>
    <row r="275">
      <c r="A275" s="115" t="s">
        <v>50</v>
      </c>
      <c r="B275" s="115" t="s">
        <v>25</v>
      </c>
      <c r="C275" s="115">
        <v>5581.0</v>
      </c>
      <c r="D275" s="116">
        <v>45885.0</v>
      </c>
      <c r="E275" s="12" t="s">
        <v>64</v>
      </c>
      <c r="F275" s="115" t="str">
        <f t="shared" si="1"/>
        <v>Martin A2025-08-1615</v>
      </c>
    </row>
    <row r="276">
      <c r="A276" s="115" t="s">
        <v>50</v>
      </c>
      <c r="B276" s="115" t="s">
        <v>26</v>
      </c>
      <c r="C276" s="115">
        <v>5169.0</v>
      </c>
      <c r="D276" s="116">
        <v>45885.0</v>
      </c>
      <c r="E276" s="12" t="s">
        <v>64</v>
      </c>
      <c r="F276" s="115" t="str">
        <f t="shared" si="1"/>
        <v>Premkumar M2025-08-1615</v>
      </c>
    </row>
    <row r="277">
      <c r="A277" s="115" t="s">
        <v>50</v>
      </c>
      <c r="B277" s="115" t="s">
        <v>27</v>
      </c>
      <c r="C277" s="115">
        <v>4275.0</v>
      </c>
      <c r="D277" s="116">
        <v>45885.0</v>
      </c>
      <c r="E277" s="12" t="s">
        <v>64</v>
      </c>
      <c r="F277" s="115" t="str">
        <f t="shared" si="1"/>
        <v>Vineeth V2025-08-1615</v>
      </c>
    </row>
    <row r="278">
      <c r="A278" s="115" t="s">
        <v>51</v>
      </c>
      <c r="B278" s="115" t="s">
        <v>29</v>
      </c>
      <c r="C278" s="115">
        <v>8051.0</v>
      </c>
      <c r="D278" s="116">
        <v>45885.0</v>
      </c>
      <c r="E278" s="12" t="s">
        <v>64</v>
      </c>
      <c r="F278" s="115" t="str">
        <f t="shared" si="1"/>
        <v>Ashish Jakar2025-08-1615</v>
      </c>
    </row>
    <row r="279">
      <c r="A279" s="115" t="s">
        <v>51</v>
      </c>
      <c r="B279" s="115" t="s">
        <v>30</v>
      </c>
      <c r="C279" s="115">
        <v>6540.0</v>
      </c>
      <c r="D279" s="116">
        <v>45885.0</v>
      </c>
      <c r="E279" s="12" t="s">
        <v>64</v>
      </c>
      <c r="F279" s="115" t="str">
        <f t="shared" si="1"/>
        <v>Ashvani Bhatt2025-08-1615</v>
      </c>
    </row>
    <row r="280">
      <c r="C280" s="115">
        <v>496.0</v>
      </c>
      <c r="D280" s="116">
        <v>45885.0</v>
      </c>
      <c r="E280" s="12" t="s">
        <v>64</v>
      </c>
      <c r="F280" s="115" t="str">
        <f t="shared" si="1"/>
        <v>2025-08-1615</v>
      </c>
    </row>
    <row r="281">
      <c r="A281" s="115" t="s">
        <v>47</v>
      </c>
      <c r="B281" s="115" t="s">
        <v>20</v>
      </c>
      <c r="C281" s="115">
        <v>16727.0</v>
      </c>
      <c r="D281" s="116">
        <v>45885.0</v>
      </c>
      <c r="E281" s="12" t="s">
        <v>65</v>
      </c>
      <c r="F281" s="115" t="str">
        <f t="shared" si="1"/>
        <v>Ashish Ranjan2025-08-1616</v>
      </c>
    </row>
    <row r="282">
      <c r="A282" s="115" t="s">
        <v>47</v>
      </c>
      <c r="B282" s="115" t="s">
        <v>21</v>
      </c>
      <c r="C282" s="115">
        <v>10163.0</v>
      </c>
      <c r="D282" s="116">
        <v>45885.0</v>
      </c>
      <c r="E282" s="12" t="s">
        <v>65</v>
      </c>
      <c r="F282" s="115" t="str">
        <f t="shared" si="1"/>
        <v>Girish Chand2025-08-1616</v>
      </c>
    </row>
    <row r="283">
      <c r="A283" s="115" t="s">
        <v>47</v>
      </c>
      <c r="B283" s="115" t="s">
        <v>22</v>
      </c>
      <c r="C283" s="115">
        <v>6982.0</v>
      </c>
      <c r="D283" s="116">
        <v>45885.0</v>
      </c>
      <c r="E283" s="12" t="s">
        <v>65</v>
      </c>
      <c r="F283" s="115" t="str">
        <f t="shared" si="1"/>
        <v>Parag Kashyap2025-08-1616</v>
      </c>
    </row>
    <row r="284">
      <c r="A284" s="115" t="s">
        <v>49</v>
      </c>
      <c r="B284" s="115" t="s">
        <v>15</v>
      </c>
      <c r="C284" s="115">
        <v>4143.0</v>
      </c>
      <c r="D284" s="116">
        <v>45885.0</v>
      </c>
      <c r="E284" s="12" t="s">
        <v>65</v>
      </c>
      <c r="F284" s="115" t="str">
        <f t="shared" si="1"/>
        <v>Amit Kumar Pathak2025-08-1616</v>
      </c>
    </row>
    <row r="285">
      <c r="A285" s="115" t="s">
        <v>49</v>
      </c>
      <c r="B285" s="115" t="s">
        <v>17</v>
      </c>
      <c r="C285" s="115">
        <v>4812.0</v>
      </c>
      <c r="D285" s="116">
        <v>45885.0</v>
      </c>
      <c r="E285" s="12" t="s">
        <v>65</v>
      </c>
      <c r="F285" s="115" t="str">
        <f t="shared" si="1"/>
        <v>Loveleen Singh2025-08-1616</v>
      </c>
    </row>
    <row r="286">
      <c r="A286" s="115" t="s">
        <v>49</v>
      </c>
      <c r="B286" s="115" t="s">
        <v>16</v>
      </c>
      <c r="C286" s="115">
        <v>10653.0</v>
      </c>
      <c r="D286" s="116">
        <v>45885.0</v>
      </c>
      <c r="E286" s="12" t="s">
        <v>65</v>
      </c>
      <c r="F286" s="115" t="str">
        <f t="shared" si="1"/>
        <v>Manoj Harsh2025-08-1616</v>
      </c>
    </row>
    <row r="287">
      <c r="A287" s="115" t="s">
        <v>49</v>
      </c>
      <c r="B287" s="115" t="s">
        <v>18</v>
      </c>
      <c r="C287" s="115">
        <v>4206.0</v>
      </c>
      <c r="D287" s="116">
        <v>45885.0</v>
      </c>
      <c r="E287" s="12" t="s">
        <v>65</v>
      </c>
      <c r="F287" s="115" t="str">
        <f t="shared" si="1"/>
        <v>Pradeep Kothari2025-08-1616</v>
      </c>
    </row>
    <row r="288">
      <c r="A288" s="115" t="s">
        <v>50</v>
      </c>
      <c r="B288" s="115" t="s">
        <v>24</v>
      </c>
      <c r="C288" s="115">
        <v>7664.0</v>
      </c>
      <c r="D288" s="116">
        <v>45885.0</v>
      </c>
      <c r="E288" s="12" t="s">
        <v>65</v>
      </c>
      <c r="F288" s="115" t="str">
        <f t="shared" si="1"/>
        <v>Kandula Sampath2025-08-1616</v>
      </c>
    </row>
    <row r="289">
      <c r="A289" s="115" t="s">
        <v>50</v>
      </c>
      <c r="B289" s="115" t="s">
        <v>25</v>
      </c>
      <c r="C289" s="115">
        <v>5768.0</v>
      </c>
      <c r="D289" s="116">
        <v>45885.0</v>
      </c>
      <c r="E289" s="12" t="s">
        <v>65</v>
      </c>
      <c r="F289" s="115" t="str">
        <f t="shared" si="1"/>
        <v>Martin A2025-08-1616</v>
      </c>
    </row>
    <row r="290">
      <c r="A290" s="115" t="s">
        <v>50</v>
      </c>
      <c r="B290" s="115" t="s">
        <v>26</v>
      </c>
      <c r="C290" s="115">
        <v>5248.0</v>
      </c>
      <c r="D290" s="116">
        <v>45885.0</v>
      </c>
      <c r="E290" s="12" t="s">
        <v>65</v>
      </c>
      <c r="F290" s="115" t="str">
        <f t="shared" si="1"/>
        <v>Premkumar M2025-08-1616</v>
      </c>
    </row>
    <row r="291">
      <c r="A291" s="115" t="s">
        <v>50</v>
      </c>
      <c r="B291" s="115" t="s">
        <v>27</v>
      </c>
      <c r="C291" s="115">
        <v>4302.0</v>
      </c>
      <c r="D291" s="116">
        <v>45885.0</v>
      </c>
      <c r="E291" s="12" t="s">
        <v>65</v>
      </c>
      <c r="F291" s="115" t="str">
        <f t="shared" si="1"/>
        <v>Vineeth V2025-08-1616</v>
      </c>
    </row>
    <row r="292">
      <c r="A292" s="115" t="s">
        <v>51</v>
      </c>
      <c r="B292" s="115" t="s">
        <v>29</v>
      </c>
      <c r="C292" s="115">
        <v>8240.0</v>
      </c>
      <c r="D292" s="116">
        <v>45885.0</v>
      </c>
      <c r="E292" s="12" t="s">
        <v>65</v>
      </c>
      <c r="F292" s="115" t="str">
        <f t="shared" si="1"/>
        <v>Ashish Jakar2025-08-1616</v>
      </c>
    </row>
    <row r="293">
      <c r="A293" s="115" t="s">
        <v>51</v>
      </c>
      <c r="B293" s="115" t="s">
        <v>30</v>
      </c>
      <c r="C293" s="115">
        <v>6596.0</v>
      </c>
      <c r="D293" s="116">
        <v>45885.0</v>
      </c>
      <c r="E293" s="12" t="s">
        <v>65</v>
      </c>
      <c r="F293" s="115" t="str">
        <f t="shared" si="1"/>
        <v>Ashvani Bhatt2025-08-1616</v>
      </c>
    </row>
    <row r="294">
      <c r="C294" s="115">
        <v>512.0</v>
      </c>
      <c r="D294" s="116">
        <v>45885.0</v>
      </c>
      <c r="E294" s="12" t="s">
        <v>65</v>
      </c>
      <c r="F294" s="115" t="str">
        <f t="shared" si="1"/>
        <v>2025-08-1616</v>
      </c>
    </row>
    <row r="295">
      <c r="A295" s="115" t="s">
        <v>47</v>
      </c>
      <c r="B295" s="115" t="s">
        <v>20</v>
      </c>
      <c r="C295" s="115">
        <v>16857.0</v>
      </c>
      <c r="D295" s="116">
        <v>45885.0</v>
      </c>
      <c r="E295" s="12" t="s">
        <v>53</v>
      </c>
      <c r="F295" s="115" t="str">
        <f t="shared" si="1"/>
        <v>Ashish Ranjan2025-08-1618</v>
      </c>
    </row>
    <row r="296">
      <c r="A296" s="115" t="s">
        <v>47</v>
      </c>
      <c r="B296" s="115" t="s">
        <v>21</v>
      </c>
      <c r="C296" s="115">
        <v>10199.0</v>
      </c>
      <c r="D296" s="116">
        <v>45885.0</v>
      </c>
      <c r="E296" s="12" t="s">
        <v>53</v>
      </c>
      <c r="F296" s="115" t="str">
        <f t="shared" si="1"/>
        <v>Girish Chand2025-08-1618</v>
      </c>
    </row>
    <row r="297">
      <c r="A297" s="115" t="s">
        <v>47</v>
      </c>
      <c r="B297" s="115" t="s">
        <v>22</v>
      </c>
      <c r="C297" s="115">
        <v>7000.0</v>
      </c>
      <c r="D297" s="116">
        <v>45885.0</v>
      </c>
      <c r="E297" s="12" t="s">
        <v>53</v>
      </c>
      <c r="F297" s="115" t="str">
        <f t="shared" si="1"/>
        <v>Parag Kashyap2025-08-1618</v>
      </c>
    </row>
    <row r="298">
      <c r="A298" s="115" t="s">
        <v>49</v>
      </c>
      <c r="B298" s="115" t="s">
        <v>15</v>
      </c>
      <c r="C298" s="115">
        <v>4236.0</v>
      </c>
      <c r="D298" s="116">
        <v>45885.0</v>
      </c>
      <c r="E298" s="12" t="s">
        <v>53</v>
      </c>
      <c r="F298" s="115" t="str">
        <f t="shared" si="1"/>
        <v>Amit Kumar Pathak2025-08-1618</v>
      </c>
    </row>
    <row r="299">
      <c r="A299" s="115" t="s">
        <v>49</v>
      </c>
      <c r="B299" s="115" t="s">
        <v>17</v>
      </c>
      <c r="C299" s="115">
        <v>4835.0</v>
      </c>
      <c r="D299" s="116">
        <v>45885.0</v>
      </c>
      <c r="E299" s="12" t="s">
        <v>53</v>
      </c>
      <c r="F299" s="115" t="str">
        <f t="shared" si="1"/>
        <v>Loveleen Singh2025-08-1618</v>
      </c>
    </row>
    <row r="300">
      <c r="A300" s="115" t="s">
        <v>49</v>
      </c>
      <c r="B300" s="115" t="s">
        <v>16</v>
      </c>
      <c r="C300" s="115">
        <v>10723.0</v>
      </c>
      <c r="D300" s="116">
        <v>45885.0</v>
      </c>
      <c r="E300" s="12" t="s">
        <v>53</v>
      </c>
      <c r="F300" s="115" t="str">
        <f t="shared" si="1"/>
        <v>Manoj Harsh2025-08-1618</v>
      </c>
    </row>
    <row r="301">
      <c r="A301" s="115" t="s">
        <v>49</v>
      </c>
      <c r="B301" s="115" t="s">
        <v>18</v>
      </c>
      <c r="C301" s="115">
        <v>4236.0</v>
      </c>
      <c r="D301" s="116">
        <v>45885.0</v>
      </c>
      <c r="E301" s="12" t="s">
        <v>53</v>
      </c>
      <c r="F301" s="115" t="str">
        <f t="shared" si="1"/>
        <v>Pradeep Kothari2025-08-1618</v>
      </c>
    </row>
    <row r="302">
      <c r="A302" s="115" t="s">
        <v>50</v>
      </c>
      <c r="B302" s="115" t="s">
        <v>24</v>
      </c>
      <c r="C302" s="115">
        <v>7727.0</v>
      </c>
      <c r="D302" s="116">
        <v>45885.0</v>
      </c>
      <c r="E302" s="12" t="s">
        <v>53</v>
      </c>
      <c r="F302" s="115" t="str">
        <f t="shared" si="1"/>
        <v>Kandula Sampath2025-08-1618</v>
      </c>
    </row>
    <row r="303">
      <c r="A303" s="115" t="s">
        <v>50</v>
      </c>
      <c r="B303" s="115" t="s">
        <v>25</v>
      </c>
      <c r="C303" s="115">
        <v>6008.0</v>
      </c>
      <c r="D303" s="116">
        <v>45885.0</v>
      </c>
      <c r="E303" s="12" t="s">
        <v>53</v>
      </c>
      <c r="F303" s="115" t="str">
        <f t="shared" si="1"/>
        <v>Martin A2025-08-1618</v>
      </c>
    </row>
    <row r="304">
      <c r="A304" s="115" t="s">
        <v>50</v>
      </c>
      <c r="B304" s="115" t="s">
        <v>26</v>
      </c>
      <c r="C304" s="115">
        <v>5322.0</v>
      </c>
      <c r="D304" s="116">
        <v>45885.0</v>
      </c>
      <c r="E304" s="12" t="s">
        <v>53</v>
      </c>
      <c r="F304" s="115" t="str">
        <f t="shared" si="1"/>
        <v>Premkumar M2025-08-1618</v>
      </c>
    </row>
    <row r="305">
      <c r="A305" s="115" t="s">
        <v>50</v>
      </c>
      <c r="B305" s="115" t="s">
        <v>27</v>
      </c>
      <c r="C305" s="115">
        <v>4330.0</v>
      </c>
      <c r="D305" s="116">
        <v>45885.0</v>
      </c>
      <c r="E305" s="12" t="s">
        <v>53</v>
      </c>
      <c r="F305" s="115" t="str">
        <f t="shared" si="1"/>
        <v>Vineeth V2025-08-1618</v>
      </c>
    </row>
    <row r="306">
      <c r="A306" s="115" t="s">
        <v>51</v>
      </c>
      <c r="B306" s="115" t="s">
        <v>29</v>
      </c>
      <c r="C306" s="115">
        <v>8477.0</v>
      </c>
      <c r="D306" s="116">
        <v>45885.0</v>
      </c>
      <c r="E306" s="12" t="s">
        <v>53</v>
      </c>
      <c r="F306" s="115" t="str">
        <f t="shared" si="1"/>
        <v>Ashish Jakar2025-08-1618</v>
      </c>
    </row>
    <row r="307">
      <c r="A307" s="115" t="s">
        <v>51</v>
      </c>
      <c r="B307" s="115" t="s">
        <v>30</v>
      </c>
      <c r="C307" s="115">
        <v>6651.0</v>
      </c>
      <c r="D307" s="116">
        <v>45885.0</v>
      </c>
      <c r="E307" s="12" t="s">
        <v>53</v>
      </c>
      <c r="F307" s="115" t="str">
        <f t="shared" si="1"/>
        <v>Ashvani Bhatt2025-08-1618</v>
      </c>
    </row>
    <row r="308">
      <c r="C308" s="115">
        <v>539.0</v>
      </c>
      <c r="D308" s="116">
        <v>45885.0</v>
      </c>
      <c r="E308" s="12" t="s">
        <v>53</v>
      </c>
      <c r="F308" s="115" t="str">
        <f t="shared" si="1"/>
        <v>2025-08-1618</v>
      </c>
    </row>
    <row r="309">
      <c r="A309" s="115" t="s">
        <v>47</v>
      </c>
      <c r="B309" s="115" t="s">
        <v>20</v>
      </c>
      <c r="C309" s="115">
        <v>16881.0</v>
      </c>
      <c r="D309" s="116">
        <v>45885.0</v>
      </c>
      <c r="E309" s="12" t="s">
        <v>54</v>
      </c>
      <c r="F309" s="115" t="str">
        <f t="shared" si="1"/>
        <v>Ashish Ranjan2025-08-1619</v>
      </c>
    </row>
    <row r="310">
      <c r="A310" s="115" t="s">
        <v>47</v>
      </c>
      <c r="B310" s="115" t="s">
        <v>21</v>
      </c>
      <c r="C310" s="115">
        <v>10209.0</v>
      </c>
      <c r="D310" s="116">
        <v>45885.0</v>
      </c>
      <c r="E310" s="12" t="s">
        <v>54</v>
      </c>
      <c r="F310" s="115" t="str">
        <f t="shared" si="1"/>
        <v>Girish Chand2025-08-1619</v>
      </c>
    </row>
    <row r="311">
      <c r="A311" s="115" t="s">
        <v>47</v>
      </c>
      <c r="B311" s="115" t="s">
        <v>22</v>
      </c>
      <c r="C311" s="115">
        <v>7008.0</v>
      </c>
      <c r="D311" s="116">
        <v>45885.0</v>
      </c>
      <c r="E311" s="12" t="s">
        <v>54</v>
      </c>
      <c r="F311" s="115" t="str">
        <f t="shared" si="1"/>
        <v>Parag Kashyap2025-08-1619</v>
      </c>
    </row>
    <row r="312">
      <c r="A312" s="115" t="s">
        <v>49</v>
      </c>
      <c r="B312" s="115" t="s">
        <v>15</v>
      </c>
      <c r="C312" s="115">
        <v>4246.0</v>
      </c>
      <c r="D312" s="116">
        <v>45885.0</v>
      </c>
      <c r="E312" s="12" t="s">
        <v>54</v>
      </c>
      <c r="F312" s="115" t="str">
        <f t="shared" si="1"/>
        <v>Amit Kumar Pathak2025-08-1619</v>
      </c>
    </row>
    <row r="313">
      <c r="A313" s="115" t="s">
        <v>49</v>
      </c>
      <c r="B313" s="115" t="s">
        <v>17</v>
      </c>
      <c r="C313" s="115">
        <v>4842.0</v>
      </c>
      <c r="D313" s="116">
        <v>45885.0</v>
      </c>
      <c r="E313" s="12" t="s">
        <v>54</v>
      </c>
      <c r="F313" s="115" t="str">
        <f t="shared" si="1"/>
        <v>Loveleen Singh2025-08-1619</v>
      </c>
    </row>
    <row r="314">
      <c r="A314" s="115" t="s">
        <v>49</v>
      </c>
      <c r="B314" s="115" t="s">
        <v>16</v>
      </c>
      <c r="C314" s="115">
        <v>10738.0</v>
      </c>
      <c r="D314" s="116">
        <v>45885.0</v>
      </c>
      <c r="E314" s="12" t="s">
        <v>54</v>
      </c>
      <c r="F314" s="115" t="str">
        <f t="shared" si="1"/>
        <v>Manoj Harsh2025-08-1619</v>
      </c>
    </row>
    <row r="315">
      <c r="A315" s="115" t="s">
        <v>49</v>
      </c>
      <c r="B315" s="115" t="s">
        <v>18</v>
      </c>
      <c r="C315" s="115">
        <v>4246.0</v>
      </c>
      <c r="D315" s="116">
        <v>45885.0</v>
      </c>
      <c r="E315" s="12" t="s">
        <v>54</v>
      </c>
      <c r="F315" s="115" t="str">
        <f t="shared" si="1"/>
        <v>Pradeep Kothari2025-08-1619</v>
      </c>
    </row>
    <row r="316">
      <c r="A316" s="115" t="s">
        <v>50</v>
      </c>
      <c r="B316" s="115" t="s">
        <v>24</v>
      </c>
      <c r="C316" s="115">
        <v>7737.0</v>
      </c>
      <c r="D316" s="116">
        <v>45885.0</v>
      </c>
      <c r="E316" s="12" t="s">
        <v>54</v>
      </c>
      <c r="F316" s="115" t="str">
        <f t="shared" si="1"/>
        <v>Kandula Sampath2025-08-1619</v>
      </c>
    </row>
    <row r="317">
      <c r="A317" s="115" t="s">
        <v>50</v>
      </c>
      <c r="B317" s="115" t="s">
        <v>25</v>
      </c>
      <c r="C317" s="115">
        <v>6062.0</v>
      </c>
      <c r="D317" s="116">
        <v>45885.0</v>
      </c>
      <c r="E317" s="12" t="s">
        <v>54</v>
      </c>
      <c r="F317" s="115" t="str">
        <f t="shared" si="1"/>
        <v>Martin A2025-08-1619</v>
      </c>
    </row>
    <row r="318">
      <c r="A318" s="115" t="s">
        <v>50</v>
      </c>
      <c r="B318" s="115" t="s">
        <v>26</v>
      </c>
      <c r="C318" s="115">
        <v>5333.0</v>
      </c>
      <c r="D318" s="116">
        <v>45885.0</v>
      </c>
      <c r="E318" s="12" t="s">
        <v>54</v>
      </c>
      <c r="F318" s="115" t="str">
        <f t="shared" si="1"/>
        <v>Premkumar M2025-08-1619</v>
      </c>
    </row>
    <row r="319">
      <c r="A319" s="115" t="s">
        <v>50</v>
      </c>
      <c r="B319" s="115" t="s">
        <v>27</v>
      </c>
      <c r="C319" s="115">
        <v>4334.0</v>
      </c>
      <c r="D319" s="116">
        <v>45885.0</v>
      </c>
      <c r="E319" s="12" t="s">
        <v>54</v>
      </c>
      <c r="F319" s="115" t="str">
        <f t="shared" si="1"/>
        <v>Vineeth V2025-08-1619</v>
      </c>
    </row>
    <row r="320">
      <c r="A320" s="115" t="s">
        <v>51</v>
      </c>
      <c r="B320" s="115" t="s">
        <v>29</v>
      </c>
      <c r="C320" s="115">
        <v>8500.0</v>
      </c>
      <c r="D320" s="116">
        <v>45885.0</v>
      </c>
      <c r="E320" s="12" t="s">
        <v>54</v>
      </c>
      <c r="F320" s="115" t="str">
        <f t="shared" si="1"/>
        <v>Ashish Jakar2025-08-1619</v>
      </c>
    </row>
    <row r="321">
      <c r="A321" s="115" t="s">
        <v>51</v>
      </c>
      <c r="B321" s="115" t="s">
        <v>30</v>
      </c>
      <c r="C321" s="115">
        <v>6656.0</v>
      </c>
      <c r="D321" s="116">
        <v>45885.0</v>
      </c>
      <c r="E321" s="12" t="s">
        <v>54</v>
      </c>
      <c r="F321" s="115" t="str">
        <f t="shared" si="1"/>
        <v>Ashvani Bhatt2025-08-1619</v>
      </c>
    </row>
    <row r="322">
      <c r="C322" s="115">
        <v>545.0</v>
      </c>
      <c r="D322" s="116">
        <v>45885.0</v>
      </c>
      <c r="E322" s="12" t="s">
        <v>54</v>
      </c>
      <c r="F322" s="115" t="str">
        <f t="shared" si="1"/>
        <v>2025-08-1619</v>
      </c>
    </row>
    <row r="323">
      <c r="A323" s="115" t="s">
        <v>47</v>
      </c>
      <c r="B323" s="115" t="s">
        <v>20</v>
      </c>
      <c r="C323" s="115">
        <v>16906.0</v>
      </c>
      <c r="D323" s="116">
        <v>45885.0</v>
      </c>
      <c r="E323" s="12" t="s">
        <v>55</v>
      </c>
      <c r="F323" s="115" t="str">
        <f t="shared" si="1"/>
        <v>Ashish Ranjan2025-08-1620</v>
      </c>
    </row>
    <row r="324">
      <c r="A324" s="115" t="s">
        <v>47</v>
      </c>
      <c r="B324" s="115" t="s">
        <v>21</v>
      </c>
      <c r="C324" s="115">
        <v>10214.0</v>
      </c>
      <c r="D324" s="116">
        <v>45885.0</v>
      </c>
      <c r="E324" s="12" t="s">
        <v>55</v>
      </c>
      <c r="F324" s="115" t="str">
        <f t="shared" si="1"/>
        <v>Girish Chand2025-08-1620</v>
      </c>
    </row>
    <row r="325">
      <c r="A325" s="115" t="s">
        <v>47</v>
      </c>
      <c r="B325" s="115" t="s">
        <v>22</v>
      </c>
      <c r="C325" s="115">
        <v>7014.0</v>
      </c>
      <c r="D325" s="116">
        <v>45885.0</v>
      </c>
      <c r="E325" s="12" t="s">
        <v>55</v>
      </c>
      <c r="F325" s="115" t="str">
        <f t="shared" si="1"/>
        <v>Parag Kashyap2025-08-1620</v>
      </c>
    </row>
    <row r="326">
      <c r="A326" s="115" t="s">
        <v>49</v>
      </c>
      <c r="B326" s="115" t="s">
        <v>15</v>
      </c>
      <c r="C326" s="115">
        <v>4248.0</v>
      </c>
      <c r="D326" s="116">
        <v>45885.0</v>
      </c>
      <c r="E326" s="12" t="s">
        <v>55</v>
      </c>
      <c r="F326" s="115" t="str">
        <f t="shared" si="1"/>
        <v>Amit Kumar Pathak2025-08-1620</v>
      </c>
    </row>
    <row r="327">
      <c r="A327" s="115" t="s">
        <v>49</v>
      </c>
      <c r="B327" s="115" t="s">
        <v>17</v>
      </c>
      <c r="C327" s="115">
        <v>4848.0</v>
      </c>
      <c r="D327" s="116">
        <v>45885.0</v>
      </c>
      <c r="E327" s="12" t="s">
        <v>55</v>
      </c>
      <c r="F327" s="115" t="str">
        <f t="shared" si="1"/>
        <v>Loveleen Singh2025-08-1620</v>
      </c>
    </row>
    <row r="328">
      <c r="A328" s="115" t="s">
        <v>49</v>
      </c>
      <c r="B328" s="115" t="s">
        <v>16</v>
      </c>
      <c r="C328" s="115">
        <v>10750.0</v>
      </c>
      <c r="D328" s="116">
        <v>45885.0</v>
      </c>
      <c r="E328" s="12" t="s">
        <v>55</v>
      </c>
      <c r="F328" s="115" t="str">
        <f t="shared" si="1"/>
        <v>Manoj Harsh2025-08-1620</v>
      </c>
    </row>
    <row r="329">
      <c r="A329" s="115" t="s">
        <v>49</v>
      </c>
      <c r="B329" s="115" t="s">
        <v>18</v>
      </c>
      <c r="C329" s="115">
        <v>4247.0</v>
      </c>
      <c r="D329" s="116">
        <v>45885.0</v>
      </c>
      <c r="E329" s="12" t="s">
        <v>55</v>
      </c>
      <c r="F329" s="115" t="str">
        <f t="shared" si="1"/>
        <v>Pradeep Kothari2025-08-1620</v>
      </c>
    </row>
    <row r="330">
      <c r="A330" s="115" t="s">
        <v>50</v>
      </c>
      <c r="B330" s="115" t="s">
        <v>24</v>
      </c>
      <c r="C330" s="115">
        <v>7743.0</v>
      </c>
      <c r="D330" s="116">
        <v>45885.0</v>
      </c>
      <c r="E330" s="12" t="s">
        <v>55</v>
      </c>
      <c r="F330" s="115" t="str">
        <f t="shared" si="1"/>
        <v>Kandula Sampath2025-08-1620</v>
      </c>
    </row>
    <row r="331">
      <c r="A331" s="115" t="s">
        <v>50</v>
      </c>
      <c r="B331" s="115" t="s">
        <v>25</v>
      </c>
      <c r="C331" s="115">
        <v>6079.0</v>
      </c>
      <c r="D331" s="116">
        <v>45885.0</v>
      </c>
      <c r="E331" s="12" t="s">
        <v>55</v>
      </c>
      <c r="F331" s="115" t="str">
        <f t="shared" si="1"/>
        <v>Martin A2025-08-1620</v>
      </c>
    </row>
    <row r="332">
      <c r="A332" s="115" t="s">
        <v>50</v>
      </c>
      <c r="B332" s="115" t="s">
        <v>26</v>
      </c>
      <c r="C332" s="115">
        <v>5340.0</v>
      </c>
      <c r="D332" s="116">
        <v>45885.0</v>
      </c>
      <c r="E332" s="12" t="s">
        <v>55</v>
      </c>
      <c r="F332" s="115" t="str">
        <f t="shared" si="1"/>
        <v>Premkumar M2025-08-1620</v>
      </c>
    </row>
    <row r="333">
      <c r="A333" s="115" t="s">
        <v>50</v>
      </c>
      <c r="B333" s="115" t="s">
        <v>27</v>
      </c>
      <c r="C333" s="115">
        <v>4338.0</v>
      </c>
      <c r="D333" s="116">
        <v>45885.0</v>
      </c>
      <c r="E333" s="12" t="s">
        <v>55</v>
      </c>
      <c r="F333" s="115" t="str">
        <f t="shared" si="1"/>
        <v>Vineeth V2025-08-1620</v>
      </c>
    </row>
    <row r="334">
      <c r="A334" s="115" t="s">
        <v>51</v>
      </c>
      <c r="B334" s="115" t="s">
        <v>29</v>
      </c>
      <c r="C334" s="115">
        <v>8513.0</v>
      </c>
      <c r="D334" s="116">
        <v>45885.0</v>
      </c>
      <c r="E334" s="12" t="s">
        <v>55</v>
      </c>
      <c r="F334" s="115" t="str">
        <f t="shared" si="1"/>
        <v>Ashish Jakar2025-08-1620</v>
      </c>
    </row>
    <row r="335">
      <c r="A335" s="115" t="s">
        <v>51</v>
      </c>
      <c r="B335" s="115" t="s">
        <v>30</v>
      </c>
      <c r="C335" s="115">
        <v>6661.0</v>
      </c>
      <c r="D335" s="116">
        <v>45885.0</v>
      </c>
      <c r="E335" s="12" t="s">
        <v>55</v>
      </c>
      <c r="F335" s="115" t="str">
        <f t="shared" si="1"/>
        <v>Ashvani Bhatt2025-08-1620</v>
      </c>
    </row>
    <row r="336">
      <c r="C336" s="115">
        <v>549.0</v>
      </c>
      <c r="D336" s="116">
        <v>45885.0</v>
      </c>
      <c r="E336" s="12" t="s">
        <v>55</v>
      </c>
      <c r="F336" s="115" t="str">
        <f t="shared" si="1"/>
        <v>2025-08-1620</v>
      </c>
    </row>
    <row r="337">
      <c r="A337" s="115" t="s">
        <v>47</v>
      </c>
      <c r="B337" s="115" t="s">
        <v>20</v>
      </c>
      <c r="C337" s="115">
        <v>16918.0</v>
      </c>
      <c r="D337" s="116">
        <v>45885.0</v>
      </c>
      <c r="E337" s="12" t="s">
        <v>56</v>
      </c>
      <c r="F337" s="115" t="str">
        <f t="shared" si="1"/>
        <v>Ashish Ranjan2025-08-1621</v>
      </c>
    </row>
    <row r="338">
      <c r="A338" s="115" t="s">
        <v>47</v>
      </c>
      <c r="B338" s="115" t="s">
        <v>21</v>
      </c>
      <c r="C338" s="115">
        <v>10220.0</v>
      </c>
      <c r="D338" s="116">
        <v>45885.0</v>
      </c>
      <c r="E338" s="12" t="s">
        <v>56</v>
      </c>
      <c r="F338" s="115" t="str">
        <f t="shared" si="1"/>
        <v>Girish Chand2025-08-1621</v>
      </c>
    </row>
    <row r="339">
      <c r="A339" s="115" t="s">
        <v>47</v>
      </c>
      <c r="B339" s="115" t="s">
        <v>22</v>
      </c>
      <c r="C339" s="115">
        <v>7017.0</v>
      </c>
      <c r="D339" s="116">
        <v>45885.0</v>
      </c>
      <c r="E339" s="12" t="s">
        <v>56</v>
      </c>
      <c r="F339" s="115" t="str">
        <f t="shared" si="1"/>
        <v>Parag Kashyap2025-08-1621</v>
      </c>
    </row>
    <row r="340">
      <c r="A340" s="115" t="s">
        <v>49</v>
      </c>
      <c r="B340" s="115" t="s">
        <v>15</v>
      </c>
      <c r="C340" s="115">
        <v>4249.0</v>
      </c>
      <c r="D340" s="116">
        <v>45885.0</v>
      </c>
      <c r="E340" s="12" t="s">
        <v>56</v>
      </c>
      <c r="F340" s="115" t="str">
        <f t="shared" si="1"/>
        <v>Amit Kumar Pathak2025-08-1621</v>
      </c>
    </row>
    <row r="341">
      <c r="A341" s="115" t="s">
        <v>49</v>
      </c>
      <c r="B341" s="115" t="s">
        <v>17</v>
      </c>
      <c r="C341" s="115">
        <v>4848.0</v>
      </c>
      <c r="D341" s="116">
        <v>45885.0</v>
      </c>
      <c r="E341" s="12" t="s">
        <v>56</v>
      </c>
      <c r="F341" s="115" t="str">
        <f t="shared" si="1"/>
        <v>Loveleen Singh2025-08-1621</v>
      </c>
    </row>
    <row r="342">
      <c r="A342" s="115" t="s">
        <v>49</v>
      </c>
      <c r="B342" s="115" t="s">
        <v>16</v>
      </c>
      <c r="C342" s="115">
        <v>10758.0</v>
      </c>
      <c r="D342" s="116">
        <v>45885.0</v>
      </c>
      <c r="E342" s="12" t="s">
        <v>56</v>
      </c>
      <c r="F342" s="115" t="str">
        <f t="shared" si="1"/>
        <v>Manoj Harsh2025-08-1621</v>
      </c>
    </row>
    <row r="343">
      <c r="A343" s="115" t="s">
        <v>49</v>
      </c>
      <c r="B343" s="115" t="s">
        <v>18</v>
      </c>
      <c r="C343" s="115">
        <v>4250.0</v>
      </c>
      <c r="D343" s="116">
        <v>45885.0</v>
      </c>
      <c r="E343" s="12" t="s">
        <v>56</v>
      </c>
      <c r="F343" s="115" t="str">
        <f t="shared" si="1"/>
        <v>Pradeep Kothari2025-08-1621</v>
      </c>
    </row>
    <row r="344">
      <c r="A344" s="115" t="s">
        <v>50</v>
      </c>
      <c r="B344" s="115" t="s">
        <v>24</v>
      </c>
      <c r="C344" s="115">
        <v>7747.0</v>
      </c>
      <c r="D344" s="116">
        <v>45885.0</v>
      </c>
      <c r="E344" s="12" t="s">
        <v>56</v>
      </c>
      <c r="F344" s="115" t="str">
        <f t="shared" si="1"/>
        <v>Kandula Sampath2025-08-1621</v>
      </c>
    </row>
    <row r="345">
      <c r="A345" s="115" t="s">
        <v>50</v>
      </c>
      <c r="B345" s="115" t="s">
        <v>25</v>
      </c>
      <c r="C345" s="115">
        <v>6087.0</v>
      </c>
      <c r="D345" s="116">
        <v>45885.0</v>
      </c>
      <c r="E345" s="12" t="s">
        <v>56</v>
      </c>
      <c r="F345" s="115" t="str">
        <f t="shared" si="1"/>
        <v>Martin A2025-08-1621</v>
      </c>
    </row>
    <row r="346">
      <c r="A346" s="115" t="s">
        <v>50</v>
      </c>
      <c r="B346" s="115" t="s">
        <v>26</v>
      </c>
      <c r="C346" s="115">
        <v>5342.0</v>
      </c>
      <c r="D346" s="116">
        <v>45885.0</v>
      </c>
      <c r="E346" s="12" t="s">
        <v>56</v>
      </c>
      <c r="F346" s="115" t="str">
        <f t="shared" si="1"/>
        <v>Premkumar M2025-08-1621</v>
      </c>
    </row>
    <row r="347">
      <c r="A347" s="115" t="s">
        <v>50</v>
      </c>
      <c r="B347" s="115" t="s">
        <v>27</v>
      </c>
      <c r="C347" s="115">
        <v>4339.0</v>
      </c>
      <c r="D347" s="116">
        <v>45885.0</v>
      </c>
      <c r="E347" s="12" t="s">
        <v>56</v>
      </c>
      <c r="F347" s="115" t="str">
        <f t="shared" si="1"/>
        <v>Vineeth V2025-08-1621</v>
      </c>
    </row>
    <row r="348">
      <c r="A348" s="115" t="s">
        <v>51</v>
      </c>
      <c r="B348" s="115" t="s">
        <v>29</v>
      </c>
      <c r="C348" s="115">
        <v>8526.0</v>
      </c>
      <c r="D348" s="116">
        <v>45885.0</v>
      </c>
      <c r="E348" s="12" t="s">
        <v>56</v>
      </c>
      <c r="F348" s="115" t="str">
        <f t="shared" si="1"/>
        <v>Ashish Jakar2025-08-1621</v>
      </c>
    </row>
    <row r="349">
      <c r="A349" s="115" t="s">
        <v>51</v>
      </c>
      <c r="B349" s="115" t="s">
        <v>30</v>
      </c>
      <c r="C349" s="115">
        <v>6666.0</v>
      </c>
      <c r="D349" s="116">
        <v>45885.0</v>
      </c>
      <c r="E349" s="12" t="s">
        <v>56</v>
      </c>
      <c r="F349" s="115" t="str">
        <f t="shared" si="1"/>
        <v>Ashvani Bhatt2025-08-1621</v>
      </c>
    </row>
    <row r="350">
      <c r="C350" s="115">
        <v>550.0</v>
      </c>
      <c r="D350" s="116">
        <v>45885.0</v>
      </c>
      <c r="E350" s="12" t="s">
        <v>56</v>
      </c>
      <c r="F350" s="115" t="str">
        <f t="shared" si="1"/>
        <v>2025-08-1621</v>
      </c>
    </row>
    <row r="351">
      <c r="A351" s="115" t="s">
        <v>47</v>
      </c>
      <c r="B351" s="115" t="s">
        <v>20</v>
      </c>
      <c r="C351" s="115">
        <v>16925.0</v>
      </c>
      <c r="D351" s="116">
        <v>45885.0</v>
      </c>
      <c r="E351" s="12" t="s">
        <v>57</v>
      </c>
      <c r="F351" s="115" t="str">
        <f t="shared" si="1"/>
        <v>Ashish Ranjan2025-08-1622</v>
      </c>
    </row>
    <row r="352">
      <c r="A352" s="115" t="s">
        <v>47</v>
      </c>
      <c r="B352" s="115" t="s">
        <v>21</v>
      </c>
      <c r="C352" s="115">
        <v>10228.0</v>
      </c>
      <c r="D352" s="116">
        <v>45885.0</v>
      </c>
      <c r="E352" s="12" t="s">
        <v>57</v>
      </c>
      <c r="F352" s="115" t="str">
        <f t="shared" si="1"/>
        <v>Girish Chand2025-08-1622</v>
      </c>
    </row>
    <row r="353">
      <c r="A353" s="115" t="s">
        <v>47</v>
      </c>
      <c r="B353" s="115" t="s">
        <v>22</v>
      </c>
      <c r="C353" s="115">
        <v>7017.0</v>
      </c>
      <c r="D353" s="116">
        <v>45885.0</v>
      </c>
      <c r="E353" s="12" t="s">
        <v>57</v>
      </c>
      <c r="F353" s="115" t="str">
        <f t="shared" si="1"/>
        <v>Parag Kashyap2025-08-1622</v>
      </c>
    </row>
    <row r="354">
      <c r="A354" s="115" t="s">
        <v>49</v>
      </c>
      <c r="B354" s="115" t="s">
        <v>15</v>
      </c>
      <c r="C354" s="115">
        <v>4252.0</v>
      </c>
      <c r="D354" s="116">
        <v>45885.0</v>
      </c>
      <c r="E354" s="12" t="s">
        <v>57</v>
      </c>
      <c r="F354" s="115" t="str">
        <f t="shared" si="1"/>
        <v>Amit Kumar Pathak2025-08-1622</v>
      </c>
    </row>
    <row r="355">
      <c r="A355" s="115" t="s">
        <v>49</v>
      </c>
      <c r="B355" s="115" t="s">
        <v>17</v>
      </c>
      <c r="C355" s="115">
        <v>4851.0</v>
      </c>
      <c r="D355" s="116">
        <v>45885.0</v>
      </c>
      <c r="E355" s="12" t="s">
        <v>57</v>
      </c>
      <c r="F355" s="115" t="str">
        <f t="shared" si="1"/>
        <v>Loveleen Singh2025-08-1622</v>
      </c>
    </row>
    <row r="356">
      <c r="A356" s="115" t="s">
        <v>49</v>
      </c>
      <c r="B356" s="115" t="s">
        <v>16</v>
      </c>
      <c r="C356" s="115">
        <v>10765.0</v>
      </c>
      <c r="D356" s="116">
        <v>45885.0</v>
      </c>
      <c r="E356" s="12" t="s">
        <v>57</v>
      </c>
      <c r="F356" s="115" t="str">
        <f t="shared" si="1"/>
        <v>Manoj Harsh2025-08-1622</v>
      </c>
    </row>
    <row r="357">
      <c r="A357" s="115" t="s">
        <v>49</v>
      </c>
      <c r="B357" s="115" t="s">
        <v>18</v>
      </c>
      <c r="C357" s="115">
        <v>4251.0</v>
      </c>
      <c r="D357" s="116">
        <v>45885.0</v>
      </c>
      <c r="E357" s="12" t="s">
        <v>57</v>
      </c>
      <c r="F357" s="115" t="str">
        <f t="shared" si="1"/>
        <v>Pradeep Kothari2025-08-1622</v>
      </c>
    </row>
    <row r="358">
      <c r="A358" s="115" t="s">
        <v>50</v>
      </c>
      <c r="B358" s="115" t="s">
        <v>24</v>
      </c>
      <c r="C358" s="115">
        <v>7748.0</v>
      </c>
      <c r="D358" s="116">
        <v>45885.0</v>
      </c>
      <c r="E358" s="12" t="s">
        <v>57</v>
      </c>
      <c r="F358" s="115" t="str">
        <f t="shared" si="1"/>
        <v>Kandula Sampath2025-08-1622</v>
      </c>
    </row>
    <row r="359">
      <c r="A359" s="115" t="s">
        <v>50</v>
      </c>
      <c r="B359" s="115" t="s">
        <v>25</v>
      </c>
      <c r="C359" s="115">
        <v>6094.0</v>
      </c>
      <c r="D359" s="116">
        <v>45885.0</v>
      </c>
      <c r="E359" s="12" t="s">
        <v>57</v>
      </c>
      <c r="F359" s="115" t="str">
        <f t="shared" si="1"/>
        <v>Martin A2025-08-1622</v>
      </c>
    </row>
    <row r="360">
      <c r="A360" s="115" t="s">
        <v>50</v>
      </c>
      <c r="B360" s="115" t="s">
        <v>26</v>
      </c>
      <c r="C360" s="115">
        <v>5348.0</v>
      </c>
      <c r="D360" s="116">
        <v>45885.0</v>
      </c>
      <c r="E360" s="12" t="s">
        <v>57</v>
      </c>
      <c r="F360" s="115" t="str">
        <f t="shared" si="1"/>
        <v>Premkumar M2025-08-1622</v>
      </c>
    </row>
    <row r="361">
      <c r="A361" s="115" t="s">
        <v>50</v>
      </c>
      <c r="B361" s="115" t="s">
        <v>27</v>
      </c>
      <c r="C361" s="115">
        <v>4340.0</v>
      </c>
      <c r="D361" s="116">
        <v>45885.0</v>
      </c>
      <c r="E361" s="12" t="s">
        <v>57</v>
      </c>
      <c r="F361" s="115" t="str">
        <f t="shared" si="1"/>
        <v>Vineeth V2025-08-1622</v>
      </c>
    </row>
    <row r="362">
      <c r="A362" s="115" t="s">
        <v>51</v>
      </c>
      <c r="B362" s="115" t="s">
        <v>29</v>
      </c>
      <c r="C362" s="115">
        <v>8531.0</v>
      </c>
      <c r="D362" s="116">
        <v>45885.0</v>
      </c>
      <c r="E362" s="12" t="s">
        <v>57</v>
      </c>
      <c r="F362" s="115" t="str">
        <f t="shared" si="1"/>
        <v>Ashish Jakar2025-08-1622</v>
      </c>
    </row>
    <row r="363">
      <c r="A363" s="115" t="s">
        <v>51</v>
      </c>
      <c r="B363" s="115" t="s">
        <v>30</v>
      </c>
      <c r="C363" s="115">
        <v>6670.0</v>
      </c>
      <c r="D363" s="116">
        <v>45885.0</v>
      </c>
      <c r="E363" s="12" t="s">
        <v>57</v>
      </c>
      <c r="F363" s="115" t="str">
        <f t="shared" si="1"/>
        <v>Ashvani Bhatt2025-08-1622</v>
      </c>
    </row>
    <row r="364">
      <c r="C364" s="115">
        <v>550.0</v>
      </c>
      <c r="D364" s="116">
        <v>45885.0</v>
      </c>
      <c r="E364" s="12" t="s">
        <v>57</v>
      </c>
      <c r="F364" s="115" t="str">
        <f t="shared" si="1"/>
        <v>2025-08-1622</v>
      </c>
    </row>
    <row r="365">
      <c r="A365" s="115" t="s">
        <v>47</v>
      </c>
      <c r="B365" s="115" t="s">
        <v>20</v>
      </c>
      <c r="C365" s="115">
        <v>7565.0</v>
      </c>
      <c r="D365" s="116">
        <v>45886.0</v>
      </c>
      <c r="E365" s="12" t="s">
        <v>59</v>
      </c>
      <c r="F365" s="115" t="str">
        <f t="shared" si="1"/>
        <v>Ashish Ranjan2025-08-1709</v>
      </c>
    </row>
    <row r="366">
      <c r="A366" s="115" t="s">
        <v>47</v>
      </c>
      <c r="B366" s="115" t="s">
        <v>21</v>
      </c>
      <c r="C366" s="115">
        <v>3424.0</v>
      </c>
      <c r="D366" s="116">
        <v>45886.0</v>
      </c>
      <c r="E366" s="12" t="s">
        <v>59</v>
      </c>
      <c r="F366" s="115" t="str">
        <f t="shared" si="1"/>
        <v>Girish Chand2025-08-1709</v>
      </c>
    </row>
    <row r="367">
      <c r="A367" s="115" t="s">
        <v>47</v>
      </c>
      <c r="B367" s="115" t="s">
        <v>22</v>
      </c>
      <c r="C367" s="115">
        <v>1228.0</v>
      </c>
      <c r="D367" s="116">
        <v>45886.0</v>
      </c>
      <c r="E367" s="12" t="s">
        <v>59</v>
      </c>
      <c r="F367" s="115" t="str">
        <f t="shared" si="1"/>
        <v>Parag Kashyap2025-08-1709</v>
      </c>
    </row>
    <row r="368">
      <c r="A368" s="115" t="s">
        <v>49</v>
      </c>
      <c r="B368" s="115" t="s">
        <v>15</v>
      </c>
      <c r="C368" s="115">
        <v>1638.0</v>
      </c>
      <c r="D368" s="116">
        <v>45886.0</v>
      </c>
      <c r="E368" s="12" t="s">
        <v>59</v>
      </c>
      <c r="F368" s="115" t="str">
        <f t="shared" si="1"/>
        <v>Amit Kumar Pathak2025-08-1709</v>
      </c>
    </row>
    <row r="369">
      <c r="A369" s="115" t="s">
        <v>49</v>
      </c>
      <c r="B369" s="115" t="s">
        <v>17</v>
      </c>
      <c r="C369" s="115">
        <v>1020.0</v>
      </c>
      <c r="D369" s="116">
        <v>45886.0</v>
      </c>
      <c r="E369" s="12" t="s">
        <v>59</v>
      </c>
      <c r="F369" s="115" t="str">
        <f t="shared" si="1"/>
        <v>Loveleen Singh2025-08-1709</v>
      </c>
    </row>
    <row r="370">
      <c r="A370" s="115" t="s">
        <v>49</v>
      </c>
      <c r="B370" s="115" t="s">
        <v>16</v>
      </c>
      <c r="C370" s="115">
        <v>2852.0</v>
      </c>
      <c r="D370" s="116">
        <v>45886.0</v>
      </c>
      <c r="E370" s="12" t="s">
        <v>59</v>
      </c>
      <c r="F370" s="115" t="str">
        <f t="shared" si="1"/>
        <v>Manoj Harsh2025-08-1709</v>
      </c>
    </row>
    <row r="371">
      <c r="A371" s="115" t="s">
        <v>49</v>
      </c>
      <c r="B371" s="115" t="s">
        <v>18</v>
      </c>
      <c r="C371" s="115">
        <v>1249.0</v>
      </c>
      <c r="D371" s="116">
        <v>45886.0</v>
      </c>
      <c r="E371" s="12" t="s">
        <v>59</v>
      </c>
      <c r="F371" s="115" t="str">
        <f t="shared" si="1"/>
        <v>Pradeep Kothari2025-08-1709</v>
      </c>
    </row>
    <row r="372">
      <c r="A372" s="115" t="s">
        <v>50</v>
      </c>
      <c r="B372" s="115" t="s">
        <v>24</v>
      </c>
      <c r="C372" s="115">
        <v>3055.0</v>
      </c>
      <c r="D372" s="116">
        <v>45886.0</v>
      </c>
      <c r="E372" s="12" t="s">
        <v>59</v>
      </c>
      <c r="F372" s="115" t="str">
        <f t="shared" si="1"/>
        <v>Kandula Sampath2025-08-1709</v>
      </c>
    </row>
    <row r="373">
      <c r="A373" s="115" t="s">
        <v>50</v>
      </c>
      <c r="B373" s="115" t="s">
        <v>25</v>
      </c>
      <c r="C373" s="115">
        <v>2315.0</v>
      </c>
      <c r="D373" s="116">
        <v>45886.0</v>
      </c>
      <c r="E373" s="12" t="s">
        <v>59</v>
      </c>
      <c r="F373" s="115" t="str">
        <f t="shared" si="1"/>
        <v>Martin A2025-08-1709</v>
      </c>
    </row>
    <row r="374">
      <c r="A374" s="115" t="s">
        <v>50</v>
      </c>
      <c r="B374" s="115" t="s">
        <v>26</v>
      </c>
      <c r="C374" s="115">
        <v>922.0</v>
      </c>
      <c r="D374" s="116">
        <v>45886.0</v>
      </c>
      <c r="E374" s="12" t="s">
        <v>59</v>
      </c>
      <c r="F374" s="115" t="str">
        <f t="shared" si="1"/>
        <v>Premkumar M2025-08-1709</v>
      </c>
    </row>
    <row r="375">
      <c r="A375" s="115" t="s">
        <v>50</v>
      </c>
      <c r="B375" s="115" t="s">
        <v>27</v>
      </c>
      <c r="C375" s="115">
        <v>386.0</v>
      </c>
      <c r="D375" s="116">
        <v>45886.0</v>
      </c>
      <c r="E375" s="12" t="s">
        <v>59</v>
      </c>
      <c r="F375" s="115" t="str">
        <f t="shared" si="1"/>
        <v>Vineeth V2025-08-1709</v>
      </c>
    </row>
    <row r="376">
      <c r="A376" s="115" t="s">
        <v>51</v>
      </c>
      <c r="B376" s="115" t="s">
        <v>29</v>
      </c>
      <c r="C376" s="115">
        <v>1864.0</v>
      </c>
      <c r="D376" s="116">
        <v>45886.0</v>
      </c>
      <c r="E376" s="12" t="s">
        <v>59</v>
      </c>
      <c r="F376" s="115" t="str">
        <f t="shared" si="1"/>
        <v>Ashish Jakar2025-08-1709</v>
      </c>
    </row>
    <row r="377">
      <c r="A377" s="115" t="s">
        <v>51</v>
      </c>
      <c r="B377" s="115" t="s">
        <v>30</v>
      </c>
      <c r="C377" s="115">
        <v>2217.0</v>
      </c>
      <c r="D377" s="116">
        <v>45886.0</v>
      </c>
      <c r="E377" s="12" t="s">
        <v>59</v>
      </c>
      <c r="F377" s="115" t="str">
        <f t="shared" si="1"/>
        <v>Ashvani Bhatt2025-08-1709</v>
      </c>
    </row>
    <row r="378">
      <c r="C378" s="115">
        <v>91.0</v>
      </c>
      <c r="D378" s="116">
        <v>45886.0</v>
      </c>
      <c r="E378" s="12" t="s">
        <v>59</v>
      </c>
      <c r="F378" s="115" t="str">
        <f t="shared" si="1"/>
        <v>2025-08-1709</v>
      </c>
    </row>
    <row r="379">
      <c r="A379" s="115" t="s">
        <v>47</v>
      </c>
      <c r="B379" s="115" t="s">
        <v>20</v>
      </c>
      <c r="C379" s="115">
        <v>12045.0</v>
      </c>
      <c r="D379" s="116">
        <v>45886.0</v>
      </c>
      <c r="E379" s="12" t="s">
        <v>60</v>
      </c>
      <c r="F379" s="115" t="str">
        <f t="shared" si="1"/>
        <v>Ashish Ranjan2025-08-1710</v>
      </c>
    </row>
    <row r="380">
      <c r="A380" s="115" t="s">
        <v>47</v>
      </c>
      <c r="B380" s="115" t="s">
        <v>21</v>
      </c>
      <c r="C380" s="115">
        <v>6561.0</v>
      </c>
      <c r="D380" s="116">
        <v>45886.0</v>
      </c>
      <c r="E380" s="12" t="s">
        <v>60</v>
      </c>
      <c r="F380" s="115" t="str">
        <f t="shared" si="1"/>
        <v>Girish Chand2025-08-1710</v>
      </c>
    </row>
    <row r="381">
      <c r="A381" s="115" t="s">
        <v>47</v>
      </c>
      <c r="B381" s="115" t="s">
        <v>22</v>
      </c>
      <c r="C381" s="115">
        <v>2769.0</v>
      </c>
      <c r="D381" s="116">
        <v>45886.0</v>
      </c>
      <c r="E381" s="12" t="s">
        <v>60</v>
      </c>
      <c r="F381" s="115" t="str">
        <f t="shared" si="1"/>
        <v>Parag Kashyap2025-08-1710</v>
      </c>
    </row>
    <row r="382">
      <c r="A382" s="115" t="s">
        <v>49</v>
      </c>
      <c r="B382" s="115" t="s">
        <v>15</v>
      </c>
      <c r="C382" s="115">
        <v>2403.0</v>
      </c>
      <c r="D382" s="116">
        <v>45886.0</v>
      </c>
      <c r="E382" s="12" t="s">
        <v>60</v>
      </c>
      <c r="F382" s="115" t="str">
        <f t="shared" si="1"/>
        <v>Amit Kumar Pathak2025-08-1710</v>
      </c>
    </row>
    <row r="383">
      <c r="A383" s="115" t="s">
        <v>49</v>
      </c>
      <c r="B383" s="115" t="s">
        <v>17</v>
      </c>
      <c r="C383" s="115">
        <v>2131.0</v>
      </c>
      <c r="D383" s="116">
        <v>45886.0</v>
      </c>
      <c r="E383" s="12" t="s">
        <v>60</v>
      </c>
      <c r="F383" s="115" t="str">
        <f t="shared" si="1"/>
        <v>Loveleen Singh2025-08-1710</v>
      </c>
    </row>
    <row r="384">
      <c r="A384" s="115" t="s">
        <v>49</v>
      </c>
      <c r="B384" s="115" t="s">
        <v>16</v>
      </c>
      <c r="C384" s="115">
        <v>6080.0</v>
      </c>
      <c r="D384" s="116">
        <v>45886.0</v>
      </c>
      <c r="E384" s="12" t="s">
        <v>60</v>
      </c>
      <c r="F384" s="115" t="str">
        <f t="shared" si="1"/>
        <v>Manoj Harsh2025-08-1710</v>
      </c>
    </row>
    <row r="385">
      <c r="A385" s="115" t="s">
        <v>49</v>
      </c>
      <c r="B385" s="115" t="s">
        <v>18</v>
      </c>
      <c r="C385" s="115">
        <v>2537.0</v>
      </c>
      <c r="D385" s="116">
        <v>45886.0</v>
      </c>
      <c r="E385" s="12" t="s">
        <v>60</v>
      </c>
      <c r="F385" s="115" t="str">
        <f t="shared" si="1"/>
        <v>Pradeep Kothari2025-08-1710</v>
      </c>
    </row>
    <row r="386">
      <c r="A386" s="115" t="s">
        <v>50</v>
      </c>
      <c r="B386" s="115" t="s">
        <v>24</v>
      </c>
      <c r="C386" s="115">
        <v>5132.0</v>
      </c>
      <c r="D386" s="116">
        <v>45886.0</v>
      </c>
      <c r="E386" s="12" t="s">
        <v>60</v>
      </c>
      <c r="F386" s="115" t="str">
        <f t="shared" si="1"/>
        <v>Kandula Sampath2025-08-1710</v>
      </c>
    </row>
    <row r="387">
      <c r="A387" s="115" t="s">
        <v>50</v>
      </c>
      <c r="B387" s="115" t="s">
        <v>25</v>
      </c>
      <c r="C387" s="115">
        <v>3677.0</v>
      </c>
      <c r="D387" s="116">
        <v>45886.0</v>
      </c>
      <c r="E387" s="12" t="s">
        <v>60</v>
      </c>
      <c r="F387" s="115" t="str">
        <f t="shared" si="1"/>
        <v>Martin A2025-08-1710</v>
      </c>
    </row>
    <row r="388">
      <c r="A388" s="115" t="s">
        <v>50</v>
      </c>
      <c r="B388" s="115" t="s">
        <v>26</v>
      </c>
      <c r="C388" s="115">
        <v>2080.0</v>
      </c>
      <c r="D388" s="116">
        <v>45886.0</v>
      </c>
      <c r="E388" s="12" t="s">
        <v>60</v>
      </c>
      <c r="F388" s="115" t="str">
        <f t="shared" si="1"/>
        <v>Premkumar M2025-08-1710</v>
      </c>
    </row>
    <row r="389">
      <c r="A389" s="115" t="s">
        <v>50</v>
      </c>
      <c r="B389" s="115" t="s">
        <v>27</v>
      </c>
      <c r="C389" s="115">
        <v>1136.0</v>
      </c>
      <c r="D389" s="116">
        <v>45886.0</v>
      </c>
      <c r="E389" s="12" t="s">
        <v>60</v>
      </c>
      <c r="F389" s="115" t="str">
        <f t="shared" si="1"/>
        <v>Vineeth V2025-08-1710</v>
      </c>
    </row>
    <row r="390">
      <c r="A390" s="115" t="s">
        <v>51</v>
      </c>
      <c r="B390" s="115" t="s">
        <v>29</v>
      </c>
      <c r="C390" s="115">
        <v>3990.0</v>
      </c>
      <c r="D390" s="116">
        <v>45886.0</v>
      </c>
      <c r="E390" s="12" t="s">
        <v>60</v>
      </c>
      <c r="F390" s="115" t="str">
        <f t="shared" si="1"/>
        <v>Ashish Jakar2025-08-1710</v>
      </c>
    </row>
    <row r="391">
      <c r="A391" s="115" t="s">
        <v>51</v>
      </c>
      <c r="B391" s="115" t="s">
        <v>30</v>
      </c>
      <c r="C391" s="115">
        <v>4057.0</v>
      </c>
      <c r="D391" s="116">
        <v>45886.0</v>
      </c>
      <c r="E391" s="12" t="s">
        <v>60</v>
      </c>
      <c r="F391" s="115" t="str">
        <f t="shared" si="1"/>
        <v>Ashvani Bhatt2025-08-1710</v>
      </c>
    </row>
    <row r="392">
      <c r="C392" s="115">
        <v>186.0</v>
      </c>
      <c r="D392" s="116">
        <v>45886.0</v>
      </c>
      <c r="E392" s="12" t="s">
        <v>60</v>
      </c>
      <c r="F392" s="115" t="str">
        <f t="shared" si="1"/>
        <v>2025-08-1710</v>
      </c>
    </row>
    <row r="393">
      <c r="A393" s="115" t="s">
        <v>47</v>
      </c>
      <c r="B393" s="115" t="s">
        <v>20</v>
      </c>
      <c r="C393" s="115">
        <v>14488.0</v>
      </c>
      <c r="D393" s="116">
        <v>45886.0</v>
      </c>
      <c r="E393" s="12" t="s">
        <v>61</v>
      </c>
      <c r="F393" s="115" t="str">
        <f t="shared" si="1"/>
        <v>Ashish Ranjan2025-08-1711</v>
      </c>
    </row>
    <row r="394">
      <c r="A394" s="115" t="s">
        <v>47</v>
      </c>
      <c r="B394" s="115" t="s">
        <v>21</v>
      </c>
      <c r="C394" s="115">
        <v>8633.0</v>
      </c>
      <c r="D394" s="116">
        <v>45886.0</v>
      </c>
      <c r="E394" s="12" t="s">
        <v>61</v>
      </c>
      <c r="F394" s="115" t="str">
        <f t="shared" si="1"/>
        <v>Girish Chand2025-08-1711</v>
      </c>
    </row>
    <row r="395">
      <c r="A395" s="115" t="s">
        <v>47</v>
      </c>
      <c r="B395" s="115" t="s">
        <v>22</v>
      </c>
      <c r="C395" s="115">
        <v>4181.0</v>
      </c>
      <c r="D395" s="116">
        <v>45886.0</v>
      </c>
      <c r="E395" s="12" t="s">
        <v>61</v>
      </c>
      <c r="F395" s="115" t="str">
        <f t="shared" si="1"/>
        <v>Parag Kashyap2025-08-1711</v>
      </c>
    </row>
    <row r="396">
      <c r="A396" s="115" t="s">
        <v>49</v>
      </c>
      <c r="B396" s="115" t="s">
        <v>15</v>
      </c>
      <c r="C396" s="115">
        <v>3047.0</v>
      </c>
      <c r="D396" s="116">
        <v>45886.0</v>
      </c>
      <c r="E396" s="12" t="s">
        <v>61</v>
      </c>
      <c r="F396" s="115" t="str">
        <f t="shared" si="1"/>
        <v>Amit Kumar Pathak2025-08-1711</v>
      </c>
    </row>
    <row r="397">
      <c r="A397" s="115" t="s">
        <v>49</v>
      </c>
      <c r="B397" s="115" t="s">
        <v>17</v>
      </c>
      <c r="C397" s="115">
        <v>3243.0</v>
      </c>
      <c r="D397" s="116">
        <v>45886.0</v>
      </c>
      <c r="E397" s="12" t="s">
        <v>61</v>
      </c>
      <c r="F397" s="115" t="str">
        <f t="shared" si="1"/>
        <v>Loveleen Singh2025-08-1711</v>
      </c>
    </row>
    <row r="398">
      <c r="A398" s="115" t="s">
        <v>49</v>
      </c>
      <c r="B398" s="115" t="s">
        <v>16</v>
      </c>
      <c r="C398" s="115">
        <v>8368.0</v>
      </c>
      <c r="D398" s="116">
        <v>45886.0</v>
      </c>
      <c r="E398" s="12" t="s">
        <v>61</v>
      </c>
      <c r="F398" s="115" t="str">
        <f t="shared" si="1"/>
        <v>Manoj Harsh2025-08-1711</v>
      </c>
    </row>
    <row r="399">
      <c r="A399" s="115" t="s">
        <v>49</v>
      </c>
      <c r="B399" s="115" t="s">
        <v>18</v>
      </c>
      <c r="C399" s="115">
        <v>3364.0</v>
      </c>
      <c r="D399" s="116">
        <v>45886.0</v>
      </c>
      <c r="E399" s="12" t="s">
        <v>61</v>
      </c>
      <c r="F399" s="115" t="str">
        <f t="shared" si="1"/>
        <v>Pradeep Kothari2025-08-1711</v>
      </c>
    </row>
    <row r="400">
      <c r="A400" s="115" t="s">
        <v>50</v>
      </c>
      <c r="B400" s="115" t="s">
        <v>24</v>
      </c>
      <c r="C400" s="115">
        <v>6387.0</v>
      </c>
      <c r="D400" s="116">
        <v>45886.0</v>
      </c>
      <c r="E400" s="12" t="s">
        <v>61</v>
      </c>
      <c r="F400" s="115" t="str">
        <f t="shared" si="1"/>
        <v>Kandula Sampath2025-08-1711</v>
      </c>
    </row>
    <row r="401">
      <c r="A401" s="115" t="s">
        <v>50</v>
      </c>
      <c r="B401" s="115" t="s">
        <v>25</v>
      </c>
      <c r="C401" s="115">
        <v>4536.0</v>
      </c>
      <c r="D401" s="116">
        <v>45886.0</v>
      </c>
      <c r="E401" s="12" t="s">
        <v>61</v>
      </c>
      <c r="F401" s="115" t="str">
        <f t="shared" si="1"/>
        <v>Martin A2025-08-1711</v>
      </c>
    </row>
    <row r="402">
      <c r="A402" s="115" t="s">
        <v>50</v>
      </c>
      <c r="B402" s="115" t="s">
        <v>26</v>
      </c>
      <c r="C402" s="115">
        <v>3345.0</v>
      </c>
      <c r="D402" s="116">
        <v>45886.0</v>
      </c>
      <c r="E402" s="12" t="s">
        <v>61</v>
      </c>
      <c r="F402" s="115" t="str">
        <f t="shared" si="1"/>
        <v>Premkumar M2025-08-1711</v>
      </c>
    </row>
    <row r="403">
      <c r="A403" s="115" t="s">
        <v>50</v>
      </c>
      <c r="B403" s="115" t="s">
        <v>27</v>
      </c>
      <c r="C403" s="115">
        <v>2396.0</v>
      </c>
      <c r="D403" s="116">
        <v>45886.0</v>
      </c>
      <c r="E403" s="12" t="s">
        <v>61</v>
      </c>
      <c r="F403" s="115" t="str">
        <f t="shared" si="1"/>
        <v>Vineeth V2025-08-1711</v>
      </c>
    </row>
    <row r="404">
      <c r="A404" s="115" t="s">
        <v>51</v>
      </c>
      <c r="B404" s="115" t="s">
        <v>29</v>
      </c>
      <c r="C404" s="115">
        <v>5789.0</v>
      </c>
      <c r="D404" s="116">
        <v>45886.0</v>
      </c>
      <c r="E404" s="12" t="s">
        <v>61</v>
      </c>
      <c r="F404" s="115" t="str">
        <f t="shared" si="1"/>
        <v>Ashish Jakar2025-08-1711</v>
      </c>
    </row>
    <row r="405">
      <c r="A405" s="115" t="s">
        <v>51</v>
      </c>
      <c r="B405" s="115" t="s">
        <v>30</v>
      </c>
      <c r="C405" s="115">
        <v>5382.0</v>
      </c>
      <c r="D405" s="116">
        <v>45886.0</v>
      </c>
      <c r="E405" s="12" t="s">
        <v>61</v>
      </c>
      <c r="F405" s="115" t="str">
        <f t="shared" si="1"/>
        <v>Ashvani Bhatt2025-08-1711</v>
      </c>
    </row>
    <row r="406">
      <c r="C406" s="115">
        <v>306.0</v>
      </c>
      <c r="D406" s="116">
        <v>45886.0</v>
      </c>
      <c r="E406" s="12" t="s">
        <v>61</v>
      </c>
      <c r="F406" s="115" t="str">
        <f t="shared" si="1"/>
        <v>2025-08-1711</v>
      </c>
    </row>
    <row r="407">
      <c r="A407" s="115" t="s">
        <v>47</v>
      </c>
      <c r="B407" s="115" t="s">
        <v>20</v>
      </c>
      <c r="C407" s="115">
        <v>15533.0</v>
      </c>
      <c r="D407" s="116">
        <v>45886.0</v>
      </c>
      <c r="E407" s="12" t="s">
        <v>62</v>
      </c>
      <c r="F407" s="115" t="str">
        <f t="shared" si="1"/>
        <v>Ashish Ranjan2025-08-1712</v>
      </c>
    </row>
    <row r="408">
      <c r="A408" s="115" t="s">
        <v>47</v>
      </c>
      <c r="B408" s="115" t="s">
        <v>21</v>
      </c>
      <c r="C408" s="115">
        <v>9528.0</v>
      </c>
      <c r="D408" s="116">
        <v>45886.0</v>
      </c>
      <c r="E408" s="12" t="s">
        <v>62</v>
      </c>
      <c r="F408" s="115" t="str">
        <f t="shared" si="1"/>
        <v>Girish Chand2025-08-1712</v>
      </c>
    </row>
    <row r="409">
      <c r="A409" s="115" t="s">
        <v>47</v>
      </c>
      <c r="B409" s="115" t="s">
        <v>22</v>
      </c>
      <c r="C409" s="115">
        <v>5020.0</v>
      </c>
      <c r="D409" s="116">
        <v>45886.0</v>
      </c>
      <c r="E409" s="12" t="s">
        <v>62</v>
      </c>
      <c r="F409" s="115" t="str">
        <f t="shared" si="1"/>
        <v>Parag Kashyap2025-08-1712</v>
      </c>
    </row>
    <row r="410">
      <c r="A410" s="115" t="s">
        <v>49</v>
      </c>
      <c r="B410" s="115" t="s">
        <v>15</v>
      </c>
      <c r="C410" s="115">
        <v>3411.0</v>
      </c>
      <c r="D410" s="116">
        <v>45886.0</v>
      </c>
      <c r="E410" s="12" t="s">
        <v>62</v>
      </c>
      <c r="F410" s="115" t="str">
        <f t="shared" si="1"/>
        <v>Amit Kumar Pathak2025-08-1712</v>
      </c>
    </row>
    <row r="411">
      <c r="A411" s="115" t="s">
        <v>49</v>
      </c>
      <c r="B411" s="115" t="s">
        <v>17</v>
      </c>
      <c r="C411" s="115">
        <v>3932.0</v>
      </c>
      <c r="D411" s="116">
        <v>45886.0</v>
      </c>
      <c r="E411" s="12" t="s">
        <v>62</v>
      </c>
      <c r="F411" s="115" t="str">
        <f t="shared" si="1"/>
        <v>Loveleen Singh2025-08-1712</v>
      </c>
    </row>
    <row r="412">
      <c r="A412" s="115" t="s">
        <v>49</v>
      </c>
      <c r="B412" s="115" t="s">
        <v>16</v>
      </c>
      <c r="C412" s="115">
        <v>9419.0</v>
      </c>
      <c r="D412" s="116">
        <v>45886.0</v>
      </c>
      <c r="E412" s="12" t="s">
        <v>62</v>
      </c>
      <c r="F412" s="115" t="str">
        <f t="shared" si="1"/>
        <v>Manoj Harsh2025-08-1712</v>
      </c>
    </row>
    <row r="413">
      <c r="A413" s="115" t="s">
        <v>49</v>
      </c>
      <c r="B413" s="115" t="s">
        <v>18</v>
      </c>
      <c r="C413" s="115">
        <v>3687.0</v>
      </c>
      <c r="D413" s="116">
        <v>45886.0</v>
      </c>
      <c r="E413" s="12" t="s">
        <v>62</v>
      </c>
      <c r="F413" s="115" t="str">
        <f t="shared" si="1"/>
        <v>Pradeep Kothari2025-08-1712</v>
      </c>
    </row>
    <row r="414">
      <c r="A414" s="115" t="s">
        <v>50</v>
      </c>
      <c r="B414" s="115" t="s">
        <v>24</v>
      </c>
      <c r="C414" s="115">
        <v>6900.0</v>
      </c>
      <c r="D414" s="116">
        <v>45886.0</v>
      </c>
      <c r="E414" s="12" t="s">
        <v>62</v>
      </c>
      <c r="F414" s="115" t="str">
        <f t="shared" si="1"/>
        <v>Kandula Sampath2025-08-1712</v>
      </c>
    </row>
    <row r="415">
      <c r="A415" s="115" t="s">
        <v>50</v>
      </c>
      <c r="B415" s="115" t="s">
        <v>25</v>
      </c>
      <c r="C415" s="115">
        <v>4944.0</v>
      </c>
      <c r="D415" s="116">
        <v>45886.0</v>
      </c>
      <c r="E415" s="12" t="s">
        <v>62</v>
      </c>
      <c r="F415" s="115" t="str">
        <f t="shared" si="1"/>
        <v>Martin A2025-08-1712</v>
      </c>
    </row>
    <row r="416">
      <c r="A416" s="115" t="s">
        <v>50</v>
      </c>
      <c r="B416" s="115" t="s">
        <v>26</v>
      </c>
      <c r="C416" s="115">
        <v>4185.0</v>
      </c>
      <c r="D416" s="116">
        <v>45886.0</v>
      </c>
      <c r="E416" s="12" t="s">
        <v>62</v>
      </c>
      <c r="F416" s="115" t="str">
        <f t="shared" si="1"/>
        <v>Premkumar M2025-08-1712</v>
      </c>
    </row>
    <row r="417">
      <c r="A417" s="115" t="s">
        <v>50</v>
      </c>
      <c r="B417" s="115" t="s">
        <v>27</v>
      </c>
      <c r="C417" s="115">
        <v>3340.0</v>
      </c>
      <c r="D417" s="116">
        <v>45886.0</v>
      </c>
      <c r="E417" s="12" t="s">
        <v>62</v>
      </c>
      <c r="F417" s="115" t="str">
        <f t="shared" si="1"/>
        <v>Vineeth V2025-08-1712</v>
      </c>
    </row>
    <row r="418">
      <c r="A418" s="115" t="s">
        <v>51</v>
      </c>
      <c r="B418" s="115" t="s">
        <v>29</v>
      </c>
      <c r="C418" s="115">
        <v>7002.0</v>
      </c>
      <c r="D418" s="116">
        <v>45886.0</v>
      </c>
      <c r="E418" s="12" t="s">
        <v>62</v>
      </c>
      <c r="F418" s="115" t="str">
        <f t="shared" si="1"/>
        <v>Ashish Jakar2025-08-1712</v>
      </c>
    </row>
    <row r="419">
      <c r="A419" s="115" t="s">
        <v>51</v>
      </c>
      <c r="B419" s="115" t="s">
        <v>30</v>
      </c>
      <c r="C419" s="115">
        <v>6129.0</v>
      </c>
      <c r="D419" s="116">
        <v>45886.0</v>
      </c>
      <c r="E419" s="12" t="s">
        <v>62</v>
      </c>
      <c r="F419" s="115" t="str">
        <f t="shared" si="1"/>
        <v>Ashvani Bhatt2025-08-1712</v>
      </c>
    </row>
    <row r="420">
      <c r="C420" s="115">
        <v>383.0</v>
      </c>
      <c r="D420" s="116">
        <v>45886.0</v>
      </c>
      <c r="E420" s="12" t="s">
        <v>62</v>
      </c>
      <c r="F420" s="115" t="str">
        <f t="shared" si="1"/>
        <v>2025-08-1712</v>
      </c>
    </row>
    <row r="421">
      <c r="A421" s="115" t="s">
        <v>47</v>
      </c>
      <c r="B421" s="115" t="s">
        <v>20</v>
      </c>
      <c r="C421" s="115">
        <v>15961.0</v>
      </c>
      <c r="D421" s="116">
        <v>45886.0</v>
      </c>
      <c r="E421" s="12" t="s">
        <v>48</v>
      </c>
      <c r="F421" s="115" t="str">
        <f t="shared" si="1"/>
        <v>Ashish Ranjan2025-08-1713</v>
      </c>
    </row>
    <row r="422">
      <c r="A422" s="115" t="s">
        <v>47</v>
      </c>
      <c r="B422" s="115" t="s">
        <v>21</v>
      </c>
      <c r="C422" s="115">
        <v>9769.0</v>
      </c>
      <c r="D422" s="116">
        <v>45886.0</v>
      </c>
      <c r="E422" s="12" t="s">
        <v>48</v>
      </c>
      <c r="F422" s="115" t="str">
        <f t="shared" si="1"/>
        <v>Girish Chand2025-08-1713</v>
      </c>
    </row>
    <row r="423">
      <c r="A423" s="115" t="s">
        <v>47</v>
      </c>
      <c r="B423" s="115" t="s">
        <v>22</v>
      </c>
      <c r="C423" s="115">
        <v>5337.0</v>
      </c>
      <c r="D423" s="116">
        <v>45886.0</v>
      </c>
      <c r="E423" s="12" t="s">
        <v>48</v>
      </c>
      <c r="F423" s="115" t="str">
        <f t="shared" si="1"/>
        <v>Parag Kashyap2025-08-1713</v>
      </c>
    </row>
    <row r="424">
      <c r="A424" s="115" t="s">
        <v>49</v>
      </c>
      <c r="B424" s="115" t="s">
        <v>15</v>
      </c>
      <c r="C424" s="115">
        <v>3598.0</v>
      </c>
      <c r="D424" s="116">
        <v>45886.0</v>
      </c>
      <c r="E424" s="12" t="s">
        <v>48</v>
      </c>
      <c r="F424" s="115" t="str">
        <f t="shared" si="1"/>
        <v>Amit Kumar Pathak2025-08-1713</v>
      </c>
    </row>
    <row r="425">
      <c r="A425" s="115" t="s">
        <v>49</v>
      </c>
      <c r="B425" s="115" t="s">
        <v>17</v>
      </c>
      <c r="C425" s="115">
        <v>4240.0</v>
      </c>
      <c r="D425" s="116">
        <v>45886.0</v>
      </c>
      <c r="E425" s="12" t="s">
        <v>48</v>
      </c>
      <c r="F425" s="115" t="str">
        <f t="shared" si="1"/>
        <v>Loveleen Singh2025-08-1713</v>
      </c>
    </row>
    <row r="426">
      <c r="A426" s="115" t="s">
        <v>49</v>
      </c>
      <c r="B426" s="115" t="s">
        <v>16</v>
      </c>
      <c r="C426" s="115">
        <v>9896.0</v>
      </c>
      <c r="D426" s="116">
        <v>45886.0</v>
      </c>
      <c r="E426" s="12" t="s">
        <v>48</v>
      </c>
      <c r="F426" s="115" t="str">
        <f t="shared" si="1"/>
        <v>Manoj Harsh2025-08-1713</v>
      </c>
    </row>
    <row r="427">
      <c r="A427" s="115" t="s">
        <v>49</v>
      </c>
      <c r="B427" s="115" t="s">
        <v>18</v>
      </c>
      <c r="C427" s="115">
        <v>3845.0</v>
      </c>
      <c r="D427" s="116">
        <v>45886.0</v>
      </c>
      <c r="E427" s="12" t="s">
        <v>48</v>
      </c>
      <c r="F427" s="115" t="str">
        <f t="shared" si="1"/>
        <v>Pradeep Kothari2025-08-1713</v>
      </c>
    </row>
    <row r="428">
      <c r="A428" s="115" t="s">
        <v>50</v>
      </c>
      <c r="B428" s="115" t="s">
        <v>24</v>
      </c>
      <c r="C428" s="115">
        <v>7084.0</v>
      </c>
      <c r="D428" s="116">
        <v>45886.0</v>
      </c>
      <c r="E428" s="12" t="s">
        <v>48</v>
      </c>
      <c r="F428" s="115" t="str">
        <f t="shared" si="1"/>
        <v>Kandula Sampath2025-08-1713</v>
      </c>
    </row>
    <row r="429">
      <c r="A429" s="115" t="s">
        <v>50</v>
      </c>
      <c r="B429" s="115" t="s">
        <v>25</v>
      </c>
      <c r="C429" s="115">
        <v>5157.0</v>
      </c>
      <c r="D429" s="116">
        <v>45886.0</v>
      </c>
      <c r="E429" s="12" t="s">
        <v>48</v>
      </c>
      <c r="F429" s="115" t="str">
        <f t="shared" si="1"/>
        <v>Martin A2025-08-1713</v>
      </c>
    </row>
    <row r="430">
      <c r="A430" s="115" t="s">
        <v>50</v>
      </c>
      <c r="B430" s="115" t="s">
        <v>26</v>
      </c>
      <c r="C430" s="115">
        <v>4606.0</v>
      </c>
      <c r="D430" s="116">
        <v>45886.0</v>
      </c>
      <c r="E430" s="12" t="s">
        <v>48</v>
      </c>
      <c r="F430" s="115" t="str">
        <f t="shared" si="1"/>
        <v>Premkumar M2025-08-1713</v>
      </c>
    </row>
    <row r="431">
      <c r="A431" s="115" t="s">
        <v>50</v>
      </c>
      <c r="B431" s="115" t="s">
        <v>27</v>
      </c>
      <c r="C431" s="115">
        <v>3756.0</v>
      </c>
      <c r="D431" s="116">
        <v>45886.0</v>
      </c>
      <c r="E431" s="12" t="s">
        <v>48</v>
      </c>
      <c r="F431" s="115" t="str">
        <f t="shared" si="1"/>
        <v>Vineeth V2025-08-1713</v>
      </c>
    </row>
    <row r="432">
      <c r="A432" s="115" t="s">
        <v>51</v>
      </c>
      <c r="B432" s="115" t="s">
        <v>29</v>
      </c>
      <c r="C432" s="115">
        <v>7553.0</v>
      </c>
      <c r="D432" s="116">
        <v>45886.0</v>
      </c>
      <c r="E432" s="12" t="s">
        <v>48</v>
      </c>
      <c r="F432" s="115" t="str">
        <f t="shared" si="1"/>
        <v>Ashish Jakar2025-08-1713</v>
      </c>
    </row>
    <row r="433">
      <c r="A433" s="115" t="s">
        <v>51</v>
      </c>
      <c r="B433" s="115" t="s">
        <v>30</v>
      </c>
      <c r="C433" s="115">
        <v>6458.0</v>
      </c>
      <c r="D433" s="116">
        <v>45886.0</v>
      </c>
      <c r="E433" s="12" t="s">
        <v>48</v>
      </c>
      <c r="F433" s="115" t="str">
        <f t="shared" si="1"/>
        <v>Ashvani Bhatt2025-08-1713</v>
      </c>
    </row>
    <row r="434">
      <c r="C434" s="115">
        <v>443.0</v>
      </c>
      <c r="D434" s="116">
        <v>45886.0</v>
      </c>
      <c r="E434" s="12" t="s">
        <v>48</v>
      </c>
      <c r="F434" s="115" t="str">
        <f t="shared" si="1"/>
        <v>2025-08-1713</v>
      </c>
    </row>
    <row r="435">
      <c r="A435" s="115" t="s">
        <v>47</v>
      </c>
      <c r="B435" s="115" t="s">
        <v>20</v>
      </c>
      <c r="C435" s="115">
        <v>16223.0</v>
      </c>
      <c r="D435" s="116">
        <v>45886.0</v>
      </c>
      <c r="E435" s="12" t="s">
        <v>63</v>
      </c>
      <c r="F435" s="115" t="str">
        <f t="shared" si="1"/>
        <v>Ashish Ranjan2025-08-1714</v>
      </c>
    </row>
    <row r="436">
      <c r="A436" s="115" t="s">
        <v>47</v>
      </c>
      <c r="B436" s="115" t="s">
        <v>21</v>
      </c>
      <c r="C436" s="115">
        <v>9909.0</v>
      </c>
      <c r="D436" s="116">
        <v>45886.0</v>
      </c>
      <c r="E436" s="12" t="s">
        <v>63</v>
      </c>
      <c r="F436" s="115" t="str">
        <f t="shared" si="1"/>
        <v>Girish Chand2025-08-1714</v>
      </c>
    </row>
    <row r="437">
      <c r="A437" s="115" t="s">
        <v>47</v>
      </c>
      <c r="B437" s="115" t="s">
        <v>22</v>
      </c>
      <c r="C437" s="115">
        <v>5442.0</v>
      </c>
      <c r="D437" s="116">
        <v>45886.0</v>
      </c>
      <c r="E437" s="12" t="s">
        <v>63</v>
      </c>
      <c r="F437" s="115" t="str">
        <f t="shared" si="1"/>
        <v>Parag Kashyap2025-08-1714</v>
      </c>
    </row>
    <row r="438">
      <c r="A438" s="115" t="s">
        <v>49</v>
      </c>
      <c r="B438" s="115" t="s">
        <v>15</v>
      </c>
      <c r="C438" s="115">
        <v>3710.0</v>
      </c>
      <c r="D438" s="116">
        <v>45886.0</v>
      </c>
      <c r="E438" s="12" t="s">
        <v>63</v>
      </c>
      <c r="F438" s="115" t="str">
        <f t="shared" si="1"/>
        <v>Amit Kumar Pathak2025-08-1714</v>
      </c>
    </row>
    <row r="439">
      <c r="A439" s="115" t="s">
        <v>49</v>
      </c>
      <c r="B439" s="115" t="s">
        <v>17</v>
      </c>
      <c r="C439" s="115">
        <v>4388.0</v>
      </c>
      <c r="D439" s="116">
        <v>45886.0</v>
      </c>
      <c r="E439" s="12" t="s">
        <v>63</v>
      </c>
      <c r="F439" s="115" t="str">
        <f t="shared" si="1"/>
        <v>Loveleen Singh2025-08-1714</v>
      </c>
    </row>
    <row r="440">
      <c r="A440" s="115" t="s">
        <v>49</v>
      </c>
      <c r="B440" s="115" t="s">
        <v>16</v>
      </c>
      <c r="C440" s="115">
        <v>10111.0</v>
      </c>
      <c r="D440" s="116">
        <v>45886.0</v>
      </c>
      <c r="E440" s="12" t="s">
        <v>63</v>
      </c>
      <c r="F440" s="115" t="str">
        <f t="shared" si="1"/>
        <v>Manoj Harsh2025-08-1714</v>
      </c>
    </row>
    <row r="441">
      <c r="A441" s="115" t="s">
        <v>49</v>
      </c>
      <c r="B441" s="115" t="s">
        <v>18</v>
      </c>
      <c r="C441" s="115">
        <v>3907.0</v>
      </c>
      <c r="D441" s="116">
        <v>45886.0</v>
      </c>
      <c r="E441" s="12" t="s">
        <v>63</v>
      </c>
      <c r="F441" s="115" t="str">
        <f t="shared" si="1"/>
        <v>Pradeep Kothari2025-08-1714</v>
      </c>
    </row>
    <row r="442">
      <c r="A442" s="115" t="s">
        <v>50</v>
      </c>
      <c r="B442" s="115" t="s">
        <v>24</v>
      </c>
      <c r="C442" s="115">
        <v>7180.0</v>
      </c>
      <c r="D442" s="116">
        <v>45886.0</v>
      </c>
      <c r="E442" s="12" t="s">
        <v>63</v>
      </c>
      <c r="F442" s="115" t="str">
        <f t="shared" si="1"/>
        <v>Kandula Sampath2025-08-1714</v>
      </c>
    </row>
    <row r="443">
      <c r="A443" s="115" t="s">
        <v>50</v>
      </c>
      <c r="B443" s="115" t="s">
        <v>25</v>
      </c>
      <c r="C443" s="115">
        <v>5284.0</v>
      </c>
      <c r="D443" s="116">
        <v>45886.0</v>
      </c>
      <c r="E443" s="12" t="s">
        <v>63</v>
      </c>
      <c r="F443" s="115" t="str">
        <f t="shared" si="1"/>
        <v>Martin A2025-08-1714</v>
      </c>
    </row>
    <row r="444">
      <c r="A444" s="115" t="s">
        <v>50</v>
      </c>
      <c r="B444" s="115" t="s">
        <v>26</v>
      </c>
      <c r="C444" s="115">
        <v>4777.0</v>
      </c>
      <c r="D444" s="116">
        <v>45886.0</v>
      </c>
      <c r="E444" s="12" t="s">
        <v>63</v>
      </c>
      <c r="F444" s="115" t="str">
        <f t="shared" si="1"/>
        <v>Premkumar M2025-08-1714</v>
      </c>
    </row>
    <row r="445">
      <c r="A445" s="115" t="s">
        <v>50</v>
      </c>
      <c r="B445" s="115" t="s">
        <v>27</v>
      </c>
      <c r="C445" s="115">
        <v>3893.0</v>
      </c>
      <c r="D445" s="116">
        <v>45886.0</v>
      </c>
      <c r="E445" s="12" t="s">
        <v>63</v>
      </c>
      <c r="F445" s="115" t="str">
        <f t="shared" si="1"/>
        <v>Vineeth V2025-08-1714</v>
      </c>
    </row>
    <row r="446">
      <c r="A446" s="115" t="s">
        <v>51</v>
      </c>
      <c r="B446" s="115" t="s">
        <v>29</v>
      </c>
      <c r="C446" s="115">
        <v>7814.0</v>
      </c>
      <c r="D446" s="116">
        <v>45886.0</v>
      </c>
      <c r="E446" s="12" t="s">
        <v>63</v>
      </c>
      <c r="F446" s="115" t="str">
        <f t="shared" si="1"/>
        <v>Ashish Jakar2025-08-1714</v>
      </c>
    </row>
    <row r="447">
      <c r="A447" s="115" t="s">
        <v>51</v>
      </c>
      <c r="B447" s="115" t="s">
        <v>30</v>
      </c>
      <c r="C447" s="115">
        <v>6629.0</v>
      </c>
      <c r="D447" s="116">
        <v>45886.0</v>
      </c>
      <c r="E447" s="12" t="s">
        <v>63</v>
      </c>
      <c r="F447" s="115" t="str">
        <f t="shared" si="1"/>
        <v>Ashvani Bhatt2025-08-1714</v>
      </c>
    </row>
    <row r="448">
      <c r="C448" s="115">
        <v>470.0</v>
      </c>
      <c r="D448" s="116">
        <v>45886.0</v>
      </c>
      <c r="E448" s="12" t="s">
        <v>63</v>
      </c>
      <c r="F448" s="115" t="str">
        <f t="shared" si="1"/>
        <v>2025-08-1714</v>
      </c>
    </row>
    <row r="449">
      <c r="A449" s="115" t="s">
        <v>47</v>
      </c>
      <c r="B449" s="115" t="s">
        <v>20</v>
      </c>
      <c r="C449" s="115">
        <v>16527.0</v>
      </c>
      <c r="D449" s="116">
        <v>45886.0</v>
      </c>
      <c r="E449" s="12" t="s">
        <v>65</v>
      </c>
      <c r="F449" s="115" t="str">
        <f t="shared" si="1"/>
        <v>Ashish Ranjan2025-08-1716</v>
      </c>
    </row>
    <row r="450">
      <c r="A450" s="115" t="s">
        <v>47</v>
      </c>
      <c r="B450" s="115" t="s">
        <v>21</v>
      </c>
      <c r="C450" s="115">
        <v>10006.0</v>
      </c>
      <c r="D450" s="116">
        <v>45886.0</v>
      </c>
      <c r="E450" s="12" t="s">
        <v>65</v>
      </c>
      <c r="F450" s="115" t="str">
        <f t="shared" si="1"/>
        <v>Girish Chand2025-08-1716</v>
      </c>
    </row>
    <row r="451">
      <c r="A451" s="115" t="s">
        <v>47</v>
      </c>
      <c r="B451" s="115" t="s">
        <v>22</v>
      </c>
      <c r="C451" s="115">
        <v>5488.0</v>
      </c>
      <c r="D451" s="116">
        <v>45886.0</v>
      </c>
      <c r="E451" s="12" t="s">
        <v>65</v>
      </c>
      <c r="F451" s="115" t="str">
        <f t="shared" si="1"/>
        <v>Parag Kashyap2025-08-1716</v>
      </c>
    </row>
    <row r="452">
      <c r="A452" s="115" t="s">
        <v>49</v>
      </c>
      <c r="B452" s="115" t="s">
        <v>15</v>
      </c>
      <c r="C452" s="115">
        <v>4038.0</v>
      </c>
      <c r="D452" s="116">
        <v>45886.0</v>
      </c>
      <c r="E452" s="12" t="s">
        <v>65</v>
      </c>
      <c r="F452" s="115" t="str">
        <f t="shared" si="1"/>
        <v>Amit Kumar Pathak2025-08-1716</v>
      </c>
    </row>
    <row r="453">
      <c r="A453" s="115" t="s">
        <v>49</v>
      </c>
      <c r="B453" s="115" t="s">
        <v>17</v>
      </c>
      <c r="C453" s="115">
        <v>4476.0</v>
      </c>
      <c r="D453" s="116">
        <v>45886.0</v>
      </c>
      <c r="E453" s="12" t="s">
        <v>65</v>
      </c>
      <c r="F453" s="115" t="str">
        <f t="shared" si="1"/>
        <v>Loveleen Singh2025-08-1716</v>
      </c>
    </row>
    <row r="454">
      <c r="A454" s="115" t="s">
        <v>49</v>
      </c>
      <c r="B454" s="115" t="s">
        <v>16</v>
      </c>
      <c r="C454" s="115">
        <v>10308.0</v>
      </c>
      <c r="D454" s="116">
        <v>45886.0</v>
      </c>
      <c r="E454" s="12" t="s">
        <v>65</v>
      </c>
      <c r="F454" s="115" t="str">
        <f t="shared" si="1"/>
        <v>Manoj Harsh2025-08-1716</v>
      </c>
    </row>
    <row r="455">
      <c r="A455" s="115" t="s">
        <v>49</v>
      </c>
      <c r="B455" s="115" t="s">
        <v>18</v>
      </c>
      <c r="C455" s="115">
        <v>3989.0</v>
      </c>
      <c r="D455" s="116">
        <v>45886.0</v>
      </c>
      <c r="E455" s="12" t="s">
        <v>65</v>
      </c>
      <c r="F455" s="115" t="str">
        <f t="shared" si="1"/>
        <v>Pradeep Kothari2025-08-1716</v>
      </c>
    </row>
    <row r="456">
      <c r="A456" s="115" t="s">
        <v>50</v>
      </c>
      <c r="B456" s="115" t="s">
        <v>24</v>
      </c>
      <c r="C456" s="115">
        <v>7323.0</v>
      </c>
      <c r="D456" s="116">
        <v>45886.0</v>
      </c>
      <c r="E456" s="12" t="s">
        <v>65</v>
      </c>
      <c r="F456" s="115" t="str">
        <f t="shared" si="1"/>
        <v>Kandula Sampath2025-08-1716</v>
      </c>
    </row>
    <row r="457">
      <c r="A457" s="115" t="s">
        <v>50</v>
      </c>
      <c r="B457" s="115" t="s">
        <v>25</v>
      </c>
      <c r="C457" s="115">
        <v>5543.0</v>
      </c>
      <c r="D457" s="116">
        <v>45886.0</v>
      </c>
      <c r="E457" s="12" t="s">
        <v>65</v>
      </c>
      <c r="F457" s="115" t="str">
        <f t="shared" si="1"/>
        <v>Martin A2025-08-1716</v>
      </c>
    </row>
    <row r="458">
      <c r="A458" s="115" t="s">
        <v>50</v>
      </c>
      <c r="B458" s="115" t="s">
        <v>26</v>
      </c>
      <c r="C458" s="115">
        <v>4933.0</v>
      </c>
      <c r="D458" s="116">
        <v>45886.0</v>
      </c>
      <c r="E458" s="12" t="s">
        <v>65</v>
      </c>
      <c r="F458" s="115" t="str">
        <f t="shared" si="1"/>
        <v>Premkumar M2025-08-1716</v>
      </c>
    </row>
    <row r="459">
      <c r="A459" s="115" t="s">
        <v>50</v>
      </c>
      <c r="B459" s="115" t="s">
        <v>27</v>
      </c>
      <c r="C459" s="115">
        <v>3974.0</v>
      </c>
      <c r="D459" s="116">
        <v>45886.0</v>
      </c>
      <c r="E459" s="12" t="s">
        <v>65</v>
      </c>
      <c r="F459" s="115" t="str">
        <f t="shared" si="1"/>
        <v>Vineeth V2025-08-1716</v>
      </c>
    </row>
    <row r="460">
      <c r="A460" s="115" t="s">
        <v>51</v>
      </c>
      <c r="B460" s="115" t="s">
        <v>29</v>
      </c>
      <c r="C460" s="115">
        <v>8237.0</v>
      </c>
      <c r="D460" s="116">
        <v>45886.0</v>
      </c>
      <c r="E460" s="12" t="s">
        <v>65</v>
      </c>
      <c r="F460" s="115" t="str">
        <f t="shared" si="1"/>
        <v>Ashish Jakar2025-08-1716</v>
      </c>
    </row>
    <row r="461">
      <c r="A461" s="115" t="s">
        <v>51</v>
      </c>
      <c r="B461" s="115" t="s">
        <v>30</v>
      </c>
      <c r="C461" s="115">
        <v>6779.0</v>
      </c>
      <c r="D461" s="116">
        <v>45886.0</v>
      </c>
      <c r="E461" s="12" t="s">
        <v>65</v>
      </c>
      <c r="F461" s="115" t="str">
        <f t="shared" si="1"/>
        <v>Ashvani Bhatt2025-08-1716</v>
      </c>
    </row>
    <row r="462">
      <c r="C462" s="115">
        <v>492.0</v>
      </c>
      <c r="D462" s="116">
        <v>45886.0</v>
      </c>
      <c r="E462" s="12" t="s">
        <v>65</v>
      </c>
      <c r="F462" s="115" t="str">
        <f t="shared" si="1"/>
        <v>2025-08-1716</v>
      </c>
    </row>
    <row r="463">
      <c r="A463" s="115" t="s">
        <v>47</v>
      </c>
      <c r="B463" s="115" t="s">
        <v>20</v>
      </c>
      <c r="C463" s="115">
        <v>16619.0</v>
      </c>
      <c r="D463" s="116">
        <v>45886.0</v>
      </c>
      <c r="E463" s="12" t="s">
        <v>3</v>
      </c>
      <c r="F463" s="115" t="str">
        <f t="shared" si="1"/>
        <v>Ashish Ranjan2025-08-1717</v>
      </c>
    </row>
    <row r="464">
      <c r="A464" s="115" t="s">
        <v>47</v>
      </c>
      <c r="B464" s="115" t="s">
        <v>21</v>
      </c>
      <c r="C464" s="115">
        <v>10027.0</v>
      </c>
      <c r="D464" s="116">
        <v>45886.0</v>
      </c>
      <c r="E464" s="12" t="s">
        <v>3</v>
      </c>
      <c r="F464" s="115" t="str">
        <f t="shared" si="1"/>
        <v>Girish Chand2025-08-1717</v>
      </c>
    </row>
    <row r="465">
      <c r="A465" s="115" t="s">
        <v>47</v>
      </c>
      <c r="B465" s="115" t="s">
        <v>22</v>
      </c>
      <c r="C465" s="115">
        <v>5496.0</v>
      </c>
      <c r="D465" s="116">
        <v>45886.0</v>
      </c>
      <c r="E465" s="12" t="s">
        <v>3</v>
      </c>
      <c r="F465" s="115" t="str">
        <f t="shared" si="1"/>
        <v>Parag Kashyap2025-08-1717</v>
      </c>
    </row>
    <row r="466">
      <c r="A466" s="115" t="s">
        <v>49</v>
      </c>
      <c r="B466" s="115" t="s">
        <v>15</v>
      </c>
      <c r="C466" s="115">
        <v>4116.0</v>
      </c>
      <c r="D466" s="116">
        <v>45886.0</v>
      </c>
      <c r="E466" s="12" t="s">
        <v>3</v>
      </c>
      <c r="F466" s="115" t="str">
        <f t="shared" si="1"/>
        <v>Amit Kumar Pathak2025-08-1717</v>
      </c>
    </row>
    <row r="467">
      <c r="A467" s="115" t="s">
        <v>49</v>
      </c>
      <c r="B467" s="115" t="s">
        <v>17</v>
      </c>
      <c r="C467" s="115">
        <v>4489.0</v>
      </c>
      <c r="D467" s="116">
        <v>45886.0</v>
      </c>
      <c r="E467" s="12" t="s">
        <v>3</v>
      </c>
      <c r="F467" s="115" t="str">
        <f t="shared" si="1"/>
        <v>Loveleen Singh2025-08-1717</v>
      </c>
    </row>
    <row r="468">
      <c r="A468" s="115" t="s">
        <v>49</v>
      </c>
      <c r="B468" s="115" t="s">
        <v>16</v>
      </c>
      <c r="C468" s="115">
        <v>10351.0</v>
      </c>
      <c r="D468" s="116">
        <v>45886.0</v>
      </c>
      <c r="E468" s="12" t="s">
        <v>3</v>
      </c>
      <c r="F468" s="115" t="str">
        <f t="shared" si="1"/>
        <v>Manoj Harsh2025-08-1717</v>
      </c>
    </row>
    <row r="469">
      <c r="A469" s="115" t="s">
        <v>49</v>
      </c>
      <c r="B469" s="115" t="s">
        <v>18</v>
      </c>
      <c r="C469" s="115">
        <v>4005.0</v>
      </c>
      <c r="D469" s="116">
        <v>45886.0</v>
      </c>
      <c r="E469" s="12" t="s">
        <v>3</v>
      </c>
      <c r="F469" s="115" t="str">
        <f t="shared" si="1"/>
        <v>Pradeep Kothari2025-08-1717</v>
      </c>
    </row>
    <row r="470">
      <c r="A470" s="115" t="s">
        <v>50</v>
      </c>
      <c r="B470" s="115" t="s">
        <v>24</v>
      </c>
      <c r="C470" s="115">
        <v>7356.0</v>
      </c>
      <c r="D470" s="116">
        <v>45886.0</v>
      </c>
      <c r="E470" s="12" t="s">
        <v>3</v>
      </c>
      <c r="F470" s="115" t="str">
        <f t="shared" si="1"/>
        <v>Kandula Sampath2025-08-1717</v>
      </c>
    </row>
    <row r="471">
      <c r="A471" s="115" t="s">
        <v>50</v>
      </c>
      <c r="B471" s="115" t="s">
        <v>25</v>
      </c>
      <c r="C471" s="115">
        <v>5674.0</v>
      </c>
      <c r="D471" s="116">
        <v>45886.0</v>
      </c>
      <c r="E471" s="12" t="s">
        <v>3</v>
      </c>
      <c r="F471" s="115" t="str">
        <f t="shared" si="1"/>
        <v>Martin A2025-08-1717</v>
      </c>
    </row>
    <row r="472">
      <c r="A472" s="115" t="s">
        <v>50</v>
      </c>
      <c r="B472" s="115" t="s">
        <v>26</v>
      </c>
      <c r="C472" s="115">
        <v>4970.0</v>
      </c>
      <c r="D472" s="116">
        <v>45886.0</v>
      </c>
      <c r="E472" s="12" t="s">
        <v>3</v>
      </c>
      <c r="F472" s="115" t="str">
        <f t="shared" si="1"/>
        <v>Premkumar M2025-08-1717</v>
      </c>
    </row>
    <row r="473">
      <c r="A473" s="115" t="s">
        <v>50</v>
      </c>
      <c r="B473" s="115" t="s">
        <v>27</v>
      </c>
      <c r="C473" s="115">
        <v>3995.0</v>
      </c>
      <c r="D473" s="116">
        <v>45886.0</v>
      </c>
      <c r="E473" s="12" t="s">
        <v>3</v>
      </c>
      <c r="F473" s="115" t="str">
        <f t="shared" si="1"/>
        <v>Vineeth V2025-08-1717</v>
      </c>
    </row>
    <row r="474">
      <c r="A474" s="115" t="s">
        <v>51</v>
      </c>
      <c r="B474" s="115" t="s">
        <v>29</v>
      </c>
      <c r="C474" s="115">
        <v>8393.0</v>
      </c>
      <c r="D474" s="116">
        <v>45886.0</v>
      </c>
      <c r="E474" s="12" t="s">
        <v>3</v>
      </c>
      <c r="F474" s="115" t="str">
        <f t="shared" si="1"/>
        <v>Ashish Jakar2025-08-1717</v>
      </c>
    </row>
    <row r="475">
      <c r="A475" s="115" t="s">
        <v>51</v>
      </c>
      <c r="B475" s="115" t="s">
        <v>30</v>
      </c>
      <c r="C475" s="115">
        <v>6802.0</v>
      </c>
      <c r="D475" s="116">
        <v>45886.0</v>
      </c>
      <c r="E475" s="12" t="s">
        <v>3</v>
      </c>
      <c r="F475" s="115" t="str">
        <f t="shared" si="1"/>
        <v>Ashvani Bhatt2025-08-1717</v>
      </c>
    </row>
    <row r="476">
      <c r="C476" s="115">
        <v>505.0</v>
      </c>
      <c r="D476" s="116">
        <v>45886.0</v>
      </c>
      <c r="E476" s="12" t="s">
        <v>3</v>
      </c>
      <c r="F476" s="115" t="str">
        <f t="shared" si="1"/>
        <v>2025-08-1717</v>
      </c>
    </row>
    <row r="477">
      <c r="A477" s="115" t="s">
        <v>47</v>
      </c>
      <c r="B477" s="115" t="s">
        <v>20</v>
      </c>
      <c r="C477" s="115">
        <v>16659.0</v>
      </c>
      <c r="D477" s="116">
        <v>45886.0</v>
      </c>
      <c r="E477" s="12" t="s">
        <v>53</v>
      </c>
      <c r="F477" s="115" t="str">
        <f t="shared" si="1"/>
        <v>Ashish Ranjan2025-08-1718</v>
      </c>
    </row>
    <row r="478">
      <c r="A478" s="115" t="s">
        <v>47</v>
      </c>
      <c r="B478" s="115" t="s">
        <v>21</v>
      </c>
      <c r="C478" s="115">
        <v>10036.0</v>
      </c>
      <c r="D478" s="116">
        <v>45886.0</v>
      </c>
      <c r="E478" s="12" t="s">
        <v>53</v>
      </c>
      <c r="F478" s="115" t="str">
        <f t="shared" si="1"/>
        <v>Girish Chand2025-08-1718</v>
      </c>
    </row>
    <row r="479">
      <c r="A479" s="115" t="s">
        <v>47</v>
      </c>
      <c r="B479" s="115" t="s">
        <v>22</v>
      </c>
      <c r="C479" s="115">
        <v>5498.0</v>
      </c>
      <c r="D479" s="116">
        <v>45886.0</v>
      </c>
      <c r="E479" s="12" t="s">
        <v>53</v>
      </c>
      <c r="F479" s="115" t="str">
        <f t="shared" si="1"/>
        <v>Parag Kashyap2025-08-1718</v>
      </c>
    </row>
    <row r="480">
      <c r="A480" s="115" t="s">
        <v>49</v>
      </c>
      <c r="B480" s="115" t="s">
        <v>15</v>
      </c>
      <c r="C480" s="115">
        <v>4163.0</v>
      </c>
      <c r="D480" s="116">
        <v>45886.0</v>
      </c>
      <c r="E480" s="12" t="s">
        <v>53</v>
      </c>
      <c r="F480" s="115" t="str">
        <f t="shared" si="1"/>
        <v>Amit Kumar Pathak2025-08-1718</v>
      </c>
    </row>
    <row r="481">
      <c r="A481" s="115" t="s">
        <v>49</v>
      </c>
      <c r="B481" s="115" t="s">
        <v>17</v>
      </c>
      <c r="C481" s="115">
        <v>4497.0</v>
      </c>
      <c r="D481" s="116">
        <v>45886.0</v>
      </c>
      <c r="E481" s="12" t="s">
        <v>53</v>
      </c>
      <c r="F481" s="115" t="str">
        <f t="shared" si="1"/>
        <v>Loveleen Singh2025-08-1718</v>
      </c>
    </row>
    <row r="482">
      <c r="A482" s="115" t="s">
        <v>49</v>
      </c>
      <c r="B482" s="115" t="s">
        <v>16</v>
      </c>
      <c r="C482" s="115">
        <v>10376.0</v>
      </c>
      <c r="D482" s="116">
        <v>45886.0</v>
      </c>
      <c r="E482" s="12" t="s">
        <v>53</v>
      </c>
      <c r="F482" s="115" t="str">
        <f t="shared" si="1"/>
        <v>Manoj Harsh2025-08-1718</v>
      </c>
    </row>
    <row r="483">
      <c r="A483" s="115" t="s">
        <v>49</v>
      </c>
      <c r="B483" s="115" t="s">
        <v>18</v>
      </c>
      <c r="C483" s="115">
        <v>4013.0</v>
      </c>
      <c r="D483" s="116">
        <v>45886.0</v>
      </c>
      <c r="E483" s="12" t="s">
        <v>53</v>
      </c>
      <c r="F483" s="115" t="str">
        <f t="shared" si="1"/>
        <v>Pradeep Kothari2025-08-1718</v>
      </c>
    </row>
    <row r="484">
      <c r="A484" s="115" t="s">
        <v>50</v>
      </c>
      <c r="B484" s="115" t="s">
        <v>24</v>
      </c>
      <c r="C484" s="115">
        <v>7368.0</v>
      </c>
      <c r="D484" s="116">
        <v>45886.0</v>
      </c>
      <c r="E484" s="12" t="s">
        <v>53</v>
      </c>
      <c r="F484" s="115" t="str">
        <f t="shared" si="1"/>
        <v>Kandula Sampath2025-08-1718</v>
      </c>
    </row>
    <row r="485">
      <c r="A485" s="115" t="s">
        <v>50</v>
      </c>
      <c r="B485" s="115" t="s">
        <v>25</v>
      </c>
      <c r="C485" s="115">
        <v>5748.0</v>
      </c>
      <c r="D485" s="116">
        <v>45886.0</v>
      </c>
      <c r="E485" s="12" t="s">
        <v>53</v>
      </c>
      <c r="F485" s="115" t="str">
        <f t="shared" si="1"/>
        <v>Martin A2025-08-1718</v>
      </c>
    </row>
    <row r="486">
      <c r="A486" s="115" t="s">
        <v>50</v>
      </c>
      <c r="B486" s="115" t="s">
        <v>26</v>
      </c>
      <c r="C486" s="115">
        <v>4997.0</v>
      </c>
      <c r="D486" s="116">
        <v>45886.0</v>
      </c>
      <c r="E486" s="12" t="s">
        <v>53</v>
      </c>
      <c r="F486" s="115" t="str">
        <f t="shared" si="1"/>
        <v>Premkumar M2025-08-1718</v>
      </c>
    </row>
    <row r="487">
      <c r="A487" s="115" t="s">
        <v>50</v>
      </c>
      <c r="B487" s="115" t="s">
        <v>27</v>
      </c>
      <c r="C487" s="115">
        <v>4006.0</v>
      </c>
      <c r="D487" s="116">
        <v>45886.0</v>
      </c>
      <c r="E487" s="12" t="s">
        <v>53</v>
      </c>
      <c r="F487" s="115" t="str">
        <f t="shared" si="1"/>
        <v>Vineeth V2025-08-1718</v>
      </c>
    </row>
    <row r="488">
      <c r="A488" s="115" t="s">
        <v>51</v>
      </c>
      <c r="B488" s="115" t="s">
        <v>29</v>
      </c>
      <c r="C488" s="115">
        <v>8463.0</v>
      </c>
      <c r="D488" s="116">
        <v>45886.0</v>
      </c>
      <c r="E488" s="12" t="s">
        <v>53</v>
      </c>
      <c r="F488" s="115" t="str">
        <f t="shared" si="1"/>
        <v>Ashish Jakar2025-08-1718</v>
      </c>
    </row>
    <row r="489">
      <c r="A489" s="115" t="s">
        <v>51</v>
      </c>
      <c r="B489" s="115" t="s">
        <v>30</v>
      </c>
      <c r="C489" s="115">
        <v>6816.0</v>
      </c>
      <c r="D489" s="116">
        <v>45886.0</v>
      </c>
      <c r="E489" s="12" t="s">
        <v>53</v>
      </c>
      <c r="F489" s="115" t="str">
        <f t="shared" si="1"/>
        <v>Ashvani Bhatt2025-08-1718</v>
      </c>
    </row>
    <row r="490">
      <c r="C490" s="115">
        <v>516.0</v>
      </c>
      <c r="D490" s="116">
        <v>45886.0</v>
      </c>
      <c r="E490" s="12" t="s">
        <v>53</v>
      </c>
      <c r="F490" s="115" t="str">
        <f t="shared" si="1"/>
        <v>2025-08-1718</v>
      </c>
    </row>
    <row r="491">
      <c r="A491" s="115" t="s">
        <v>47</v>
      </c>
      <c r="B491" s="115" t="s">
        <v>20</v>
      </c>
      <c r="C491" s="115">
        <v>16722.0</v>
      </c>
      <c r="D491" s="116">
        <v>45886.0</v>
      </c>
      <c r="E491" s="12" t="s">
        <v>57</v>
      </c>
      <c r="F491" s="115" t="str">
        <f t="shared" si="1"/>
        <v>Ashish Ranjan2025-08-1722</v>
      </c>
    </row>
    <row r="492">
      <c r="A492" s="115" t="s">
        <v>47</v>
      </c>
      <c r="B492" s="115" t="s">
        <v>21</v>
      </c>
      <c r="C492" s="115">
        <v>10054.0</v>
      </c>
      <c r="D492" s="116">
        <v>45886.0</v>
      </c>
      <c r="E492" s="12" t="s">
        <v>57</v>
      </c>
      <c r="F492" s="115" t="str">
        <f t="shared" si="1"/>
        <v>Girish Chand2025-08-1722</v>
      </c>
    </row>
    <row r="493">
      <c r="A493" s="115" t="s">
        <v>47</v>
      </c>
      <c r="B493" s="115" t="s">
        <v>22</v>
      </c>
      <c r="C493" s="115">
        <v>5511.0</v>
      </c>
      <c r="D493" s="116">
        <v>45886.0</v>
      </c>
      <c r="E493" s="12" t="s">
        <v>57</v>
      </c>
      <c r="F493" s="115" t="str">
        <f t="shared" si="1"/>
        <v>Parag Kashyap2025-08-1722</v>
      </c>
    </row>
    <row r="494">
      <c r="A494" s="115" t="s">
        <v>49</v>
      </c>
      <c r="B494" s="115" t="s">
        <v>15</v>
      </c>
      <c r="C494" s="115">
        <v>4183.0</v>
      </c>
      <c r="D494" s="116">
        <v>45886.0</v>
      </c>
      <c r="E494" s="12" t="s">
        <v>57</v>
      </c>
      <c r="F494" s="115" t="str">
        <f t="shared" si="1"/>
        <v>Amit Kumar Pathak2025-08-1722</v>
      </c>
    </row>
    <row r="495">
      <c r="A495" s="115" t="s">
        <v>49</v>
      </c>
      <c r="B495" s="115" t="s">
        <v>17</v>
      </c>
      <c r="C495" s="115">
        <v>4510.0</v>
      </c>
      <c r="D495" s="116">
        <v>45886.0</v>
      </c>
      <c r="E495" s="12" t="s">
        <v>57</v>
      </c>
      <c r="F495" s="115" t="str">
        <f t="shared" si="1"/>
        <v>Loveleen Singh2025-08-1722</v>
      </c>
    </row>
    <row r="496">
      <c r="A496" s="115" t="s">
        <v>49</v>
      </c>
      <c r="B496" s="115" t="s">
        <v>16</v>
      </c>
      <c r="C496" s="115">
        <v>10397.0</v>
      </c>
      <c r="D496" s="116">
        <v>45886.0</v>
      </c>
      <c r="E496" s="12" t="s">
        <v>57</v>
      </c>
      <c r="F496" s="115" t="str">
        <f t="shared" si="1"/>
        <v>Manoj Harsh2025-08-1722</v>
      </c>
    </row>
    <row r="497">
      <c r="A497" s="115" t="s">
        <v>49</v>
      </c>
      <c r="B497" s="115" t="s">
        <v>18</v>
      </c>
      <c r="C497" s="115">
        <v>4030.0</v>
      </c>
      <c r="D497" s="116">
        <v>45886.0</v>
      </c>
      <c r="E497" s="12" t="s">
        <v>57</v>
      </c>
      <c r="F497" s="115" t="str">
        <f t="shared" si="1"/>
        <v>Pradeep Kothari2025-08-1722</v>
      </c>
    </row>
    <row r="498">
      <c r="A498" s="115" t="s">
        <v>50</v>
      </c>
      <c r="B498" s="115" t="s">
        <v>24</v>
      </c>
      <c r="C498" s="115">
        <v>7393.0</v>
      </c>
      <c r="D498" s="116">
        <v>45886.0</v>
      </c>
      <c r="E498" s="12" t="s">
        <v>57</v>
      </c>
      <c r="F498" s="115" t="str">
        <f t="shared" si="1"/>
        <v>Kandula Sampath2025-08-1722</v>
      </c>
    </row>
    <row r="499">
      <c r="A499" s="115" t="s">
        <v>50</v>
      </c>
      <c r="B499" s="115" t="s">
        <v>25</v>
      </c>
      <c r="C499" s="115">
        <v>5798.0</v>
      </c>
      <c r="D499" s="116">
        <v>45886.0</v>
      </c>
      <c r="E499" s="12" t="s">
        <v>57</v>
      </c>
      <c r="F499" s="115" t="str">
        <f t="shared" si="1"/>
        <v>Martin A2025-08-1722</v>
      </c>
    </row>
    <row r="500">
      <c r="A500" s="115" t="s">
        <v>50</v>
      </c>
      <c r="B500" s="115" t="s">
        <v>26</v>
      </c>
      <c r="C500" s="115">
        <v>5012.0</v>
      </c>
      <c r="D500" s="116">
        <v>45886.0</v>
      </c>
      <c r="E500" s="12" t="s">
        <v>57</v>
      </c>
      <c r="F500" s="115" t="str">
        <f t="shared" si="1"/>
        <v>Premkumar M2025-08-1722</v>
      </c>
    </row>
    <row r="501">
      <c r="A501" s="115" t="s">
        <v>50</v>
      </c>
      <c r="B501" s="115" t="s">
        <v>27</v>
      </c>
      <c r="C501" s="115">
        <v>4015.0</v>
      </c>
      <c r="D501" s="116">
        <v>45886.0</v>
      </c>
      <c r="E501" s="12" t="s">
        <v>57</v>
      </c>
      <c r="F501" s="115" t="str">
        <f t="shared" si="1"/>
        <v>Vineeth V2025-08-1722</v>
      </c>
    </row>
    <row r="502">
      <c r="A502" s="115" t="s">
        <v>51</v>
      </c>
      <c r="B502" s="115" t="s">
        <v>29</v>
      </c>
      <c r="C502" s="115">
        <v>8517.0</v>
      </c>
      <c r="D502" s="116">
        <v>45886.0</v>
      </c>
      <c r="E502" s="12" t="s">
        <v>57</v>
      </c>
      <c r="F502" s="115" t="str">
        <f t="shared" si="1"/>
        <v>Ashish Jakar2025-08-1722</v>
      </c>
    </row>
    <row r="503">
      <c r="A503" s="115" t="s">
        <v>51</v>
      </c>
      <c r="B503" s="115" t="s">
        <v>30</v>
      </c>
      <c r="C503" s="115">
        <v>6840.0</v>
      </c>
      <c r="D503" s="116">
        <v>45886.0</v>
      </c>
      <c r="E503" s="12" t="s">
        <v>57</v>
      </c>
      <c r="F503" s="115" t="str">
        <f t="shared" si="1"/>
        <v>Ashvani Bhatt2025-08-1722</v>
      </c>
    </row>
    <row r="504">
      <c r="C504" s="115">
        <v>525.0</v>
      </c>
      <c r="D504" s="116">
        <v>45886.0</v>
      </c>
      <c r="E504" s="12" t="s">
        <v>57</v>
      </c>
      <c r="F504" s="115" t="str">
        <f t="shared" si="1"/>
        <v>2025-08-1722</v>
      </c>
    </row>
    <row r="505">
      <c r="A505" s="115" t="s">
        <v>47</v>
      </c>
      <c r="B505" s="115" t="s">
        <v>20</v>
      </c>
      <c r="C505" s="115">
        <v>7761.0</v>
      </c>
      <c r="D505" s="116">
        <v>45887.0</v>
      </c>
      <c r="E505" s="12" t="s">
        <v>59</v>
      </c>
      <c r="F505" s="115" t="str">
        <f t="shared" si="1"/>
        <v>Ashish Ranjan2025-08-1809</v>
      </c>
    </row>
    <row r="506">
      <c r="A506" s="115" t="s">
        <v>47</v>
      </c>
      <c r="B506" s="115" t="s">
        <v>21</v>
      </c>
      <c r="C506" s="115">
        <v>3348.0</v>
      </c>
      <c r="D506" s="116">
        <v>45887.0</v>
      </c>
      <c r="E506" s="12" t="s">
        <v>59</v>
      </c>
      <c r="F506" s="115" t="str">
        <f t="shared" si="1"/>
        <v>Girish Chand2025-08-1809</v>
      </c>
    </row>
    <row r="507">
      <c r="A507" s="115" t="s">
        <v>47</v>
      </c>
      <c r="B507" s="115" t="s">
        <v>22</v>
      </c>
      <c r="C507" s="115">
        <v>2262.0</v>
      </c>
      <c r="D507" s="116">
        <v>45887.0</v>
      </c>
      <c r="E507" s="12" t="s">
        <v>59</v>
      </c>
      <c r="F507" s="115" t="str">
        <f t="shared" si="1"/>
        <v>Parag Kashyap2025-08-1809</v>
      </c>
    </row>
    <row r="508">
      <c r="A508" s="115" t="s">
        <v>49</v>
      </c>
      <c r="B508" s="115" t="s">
        <v>15</v>
      </c>
      <c r="C508" s="115">
        <v>1821.0</v>
      </c>
      <c r="D508" s="116">
        <v>45887.0</v>
      </c>
      <c r="E508" s="12" t="s">
        <v>59</v>
      </c>
      <c r="F508" s="115" t="str">
        <f t="shared" si="1"/>
        <v>Amit Kumar Pathak2025-08-1809</v>
      </c>
    </row>
    <row r="509">
      <c r="A509" s="115" t="s">
        <v>49</v>
      </c>
      <c r="B509" s="115" t="s">
        <v>17</v>
      </c>
      <c r="C509" s="115">
        <v>1297.0</v>
      </c>
      <c r="D509" s="116">
        <v>45887.0</v>
      </c>
      <c r="E509" s="12" t="s">
        <v>59</v>
      </c>
      <c r="F509" s="115" t="str">
        <f t="shared" si="1"/>
        <v>Loveleen Singh2025-08-1809</v>
      </c>
    </row>
    <row r="510">
      <c r="A510" s="115" t="s">
        <v>49</v>
      </c>
      <c r="B510" s="115" t="s">
        <v>16</v>
      </c>
      <c r="C510" s="115">
        <v>3119.0</v>
      </c>
      <c r="D510" s="116">
        <v>45887.0</v>
      </c>
      <c r="E510" s="12" t="s">
        <v>59</v>
      </c>
      <c r="F510" s="115" t="str">
        <f t="shared" si="1"/>
        <v>Manoj Harsh2025-08-1809</v>
      </c>
    </row>
    <row r="511">
      <c r="A511" s="115" t="s">
        <v>49</v>
      </c>
      <c r="B511" s="115" t="s">
        <v>18</v>
      </c>
      <c r="C511" s="115">
        <v>1472.0</v>
      </c>
      <c r="D511" s="116">
        <v>45887.0</v>
      </c>
      <c r="E511" s="12" t="s">
        <v>59</v>
      </c>
      <c r="F511" s="115" t="str">
        <f t="shared" si="1"/>
        <v>Pradeep Kothari2025-08-1809</v>
      </c>
    </row>
    <row r="512">
      <c r="A512" s="115" t="s">
        <v>50</v>
      </c>
      <c r="B512" s="115" t="s">
        <v>24</v>
      </c>
      <c r="C512" s="115">
        <v>2790.0</v>
      </c>
      <c r="D512" s="116">
        <v>45887.0</v>
      </c>
      <c r="E512" s="12" t="s">
        <v>59</v>
      </c>
      <c r="F512" s="115" t="str">
        <f t="shared" si="1"/>
        <v>Kandula Sampath2025-08-1809</v>
      </c>
    </row>
    <row r="513">
      <c r="A513" s="115" t="s">
        <v>50</v>
      </c>
      <c r="B513" s="115" t="s">
        <v>25</v>
      </c>
      <c r="C513" s="115">
        <v>2352.0</v>
      </c>
      <c r="D513" s="116">
        <v>45887.0</v>
      </c>
      <c r="E513" s="12" t="s">
        <v>59</v>
      </c>
      <c r="F513" s="115" t="str">
        <f t="shared" si="1"/>
        <v>Martin A2025-08-1809</v>
      </c>
    </row>
    <row r="514">
      <c r="A514" s="115" t="s">
        <v>50</v>
      </c>
      <c r="B514" s="115" t="s">
        <v>26</v>
      </c>
      <c r="C514" s="115">
        <v>1039.0</v>
      </c>
      <c r="D514" s="116">
        <v>45887.0</v>
      </c>
      <c r="E514" s="12" t="s">
        <v>59</v>
      </c>
      <c r="F514" s="115" t="str">
        <f t="shared" si="1"/>
        <v>Premkumar M2025-08-1809</v>
      </c>
    </row>
    <row r="515">
      <c r="A515" s="115" t="s">
        <v>50</v>
      </c>
      <c r="B515" s="115" t="s">
        <v>27</v>
      </c>
      <c r="C515" s="115">
        <v>408.0</v>
      </c>
      <c r="D515" s="116">
        <v>45887.0</v>
      </c>
      <c r="E515" s="12" t="s">
        <v>59</v>
      </c>
      <c r="F515" s="115" t="str">
        <f t="shared" si="1"/>
        <v>Vineeth V2025-08-1809</v>
      </c>
    </row>
    <row r="516">
      <c r="A516" s="115" t="s">
        <v>51</v>
      </c>
      <c r="B516" s="115" t="s">
        <v>29</v>
      </c>
      <c r="C516" s="115">
        <v>2103.0</v>
      </c>
      <c r="D516" s="116">
        <v>45887.0</v>
      </c>
      <c r="E516" s="12" t="s">
        <v>59</v>
      </c>
      <c r="F516" s="115" t="str">
        <f t="shared" si="1"/>
        <v>Ashish Jakar2025-08-1809</v>
      </c>
    </row>
    <row r="517">
      <c r="A517" s="115" t="s">
        <v>51</v>
      </c>
      <c r="B517" s="115" t="s">
        <v>30</v>
      </c>
      <c r="C517" s="115">
        <v>2763.0</v>
      </c>
      <c r="D517" s="116">
        <v>45887.0</v>
      </c>
      <c r="E517" s="12" t="s">
        <v>59</v>
      </c>
      <c r="F517" s="115" t="str">
        <f t="shared" si="1"/>
        <v>Ashvani Bhatt2025-08-1809</v>
      </c>
    </row>
    <row r="518">
      <c r="C518" s="115">
        <v>116.0</v>
      </c>
      <c r="D518" s="116">
        <v>45887.0</v>
      </c>
      <c r="E518" s="12" t="s">
        <v>59</v>
      </c>
      <c r="F518" s="115" t="str">
        <f t="shared" si="1"/>
        <v>2025-08-1809</v>
      </c>
    </row>
    <row r="519">
      <c r="A519" s="115" t="s">
        <v>47</v>
      </c>
      <c r="B519" s="115" t="s">
        <v>20</v>
      </c>
      <c r="C519" s="115">
        <v>12604.0</v>
      </c>
      <c r="D519" s="116">
        <v>45887.0</v>
      </c>
      <c r="E519" s="12" t="s">
        <v>60</v>
      </c>
      <c r="F519" s="115" t="str">
        <f t="shared" si="1"/>
        <v>Ashish Ranjan2025-08-1810</v>
      </c>
    </row>
    <row r="520">
      <c r="A520" s="115" t="s">
        <v>47</v>
      </c>
      <c r="B520" s="115" t="s">
        <v>21</v>
      </c>
      <c r="C520" s="115">
        <v>6373.0</v>
      </c>
      <c r="D520" s="116">
        <v>45887.0</v>
      </c>
      <c r="E520" s="12" t="s">
        <v>60</v>
      </c>
      <c r="F520" s="115" t="str">
        <f t="shared" si="1"/>
        <v>Girish Chand2025-08-1810</v>
      </c>
    </row>
    <row r="521">
      <c r="A521" s="115" t="s">
        <v>47</v>
      </c>
      <c r="B521" s="115" t="s">
        <v>22</v>
      </c>
      <c r="C521" s="115">
        <v>4238.0</v>
      </c>
      <c r="D521" s="116">
        <v>45887.0</v>
      </c>
      <c r="E521" s="12" t="s">
        <v>60</v>
      </c>
      <c r="F521" s="115" t="str">
        <f t="shared" si="1"/>
        <v>Parag Kashyap2025-08-1810</v>
      </c>
    </row>
    <row r="522">
      <c r="A522" s="115" t="s">
        <v>49</v>
      </c>
      <c r="B522" s="115" t="s">
        <v>15</v>
      </c>
      <c r="C522" s="115">
        <v>2657.0</v>
      </c>
      <c r="D522" s="116">
        <v>45887.0</v>
      </c>
      <c r="E522" s="12" t="s">
        <v>60</v>
      </c>
      <c r="F522" s="115" t="str">
        <f t="shared" si="1"/>
        <v>Amit Kumar Pathak2025-08-1810</v>
      </c>
    </row>
    <row r="523">
      <c r="A523" s="115" t="s">
        <v>49</v>
      </c>
      <c r="B523" s="115" t="s">
        <v>17</v>
      </c>
      <c r="C523" s="115">
        <v>2684.0</v>
      </c>
      <c r="D523" s="116">
        <v>45887.0</v>
      </c>
      <c r="E523" s="12" t="s">
        <v>60</v>
      </c>
      <c r="F523" s="115" t="str">
        <f t="shared" si="1"/>
        <v>Loveleen Singh2025-08-1810</v>
      </c>
    </row>
    <row r="524">
      <c r="A524" s="115" t="s">
        <v>49</v>
      </c>
      <c r="B524" s="115" t="s">
        <v>16</v>
      </c>
      <c r="C524" s="115">
        <v>6410.0</v>
      </c>
      <c r="D524" s="116">
        <v>45887.0</v>
      </c>
      <c r="E524" s="12" t="s">
        <v>60</v>
      </c>
      <c r="F524" s="115" t="str">
        <f t="shared" si="1"/>
        <v>Manoj Harsh2025-08-1810</v>
      </c>
    </row>
    <row r="525">
      <c r="A525" s="115" t="s">
        <v>49</v>
      </c>
      <c r="B525" s="115" t="s">
        <v>18</v>
      </c>
      <c r="C525" s="115">
        <v>2792.0</v>
      </c>
      <c r="D525" s="116">
        <v>45887.0</v>
      </c>
      <c r="E525" s="12" t="s">
        <v>60</v>
      </c>
      <c r="F525" s="115" t="str">
        <f t="shared" si="1"/>
        <v>Pradeep Kothari2025-08-1810</v>
      </c>
    </row>
    <row r="526">
      <c r="A526" s="115" t="s">
        <v>50</v>
      </c>
      <c r="B526" s="115" t="s">
        <v>24</v>
      </c>
      <c r="C526" s="115">
        <v>5040.0</v>
      </c>
      <c r="D526" s="116">
        <v>45887.0</v>
      </c>
      <c r="E526" s="12" t="s">
        <v>60</v>
      </c>
      <c r="F526" s="115" t="str">
        <f t="shared" si="1"/>
        <v>Kandula Sampath2025-08-1810</v>
      </c>
    </row>
    <row r="527">
      <c r="A527" s="115" t="s">
        <v>50</v>
      </c>
      <c r="B527" s="115" t="s">
        <v>25</v>
      </c>
      <c r="C527" s="115">
        <v>3773.0</v>
      </c>
      <c r="D527" s="116">
        <v>45887.0</v>
      </c>
      <c r="E527" s="12" t="s">
        <v>60</v>
      </c>
      <c r="F527" s="115" t="str">
        <f t="shared" si="1"/>
        <v>Martin A2025-08-1810</v>
      </c>
    </row>
    <row r="528">
      <c r="A528" s="115" t="s">
        <v>50</v>
      </c>
      <c r="B528" s="115" t="s">
        <v>26</v>
      </c>
      <c r="C528" s="115">
        <v>2333.0</v>
      </c>
      <c r="D528" s="116">
        <v>45887.0</v>
      </c>
      <c r="E528" s="12" t="s">
        <v>60</v>
      </c>
      <c r="F528" s="115" t="str">
        <f t="shared" si="1"/>
        <v>Premkumar M2025-08-1810</v>
      </c>
    </row>
    <row r="529">
      <c r="A529" s="115" t="s">
        <v>50</v>
      </c>
      <c r="B529" s="115" t="s">
        <v>27</v>
      </c>
      <c r="C529" s="115">
        <v>1328.0</v>
      </c>
      <c r="D529" s="116">
        <v>45887.0</v>
      </c>
      <c r="E529" s="12" t="s">
        <v>60</v>
      </c>
      <c r="F529" s="115" t="str">
        <f t="shared" si="1"/>
        <v>Vineeth V2025-08-1810</v>
      </c>
    </row>
    <row r="530">
      <c r="A530" s="115" t="s">
        <v>51</v>
      </c>
      <c r="B530" s="115" t="s">
        <v>29</v>
      </c>
      <c r="C530" s="115">
        <v>4286.0</v>
      </c>
      <c r="D530" s="116">
        <v>45887.0</v>
      </c>
      <c r="E530" s="12" t="s">
        <v>60</v>
      </c>
      <c r="F530" s="115" t="str">
        <f t="shared" si="1"/>
        <v>Ashish Jakar2025-08-1810</v>
      </c>
    </row>
    <row r="531">
      <c r="A531" s="115" t="s">
        <v>51</v>
      </c>
      <c r="B531" s="115" t="s">
        <v>30</v>
      </c>
      <c r="C531" s="115">
        <v>4502.0</v>
      </c>
      <c r="D531" s="116">
        <v>45887.0</v>
      </c>
      <c r="E531" s="12" t="s">
        <v>60</v>
      </c>
      <c r="F531" s="115" t="str">
        <f t="shared" si="1"/>
        <v>Ashvani Bhatt2025-08-1810</v>
      </c>
    </row>
    <row r="532">
      <c r="C532" s="115">
        <v>232.0</v>
      </c>
      <c r="D532" s="116">
        <v>45887.0</v>
      </c>
      <c r="E532" s="12" t="s">
        <v>60</v>
      </c>
      <c r="F532" s="115" t="str">
        <f t="shared" si="1"/>
        <v>2025-08-1810</v>
      </c>
    </row>
    <row r="533">
      <c r="A533" s="115" t="s">
        <v>47</v>
      </c>
      <c r="B533" s="115" t="s">
        <v>20</v>
      </c>
      <c r="C533" s="115">
        <v>15658.0</v>
      </c>
      <c r="D533" s="116">
        <v>45887.0</v>
      </c>
      <c r="E533" s="12" t="s">
        <v>61</v>
      </c>
      <c r="F533" s="115" t="str">
        <f t="shared" si="1"/>
        <v>Ashish Ranjan2025-08-1811</v>
      </c>
    </row>
    <row r="534">
      <c r="A534" s="115" t="s">
        <v>47</v>
      </c>
      <c r="B534" s="115" t="s">
        <v>21</v>
      </c>
      <c r="C534" s="115">
        <v>8568.0</v>
      </c>
      <c r="D534" s="116">
        <v>45887.0</v>
      </c>
      <c r="E534" s="12" t="s">
        <v>61</v>
      </c>
      <c r="F534" s="115" t="str">
        <f t="shared" si="1"/>
        <v>Girish Chand2025-08-1811</v>
      </c>
    </row>
    <row r="535">
      <c r="A535" s="115" t="s">
        <v>47</v>
      </c>
      <c r="B535" s="115" t="s">
        <v>22</v>
      </c>
      <c r="C535" s="115">
        <v>5741.0</v>
      </c>
      <c r="D535" s="116">
        <v>45887.0</v>
      </c>
      <c r="E535" s="12" t="s">
        <v>61</v>
      </c>
      <c r="F535" s="115" t="str">
        <f t="shared" si="1"/>
        <v>Parag Kashyap2025-08-1811</v>
      </c>
    </row>
    <row r="536">
      <c r="A536" s="115" t="s">
        <v>49</v>
      </c>
      <c r="B536" s="115" t="s">
        <v>15</v>
      </c>
      <c r="C536" s="115">
        <v>3290.0</v>
      </c>
      <c r="D536" s="116">
        <v>45887.0</v>
      </c>
      <c r="E536" s="12" t="s">
        <v>61</v>
      </c>
      <c r="F536" s="115" t="str">
        <f t="shared" si="1"/>
        <v>Amit Kumar Pathak2025-08-1811</v>
      </c>
    </row>
    <row r="537">
      <c r="A537" s="115" t="s">
        <v>49</v>
      </c>
      <c r="B537" s="115" t="s">
        <v>17</v>
      </c>
      <c r="C537" s="115">
        <v>3991.0</v>
      </c>
      <c r="D537" s="116">
        <v>45887.0</v>
      </c>
      <c r="E537" s="12" t="s">
        <v>61</v>
      </c>
      <c r="F537" s="115" t="str">
        <f t="shared" si="1"/>
        <v>Loveleen Singh2025-08-1811</v>
      </c>
    </row>
    <row r="538">
      <c r="A538" s="115" t="s">
        <v>49</v>
      </c>
      <c r="B538" s="115" t="s">
        <v>16</v>
      </c>
      <c r="C538" s="115">
        <v>8827.0</v>
      </c>
      <c r="D538" s="116">
        <v>45887.0</v>
      </c>
      <c r="E538" s="12" t="s">
        <v>61</v>
      </c>
      <c r="F538" s="115" t="str">
        <f t="shared" si="1"/>
        <v>Manoj Harsh2025-08-1811</v>
      </c>
    </row>
    <row r="539">
      <c r="A539" s="115" t="s">
        <v>49</v>
      </c>
      <c r="B539" s="115" t="s">
        <v>18</v>
      </c>
      <c r="C539" s="115">
        <v>3632.0</v>
      </c>
      <c r="D539" s="116">
        <v>45887.0</v>
      </c>
      <c r="E539" s="12" t="s">
        <v>61</v>
      </c>
      <c r="F539" s="115" t="str">
        <f t="shared" si="1"/>
        <v>Pradeep Kothari2025-08-1811</v>
      </c>
    </row>
    <row r="540">
      <c r="A540" s="115" t="s">
        <v>50</v>
      </c>
      <c r="B540" s="115" t="s">
        <v>24</v>
      </c>
      <c r="C540" s="115">
        <v>6581.0</v>
      </c>
      <c r="D540" s="116">
        <v>45887.0</v>
      </c>
      <c r="E540" s="12" t="s">
        <v>61</v>
      </c>
      <c r="F540" s="115" t="str">
        <f t="shared" si="1"/>
        <v>Kandula Sampath2025-08-1811</v>
      </c>
    </row>
    <row r="541">
      <c r="A541" s="115" t="s">
        <v>50</v>
      </c>
      <c r="B541" s="115" t="s">
        <v>25</v>
      </c>
      <c r="C541" s="115">
        <v>4742.0</v>
      </c>
      <c r="D541" s="116">
        <v>45887.0</v>
      </c>
      <c r="E541" s="12" t="s">
        <v>61</v>
      </c>
      <c r="F541" s="115" t="str">
        <f t="shared" si="1"/>
        <v>Martin A2025-08-1811</v>
      </c>
    </row>
    <row r="542">
      <c r="A542" s="115" t="s">
        <v>50</v>
      </c>
      <c r="B542" s="115" t="s">
        <v>26</v>
      </c>
      <c r="C542" s="115">
        <v>3648.0</v>
      </c>
      <c r="D542" s="116">
        <v>45887.0</v>
      </c>
      <c r="E542" s="12" t="s">
        <v>61</v>
      </c>
      <c r="F542" s="115" t="str">
        <f t="shared" si="1"/>
        <v>Premkumar M2025-08-1811</v>
      </c>
    </row>
    <row r="543">
      <c r="A543" s="115" t="s">
        <v>50</v>
      </c>
      <c r="B543" s="115" t="s">
        <v>27</v>
      </c>
      <c r="C543" s="115">
        <v>2669.0</v>
      </c>
      <c r="D543" s="116">
        <v>45887.0</v>
      </c>
      <c r="E543" s="12" t="s">
        <v>61</v>
      </c>
      <c r="F543" s="115" t="str">
        <f t="shared" si="1"/>
        <v>Vineeth V2025-08-1811</v>
      </c>
    </row>
    <row r="544">
      <c r="A544" s="115" t="s">
        <v>51</v>
      </c>
      <c r="B544" s="115" t="s">
        <v>29</v>
      </c>
      <c r="C544" s="115">
        <v>6085.0</v>
      </c>
      <c r="D544" s="116">
        <v>45887.0</v>
      </c>
      <c r="E544" s="12" t="s">
        <v>61</v>
      </c>
      <c r="F544" s="115" t="str">
        <f t="shared" si="1"/>
        <v>Ashish Jakar2025-08-1811</v>
      </c>
    </row>
    <row r="545">
      <c r="A545" s="115" t="s">
        <v>51</v>
      </c>
      <c r="B545" s="115" t="s">
        <v>30</v>
      </c>
      <c r="C545" s="115">
        <v>5735.0</v>
      </c>
      <c r="D545" s="116">
        <v>45887.0</v>
      </c>
      <c r="E545" s="12" t="s">
        <v>61</v>
      </c>
      <c r="F545" s="115" t="str">
        <f t="shared" si="1"/>
        <v>Ashvani Bhatt2025-08-1811</v>
      </c>
    </row>
    <row r="546">
      <c r="C546" s="115">
        <v>359.0</v>
      </c>
      <c r="D546" s="116">
        <v>45887.0</v>
      </c>
      <c r="E546" s="12" t="s">
        <v>61</v>
      </c>
      <c r="F546" s="115" t="str">
        <f t="shared" si="1"/>
        <v>2025-08-1811</v>
      </c>
    </row>
    <row r="547">
      <c r="A547" s="115" t="s">
        <v>47</v>
      </c>
      <c r="B547" s="115" t="s">
        <v>20</v>
      </c>
      <c r="C547" s="115">
        <v>16913.0</v>
      </c>
      <c r="D547" s="116">
        <v>45887.0</v>
      </c>
      <c r="E547" s="12" t="s">
        <v>62</v>
      </c>
      <c r="F547" s="115" t="str">
        <f t="shared" si="1"/>
        <v>Ashish Ranjan2025-08-1812</v>
      </c>
    </row>
    <row r="548">
      <c r="A548" s="115" t="s">
        <v>47</v>
      </c>
      <c r="B548" s="115" t="s">
        <v>21</v>
      </c>
      <c r="C548" s="115">
        <v>9413.0</v>
      </c>
      <c r="D548" s="116">
        <v>45887.0</v>
      </c>
      <c r="E548" s="12" t="s">
        <v>62</v>
      </c>
      <c r="F548" s="115" t="str">
        <f t="shared" si="1"/>
        <v>Girish Chand2025-08-1812</v>
      </c>
    </row>
    <row r="549">
      <c r="A549" s="115" t="s">
        <v>47</v>
      </c>
      <c r="B549" s="115" t="s">
        <v>22</v>
      </c>
      <c r="C549" s="115">
        <v>6600.0</v>
      </c>
      <c r="D549" s="116">
        <v>45887.0</v>
      </c>
      <c r="E549" s="12" t="s">
        <v>62</v>
      </c>
      <c r="F549" s="115" t="str">
        <f t="shared" si="1"/>
        <v>Parag Kashyap2025-08-1812</v>
      </c>
    </row>
    <row r="550">
      <c r="A550" s="115" t="s">
        <v>49</v>
      </c>
      <c r="B550" s="115" t="s">
        <v>15</v>
      </c>
      <c r="C550" s="115">
        <v>3661.0</v>
      </c>
      <c r="D550" s="116">
        <v>45887.0</v>
      </c>
      <c r="E550" s="12" t="s">
        <v>62</v>
      </c>
      <c r="F550" s="115" t="str">
        <f t="shared" si="1"/>
        <v>Amit Kumar Pathak2025-08-1812</v>
      </c>
    </row>
    <row r="551">
      <c r="A551" s="115" t="s">
        <v>49</v>
      </c>
      <c r="B551" s="115" t="s">
        <v>17</v>
      </c>
      <c r="C551" s="115">
        <v>4587.0</v>
      </c>
      <c r="D551" s="116">
        <v>45887.0</v>
      </c>
      <c r="E551" s="12" t="s">
        <v>62</v>
      </c>
      <c r="F551" s="115" t="str">
        <f t="shared" si="1"/>
        <v>Loveleen Singh2025-08-1812</v>
      </c>
    </row>
    <row r="552">
      <c r="A552" s="115" t="s">
        <v>49</v>
      </c>
      <c r="B552" s="115" t="s">
        <v>16</v>
      </c>
      <c r="C552" s="115">
        <v>9846.0</v>
      </c>
      <c r="D552" s="116">
        <v>45887.0</v>
      </c>
      <c r="E552" s="12" t="s">
        <v>62</v>
      </c>
      <c r="F552" s="115" t="str">
        <f t="shared" si="1"/>
        <v>Manoj Harsh2025-08-1812</v>
      </c>
    </row>
    <row r="553">
      <c r="A553" s="115" t="s">
        <v>49</v>
      </c>
      <c r="B553" s="115" t="s">
        <v>18</v>
      </c>
      <c r="C553" s="115">
        <v>3977.0</v>
      </c>
      <c r="D553" s="116">
        <v>45887.0</v>
      </c>
      <c r="E553" s="12" t="s">
        <v>62</v>
      </c>
      <c r="F553" s="115" t="str">
        <f t="shared" si="1"/>
        <v>Pradeep Kothari2025-08-1812</v>
      </c>
    </row>
    <row r="554">
      <c r="A554" s="115" t="s">
        <v>50</v>
      </c>
      <c r="B554" s="115" t="s">
        <v>24</v>
      </c>
      <c r="C554" s="115">
        <v>7320.0</v>
      </c>
      <c r="D554" s="116">
        <v>45887.0</v>
      </c>
      <c r="E554" s="12" t="s">
        <v>62</v>
      </c>
      <c r="F554" s="115" t="str">
        <f t="shared" si="1"/>
        <v>Kandula Sampath2025-08-1812</v>
      </c>
    </row>
    <row r="555">
      <c r="A555" s="115" t="s">
        <v>50</v>
      </c>
      <c r="B555" s="115" t="s">
        <v>25</v>
      </c>
      <c r="C555" s="115">
        <v>5245.0</v>
      </c>
      <c r="D555" s="116">
        <v>45887.0</v>
      </c>
      <c r="E555" s="12" t="s">
        <v>62</v>
      </c>
      <c r="F555" s="115" t="str">
        <f t="shared" si="1"/>
        <v>Martin A2025-08-1812</v>
      </c>
    </row>
    <row r="556">
      <c r="A556" s="115" t="s">
        <v>50</v>
      </c>
      <c r="B556" s="115" t="s">
        <v>26</v>
      </c>
      <c r="C556" s="115">
        <v>4515.0</v>
      </c>
      <c r="D556" s="116">
        <v>45887.0</v>
      </c>
      <c r="E556" s="12" t="s">
        <v>62</v>
      </c>
      <c r="F556" s="115" t="str">
        <f t="shared" si="1"/>
        <v>Premkumar M2025-08-1812</v>
      </c>
    </row>
    <row r="557">
      <c r="A557" s="115" t="s">
        <v>50</v>
      </c>
      <c r="B557" s="115" t="s">
        <v>27</v>
      </c>
      <c r="C557" s="115">
        <v>3671.0</v>
      </c>
      <c r="D557" s="116">
        <v>45887.0</v>
      </c>
      <c r="E557" s="12" t="s">
        <v>62</v>
      </c>
      <c r="F557" s="115" t="str">
        <f t="shared" si="1"/>
        <v>Vineeth V2025-08-1812</v>
      </c>
    </row>
    <row r="558">
      <c r="A558" s="115" t="s">
        <v>51</v>
      </c>
      <c r="B558" s="115" t="s">
        <v>29</v>
      </c>
      <c r="C558" s="115">
        <v>7205.0</v>
      </c>
      <c r="D558" s="116">
        <v>45887.0</v>
      </c>
      <c r="E558" s="12" t="s">
        <v>62</v>
      </c>
      <c r="F558" s="115" t="str">
        <f t="shared" si="1"/>
        <v>Ashish Jakar2025-08-1812</v>
      </c>
    </row>
    <row r="559">
      <c r="A559" s="115" t="s">
        <v>51</v>
      </c>
      <c r="B559" s="115" t="s">
        <v>30</v>
      </c>
      <c r="C559" s="115">
        <v>6447.0</v>
      </c>
      <c r="D559" s="116">
        <v>45887.0</v>
      </c>
      <c r="E559" s="12" t="s">
        <v>62</v>
      </c>
      <c r="F559" s="115" t="str">
        <f t="shared" si="1"/>
        <v>Ashvani Bhatt2025-08-1812</v>
      </c>
    </row>
    <row r="560">
      <c r="C560" s="115">
        <v>481.0</v>
      </c>
      <c r="D560" s="116">
        <v>45887.0</v>
      </c>
      <c r="E560" s="12" t="s">
        <v>62</v>
      </c>
      <c r="F560" s="115" t="str">
        <f t="shared" si="1"/>
        <v>2025-08-1812</v>
      </c>
    </row>
    <row r="561">
      <c r="A561" s="115" t="s">
        <v>47</v>
      </c>
      <c r="B561" s="115" t="s">
        <v>20</v>
      </c>
      <c r="C561" s="115">
        <v>17490.0</v>
      </c>
      <c r="D561" s="116">
        <v>45887.0</v>
      </c>
      <c r="E561" s="12" t="s">
        <v>48</v>
      </c>
      <c r="F561" s="115" t="str">
        <f t="shared" si="1"/>
        <v>Ashish Ranjan2025-08-1813</v>
      </c>
    </row>
    <row r="562">
      <c r="A562" s="115" t="s">
        <v>47</v>
      </c>
      <c r="B562" s="115" t="s">
        <v>21</v>
      </c>
      <c r="C562" s="115">
        <v>9703.0</v>
      </c>
      <c r="D562" s="116">
        <v>45887.0</v>
      </c>
      <c r="E562" s="12" t="s">
        <v>48</v>
      </c>
      <c r="F562" s="115" t="str">
        <f t="shared" si="1"/>
        <v>Girish Chand2025-08-1813</v>
      </c>
    </row>
    <row r="563">
      <c r="A563" s="115" t="s">
        <v>47</v>
      </c>
      <c r="B563" s="115" t="s">
        <v>22</v>
      </c>
      <c r="C563" s="115">
        <v>6970.0</v>
      </c>
      <c r="D563" s="116">
        <v>45887.0</v>
      </c>
      <c r="E563" s="12" t="s">
        <v>48</v>
      </c>
      <c r="F563" s="115" t="str">
        <f t="shared" si="1"/>
        <v>Parag Kashyap2025-08-1813</v>
      </c>
    </row>
    <row r="564">
      <c r="A564" s="115" t="s">
        <v>49</v>
      </c>
      <c r="B564" s="115" t="s">
        <v>15</v>
      </c>
      <c r="C564" s="115">
        <v>3832.0</v>
      </c>
      <c r="D564" s="116">
        <v>45887.0</v>
      </c>
      <c r="E564" s="12" t="s">
        <v>48</v>
      </c>
      <c r="F564" s="115" t="str">
        <f t="shared" si="1"/>
        <v>Amit Kumar Pathak2025-08-1813</v>
      </c>
    </row>
    <row r="565">
      <c r="A565" s="115" t="s">
        <v>49</v>
      </c>
      <c r="B565" s="115" t="s">
        <v>17</v>
      </c>
      <c r="C565" s="115">
        <v>4815.0</v>
      </c>
      <c r="D565" s="116">
        <v>45887.0</v>
      </c>
      <c r="E565" s="12" t="s">
        <v>48</v>
      </c>
      <c r="F565" s="115" t="str">
        <f t="shared" si="1"/>
        <v>Loveleen Singh2025-08-1813</v>
      </c>
    </row>
    <row r="566">
      <c r="A566" s="115" t="s">
        <v>49</v>
      </c>
      <c r="B566" s="115" t="s">
        <v>16</v>
      </c>
      <c r="C566" s="115">
        <v>10313.0</v>
      </c>
      <c r="D566" s="116">
        <v>45887.0</v>
      </c>
      <c r="E566" s="12" t="s">
        <v>48</v>
      </c>
      <c r="F566" s="115" t="str">
        <f t="shared" si="1"/>
        <v>Manoj Harsh2025-08-1813</v>
      </c>
    </row>
    <row r="567">
      <c r="A567" s="115" t="s">
        <v>49</v>
      </c>
      <c r="B567" s="115" t="s">
        <v>18</v>
      </c>
      <c r="C567" s="115">
        <v>4133.0</v>
      </c>
      <c r="D567" s="116">
        <v>45887.0</v>
      </c>
      <c r="E567" s="12" t="s">
        <v>48</v>
      </c>
      <c r="F567" s="115" t="str">
        <f t="shared" si="1"/>
        <v>Pradeep Kothari2025-08-1813</v>
      </c>
    </row>
    <row r="568">
      <c r="A568" s="115" t="s">
        <v>50</v>
      </c>
      <c r="B568" s="115" t="s">
        <v>24</v>
      </c>
      <c r="C568" s="115">
        <v>7576.0</v>
      </c>
      <c r="D568" s="116">
        <v>45887.0</v>
      </c>
      <c r="E568" s="12" t="s">
        <v>48</v>
      </c>
      <c r="F568" s="115" t="str">
        <f t="shared" si="1"/>
        <v>Kandula Sampath2025-08-1813</v>
      </c>
    </row>
    <row r="569">
      <c r="A569" s="115" t="s">
        <v>50</v>
      </c>
      <c r="B569" s="115" t="s">
        <v>25</v>
      </c>
      <c r="C569" s="115">
        <v>5485.0</v>
      </c>
      <c r="D569" s="116">
        <v>45887.0</v>
      </c>
      <c r="E569" s="12" t="s">
        <v>48</v>
      </c>
      <c r="F569" s="115" t="str">
        <f t="shared" si="1"/>
        <v>Martin A2025-08-1813</v>
      </c>
    </row>
    <row r="570">
      <c r="A570" s="115" t="s">
        <v>50</v>
      </c>
      <c r="B570" s="115" t="s">
        <v>26</v>
      </c>
      <c r="C570" s="115">
        <v>5003.0</v>
      </c>
      <c r="D570" s="116">
        <v>45887.0</v>
      </c>
      <c r="E570" s="12" t="s">
        <v>48</v>
      </c>
      <c r="F570" s="115" t="str">
        <f t="shared" si="1"/>
        <v>Premkumar M2025-08-1813</v>
      </c>
    </row>
    <row r="571">
      <c r="A571" s="115" t="s">
        <v>50</v>
      </c>
      <c r="B571" s="115" t="s">
        <v>27</v>
      </c>
      <c r="C571" s="115">
        <v>4091.0</v>
      </c>
      <c r="D571" s="116">
        <v>45887.0</v>
      </c>
      <c r="E571" s="12" t="s">
        <v>48</v>
      </c>
      <c r="F571" s="115" t="str">
        <f t="shared" si="1"/>
        <v>Vineeth V2025-08-1813</v>
      </c>
    </row>
    <row r="572">
      <c r="A572" s="115" t="s">
        <v>51</v>
      </c>
      <c r="B572" s="115" t="s">
        <v>29</v>
      </c>
      <c r="C572" s="115">
        <v>7805.0</v>
      </c>
      <c r="D572" s="116">
        <v>45887.0</v>
      </c>
      <c r="E572" s="12" t="s">
        <v>48</v>
      </c>
      <c r="F572" s="115" t="str">
        <f t="shared" si="1"/>
        <v>Ashish Jakar2025-08-1813</v>
      </c>
    </row>
    <row r="573">
      <c r="A573" s="115" t="s">
        <v>51</v>
      </c>
      <c r="B573" s="115" t="s">
        <v>30</v>
      </c>
      <c r="C573" s="115">
        <v>6792.0</v>
      </c>
      <c r="D573" s="116">
        <v>45887.0</v>
      </c>
      <c r="E573" s="12" t="s">
        <v>48</v>
      </c>
      <c r="F573" s="115" t="str">
        <f t="shared" si="1"/>
        <v>Ashvani Bhatt2025-08-1813</v>
      </c>
    </row>
    <row r="574">
      <c r="C574" s="115">
        <v>528.0</v>
      </c>
      <c r="D574" s="116">
        <v>45887.0</v>
      </c>
      <c r="E574" s="12" t="s">
        <v>48</v>
      </c>
      <c r="F574" s="115" t="str">
        <f t="shared" si="1"/>
        <v>2025-08-1813</v>
      </c>
    </row>
    <row r="575">
      <c r="A575" s="115" t="s">
        <v>47</v>
      </c>
      <c r="B575" s="115" t="s">
        <v>20</v>
      </c>
      <c r="C575" s="115">
        <v>17871.0</v>
      </c>
      <c r="D575" s="116">
        <v>45887.0</v>
      </c>
      <c r="E575" s="12" t="s">
        <v>63</v>
      </c>
      <c r="F575" s="115" t="str">
        <f t="shared" si="1"/>
        <v>Ashish Ranjan2025-08-1814</v>
      </c>
    </row>
    <row r="576">
      <c r="A576" s="115" t="s">
        <v>47</v>
      </c>
      <c r="B576" s="115" t="s">
        <v>21</v>
      </c>
      <c r="C576" s="115">
        <v>9833.0</v>
      </c>
      <c r="D576" s="116">
        <v>45887.0</v>
      </c>
      <c r="E576" s="12" t="s">
        <v>63</v>
      </c>
      <c r="F576" s="115" t="str">
        <f t="shared" si="1"/>
        <v>Girish Chand2025-08-1814</v>
      </c>
    </row>
    <row r="577">
      <c r="A577" s="115" t="s">
        <v>47</v>
      </c>
      <c r="B577" s="115" t="s">
        <v>22</v>
      </c>
      <c r="C577" s="115">
        <v>7121.0</v>
      </c>
      <c r="D577" s="116">
        <v>45887.0</v>
      </c>
      <c r="E577" s="12" t="s">
        <v>63</v>
      </c>
      <c r="F577" s="115" t="str">
        <f t="shared" si="1"/>
        <v>Parag Kashyap2025-08-1814</v>
      </c>
    </row>
    <row r="578">
      <c r="A578" s="115" t="s">
        <v>49</v>
      </c>
      <c r="B578" s="115" t="s">
        <v>15</v>
      </c>
      <c r="C578" s="115">
        <v>3928.0</v>
      </c>
      <c r="D578" s="116">
        <v>45887.0</v>
      </c>
      <c r="E578" s="12" t="s">
        <v>63</v>
      </c>
      <c r="F578" s="115" t="str">
        <f t="shared" si="1"/>
        <v>Amit Kumar Pathak2025-08-1814</v>
      </c>
    </row>
    <row r="579">
      <c r="A579" s="115" t="s">
        <v>49</v>
      </c>
      <c r="B579" s="115" t="s">
        <v>17</v>
      </c>
      <c r="C579" s="115">
        <v>4901.0</v>
      </c>
      <c r="D579" s="116">
        <v>45887.0</v>
      </c>
      <c r="E579" s="12" t="s">
        <v>63</v>
      </c>
      <c r="F579" s="115" t="str">
        <f t="shared" si="1"/>
        <v>Loveleen Singh2025-08-1814</v>
      </c>
    </row>
    <row r="580">
      <c r="A580" s="115" t="s">
        <v>49</v>
      </c>
      <c r="B580" s="115" t="s">
        <v>16</v>
      </c>
      <c r="C580" s="115">
        <v>10606.0</v>
      </c>
      <c r="D580" s="116">
        <v>45887.0</v>
      </c>
      <c r="E580" s="12" t="s">
        <v>63</v>
      </c>
      <c r="F580" s="115" t="str">
        <f t="shared" si="1"/>
        <v>Manoj Harsh2025-08-1814</v>
      </c>
    </row>
    <row r="581">
      <c r="A581" s="115" t="s">
        <v>49</v>
      </c>
      <c r="B581" s="115" t="s">
        <v>18</v>
      </c>
      <c r="C581" s="115">
        <v>4201.0</v>
      </c>
      <c r="D581" s="116">
        <v>45887.0</v>
      </c>
      <c r="E581" s="12" t="s">
        <v>63</v>
      </c>
      <c r="F581" s="115" t="str">
        <f t="shared" si="1"/>
        <v>Pradeep Kothari2025-08-1814</v>
      </c>
    </row>
    <row r="582">
      <c r="A582" s="115" t="s">
        <v>50</v>
      </c>
      <c r="B582" s="115" t="s">
        <v>24</v>
      </c>
      <c r="C582" s="115">
        <v>7695.0</v>
      </c>
      <c r="D582" s="116">
        <v>45887.0</v>
      </c>
      <c r="E582" s="12" t="s">
        <v>63</v>
      </c>
      <c r="F582" s="115" t="str">
        <f t="shared" si="1"/>
        <v>Kandula Sampath2025-08-1814</v>
      </c>
    </row>
    <row r="583">
      <c r="A583" s="115" t="s">
        <v>50</v>
      </c>
      <c r="B583" s="115" t="s">
        <v>25</v>
      </c>
      <c r="C583" s="115">
        <v>5656.0</v>
      </c>
      <c r="D583" s="116">
        <v>45887.0</v>
      </c>
      <c r="E583" s="12" t="s">
        <v>63</v>
      </c>
      <c r="F583" s="115" t="str">
        <f t="shared" si="1"/>
        <v>Martin A2025-08-1814</v>
      </c>
    </row>
    <row r="584">
      <c r="A584" s="115" t="s">
        <v>50</v>
      </c>
      <c r="B584" s="115" t="s">
        <v>26</v>
      </c>
      <c r="C584" s="115">
        <v>5199.0</v>
      </c>
      <c r="D584" s="116">
        <v>45887.0</v>
      </c>
      <c r="E584" s="12" t="s">
        <v>63</v>
      </c>
      <c r="F584" s="115" t="str">
        <f t="shared" si="1"/>
        <v>Premkumar M2025-08-1814</v>
      </c>
    </row>
    <row r="585">
      <c r="A585" s="115" t="s">
        <v>50</v>
      </c>
      <c r="B585" s="115" t="s">
        <v>27</v>
      </c>
      <c r="C585" s="115">
        <v>4235.0</v>
      </c>
      <c r="D585" s="116">
        <v>45887.0</v>
      </c>
      <c r="E585" s="12" t="s">
        <v>63</v>
      </c>
      <c r="F585" s="115" t="str">
        <f t="shared" si="1"/>
        <v>Vineeth V2025-08-1814</v>
      </c>
    </row>
    <row r="586">
      <c r="A586" s="115" t="s">
        <v>51</v>
      </c>
      <c r="B586" s="115" t="s">
        <v>29</v>
      </c>
      <c r="C586" s="115">
        <v>8180.0</v>
      </c>
      <c r="D586" s="116">
        <v>45887.0</v>
      </c>
      <c r="E586" s="12" t="s">
        <v>63</v>
      </c>
      <c r="F586" s="115" t="str">
        <f t="shared" si="1"/>
        <v>Ashish Jakar2025-08-1814</v>
      </c>
    </row>
    <row r="587">
      <c r="A587" s="115" t="s">
        <v>51</v>
      </c>
      <c r="B587" s="115" t="s">
        <v>30</v>
      </c>
      <c r="C587" s="115">
        <v>6969.0</v>
      </c>
      <c r="D587" s="116">
        <v>45887.0</v>
      </c>
      <c r="E587" s="12" t="s">
        <v>63</v>
      </c>
      <c r="F587" s="115" t="str">
        <f t="shared" si="1"/>
        <v>Ashvani Bhatt2025-08-1814</v>
      </c>
    </row>
    <row r="588">
      <c r="C588" s="115">
        <v>541.0</v>
      </c>
      <c r="D588" s="116">
        <v>45887.0</v>
      </c>
      <c r="E588" s="12" t="s">
        <v>63</v>
      </c>
      <c r="F588" s="115" t="str">
        <f t="shared" si="1"/>
        <v>2025-08-1814</v>
      </c>
    </row>
    <row r="589">
      <c r="A589" s="115" t="s">
        <v>47</v>
      </c>
      <c r="B589" s="115" t="s">
        <v>20</v>
      </c>
      <c r="C589" s="115">
        <v>18123.0</v>
      </c>
      <c r="D589" s="116">
        <v>45887.0</v>
      </c>
      <c r="E589" s="12" t="s">
        <v>64</v>
      </c>
      <c r="F589" s="115" t="str">
        <f t="shared" si="1"/>
        <v>Ashish Ranjan2025-08-1815</v>
      </c>
    </row>
    <row r="590">
      <c r="A590" s="115" t="s">
        <v>47</v>
      </c>
      <c r="B590" s="115" t="s">
        <v>21</v>
      </c>
      <c r="C590" s="115">
        <v>9904.0</v>
      </c>
      <c r="D590" s="116">
        <v>45887.0</v>
      </c>
      <c r="E590" s="12" t="s">
        <v>64</v>
      </c>
      <c r="F590" s="115" t="str">
        <f t="shared" si="1"/>
        <v>Girish Chand2025-08-1815</v>
      </c>
    </row>
    <row r="591">
      <c r="A591" s="115" t="s">
        <v>47</v>
      </c>
      <c r="B591" s="115" t="s">
        <v>22</v>
      </c>
      <c r="C591" s="115">
        <v>7181.0</v>
      </c>
      <c r="D591" s="116">
        <v>45887.0</v>
      </c>
      <c r="E591" s="12" t="s">
        <v>64</v>
      </c>
      <c r="F591" s="115" t="str">
        <f t="shared" si="1"/>
        <v>Parag Kashyap2025-08-1815</v>
      </c>
    </row>
    <row r="592">
      <c r="A592" s="115" t="s">
        <v>49</v>
      </c>
      <c r="B592" s="115" t="s">
        <v>15</v>
      </c>
      <c r="C592" s="115">
        <v>4089.0</v>
      </c>
      <c r="D592" s="116">
        <v>45887.0</v>
      </c>
      <c r="E592" s="12" t="s">
        <v>64</v>
      </c>
      <c r="F592" s="115" t="str">
        <f t="shared" si="1"/>
        <v>Amit Kumar Pathak2025-08-1815</v>
      </c>
    </row>
    <row r="593">
      <c r="A593" s="115" t="s">
        <v>49</v>
      </c>
      <c r="B593" s="115" t="s">
        <v>17</v>
      </c>
      <c r="C593" s="115">
        <v>4945.0</v>
      </c>
      <c r="D593" s="116">
        <v>45887.0</v>
      </c>
      <c r="E593" s="12" t="s">
        <v>64</v>
      </c>
      <c r="F593" s="115" t="str">
        <f t="shared" si="1"/>
        <v>Loveleen Singh2025-08-1815</v>
      </c>
    </row>
    <row r="594">
      <c r="A594" s="115" t="s">
        <v>49</v>
      </c>
      <c r="B594" s="115" t="s">
        <v>16</v>
      </c>
      <c r="C594" s="115">
        <v>10745.0</v>
      </c>
      <c r="D594" s="116">
        <v>45887.0</v>
      </c>
      <c r="E594" s="12" t="s">
        <v>64</v>
      </c>
      <c r="F594" s="115" t="str">
        <f t="shared" si="1"/>
        <v>Manoj Harsh2025-08-1815</v>
      </c>
    </row>
    <row r="595">
      <c r="A595" s="115" t="s">
        <v>49</v>
      </c>
      <c r="B595" s="115" t="s">
        <v>18</v>
      </c>
      <c r="C595" s="115">
        <v>4254.0</v>
      </c>
      <c r="D595" s="116">
        <v>45887.0</v>
      </c>
      <c r="E595" s="12" t="s">
        <v>64</v>
      </c>
      <c r="F595" s="115" t="str">
        <f t="shared" si="1"/>
        <v>Pradeep Kothari2025-08-1815</v>
      </c>
    </row>
    <row r="596">
      <c r="A596" s="115" t="s">
        <v>50</v>
      </c>
      <c r="B596" s="115" t="s">
        <v>24</v>
      </c>
      <c r="C596" s="115">
        <v>7826.0</v>
      </c>
      <c r="D596" s="116">
        <v>45887.0</v>
      </c>
      <c r="E596" s="12" t="s">
        <v>64</v>
      </c>
      <c r="F596" s="115" t="str">
        <f t="shared" si="1"/>
        <v>Kandula Sampath2025-08-1815</v>
      </c>
    </row>
    <row r="597">
      <c r="A597" s="115" t="s">
        <v>50</v>
      </c>
      <c r="B597" s="115" t="s">
        <v>25</v>
      </c>
      <c r="C597" s="115">
        <v>5801.0</v>
      </c>
      <c r="D597" s="116">
        <v>45887.0</v>
      </c>
      <c r="E597" s="12" t="s">
        <v>64</v>
      </c>
      <c r="F597" s="115" t="str">
        <f t="shared" si="1"/>
        <v>Martin A2025-08-1815</v>
      </c>
    </row>
    <row r="598">
      <c r="A598" s="115" t="s">
        <v>50</v>
      </c>
      <c r="B598" s="115" t="s">
        <v>26</v>
      </c>
      <c r="C598" s="115">
        <v>5292.0</v>
      </c>
      <c r="D598" s="116">
        <v>45887.0</v>
      </c>
      <c r="E598" s="12" t="s">
        <v>64</v>
      </c>
      <c r="F598" s="115" t="str">
        <f t="shared" si="1"/>
        <v>Premkumar M2025-08-1815</v>
      </c>
    </row>
    <row r="599">
      <c r="A599" s="115" t="s">
        <v>50</v>
      </c>
      <c r="B599" s="115" t="s">
        <v>27</v>
      </c>
      <c r="C599" s="115">
        <v>4298.0</v>
      </c>
      <c r="D599" s="116">
        <v>45887.0</v>
      </c>
      <c r="E599" s="12" t="s">
        <v>64</v>
      </c>
      <c r="F599" s="115" t="str">
        <f t="shared" si="1"/>
        <v>Vineeth V2025-08-1815</v>
      </c>
    </row>
    <row r="600">
      <c r="A600" s="115" t="s">
        <v>51</v>
      </c>
      <c r="B600" s="115" t="s">
        <v>29</v>
      </c>
      <c r="C600" s="115">
        <v>8387.0</v>
      </c>
      <c r="D600" s="116">
        <v>45887.0</v>
      </c>
      <c r="E600" s="12" t="s">
        <v>64</v>
      </c>
      <c r="F600" s="115" t="str">
        <f t="shared" si="1"/>
        <v>Ashish Jakar2025-08-1815</v>
      </c>
    </row>
    <row r="601">
      <c r="A601" s="115" t="s">
        <v>51</v>
      </c>
      <c r="B601" s="115" t="s">
        <v>30</v>
      </c>
      <c r="C601" s="115">
        <v>7071.0</v>
      </c>
      <c r="D601" s="116">
        <v>45887.0</v>
      </c>
      <c r="E601" s="12" t="s">
        <v>64</v>
      </c>
      <c r="F601" s="115" t="str">
        <f t="shared" si="1"/>
        <v>Ashvani Bhatt2025-08-1815</v>
      </c>
    </row>
    <row r="602">
      <c r="C602" s="115">
        <v>509.0</v>
      </c>
      <c r="D602" s="116">
        <v>45887.0</v>
      </c>
      <c r="E602" s="12" t="s">
        <v>64</v>
      </c>
      <c r="F602" s="115" t="str">
        <f t="shared" si="1"/>
        <v>2025-08-1815</v>
      </c>
    </row>
    <row r="603">
      <c r="A603" s="115" t="s">
        <v>47</v>
      </c>
      <c r="B603" s="115" t="s">
        <v>20</v>
      </c>
      <c r="C603" s="115">
        <v>18382.0</v>
      </c>
      <c r="D603" s="116">
        <v>45887.0</v>
      </c>
      <c r="E603" s="12" t="s">
        <v>3</v>
      </c>
      <c r="F603" s="115" t="str">
        <f t="shared" si="1"/>
        <v>Ashish Ranjan2025-08-1817</v>
      </c>
    </row>
    <row r="604">
      <c r="A604" s="115" t="s">
        <v>47</v>
      </c>
      <c r="B604" s="115" t="s">
        <v>21</v>
      </c>
      <c r="C604" s="115">
        <v>9967.0</v>
      </c>
      <c r="D604" s="116">
        <v>45887.0</v>
      </c>
      <c r="E604" s="12" t="s">
        <v>3</v>
      </c>
      <c r="F604" s="115" t="str">
        <f t="shared" si="1"/>
        <v>Girish Chand2025-08-1817</v>
      </c>
    </row>
    <row r="605">
      <c r="A605" s="115" t="s">
        <v>47</v>
      </c>
      <c r="B605" s="115" t="s">
        <v>22</v>
      </c>
      <c r="C605" s="115">
        <v>7244.0</v>
      </c>
      <c r="D605" s="116">
        <v>45887.0</v>
      </c>
      <c r="E605" s="12" t="s">
        <v>3</v>
      </c>
      <c r="F605" s="115" t="str">
        <f t="shared" si="1"/>
        <v>Parag Kashyap2025-08-1817</v>
      </c>
    </row>
    <row r="606">
      <c r="A606" s="115" t="s">
        <v>49</v>
      </c>
      <c r="B606" s="115" t="s">
        <v>15</v>
      </c>
      <c r="C606" s="115">
        <v>4357.0</v>
      </c>
      <c r="D606" s="116">
        <v>45887.0</v>
      </c>
      <c r="E606" s="12" t="s">
        <v>3</v>
      </c>
      <c r="F606" s="115" t="str">
        <f t="shared" si="1"/>
        <v>Amit Kumar Pathak2025-08-1817</v>
      </c>
    </row>
    <row r="607">
      <c r="A607" s="115" t="s">
        <v>49</v>
      </c>
      <c r="B607" s="115" t="s">
        <v>17</v>
      </c>
      <c r="C607" s="115">
        <v>4983.0</v>
      </c>
      <c r="D607" s="116">
        <v>45887.0</v>
      </c>
      <c r="E607" s="12" t="s">
        <v>3</v>
      </c>
      <c r="F607" s="115" t="str">
        <f t="shared" si="1"/>
        <v>Loveleen Singh2025-08-1817</v>
      </c>
    </row>
    <row r="608">
      <c r="A608" s="115" t="s">
        <v>49</v>
      </c>
      <c r="B608" s="115" t="s">
        <v>16</v>
      </c>
      <c r="C608" s="115">
        <v>10857.0</v>
      </c>
      <c r="D608" s="116">
        <v>45887.0</v>
      </c>
      <c r="E608" s="12" t="s">
        <v>3</v>
      </c>
      <c r="F608" s="115" t="str">
        <f t="shared" si="1"/>
        <v>Manoj Harsh2025-08-1817</v>
      </c>
    </row>
    <row r="609">
      <c r="A609" s="115" t="s">
        <v>49</v>
      </c>
      <c r="B609" s="115" t="s">
        <v>18</v>
      </c>
      <c r="C609" s="115">
        <v>4302.0</v>
      </c>
      <c r="D609" s="116">
        <v>45887.0</v>
      </c>
      <c r="E609" s="12" t="s">
        <v>3</v>
      </c>
      <c r="F609" s="115" t="str">
        <f t="shared" si="1"/>
        <v>Pradeep Kothari2025-08-1817</v>
      </c>
    </row>
    <row r="610">
      <c r="A610" s="115" t="s">
        <v>50</v>
      </c>
      <c r="B610" s="115" t="s">
        <v>24</v>
      </c>
      <c r="C610" s="115">
        <v>7945.0</v>
      </c>
      <c r="D610" s="116">
        <v>45887.0</v>
      </c>
      <c r="E610" s="12" t="s">
        <v>3</v>
      </c>
      <c r="F610" s="115" t="str">
        <f t="shared" si="1"/>
        <v>Kandula Sampath2025-08-1817</v>
      </c>
    </row>
    <row r="611">
      <c r="A611" s="115" t="s">
        <v>50</v>
      </c>
      <c r="B611" s="115" t="s">
        <v>25</v>
      </c>
      <c r="C611" s="115">
        <v>6063.0</v>
      </c>
      <c r="D611" s="116">
        <v>45887.0</v>
      </c>
      <c r="E611" s="12" t="s">
        <v>3</v>
      </c>
      <c r="F611" s="115" t="str">
        <f t="shared" si="1"/>
        <v>Martin A2025-08-1817</v>
      </c>
    </row>
    <row r="612">
      <c r="A612" s="115" t="s">
        <v>50</v>
      </c>
      <c r="B612" s="115" t="s">
        <v>26</v>
      </c>
      <c r="C612" s="115">
        <v>5392.0</v>
      </c>
      <c r="D612" s="116">
        <v>45887.0</v>
      </c>
      <c r="E612" s="12" t="s">
        <v>3</v>
      </c>
      <c r="F612" s="115" t="str">
        <f t="shared" si="1"/>
        <v>Premkumar M2025-08-1817</v>
      </c>
    </row>
    <row r="613">
      <c r="A613" s="115" t="s">
        <v>50</v>
      </c>
      <c r="B613" s="115" t="s">
        <v>27</v>
      </c>
      <c r="C613" s="115">
        <v>4336.0</v>
      </c>
      <c r="D613" s="116">
        <v>45887.0</v>
      </c>
      <c r="E613" s="12" t="s">
        <v>3</v>
      </c>
      <c r="F613" s="115" t="str">
        <f t="shared" si="1"/>
        <v>Vineeth V2025-08-1817</v>
      </c>
    </row>
    <row r="614">
      <c r="A614" s="115" t="s">
        <v>51</v>
      </c>
      <c r="B614" s="115" t="s">
        <v>29</v>
      </c>
      <c r="C614" s="115">
        <v>8708.0</v>
      </c>
      <c r="D614" s="116">
        <v>45887.0</v>
      </c>
      <c r="E614" s="12" t="s">
        <v>3</v>
      </c>
      <c r="F614" s="115" t="str">
        <f t="shared" si="1"/>
        <v>Ashish Jakar2025-08-1817</v>
      </c>
    </row>
    <row r="615">
      <c r="A615" s="115" t="s">
        <v>51</v>
      </c>
      <c r="B615" s="115" t="s">
        <v>30</v>
      </c>
      <c r="C615" s="115">
        <v>7152.0</v>
      </c>
      <c r="D615" s="116">
        <v>45887.0</v>
      </c>
      <c r="E615" s="12" t="s">
        <v>3</v>
      </c>
      <c r="F615" s="115" t="str">
        <f t="shared" si="1"/>
        <v>Ashvani Bhatt2025-08-1817</v>
      </c>
    </row>
    <row r="616">
      <c r="C616" s="115">
        <v>534.0</v>
      </c>
      <c r="D616" s="116">
        <v>45887.0</v>
      </c>
      <c r="E616" s="12" t="s">
        <v>3</v>
      </c>
      <c r="F616" s="115" t="str">
        <f t="shared" si="1"/>
        <v>2025-08-1817</v>
      </c>
    </row>
    <row r="617">
      <c r="A617" s="115" t="s">
        <v>47</v>
      </c>
      <c r="B617" s="115" t="s">
        <v>20</v>
      </c>
      <c r="C617" s="115">
        <v>18499.0</v>
      </c>
      <c r="D617" s="116">
        <v>45887.0</v>
      </c>
      <c r="E617" s="12" t="s">
        <v>53</v>
      </c>
      <c r="F617" s="115" t="str">
        <f t="shared" si="1"/>
        <v>Ashish Ranjan2025-08-1818</v>
      </c>
    </row>
    <row r="618">
      <c r="A618" s="115" t="s">
        <v>47</v>
      </c>
      <c r="B618" s="115" t="s">
        <v>21</v>
      </c>
      <c r="C618" s="115">
        <v>9985.0</v>
      </c>
      <c r="D618" s="116">
        <v>45887.0</v>
      </c>
      <c r="E618" s="12" t="s">
        <v>53</v>
      </c>
      <c r="F618" s="115" t="str">
        <f t="shared" si="1"/>
        <v>Girish Chand2025-08-1818</v>
      </c>
    </row>
    <row r="619">
      <c r="A619" s="115" t="s">
        <v>47</v>
      </c>
      <c r="B619" s="115" t="s">
        <v>22</v>
      </c>
      <c r="C619" s="115">
        <v>7269.0</v>
      </c>
      <c r="D619" s="116">
        <v>45887.0</v>
      </c>
      <c r="E619" s="12" t="s">
        <v>53</v>
      </c>
      <c r="F619" s="115" t="str">
        <f t="shared" si="1"/>
        <v>Parag Kashyap2025-08-1818</v>
      </c>
    </row>
    <row r="620">
      <c r="A620" s="115" t="s">
        <v>49</v>
      </c>
      <c r="B620" s="115" t="s">
        <v>15</v>
      </c>
      <c r="C620" s="115">
        <v>4449.0</v>
      </c>
      <c r="D620" s="116">
        <v>45887.0</v>
      </c>
      <c r="E620" s="12" t="s">
        <v>53</v>
      </c>
      <c r="F620" s="115" t="str">
        <f t="shared" si="1"/>
        <v>Amit Kumar Pathak2025-08-1818</v>
      </c>
    </row>
    <row r="621">
      <c r="A621" s="115" t="s">
        <v>49</v>
      </c>
      <c r="B621" s="115" t="s">
        <v>17</v>
      </c>
      <c r="C621" s="115">
        <v>5009.0</v>
      </c>
      <c r="D621" s="116">
        <v>45887.0</v>
      </c>
      <c r="E621" s="12" t="s">
        <v>53</v>
      </c>
      <c r="F621" s="115" t="str">
        <f t="shared" si="1"/>
        <v>Loveleen Singh2025-08-1818</v>
      </c>
    </row>
    <row r="622">
      <c r="A622" s="115" t="s">
        <v>49</v>
      </c>
      <c r="B622" s="115" t="s">
        <v>16</v>
      </c>
      <c r="C622" s="115">
        <v>10923.0</v>
      </c>
      <c r="D622" s="116">
        <v>45887.0</v>
      </c>
      <c r="E622" s="12" t="s">
        <v>53</v>
      </c>
      <c r="F622" s="115" t="str">
        <f t="shared" si="1"/>
        <v>Manoj Harsh2025-08-1818</v>
      </c>
    </row>
    <row r="623">
      <c r="A623" s="115" t="s">
        <v>49</v>
      </c>
      <c r="B623" s="115" t="s">
        <v>18</v>
      </c>
      <c r="C623" s="115">
        <v>4320.0</v>
      </c>
      <c r="D623" s="116">
        <v>45887.0</v>
      </c>
      <c r="E623" s="12" t="s">
        <v>53</v>
      </c>
      <c r="F623" s="115" t="str">
        <f t="shared" si="1"/>
        <v>Pradeep Kothari2025-08-1818</v>
      </c>
    </row>
    <row r="624">
      <c r="A624" s="115" t="s">
        <v>50</v>
      </c>
      <c r="B624" s="115" t="s">
        <v>24</v>
      </c>
      <c r="C624" s="115">
        <v>7981.0</v>
      </c>
      <c r="D624" s="116">
        <v>45887.0</v>
      </c>
      <c r="E624" s="12" t="s">
        <v>53</v>
      </c>
      <c r="F624" s="115" t="str">
        <f t="shared" si="1"/>
        <v>Kandula Sampath2025-08-1818</v>
      </c>
    </row>
    <row r="625">
      <c r="A625" s="115" t="s">
        <v>50</v>
      </c>
      <c r="B625" s="115" t="s">
        <v>25</v>
      </c>
      <c r="C625" s="115">
        <v>6291.0</v>
      </c>
      <c r="D625" s="116">
        <v>45887.0</v>
      </c>
      <c r="E625" s="12" t="s">
        <v>53</v>
      </c>
      <c r="F625" s="115" t="str">
        <f t="shared" si="1"/>
        <v>Martin A2025-08-1818</v>
      </c>
    </row>
    <row r="626">
      <c r="A626" s="115" t="s">
        <v>50</v>
      </c>
      <c r="B626" s="115" t="s">
        <v>26</v>
      </c>
      <c r="C626" s="115">
        <v>5434.0</v>
      </c>
      <c r="D626" s="116">
        <v>45887.0</v>
      </c>
      <c r="E626" s="12" t="s">
        <v>53</v>
      </c>
      <c r="F626" s="115" t="str">
        <f t="shared" si="1"/>
        <v>Premkumar M2025-08-1818</v>
      </c>
    </row>
    <row r="627">
      <c r="A627" s="115" t="s">
        <v>50</v>
      </c>
      <c r="B627" s="115" t="s">
        <v>27</v>
      </c>
      <c r="C627" s="115">
        <v>4351.0</v>
      </c>
      <c r="D627" s="116">
        <v>45887.0</v>
      </c>
      <c r="E627" s="12" t="s">
        <v>53</v>
      </c>
      <c r="F627" s="115" t="str">
        <f t="shared" si="1"/>
        <v>Vineeth V2025-08-1818</v>
      </c>
    </row>
    <row r="628">
      <c r="A628" s="115" t="s">
        <v>51</v>
      </c>
      <c r="B628" s="115" t="s">
        <v>29</v>
      </c>
      <c r="C628" s="115">
        <v>8850.0</v>
      </c>
      <c r="D628" s="116">
        <v>45887.0</v>
      </c>
      <c r="E628" s="12" t="s">
        <v>53</v>
      </c>
      <c r="F628" s="115" t="str">
        <f t="shared" si="1"/>
        <v>Ashish Jakar2025-08-1818</v>
      </c>
    </row>
    <row r="629">
      <c r="A629" s="115" t="s">
        <v>51</v>
      </c>
      <c r="B629" s="115" t="s">
        <v>30</v>
      </c>
      <c r="C629" s="115">
        <v>7179.0</v>
      </c>
      <c r="D629" s="116">
        <v>45887.0</v>
      </c>
      <c r="E629" s="12" t="s">
        <v>53</v>
      </c>
      <c r="F629" s="115" t="str">
        <f t="shared" si="1"/>
        <v>Ashvani Bhatt2025-08-1818</v>
      </c>
    </row>
    <row r="630">
      <c r="C630" s="115">
        <v>545.0</v>
      </c>
      <c r="D630" s="116">
        <v>45887.0</v>
      </c>
      <c r="E630" s="12" t="s">
        <v>53</v>
      </c>
      <c r="F630" s="115" t="str">
        <f t="shared" si="1"/>
        <v>2025-08-1818</v>
      </c>
    </row>
    <row r="631">
      <c r="A631" s="115" t="s">
        <v>47</v>
      </c>
      <c r="B631" s="115" t="s">
        <v>20</v>
      </c>
      <c r="C631" s="115">
        <v>18654.0</v>
      </c>
      <c r="D631" s="116">
        <v>45887.0</v>
      </c>
      <c r="E631" s="12" t="s">
        <v>56</v>
      </c>
      <c r="F631" s="115" t="str">
        <f t="shared" si="1"/>
        <v>Ashish Ranjan2025-08-1821</v>
      </c>
    </row>
    <row r="632">
      <c r="A632" s="115" t="s">
        <v>47</v>
      </c>
      <c r="B632" s="115" t="s">
        <v>21</v>
      </c>
      <c r="C632" s="115">
        <v>10038.0</v>
      </c>
      <c r="D632" s="116">
        <v>45887.0</v>
      </c>
      <c r="E632" s="12" t="s">
        <v>56</v>
      </c>
      <c r="F632" s="115" t="str">
        <f t="shared" si="1"/>
        <v>Girish Chand2025-08-1821</v>
      </c>
    </row>
    <row r="633">
      <c r="A633" s="115" t="s">
        <v>47</v>
      </c>
      <c r="B633" s="115" t="s">
        <v>22</v>
      </c>
      <c r="C633" s="115">
        <v>7304.0</v>
      </c>
      <c r="D633" s="116">
        <v>45887.0</v>
      </c>
      <c r="E633" s="12" t="s">
        <v>56</v>
      </c>
      <c r="F633" s="115" t="str">
        <f t="shared" si="1"/>
        <v>Parag Kashyap2025-08-1821</v>
      </c>
    </row>
    <row r="634">
      <c r="A634" s="115" t="s">
        <v>49</v>
      </c>
      <c r="B634" s="115" t="s">
        <v>15</v>
      </c>
      <c r="C634" s="115">
        <v>4496.0</v>
      </c>
      <c r="D634" s="116">
        <v>45887.0</v>
      </c>
      <c r="E634" s="12" t="s">
        <v>56</v>
      </c>
      <c r="F634" s="115" t="str">
        <f t="shared" si="1"/>
        <v>Amit Kumar Pathak2025-08-1821</v>
      </c>
    </row>
    <row r="635">
      <c r="A635" s="115" t="s">
        <v>49</v>
      </c>
      <c r="B635" s="115" t="s">
        <v>17</v>
      </c>
      <c r="C635" s="115">
        <v>5030.0</v>
      </c>
      <c r="D635" s="116">
        <v>45887.0</v>
      </c>
      <c r="E635" s="12" t="s">
        <v>56</v>
      </c>
      <c r="F635" s="115" t="str">
        <f t="shared" si="1"/>
        <v>Loveleen Singh2025-08-1821</v>
      </c>
    </row>
    <row r="636">
      <c r="A636" s="115" t="s">
        <v>49</v>
      </c>
      <c r="B636" s="115" t="s">
        <v>16</v>
      </c>
      <c r="C636" s="115">
        <v>10991.0</v>
      </c>
      <c r="D636" s="116">
        <v>45887.0</v>
      </c>
      <c r="E636" s="12" t="s">
        <v>56</v>
      </c>
      <c r="F636" s="115" t="str">
        <f t="shared" si="1"/>
        <v>Manoj Harsh2025-08-1821</v>
      </c>
    </row>
    <row r="637">
      <c r="A637" s="115" t="s">
        <v>49</v>
      </c>
      <c r="B637" s="115" t="s">
        <v>18</v>
      </c>
      <c r="C637" s="115">
        <v>4356.0</v>
      </c>
      <c r="D637" s="116">
        <v>45887.0</v>
      </c>
      <c r="E637" s="12" t="s">
        <v>56</v>
      </c>
      <c r="F637" s="115" t="str">
        <f t="shared" si="1"/>
        <v>Pradeep Kothari2025-08-1821</v>
      </c>
    </row>
    <row r="638">
      <c r="A638" s="115" t="s">
        <v>50</v>
      </c>
      <c r="B638" s="115" t="s">
        <v>24</v>
      </c>
      <c r="C638" s="115">
        <v>8010.0</v>
      </c>
      <c r="D638" s="116">
        <v>45887.0</v>
      </c>
      <c r="E638" s="12" t="s">
        <v>56</v>
      </c>
      <c r="F638" s="115" t="str">
        <f t="shared" si="1"/>
        <v>Kandula Sampath2025-08-1821</v>
      </c>
    </row>
    <row r="639">
      <c r="A639" s="115" t="s">
        <v>50</v>
      </c>
      <c r="B639" s="115" t="s">
        <v>25</v>
      </c>
      <c r="C639" s="115">
        <v>6378.0</v>
      </c>
      <c r="D639" s="116">
        <v>45887.0</v>
      </c>
      <c r="E639" s="12" t="s">
        <v>56</v>
      </c>
      <c r="F639" s="115" t="str">
        <f t="shared" si="1"/>
        <v>Martin A2025-08-1821</v>
      </c>
    </row>
    <row r="640">
      <c r="A640" s="115" t="s">
        <v>50</v>
      </c>
      <c r="B640" s="115" t="s">
        <v>26</v>
      </c>
      <c r="C640" s="115">
        <v>5464.0</v>
      </c>
      <c r="D640" s="116">
        <v>45887.0</v>
      </c>
      <c r="E640" s="12" t="s">
        <v>56</v>
      </c>
      <c r="F640" s="115" t="str">
        <f t="shared" si="1"/>
        <v>Premkumar M2025-08-1821</v>
      </c>
    </row>
    <row r="641">
      <c r="A641" s="115" t="s">
        <v>50</v>
      </c>
      <c r="B641" s="115" t="s">
        <v>27</v>
      </c>
      <c r="C641" s="115">
        <v>4368.0</v>
      </c>
      <c r="D641" s="116">
        <v>45887.0</v>
      </c>
      <c r="E641" s="12" t="s">
        <v>56</v>
      </c>
      <c r="F641" s="115" t="str">
        <f t="shared" si="1"/>
        <v>Vineeth V2025-08-1821</v>
      </c>
    </row>
    <row r="642">
      <c r="A642" s="115" t="s">
        <v>51</v>
      </c>
      <c r="B642" s="115" t="s">
        <v>29</v>
      </c>
      <c r="C642" s="115">
        <v>8963.0</v>
      </c>
      <c r="D642" s="116">
        <v>45887.0</v>
      </c>
      <c r="E642" s="12" t="s">
        <v>56</v>
      </c>
      <c r="F642" s="115" t="str">
        <f t="shared" si="1"/>
        <v>Ashish Jakar2025-08-1821</v>
      </c>
    </row>
    <row r="643">
      <c r="A643" s="115" t="s">
        <v>51</v>
      </c>
      <c r="B643" s="115" t="s">
        <v>30</v>
      </c>
      <c r="C643" s="115">
        <v>7222.0</v>
      </c>
      <c r="D643" s="116">
        <v>45887.0</v>
      </c>
      <c r="E643" s="12" t="s">
        <v>56</v>
      </c>
      <c r="F643" s="115" t="str">
        <f t="shared" si="1"/>
        <v>Ashvani Bhatt2025-08-1821</v>
      </c>
    </row>
    <row r="644">
      <c r="C644" s="115">
        <v>293.0</v>
      </c>
      <c r="D644" s="116">
        <v>45887.0</v>
      </c>
      <c r="E644" s="12" t="s">
        <v>56</v>
      </c>
      <c r="F644" s="115" t="str">
        <f t="shared" si="1"/>
        <v>2025-08-1821</v>
      </c>
    </row>
    <row r="645">
      <c r="A645" s="115" t="s">
        <v>47</v>
      </c>
      <c r="B645" s="115" t="s">
        <v>20</v>
      </c>
      <c r="C645" s="115">
        <v>18679.0</v>
      </c>
      <c r="D645" s="116">
        <v>45887.0</v>
      </c>
      <c r="E645" s="12" t="s">
        <v>57</v>
      </c>
      <c r="F645" s="115" t="str">
        <f t="shared" si="1"/>
        <v>Ashish Ranjan2025-08-1822</v>
      </c>
    </row>
    <row r="646">
      <c r="A646" s="115" t="s">
        <v>47</v>
      </c>
      <c r="B646" s="115" t="s">
        <v>21</v>
      </c>
      <c r="C646" s="115">
        <v>10040.0</v>
      </c>
      <c r="D646" s="116">
        <v>45887.0</v>
      </c>
      <c r="E646" s="12" t="s">
        <v>57</v>
      </c>
      <c r="F646" s="115" t="str">
        <f t="shared" si="1"/>
        <v>Girish Chand2025-08-1822</v>
      </c>
    </row>
    <row r="647">
      <c r="A647" s="115" t="s">
        <v>47</v>
      </c>
      <c r="B647" s="115" t="s">
        <v>22</v>
      </c>
      <c r="C647" s="115">
        <v>7322.0</v>
      </c>
      <c r="D647" s="116">
        <v>45887.0</v>
      </c>
      <c r="E647" s="12" t="s">
        <v>57</v>
      </c>
      <c r="F647" s="115" t="str">
        <f t="shared" si="1"/>
        <v>Parag Kashyap2025-08-1822</v>
      </c>
    </row>
    <row r="648">
      <c r="A648" s="115" t="s">
        <v>49</v>
      </c>
      <c r="B648" s="115" t="s">
        <v>15</v>
      </c>
      <c r="C648" s="115">
        <v>4503.0</v>
      </c>
      <c r="D648" s="116">
        <v>45887.0</v>
      </c>
      <c r="E648" s="12" t="s">
        <v>57</v>
      </c>
      <c r="F648" s="115" t="str">
        <f t="shared" si="1"/>
        <v>Amit Kumar Pathak2025-08-1822</v>
      </c>
    </row>
    <row r="649">
      <c r="A649" s="115" t="s">
        <v>49</v>
      </c>
      <c r="B649" s="115" t="s">
        <v>17</v>
      </c>
      <c r="C649" s="115">
        <v>5035.0</v>
      </c>
      <c r="D649" s="116">
        <v>45887.0</v>
      </c>
      <c r="E649" s="12" t="s">
        <v>57</v>
      </c>
      <c r="F649" s="115" t="str">
        <f t="shared" si="1"/>
        <v>Loveleen Singh2025-08-1822</v>
      </c>
    </row>
    <row r="650">
      <c r="A650" s="115" t="s">
        <v>49</v>
      </c>
      <c r="B650" s="115" t="s">
        <v>16</v>
      </c>
      <c r="C650" s="115">
        <v>11002.0</v>
      </c>
      <c r="D650" s="116">
        <v>45887.0</v>
      </c>
      <c r="E650" s="12" t="s">
        <v>57</v>
      </c>
      <c r="F650" s="115" t="str">
        <f t="shared" si="1"/>
        <v>Manoj Harsh2025-08-1822</v>
      </c>
    </row>
    <row r="651">
      <c r="A651" s="115" t="s">
        <v>49</v>
      </c>
      <c r="B651" s="115" t="s">
        <v>18</v>
      </c>
      <c r="C651" s="115">
        <v>4363.0</v>
      </c>
      <c r="D651" s="116">
        <v>45887.0</v>
      </c>
      <c r="E651" s="12" t="s">
        <v>57</v>
      </c>
      <c r="F651" s="115" t="str">
        <f t="shared" si="1"/>
        <v>Pradeep Kothari2025-08-1822</v>
      </c>
    </row>
    <row r="652">
      <c r="A652" s="115" t="s">
        <v>50</v>
      </c>
      <c r="B652" s="115" t="s">
        <v>24</v>
      </c>
      <c r="C652" s="115">
        <v>8060.0</v>
      </c>
      <c r="D652" s="116">
        <v>45887.0</v>
      </c>
      <c r="E652" s="12" t="s">
        <v>57</v>
      </c>
      <c r="F652" s="115" t="str">
        <f t="shared" si="1"/>
        <v>Kandula Sampath2025-08-1822</v>
      </c>
    </row>
    <row r="653">
      <c r="A653" s="115" t="s">
        <v>50</v>
      </c>
      <c r="B653" s="115" t="s">
        <v>25</v>
      </c>
      <c r="C653" s="115">
        <v>6382.0</v>
      </c>
      <c r="D653" s="116">
        <v>45887.0</v>
      </c>
      <c r="E653" s="12" t="s">
        <v>57</v>
      </c>
      <c r="F653" s="115" t="str">
        <f t="shared" si="1"/>
        <v>Martin A2025-08-1822</v>
      </c>
    </row>
    <row r="654">
      <c r="A654" s="115" t="s">
        <v>50</v>
      </c>
      <c r="B654" s="115" t="s">
        <v>26</v>
      </c>
      <c r="C654" s="115">
        <v>5522.0</v>
      </c>
      <c r="D654" s="116">
        <v>45887.0</v>
      </c>
      <c r="E654" s="12" t="s">
        <v>57</v>
      </c>
      <c r="F654" s="115" t="str">
        <f t="shared" si="1"/>
        <v>Premkumar M2025-08-1822</v>
      </c>
    </row>
    <row r="655">
      <c r="A655" s="115" t="s">
        <v>50</v>
      </c>
      <c r="B655" s="115" t="s">
        <v>27</v>
      </c>
      <c r="C655" s="115">
        <v>4377.0</v>
      </c>
      <c r="D655" s="116">
        <v>45887.0</v>
      </c>
      <c r="E655" s="12" t="s">
        <v>57</v>
      </c>
      <c r="F655" s="115" t="str">
        <f t="shared" si="1"/>
        <v>Vineeth V2025-08-1822</v>
      </c>
    </row>
    <row r="656">
      <c r="A656" s="115" t="s">
        <v>51</v>
      </c>
      <c r="B656" s="115" t="s">
        <v>29</v>
      </c>
      <c r="C656" s="115">
        <v>8976.0</v>
      </c>
      <c r="D656" s="116">
        <v>45887.0</v>
      </c>
      <c r="E656" s="12" t="s">
        <v>57</v>
      </c>
      <c r="F656" s="115" t="str">
        <f t="shared" si="1"/>
        <v>Ashish Jakar2025-08-1822</v>
      </c>
    </row>
    <row r="657">
      <c r="A657" s="115" t="s">
        <v>51</v>
      </c>
      <c r="B657" s="115" t="s">
        <v>30</v>
      </c>
      <c r="C657" s="115">
        <v>7265.0</v>
      </c>
      <c r="D657" s="116">
        <v>45887.0</v>
      </c>
      <c r="E657" s="12" t="s">
        <v>57</v>
      </c>
      <c r="F657" s="115" t="str">
        <f t="shared" si="1"/>
        <v>Ashvani Bhatt2025-08-1822</v>
      </c>
    </row>
    <row r="658">
      <c r="C658" s="115">
        <v>116.0</v>
      </c>
      <c r="D658" s="116">
        <v>45887.0</v>
      </c>
      <c r="E658" s="12" t="s">
        <v>57</v>
      </c>
      <c r="F658" s="115" t="str">
        <f t="shared" si="1"/>
        <v>2025-08-1822</v>
      </c>
    </row>
    <row r="659">
      <c r="A659" s="115" t="s">
        <v>47</v>
      </c>
      <c r="B659" s="115" t="s">
        <v>20</v>
      </c>
      <c r="C659" s="115">
        <v>8848.0</v>
      </c>
      <c r="D659" s="116">
        <v>45888.0</v>
      </c>
      <c r="E659" s="12" t="s">
        <v>59</v>
      </c>
      <c r="F659" s="115" t="str">
        <f t="shared" si="1"/>
        <v>Ashish Ranjan2025-08-1909</v>
      </c>
    </row>
    <row r="660">
      <c r="A660" s="115" t="s">
        <v>47</v>
      </c>
      <c r="B660" s="115" t="s">
        <v>21</v>
      </c>
      <c r="C660" s="115">
        <v>4106.0</v>
      </c>
      <c r="D660" s="116">
        <v>45888.0</v>
      </c>
      <c r="E660" s="12" t="s">
        <v>59</v>
      </c>
      <c r="F660" s="115" t="str">
        <f t="shared" si="1"/>
        <v>Girish Chand2025-08-1909</v>
      </c>
    </row>
    <row r="661">
      <c r="A661" s="115" t="s">
        <v>47</v>
      </c>
      <c r="B661" s="115" t="s">
        <v>22</v>
      </c>
      <c r="C661" s="115">
        <v>2148.0</v>
      </c>
      <c r="D661" s="116">
        <v>45888.0</v>
      </c>
      <c r="E661" s="12" t="s">
        <v>59</v>
      </c>
      <c r="F661" s="115" t="str">
        <f t="shared" si="1"/>
        <v>Parag Kashyap2025-08-1909</v>
      </c>
    </row>
    <row r="662">
      <c r="A662" s="115" t="s">
        <v>49</v>
      </c>
      <c r="B662" s="115" t="s">
        <v>15</v>
      </c>
      <c r="C662" s="115">
        <v>2094.0</v>
      </c>
      <c r="D662" s="116">
        <v>45888.0</v>
      </c>
      <c r="E662" s="12" t="s">
        <v>59</v>
      </c>
      <c r="F662" s="115" t="str">
        <f t="shared" si="1"/>
        <v>Amit Kumar Pathak2025-08-1909</v>
      </c>
    </row>
    <row r="663">
      <c r="A663" s="115" t="s">
        <v>49</v>
      </c>
      <c r="B663" s="115" t="s">
        <v>17</v>
      </c>
      <c r="C663" s="115">
        <v>1449.0</v>
      </c>
      <c r="D663" s="116">
        <v>45888.0</v>
      </c>
      <c r="E663" s="12" t="s">
        <v>59</v>
      </c>
      <c r="F663" s="115" t="str">
        <f t="shared" si="1"/>
        <v>Loveleen Singh2025-08-1909</v>
      </c>
    </row>
    <row r="664">
      <c r="A664" s="115" t="s">
        <v>49</v>
      </c>
      <c r="B664" s="115" t="s">
        <v>16</v>
      </c>
      <c r="C664" s="115">
        <v>3375.0</v>
      </c>
      <c r="D664" s="116">
        <v>45888.0</v>
      </c>
      <c r="E664" s="12" t="s">
        <v>59</v>
      </c>
      <c r="F664" s="115" t="str">
        <f t="shared" si="1"/>
        <v>Manoj Harsh2025-08-1909</v>
      </c>
    </row>
    <row r="665">
      <c r="A665" s="115" t="s">
        <v>49</v>
      </c>
      <c r="B665" s="115" t="s">
        <v>18</v>
      </c>
      <c r="C665" s="115">
        <v>1562.0</v>
      </c>
      <c r="D665" s="116">
        <v>45888.0</v>
      </c>
      <c r="E665" s="12" t="s">
        <v>59</v>
      </c>
      <c r="F665" s="115" t="str">
        <f t="shared" si="1"/>
        <v>Pradeep Kothari2025-08-1909</v>
      </c>
    </row>
    <row r="666">
      <c r="A666" s="115" t="s">
        <v>50</v>
      </c>
      <c r="B666" s="115" t="s">
        <v>24</v>
      </c>
      <c r="C666" s="115">
        <v>3668.0</v>
      </c>
      <c r="D666" s="116">
        <v>45888.0</v>
      </c>
      <c r="E666" s="12" t="s">
        <v>59</v>
      </c>
      <c r="F666" s="115" t="str">
        <f t="shared" si="1"/>
        <v>Kandula Sampath2025-08-1909</v>
      </c>
    </row>
    <row r="667">
      <c r="A667" s="115" t="s">
        <v>50</v>
      </c>
      <c r="B667" s="115" t="s">
        <v>25</v>
      </c>
      <c r="C667" s="115">
        <v>2782.0</v>
      </c>
      <c r="D667" s="116">
        <v>45888.0</v>
      </c>
      <c r="E667" s="12" t="s">
        <v>59</v>
      </c>
      <c r="F667" s="115" t="str">
        <f t="shared" si="1"/>
        <v>Martin A2025-08-1909</v>
      </c>
    </row>
    <row r="668">
      <c r="A668" s="115" t="s">
        <v>50</v>
      </c>
      <c r="B668" s="115" t="s">
        <v>26</v>
      </c>
      <c r="C668" s="115">
        <v>1460.0</v>
      </c>
      <c r="D668" s="116">
        <v>45888.0</v>
      </c>
      <c r="E668" s="12" t="s">
        <v>59</v>
      </c>
      <c r="F668" s="115" t="str">
        <f t="shared" si="1"/>
        <v>Premkumar M2025-08-1909</v>
      </c>
    </row>
    <row r="669">
      <c r="A669" s="115" t="s">
        <v>50</v>
      </c>
      <c r="B669" s="115" t="s">
        <v>27</v>
      </c>
      <c r="C669" s="115">
        <v>588.0</v>
      </c>
      <c r="D669" s="116">
        <v>45888.0</v>
      </c>
      <c r="E669" s="12" t="s">
        <v>59</v>
      </c>
      <c r="F669" s="115" t="str">
        <f t="shared" si="1"/>
        <v>Vineeth V2025-08-1909</v>
      </c>
    </row>
    <row r="670">
      <c r="A670" s="115" t="s">
        <v>51</v>
      </c>
      <c r="B670" s="115" t="s">
        <v>29</v>
      </c>
      <c r="C670" s="115">
        <v>2059.0</v>
      </c>
      <c r="D670" s="116">
        <v>45888.0</v>
      </c>
      <c r="E670" s="12" t="s">
        <v>59</v>
      </c>
      <c r="F670" s="115" t="str">
        <f t="shared" si="1"/>
        <v>Ashish Jakar2025-08-1909</v>
      </c>
    </row>
    <row r="671">
      <c r="A671" s="115" t="s">
        <v>51</v>
      </c>
      <c r="B671" s="115" t="s">
        <v>30</v>
      </c>
      <c r="C671" s="115">
        <v>2783.0</v>
      </c>
      <c r="D671" s="116">
        <v>45888.0</v>
      </c>
      <c r="E671" s="12" t="s">
        <v>59</v>
      </c>
      <c r="F671" s="115" t="str">
        <f t="shared" si="1"/>
        <v>Ashvani Bhatt2025-08-1909</v>
      </c>
    </row>
    <row r="672">
      <c r="C672" s="115">
        <v>40.0</v>
      </c>
      <c r="D672" s="116">
        <v>45888.0</v>
      </c>
      <c r="E672" s="12" t="s">
        <v>59</v>
      </c>
      <c r="F672" s="115" t="str">
        <f t="shared" si="1"/>
        <v>2025-08-1909</v>
      </c>
    </row>
    <row r="673">
      <c r="A673" s="115" t="s">
        <v>47</v>
      </c>
      <c r="B673" s="115" t="s">
        <v>20</v>
      </c>
      <c r="C673" s="115">
        <v>13424.0</v>
      </c>
      <c r="D673" s="116">
        <v>45888.0</v>
      </c>
      <c r="E673" s="12" t="s">
        <v>60</v>
      </c>
      <c r="F673" s="115" t="str">
        <f t="shared" si="1"/>
        <v>Ashish Ranjan2025-08-1910</v>
      </c>
    </row>
    <row r="674">
      <c r="A674" s="115" t="s">
        <v>47</v>
      </c>
      <c r="B674" s="115" t="s">
        <v>21</v>
      </c>
      <c r="C674" s="115">
        <v>7352.0</v>
      </c>
      <c r="D674" s="116">
        <v>45888.0</v>
      </c>
      <c r="E674" s="12" t="s">
        <v>60</v>
      </c>
      <c r="F674" s="115" t="str">
        <f t="shared" si="1"/>
        <v>Girish Chand2025-08-1910</v>
      </c>
    </row>
    <row r="675">
      <c r="A675" s="115" t="s">
        <v>47</v>
      </c>
      <c r="B675" s="115" t="s">
        <v>22</v>
      </c>
      <c r="C675" s="115">
        <v>4093.0</v>
      </c>
      <c r="D675" s="116">
        <v>45888.0</v>
      </c>
      <c r="E675" s="12" t="s">
        <v>60</v>
      </c>
      <c r="F675" s="115" t="str">
        <f t="shared" si="1"/>
        <v>Parag Kashyap2025-08-1910</v>
      </c>
    </row>
    <row r="676">
      <c r="A676" s="115" t="s">
        <v>49</v>
      </c>
      <c r="B676" s="115" t="s">
        <v>15</v>
      </c>
      <c r="C676" s="115">
        <v>2875.0</v>
      </c>
      <c r="D676" s="116">
        <v>45888.0</v>
      </c>
      <c r="E676" s="12" t="s">
        <v>60</v>
      </c>
      <c r="F676" s="115" t="str">
        <f t="shared" si="1"/>
        <v>Amit Kumar Pathak2025-08-1910</v>
      </c>
    </row>
    <row r="677">
      <c r="A677" s="115" t="s">
        <v>49</v>
      </c>
      <c r="B677" s="115" t="s">
        <v>17</v>
      </c>
      <c r="C677" s="115">
        <v>2972.0</v>
      </c>
      <c r="D677" s="116">
        <v>45888.0</v>
      </c>
      <c r="E677" s="12" t="s">
        <v>60</v>
      </c>
      <c r="F677" s="115" t="str">
        <f t="shared" si="1"/>
        <v>Loveleen Singh2025-08-1910</v>
      </c>
    </row>
    <row r="678">
      <c r="A678" s="115" t="s">
        <v>49</v>
      </c>
      <c r="B678" s="115" t="s">
        <v>16</v>
      </c>
      <c r="C678" s="115">
        <v>6813.0</v>
      </c>
      <c r="D678" s="116">
        <v>45888.0</v>
      </c>
      <c r="E678" s="12" t="s">
        <v>60</v>
      </c>
      <c r="F678" s="115" t="str">
        <f t="shared" si="1"/>
        <v>Manoj Harsh2025-08-1910</v>
      </c>
    </row>
    <row r="679">
      <c r="A679" s="115" t="s">
        <v>49</v>
      </c>
      <c r="B679" s="115" t="s">
        <v>18</v>
      </c>
      <c r="C679" s="115">
        <v>3020.0</v>
      </c>
      <c r="D679" s="116">
        <v>45888.0</v>
      </c>
      <c r="E679" s="12" t="s">
        <v>60</v>
      </c>
      <c r="F679" s="115" t="str">
        <f t="shared" si="1"/>
        <v>Pradeep Kothari2025-08-1910</v>
      </c>
    </row>
    <row r="680">
      <c r="A680" s="115" t="s">
        <v>50</v>
      </c>
      <c r="B680" s="115" t="s">
        <v>24</v>
      </c>
      <c r="C680" s="115">
        <v>5744.0</v>
      </c>
      <c r="D680" s="116">
        <v>45888.0</v>
      </c>
      <c r="E680" s="12" t="s">
        <v>60</v>
      </c>
      <c r="F680" s="115" t="str">
        <f t="shared" si="1"/>
        <v>Kandula Sampath2025-08-1910</v>
      </c>
    </row>
    <row r="681">
      <c r="A681" s="115" t="s">
        <v>50</v>
      </c>
      <c r="B681" s="115" t="s">
        <v>25</v>
      </c>
      <c r="C681" s="115">
        <v>4156.0</v>
      </c>
      <c r="D681" s="116">
        <v>45888.0</v>
      </c>
      <c r="E681" s="12" t="s">
        <v>60</v>
      </c>
      <c r="F681" s="115" t="str">
        <f t="shared" si="1"/>
        <v>Martin A2025-08-1910</v>
      </c>
    </row>
    <row r="682">
      <c r="A682" s="115" t="s">
        <v>50</v>
      </c>
      <c r="B682" s="115" t="s">
        <v>26</v>
      </c>
      <c r="C682" s="115">
        <v>2823.0</v>
      </c>
      <c r="D682" s="116">
        <v>45888.0</v>
      </c>
      <c r="E682" s="12" t="s">
        <v>60</v>
      </c>
      <c r="F682" s="115" t="str">
        <f t="shared" si="1"/>
        <v>Premkumar M2025-08-1910</v>
      </c>
    </row>
    <row r="683">
      <c r="A683" s="115" t="s">
        <v>50</v>
      </c>
      <c r="B683" s="115" t="s">
        <v>27</v>
      </c>
      <c r="C683" s="115">
        <v>1617.0</v>
      </c>
      <c r="D683" s="116">
        <v>45888.0</v>
      </c>
      <c r="E683" s="12" t="s">
        <v>60</v>
      </c>
      <c r="F683" s="115" t="str">
        <f t="shared" si="1"/>
        <v>Vineeth V2025-08-1910</v>
      </c>
    </row>
    <row r="684">
      <c r="A684" s="115" t="s">
        <v>51</v>
      </c>
      <c r="B684" s="115" t="s">
        <v>29</v>
      </c>
      <c r="C684" s="115">
        <v>4088.0</v>
      </c>
      <c r="D684" s="116">
        <v>45888.0</v>
      </c>
      <c r="E684" s="12" t="s">
        <v>60</v>
      </c>
      <c r="F684" s="115" t="str">
        <f t="shared" si="1"/>
        <v>Ashish Jakar2025-08-1910</v>
      </c>
    </row>
    <row r="685">
      <c r="A685" s="115" t="s">
        <v>51</v>
      </c>
      <c r="B685" s="115" t="s">
        <v>30</v>
      </c>
      <c r="C685" s="115">
        <v>4675.0</v>
      </c>
      <c r="D685" s="116">
        <v>45888.0</v>
      </c>
      <c r="E685" s="12" t="s">
        <v>60</v>
      </c>
      <c r="F685" s="115" t="str">
        <f t="shared" si="1"/>
        <v>Ashvani Bhatt2025-08-1910</v>
      </c>
    </row>
    <row r="686">
      <c r="C686" s="115">
        <v>58.0</v>
      </c>
      <c r="D686" s="116">
        <v>45888.0</v>
      </c>
      <c r="E686" s="12" t="s">
        <v>60</v>
      </c>
      <c r="F686" s="115" t="str">
        <f t="shared" si="1"/>
        <v>2025-08-1910</v>
      </c>
    </row>
    <row r="687">
      <c r="A687" s="115" t="s">
        <v>47</v>
      </c>
      <c r="B687" s="115" t="s">
        <v>20</v>
      </c>
      <c r="C687" s="115">
        <v>15775.0</v>
      </c>
      <c r="D687" s="116">
        <v>45888.0</v>
      </c>
      <c r="E687" s="12" t="s">
        <v>61</v>
      </c>
      <c r="F687" s="115" t="str">
        <f t="shared" si="1"/>
        <v>Ashish Ranjan2025-08-1911</v>
      </c>
    </row>
    <row r="688">
      <c r="A688" s="115" t="s">
        <v>47</v>
      </c>
      <c r="B688" s="115" t="s">
        <v>21</v>
      </c>
      <c r="C688" s="115">
        <v>9247.0</v>
      </c>
      <c r="D688" s="116">
        <v>45888.0</v>
      </c>
      <c r="E688" s="12" t="s">
        <v>61</v>
      </c>
      <c r="F688" s="115" t="str">
        <f t="shared" si="1"/>
        <v>Girish Chand2025-08-1911</v>
      </c>
    </row>
    <row r="689">
      <c r="A689" s="115" t="s">
        <v>47</v>
      </c>
      <c r="B689" s="115" t="s">
        <v>22</v>
      </c>
      <c r="C689" s="115">
        <v>5718.0</v>
      </c>
      <c r="D689" s="116">
        <v>45888.0</v>
      </c>
      <c r="E689" s="12" t="s">
        <v>61</v>
      </c>
      <c r="F689" s="115" t="str">
        <f t="shared" si="1"/>
        <v>Parag Kashyap2025-08-1911</v>
      </c>
    </row>
    <row r="690">
      <c r="A690" s="115" t="s">
        <v>49</v>
      </c>
      <c r="B690" s="115" t="s">
        <v>15</v>
      </c>
      <c r="C690" s="115">
        <v>3480.0</v>
      </c>
      <c r="D690" s="116">
        <v>45888.0</v>
      </c>
      <c r="E690" s="12" t="s">
        <v>61</v>
      </c>
      <c r="F690" s="115" t="str">
        <f t="shared" si="1"/>
        <v>Amit Kumar Pathak2025-08-1911</v>
      </c>
    </row>
    <row r="691">
      <c r="A691" s="115" t="s">
        <v>49</v>
      </c>
      <c r="B691" s="115" t="s">
        <v>17</v>
      </c>
      <c r="C691" s="115">
        <v>4144.0</v>
      </c>
      <c r="D691" s="116">
        <v>45888.0</v>
      </c>
      <c r="E691" s="12" t="s">
        <v>61</v>
      </c>
      <c r="F691" s="115" t="str">
        <f t="shared" si="1"/>
        <v>Loveleen Singh2025-08-1911</v>
      </c>
    </row>
    <row r="692">
      <c r="A692" s="115" t="s">
        <v>49</v>
      </c>
      <c r="B692" s="115" t="s">
        <v>16</v>
      </c>
      <c r="C692" s="115">
        <v>9129.0</v>
      </c>
      <c r="D692" s="116">
        <v>45888.0</v>
      </c>
      <c r="E692" s="12" t="s">
        <v>61</v>
      </c>
      <c r="F692" s="115" t="str">
        <f t="shared" si="1"/>
        <v>Manoj Harsh2025-08-1911</v>
      </c>
    </row>
    <row r="693">
      <c r="A693" s="115" t="s">
        <v>49</v>
      </c>
      <c r="B693" s="115" t="s">
        <v>18</v>
      </c>
      <c r="C693" s="115">
        <v>3849.0</v>
      </c>
      <c r="D693" s="116">
        <v>45888.0</v>
      </c>
      <c r="E693" s="12" t="s">
        <v>61</v>
      </c>
      <c r="F693" s="115" t="str">
        <f t="shared" si="1"/>
        <v>Pradeep Kothari2025-08-1911</v>
      </c>
    </row>
    <row r="694">
      <c r="A694" s="115" t="s">
        <v>50</v>
      </c>
      <c r="B694" s="115" t="s">
        <v>24</v>
      </c>
      <c r="C694" s="115">
        <v>6922.0</v>
      </c>
      <c r="D694" s="116">
        <v>45888.0</v>
      </c>
      <c r="E694" s="12" t="s">
        <v>61</v>
      </c>
      <c r="F694" s="115" t="str">
        <f t="shared" si="1"/>
        <v>Kandula Sampath2025-08-1911</v>
      </c>
    </row>
    <row r="695">
      <c r="A695" s="115" t="s">
        <v>50</v>
      </c>
      <c r="B695" s="115" t="s">
        <v>25</v>
      </c>
      <c r="C695" s="115">
        <v>5029.0</v>
      </c>
      <c r="D695" s="116">
        <v>45888.0</v>
      </c>
      <c r="E695" s="12" t="s">
        <v>61</v>
      </c>
      <c r="F695" s="115" t="str">
        <f t="shared" si="1"/>
        <v>Martin A2025-08-1911</v>
      </c>
    </row>
    <row r="696">
      <c r="A696" s="115" t="s">
        <v>50</v>
      </c>
      <c r="B696" s="115" t="s">
        <v>26</v>
      </c>
      <c r="C696" s="115">
        <v>4119.0</v>
      </c>
      <c r="D696" s="116">
        <v>45888.0</v>
      </c>
      <c r="E696" s="12" t="s">
        <v>61</v>
      </c>
      <c r="F696" s="115" t="str">
        <f t="shared" si="1"/>
        <v>Premkumar M2025-08-1911</v>
      </c>
    </row>
    <row r="697">
      <c r="A697" s="115" t="s">
        <v>50</v>
      </c>
      <c r="B697" s="115" t="s">
        <v>27</v>
      </c>
      <c r="C697" s="115">
        <v>3099.0</v>
      </c>
      <c r="D697" s="116">
        <v>45888.0</v>
      </c>
      <c r="E697" s="12" t="s">
        <v>61</v>
      </c>
      <c r="F697" s="115" t="str">
        <f t="shared" si="1"/>
        <v>Vineeth V2025-08-1911</v>
      </c>
    </row>
    <row r="698">
      <c r="A698" s="115" t="s">
        <v>51</v>
      </c>
      <c r="B698" s="115" t="s">
        <v>29</v>
      </c>
      <c r="C698" s="115">
        <v>5678.0</v>
      </c>
      <c r="D698" s="116">
        <v>45888.0</v>
      </c>
      <c r="E698" s="12" t="s">
        <v>61</v>
      </c>
      <c r="F698" s="115" t="str">
        <f t="shared" si="1"/>
        <v>Ashish Jakar2025-08-1911</v>
      </c>
    </row>
    <row r="699">
      <c r="A699" s="115" t="s">
        <v>51</v>
      </c>
      <c r="B699" s="115" t="s">
        <v>30</v>
      </c>
      <c r="C699" s="115">
        <v>5969.0</v>
      </c>
      <c r="D699" s="116">
        <v>45888.0</v>
      </c>
      <c r="E699" s="12" t="s">
        <v>61</v>
      </c>
      <c r="F699" s="115" t="str">
        <f t="shared" si="1"/>
        <v>Ashvani Bhatt2025-08-1911</v>
      </c>
    </row>
    <row r="700">
      <c r="C700" s="115">
        <v>88.0</v>
      </c>
      <c r="D700" s="116">
        <v>45888.0</v>
      </c>
      <c r="E700" s="12" t="s">
        <v>61</v>
      </c>
      <c r="F700" s="115" t="str">
        <f t="shared" si="1"/>
        <v>2025-08-1911</v>
      </c>
    </row>
    <row r="701">
      <c r="A701" s="115" t="s">
        <v>47</v>
      </c>
      <c r="B701" s="115" t="s">
        <v>20</v>
      </c>
      <c r="C701" s="115">
        <v>16649.0</v>
      </c>
      <c r="D701" s="116">
        <v>45888.0</v>
      </c>
      <c r="E701" s="12" t="s">
        <v>62</v>
      </c>
      <c r="F701" s="115" t="str">
        <f t="shared" si="1"/>
        <v>Ashish Ranjan2025-08-1912</v>
      </c>
    </row>
    <row r="702">
      <c r="A702" s="115" t="s">
        <v>47</v>
      </c>
      <c r="B702" s="115" t="s">
        <v>21</v>
      </c>
      <c r="C702" s="115">
        <v>9907.0</v>
      </c>
      <c r="D702" s="116">
        <v>45888.0</v>
      </c>
      <c r="E702" s="12" t="s">
        <v>62</v>
      </c>
      <c r="F702" s="115" t="str">
        <f t="shared" si="1"/>
        <v>Girish Chand2025-08-1912</v>
      </c>
    </row>
    <row r="703">
      <c r="A703" s="115" t="s">
        <v>47</v>
      </c>
      <c r="B703" s="115" t="s">
        <v>22</v>
      </c>
      <c r="C703" s="115">
        <v>6508.0</v>
      </c>
      <c r="D703" s="116">
        <v>45888.0</v>
      </c>
      <c r="E703" s="12" t="s">
        <v>62</v>
      </c>
      <c r="F703" s="115" t="str">
        <f t="shared" si="1"/>
        <v>Parag Kashyap2025-08-1912</v>
      </c>
    </row>
    <row r="704">
      <c r="A704" s="115" t="s">
        <v>49</v>
      </c>
      <c r="B704" s="115" t="s">
        <v>15</v>
      </c>
      <c r="C704" s="115">
        <v>3797.0</v>
      </c>
      <c r="D704" s="116">
        <v>45888.0</v>
      </c>
      <c r="E704" s="12" t="s">
        <v>62</v>
      </c>
      <c r="F704" s="115" t="str">
        <f t="shared" si="1"/>
        <v>Amit Kumar Pathak2025-08-1912</v>
      </c>
    </row>
    <row r="705">
      <c r="A705" s="115" t="s">
        <v>49</v>
      </c>
      <c r="B705" s="115" t="s">
        <v>17</v>
      </c>
      <c r="C705" s="115">
        <v>4732.0</v>
      </c>
      <c r="D705" s="116">
        <v>45888.0</v>
      </c>
      <c r="E705" s="12" t="s">
        <v>62</v>
      </c>
      <c r="F705" s="115" t="str">
        <f t="shared" si="1"/>
        <v>Loveleen Singh2025-08-1912</v>
      </c>
    </row>
    <row r="706">
      <c r="A706" s="115" t="s">
        <v>49</v>
      </c>
      <c r="B706" s="115" t="s">
        <v>16</v>
      </c>
      <c r="C706" s="115">
        <v>10171.0</v>
      </c>
      <c r="D706" s="116">
        <v>45888.0</v>
      </c>
      <c r="E706" s="12" t="s">
        <v>62</v>
      </c>
      <c r="F706" s="115" t="str">
        <f t="shared" si="1"/>
        <v>Manoj Harsh2025-08-1912</v>
      </c>
    </row>
    <row r="707">
      <c r="A707" s="115" t="s">
        <v>49</v>
      </c>
      <c r="B707" s="115" t="s">
        <v>18</v>
      </c>
      <c r="C707" s="115">
        <v>4159.0</v>
      </c>
      <c r="D707" s="116">
        <v>45888.0</v>
      </c>
      <c r="E707" s="12" t="s">
        <v>62</v>
      </c>
      <c r="F707" s="115" t="str">
        <f t="shared" si="1"/>
        <v>Pradeep Kothari2025-08-1912</v>
      </c>
    </row>
    <row r="708">
      <c r="A708" s="115" t="s">
        <v>50</v>
      </c>
      <c r="B708" s="115" t="s">
        <v>24</v>
      </c>
      <c r="C708" s="115">
        <v>7360.0</v>
      </c>
      <c r="D708" s="116">
        <v>45888.0</v>
      </c>
      <c r="E708" s="12" t="s">
        <v>62</v>
      </c>
      <c r="F708" s="115" t="str">
        <f t="shared" si="1"/>
        <v>Kandula Sampath2025-08-1912</v>
      </c>
    </row>
    <row r="709">
      <c r="A709" s="115" t="s">
        <v>50</v>
      </c>
      <c r="B709" s="115" t="s">
        <v>25</v>
      </c>
      <c r="C709" s="115">
        <v>5484.0</v>
      </c>
      <c r="D709" s="116">
        <v>45888.0</v>
      </c>
      <c r="E709" s="12" t="s">
        <v>62</v>
      </c>
      <c r="F709" s="115" t="str">
        <f t="shared" si="1"/>
        <v>Martin A2025-08-1912</v>
      </c>
    </row>
    <row r="710">
      <c r="A710" s="115" t="s">
        <v>50</v>
      </c>
      <c r="B710" s="115" t="s">
        <v>26</v>
      </c>
      <c r="C710" s="115">
        <v>4841.0</v>
      </c>
      <c r="D710" s="116">
        <v>45888.0</v>
      </c>
      <c r="E710" s="12" t="s">
        <v>62</v>
      </c>
      <c r="F710" s="115" t="str">
        <f t="shared" si="1"/>
        <v>Premkumar M2025-08-1912</v>
      </c>
    </row>
    <row r="711">
      <c r="A711" s="115" t="s">
        <v>50</v>
      </c>
      <c r="B711" s="115" t="s">
        <v>27</v>
      </c>
      <c r="C711" s="115">
        <v>3994.0</v>
      </c>
      <c r="D711" s="116">
        <v>45888.0</v>
      </c>
      <c r="E711" s="12" t="s">
        <v>62</v>
      </c>
      <c r="F711" s="115" t="str">
        <f t="shared" si="1"/>
        <v>Vineeth V2025-08-1912</v>
      </c>
    </row>
    <row r="712">
      <c r="A712" s="115" t="s">
        <v>51</v>
      </c>
      <c r="B712" s="115" t="s">
        <v>29</v>
      </c>
      <c r="C712" s="115">
        <v>6572.0</v>
      </c>
      <c r="D712" s="116">
        <v>45888.0</v>
      </c>
      <c r="E712" s="12" t="s">
        <v>62</v>
      </c>
      <c r="F712" s="115" t="str">
        <f t="shared" si="1"/>
        <v>Ashish Jakar2025-08-1912</v>
      </c>
    </row>
    <row r="713">
      <c r="A713" s="115" t="s">
        <v>51</v>
      </c>
      <c r="B713" s="115" t="s">
        <v>30</v>
      </c>
      <c r="C713" s="115">
        <v>6591.0</v>
      </c>
      <c r="D713" s="116">
        <v>45888.0</v>
      </c>
      <c r="E713" s="12" t="s">
        <v>62</v>
      </c>
      <c r="F713" s="115" t="str">
        <f t="shared" si="1"/>
        <v>Ashvani Bhatt2025-08-1912</v>
      </c>
    </row>
    <row r="714">
      <c r="C714" s="115">
        <v>95.0</v>
      </c>
      <c r="D714" s="116">
        <v>45888.0</v>
      </c>
      <c r="E714" s="12" t="s">
        <v>62</v>
      </c>
      <c r="F714" s="115" t="str">
        <f t="shared" si="1"/>
        <v>2025-08-1912</v>
      </c>
    </row>
    <row r="715">
      <c r="A715" s="115" t="s">
        <v>47</v>
      </c>
      <c r="B715" s="115" t="s">
        <v>20</v>
      </c>
      <c r="C715" s="115">
        <v>17012.0</v>
      </c>
      <c r="D715" s="116">
        <v>45888.0</v>
      </c>
      <c r="E715" s="12" t="s">
        <v>48</v>
      </c>
      <c r="F715" s="115" t="str">
        <f t="shared" si="1"/>
        <v>Ashish Ranjan2025-08-1913</v>
      </c>
    </row>
    <row r="716">
      <c r="A716" s="115" t="s">
        <v>47</v>
      </c>
      <c r="B716" s="115" t="s">
        <v>21</v>
      </c>
      <c r="C716" s="115">
        <v>10164.0</v>
      </c>
      <c r="D716" s="116">
        <v>45888.0</v>
      </c>
      <c r="E716" s="12" t="s">
        <v>48</v>
      </c>
      <c r="F716" s="115" t="str">
        <f t="shared" si="1"/>
        <v>Girish Chand2025-08-1913</v>
      </c>
    </row>
    <row r="717">
      <c r="A717" s="115" t="s">
        <v>47</v>
      </c>
      <c r="B717" s="115" t="s">
        <v>22</v>
      </c>
      <c r="C717" s="115">
        <v>6857.0</v>
      </c>
      <c r="D717" s="116">
        <v>45888.0</v>
      </c>
      <c r="E717" s="12" t="s">
        <v>48</v>
      </c>
      <c r="F717" s="115" t="str">
        <f t="shared" si="1"/>
        <v>Parag Kashyap2025-08-1913</v>
      </c>
    </row>
    <row r="718">
      <c r="A718" s="115" t="s">
        <v>49</v>
      </c>
      <c r="B718" s="115" t="s">
        <v>15</v>
      </c>
      <c r="C718" s="115">
        <v>3938.0</v>
      </c>
      <c r="D718" s="116">
        <v>45888.0</v>
      </c>
      <c r="E718" s="12" t="s">
        <v>48</v>
      </c>
      <c r="F718" s="115" t="str">
        <f t="shared" si="1"/>
        <v>Amit Kumar Pathak2025-08-1913</v>
      </c>
    </row>
    <row r="719">
      <c r="A719" s="115" t="s">
        <v>49</v>
      </c>
      <c r="B719" s="115" t="s">
        <v>17</v>
      </c>
      <c r="C719" s="115">
        <v>4906.0</v>
      </c>
      <c r="D719" s="116">
        <v>45888.0</v>
      </c>
      <c r="E719" s="12" t="s">
        <v>48</v>
      </c>
      <c r="F719" s="115" t="str">
        <f t="shared" si="1"/>
        <v>Loveleen Singh2025-08-1913</v>
      </c>
    </row>
    <row r="720">
      <c r="A720" s="115" t="s">
        <v>49</v>
      </c>
      <c r="B720" s="115" t="s">
        <v>16</v>
      </c>
      <c r="C720" s="115">
        <v>10636.0</v>
      </c>
      <c r="D720" s="116">
        <v>45888.0</v>
      </c>
      <c r="E720" s="12" t="s">
        <v>48</v>
      </c>
      <c r="F720" s="115" t="str">
        <f t="shared" si="1"/>
        <v>Manoj Harsh2025-08-1913</v>
      </c>
    </row>
    <row r="721">
      <c r="A721" s="115" t="s">
        <v>49</v>
      </c>
      <c r="B721" s="115" t="s">
        <v>18</v>
      </c>
      <c r="C721" s="115">
        <v>4265.0</v>
      </c>
      <c r="D721" s="116">
        <v>45888.0</v>
      </c>
      <c r="E721" s="12" t="s">
        <v>48</v>
      </c>
      <c r="F721" s="115" t="str">
        <f t="shared" si="1"/>
        <v>Pradeep Kothari2025-08-1913</v>
      </c>
    </row>
    <row r="722">
      <c r="A722" s="115" t="s">
        <v>50</v>
      </c>
      <c r="B722" s="115" t="s">
        <v>24</v>
      </c>
      <c r="C722" s="115">
        <v>7515.0</v>
      </c>
      <c r="D722" s="116">
        <v>45888.0</v>
      </c>
      <c r="E722" s="12" t="s">
        <v>48</v>
      </c>
      <c r="F722" s="115" t="str">
        <f t="shared" si="1"/>
        <v>Kandula Sampath2025-08-1913</v>
      </c>
    </row>
    <row r="723">
      <c r="A723" s="115" t="s">
        <v>50</v>
      </c>
      <c r="B723" s="115" t="s">
        <v>25</v>
      </c>
      <c r="C723" s="115">
        <v>5673.0</v>
      </c>
      <c r="D723" s="116">
        <v>45888.0</v>
      </c>
      <c r="E723" s="12" t="s">
        <v>48</v>
      </c>
      <c r="F723" s="115" t="str">
        <f t="shared" si="1"/>
        <v>Martin A2025-08-1913</v>
      </c>
    </row>
    <row r="724">
      <c r="A724" s="115" t="s">
        <v>50</v>
      </c>
      <c r="B724" s="115" t="s">
        <v>26</v>
      </c>
      <c r="C724" s="115">
        <v>5175.0</v>
      </c>
      <c r="D724" s="116">
        <v>45888.0</v>
      </c>
      <c r="E724" s="12" t="s">
        <v>48</v>
      </c>
      <c r="F724" s="115" t="str">
        <f t="shared" si="1"/>
        <v>Premkumar M2025-08-1913</v>
      </c>
    </row>
    <row r="725">
      <c r="A725" s="115" t="s">
        <v>50</v>
      </c>
      <c r="B725" s="115" t="s">
        <v>27</v>
      </c>
      <c r="C725" s="115">
        <v>4310.0</v>
      </c>
      <c r="D725" s="116">
        <v>45888.0</v>
      </c>
      <c r="E725" s="12" t="s">
        <v>48</v>
      </c>
      <c r="F725" s="115" t="str">
        <f t="shared" si="1"/>
        <v>Vineeth V2025-08-1913</v>
      </c>
    </row>
    <row r="726">
      <c r="A726" s="115" t="s">
        <v>51</v>
      </c>
      <c r="B726" s="115" t="s">
        <v>29</v>
      </c>
      <c r="C726" s="115">
        <v>7030.0</v>
      </c>
      <c r="D726" s="116">
        <v>45888.0</v>
      </c>
      <c r="E726" s="12" t="s">
        <v>48</v>
      </c>
      <c r="F726" s="115" t="str">
        <f t="shared" si="1"/>
        <v>Ashish Jakar2025-08-1913</v>
      </c>
    </row>
    <row r="727">
      <c r="A727" s="115" t="s">
        <v>51</v>
      </c>
      <c r="B727" s="115" t="s">
        <v>30</v>
      </c>
      <c r="C727" s="115">
        <v>6940.0</v>
      </c>
      <c r="D727" s="116">
        <v>45888.0</v>
      </c>
      <c r="E727" s="12" t="s">
        <v>48</v>
      </c>
      <c r="F727" s="115" t="str">
        <f t="shared" si="1"/>
        <v>Ashvani Bhatt2025-08-1913</v>
      </c>
    </row>
    <row r="728">
      <c r="C728" s="115">
        <v>107.0</v>
      </c>
      <c r="D728" s="116">
        <v>45888.0</v>
      </c>
      <c r="E728" s="12" t="s">
        <v>48</v>
      </c>
      <c r="F728" s="115" t="str">
        <f t="shared" si="1"/>
        <v>2025-08-1913</v>
      </c>
    </row>
    <row r="729">
      <c r="A729" s="115" t="s">
        <v>47</v>
      </c>
      <c r="B729" s="115" t="s">
        <v>20</v>
      </c>
      <c r="C729" s="115">
        <v>17456.0</v>
      </c>
      <c r="D729" s="116">
        <v>45888.0</v>
      </c>
      <c r="E729" s="12" t="s">
        <v>64</v>
      </c>
      <c r="F729" s="115" t="str">
        <f t="shared" si="1"/>
        <v>Ashish Ranjan2025-08-1915</v>
      </c>
    </row>
    <row r="730">
      <c r="A730" s="115" t="s">
        <v>47</v>
      </c>
      <c r="B730" s="115" t="s">
        <v>21</v>
      </c>
      <c r="C730" s="115">
        <v>10341.0</v>
      </c>
      <c r="D730" s="116">
        <v>45888.0</v>
      </c>
      <c r="E730" s="12" t="s">
        <v>64</v>
      </c>
      <c r="F730" s="115" t="str">
        <f t="shared" si="1"/>
        <v>Girish Chand2025-08-1915</v>
      </c>
    </row>
    <row r="731">
      <c r="A731" s="115" t="s">
        <v>47</v>
      </c>
      <c r="B731" s="115" t="s">
        <v>22</v>
      </c>
      <c r="C731" s="115">
        <v>7091.0</v>
      </c>
      <c r="D731" s="116">
        <v>45888.0</v>
      </c>
      <c r="E731" s="12" t="s">
        <v>64</v>
      </c>
      <c r="F731" s="115" t="str">
        <f t="shared" si="1"/>
        <v>Parag Kashyap2025-08-1915</v>
      </c>
    </row>
    <row r="732">
      <c r="A732" s="115" t="s">
        <v>49</v>
      </c>
      <c r="B732" s="115" t="s">
        <v>15</v>
      </c>
      <c r="C732" s="115">
        <v>4221.0</v>
      </c>
      <c r="D732" s="116">
        <v>45888.0</v>
      </c>
      <c r="E732" s="12" t="s">
        <v>64</v>
      </c>
      <c r="F732" s="115" t="str">
        <f t="shared" si="1"/>
        <v>Amit Kumar Pathak2025-08-1915</v>
      </c>
    </row>
    <row r="733">
      <c r="A733" s="115" t="s">
        <v>49</v>
      </c>
      <c r="B733" s="115" t="s">
        <v>17</v>
      </c>
      <c r="C733" s="115">
        <v>5023.0</v>
      </c>
      <c r="D733" s="116">
        <v>45888.0</v>
      </c>
      <c r="E733" s="12" t="s">
        <v>64</v>
      </c>
      <c r="F733" s="115" t="str">
        <f t="shared" si="1"/>
        <v>Loveleen Singh2025-08-1915</v>
      </c>
    </row>
    <row r="734">
      <c r="A734" s="115" t="s">
        <v>49</v>
      </c>
      <c r="B734" s="115" t="s">
        <v>16</v>
      </c>
      <c r="C734" s="115">
        <v>11062.0</v>
      </c>
      <c r="D734" s="116">
        <v>45888.0</v>
      </c>
      <c r="E734" s="12" t="s">
        <v>64</v>
      </c>
      <c r="F734" s="115" t="str">
        <f t="shared" si="1"/>
        <v>Manoj Harsh2025-08-1915</v>
      </c>
    </row>
    <row r="735">
      <c r="A735" s="115" t="s">
        <v>49</v>
      </c>
      <c r="B735" s="115" t="s">
        <v>18</v>
      </c>
      <c r="C735" s="115">
        <v>4353.0</v>
      </c>
      <c r="D735" s="116">
        <v>45888.0</v>
      </c>
      <c r="E735" s="12" t="s">
        <v>64</v>
      </c>
      <c r="F735" s="115" t="str">
        <f t="shared" si="1"/>
        <v>Pradeep Kothari2025-08-1915</v>
      </c>
    </row>
    <row r="736">
      <c r="A736" s="115" t="s">
        <v>50</v>
      </c>
      <c r="B736" s="115" t="s">
        <v>24</v>
      </c>
      <c r="C736" s="115">
        <v>7681.0</v>
      </c>
      <c r="D736" s="116">
        <v>45888.0</v>
      </c>
      <c r="E736" s="12" t="s">
        <v>64</v>
      </c>
      <c r="F736" s="115" t="str">
        <f t="shared" si="1"/>
        <v>Kandula Sampath2025-08-1915</v>
      </c>
    </row>
    <row r="737">
      <c r="A737" s="115" t="s">
        <v>50</v>
      </c>
      <c r="B737" s="115" t="s">
        <v>25</v>
      </c>
      <c r="C737" s="115">
        <v>5883.0</v>
      </c>
      <c r="D737" s="116">
        <v>45888.0</v>
      </c>
      <c r="E737" s="12" t="s">
        <v>64</v>
      </c>
      <c r="F737" s="115" t="str">
        <f t="shared" si="1"/>
        <v>Martin A2025-08-1915</v>
      </c>
    </row>
    <row r="738">
      <c r="A738" s="115" t="s">
        <v>50</v>
      </c>
      <c r="B738" s="115" t="s">
        <v>26</v>
      </c>
      <c r="C738" s="115">
        <v>5420.0</v>
      </c>
      <c r="D738" s="116">
        <v>45888.0</v>
      </c>
      <c r="E738" s="12" t="s">
        <v>64</v>
      </c>
      <c r="F738" s="115" t="str">
        <f t="shared" si="1"/>
        <v>Premkumar M2025-08-1915</v>
      </c>
    </row>
    <row r="739">
      <c r="A739" s="115" t="s">
        <v>50</v>
      </c>
      <c r="B739" s="115" t="s">
        <v>27</v>
      </c>
      <c r="C739" s="115">
        <v>4466.0</v>
      </c>
      <c r="D739" s="116">
        <v>45888.0</v>
      </c>
      <c r="E739" s="12" t="s">
        <v>64</v>
      </c>
      <c r="F739" s="115" t="str">
        <f t="shared" si="1"/>
        <v>Vineeth V2025-08-1915</v>
      </c>
    </row>
    <row r="740">
      <c r="A740" s="115" t="s">
        <v>51</v>
      </c>
      <c r="B740" s="115" t="s">
        <v>29</v>
      </c>
      <c r="C740" s="115">
        <v>7418.0</v>
      </c>
      <c r="D740" s="116">
        <v>45888.0</v>
      </c>
      <c r="E740" s="12" t="s">
        <v>64</v>
      </c>
      <c r="F740" s="115" t="str">
        <f t="shared" si="1"/>
        <v>Ashish Jakar2025-08-1915</v>
      </c>
    </row>
    <row r="741">
      <c r="A741" s="115" t="s">
        <v>51</v>
      </c>
      <c r="B741" s="115" t="s">
        <v>30</v>
      </c>
      <c r="C741" s="115">
        <v>7276.0</v>
      </c>
      <c r="D741" s="116">
        <v>45888.0</v>
      </c>
      <c r="E741" s="12" t="s">
        <v>64</v>
      </c>
      <c r="F741" s="115" t="str">
        <f t="shared" si="1"/>
        <v>Ashvani Bhatt2025-08-1915</v>
      </c>
    </row>
    <row r="742">
      <c r="C742" s="115">
        <v>124.0</v>
      </c>
      <c r="D742" s="116">
        <v>45888.0</v>
      </c>
      <c r="E742" s="12" t="s">
        <v>64</v>
      </c>
      <c r="F742" s="115" t="str">
        <f t="shared" si="1"/>
        <v>2025-08-1915</v>
      </c>
    </row>
    <row r="743">
      <c r="A743" s="115" t="s">
        <v>47</v>
      </c>
      <c r="B743" s="115" t="s">
        <v>20</v>
      </c>
      <c r="C743" s="115">
        <v>17605.0</v>
      </c>
      <c r="D743" s="116">
        <v>45888.0</v>
      </c>
      <c r="E743" s="12" t="s">
        <v>65</v>
      </c>
      <c r="F743" s="115" t="str">
        <f t="shared" si="1"/>
        <v>Ashish Ranjan2025-08-1916</v>
      </c>
    </row>
    <row r="744">
      <c r="A744" s="115" t="s">
        <v>47</v>
      </c>
      <c r="B744" s="115" t="s">
        <v>21</v>
      </c>
      <c r="C744" s="115">
        <v>10370.0</v>
      </c>
      <c r="D744" s="116">
        <v>45888.0</v>
      </c>
      <c r="E744" s="12" t="s">
        <v>65</v>
      </c>
      <c r="F744" s="115" t="str">
        <f t="shared" si="1"/>
        <v>Girish Chand2025-08-1916</v>
      </c>
    </row>
    <row r="745">
      <c r="A745" s="115" t="s">
        <v>47</v>
      </c>
      <c r="B745" s="115" t="s">
        <v>22</v>
      </c>
      <c r="C745" s="115">
        <v>7127.0</v>
      </c>
      <c r="D745" s="116">
        <v>45888.0</v>
      </c>
      <c r="E745" s="12" t="s">
        <v>65</v>
      </c>
      <c r="F745" s="115" t="str">
        <f t="shared" si="1"/>
        <v>Parag Kashyap2025-08-1916</v>
      </c>
    </row>
    <row r="746">
      <c r="A746" s="115" t="s">
        <v>49</v>
      </c>
      <c r="B746" s="115" t="s">
        <v>15</v>
      </c>
      <c r="C746" s="115">
        <v>4462.0</v>
      </c>
      <c r="D746" s="116">
        <v>45888.0</v>
      </c>
      <c r="E746" s="12" t="s">
        <v>65</v>
      </c>
      <c r="F746" s="115" t="str">
        <f t="shared" si="1"/>
        <v>Amit Kumar Pathak2025-08-1916</v>
      </c>
    </row>
    <row r="747">
      <c r="A747" s="115" t="s">
        <v>49</v>
      </c>
      <c r="B747" s="115" t="s">
        <v>17</v>
      </c>
      <c r="C747" s="115">
        <v>5044.0</v>
      </c>
      <c r="D747" s="116">
        <v>45888.0</v>
      </c>
      <c r="E747" s="12" t="s">
        <v>65</v>
      </c>
      <c r="F747" s="115" t="str">
        <f t="shared" si="1"/>
        <v>Loveleen Singh2025-08-1916</v>
      </c>
    </row>
    <row r="748">
      <c r="A748" s="115" t="s">
        <v>49</v>
      </c>
      <c r="B748" s="115" t="s">
        <v>16</v>
      </c>
      <c r="C748" s="115">
        <v>11134.0</v>
      </c>
      <c r="D748" s="116">
        <v>45888.0</v>
      </c>
      <c r="E748" s="12" t="s">
        <v>65</v>
      </c>
      <c r="F748" s="115" t="str">
        <f t="shared" si="1"/>
        <v>Manoj Harsh2025-08-1916</v>
      </c>
    </row>
    <row r="749">
      <c r="A749" s="115" t="s">
        <v>49</v>
      </c>
      <c r="B749" s="115" t="s">
        <v>18</v>
      </c>
      <c r="C749" s="115">
        <v>4385.0</v>
      </c>
      <c r="D749" s="116">
        <v>45888.0</v>
      </c>
      <c r="E749" s="12" t="s">
        <v>65</v>
      </c>
      <c r="F749" s="115" t="str">
        <f t="shared" si="1"/>
        <v>Pradeep Kothari2025-08-1916</v>
      </c>
    </row>
    <row r="750">
      <c r="A750" s="115" t="s">
        <v>50</v>
      </c>
      <c r="B750" s="115" t="s">
        <v>24</v>
      </c>
      <c r="C750" s="115">
        <v>7801.0</v>
      </c>
      <c r="D750" s="116">
        <v>45888.0</v>
      </c>
      <c r="E750" s="12" t="s">
        <v>65</v>
      </c>
      <c r="F750" s="115" t="str">
        <f t="shared" si="1"/>
        <v>Kandula Sampath2025-08-1916</v>
      </c>
    </row>
    <row r="751">
      <c r="A751" s="115" t="s">
        <v>50</v>
      </c>
      <c r="B751" s="115" t="s">
        <v>25</v>
      </c>
      <c r="C751" s="115">
        <v>6085.0</v>
      </c>
      <c r="D751" s="116">
        <v>45888.0</v>
      </c>
      <c r="E751" s="12" t="s">
        <v>65</v>
      </c>
      <c r="F751" s="115" t="str">
        <f t="shared" si="1"/>
        <v>Martin A2025-08-1916</v>
      </c>
    </row>
    <row r="752">
      <c r="A752" s="115" t="s">
        <v>50</v>
      </c>
      <c r="B752" s="115" t="s">
        <v>26</v>
      </c>
      <c r="C752" s="115">
        <v>5493.0</v>
      </c>
      <c r="D752" s="116">
        <v>45888.0</v>
      </c>
      <c r="E752" s="12" t="s">
        <v>65</v>
      </c>
      <c r="F752" s="115" t="str">
        <f t="shared" si="1"/>
        <v>Premkumar M2025-08-1916</v>
      </c>
    </row>
    <row r="753">
      <c r="A753" s="115" t="s">
        <v>50</v>
      </c>
      <c r="B753" s="115" t="s">
        <v>27</v>
      </c>
      <c r="C753" s="115">
        <v>4489.0</v>
      </c>
      <c r="D753" s="116">
        <v>45888.0</v>
      </c>
      <c r="E753" s="12" t="s">
        <v>65</v>
      </c>
      <c r="F753" s="115" t="str">
        <f t="shared" si="1"/>
        <v>Vineeth V2025-08-1916</v>
      </c>
    </row>
    <row r="754">
      <c r="A754" s="115" t="s">
        <v>51</v>
      </c>
      <c r="B754" s="115" t="s">
        <v>29</v>
      </c>
      <c r="C754" s="115">
        <v>7541.0</v>
      </c>
      <c r="D754" s="116">
        <v>45888.0</v>
      </c>
      <c r="E754" s="12" t="s">
        <v>65</v>
      </c>
      <c r="F754" s="115" t="str">
        <f t="shared" si="1"/>
        <v>Ashish Jakar2025-08-1916</v>
      </c>
    </row>
    <row r="755">
      <c r="A755" s="115" t="s">
        <v>51</v>
      </c>
      <c r="B755" s="115" t="s">
        <v>30</v>
      </c>
      <c r="C755" s="115">
        <v>7335.0</v>
      </c>
      <c r="D755" s="116">
        <v>45888.0</v>
      </c>
      <c r="E755" s="12" t="s">
        <v>65</v>
      </c>
      <c r="F755" s="115" t="str">
        <f t="shared" si="1"/>
        <v>Ashvani Bhatt2025-08-1916</v>
      </c>
    </row>
    <row r="756">
      <c r="C756" s="115">
        <v>127.0</v>
      </c>
      <c r="D756" s="116">
        <v>45888.0</v>
      </c>
      <c r="E756" s="12" t="s">
        <v>65</v>
      </c>
      <c r="F756" s="115" t="str">
        <f t="shared" si="1"/>
        <v>2025-08-1916</v>
      </c>
    </row>
    <row r="757">
      <c r="A757" s="115" t="s">
        <v>47</v>
      </c>
      <c r="B757" s="115" t="s">
        <v>20</v>
      </c>
      <c r="C757" s="115">
        <v>17733.0</v>
      </c>
      <c r="D757" s="116">
        <v>45888.0</v>
      </c>
      <c r="E757" s="12" t="s">
        <v>3</v>
      </c>
      <c r="F757" s="115" t="str">
        <f t="shared" si="1"/>
        <v>Ashish Ranjan2025-08-1917</v>
      </c>
    </row>
    <row r="758">
      <c r="A758" s="115" t="s">
        <v>47</v>
      </c>
      <c r="B758" s="115" t="s">
        <v>21</v>
      </c>
      <c r="C758" s="115">
        <v>10392.0</v>
      </c>
      <c r="D758" s="116">
        <v>45888.0</v>
      </c>
      <c r="E758" s="12" t="s">
        <v>3</v>
      </c>
      <c r="F758" s="115" t="str">
        <f t="shared" si="1"/>
        <v>Girish Chand2025-08-1917</v>
      </c>
    </row>
    <row r="759">
      <c r="A759" s="115" t="s">
        <v>47</v>
      </c>
      <c r="B759" s="115" t="s">
        <v>22</v>
      </c>
      <c r="C759" s="115">
        <v>7142.0</v>
      </c>
      <c r="D759" s="116">
        <v>45888.0</v>
      </c>
      <c r="E759" s="12" t="s">
        <v>3</v>
      </c>
      <c r="F759" s="115" t="str">
        <f t="shared" si="1"/>
        <v>Parag Kashyap2025-08-1917</v>
      </c>
    </row>
    <row r="760">
      <c r="A760" s="115" t="s">
        <v>49</v>
      </c>
      <c r="B760" s="115" t="s">
        <v>15</v>
      </c>
      <c r="C760" s="115">
        <v>4590.0</v>
      </c>
      <c r="D760" s="116">
        <v>45888.0</v>
      </c>
      <c r="E760" s="12" t="s">
        <v>3</v>
      </c>
      <c r="F760" s="115" t="str">
        <f t="shared" si="1"/>
        <v>Amit Kumar Pathak2025-08-1917</v>
      </c>
    </row>
    <row r="761">
      <c r="A761" s="115" t="s">
        <v>49</v>
      </c>
      <c r="B761" s="115" t="s">
        <v>17</v>
      </c>
      <c r="C761" s="115">
        <v>5055.0</v>
      </c>
      <c r="D761" s="116">
        <v>45888.0</v>
      </c>
      <c r="E761" s="12" t="s">
        <v>3</v>
      </c>
      <c r="F761" s="115" t="str">
        <f t="shared" si="1"/>
        <v>Loveleen Singh2025-08-1917</v>
      </c>
    </row>
    <row r="762">
      <c r="A762" s="115" t="s">
        <v>49</v>
      </c>
      <c r="B762" s="115" t="s">
        <v>16</v>
      </c>
      <c r="C762" s="115">
        <v>11184.0</v>
      </c>
      <c r="D762" s="116">
        <v>45888.0</v>
      </c>
      <c r="E762" s="12" t="s">
        <v>3</v>
      </c>
      <c r="F762" s="115" t="str">
        <f t="shared" si="1"/>
        <v>Manoj Harsh2025-08-1917</v>
      </c>
    </row>
    <row r="763">
      <c r="A763" s="115" t="s">
        <v>49</v>
      </c>
      <c r="B763" s="115" t="s">
        <v>18</v>
      </c>
      <c r="C763" s="115">
        <v>4394.0</v>
      </c>
      <c r="D763" s="116">
        <v>45888.0</v>
      </c>
      <c r="E763" s="12" t="s">
        <v>3</v>
      </c>
      <c r="F763" s="115" t="str">
        <f t="shared" si="1"/>
        <v>Pradeep Kothari2025-08-1917</v>
      </c>
    </row>
    <row r="764">
      <c r="A764" s="115" t="s">
        <v>50</v>
      </c>
      <c r="B764" s="115" t="s">
        <v>24</v>
      </c>
      <c r="C764" s="115">
        <v>7839.0</v>
      </c>
      <c r="D764" s="116">
        <v>45888.0</v>
      </c>
      <c r="E764" s="12" t="s">
        <v>3</v>
      </c>
      <c r="F764" s="115" t="str">
        <f t="shared" si="1"/>
        <v>Kandula Sampath2025-08-1917</v>
      </c>
    </row>
    <row r="765">
      <c r="A765" s="115" t="s">
        <v>50</v>
      </c>
      <c r="B765" s="115" t="s">
        <v>25</v>
      </c>
      <c r="C765" s="115">
        <v>6292.0</v>
      </c>
      <c r="D765" s="116">
        <v>45888.0</v>
      </c>
      <c r="E765" s="12" t="s">
        <v>3</v>
      </c>
      <c r="F765" s="115" t="str">
        <f t="shared" si="1"/>
        <v>Martin A2025-08-1917</v>
      </c>
    </row>
    <row r="766">
      <c r="A766" s="115" t="s">
        <v>50</v>
      </c>
      <c r="B766" s="115" t="s">
        <v>26</v>
      </c>
      <c r="C766" s="115">
        <v>5534.0</v>
      </c>
      <c r="D766" s="116">
        <v>45888.0</v>
      </c>
      <c r="E766" s="12" t="s">
        <v>3</v>
      </c>
      <c r="F766" s="115" t="str">
        <f t="shared" si="1"/>
        <v>Premkumar M2025-08-1917</v>
      </c>
    </row>
    <row r="767">
      <c r="A767" s="115" t="s">
        <v>50</v>
      </c>
      <c r="B767" s="115" t="s">
        <v>27</v>
      </c>
      <c r="C767" s="115">
        <v>4505.0</v>
      </c>
      <c r="D767" s="116">
        <v>45888.0</v>
      </c>
      <c r="E767" s="12" t="s">
        <v>3</v>
      </c>
      <c r="F767" s="115" t="str">
        <f t="shared" si="1"/>
        <v>Vineeth V2025-08-1917</v>
      </c>
    </row>
    <row r="768">
      <c r="A768" s="115" t="s">
        <v>51</v>
      </c>
      <c r="B768" s="115" t="s">
        <v>29</v>
      </c>
      <c r="C768" s="115">
        <v>7721.0</v>
      </c>
      <c r="D768" s="116">
        <v>45888.0</v>
      </c>
      <c r="E768" s="12" t="s">
        <v>3</v>
      </c>
      <c r="F768" s="115" t="str">
        <f t="shared" si="1"/>
        <v>Ashish Jakar2025-08-1917</v>
      </c>
    </row>
    <row r="769">
      <c r="A769" s="115" t="s">
        <v>51</v>
      </c>
      <c r="B769" s="115" t="s">
        <v>30</v>
      </c>
      <c r="C769" s="115">
        <v>7373.0</v>
      </c>
      <c r="D769" s="116">
        <v>45888.0</v>
      </c>
      <c r="E769" s="12" t="s">
        <v>3</v>
      </c>
      <c r="F769" s="115" t="str">
        <f t="shared" si="1"/>
        <v>Ashvani Bhatt2025-08-1917</v>
      </c>
    </row>
    <row r="770">
      <c r="C770" s="115">
        <v>127.0</v>
      </c>
      <c r="D770" s="116">
        <v>45888.0</v>
      </c>
      <c r="E770" s="12" t="s">
        <v>3</v>
      </c>
      <c r="F770" s="115" t="str">
        <f t="shared" si="1"/>
        <v>2025-08-1917</v>
      </c>
    </row>
    <row r="771">
      <c r="A771" s="115" t="s">
        <v>47</v>
      </c>
      <c r="B771" s="115" t="s">
        <v>20</v>
      </c>
      <c r="C771" s="115">
        <v>17794.0</v>
      </c>
      <c r="D771" s="116">
        <v>45888.0</v>
      </c>
      <c r="E771" s="12" t="s">
        <v>53</v>
      </c>
      <c r="F771" s="115" t="str">
        <f t="shared" si="1"/>
        <v>Ashish Ranjan2025-08-1918</v>
      </c>
    </row>
    <row r="772">
      <c r="A772" s="115" t="s">
        <v>47</v>
      </c>
      <c r="B772" s="115" t="s">
        <v>21</v>
      </c>
      <c r="C772" s="115">
        <v>10410.0</v>
      </c>
      <c r="D772" s="116">
        <v>45888.0</v>
      </c>
      <c r="E772" s="12" t="s">
        <v>53</v>
      </c>
      <c r="F772" s="115" t="str">
        <f t="shared" si="1"/>
        <v>Girish Chand2025-08-1918</v>
      </c>
    </row>
    <row r="773">
      <c r="A773" s="115" t="s">
        <v>47</v>
      </c>
      <c r="B773" s="115" t="s">
        <v>22</v>
      </c>
      <c r="C773" s="115">
        <v>7152.0</v>
      </c>
      <c r="D773" s="116">
        <v>45888.0</v>
      </c>
      <c r="E773" s="12" t="s">
        <v>53</v>
      </c>
      <c r="F773" s="115" t="str">
        <f t="shared" si="1"/>
        <v>Parag Kashyap2025-08-1918</v>
      </c>
    </row>
    <row r="774">
      <c r="A774" s="115" t="s">
        <v>49</v>
      </c>
      <c r="B774" s="115" t="s">
        <v>15</v>
      </c>
      <c r="C774" s="115">
        <v>4629.0</v>
      </c>
      <c r="D774" s="116">
        <v>45888.0</v>
      </c>
      <c r="E774" s="12" t="s">
        <v>53</v>
      </c>
      <c r="F774" s="115" t="str">
        <f t="shared" si="1"/>
        <v>Amit Kumar Pathak2025-08-1918</v>
      </c>
    </row>
    <row r="775">
      <c r="A775" s="115" t="s">
        <v>49</v>
      </c>
      <c r="B775" s="115" t="s">
        <v>17</v>
      </c>
      <c r="C775" s="115">
        <v>5074.0</v>
      </c>
      <c r="D775" s="116">
        <v>45888.0</v>
      </c>
      <c r="E775" s="12" t="s">
        <v>53</v>
      </c>
      <c r="F775" s="115" t="str">
        <f t="shared" si="1"/>
        <v>Loveleen Singh2025-08-1918</v>
      </c>
    </row>
    <row r="776">
      <c r="A776" s="115" t="s">
        <v>49</v>
      </c>
      <c r="B776" s="115" t="s">
        <v>16</v>
      </c>
      <c r="C776" s="115">
        <v>11205.0</v>
      </c>
      <c r="D776" s="116">
        <v>45888.0</v>
      </c>
      <c r="E776" s="12" t="s">
        <v>53</v>
      </c>
      <c r="F776" s="115" t="str">
        <f t="shared" si="1"/>
        <v>Manoj Harsh2025-08-1918</v>
      </c>
    </row>
    <row r="777">
      <c r="A777" s="115" t="s">
        <v>49</v>
      </c>
      <c r="B777" s="115" t="s">
        <v>18</v>
      </c>
      <c r="C777" s="115">
        <v>4403.0</v>
      </c>
      <c r="D777" s="116">
        <v>45888.0</v>
      </c>
      <c r="E777" s="12" t="s">
        <v>53</v>
      </c>
      <c r="F777" s="115" t="str">
        <f t="shared" si="1"/>
        <v>Pradeep Kothari2025-08-1918</v>
      </c>
    </row>
    <row r="778">
      <c r="A778" s="115" t="s">
        <v>50</v>
      </c>
      <c r="B778" s="115" t="s">
        <v>24</v>
      </c>
      <c r="C778" s="115">
        <v>7854.0</v>
      </c>
      <c r="D778" s="116">
        <v>45888.0</v>
      </c>
      <c r="E778" s="12" t="s">
        <v>53</v>
      </c>
      <c r="F778" s="115" t="str">
        <f t="shared" si="1"/>
        <v>Kandula Sampath2025-08-1918</v>
      </c>
    </row>
    <row r="779">
      <c r="A779" s="115" t="s">
        <v>50</v>
      </c>
      <c r="B779" s="115" t="s">
        <v>25</v>
      </c>
      <c r="C779" s="115">
        <v>6384.0</v>
      </c>
      <c r="D779" s="116">
        <v>45888.0</v>
      </c>
      <c r="E779" s="12" t="s">
        <v>53</v>
      </c>
      <c r="F779" s="115" t="str">
        <f t="shared" si="1"/>
        <v>Martin A2025-08-1918</v>
      </c>
    </row>
    <row r="780">
      <c r="A780" s="115" t="s">
        <v>50</v>
      </c>
      <c r="B780" s="115" t="s">
        <v>26</v>
      </c>
      <c r="C780" s="115">
        <v>5554.0</v>
      </c>
      <c r="D780" s="116">
        <v>45888.0</v>
      </c>
      <c r="E780" s="12" t="s">
        <v>53</v>
      </c>
      <c r="F780" s="115" t="str">
        <f t="shared" si="1"/>
        <v>Premkumar M2025-08-1918</v>
      </c>
    </row>
    <row r="781">
      <c r="A781" s="115" t="s">
        <v>50</v>
      </c>
      <c r="B781" s="115" t="s">
        <v>27</v>
      </c>
      <c r="C781" s="115">
        <v>4513.0</v>
      </c>
      <c r="D781" s="116">
        <v>45888.0</v>
      </c>
      <c r="E781" s="12" t="s">
        <v>53</v>
      </c>
      <c r="F781" s="115" t="str">
        <f t="shared" si="1"/>
        <v>Vineeth V2025-08-1918</v>
      </c>
    </row>
    <row r="782">
      <c r="A782" s="115" t="s">
        <v>51</v>
      </c>
      <c r="B782" s="115" t="s">
        <v>29</v>
      </c>
      <c r="C782" s="115">
        <v>7806.0</v>
      </c>
      <c r="D782" s="116">
        <v>45888.0</v>
      </c>
      <c r="E782" s="12" t="s">
        <v>53</v>
      </c>
      <c r="F782" s="115" t="str">
        <f t="shared" si="1"/>
        <v>Ashish Jakar2025-08-1918</v>
      </c>
    </row>
    <row r="783">
      <c r="A783" s="115" t="s">
        <v>51</v>
      </c>
      <c r="B783" s="115" t="s">
        <v>30</v>
      </c>
      <c r="C783" s="115">
        <v>7386.0</v>
      </c>
      <c r="D783" s="116">
        <v>45888.0</v>
      </c>
      <c r="E783" s="12" t="s">
        <v>53</v>
      </c>
      <c r="F783" s="115" t="str">
        <f t="shared" si="1"/>
        <v>Ashvani Bhatt2025-08-1918</v>
      </c>
    </row>
    <row r="784">
      <c r="C784" s="115">
        <v>130.0</v>
      </c>
      <c r="D784" s="116">
        <v>45888.0</v>
      </c>
      <c r="E784" s="12" t="s">
        <v>53</v>
      </c>
      <c r="F784" s="115" t="str">
        <f t="shared" si="1"/>
        <v>2025-08-1918</v>
      </c>
    </row>
    <row r="785">
      <c r="A785" s="115" t="s">
        <v>47</v>
      </c>
      <c r="B785" s="115" t="s">
        <v>20</v>
      </c>
      <c r="C785" s="115">
        <v>17841.0</v>
      </c>
      <c r="D785" s="116">
        <v>45888.0</v>
      </c>
      <c r="E785" s="12" t="s">
        <v>55</v>
      </c>
      <c r="F785" s="115" t="str">
        <f t="shared" si="1"/>
        <v>Ashish Ranjan2025-08-1920</v>
      </c>
    </row>
    <row r="786">
      <c r="A786" s="115" t="s">
        <v>47</v>
      </c>
      <c r="B786" s="115" t="s">
        <v>21</v>
      </c>
      <c r="C786" s="115">
        <v>10428.0</v>
      </c>
      <c r="D786" s="116">
        <v>45888.0</v>
      </c>
      <c r="E786" s="12" t="s">
        <v>55</v>
      </c>
      <c r="F786" s="115" t="str">
        <f t="shared" si="1"/>
        <v>Girish Chand2025-08-1920</v>
      </c>
    </row>
    <row r="787">
      <c r="A787" s="115" t="s">
        <v>47</v>
      </c>
      <c r="B787" s="115" t="s">
        <v>22</v>
      </c>
      <c r="C787" s="115">
        <v>7174.0</v>
      </c>
      <c r="D787" s="116">
        <v>45888.0</v>
      </c>
      <c r="E787" s="12" t="s">
        <v>55</v>
      </c>
      <c r="F787" s="115" t="str">
        <f t="shared" si="1"/>
        <v>Parag Kashyap2025-08-1920</v>
      </c>
    </row>
    <row r="788">
      <c r="A788" s="115" t="s">
        <v>49</v>
      </c>
      <c r="B788" s="115" t="s">
        <v>15</v>
      </c>
      <c r="C788" s="115">
        <v>4654.0</v>
      </c>
      <c r="D788" s="116">
        <v>45888.0</v>
      </c>
      <c r="E788" s="12" t="s">
        <v>55</v>
      </c>
      <c r="F788" s="115" t="str">
        <f t="shared" si="1"/>
        <v>Amit Kumar Pathak2025-08-1920</v>
      </c>
    </row>
    <row r="789">
      <c r="A789" s="115" t="s">
        <v>49</v>
      </c>
      <c r="B789" s="115" t="s">
        <v>17</v>
      </c>
      <c r="C789" s="115">
        <v>5085.0</v>
      </c>
      <c r="D789" s="116">
        <v>45888.0</v>
      </c>
      <c r="E789" s="12" t="s">
        <v>55</v>
      </c>
      <c r="F789" s="115" t="str">
        <f t="shared" si="1"/>
        <v>Loveleen Singh2025-08-1920</v>
      </c>
    </row>
    <row r="790">
      <c r="A790" s="115" t="s">
        <v>49</v>
      </c>
      <c r="B790" s="115" t="s">
        <v>16</v>
      </c>
      <c r="C790" s="115">
        <v>11236.0</v>
      </c>
      <c r="D790" s="116">
        <v>45888.0</v>
      </c>
      <c r="E790" s="12" t="s">
        <v>55</v>
      </c>
      <c r="F790" s="115" t="str">
        <f t="shared" si="1"/>
        <v>Manoj Harsh2025-08-1920</v>
      </c>
    </row>
    <row r="791">
      <c r="A791" s="115" t="s">
        <v>49</v>
      </c>
      <c r="B791" s="115" t="s">
        <v>18</v>
      </c>
      <c r="C791" s="115">
        <v>4415.0</v>
      </c>
      <c r="D791" s="116">
        <v>45888.0</v>
      </c>
      <c r="E791" s="12" t="s">
        <v>55</v>
      </c>
      <c r="F791" s="115" t="str">
        <f t="shared" si="1"/>
        <v>Pradeep Kothari2025-08-1920</v>
      </c>
    </row>
    <row r="792">
      <c r="A792" s="115" t="s">
        <v>50</v>
      </c>
      <c r="B792" s="115" t="s">
        <v>24</v>
      </c>
      <c r="C792" s="115">
        <v>7872.0</v>
      </c>
      <c r="D792" s="116">
        <v>45888.0</v>
      </c>
      <c r="E792" s="12" t="s">
        <v>55</v>
      </c>
      <c r="F792" s="115" t="str">
        <f t="shared" si="1"/>
        <v>Kandula Sampath2025-08-1920</v>
      </c>
    </row>
    <row r="793">
      <c r="A793" s="115" t="s">
        <v>50</v>
      </c>
      <c r="B793" s="115" t="s">
        <v>25</v>
      </c>
      <c r="C793" s="115">
        <v>6452.0</v>
      </c>
      <c r="D793" s="116">
        <v>45888.0</v>
      </c>
      <c r="E793" s="12" t="s">
        <v>55</v>
      </c>
      <c r="F793" s="115" t="str">
        <f t="shared" si="1"/>
        <v>Martin A2025-08-1920</v>
      </c>
    </row>
    <row r="794">
      <c r="A794" s="115" t="s">
        <v>50</v>
      </c>
      <c r="B794" s="115" t="s">
        <v>26</v>
      </c>
      <c r="C794" s="115">
        <v>5569.0</v>
      </c>
      <c r="D794" s="116">
        <v>45888.0</v>
      </c>
      <c r="E794" s="12" t="s">
        <v>55</v>
      </c>
      <c r="F794" s="115" t="str">
        <f t="shared" si="1"/>
        <v>Premkumar M2025-08-1920</v>
      </c>
    </row>
    <row r="795">
      <c r="A795" s="115" t="s">
        <v>50</v>
      </c>
      <c r="B795" s="115" t="s">
        <v>27</v>
      </c>
      <c r="C795" s="115">
        <v>4523.0</v>
      </c>
      <c r="D795" s="116">
        <v>45888.0</v>
      </c>
      <c r="E795" s="12" t="s">
        <v>55</v>
      </c>
      <c r="F795" s="115" t="str">
        <f t="shared" si="1"/>
        <v>Vineeth V2025-08-1920</v>
      </c>
    </row>
    <row r="796">
      <c r="A796" s="115" t="s">
        <v>51</v>
      </c>
      <c r="B796" s="115" t="s">
        <v>29</v>
      </c>
      <c r="C796" s="115">
        <v>7848.0</v>
      </c>
      <c r="D796" s="116">
        <v>45888.0</v>
      </c>
      <c r="E796" s="12" t="s">
        <v>55</v>
      </c>
      <c r="F796" s="115" t="str">
        <f t="shared" si="1"/>
        <v>Ashish Jakar2025-08-1920</v>
      </c>
    </row>
    <row r="797">
      <c r="A797" s="115" t="s">
        <v>51</v>
      </c>
      <c r="B797" s="115" t="s">
        <v>30</v>
      </c>
      <c r="C797" s="115">
        <v>7399.0</v>
      </c>
      <c r="D797" s="116">
        <v>45888.0</v>
      </c>
      <c r="E797" s="12" t="s">
        <v>55</v>
      </c>
      <c r="F797" s="115" t="str">
        <f t="shared" si="1"/>
        <v>Ashvani Bhatt2025-08-1920</v>
      </c>
    </row>
    <row r="798">
      <c r="C798" s="115">
        <v>133.0</v>
      </c>
      <c r="D798" s="116">
        <v>45888.0</v>
      </c>
      <c r="E798" s="12" t="s">
        <v>55</v>
      </c>
      <c r="F798" s="115" t="str">
        <f t="shared" si="1"/>
        <v>2025-08-1920</v>
      </c>
    </row>
    <row r="799">
      <c r="A799" s="115" t="s">
        <v>47</v>
      </c>
      <c r="B799" s="115" t="s">
        <v>20</v>
      </c>
      <c r="C799" s="115">
        <v>17856.0</v>
      </c>
      <c r="D799" s="116">
        <v>45888.0</v>
      </c>
      <c r="E799" s="12" t="s">
        <v>56</v>
      </c>
      <c r="F799" s="115" t="str">
        <f t="shared" si="1"/>
        <v>Ashish Ranjan2025-08-1921</v>
      </c>
    </row>
    <row r="800">
      <c r="A800" s="115" t="s">
        <v>47</v>
      </c>
      <c r="B800" s="115" t="s">
        <v>21</v>
      </c>
      <c r="C800" s="115">
        <v>10435.0</v>
      </c>
      <c r="D800" s="116">
        <v>45888.0</v>
      </c>
      <c r="E800" s="12" t="s">
        <v>56</v>
      </c>
      <c r="F800" s="115" t="str">
        <f t="shared" si="1"/>
        <v>Girish Chand2025-08-1921</v>
      </c>
    </row>
    <row r="801">
      <c r="A801" s="115" t="s">
        <v>47</v>
      </c>
      <c r="B801" s="115" t="s">
        <v>22</v>
      </c>
      <c r="C801" s="115">
        <v>7181.0</v>
      </c>
      <c r="D801" s="116">
        <v>45888.0</v>
      </c>
      <c r="E801" s="12" t="s">
        <v>56</v>
      </c>
      <c r="F801" s="115" t="str">
        <f t="shared" si="1"/>
        <v>Parag Kashyap2025-08-1921</v>
      </c>
    </row>
    <row r="802">
      <c r="A802" s="115" t="s">
        <v>49</v>
      </c>
      <c r="B802" s="115" t="s">
        <v>15</v>
      </c>
      <c r="C802" s="115">
        <v>4661.0</v>
      </c>
      <c r="D802" s="116">
        <v>45888.0</v>
      </c>
      <c r="E802" s="12" t="s">
        <v>56</v>
      </c>
      <c r="F802" s="115" t="str">
        <f t="shared" si="1"/>
        <v>Amit Kumar Pathak2025-08-1921</v>
      </c>
    </row>
    <row r="803">
      <c r="A803" s="115" t="s">
        <v>49</v>
      </c>
      <c r="B803" s="115" t="s">
        <v>17</v>
      </c>
      <c r="C803" s="115">
        <v>5090.0</v>
      </c>
      <c r="D803" s="116">
        <v>45888.0</v>
      </c>
      <c r="E803" s="12" t="s">
        <v>56</v>
      </c>
      <c r="F803" s="115" t="str">
        <f t="shared" si="1"/>
        <v>Loveleen Singh2025-08-1921</v>
      </c>
    </row>
    <row r="804">
      <c r="A804" s="115" t="s">
        <v>49</v>
      </c>
      <c r="B804" s="115" t="s">
        <v>16</v>
      </c>
      <c r="C804" s="115">
        <v>11240.0</v>
      </c>
      <c r="D804" s="116">
        <v>45888.0</v>
      </c>
      <c r="E804" s="12" t="s">
        <v>56</v>
      </c>
      <c r="F804" s="115" t="str">
        <f t="shared" si="1"/>
        <v>Manoj Harsh2025-08-1921</v>
      </c>
    </row>
    <row r="805">
      <c r="A805" s="115" t="s">
        <v>49</v>
      </c>
      <c r="B805" s="115" t="s">
        <v>18</v>
      </c>
      <c r="C805" s="115">
        <v>4416.0</v>
      </c>
      <c r="D805" s="116">
        <v>45888.0</v>
      </c>
      <c r="E805" s="12" t="s">
        <v>56</v>
      </c>
      <c r="F805" s="115" t="str">
        <f t="shared" si="1"/>
        <v>Pradeep Kothari2025-08-1921</v>
      </c>
    </row>
    <row r="806">
      <c r="A806" s="115" t="s">
        <v>50</v>
      </c>
      <c r="B806" s="115" t="s">
        <v>24</v>
      </c>
      <c r="C806" s="115">
        <v>7877.0</v>
      </c>
      <c r="D806" s="116">
        <v>45888.0</v>
      </c>
      <c r="E806" s="12" t="s">
        <v>56</v>
      </c>
      <c r="F806" s="115" t="str">
        <f t="shared" si="1"/>
        <v>Kandula Sampath2025-08-1921</v>
      </c>
    </row>
    <row r="807">
      <c r="A807" s="115" t="s">
        <v>50</v>
      </c>
      <c r="B807" s="115" t="s">
        <v>25</v>
      </c>
      <c r="C807" s="115">
        <v>6459.0</v>
      </c>
      <c r="D807" s="116">
        <v>45888.0</v>
      </c>
      <c r="E807" s="12" t="s">
        <v>56</v>
      </c>
      <c r="F807" s="115" t="str">
        <f t="shared" si="1"/>
        <v>Martin A2025-08-1921</v>
      </c>
    </row>
    <row r="808">
      <c r="A808" s="115" t="s">
        <v>50</v>
      </c>
      <c r="B808" s="115" t="s">
        <v>26</v>
      </c>
      <c r="C808" s="115">
        <v>5573.0</v>
      </c>
      <c r="D808" s="116">
        <v>45888.0</v>
      </c>
      <c r="E808" s="12" t="s">
        <v>56</v>
      </c>
      <c r="F808" s="115" t="str">
        <f t="shared" si="1"/>
        <v>Premkumar M2025-08-1921</v>
      </c>
    </row>
    <row r="809">
      <c r="A809" s="115" t="s">
        <v>50</v>
      </c>
      <c r="B809" s="115" t="s">
        <v>27</v>
      </c>
      <c r="C809" s="115">
        <v>4523.0</v>
      </c>
      <c r="D809" s="116">
        <v>45888.0</v>
      </c>
      <c r="E809" s="12" t="s">
        <v>56</v>
      </c>
      <c r="F809" s="115" t="str">
        <f t="shared" si="1"/>
        <v>Vineeth V2025-08-1921</v>
      </c>
    </row>
    <row r="810">
      <c r="A810" s="115" t="s">
        <v>51</v>
      </c>
      <c r="B810" s="115" t="s">
        <v>29</v>
      </c>
      <c r="C810" s="115">
        <v>7858.0</v>
      </c>
      <c r="D810" s="116">
        <v>45888.0</v>
      </c>
      <c r="E810" s="12" t="s">
        <v>56</v>
      </c>
      <c r="F810" s="115" t="str">
        <f t="shared" si="1"/>
        <v>Ashish Jakar2025-08-1921</v>
      </c>
    </row>
    <row r="811">
      <c r="A811" s="115" t="s">
        <v>51</v>
      </c>
      <c r="B811" s="115" t="s">
        <v>30</v>
      </c>
      <c r="C811" s="115">
        <v>7402.0</v>
      </c>
      <c r="D811" s="116">
        <v>45888.0</v>
      </c>
      <c r="E811" s="12" t="s">
        <v>56</v>
      </c>
      <c r="F811" s="115" t="str">
        <f t="shared" si="1"/>
        <v>Ashvani Bhatt2025-08-1921</v>
      </c>
    </row>
    <row r="812">
      <c r="C812" s="115">
        <v>133.0</v>
      </c>
      <c r="D812" s="116">
        <v>45888.0</v>
      </c>
      <c r="E812" s="12" t="s">
        <v>56</v>
      </c>
      <c r="F812" s="115" t="str">
        <f t="shared" si="1"/>
        <v>2025-08-1921</v>
      </c>
    </row>
    <row r="813">
      <c r="A813" s="115" t="s">
        <v>47</v>
      </c>
      <c r="B813" s="115" t="s">
        <v>20</v>
      </c>
      <c r="C813" s="115">
        <v>17868.0</v>
      </c>
      <c r="D813" s="116">
        <v>45888.0</v>
      </c>
      <c r="E813" s="12" t="s">
        <v>57</v>
      </c>
      <c r="F813" s="115" t="str">
        <f t="shared" si="1"/>
        <v>Ashish Ranjan2025-08-1922</v>
      </c>
    </row>
    <row r="814">
      <c r="A814" s="115" t="s">
        <v>47</v>
      </c>
      <c r="B814" s="115" t="s">
        <v>21</v>
      </c>
      <c r="C814" s="115">
        <v>10436.0</v>
      </c>
      <c r="D814" s="116">
        <v>45888.0</v>
      </c>
      <c r="E814" s="12" t="s">
        <v>57</v>
      </c>
      <c r="F814" s="115" t="str">
        <f t="shared" si="1"/>
        <v>Girish Chand2025-08-1922</v>
      </c>
    </row>
    <row r="815">
      <c r="A815" s="115" t="s">
        <v>47</v>
      </c>
      <c r="B815" s="115" t="s">
        <v>22</v>
      </c>
      <c r="C815" s="115">
        <v>7182.0</v>
      </c>
      <c r="D815" s="116">
        <v>45888.0</v>
      </c>
      <c r="E815" s="12" t="s">
        <v>57</v>
      </c>
      <c r="F815" s="115" t="str">
        <f t="shared" si="1"/>
        <v>Parag Kashyap2025-08-1922</v>
      </c>
    </row>
    <row r="816">
      <c r="A816" s="115" t="s">
        <v>49</v>
      </c>
      <c r="B816" s="115" t="s">
        <v>15</v>
      </c>
      <c r="C816" s="115">
        <v>4661.0</v>
      </c>
      <c r="D816" s="116">
        <v>45888.0</v>
      </c>
      <c r="E816" s="12" t="s">
        <v>57</v>
      </c>
      <c r="F816" s="115" t="str">
        <f t="shared" si="1"/>
        <v>Amit Kumar Pathak2025-08-1922</v>
      </c>
    </row>
    <row r="817">
      <c r="A817" s="115" t="s">
        <v>49</v>
      </c>
      <c r="B817" s="115" t="s">
        <v>17</v>
      </c>
      <c r="C817" s="115">
        <v>5091.0</v>
      </c>
      <c r="D817" s="116">
        <v>45888.0</v>
      </c>
      <c r="E817" s="12" t="s">
        <v>57</v>
      </c>
      <c r="F817" s="115" t="str">
        <f t="shared" si="1"/>
        <v>Loveleen Singh2025-08-1922</v>
      </c>
    </row>
    <row r="818">
      <c r="A818" s="115" t="s">
        <v>49</v>
      </c>
      <c r="B818" s="115" t="s">
        <v>16</v>
      </c>
      <c r="C818" s="115">
        <v>11243.0</v>
      </c>
      <c r="D818" s="116">
        <v>45888.0</v>
      </c>
      <c r="E818" s="12" t="s">
        <v>57</v>
      </c>
      <c r="F818" s="115" t="str">
        <f t="shared" si="1"/>
        <v>Manoj Harsh2025-08-1922</v>
      </c>
    </row>
    <row r="819">
      <c r="A819" s="115" t="s">
        <v>49</v>
      </c>
      <c r="B819" s="115" t="s">
        <v>18</v>
      </c>
      <c r="C819" s="115">
        <v>4417.0</v>
      </c>
      <c r="D819" s="116">
        <v>45888.0</v>
      </c>
      <c r="E819" s="12" t="s">
        <v>57</v>
      </c>
      <c r="F819" s="115" t="str">
        <f t="shared" si="1"/>
        <v>Pradeep Kothari2025-08-1922</v>
      </c>
    </row>
    <row r="820">
      <c r="A820" s="115" t="s">
        <v>50</v>
      </c>
      <c r="B820" s="115" t="s">
        <v>24</v>
      </c>
      <c r="C820" s="115">
        <v>7882.0</v>
      </c>
      <c r="D820" s="116">
        <v>45888.0</v>
      </c>
      <c r="E820" s="12" t="s">
        <v>57</v>
      </c>
      <c r="F820" s="115" t="str">
        <f t="shared" si="1"/>
        <v>Kandula Sampath2025-08-1922</v>
      </c>
    </row>
    <row r="821">
      <c r="A821" s="115" t="s">
        <v>50</v>
      </c>
      <c r="B821" s="115" t="s">
        <v>25</v>
      </c>
      <c r="C821" s="115">
        <v>6461.0</v>
      </c>
      <c r="D821" s="116">
        <v>45888.0</v>
      </c>
      <c r="E821" s="12" t="s">
        <v>57</v>
      </c>
      <c r="F821" s="115" t="str">
        <f t="shared" si="1"/>
        <v>Martin A2025-08-1922</v>
      </c>
    </row>
    <row r="822">
      <c r="A822" s="115" t="s">
        <v>50</v>
      </c>
      <c r="B822" s="115" t="s">
        <v>26</v>
      </c>
      <c r="C822" s="115">
        <v>5576.0</v>
      </c>
      <c r="D822" s="116">
        <v>45888.0</v>
      </c>
      <c r="E822" s="12" t="s">
        <v>57</v>
      </c>
      <c r="F822" s="115" t="str">
        <f t="shared" si="1"/>
        <v>Premkumar M2025-08-1922</v>
      </c>
    </row>
    <row r="823">
      <c r="A823" s="115" t="s">
        <v>50</v>
      </c>
      <c r="B823" s="115" t="s">
        <v>27</v>
      </c>
      <c r="C823" s="115">
        <v>4525.0</v>
      </c>
      <c r="D823" s="116">
        <v>45888.0</v>
      </c>
      <c r="E823" s="12" t="s">
        <v>57</v>
      </c>
      <c r="F823" s="115" t="str">
        <f t="shared" si="1"/>
        <v>Vineeth V2025-08-1922</v>
      </c>
    </row>
    <row r="824">
      <c r="A824" s="115" t="s">
        <v>51</v>
      </c>
      <c r="B824" s="115" t="s">
        <v>29</v>
      </c>
      <c r="C824" s="115">
        <v>7862.0</v>
      </c>
      <c r="D824" s="116">
        <v>45888.0</v>
      </c>
      <c r="E824" s="12" t="s">
        <v>57</v>
      </c>
      <c r="F824" s="115" t="str">
        <f t="shared" si="1"/>
        <v>Ashish Jakar2025-08-1922</v>
      </c>
    </row>
    <row r="825">
      <c r="A825" s="115" t="s">
        <v>51</v>
      </c>
      <c r="B825" s="115" t="s">
        <v>30</v>
      </c>
      <c r="C825" s="115">
        <v>7404.0</v>
      </c>
      <c r="D825" s="116">
        <v>45888.0</v>
      </c>
      <c r="E825" s="12" t="s">
        <v>57</v>
      </c>
      <c r="F825" s="115" t="str">
        <f t="shared" si="1"/>
        <v>Ashvani Bhatt2025-08-1922</v>
      </c>
    </row>
    <row r="826">
      <c r="C826" s="115">
        <v>133.0</v>
      </c>
      <c r="D826" s="116">
        <v>45888.0</v>
      </c>
      <c r="E826" s="12" t="s">
        <v>57</v>
      </c>
      <c r="F826" s="115" t="str">
        <f t="shared" si="1"/>
        <v>2025-08-1922</v>
      </c>
    </row>
    <row r="827">
      <c r="A827" s="115" t="s">
        <v>47</v>
      </c>
      <c r="B827" s="115" t="s">
        <v>20</v>
      </c>
      <c r="C827" s="115">
        <v>8172.0</v>
      </c>
      <c r="D827" s="116">
        <v>45889.0</v>
      </c>
      <c r="E827" s="12" t="s">
        <v>59</v>
      </c>
      <c r="F827" s="115" t="str">
        <f t="shared" si="1"/>
        <v>Ashish Ranjan2025-08-2009</v>
      </c>
    </row>
    <row r="828">
      <c r="A828" s="115" t="s">
        <v>47</v>
      </c>
      <c r="B828" s="115" t="s">
        <v>21</v>
      </c>
      <c r="C828" s="115">
        <v>4167.0</v>
      </c>
      <c r="D828" s="116">
        <v>45889.0</v>
      </c>
      <c r="E828" s="12" t="s">
        <v>59</v>
      </c>
      <c r="F828" s="115" t="str">
        <f t="shared" si="1"/>
        <v>Girish Chand2025-08-2009</v>
      </c>
    </row>
    <row r="829">
      <c r="A829" s="115" t="s">
        <v>47</v>
      </c>
      <c r="B829" s="115" t="s">
        <v>22</v>
      </c>
      <c r="C829" s="115">
        <v>2691.0</v>
      </c>
      <c r="D829" s="116">
        <v>45889.0</v>
      </c>
      <c r="E829" s="12" t="s">
        <v>59</v>
      </c>
      <c r="F829" s="115" t="str">
        <f t="shared" si="1"/>
        <v>Parag Kashyap2025-08-2009</v>
      </c>
    </row>
    <row r="830">
      <c r="A830" s="115" t="s">
        <v>49</v>
      </c>
      <c r="B830" s="115" t="s">
        <v>15</v>
      </c>
      <c r="C830" s="115">
        <v>2084.0</v>
      </c>
      <c r="D830" s="116">
        <v>45889.0</v>
      </c>
      <c r="E830" s="12" t="s">
        <v>59</v>
      </c>
      <c r="F830" s="115" t="str">
        <f t="shared" si="1"/>
        <v>Amit Kumar Pathak2025-08-2009</v>
      </c>
    </row>
    <row r="831">
      <c r="A831" s="115" t="s">
        <v>49</v>
      </c>
      <c r="B831" s="115" t="s">
        <v>17</v>
      </c>
      <c r="C831" s="115">
        <v>1476.0</v>
      </c>
      <c r="D831" s="116">
        <v>45889.0</v>
      </c>
      <c r="E831" s="12" t="s">
        <v>59</v>
      </c>
      <c r="F831" s="115" t="str">
        <f t="shared" si="1"/>
        <v>Loveleen Singh2025-08-2009</v>
      </c>
    </row>
    <row r="832">
      <c r="A832" s="115" t="s">
        <v>49</v>
      </c>
      <c r="B832" s="115" t="s">
        <v>16</v>
      </c>
      <c r="C832" s="115">
        <v>3543.0</v>
      </c>
      <c r="D832" s="116">
        <v>45889.0</v>
      </c>
      <c r="E832" s="12" t="s">
        <v>59</v>
      </c>
      <c r="F832" s="115" t="str">
        <f t="shared" si="1"/>
        <v>Manoj Harsh2025-08-2009</v>
      </c>
    </row>
    <row r="833">
      <c r="A833" s="115" t="s">
        <v>49</v>
      </c>
      <c r="B833" s="115" t="s">
        <v>18</v>
      </c>
      <c r="C833" s="115">
        <v>1687.0</v>
      </c>
      <c r="D833" s="116">
        <v>45889.0</v>
      </c>
      <c r="E833" s="12" t="s">
        <v>59</v>
      </c>
      <c r="F833" s="115" t="str">
        <f t="shared" si="1"/>
        <v>Pradeep Kothari2025-08-2009</v>
      </c>
    </row>
    <row r="834">
      <c r="A834" s="115" t="s">
        <v>50</v>
      </c>
      <c r="B834" s="115" t="s">
        <v>24</v>
      </c>
      <c r="C834" s="115">
        <v>3788.0</v>
      </c>
      <c r="D834" s="116">
        <v>45889.0</v>
      </c>
      <c r="E834" s="12" t="s">
        <v>59</v>
      </c>
      <c r="F834" s="115" t="str">
        <f t="shared" si="1"/>
        <v>Kandula Sampath2025-08-2009</v>
      </c>
    </row>
    <row r="835">
      <c r="A835" s="115" t="s">
        <v>50</v>
      </c>
      <c r="B835" s="115" t="s">
        <v>25</v>
      </c>
      <c r="C835" s="115">
        <v>2947.0</v>
      </c>
      <c r="D835" s="116">
        <v>45889.0</v>
      </c>
      <c r="E835" s="12" t="s">
        <v>59</v>
      </c>
      <c r="F835" s="115" t="str">
        <f t="shared" si="1"/>
        <v>Martin A2025-08-2009</v>
      </c>
    </row>
    <row r="836">
      <c r="A836" s="115" t="s">
        <v>50</v>
      </c>
      <c r="B836" s="115" t="s">
        <v>26</v>
      </c>
      <c r="C836" s="115">
        <v>1490.0</v>
      </c>
      <c r="D836" s="116">
        <v>45889.0</v>
      </c>
      <c r="E836" s="12" t="s">
        <v>59</v>
      </c>
      <c r="F836" s="115" t="str">
        <f t="shared" si="1"/>
        <v>Premkumar M2025-08-2009</v>
      </c>
    </row>
    <row r="837">
      <c r="A837" s="115" t="s">
        <v>50</v>
      </c>
      <c r="B837" s="115" t="s">
        <v>27</v>
      </c>
      <c r="C837" s="115">
        <v>700.0</v>
      </c>
      <c r="D837" s="116">
        <v>45889.0</v>
      </c>
      <c r="E837" s="12" t="s">
        <v>59</v>
      </c>
      <c r="F837" s="115" t="str">
        <f t="shared" si="1"/>
        <v>Vineeth V2025-08-2009</v>
      </c>
    </row>
    <row r="838">
      <c r="A838" s="115" t="s">
        <v>51</v>
      </c>
      <c r="B838" s="115" t="s">
        <v>29</v>
      </c>
      <c r="C838" s="115">
        <v>2015.0</v>
      </c>
      <c r="D838" s="116">
        <v>45889.0</v>
      </c>
      <c r="E838" s="12" t="s">
        <v>59</v>
      </c>
      <c r="F838" s="115" t="str">
        <f t="shared" si="1"/>
        <v>Ashish Jakar2025-08-2009</v>
      </c>
    </row>
    <row r="839">
      <c r="A839" s="115" t="s">
        <v>51</v>
      </c>
      <c r="B839" s="115" t="s">
        <v>30</v>
      </c>
      <c r="C839" s="115">
        <v>2763.0</v>
      </c>
      <c r="D839" s="116">
        <v>45889.0</v>
      </c>
      <c r="E839" s="12" t="s">
        <v>59</v>
      </c>
      <c r="F839" s="115" t="str">
        <f t="shared" si="1"/>
        <v>Ashvani Bhatt2025-08-2009</v>
      </c>
    </row>
    <row r="840">
      <c r="C840" s="115">
        <v>41.0</v>
      </c>
      <c r="D840" s="116">
        <v>45889.0</v>
      </c>
      <c r="E840" s="12" t="s">
        <v>59</v>
      </c>
      <c r="F840" s="115" t="str">
        <f t="shared" si="1"/>
        <v>2025-08-2009</v>
      </c>
    </row>
    <row r="841">
      <c r="A841" s="115" t="s">
        <v>47</v>
      </c>
      <c r="B841" s="115" t="s">
        <v>20</v>
      </c>
      <c r="C841" s="115">
        <v>16830.0</v>
      </c>
      <c r="D841" s="116">
        <v>45889.0</v>
      </c>
      <c r="E841" s="12" t="s">
        <v>62</v>
      </c>
      <c r="F841" s="115" t="str">
        <f t="shared" si="1"/>
        <v>Ashish Ranjan2025-08-2012</v>
      </c>
    </row>
    <row r="842">
      <c r="A842" s="115" t="s">
        <v>47</v>
      </c>
      <c r="B842" s="115" t="s">
        <v>21</v>
      </c>
      <c r="C842" s="115">
        <v>10526.0</v>
      </c>
      <c r="D842" s="116">
        <v>45889.0</v>
      </c>
      <c r="E842" s="12" t="s">
        <v>62</v>
      </c>
      <c r="F842" s="115" t="str">
        <f t="shared" si="1"/>
        <v>Girish Chand2025-08-2012</v>
      </c>
    </row>
    <row r="843">
      <c r="A843" s="115" t="s">
        <v>47</v>
      </c>
      <c r="B843" s="115" t="s">
        <v>22</v>
      </c>
      <c r="C843" s="115">
        <v>6746.0</v>
      </c>
      <c r="D843" s="116">
        <v>45889.0</v>
      </c>
      <c r="E843" s="12" t="s">
        <v>62</v>
      </c>
      <c r="F843" s="115" t="str">
        <f t="shared" si="1"/>
        <v>Parag Kashyap2025-08-2012</v>
      </c>
    </row>
    <row r="844">
      <c r="A844" s="115" t="s">
        <v>49</v>
      </c>
      <c r="B844" s="115" t="s">
        <v>15</v>
      </c>
      <c r="C844" s="115">
        <v>3812.0</v>
      </c>
      <c r="D844" s="116">
        <v>45889.0</v>
      </c>
      <c r="E844" s="12" t="s">
        <v>62</v>
      </c>
      <c r="F844" s="115" t="str">
        <f t="shared" si="1"/>
        <v>Amit Kumar Pathak2025-08-2012</v>
      </c>
    </row>
    <row r="845">
      <c r="A845" s="115" t="s">
        <v>49</v>
      </c>
      <c r="B845" s="115" t="s">
        <v>17</v>
      </c>
      <c r="C845" s="115">
        <v>4467.0</v>
      </c>
      <c r="D845" s="116">
        <v>45889.0</v>
      </c>
      <c r="E845" s="12" t="s">
        <v>62</v>
      </c>
      <c r="F845" s="115" t="str">
        <f t="shared" si="1"/>
        <v>Loveleen Singh2025-08-2012</v>
      </c>
    </row>
    <row r="846">
      <c r="A846" s="115" t="s">
        <v>49</v>
      </c>
      <c r="B846" s="115" t="s">
        <v>16</v>
      </c>
      <c r="C846" s="115">
        <v>10158.0</v>
      </c>
      <c r="D846" s="116">
        <v>45889.0</v>
      </c>
      <c r="E846" s="12" t="s">
        <v>62</v>
      </c>
      <c r="F846" s="115" t="str">
        <f t="shared" si="1"/>
        <v>Manoj Harsh2025-08-2012</v>
      </c>
    </row>
    <row r="847">
      <c r="A847" s="115" t="s">
        <v>49</v>
      </c>
      <c r="B847" s="115" t="s">
        <v>18</v>
      </c>
      <c r="C847" s="115">
        <v>4234.0</v>
      </c>
      <c r="D847" s="116">
        <v>45889.0</v>
      </c>
      <c r="E847" s="12" t="s">
        <v>62</v>
      </c>
      <c r="F847" s="115" t="str">
        <f t="shared" si="1"/>
        <v>Pradeep Kothari2025-08-2012</v>
      </c>
    </row>
    <row r="848">
      <c r="A848" s="115" t="s">
        <v>50</v>
      </c>
      <c r="B848" s="115" t="s">
        <v>24</v>
      </c>
      <c r="C848" s="115">
        <v>7471.0</v>
      </c>
      <c r="D848" s="116">
        <v>45889.0</v>
      </c>
      <c r="E848" s="12" t="s">
        <v>62</v>
      </c>
      <c r="F848" s="115" t="str">
        <f t="shared" si="1"/>
        <v>Kandula Sampath2025-08-2012</v>
      </c>
    </row>
    <row r="849">
      <c r="A849" s="115" t="s">
        <v>50</v>
      </c>
      <c r="B849" s="115" t="s">
        <v>25</v>
      </c>
      <c r="C849" s="115">
        <v>5602.0</v>
      </c>
      <c r="D849" s="116">
        <v>45889.0</v>
      </c>
      <c r="E849" s="12" t="s">
        <v>62</v>
      </c>
      <c r="F849" s="115" t="str">
        <f t="shared" si="1"/>
        <v>Martin A2025-08-2012</v>
      </c>
    </row>
    <row r="850">
      <c r="A850" s="115" t="s">
        <v>50</v>
      </c>
      <c r="B850" s="115" t="s">
        <v>26</v>
      </c>
      <c r="C850" s="115">
        <v>4806.0</v>
      </c>
      <c r="D850" s="116">
        <v>45889.0</v>
      </c>
      <c r="E850" s="12" t="s">
        <v>62</v>
      </c>
      <c r="F850" s="115" t="str">
        <f t="shared" si="1"/>
        <v>Premkumar M2025-08-2012</v>
      </c>
    </row>
    <row r="851">
      <c r="A851" s="115" t="s">
        <v>50</v>
      </c>
      <c r="B851" s="115" t="s">
        <v>27</v>
      </c>
      <c r="C851" s="115">
        <v>4095.0</v>
      </c>
      <c r="D851" s="116">
        <v>45889.0</v>
      </c>
      <c r="E851" s="12" t="s">
        <v>62</v>
      </c>
      <c r="F851" s="115" t="str">
        <f t="shared" si="1"/>
        <v>Vineeth V2025-08-2012</v>
      </c>
    </row>
    <row r="852">
      <c r="A852" s="115" t="s">
        <v>51</v>
      </c>
      <c r="B852" s="115" t="s">
        <v>29</v>
      </c>
      <c r="C852" s="115">
        <v>6879.0</v>
      </c>
      <c r="D852" s="116">
        <v>45889.0</v>
      </c>
      <c r="E852" s="12" t="s">
        <v>62</v>
      </c>
      <c r="F852" s="115" t="str">
        <f t="shared" si="1"/>
        <v>Ashish Jakar2025-08-2012</v>
      </c>
    </row>
    <row r="853">
      <c r="A853" s="115" t="s">
        <v>51</v>
      </c>
      <c r="B853" s="115" t="s">
        <v>30</v>
      </c>
      <c r="C853" s="115">
        <v>6619.0</v>
      </c>
      <c r="D853" s="116">
        <v>45889.0</v>
      </c>
      <c r="E853" s="12" t="s">
        <v>62</v>
      </c>
      <c r="F853" s="115" t="str">
        <f t="shared" si="1"/>
        <v>Ashvani Bhatt2025-08-2012</v>
      </c>
    </row>
    <row r="854">
      <c r="C854" s="115">
        <v>79.0</v>
      </c>
      <c r="D854" s="116">
        <v>45889.0</v>
      </c>
      <c r="E854" s="12" t="s">
        <v>62</v>
      </c>
      <c r="F854" s="115" t="str">
        <f t="shared" si="1"/>
        <v>2025-08-2012</v>
      </c>
    </row>
    <row r="855">
      <c r="A855" s="115" t="s">
        <v>47</v>
      </c>
      <c r="B855" s="115" t="s">
        <v>20</v>
      </c>
      <c r="C855" s="115">
        <v>17239.0</v>
      </c>
      <c r="D855" s="116">
        <v>45889.0</v>
      </c>
      <c r="E855" s="12" t="s">
        <v>48</v>
      </c>
      <c r="F855" s="115" t="str">
        <f t="shared" si="1"/>
        <v>Ashish Ranjan2025-08-2013</v>
      </c>
    </row>
    <row r="856">
      <c r="A856" s="115" t="s">
        <v>47</v>
      </c>
      <c r="B856" s="115" t="s">
        <v>21</v>
      </c>
      <c r="C856" s="115">
        <v>10813.0</v>
      </c>
      <c r="D856" s="116">
        <v>45889.0</v>
      </c>
      <c r="E856" s="12" t="s">
        <v>48</v>
      </c>
      <c r="F856" s="115" t="str">
        <f t="shared" si="1"/>
        <v>Girish Chand2025-08-2013</v>
      </c>
    </row>
    <row r="857">
      <c r="A857" s="115" t="s">
        <v>47</v>
      </c>
      <c r="B857" s="115" t="s">
        <v>22</v>
      </c>
      <c r="C857" s="115">
        <v>6991.0</v>
      </c>
      <c r="D857" s="116">
        <v>45889.0</v>
      </c>
      <c r="E857" s="12" t="s">
        <v>48</v>
      </c>
      <c r="F857" s="115" t="str">
        <f t="shared" si="1"/>
        <v>Parag Kashyap2025-08-2013</v>
      </c>
    </row>
    <row r="858">
      <c r="A858" s="115" t="s">
        <v>49</v>
      </c>
      <c r="B858" s="115" t="s">
        <v>15</v>
      </c>
      <c r="C858" s="115">
        <v>3962.0</v>
      </c>
      <c r="D858" s="116">
        <v>45889.0</v>
      </c>
      <c r="E858" s="12" t="s">
        <v>48</v>
      </c>
      <c r="F858" s="115" t="str">
        <f t="shared" si="1"/>
        <v>Amit Kumar Pathak2025-08-2013</v>
      </c>
    </row>
    <row r="859">
      <c r="A859" s="115" t="s">
        <v>49</v>
      </c>
      <c r="B859" s="115" t="s">
        <v>17</v>
      </c>
      <c r="C859" s="115">
        <v>4736.0</v>
      </c>
      <c r="D859" s="116">
        <v>45889.0</v>
      </c>
      <c r="E859" s="12" t="s">
        <v>48</v>
      </c>
      <c r="F859" s="115" t="str">
        <f t="shared" si="1"/>
        <v>Loveleen Singh2025-08-2013</v>
      </c>
    </row>
    <row r="860">
      <c r="A860" s="115" t="s">
        <v>49</v>
      </c>
      <c r="B860" s="115" t="s">
        <v>16</v>
      </c>
      <c r="C860" s="115">
        <v>10627.0</v>
      </c>
      <c r="D860" s="116">
        <v>45889.0</v>
      </c>
      <c r="E860" s="12" t="s">
        <v>48</v>
      </c>
      <c r="F860" s="115" t="str">
        <f t="shared" si="1"/>
        <v>Manoj Harsh2025-08-2013</v>
      </c>
    </row>
    <row r="861">
      <c r="A861" s="115" t="s">
        <v>49</v>
      </c>
      <c r="B861" s="115" t="s">
        <v>18</v>
      </c>
      <c r="C861" s="115">
        <v>4378.0</v>
      </c>
      <c r="D861" s="116">
        <v>45889.0</v>
      </c>
      <c r="E861" s="12" t="s">
        <v>48</v>
      </c>
      <c r="F861" s="115" t="str">
        <f t="shared" si="1"/>
        <v>Pradeep Kothari2025-08-2013</v>
      </c>
    </row>
    <row r="862">
      <c r="A862" s="115" t="s">
        <v>50</v>
      </c>
      <c r="B862" s="115" t="s">
        <v>24</v>
      </c>
      <c r="C862" s="115">
        <v>7644.0</v>
      </c>
      <c r="D862" s="116">
        <v>45889.0</v>
      </c>
      <c r="E862" s="12" t="s">
        <v>48</v>
      </c>
      <c r="F862" s="115" t="str">
        <f t="shared" si="1"/>
        <v>Kandula Sampath2025-08-2013</v>
      </c>
    </row>
    <row r="863">
      <c r="A863" s="115" t="s">
        <v>50</v>
      </c>
      <c r="B863" s="115" t="s">
        <v>25</v>
      </c>
      <c r="C863" s="115">
        <v>5798.0</v>
      </c>
      <c r="D863" s="116">
        <v>45889.0</v>
      </c>
      <c r="E863" s="12" t="s">
        <v>48</v>
      </c>
      <c r="F863" s="115" t="str">
        <f t="shared" si="1"/>
        <v>Martin A2025-08-2013</v>
      </c>
    </row>
    <row r="864">
      <c r="A864" s="115" t="s">
        <v>50</v>
      </c>
      <c r="B864" s="115" t="s">
        <v>26</v>
      </c>
      <c r="C864" s="115">
        <v>5094.0</v>
      </c>
      <c r="D864" s="116">
        <v>45889.0</v>
      </c>
      <c r="E864" s="12" t="s">
        <v>48</v>
      </c>
      <c r="F864" s="115" t="str">
        <f t="shared" si="1"/>
        <v>Premkumar M2025-08-2013</v>
      </c>
    </row>
    <row r="865">
      <c r="A865" s="115" t="s">
        <v>50</v>
      </c>
      <c r="B865" s="115" t="s">
        <v>27</v>
      </c>
      <c r="C865" s="115">
        <v>4315.0</v>
      </c>
      <c r="D865" s="116">
        <v>45889.0</v>
      </c>
      <c r="E865" s="12" t="s">
        <v>48</v>
      </c>
      <c r="F865" s="115" t="str">
        <f t="shared" si="1"/>
        <v>Vineeth V2025-08-2013</v>
      </c>
    </row>
    <row r="866">
      <c r="A866" s="115" t="s">
        <v>51</v>
      </c>
      <c r="B866" s="115" t="s">
        <v>29</v>
      </c>
      <c r="C866" s="115">
        <v>7512.0</v>
      </c>
      <c r="D866" s="116">
        <v>45889.0</v>
      </c>
      <c r="E866" s="12" t="s">
        <v>48</v>
      </c>
      <c r="F866" s="115" t="str">
        <f t="shared" si="1"/>
        <v>Ashish Jakar2025-08-2013</v>
      </c>
    </row>
    <row r="867">
      <c r="A867" s="115" t="s">
        <v>51</v>
      </c>
      <c r="B867" s="115" t="s">
        <v>30</v>
      </c>
      <c r="C867" s="115">
        <v>6998.0</v>
      </c>
      <c r="D867" s="116">
        <v>45889.0</v>
      </c>
      <c r="E867" s="12" t="s">
        <v>48</v>
      </c>
      <c r="F867" s="115" t="str">
        <f t="shared" si="1"/>
        <v>Ashvani Bhatt2025-08-2013</v>
      </c>
    </row>
    <row r="868">
      <c r="C868" s="115">
        <v>95.0</v>
      </c>
      <c r="D868" s="116">
        <v>45889.0</v>
      </c>
      <c r="E868" s="12" t="s">
        <v>48</v>
      </c>
      <c r="F868" s="115" t="str">
        <f t="shared" si="1"/>
        <v>2025-08-2013</v>
      </c>
    </row>
    <row r="869">
      <c r="A869" s="115" t="s">
        <v>47</v>
      </c>
      <c r="B869" s="115" t="s">
        <v>20</v>
      </c>
      <c r="C869" s="115">
        <v>17521.0</v>
      </c>
      <c r="D869" s="116">
        <v>45889.0</v>
      </c>
      <c r="E869" s="12" t="s">
        <v>63</v>
      </c>
      <c r="F869" s="115" t="str">
        <f t="shared" si="1"/>
        <v>Ashish Ranjan2025-08-2014</v>
      </c>
    </row>
    <row r="870">
      <c r="A870" s="115" t="s">
        <v>47</v>
      </c>
      <c r="B870" s="115" t="s">
        <v>21</v>
      </c>
      <c r="C870" s="115">
        <v>10984.0</v>
      </c>
      <c r="D870" s="116">
        <v>45889.0</v>
      </c>
      <c r="E870" s="12" t="s">
        <v>63</v>
      </c>
      <c r="F870" s="115" t="str">
        <f t="shared" si="1"/>
        <v>Girish Chand2025-08-2014</v>
      </c>
    </row>
    <row r="871">
      <c r="A871" s="115" t="s">
        <v>47</v>
      </c>
      <c r="B871" s="115" t="s">
        <v>22</v>
      </c>
      <c r="C871" s="115">
        <v>7067.0</v>
      </c>
      <c r="D871" s="116">
        <v>45889.0</v>
      </c>
      <c r="E871" s="12" t="s">
        <v>63</v>
      </c>
      <c r="F871" s="115" t="str">
        <f t="shared" si="1"/>
        <v>Parag Kashyap2025-08-2014</v>
      </c>
    </row>
    <row r="872">
      <c r="A872" s="115" t="s">
        <v>49</v>
      </c>
      <c r="B872" s="115" t="s">
        <v>15</v>
      </c>
      <c r="C872" s="115">
        <v>4076.0</v>
      </c>
      <c r="D872" s="116">
        <v>45889.0</v>
      </c>
      <c r="E872" s="12" t="s">
        <v>63</v>
      </c>
      <c r="F872" s="115" t="str">
        <f t="shared" si="1"/>
        <v>Amit Kumar Pathak2025-08-2014</v>
      </c>
    </row>
    <row r="873">
      <c r="A873" s="115" t="s">
        <v>49</v>
      </c>
      <c r="B873" s="115" t="s">
        <v>17</v>
      </c>
      <c r="C873" s="115">
        <v>4884.0</v>
      </c>
      <c r="D873" s="116">
        <v>45889.0</v>
      </c>
      <c r="E873" s="12" t="s">
        <v>63</v>
      </c>
      <c r="F873" s="115" t="str">
        <f t="shared" si="1"/>
        <v>Loveleen Singh2025-08-2014</v>
      </c>
    </row>
    <row r="874">
      <c r="A874" s="115" t="s">
        <v>49</v>
      </c>
      <c r="B874" s="115" t="s">
        <v>16</v>
      </c>
      <c r="C874" s="115">
        <v>10935.0</v>
      </c>
      <c r="D874" s="116">
        <v>45889.0</v>
      </c>
      <c r="E874" s="12" t="s">
        <v>63</v>
      </c>
      <c r="F874" s="115" t="str">
        <f t="shared" si="1"/>
        <v>Manoj Harsh2025-08-2014</v>
      </c>
    </row>
    <row r="875">
      <c r="A875" s="115" t="s">
        <v>49</v>
      </c>
      <c r="B875" s="115" t="s">
        <v>18</v>
      </c>
      <c r="C875" s="115">
        <v>4449.0</v>
      </c>
      <c r="D875" s="116">
        <v>45889.0</v>
      </c>
      <c r="E875" s="12" t="s">
        <v>63</v>
      </c>
      <c r="F875" s="115" t="str">
        <f t="shared" si="1"/>
        <v>Pradeep Kothari2025-08-2014</v>
      </c>
    </row>
    <row r="876">
      <c r="A876" s="115" t="s">
        <v>50</v>
      </c>
      <c r="B876" s="115" t="s">
        <v>24</v>
      </c>
      <c r="C876" s="115">
        <v>7725.0</v>
      </c>
      <c r="D876" s="116">
        <v>45889.0</v>
      </c>
      <c r="E876" s="12" t="s">
        <v>63</v>
      </c>
      <c r="F876" s="115" t="str">
        <f t="shared" si="1"/>
        <v>Kandula Sampath2025-08-2014</v>
      </c>
    </row>
    <row r="877">
      <c r="A877" s="115" t="s">
        <v>50</v>
      </c>
      <c r="B877" s="115" t="s">
        <v>25</v>
      </c>
      <c r="C877" s="115">
        <v>5893.0</v>
      </c>
      <c r="D877" s="116">
        <v>45889.0</v>
      </c>
      <c r="E877" s="12" t="s">
        <v>63</v>
      </c>
      <c r="F877" s="115" t="str">
        <f t="shared" si="1"/>
        <v>Martin A2025-08-2014</v>
      </c>
    </row>
    <row r="878">
      <c r="A878" s="115" t="s">
        <v>50</v>
      </c>
      <c r="B878" s="115" t="s">
        <v>26</v>
      </c>
      <c r="C878" s="115">
        <v>5228.0</v>
      </c>
      <c r="D878" s="116">
        <v>45889.0</v>
      </c>
      <c r="E878" s="12" t="s">
        <v>63</v>
      </c>
      <c r="F878" s="115" t="str">
        <f t="shared" si="1"/>
        <v>Premkumar M2025-08-2014</v>
      </c>
    </row>
    <row r="879">
      <c r="A879" s="115" t="s">
        <v>50</v>
      </c>
      <c r="B879" s="115" t="s">
        <v>27</v>
      </c>
      <c r="C879" s="115">
        <v>4389.0</v>
      </c>
      <c r="D879" s="116">
        <v>45889.0</v>
      </c>
      <c r="E879" s="12" t="s">
        <v>63</v>
      </c>
      <c r="F879" s="115" t="str">
        <f t="shared" si="1"/>
        <v>Vineeth V2025-08-2014</v>
      </c>
    </row>
    <row r="880">
      <c r="A880" s="115" t="s">
        <v>51</v>
      </c>
      <c r="B880" s="115" t="s">
        <v>29</v>
      </c>
      <c r="C880" s="115">
        <v>7869.0</v>
      </c>
      <c r="D880" s="116">
        <v>45889.0</v>
      </c>
      <c r="E880" s="12" t="s">
        <v>63</v>
      </c>
      <c r="F880" s="115" t="str">
        <f t="shared" si="1"/>
        <v>Ashish Jakar2025-08-2014</v>
      </c>
    </row>
    <row r="881">
      <c r="A881" s="115" t="s">
        <v>51</v>
      </c>
      <c r="B881" s="115" t="s">
        <v>30</v>
      </c>
      <c r="C881" s="115">
        <v>7213.0</v>
      </c>
      <c r="D881" s="116">
        <v>45889.0</v>
      </c>
      <c r="E881" s="12" t="s">
        <v>63</v>
      </c>
      <c r="F881" s="115" t="str">
        <f t="shared" si="1"/>
        <v>Ashvani Bhatt2025-08-2014</v>
      </c>
    </row>
    <row r="882">
      <c r="C882" s="115">
        <v>97.0</v>
      </c>
      <c r="D882" s="116">
        <v>45889.0</v>
      </c>
      <c r="E882" s="12" t="s">
        <v>63</v>
      </c>
      <c r="F882" s="115" t="str">
        <f t="shared" si="1"/>
        <v>2025-08-2014</v>
      </c>
    </row>
    <row r="883">
      <c r="A883" s="115" t="s">
        <v>47</v>
      </c>
      <c r="B883" s="115" t="s">
        <v>20</v>
      </c>
      <c r="C883" s="115">
        <v>17718.0</v>
      </c>
      <c r="D883" s="116">
        <v>45889.0</v>
      </c>
      <c r="E883" s="12" t="s">
        <v>64</v>
      </c>
      <c r="F883" s="115" t="str">
        <f t="shared" si="1"/>
        <v>Ashish Ranjan2025-08-2015</v>
      </c>
    </row>
    <row r="884">
      <c r="A884" s="115" t="s">
        <v>47</v>
      </c>
      <c r="B884" s="115" t="s">
        <v>21</v>
      </c>
      <c r="C884" s="115">
        <v>11066.0</v>
      </c>
      <c r="D884" s="116">
        <v>45889.0</v>
      </c>
      <c r="E884" s="12" t="s">
        <v>64</v>
      </c>
      <c r="F884" s="115" t="str">
        <f t="shared" si="1"/>
        <v>Girish Chand2025-08-2015</v>
      </c>
    </row>
    <row r="885">
      <c r="A885" s="115" t="s">
        <v>47</v>
      </c>
      <c r="B885" s="115" t="s">
        <v>22</v>
      </c>
      <c r="C885" s="115">
        <v>7099.0</v>
      </c>
      <c r="D885" s="116">
        <v>45889.0</v>
      </c>
      <c r="E885" s="12" t="s">
        <v>64</v>
      </c>
      <c r="F885" s="115" t="str">
        <f t="shared" si="1"/>
        <v>Parag Kashyap2025-08-2015</v>
      </c>
    </row>
    <row r="886">
      <c r="A886" s="115" t="s">
        <v>49</v>
      </c>
      <c r="B886" s="115" t="s">
        <v>15</v>
      </c>
      <c r="C886" s="115">
        <v>4266.0</v>
      </c>
      <c r="D886" s="116">
        <v>45889.0</v>
      </c>
      <c r="E886" s="12" t="s">
        <v>64</v>
      </c>
      <c r="F886" s="115" t="str">
        <f t="shared" si="1"/>
        <v>Amit Kumar Pathak2025-08-2015</v>
      </c>
    </row>
    <row r="887">
      <c r="A887" s="115" t="s">
        <v>49</v>
      </c>
      <c r="B887" s="115" t="s">
        <v>17</v>
      </c>
      <c r="C887" s="115">
        <v>4958.0</v>
      </c>
      <c r="D887" s="116">
        <v>45889.0</v>
      </c>
      <c r="E887" s="12" t="s">
        <v>64</v>
      </c>
      <c r="F887" s="115" t="str">
        <f t="shared" si="1"/>
        <v>Loveleen Singh2025-08-2015</v>
      </c>
    </row>
    <row r="888">
      <c r="A888" s="115" t="s">
        <v>49</v>
      </c>
      <c r="B888" s="115" t="s">
        <v>16</v>
      </c>
      <c r="C888" s="115">
        <v>11075.0</v>
      </c>
      <c r="D888" s="116">
        <v>45889.0</v>
      </c>
      <c r="E888" s="12" t="s">
        <v>64</v>
      </c>
      <c r="F888" s="115" t="str">
        <f t="shared" si="1"/>
        <v>Manoj Harsh2025-08-2015</v>
      </c>
    </row>
    <row r="889">
      <c r="A889" s="115" t="s">
        <v>49</v>
      </c>
      <c r="B889" s="115" t="s">
        <v>18</v>
      </c>
      <c r="C889" s="115">
        <v>4507.0</v>
      </c>
      <c r="D889" s="116">
        <v>45889.0</v>
      </c>
      <c r="E889" s="12" t="s">
        <v>64</v>
      </c>
      <c r="F889" s="115" t="str">
        <f t="shared" si="1"/>
        <v>Pradeep Kothari2025-08-2015</v>
      </c>
    </row>
    <row r="890">
      <c r="A890" s="115" t="s">
        <v>50</v>
      </c>
      <c r="B890" s="115" t="s">
        <v>24</v>
      </c>
      <c r="C890" s="115">
        <v>7822.0</v>
      </c>
      <c r="D890" s="116">
        <v>45889.0</v>
      </c>
      <c r="E890" s="12" t="s">
        <v>64</v>
      </c>
      <c r="F890" s="115" t="str">
        <f t="shared" si="1"/>
        <v>Kandula Sampath2025-08-2015</v>
      </c>
    </row>
    <row r="891">
      <c r="A891" s="115" t="s">
        <v>50</v>
      </c>
      <c r="B891" s="115" t="s">
        <v>25</v>
      </c>
      <c r="C891" s="115">
        <v>5974.0</v>
      </c>
      <c r="D891" s="116">
        <v>45889.0</v>
      </c>
      <c r="E891" s="12" t="s">
        <v>64</v>
      </c>
      <c r="F891" s="115" t="str">
        <f t="shared" si="1"/>
        <v>Martin A2025-08-2015</v>
      </c>
    </row>
    <row r="892">
      <c r="A892" s="115" t="s">
        <v>50</v>
      </c>
      <c r="B892" s="115" t="s">
        <v>26</v>
      </c>
      <c r="C892" s="115">
        <v>5315.0</v>
      </c>
      <c r="D892" s="116">
        <v>45889.0</v>
      </c>
      <c r="E892" s="12" t="s">
        <v>64</v>
      </c>
      <c r="F892" s="115" t="str">
        <f t="shared" si="1"/>
        <v>Premkumar M2025-08-2015</v>
      </c>
    </row>
    <row r="893">
      <c r="A893" s="115" t="s">
        <v>50</v>
      </c>
      <c r="B893" s="115" t="s">
        <v>27</v>
      </c>
      <c r="C893" s="115">
        <v>4438.0</v>
      </c>
      <c r="D893" s="116">
        <v>45889.0</v>
      </c>
      <c r="E893" s="12" t="s">
        <v>64</v>
      </c>
      <c r="F893" s="115" t="str">
        <f t="shared" si="1"/>
        <v>Vineeth V2025-08-2015</v>
      </c>
    </row>
    <row r="894">
      <c r="A894" s="115" t="s">
        <v>51</v>
      </c>
      <c r="B894" s="115" t="s">
        <v>29</v>
      </c>
      <c r="C894" s="115">
        <v>8099.0</v>
      </c>
      <c r="D894" s="116">
        <v>45889.0</v>
      </c>
      <c r="E894" s="12" t="s">
        <v>64</v>
      </c>
      <c r="F894" s="115" t="str">
        <f t="shared" si="1"/>
        <v>Ashish Jakar2025-08-2015</v>
      </c>
    </row>
    <row r="895">
      <c r="A895" s="115" t="s">
        <v>51</v>
      </c>
      <c r="B895" s="115" t="s">
        <v>30</v>
      </c>
      <c r="C895" s="115">
        <v>7330.0</v>
      </c>
      <c r="D895" s="116">
        <v>45889.0</v>
      </c>
      <c r="E895" s="12" t="s">
        <v>64</v>
      </c>
      <c r="F895" s="115" t="str">
        <f t="shared" si="1"/>
        <v>Ashvani Bhatt2025-08-2015</v>
      </c>
    </row>
    <row r="896">
      <c r="C896" s="115">
        <v>97.0</v>
      </c>
      <c r="D896" s="116">
        <v>45889.0</v>
      </c>
      <c r="E896" s="12" t="s">
        <v>64</v>
      </c>
      <c r="F896" s="115" t="str">
        <f t="shared" si="1"/>
        <v>2025-08-2015</v>
      </c>
    </row>
    <row r="897">
      <c r="A897" s="115" t="s">
        <v>47</v>
      </c>
      <c r="B897" s="115" t="s">
        <v>20</v>
      </c>
      <c r="C897" s="115">
        <v>17861.0</v>
      </c>
      <c r="D897" s="116">
        <v>45889.0</v>
      </c>
      <c r="E897" s="12" t="s">
        <v>65</v>
      </c>
      <c r="F897" s="115" t="str">
        <f t="shared" si="1"/>
        <v>Ashish Ranjan2025-08-2016</v>
      </c>
    </row>
    <row r="898">
      <c r="A898" s="115" t="s">
        <v>47</v>
      </c>
      <c r="B898" s="115" t="s">
        <v>21</v>
      </c>
      <c r="C898" s="115">
        <v>11118.0</v>
      </c>
      <c r="D898" s="116">
        <v>45889.0</v>
      </c>
      <c r="E898" s="12" t="s">
        <v>65</v>
      </c>
      <c r="F898" s="115" t="str">
        <f t="shared" si="1"/>
        <v>Girish Chand2025-08-2016</v>
      </c>
    </row>
    <row r="899">
      <c r="A899" s="115" t="s">
        <v>47</v>
      </c>
      <c r="B899" s="115" t="s">
        <v>22</v>
      </c>
      <c r="C899" s="115">
        <v>7120.0</v>
      </c>
      <c r="D899" s="116">
        <v>45889.0</v>
      </c>
      <c r="E899" s="12" t="s">
        <v>65</v>
      </c>
      <c r="F899" s="115" t="str">
        <f t="shared" si="1"/>
        <v>Parag Kashyap2025-08-2016</v>
      </c>
    </row>
    <row r="900">
      <c r="A900" s="115" t="s">
        <v>49</v>
      </c>
      <c r="B900" s="115" t="s">
        <v>15</v>
      </c>
      <c r="C900" s="115">
        <v>4518.0</v>
      </c>
      <c r="D900" s="116">
        <v>45889.0</v>
      </c>
      <c r="E900" s="12" t="s">
        <v>65</v>
      </c>
      <c r="F900" s="115" t="str">
        <f t="shared" si="1"/>
        <v>Amit Kumar Pathak2025-08-2016</v>
      </c>
    </row>
    <row r="901">
      <c r="A901" s="115" t="s">
        <v>49</v>
      </c>
      <c r="B901" s="115" t="s">
        <v>17</v>
      </c>
      <c r="C901" s="115">
        <v>5010.0</v>
      </c>
      <c r="D901" s="116">
        <v>45889.0</v>
      </c>
      <c r="E901" s="12" t="s">
        <v>65</v>
      </c>
      <c r="F901" s="115" t="str">
        <f t="shared" si="1"/>
        <v>Loveleen Singh2025-08-2016</v>
      </c>
    </row>
    <row r="902">
      <c r="A902" s="115" t="s">
        <v>49</v>
      </c>
      <c r="B902" s="115" t="s">
        <v>16</v>
      </c>
      <c r="C902" s="115">
        <v>11141.0</v>
      </c>
      <c r="D902" s="116">
        <v>45889.0</v>
      </c>
      <c r="E902" s="12" t="s">
        <v>65</v>
      </c>
      <c r="F902" s="115" t="str">
        <f t="shared" si="1"/>
        <v>Manoj Harsh2025-08-2016</v>
      </c>
    </row>
    <row r="903">
      <c r="A903" s="115" t="s">
        <v>49</v>
      </c>
      <c r="B903" s="115" t="s">
        <v>18</v>
      </c>
      <c r="C903" s="115">
        <v>4550.0</v>
      </c>
      <c r="D903" s="116">
        <v>45889.0</v>
      </c>
      <c r="E903" s="12" t="s">
        <v>65</v>
      </c>
      <c r="F903" s="115" t="str">
        <f t="shared" si="1"/>
        <v>Pradeep Kothari2025-08-2016</v>
      </c>
    </row>
    <row r="904">
      <c r="A904" s="115" t="s">
        <v>50</v>
      </c>
      <c r="B904" s="115" t="s">
        <v>24</v>
      </c>
      <c r="C904" s="115">
        <v>7933.0</v>
      </c>
      <c r="D904" s="116">
        <v>45889.0</v>
      </c>
      <c r="E904" s="12" t="s">
        <v>65</v>
      </c>
      <c r="F904" s="115" t="str">
        <f t="shared" si="1"/>
        <v>Kandula Sampath2025-08-2016</v>
      </c>
    </row>
    <row r="905">
      <c r="A905" s="115" t="s">
        <v>50</v>
      </c>
      <c r="B905" s="115" t="s">
        <v>25</v>
      </c>
      <c r="C905" s="115">
        <v>6218.0</v>
      </c>
      <c r="D905" s="116">
        <v>45889.0</v>
      </c>
      <c r="E905" s="12" t="s">
        <v>65</v>
      </c>
      <c r="F905" s="115" t="str">
        <f t="shared" si="1"/>
        <v>Martin A2025-08-2016</v>
      </c>
    </row>
    <row r="906">
      <c r="A906" s="115" t="s">
        <v>50</v>
      </c>
      <c r="B906" s="115" t="s">
        <v>26</v>
      </c>
      <c r="C906" s="115">
        <v>5374.0</v>
      </c>
      <c r="D906" s="116">
        <v>45889.0</v>
      </c>
      <c r="E906" s="12" t="s">
        <v>65</v>
      </c>
      <c r="F906" s="115" t="str">
        <f t="shared" si="1"/>
        <v>Premkumar M2025-08-2016</v>
      </c>
    </row>
    <row r="907">
      <c r="A907" s="115" t="s">
        <v>50</v>
      </c>
      <c r="B907" s="115" t="s">
        <v>27</v>
      </c>
      <c r="C907" s="115">
        <v>4459.0</v>
      </c>
      <c r="D907" s="116">
        <v>45889.0</v>
      </c>
      <c r="E907" s="12" t="s">
        <v>65</v>
      </c>
      <c r="F907" s="115" t="str">
        <f t="shared" si="1"/>
        <v>Vineeth V2025-08-2016</v>
      </c>
    </row>
    <row r="908">
      <c r="A908" s="115" t="s">
        <v>51</v>
      </c>
      <c r="B908" s="115" t="s">
        <v>29</v>
      </c>
      <c r="C908" s="115">
        <v>8324.0</v>
      </c>
      <c r="D908" s="116">
        <v>45889.0</v>
      </c>
      <c r="E908" s="12" t="s">
        <v>65</v>
      </c>
      <c r="F908" s="115" t="str">
        <f t="shared" si="1"/>
        <v>Ashish Jakar2025-08-2016</v>
      </c>
    </row>
    <row r="909">
      <c r="A909" s="115" t="s">
        <v>51</v>
      </c>
      <c r="B909" s="115" t="s">
        <v>30</v>
      </c>
      <c r="C909" s="115">
        <v>7389.0</v>
      </c>
      <c r="D909" s="116">
        <v>45889.0</v>
      </c>
      <c r="E909" s="12" t="s">
        <v>65</v>
      </c>
      <c r="F909" s="115" t="str">
        <f t="shared" si="1"/>
        <v>Ashvani Bhatt2025-08-2016</v>
      </c>
    </row>
    <row r="910">
      <c r="C910" s="115">
        <v>99.0</v>
      </c>
      <c r="D910" s="116">
        <v>45889.0</v>
      </c>
      <c r="E910" s="12" t="s">
        <v>65</v>
      </c>
      <c r="F910" s="115" t="str">
        <f t="shared" si="1"/>
        <v>2025-08-2016</v>
      </c>
    </row>
    <row r="911">
      <c r="A911" s="115" t="s">
        <v>47</v>
      </c>
      <c r="B911" s="115" t="s">
        <v>20</v>
      </c>
      <c r="C911" s="115">
        <v>17978.0</v>
      </c>
      <c r="D911" s="116">
        <v>45889.0</v>
      </c>
      <c r="E911" s="12" t="s">
        <v>3</v>
      </c>
      <c r="F911" s="115" t="str">
        <f t="shared" si="1"/>
        <v>Ashish Ranjan2025-08-2017</v>
      </c>
    </row>
    <row r="912">
      <c r="A912" s="115" t="s">
        <v>47</v>
      </c>
      <c r="B912" s="115" t="s">
        <v>21</v>
      </c>
      <c r="C912" s="115">
        <v>11143.0</v>
      </c>
      <c r="D912" s="116">
        <v>45889.0</v>
      </c>
      <c r="E912" s="12" t="s">
        <v>3</v>
      </c>
      <c r="F912" s="115" t="str">
        <f t="shared" si="1"/>
        <v>Girish Chand2025-08-2017</v>
      </c>
    </row>
    <row r="913">
      <c r="A913" s="115" t="s">
        <v>47</v>
      </c>
      <c r="B913" s="115" t="s">
        <v>22</v>
      </c>
      <c r="C913" s="115">
        <v>7131.0</v>
      </c>
      <c r="D913" s="116">
        <v>45889.0</v>
      </c>
      <c r="E913" s="12" t="s">
        <v>3</v>
      </c>
      <c r="F913" s="115" t="str">
        <f t="shared" si="1"/>
        <v>Parag Kashyap2025-08-2017</v>
      </c>
    </row>
    <row r="914">
      <c r="A914" s="115" t="s">
        <v>49</v>
      </c>
      <c r="B914" s="115" t="s">
        <v>15</v>
      </c>
      <c r="C914" s="115">
        <v>4626.0</v>
      </c>
      <c r="D914" s="116">
        <v>45889.0</v>
      </c>
      <c r="E914" s="12" t="s">
        <v>3</v>
      </c>
      <c r="F914" s="115" t="str">
        <f t="shared" si="1"/>
        <v>Amit Kumar Pathak2025-08-2017</v>
      </c>
    </row>
    <row r="915">
      <c r="A915" s="115" t="s">
        <v>49</v>
      </c>
      <c r="B915" s="115" t="s">
        <v>17</v>
      </c>
      <c r="C915" s="115">
        <v>5035.0</v>
      </c>
      <c r="D915" s="116">
        <v>45889.0</v>
      </c>
      <c r="E915" s="12" t="s">
        <v>3</v>
      </c>
      <c r="F915" s="115" t="str">
        <f t="shared" si="1"/>
        <v>Loveleen Singh2025-08-2017</v>
      </c>
    </row>
    <row r="916">
      <c r="A916" s="115" t="s">
        <v>49</v>
      </c>
      <c r="B916" s="115" t="s">
        <v>16</v>
      </c>
      <c r="C916" s="115">
        <v>11185.0</v>
      </c>
      <c r="D916" s="116">
        <v>45889.0</v>
      </c>
      <c r="E916" s="12" t="s">
        <v>3</v>
      </c>
      <c r="F916" s="115" t="str">
        <f t="shared" si="1"/>
        <v>Manoj Harsh2025-08-2017</v>
      </c>
    </row>
    <row r="917">
      <c r="A917" s="115" t="s">
        <v>49</v>
      </c>
      <c r="B917" s="115" t="s">
        <v>18</v>
      </c>
      <c r="C917" s="115">
        <v>4570.0</v>
      </c>
      <c r="D917" s="116">
        <v>45889.0</v>
      </c>
      <c r="E917" s="12" t="s">
        <v>3</v>
      </c>
      <c r="F917" s="115" t="str">
        <f t="shared" si="1"/>
        <v>Pradeep Kothari2025-08-2017</v>
      </c>
    </row>
    <row r="918">
      <c r="A918" s="115" t="s">
        <v>50</v>
      </c>
      <c r="B918" s="115" t="s">
        <v>24</v>
      </c>
      <c r="C918" s="115">
        <v>7960.0</v>
      </c>
      <c r="D918" s="116">
        <v>45889.0</v>
      </c>
      <c r="E918" s="12" t="s">
        <v>3</v>
      </c>
      <c r="F918" s="115" t="str">
        <f t="shared" si="1"/>
        <v>Kandula Sampath2025-08-2017</v>
      </c>
    </row>
    <row r="919">
      <c r="A919" s="115" t="s">
        <v>50</v>
      </c>
      <c r="B919" s="115" t="s">
        <v>25</v>
      </c>
      <c r="C919" s="115">
        <v>6414.0</v>
      </c>
      <c r="D919" s="116">
        <v>45889.0</v>
      </c>
      <c r="E919" s="12" t="s">
        <v>3</v>
      </c>
      <c r="F919" s="115" t="str">
        <f t="shared" si="1"/>
        <v>Martin A2025-08-2017</v>
      </c>
    </row>
    <row r="920">
      <c r="A920" s="115" t="s">
        <v>50</v>
      </c>
      <c r="B920" s="115" t="s">
        <v>26</v>
      </c>
      <c r="C920" s="115">
        <v>5414.0</v>
      </c>
      <c r="D920" s="116">
        <v>45889.0</v>
      </c>
      <c r="E920" s="12" t="s">
        <v>3</v>
      </c>
      <c r="F920" s="115" t="str">
        <f t="shared" si="1"/>
        <v>Premkumar M2025-08-2017</v>
      </c>
    </row>
    <row r="921">
      <c r="A921" s="115" t="s">
        <v>50</v>
      </c>
      <c r="B921" s="115" t="s">
        <v>27</v>
      </c>
      <c r="C921" s="115">
        <v>4474.0</v>
      </c>
      <c r="D921" s="116">
        <v>45889.0</v>
      </c>
      <c r="E921" s="12" t="s">
        <v>3</v>
      </c>
      <c r="F921" s="115" t="str">
        <f t="shared" si="1"/>
        <v>Vineeth V2025-08-2017</v>
      </c>
    </row>
    <row r="922">
      <c r="A922" s="115" t="s">
        <v>51</v>
      </c>
      <c r="B922" s="115" t="s">
        <v>29</v>
      </c>
      <c r="C922" s="115">
        <v>8525.0</v>
      </c>
      <c r="D922" s="116">
        <v>45889.0</v>
      </c>
      <c r="E922" s="12" t="s">
        <v>3</v>
      </c>
      <c r="F922" s="115" t="str">
        <f t="shared" si="1"/>
        <v>Ashish Jakar2025-08-2017</v>
      </c>
    </row>
    <row r="923">
      <c r="A923" s="115" t="s">
        <v>51</v>
      </c>
      <c r="B923" s="115" t="s">
        <v>30</v>
      </c>
      <c r="C923" s="115">
        <v>7452.0</v>
      </c>
      <c r="D923" s="116">
        <v>45889.0</v>
      </c>
      <c r="E923" s="12" t="s">
        <v>3</v>
      </c>
      <c r="F923" s="115" t="str">
        <f t="shared" si="1"/>
        <v>Ashvani Bhatt2025-08-2017</v>
      </c>
    </row>
    <row r="924">
      <c r="C924" s="115">
        <v>102.0</v>
      </c>
      <c r="D924" s="116">
        <v>45889.0</v>
      </c>
      <c r="E924" s="12" t="s">
        <v>3</v>
      </c>
      <c r="F924" s="115" t="str">
        <f t="shared" si="1"/>
        <v>2025-08-2017</v>
      </c>
    </row>
    <row r="925">
      <c r="A925" s="115" t="s">
        <v>47</v>
      </c>
      <c r="B925" s="115" t="s">
        <v>20</v>
      </c>
      <c r="C925" s="115">
        <v>18037.0</v>
      </c>
      <c r="D925" s="116">
        <v>45889.0</v>
      </c>
      <c r="E925" s="12" t="s">
        <v>53</v>
      </c>
      <c r="F925" s="115" t="str">
        <f t="shared" si="1"/>
        <v>Ashish Ranjan2025-08-2018</v>
      </c>
    </row>
    <row r="926">
      <c r="A926" s="115" t="s">
        <v>47</v>
      </c>
      <c r="B926" s="115" t="s">
        <v>21</v>
      </c>
      <c r="C926" s="115">
        <v>11181.0</v>
      </c>
      <c r="D926" s="116">
        <v>45889.0</v>
      </c>
      <c r="E926" s="12" t="s">
        <v>53</v>
      </c>
      <c r="F926" s="115" t="str">
        <f t="shared" si="1"/>
        <v>Girish Chand2025-08-2018</v>
      </c>
    </row>
    <row r="927">
      <c r="A927" s="115" t="s">
        <v>47</v>
      </c>
      <c r="B927" s="115" t="s">
        <v>22</v>
      </c>
      <c r="C927" s="115">
        <v>7138.0</v>
      </c>
      <c r="D927" s="116">
        <v>45889.0</v>
      </c>
      <c r="E927" s="12" t="s">
        <v>53</v>
      </c>
      <c r="F927" s="115" t="str">
        <f t="shared" si="1"/>
        <v>Parag Kashyap2025-08-2018</v>
      </c>
    </row>
    <row r="928">
      <c r="A928" s="115" t="s">
        <v>49</v>
      </c>
      <c r="B928" s="115" t="s">
        <v>15</v>
      </c>
      <c r="C928" s="115">
        <v>4671.0</v>
      </c>
      <c r="D928" s="116">
        <v>45889.0</v>
      </c>
      <c r="E928" s="12" t="s">
        <v>53</v>
      </c>
      <c r="F928" s="115" t="str">
        <f t="shared" si="1"/>
        <v>Amit Kumar Pathak2025-08-2018</v>
      </c>
    </row>
    <row r="929">
      <c r="A929" s="115" t="s">
        <v>49</v>
      </c>
      <c r="B929" s="115" t="s">
        <v>17</v>
      </c>
      <c r="C929" s="115">
        <v>5045.0</v>
      </c>
      <c r="D929" s="116">
        <v>45889.0</v>
      </c>
      <c r="E929" s="12" t="s">
        <v>53</v>
      </c>
      <c r="F929" s="115" t="str">
        <f t="shared" si="1"/>
        <v>Loveleen Singh2025-08-2018</v>
      </c>
    </row>
    <row r="930">
      <c r="A930" s="115" t="s">
        <v>49</v>
      </c>
      <c r="B930" s="115" t="s">
        <v>16</v>
      </c>
      <c r="C930" s="115">
        <v>11199.0</v>
      </c>
      <c r="D930" s="116">
        <v>45889.0</v>
      </c>
      <c r="E930" s="12" t="s">
        <v>53</v>
      </c>
      <c r="F930" s="115" t="str">
        <f t="shared" si="1"/>
        <v>Manoj Harsh2025-08-2018</v>
      </c>
    </row>
    <row r="931">
      <c r="A931" s="115" t="s">
        <v>49</v>
      </c>
      <c r="B931" s="115" t="s">
        <v>18</v>
      </c>
      <c r="C931" s="115">
        <v>4590.0</v>
      </c>
      <c r="D931" s="116">
        <v>45889.0</v>
      </c>
      <c r="E931" s="12" t="s">
        <v>53</v>
      </c>
      <c r="F931" s="115" t="str">
        <f t="shared" si="1"/>
        <v>Pradeep Kothari2025-08-2018</v>
      </c>
    </row>
    <row r="932">
      <c r="A932" s="115" t="s">
        <v>50</v>
      </c>
      <c r="B932" s="115" t="s">
        <v>24</v>
      </c>
      <c r="C932" s="115">
        <v>7979.0</v>
      </c>
      <c r="D932" s="116">
        <v>45889.0</v>
      </c>
      <c r="E932" s="12" t="s">
        <v>53</v>
      </c>
      <c r="F932" s="115" t="str">
        <f t="shared" si="1"/>
        <v>Kandula Sampath2025-08-2018</v>
      </c>
    </row>
    <row r="933">
      <c r="A933" s="115" t="s">
        <v>50</v>
      </c>
      <c r="B933" s="115" t="s">
        <v>25</v>
      </c>
      <c r="C933" s="115">
        <v>6531.0</v>
      </c>
      <c r="D933" s="116">
        <v>45889.0</v>
      </c>
      <c r="E933" s="12" t="s">
        <v>53</v>
      </c>
      <c r="F933" s="115" t="str">
        <f t="shared" si="1"/>
        <v>Martin A2025-08-2018</v>
      </c>
    </row>
    <row r="934">
      <c r="A934" s="115" t="s">
        <v>50</v>
      </c>
      <c r="B934" s="115" t="s">
        <v>26</v>
      </c>
      <c r="C934" s="115">
        <v>5450.0</v>
      </c>
      <c r="D934" s="116">
        <v>45889.0</v>
      </c>
      <c r="E934" s="12" t="s">
        <v>53</v>
      </c>
      <c r="F934" s="115" t="str">
        <f t="shared" si="1"/>
        <v>Premkumar M2025-08-2018</v>
      </c>
    </row>
    <row r="935">
      <c r="A935" s="115" t="s">
        <v>50</v>
      </c>
      <c r="B935" s="115" t="s">
        <v>27</v>
      </c>
      <c r="C935" s="115">
        <v>4480.0</v>
      </c>
      <c r="D935" s="116">
        <v>45889.0</v>
      </c>
      <c r="E935" s="12" t="s">
        <v>53</v>
      </c>
      <c r="F935" s="115" t="str">
        <f t="shared" si="1"/>
        <v>Vineeth V2025-08-2018</v>
      </c>
    </row>
    <row r="936">
      <c r="A936" s="115" t="s">
        <v>51</v>
      </c>
      <c r="B936" s="115" t="s">
        <v>29</v>
      </c>
      <c r="C936" s="115">
        <v>8606.0</v>
      </c>
      <c r="D936" s="116">
        <v>45889.0</v>
      </c>
      <c r="E936" s="12" t="s">
        <v>53</v>
      </c>
      <c r="F936" s="115" t="str">
        <f t="shared" si="1"/>
        <v>Ashish Jakar2025-08-2018</v>
      </c>
    </row>
    <row r="937">
      <c r="A937" s="115" t="s">
        <v>51</v>
      </c>
      <c r="B937" s="115" t="s">
        <v>30</v>
      </c>
      <c r="C937" s="115">
        <v>7472.0</v>
      </c>
      <c r="D937" s="116">
        <v>45889.0</v>
      </c>
      <c r="E937" s="12" t="s">
        <v>53</v>
      </c>
      <c r="F937" s="115" t="str">
        <f t="shared" si="1"/>
        <v>Ashvani Bhatt2025-08-2018</v>
      </c>
    </row>
    <row r="938">
      <c r="C938" s="115">
        <v>105.0</v>
      </c>
      <c r="D938" s="116">
        <v>45889.0</v>
      </c>
      <c r="E938" s="12" t="s">
        <v>53</v>
      </c>
      <c r="F938" s="115" t="str">
        <f t="shared" si="1"/>
        <v>2025-08-2018</v>
      </c>
    </row>
    <row r="939">
      <c r="A939" s="115" t="s">
        <v>47</v>
      </c>
      <c r="B939" s="115" t="s">
        <v>20</v>
      </c>
      <c r="C939" s="115">
        <v>17811.0</v>
      </c>
      <c r="D939" s="116">
        <v>45889.0</v>
      </c>
      <c r="E939" s="12" t="s">
        <v>56</v>
      </c>
      <c r="F939" s="115" t="str">
        <f t="shared" si="1"/>
        <v>Ashish Ranjan2025-08-2021</v>
      </c>
    </row>
    <row r="940">
      <c r="A940" s="115" t="s">
        <v>47</v>
      </c>
      <c r="B940" s="115" t="s">
        <v>21</v>
      </c>
      <c r="C940" s="115">
        <v>11227.0</v>
      </c>
      <c r="D940" s="116">
        <v>45889.0</v>
      </c>
      <c r="E940" s="12" t="s">
        <v>56</v>
      </c>
      <c r="F940" s="115" t="str">
        <f t="shared" si="1"/>
        <v>Girish Chand2025-08-2021</v>
      </c>
    </row>
    <row r="941">
      <c r="A941" s="115" t="s">
        <v>47</v>
      </c>
      <c r="B941" s="115" t="s">
        <v>22</v>
      </c>
      <c r="C941" s="115">
        <v>7154.0</v>
      </c>
      <c r="D941" s="116">
        <v>45889.0</v>
      </c>
      <c r="E941" s="12" t="s">
        <v>56</v>
      </c>
      <c r="F941" s="115" t="str">
        <f t="shared" si="1"/>
        <v>Parag Kashyap2025-08-2021</v>
      </c>
    </row>
    <row r="942">
      <c r="A942" s="115" t="s">
        <v>49</v>
      </c>
      <c r="B942" s="115" t="s">
        <v>15</v>
      </c>
      <c r="C942" s="115">
        <v>4707.0</v>
      </c>
      <c r="D942" s="116">
        <v>45889.0</v>
      </c>
      <c r="E942" s="12" t="s">
        <v>56</v>
      </c>
      <c r="F942" s="115" t="str">
        <f t="shared" si="1"/>
        <v>Amit Kumar Pathak2025-08-2021</v>
      </c>
    </row>
    <row r="943">
      <c r="A943" s="115" t="s">
        <v>49</v>
      </c>
      <c r="B943" s="115" t="s">
        <v>17</v>
      </c>
      <c r="C943" s="115">
        <v>5055.0</v>
      </c>
      <c r="D943" s="116">
        <v>45889.0</v>
      </c>
      <c r="E943" s="12" t="s">
        <v>56</v>
      </c>
      <c r="F943" s="115" t="str">
        <f t="shared" si="1"/>
        <v>Loveleen Singh2025-08-2021</v>
      </c>
    </row>
    <row r="944">
      <c r="A944" s="115" t="s">
        <v>49</v>
      </c>
      <c r="B944" s="115" t="s">
        <v>16</v>
      </c>
      <c r="C944" s="115">
        <v>11224.0</v>
      </c>
      <c r="D944" s="116">
        <v>45889.0</v>
      </c>
      <c r="E944" s="12" t="s">
        <v>56</v>
      </c>
      <c r="F944" s="115" t="str">
        <f t="shared" si="1"/>
        <v>Manoj Harsh2025-08-2021</v>
      </c>
    </row>
    <row r="945">
      <c r="A945" s="115" t="s">
        <v>49</v>
      </c>
      <c r="B945" s="115" t="s">
        <v>18</v>
      </c>
      <c r="C945" s="115">
        <v>4617.0</v>
      </c>
      <c r="D945" s="116">
        <v>45889.0</v>
      </c>
      <c r="E945" s="12" t="s">
        <v>56</v>
      </c>
      <c r="F945" s="115" t="str">
        <f t="shared" si="1"/>
        <v>Pradeep Kothari2025-08-2021</v>
      </c>
    </row>
    <row r="946">
      <c r="A946" s="115" t="s">
        <v>50</v>
      </c>
      <c r="B946" s="115" t="s">
        <v>24</v>
      </c>
      <c r="C946" s="115">
        <v>7999.0</v>
      </c>
      <c r="D946" s="116">
        <v>45889.0</v>
      </c>
      <c r="E946" s="12" t="s">
        <v>56</v>
      </c>
      <c r="F946" s="115" t="str">
        <f t="shared" si="1"/>
        <v>Kandula Sampath2025-08-2021</v>
      </c>
    </row>
    <row r="947">
      <c r="A947" s="115" t="s">
        <v>50</v>
      </c>
      <c r="B947" s="115" t="s">
        <v>25</v>
      </c>
      <c r="C947" s="115">
        <v>6601.0</v>
      </c>
      <c r="D947" s="116">
        <v>45889.0</v>
      </c>
      <c r="E947" s="12" t="s">
        <v>56</v>
      </c>
      <c r="F947" s="115" t="str">
        <f t="shared" si="1"/>
        <v>Martin A2025-08-2021</v>
      </c>
    </row>
    <row r="948">
      <c r="A948" s="115" t="s">
        <v>50</v>
      </c>
      <c r="B948" s="115" t="s">
        <v>26</v>
      </c>
      <c r="C948" s="115">
        <v>5470.0</v>
      </c>
      <c r="D948" s="116">
        <v>45889.0</v>
      </c>
      <c r="E948" s="12" t="s">
        <v>56</v>
      </c>
      <c r="F948" s="115" t="str">
        <f t="shared" si="1"/>
        <v>Premkumar M2025-08-2021</v>
      </c>
    </row>
    <row r="949">
      <c r="A949" s="115" t="s">
        <v>50</v>
      </c>
      <c r="B949" s="115" t="s">
        <v>27</v>
      </c>
      <c r="C949" s="115">
        <v>4488.0</v>
      </c>
      <c r="D949" s="116">
        <v>45889.0</v>
      </c>
      <c r="E949" s="12" t="s">
        <v>56</v>
      </c>
      <c r="F949" s="115" t="str">
        <f t="shared" si="1"/>
        <v>Vineeth V2025-08-2021</v>
      </c>
    </row>
    <row r="950">
      <c r="A950" s="115" t="s">
        <v>51</v>
      </c>
      <c r="B950" s="115" t="s">
        <v>29</v>
      </c>
      <c r="C950" s="115">
        <v>8660.0</v>
      </c>
      <c r="D950" s="116">
        <v>45889.0</v>
      </c>
      <c r="E950" s="12" t="s">
        <v>56</v>
      </c>
      <c r="F950" s="115" t="str">
        <f t="shared" si="1"/>
        <v>Ashish Jakar2025-08-2021</v>
      </c>
    </row>
    <row r="951">
      <c r="A951" s="115" t="s">
        <v>51</v>
      </c>
      <c r="B951" s="115" t="s">
        <v>30</v>
      </c>
      <c r="C951" s="115">
        <v>7487.0</v>
      </c>
      <c r="D951" s="116">
        <v>45889.0</v>
      </c>
      <c r="E951" s="12" t="s">
        <v>56</v>
      </c>
      <c r="F951" s="115" t="str">
        <f t="shared" si="1"/>
        <v>Ashvani Bhatt2025-08-2021</v>
      </c>
    </row>
    <row r="952">
      <c r="C952" s="115">
        <v>107.0</v>
      </c>
      <c r="D952" s="116">
        <v>45889.0</v>
      </c>
      <c r="E952" s="12" t="s">
        <v>56</v>
      </c>
      <c r="F952" s="115" t="str">
        <f t="shared" si="1"/>
        <v>2025-08-2021</v>
      </c>
    </row>
    <row r="953">
      <c r="A953" s="115" t="s">
        <v>47</v>
      </c>
      <c r="B953" s="115" t="s">
        <v>20</v>
      </c>
      <c r="C953" s="115">
        <v>17821.0</v>
      </c>
      <c r="D953" s="116">
        <v>45889.0</v>
      </c>
      <c r="E953" s="12" t="s">
        <v>57</v>
      </c>
      <c r="F953" s="115" t="str">
        <f t="shared" si="1"/>
        <v>Ashish Ranjan2025-08-2022</v>
      </c>
    </row>
    <row r="954">
      <c r="A954" s="115" t="s">
        <v>47</v>
      </c>
      <c r="B954" s="115" t="s">
        <v>21</v>
      </c>
      <c r="C954" s="115">
        <v>11227.0</v>
      </c>
      <c r="D954" s="116">
        <v>45889.0</v>
      </c>
      <c r="E954" s="12" t="s">
        <v>57</v>
      </c>
      <c r="F954" s="115" t="str">
        <f t="shared" si="1"/>
        <v>Girish Chand2025-08-2022</v>
      </c>
    </row>
    <row r="955">
      <c r="A955" s="115" t="s">
        <v>47</v>
      </c>
      <c r="B955" s="115" t="s">
        <v>22</v>
      </c>
      <c r="C955" s="115">
        <v>7155.0</v>
      </c>
      <c r="D955" s="116">
        <v>45889.0</v>
      </c>
      <c r="E955" s="12" t="s">
        <v>57</v>
      </c>
      <c r="F955" s="115" t="str">
        <f t="shared" si="1"/>
        <v>Parag Kashyap2025-08-2022</v>
      </c>
    </row>
    <row r="956">
      <c r="A956" s="115" t="s">
        <v>49</v>
      </c>
      <c r="B956" s="115" t="s">
        <v>15</v>
      </c>
      <c r="C956" s="115">
        <v>4712.0</v>
      </c>
      <c r="D956" s="116">
        <v>45889.0</v>
      </c>
      <c r="E956" s="12" t="s">
        <v>57</v>
      </c>
      <c r="F956" s="115" t="str">
        <f t="shared" si="1"/>
        <v>Amit Kumar Pathak2025-08-2022</v>
      </c>
    </row>
    <row r="957">
      <c r="A957" s="115" t="s">
        <v>49</v>
      </c>
      <c r="B957" s="115" t="s">
        <v>17</v>
      </c>
      <c r="C957" s="115">
        <v>5056.0</v>
      </c>
      <c r="D957" s="116">
        <v>45889.0</v>
      </c>
      <c r="E957" s="12" t="s">
        <v>57</v>
      </c>
      <c r="F957" s="115" t="str">
        <f t="shared" si="1"/>
        <v>Loveleen Singh2025-08-2022</v>
      </c>
    </row>
    <row r="958">
      <c r="A958" s="115" t="s">
        <v>49</v>
      </c>
      <c r="B958" s="115" t="s">
        <v>16</v>
      </c>
      <c r="C958" s="115">
        <v>11226.0</v>
      </c>
      <c r="D958" s="116">
        <v>45889.0</v>
      </c>
      <c r="E958" s="12" t="s">
        <v>57</v>
      </c>
      <c r="F958" s="115" t="str">
        <f t="shared" si="1"/>
        <v>Manoj Harsh2025-08-2022</v>
      </c>
    </row>
    <row r="959">
      <c r="A959" s="115" t="s">
        <v>49</v>
      </c>
      <c r="B959" s="115" t="s">
        <v>18</v>
      </c>
      <c r="C959" s="115">
        <v>4619.0</v>
      </c>
      <c r="D959" s="116">
        <v>45889.0</v>
      </c>
      <c r="E959" s="12" t="s">
        <v>57</v>
      </c>
      <c r="F959" s="115" t="str">
        <f t="shared" si="1"/>
        <v>Pradeep Kothari2025-08-2022</v>
      </c>
    </row>
    <row r="960">
      <c r="A960" s="115" t="s">
        <v>50</v>
      </c>
      <c r="B960" s="115" t="s">
        <v>24</v>
      </c>
      <c r="C960" s="115">
        <v>8002.0</v>
      </c>
      <c r="D960" s="116">
        <v>45889.0</v>
      </c>
      <c r="E960" s="12" t="s">
        <v>57</v>
      </c>
      <c r="F960" s="115" t="str">
        <f t="shared" si="1"/>
        <v>Kandula Sampath2025-08-2022</v>
      </c>
    </row>
    <row r="961">
      <c r="A961" s="115" t="s">
        <v>50</v>
      </c>
      <c r="B961" s="115" t="s">
        <v>25</v>
      </c>
      <c r="C961" s="115">
        <v>6606.0</v>
      </c>
      <c r="D961" s="116">
        <v>45889.0</v>
      </c>
      <c r="E961" s="12" t="s">
        <v>57</v>
      </c>
      <c r="F961" s="115" t="str">
        <f t="shared" si="1"/>
        <v>Martin A2025-08-2022</v>
      </c>
    </row>
    <row r="962">
      <c r="A962" s="115" t="s">
        <v>50</v>
      </c>
      <c r="B962" s="115" t="s">
        <v>26</v>
      </c>
      <c r="C962" s="115">
        <v>5470.0</v>
      </c>
      <c r="D962" s="116">
        <v>45889.0</v>
      </c>
      <c r="E962" s="12" t="s">
        <v>57</v>
      </c>
      <c r="F962" s="115" t="str">
        <f t="shared" si="1"/>
        <v>Premkumar M2025-08-2022</v>
      </c>
    </row>
    <row r="963">
      <c r="A963" s="115" t="s">
        <v>50</v>
      </c>
      <c r="B963" s="115" t="s">
        <v>27</v>
      </c>
      <c r="C963" s="115">
        <v>4488.0</v>
      </c>
      <c r="D963" s="116">
        <v>45889.0</v>
      </c>
      <c r="E963" s="12" t="s">
        <v>57</v>
      </c>
      <c r="F963" s="115" t="str">
        <f t="shared" si="1"/>
        <v>Vineeth V2025-08-2022</v>
      </c>
    </row>
    <row r="964">
      <c r="A964" s="115" t="s">
        <v>51</v>
      </c>
      <c r="B964" s="115" t="s">
        <v>29</v>
      </c>
      <c r="C964" s="115">
        <v>8664.0</v>
      </c>
      <c r="D964" s="116">
        <v>45889.0</v>
      </c>
      <c r="E964" s="12" t="s">
        <v>57</v>
      </c>
      <c r="F964" s="115" t="str">
        <f t="shared" si="1"/>
        <v>Ashish Jakar2025-08-2022</v>
      </c>
    </row>
    <row r="965">
      <c r="A965" s="115" t="s">
        <v>51</v>
      </c>
      <c r="B965" s="115" t="s">
        <v>30</v>
      </c>
      <c r="C965" s="115">
        <v>7488.0</v>
      </c>
      <c r="D965" s="116">
        <v>45889.0</v>
      </c>
      <c r="E965" s="12" t="s">
        <v>57</v>
      </c>
      <c r="F965" s="115" t="str">
        <f t="shared" si="1"/>
        <v>Ashvani Bhatt2025-08-2022</v>
      </c>
    </row>
    <row r="966">
      <c r="C966" s="115">
        <v>107.0</v>
      </c>
      <c r="D966" s="116">
        <v>45889.0</v>
      </c>
      <c r="E966" s="12" t="s">
        <v>57</v>
      </c>
      <c r="F966" s="115" t="str">
        <f t="shared" si="1"/>
        <v>2025-08-2022</v>
      </c>
    </row>
    <row r="967">
      <c r="A967" s="115" t="s">
        <v>47</v>
      </c>
      <c r="B967" s="115" t="s">
        <v>20</v>
      </c>
      <c r="C967" s="115">
        <v>3184.0</v>
      </c>
      <c r="D967" s="116">
        <v>45890.0</v>
      </c>
      <c r="E967" s="12" t="s">
        <v>58</v>
      </c>
      <c r="F967" s="115" t="str">
        <f t="shared" si="1"/>
        <v>Ashish Ranjan2025-08-2108</v>
      </c>
    </row>
    <row r="968">
      <c r="A968" s="115" t="s">
        <v>47</v>
      </c>
      <c r="B968" s="115" t="s">
        <v>21</v>
      </c>
      <c r="C968" s="115">
        <v>1517.0</v>
      </c>
      <c r="D968" s="116">
        <v>45890.0</v>
      </c>
      <c r="E968" s="12" t="s">
        <v>58</v>
      </c>
      <c r="F968" s="115" t="str">
        <f t="shared" si="1"/>
        <v>Girish Chand2025-08-2108</v>
      </c>
    </row>
    <row r="969">
      <c r="A969" s="115" t="s">
        <v>47</v>
      </c>
      <c r="B969" s="115" t="s">
        <v>22</v>
      </c>
      <c r="C969" s="115">
        <v>1258.0</v>
      </c>
      <c r="D969" s="116">
        <v>45890.0</v>
      </c>
      <c r="E969" s="12" t="s">
        <v>58</v>
      </c>
      <c r="F969" s="115" t="str">
        <f t="shared" si="1"/>
        <v>Parag Kashyap2025-08-2108</v>
      </c>
    </row>
    <row r="970">
      <c r="A970" s="115" t="s">
        <v>49</v>
      </c>
      <c r="B970" s="115" t="s">
        <v>15</v>
      </c>
      <c r="C970" s="115">
        <v>1278.0</v>
      </c>
      <c r="D970" s="116">
        <v>45890.0</v>
      </c>
      <c r="E970" s="12" t="s">
        <v>58</v>
      </c>
      <c r="F970" s="115" t="str">
        <f t="shared" si="1"/>
        <v>Amit Kumar Pathak2025-08-2108</v>
      </c>
    </row>
    <row r="971">
      <c r="A971" s="115" t="s">
        <v>49</v>
      </c>
      <c r="B971" s="115" t="s">
        <v>17</v>
      </c>
      <c r="C971" s="115">
        <v>465.0</v>
      </c>
      <c r="D971" s="116">
        <v>45890.0</v>
      </c>
      <c r="E971" s="12" t="s">
        <v>58</v>
      </c>
      <c r="F971" s="115" t="str">
        <f t="shared" si="1"/>
        <v>Loveleen Singh2025-08-2108</v>
      </c>
    </row>
    <row r="972">
      <c r="A972" s="115" t="s">
        <v>49</v>
      </c>
      <c r="B972" s="115" t="s">
        <v>16</v>
      </c>
      <c r="C972" s="115">
        <v>1091.0</v>
      </c>
      <c r="D972" s="116">
        <v>45890.0</v>
      </c>
      <c r="E972" s="12" t="s">
        <v>58</v>
      </c>
      <c r="F972" s="115" t="str">
        <f t="shared" si="1"/>
        <v>Manoj Harsh2025-08-2108</v>
      </c>
    </row>
    <row r="973">
      <c r="A973" s="115" t="s">
        <v>49</v>
      </c>
      <c r="B973" s="115" t="s">
        <v>18</v>
      </c>
      <c r="C973" s="115">
        <v>446.0</v>
      </c>
      <c r="D973" s="116">
        <v>45890.0</v>
      </c>
      <c r="E973" s="12" t="s">
        <v>58</v>
      </c>
      <c r="F973" s="115" t="str">
        <f t="shared" si="1"/>
        <v>Pradeep Kothari2025-08-2108</v>
      </c>
    </row>
    <row r="974">
      <c r="A974" s="115" t="s">
        <v>50</v>
      </c>
      <c r="B974" s="115" t="s">
        <v>24</v>
      </c>
      <c r="C974" s="115">
        <v>1701.0</v>
      </c>
      <c r="D974" s="116">
        <v>45890.0</v>
      </c>
      <c r="E974" s="12" t="s">
        <v>58</v>
      </c>
      <c r="F974" s="115" t="str">
        <f t="shared" si="1"/>
        <v>Kandula Sampath2025-08-2108</v>
      </c>
    </row>
    <row r="975">
      <c r="A975" s="115" t="s">
        <v>50</v>
      </c>
      <c r="B975" s="115" t="s">
        <v>25</v>
      </c>
      <c r="C975" s="115">
        <v>1316.0</v>
      </c>
      <c r="D975" s="116">
        <v>45890.0</v>
      </c>
      <c r="E975" s="12" t="s">
        <v>58</v>
      </c>
      <c r="F975" s="115" t="str">
        <f t="shared" si="1"/>
        <v>Martin A2025-08-2108</v>
      </c>
    </row>
    <row r="976">
      <c r="A976" s="115" t="s">
        <v>50</v>
      </c>
      <c r="B976" s="115" t="s">
        <v>26</v>
      </c>
      <c r="C976" s="115">
        <v>462.0</v>
      </c>
      <c r="D976" s="116">
        <v>45890.0</v>
      </c>
      <c r="E976" s="12" t="s">
        <v>58</v>
      </c>
      <c r="F976" s="115" t="str">
        <f t="shared" si="1"/>
        <v>Premkumar M2025-08-2108</v>
      </c>
    </row>
    <row r="977">
      <c r="A977" s="115" t="s">
        <v>50</v>
      </c>
      <c r="B977" s="115" t="s">
        <v>27</v>
      </c>
      <c r="C977" s="115">
        <v>158.0</v>
      </c>
      <c r="D977" s="116">
        <v>45890.0</v>
      </c>
      <c r="E977" s="12" t="s">
        <v>58</v>
      </c>
      <c r="F977" s="115" t="str">
        <f t="shared" si="1"/>
        <v>Vineeth V2025-08-2108</v>
      </c>
    </row>
    <row r="978">
      <c r="A978" s="115" t="s">
        <v>51</v>
      </c>
      <c r="B978" s="115" t="s">
        <v>29</v>
      </c>
      <c r="C978" s="115">
        <v>640.0</v>
      </c>
      <c r="D978" s="116">
        <v>45890.0</v>
      </c>
      <c r="E978" s="12" t="s">
        <v>58</v>
      </c>
      <c r="F978" s="115" t="str">
        <f t="shared" si="1"/>
        <v>Ashish Jakar2025-08-2108</v>
      </c>
    </row>
    <row r="979">
      <c r="A979" s="115" t="s">
        <v>51</v>
      </c>
      <c r="B979" s="115" t="s">
        <v>30</v>
      </c>
      <c r="C979" s="115">
        <v>939.0</v>
      </c>
      <c r="D979" s="116">
        <v>45890.0</v>
      </c>
      <c r="E979" s="12" t="s">
        <v>58</v>
      </c>
      <c r="F979" s="115" t="str">
        <f t="shared" si="1"/>
        <v>Ashvani Bhatt2025-08-2108</v>
      </c>
    </row>
    <row r="980">
      <c r="C980" s="115">
        <v>9.0</v>
      </c>
      <c r="D980" s="116">
        <v>45890.0</v>
      </c>
      <c r="E980" s="12" t="s">
        <v>58</v>
      </c>
      <c r="F980" s="115" t="str">
        <f t="shared" si="1"/>
        <v>2025-08-2108</v>
      </c>
    </row>
    <row r="981">
      <c r="A981" s="115" t="s">
        <v>47</v>
      </c>
      <c r="B981" s="115" t="s">
        <v>20</v>
      </c>
      <c r="C981" s="115">
        <v>17728.0</v>
      </c>
      <c r="D981" s="116">
        <v>45890.0</v>
      </c>
      <c r="E981" s="12" t="s">
        <v>48</v>
      </c>
      <c r="F981" s="115" t="str">
        <f t="shared" si="1"/>
        <v>Ashish Ranjan2025-08-2113</v>
      </c>
    </row>
    <row r="982">
      <c r="A982" s="115" t="s">
        <v>47</v>
      </c>
      <c r="B982" s="115" t="s">
        <v>21</v>
      </c>
      <c r="C982" s="115">
        <v>10372.0</v>
      </c>
      <c r="D982" s="116">
        <v>45890.0</v>
      </c>
      <c r="E982" s="12" t="s">
        <v>48</v>
      </c>
      <c r="F982" s="115" t="str">
        <f t="shared" si="1"/>
        <v>Girish Chand2025-08-2113</v>
      </c>
    </row>
    <row r="983">
      <c r="A983" s="115" t="s">
        <v>47</v>
      </c>
      <c r="B983" s="115" t="s">
        <v>22</v>
      </c>
      <c r="C983" s="115">
        <v>7094.0</v>
      </c>
      <c r="D983" s="116">
        <v>45890.0</v>
      </c>
      <c r="E983" s="12" t="s">
        <v>48</v>
      </c>
      <c r="F983" s="115" t="str">
        <f t="shared" si="1"/>
        <v>Parag Kashyap2025-08-2113</v>
      </c>
    </row>
    <row r="984">
      <c r="A984" s="115" t="s">
        <v>49</v>
      </c>
      <c r="B984" s="115" t="s">
        <v>15</v>
      </c>
      <c r="C984" s="115">
        <v>4093.0</v>
      </c>
      <c r="D984" s="116">
        <v>45890.0</v>
      </c>
      <c r="E984" s="12" t="s">
        <v>48</v>
      </c>
      <c r="F984" s="115" t="str">
        <f t="shared" si="1"/>
        <v>Amit Kumar Pathak2025-08-2113</v>
      </c>
    </row>
    <row r="985">
      <c r="A985" s="115" t="s">
        <v>49</v>
      </c>
      <c r="B985" s="115" t="s">
        <v>17</v>
      </c>
      <c r="C985" s="115">
        <v>5099.0</v>
      </c>
      <c r="D985" s="116">
        <v>45890.0</v>
      </c>
      <c r="E985" s="12" t="s">
        <v>48</v>
      </c>
      <c r="F985" s="115" t="str">
        <f t="shared" si="1"/>
        <v>Loveleen Singh2025-08-2113</v>
      </c>
    </row>
    <row r="986">
      <c r="A986" s="115" t="s">
        <v>49</v>
      </c>
      <c r="B986" s="115" t="s">
        <v>16</v>
      </c>
      <c r="C986" s="115">
        <v>10934.0</v>
      </c>
      <c r="D986" s="116">
        <v>45890.0</v>
      </c>
      <c r="E986" s="12" t="s">
        <v>48</v>
      </c>
      <c r="F986" s="115" t="str">
        <f t="shared" si="1"/>
        <v>Manoj Harsh2025-08-2113</v>
      </c>
    </row>
    <row r="987">
      <c r="A987" s="115" t="s">
        <v>49</v>
      </c>
      <c r="B987" s="115" t="s">
        <v>18</v>
      </c>
      <c r="C987" s="115">
        <v>4266.0</v>
      </c>
      <c r="D987" s="116">
        <v>45890.0</v>
      </c>
      <c r="E987" s="12" t="s">
        <v>48</v>
      </c>
      <c r="F987" s="115" t="str">
        <f t="shared" si="1"/>
        <v>Pradeep Kothari2025-08-2113</v>
      </c>
    </row>
    <row r="988">
      <c r="A988" s="115" t="s">
        <v>50</v>
      </c>
      <c r="B988" s="115" t="s">
        <v>24</v>
      </c>
      <c r="C988" s="115">
        <v>8273.0</v>
      </c>
      <c r="D988" s="116">
        <v>45890.0</v>
      </c>
      <c r="E988" s="12" t="s">
        <v>48</v>
      </c>
      <c r="F988" s="115" t="str">
        <f t="shared" si="1"/>
        <v>Kandula Sampath2025-08-2113</v>
      </c>
    </row>
    <row r="989">
      <c r="A989" s="115" t="s">
        <v>50</v>
      </c>
      <c r="B989" s="115" t="s">
        <v>25</v>
      </c>
      <c r="C989" s="115">
        <v>5884.0</v>
      </c>
      <c r="D989" s="116">
        <v>45890.0</v>
      </c>
      <c r="E989" s="12" t="s">
        <v>48</v>
      </c>
      <c r="F989" s="115" t="str">
        <f t="shared" si="1"/>
        <v>Martin A2025-08-2113</v>
      </c>
    </row>
    <row r="990">
      <c r="A990" s="115" t="s">
        <v>50</v>
      </c>
      <c r="B990" s="115" t="s">
        <v>26</v>
      </c>
      <c r="C990" s="115">
        <v>5135.0</v>
      </c>
      <c r="D990" s="116">
        <v>45890.0</v>
      </c>
      <c r="E990" s="12" t="s">
        <v>48</v>
      </c>
      <c r="F990" s="115" t="str">
        <f t="shared" si="1"/>
        <v>Premkumar M2025-08-2113</v>
      </c>
    </row>
    <row r="991">
      <c r="A991" s="115" t="s">
        <v>50</v>
      </c>
      <c r="B991" s="115" t="s">
        <v>27</v>
      </c>
      <c r="C991" s="115">
        <v>4440.0</v>
      </c>
      <c r="D991" s="116">
        <v>45890.0</v>
      </c>
      <c r="E991" s="12" t="s">
        <v>48</v>
      </c>
      <c r="F991" s="115" t="str">
        <f t="shared" si="1"/>
        <v>Vineeth V2025-08-2113</v>
      </c>
    </row>
    <row r="992">
      <c r="A992" s="115" t="s">
        <v>51</v>
      </c>
      <c r="B992" s="115" t="s">
        <v>29</v>
      </c>
      <c r="C992" s="115">
        <v>8577.0</v>
      </c>
      <c r="D992" s="116">
        <v>45890.0</v>
      </c>
      <c r="E992" s="12" t="s">
        <v>48</v>
      </c>
      <c r="F992" s="115" t="str">
        <f t="shared" si="1"/>
        <v>Ashish Jakar2025-08-2113</v>
      </c>
    </row>
    <row r="993">
      <c r="A993" s="115" t="s">
        <v>51</v>
      </c>
      <c r="B993" s="115" t="s">
        <v>30</v>
      </c>
      <c r="C993" s="115">
        <v>7236.0</v>
      </c>
      <c r="D993" s="116">
        <v>45890.0</v>
      </c>
      <c r="E993" s="12" t="s">
        <v>48</v>
      </c>
      <c r="F993" s="115" t="str">
        <f t="shared" si="1"/>
        <v>Ashvani Bhatt2025-08-2113</v>
      </c>
    </row>
    <row r="994">
      <c r="C994" s="115">
        <v>107.0</v>
      </c>
      <c r="D994" s="116">
        <v>45890.0</v>
      </c>
      <c r="E994" s="12" t="s">
        <v>48</v>
      </c>
      <c r="F994" s="115" t="str">
        <f t="shared" si="1"/>
        <v>2025-08-2113</v>
      </c>
    </row>
    <row r="995">
      <c r="A995" s="115" t="s">
        <v>47</v>
      </c>
      <c r="B995" s="115" t="s">
        <v>20</v>
      </c>
      <c r="C995" s="115">
        <v>18341.0</v>
      </c>
      <c r="D995" s="116">
        <v>45890.0</v>
      </c>
      <c r="E995" s="12" t="s">
        <v>65</v>
      </c>
      <c r="F995" s="115" t="str">
        <f t="shared" si="1"/>
        <v>Ashish Ranjan2025-08-2116</v>
      </c>
    </row>
    <row r="996">
      <c r="A996" s="115" t="s">
        <v>47</v>
      </c>
      <c r="B996" s="115" t="s">
        <v>21</v>
      </c>
      <c r="C996" s="115">
        <v>10611.0</v>
      </c>
      <c r="D996" s="116">
        <v>45890.0</v>
      </c>
      <c r="E996" s="12" t="s">
        <v>65</v>
      </c>
      <c r="F996" s="115" t="str">
        <f t="shared" si="1"/>
        <v>Girish Chand2025-08-2116</v>
      </c>
    </row>
    <row r="997">
      <c r="A997" s="115" t="s">
        <v>47</v>
      </c>
      <c r="B997" s="115" t="s">
        <v>22</v>
      </c>
      <c r="C997" s="115">
        <v>7295.0</v>
      </c>
      <c r="D997" s="116">
        <v>45890.0</v>
      </c>
      <c r="E997" s="12" t="s">
        <v>65</v>
      </c>
      <c r="F997" s="115" t="str">
        <f t="shared" si="1"/>
        <v>Parag Kashyap2025-08-2116</v>
      </c>
    </row>
    <row r="998">
      <c r="A998" s="115" t="s">
        <v>49</v>
      </c>
      <c r="B998" s="115" t="s">
        <v>15</v>
      </c>
      <c r="C998" s="115">
        <v>4680.0</v>
      </c>
      <c r="D998" s="116">
        <v>45890.0</v>
      </c>
      <c r="E998" s="12" t="s">
        <v>65</v>
      </c>
      <c r="F998" s="115" t="str">
        <f t="shared" si="1"/>
        <v>Amit Kumar Pathak2025-08-2116</v>
      </c>
    </row>
    <row r="999">
      <c r="A999" s="115" t="s">
        <v>49</v>
      </c>
      <c r="B999" s="115" t="s">
        <v>17</v>
      </c>
      <c r="C999" s="115">
        <v>5247.0</v>
      </c>
      <c r="D999" s="116">
        <v>45890.0</v>
      </c>
      <c r="E999" s="12" t="s">
        <v>65</v>
      </c>
      <c r="F999" s="115" t="str">
        <f t="shared" si="1"/>
        <v>Loveleen Singh2025-08-2116</v>
      </c>
    </row>
    <row r="1000">
      <c r="A1000" s="115" t="s">
        <v>49</v>
      </c>
      <c r="B1000" s="115" t="s">
        <v>16</v>
      </c>
      <c r="C1000" s="115">
        <v>11424.0</v>
      </c>
      <c r="D1000" s="116">
        <v>45890.0</v>
      </c>
      <c r="E1000" s="12" t="s">
        <v>65</v>
      </c>
      <c r="F1000" s="115" t="str">
        <f t="shared" si="1"/>
        <v>Manoj Harsh2025-08-2116</v>
      </c>
    </row>
    <row r="1001">
      <c r="A1001" s="115" t="s">
        <v>49</v>
      </c>
      <c r="B1001" s="115" t="s">
        <v>18</v>
      </c>
      <c r="C1001" s="115">
        <v>4444.0</v>
      </c>
      <c r="D1001" s="116">
        <v>45890.0</v>
      </c>
      <c r="E1001" s="12" t="s">
        <v>65</v>
      </c>
      <c r="F1001" s="115" t="str">
        <f t="shared" si="1"/>
        <v>Pradeep Kothari2025-08-2116</v>
      </c>
    </row>
    <row r="1002">
      <c r="A1002" s="115" t="s">
        <v>50</v>
      </c>
      <c r="B1002" s="115" t="s">
        <v>24</v>
      </c>
      <c r="C1002" s="115">
        <v>8597.0</v>
      </c>
      <c r="D1002" s="116">
        <v>45890.0</v>
      </c>
      <c r="E1002" s="12" t="s">
        <v>65</v>
      </c>
      <c r="F1002" s="115" t="str">
        <f t="shared" si="1"/>
        <v>Kandula Sampath2025-08-2116</v>
      </c>
    </row>
    <row r="1003">
      <c r="A1003" s="115" t="s">
        <v>50</v>
      </c>
      <c r="B1003" s="115" t="s">
        <v>25</v>
      </c>
      <c r="C1003" s="115">
        <v>6277.0</v>
      </c>
      <c r="D1003" s="116">
        <v>45890.0</v>
      </c>
      <c r="E1003" s="12" t="s">
        <v>65</v>
      </c>
      <c r="F1003" s="115" t="str">
        <f t="shared" si="1"/>
        <v>Martin A2025-08-2116</v>
      </c>
    </row>
    <row r="1004">
      <c r="A1004" s="115" t="s">
        <v>50</v>
      </c>
      <c r="B1004" s="115" t="s">
        <v>26</v>
      </c>
      <c r="C1004" s="115">
        <v>5432.0</v>
      </c>
      <c r="D1004" s="116">
        <v>45890.0</v>
      </c>
      <c r="E1004" s="12" t="s">
        <v>65</v>
      </c>
      <c r="F1004" s="115" t="str">
        <f t="shared" si="1"/>
        <v>Premkumar M2025-08-2116</v>
      </c>
    </row>
    <row r="1005">
      <c r="A1005" s="115" t="s">
        <v>50</v>
      </c>
      <c r="B1005" s="115" t="s">
        <v>27</v>
      </c>
      <c r="C1005" s="115">
        <v>4571.0</v>
      </c>
      <c r="D1005" s="116">
        <v>45890.0</v>
      </c>
      <c r="E1005" s="12" t="s">
        <v>65</v>
      </c>
      <c r="F1005" s="115" t="str">
        <f t="shared" si="1"/>
        <v>Vineeth V2025-08-2116</v>
      </c>
    </row>
    <row r="1006">
      <c r="A1006" s="115" t="s">
        <v>51</v>
      </c>
      <c r="B1006" s="115" t="s">
        <v>29</v>
      </c>
      <c r="C1006" s="115">
        <v>9439.0</v>
      </c>
      <c r="D1006" s="116">
        <v>45890.0</v>
      </c>
      <c r="E1006" s="12" t="s">
        <v>65</v>
      </c>
      <c r="F1006" s="115" t="str">
        <f t="shared" si="1"/>
        <v>Ashish Jakar2025-08-2116</v>
      </c>
    </row>
    <row r="1007">
      <c r="A1007" s="115" t="s">
        <v>51</v>
      </c>
      <c r="B1007" s="115" t="s">
        <v>30</v>
      </c>
      <c r="C1007" s="115">
        <v>7559.0</v>
      </c>
      <c r="D1007" s="116">
        <v>45890.0</v>
      </c>
      <c r="E1007" s="12" t="s">
        <v>65</v>
      </c>
      <c r="F1007" s="115" t="str">
        <f t="shared" si="1"/>
        <v>Ashvani Bhatt2025-08-2116</v>
      </c>
    </row>
    <row r="1008">
      <c r="C1008" s="115">
        <v>119.0</v>
      </c>
      <c r="D1008" s="116">
        <v>45890.0</v>
      </c>
      <c r="E1008" s="12" t="s">
        <v>65</v>
      </c>
      <c r="F1008" s="115" t="str">
        <f t="shared" si="1"/>
        <v>2025-08-2116</v>
      </c>
    </row>
    <row r="1009">
      <c r="A1009" s="115" t="s">
        <v>47</v>
      </c>
      <c r="B1009" s="115" t="s">
        <v>20</v>
      </c>
      <c r="C1009" s="115">
        <v>15689.0</v>
      </c>
      <c r="D1009" s="116">
        <v>45891.0</v>
      </c>
      <c r="E1009" s="12" t="s">
        <v>61</v>
      </c>
      <c r="F1009" s="115" t="str">
        <f t="shared" si="1"/>
        <v>Ashish Ranjan2025-08-2211</v>
      </c>
    </row>
    <row r="1010">
      <c r="A1010" s="115" t="s">
        <v>47</v>
      </c>
      <c r="B1010" s="115" t="s">
        <v>21</v>
      </c>
      <c r="C1010" s="115">
        <v>9370.0</v>
      </c>
      <c r="D1010" s="116">
        <v>45891.0</v>
      </c>
      <c r="E1010" s="12" t="s">
        <v>61</v>
      </c>
      <c r="F1010" s="115" t="str">
        <f t="shared" si="1"/>
        <v>Girish Chand2025-08-2211</v>
      </c>
    </row>
    <row r="1011">
      <c r="A1011" s="115" t="s">
        <v>47</v>
      </c>
      <c r="B1011" s="115" t="s">
        <v>22</v>
      </c>
      <c r="C1011" s="115">
        <v>6174.0</v>
      </c>
      <c r="D1011" s="116">
        <v>45891.0</v>
      </c>
      <c r="E1011" s="12" t="s">
        <v>61</v>
      </c>
      <c r="F1011" s="115" t="str">
        <f t="shared" si="1"/>
        <v>Parag Kashyap2025-08-2211</v>
      </c>
    </row>
    <row r="1012">
      <c r="A1012" s="115" t="s">
        <v>49</v>
      </c>
      <c r="B1012" s="115" t="s">
        <v>15</v>
      </c>
      <c r="C1012" s="115">
        <v>3666.0</v>
      </c>
      <c r="D1012" s="116">
        <v>45891.0</v>
      </c>
      <c r="E1012" s="12" t="s">
        <v>61</v>
      </c>
      <c r="F1012" s="115" t="str">
        <f t="shared" si="1"/>
        <v>Amit Kumar Pathak2025-08-2211</v>
      </c>
    </row>
    <row r="1013">
      <c r="A1013" s="115" t="s">
        <v>49</v>
      </c>
      <c r="B1013" s="115" t="s">
        <v>17</v>
      </c>
      <c r="C1013" s="115">
        <v>4364.0</v>
      </c>
      <c r="D1013" s="116">
        <v>45891.0</v>
      </c>
      <c r="E1013" s="12" t="s">
        <v>61</v>
      </c>
      <c r="F1013" s="115" t="str">
        <f t="shared" si="1"/>
        <v>Loveleen Singh2025-08-2211</v>
      </c>
    </row>
    <row r="1014">
      <c r="A1014" s="115" t="s">
        <v>49</v>
      </c>
      <c r="B1014" s="115" t="s">
        <v>16</v>
      </c>
      <c r="C1014" s="115">
        <v>9462.0</v>
      </c>
      <c r="D1014" s="116">
        <v>45891.0</v>
      </c>
      <c r="E1014" s="12" t="s">
        <v>61</v>
      </c>
      <c r="F1014" s="115" t="str">
        <f t="shared" si="1"/>
        <v>Manoj Harsh2025-08-2211</v>
      </c>
    </row>
    <row r="1015">
      <c r="A1015" s="115" t="s">
        <v>49</v>
      </c>
      <c r="B1015" s="115" t="s">
        <v>18</v>
      </c>
      <c r="C1015" s="115">
        <v>3766.0</v>
      </c>
      <c r="D1015" s="116">
        <v>45891.0</v>
      </c>
      <c r="E1015" s="12" t="s">
        <v>61</v>
      </c>
      <c r="F1015" s="115" t="str">
        <f t="shared" si="1"/>
        <v>Pradeep Kothari2025-08-2211</v>
      </c>
    </row>
    <row r="1016">
      <c r="A1016" s="115" t="s">
        <v>50</v>
      </c>
      <c r="B1016" s="115" t="s">
        <v>24</v>
      </c>
      <c r="C1016" s="115">
        <v>7510.0</v>
      </c>
      <c r="D1016" s="116">
        <v>45891.0</v>
      </c>
      <c r="E1016" s="12" t="s">
        <v>61</v>
      </c>
      <c r="F1016" s="115" t="str">
        <f t="shared" si="1"/>
        <v>Kandula Sampath2025-08-2211</v>
      </c>
    </row>
    <row r="1017">
      <c r="A1017" s="115" t="s">
        <v>50</v>
      </c>
      <c r="B1017" s="115" t="s">
        <v>25</v>
      </c>
      <c r="C1017" s="115">
        <v>5251.0</v>
      </c>
      <c r="D1017" s="116">
        <v>45891.0</v>
      </c>
      <c r="E1017" s="12" t="s">
        <v>61</v>
      </c>
      <c r="F1017" s="115" t="str">
        <f t="shared" si="1"/>
        <v>Martin A2025-08-2211</v>
      </c>
    </row>
    <row r="1018">
      <c r="A1018" s="115" t="s">
        <v>50</v>
      </c>
      <c r="B1018" s="115" t="s">
        <v>26</v>
      </c>
      <c r="C1018" s="115">
        <v>4010.0</v>
      </c>
      <c r="D1018" s="116">
        <v>45891.0</v>
      </c>
      <c r="E1018" s="12" t="s">
        <v>61</v>
      </c>
      <c r="F1018" s="115" t="str">
        <f t="shared" si="1"/>
        <v>Premkumar M2025-08-2211</v>
      </c>
    </row>
    <row r="1019">
      <c r="A1019" s="115" t="s">
        <v>50</v>
      </c>
      <c r="B1019" s="115" t="s">
        <v>27</v>
      </c>
      <c r="C1019" s="115">
        <v>3373.0</v>
      </c>
      <c r="D1019" s="116">
        <v>45891.0</v>
      </c>
      <c r="E1019" s="12" t="s">
        <v>61</v>
      </c>
      <c r="F1019" s="115" t="str">
        <f t="shared" si="1"/>
        <v>Vineeth V2025-08-2211</v>
      </c>
    </row>
    <row r="1020">
      <c r="A1020" s="115" t="s">
        <v>51</v>
      </c>
      <c r="B1020" s="115" t="s">
        <v>29</v>
      </c>
      <c r="C1020" s="115">
        <v>6645.0</v>
      </c>
      <c r="D1020" s="116">
        <v>45891.0</v>
      </c>
      <c r="E1020" s="12" t="s">
        <v>61</v>
      </c>
      <c r="F1020" s="115" t="str">
        <f t="shared" si="1"/>
        <v>Ashish Jakar2025-08-2211</v>
      </c>
    </row>
    <row r="1021">
      <c r="A1021" s="115" t="s">
        <v>51</v>
      </c>
      <c r="B1021" s="115" t="s">
        <v>30</v>
      </c>
      <c r="C1021" s="115">
        <v>6227.0</v>
      </c>
      <c r="D1021" s="116">
        <v>45891.0</v>
      </c>
      <c r="E1021" s="12" t="s">
        <v>61</v>
      </c>
      <c r="F1021" s="115" t="str">
        <f t="shared" si="1"/>
        <v>Ashvani Bhatt2025-08-2211</v>
      </c>
    </row>
    <row r="1022">
      <c r="C1022" s="115">
        <v>86.0</v>
      </c>
      <c r="D1022" s="116">
        <v>45891.0</v>
      </c>
      <c r="E1022" s="12" t="s">
        <v>61</v>
      </c>
      <c r="F1022" s="115" t="str">
        <f t="shared" si="1"/>
        <v>2025-08-2211</v>
      </c>
    </row>
    <row r="1023">
      <c r="A1023" s="115" t="s">
        <v>47</v>
      </c>
      <c r="B1023" s="115" t="s">
        <v>20</v>
      </c>
      <c r="C1023" s="115">
        <v>15689.0</v>
      </c>
      <c r="D1023" s="116">
        <v>45891.0</v>
      </c>
      <c r="E1023" s="12" t="s">
        <v>61</v>
      </c>
      <c r="F1023" s="115" t="str">
        <f t="shared" si="1"/>
        <v>Ashish Ranjan2025-08-2211</v>
      </c>
    </row>
    <row r="1024">
      <c r="A1024" s="115" t="s">
        <v>47</v>
      </c>
      <c r="B1024" s="115" t="s">
        <v>21</v>
      </c>
      <c r="C1024" s="115">
        <v>9370.0</v>
      </c>
      <c r="D1024" s="116">
        <v>45891.0</v>
      </c>
      <c r="E1024" s="12" t="s">
        <v>61</v>
      </c>
      <c r="F1024" s="115" t="str">
        <f t="shared" si="1"/>
        <v>Girish Chand2025-08-2211</v>
      </c>
    </row>
    <row r="1025">
      <c r="A1025" s="115" t="s">
        <v>47</v>
      </c>
      <c r="B1025" s="115" t="s">
        <v>22</v>
      </c>
      <c r="C1025" s="115">
        <v>6174.0</v>
      </c>
      <c r="D1025" s="116">
        <v>45891.0</v>
      </c>
      <c r="E1025" s="12" t="s">
        <v>61</v>
      </c>
      <c r="F1025" s="115" t="str">
        <f t="shared" si="1"/>
        <v>Parag Kashyap2025-08-2211</v>
      </c>
    </row>
    <row r="1026">
      <c r="A1026" s="115" t="s">
        <v>49</v>
      </c>
      <c r="B1026" s="115" t="s">
        <v>15</v>
      </c>
      <c r="C1026" s="115">
        <v>3666.0</v>
      </c>
      <c r="D1026" s="116">
        <v>45891.0</v>
      </c>
      <c r="E1026" s="12" t="s">
        <v>61</v>
      </c>
      <c r="F1026" s="115" t="str">
        <f t="shared" si="1"/>
        <v>Amit Kumar Pathak2025-08-2211</v>
      </c>
    </row>
    <row r="1027">
      <c r="A1027" s="115" t="s">
        <v>49</v>
      </c>
      <c r="B1027" s="115" t="s">
        <v>17</v>
      </c>
      <c r="C1027" s="115">
        <v>4364.0</v>
      </c>
      <c r="D1027" s="116">
        <v>45891.0</v>
      </c>
      <c r="E1027" s="12" t="s">
        <v>61</v>
      </c>
      <c r="F1027" s="115" t="str">
        <f t="shared" si="1"/>
        <v>Loveleen Singh2025-08-2211</v>
      </c>
    </row>
    <row r="1028">
      <c r="A1028" s="115" t="s">
        <v>49</v>
      </c>
      <c r="B1028" s="115" t="s">
        <v>16</v>
      </c>
      <c r="C1028" s="115">
        <v>9462.0</v>
      </c>
      <c r="D1028" s="116">
        <v>45891.0</v>
      </c>
      <c r="E1028" s="12" t="s">
        <v>61</v>
      </c>
      <c r="F1028" s="115" t="str">
        <f t="shared" si="1"/>
        <v>Manoj Harsh2025-08-2211</v>
      </c>
    </row>
    <row r="1029">
      <c r="A1029" s="115" t="s">
        <v>49</v>
      </c>
      <c r="B1029" s="115" t="s">
        <v>18</v>
      </c>
      <c r="C1029" s="115">
        <v>3766.0</v>
      </c>
      <c r="D1029" s="116">
        <v>45891.0</v>
      </c>
      <c r="E1029" s="12" t="s">
        <v>61</v>
      </c>
      <c r="F1029" s="115" t="str">
        <f t="shared" si="1"/>
        <v>Pradeep Kothari2025-08-2211</v>
      </c>
    </row>
    <row r="1030">
      <c r="A1030" s="115" t="s">
        <v>50</v>
      </c>
      <c r="B1030" s="115" t="s">
        <v>24</v>
      </c>
      <c r="C1030" s="115">
        <v>7510.0</v>
      </c>
      <c r="D1030" s="116">
        <v>45891.0</v>
      </c>
      <c r="E1030" s="12" t="s">
        <v>61</v>
      </c>
      <c r="F1030" s="115" t="str">
        <f t="shared" si="1"/>
        <v>Kandula Sampath2025-08-2211</v>
      </c>
    </row>
    <row r="1031">
      <c r="A1031" s="115" t="s">
        <v>50</v>
      </c>
      <c r="B1031" s="115" t="s">
        <v>25</v>
      </c>
      <c r="C1031" s="115">
        <v>5251.0</v>
      </c>
      <c r="D1031" s="116">
        <v>45891.0</v>
      </c>
      <c r="E1031" s="12" t="s">
        <v>61</v>
      </c>
      <c r="F1031" s="115" t="str">
        <f t="shared" si="1"/>
        <v>Martin A2025-08-2211</v>
      </c>
    </row>
    <row r="1032">
      <c r="A1032" s="115" t="s">
        <v>50</v>
      </c>
      <c r="B1032" s="115" t="s">
        <v>26</v>
      </c>
      <c r="C1032" s="115">
        <v>4010.0</v>
      </c>
      <c r="D1032" s="116">
        <v>45891.0</v>
      </c>
      <c r="E1032" s="12" t="s">
        <v>61</v>
      </c>
      <c r="F1032" s="115" t="str">
        <f t="shared" si="1"/>
        <v>Premkumar M2025-08-2211</v>
      </c>
    </row>
    <row r="1033">
      <c r="A1033" s="115" t="s">
        <v>50</v>
      </c>
      <c r="B1033" s="115" t="s">
        <v>27</v>
      </c>
      <c r="C1033" s="115">
        <v>3373.0</v>
      </c>
      <c r="D1033" s="116">
        <v>45891.0</v>
      </c>
      <c r="E1033" s="12" t="s">
        <v>61</v>
      </c>
      <c r="F1033" s="115" t="str">
        <f t="shared" si="1"/>
        <v>Vineeth V2025-08-2211</v>
      </c>
    </row>
    <row r="1034">
      <c r="A1034" s="115" t="s">
        <v>51</v>
      </c>
      <c r="B1034" s="115" t="s">
        <v>29</v>
      </c>
      <c r="C1034" s="115">
        <v>6645.0</v>
      </c>
      <c r="D1034" s="116">
        <v>45891.0</v>
      </c>
      <c r="E1034" s="12" t="s">
        <v>61</v>
      </c>
      <c r="F1034" s="115" t="str">
        <f t="shared" si="1"/>
        <v>Ashish Jakar2025-08-2211</v>
      </c>
    </row>
    <row r="1035">
      <c r="A1035" s="115" t="s">
        <v>51</v>
      </c>
      <c r="B1035" s="115" t="s">
        <v>30</v>
      </c>
      <c r="C1035" s="115">
        <v>6227.0</v>
      </c>
      <c r="D1035" s="116">
        <v>45891.0</v>
      </c>
      <c r="E1035" s="12" t="s">
        <v>61</v>
      </c>
      <c r="F1035" s="115" t="str">
        <f t="shared" si="1"/>
        <v>Ashvani Bhatt2025-08-2211</v>
      </c>
    </row>
    <row r="1036">
      <c r="C1036" s="115">
        <v>86.0</v>
      </c>
      <c r="D1036" s="116">
        <v>45891.0</v>
      </c>
      <c r="E1036" s="12" t="s">
        <v>61</v>
      </c>
      <c r="F1036" s="115" t="str">
        <f t="shared" si="1"/>
        <v>2025-08-2211</v>
      </c>
    </row>
    <row r="1037">
      <c r="A1037" s="115" t="s">
        <v>47</v>
      </c>
      <c r="B1037" s="115" t="s">
        <v>20</v>
      </c>
      <c r="C1037" s="115">
        <v>15689.0</v>
      </c>
      <c r="D1037" s="116">
        <v>45891.0</v>
      </c>
      <c r="E1037" s="12" t="s">
        <v>61</v>
      </c>
      <c r="F1037" s="115" t="str">
        <f t="shared" si="1"/>
        <v>Ashish Ranjan2025-08-2211</v>
      </c>
    </row>
    <row r="1038">
      <c r="A1038" s="115" t="s">
        <v>47</v>
      </c>
      <c r="B1038" s="115" t="s">
        <v>21</v>
      </c>
      <c r="C1038" s="115">
        <v>9370.0</v>
      </c>
      <c r="D1038" s="116">
        <v>45891.0</v>
      </c>
      <c r="E1038" s="12" t="s">
        <v>61</v>
      </c>
      <c r="F1038" s="115" t="str">
        <f t="shared" si="1"/>
        <v>Girish Chand2025-08-2211</v>
      </c>
    </row>
    <row r="1039">
      <c r="A1039" s="115" t="s">
        <v>47</v>
      </c>
      <c r="B1039" s="115" t="s">
        <v>22</v>
      </c>
      <c r="C1039" s="115">
        <v>6174.0</v>
      </c>
      <c r="D1039" s="116">
        <v>45891.0</v>
      </c>
      <c r="E1039" s="12" t="s">
        <v>61</v>
      </c>
      <c r="F1039" s="115" t="str">
        <f t="shared" si="1"/>
        <v>Parag Kashyap2025-08-2211</v>
      </c>
    </row>
    <row r="1040">
      <c r="A1040" s="115" t="s">
        <v>49</v>
      </c>
      <c r="B1040" s="115" t="s">
        <v>15</v>
      </c>
      <c r="C1040" s="115">
        <v>3666.0</v>
      </c>
      <c r="D1040" s="116">
        <v>45891.0</v>
      </c>
      <c r="E1040" s="12" t="s">
        <v>61</v>
      </c>
      <c r="F1040" s="115" t="str">
        <f t="shared" si="1"/>
        <v>Amit Kumar Pathak2025-08-2211</v>
      </c>
    </row>
    <row r="1041">
      <c r="A1041" s="115" t="s">
        <v>49</v>
      </c>
      <c r="B1041" s="115" t="s">
        <v>17</v>
      </c>
      <c r="C1041" s="115">
        <v>4364.0</v>
      </c>
      <c r="D1041" s="116">
        <v>45891.0</v>
      </c>
      <c r="E1041" s="12" t="s">
        <v>61</v>
      </c>
      <c r="F1041" s="115" t="str">
        <f t="shared" si="1"/>
        <v>Loveleen Singh2025-08-2211</v>
      </c>
    </row>
    <row r="1042">
      <c r="A1042" s="115" t="s">
        <v>49</v>
      </c>
      <c r="B1042" s="115" t="s">
        <v>16</v>
      </c>
      <c r="C1042" s="115">
        <v>9462.0</v>
      </c>
      <c r="D1042" s="116">
        <v>45891.0</v>
      </c>
      <c r="E1042" s="12" t="s">
        <v>61</v>
      </c>
      <c r="F1042" s="115" t="str">
        <f t="shared" si="1"/>
        <v>Manoj Harsh2025-08-2211</v>
      </c>
    </row>
    <row r="1043">
      <c r="A1043" s="115" t="s">
        <v>49</v>
      </c>
      <c r="B1043" s="115" t="s">
        <v>18</v>
      </c>
      <c r="C1043" s="115">
        <v>3766.0</v>
      </c>
      <c r="D1043" s="116">
        <v>45891.0</v>
      </c>
      <c r="E1043" s="12" t="s">
        <v>61</v>
      </c>
      <c r="F1043" s="115" t="str">
        <f t="shared" si="1"/>
        <v>Pradeep Kothari2025-08-2211</v>
      </c>
    </row>
    <row r="1044">
      <c r="A1044" s="115" t="s">
        <v>50</v>
      </c>
      <c r="B1044" s="115" t="s">
        <v>24</v>
      </c>
      <c r="C1044" s="115">
        <v>7510.0</v>
      </c>
      <c r="D1044" s="116">
        <v>45891.0</v>
      </c>
      <c r="E1044" s="12" t="s">
        <v>61</v>
      </c>
      <c r="F1044" s="115" t="str">
        <f t="shared" si="1"/>
        <v>Kandula Sampath2025-08-2211</v>
      </c>
    </row>
    <row r="1045">
      <c r="A1045" s="115" t="s">
        <v>50</v>
      </c>
      <c r="B1045" s="115" t="s">
        <v>25</v>
      </c>
      <c r="C1045" s="115">
        <v>5251.0</v>
      </c>
      <c r="D1045" s="116">
        <v>45891.0</v>
      </c>
      <c r="E1045" s="12" t="s">
        <v>61</v>
      </c>
      <c r="F1045" s="115" t="str">
        <f t="shared" si="1"/>
        <v>Martin A2025-08-2211</v>
      </c>
    </row>
    <row r="1046">
      <c r="A1046" s="115" t="s">
        <v>50</v>
      </c>
      <c r="B1046" s="115" t="s">
        <v>26</v>
      </c>
      <c r="C1046" s="115">
        <v>4010.0</v>
      </c>
      <c r="D1046" s="116">
        <v>45891.0</v>
      </c>
      <c r="E1046" s="12" t="s">
        <v>61</v>
      </c>
      <c r="F1046" s="115" t="str">
        <f t="shared" si="1"/>
        <v>Premkumar M2025-08-2211</v>
      </c>
    </row>
    <row r="1047">
      <c r="A1047" s="115" t="s">
        <v>50</v>
      </c>
      <c r="B1047" s="115" t="s">
        <v>27</v>
      </c>
      <c r="C1047" s="115">
        <v>3373.0</v>
      </c>
      <c r="D1047" s="116">
        <v>45891.0</v>
      </c>
      <c r="E1047" s="12" t="s">
        <v>61</v>
      </c>
      <c r="F1047" s="115" t="str">
        <f t="shared" si="1"/>
        <v>Vineeth V2025-08-2211</v>
      </c>
    </row>
    <row r="1048">
      <c r="A1048" s="115" t="s">
        <v>51</v>
      </c>
      <c r="B1048" s="115" t="s">
        <v>29</v>
      </c>
      <c r="C1048" s="115">
        <v>6645.0</v>
      </c>
      <c r="D1048" s="116">
        <v>45891.0</v>
      </c>
      <c r="E1048" s="12" t="s">
        <v>61</v>
      </c>
      <c r="F1048" s="115" t="str">
        <f t="shared" si="1"/>
        <v>Ashish Jakar2025-08-2211</v>
      </c>
    </row>
    <row r="1049">
      <c r="A1049" s="115" t="s">
        <v>51</v>
      </c>
      <c r="B1049" s="115" t="s">
        <v>30</v>
      </c>
      <c r="C1049" s="115">
        <v>6227.0</v>
      </c>
      <c r="D1049" s="116">
        <v>45891.0</v>
      </c>
      <c r="E1049" s="12" t="s">
        <v>61</v>
      </c>
      <c r="F1049" s="115" t="str">
        <f t="shared" si="1"/>
        <v>Ashvani Bhatt2025-08-2211</v>
      </c>
    </row>
    <row r="1050">
      <c r="C1050" s="115">
        <v>86.0</v>
      </c>
      <c r="D1050" s="116">
        <v>45891.0</v>
      </c>
      <c r="E1050" s="12" t="s">
        <v>61</v>
      </c>
      <c r="F1050" s="115" t="str">
        <f t="shared" si="1"/>
        <v>2025-08-2211</v>
      </c>
    </row>
    <row r="1051">
      <c r="A1051" s="115" t="s">
        <v>47</v>
      </c>
      <c r="B1051" s="115" t="s">
        <v>20</v>
      </c>
      <c r="C1051" s="115">
        <v>18081.0</v>
      </c>
      <c r="D1051" s="116">
        <v>45891.0</v>
      </c>
      <c r="E1051" s="12" t="s">
        <v>64</v>
      </c>
      <c r="F1051" s="115" t="str">
        <f t="shared" si="1"/>
        <v>Ashish Ranjan2025-08-2215</v>
      </c>
    </row>
    <row r="1052">
      <c r="A1052" s="115" t="s">
        <v>47</v>
      </c>
      <c r="B1052" s="115" t="s">
        <v>21</v>
      </c>
      <c r="C1052" s="115">
        <v>10640.0</v>
      </c>
      <c r="D1052" s="116">
        <v>45891.0</v>
      </c>
      <c r="E1052" s="12" t="s">
        <v>64</v>
      </c>
      <c r="F1052" s="115" t="str">
        <f t="shared" si="1"/>
        <v>Girish Chand2025-08-2215</v>
      </c>
    </row>
    <row r="1053">
      <c r="A1053" s="115" t="s">
        <v>47</v>
      </c>
      <c r="B1053" s="115" t="s">
        <v>22</v>
      </c>
      <c r="C1053" s="115">
        <v>7092.0</v>
      </c>
      <c r="D1053" s="116">
        <v>45891.0</v>
      </c>
      <c r="E1053" s="12" t="s">
        <v>64</v>
      </c>
      <c r="F1053" s="115" t="str">
        <f t="shared" si="1"/>
        <v>Parag Kashyap2025-08-2215</v>
      </c>
    </row>
    <row r="1054">
      <c r="A1054" s="115" t="s">
        <v>49</v>
      </c>
      <c r="B1054" s="115" t="s">
        <v>15</v>
      </c>
      <c r="C1054" s="115">
        <v>4428.0</v>
      </c>
      <c r="D1054" s="116">
        <v>45891.0</v>
      </c>
      <c r="E1054" s="12" t="s">
        <v>64</v>
      </c>
      <c r="F1054" s="115" t="str">
        <f t="shared" si="1"/>
        <v>Amit Kumar Pathak2025-08-2215</v>
      </c>
    </row>
    <row r="1055">
      <c r="A1055" s="115" t="s">
        <v>49</v>
      </c>
      <c r="B1055" s="115" t="s">
        <v>17</v>
      </c>
      <c r="C1055" s="115">
        <v>5289.0</v>
      </c>
      <c r="D1055" s="116">
        <v>45891.0</v>
      </c>
      <c r="E1055" s="12" t="s">
        <v>64</v>
      </c>
      <c r="F1055" s="115" t="str">
        <f t="shared" si="1"/>
        <v>Loveleen Singh2025-08-2215</v>
      </c>
    </row>
    <row r="1056">
      <c r="A1056" s="115" t="s">
        <v>49</v>
      </c>
      <c r="B1056" s="115" t="s">
        <v>16</v>
      </c>
      <c r="C1056" s="115">
        <v>11588.0</v>
      </c>
      <c r="D1056" s="116">
        <v>45891.0</v>
      </c>
      <c r="E1056" s="12" t="s">
        <v>64</v>
      </c>
      <c r="F1056" s="115" t="str">
        <f t="shared" si="1"/>
        <v>Manoj Harsh2025-08-2215</v>
      </c>
    </row>
    <row r="1057">
      <c r="A1057" s="115" t="s">
        <v>49</v>
      </c>
      <c r="B1057" s="115" t="s">
        <v>18</v>
      </c>
      <c r="C1057" s="115">
        <v>4484.0</v>
      </c>
      <c r="D1057" s="116">
        <v>45891.0</v>
      </c>
      <c r="E1057" s="12" t="s">
        <v>64</v>
      </c>
      <c r="F1057" s="115" t="str">
        <f t="shared" si="1"/>
        <v>Pradeep Kothari2025-08-2215</v>
      </c>
    </row>
    <row r="1058">
      <c r="A1058" s="115" t="s">
        <v>50</v>
      </c>
      <c r="B1058" s="115" t="s">
        <v>24</v>
      </c>
      <c r="C1058" s="115">
        <v>8278.0</v>
      </c>
      <c r="D1058" s="116">
        <v>45891.0</v>
      </c>
      <c r="E1058" s="12" t="s">
        <v>64</v>
      </c>
      <c r="F1058" s="115" t="str">
        <f t="shared" si="1"/>
        <v>Kandula Sampath2025-08-2215</v>
      </c>
    </row>
    <row r="1059">
      <c r="A1059" s="115" t="s">
        <v>50</v>
      </c>
      <c r="B1059" s="115" t="s">
        <v>25</v>
      </c>
      <c r="C1059" s="115">
        <v>6059.0</v>
      </c>
      <c r="D1059" s="116">
        <v>45891.0</v>
      </c>
      <c r="E1059" s="12" t="s">
        <v>64</v>
      </c>
      <c r="F1059" s="115" t="str">
        <f t="shared" si="1"/>
        <v>Martin A2025-08-2215</v>
      </c>
    </row>
    <row r="1060">
      <c r="A1060" s="115" t="s">
        <v>50</v>
      </c>
      <c r="B1060" s="115" t="s">
        <v>26</v>
      </c>
      <c r="C1060" s="115">
        <v>5460.0</v>
      </c>
      <c r="D1060" s="116">
        <v>45891.0</v>
      </c>
      <c r="E1060" s="12" t="s">
        <v>64</v>
      </c>
      <c r="F1060" s="115" t="str">
        <f t="shared" si="1"/>
        <v>Premkumar M2025-08-2215</v>
      </c>
    </row>
    <row r="1061">
      <c r="A1061" s="115" t="s">
        <v>50</v>
      </c>
      <c r="B1061" s="115" t="s">
        <v>27</v>
      </c>
      <c r="C1061" s="115">
        <v>4681.0</v>
      </c>
      <c r="D1061" s="116">
        <v>45891.0</v>
      </c>
      <c r="E1061" s="12" t="s">
        <v>64</v>
      </c>
      <c r="F1061" s="115" t="str">
        <f t="shared" si="1"/>
        <v>Vineeth V2025-08-2215</v>
      </c>
    </row>
    <row r="1062">
      <c r="A1062" s="115" t="s">
        <v>51</v>
      </c>
      <c r="B1062" s="115" t="s">
        <v>29</v>
      </c>
      <c r="C1062" s="115">
        <v>9091.0</v>
      </c>
      <c r="D1062" s="116">
        <v>45891.0</v>
      </c>
      <c r="E1062" s="12" t="s">
        <v>64</v>
      </c>
      <c r="F1062" s="115" t="str">
        <f t="shared" si="1"/>
        <v>Ashish Jakar2025-08-2215</v>
      </c>
    </row>
    <row r="1063">
      <c r="A1063" s="115" t="s">
        <v>51</v>
      </c>
      <c r="B1063" s="115" t="s">
        <v>30</v>
      </c>
      <c r="C1063" s="115">
        <v>7681.0</v>
      </c>
      <c r="D1063" s="116">
        <v>45891.0</v>
      </c>
      <c r="E1063" s="12" t="s">
        <v>64</v>
      </c>
      <c r="F1063" s="115" t="str">
        <f t="shared" si="1"/>
        <v>Ashvani Bhatt2025-08-2215</v>
      </c>
    </row>
    <row r="1064">
      <c r="C1064" s="115">
        <v>131.0</v>
      </c>
      <c r="D1064" s="116">
        <v>45891.0</v>
      </c>
      <c r="E1064" s="12" t="s">
        <v>64</v>
      </c>
      <c r="F1064" s="115" t="str">
        <f t="shared" si="1"/>
        <v>2025-08-2215</v>
      </c>
    </row>
    <row r="1065">
      <c r="A1065" s="115" t="s">
        <v>47</v>
      </c>
      <c r="B1065" s="115" t="s">
        <v>20</v>
      </c>
      <c r="C1065" s="115">
        <v>18320.0</v>
      </c>
      <c r="D1065" s="116">
        <v>45891.0</v>
      </c>
      <c r="E1065" s="12" t="s">
        <v>65</v>
      </c>
      <c r="F1065" s="115" t="str">
        <f t="shared" si="1"/>
        <v>Ashish Ranjan2025-08-2216</v>
      </c>
    </row>
    <row r="1066">
      <c r="A1066" s="115" t="s">
        <v>47</v>
      </c>
      <c r="B1066" s="115" t="s">
        <v>21</v>
      </c>
      <c r="C1066" s="115">
        <v>10697.0</v>
      </c>
      <c r="D1066" s="116">
        <v>45891.0</v>
      </c>
      <c r="E1066" s="12" t="s">
        <v>65</v>
      </c>
      <c r="F1066" s="115" t="str">
        <f t="shared" si="1"/>
        <v>Girish Chand2025-08-2216</v>
      </c>
    </row>
    <row r="1067">
      <c r="A1067" s="115" t="s">
        <v>47</v>
      </c>
      <c r="B1067" s="115" t="s">
        <v>22</v>
      </c>
      <c r="C1067" s="115">
        <v>7114.0</v>
      </c>
      <c r="D1067" s="116">
        <v>45891.0</v>
      </c>
      <c r="E1067" s="12" t="s">
        <v>65</v>
      </c>
      <c r="F1067" s="115" t="str">
        <f t="shared" si="1"/>
        <v>Parag Kashyap2025-08-2216</v>
      </c>
    </row>
    <row r="1068">
      <c r="A1068" s="115" t="s">
        <v>49</v>
      </c>
      <c r="B1068" s="115" t="s">
        <v>15</v>
      </c>
      <c r="C1068" s="115">
        <v>4740.0</v>
      </c>
      <c r="D1068" s="116">
        <v>45891.0</v>
      </c>
      <c r="E1068" s="12" t="s">
        <v>65</v>
      </c>
      <c r="F1068" s="115" t="str">
        <f t="shared" si="1"/>
        <v>Amit Kumar Pathak2025-08-2216</v>
      </c>
    </row>
    <row r="1069">
      <c r="A1069" s="115" t="s">
        <v>49</v>
      </c>
      <c r="B1069" s="115" t="s">
        <v>17</v>
      </c>
      <c r="C1069" s="115">
        <v>5327.0</v>
      </c>
      <c r="D1069" s="116">
        <v>45891.0</v>
      </c>
      <c r="E1069" s="12" t="s">
        <v>65</v>
      </c>
      <c r="F1069" s="115" t="str">
        <f t="shared" si="1"/>
        <v>Loveleen Singh2025-08-2216</v>
      </c>
    </row>
    <row r="1070">
      <c r="A1070" s="115" t="s">
        <v>49</v>
      </c>
      <c r="B1070" s="115" t="s">
        <v>16</v>
      </c>
      <c r="C1070" s="115">
        <v>11688.0</v>
      </c>
      <c r="D1070" s="116">
        <v>45891.0</v>
      </c>
      <c r="E1070" s="12" t="s">
        <v>65</v>
      </c>
      <c r="F1070" s="115" t="str">
        <f t="shared" si="1"/>
        <v>Manoj Harsh2025-08-2216</v>
      </c>
    </row>
    <row r="1071">
      <c r="A1071" s="115" t="s">
        <v>49</v>
      </c>
      <c r="B1071" s="115" t="s">
        <v>18</v>
      </c>
      <c r="C1071" s="115">
        <v>4545.0</v>
      </c>
      <c r="D1071" s="116">
        <v>45891.0</v>
      </c>
      <c r="E1071" s="12" t="s">
        <v>65</v>
      </c>
      <c r="F1071" s="115" t="str">
        <f t="shared" si="1"/>
        <v>Pradeep Kothari2025-08-2216</v>
      </c>
    </row>
    <row r="1072">
      <c r="A1072" s="115" t="s">
        <v>50</v>
      </c>
      <c r="B1072" s="115" t="s">
        <v>24</v>
      </c>
      <c r="C1072" s="115">
        <v>8359.0</v>
      </c>
      <c r="D1072" s="116">
        <v>45891.0</v>
      </c>
      <c r="E1072" s="12" t="s">
        <v>65</v>
      </c>
      <c r="F1072" s="115" t="str">
        <f t="shared" si="1"/>
        <v>Kandula Sampath2025-08-2216</v>
      </c>
    </row>
    <row r="1073">
      <c r="A1073" s="115" t="s">
        <v>50</v>
      </c>
      <c r="B1073" s="115" t="s">
        <v>25</v>
      </c>
      <c r="C1073" s="115">
        <v>6272.0</v>
      </c>
      <c r="D1073" s="116">
        <v>45891.0</v>
      </c>
      <c r="E1073" s="12" t="s">
        <v>65</v>
      </c>
      <c r="F1073" s="115" t="str">
        <f t="shared" si="1"/>
        <v>Martin A2025-08-2216</v>
      </c>
    </row>
    <row r="1074">
      <c r="A1074" s="115" t="s">
        <v>50</v>
      </c>
      <c r="B1074" s="115" t="s">
        <v>26</v>
      </c>
      <c r="C1074" s="115">
        <v>5539.0</v>
      </c>
      <c r="D1074" s="116">
        <v>45891.0</v>
      </c>
      <c r="E1074" s="12" t="s">
        <v>65</v>
      </c>
      <c r="F1074" s="115" t="str">
        <f t="shared" si="1"/>
        <v>Premkumar M2025-08-2216</v>
      </c>
    </row>
    <row r="1075">
      <c r="A1075" s="115" t="s">
        <v>50</v>
      </c>
      <c r="B1075" s="115" t="s">
        <v>27</v>
      </c>
      <c r="C1075" s="115">
        <v>4712.0</v>
      </c>
      <c r="D1075" s="116">
        <v>45891.0</v>
      </c>
      <c r="E1075" s="12" t="s">
        <v>65</v>
      </c>
      <c r="F1075" s="115" t="str">
        <f t="shared" si="1"/>
        <v>Vineeth V2025-08-2216</v>
      </c>
    </row>
    <row r="1076">
      <c r="A1076" s="115" t="s">
        <v>51</v>
      </c>
      <c r="B1076" s="115" t="s">
        <v>29</v>
      </c>
      <c r="C1076" s="115">
        <v>9339.0</v>
      </c>
      <c r="D1076" s="116">
        <v>45891.0</v>
      </c>
      <c r="E1076" s="12" t="s">
        <v>65</v>
      </c>
      <c r="F1076" s="115" t="str">
        <f t="shared" si="1"/>
        <v>Ashish Jakar2025-08-2216</v>
      </c>
    </row>
    <row r="1077">
      <c r="A1077" s="115" t="s">
        <v>51</v>
      </c>
      <c r="B1077" s="115" t="s">
        <v>30</v>
      </c>
      <c r="C1077" s="115">
        <v>7757.0</v>
      </c>
      <c r="D1077" s="116">
        <v>45891.0</v>
      </c>
      <c r="E1077" s="12" t="s">
        <v>65</v>
      </c>
      <c r="F1077" s="115" t="str">
        <f t="shared" si="1"/>
        <v>Ashvani Bhatt2025-08-2216</v>
      </c>
    </row>
    <row r="1078">
      <c r="C1078" s="115">
        <v>135.0</v>
      </c>
      <c r="D1078" s="116">
        <v>45891.0</v>
      </c>
      <c r="E1078" s="12" t="s">
        <v>65</v>
      </c>
      <c r="F1078" s="115" t="str">
        <f t="shared" si="1"/>
        <v>2025-08-2216</v>
      </c>
    </row>
    <row r="1079">
      <c r="A1079" s="115" t="s">
        <v>47</v>
      </c>
      <c r="B1079" s="115" t="s">
        <v>20</v>
      </c>
      <c r="C1079" s="115">
        <v>18478.0</v>
      </c>
      <c r="D1079" s="116">
        <v>45891.0</v>
      </c>
      <c r="E1079" s="12" t="s">
        <v>3</v>
      </c>
      <c r="F1079" s="115" t="str">
        <f t="shared" si="1"/>
        <v>Ashish Ranjan2025-08-2217</v>
      </c>
    </row>
    <row r="1080">
      <c r="A1080" s="115" t="s">
        <v>47</v>
      </c>
      <c r="B1080" s="115" t="s">
        <v>21</v>
      </c>
      <c r="C1080" s="115">
        <v>10720.0</v>
      </c>
      <c r="D1080" s="116">
        <v>45891.0</v>
      </c>
      <c r="E1080" s="12" t="s">
        <v>3</v>
      </c>
      <c r="F1080" s="115" t="str">
        <f t="shared" si="1"/>
        <v>Girish Chand2025-08-2217</v>
      </c>
    </row>
    <row r="1081">
      <c r="A1081" s="115" t="s">
        <v>47</v>
      </c>
      <c r="B1081" s="115" t="s">
        <v>22</v>
      </c>
      <c r="C1081" s="115">
        <v>7125.0</v>
      </c>
      <c r="D1081" s="116">
        <v>45891.0</v>
      </c>
      <c r="E1081" s="12" t="s">
        <v>3</v>
      </c>
      <c r="F1081" s="115" t="str">
        <f t="shared" si="1"/>
        <v>Parag Kashyap2025-08-2217</v>
      </c>
    </row>
    <row r="1082">
      <c r="A1082" s="115" t="s">
        <v>49</v>
      </c>
      <c r="B1082" s="115" t="s">
        <v>15</v>
      </c>
      <c r="C1082" s="115">
        <v>4834.0</v>
      </c>
      <c r="D1082" s="116">
        <v>45891.0</v>
      </c>
      <c r="E1082" s="12" t="s">
        <v>3</v>
      </c>
      <c r="F1082" s="115" t="str">
        <f t="shared" si="1"/>
        <v>Amit Kumar Pathak2025-08-2217</v>
      </c>
    </row>
    <row r="1083">
      <c r="A1083" s="115" t="s">
        <v>49</v>
      </c>
      <c r="B1083" s="115" t="s">
        <v>17</v>
      </c>
      <c r="C1083" s="115">
        <v>5339.0</v>
      </c>
      <c r="D1083" s="116">
        <v>45891.0</v>
      </c>
      <c r="E1083" s="12" t="s">
        <v>3</v>
      </c>
      <c r="F1083" s="115" t="str">
        <f t="shared" si="1"/>
        <v>Loveleen Singh2025-08-2217</v>
      </c>
    </row>
    <row r="1084">
      <c r="A1084" s="115" t="s">
        <v>49</v>
      </c>
      <c r="B1084" s="115" t="s">
        <v>16</v>
      </c>
      <c r="C1084" s="115">
        <v>11736.0</v>
      </c>
      <c r="D1084" s="116">
        <v>45891.0</v>
      </c>
      <c r="E1084" s="12" t="s">
        <v>3</v>
      </c>
      <c r="F1084" s="115" t="str">
        <f t="shared" si="1"/>
        <v>Manoj Harsh2025-08-2217</v>
      </c>
    </row>
    <row r="1085">
      <c r="A1085" s="115" t="s">
        <v>49</v>
      </c>
      <c r="B1085" s="115" t="s">
        <v>18</v>
      </c>
      <c r="C1085" s="115">
        <v>4589.0</v>
      </c>
      <c r="D1085" s="116">
        <v>45891.0</v>
      </c>
      <c r="E1085" s="12" t="s">
        <v>3</v>
      </c>
      <c r="F1085" s="115" t="str">
        <f t="shared" si="1"/>
        <v>Pradeep Kothari2025-08-2217</v>
      </c>
    </row>
    <row r="1086">
      <c r="A1086" s="115" t="s">
        <v>50</v>
      </c>
      <c r="B1086" s="115" t="s">
        <v>24</v>
      </c>
      <c r="C1086" s="115">
        <v>8409.0</v>
      </c>
      <c r="D1086" s="116">
        <v>45891.0</v>
      </c>
      <c r="E1086" s="12" t="s">
        <v>3</v>
      </c>
      <c r="F1086" s="115" t="str">
        <f t="shared" si="1"/>
        <v>Kandula Sampath2025-08-2217</v>
      </c>
    </row>
    <row r="1087">
      <c r="A1087" s="115" t="s">
        <v>50</v>
      </c>
      <c r="B1087" s="115" t="s">
        <v>25</v>
      </c>
      <c r="C1087" s="115">
        <v>6453.0</v>
      </c>
      <c r="D1087" s="116">
        <v>45891.0</v>
      </c>
      <c r="E1087" s="12" t="s">
        <v>3</v>
      </c>
      <c r="F1087" s="115" t="str">
        <f t="shared" si="1"/>
        <v>Martin A2025-08-2217</v>
      </c>
    </row>
    <row r="1088">
      <c r="A1088" s="115" t="s">
        <v>50</v>
      </c>
      <c r="B1088" s="115" t="s">
        <v>26</v>
      </c>
      <c r="C1088" s="115">
        <v>5596.0</v>
      </c>
      <c r="D1088" s="116">
        <v>45891.0</v>
      </c>
      <c r="E1088" s="12" t="s">
        <v>3</v>
      </c>
      <c r="F1088" s="115" t="str">
        <f t="shared" si="1"/>
        <v>Premkumar M2025-08-2217</v>
      </c>
    </row>
    <row r="1089">
      <c r="A1089" s="115" t="s">
        <v>50</v>
      </c>
      <c r="B1089" s="115" t="s">
        <v>27</v>
      </c>
      <c r="C1089" s="115">
        <v>4736.0</v>
      </c>
      <c r="D1089" s="116">
        <v>45891.0</v>
      </c>
      <c r="E1089" s="12" t="s">
        <v>3</v>
      </c>
      <c r="F1089" s="115" t="str">
        <f t="shared" si="1"/>
        <v>Vineeth V2025-08-2217</v>
      </c>
    </row>
    <row r="1090">
      <c r="A1090" s="115" t="s">
        <v>51</v>
      </c>
      <c r="B1090" s="115" t="s">
        <v>29</v>
      </c>
      <c r="C1090" s="115">
        <v>9554.0</v>
      </c>
      <c r="D1090" s="116">
        <v>45891.0</v>
      </c>
      <c r="E1090" s="12" t="s">
        <v>3</v>
      </c>
      <c r="F1090" s="115" t="str">
        <f t="shared" si="1"/>
        <v>Ashish Jakar2025-08-2217</v>
      </c>
    </row>
    <row r="1091">
      <c r="A1091" s="115" t="s">
        <v>51</v>
      </c>
      <c r="B1091" s="115" t="s">
        <v>30</v>
      </c>
      <c r="C1091" s="115">
        <v>7806.0</v>
      </c>
      <c r="D1091" s="116">
        <v>45891.0</v>
      </c>
      <c r="E1091" s="12" t="s">
        <v>3</v>
      </c>
      <c r="F1091" s="115" t="str">
        <f t="shared" si="1"/>
        <v>Ashvani Bhatt2025-08-2217</v>
      </c>
    </row>
    <row r="1092">
      <c r="C1092" s="115">
        <v>141.0</v>
      </c>
      <c r="D1092" s="116">
        <v>45891.0</v>
      </c>
      <c r="E1092" s="12" t="s">
        <v>3</v>
      </c>
      <c r="F1092" s="115" t="str">
        <f t="shared" si="1"/>
        <v>2025-08-2217</v>
      </c>
    </row>
    <row r="1093">
      <c r="A1093" s="115" t="s">
        <v>47</v>
      </c>
      <c r="B1093" s="115" t="s">
        <v>20</v>
      </c>
      <c r="C1093" s="115">
        <v>18478.0</v>
      </c>
      <c r="D1093" s="116">
        <v>45891.0</v>
      </c>
      <c r="E1093" s="12" t="s">
        <v>3</v>
      </c>
      <c r="F1093" s="115" t="str">
        <f t="shared" si="1"/>
        <v>Ashish Ranjan2025-08-2217</v>
      </c>
    </row>
    <row r="1094">
      <c r="A1094" s="115" t="s">
        <v>47</v>
      </c>
      <c r="B1094" s="115" t="s">
        <v>21</v>
      </c>
      <c r="C1094" s="115">
        <v>10720.0</v>
      </c>
      <c r="D1094" s="116">
        <v>45891.0</v>
      </c>
      <c r="E1094" s="12" t="s">
        <v>3</v>
      </c>
      <c r="F1094" s="115" t="str">
        <f t="shared" si="1"/>
        <v>Girish Chand2025-08-2217</v>
      </c>
    </row>
    <row r="1095">
      <c r="A1095" s="115" t="s">
        <v>47</v>
      </c>
      <c r="B1095" s="115" t="s">
        <v>22</v>
      </c>
      <c r="C1095" s="115">
        <v>7125.0</v>
      </c>
      <c r="D1095" s="116">
        <v>45891.0</v>
      </c>
      <c r="E1095" s="12" t="s">
        <v>3</v>
      </c>
      <c r="F1095" s="115" t="str">
        <f t="shared" si="1"/>
        <v>Parag Kashyap2025-08-2217</v>
      </c>
    </row>
    <row r="1096">
      <c r="A1096" s="115" t="s">
        <v>49</v>
      </c>
      <c r="B1096" s="115" t="s">
        <v>15</v>
      </c>
      <c r="C1096" s="115">
        <v>4834.0</v>
      </c>
      <c r="D1096" s="116">
        <v>45891.0</v>
      </c>
      <c r="E1096" s="12" t="s">
        <v>3</v>
      </c>
      <c r="F1096" s="115" t="str">
        <f t="shared" si="1"/>
        <v>Amit Kumar Pathak2025-08-2217</v>
      </c>
    </row>
    <row r="1097">
      <c r="A1097" s="115" t="s">
        <v>49</v>
      </c>
      <c r="B1097" s="115" t="s">
        <v>17</v>
      </c>
      <c r="C1097" s="115">
        <v>5339.0</v>
      </c>
      <c r="D1097" s="116">
        <v>45891.0</v>
      </c>
      <c r="E1097" s="12" t="s">
        <v>3</v>
      </c>
      <c r="F1097" s="115" t="str">
        <f t="shared" si="1"/>
        <v>Loveleen Singh2025-08-2217</v>
      </c>
    </row>
    <row r="1098">
      <c r="A1098" s="115" t="s">
        <v>49</v>
      </c>
      <c r="B1098" s="115" t="s">
        <v>16</v>
      </c>
      <c r="C1098" s="115">
        <v>11736.0</v>
      </c>
      <c r="D1098" s="116">
        <v>45891.0</v>
      </c>
      <c r="E1098" s="12" t="s">
        <v>3</v>
      </c>
      <c r="F1098" s="115" t="str">
        <f t="shared" si="1"/>
        <v>Manoj Harsh2025-08-2217</v>
      </c>
    </row>
    <row r="1099">
      <c r="A1099" s="115" t="s">
        <v>49</v>
      </c>
      <c r="B1099" s="115" t="s">
        <v>18</v>
      </c>
      <c r="C1099" s="115">
        <v>4589.0</v>
      </c>
      <c r="D1099" s="116">
        <v>45891.0</v>
      </c>
      <c r="E1099" s="12" t="s">
        <v>3</v>
      </c>
      <c r="F1099" s="115" t="str">
        <f t="shared" si="1"/>
        <v>Pradeep Kothari2025-08-2217</v>
      </c>
    </row>
    <row r="1100">
      <c r="A1100" s="115" t="s">
        <v>50</v>
      </c>
      <c r="B1100" s="115" t="s">
        <v>24</v>
      </c>
      <c r="C1100" s="115">
        <v>8409.0</v>
      </c>
      <c r="D1100" s="116">
        <v>45891.0</v>
      </c>
      <c r="E1100" s="12" t="s">
        <v>3</v>
      </c>
      <c r="F1100" s="115" t="str">
        <f t="shared" si="1"/>
        <v>Kandula Sampath2025-08-2217</v>
      </c>
    </row>
    <row r="1101">
      <c r="A1101" s="115" t="s">
        <v>50</v>
      </c>
      <c r="B1101" s="115" t="s">
        <v>25</v>
      </c>
      <c r="C1101" s="115">
        <v>6453.0</v>
      </c>
      <c r="D1101" s="116">
        <v>45891.0</v>
      </c>
      <c r="E1101" s="12" t="s">
        <v>3</v>
      </c>
      <c r="F1101" s="115" t="str">
        <f t="shared" si="1"/>
        <v>Martin A2025-08-2217</v>
      </c>
    </row>
    <row r="1102">
      <c r="A1102" s="115" t="s">
        <v>50</v>
      </c>
      <c r="B1102" s="115" t="s">
        <v>26</v>
      </c>
      <c r="C1102" s="115">
        <v>5596.0</v>
      </c>
      <c r="D1102" s="116">
        <v>45891.0</v>
      </c>
      <c r="E1102" s="12" t="s">
        <v>3</v>
      </c>
      <c r="F1102" s="115" t="str">
        <f t="shared" si="1"/>
        <v>Premkumar M2025-08-2217</v>
      </c>
    </row>
    <row r="1103">
      <c r="A1103" s="115" t="s">
        <v>50</v>
      </c>
      <c r="B1103" s="115" t="s">
        <v>27</v>
      </c>
      <c r="C1103" s="115">
        <v>4736.0</v>
      </c>
      <c r="D1103" s="116">
        <v>45891.0</v>
      </c>
      <c r="E1103" s="12" t="s">
        <v>3</v>
      </c>
      <c r="F1103" s="115" t="str">
        <f t="shared" si="1"/>
        <v>Vineeth V2025-08-2217</v>
      </c>
    </row>
    <row r="1104">
      <c r="A1104" s="115" t="s">
        <v>51</v>
      </c>
      <c r="B1104" s="115" t="s">
        <v>29</v>
      </c>
      <c r="C1104" s="115">
        <v>9554.0</v>
      </c>
      <c r="D1104" s="116">
        <v>45891.0</v>
      </c>
      <c r="E1104" s="12" t="s">
        <v>3</v>
      </c>
      <c r="F1104" s="115" t="str">
        <f t="shared" si="1"/>
        <v>Ashish Jakar2025-08-2217</v>
      </c>
    </row>
    <row r="1105">
      <c r="A1105" s="115" t="s">
        <v>51</v>
      </c>
      <c r="B1105" s="115" t="s">
        <v>30</v>
      </c>
      <c r="C1105" s="115">
        <v>7806.0</v>
      </c>
      <c r="D1105" s="116">
        <v>45891.0</v>
      </c>
      <c r="E1105" s="12" t="s">
        <v>3</v>
      </c>
      <c r="F1105" s="115" t="str">
        <f t="shared" si="1"/>
        <v>Ashvani Bhatt2025-08-2217</v>
      </c>
    </row>
    <row r="1106">
      <c r="C1106" s="115">
        <v>141.0</v>
      </c>
      <c r="D1106" s="116">
        <v>45891.0</v>
      </c>
      <c r="E1106" s="12" t="s">
        <v>3</v>
      </c>
      <c r="F1106" s="115" t="str">
        <f t="shared" si="1"/>
        <v>2025-08-2217</v>
      </c>
    </row>
    <row r="1107">
      <c r="A1107" s="115" t="s">
        <v>47</v>
      </c>
      <c r="B1107" s="115" t="s">
        <v>20</v>
      </c>
      <c r="C1107" s="115">
        <v>2440.0</v>
      </c>
      <c r="D1107" s="116">
        <v>45892.0</v>
      </c>
      <c r="E1107" s="12" t="s">
        <v>58</v>
      </c>
      <c r="F1107" s="115" t="str">
        <f t="shared" si="1"/>
        <v>Ashish Ranjan2025-08-2308</v>
      </c>
    </row>
    <row r="1108">
      <c r="A1108" s="115" t="s">
        <v>47</v>
      </c>
      <c r="B1108" s="115" t="s">
        <v>21</v>
      </c>
      <c r="C1108" s="115">
        <v>1234.0</v>
      </c>
      <c r="D1108" s="116">
        <v>45892.0</v>
      </c>
      <c r="E1108" s="12" t="s">
        <v>58</v>
      </c>
      <c r="F1108" s="115" t="str">
        <f t="shared" si="1"/>
        <v>Girish Chand2025-08-2308</v>
      </c>
    </row>
    <row r="1109">
      <c r="A1109" s="115" t="s">
        <v>47</v>
      </c>
      <c r="B1109" s="115" t="s">
        <v>22</v>
      </c>
      <c r="C1109" s="115">
        <v>1297.0</v>
      </c>
      <c r="D1109" s="116">
        <v>45892.0</v>
      </c>
      <c r="E1109" s="12" t="s">
        <v>58</v>
      </c>
      <c r="F1109" s="115" t="str">
        <f t="shared" si="1"/>
        <v>Parag Kashyap2025-08-2308</v>
      </c>
    </row>
    <row r="1110">
      <c r="A1110" s="115" t="s">
        <v>49</v>
      </c>
      <c r="B1110" s="115" t="s">
        <v>15</v>
      </c>
      <c r="C1110" s="115">
        <v>1157.0</v>
      </c>
      <c r="D1110" s="116">
        <v>45892.0</v>
      </c>
      <c r="E1110" s="12" t="s">
        <v>58</v>
      </c>
      <c r="F1110" s="115" t="str">
        <f t="shared" si="1"/>
        <v>Amit Kumar Pathak2025-08-2308</v>
      </c>
    </row>
    <row r="1111">
      <c r="A1111" s="115" t="s">
        <v>49</v>
      </c>
      <c r="B1111" s="115" t="s">
        <v>17</v>
      </c>
      <c r="C1111" s="115">
        <v>472.0</v>
      </c>
      <c r="D1111" s="116">
        <v>45892.0</v>
      </c>
      <c r="E1111" s="12" t="s">
        <v>58</v>
      </c>
      <c r="F1111" s="115" t="str">
        <f t="shared" si="1"/>
        <v>Loveleen Singh2025-08-2308</v>
      </c>
    </row>
    <row r="1112">
      <c r="A1112" s="115" t="s">
        <v>49</v>
      </c>
      <c r="B1112" s="115" t="s">
        <v>16</v>
      </c>
      <c r="C1112" s="115">
        <v>959.0</v>
      </c>
      <c r="D1112" s="116">
        <v>45892.0</v>
      </c>
      <c r="E1112" s="12" t="s">
        <v>58</v>
      </c>
      <c r="F1112" s="115" t="str">
        <f t="shared" si="1"/>
        <v>Manoj Harsh2025-08-2308</v>
      </c>
    </row>
    <row r="1113">
      <c r="A1113" s="115" t="s">
        <v>49</v>
      </c>
      <c r="B1113" s="115" t="s">
        <v>18</v>
      </c>
      <c r="C1113" s="115">
        <v>356.0</v>
      </c>
      <c r="D1113" s="116">
        <v>45892.0</v>
      </c>
      <c r="E1113" s="12" t="s">
        <v>58</v>
      </c>
      <c r="F1113" s="115" t="str">
        <f t="shared" si="1"/>
        <v>Pradeep Kothari2025-08-2308</v>
      </c>
    </row>
    <row r="1114">
      <c r="A1114" s="115" t="s">
        <v>50</v>
      </c>
      <c r="B1114" s="115" t="s">
        <v>24</v>
      </c>
      <c r="C1114" s="115">
        <v>1459.0</v>
      </c>
      <c r="D1114" s="116">
        <v>45892.0</v>
      </c>
      <c r="E1114" s="12" t="s">
        <v>58</v>
      </c>
      <c r="F1114" s="115" t="str">
        <f t="shared" si="1"/>
        <v>Kandula Sampath2025-08-2308</v>
      </c>
    </row>
    <row r="1115">
      <c r="A1115" s="115" t="s">
        <v>50</v>
      </c>
      <c r="B1115" s="115" t="s">
        <v>25</v>
      </c>
      <c r="C1115" s="115">
        <v>1099.0</v>
      </c>
      <c r="D1115" s="116">
        <v>45892.0</v>
      </c>
      <c r="E1115" s="12" t="s">
        <v>58</v>
      </c>
      <c r="F1115" s="115" t="str">
        <f t="shared" si="1"/>
        <v>Martin A2025-08-2308</v>
      </c>
    </row>
    <row r="1116">
      <c r="A1116" s="115" t="s">
        <v>50</v>
      </c>
      <c r="B1116" s="115" t="s">
        <v>26</v>
      </c>
      <c r="C1116" s="115">
        <v>297.0</v>
      </c>
      <c r="D1116" s="116">
        <v>45892.0</v>
      </c>
      <c r="E1116" s="12" t="s">
        <v>58</v>
      </c>
      <c r="F1116" s="115" t="str">
        <f t="shared" si="1"/>
        <v>Premkumar M2025-08-2308</v>
      </c>
    </row>
    <row r="1117">
      <c r="A1117" s="115" t="s">
        <v>50</v>
      </c>
      <c r="B1117" s="115" t="s">
        <v>27</v>
      </c>
      <c r="C1117" s="115">
        <v>136.0</v>
      </c>
      <c r="D1117" s="116">
        <v>45892.0</v>
      </c>
      <c r="E1117" s="12" t="s">
        <v>58</v>
      </c>
      <c r="F1117" s="115" t="str">
        <f t="shared" si="1"/>
        <v>Vineeth V2025-08-2308</v>
      </c>
    </row>
    <row r="1118">
      <c r="A1118" s="115" t="s">
        <v>51</v>
      </c>
      <c r="B1118" s="115" t="s">
        <v>29</v>
      </c>
      <c r="C1118" s="115">
        <v>553.0</v>
      </c>
      <c r="D1118" s="116">
        <v>45892.0</v>
      </c>
      <c r="E1118" s="12" t="s">
        <v>58</v>
      </c>
      <c r="F1118" s="115" t="str">
        <f t="shared" si="1"/>
        <v>Ashish Jakar2025-08-2308</v>
      </c>
    </row>
    <row r="1119">
      <c r="A1119" s="115" t="s">
        <v>51</v>
      </c>
      <c r="B1119" s="115" t="s">
        <v>30</v>
      </c>
      <c r="C1119" s="115">
        <v>810.0</v>
      </c>
      <c r="D1119" s="116">
        <v>45892.0</v>
      </c>
      <c r="E1119" s="12" t="s">
        <v>58</v>
      </c>
      <c r="F1119" s="115" t="str">
        <f t="shared" si="1"/>
        <v>Ashvani Bhatt2025-08-2308</v>
      </c>
    </row>
    <row r="1120">
      <c r="C1120" s="115">
        <v>17.0</v>
      </c>
      <c r="D1120" s="116">
        <v>45892.0</v>
      </c>
      <c r="E1120" s="12" t="s">
        <v>58</v>
      </c>
      <c r="F1120" s="115" t="str">
        <f t="shared" si="1"/>
        <v>2025-08-2308</v>
      </c>
    </row>
    <row r="1121">
      <c r="A1121" s="115" t="s">
        <v>47</v>
      </c>
      <c r="B1121" s="115" t="s">
        <v>20</v>
      </c>
      <c r="C1121" s="115">
        <v>7628.0</v>
      </c>
      <c r="D1121" s="116">
        <v>45892.0</v>
      </c>
      <c r="E1121" s="12" t="s">
        <v>59</v>
      </c>
      <c r="F1121" s="115" t="str">
        <f t="shared" si="1"/>
        <v>Ashish Ranjan2025-08-2309</v>
      </c>
    </row>
    <row r="1122">
      <c r="A1122" s="115" t="s">
        <v>47</v>
      </c>
      <c r="B1122" s="115" t="s">
        <v>21</v>
      </c>
      <c r="C1122" s="115">
        <v>3551.0</v>
      </c>
      <c r="D1122" s="116">
        <v>45892.0</v>
      </c>
      <c r="E1122" s="12" t="s">
        <v>59</v>
      </c>
      <c r="F1122" s="115" t="str">
        <f t="shared" si="1"/>
        <v>Girish Chand2025-08-2309</v>
      </c>
    </row>
    <row r="1123">
      <c r="A1123" s="115" t="s">
        <v>47</v>
      </c>
      <c r="B1123" s="115" t="s">
        <v>22</v>
      </c>
      <c r="C1123" s="115">
        <v>3030.0</v>
      </c>
      <c r="D1123" s="116">
        <v>45892.0</v>
      </c>
      <c r="E1123" s="12" t="s">
        <v>59</v>
      </c>
      <c r="F1123" s="115" t="str">
        <f t="shared" si="1"/>
        <v>Parag Kashyap2025-08-2309</v>
      </c>
    </row>
    <row r="1124">
      <c r="A1124" s="115" t="s">
        <v>49</v>
      </c>
      <c r="B1124" s="115" t="s">
        <v>15</v>
      </c>
      <c r="C1124" s="115">
        <v>2144.0</v>
      </c>
      <c r="D1124" s="116">
        <v>45892.0</v>
      </c>
      <c r="E1124" s="12" t="s">
        <v>59</v>
      </c>
      <c r="F1124" s="115" t="str">
        <f t="shared" si="1"/>
        <v>Amit Kumar Pathak2025-08-2309</v>
      </c>
    </row>
    <row r="1125">
      <c r="A1125" s="115" t="s">
        <v>49</v>
      </c>
      <c r="B1125" s="115" t="s">
        <v>17</v>
      </c>
      <c r="C1125" s="115">
        <v>1512.0</v>
      </c>
      <c r="D1125" s="116">
        <v>45892.0</v>
      </c>
      <c r="E1125" s="12" t="s">
        <v>59</v>
      </c>
      <c r="F1125" s="115" t="str">
        <f t="shared" si="1"/>
        <v>Loveleen Singh2025-08-2309</v>
      </c>
    </row>
    <row r="1126">
      <c r="A1126" s="115" t="s">
        <v>49</v>
      </c>
      <c r="B1126" s="115" t="s">
        <v>16</v>
      </c>
      <c r="C1126" s="115">
        <v>3190.0</v>
      </c>
      <c r="D1126" s="116">
        <v>45892.0</v>
      </c>
      <c r="E1126" s="12" t="s">
        <v>59</v>
      </c>
      <c r="F1126" s="115" t="str">
        <f t="shared" si="1"/>
        <v>Manoj Harsh2025-08-2309</v>
      </c>
    </row>
    <row r="1127">
      <c r="A1127" s="115" t="s">
        <v>49</v>
      </c>
      <c r="B1127" s="115" t="s">
        <v>18</v>
      </c>
      <c r="C1127" s="115">
        <v>1278.0</v>
      </c>
      <c r="D1127" s="116">
        <v>45892.0</v>
      </c>
      <c r="E1127" s="12" t="s">
        <v>59</v>
      </c>
      <c r="F1127" s="115" t="str">
        <f t="shared" si="1"/>
        <v>Pradeep Kothari2025-08-2309</v>
      </c>
    </row>
    <row r="1128">
      <c r="A1128" s="115" t="s">
        <v>50</v>
      </c>
      <c r="B1128" s="115" t="s">
        <v>24</v>
      </c>
      <c r="C1128" s="115">
        <v>3675.0</v>
      </c>
      <c r="D1128" s="116">
        <v>45892.0</v>
      </c>
      <c r="E1128" s="12" t="s">
        <v>59</v>
      </c>
      <c r="F1128" s="115" t="str">
        <f t="shared" si="1"/>
        <v>Kandula Sampath2025-08-2309</v>
      </c>
    </row>
    <row r="1129">
      <c r="A1129" s="115" t="s">
        <v>50</v>
      </c>
      <c r="B1129" s="115" t="s">
        <v>25</v>
      </c>
      <c r="C1129" s="115">
        <v>2842.0</v>
      </c>
      <c r="D1129" s="116">
        <v>45892.0</v>
      </c>
      <c r="E1129" s="12" t="s">
        <v>59</v>
      </c>
      <c r="F1129" s="115" t="str">
        <f t="shared" si="1"/>
        <v>Martin A2025-08-2309</v>
      </c>
    </row>
    <row r="1130">
      <c r="A1130" s="115" t="s">
        <v>50</v>
      </c>
      <c r="B1130" s="115" t="s">
        <v>26</v>
      </c>
      <c r="C1130" s="115">
        <v>1167.0</v>
      </c>
      <c r="D1130" s="116">
        <v>45892.0</v>
      </c>
      <c r="E1130" s="12" t="s">
        <v>59</v>
      </c>
      <c r="F1130" s="115" t="str">
        <f t="shared" si="1"/>
        <v>Premkumar M2025-08-2309</v>
      </c>
    </row>
    <row r="1131">
      <c r="A1131" s="115" t="s">
        <v>50</v>
      </c>
      <c r="B1131" s="115" t="s">
        <v>27</v>
      </c>
      <c r="C1131" s="115">
        <v>590.0</v>
      </c>
      <c r="D1131" s="116">
        <v>45892.0</v>
      </c>
      <c r="E1131" s="12" t="s">
        <v>59</v>
      </c>
      <c r="F1131" s="115" t="str">
        <f t="shared" si="1"/>
        <v>Vineeth V2025-08-2309</v>
      </c>
    </row>
    <row r="1132">
      <c r="A1132" s="115" t="s">
        <v>51</v>
      </c>
      <c r="B1132" s="115" t="s">
        <v>29</v>
      </c>
      <c r="C1132" s="115">
        <v>2333.0</v>
      </c>
      <c r="D1132" s="116">
        <v>45892.0</v>
      </c>
      <c r="E1132" s="12" t="s">
        <v>59</v>
      </c>
      <c r="F1132" s="115" t="str">
        <f t="shared" si="1"/>
        <v>Ashish Jakar2025-08-2309</v>
      </c>
    </row>
    <row r="1133">
      <c r="A1133" s="115" t="s">
        <v>51</v>
      </c>
      <c r="B1133" s="115" t="s">
        <v>30</v>
      </c>
      <c r="C1133" s="115">
        <v>2618.0</v>
      </c>
      <c r="D1133" s="116">
        <v>45892.0</v>
      </c>
      <c r="E1133" s="12" t="s">
        <v>59</v>
      </c>
      <c r="F1133" s="115" t="str">
        <f t="shared" si="1"/>
        <v>Ashvani Bhatt2025-08-2309</v>
      </c>
    </row>
    <row r="1134">
      <c r="C1134" s="115">
        <v>38.0</v>
      </c>
      <c r="D1134" s="116">
        <v>45892.0</v>
      </c>
      <c r="E1134" s="12" t="s">
        <v>59</v>
      </c>
      <c r="F1134" s="115" t="str">
        <f t="shared" si="1"/>
        <v>2025-08-2309</v>
      </c>
    </row>
    <row r="1135">
      <c r="A1135" s="115" t="s">
        <v>47</v>
      </c>
      <c r="B1135" s="115" t="s">
        <v>20</v>
      </c>
      <c r="C1135" s="115">
        <v>12618.0</v>
      </c>
      <c r="D1135" s="116">
        <v>45892.0</v>
      </c>
      <c r="E1135" s="12" t="s">
        <v>60</v>
      </c>
      <c r="F1135" s="115" t="str">
        <f t="shared" si="1"/>
        <v>Ashish Ranjan2025-08-2310</v>
      </c>
    </row>
    <row r="1136">
      <c r="A1136" s="115" t="s">
        <v>47</v>
      </c>
      <c r="B1136" s="115" t="s">
        <v>21</v>
      </c>
      <c r="C1136" s="115">
        <v>6859.0</v>
      </c>
      <c r="D1136" s="116">
        <v>45892.0</v>
      </c>
      <c r="E1136" s="12" t="s">
        <v>60</v>
      </c>
      <c r="F1136" s="115" t="str">
        <f t="shared" si="1"/>
        <v>Girish Chand2025-08-2310</v>
      </c>
    </row>
    <row r="1137">
      <c r="A1137" s="115" t="s">
        <v>47</v>
      </c>
      <c r="B1137" s="115" t="s">
        <v>22</v>
      </c>
      <c r="C1137" s="115">
        <v>4880.0</v>
      </c>
      <c r="D1137" s="116">
        <v>45892.0</v>
      </c>
      <c r="E1137" s="12" t="s">
        <v>60</v>
      </c>
      <c r="F1137" s="115" t="str">
        <f t="shared" si="1"/>
        <v>Parag Kashyap2025-08-2310</v>
      </c>
    </row>
    <row r="1138">
      <c r="A1138" s="115" t="s">
        <v>49</v>
      </c>
      <c r="B1138" s="115" t="s">
        <v>15</v>
      </c>
      <c r="C1138" s="115">
        <v>3046.0</v>
      </c>
      <c r="D1138" s="116">
        <v>45892.0</v>
      </c>
      <c r="E1138" s="12" t="s">
        <v>60</v>
      </c>
      <c r="F1138" s="115" t="str">
        <f t="shared" si="1"/>
        <v>Amit Kumar Pathak2025-08-2310</v>
      </c>
    </row>
    <row r="1139">
      <c r="A1139" s="115" t="s">
        <v>49</v>
      </c>
      <c r="B1139" s="115" t="s">
        <v>17</v>
      </c>
      <c r="C1139" s="115">
        <v>3013.0</v>
      </c>
      <c r="D1139" s="116">
        <v>45892.0</v>
      </c>
      <c r="E1139" s="12" t="s">
        <v>60</v>
      </c>
      <c r="F1139" s="115" t="str">
        <f t="shared" si="1"/>
        <v>Loveleen Singh2025-08-2310</v>
      </c>
    </row>
    <row r="1140">
      <c r="A1140" s="115" t="s">
        <v>49</v>
      </c>
      <c r="B1140" s="115" t="s">
        <v>16</v>
      </c>
      <c r="C1140" s="115">
        <v>6835.0</v>
      </c>
      <c r="D1140" s="116">
        <v>45892.0</v>
      </c>
      <c r="E1140" s="12" t="s">
        <v>60</v>
      </c>
      <c r="F1140" s="115" t="str">
        <f t="shared" si="1"/>
        <v>Manoj Harsh2025-08-2310</v>
      </c>
    </row>
    <row r="1141">
      <c r="A1141" s="115" t="s">
        <v>49</v>
      </c>
      <c r="B1141" s="115" t="s">
        <v>18</v>
      </c>
      <c r="C1141" s="115">
        <v>2650.0</v>
      </c>
      <c r="D1141" s="116">
        <v>45892.0</v>
      </c>
      <c r="E1141" s="12" t="s">
        <v>60</v>
      </c>
      <c r="F1141" s="115" t="str">
        <f t="shared" si="1"/>
        <v>Pradeep Kothari2025-08-2310</v>
      </c>
    </row>
    <row r="1142">
      <c r="A1142" s="115" t="s">
        <v>50</v>
      </c>
      <c r="B1142" s="115" t="s">
        <v>24</v>
      </c>
      <c r="C1142" s="115">
        <v>6206.0</v>
      </c>
      <c r="D1142" s="116">
        <v>45892.0</v>
      </c>
      <c r="E1142" s="12" t="s">
        <v>60</v>
      </c>
      <c r="F1142" s="115" t="str">
        <f t="shared" si="1"/>
        <v>Kandula Sampath2025-08-2310</v>
      </c>
    </row>
    <row r="1143">
      <c r="A1143" s="115" t="s">
        <v>50</v>
      </c>
      <c r="B1143" s="115" t="s">
        <v>25</v>
      </c>
      <c r="C1143" s="115">
        <v>4283.0</v>
      </c>
      <c r="D1143" s="116">
        <v>45892.0</v>
      </c>
      <c r="E1143" s="12" t="s">
        <v>60</v>
      </c>
      <c r="F1143" s="115" t="str">
        <f t="shared" si="1"/>
        <v>Martin A2025-08-2310</v>
      </c>
    </row>
    <row r="1144">
      <c r="A1144" s="115" t="s">
        <v>50</v>
      </c>
      <c r="B1144" s="115" t="s">
        <v>26</v>
      </c>
      <c r="C1144" s="115">
        <v>2482.0</v>
      </c>
      <c r="D1144" s="116">
        <v>45892.0</v>
      </c>
      <c r="E1144" s="12" t="s">
        <v>60</v>
      </c>
      <c r="F1144" s="115" t="str">
        <f t="shared" si="1"/>
        <v>Premkumar M2025-08-2310</v>
      </c>
    </row>
    <row r="1145">
      <c r="A1145" s="115" t="s">
        <v>50</v>
      </c>
      <c r="B1145" s="115" t="s">
        <v>27</v>
      </c>
      <c r="C1145" s="115">
        <v>1798.0</v>
      </c>
      <c r="D1145" s="116">
        <v>45892.0</v>
      </c>
      <c r="E1145" s="12" t="s">
        <v>60</v>
      </c>
      <c r="F1145" s="115" t="str">
        <f t="shared" si="1"/>
        <v>Vineeth V2025-08-2310</v>
      </c>
    </row>
    <row r="1146">
      <c r="A1146" s="115" t="s">
        <v>51</v>
      </c>
      <c r="B1146" s="115" t="s">
        <v>29</v>
      </c>
      <c r="C1146" s="115">
        <v>4847.0</v>
      </c>
      <c r="D1146" s="116">
        <v>45892.0</v>
      </c>
      <c r="E1146" s="12" t="s">
        <v>60</v>
      </c>
      <c r="F1146" s="115" t="str">
        <f t="shared" si="1"/>
        <v>Ashish Jakar2025-08-2310</v>
      </c>
    </row>
    <row r="1147">
      <c r="A1147" s="115" t="s">
        <v>51</v>
      </c>
      <c r="B1147" s="115" t="s">
        <v>30</v>
      </c>
      <c r="C1147" s="115">
        <v>4658.0</v>
      </c>
      <c r="D1147" s="116">
        <v>45892.0</v>
      </c>
      <c r="E1147" s="12" t="s">
        <v>60</v>
      </c>
      <c r="F1147" s="115" t="str">
        <f t="shared" si="1"/>
        <v>Ashvani Bhatt2025-08-2310</v>
      </c>
    </row>
    <row r="1148">
      <c r="C1148" s="115">
        <v>83.0</v>
      </c>
      <c r="D1148" s="116">
        <v>45892.0</v>
      </c>
      <c r="E1148" s="12" t="s">
        <v>60</v>
      </c>
      <c r="F1148" s="115" t="str">
        <f t="shared" si="1"/>
        <v>2025-08-2310</v>
      </c>
    </row>
    <row r="1149">
      <c r="A1149" s="115" t="s">
        <v>47</v>
      </c>
      <c r="B1149" s="115" t="s">
        <v>20</v>
      </c>
      <c r="C1149" s="115">
        <v>15868.0</v>
      </c>
      <c r="D1149" s="116">
        <v>45892.0</v>
      </c>
      <c r="E1149" s="12" t="s">
        <v>61</v>
      </c>
      <c r="F1149" s="115" t="str">
        <f t="shared" si="1"/>
        <v>Ashish Ranjan2025-08-2311</v>
      </c>
    </row>
    <row r="1150">
      <c r="A1150" s="115" t="s">
        <v>47</v>
      </c>
      <c r="B1150" s="115" t="s">
        <v>21</v>
      </c>
      <c r="C1150" s="115">
        <v>9051.0</v>
      </c>
      <c r="D1150" s="116">
        <v>45892.0</v>
      </c>
      <c r="E1150" s="12" t="s">
        <v>61</v>
      </c>
      <c r="F1150" s="115" t="str">
        <f t="shared" si="1"/>
        <v>Girish Chand2025-08-2311</v>
      </c>
    </row>
    <row r="1151">
      <c r="A1151" s="115" t="s">
        <v>47</v>
      </c>
      <c r="B1151" s="115" t="s">
        <v>22</v>
      </c>
      <c r="C1151" s="115">
        <v>6174.0</v>
      </c>
      <c r="D1151" s="116">
        <v>45892.0</v>
      </c>
      <c r="E1151" s="12" t="s">
        <v>61</v>
      </c>
      <c r="F1151" s="115" t="str">
        <f t="shared" si="1"/>
        <v>Parag Kashyap2025-08-2311</v>
      </c>
    </row>
    <row r="1152">
      <c r="A1152" s="115" t="s">
        <v>49</v>
      </c>
      <c r="B1152" s="115" t="s">
        <v>15</v>
      </c>
      <c r="C1152" s="115">
        <v>3727.0</v>
      </c>
      <c r="D1152" s="116">
        <v>45892.0</v>
      </c>
      <c r="E1152" s="12" t="s">
        <v>61</v>
      </c>
      <c r="F1152" s="115" t="str">
        <f t="shared" si="1"/>
        <v>Amit Kumar Pathak2025-08-2311</v>
      </c>
    </row>
    <row r="1153">
      <c r="A1153" s="115" t="s">
        <v>49</v>
      </c>
      <c r="B1153" s="115" t="s">
        <v>17</v>
      </c>
      <c r="C1153" s="115">
        <v>4236.0</v>
      </c>
      <c r="D1153" s="116">
        <v>45892.0</v>
      </c>
      <c r="E1153" s="12" t="s">
        <v>61</v>
      </c>
      <c r="F1153" s="115" t="str">
        <f t="shared" si="1"/>
        <v>Loveleen Singh2025-08-2311</v>
      </c>
    </row>
    <row r="1154">
      <c r="A1154" s="115" t="s">
        <v>49</v>
      </c>
      <c r="B1154" s="115" t="s">
        <v>16</v>
      </c>
      <c r="C1154" s="115">
        <v>9561.0</v>
      </c>
      <c r="D1154" s="116">
        <v>45892.0</v>
      </c>
      <c r="E1154" s="12" t="s">
        <v>61</v>
      </c>
      <c r="F1154" s="115" t="str">
        <f t="shared" si="1"/>
        <v>Manoj Harsh2025-08-2311</v>
      </c>
    </row>
    <row r="1155">
      <c r="A1155" s="115" t="s">
        <v>49</v>
      </c>
      <c r="B1155" s="115" t="s">
        <v>18</v>
      </c>
      <c r="C1155" s="115">
        <v>3635.0</v>
      </c>
      <c r="D1155" s="116">
        <v>45892.0</v>
      </c>
      <c r="E1155" s="12" t="s">
        <v>61</v>
      </c>
      <c r="F1155" s="115" t="str">
        <f t="shared" si="1"/>
        <v>Pradeep Kothari2025-08-2311</v>
      </c>
    </row>
    <row r="1156">
      <c r="A1156" s="115" t="s">
        <v>50</v>
      </c>
      <c r="B1156" s="115" t="s">
        <v>24</v>
      </c>
      <c r="C1156" s="115">
        <v>7552.0</v>
      </c>
      <c r="D1156" s="116">
        <v>45892.0</v>
      </c>
      <c r="E1156" s="12" t="s">
        <v>61</v>
      </c>
      <c r="F1156" s="115" t="str">
        <f t="shared" si="1"/>
        <v>Kandula Sampath2025-08-2311</v>
      </c>
    </row>
    <row r="1157">
      <c r="A1157" s="115" t="s">
        <v>50</v>
      </c>
      <c r="B1157" s="115" t="s">
        <v>25</v>
      </c>
      <c r="C1157" s="115">
        <v>5201.0</v>
      </c>
      <c r="D1157" s="116">
        <v>45892.0</v>
      </c>
      <c r="E1157" s="12" t="s">
        <v>61</v>
      </c>
      <c r="F1157" s="115" t="str">
        <f t="shared" si="1"/>
        <v>Martin A2025-08-2311</v>
      </c>
    </row>
    <row r="1158">
      <c r="A1158" s="115" t="s">
        <v>50</v>
      </c>
      <c r="B1158" s="115" t="s">
        <v>26</v>
      </c>
      <c r="C1158" s="115">
        <v>3898.0</v>
      </c>
      <c r="D1158" s="116">
        <v>45892.0</v>
      </c>
      <c r="E1158" s="12" t="s">
        <v>61</v>
      </c>
      <c r="F1158" s="115" t="str">
        <f t="shared" si="1"/>
        <v>Premkumar M2025-08-2311</v>
      </c>
    </row>
    <row r="1159">
      <c r="A1159" s="115" t="s">
        <v>50</v>
      </c>
      <c r="B1159" s="115" t="s">
        <v>27</v>
      </c>
      <c r="C1159" s="115">
        <v>3360.0</v>
      </c>
      <c r="D1159" s="116">
        <v>45892.0</v>
      </c>
      <c r="E1159" s="12" t="s">
        <v>61</v>
      </c>
      <c r="F1159" s="115" t="str">
        <f t="shared" si="1"/>
        <v>Vineeth V2025-08-2311</v>
      </c>
    </row>
    <row r="1160">
      <c r="A1160" s="115" t="s">
        <v>51</v>
      </c>
      <c r="B1160" s="115" t="s">
        <v>29</v>
      </c>
      <c r="C1160" s="115">
        <v>6906.0</v>
      </c>
      <c r="D1160" s="116">
        <v>45892.0</v>
      </c>
      <c r="E1160" s="12" t="s">
        <v>61</v>
      </c>
      <c r="F1160" s="115" t="str">
        <f t="shared" si="1"/>
        <v>Ashish Jakar2025-08-2311</v>
      </c>
    </row>
    <row r="1161">
      <c r="A1161" s="115" t="s">
        <v>51</v>
      </c>
      <c r="B1161" s="115" t="s">
        <v>30</v>
      </c>
      <c r="C1161" s="115">
        <v>6198.0</v>
      </c>
      <c r="D1161" s="116">
        <v>45892.0</v>
      </c>
      <c r="E1161" s="12" t="s">
        <v>61</v>
      </c>
      <c r="F1161" s="115" t="str">
        <f t="shared" si="1"/>
        <v>Ashvani Bhatt2025-08-2311</v>
      </c>
    </row>
    <row r="1162">
      <c r="C1162" s="115">
        <v>112.0</v>
      </c>
      <c r="D1162" s="116">
        <v>45892.0</v>
      </c>
      <c r="E1162" s="12" t="s">
        <v>61</v>
      </c>
      <c r="F1162" s="115" t="str">
        <f t="shared" si="1"/>
        <v>2025-08-2311</v>
      </c>
    </row>
    <row r="1163">
      <c r="A1163" s="115" t="s">
        <v>47</v>
      </c>
      <c r="B1163" s="115" t="s">
        <v>20</v>
      </c>
      <c r="C1163" s="115">
        <v>17872.0</v>
      </c>
      <c r="D1163" s="116">
        <v>45892.0</v>
      </c>
      <c r="E1163" s="12" t="s">
        <v>48</v>
      </c>
      <c r="F1163" s="115" t="str">
        <f t="shared" si="1"/>
        <v>Ashish Ranjan2025-08-2313</v>
      </c>
    </row>
    <row r="1164">
      <c r="A1164" s="115" t="s">
        <v>47</v>
      </c>
      <c r="B1164" s="115" t="s">
        <v>21</v>
      </c>
      <c r="C1164" s="115">
        <v>10129.0</v>
      </c>
      <c r="D1164" s="116">
        <v>45892.0</v>
      </c>
      <c r="E1164" s="12" t="s">
        <v>48</v>
      </c>
      <c r="F1164" s="115" t="str">
        <f t="shared" si="1"/>
        <v>Girish Chand2025-08-2313</v>
      </c>
    </row>
    <row r="1165">
      <c r="A1165" s="115" t="s">
        <v>47</v>
      </c>
      <c r="B1165" s="115" t="s">
        <v>22</v>
      </c>
      <c r="C1165" s="115">
        <v>6857.0</v>
      </c>
      <c r="D1165" s="116">
        <v>45892.0</v>
      </c>
      <c r="E1165" s="12" t="s">
        <v>48</v>
      </c>
      <c r="F1165" s="115" t="str">
        <f t="shared" si="1"/>
        <v>Parag Kashyap2025-08-2313</v>
      </c>
    </row>
    <row r="1166">
      <c r="A1166" s="115" t="s">
        <v>49</v>
      </c>
      <c r="B1166" s="115" t="s">
        <v>15</v>
      </c>
      <c r="C1166" s="115">
        <v>4242.0</v>
      </c>
      <c r="D1166" s="116">
        <v>45892.0</v>
      </c>
      <c r="E1166" s="12" t="s">
        <v>48</v>
      </c>
      <c r="F1166" s="115" t="str">
        <f t="shared" si="1"/>
        <v>Amit Kumar Pathak2025-08-2313</v>
      </c>
    </row>
    <row r="1167">
      <c r="A1167" s="115" t="s">
        <v>49</v>
      </c>
      <c r="B1167" s="115" t="s">
        <v>17</v>
      </c>
      <c r="C1167" s="115">
        <v>5146.0</v>
      </c>
      <c r="D1167" s="116">
        <v>45892.0</v>
      </c>
      <c r="E1167" s="12" t="s">
        <v>48</v>
      </c>
      <c r="F1167" s="115" t="str">
        <f t="shared" si="1"/>
        <v>Loveleen Singh2025-08-2313</v>
      </c>
    </row>
    <row r="1168">
      <c r="A1168" s="115" t="s">
        <v>49</v>
      </c>
      <c r="B1168" s="115" t="s">
        <v>16</v>
      </c>
      <c r="C1168" s="115">
        <v>11130.0</v>
      </c>
      <c r="D1168" s="116">
        <v>45892.0</v>
      </c>
      <c r="E1168" s="12" t="s">
        <v>48</v>
      </c>
      <c r="F1168" s="115" t="str">
        <f t="shared" si="1"/>
        <v>Manoj Harsh2025-08-2313</v>
      </c>
    </row>
    <row r="1169">
      <c r="A1169" s="115" t="s">
        <v>49</v>
      </c>
      <c r="B1169" s="115" t="s">
        <v>18</v>
      </c>
      <c r="C1169" s="115">
        <v>4267.0</v>
      </c>
      <c r="D1169" s="116">
        <v>45892.0</v>
      </c>
      <c r="E1169" s="12" t="s">
        <v>48</v>
      </c>
      <c r="F1169" s="115" t="str">
        <f t="shared" si="1"/>
        <v>Pradeep Kothari2025-08-2313</v>
      </c>
    </row>
    <row r="1170">
      <c r="A1170" s="115" t="s">
        <v>50</v>
      </c>
      <c r="B1170" s="115" t="s">
        <v>24</v>
      </c>
      <c r="C1170" s="115">
        <v>8247.0</v>
      </c>
      <c r="D1170" s="116">
        <v>45892.0</v>
      </c>
      <c r="E1170" s="12" t="s">
        <v>48</v>
      </c>
      <c r="F1170" s="115" t="str">
        <f t="shared" si="1"/>
        <v>Kandula Sampath2025-08-2313</v>
      </c>
    </row>
    <row r="1171">
      <c r="A1171" s="115" t="s">
        <v>50</v>
      </c>
      <c r="B1171" s="115" t="s">
        <v>25</v>
      </c>
      <c r="C1171" s="115">
        <v>5928.0</v>
      </c>
      <c r="D1171" s="116">
        <v>45892.0</v>
      </c>
      <c r="E1171" s="12" t="s">
        <v>48</v>
      </c>
      <c r="F1171" s="115" t="str">
        <f t="shared" si="1"/>
        <v>Martin A2025-08-2313</v>
      </c>
    </row>
    <row r="1172">
      <c r="A1172" s="115" t="s">
        <v>50</v>
      </c>
      <c r="B1172" s="115" t="s">
        <v>26</v>
      </c>
      <c r="C1172" s="115">
        <v>5267.0</v>
      </c>
      <c r="D1172" s="116">
        <v>45892.0</v>
      </c>
      <c r="E1172" s="12" t="s">
        <v>48</v>
      </c>
      <c r="F1172" s="115" t="str">
        <f t="shared" si="1"/>
        <v>Premkumar M2025-08-2313</v>
      </c>
    </row>
    <row r="1173">
      <c r="A1173" s="115" t="s">
        <v>50</v>
      </c>
      <c r="B1173" s="115" t="s">
        <v>27</v>
      </c>
      <c r="C1173" s="115">
        <v>4539.0</v>
      </c>
      <c r="D1173" s="116">
        <v>45892.0</v>
      </c>
      <c r="E1173" s="12" t="s">
        <v>48</v>
      </c>
      <c r="F1173" s="115" t="str">
        <f t="shared" si="1"/>
        <v>Vineeth V2025-08-2313</v>
      </c>
    </row>
    <row r="1174">
      <c r="A1174" s="115" t="s">
        <v>51</v>
      </c>
      <c r="B1174" s="115" t="s">
        <v>29</v>
      </c>
      <c r="C1174" s="115">
        <v>8687.0</v>
      </c>
      <c r="D1174" s="116">
        <v>45892.0</v>
      </c>
      <c r="E1174" s="12" t="s">
        <v>48</v>
      </c>
      <c r="F1174" s="115" t="str">
        <f t="shared" si="1"/>
        <v>Ashish Jakar2025-08-2313</v>
      </c>
    </row>
    <row r="1175">
      <c r="A1175" s="115" t="s">
        <v>51</v>
      </c>
      <c r="B1175" s="115" t="s">
        <v>30</v>
      </c>
      <c r="C1175" s="115">
        <v>7432.0</v>
      </c>
      <c r="D1175" s="116">
        <v>45892.0</v>
      </c>
      <c r="E1175" s="12" t="s">
        <v>48</v>
      </c>
      <c r="F1175" s="115" t="str">
        <f t="shared" si="1"/>
        <v>Ashvani Bhatt2025-08-2313</v>
      </c>
    </row>
    <row r="1176">
      <c r="C1176" s="115">
        <v>163.0</v>
      </c>
      <c r="D1176" s="116">
        <v>45892.0</v>
      </c>
      <c r="E1176" s="12" t="s">
        <v>48</v>
      </c>
      <c r="F1176" s="115" t="str">
        <f t="shared" si="1"/>
        <v>2025-08-2313</v>
      </c>
    </row>
    <row r="1177">
      <c r="A1177" s="115" t="s">
        <v>47</v>
      </c>
      <c r="B1177" s="115" t="s">
        <v>20</v>
      </c>
      <c r="C1177" s="115">
        <v>18150.0</v>
      </c>
      <c r="D1177" s="116">
        <v>45892.0</v>
      </c>
      <c r="E1177" s="12" t="s">
        <v>63</v>
      </c>
      <c r="F1177" s="115" t="str">
        <f t="shared" si="1"/>
        <v>Ashish Ranjan2025-08-2314</v>
      </c>
    </row>
    <row r="1178">
      <c r="A1178" s="115" t="s">
        <v>47</v>
      </c>
      <c r="B1178" s="115" t="s">
        <v>21</v>
      </c>
      <c r="C1178" s="115">
        <v>10340.0</v>
      </c>
      <c r="D1178" s="116">
        <v>45892.0</v>
      </c>
      <c r="E1178" s="12" t="s">
        <v>63</v>
      </c>
      <c r="F1178" s="115" t="str">
        <f t="shared" si="1"/>
        <v>Girish Chand2025-08-2314</v>
      </c>
    </row>
    <row r="1179">
      <c r="A1179" s="115" t="s">
        <v>47</v>
      </c>
      <c r="B1179" s="115" t="s">
        <v>22</v>
      </c>
      <c r="C1179" s="115">
        <v>6938.0</v>
      </c>
      <c r="D1179" s="116">
        <v>45892.0</v>
      </c>
      <c r="E1179" s="12" t="s">
        <v>63</v>
      </c>
      <c r="F1179" s="115" t="str">
        <f t="shared" si="1"/>
        <v>Parag Kashyap2025-08-2314</v>
      </c>
    </row>
    <row r="1180">
      <c r="A1180" s="115" t="s">
        <v>49</v>
      </c>
      <c r="B1180" s="115" t="s">
        <v>15</v>
      </c>
      <c r="C1180" s="115">
        <v>4404.0</v>
      </c>
      <c r="D1180" s="116">
        <v>45892.0</v>
      </c>
      <c r="E1180" s="12" t="s">
        <v>63</v>
      </c>
      <c r="F1180" s="115" t="str">
        <f t="shared" si="1"/>
        <v>Amit Kumar Pathak2025-08-2314</v>
      </c>
    </row>
    <row r="1181">
      <c r="A1181" s="115" t="s">
        <v>49</v>
      </c>
      <c r="B1181" s="115" t="s">
        <v>17</v>
      </c>
      <c r="C1181" s="115">
        <v>5262.0</v>
      </c>
      <c r="D1181" s="116">
        <v>45892.0</v>
      </c>
      <c r="E1181" s="12" t="s">
        <v>63</v>
      </c>
      <c r="F1181" s="115" t="str">
        <f t="shared" si="1"/>
        <v>Loveleen Singh2025-08-2314</v>
      </c>
    </row>
    <row r="1182">
      <c r="A1182" s="115" t="s">
        <v>49</v>
      </c>
      <c r="B1182" s="115" t="s">
        <v>16</v>
      </c>
      <c r="C1182" s="115">
        <v>11473.0</v>
      </c>
      <c r="D1182" s="116">
        <v>45892.0</v>
      </c>
      <c r="E1182" s="12" t="s">
        <v>63</v>
      </c>
      <c r="F1182" s="115" t="str">
        <f t="shared" si="1"/>
        <v>Manoj Harsh2025-08-2314</v>
      </c>
    </row>
    <row r="1183">
      <c r="A1183" s="115" t="s">
        <v>49</v>
      </c>
      <c r="B1183" s="115" t="s">
        <v>18</v>
      </c>
      <c r="C1183" s="115">
        <v>4401.0</v>
      </c>
      <c r="D1183" s="116">
        <v>45892.0</v>
      </c>
      <c r="E1183" s="12" t="s">
        <v>63</v>
      </c>
      <c r="F1183" s="115" t="str">
        <f t="shared" si="1"/>
        <v>Pradeep Kothari2025-08-2314</v>
      </c>
    </row>
    <row r="1184">
      <c r="A1184" s="115" t="s">
        <v>50</v>
      </c>
      <c r="B1184" s="115" t="s">
        <v>24</v>
      </c>
      <c r="C1184" s="115">
        <v>8380.0</v>
      </c>
      <c r="D1184" s="116">
        <v>45892.0</v>
      </c>
      <c r="E1184" s="12" t="s">
        <v>63</v>
      </c>
      <c r="F1184" s="115" t="str">
        <f t="shared" si="1"/>
        <v>Kandula Sampath2025-08-2314</v>
      </c>
    </row>
    <row r="1185">
      <c r="A1185" s="115" t="s">
        <v>50</v>
      </c>
      <c r="B1185" s="115" t="s">
        <v>25</v>
      </c>
      <c r="C1185" s="115">
        <v>6050.0</v>
      </c>
      <c r="D1185" s="116">
        <v>45892.0</v>
      </c>
      <c r="E1185" s="12" t="s">
        <v>63</v>
      </c>
      <c r="F1185" s="115" t="str">
        <f t="shared" si="1"/>
        <v>Martin A2025-08-2314</v>
      </c>
    </row>
    <row r="1186">
      <c r="A1186" s="115" t="s">
        <v>50</v>
      </c>
      <c r="B1186" s="115" t="s">
        <v>26</v>
      </c>
      <c r="C1186" s="115">
        <v>5490.0</v>
      </c>
      <c r="D1186" s="116">
        <v>45892.0</v>
      </c>
      <c r="E1186" s="12" t="s">
        <v>63</v>
      </c>
      <c r="F1186" s="115" t="str">
        <f t="shared" si="1"/>
        <v>Premkumar M2025-08-2314</v>
      </c>
    </row>
    <row r="1187">
      <c r="A1187" s="115" t="s">
        <v>50</v>
      </c>
      <c r="B1187" s="115" t="s">
        <v>27</v>
      </c>
      <c r="C1187" s="115">
        <v>4617.0</v>
      </c>
      <c r="D1187" s="116">
        <v>45892.0</v>
      </c>
      <c r="E1187" s="12" t="s">
        <v>63</v>
      </c>
      <c r="F1187" s="115" t="str">
        <f t="shared" si="1"/>
        <v>Vineeth V2025-08-2314</v>
      </c>
    </row>
    <row r="1188">
      <c r="A1188" s="115" t="s">
        <v>51</v>
      </c>
      <c r="B1188" s="115" t="s">
        <v>29</v>
      </c>
      <c r="C1188" s="115">
        <v>8969.0</v>
      </c>
      <c r="D1188" s="116">
        <v>45892.0</v>
      </c>
      <c r="E1188" s="12" t="s">
        <v>63</v>
      </c>
      <c r="F1188" s="115" t="str">
        <f t="shared" si="1"/>
        <v>Ashish Jakar2025-08-2314</v>
      </c>
    </row>
    <row r="1189">
      <c r="A1189" s="115" t="s">
        <v>51</v>
      </c>
      <c r="B1189" s="115" t="s">
        <v>30</v>
      </c>
      <c r="C1189" s="115">
        <v>7622.0</v>
      </c>
      <c r="D1189" s="116">
        <v>45892.0</v>
      </c>
      <c r="E1189" s="12" t="s">
        <v>63</v>
      </c>
      <c r="F1189" s="115" t="str">
        <f t="shared" si="1"/>
        <v>Ashvani Bhatt2025-08-2314</v>
      </c>
    </row>
    <row r="1190">
      <c r="C1190" s="115">
        <v>167.0</v>
      </c>
      <c r="D1190" s="116">
        <v>45892.0</v>
      </c>
      <c r="E1190" s="12" t="s">
        <v>63</v>
      </c>
      <c r="F1190" s="115" t="str">
        <f t="shared" si="1"/>
        <v>2025-08-2314</v>
      </c>
    </row>
    <row r="1191">
      <c r="A1191" s="115" t="s">
        <v>47</v>
      </c>
      <c r="B1191" s="115" t="s">
        <v>20</v>
      </c>
      <c r="C1191" s="115">
        <v>18551.0</v>
      </c>
      <c r="D1191" s="116">
        <v>45892.0</v>
      </c>
      <c r="E1191" s="12" t="s">
        <v>65</v>
      </c>
      <c r="F1191" s="115" t="str">
        <f t="shared" si="1"/>
        <v>Ashish Ranjan2025-08-2316</v>
      </c>
    </row>
    <row r="1192">
      <c r="A1192" s="115" t="s">
        <v>47</v>
      </c>
      <c r="B1192" s="115" t="s">
        <v>21</v>
      </c>
      <c r="C1192" s="115">
        <v>10493.0</v>
      </c>
      <c r="D1192" s="116">
        <v>45892.0</v>
      </c>
      <c r="E1192" s="12" t="s">
        <v>65</v>
      </c>
      <c r="F1192" s="115" t="str">
        <f t="shared" si="1"/>
        <v>Girish Chand2025-08-2316</v>
      </c>
    </row>
    <row r="1193">
      <c r="A1193" s="115" t="s">
        <v>47</v>
      </c>
      <c r="B1193" s="115" t="s">
        <v>22</v>
      </c>
      <c r="C1193" s="115">
        <v>6998.0</v>
      </c>
      <c r="D1193" s="116">
        <v>45892.0</v>
      </c>
      <c r="E1193" s="12" t="s">
        <v>65</v>
      </c>
      <c r="F1193" s="115" t="str">
        <f t="shared" si="1"/>
        <v>Parag Kashyap2025-08-2316</v>
      </c>
    </row>
    <row r="1194">
      <c r="A1194" s="115" t="s">
        <v>49</v>
      </c>
      <c r="B1194" s="115" t="s">
        <v>15</v>
      </c>
      <c r="C1194" s="115">
        <v>4944.0</v>
      </c>
      <c r="D1194" s="116">
        <v>45892.0</v>
      </c>
      <c r="E1194" s="12" t="s">
        <v>65</v>
      </c>
      <c r="F1194" s="115" t="str">
        <f t="shared" si="1"/>
        <v>Amit Kumar Pathak2025-08-2316</v>
      </c>
    </row>
    <row r="1195">
      <c r="A1195" s="115" t="s">
        <v>49</v>
      </c>
      <c r="B1195" s="115" t="s">
        <v>17</v>
      </c>
      <c r="C1195" s="115">
        <v>5353.0</v>
      </c>
      <c r="D1195" s="116">
        <v>45892.0</v>
      </c>
      <c r="E1195" s="12" t="s">
        <v>65</v>
      </c>
      <c r="F1195" s="115" t="str">
        <f t="shared" si="1"/>
        <v>Loveleen Singh2025-08-2316</v>
      </c>
    </row>
    <row r="1196">
      <c r="A1196" s="115" t="s">
        <v>49</v>
      </c>
      <c r="B1196" s="115" t="s">
        <v>16</v>
      </c>
      <c r="C1196" s="115">
        <v>11741.0</v>
      </c>
      <c r="D1196" s="116">
        <v>45892.0</v>
      </c>
      <c r="E1196" s="12" t="s">
        <v>65</v>
      </c>
      <c r="F1196" s="115" t="str">
        <f t="shared" si="1"/>
        <v>Manoj Harsh2025-08-2316</v>
      </c>
    </row>
    <row r="1197">
      <c r="A1197" s="115" t="s">
        <v>49</v>
      </c>
      <c r="B1197" s="115" t="s">
        <v>18</v>
      </c>
      <c r="C1197" s="115">
        <v>4524.0</v>
      </c>
      <c r="D1197" s="116">
        <v>45892.0</v>
      </c>
      <c r="E1197" s="12" t="s">
        <v>65</v>
      </c>
      <c r="F1197" s="115" t="str">
        <f t="shared" si="1"/>
        <v>Pradeep Kothari2025-08-2316</v>
      </c>
    </row>
    <row r="1198">
      <c r="A1198" s="115" t="s">
        <v>50</v>
      </c>
      <c r="B1198" s="115" t="s">
        <v>24</v>
      </c>
      <c r="C1198" s="115">
        <v>8593.0</v>
      </c>
      <c r="D1198" s="116">
        <v>45892.0</v>
      </c>
      <c r="E1198" s="12" t="s">
        <v>65</v>
      </c>
      <c r="F1198" s="115" t="str">
        <f t="shared" si="1"/>
        <v>Kandula Sampath2025-08-2316</v>
      </c>
    </row>
    <row r="1199">
      <c r="A1199" s="115" t="s">
        <v>50</v>
      </c>
      <c r="B1199" s="115" t="s">
        <v>25</v>
      </c>
      <c r="C1199" s="115">
        <v>6380.0</v>
      </c>
      <c r="D1199" s="116">
        <v>45892.0</v>
      </c>
      <c r="E1199" s="12" t="s">
        <v>65</v>
      </c>
      <c r="F1199" s="115" t="str">
        <f t="shared" si="1"/>
        <v>Martin A2025-08-2316</v>
      </c>
    </row>
    <row r="1200">
      <c r="A1200" s="115" t="s">
        <v>50</v>
      </c>
      <c r="B1200" s="115" t="s">
        <v>26</v>
      </c>
      <c r="C1200" s="115">
        <v>5677.0</v>
      </c>
      <c r="D1200" s="116">
        <v>45892.0</v>
      </c>
      <c r="E1200" s="12" t="s">
        <v>65</v>
      </c>
      <c r="F1200" s="115" t="str">
        <f t="shared" si="1"/>
        <v>Premkumar M2025-08-2316</v>
      </c>
    </row>
    <row r="1201">
      <c r="A1201" s="115" t="s">
        <v>50</v>
      </c>
      <c r="B1201" s="115" t="s">
        <v>27</v>
      </c>
      <c r="C1201" s="115">
        <v>4663.0</v>
      </c>
      <c r="D1201" s="116">
        <v>45892.0</v>
      </c>
      <c r="E1201" s="12" t="s">
        <v>65</v>
      </c>
      <c r="F1201" s="115" t="str">
        <f t="shared" si="1"/>
        <v>Vineeth V2025-08-2316</v>
      </c>
    </row>
    <row r="1202">
      <c r="A1202" s="115" t="s">
        <v>51</v>
      </c>
      <c r="B1202" s="115" t="s">
        <v>29</v>
      </c>
      <c r="C1202" s="115">
        <v>9461.0</v>
      </c>
      <c r="D1202" s="116">
        <v>45892.0</v>
      </c>
      <c r="E1202" s="12" t="s">
        <v>65</v>
      </c>
      <c r="F1202" s="115" t="str">
        <f t="shared" si="1"/>
        <v>Ashish Jakar2025-08-2316</v>
      </c>
    </row>
    <row r="1203">
      <c r="A1203" s="115" t="s">
        <v>51</v>
      </c>
      <c r="B1203" s="115" t="s">
        <v>30</v>
      </c>
      <c r="C1203" s="115">
        <v>7810.0</v>
      </c>
      <c r="D1203" s="116">
        <v>45892.0</v>
      </c>
      <c r="E1203" s="12" t="s">
        <v>65</v>
      </c>
      <c r="F1203" s="115" t="str">
        <f t="shared" si="1"/>
        <v>Ashvani Bhatt2025-08-2316</v>
      </c>
    </row>
    <row r="1204">
      <c r="C1204" s="115">
        <v>182.0</v>
      </c>
      <c r="D1204" s="116">
        <v>45892.0</v>
      </c>
      <c r="E1204" s="12" t="s">
        <v>65</v>
      </c>
      <c r="F1204" s="115" t="str">
        <f t="shared" si="1"/>
        <v>2025-08-2316</v>
      </c>
    </row>
    <row r="1205">
      <c r="A1205" s="115" t="s">
        <v>47</v>
      </c>
      <c r="B1205" s="115" t="s">
        <v>20</v>
      </c>
      <c r="C1205" s="115">
        <v>18697.0</v>
      </c>
      <c r="D1205" s="116">
        <v>45892.0</v>
      </c>
      <c r="E1205" s="12" t="s">
        <v>3</v>
      </c>
      <c r="F1205" s="115" t="str">
        <f t="shared" si="1"/>
        <v>Ashish Ranjan2025-08-2317</v>
      </c>
    </row>
    <row r="1206">
      <c r="A1206" s="115" t="s">
        <v>47</v>
      </c>
      <c r="B1206" s="115" t="s">
        <v>21</v>
      </c>
      <c r="C1206" s="115">
        <v>10526.0</v>
      </c>
      <c r="D1206" s="116">
        <v>45892.0</v>
      </c>
      <c r="E1206" s="12" t="s">
        <v>3</v>
      </c>
      <c r="F1206" s="115" t="str">
        <f t="shared" si="1"/>
        <v>Girish Chand2025-08-2317</v>
      </c>
    </row>
    <row r="1207">
      <c r="A1207" s="115" t="s">
        <v>47</v>
      </c>
      <c r="B1207" s="115" t="s">
        <v>22</v>
      </c>
      <c r="C1207" s="115">
        <v>7006.0</v>
      </c>
      <c r="D1207" s="116">
        <v>45892.0</v>
      </c>
      <c r="E1207" s="12" t="s">
        <v>3</v>
      </c>
      <c r="F1207" s="115" t="str">
        <f t="shared" si="1"/>
        <v>Parag Kashyap2025-08-2317</v>
      </c>
    </row>
    <row r="1208">
      <c r="A1208" s="115" t="s">
        <v>49</v>
      </c>
      <c r="B1208" s="115" t="s">
        <v>15</v>
      </c>
      <c r="C1208" s="115">
        <v>5061.0</v>
      </c>
      <c r="D1208" s="116">
        <v>45892.0</v>
      </c>
      <c r="E1208" s="12" t="s">
        <v>3</v>
      </c>
      <c r="F1208" s="115" t="str">
        <f t="shared" si="1"/>
        <v>Amit Kumar Pathak2025-08-2317</v>
      </c>
    </row>
    <row r="1209">
      <c r="A1209" s="115" t="s">
        <v>49</v>
      </c>
      <c r="B1209" s="115" t="s">
        <v>17</v>
      </c>
      <c r="C1209" s="115">
        <v>5375.0</v>
      </c>
      <c r="D1209" s="116">
        <v>45892.0</v>
      </c>
      <c r="E1209" s="12" t="s">
        <v>3</v>
      </c>
      <c r="F1209" s="115" t="str">
        <f t="shared" si="1"/>
        <v>Loveleen Singh2025-08-2317</v>
      </c>
    </row>
    <row r="1210">
      <c r="A1210" s="115" t="s">
        <v>49</v>
      </c>
      <c r="B1210" s="115" t="s">
        <v>16</v>
      </c>
      <c r="C1210" s="115">
        <v>11804.0</v>
      </c>
      <c r="D1210" s="116">
        <v>45892.0</v>
      </c>
      <c r="E1210" s="12" t="s">
        <v>3</v>
      </c>
      <c r="F1210" s="115" t="str">
        <f t="shared" si="1"/>
        <v>Manoj Harsh2025-08-2317</v>
      </c>
    </row>
    <row r="1211">
      <c r="A1211" s="115" t="s">
        <v>49</v>
      </c>
      <c r="B1211" s="115" t="s">
        <v>18</v>
      </c>
      <c r="C1211" s="115">
        <v>4539.0</v>
      </c>
      <c r="D1211" s="116">
        <v>45892.0</v>
      </c>
      <c r="E1211" s="12" t="s">
        <v>3</v>
      </c>
      <c r="F1211" s="115" t="str">
        <f t="shared" si="1"/>
        <v>Pradeep Kothari2025-08-2317</v>
      </c>
    </row>
    <row r="1212">
      <c r="A1212" s="115" t="s">
        <v>50</v>
      </c>
      <c r="B1212" s="115" t="s">
        <v>24</v>
      </c>
      <c r="C1212" s="115">
        <v>8625.0</v>
      </c>
      <c r="D1212" s="116">
        <v>45892.0</v>
      </c>
      <c r="E1212" s="12" t="s">
        <v>3</v>
      </c>
      <c r="F1212" s="115" t="str">
        <f t="shared" si="1"/>
        <v>Kandula Sampath2025-08-2317</v>
      </c>
    </row>
    <row r="1213">
      <c r="A1213" s="115" t="s">
        <v>50</v>
      </c>
      <c r="B1213" s="115" t="s">
        <v>25</v>
      </c>
      <c r="C1213" s="115">
        <v>6569.0</v>
      </c>
      <c r="D1213" s="116">
        <v>45892.0</v>
      </c>
      <c r="E1213" s="12" t="s">
        <v>3</v>
      </c>
      <c r="F1213" s="115" t="str">
        <f t="shared" si="1"/>
        <v>Martin A2025-08-2317</v>
      </c>
    </row>
    <row r="1214">
      <c r="A1214" s="115" t="s">
        <v>50</v>
      </c>
      <c r="B1214" s="115" t="s">
        <v>26</v>
      </c>
      <c r="C1214" s="115">
        <v>5724.0</v>
      </c>
      <c r="D1214" s="116">
        <v>45892.0</v>
      </c>
      <c r="E1214" s="12" t="s">
        <v>3</v>
      </c>
      <c r="F1214" s="115" t="str">
        <f t="shared" si="1"/>
        <v>Premkumar M2025-08-2317</v>
      </c>
    </row>
    <row r="1215">
      <c r="A1215" s="115" t="s">
        <v>50</v>
      </c>
      <c r="B1215" s="115" t="s">
        <v>27</v>
      </c>
      <c r="C1215" s="115">
        <v>4672.0</v>
      </c>
      <c r="D1215" s="116">
        <v>45892.0</v>
      </c>
      <c r="E1215" s="12" t="s">
        <v>3</v>
      </c>
      <c r="F1215" s="115" t="str">
        <f t="shared" si="1"/>
        <v>Vineeth V2025-08-2317</v>
      </c>
    </row>
    <row r="1216">
      <c r="A1216" s="115" t="s">
        <v>51</v>
      </c>
      <c r="B1216" s="115" t="s">
        <v>29</v>
      </c>
      <c r="C1216" s="115">
        <v>9657.0</v>
      </c>
      <c r="D1216" s="116">
        <v>45892.0</v>
      </c>
      <c r="E1216" s="12" t="s">
        <v>3</v>
      </c>
      <c r="F1216" s="115" t="str">
        <f t="shared" si="1"/>
        <v>Ashish Jakar2025-08-2317</v>
      </c>
    </row>
    <row r="1217">
      <c r="A1217" s="115" t="s">
        <v>51</v>
      </c>
      <c r="B1217" s="115" t="s">
        <v>30</v>
      </c>
      <c r="C1217" s="115">
        <v>7865.0</v>
      </c>
      <c r="D1217" s="116">
        <v>45892.0</v>
      </c>
      <c r="E1217" s="12" t="s">
        <v>3</v>
      </c>
      <c r="F1217" s="115" t="str">
        <f t="shared" si="1"/>
        <v>Ashvani Bhatt2025-08-2317</v>
      </c>
    </row>
    <row r="1218">
      <c r="C1218" s="115">
        <v>189.0</v>
      </c>
      <c r="D1218" s="116">
        <v>45892.0</v>
      </c>
      <c r="E1218" s="12" t="s">
        <v>3</v>
      </c>
      <c r="F1218" s="115" t="str">
        <f t="shared" si="1"/>
        <v>2025-08-2317</v>
      </c>
    </row>
    <row r="1219">
      <c r="A1219" s="115" t="s">
        <v>47</v>
      </c>
      <c r="B1219" s="115" t="s">
        <v>20</v>
      </c>
      <c r="C1219" s="115">
        <v>18779.0</v>
      </c>
      <c r="D1219" s="116">
        <v>45892.0</v>
      </c>
      <c r="E1219" s="12" t="s">
        <v>53</v>
      </c>
      <c r="F1219" s="115" t="str">
        <f t="shared" si="1"/>
        <v>Ashish Ranjan2025-08-2318</v>
      </c>
    </row>
    <row r="1220">
      <c r="A1220" s="115" t="s">
        <v>47</v>
      </c>
      <c r="B1220" s="115" t="s">
        <v>21</v>
      </c>
      <c r="C1220" s="115">
        <v>10537.0</v>
      </c>
      <c r="D1220" s="116">
        <v>45892.0</v>
      </c>
      <c r="E1220" s="12" t="s">
        <v>53</v>
      </c>
      <c r="F1220" s="115" t="str">
        <f t="shared" si="1"/>
        <v>Girish Chand2025-08-2318</v>
      </c>
    </row>
    <row r="1221">
      <c r="A1221" s="115" t="s">
        <v>47</v>
      </c>
      <c r="B1221" s="115" t="s">
        <v>22</v>
      </c>
      <c r="C1221" s="115">
        <v>7019.0</v>
      </c>
      <c r="D1221" s="116">
        <v>45892.0</v>
      </c>
      <c r="E1221" s="12" t="s">
        <v>53</v>
      </c>
      <c r="F1221" s="115" t="str">
        <f t="shared" si="1"/>
        <v>Parag Kashyap2025-08-2318</v>
      </c>
    </row>
    <row r="1222">
      <c r="A1222" s="115" t="s">
        <v>49</v>
      </c>
      <c r="B1222" s="115" t="s">
        <v>15</v>
      </c>
      <c r="C1222" s="115">
        <v>5142.0</v>
      </c>
      <c r="D1222" s="116">
        <v>45892.0</v>
      </c>
      <c r="E1222" s="12" t="s">
        <v>53</v>
      </c>
      <c r="F1222" s="115" t="str">
        <f t="shared" si="1"/>
        <v>Amit Kumar Pathak2025-08-2318</v>
      </c>
    </row>
    <row r="1223">
      <c r="A1223" s="115" t="s">
        <v>49</v>
      </c>
      <c r="B1223" s="115" t="s">
        <v>17</v>
      </c>
      <c r="C1223" s="115">
        <v>5393.0</v>
      </c>
      <c r="D1223" s="116">
        <v>45892.0</v>
      </c>
      <c r="E1223" s="12" t="s">
        <v>53</v>
      </c>
      <c r="F1223" s="115" t="str">
        <f t="shared" si="1"/>
        <v>Loveleen Singh2025-08-2318</v>
      </c>
    </row>
    <row r="1224">
      <c r="A1224" s="115" t="s">
        <v>49</v>
      </c>
      <c r="B1224" s="115" t="s">
        <v>16</v>
      </c>
      <c r="C1224" s="115">
        <v>11829.0</v>
      </c>
      <c r="D1224" s="116">
        <v>45892.0</v>
      </c>
      <c r="E1224" s="12" t="s">
        <v>53</v>
      </c>
      <c r="F1224" s="115" t="str">
        <f t="shared" si="1"/>
        <v>Manoj Harsh2025-08-2318</v>
      </c>
    </row>
    <row r="1225">
      <c r="A1225" s="115" t="s">
        <v>49</v>
      </c>
      <c r="B1225" s="115" t="s">
        <v>18</v>
      </c>
      <c r="C1225" s="115">
        <v>4559.0</v>
      </c>
      <c r="D1225" s="116">
        <v>45892.0</v>
      </c>
      <c r="E1225" s="12" t="s">
        <v>53</v>
      </c>
      <c r="F1225" s="115" t="str">
        <f t="shared" si="1"/>
        <v>Pradeep Kothari2025-08-2318</v>
      </c>
    </row>
    <row r="1226">
      <c r="A1226" s="115" t="s">
        <v>50</v>
      </c>
      <c r="B1226" s="115" t="s">
        <v>24</v>
      </c>
      <c r="C1226" s="115">
        <v>8645.0</v>
      </c>
      <c r="D1226" s="116">
        <v>45892.0</v>
      </c>
      <c r="E1226" s="12" t="s">
        <v>53</v>
      </c>
      <c r="F1226" s="115" t="str">
        <f t="shared" si="1"/>
        <v>Kandula Sampath2025-08-2318</v>
      </c>
    </row>
    <row r="1227">
      <c r="A1227" s="115" t="s">
        <v>50</v>
      </c>
      <c r="B1227" s="115" t="s">
        <v>25</v>
      </c>
      <c r="C1227" s="115">
        <v>6725.0</v>
      </c>
      <c r="D1227" s="116">
        <v>45892.0</v>
      </c>
      <c r="E1227" s="12" t="s">
        <v>53</v>
      </c>
      <c r="F1227" s="115" t="str">
        <f t="shared" si="1"/>
        <v>Martin A2025-08-2318</v>
      </c>
    </row>
    <row r="1228">
      <c r="A1228" s="115" t="s">
        <v>50</v>
      </c>
      <c r="B1228" s="115" t="s">
        <v>26</v>
      </c>
      <c r="C1228" s="115">
        <v>5758.0</v>
      </c>
      <c r="D1228" s="116">
        <v>45892.0</v>
      </c>
      <c r="E1228" s="12" t="s">
        <v>53</v>
      </c>
      <c r="F1228" s="115" t="str">
        <f t="shared" si="1"/>
        <v>Premkumar M2025-08-2318</v>
      </c>
    </row>
    <row r="1229">
      <c r="A1229" s="115" t="s">
        <v>50</v>
      </c>
      <c r="B1229" s="115" t="s">
        <v>27</v>
      </c>
      <c r="C1229" s="115">
        <v>4681.0</v>
      </c>
      <c r="D1229" s="116">
        <v>45892.0</v>
      </c>
      <c r="E1229" s="12" t="s">
        <v>53</v>
      </c>
      <c r="F1229" s="115" t="str">
        <f t="shared" si="1"/>
        <v>Vineeth V2025-08-2318</v>
      </c>
    </row>
    <row r="1230">
      <c r="A1230" s="115" t="s">
        <v>51</v>
      </c>
      <c r="B1230" s="115" t="s">
        <v>29</v>
      </c>
      <c r="C1230" s="115">
        <v>9735.0</v>
      </c>
      <c r="D1230" s="116">
        <v>45892.0</v>
      </c>
      <c r="E1230" s="12" t="s">
        <v>53</v>
      </c>
      <c r="F1230" s="115" t="str">
        <f t="shared" si="1"/>
        <v>Ashish Jakar2025-08-2318</v>
      </c>
    </row>
    <row r="1231">
      <c r="A1231" s="115" t="s">
        <v>51</v>
      </c>
      <c r="B1231" s="115" t="s">
        <v>30</v>
      </c>
      <c r="C1231" s="115">
        <v>7890.0</v>
      </c>
      <c r="D1231" s="116">
        <v>45892.0</v>
      </c>
      <c r="E1231" s="12" t="s">
        <v>53</v>
      </c>
      <c r="F1231" s="115" t="str">
        <f t="shared" si="1"/>
        <v>Ashvani Bhatt2025-08-2318</v>
      </c>
    </row>
    <row r="1232">
      <c r="C1232" s="115">
        <v>194.0</v>
      </c>
      <c r="D1232" s="116">
        <v>45892.0</v>
      </c>
      <c r="E1232" s="12" t="s">
        <v>53</v>
      </c>
      <c r="F1232" s="115" t="str">
        <f t="shared" si="1"/>
        <v>2025-08-2318</v>
      </c>
    </row>
    <row r="1233">
      <c r="A1233" s="115" t="s">
        <v>47</v>
      </c>
      <c r="B1233" s="115" t="s">
        <v>20</v>
      </c>
      <c r="C1233" s="115">
        <v>18821.0</v>
      </c>
      <c r="D1233" s="116">
        <v>45892.0</v>
      </c>
      <c r="E1233" s="12" t="s">
        <v>54</v>
      </c>
      <c r="F1233" s="115" t="str">
        <f t="shared" si="1"/>
        <v>Ashish Ranjan2025-08-2319</v>
      </c>
    </row>
    <row r="1234">
      <c r="A1234" s="115" t="s">
        <v>47</v>
      </c>
      <c r="B1234" s="115" t="s">
        <v>21</v>
      </c>
      <c r="C1234" s="115">
        <v>10555.0</v>
      </c>
      <c r="D1234" s="116">
        <v>45892.0</v>
      </c>
      <c r="E1234" s="12" t="s">
        <v>54</v>
      </c>
      <c r="F1234" s="115" t="str">
        <f t="shared" si="1"/>
        <v>Girish Chand2025-08-2319</v>
      </c>
    </row>
    <row r="1235">
      <c r="A1235" s="115" t="s">
        <v>47</v>
      </c>
      <c r="B1235" s="115" t="s">
        <v>22</v>
      </c>
      <c r="C1235" s="115">
        <v>7025.0</v>
      </c>
      <c r="D1235" s="116">
        <v>45892.0</v>
      </c>
      <c r="E1235" s="12" t="s">
        <v>54</v>
      </c>
      <c r="F1235" s="115" t="str">
        <f t="shared" si="1"/>
        <v>Parag Kashyap2025-08-2319</v>
      </c>
    </row>
    <row r="1236">
      <c r="A1236" s="115" t="s">
        <v>49</v>
      </c>
      <c r="B1236" s="115" t="s">
        <v>15</v>
      </c>
      <c r="C1236" s="115">
        <v>5192.0</v>
      </c>
      <c r="D1236" s="116">
        <v>45892.0</v>
      </c>
      <c r="E1236" s="12" t="s">
        <v>54</v>
      </c>
      <c r="F1236" s="115" t="str">
        <f t="shared" si="1"/>
        <v>Amit Kumar Pathak2025-08-2319</v>
      </c>
    </row>
    <row r="1237">
      <c r="A1237" s="115" t="s">
        <v>49</v>
      </c>
      <c r="B1237" s="115" t="s">
        <v>17</v>
      </c>
      <c r="C1237" s="115">
        <v>5397.0</v>
      </c>
      <c r="D1237" s="116">
        <v>45892.0</v>
      </c>
      <c r="E1237" s="12" t="s">
        <v>54</v>
      </c>
      <c r="F1237" s="115" t="str">
        <f t="shared" si="1"/>
        <v>Loveleen Singh2025-08-2319</v>
      </c>
    </row>
    <row r="1238">
      <c r="A1238" s="115" t="s">
        <v>49</v>
      </c>
      <c r="B1238" s="115" t="s">
        <v>16</v>
      </c>
      <c r="C1238" s="115">
        <v>11852.0</v>
      </c>
      <c r="D1238" s="116">
        <v>45892.0</v>
      </c>
      <c r="E1238" s="12" t="s">
        <v>54</v>
      </c>
      <c r="F1238" s="115" t="str">
        <f t="shared" si="1"/>
        <v>Manoj Harsh2025-08-2319</v>
      </c>
    </row>
    <row r="1239">
      <c r="A1239" s="115" t="s">
        <v>49</v>
      </c>
      <c r="B1239" s="115" t="s">
        <v>18</v>
      </c>
      <c r="C1239" s="115">
        <v>4563.0</v>
      </c>
      <c r="D1239" s="116">
        <v>45892.0</v>
      </c>
      <c r="E1239" s="12" t="s">
        <v>54</v>
      </c>
      <c r="F1239" s="115" t="str">
        <f t="shared" si="1"/>
        <v>Pradeep Kothari2025-08-2319</v>
      </c>
    </row>
    <row r="1240">
      <c r="A1240" s="115" t="s">
        <v>50</v>
      </c>
      <c r="B1240" s="115" t="s">
        <v>24</v>
      </c>
      <c r="C1240" s="115">
        <v>8655.0</v>
      </c>
      <c r="D1240" s="116">
        <v>45892.0</v>
      </c>
      <c r="E1240" s="12" t="s">
        <v>54</v>
      </c>
      <c r="F1240" s="115" t="str">
        <f t="shared" si="1"/>
        <v>Kandula Sampath2025-08-2319</v>
      </c>
    </row>
    <row r="1241">
      <c r="A1241" s="115" t="s">
        <v>50</v>
      </c>
      <c r="B1241" s="115" t="s">
        <v>25</v>
      </c>
      <c r="C1241" s="115">
        <v>6798.0</v>
      </c>
      <c r="D1241" s="116">
        <v>45892.0</v>
      </c>
      <c r="E1241" s="12" t="s">
        <v>54</v>
      </c>
      <c r="F1241" s="115" t="str">
        <f t="shared" si="1"/>
        <v>Martin A2025-08-2319</v>
      </c>
    </row>
    <row r="1242">
      <c r="A1242" s="115" t="s">
        <v>50</v>
      </c>
      <c r="B1242" s="115" t="s">
        <v>26</v>
      </c>
      <c r="C1242" s="115">
        <v>5766.0</v>
      </c>
      <c r="D1242" s="116">
        <v>45892.0</v>
      </c>
      <c r="E1242" s="12" t="s">
        <v>54</v>
      </c>
      <c r="F1242" s="115" t="str">
        <f t="shared" si="1"/>
        <v>Premkumar M2025-08-2319</v>
      </c>
    </row>
    <row r="1243">
      <c r="A1243" s="115" t="s">
        <v>50</v>
      </c>
      <c r="B1243" s="115" t="s">
        <v>27</v>
      </c>
      <c r="C1243" s="115">
        <v>4684.0</v>
      </c>
      <c r="D1243" s="116">
        <v>45892.0</v>
      </c>
      <c r="E1243" s="12" t="s">
        <v>54</v>
      </c>
      <c r="F1243" s="115" t="str">
        <f t="shared" si="1"/>
        <v>Vineeth V2025-08-2319</v>
      </c>
    </row>
    <row r="1244">
      <c r="A1244" s="115" t="s">
        <v>51</v>
      </c>
      <c r="B1244" s="115" t="s">
        <v>29</v>
      </c>
      <c r="C1244" s="115">
        <v>9765.0</v>
      </c>
      <c r="D1244" s="116">
        <v>45892.0</v>
      </c>
      <c r="E1244" s="12" t="s">
        <v>54</v>
      </c>
      <c r="F1244" s="115" t="str">
        <f t="shared" si="1"/>
        <v>Ashish Jakar2025-08-2319</v>
      </c>
    </row>
    <row r="1245">
      <c r="A1245" s="115" t="s">
        <v>51</v>
      </c>
      <c r="B1245" s="115" t="s">
        <v>30</v>
      </c>
      <c r="C1245" s="115">
        <v>7903.0</v>
      </c>
      <c r="D1245" s="116">
        <v>45892.0</v>
      </c>
      <c r="E1245" s="12" t="s">
        <v>54</v>
      </c>
      <c r="F1245" s="115" t="str">
        <f t="shared" si="1"/>
        <v>Ashvani Bhatt2025-08-2319</v>
      </c>
    </row>
    <row r="1246">
      <c r="C1246" s="115">
        <v>195.0</v>
      </c>
      <c r="D1246" s="116">
        <v>45892.0</v>
      </c>
      <c r="E1246" s="12" t="s">
        <v>54</v>
      </c>
      <c r="F1246" s="115" t="str">
        <f t="shared" si="1"/>
        <v>2025-08-2319</v>
      </c>
    </row>
    <row r="1247">
      <c r="A1247" s="115" t="s">
        <v>47</v>
      </c>
      <c r="B1247" s="115" t="s">
        <v>20</v>
      </c>
      <c r="C1247" s="115">
        <v>18846.0</v>
      </c>
      <c r="D1247" s="116">
        <v>45892.0</v>
      </c>
      <c r="E1247" s="12" t="s">
        <v>55</v>
      </c>
      <c r="F1247" s="115" t="str">
        <f t="shared" si="1"/>
        <v>Ashish Ranjan2025-08-2320</v>
      </c>
    </row>
    <row r="1248">
      <c r="A1248" s="115" t="s">
        <v>47</v>
      </c>
      <c r="B1248" s="115" t="s">
        <v>21</v>
      </c>
      <c r="C1248" s="115">
        <v>10562.0</v>
      </c>
      <c r="D1248" s="116">
        <v>45892.0</v>
      </c>
      <c r="E1248" s="12" t="s">
        <v>55</v>
      </c>
      <c r="F1248" s="115" t="str">
        <f t="shared" si="1"/>
        <v>Girish Chand2025-08-2320</v>
      </c>
    </row>
    <row r="1249">
      <c r="A1249" s="115" t="s">
        <v>47</v>
      </c>
      <c r="B1249" s="115" t="s">
        <v>22</v>
      </c>
      <c r="C1249" s="115">
        <v>7026.0</v>
      </c>
      <c r="D1249" s="116">
        <v>45892.0</v>
      </c>
      <c r="E1249" s="12" t="s">
        <v>55</v>
      </c>
      <c r="F1249" s="115" t="str">
        <f t="shared" si="1"/>
        <v>Parag Kashyap2025-08-2320</v>
      </c>
    </row>
    <row r="1250">
      <c r="A1250" s="115" t="s">
        <v>49</v>
      </c>
      <c r="B1250" s="115" t="s">
        <v>15</v>
      </c>
      <c r="C1250" s="115">
        <v>5211.0</v>
      </c>
      <c r="D1250" s="116">
        <v>45892.0</v>
      </c>
      <c r="E1250" s="12" t="s">
        <v>55</v>
      </c>
      <c r="F1250" s="115" t="str">
        <f t="shared" si="1"/>
        <v>Amit Kumar Pathak2025-08-2320</v>
      </c>
    </row>
    <row r="1251">
      <c r="A1251" s="115" t="s">
        <v>49</v>
      </c>
      <c r="B1251" s="115" t="s">
        <v>17</v>
      </c>
      <c r="C1251" s="115">
        <v>5399.0</v>
      </c>
      <c r="D1251" s="116">
        <v>45892.0</v>
      </c>
      <c r="E1251" s="12" t="s">
        <v>55</v>
      </c>
      <c r="F1251" s="115" t="str">
        <f t="shared" si="1"/>
        <v>Loveleen Singh2025-08-2320</v>
      </c>
    </row>
    <row r="1252">
      <c r="A1252" s="115" t="s">
        <v>49</v>
      </c>
      <c r="B1252" s="115" t="s">
        <v>16</v>
      </c>
      <c r="C1252" s="115">
        <v>11859.0</v>
      </c>
      <c r="D1252" s="116">
        <v>45892.0</v>
      </c>
      <c r="E1252" s="12" t="s">
        <v>55</v>
      </c>
      <c r="F1252" s="115" t="str">
        <f t="shared" si="1"/>
        <v>Manoj Harsh2025-08-2320</v>
      </c>
    </row>
    <row r="1253">
      <c r="A1253" s="115" t="s">
        <v>49</v>
      </c>
      <c r="B1253" s="115" t="s">
        <v>18</v>
      </c>
      <c r="C1253" s="115">
        <v>4567.0</v>
      </c>
      <c r="D1253" s="116">
        <v>45892.0</v>
      </c>
      <c r="E1253" s="12" t="s">
        <v>55</v>
      </c>
      <c r="F1253" s="115" t="str">
        <f t="shared" si="1"/>
        <v>Pradeep Kothari2025-08-2320</v>
      </c>
    </row>
    <row r="1254">
      <c r="A1254" s="115" t="s">
        <v>50</v>
      </c>
      <c r="B1254" s="115" t="s">
        <v>24</v>
      </c>
      <c r="C1254" s="115">
        <v>8665.0</v>
      </c>
      <c r="D1254" s="116">
        <v>45892.0</v>
      </c>
      <c r="E1254" s="12" t="s">
        <v>55</v>
      </c>
      <c r="F1254" s="115" t="str">
        <f t="shared" si="1"/>
        <v>Kandula Sampath2025-08-2320</v>
      </c>
    </row>
    <row r="1255">
      <c r="A1255" s="115" t="s">
        <v>50</v>
      </c>
      <c r="B1255" s="115" t="s">
        <v>25</v>
      </c>
      <c r="C1255" s="115">
        <v>6822.0</v>
      </c>
      <c r="D1255" s="116">
        <v>45892.0</v>
      </c>
      <c r="E1255" s="12" t="s">
        <v>55</v>
      </c>
      <c r="F1255" s="115" t="str">
        <f t="shared" si="1"/>
        <v>Martin A2025-08-2320</v>
      </c>
    </row>
    <row r="1256">
      <c r="A1256" s="115" t="s">
        <v>50</v>
      </c>
      <c r="B1256" s="115" t="s">
        <v>26</v>
      </c>
      <c r="C1256" s="115">
        <v>5774.0</v>
      </c>
      <c r="D1256" s="116">
        <v>45892.0</v>
      </c>
      <c r="E1256" s="12" t="s">
        <v>55</v>
      </c>
      <c r="F1256" s="115" t="str">
        <f t="shared" si="1"/>
        <v>Premkumar M2025-08-2320</v>
      </c>
    </row>
    <row r="1257">
      <c r="A1257" s="115" t="s">
        <v>50</v>
      </c>
      <c r="B1257" s="115" t="s">
        <v>27</v>
      </c>
      <c r="C1257" s="115">
        <v>4688.0</v>
      </c>
      <c r="D1257" s="116">
        <v>45892.0</v>
      </c>
      <c r="E1257" s="12" t="s">
        <v>55</v>
      </c>
      <c r="F1257" s="115" t="str">
        <f t="shared" si="1"/>
        <v>Vineeth V2025-08-2320</v>
      </c>
    </row>
    <row r="1258">
      <c r="A1258" s="115" t="s">
        <v>51</v>
      </c>
      <c r="B1258" s="115" t="s">
        <v>29</v>
      </c>
      <c r="C1258" s="115">
        <v>9787.0</v>
      </c>
      <c r="D1258" s="116">
        <v>45892.0</v>
      </c>
      <c r="E1258" s="12" t="s">
        <v>55</v>
      </c>
      <c r="F1258" s="115" t="str">
        <f t="shared" si="1"/>
        <v>Ashish Jakar2025-08-2320</v>
      </c>
    </row>
    <row r="1259">
      <c r="A1259" s="115" t="s">
        <v>51</v>
      </c>
      <c r="B1259" s="115" t="s">
        <v>30</v>
      </c>
      <c r="C1259" s="115">
        <v>7921.0</v>
      </c>
      <c r="D1259" s="116">
        <v>45892.0</v>
      </c>
      <c r="E1259" s="12" t="s">
        <v>55</v>
      </c>
      <c r="F1259" s="115" t="str">
        <f t="shared" si="1"/>
        <v>Ashvani Bhatt2025-08-2320</v>
      </c>
    </row>
    <row r="1260">
      <c r="C1260" s="115">
        <v>196.0</v>
      </c>
      <c r="D1260" s="116">
        <v>45892.0</v>
      </c>
      <c r="E1260" s="12" t="s">
        <v>55</v>
      </c>
      <c r="F1260" s="115" t="str">
        <f t="shared" si="1"/>
        <v>2025-08-2320</v>
      </c>
    </row>
    <row r="1261">
      <c r="A1261" s="115" t="s">
        <v>47</v>
      </c>
      <c r="B1261" s="115" t="s">
        <v>20</v>
      </c>
      <c r="C1261" s="115">
        <v>18856.0</v>
      </c>
      <c r="D1261" s="116">
        <v>45892.0</v>
      </c>
      <c r="E1261" s="12" t="s">
        <v>56</v>
      </c>
      <c r="F1261" s="115" t="str">
        <f t="shared" si="1"/>
        <v>Ashish Ranjan2025-08-2321</v>
      </c>
    </row>
    <row r="1262">
      <c r="A1262" s="115" t="s">
        <v>47</v>
      </c>
      <c r="B1262" s="115" t="s">
        <v>21</v>
      </c>
      <c r="C1262" s="115">
        <v>10567.0</v>
      </c>
      <c r="D1262" s="116">
        <v>45892.0</v>
      </c>
      <c r="E1262" s="12" t="s">
        <v>56</v>
      </c>
      <c r="F1262" s="115" t="str">
        <f t="shared" si="1"/>
        <v>Girish Chand2025-08-2321</v>
      </c>
    </row>
    <row r="1263">
      <c r="A1263" s="115" t="s">
        <v>47</v>
      </c>
      <c r="B1263" s="115" t="s">
        <v>22</v>
      </c>
      <c r="C1263" s="115">
        <v>7028.0</v>
      </c>
      <c r="D1263" s="116">
        <v>45892.0</v>
      </c>
      <c r="E1263" s="12" t="s">
        <v>56</v>
      </c>
      <c r="F1263" s="115" t="str">
        <f t="shared" si="1"/>
        <v>Parag Kashyap2025-08-2321</v>
      </c>
    </row>
    <row r="1264">
      <c r="A1264" s="115" t="s">
        <v>49</v>
      </c>
      <c r="B1264" s="115" t="s">
        <v>15</v>
      </c>
      <c r="C1264" s="115">
        <v>5234.0</v>
      </c>
      <c r="D1264" s="116">
        <v>45892.0</v>
      </c>
      <c r="E1264" s="12" t="s">
        <v>56</v>
      </c>
      <c r="F1264" s="115" t="str">
        <f t="shared" si="1"/>
        <v>Amit Kumar Pathak2025-08-2321</v>
      </c>
    </row>
    <row r="1265">
      <c r="A1265" s="115" t="s">
        <v>49</v>
      </c>
      <c r="B1265" s="115" t="s">
        <v>17</v>
      </c>
      <c r="C1265" s="115">
        <v>5404.0</v>
      </c>
      <c r="D1265" s="116">
        <v>45892.0</v>
      </c>
      <c r="E1265" s="12" t="s">
        <v>56</v>
      </c>
      <c r="F1265" s="115" t="str">
        <f t="shared" si="1"/>
        <v>Loveleen Singh2025-08-2321</v>
      </c>
    </row>
    <row r="1266">
      <c r="A1266" s="115" t="s">
        <v>49</v>
      </c>
      <c r="B1266" s="115" t="s">
        <v>16</v>
      </c>
      <c r="C1266" s="115">
        <v>11873.0</v>
      </c>
      <c r="D1266" s="116">
        <v>45892.0</v>
      </c>
      <c r="E1266" s="12" t="s">
        <v>56</v>
      </c>
      <c r="F1266" s="115" t="str">
        <f t="shared" si="1"/>
        <v>Manoj Harsh2025-08-2321</v>
      </c>
    </row>
    <row r="1267">
      <c r="A1267" s="115" t="s">
        <v>49</v>
      </c>
      <c r="B1267" s="115" t="s">
        <v>18</v>
      </c>
      <c r="C1267" s="115">
        <v>4570.0</v>
      </c>
      <c r="D1267" s="116">
        <v>45892.0</v>
      </c>
      <c r="E1267" s="12" t="s">
        <v>56</v>
      </c>
      <c r="F1267" s="115" t="str">
        <f t="shared" si="1"/>
        <v>Pradeep Kothari2025-08-2321</v>
      </c>
    </row>
    <row r="1268">
      <c r="A1268" s="115" t="s">
        <v>50</v>
      </c>
      <c r="B1268" s="115" t="s">
        <v>24</v>
      </c>
      <c r="C1268" s="115">
        <v>8665.0</v>
      </c>
      <c r="D1268" s="116">
        <v>45892.0</v>
      </c>
      <c r="E1268" s="12" t="s">
        <v>56</v>
      </c>
      <c r="F1268" s="115" t="str">
        <f t="shared" si="1"/>
        <v>Kandula Sampath2025-08-2321</v>
      </c>
    </row>
    <row r="1269">
      <c r="A1269" s="115" t="s">
        <v>50</v>
      </c>
      <c r="B1269" s="115" t="s">
        <v>25</v>
      </c>
      <c r="C1269" s="115">
        <v>6835.0</v>
      </c>
      <c r="D1269" s="116">
        <v>45892.0</v>
      </c>
      <c r="E1269" s="12" t="s">
        <v>56</v>
      </c>
      <c r="F1269" s="115" t="str">
        <f t="shared" si="1"/>
        <v>Martin A2025-08-2321</v>
      </c>
    </row>
    <row r="1270">
      <c r="A1270" s="115" t="s">
        <v>50</v>
      </c>
      <c r="B1270" s="115" t="s">
        <v>26</v>
      </c>
      <c r="C1270" s="115">
        <v>5774.0</v>
      </c>
      <c r="D1270" s="116">
        <v>45892.0</v>
      </c>
      <c r="E1270" s="12" t="s">
        <v>56</v>
      </c>
      <c r="F1270" s="115" t="str">
        <f t="shared" si="1"/>
        <v>Premkumar M2025-08-2321</v>
      </c>
    </row>
    <row r="1271">
      <c r="A1271" s="115" t="s">
        <v>50</v>
      </c>
      <c r="B1271" s="115" t="s">
        <v>27</v>
      </c>
      <c r="C1271" s="115">
        <v>4688.0</v>
      </c>
      <c r="D1271" s="116">
        <v>45892.0</v>
      </c>
      <c r="E1271" s="12" t="s">
        <v>56</v>
      </c>
      <c r="F1271" s="115" t="str">
        <f t="shared" si="1"/>
        <v>Vineeth V2025-08-2321</v>
      </c>
    </row>
    <row r="1272">
      <c r="A1272" s="115" t="s">
        <v>51</v>
      </c>
      <c r="B1272" s="115" t="s">
        <v>29</v>
      </c>
      <c r="C1272" s="115">
        <v>9798.0</v>
      </c>
      <c r="D1272" s="116">
        <v>45892.0</v>
      </c>
      <c r="E1272" s="12" t="s">
        <v>56</v>
      </c>
      <c r="F1272" s="115" t="str">
        <f t="shared" si="1"/>
        <v>Ashish Jakar2025-08-2321</v>
      </c>
    </row>
    <row r="1273">
      <c r="A1273" s="115" t="s">
        <v>51</v>
      </c>
      <c r="B1273" s="115" t="s">
        <v>30</v>
      </c>
      <c r="C1273" s="115">
        <v>7924.0</v>
      </c>
      <c r="D1273" s="116">
        <v>45892.0</v>
      </c>
      <c r="E1273" s="12" t="s">
        <v>56</v>
      </c>
      <c r="F1273" s="115" t="str">
        <f t="shared" si="1"/>
        <v>Ashvani Bhatt2025-08-2321</v>
      </c>
    </row>
    <row r="1274">
      <c r="C1274" s="115">
        <v>196.0</v>
      </c>
      <c r="D1274" s="116">
        <v>45892.0</v>
      </c>
      <c r="E1274" s="12" t="s">
        <v>56</v>
      </c>
      <c r="F1274" s="115" t="str">
        <f t="shared" si="1"/>
        <v>2025-08-2321</v>
      </c>
    </row>
    <row r="1275">
      <c r="A1275" s="115" t="s">
        <v>47</v>
      </c>
      <c r="B1275" s="115" t="s">
        <v>20</v>
      </c>
      <c r="C1275" s="115">
        <v>12366.0</v>
      </c>
      <c r="D1275" s="116">
        <v>45893.0</v>
      </c>
      <c r="E1275" s="12" t="s">
        <v>60</v>
      </c>
      <c r="F1275" s="115" t="str">
        <f t="shared" si="1"/>
        <v>Ashish Ranjan2025-08-2410</v>
      </c>
    </row>
    <row r="1276">
      <c r="A1276" s="115" t="s">
        <v>47</v>
      </c>
      <c r="B1276" s="115" t="s">
        <v>21</v>
      </c>
      <c r="C1276" s="115">
        <v>6931.0</v>
      </c>
      <c r="D1276" s="116">
        <v>45893.0</v>
      </c>
      <c r="E1276" s="12" t="s">
        <v>60</v>
      </c>
      <c r="F1276" s="115" t="str">
        <f t="shared" si="1"/>
        <v>Girish Chand2025-08-2410</v>
      </c>
    </row>
    <row r="1277">
      <c r="A1277" s="115" t="s">
        <v>47</v>
      </c>
      <c r="B1277" s="115" t="s">
        <v>22</v>
      </c>
      <c r="C1277" s="115">
        <v>3689.0</v>
      </c>
      <c r="D1277" s="116">
        <v>45893.0</v>
      </c>
      <c r="E1277" s="12" t="s">
        <v>60</v>
      </c>
      <c r="F1277" s="115" t="str">
        <f t="shared" si="1"/>
        <v>Parag Kashyap2025-08-2410</v>
      </c>
    </row>
    <row r="1278">
      <c r="A1278" s="115" t="s">
        <v>49</v>
      </c>
      <c r="B1278" s="115" t="s">
        <v>15</v>
      </c>
      <c r="C1278" s="115">
        <v>2849.0</v>
      </c>
      <c r="D1278" s="116">
        <v>45893.0</v>
      </c>
      <c r="E1278" s="12" t="s">
        <v>60</v>
      </c>
      <c r="F1278" s="115" t="str">
        <f t="shared" si="1"/>
        <v>Amit Kumar Pathak2025-08-2410</v>
      </c>
    </row>
    <row r="1279">
      <c r="A1279" s="115" t="s">
        <v>49</v>
      </c>
      <c r="B1279" s="115" t="s">
        <v>17</v>
      </c>
      <c r="C1279" s="115">
        <v>2443.0</v>
      </c>
      <c r="D1279" s="116">
        <v>45893.0</v>
      </c>
      <c r="E1279" s="12" t="s">
        <v>60</v>
      </c>
      <c r="F1279" s="115" t="str">
        <f t="shared" si="1"/>
        <v>Loveleen Singh2025-08-2410</v>
      </c>
    </row>
    <row r="1280">
      <c r="A1280" s="115" t="s">
        <v>49</v>
      </c>
      <c r="B1280" s="115" t="s">
        <v>16</v>
      </c>
      <c r="C1280" s="115">
        <v>6848.0</v>
      </c>
      <c r="D1280" s="116">
        <v>45893.0</v>
      </c>
      <c r="E1280" s="12" t="s">
        <v>60</v>
      </c>
      <c r="F1280" s="115" t="str">
        <f t="shared" si="1"/>
        <v>Manoj Harsh2025-08-2410</v>
      </c>
    </row>
    <row r="1281">
      <c r="A1281" s="115" t="s">
        <v>49</v>
      </c>
      <c r="B1281" s="115" t="s">
        <v>18</v>
      </c>
      <c r="C1281" s="115">
        <v>2344.0</v>
      </c>
      <c r="D1281" s="116">
        <v>45893.0</v>
      </c>
      <c r="E1281" s="12" t="s">
        <v>60</v>
      </c>
      <c r="F1281" s="115" t="str">
        <f t="shared" si="1"/>
        <v>Pradeep Kothari2025-08-2410</v>
      </c>
    </row>
    <row r="1282">
      <c r="A1282" s="115" t="s">
        <v>50</v>
      </c>
      <c r="B1282" s="115" t="s">
        <v>24</v>
      </c>
      <c r="C1282" s="115">
        <v>6040.0</v>
      </c>
      <c r="D1282" s="116">
        <v>45893.0</v>
      </c>
      <c r="E1282" s="12" t="s">
        <v>60</v>
      </c>
      <c r="F1282" s="115" t="str">
        <f t="shared" si="1"/>
        <v>Kandula Sampath2025-08-2410</v>
      </c>
    </row>
    <row r="1283">
      <c r="A1283" s="115" t="s">
        <v>50</v>
      </c>
      <c r="B1283" s="115" t="s">
        <v>25</v>
      </c>
      <c r="C1283" s="115">
        <v>3961.0</v>
      </c>
      <c r="D1283" s="116">
        <v>45893.0</v>
      </c>
      <c r="E1283" s="12" t="s">
        <v>60</v>
      </c>
      <c r="F1283" s="115" t="str">
        <f t="shared" si="1"/>
        <v>Martin A2025-08-2410</v>
      </c>
    </row>
    <row r="1284">
      <c r="A1284" s="115" t="s">
        <v>50</v>
      </c>
      <c r="B1284" s="115" t="s">
        <v>26</v>
      </c>
      <c r="C1284" s="115">
        <v>2493.0</v>
      </c>
      <c r="D1284" s="116">
        <v>45893.0</v>
      </c>
      <c r="E1284" s="12" t="s">
        <v>60</v>
      </c>
      <c r="F1284" s="115" t="str">
        <f t="shared" si="1"/>
        <v>Premkumar M2025-08-2410</v>
      </c>
    </row>
    <row r="1285">
      <c r="A1285" s="115" t="s">
        <v>50</v>
      </c>
      <c r="B1285" s="115" t="s">
        <v>27</v>
      </c>
      <c r="C1285" s="115">
        <v>1419.0</v>
      </c>
      <c r="D1285" s="116">
        <v>45893.0</v>
      </c>
      <c r="E1285" s="12" t="s">
        <v>60</v>
      </c>
      <c r="F1285" s="115" t="str">
        <f t="shared" si="1"/>
        <v>Vineeth V2025-08-2410</v>
      </c>
    </row>
    <row r="1286">
      <c r="A1286" s="115" t="s">
        <v>51</v>
      </c>
      <c r="B1286" s="115" t="s">
        <v>29</v>
      </c>
      <c r="C1286" s="115">
        <v>4589.0</v>
      </c>
      <c r="D1286" s="116">
        <v>45893.0</v>
      </c>
      <c r="E1286" s="12" t="s">
        <v>60</v>
      </c>
      <c r="F1286" s="115" t="str">
        <f t="shared" si="1"/>
        <v>Ashish Jakar2025-08-2410</v>
      </c>
    </row>
    <row r="1287">
      <c r="A1287" s="115" t="s">
        <v>51</v>
      </c>
      <c r="B1287" s="115" t="s">
        <v>30</v>
      </c>
      <c r="C1287" s="115">
        <v>4157.0</v>
      </c>
      <c r="D1287" s="116">
        <v>45893.0</v>
      </c>
      <c r="E1287" s="12" t="s">
        <v>60</v>
      </c>
      <c r="F1287" s="115" t="str">
        <f t="shared" si="1"/>
        <v>Ashvani Bhatt2025-08-2410</v>
      </c>
    </row>
    <row r="1288">
      <c r="C1288" s="115">
        <v>69.0</v>
      </c>
      <c r="D1288" s="116">
        <v>45893.0</v>
      </c>
      <c r="E1288" s="12" t="s">
        <v>60</v>
      </c>
      <c r="F1288" s="115" t="str">
        <f t="shared" si="1"/>
        <v>2025-08-2410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5" t="s">
        <v>15</v>
      </c>
      <c r="B1" s="115" t="s">
        <v>49</v>
      </c>
      <c r="C1" s="115">
        <v>191630.0</v>
      </c>
      <c r="D1" s="116">
        <v>45873.0</v>
      </c>
      <c r="E1" s="115">
        <v>18.0</v>
      </c>
      <c r="F1" s="115" t="str">
        <f t="shared" ref="F1:F385" si="1">A1&amp;TEXT(D1,"YYYY-MM-DD")&amp;E1</f>
        <v>Amit Kumar Pathak2025-08-0418</v>
      </c>
    </row>
    <row r="2">
      <c r="A2" s="115" t="s">
        <v>29</v>
      </c>
      <c r="B2" s="115" t="s">
        <v>51</v>
      </c>
      <c r="C2" s="115">
        <v>344496.0</v>
      </c>
      <c r="D2" s="116">
        <v>45873.0</v>
      </c>
      <c r="E2" s="115">
        <v>18.0</v>
      </c>
      <c r="F2" s="115" t="str">
        <f t="shared" si="1"/>
        <v>Ashish Jakar2025-08-0418</v>
      </c>
    </row>
    <row r="3">
      <c r="A3" s="115" t="s">
        <v>20</v>
      </c>
      <c r="B3" s="115" t="s">
        <v>47</v>
      </c>
      <c r="C3" s="115">
        <v>661694.0</v>
      </c>
      <c r="D3" s="116">
        <v>45873.0</v>
      </c>
      <c r="E3" s="115">
        <v>18.0</v>
      </c>
      <c r="F3" s="115" t="str">
        <f t="shared" si="1"/>
        <v>Ashish Ranjan2025-08-0418</v>
      </c>
    </row>
    <row r="4">
      <c r="A4" s="115" t="s">
        <v>30</v>
      </c>
      <c r="B4" s="115" t="s">
        <v>51</v>
      </c>
      <c r="C4" s="115">
        <v>335511.0</v>
      </c>
      <c r="D4" s="116">
        <v>45873.0</v>
      </c>
      <c r="E4" s="115">
        <v>18.0</v>
      </c>
      <c r="F4" s="115" t="str">
        <f t="shared" si="1"/>
        <v>Ashvani Bhatt2025-08-0418</v>
      </c>
    </row>
    <row r="5">
      <c r="A5" s="115" t="s">
        <v>21</v>
      </c>
      <c r="B5" s="115" t="s">
        <v>47</v>
      </c>
      <c r="C5" s="115">
        <v>500039.0</v>
      </c>
      <c r="D5" s="116">
        <v>45873.0</v>
      </c>
      <c r="E5" s="115">
        <v>18.0</v>
      </c>
      <c r="F5" s="115" t="str">
        <f t="shared" si="1"/>
        <v>Girish Chand2025-08-0418</v>
      </c>
    </row>
    <row r="6">
      <c r="A6" s="115" t="s">
        <v>24</v>
      </c>
      <c r="B6" s="115" t="s">
        <v>50</v>
      </c>
      <c r="C6" s="115">
        <v>356196.0</v>
      </c>
      <c r="D6" s="116">
        <v>45873.0</v>
      </c>
      <c r="E6" s="115">
        <v>18.0</v>
      </c>
      <c r="F6" s="115" t="str">
        <f t="shared" si="1"/>
        <v>Kandula Sampath2025-08-0418</v>
      </c>
    </row>
    <row r="7">
      <c r="A7" s="115" t="s">
        <v>17</v>
      </c>
      <c r="B7" s="115" t="s">
        <v>49</v>
      </c>
      <c r="C7" s="115">
        <v>301977.0</v>
      </c>
      <c r="D7" s="116">
        <v>45873.0</v>
      </c>
      <c r="E7" s="115">
        <v>18.0</v>
      </c>
      <c r="F7" s="115" t="str">
        <f t="shared" si="1"/>
        <v>Loveleen Singh2025-08-0418</v>
      </c>
    </row>
    <row r="8">
      <c r="A8" s="115" t="s">
        <v>16</v>
      </c>
      <c r="B8" s="115" t="s">
        <v>49</v>
      </c>
      <c r="C8" s="115">
        <v>510548.0</v>
      </c>
      <c r="D8" s="116">
        <v>45873.0</v>
      </c>
      <c r="E8" s="115">
        <v>18.0</v>
      </c>
      <c r="F8" s="115" t="str">
        <f t="shared" si="1"/>
        <v>Manoj Harsh2025-08-0418</v>
      </c>
    </row>
    <row r="9">
      <c r="A9" s="115" t="s">
        <v>25</v>
      </c>
      <c r="B9" s="115" t="s">
        <v>50</v>
      </c>
      <c r="C9" s="115">
        <v>323905.0</v>
      </c>
      <c r="D9" s="116">
        <v>45873.0</v>
      </c>
      <c r="E9" s="115">
        <v>18.0</v>
      </c>
      <c r="F9" s="115" t="str">
        <f t="shared" si="1"/>
        <v>Martin A2025-08-0418</v>
      </c>
    </row>
    <row r="10">
      <c r="A10" s="115" t="s">
        <v>22</v>
      </c>
      <c r="B10" s="115" t="s">
        <v>47</v>
      </c>
      <c r="C10" s="115">
        <v>342325.0</v>
      </c>
      <c r="D10" s="116">
        <v>45873.0</v>
      </c>
      <c r="E10" s="115">
        <v>18.0</v>
      </c>
      <c r="F10" s="115" t="str">
        <f t="shared" si="1"/>
        <v>Parag Kashyap2025-08-0418</v>
      </c>
    </row>
    <row r="11">
      <c r="A11" s="115" t="s">
        <v>18</v>
      </c>
      <c r="B11" s="115" t="s">
        <v>49</v>
      </c>
      <c r="C11" s="115">
        <v>185354.0</v>
      </c>
      <c r="D11" s="116">
        <v>45873.0</v>
      </c>
      <c r="E11" s="115">
        <v>18.0</v>
      </c>
      <c r="F11" s="115" t="str">
        <f t="shared" si="1"/>
        <v>Pradeep Kothari2025-08-0418</v>
      </c>
    </row>
    <row r="12">
      <c r="A12" s="115" t="s">
        <v>26</v>
      </c>
      <c r="B12" s="115" t="s">
        <v>50</v>
      </c>
      <c r="C12" s="115">
        <v>293265.0</v>
      </c>
      <c r="D12" s="116">
        <v>45873.0</v>
      </c>
      <c r="E12" s="115">
        <v>18.0</v>
      </c>
      <c r="F12" s="115" t="str">
        <f t="shared" si="1"/>
        <v>Premkumar M2025-08-0418</v>
      </c>
    </row>
    <row r="13">
      <c r="A13" s="115" t="s">
        <v>27</v>
      </c>
      <c r="B13" s="115" t="s">
        <v>50</v>
      </c>
      <c r="C13" s="115">
        <v>229163.0</v>
      </c>
      <c r="D13" s="116">
        <v>45873.0</v>
      </c>
      <c r="E13" s="115">
        <v>18.0</v>
      </c>
      <c r="F13" s="115" t="str">
        <f t="shared" si="1"/>
        <v>Vineeth V2025-08-0418</v>
      </c>
    </row>
    <row r="14">
      <c r="C14" s="115">
        <v>7944.0</v>
      </c>
      <c r="D14" s="116">
        <v>45873.0</v>
      </c>
      <c r="E14" s="115">
        <v>18.0</v>
      </c>
      <c r="F14" s="115" t="str">
        <f t="shared" si="1"/>
        <v>2025-08-0418</v>
      </c>
    </row>
    <row r="15">
      <c r="A15" s="115" t="s">
        <v>15</v>
      </c>
      <c r="B15" s="115" t="s">
        <v>49</v>
      </c>
      <c r="C15" s="115">
        <v>110041.0</v>
      </c>
      <c r="D15" s="116">
        <v>45883.0</v>
      </c>
      <c r="E15" s="12" t="s">
        <v>61</v>
      </c>
      <c r="F15" s="115" t="str">
        <f t="shared" si="1"/>
        <v>Amit Kumar Pathak2025-08-1411</v>
      </c>
    </row>
    <row r="16">
      <c r="A16" s="115" t="s">
        <v>29</v>
      </c>
      <c r="B16" s="115" t="s">
        <v>51</v>
      </c>
      <c r="C16" s="115">
        <v>224932.0</v>
      </c>
      <c r="D16" s="116">
        <v>45883.0</v>
      </c>
      <c r="E16" s="12" t="s">
        <v>61</v>
      </c>
      <c r="F16" s="115" t="str">
        <f t="shared" si="1"/>
        <v>Ashish Jakar2025-08-1411</v>
      </c>
    </row>
    <row r="17">
      <c r="A17" s="115" t="s">
        <v>20</v>
      </c>
      <c r="B17" s="115" t="s">
        <v>47</v>
      </c>
      <c r="C17" s="115">
        <v>406421.0</v>
      </c>
      <c r="D17" s="116">
        <v>45883.0</v>
      </c>
      <c r="E17" s="12" t="s">
        <v>61</v>
      </c>
      <c r="F17" s="115" t="str">
        <f t="shared" si="1"/>
        <v>Ashish Ranjan2025-08-1411</v>
      </c>
    </row>
    <row r="18">
      <c r="A18" s="115" t="s">
        <v>30</v>
      </c>
      <c r="B18" s="115" t="s">
        <v>51</v>
      </c>
      <c r="C18" s="115">
        <v>197718.0</v>
      </c>
      <c r="D18" s="116">
        <v>45883.0</v>
      </c>
      <c r="E18" s="12" t="s">
        <v>61</v>
      </c>
      <c r="F18" s="115" t="str">
        <f t="shared" si="1"/>
        <v>Ashvani Bhatt2025-08-1411</v>
      </c>
    </row>
    <row r="19">
      <c r="A19" s="115" t="s">
        <v>21</v>
      </c>
      <c r="B19" s="115" t="s">
        <v>47</v>
      </c>
      <c r="C19" s="115">
        <v>241912.0</v>
      </c>
      <c r="D19" s="116">
        <v>45883.0</v>
      </c>
      <c r="E19" s="12" t="s">
        <v>61</v>
      </c>
      <c r="F19" s="115" t="str">
        <f t="shared" si="1"/>
        <v>Girish Chand2025-08-1411</v>
      </c>
    </row>
    <row r="20">
      <c r="A20" s="115" t="s">
        <v>24</v>
      </c>
      <c r="B20" s="115" t="s">
        <v>50</v>
      </c>
      <c r="C20" s="115">
        <v>226977.0</v>
      </c>
      <c r="D20" s="116">
        <v>45883.0</v>
      </c>
      <c r="E20" s="12" t="s">
        <v>61</v>
      </c>
      <c r="F20" s="115" t="str">
        <f t="shared" si="1"/>
        <v>Kandula Sampath2025-08-1411</v>
      </c>
    </row>
    <row r="21">
      <c r="A21" s="115" t="s">
        <v>17</v>
      </c>
      <c r="B21" s="115" t="s">
        <v>49</v>
      </c>
      <c r="C21" s="115">
        <v>94622.0</v>
      </c>
      <c r="D21" s="116">
        <v>45883.0</v>
      </c>
      <c r="E21" s="12" t="s">
        <v>61</v>
      </c>
      <c r="F21" s="115" t="str">
        <f t="shared" si="1"/>
        <v>Loveleen Singh2025-08-1411</v>
      </c>
    </row>
    <row r="22">
      <c r="A22" s="115" t="s">
        <v>16</v>
      </c>
      <c r="B22" s="115" t="s">
        <v>49</v>
      </c>
      <c r="C22" s="115">
        <v>240194.0</v>
      </c>
      <c r="D22" s="116">
        <v>45883.0</v>
      </c>
      <c r="E22" s="12" t="s">
        <v>61</v>
      </c>
      <c r="F22" s="115" t="str">
        <f t="shared" si="1"/>
        <v>Manoj Harsh2025-08-1411</v>
      </c>
    </row>
    <row r="23">
      <c r="A23" s="115" t="s">
        <v>25</v>
      </c>
      <c r="B23" s="115" t="s">
        <v>50</v>
      </c>
      <c r="C23" s="115">
        <v>210719.0</v>
      </c>
      <c r="D23" s="116">
        <v>45883.0</v>
      </c>
      <c r="E23" s="12" t="s">
        <v>61</v>
      </c>
      <c r="F23" s="115" t="str">
        <f t="shared" si="1"/>
        <v>Martin A2025-08-1411</v>
      </c>
    </row>
    <row r="24">
      <c r="A24" s="115" t="s">
        <v>22</v>
      </c>
      <c r="B24" s="115" t="s">
        <v>47</v>
      </c>
      <c r="C24" s="115">
        <v>172890.0</v>
      </c>
      <c r="D24" s="116">
        <v>45883.0</v>
      </c>
      <c r="E24" s="12" t="s">
        <v>61</v>
      </c>
      <c r="F24" s="115" t="str">
        <f t="shared" si="1"/>
        <v>Parag Kashyap2025-08-1411</v>
      </c>
    </row>
    <row r="25">
      <c r="A25" s="115" t="s">
        <v>18</v>
      </c>
      <c r="B25" s="115" t="s">
        <v>49</v>
      </c>
      <c r="C25" s="115">
        <v>96084.0</v>
      </c>
      <c r="D25" s="116">
        <v>45883.0</v>
      </c>
      <c r="E25" s="12" t="s">
        <v>61</v>
      </c>
      <c r="F25" s="115" t="str">
        <f t="shared" si="1"/>
        <v>Pradeep Kothari2025-08-1411</v>
      </c>
    </row>
    <row r="26">
      <c r="A26" s="115" t="s">
        <v>26</v>
      </c>
      <c r="B26" s="115" t="s">
        <v>50</v>
      </c>
      <c r="C26" s="115">
        <v>199098.0</v>
      </c>
      <c r="D26" s="116">
        <v>45883.0</v>
      </c>
      <c r="E26" s="12" t="s">
        <v>61</v>
      </c>
      <c r="F26" s="115" t="str">
        <f t="shared" si="1"/>
        <v>Premkumar M2025-08-1411</v>
      </c>
    </row>
    <row r="27">
      <c r="A27" s="115" t="s">
        <v>27</v>
      </c>
      <c r="B27" s="115" t="s">
        <v>50</v>
      </c>
      <c r="C27" s="115">
        <v>149627.0</v>
      </c>
      <c r="D27" s="116">
        <v>45883.0</v>
      </c>
      <c r="E27" s="12" t="s">
        <v>61</v>
      </c>
      <c r="F27" s="115" t="str">
        <f t="shared" si="1"/>
        <v>Vineeth V2025-08-1411</v>
      </c>
    </row>
    <row r="28">
      <c r="C28" s="115">
        <v>1439.0</v>
      </c>
      <c r="D28" s="116">
        <v>45883.0</v>
      </c>
      <c r="E28" s="12" t="s">
        <v>61</v>
      </c>
      <c r="F28" s="115" t="str">
        <f t="shared" si="1"/>
        <v>2025-08-1411</v>
      </c>
    </row>
    <row r="29">
      <c r="A29" s="115" t="s">
        <v>15</v>
      </c>
      <c r="B29" s="115" t="s">
        <v>49</v>
      </c>
      <c r="C29" s="115">
        <v>167107.0</v>
      </c>
      <c r="D29" s="116">
        <v>45883.0</v>
      </c>
      <c r="E29" s="12" t="s">
        <v>54</v>
      </c>
      <c r="F29" s="115" t="str">
        <f t="shared" si="1"/>
        <v>Amit Kumar Pathak2025-08-1419</v>
      </c>
    </row>
    <row r="30">
      <c r="A30" s="115" t="s">
        <v>15</v>
      </c>
      <c r="B30" s="115" t="s">
        <v>19</v>
      </c>
      <c r="C30" s="115">
        <v>199.0</v>
      </c>
      <c r="D30" s="116">
        <v>45883.0</v>
      </c>
      <c r="E30" s="12" t="s">
        <v>54</v>
      </c>
      <c r="F30" s="115" t="str">
        <f t="shared" si="1"/>
        <v>Amit Kumar Pathak2025-08-1419</v>
      </c>
    </row>
    <row r="31">
      <c r="A31" s="115" t="s">
        <v>29</v>
      </c>
      <c r="B31" s="115" t="s">
        <v>51</v>
      </c>
      <c r="C31" s="115">
        <v>311430.0</v>
      </c>
      <c r="D31" s="116">
        <v>45883.0</v>
      </c>
      <c r="E31" s="12" t="s">
        <v>54</v>
      </c>
      <c r="F31" s="115" t="str">
        <f t="shared" si="1"/>
        <v>Ashish Jakar2025-08-1419</v>
      </c>
    </row>
    <row r="32">
      <c r="A32" s="115" t="s">
        <v>20</v>
      </c>
      <c r="B32" s="115" t="s">
        <v>47</v>
      </c>
      <c r="C32" s="115">
        <v>532056.0</v>
      </c>
      <c r="D32" s="116">
        <v>45883.0</v>
      </c>
      <c r="E32" s="12" t="s">
        <v>54</v>
      </c>
      <c r="F32" s="115" t="str">
        <f t="shared" si="1"/>
        <v>Ashish Ranjan2025-08-1419</v>
      </c>
    </row>
    <row r="33">
      <c r="A33" s="115" t="s">
        <v>30</v>
      </c>
      <c r="B33" s="115" t="s">
        <v>51</v>
      </c>
      <c r="C33" s="115">
        <v>260533.0</v>
      </c>
      <c r="D33" s="116">
        <v>45883.0</v>
      </c>
      <c r="E33" s="12" t="s">
        <v>54</v>
      </c>
      <c r="F33" s="115" t="str">
        <f t="shared" si="1"/>
        <v>Ashvani Bhatt2025-08-1419</v>
      </c>
    </row>
    <row r="34">
      <c r="A34" s="115" t="s">
        <v>21</v>
      </c>
      <c r="B34" s="115" t="s">
        <v>47</v>
      </c>
      <c r="C34" s="115">
        <v>362943.0</v>
      </c>
      <c r="D34" s="116">
        <v>45883.0</v>
      </c>
      <c r="E34" s="12" t="s">
        <v>54</v>
      </c>
      <c r="F34" s="115" t="str">
        <f t="shared" si="1"/>
        <v>Girish Chand2025-08-1419</v>
      </c>
    </row>
    <row r="35">
      <c r="A35" s="115" t="s">
        <v>24</v>
      </c>
      <c r="B35" s="115" t="s">
        <v>50</v>
      </c>
      <c r="C35" s="115">
        <v>274126.0</v>
      </c>
      <c r="D35" s="116">
        <v>45883.0</v>
      </c>
      <c r="E35" s="12" t="s">
        <v>54</v>
      </c>
      <c r="F35" s="115" t="str">
        <f t="shared" si="1"/>
        <v>Kandula Sampath2025-08-1419</v>
      </c>
    </row>
    <row r="36">
      <c r="A36" s="115" t="s">
        <v>17</v>
      </c>
      <c r="B36" s="115" t="s">
        <v>49</v>
      </c>
      <c r="C36" s="115">
        <v>179577.0</v>
      </c>
      <c r="D36" s="116">
        <v>45883.0</v>
      </c>
      <c r="E36" s="12" t="s">
        <v>54</v>
      </c>
      <c r="F36" s="115" t="str">
        <f t="shared" si="1"/>
        <v>Loveleen Singh2025-08-1419</v>
      </c>
    </row>
    <row r="37">
      <c r="A37" s="115" t="s">
        <v>16</v>
      </c>
      <c r="B37" s="115" t="s">
        <v>49</v>
      </c>
      <c r="C37" s="115">
        <v>369529.0</v>
      </c>
      <c r="D37" s="116">
        <v>45883.0</v>
      </c>
      <c r="E37" s="12" t="s">
        <v>54</v>
      </c>
      <c r="F37" s="115" t="str">
        <f t="shared" si="1"/>
        <v>Manoj Harsh2025-08-1419</v>
      </c>
    </row>
    <row r="38">
      <c r="A38" s="115" t="s">
        <v>25</v>
      </c>
      <c r="B38" s="115" t="s">
        <v>50</v>
      </c>
      <c r="C38" s="115">
        <v>280292.0</v>
      </c>
      <c r="D38" s="116">
        <v>45883.0</v>
      </c>
      <c r="E38" s="12" t="s">
        <v>54</v>
      </c>
      <c r="F38" s="115" t="str">
        <f t="shared" si="1"/>
        <v>Martin A2025-08-1419</v>
      </c>
    </row>
    <row r="39">
      <c r="A39" s="115" t="s">
        <v>22</v>
      </c>
      <c r="B39" s="115" t="s">
        <v>47</v>
      </c>
      <c r="C39" s="115">
        <v>298542.0</v>
      </c>
      <c r="D39" s="116">
        <v>45883.0</v>
      </c>
      <c r="E39" s="12" t="s">
        <v>54</v>
      </c>
      <c r="F39" s="115" t="str">
        <f t="shared" si="1"/>
        <v>Parag Kashyap2025-08-1419</v>
      </c>
    </row>
    <row r="40">
      <c r="A40" s="115" t="s">
        <v>18</v>
      </c>
      <c r="B40" s="115" t="s">
        <v>49</v>
      </c>
      <c r="C40" s="115">
        <v>133582.0</v>
      </c>
      <c r="D40" s="116">
        <v>45883.0</v>
      </c>
      <c r="E40" s="12" t="s">
        <v>54</v>
      </c>
      <c r="F40" s="115" t="str">
        <f t="shared" si="1"/>
        <v>Pradeep Kothari2025-08-1419</v>
      </c>
    </row>
    <row r="41">
      <c r="A41" s="115" t="s">
        <v>26</v>
      </c>
      <c r="B41" s="115" t="s">
        <v>50</v>
      </c>
      <c r="C41" s="115">
        <v>250691.0</v>
      </c>
      <c r="D41" s="116">
        <v>45883.0</v>
      </c>
      <c r="E41" s="12" t="s">
        <v>54</v>
      </c>
      <c r="F41" s="115" t="str">
        <f t="shared" si="1"/>
        <v>Premkumar M2025-08-1419</v>
      </c>
    </row>
    <row r="42">
      <c r="A42" s="115" t="s">
        <v>27</v>
      </c>
      <c r="B42" s="115" t="s">
        <v>50</v>
      </c>
      <c r="C42" s="115">
        <v>195342.0</v>
      </c>
      <c r="D42" s="116">
        <v>45883.0</v>
      </c>
      <c r="E42" s="12" t="s">
        <v>54</v>
      </c>
      <c r="F42" s="115" t="str">
        <f t="shared" si="1"/>
        <v>Vineeth V2025-08-1419</v>
      </c>
    </row>
    <row r="43">
      <c r="C43" s="115">
        <v>6689.0</v>
      </c>
      <c r="D43" s="116">
        <v>45883.0</v>
      </c>
      <c r="E43" s="12" t="s">
        <v>54</v>
      </c>
      <c r="F43" s="115" t="str">
        <f t="shared" si="1"/>
        <v>2025-08-1419</v>
      </c>
    </row>
    <row r="44">
      <c r="A44" s="115" t="s">
        <v>15</v>
      </c>
      <c r="B44" s="115" t="s">
        <v>49</v>
      </c>
      <c r="C44" s="115">
        <v>167107.0</v>
      </c>
      <c r="D44" s="116">
        <v>45883.0</v>
      </c>
      <c r="E44" s="12" t="s">
        <v>55</v>
      </c>
      <c r="F44" s="115" t="str">
        <f t="shared" si="1"/>
        <v>Amit Kumar Pathak2025-08-1420</v>
      </c>
    </row>
    <row r="45">
      <c r="A45" s="115" t="s">
        <v>15</v>
      </c>
      <c r="B45" s="115" t="s">
        <v>19</v>
      </c>
      <c r="C45" s="115">
        <v>199.0</v>
      </c>
      <c r="D45" s="116">
        <v>45883.0</v>
      </c>
      <c r="E45" s="12" t="s">
        <v>55</v>
      </c>
      <c r="F45" s="115" t="str">
        <f t="shared" si="1"/>
        <v>Amit Kumar Pathak2025-08-1420</v>
      </c>
    </row>
    <row r="46">
      <c r="A46" s="115" t="s">
        <v>29</v>
      </c>
      <c r="B46" s="115" t="s">
        <v>51</v>
      </c>
      <c r="C46" s="115">
        <v>311430.0</v>
      </c>
      <c r="D46" s="116">
        <v>45883.0</v>
      </c>
      <c r="E46" s="12" t="s">
        <v>55</v>
      </c>
      <c r="F46" s="115" t="str">
        <f t="shared" si="1"/>
        <v>Ashish Jakar2025-08-1420</v>
      </c>
    </row>
    <row r="47">
      <c r="A47" s="115" t="s">
        <v>20</v>
      </c>
      <c r="B47" s="115" t="s">
        <v>47</v>
      </c>
      <c r="C47" s="115">
        <v>532056.0</v>
      </c>
      <c r="D47" s="116">
        <v>45883.0</v>
      </c>
      <c r="E47" s="12" t="s">
        <v>55</v>
      </c>
      <c r="F47" s="115" t="str">
        <f t="shared" si="1"/>
        <v>Ashish Ranjan2025-08-1420</v>
      </c>
    </row>
    <row r="48">
      <c r="A48" s="115" t="s">
        <v>30</v>
      </c>
      <c r="B48" s="115" t="s">
        <v>51</v>
      </c>
      <c r="C48" s="115">
        <v>260533.0</v>
      </c>
      <c r="D48" s="116">
        <v>45883.0</v>
      </c>
      <c r="E48" s="12" t="s">
        <v>55</v>
      </c>
      <c r="F48" s="115" t="str">
        <f t="shared" si="1"/>
        <v>Ashvani Bhatt2025-08-1420</v>
      </c>
    </row>
    <row r="49">
      <c r="A49" s="115" t="s">
        <v>21</v>
      </c>
      <c r="B49" s="115" t="s">
        <v>47</v>
      </c>
      <c r="C49" s="115">
        <v>362943.0</v>
      </c>
      <c r="D49" s="116">
        <v>45883.0</v>
      </c>
      <c r="E49" s="12" t="s">
        <v>55</v>
      </c>
      <c r="F49" s="115" t="str">
        <f t="shared" si="1"/>
        <v>Girish Chand2025-08-1420</v>
      </c>
    </row>
    <row r="50">
      <c r="A50" s="115" t="s">
        <v>24</v>
      </c>
      <c r="B50" s="115" t="s">
        <v>50</v>
      </c>
      <c r="C50" s="115">
        <v>274126.0</v>
      </c>
      <c r="D50" s="116">
        <v>45883.0</v>
      </c>
      <c r="E50" s="12" t="s">
        <v>55</v>
      </c>
      <c r="F50" s="115" t="str">
        <f t="shared" si="1"/>
        <v>Kandula Sampath2025-08-1420</v>
      </c>
    </row>
    <row r="51">
      <c r="A51" s="115" t="s">
        <v>17</v>
      </c>
      <c r="B51" s="115" t="s">
        <v>49</v>
      </c>
      <c r="C51" s="115">
        <v>179577.0</v>
      </c>
      <c r="D51" s="116">
        <v>45883.0</v>
      </c>
      <c r="E51" s="12" t="s">
        <v>55</v>
      </c>
      <c r="F51" s="115" t="str">
        <f t="shared" si="1"/>
        <v>Loveleen Singh2025-08-1420</v>
      </c>
    </row>
    <row r="52">
      <c r="A52" s="115" t="s">
        <v>16</v>
      </c>
      <c r="B52" s="115" t="s">
        <v>49</v>
      </c>
      <c r="C52" s="115">
        <v>369529.0</v>
      </c>
      <c r="D52" s="116">
        <v>45883.0</v>
      </c>
      <c r="E52" s="12" t="s">
        <v>55</v>
      </c>
      <c r="F52" s="115" t="str">
        <f t="shared" si="1"/>
        <v>Manoj Harsh2025-08-1420</v>
      </c>
    </row>
    <row r="53">
      <c r="A53" s="115" t="s">
        <v>25</v>
      </c>
      <c r="B53" s="115" t="s">
        <v>50</v>
      </c>
      <c r="C53" s="115">
        <v>280292.0</v>
      </c>
      <c r="D53" s="116">
        <v>45883.0</v>
      </c>
      <c r="E53" s="12" t="s">
        <v>55</v>
      </c>
      <c r="F53" s="115" t="str">
        <f t="shared" si="1"/>
        <v>Martin A2025-08-1420</v>
      </c>
    </row>
    <row r="54">
      <c r="A54" s="115" t="s">
        <v>22</v>
      </c>
      <c r="B54" s="115" t="s">
        <v>47</v>
      </c>
      <c r="C54" s="115">
        <v>298542.0</v>
      </c>
      <c r="D54" s="116">
        <v>45883.0</v>
      </c>
      <c r="E54" s="12" t="s">
        <v>55</v>
      </c>
      <c r="F54" s="115" t="str">
        <f t="shared" si="1"/>
        <v>Parag Kashyap2025-08-1420</v>
      </c>
    </row>
    <row r="55">
      <c r="A55" s="115" t="s">
        <v>18</v>
      </c>
      <c r="B55" s="115" t="s">
        <v>49</v>
      </c>
      <c r="C55" s="115">
        <v>133582.0</v>
      </c>
      <c r="D55" s="116">
        <v>45883.0</v>
      </c>
      <c r="E55" s="12" t="s">
        <v>55</v>
      </c>
      <c r="F55" s="115" t="str">
        <f t="shared" si="1"/>
        <v>Pradeep Kothari2025-08-1420</v>
      </c>
    </row>
    <row r="56">
      <c r="A56" s="115" t="s">
        <v>26</v>
      </c>
      <c r="B56" s="115" t="s">
        <v>50</v>
      </c>
      <c r="C56" s="115">
        <v>250691.0</v>
      </c>
      <c r="D56" s="116">
        <v>45883.0</v>
      </c>
      <c r="E56" s="12" t="s">
        <v>55</v>
      </c>
      <c r="F56" s="115" t="str">
        <f t="shared" si="1"/>
        <v>Premkumar M2025-08-1420</v>
      </c>
    </row>
    <row r="57">
      <c r="A57" s="115" t="s">
        <v>27</v>
      </c>
      <c r="B57" s="115" t="s">
        <v>50</v>
      </c>
      <c r="C57" s="115">
        <v>195342.0</v>
      </c>
      <c r="D57" s="116">
        <v>45883.0</v>
      </c>
      <c r="E57" s="12" t="s">
        <v>55</v>
      </c>
      <c r="F57" s="115" t="str">
        <f t="shared" si="1"/>
        <v>Vineeth V2025-08-1420</v>
      </c>
    </row>
    <row r="58">
      <c r="C58" s="115">
        <v>6689.0</v>
      </c>
      <c r="D58" s="116">
        <v>45883.0</v>
      </c>
      <c r="E58" s="12" t="s">
        <v>55</v>
      </c>
      <c r="F58" s="115" t="str">
        <f t="shared" si="1"/>
        <v>2025-08-1420</v>
      </c>
    </row>
    <row r="59">
      <c r="A59" s="115" t="s">
        <v>15</v>
      </c>
      <c r="B59" s="115" t="s">
        <v>49</v>
      </c>
      <c r="C59" s="115">
        <v>167107.0</v>
      </c>
      <c r="D59" s="116">
        <v>45883.0</v>
      </c>
      <c r="E59" s="12" t="s">
        <v>57</v>
      </c>
      <c r="F59" s="115" t="str">
        <f t="shared" si="1"/>
        <v>Amit Kumar Pathak2025-08-1422</v>
      </c>
    </row>
    <row r="60">
      <c r="A60" s="115" t="s">
        <v>15</v>
      </c>
      <c r="B60" s="115" t="s">
        <v>19</v>
      </c>
      <c r="C60" s="115">
        <v>199.0</v>
      </c>
      <c r="D60" s="116">
        <v>45883.0</v>
      </c>
      <c r="E60" s="12" t="s">
        <v>57</v>
      </c>
      <c r="F60" s="115" t="str">
        <f t="shared" si="1"/>
        <v>Amit Kumar Pathak2025-08-1422</v>
      </c>
    </row>
    <row r="61">
      <c r="A61" s="115" t="s">
        <v>29</v>
      </c>
      <c r="B61" s="115" t="s">
        <v>51</v>
      </c>
      <c r="C61" s="115">
        <v>311430.0</v>
      </c>
      <c r="D61" s="116">
        <v>45883.0</v>
      </c>
      <c r="E61" s="12" t="s">
        <v>57</v>
      </c>
      <c r="F61" s="115" t="str">
        <f t="shared" si="1"/>
        <v>Ashish Jakar2025-08-1422</v>
      </c>
    </row>
    <row r="62">
      <c r="A62" s="115" t="s">
        <v>20</v>
      </c>
      <c r="B62" s="115" t="s">
        <v>47</v>
      </c>
      <c r="C62" s="115">
        <v>532056.0</v>
      </c>
      <c r="D62" s="116">
        <v>45883.0</v>
      </c>
      <c r="E62" s="12" t="s">
        <v>57</v>
      </c>
      <c r="F62" s="115" t="str">
        <f t="shared" si="1"/>
        <v>Ashish Ranjan2025-08-1422</v>
      </c>
    </row>
    <row r="63">
      <c r="A63" s="115" t="s">
        <v>30</v>
      </c>
      <c r="B63" s="115" t="s">
        <v>51</v>
      </c>
      <c r="C63" s="115">
        <v>260533.0</v>
      </c>
      <c r="D63" s="116">
        <v>45883.0</v>
      </c>
      <c r="E63" s="12" t="s">
        <v>57</v>
      </c>
      <c r="F63" s="115" t="str">
        <f t="shared" si="1"/>
        <v>Ashvani Bhatt2025-08-1422</v>
      </c>
    </row>
    <row r="64">
      <c r="A64" s="115" t="s">
        <v>21</v>
      </c>
      <c r="B64" s="115" t="s">
        <v>47</v>
      </c>
      <c r="C64" s="115">
        <v>362943.0</v>
      </c>
      <c r="D64" s="116">
        <v>45883.0</v>
      </c>
      <c r="E64" s="12" t="s">
        <v>57</v>
      </c>
      <c r="F64" s="115" t="str">
        <f t="shared" si="1"/>
        <v>Girish Chand2025-08-1422</v>
      </c>
    </row>
    <row r="65">
      <c r="A65" s="115" t="s">
        <v>24</v>
      </c>
      <c r="B65" s="115" t="s">
        <v>50</v>
      </c>
      <c r="C65" s="115">
        <v>274126.0</v>
      </c>
      <c r="D65" s="116">
        <v>45883.0</v>
      </c>
      <c r="E65" s="12" t="s">
        <v>57</v>
      </c>
      <c r="F65" s="115" t="str">
        <f t="shared" si="1"/>
        <v>Kandula Sampath2025-08-1422</v>
      </c>
    </row>
    <row r="66">
      <c r="A66" s="115" t="s">
        <v>17</v>
      </c>
      <c r="B66" s="115" t="s">
        <v>49</v>
      </c>
      <c r="C66" s="115">
        <v>179577.0</v>
      </c>
      <c r="D66" s="116">
        <v>45883.0</v>
      </c>
      <c r="E66" s="12" t="s">
        <v>57</v>
      </c>
      <c r="F66" s="115" t="str">
        <f t="shared" si="1"/>
        <v>Loveleen Singh2025-08-1422</v>
      </c>
    </row>
    <row r="67">
      <c r="A67" s="115" t="s">
        <v>16</v>
      </c>
      <c r="B67" s="115" t="s">
        <v>49</v>
      </c>
      <c r="C67" s="115">
        <v>369529.0</v>
      </c>
      <c r="D67" s="116">
        <v>45883.0</v>
      </c>
      <c r="E67" s="12" t="s">
        <v>57</v>
      </c>
      <c r="F67" s="115" t="str">
        <f t="shared" si="1"/>
        <v>Manoj Harsh2025-08-1422</v>
      </c>
    </row>
    <row r="68">
      <c r="A68" s="115" t="s">
        <v>25</v>
      </c>
      <c r="B68" s="115" t="s">
        <v>50</v>
      </c>
      <c r="C68" s="115">
        <v>280292.0</v>
      </c>
      <c r="D68" s="116">
        <v>45883.0</v>
      </c>
      <c r="E68" s="12" t="s">
        <v>57</v>
      </c>
      <c r="F68" s="115" t="str">
        <f t="shared" si="1"/>
        <v>Martin A2025-08-1422</v>
      </c>
    </row>
    <row r="69">
      <c r="A69" s="115" t="s">
        <v>22</v>
      </c>
      <c r="B69" s="115" t="s">
        <v>47</v>
      </c>
      <c r="C69" s="115">
        <v>298542.0</v>
      </c>
      <c r="D69" s="116">
        <v>45883.0</v>
      </c>
      <c r="E69" s="12" t="s">
        <v>57</v>
      </c>
      <c r="F69" s="115" t="str">
        <f t="shared" si="1"/>
        <v>Parag Kashyap2025-08-1422</v>
      </c>
    </row>
    <row r="70">
      <c r="A70" s="115" t="s">
        <v>18</v>
      </c>
      <c r="B70" s="115" t="s">
        <v>49</v>
      </c>
      <c r="C70" s="115">
        <v>133582.0</v>
      </c>
      <c r="D70" s="116">
        <v>45883.0</v>
      </c>
      <c r="E70" s="12" t="s">
        <v>57</v>
      </c>
      <c r="F70" s="115" t="str">
        <f t="shared" si="1"/>
        <v>Pradeep Kothari2025-08-1422</v>
      </c>
    </row>
    <row r="71">
      <c r="A71" s="115" t="s">
        <v>26</v>
      </c>
      <c r="B71" s="115" t="s">
        <v>50</v>
      </c>
      <c r="C71" s="115">
        <v>250691.0</v>
      </c>
      <c r="D71" s="116">
        <v>45883.0</v>
      </c>
      <c r="E71" s="12" t="s">
        <v>57</v>
      </c>
      <c r="F71" s="115" t="str">
        <f t="shared" si="1"/>
        <v>Premkumar M2025-08-1422</v>
      </c>
    </row>
    <row r="72">
      <c r="A72" s="115" t="s">
        <v>27</v>
      </c>
      <c r="B72" s="115" t="s">
        <v>50</v>
      </c>
      <c r="C72" s="115">
        <v>195342.0</v>
      </c>
      <c r="D72" s="116">
        <v>45883.0</v>
      </c>
      <c r="E72" s="12" t="s">
        <v>57</v>
      </c>
      <c r="F72" s="115" t="str">
        <f t="shared" si="1"/>
        <v>Vineeth V2025-08-1422</v>
      </c>
    </row>
    <row r="73">
      <c r="C73" s="115">
        <v>6689.0</v>
      </c>
      <c r="D73" s="116">
        <v>45883.0</v>
      </c>
      <c r="E73" s="12" t="s">
        <v>57</v>
      </c>
      <c r="F73" s="115" t="str">
        <f t="shared" si="1"/>
        <v>2025-08-1422</v>
      </c>
    </row>
    <row r="74">
      <c r="A74" s="115" t="s">
        <v>15</v>
      </c>
      <c r="B74" s="115" t="s">
        <v>49</v>
      </c>
      <c r="C74" s="115">
        <v>17207.0</v>
      </c>
      <c r="D74" s="116">
        <v>45884.0</v>
      </c>
      <c r="E74" s="12" t="s">
        <v>60</v>
      </c>
      <c r="F74" s="115" t="str">
        <f t="shared" si="1"/>
        <v>Amit Kumar Pathak2025-08-1510</v>
      </c>
    </row>
    <row r="75">
      <c r="A75" s="115" t="s">
        <v>29</v>
      </c>
      <c r="B75" s="115" t="s">
        <v>51</v>
      </c>
      <c r="C75" s="115">
        <v>57356.0</v>
      </c>
      <c r="D75" s="116">
        <v>45884.0</v>
      </c>
      <c r="E75" s="12" t="s">
        <v>60</v>
      </c>
      <c r="F75" s="115" t="str">
        <f t="shared" si="1"/>
        <v>Ashish Jakar2025-08-1510</v>
      </c>
    </row>
    <row r="76">
      <c r="A76" s="115" t="s">
        <v>20</v>
      </c>
      <c r="B76" s="115" t="s">
        <v>47</v>
      </c>
      <c r="C76" s="115">
        <v>87578.0</v>
      </c>
      <c r="D76" s="116">
        <v>45884.0</v>
      </c>
      <c r="E76" s="12" t="s">
        <v>60</v>
      </c>
      <c r="F76" s="115" t="str">
        <f t="shared" si="1"/>
        <v>Ashish Ranjan2025-08-1510</v>
      </c>
    </row>
    <row r="77">
      <c r="A77" s="115" t="s">
        <v>30</v>
      </c>
      <c r="B77" s="115" t="s">
        <v>51</v>
      </c>
      <c r="C77" s="115">
        <v>62510.0</v>
      </c>
      <c r="D77" s="116">
        <v>45884.0</v>
      </c>
      <c r="E77" s="12" t="s">
        <v>60</v>
      </c>
      <c r="F77" s="115" t="str">
        <f t="shared" si="1"/>
        <v>Ashvani Bhatt2025-08-1510</v>
      </c>
    </row>
    <row r="78">
      <c r="A78" s="115" t="s">
        <v>21</v>
      </c>
      <c r="B78" s="115" t="s">
        <v>47</v>
      </c>
      <c r="C78" s="115">
        <v>17489.0</v>
      </c>
      <c r="D78" s="116">
        <v>45884.0</v>
      </c>
      <c r="E78" s="12" t="s">
        <v>60</v>
      </c>
      <c r="F78" s="115" t="str">
        <f t="shared" si="1"/>
        <v>Girish Chand2025-08-1510</v>
      </c>
    </row>
    <row r="79">
      <c r="A79" s="115" t="s">
        <v>24</v>
      </c>
      <c r="B79" s="115" t="s">
        <v>50</v>
      </c>
      <c r="C79" s="115">
        <v>75227.0</v>
      </c>
      <c r="D79" s="116">
        <v>45884.0</v>
      </c>
      <c r="E79" s="12" t="s">
        <v>60</v>
      </c>
      <c r="F79" s="115" t="str">
        <f t="shared" si="1"/>
        <v>Kandula Sampath2025-08-1510</v>
      </c>
    </row>
    <row r="80">
      <c r="A80" s="115" t="s">
        <v>17</v>
      </c>
      <c r="B80" s="115" t="s">
        <v>49</v>
      </c>
      <c r="C80" s="115">
        <v>32713.0</v>
      </c>
      <c r="D80" s="116">
        <v>45884.0</v>
      </c>
      <c r="E80" s="12" t="s">
        <v>60</v>
      </c>
      <c r="F80" s="115" t="str">
        <f t="shared" si="1"/>
        <v>Loveleen Singh2025-08-1510</v>
      </c>
    </row>
    <row r="81">
      <c r="A81" s="115" t="s">
        <v>16</v>
      </c>
      <c r="B81" s="115" t="s">
        <v>49</v>
      </c>
      <c r="C81" s="115">
        <v>60301.0</v>
      </c>
      <c r="D81" s="116">
        <v>45884.0</v>
      </c>
      <c r="E81" s="12" t="s">
        <v>60</v>
      </c>
      <c r="F81" s="115" t="str">
        <f t="shared" si="1"/>
        <v>Manoj Harsh2025-08-1510</v>
      </c>
    </row>
    <row r="82">
      <c r="A82" s="115" t="s">
        <v>25</v>
      </c>
      <c r="B82" s="115" t="s">
        <v>50</v>
      </c>
      <c r="C82" s="115">
        <v>59080.0</v>
      </c>
      <c r="D82" s="116">
        <v>45884.0</v>
      </c>
      <c r="E82" s="12" t="s">
        <v>60</v>
      </c>
      <c r="F82" s="115" t="str">
        <f t="shared" si="1"/>
        <v>Martin A2025-08-1510</v>
      </c>
    </row>
    <row r="83">
      <c r="A83" s="115" t="s">
        <v>22</v>
      </c>
      <c r="B83" s="115" t="s">
        <v>47</v>
      </c>
      <c r="C83" s="115">
        <v>28768.0</v>
      </c>
      <c r="D83" s="116">
        <v>45884.0</v>
      </c>
      <c r="E83" s="12" t="s">
        <v>60</v>
      </c>
      <c r="F83" s="115" t="str">
        <f t="shared" si="1"/>
        <v>Parag Kashyap2025-08-1510</v>
      </c>
    </row>
    <row r="84">
      <c r="A84" s="115" t="s">
        <v>18</v>
      </c>
      <c r="B84" s="115" t="s">
        <v>49</v>
      </c>
      <c r="C84" s="115">
        <v>21414.0</v>
      </c>
      <c r="D84" s="116">
        <v>45884.0</v>
      </c>
      <c r="E84" s="12" t="s">
        <v>60</v>
      </c>
      <c r="F84" s="115" t="str">
        <f t="shared" si="1"/>
        <v>Pradeep Kothari2025-08-1510</v>
      </c>
    </row>
    <row r="85">
      <c r="A85" s="115" t="s">
        <v>26</v>
      </c>
      <c r="B85" s="115" t="s">
        <v>50</v>
      </c>
      <c r="C85" s="115">
        <v>42580.0</v>
      </c>
      <c r="D85" s="116">
        <v>45884.0</v>
      </c>
      <c r="E85" s="12" t="s">
        <v>60</v>
      </c>
      <c r="F85" s="115" t="str">
        <f t="shared" si="1"/>
        <v>Premkumar M2025-08-1510</v>
      </c>
    </row>
    <row r="86">
      <c r="A86" s="115" t="s">
        <v>27</v>
      </c>
      <c r="B86" s="115" t="s">
        <v>50</v>
      </c>
      <c r="C86" s="115">
        <v>31584.0</v>
      </c>
      <c r="D86" s="116">
        <v>45884.0</v>
      </c>
      <c r="E86" s="12" t="s">
        <v>60</v>
      </c>
      <c r="F86" s="115" t="str">
        <f t="shared" si="1"/>
        <v>Vineeth V2025-08-1510</v>
      </c>
    </row>
    <row r="87">
      <c r="C87" s="115">
        <v>4408.0</v>
      </c>
      <c r="D87" s="116">
        <v>45884.0</v>
      </c>
      <c r="E87" s="12" t="s">
        <v>60</v>
      </c>
      <c r="F87" s="115" t="str">
        <f t="shared" si="1"/>
        <v>2025-08-1510</v>
      </c>
    </row>
    <row r="88">
      <c r="A88" s="115" t="s">
        <v>15</v>
      </c>
      <c r="B88" s="115" t="s">
        <v>49</v>
      </c>
      <c r="C88" s="115">
        <v>120276.0</v>
      </c>
      <c r="D88" s="116">
        <v>45884.0</v>
      </c>
      <c r="E88" s="12" t="s">
        <v>62</v>
      </c>
      <c r="F88" s="115" t="str">
        <f t="shared" si="1"/>
        <v>Amit Kumar Pathak2025-08-1512</v>
      </c>
    </row>
    <row r="89">
      <c r="A89" s="115" t="s">
        <v>29</v>
      </c>
      <c r="B89" s="115" t="s">
        <v>51</v>
      </c>
      <c r="C89" s="115">
        <v>236599.0</v>
      </c>
      <c r="D89" s="116">
        <v>45884.0</v>
      </c>
      <c r="E89" s="12" t="s">
        <v>62</v>
      </c>
      <c r="F89" s="115" t="str">
        <f t="shared" si="1"/>
        <v>Ashish Jakar2025-08-1512</v>
      </c>
    </row>
    <row r="90">
      <c r="A90" s="115" t="s">
        <v>20</v>
      </c>
      <c r="B90" s="115" t="s">
        <v>47</v>
      </c>
      <c r="C90" s="115">
        <v>434954.0</v>
      </c>
      <c r="D90" s="116">
        <v>45884.0</v>
      </c>
      <c r="E90" s="12" t="s">
        <v>62</v>
      </c>
      <c r="F90" s="115" t="str">
        <f t="shared" si="1"/>
        <v>Ashish Ranjan2025-08-1512</v>
      </c>
    </row>
    <row r="91">
      <c r="A91" s="115" t="s">
        <v>30</v>
      </c>
      <c r="B91" s="115" t="s">
        <v>51</v>
      </c>
      <c r="C91" s="115">
        <v>202503.0</v>
      </c>
      <c r="D91" s="116">
        <v>45884.0</v>
      </c>
      <c r="E91" s="12" t="s">
        <v>62</v>
      </c>
      <c r="F91" s="115" t="str">
        <f t="shared" si="1"/>
        <v>Ashvani Bhatt2025-08-1512</v>
      </c>
    </row>
    <row r="92">
      <c r="A92" s="115" t="s">
        <v>21</v>
      </c>
      <c r="B92" s="115" t="s">
        <v>47</v>
      </c>
      <c r="C92" s="115">
        <v>298102.0</v>
      </c>
      <c r="D92" s="116">
        <v>45884.0</v>
      </c>
      <c r="E92" s="12" t="s">
        <v>62</v>
      </c>
      <c r="F92" s="115" t="str">
        <f t="shared" si="1"/>
        <v>Girish Chand2025-08-1512</v>
      </c>
    </row>
    <row r="93">
      <c r="A93" s="115" t="s">
        <v>24</v>
      </c>
      <c r="B93" s="115" t="s">
        <v>50</v>
      </c>
      <c r="C93" s="115">
        <v>258611.0</v>
      </c>
      <c r="D93" s="116">
        <v>45884.0</v>
      </c>
      <c r="E93" s="12" t="s">
        <v>62</v>
      </c>
      <c r="F93" s="115" t="str">
        <f t="shared" si="1"/>
        <v>Kandula Sampath2025-08-1512</v>
      </c>
    </row>
    <row r="94">
      <c r="A94" s="115" t="s">
        <v>17</v>
      </c>
      <c r="B94" s="115" t="s">
        <v>49</v>
      </c>
      <c r="C94" s="115">
        <v>109023.0</v>
      </c>
      <c r="D94" s="116">
        <v>45884.0</v>
      </c>
      <c r="E94" s="12" t="s">
        <v>62</v>
      </c>
      <c r="F94" s="115" t="str">
        <f t="shared" si="1"/>
        <v>Loveleen Singh2025-08-1512</v>
      </c>
    </row>
    <row r="95">
      <c r="A95" s="115" t="s">
        <v>16</v>
      </c>
      <c r="B95" s="115" t="s">
        <v>49</v>
      </c>
      <c r="C95" s="115">
        <v>294985.0</v>
      </c>
      <c r="D95" s="116">
        <v>45884.0</v>
      </c>
      <c r="E95" s="12" t="s">
        <v>62</v>
      </c>
      <c r="F95" s="115" t="str">
        <f t="shared" si="1"/>
        <v>Manoj Harsh2025-08-1512</v>
      </c>
    </row>
    <row r="96">
      <c r="A96" s="115" t="s">
        <v>25</v>
      </c>
      <c r="B96" s="115" t="s">
        <v>50</v>
      </c>
      <c r="C96" s="115">
        <v>213448.0</v>
      </c>
      <c r="D96" s="116">
        <v>45884.0</v>
      </c>
      <c r="E96" s="12" t="s">
        <v>62</v>
      </c>
      <c r="F96" s="115" t="str">
        <f t="shared" si="1"/>
        <v>Martin A2025-08-1512</v>
      </c>
    </row>
    <row r="97">
      <c r="A97" s="115" t="s">
        <v>22</v>
      </c>
      <c r="B97" s="115" t="s">
        <v>47</v>
      </c>
      <c r="C97" s="115">
        <v>151878.0</v>
      </c>
      <c r="D97" s="116">
        <v>45884.0</v>
      </c>
      <c r="E97" s="12" t="s">
        <v>62</v>
      </c>
      <c r="F97" s="115" t="str">
        <f t="shared" si="1"/>
        <v>Parag Kashyap2025-08-1512</v>
      </c>
    </row>
    <row r="98">
      <c r="A98" s="115" t="s">
        <v>18</v>
      </c>
      <c r="B98" s="115" t="s">
        <v>49</v>
      </c>
      <c r="C98" s="115">
        <v>108182.0</v>
      </c>
      <c r="D98" s="116">
        <v>45884.0</v>
      </c>
      <c r="E98" s="12" t="s">
        <v>62</v>
      </c>
      <c r="F98" s="115" t="str">
        <f t="shared" si="1"/>
        <v>Pradeep Kothari2025-08-1512</v>
      </c>
    </row>
    <row r="99">
      <c r="A99" s="115" t="s">
        <v>26</v>
      </c>
      <c r="B99" s="115" t="s">
        <v>50</v>
      </c>
      <c r="C99" s="115">
        <v>204175.0</v>
      </c>
      <c r="D99" s="116">
        <v>45884.0</v>
      </c>
      <c r="E99" s="12" t="s">
        <v>62</v>
      </c>
      <c r="F99" s="115" t="str">
        <f t="shared" si="1"/>
        <v>Premkumar M2025-08-1512</v>
      </c>
    </row>
    <row r="100">
      <c r="A100" s="115" t="s">
        <v>27</v>
      </c>
      <c r="B100" s="115" t="s">
        <v>50</v>
      </c>
      <c r="C100" s="115">
        <v>158762.0</v>
      </c>
      <c r="D100" s="116">
        <v>45884.0</v>
      </c>
      <c r="E100" s="12" t="s">
        <v>62</v>
      </c>
      <c r="F100" s="115" t="str">
        <f t="shared" si="1"/>
        <v>Vineeth V2025-08-1512</v>
      </c>
    </row>
    <row r="101">
      <c r="C101" s="115">
        <v>4642.0</v>
      </c>
      <c r="D101" s="116">
        <v>45884.0</v>
      </c>
      <c r="E101" s="12" t="s">
        <v>62</v>
      </c>
      <c r="F101" s="115" t="str">
        <f t="shared" si="1"/>
        <v>2025-08-1512</v>
      </c>
    </row>
    <row r="102">
      <c r="A102" s="115" t="s">
        <v>15</v>
      </c>
      <c r="B102" s="115" t="s">
        <v>49</v>
      </c>
      <c r="C102" s="115">
        <v>120276.0</v>
      </c>
      <c r="D102" s="116">
        <v>45884.0</v>
      </c>
      <c r="E102" s="12" t="s">
        <v>48</v>
      </c>
      <c r="F102" s="115" t="str">
        <f t="shared" si="1"/>
        <v>Amit Kumar Pathak2025-08-1513</v>
      </c>
    </row>
    <row r="103">
      <c r="A103" s="115" t="s">
        <v>29</v>
      </c>
      <c r="B103" s="115" t="s">
        <v>51</v>
      </c>
      <c r="C103" s="115">
        <v>236599.0</v>
      </c>
      <c r="D103" s="116">
        <v>45884.0</v>
      </c>
      <c r="E103" s="12" t="s">
        <v>48</v>
      </c>
      <c r="F103" s="115" t="str">
        <f t="shared" si="1"/>
        <v>Ashish Jakar2025-08-1513</v>
      </c>
    </row>
    <row r="104">
      <c r="A104" s="115" t="s">
        <v>20</v>
      </c>
      <c r="B104" s="115" t="s">
        <v>47</v>
      </c>
      <c r="C104" s="115">
        <v>434954.0</v>
      </c>
      <c r="D104" s="116">
        <v>45884.0</v>
      </c>
      <c r="E104" s="12" t="s">
        <v>48</v>
      </c>
      <c r="F104" s="115" t="str">
        <f t="shared" si="1"/>
        <v>Ashish Ranjan2025-08-1513</v>
      </c>
    </row>
    <row r="105">
      <c r="A105" s="115" t="s">
        <v>30</v>
      </c>
      <c r="B105" s="115" t="s">
        <v>51</v>
      </c>
      <c r="C105" s="115">
        <v>202503.0</v>
      </c>
      <c r="D105" s="116">
        <v>45884.0</v>
      </c>
      <c r="E105" s="12" t="s">
        <v>48</v>
      </c>
      <c r="F105" s="115" t="str">
        <f t="shared" si="1"/>
        <v>Ashvani Bhatt2025-08-1513</v>
      </c>
    </row>
    <row r="106">
      <c r="A106" s="115" t="s">
        <v>21</v>
      </c>
      <c r="B106" s="115" t="s">
        <v>47</v>
      </c>
      <c r="C106" s="115">
        <v>298102.0</v>
      </c>
      <c r="D106" s="116">
        <v>45884.0</v>
      </c>
      <c r="E106" s="12" t="s">
        <v>48</v>
      </c>
      <c r="F106" s="115" t="str">
        <f t="shared" si="1"/>
        <v>Girish Chand2025-08-1513</v>
      </c>
    </row>
    <row r="107">
      <c r="A107" s="115" t="s">
        <v>24</v>
      </c>
      <c r="B107" s="115" t="s">
        <v>50</v>
      </c>
      <c r="C107" s="115">
        <v>258611.0</v>
      </c>
      <c r="D107" s="116">
        <v>45884.0</v>
      </c>
      <c r="E107" s="12" t="s">
        <v>48</v>
      </c>
      <c r="F107" s="115" t="str">
        <f t="shared" si="1"/>
        <v>Kandula Sampath2025-08-1513</v>
      </c>
    </row>
    <row r="108">
      <c r="A108" s="115" t="s">
        <v>17</v>
      </c>
      <c r="B108" s="115" t="s">
        <v>49</v>
      </c>
      <c r="C108" s="115">
        <v>109023.0</v>
      </c>
      <c r="D108" s="116">
        <v>45884.0</v>
      </c>
      <c r="E108" s="12" t="s">
        <v>48</v>
      </c>
      <c r="F108" s="115" t="str">
        <f t="shared" si="1"/>
        <v>Loveleen Singh2025-08-1513</v>
      </c>
    </row>
    <row r="109">
      <c r="A109" s="115" t="s">
        <v>16</v>
      </c>
      <c r="B109" s="115" t="s">
        <v>49</v>
      </c>
      <c r="C109" s="115">
        <v>294985.0</v>
      </c>
      <c r="D109" s="116">
        <v>45884.0</v>
      </c>
      <c r="E109" s="12" t="s">
        <v>48</v>
      </c>
      <c r="F109" s="115" t="str">
        <f t="shared" si="1"/>
        <v>Manoj Harsh2025-08-1513</v>
      </c>
    </row>
    <row r="110">
      <c r="A110" s="115" t="s">
        <v>25</v>
      </c>
      <c r="B110" s="115" t="s">
        <v>50</v>
      </c>
      <c r="C110" s="115">
        <v>213448.0</v>
      </c>
      <c r="D110" s="116">
        <v>45884.0</v>
      </c>
      <c r="E110" s="12" t="s">
        <v>48</v>
      </c>
      <c r="F110" s="115" t="str">
        <f t="shared" si="1"/>
        <v>Martin A2025-08-1513</v>
      </c>
    </row>
    <row r="111">
      <c r="A111" s="115" t="s">
        <v>22</v>
      </c>
      <c r="B111" s="115" t="s">
        <v>47</v>
      </c>
      <c r="C111" s="115">
        <v>151878.0</v>
      </c>
      <c r="D111" s="116">
        <v>45884.0</v>
      </c>
      <c r="E111" s="12" t="s">
        <v>48</v>
      </c>
      <c r="F111" s="115" t="str">
        <f t="shared" si="1"/>
        <v>Parag Kashyap2025-08-1513</v>
      </c>
    </row>
    <row r="112">
      <c r="A112" s="115" t="s">
        <v>18</v>
      </c>
      <c r="B112" s="115" t="s">
        <v>49</v>
      </c>
      <c r="C112" s="115">
        <v>108182.0</v>
      </c>
      <c r="D112" s="116">
        <v>45884.0</v>
      </c>
      <c r="E112" s="12" t="s">
        <v>48</v>
      </c>
      <c r="F112" s="115" t="str">
        <f t="shared" si="1"/>
        <v>Pradeep Kothari2025-08-1513</v>
      </c>
    </row>
    <row r="113">
      <c r="A113" s="115" t="s">
        <v>26</v>
      </c>
      <c r="B113" s="115" t="s">
        <v>50</v>
      </c>
      <c r="C113" s="115">
        <v>204175.0</v>
      </c>
      <c r="D113" s="116">
        <v>45884.0</v>
      </c>
      <c r="E113" s="12" t="s">
        <v>48</v>
      </c>
      <c r="F113" s="115" t="str">
        <f t="shared" si="1"/>
        <v>Premkumar M2025-08-1513</v>
      </c>
    </row>
    <row r="114">
      <c r="A114" s="115" t="s">
        <v>27</v>
      </c>
      <c r="B114" s="115" t="s">
        <v>50</v>
      </c>
      <c r="C114" s="115">
        <v>158762.0</v>
      </c>
      <c r="D114" s="116">
        <v>45884.0</v>
      </c>
      <c r="E114" s="12" t="s">
        <v>48</v>
      </c>
      <c r="F114" s="115" t="str">
        <f t="shared" si="1"/>
        <v>Vineeth V2025-08-1513</v>
      </c>
    </row>
    <row r="115">
      <c r="C115" s="115">
        <v>4642.0</v>
      </c>
      <c r="D115" s="116">
        <v>45884.0</v>
      </c>
      <c r="E115" s="12" t="s">
        <v>48</v>
      </c>
      <c r="F115" s="115" t="str">
        <f t="shared" si="1"/>
        <v>2025-08-1513</v>
      </c>
    </row>
    <row r="116">
      <c r="A116" s="115" t="s">
        <v>15</v>
      </c>
      <c r="B116" s="115" t="s">
        <v>49</v>
      </c>
      <c r="C116" s="115">
        <v>160329.0</v>
      </c>
      <c r="D116" s="116">
        <v>45884.0</v>
      </c>
      <c r="E116" s="12" t="s">
        <v>63</v>
      </c>
      <c r="F116" s="115" t="str">
        <f t="shared" si="1"/>
        <v>Amit Kumar Pathak2025-08-1514</v>
      </c>
    </row>
    <row r="117">
      <c r="A117" s="115" t="s">
        <v>15</v>
      </c>
      <c r="B117" s="115" t="s">
        <v>19</v>
      </c>
      <c r="C117" s="115">
        <v>11.0</v>
      </c>
      <c r="D117" s="116">
        <v>45884.0</v>
      </c>
      <c r="E117" s="12" t="s">
        <v>63</v>
      </c>
      <c r="F117" s="115" t="str">
        <f t="shared" si="1"/>
        <v>Amit Kumar Pathak2025-08-1514</v>
      </c>
    </row>
    <row r="118">
      <c r="A118" s="115" t="s">
        <v>29</v>
      </c>
      <c r="B118" s="115" t="s">
        <v>51</v>
      </c>
      <c r="C118" s="115">
        <v>302417.0</v>
      </c>
      <c r="D118" s="116">
        <v>45884.0</v>
      </c>
      <c r="E118" s="12" t="s">
        <v>63</v>
      </c>
      <c r="F118" s="115" t="str">
        <f t="shared" si="1"/>
        <v>Ashish Jakar2025-08-1514</v>
      </c>
    </row>
    <row r="119">
      <c r="A119" s="115" t="s">
        <v>20</v>
      </c>
      <c r="B119" s="115" t="s">
        <v>47</v>
      </c>
      <c r="C119" s="115">
        <v>523038.0</v>
      </c>
      <c r="D119" s="116">
        <v>45884.0</v>
      </c>
      <c r="E119" s="12" t="s">
        <v>63</v>
      </c>
      <c r="F119" s="115" t="str">
        <f t="shared" si="1"/>
        <v>Ashish Ranjan2025-08-1514</v>
      </c>
    </row>
    <row r="120">
      <c r="A120" s="115" t="s">
        <v>30</v>
      </c>
      <c r="B120" s="115" t="s">
        <v>51</v>
      </c>
      <c r="C120" s="115">
        <v>246868.0</v>
      </c>
      <c r="D120" s="116">
        <v>45884.0</v>
      </c>
      <c r="E120" s="12" t="s">
        <v>63</v>
      </c>
      <c r="F120" s="115" t="str">
        <f t="shared" si="1"/>
        <v>Ashvani Bhatt2025-08-1514</v>
      </c>
    </row>
    <row r="121">
      <c r="A121" s="115" t="s">
        <v>21</v>
      </c>
      <c r="B121" s="115" t="s">
        <v>47</v>
      </c>
      <c r="C121" s="115">
        <v>378139.0</v>
      </c>
      <c r="D121" s="116">
        <v>45884.0</v>
      </c>
      <c r="E121" s="12" t="s">
        <v>63</v>
      </c>
      <c r="F121" s="115" t="str">
        <f t="shared" si="1"/>
        <v>Girish Chand2025-08-1514</v>
      </c>
    </row>
    <row r="122">
      <c r="A122" s="115" t="s">
        <v>24</v>
      </c>
      <c r="B122" s="115" t="s">
        <v>50</v>
      </c>
      <c r="C122" s="115">
        <v>288545.0</v>
      </c>
      <c r="D122" s="116">
        <v>45884.0</v>
      </c>
      <c r="E122" s="12" t="s">
        <v>63</v>
      </c>
      <c r="F122" s="115" t="str">
        <f t="shared" si="1"/>
        <v>Kandula Sampath2025-08-1514</v>
      </c>
    </row>
    <row r="123">
      <c r="A123" s="115" t="s">
        <v>17</v>
      </c>
      <c r="B123" s="115" t="s">
        <v>49</v>
      </c>
      <c r="C123" s="115">
        <v>157295.0</v>
      </c>
      <c r="D123" s="116">
        <v>45884.0</v>
      </c>
      <c r="E123" s="12" t="s">
        <v>63</v>
      </c>
      <c r="F123" s="115" t="str">
        <f t="shared" si="1"/>
        <v>Loveleen Singh2025-08-1514</v>
      </c>
    </row>
    <row r="124">
      <c r="A124" s="115" t="s">
        <v>16</v>
      </c>
      <c r="B124" s="115" t="s">
        <v>49</v>
      </c>
      <c r="C124" s="115">
        <v>398112.0</v>
      </c>
      <c r="D124" s="116">
        <v>45884.0</v>
      </c>
      <c r="E124" s="12" t="s">
        <v>63</v>
      </c>
      <c r="F124" s="115" t="str">
        <f t="shared" si="1"/>
        <v>Manoj Harsh2025-08-1514</v>
      </c>
    </row>
    <row r="125">
      <c r="A125" s="115" t="s">
        <v>25</v>
      </c>
      <c r="B125" s="115" t="s">
        <v>50</v>
      </c>
      <c r="C125" s="115">
        <v>253876.0</v>
      </c>
      <c r="D125" s="116">
        <v>45884.0</v>
      </c>
      <c r="E125" s="12" t="s">
        <v>63</v>
      </c>
      <c r="F125" s="115" t="str">
        <f t="shared" si="1"/>
        <v>Martin A2025-08-1514</v>
      </c>
    </row>
    <row r="126">
      <c r="A126" s="115" t="s">
        <v>22</v>
      </c>
      <c r="B126" s="115" t="s">
        <v>47</v>
      </c>
      <c r="C126" s="115">
        <v>231148.0</v>
      </c>
      <c r="D126" s="116">
        <v>45884.0</v>
      </c>
      <c r="E126" s="12" t="s">
        <v>63</v>
      </c>
      <c r="F126" s="115" t="str">
        <f t="shared" si="1"/>
        <v>Parag Kashyap2025-08-1514</v>
      </c>
    </row>
    <row r="127">
      <c r="A127" s="115" t="s">
        <v>18</v>
      </c>
      <c r="B127" s="115" t="s">
        <v>49</v>
      </c>
      <c r="C127" s="115">
        <v>135693.0</v>
      </c>
      <c r="D127" s="116">
        <v>45884.0</v>
      </c>
      <c r="E127" s="12" t="s">
        <v>63</v>
      </c>
      <c r="F127" s="115" t="str">
        <f t="shared" si="1"/>
        <v>Pradeep Kothari2025-08-1514</v>
      </c>
    </row>
    <row r="128">
      <c r="A128" s="115" t="s">
        <v>26</v>
      </c>
      <c r="B128" s="115" t="s">
        <v>50</v>
      </c>
      <c r="C128" s="115">
        <v>265967.0</v>
      </c>
      <c r="D128" s="116">
        <v>45884.0</v>
      </c>
      <c r="E128" s="12" t="s">
        <v>63</v>
      </c>
      <c r="F128" s="115" t="str">
        <f t="shared" si="1"/>
        <v>Premkumar M2025-08-1514</v>
      </c>
    </row>
    <row r="129">
      <c r="A129" s="115" t="s">
        <v>27</v>
      </c>
      <c r="B129" s="115" t="s">
        <v>50</v>
      </c>
      <c r="C129" s="115">
        <v>230642.0</v>
      </c>
      <c r="D129" s="116">
        <v>45884.0</v>
      </c>
      <c r="E129" s="12" t="s">
        <v>63</v>
      </c>
      <c r="F129" s="115" t="str">
        <f t="shared" si="1"/>
        <v>Vineeth V2025-08-1514</v>
      </c>
    </row>
    <row r="130">
      <c r="C130" s="115">
        <v>9174.0</v>
      </c>
      <c r="D130" s="116">
        <v>45884.0</v>
      </c>
      <c r="E130" s="12" t="s">
        <v>63</v>
      </c>
      <c r="F130" s="115" t="str">
        <f t="shared" si="1"/>
        <v>2025-08-1514</v>
      </c>
    </row>
    <row r="131">
      <c r="A131" s="115" t="s">
        <v>15</v>
      </c>
      <c r="B131" s="115" t="s">
        <v>49</v>
      </c>
      <c r="C131" s="115">
        <v>160329.0</v>
      </c>
      <c r="D131" s="116">
        <v>45884.0</v>
      </c>
      <c r="E131" s="12" t="s">
        <v>64</v>
      </c>
      <c r="F131" s="115" t="str">
        <f t="shared" si="1"/>
        <v>Amit Kumar Pathak2025-08-1515</v>
      </c>
    </row>
    <row r="132">
      <c r="A132" s="115" t="s">
        <v>15</v>
      </c>
      <c r="B132" s="115" t="s">
        <v>19</v>
      </c>
      <c r="C132" s="115">
        <v>11.0</v>
      </c>
      <c r="D132" s="116">
        <v>45884.0</v>
      </c>
      <c r="E132" s="12" t="s">
        <v>64</v>
      </c>
      <c r="F132" s="115" t="str">
        <f t="shared" si="1"/>
        <v>Amit Kumar Pathak2025-08-1515</v>
      </c>
    </row>
    <row r="133">
      <c r="A133" s="115" t="s">
        <v>29</v>
      </c>
      <c r="B133" s="115" t="s">
        <v>51</v>
      </c>
      <c r="C133" s="115">
        <v>302417.0</v>
      </c>
      <c r="D133" s="116">
        <v>45884.0</v>
      </c>
      <c r="E133" s="12" t="s">
        <v>64</v>
      </c>
      <c r="F133" s="115" t="str">
        <f t="shared" si="1"/>
        <v>Ashish Jakar2025-08-1515</v>
      </c>
    </row>
    <row r="134">
      <c r="A134" s="115" t="s">
        <v>20</v>
      </c>
      <c r="B134" s="115" t="s">
        <v>47</v>
      </c>
      <c r="C134" s="115">
        <v>523038.0</v>
      </c>
      <c r="D134" s="116">
        <v>45884.0</v>
      </c>
      <c r="E134" s="12" t="s">
        <v>64</v>
      </c>
      <c r="F134" s="115" t="str">
        <f t="shared" si="1"/>
        <v>Ashish Ranjan2025-08-1515</v>
      </c>
    </row>
    <row r="135">
      <c r="A135" s="115" t="s">
        <v>30</v>
      </c>
      <c r="B135" s="115" t="s">
        <v>51</v>
      </c>
      <c r="C135" s="115">
        <v>246868.0</v>
      </c>
      <c r="D135" s="116">
        <v>45884.0</v>
      </c>
      <c r="E135" s="12" t="s">
        <v>64</v>
      </c>
      <c r="F135" s="115" t="str">
        <f t="shared" si="1"/>
        <v>Ashvani Bhatt2025-08-1515</v>
      </c>
    </row>
    <row r="136">
      <c r="A136" s="115" t="s">
        <v>21</v>
      </c>
      <c r="B136" s="115" t="s">
        <v>47</v>
      </c>
      <c r="C136" s="115">
        <v>378139.0</v>
      </c>
      <c r="D136" s="116">
        <v>45884.0</v>
      </c>
      <c r="E136" s="12" t="s">
        <v>64</v>
      </c>
      <c r="F136" s="115" t="str">
        <f t="shared" si="1"/>
        <v>Girish Chand2025-08-1515</v>
      </c>
    </row>
    <row r="137">
      <c r="A137" s="115" t="s">
        <v>24</v>
      </c>
      <c r="B137" s="115" t="s">
        <v>50</v>
      </c>
      <c r="C137" s="115">
        <v>288545.0</v>
      </c>
      <c r="D137" s="116">
        <v>45884.0</v>
      </c>
      <c r="E137" s="12" t="s">
        <v>64</v>
      </c>
      <c r="F137" s="115" t="str">
        <f t="shared" si="1"/>
        <v>Kandula Sampath2025-08-1515</v>
      </c>
    </row>
    <row r="138">
      <c r="A138" s="115" t="s">
        <v>17</v>
      </c>
      <c r="B138" s="115" t="s">
        <v>49</v>
      </c>
      <c r="C138" s="115">
        <v>157295.0</v>
      </c>
      <c r="D138" s="116">
        <v>45884.0</v>
      </c>
      <c r="E138" s="12" t="s">
        <v>64</v>
      </c>
      <c r="F138" s="115" t="str">
        <f t="shared" si="1"/>
        <v>Loveleen Singh2025-08-1515</v>
      </c>
    </row>
    <row r="139">
      <c r="A139" s="115" t="s">
        <v>16</v>
      </c>
      <c r="B139" s="115" t="s">
        <v>49</v>
      </c>
      <c r="C139" s="115">
        <v>398112.0</v>
      </c>
      <c r="D139" s="116">
        <v>45884.0</v>
      </c>
      <c r="E139" s="12" t="s">
        <v>64</v>
      </c>
      <c r="F139" s="115" t="str">
        <f t="shared" si="1"/>
        <v>Manoj Harsh2025-08-1515</v>
      </c>
    </row>
    <row r="140">
      <c r="A140" s="115" t="s">
        <v>25</v>
      </c>
      <c r="B140" s="115" t="s">
        <v>50</v>
      </c>
      <c r="C140" s="115">
        <v>253876.0</v>
      </c>
      <c r="D140" s="116">
        <v>45884.0</v>
      </c>
      <c r="E140" s="12" t="s">
        <v>64</v>
      </c>
      <c r="F140" s="115" t="str">
        <f t="shared" si="1"/>
        <v>Martin A2025-08-1515</v>
      </c>
    </row>
    <row r="141">
      <c r="A141" s="115" t="s">
        <v>22</v>
      </c>
      <c r="B141" s="115" t="s">
        <v>47</v>
      </c>
      <c r="C141" s="115">
        <v>231148.0</v>
      </c>
      <c r="D141" s="116">
        <v>45884.0</v>
      </c>
      <c r="E141" s="12" t="s">
        <v>64</v>
      </c>
      <c r="F141" s="115" t="str">
        <f t="shared" si="1"/>
        <v>Parag Kashyap2025-08-1515</v>
      </c>
    </row>
    <row r="142">
      <c r="A142" s="115" t="s">
        <v>18</v>
      </c>
      <c r="B142" s="115" t="s">
        <v>49</v>
      </c>
      <c r="C142" s="115">
        <v>135693.0</v>
      </c>
      <c r="D142" s="116">
        <v>45884.0</v>
      </c>
      <c r="E142" s="12" t="s">
        <v>64</v>
      </c>
      <c r="F142" s="115" t="str">
        <f t="shared" si="1"/>
        <v>Pradeep Kothari2025-08-1515</v>
      </c>
    </row>
    <row r="143">
      <c r="A143" s="115" t="s">
        <v>26</v>
      </c>
      <c r="B143" s="115" t="s">
        <v>50</v>
      </c>
      <c r="C143" s="115">
        <v>265967.0</v>
      </c>
      <c r="D143" s="116">
        <v>45884.0</v>
      </c>
      <c r="E143" s="12" t="s">
        <v>64</v>
      </c>
      <c r="F143" s="115" t="str">
        <f t="shared" si="1"/>
        <v>Premkumar M2025-08-1515</v>
      </c>
    </row>
    <row r="144">
      <c r="A144" s="115" t="s">
        <v>27</v>
      </c>
      <c r="B144" s="115" t="s">
        <v>50</v>
      </c>
      <c r="C144" s="115">
        <v>230642.0</v>
      </c>
      <c r="D144" s="116">
        <v>45884.0</v>
      </c>
      <c r="E144" s="12" t="s">
        <v>64</v>
      </c>
      <c r="F144" s="115" t="str">
        <f t="shared" si="1"/>
        <v>Vineeth V2025-08-1515</v>
      </c>
    </row>
    <row r="145">
      <c r="C145" s="115">
        <v>9174.0</v>
      </c>
      <c r="D145" s="116">
        <v>45884.0</v>
      </c>
      <c r="E145" s="12" t="s">
        <v>64</v>
      </c>
      <c r="F145" s="115" t="str">
        <f t="shared" si="1"/>
        <v>2025-08-1515</v>
      </c>
    </row>
    <row r="146">
      <c r="A146" s="115" t="s">
        <v>15</v>
      </c>
      <c r="B146" s="115" t="s">
        <v>49</v>
      </c>
      <c r="C146" s="115">
        <v>160329.0</v>
      </c>
      <c r="D146" s="116">
        <v>45884.0</v>
      </c>
      <c r="E146" s="12" t="s">
        <v>65</v>
      </c>
      <c r="F146" s="115" t="str">
        <f t="shared" si="1"/>
        <v>Amit Kumar Pathak2025-08-1516</v>
      </c>
    </row>
    <row r="147">
      <c r="A147" s="115" t="s">
        <v>15</v>
      </c>
      <c r="B147" s="115" t="s">
        <v>19</v>
      </c>
      <c r="C147" s="115">
        <v>11.0</v>
      </c>
      <c r="D147" s="116">
        <v>45884.0</v>
      </c>
      <c r="E147" s="12" t="s">
        <v>65</v>
      </c>
      <c r="F147" s="115" t="str">
        <f t="shared" si="1"/>
        <v>Amit Kumar Pathak2025-08-1516</v>
      </c>
    </row>
    <row r="148">
      <c r="A148" s="115" t="s">
        <v>29</v>
      </c>
      <c r="B148" s="115" t="s">
        <v>51</v>
      </c>
      <c r="C148" s="115">
        <v>302417.0</v>
      </c>
      <c r="D148" s="116">
        <v>45884.0</v>
      </c>
      <c r="E148" s="12" t="s">
        <v>65</v>
      </c>
      <c r="F148" s="115" t="str">
        <f t="shared" si="1"/>
        <v>Ashish Jakar2025-08-1516</v>
      </c>
    </row>
    <row r="149">
      <c r="A149" s="115" t="s">
        <v>20</v>
      </c>
      <c r="B149" s="115" t="s">
        <v>47</v>
      </c>
      <c r="C149" s="115">
        <v>523038.0</v>
      </c>
      <c r="D149" s="116">
        <v>45884.0</v>
      </c>
      <c r="E149" s="12" t="s">
        <v>65</v>
      </c>
      <c r="F149" s="115" t="str">
        <f t="shared" si="1"/>
        <v>Ashish Ranjan2025-08-1516</v>
      </c>
    </row>
    <row r="150">
      <c r="A150" s="115" t="s">
        <v>30</v>
      </c>
      <c r="B150" s="115" t="s">
        <v>51</v>
      </c>
      <c r="C150" s="115">
        <v>246868.0</v>
      </c>
      <c r="D150" s="116">
        <v>45884.0</v>
      </c>
      <c r="E150" s="12" t="s">
        <v>65</v>
      </c>
      <c r="F150" s="115" t="str">
        <f t="shared" si="1"/>
        <v>Ashvani Bhatt2025-08-1516</v>
      </c>
    </row>
    <row r="151">
      <c r="A151" s="115" t="s">
        <v>21</v>
      </c>
      <c r="B151" s="115" t="s">
        <v>47</v>
      </c>
      <c r="C151" s="115">
        <v>378139.0</v>
      </c>
      <c r="D151" s="116">
        <v>45884.0</v>
      </c>
      <c r="E151" s="12" t="s">
        <v>65</v>
      </c>
      <c r="F151" s="115" t="str">
        <f t="shared" si="1"/>
        <v>Girish Chand2025-08-1516</v>
      </c>
    </row>
    <row r="152">
      <c r="A152" s="115" t="s">
        <v>24</v>
      </c>
      <c r="B152" s="115" t="s">
        <v>50</v>
      </c>
      <c r="C152" s="115">
        <v>288545.0</v>
      </c>
      <c r="D152" s="116">
        <v>45884.0</v>
      </c>
      <c r="E152" s="12" t="s">
        <v>65</v>
      </c>
      <c r="F152" s="115" t="str">
        <f t="shared" si="1"/>
        <v>Kandula Sampath2025-08-1516</v>
      </c>
    </row>
    <row r="153">
      <c r="A153" s="115" t="s">
        <v>17</v>
      </c>
      <c r="B153" s="115" t="s">
        <v>49</v>
      </c>
      <c r="C153" s="115">
        <v>157295.0</v>
      </c>
      <c r="D153" s="116">
        <v>45884.0</v>
      </c>
      <c r="E153" s="12" t="s">
        <v>65</v>
      </c>
      <c r="F153" s="115" t="str">
        <f t="shared" si="1"/>
        <v>Loveleen Singh2025-08-1516</v>
      </c>
    </row>
    <row r="154">
      <c r="A154" s="115" t="s">
        <v>16</v>
      </c>
      <c r="B154" s="115" t="s">
        <v>49</v>
      </c>
      <c r="C154" s="115">
        <v>398112.0</v>
      </c>
      <c r="D154" s="116">
        <v>45884.0</v>
      </c>
      <c r="E154" s="12" t="s">
        <v>65</v>
      </c>
      <c r="F154" s="115" t="str">
        <f t="shared" si="1"/>
        <v>Manoj Harsh2025-08-1516</v>
      </c>
    </row>
    <row r="155">
      <c r="A155" s="115" t="s">
        <v>25</v>
      </c>
      <c r="B155" s="115" t="s">
        <v>50</v>
      </c>
      <c r="C155" s="115">
        <v>253876.0</v>
      </c>
      <c r="D155" s="116">
        <v>45884.0</v>
      </c>
      <c r="E155" s="12" t="s">
        <v>65</v>
      </c>
      <c r="F155" s="115" t="str">
        <f t="shared" si="1"/>
        <v>Martin A2025-08-1516</v>
      </c>
    </row>
    <row r="156">
      <c r="A156" s="115" t="s">
        <v>22</v>
      </c>
      <c r="B156" s="115" t="s">
        <v>47</v>
      </c>
      <c r="C156" s="115">
        <v>231148.0</v>
      </c>
      <c r="D156" s="116">
        <v>45884.0</v>
      </c>
      <c r="E156" s="12" t="s">
        <v>65</v>
      </c>
      <c r="F156" s="115" t="str">
        <f t="shared" si="1"/>
        <v>Parag Kashyap2025-08-1516</v>
      </c>
    </row>
    <row r="157">
      <c r="A157" s="115" t="s">
        <v>18</v>
      </c>
      <c r="B157" s="115" t="s">
        <v>49</v>
      </c>
      <c r="C157" s="115">
        <v>135693.0</v>
      </c>
      <c r="D157" s="116">
        <v>45884.0</v>
      </c>
      <c r="E157" s="12" t="s">
        <v>65</v>
      </c>
      <c r="F157" s="115" t="str">
        <f t="shared" si="1"/>
        <v>Pradeep Kothari2025-08-1516</v>
      </c>
    </row>
    <row r="158">
      <c r="A158" s="115" t="s">
        <v>26</v>
      </c>
      <c r="B158" s="115" t="s">
        <v>50</v>
      </c>
      <c r="C158" s="115">
        <v>265967.0</v>
      </c>
      <c r="D158" s="116">
        <v>45884.0</v>
      </c>
      <c r="E158" s="12" t="s">
        <v>65</v>
      </c>
      <c r="F158" s="115" t="str">
        <f t="shared" si="1"/>
        <v>Premkumar M2025-08-1516</v>
      </c>
    </row>
    <row r="159">
      <c r="A159" s="115" t="s">
        <v>27</v>
      </c>
      <c r="B159" s="115" t="s">
        <v>50</v>
      </c>
      <c r="C159" s="115">
        <v>230642.0</v>
      </c>
      <c r="D159" s="116">
        <v>45884.0</v>
      </c>
      <c r="E159" s="12" t="s">
        <v>65</v>
      </c>
      <c r="F159" s="115" t="str">
        <f t="shared" si="1"/>
        <v>Vineeth V2025-08-1516</v>
      </c>
    </row>
    <row r="160">
      <c r="C160" s="115">
        <v>9174.0</v>
      </c>
      <c r="D160" s="116">
        <v>45884.0</v>
      </c>
      <c r="E160" s="12" t="s">
        <v>65</v>
      </c>
      <c r="F160" s="115" t="str">
        <f t="shared" si="1"/>
        <v>2025-08-1516</v>
      </c>
    </row>
    <row r="161">
      <c r="A161" s="115" t="s">
        <v>15</v>
      </c>
      <c r="B161" s="115" t="s">
        <v>49</v>
      </c>
      <c r="C161" s="115">
        <v>160329.0</v>
      </c>
      <c r="D161" s="116">
        <v>45884.0</v>
      </c>
      <c r="E161" s="12" t="s">
        <v>3</v>
      </c>
      <c r="F161" s="115" t="str">
        <f t="shared" si="1"/>
        <v>Amit Kumar Pathak2025-08-1517</v>
      </c>
    </row>
    <row r="162">
      <c r="A162" s="115" t="s">
        <v>15</v>
      </c>
      <c r="B162" s="115" t="s">
        <v>19</v>
      </c>
      <c r="C162" s="115">
        <v>11.0</v>
      </c>
      <c r="D162" s="116">
        <v>45884.0</v>
      </c>
      <c r="E162" s="12" t="s">
        <v>3</v>
      </c>
      <c r="F162" s="115" t="str">
        <f t="shared" si="1"/>
        <v>Amit Kumar Pathak2025-08-1517</v>
      </c>
    </row>
    <row r="163">
      <c r="A163" s="115" t="s">
        <v>29</v>
      </c>
      <c r="B163" s="115" t="s">
        <v>51</v>
      </c>
      <c r="C163" s="115">
        <v>302417.0</v>
      </c>
      <c r="D163" s="116">
        <v>45884.0</v>
      </c>
      <c r="E163" s="12" t="s">
        <v>3</v>
      </c>
      <c r="F163" s="115" t="str">
        <f t="shared" si="1"/>
        <v>Ashish Jakar2025-08-1517</v>
      </c>
    </row>
    <row r="164">
      <c r="A164" s="115" t="s">
        <v>20</v>
      </c>
      <c r="B164" s="115" t="s">
        <v>47</v>
      </c>
      <c r="C164" s="115">
        <v>523038.0</v>
      </c>
      <c r="D164" s="116">
        <v>45884.0</v>
      </c>
      <c r="E164" s="12" t="s">
        <v>3</v>
      </c>
      <c r="F164" s="115" t="str">
        <f t="shared" si="1"/>
        <v>Ashish Ranjan2025-08-1517</v>
      </c>
    </row>
    <row r="165">
      <c r="A165" s="115" t="s">
        <v>30</v>
      </c>
      <c r="B165" s="115" t="s">
        <v>51</v>
      </c>
      <c r="C165" s="115">
        <v>246868.0</v>
      </c>
      <c r="D165" s="116">
        <v>45884.0</v>
      </c>
      <c r="E165" s="12" t="s">
        <v>3</v>
      </c>
      <c r="F165" s="115" t="str">
        <f t="shared" si="1"/>
        <v>Ashvani Bhatt2025-08-1517</v>
      </c>
    </row>
    <row r="166">
      <c r="A166" s="115" t="s">
        <v>21</v>
      </c>
      <c r="B166" s="115" t="s">
        <v>47</v>
      </c>
      <c r="C166" s="115">
        <v>378139.0</v>
      </c>
      <c r="D166" s="116">
        <v>45884.0</v>
      </c>
      <c r="E166" s="12" t="s">
        <v>3</v>
      </c>
      <c r="F166" s="115" t="str">
        <f t="shared" si="1"/>
        <v>Girish Chand2025-08-1517</v>
      </c>
    </row>
    <row r="167">
      <c r="A167" s="115" t="s">
        <v>24</v>
      </c>
      <c r="B167" s="115" t="s">
        <v>50</v>
      </c>
      <c r="C167" s="115">
        <v>288545.0</v>
      </c>
      <c r="D167" s="116">
        <v>45884.0</v>
      </c>
      <c r="E167" s="12" t="s">
        <v>3</v>
      </c>
      <c r="F167" s="115" t="str">
        <f t="shared" si="1"/>
        <v>Kandula Sampath2025-08-1517</v>
      </c>
    </row>
    <row r="168">
      <c r="A168" s="115" t="s">
        <v>17</v>
      </c>
      <c r="B168" s="115" t="s">
        <v>49</v>
      </c>
      <c r="C168" s="115">
        <v>157295.0</v>
      </c>
      <c r="D168" s="116">
        <v>45884.0</v>
      </c>
      <c r="E168" s="12" t="s">
        <v>3</v>
      </c>
      <c r="F168" s="115" t="str">
        <f t="shared" si="1"/>
        <v>Loveleen Singh2025-08-1517</v>
      </c>
    </row>
    <row r="169">
      <c r="A169" s="115" t="s">
        <v>16</v>
      </c>
      <c r="B169" s="115" t="s">
        <v>49</v>
      </c>
      <c r="C169" s="115">
        <v>398112.0</v>
      </c>
      <c r="D169" s="116">
        <v>45884.0</v>
      </c>
      <c r="E169" s="12" t="s">
        <v>3</v>
      </c>
      <c r="F169" s="115" t="str">
        <f t="shared" si="1"/>
        <v>Manoj Harsh2025-08-1517</v>
      </c>
    </row>
    <row r="170">
      <c r="A170" s="115" t="s">
        <v>25</v>
      </c>
      <c r="B170" s="115" t="s">
        <v>50</v>
      </c>
      <c r="C170" s="115">
        <v>253876.0</v>
      </c>
      <c r="D170" s="116">
        <v>45884.0</v>
      </c>
      <c r="E170" s="12" t="s">
        <v>3</v>
      </c>
      <c r="F170" s="115" t="str">
        <f t="shared" si="1"/>
        <v>Martin A2025-08-1517</v>
      </c>
    </row>
    <row r="171">
      <c r="A171" s="115" t="s">
        <v>22</v>
      </c>
      <c r="B171" s="115" t="s">
        <v>47</v>
      </c>
      <c r="C171" s="115">
        <v>231148.0</v>
      </c>
      <c r="D171" s="116">
        <v>45884.0</v>
      </c>
      <c r="E171" s="12" t="s">
        <v>3</v>
      </c>
      <c r="F171" s="115" t="str">
        <f t="shared" si="1"/>
        <v>Parag Kashyap2025-08-1517</v>
      </c>
    </row>
    <row r="172">
      <c r="A172" s="115" t="s">
        <v>18</v>
      </c>
      <c r="B172" s="115" t="s">
        <v>49</v>
      </c>
      <c r="C172" s="115">
        <v>135693.0</v>
      </c>
      <c r="D172" s="116">
        <v>45884.0</v>
      </c>
      <c r="E172" s="12" t="s">
        <v>3</v>
      </c>
      <c r="F172" s="115" t="str">
        <f t="shared" si="1"/>
        <v>Pradeep Kothari2025-08-1517</v>
      </c>
    </row>
    <row r="173">
      <c r="A173" s="115" t="s">
        <v>26</v>
      </c>
      <c r="B173" s="115" t="s">
        <v>50</v>
      </c>
      <c r="C173" s="115">
        <v>265967.0</v>
      </c>
      <c r="D173" s="116">
        <v>45884.0</v>
      </c>
      <c r="E173" s="12" t="s">
        <v>3</v>
      </c>
      <c r="F173" s="115" t="str">
        <f t="shared" si="1"/>
        <v>Premkumar M2025-08-1517</v>
      </c>
    </row>
    <row r="174">
      <c r="A174" s="115" t="s">
        <v>27</v>
      </c>
      <c r="B174" s="115" t="s">
        <v>50</v>
      </c>
      <c r="C174" s="115">
        <v>230642.0</v>
      </c>
      <c r="D174" s="116">
        <v>45884.0</v>
      </c>
      <c r="E174" s="12" t="s">
        <v>3</v>
      </c>
      <c r="F174" s="115" t="str">
        <f t="shared" si="1"/>
        <v>Vineeth V2025-08-1517</v>
      </c>
    </row>
    <row r="175">
      <c r="C175" s="115">
        <v>9174.0</v>
      </c>
      <c r="D175" s="116">
        <v>45884.0</v>
      </c>
      <c r="E175" s="12" t="s">
        <v>3</v>
      </c>
      <c r="F175" s="115" t="str">
        <f t="shared" si="1"/>
        <v>2025-08-1517</v>
      </c>
    </row>
    <row r="176">
      <c r="A176" s="115" t="s">
        <v>15</v>
      </c>
      <c r="B176" s="115" t="s">
        <v>49</v>
      </c>
      <c r="C176" s="115">
        <v>156185.0</v>
      </c>
      <c r="D176" s="116">
        <v>45885.0</v>
      </c>
      <c r="E176" s="12" t="s">
        <v>53</v>
      </c>
      <c r="F176" s="115" t="str">
        <f t="shared" si="1"/>
        <v>Amit Kumar Pathak2025-08-1618</v>
      </c>
    </row>
    <row r="177">
      <c r="A177" s="115" t="s">
        <v>29</v>
      </c>
      <c r="B177" s="115" t="s">
        <v>51</v>
      </c>
      <c r="C177" s="115">
        <v>316218.0</v>
      </c>
      <c r="D177" s="116">
        <v>45885.0</v>
      </c>
      <c r="E177" s="12" t="s">
        <v>53</v>
      </c>
      <c r="F177" s="115" t="str">
        <f t="shared" si="1"/>
        <v>Ashish Jakar2025-08-1618</v>
      </c>
    </row>
    <row r="178">
      <c r="A178" s="115" t="s">
        <v>20</v>
      </c>
      <c r="B178" s="115" t="s">
        <v>47</v>
      </c>
      <c r="C178" s="115">
        <v>588249.0</v>
      </c>
      <c r="D178" s="116">
        <v>45885.0</v>
      </c>
      <c r="E178" s="12" t="s">
        <v>53</v>
      </c>
      <c r="F178" s="115" t="str">
        <f t="shared" si="1"/>
        <v>Ashish Ranjan2025-08-1618</v>
      </c>
    </row>
    <row r="179">
      <c r="A179" s="115" t="s">
        <v>30</v>
      </c>
      <c r="B179" s="115" t="s">
        <v>51</v>
      </c>
      <c r="C179" s="115">
        <v>263156.0</v>
      </c>
      <c r="D179" s="116">
        <v>45885.0</v>
      </c>
      <c r="E179" s="12" t="s">
        <v>53</v>
      </c>
      <c r="F179" s="115" t="str">
        <f t="shared" si="1"/>
        <v>Ashvani Bhatt2025-08-1618</v>
      </c>
    </row>
    <row r="180">
      <c r="A180" s="115" t="s">
        <v>21</v>
      </c>
      <c r="B180" s="115" t="s">
        <v>47</v>
      </c>
      <c r="C180" s="115">
        <v>475441.0</v>
      </c>
      <c r="D180" s="116">
        <v>45885.0</v>
      </c>
      <c r="E180" s="12" t="s">
        <v>53</v>
      </c>
      <c r="F180" s="115" t="str">
        <f t="shared" si="1"/>
        <v>Girish Chand2025-08-1618</v>
      </c>
    </row>
    <row r="181">
      <c r="A181" s="115" t="s">
        <v>24</v>
      </c>
      <c r="B181" s="115" t="s">
        <v>50</v>
      </c>
      <c r="C181" s="115">
        <v>313794.0</v>
      </c>
      <c r="D181" s="116">
        <v>45885.0</v>
      </c>
      <c r="E181" s="12" t="s">
        <v>53</v>
      </c>
      <c r="F181" s="115" t="str">
        <f t="shared" si="1"/>
        <v>Kandula Sampath2025-08-1618</v>
      </c>
    </row>
    <row r="182">
      <c r="A182" s="115" t="s">
        <v>17</v>
      </c>
      <c r="B182" s="115" t="s">
        <v>49</v>
      </c>
      <c r="C182" s="115">
        <v>207112.0</v>
      </c>
      <c r="D182" s="116">
        <v>45885.0</v>
      </c>
      <c r="E182" s="12" t="s">
        <v>53</v>
      </c>
      <c r="F182" s="115" t="str">
        <f t="shared" si="1"/>
        <v>Loveleen Singh2025-08-1618</v>
      </c>
    </row>
    <row r="183">
      <c r="A183" s="115" t="s">
        <v>16</v>
      </c>
      <c r="B183" s="115" t="s">
        <v>49</v>
      </c>
      <c r="C183" s="115">
        <v>429163.0</v>
      </c>
      <c r="D183" s="116">
        <v>45885.0</v>
      </c>
      <c r="E183" s="12" t="s">
        <v>53</v>
      </c>
      <c r="F183" s="115" t="str">
        <f t="shared" si="1"/>
        <v>Manoj Harsh2025-08-1618</v>
      </c>
    </row>
    <row r="184">
      <c r="A184" s="115" t="s">
        <v>25</v>
      </c>
      <c r="B184" s="115" t="s">
        <v>50</v>
      </c>
      <c r="C184" s="115">
        <v>290620.0</v>
      </c>
      <c r="D184" s="116">
        <v>45885.0</v>
      </c>
      <c r="E184" s="12" t="s">
        <v>53</v>
      </c>
      <c r="F184" s="115" t="str">
        <f t="shared" si="1"/>
        <v>Martin A2025-08-1618</v>
      </c>
    </row>
    <row r="185">
      <c r="A185" s="115" t="s">
        <v>22</v>
      </c>
      <c r="B185" s="115" t="s">
        <v>47</v>
      </c>
      <c r="C185" s="115">
        <v>345078.0</v>
      </c>
      <c r="D185" s="116">
        <v>45885.0</v>
      </c>
      <c r="E185" s="12" t="s">
        <v>53</v>
      </c>
      <c r="F185" s="115" t="str">
        <f t="shared" si="1"/>
        <v>Parag Kashyap2025-08-1618</v>
      </c>
    </row>
    <row r="186">
      <c r="A186" s="115" t="s">
        <v>18</v>
      </c>
      <c r="B186" s="115" t="s">
        <v>49</v>
      </c>
      <c r="C186" s="115">
        <v>145468.0</v>
      </c>
      <c r="D186" s="116">
        <v>45885.0</v>
      </c>
      <c r="E186" s="12" t="s">
        <v>53</v>
      </c>
      <c r="F186" s="115" t="str">
        <f t="shared" si="1"/>
        <v>Pradeep Kothari2025-08-1618</v>
      </c>
    </row>
    <row r="187">
      <c r="A187" s="115" t="s">
        <v>26</v>
      </c>
      <c r="B187" s="115" t="s">
        <v>50</v>
      </c>
      <c r="C187" s="115">
        <v>295225.0</v>
      </c>
      <c r="D187" s="116">
        <v>45885.0</v>
      </c>
      <c r="E187" s="12" t="s">
        <v>53</v>
      </c>
      <c r="F187" s="115" t="str">
        <f t="shared" si="1"/>
        <v>Premkumar M2025-08-1618</v>
      </c>
    </row>
    <row r="188">
      <c r="A188" s="115" t="s">
        <v>27</v>
      </c>
      <c r="B188" s="115" t="s">
        <v>50</v>
      </c>
      <c r="C188" s="115">
        <v>244404.0</v>
      </c>
      <c r="D188" s="116">
        <v>45885.0</v>
      </c>
      <c r="E188" s="12" t="s">
        <v>53</v>
      </c>
      <c r="F188" s="115" t="str">
        <f t="shared" si="1"/>
        <v>Vineeth V2025-08-1618</v>
      </c>
    </row>
    <row r="189">
      <c r="C189" s="115">
        <v>15561.0</v>
      </c>
      <c r="D189" s="116">
        <v>45885.0</v>
      </c>
      <c r="E189" s="12" t="s">
        <v>53</v>
      </c>
      <c r="F189" s="115" t="str">
        <f t="shared" si="1"/>
        <v>2025-08-1618</v>
      </c>
    </row>
    <row r="190">
      <c r="A190" s="115" t="s">
        <v>15</v>
      </c>
      <c r="B190" s="115" t="s">
        <v>49</v>
      </c>
      <c r="C190" s="115">
        <v>105579.0</v>
      </c>
      <c r="D190" s="116">
        <v>45886.0</v>
      </c>
      <c r="E190" s="12" t="s">
        <v>60</v>
      </c>
      <c r="F190" s="115" t="str">
        <f t="shared" si="1"/>
        <v>Amit Kumar Pathak2025-08-1710</v>
      </c>
    </row>
    <row r="191">
      <c r="A191" s="115" t="s">
        <v>29</v>
      </c>
      <c r="B191" s="115" t="s">
        <v>51</v>
      </c>
      <c r="C191" s="115">
        <v>251312.0</v>
      </c>
      <c r="D191" s="116">
        <v>45886.0</v>
      </c>
      <c r="E191" s="12" t="s">
        <v>60</v>
      </c>
      <c r="F191" s="115" t="str">
        <f t="shared" si="1"/>
        <v>Ashish Jakar2025-08-1710</v>
      </c>
    </row>
    <row r="192">
      <c r="A192" s="115" t="s">
        <v>20</v>
      </c>
      <c r="B192" s="115" t="s">
        <v>47</v>
      </c>
      <c r="C192" s="115">
        <v>493321.0</v>
      </c>
      <c r="D192" s="116">
        <v>45886.0</v>
      </c>
      <c r="E192" s="12" t="s">
        <v>60</v>
      </c>
      <c r="F192" s="115" t="str">
        <f t="shared" si="1"/>
        <v>Ashish Ranjan2025-08-1710</v>
      </c>
    </row>
    <row r="193">
      <c r="A193" s="115" t="s">
        <v>30</v>
      </c>
      <c r="B193" s="115" t="s">
        <v>51</v>
      </c>
      <c r="C193" s="115">
        <v>189989.0</v>
      </c>
      <c r="D193" s="116">
        <v>45886.0</v>
      </c>
      <c r="E193" s="12" t="s">
        <v>60</v>
      </c>
      <c r="F193" s="115" t="str">
        <f t="shared" si="1"/>
        <v>Ashvani Bhatt2025-08-1710</v>
      </c>
    </row>
    <row r="194">
      <c r="A194" s="115" t="s">
        <v>21</v>
      </c>
      <c r="B194" s="115" t="s">
        <v>47</v>
      </c>
      <c r="C194" s="115">
        <v>343449.0</v>
      </c>
      <c r="D194" s="116">
        <v>45886.0</v>
      </c>
      <c r="E194" s="12" t="s">
        <v>60</v>
      </c>
      <c r="F194" s="115" t="str">
        <f t="shared" si="1"/>
        <v>Girish Chand2025-08-1710</v>
      </c>
    </row>
    <row r="195">
      <c r="A195" s="115" t="s">
        <v>24</v>
      </c>
      <c r="B195" s="115" t="s">
        <v>50</v>
      </c>
      <c r="C195" s="115">
        <v>266853.0</v>
      </c>
      <c r="D195" s="116">
        <v>45886.0</v>
      </c>
      <c r="E195" s="12" t="s">
        <v>60</v>
      </c>
      <c r="F195" s="115" t="str">
        <f t="shared" si="1"/>
        <v>Kandula Sampath2025-08-1710</v>
      </c>
    </row>
    <row r="196">
      <c r="A196" s="115" t="s">
        <v>17</v>
      </c>
      <c r="B196" s="115" t="s">
        <v>49</v>
      </c>
      <c r="C196" s="115">
        <v>103214.0</v>
      </c>
      <c r="D196" s="116">
        <v>45886.0</v>
      </c>
      <c r="E196" s="12" t="s">
        <v>60</v>
      </c>
      <c r="F196" s="115" t="str">
        <f t="shared" si="1"/>
        <v>Loveleen Singh2025-08-1710</v>
      </c>
    </row>
    <row r="197">
      <c r="A197" s="115" t="s">
        <v>16</v>
      </c>
      <c r="B197" s="115" t="s">
        <v>49</v>
      </c>
      <c r="C197" s="115">
        <v>308240.0</v>
      </c>
      <c r="D197" s="116">
        <v>45886.0</v>
      </c>
      <c r="E197" s="12" t="s">
        <v>60</v>
      </c>
      <c r="F197" s="115" t="str">
        <f t="shared" si="1"/>
        <v>Manoj Harsh2025-08-1710</v>
      </c>
    </row>
    <row r="198">
      <c r="A198" s="115" t="s">
        <v>25</v>
      </c>
      <c r="B198" s="115" t="s">
        <v>50</v>
      </c>
      <c r="C198" s="115">
        <v>231744.0</v>
      </c>
      <c r="D198" s="116">
        <v>45886.0</v>
      </c>
      <c r="E198" s="12" t="s">
        <v>60</v>
      </c>
      <c r="F198" s="115" t="str">
        <f t="shared" si="1"/>
        <v>Martin A2025-08-1710</v>
      </c>
    </row>
    <row r="199">
      <c r="A199" s="115" t="s">
        <v>22</v>
      </c>
      <c r="B199" s="115" t="s">
        <v>47</v>
      </c>
      <c r="C199" s="115">
        <v>185795.0</v>
      </c>
      <c r="D199" s="116">
        <v>45886.0</v>
      </c>
      <c r="E199" s="12" t="s">
        <v>60</v>
      </c>
      <c r="F199" s="115" t="str">
        <f t="shared" si="1"/>
        <v>Parag Kashyap2025-08-1710</v>
      </c>
    </row>
    <row r="200">
      <c r="A200" s="115" t="s">
        <v>18</v>
      </c>
      <c r="B200" s="115" t="s">
        <v>49</v>
      </c>
      <c r="C200" s="115">
        <v>84978.0</v>
      </c>
      <c r="D200" s="116">
        <v>45886.0</v>
      </c>
      <c r="E200" s="12" t="s">
        <v>60</v>
      </c>
      <c r="F200" s="115" t="str">
        <f t="shared" si="1"/>
        <v>Pradeep Kothari2025-08-1710</v>
      </c>
    </row>
    <row r="201">
      <c r="A201" s="115" t="s">
        <v>26</v>
      </c>
      <c r="B201" s="115" t="s">
        <v>50</v>
      </c>
      <c r="C201" s="115">
        <v>205025.0</v>
      </c>
      <c r="D201" s="116">
        <v>45886.0</v>
      </c>
      <c r="E201" s="12" t="s">
        <v>60</v>
      </c>
      <c r="F201" s="115" t="str">
        <f t="shared" si="1"/>
        <v>Premkumar M2025-08-1710</v>
      </c>
    </row>
    <row r="202">
      <c r="A202" s="115" t="s">
        <v>27</v>
      </c>
      <c r="B202" s="115" t="s">
        <v>50</v>
      </c>
      <c r="C202" s="115">
        <v>142428.0</v>
      </c>
      <c r="D202" s="116">
        <v>45886.0</v>
      </c>
      <c r="E202" s="12" t="s">
        <v>60</v>
      </c>
      <c r="F202" s="115" t="str">
        <f t="shared" si="1"/>
        <v>Vineeth V2025-08-1710</v>
      </c>
    </row>
    <row r="203">
      <c r="C203" s="115">
        <v>8435.0</v>
      </c>
      <c r="D203" s="116">
        <v>45886.0</v>
      </c>
      <c r="E203" s="12" t="s">
        <v>60</v>
      </c>
      <c r="F203" s="115" t="str">
        <f t="shared" si="1"/>
        <v>2025-08-1710</v>
      </c>
    </row>
    <row r="204">
      <c r="A204" s="115" t="s">
        <v>15</v>
      </c>
      <c r="B204" s="115" t="s">
        <v>49</v>
      </c>
      <c r="C204" s="115">
        <v>144022.0</v>
      </c>
      <c r="D204" s="116">
        <v>45886.0</v>
      </c>
      <c r="E204" s="12" t="s">
        <v>48</v>
      </c>
      <c r="F204" s="115" t="str">
        <f t="shared" si="1"/>
        <v>Amit Kumar Pathak2025-08-1713</v>
      </c>
    </row>
    <row r="205">
      <c r="A205" s="115" t="s">
        <v>29</v>
      </c>
      <c r="B205" s="115" t="s">
        <v>51</v>
      </c>
      <c r="C205" s="115">
        <v>335391.0</v>
      </c>
      <c r="D205" s="116">
        <v>45886.0</v>
      </c>
      <c r="E205" s="12" t="s">
        <v>48</v>
      </c>
      <c r="F205" s="115" t="str">
        <f t="shared" si="1"/>
        <v>Ashish Jakar2025-08-1713</v>
      </c>
    </row>
    <row r="206">
      <c r="A206" s="115" t="s">
        <v>20</v>
      </c>
      <c r="B206" s="115" t="s">
        <v>47</v>
      </c>
      <c r="C206" s="115">
        <v>566759.0</v>
      </c>
      <c r="D206" s="116">
        <v>45886.0</v>
      </c>
      <c r="E206" s="12" t="s">
        <v>48</v>
      </c>
      <c r="F206" s="115" t="str">
        <f t="shared" si="1"/>
        <v>Ashish Ranjan2025-08-1713</v>
      </c>
    </row>
    <row r="207">
      <c r="A207" s="115" t="s">
        <v>30</v>
      </c>
      <c r="B207" s="115" t="s">
        <v>51</v>
      </c>
      <c r="C207" s="115">
        <v>226365.0</v>
      </c>
      <c r="D207" s="116">
        <v>45886.0</v>
      </c>
      <c r="E207" s="12" t="s">
        <v>48</v>
      </c>
      <c r="F207" s="115" t="str">
        <f t="shared" si="1"/>
        <v>Ashvani Bhatt2025-08-1713</v>
      </c>
    </row>
    <row r="208">
      <c r="A208" s="115" t="s">
        <v>21</v>
      </c>
      <c r="B208" s="115" t="s">
        <v>47</v>
      </c>
      <c r="C208" s="115">
        <v>428948.0</v>
      </c>
      <c r="D208" s="116">
        <v>45886.0</v>
      </c>
      <c r="E208" s="12" t="s">
        <v>48</v>
      </c>
      <c r="F208" s="115" t="str">
        <f t="shared" si="1"/>
        <v>Girish Chand2025-08-1713</v>
      </c>
    </row>
    <row r="209">
      <c r="A209" s="115" t="s">
        <v>24</v>
      </c>
      <c r="B209" s="115" t="s">
        <v>50</v>
      </c>
      <c r="C209" s="115">
        <v>299092.0</v>
      </c>
      <c r="D209" s="116">
        <v>45886.0</v>
      </c>
      <c r="E209" s="12" t="s">
        <v>48</v>
      </c>
      <c r="F209" s="115" t="str">
        <f t="shared" si="1"/>
        <v>Kandula Sampath2025-08-1713</v>
      </c>
    </row>
    <row r="210">
      <c r="A210" s="115" t="s">
        <v>17</v>
      </c>
      <c r="B210" s="115" t="s">
        <v>49</v>
      </c>
      <c r="C210" s="115">
        <v>164379.0</v>
      </c>
      <c r="D210" s="116">
        <v>45886.0</v>
      </c>
      <c r="E210" s="12" t="s">
        <v>48</v>
      </c>
      <c r="F210" s="115" t="str">
        <f t="shared" si="1"/>
        <v>Loveleen Singh2025-08-1713</v>
      </c>
    </row>
    <row r="211">
      <c r="A211" s="115" t="s">
        <v>16</v>
      </c>
      <c r="B211" s="115" t="s">
        <v>49</v>
      </c>
      <c r="C211" s="115">
        <v>366506.0</v>
      </c>
      <c r="D211" s="116">
        <v>45886.0</v>
      </c>
      <c r="E211" s="12" t="s">
        <v>48</v>
      </c>
      <c r="F211" s="115" t="str">
        <f t="shared" si="1"/>
        <v>Manoj Harsh2025-08-1713</v>
      </c>
    </row>
    <row r="212">
      <c r="A212" s="115" t="s">
        <v>25</v>
      </c>
      <c r="B212" s="115" t="s">
        <v>50</v>
      </c>
      <c r="C212" s="115">
        <v>279411.0</v>
      </c>
      <c r="D212" s="116">
        <v>45886.0</v>
      </c>
      <c r="E212" s="12" t="s">
        <v>48</v>
      </c>
      <c r="F212" s="115" t="str">
        <f t="shared" si="1"/>
        <v>Martin A2025-08-1713</v>
      </c>
    </row>
    <row r="213">
      <c r="A213" s="115" t="s">
        <v>22</v>
      </c>
      <c r="B213" s="115" t="s">
        <v>47</v>
      </c>
      <c r="C213" s="115">
        <v>273320.0</v>
      </c>
      <c r="D213" s="116">
        <v>45886.0</v>
      </c>
      <c r="E213" s="12" t="s">
        <v>48</v>
      </c>
      <c r="F213" s="115" t="str">
        <f t="shared" si="1"/>
        <v>Parag Kashyap2025-08-1713</v>
      </c>
    </row>
    <row r="214">
      <c r="A214" s="115" t="s">
        <v>18</v>
      </c>
      <c r="B214" s="115" t="s">
        <v>49</v>
      </c>
      <c r="C214" s="115">
        <v>111577.0</v>
      </c>
      <c r="D214" s="116">
        <v>45886.0</v>
      </c>
      <c r="E214" s="12" t="s">
        <v>48</v>
      </c>
      <c r="F214" s="115" t="str">
        <f t="shared" si="1"/>
        <v>Pradeep Kothari2025-08-1713</v>
      </c>
    </row>
    <row r="215">
      <c r="A215" s="115" t="s">
        <v>26</v>
      </c>
      <c r="B215" s="115" t="s">
        <v>50</v>
      </c>
      <c r="C215" s="115">
        <v>268877.0</v>
      </c>
      <c r="D215" s="116">
        <v>45886.0</v>
      </c>
      <c r="E215" s="12" t="s">
        <v>48</v>
      </c>
      <c r="F215" s="115" t="str">
        <f t="shared" si="1"/>
        <v>Premkumar M2025-08-1713</v>
      </c>
    </row>
    <row r="216">
      <c r="A216" s="115" t="s">
        <v>27</v>
      </c>
      <c r="B216" s="115" t="s">
        <v>50</v>
      </c>
      <c r="C216" s="115">
        <v>239704.0</v>
      </c>
      <c r="D216" s="116">
        <v>45886.0</v>
      </c>
      <c r="E216" s="12" t="s">
        <v>48</v>
      </c>
      <c r="F216" s="115" t="str">
        <f t="shared" si="1"/>
        <v>Vineeth V2025-08-1713</v>
      </c>
    </row>
    <row r="217">
      <c r="C217" s="115">
        <v>13837.0</v>
      </c>
      <c r="D217" s="116">
        <v>45886.0</v>
      </c>
      <c r="E217" s="12" t="s">
        <v>48</v>
      </c>
      <c r="F217" s="115" t="str">
        <f t="shared" si="1"/>
        <v>2025-08-1713</v>
      </c>
    </row>
    <row r="218">
      <c r="A218" s="115" t="s">
        <v>15</v>
      </c>
      <c r="B218" s="115" t="s">
        <v>49</v>
      </c>
      <c r="C218" s="115">
        <v>150202.0</v>
      </c>
      <c r="D218" s="116">
        <v>45886.0</v>
      </c>
      <c r="E218" s="12" t="s">
        <v>53</v>
      </c>
      <c r="F218" s="115" t="str">
        <f t="shared" si="1"/>
        <v>Amit Kumar Pathak2025-08-1718</v>
      </c>
    </row>
    <row r="219">
      <c r="A219" s="115" t="s">
        <v>29</v>
      </c>
      <c r="B219" s="115" t="s">
        <v>51</v>
      </c>
      <c r="C219" s="115">
        <v>345497.0</v>
      </c>
      <c r="D219" s="116">
        <v>45886.0</v>
      </c>
      <c r="E219" s="12" t="s">
        <v>53</v>
      </c>
      <c r="F219" s="115" t="str">
        <f t="shared" si="1"/>
        <v>Ashish Jakar2025-08-1718</v>
      </c>
    </row>
    <row r="220">
      <c r="A220" s="115" t="s">
        <v>20</v>
      </c>
      <c r="B220" s="115" t="s">
        <v>47</v>
      </c>
      <c r="C220" s="115">
        <v>601889.0</v>
      </c>
      <c r="D220" s="116">
        <v>45886.0</v>
      </c>
      <c r="E220" s="12" t="s">
        <v>53</v>
      </c>
      <c r="F220" s="115" t="str">
        <f t="shared" si="1"/>
        <v>Ashish Ranjan2025-08-1718</v>
      </c>
    </row>
    <row r="221">
      <c r="A221" s="115" t="s">
        <v>30</v>
      </c>
      <c r="B221" s="115" t="s">
        <v>51</v>
      </c>
      <c r="C221" s="115">
        <v>241727.0</v>
      </c>
      <c r="D221" s="116">
        <v>45886.0</v>
      </c>
      <c r="E221" s="12" t="s">
        <v>53</v>
      </c>
      <c r="F221" s="115" t="str">
        <f t="shared" si="1"/>
        <v>Ashvani Bhatt2025-08-1718</v>
      </c>
    </row>
    <row r="222">
      <c r="A222" s="115" t="s">
        <v>21</v>
      </c>
      <c r="B222" s="115" t="s">
        <v>47</v>
      </c>
      <c r="C222" s="115">
        <v>478170.0</v>
      </c>
      <c r="D222" s="116">
        <v>45886.0</v>
      </c>
      <c r="E222" s="12" t="s">
        <v>53</v>
      </c>
      <c r="F222" s="115" t="str">
        <f t="shared" si="1"/>
        <v>Girish Chand2025-08-1718</v>
      </c>
    </row>
    <row r="223">
      <c r="A223" s="115" t="s">
        <v>24</v>
      </c>
      <c r="B223" s="115" t="s">
        <v>50</v>
      </c>
      <c r="C223" s="115">
        <v>314580.0</v>
      </c>
      <c r="D223" s="116">
        <v>45886.0</v>
      </c>
      <c r="E223" s="12" t="s">
        <v>53</v>
      </c>
      <c r="F223" s="115" t="str">
        <f t="shared" si="1"/>
        <v>Kandula Sampath2025-08-1718</v>
      </c>
    </row>
    <row r="224">
      <c r="A224" s="115" t="s">
        <v>17</v>
      </c>
      <c r="B224" s="115" t="s">
        <v>49</v>
      </c>
      <c r="C224" s="115">
        <v>199814.0</v>
      </c>
      <c r="D224" s="116">
        <v>45886.0</v>
      </c>
      <c r="E224" s="12" t="s">
        <v>53</v>
      </c>
      <c r="F224" s="115" t="str">
        <f t="shared" si="1"/>
        <v>Loveleen Singh2025-08-1718</v>
      </c>
    </row>
    <row r="225">
      <c r="A225" s="115" t="s">
        <v>16</v>
      </c>
      <c r="B225" s="115" t="s">
        <v>49</v>
      </c>
      <c r="C225" s="115">
        <v>370692.0</v>
      </c>
      <c r="D225" s="116">
        <v>45886.0</v>
      </c>
      <c r="E225" s="12" t="s">
        <v>53</v>
      </c>
      <c r="F225" s="115" t="str">
        <f t="shared" si="1"/>
        <v>Manoj Harsh2025-08-1718</v>
      </c>
    </row>
    <row r="226">
      <c r="A226" s="115" t="s">
        <v>25</v>
      </c>
      <c r="B226" s="115" t="s">
        <v>50</v>
      </c>
      <c r="C226" s="115">
        <v>312759.0</v>
      </c>
      <c r="D226" s="116">
        <v>45886.0</v>
      </c>
      <c r="E226" s="12" t="s">
        <v>53</v>
      </c>
      <c r="F226" s="115" t="str">
        <f t="shared" si="1"/>
        <v>Martin A2025-08-1718</v>
      </c>
    </row>
    <row r="227">
      <c r="A227" s="115" t="s">
        <v>22</v>
      </c>
      <c r="B227" s="115" t="s">
        <v>47</v>
      </c>
      <c r="C227" s="115">
        <v>322554.0</v>
      </c>
      <c r="D227" s="116">
        <v>45886.0</v>
      </c>
      <c r="E227" s="12" t="s">
        <v>53</v>
      </c>
      <c r="F227" s="115" t="str">
        <f t="shared" si="1"/>
        <v>Parag Kashyap2025-08-1718</v>
      </c>
    </row>
    <row r="228">
      <c r="A228" s="115" t="s">
        <v>18</v>
      </c>
      <c r="B228" s="115" t="s">
        <v>49</v>
      </c>
      <c r="C228" s="115">
        <v>119947.0</v>
      </c>
      <c r="D228" s="116">
        <v>45886.0</v>
      </c>
      <c r="E228" s="12" t="s">
        <v>53</v>
      </c>
      <c r="F228" s="115" t="str">
        <f t="shared" si="1"/>
        <v>Pradeep Kothari2025-08-1718</v>
      </c>
    </row>
    <row r="229">
      <c r="A229" s="115" t="s">
        <v>26</v>
      </c>
      <c r="B229" s="115" t="s">
        <v>50</v>
      </c>
      <c r="C229" s="115">
        <v>279438.0</v>
      </c>
      <c r="D229" s="116">
        <v>45886.0</v>
      </c>
      <c r="E229" s="12" t="s">
        <v>53</v>
      </c>
      <c r="F229" s="115" t="str">
        <f t="shared" si="1"/>
        <v>Premkumar M2025-08-1718</v>
      </c>
    </row>
    <row r="230">
      <c r="A230" s="115" t="s">
        <v>27</v>
      </c>
      <c r="B230" s="115" t="s">
        <v>50</v>
      </c>
      <c r="C230" s="115">
        <v>241602.0</v>
      </c>
      <c r="D230" s="116">
        <v>45886.0</v>
      </c>
      <c r="E230" s="12" t="s">
        <v>53</v>
      </c>
      <c r="F230" s="115" t="str">
        <f t="shared" si="1"/>
        <v>Vineeth V2025-08-1718</v>
      </c>
    </row>
    <row r="231">
      <c r="C231" s="115">
        <v>13820.0</v>
      </c>
      <c r="D231" s="116">
        <v>45886.0</v>
      </c>
      <c r="E231" s="12" t="s">
        <v>53</v>
      </c>
      <c r="F231" s="115" t="str">
        <f t="shared" si="1"/>
        <v>2025-08-1718</v>
      </c>
    </row>
    <row r="232">
      <c r="A232" s="115" t="s">
        <v>15</v>
      </c>
      <c r="B232" s="115" t="s">
        <v>49</v>
      </c>
      <c r="C232" s="115">
        <v>105658.0</v>
      </c>
      <c r="D232" s="116">
        <v>45887.0</v>
      </c>
      <c r="E232" s="12" t="s">
        <v>60</v>
      </c>
      <c r="F232" s="115" t="str">
        <f t="shared" si="1"/>
        <v>Amit Kumar Pathak2025-08-1810</v>
      </c>
    </row>
    <row r="233">
      <c r="A233" s="115" t="s">
        <v>29</v>
      </c>
      <c r="B233" s="115" t="s">
        <v>51</v>
      </c>
      <c r="C233" s="115">
        <v>219780.0</v>
      </c>
      <c r="D233" s="116">
        <v>45887.0</v>
      </c>
      <c r="E233" s="12" t="s">
        <v>60</v>
      </c>
      <c r="F233" s="115" t="str">
        <f t="shared" si="1"/>
        <v>Ashish Jakar2025-08-1810</v>
      </c>
    </row>
    <row r="234">
      <c r="A234" s="115" t="s">
        <v>20</v>
      </c>
      <c r="B234" s="115" t="s">
        <v>47</v>
      </c>
      <c r="C234" s="115">
        <v>508471.0</v>
      </c>
      <c r="D234" s="116">
        <v>45887.0</v>
      </c>
      <c r="E234" s="12" t="s">
        <v>60</v>
      </c>
      <c r="F234" s="115" t="str">
        <f t="shared" si="1"/>
        <v>Ashish Ranjan2025-08-1810</v>
      </c>
    </row>
    <row r="235">
      <c r="A235" s="115" t="s">
        <v>30</v>
      </c>
      <c r="B235" s="115" t="s">
        <v>51</v>
      </c>
      <c r="C235" s="115">
        <v>174366.0</v>
      </c>
      <c r="D235" s="116">
        <v>45887.0</v>
      </c>
      <c r="E235" s="12" t="s">
        <v>60</v>
      </c>
      <c r="F235" s="115" t="str">
        <f t="shared" si="1"/>
        <v>Ashvani Bhatt2025-08-1810</v>
      </c>
    </row>
    <row r="236">
      <c r="A236" s="115" t="s">
        <v>21</v>
      </c>
      <c r="B236" s="115" t="s">
        <v>47</v>
      </c>
      <c r="C236" s="115">
        <v>321194.0</v>
      </c>
      <c r="D236" s="116">
        <v>45887.0</v>
      </c>
      <c r="E236" s="12" t="s">
        <v>60</v>
      </c>
      <c r="F236" s="115" t="str">
        <f t="shared" si="1"/>
        <v>Girish Chand2025-08-1810</v>
      </c>
    </row>
    <row r="237">
      <c r="A237" s="115" t="s">
        <v>24</v>
      </c>
      <c r="B237" s="115" t="s">
        <v>50</v>
      </c>
      <c r="C237" s="115">
        <v>250308.0</v>
      </c>
      <c r="D237" s="116">
        <v>45887.0</v>
      </c>
      <c r="E237" s="12" t="s">
        <v>60</v>
      </c>
      <c r="F237" s="115" t="str">
        <f t="shared" si="1"/>
        <v>Kandula Sampath2025-08-1810</v>
      </c>
    </row>
    <row r="238">
      <c r="A238" s="115" t="s">
        <v>17</v>
      </c>
      <c r="B238" s="115" t="s">
        <v>49</v>
      </c>
      <c r="C238" s="115">
        <v>113230.0</v>
      </c>
      <c r="D238" s="116">
        <v>45887.0</v>
      </c>
      <c r="E238" s="12" t="s">
        <v>60</v>
      </c>
      <c r="F238" s="115" t="str">
        <f t="shared" si="1"/>
        <v>Loveleen Singh2025-08-1810</v>
      </c>
    </row>
    <row r="239">
      <c r="A239" s="115" t="s">
        <v>16</v>
      </c>
      <c r="B239" s="115" t="s">
        <v>49</v>
      </c>
      <c r="C239" s="115">
        <v>297504.0</v>
      </c>
      <c r="D239" s="116">
        <v>45887.0</v>
      </c>
      <c r="E239" s="12" t="s">
        <v>60</v>
      </c>
      <c r="F239" s="115" t="str">
        <f t="shared" si="1"/>
        <v>Manoj Harsh2025-08-1810</v>
      </c>
    </row>
    <row r="240">
      <c r="A240" s="115" t="s">
        <v>25</v>
      </c>
      <c r="B240" s="115" t="s">
        <v>50</v>
      </c>
      <c r="C240" s="115">
        <v>222787.0</v>
      </c>
      <c r="D240" s="116">
        <v>45887.0</v>
      </c>
      <c r="E240" s="12" t="s">
        <v>60</v>
      </c>
      <c r="F240" s="115" t="str">
        <f t="shared" si="1"/>
        <v>Martin A2025-08-1810</v>
      </c>
    </row>
    <row r="241">
      <c r="A241" s="115" t="s">
        <v>22</v>
      </c>
      <c r="B241" s="115" t="s">
        <v>47</v>
      </c>
      <c r="C241" s="115">
        <v>241686.0</v>
      </c>
      <c r="D241" s="116">
        <v>45887.0</v>
      </c>
      <c r="E241" s="12" t="s">
        <v>60</v>
      </c>
      <c r="F241" s="115" t="str">
        <f t="shared" si="1"/>
        <v>Parag Kashyap2025-08-1810</v>
      </c>
    </row>
    <row r="242">
      <c r="A242" s="115" t="s">
        <v>18</v>
      </c>
      <c r="B242" s="115" t="s">
        <v>49</v>
      </c>
      <c r="C242" s="115">
        <v>94076.0</v>
      </c>
      <c r="D242" s="116">
        <v>45887.0</v>
      </c>
      <c r="E242" s="12" t="s">
        <v>60</v>
      </c>
      <c r="F242" s="115" t="str">
        <f t="shared" si="1"/>
        <v>Pradeep Kothari2025-08-1810</v>
      </c>
    </row>
    <row r="243">
      <c r="A243" s="115" t="s">
        <v>26</v>
      </c>
      <c r="B243" s="115" t="s">
        <v>50</v>
      </c>
      <c r="C243" s="115">
        <v>206085.0</v>
      </c>
      <c r="D243" s="116">
        <v>45887.0</v>
      </c>
      <c r="E243" s="12" t="s">
        <v>60</v>
      </c>
      <c r="F243" s="115" t="str">
        <f t="shared" si="1"/>
        <v>Premkumar M2025-08-1810</v>
      </c>
    </row>
    <row r="244">
      <c r="A244" s="115" t="s">
        <v>27</v>
      </c>
      <c r="B244" s="115" t="s">
        <v>50</v>
      </c>
      <c r="C244" s="115">
        <v>157086.0</v>
      </c>
      <c r="D244" s="116">
        <v>45887.0</v>
      </c>
      <c r="E244" s="12" t="s">
        <v>60</v>
      </c>
      <c r="F244" s="115" t="str">
        <f t="shared" si="1"/>
        <v>Vineeth V2025-08-1810</v>
      </c>
    </row>
    <row r="245">
      <c r="C245" s="115">
        <v>8210.0</v>
      </c>
      <c r="D245" s="116">
        <v>45887.0</v>
      </c>
      <c r="E245" s="12" t="s">
        <v>60</v>
      </c>
      <c r="F245" s="115" t="str">
        <f t="shared" si="1"/>
        <v>2025-08-1810</v>
      </c>
    </row>
    <row r="246">
      <c r="A246" s="115" t="s">
        <v>15</v>
      </c>
      <c r="B246" s="115" t="s">
        <v>49</v>
      </c>
      <c r="C246" s="115">
        <v>134289.0</v>
      </c>
      <c r="D246" s="116">
        <v>45887.0</v>
      </c>
      <c r="E246" s="12" t="s">
        <v>48</v>
      </c>
      <c r="F246" s="115" t="str">
        <f t="shared" si="1"/>
        <v>Amit Kumar Pathak2025-08-1813</v>
      </c>
    </row>
    <row r="247">
      <c r="A247" s="115" t="s">
        <v>29</v>
      </c>
      <c r="B247" s="115" t="s">
        <v>51</v>
      </c>
      <c r="C247" s="115">
        <v>303615.0</v>
      </c>
      <c r="D247" s="116">
        <v>45887.0</v>
      </c>
      <c r="E247" s="12" t="s">
        <v>48</v>
      </c>
      <c r="F247" s="115" t="str">
        <f t="shared" si="1"/>
        <v>Ashish Jakar2025-08-1813</v>
      </c>
    </row>
    <row r="248">
      <c r="A248" s="115" t="s">
        <v>20</v>
      </c>
      <c r="B248" s="115" t="s">
        <v>47</v>
      </c>
      <c r="C248" s="115">
        <v>592691.0</v>
      </c>
      <c r="D248" s="116">
        <v>45887.0</v>
      </c>
      <c r="E248" s="12" t="s">
        <v>48</v>
      </c>
      <c r="F248" s="115" t="str">
        <f t="shared" si="1"/>
        <v>Ashish Ranjan2025-08-1813</v>
      </c>
    </row>
    <row r="249">
      <c r="A249" s="115" t="s">
        <v>30</v>
      </c>
      <c r="B249" s="115" t="s">
        <v>51</v>
      </c>
      <c r="C249" s="115">
        <v>204346.0</v>
      </c>
      <c r="D249" s="116">
        <v>45887.0</v>
      </c>
      <c r="E249" s="12" t="s">
        <v>48</v>
      </c>
      <c r="F249" s="115" t="str">
        <f t="shared" si="1"/>
        <v>Ashvani Bhatt2025-08-1813</v>
      </c>
    </row>
    <row r="250">
      <c r="A250" s="115" t="s">
        <v>21</v>
      </c>
      <c r="B250" s="115" t="s">
        <v>47</v>
      </c>
      <c r="C250" s="115">
        <v>399387.0</v>
      </c>
      <c r="D250" s="116">
        <v>45887.0</v>
      </c>
      <c r="E250" s="12" t="s">
        <v>48</v>
      </c>
      <c r="F250" s="115" t="str">
        <f t="shared" si="1"/>
        <v>Girish Chand2025-08-1813</v>
      </c>
    </row>
    <row r="251">
      <c r="A251" s="115" t="s">
        <v>24</v>
      </c>
      <c r="B251" s="115" t="s">
        <v>50</v>
      </c>
      <c r="C251" s="115">
        <v>285216.0</v>
      </c>
      <c r="D251" s="116">
        <v>45887.0</v>
      </c>
      <c r="E251" s="12" t="s">
        <v>48</v>
      </c>
      <c r="F251" s="115" t="str">
        <f t="shared" si="1"/>
        <v>Kandula Sampath2025-08-1813</v>
      </c>
    </row>
    <row r="252">
      <c r="A252" s="115" t="s">
        <v>17</v>
      </c>
      <c r="B252" s="115" t="s">
        <v>49</v>
      </c>
      <c r="C252" s="115">
        <v>166958.0</v>
      </c>
      <c r="D252" s="116">
        <v>45887.0</v>
      </c>
      <c r="E252" s="12" t="s">
        <v>48</v>
      </c>
      <c r="F252" s="115" t="str">
        <f t="shared" si="1"/>
        <v>Loveleen Singh2025-08-1813</v>
      </c>
    </row>
    <row r="253">
      <c r="A253" s="115" t="s">
        <v>16</v>
      </c>
      <c r="B253" s="115" t="s">
        <v>49</v>
      </c>
      <c r="C253" s="115">
        <v>360285.0</v>
      </c>
      <c r="D253" s="116">
        <v>45887.0</v>
      </c>
      <c r="E253" s="12" t="s">
        <v>48</v>
      </c>
      <c r="F253" s="115" t="str">
        <f t="shared" si="1"/>
        <v>Manoj Harsh2025-08-1813</v>
      </c>
    </row>
    <row r="254">
      <c r="A254" s="115" t="s">
        <v>25</v>
      </c>
      <c r="B254" s="115" t="s">
        <v>50</v>
      </c>
      <c r="C254" s="115">
        <v>267952.0</v>
      </c>
      <c r="D254" s="116">
        <v>45887.0</v>
      </c>
      <c r="E254" s="12" t="s">
        <v>48</v>
      </c>
      <c r="F254" s="115" t="str">
        <f t="shared" si="1"/>
        <v>Martin A2025-08-1813</v>
      </c>
    </row>
    <row r="255">
      <c r="A255" s="115" t="s">
        <v>22</v>
      </c>
      <c r="B255" s="115" t="s">
        <v>47</v>
      </c>
      <c r="C255" s="115">
        <v>325054.0</v>
      </c>
      <c r="D255" s="116">
        <v>45887.0</v>
      </c>
      <c r="E255" s="12" t="s">
        <v>48</v>
      </c>
      <c r="F255" s="115" t="str">
        <f t="shared" si="1"/>
        <v>Parag Kashyap2025-08-1813</v>
      </c>
    </row>
    <row r="256">
      <c r="A256" s="115" t="s">
        <v>18</v>
      </c>
      <c r="B256" s="115" t="s">
        <v>49</v>
      </c>
      <c r="C256" s="115">
        <v>118680.0</v>
      </c>
      <c r="D256" s="116">
        <v>45887.0</v>
      </c>
      <c r="E256" s="12" t="s">
        <v>48</v>
      </c>
      <c r="F256" s="115" t="str">
        <f t="shared" si="1"/>
        <v>Pradeep Kothari2025-08-1813</v>
      </c>
    </row>
    <row r="257">
      <c r="A257" s="115" t="s">
        <v>26</v>
      </c>
      <c r="B257" s="115" t="s">
        <v>50</v>
      </c>
      <c r="C257" s="115">
        <v>269326.0</v>
      </c>
      <c r="D257" s="116">
        <v>45887.0</v>
      </c>
      <c r="E257" s="12" t="s">
        <v>48</v>
      </c>
      <c r="F257" s="115" t="str">
        <f t="shared" si="1"/>
        <v>Premkumar M2025-08-1813</v>
      </c>
    </row>
    <row r="258">
      <c r="A258" s="115" t="s">
        <v>27</v>
      </c>
      <c r="B258" s="115" t="s">
        <v>50</v>
      </c>
      <c r="C258" s="115">
        <v>236201.0</v>
      </c>
      <c r="D258" s="116">
        <v>45887.0</v>
      </c>
      <c r="E258" s="12" t="s">
        <v>48</v>
      </c>
      <c r="F258" s="115" t="str">
        <f t="shared" si="1"/>
        <v>Vineeth V2025-08-1813</v>
      </c>
    </row>
    <row r="259">
      <c r="C259" s="115">
        <v>13292.0</v>
      </c>
      <c r="D259" s="116">
        <v>45887.0</v>
      </c>
      <c r="E259" s="12" t="s">
        <v>48</v>
      </c>
      <c r="F259" s="115" t="str">
        <f t="shared" si="1"/>
        <v>2025-08-1813</v>
      </c>
    </row>
    <row r="260">
      <c r="A260" s="115" t="s">
        <v>15</v>
      </c>
      <c r="B260" s="115" t="s">
        <v>49</v>
      </c>
      <c r="C260" s="115">
        <v>137812.0</v>
      </c>
      <c r="D260" s="116">
        <v>45887.0</v>
      </c>
      <c r="E260" s="12" t="s">
        <v>53</v>
      </c>
      <c r="F260" s="115" t="str">
        <f t="shared" si="1"/>
        <v>Amit Kumar Pathak2025-08-1818</v>
      </c>
    </row>
    <row r="261">
      <c r="A261" s="115" t="s">
        <v>29</v>
      </c>
      <c r="B261" s="115" t="s">
        <v>51</v>
      </c>
      <c r="C261" s="115">
        <v>317039.0</v>
      </c>
      <c r="D261" s="116">
        <v>45887.0</v>
      </c>
      <c r="E261" s="12" t="s">
        <v>53</v>
      </c>
      <c r="F261" s="115" t="str">
        <f t="shared" si="1"/>
        <v>Ashish Jakar2025-08-1818</v>
      </c>
    </row>
    <row r="262">
      <c r="A262" s="115" t="s">
        <v>20</v>
      </c>
      <c r="B262" s="115" t="s">
        <v>47</v>
      </c>
      <c r="C262" s="115">
        <v>613881.0</v>
      </c>
      <c r="D262" s="116">
        <v>45887.0</v>
      </c>
      <c r="E262" s="12" t="s">
        <v>53</v>
      </c>
      <c r="F262" s="115" t="str">
        <f t="shared" si="1"/>
        <v>Ashish Ranjan2025-08-1818</v>
      </c>
    </row>
    <row r="263">
      <c r="A263" s="115" t="s">
        <v>30</v>
      </c>
      <c r="B263" s="115" t="s">
        <v>51</v>
      </c>
      <c r="C263" s="115">
        <v>219733.0</v>
      </c>
      <c r="D263" s="116">
        <v>45887.0</v>
      </c>
      <c r="E263" s="12" t="s">
        <v>53</v>
      </c>
      <c r="F263" s="115" t="str">
        <f t="shared" si="1"/>
        <v>Ashvani Bhatt2025-08-1818</v>
      </c>
    </row>
    <row r="264">
      <c r="A264" s="115" t="s">
        <v>21</v>
      </c>
      <c r="B264" s="115" t="s">
        <v>47</v>
      </c>
      <c r="C264" s="115">
        <v>454221.0</v>
      </c>
      <c r="D264" s="116">
        <v>45887.0</v>
      </c>
      <c r="E264" s="12" t="s">
        <v>53</v>
      </c>
      <c r="F264" s="115" t="str">
        <f t="shared" si="1"/>
        <v>Girish Chand2025-08-1818</v>
      </c>
    </row>
    <row r="265">
      <c r="A265" s="115" t="s">
        <v>24</v>
      </c>
      <c r="B265" s="115" t="s">
        <v>50</v>
      </c>
      <c r="C265" s="115">
        <v>299136.0</v>
      </c>
      <c r="D265" s="116">
        <v>45887.0</v>
      </c>
      <c r="E265" s="12" t="s">
        <v>53</v>
      </c>
      <c r="F265" s="115" t="str">
        <f t="shared" si="1"/>
        <v>Kandula Sampath2025-08-1818</v>
      </c>
    </row>
    <row r="266">
      <c r="A266" s="115" t="s">
        <v>17</v>
      </c>
      <c r="B266" s="115" t="s">
        <v>49</v>
      </c>
      <c r="C266" s="115">
        <v>236520.0</v>
      </c>
      <c r="D266" s="116">
        <v>45887.0</v>
      </c>
      <c r="E266" s="12" t="s">
        <v>53</v>
      </c>
      <c r="F266" s="115" t="str">
        <f t="shared" si="1"/>
        <v>Loveleen Singh2025-08-1818</v>
      </c>
    </row>
    <row r="267">
      <c r="A267" s="115" t="s">
        <v>16</v>
      </c>
      <c r="B267" s="115" t="s">
        <v>49</v>
      </c>
      <c r="C267" s="115">
        <v>378047.0</v>
      </c>
      <c r="D267" s="116">
        <v>45887.0</v>
      </c>
      <c r="E267" s="12" t="s">
        <v>53</v>
      </c>
      <c r="F267" s="115" t="str">
        <f t="shared" si="1"/>
        <v>Manoj Harsh2025-08-1818</v>
      </c>
    </row>
    <row r="268">
      <c r="A268" s="115" t="s">
        <v>25</v>
      </c>
      <c r="B268" s="115" t="s">
        <v>50</v>
      </c>
      <c r="C268" s="115">
        <v>299924.0</v>
      </c>
      <c r="D268" s="116">
        <v>45887.0</v>
      </c>
      <c r="E268" s="12" t="s">
        <v>53</v>
      </c>
      <c r="F268" s="115" t="str">
        <f t="shared" si="1"/>
        <v>Martin A2025-08-1818</v>
      </c>
    </row>
    <row r="269">
      <c r="A269" s="115" t="s">
        <v>22</v>
      </c>
      <c r="B269" s="115" t="s">
        <v>47</v>
      </c>
      <c r="C269" s="115">
        <v>388702.0</v>
      </c>
      <c r="D269" s="116">
        <v>45887.0</v>
      </c>
      <c r="E269" s="12" t="s">
        <v>53</v>
      </c>
      <c r="F269" s="115" t="str">
        <f t="shared" si="1"/>
        <v>Parag Kashyap2025-08-1818</v>
      </c>
    </row>
    <row r="270">
      <c r="A270" s="115" t="s">
        <v>18</v>
      </c>
      <c r="B270" s="115" t="s">
        <v>49</v>
      </c>
      <c r="C270" s="115">
        <v>139342.0</v>
      </c>
      <c r="D270" s="116">
        <v>45887.0</v>
      </c>
      <c r="E270" s="12" t="s">
        <v>53</v>
      </c>
      <c r="F270" s="115" t="str">
        <f t="shared" si="1"/>
        <v>Pradeep Kothari2025-08-1818</v>
      </c>
    </row>
    <row r="271">
      <c r="A271" s="115" t="s">
        <v>26</v>
      </c>
      <c r="B271" s="115" t="s">
        <v>50</v>
      </c>
      <c r="C271" s="115">
        <v>275615.0</v>
      </c>
      <c r="D271" s="116">
        <v>45887.0</v>
      </c>
      <c r="E271" s="12" t="s">
        <v>53</v>
      </c>
      <c r="F271" s="115" t="str">
        <f t="shared" si="1"/>
        <v>Premkumar M2025-08-1818</v>
      </c>
    </row>
    <row r="272">
      <c r="A272" s="115" t="s">
        <v>27</v>
      </c>
      <c r="B272" s="115" t="s">
        <v>50</v>
      </c>
      <c r="C272" s="115">
        <v>238650.0</v>
      </c>
      <c r="D272" s="116">
        <v>45887.0</v>
      </c>
      <c r="E272" s="12" t="s">
        <v>53</v>
      </c>
      <c r="F272" s="115" t="str">
        <f t="shared" si="1"/>
        <v>Vineeth V2025-08-1818</v>
      </c>
    </row>
    <row r="273">
      <c r="C273" s="115">
        <v>9918.0</v>
      </c>
      <c r="D273" s="116">
        <v>45887.0</v>
      </c>
      <c r="E273" s="12" t="s">
        <v>53</v>
      </c>
      <c r="F273" s="115" t="str">
        <f t="shared" si="1"/>
        <v>2025-08-1818</v>
      </c>
    </row>
    <row r="274">
      <c r="A274" s="115" t="s">
        <v>15</v>
      </c>
      <c r="B274" s="115" t="s">
        <v>49</v>
      </c>
      <c r="C274" s="115">
        <v>125635.0</v>
      </c>
      <c r="D274" s="116">
        <v>45888.0</v>
      </c>
      <c r="E274" s="12" t="s">
        <v>48</v>
      </c>
      <c r="F274" s="115" t="str">
        <f t="shared" si="1"/>
        <v>Amit Kumar Pathak2025-08-1913</v>
      </c>
    </row>
    <row r="275">
      <c r="A275" s="115" t="s">
        <v>29</v>
      </c>
      <c r="B275" s="115" t="s">
        <v>51</v>
      </c>
      <c r="C275" s="115">
        <v>259778.0</v>
      </c>
      <c r="D275" s="116">
        <v>45888.0</v>
      </c>
      <c r="E275" s="12" t="s">
        <v>48</v>
      </c>
      <c r="F275" s="115" t="str">
        <f t="shared" si="1"/>
        <v>Ashish Jakar2025-08-1913</v>
      </c>
    </row>
    <row r="276">
      <c r="A276" s="115" t="s">
        <v>20</v>
      </c>
      <c r="B276" s="115" t="s">
        <v>47</v>
      </c>
      <c r="C276" s="115">
        <v>457689.0</v>
      </c>
      <c r="D276" s="116">
        <v>45888.0</v>
      </c>
      <c r="E276" s="12" t="s">
        <v>48</v>
      </c>
      <c r="F276" s="115" t="str">
        <f t="shared" si="1"/>
        <v>Ashish Ranjan2025-08-1913</v>
      </c>
    </row>
    <row r="277">
      <c r="A277" s="115" t="s">
        <v>30</v>
      </c>
      <c r="B277" s="115" t="s">
        <v>51</v>
      </c>
      <c r="C277" s="115">
        <v>217561.0</v>
      </c>
      <c r="D277" s="116">
        <v>45888.0</v>
      </c>
      <c r="E277" s="12" t="s">
        <v>48</v>
      </c>
      <c r="F277" s="115" t="str">
        <f t="shared" si="1"/>
        <v>Ashvani Bhatt2025-08-1913</v>
      </c>
    </row>
    <row r="278">
      <c r="A278" s="115" t="s">
        <v>21</v>
      </c>
      <c r="B278" s="115" t="s">
        <v>47</v>
      </c>
      <c r="C278" s="115">
        <v>331831.0</v>
      </c>
      <c r="D278" s="116">
        <v>45888.0</v>
      </c>
      <c r="E278" s="12" t="s">
        <v>48</v>
      </c>
      <c r="F278" s="115" t="str">
        <f t="shared" si="1"/>
        <v>Girish Chand2025-08-1913</v>
      </c>
    </row>
    <row r="279">
      <c r="A279" s="115" t="s">
        <v>24</v>
      </c>
      <c r="B279" s="115" t="s">
        <v>50</v>
      </c>
      <c r="C279" s="115">
        <v>211793.0</v>
      </c>
      <c r="D279" s="116">
        <v>45888.0</v>
      </c>
      <c r="E279" s="12" t="s">
        <v>48</v>
      </c>
      <c r="F279" s="115" t="str">
        <f t="shared" si="1"/>
        <v>Kandula Sampath2025-08-1913</v>
      </c>
    </row>
    <row r="280">
      <c r="A280" s="115" t="s">
        <v>17</v>
      </c>
      <c r="B280" s="115" t="s">
        <v>49</v>
      </c>
      <c r="C280" s="115">
        <v>148839.0</v>
      </c>
      <c r="D280" s="116">
        <v>45888.0</v>
      </c>
      <c r="E280" s="12" t="s">
        <v>48</v>
      </c>
      <c r="F280" s="115" t="str">
        <f t="shared" si="1"/>
        <v>Loveleen Singh2025-08-1913</v>
      </c>
    </row>
    <row r="281">
      <c r="A281" s="115" t="s">
        <v>16</v>
      </c>
      <c r="B281" s="115" t="s">
        <v>49</v>
      </c>
      <c r="C281" s="115">
        <v>365357.0</v>
      </c>
      <c r="D281" s="116">
        <v>45888.0</v>
      </c>
      <c r="E281" s="12" t="s">
        <v>48</v>
      </c>
      <c r="F281" s="115" t="str">
        <f t="shared" si="1"/>
        <v>Manoj Harsh2025-08-1913</v>
      </c>
    </row>
    <row r="282">
      <c r="A282" s="115" t="s">
        <v>25</v>
      </c>
      <c r="B282" s="115" t="s">
        <v>50</v>
      </c>
      <c r="C282" s="115">
        <v>193119.0</v>
      </c>
      <c r="D282" s="116">
        <v>45888.0</v>
      </c>
      <c r="E282" s="12" t="s">
        <v>48</v>
      </c>
      <c r="F282" s="115" t="str">
        <f t="shared" si="1"/>
        <v>Martin A2025-08-1913</v>
      </c>
    </row>
    <row r="283">
      <c r="A283" s="115" t="s">
        <v>22</v>
      </c>
      <c r="B283" s="115" t="s">
        <v>47</v>
      </c>
      <c r="C283" s="115">
        <v>298708.0</v>
      </c>
      <c r="D283" s="116">
        <v>45888.0</v>
      </c>
      <c r="E283" s="12" t="s">
        <v>48</v>
      </c>
      <c r="F283" s="115" t="str">
        <f t="shared" si="1"/>
        <v>Parag Kashyap2025-08-1913</v>
      </c>
    </row>
    <row r="284">
      <c r="A284" s="115" t="s">
        <v>18</v>
      </c>
      <c r="B284" s="115" t="s">
        <v>49</v>
      </c>
      <c r="C284" s="115">
        <v>114500.0</v>
      </c>
      <c r="D284" s="116">
        <v>45888.0</v>
      </c>
      <c r="E284" s="12" t="s">
        <v>48</v>
      </c>
      <c r="F284" s="115" t="str">
        <f t="shared" si="1"/>
        <v>Pradeep Kothari2025-08-1913</v>
      </c>
    </row>
    <row r="285">
      <c r="A285" s="115" t="s">
        <v>26</v>
      </c>
      <c r="B285" s="115" t="s">
        <v>50</v>
      </c>
      <c r="C285" s="115">
        <v>215820.0</v>
      </c>
      <c r="D285" s="116">
        <v>45888.0</v>
      </c>
      <c r="E285" s="12" t="s">
        <v>48</v>
      </c>
      <c r="F285" s="115" t="str">
        <f t="shared" si="1"/>
        <v>Premkumar M2025-08-1913</v>
      </c>
    </row>
    <row r="286">
      <c r="A286" s="115" t="s">
        <v>27</v>
      </c>
      <c r="B286" s="115" t="s">
        <v>50</v>
      </c>
      <c r="C286" s="115">
        <v>208069.0</v>
      </c>
      <c r="D286" s="116">
        <v>45888.0</v>
      </c>
      <c r="E286" s="12" t="s">
        <v>48</v>
      </c>
      <c r="F286" s="115" t="str">
        <f t="shared" si="1"/>
        <v>Vineeth V2025-08-1913</v>
      </c>
    </row>
    <row r="287">
      <c r="C287" s="115">
        <v>733.0</v>
      </c>
      <c r="D287" s="116">
        <v>45888.0</v>
      </c>
      <c r="E287" s="12" t="s">
        <v>48</v>
      </c>
      <c r="F287" s="115" t="str">
        <f t="shared" si="1"/>
        <v>2025-08-1913</v>
      </c>
    </row>
    <row r="288">
      <c r="A288" s="115" t="s">
        <v>15</v>
      </c>
      <c r="B288" s="115" t="s">
        <v>49</v>
      </c>
      <c r="C288" s="115">
        <v>128471.0</v>
      </c>
      <c r="D288" s="116">
        <v>45888.0</v>
      </c>
      <c r="E288" s="12" t="s">
        <v>53</v>
      </c>
      <c r="F288" s="115" t="str">
        <f t="shared" si="1"/>
        <v>Amit Kumar Pathak2025-08-1918</v>
      </c>
    </row>
    <row r="289">
      <c r="A289" s="115" t="s">
        <v>29</v>
      </c>
      <c r="B289" s="115" t="s">
        <v>51</v>
      </c>
      <c r="C289" s="115">
        <v>267262.0</v>
      </c>
      <c r="D289" s="116">
        <v>45888.0</v>
      </c>
      <c r="E289" s="12" t="s">
        <v>53</v>
      </c>
      <c r="F289" s="115" t="str">
        <f t="shared" si="1"/>
        <v>Ashish Jakar2025-08-1918</v>
      </c>
    </row>
    <row r="290">
      <c r="A290" s="115" t="s">
        <v>20</v>
      </c>
      <c r="B290" s="115" t="s">
        <v>47</v>
      </c>
      <c r="C290" s="115">
        <v>480215.0</v>
      </c>
      <c r="D290" s="116">
        <v>45888.0</v>
      </c>
      <c r="E290" s="12" t="s">
        <v>53</v>
      </c>
      <c r="F290" s="115" t="str">
        <f t="shared" si="1"/>
        <v>Ashish Ranjan2025-08-1918</v>
      </c>
    </row>
    <row r="291">
      <c r="A291" s="115" t="s">
        <v>30</v>
      </c>
      <c r="B291" s="115" t="s">
        <v>51</v>
      </c>
      <c r="C291" s="115">
        <v>230597.0</v>
      </c>
      <c r="D291" s="116">
        <v>45888.0</v>
      </c>
      <c r="E291" s="12" t="s">
        <v>53</v>
      </c>
      <c r="F291" s="115" t="str">
        <f t="shared" si="1"/>
        <v>Ashvani Bhatt2025-08-1918</v>
      </c>
    </row>
    <row r="292">
      <c r="A292" s="115" t="s">
        <v>21</v>
      </c>
      <c r="B292" s="115" t="s">
        <v>47</v>
      </c>
      <c r="C292" s="115">
        <v>383481.0</v>
      </c>
      <c r="D292" s="116">
        <v>45888.0</v>
      </c>
      <c r="E292" s="12" t="s">
        <v>53</v>
      </c>
      <c r="F292" s="115" t="str">
        <f t="shared" si="1"/>
        <v>Girish Chand2025-08-1918</v>
      </c>
    </row>
    <row r="293">
      <c r="A293" s="115" t="s">
        <v>24</v>
      </c>
      <c r="B293" s="115" t="s">
        <v>50</v>
      </c>
      <c r="C293" s="115">
        <v>229103.0</v>
      </c>
      <c r="D293" s="116">
        <v>45888.0</v>
      </c>
      <c r="E293" s="12" t="s">
        <v>53</v>
      </c>
      <c r="F293" s="115" t="str">
        <f t="shared" si="1"/>
        <v>Kandula Sampath2025-08-1918</v>
      </c>
    </row>
    <row r="294">
      <c r="A294" s="115" t="s">
        <v>17</v>
      </c>
      <c r="B294" s="115" t="s">
        <v>49</v>
      </c>
      <c r="C294" s="115">
        <v>213661.0</v>
      </c>
      <c r="D294" s="116">
        <v>45888.0</v>
      </c>
      <c r="E294" s="12" t="s">
        <v>53</v>
      </c>
      <c r="F294" s="115" t="str">
        <f t="shared" si="1"/>
        <v>Loveleen Singh2025-08-1918</v>
      </c>
    </row>
    <row r="295">
      <c r="A295" s="115" t="s">
        <v>16</v>
      </c>
      <c r="B295" s="115" t="s">
        <v>49</v>
      </c>
      <c r="C295" s="115">
        <v>380557.0</v>
      </c>
      <c r="D295" s="116">
        <v>45888.0</v>
      </c>
      <c r="E295" s="12" t="s">
        <v>53</v>
      </c>
      <c r="F295" s="115" t="str">
        <f t="shared" si="1"/>
        <v>Manoj Harsh2025-08-1918</v>
      </c>
    </row>
    <row r="296">
      <c r="A296" s="115" t="s">
        <v>25</v>
      </c>
      <c r="B296" s="115" t="s">
        <v>50</v>
      </c>
      <c r="C296" s="115">
        <v>221673.0</v>
      </c>
      <c r="D296" s="116">
        <v>45888.0</v>
      </c>
      <c r="E296" s="12" t="s">
        <v>53</v>
      </c>
      <c r="F296" s="115" t="str">
        <f t="shared" si="1"/>
        <v>Martin A2025-08-1918</v>
      </c>
    </row>
    <row r="297">
      <c r="A297" s="115" t="s">
        <v>22</v>
      </c>
      <c r="B297" s="115" t="s">
        <v>47</v>
      </c>
      <c r="C297" s="115">
        <v>350367.0</v>
      </c>
      <c r="D297" s="116">
        <v>45888.0</v>
      </c>
      <c r="E297" s="12" t="s">
        <v>53</v>
      </c>
      <c r="F297" s="115" t="str">
        <f t="shared" si="1"/>
        <v>Parag Kashyap2025-08-1918</v>
      </c>
    </row>
    <row r="298">
      <c r="A298" s="115" t="s">
        <v>18</v>
      </c>
      <c r="B298" s="115" t="s">
        <v>49</v>
      </c>
      <c r="C298" s="115">
        <v>123226.0</v>
      </c>
      <c r="D298" s="116">
        <v>45888.0</v>
      </c>
      <c r="E298" s="12" t="s">
        <v>53</v>
      </c>
      <c r="F298" s="115" t="str">
        <f t="shared" si="1"/>
        <v>Pradeep Kothari2025-08-1918</v>
      </c>
    </row>
    <row r="299">
      <c r="A299" s="115" t="s">
        <v>26</v>
      </c>
      <c r="B299" s="115" t="s">
        <v>50</v>
      </c>
      <c r="C299" s="115">
        <v>224475.0</v>
      </c>
      <c r="D299" s="116">
        <v>45888.0</v>
      </c>
      <c r="E299" s="12" t="s">
        <v>53</v>
      </c>
      <c r="F299" s="115" t="str">
        <f t="shared" si="1"/>
        <v>Premkumar M2025-08-1918</v>
      </c>
    </row>
    <row r="300">
      <c r="A300" s="115" t="s">
        <v>27</v>
      </c>
      <c r="B300" s="115" t="s">
        <v>50</v>
      </c>
      <c r="C300" s="115">
        <v>209131.0</v>
      </c>
      <c r="D300" s="116">
        <v>45888.0</v>
      </c>
      <c r="E300" s="12" t="s">
        <v>53</v>
      </c>
      <c r="F300" s="115" t="str">
        <f t="shared" si="1"/>
        <v>Vineeth V2025-08-1918</v>
      </c>
    </row>
    <row r="301">
      <c r="C301" s="115">
        <v>948.0</v>
      </c>
      <c r="D301" s="116">
        <v>45888.0</v>
      </c>
      <c r="E301" s="12" t="s">
        <v>53</v>
      </c>
      <c r="F301" s="115" t="str">
        <f t="shared" si="1"/>
        <v>2025-08-1918</v>
      </c>
    </row>
    <row r="302">
      <c r="A302" s="115" t="s">
        <v>15</v>
      </c>
      <c r="B302" s="115" t="s">
        <v>49</v>
      </c>
      <c r="C302" s="115">
        <v>125432.0</v>
      </c>
      <c r="D302" s="116">
        <v>45889.0</v>
      </c>
      <c r="E302" s="12" t="s">
        <v>48</v>
      </c>
      <c r="F302" s="115" t="str">
        <f t="shared" si="1"/>
        <v>Amit Kumar Pathak2025-08-2013</v>
      </c>
    </row>
    <row r="303">
      <c r="A303" s="115" t="s">
        <v>29</v>
      </c>
      <c r="B303" s="115" t="s">
        <v>51</v>
      </c>
      <c r="C303" s="115">
        <v>274075.0</v>
      </c>
      <c r="D303" s="116">
        <v>45889.0</v>
      </c>
      <c r="E303" s="12" t="s">
        <v>48</v>
      </c>
      <c r="F303" s="115" t="str">
        <f t="shared" si="1"/>
        <v>Ashish Jakar2025-08-2013</v>
      </c>
    </row>
    <row r="304">
      <c r="A304" s="115" t="s">
        <v>20</v>
      </c>
      <c r="B304" s="115" t="s">
        <v>47</v>
      </c>
      <c r="C304" s="115">
        <v>495644.0</v>
      </c>
      <c r="D304" s="116">
        <v>45889.0</v>
      </c>
      <c r="E304" s="12" t="s">
        <v>48</v>
      </c>
      <c r="F304" s="115" t="str">
        <f t="shared" si="1"/>
        <v>Ashish Ranjan2025-08-2013</v>
      </c>
    </row>
    <row r="305">
      <c r="A305" s="115" t="s">
        <v>30</v>
      </c>
      <c r="B305" s="115" t="s">
        <v>51</v>
      </c>
      <c r="C305" s="115">
        <v>232086.0</v>
      </c>
      <c r="D305" s="116">
        <v>45889.0</v>
      </c>
      <c r="E305" s="12" t="s">
        <v>48</v>
      </c>
      <c r="F305" s="115" t="str">
        <f t="shared" si="1"/>
        <v>Ashvani Bhatt2025-08-2013</v>
      </c>
    </row>
    <row r="306">
      <c r="A306" s="115" t="s">
        <v>21</v>
      </c>
      <c r="B306" s="115" t="s">
        <v>47</v>
      </c>
      <c r="C306" s="115">
        <v>363493.0</v>
      </c>
      <c r="D306" s="116">
        <v>45889.0</v>
      </c>
      <c r="E306" s="12" t="s">
        <v>48</v>
      </c>
      <c r="F306" s="115" t="str">
        <f t="shared" si="1"/>
        <v>Girish Chand2025-08-2013</v>
      </c>
    </row>
    <row r="307">
      <c r="A307" s="115" t="s">
        <v>24</v>
      </c>
      <c r="B307" s="115" t="s">
        <v>50</v>
      </c>
      <c r="C307" s="115">
        <v>249991.0</v>
      </c>
      <c r="D307" s="116">
        <v>45889.0</v>
      </c>
      <c r="E307" s="12" t="s">
        <v>48</v>
      </c>
      <c r="F307" s="115" t="str">
        <f t="shared" si="1"/>
        <v>Kandula Sampath2025-08-2013</v>
      </c>
    </row>
    <row r="308">
      <c r="A308" s="115" t="s">
        <v>17</v>
      </c>
      <c r="B308" s="115" t="s">
        <v>49</v>
      </c>
      <c r="C308" s="115">
        <v>143660.0</v>
      </c>
      <c r="D308" s="116">
        <v>45889.0</v>
      </c>
      <c r="E308" s="12" t="s">
        <v>48</v>
      </c>
      <c r="F308" s="115" t="str">
        <f t="shared" si="1"/>
        <v>Loveleen Singh2025-08-2013</v>
      </c>
    </row>
    <row r="309">
      <c r="A309" s="115" t="s">
        <v>16</v>
      </c>
      <c r="B309" s="115" t="s">
        <v>49</v>
      </c>
      <c r="C309" s="115">
        <v>351695.0</v>
      </c>
      <c r="D309" s="116">
        <v>45889.0</v>
      </c>
      <c r="E309" s="12" t="s">
        <v>48</v>
      </c>
      <c r="F309" s="115" t="str">
        <f t="shared" si="1"/>
        <v>Manoj Harsh2025-08-2013</v>
      </c>
    </row>
    <row r="310">
      <c r="A310" s="115" t="s">
        <v>25</v>
      </c>
      <c r="B310" s="115" t="s">
        <v>50</v>
      </c>
      <c r="C310" s="115">
        <v>233207.0</v>
      </c>
      <c r="D310" s="116">
        <v>45889.0</v>
      </c>
      <c r="E310" s="12" t="s">
        <v>48</v>
      </c>
      <c r="F310" s="115" t="str">
        <f t="shared" si="1"/>
        <v>Martin A2025-08-2013</v>
      </c>
    </row>
    <row r="311">
      <c r="A311" s="115" t="s">
        <v>22</v>
      </c>
      <c r="B311" s="115" t="s">
        <v>47</v>
      </c>
      <c r="C311" s="115">
        <v>265313.0</v>
      </c>
      <c r="D311" s="116">
        <v>45889.0</v>
      </c>
      <c r="E311" s="12" t="s">
        <v>48</v>
      </c>
      <c r="F311" s="115" t="str">
        <f t="shared" si="1"/>
        <v>Parag Kashyap2025-08-2013</v>
      </c>
    </row>
    <row r="312">
      <c r="A312" s="115" t="s">
        <v>18</v>
      </c>
      <c r="B312" s="115" t="s">
        <v>49</v>
      </c>
      <c r="C312" s="115">
        <v>115150.0</v>
      </c>
      <c r="D312" s="116">
        <v>45889.0</v>
      </c>
      <c r="E312" s="12" t="s">
        <v>48</v>
      </c>
      <c r="F312" s="115" t="str">
        <f t="shared" si="1"/>
        <v>Pradeep Kothari2025-08-2013</v>
      </c>
    </row>
    <row r="313">
      <c r="A313" s="115" t="s">
        <v>26</v>
      </c>
      <c r="B313" s="115" t="s">
        <v>50</v>
      </c>
      <c r="C313" s="115">
        <v>220022.0</v>
      </c>
      <c r="D313" s="116">
        <v>45889.0</v>
      </c>
      <c r="E313" s="12" t="s">
        <v>48</v>
      </c>
      <c r="F313" s="115" t="str">
        <f t="shared" si="1"/>
        <v>Premkumar M2025-08-2013</v>
      </c>
    </row>
    <row r="314">
      <c r="A314" s="115" t="s">
        <v>27</v>
      </c>
      <c r="B314" s="115" t="s">
        <v>50</v>
      </c>
      <c r="C314" s="115">
        <v>164188.0</v>
      </c>
      <c r="D314" s="116">
        <v>45889.0</v>
      </c>
      <c r="E314" s="12" t="s">
        <v>48</v>
      </c>
      <c r="F314" s="115" t="str">
        <f t="shared" si="1"/>
        <v>Vineeth V2025-08-2013</v>
      </c>
    </row>
    <row r="315">
      <c r="C315" s="115">
        <v>891.0</v>
      </c>
      <c r="D315" s="116">
        <v>45889.0</v>
      </c>
      <c r="E315" s="12" t="s">
        <v>48</v>
      </c>
      <c r="F315" s="115" t="str">
        <f t="shared" si="1"/>
        <v>2025-08-2013</v>
      </c>
    </row>
    <row r="316">
      <c r="A316" s="115" t="s">
        <v>15</v>
      </c>
      <c r="B316" s="115" t="s">
        <v>49</v>
      </c>
      <c r="C316" s="115">
        <v>133855.0</v>
      </c>
      <c r="D316" s="116">
        <v>45889.0</v>
      </c>
      <c r="E316" s="12" t="s">
        <v>53</v>
      </c>
      <c r="F316" s="115" t="str">
        <f t="shared" si="1"/>
        <v>Amit Kumar Pathak2025-08-2018</v>
      </c>
    </row>
    <row r="317">
      <c r="A317" s="115" t="s">
        <v>29</v>
      </c>
      <c r="B317" s="115" t="s">
        <v>51</v>
      </c>
      <c r="C317" s="115">
        <v>287930.0</v>
      </c>
      <c r="D317" s="116">
        <v>45889.0</v>
      </c>
      <c r="E317" s="12" t="s">
        <v>53</v>
      </c>
      <c r="F317" s="115" t="str">
        <f t="shared" si="1"/>
        <v>Ashish Jakar2025-08-2018</v>
      </c>
    </row>
    <row r="318">
      <c r="A318" s="115" t="s">
        <v>20</v>
      </c>
      <c r="B318" s="115" t="s">
        <v>47</v>
      </c>
      <c r="C318" s="115">
        <v>520862.0</v>
      </c>
      <c r="D318" s="116">
        <v>45889.0</v>
      </c>
      <c r="E318" s="12" t="s">
        <v>53</v>
      </c>
      <c r="F318" s="115" t="str">
        <f t="shared" si="1"/>
        <v>Ashish Ranjan2025-08-2018</v>
      </c>
    </row>
    <row r="319">
      <c r="A319" s="115" t="s">
        <v>30</v>
      </c>
      <c r="B319" s="115" t="s">
        <v>51</v>
      </c>
      <c r="C319" s="115">
        <v>250486.0</v>
      </c>
      <c r="D319" s="116">
        <v>45889.0</v>
      </c>
      <c r="E319" s="12" t="s">
        <v>53</v>
      </c>
      <c r="F319" s="115" t="str">
        <f t="shared" si="1"/>
        <v>Ashvani Bhatt2025-08-2018</v>
      </c>
    </row>
    <row r="320">
      <c r="A320" s="115" t="s">
        <v>21</v>
      </c>
      <c r="B320" s="115" t="s">
        <v>47</v>
      </c>
      <c r="C320" s="115">
        <v>406824.0</v>
      </c>
      <c r="D320" s="116">
        <v>45889.0</v>
      </c>
      <c r="E320" s="12" t="s">
        <v>53</v>
      </c>
      <c r="F320" s="115" t="str">
        <f t="shared" si="1"/>
        <v>Girish Chand2025-08-2018</v>
      </c>
    </row>
    <row r="321">
      <c r="A321" s="115" t="s">
        <v>24</v>
      </c>
      <c r="B321" s="115" t="s">
        <v>50</v>
      </c>
      <c r="C321" s="115">
        <v>266786.0</v>
      </c>
      <c r="D321" s="116">
        <v>45889.0</v>
      </c>
      <c r="E321" s="12" t="s">
        <v>53</v>
      </c>
      <c r="F321" s="115" t="str">
        <f t="shared" si="1"/>
        <v>Kandula Sampath2025-08-2018</v>
      </c>
    </row>
    <row r="322">
      <c r="A322" s="115" t="s">
        <v>17</v>
      </c>
      <c r="B322" s="115" t="s">
        <v>49</v>
      </c>
      <c r="C322" s="115">
        <v>199744.0</v>
      </c>
      <c r="D322" s="116">
        <v>45889.0</v>
      </c>
      <c r="E322" s="12" t="s">
        <v>53</v>
      </c>
      <c r="F322" s="115" t="str">
        <f t="shared" si="1"/>
        <v>Loveleen Singh2025-08-2018</v>
      </c>
    </row>
    <row r="323">
      <c r="A323" s="115" t="s">
        <v>16</v>
      </c>
      <c r="B323" s="115" t="s">
        <v>49</v>
      </c>
      <c r="C323" s="115">
        <v>361383.0</v>
      </c>
      <c r="D323" s="116">
        <v>45889.0</v>
      </c>
      <c r="E323" s="12" t="s">
        <v>53</v>
      </c>
      <c r="F323" s="115" t="str">
        <f t="shared" si="1"/>
        <v>Manoj Harsh2025-08-2018</v>
      </c>
    </row>
    <row r="324">
      <c r="A324" s="115" t="s">
        <v>25</v>
      </c>
      <c r="B324" s="115" t="s">
        <v>50</v>
      </c>
      <c r="C324" s="115">
        <v>259636.0</v>
      </c>
      <c r="D324" s="116">
        <v>45889.0</v>
      </c>
      <c r="E324" s="12" t="s">
        <v>53</v>
      </c>
      <c r="F324" s="115" t="str">
        <f t="shared" si="1"/>
        <v>Martin A2025-08-2018</v>
      </c>
    </row>
    <row r="325">
      <c r="A325" s="115" t="s">
        <v>22</v>
      </c>
      <c r="B325" s="115" t="s">
        <v>47</v>
      </c>
      <c r="C325" s="115">
        <v>300536.0</v>
      </c>
      <c r="D325" s="116">
        <v>45889.0</v>
      </c>
      <c r="E325" s="12" t="s">
        <v>53</v>
      </c>
      <c r="F325" s="115" t="str">
        <f t="shared" si="1"/>
        <v>Parag Kashyap2025-08-2018</v>
      </c>
    </row>
    <row r="326">
      <c r="A326" s="115" t="s">
        <v>18</v>
      </c>
      <c r="B326" s="115" t="s">
        <v>49</v>
      </c>
      <c r="C326" s="115">
        <v>123538.0</v>
      </c>
      <c r="D326" s="116">
        <v>45889.0</v>
      </c>
      <c r="E326" s="12" t="s">
        <v>53</v>
      </c>
      <c r="F326" s="115" t="str">
        <f t="shared" si="1"/>
        <v>Pradeep Kothari2025-08-2018</v>
      </c>
    </row>
    <row r="327">
      <c r="A327" s="115" t="s">
        <v>26</v>
      </c>
      <c r="B327" s="115" t="s">
        <v>50</v>
      </c>
      <c r="C327" s="115">
        <v>232656.0</v>
      </c>
      <c r="D327" s="116">
        <v>45889.0</v>
      </c>
      <c r="E327" s="12" t="s">
        <v>53</v>
      </c>
      <c r="F327" s="115" t="str">
        <f t="shared" si="1"/>
        <v>Premkumar M2025-08-2018</v>
      </c>
    </row>
    <row r="328">
      <c r="A328" s="115" t="s">
        <v>27</v>
      </c>
      <c r="B328" s="115" t="s">
        <v>50</v>
      </c>
      <c r="C328" s="115">
        <v>168413.0</v>
      </c>
      <c r="D328" s="116">
        <v>45889.0</v>
      </c>
      <c r="E328" s="12" t="s">
        <v>53</v>
      </c>
      <c r="F328" s="115" t="str">
        <f t="shared" si="1"/>
        <v>Vineeth V2025-08-2018</v>
      </c>
    </row>
    <row r="329">
      <c r="C329" s="115">
        <v>1146.0</v>
      </c>
      <c r="D329" s="116">
        <v>45889.0</v>
      </c>
      <c r="E329" s="12" t="s">
        <v>53</v>
      </c>
      <c r="F329" s="115" t="str">
        <f t="shared" si="1"/>
        <v>2025-08-2018</v>
      </c>
    </row>
    <row r="330">
      <c r="A330" s="115" t="s">
        <v>15</v>
      </c>
      <c r="B330" s="115" t="s">
        <v>49</v>
      </c>
      <c r="C330" s="115">
        <v>110501.0</v>
      </c>
      <c r="D330" s="116">
        <v>45892.0</v>
      </c>
      <c r="E330" s="12" t="s">
        <v>60</v>
      </c>
      <c r="F330" s="115" t="str">
        <f t="shared" si="1"/>
        <v>Amit Kumar Pathak2025-08-2310</v>
      </c>
    </row>
    <row r="331">
      <c r="A331" s="115" t="s">
        <v>29</v>
      </c>
      <c r="B331" s="115" t="s">
        <v>51</v>
      </c>
      <c r="C331" s="115">
        <v>252199.0</v>
      </c>
      <c r="D331" s="116">
        <v>45892.0</v>
      </c>
      <c r="E331" s="12" t="s">
        <v>60</v>
      </c>
      <c r="F331" s="115" t="str">
        <f t="shared" si="1"/>
        <v>Ashish Jakar2025-08-2310</v>
      </c>
    </row>
    <row r="332">
      <c r="A332" s="115" t="s">
        <v>20</v>
      </c>
      <c r="B332" s="115" t="s">
        <v>47</v>
      </c>
      <c r="C332" s="115">
        <v>478771.0</v>
      </c>
      <c r="D332" s="116">
        <v>45892.0</v>
      </c>
      <c r="E332" s="12" t="s">
        <v>60</v>
      </c>
      <c r="F332" s="115" t="str">
        <f t="shared" si="1"/>
        <v>Ashish Ranjan2025-08-2310</v>
      </c>
    </row>
    <row r="333">
      <c r="A333" s="115" t="s">
        <v>30</v>
      </c>
      <c r="B333" s="115" t="s">
        <v>51</v>
      </c>
      <c r="C333" s="115">
        <v>234620.0</v>
      </c>
      <c r="D333" s="116">
        <v>45892.0</v>
      </c>
      <c r="E333" s="12" t="s">
        <v>60</v>
      </c>
      <c r="F333" s="115" t="str">
        <f t="shared" si="1"/>
        <v>Ashvani Bhatt2025-08-2310</v>
      </c>
    </row>
    <row r="334">
      <c r="A334" s="115" t="s">
        <v>21</v>
      </c>
      <c r="B334" s="115" t="s">
        <v>47</v>
      </c>
      <c r="C334" s="115">
        <v>310205.0</v>
      </c>
      <c r="D334" s="116">
        <v>45892.0</v>
      </c>
      <c r="E334" s="12" t="s">
        <v>60</v>
      </c>
      <c r="F334" s="115" t="str">
        <f t="shared" si="1"/>
        <v>Girish Chand2025-08-2310</v>
      </c>
    </row>
    <row r="335">
      <c r="A335" s="115" t="s">
        <v>24</v>
      </c>
      <c r="B335" s="115" t="s">
        <v>50</v>
      </c>
      <c r="C335" s="115">
        <v>272229.0</v>
      </c>
      <c r="D335" s="116">
        <v>45892.0</v>
      </c>
      <c r="E335" s="12" t="s">
        <v>60</v>
      </c>
      <c r="F335" s="115" t="str">
        <f t="shared" si="1"/>
        <v>Kandula Sampath2025-08-2310</v>
      </c>
    </row>
    <row r="336">
      <c r="A336" s="115" t="s">
        <v>17</v>
      </c>
      <c r="B336" s="115" t="s">
        <v>49</v>
      </c>
      <c r="C336" s="115">
        <v>117761.0</v>
      </c>
      <c r="D336" s="116">
        <v>45892.0</v>
      </c>
      <c r="E336" s="12" t="s">
        <v>60</v>
      </c>
      <c r="F336" s="115" t="str">
        <f t="shared" si="1"/>
        <v>Loveleen Singh2025-08-2310</v>
      </c>
    </row>
    <row r="337">
      <c r="A337" s="115" t="s">
        <v>16</v>
      </c>
      <c r="B337" s="115" t="s">
        <v>49</v>
      </c>
      <c r="C337" s="115">
        <v>320117.0</v>
      </c>
      <c r="D337" s="116">
        <v>45892.0</v>
      </c>
      <c r="E337" s="12" t="s">
        <v>60</v>
      </c>
      <c r="F337" s="115" t="str">
        <f t="shared" si="1"/>
        <v>Manoj Harsh2025-08-2310</v>
      </c>
    </row>
    <row r="338">
      <c r="A338" s="115" t="s">
        <v>25</v>
      </c>
      <c r="B338" s="115" t="s">
        <v>50</v>
      </c>
      <c r="C338" s="115">
        <v>221203.0</v>
      </c>
      <c r="D338" s="116">
        <v>45892.0</v>
      </c>
      <c r="E338" s="12" t="s">
        <v>60</v>
      </c>
      <c r="F338" s="115" t="str">
        <f t="shared" si="1"/>
        <v>Martin A2025-08-2310</v>
      </c>
    </row>
    <row r="339">
      <c r="A339" s="115" t="s">
        <v>22</v>
      </c>
      <c r="B339" s="115" t="s">
        <v>47</v>
      </c>
      <c r="C339" s="115">
        <v>187795.0</v>
      </c>
      <c r="D339" s="116">
        <v>45892.0</v>
      </c>
      <c r="E339" s="12" t="s">
        <v>60</v>
      </c>
      <c r="F339" s="115" t="str">
        <f t="shared" si="1"/>
        <v>Parag Kashyap2025-08-2310</v>
      </c>
    </row>
    <row r="340">
      <c r="A340" s="115" t="s">
        <v>18</v>
      </c>
      <c r="B340" s="115" t="s">
        <v>49</v>
      </c>
      <c r="C340" s="115">
        <v>98424.0</v>
      </c>
      <c r="D340" s="116">
        <v>45892.0</v>
      </c>
      <c r="E340" s="12" t="s">
        <v>60</v>
      </c>
      <c r="F340" s="115" t="str">
        <f t="shared" si="1"/>
        <v>Pradeep Kothari2025-08-2310</v>
      </c>
    </row>
    <row r="341">
      <c r="A341" s="115" t="s">
        <v>26</v>
      </c>
      <c r="B341" s="115" t="s">
        <v>50</v>
      </c>
      <c r="C341" s="115">
        <v>183128.0</v>
      </c>
      <c r="D341" s="116">
        <v>45892.0</v>
      </c>
      <c r="E341" s="12" t="s">
        <v>60</v>
      </c>
      <c r="F341" s="115" t="str">
        <f t="shared" si="1"/>
        <v>Premkumar M2025-08-2310</v>
      </c>
    </row>
    <row r="342">
      <c r="A342" s="115" t="s">
        <v>27</v>
      </c>
      <c r="B342" s="115" t="s">
        <v>50</v>
      </c>
      <c r="C342" s="115">
        <v>172135.0</v>
      </c>
      <c r="D342" s="116">
        <v>45892.0</v>
      </c>
      <c r="E342" s="12" t="s">
        <v>60</v>
      </c>
      <c r="F342" s="115" t="str">
        <f t="shared" si="1"/>
        <v>Vineeth V2025-08-2310</v>
      </c>
    </row>
    <row r="343">
      <c r="C343" s="115">
        <v>13.0</v>
      </c>
      <c r="D343" s="116">
        <v>45892.0</v>
      </c>
      <c r="E343" s="12" t="s">
        <v>60</v>
      </c>
      <c r="F343" s="115" t="str">
        <f t="shared" si="1"/>
        <v>2025-08-2310</v>
      </c>
    </row>
    <row r="344">
      <c r="A344" s="115" t="s">
        <v>15</v>
      </c>
      <c r="B344" s="115" t="s">
        <v>49</v>
      </c>
      <c r="C344" s="115">
        <v>141970.0</v>
      </c>
      <c r="D344" s="116">
        <v>45892.0</v>
      </c>
      <c r="E344" s="12" t="s">
        <v>48</v>
      </c>
      <c r="F344" s="115" t="str">
        <f t="shared" si="1"/>
        <v>Amit Kumar Pathak2025-08-2313</v>
      </c>
    </row>
    <row r="345">
      <c r="A345" s="115" t="s">
        <v>29</v>
      </c>
      <c r="B345" s="115" t="s">
        <v>51</v>
      </c>
      <c r="C345" s="115">
        <v>337871.0</v>
      </c>
      <c r="D345" s="116">
        <v>45892.0</v>
      </c>
      <c r="E345" s="12" t="s">
        <v>48</v>
      </c>
      <c r="F345" s="115" t="str">
        <f t="shared" si="1"/>
        <v>Ashish Jakar2025-08-2313</v>
      </c>
    </row>
    <row r="346">
      <c r="A346" s="115" t="s">
        <v>20</v>
      </c>
      <c r="B346" s="115" t="s">
        <v>47</v>
      </c>
      <c r="C346" s="115">
        <v>609430.0</v>
      </c>
      <c r="D346" s="116">
        <v>45892.0</v>
      </c>
      <c r="E346" s="12" t="s">
        <v>48</v>
      </c>
      <c r="F346" s="115" t="str">
        <f t="shared" si="1"/>
        <v>Ashish Ranjan2025-08-2313</v>
      </c>
    </row>
    <row r="347">
      <c r="A347" s="115" t="s">
        <v>30</v>
      </c>
      <c r="B347" s="115" t="s">
        <v>51</v>
      </c>
      <c r="C347" s="115">
        <v>278718.0</v>
      </c>
      <c r="D347" s="116">
        <v>45892.0</v>
      </c>
      <c r="E347" s="12" t="s">
        <v>48</v>
      </c>
      <c r="F347" s="115" t="str">
        <f t="shared" si="1"/>
        <v>Ashvani Bhatt2025-08-2313</v>
      </c>
    </row>
    <row r="348">
      <c r="A348" s="115" t="s">
        <v>21</v>
      </c>
      <c r="B348" s="115" t="s">
        <v>47</v>
      </c>
      <c r="C348" s="115">
        <v>404132.0</v>
      </c>
      <c r="D348" s="116">
        <v>45892.0</v>
      </c>
      <c r="E348" s="12" t="s">
        <v>48</v>
      </c>
      <c r="F348" s="115" t="str">
        <f t="shared" si="1"/>
        <v>Girish Chand2025-08-2313</v>
      </c>
    </row>
    <row r="349">
      <c r="A349" s="115" t="s">
        <v>24</v>
      </c>
      <c r="B349" s="115" t="s">
        <v>50</v>
      </c>
      <c r="C349" s="115">
        <v>302236.0</v>
      </c>
      <c r="D349" s="116">
        <v>45892.0</v>
      </c>
      <c r="E349" s="12" t="s">
        <v>48</v>
      </c>
      <c r="F349" s="115" t="str">
        <f t="shared" si="1"/>
        <v>Kandula Sampath2025-08-2313</v>
      </c>
    </row>
    <row r="350">
      <c r="A350" s="115" t="s">
        <v>17</v>
      </c>
      <c r="B350" s="115" t="s">
        <v>49</v>
      </c>
      <c r="C350" s="115">
        <v>180697.0</v>
      </c>
      <c r="D350" s="116">
        <v>45892.0</v>
      </c>
      <c r="E350" s="12" t="s">
        <v>48</v>
      </c>
      <c r="F350" s="115" t="str">
        <f t="shared" si="1"/>
        <v>Loveleen Singh2025-08-2313</v>
      </c>
    </row>
    <row r="351">
      <c r="A351" s="115" t="s">
        <v>16</v>
      </c>
      <c r="B351" s="115" t="s">
        <v>49</v>
      </c>
      <c r="C351" s="115">
        <v>398266.0</v>
      </c>
      <c r="D351" s="116">
        <v>45892.0</v>
      </c>
      <c r="E351" s="12" t="s">
        <v>48</v>
      </c>
      <c r="F351" s="115" t="str">
        <f t="shared" si="1"/>
        <v>Manoj Harsh2025-08-2313</v>
      </c>
    </row>
    <row r="352">
      <c r="A352" s="115" t="s">
        <v>25</v>
      </c>
      <c r="B352" s="115" t="s">
        <v>50</v>
      </c>
      <c r="C352" s="115">
        <v>277298.0</v>
      </c>
      <c r="D352" s="116">
        <v>45892.0</v>
      </c>
      <c r="E352" s="12" t="s">
        <v>48</v>
      </c>
      <c r="F352" s="115" t="str">
        <f t="shared" si="1"/>
        <v>Martin A2025-08-2313</v>
      </c>
    </row>
    <row r="353">
      <c r="A353" s="115" t="s">
        <v>22</v>
      </c>
      <c r="B353" s="115" t="s">
        <v>47</v>
      </c>
      <c r="C353" s="115">
        <v>238704.0</v>
      </c>
      <c r="D353" s="116">
        <v>45892.0</v>
      </c>
      <c r="E353" s="12" t="s">
        <v>48</v>
      </c>
      <c r="F353" s="115" t="str">
        <f t="shared" si="1"/>
        <v>Parag Kashyap2025-08-2313</v>
      </c>
    </row>
    <row r="354">
      <c r="A354" s="115" t="s">
        <v>18</v>
      </c>
      <c r="B354" s="115" t="s">
        <v>49</v>
      </c>
      <c r="C354" s="115">
        <v>134597.0</v>
      </c>
      <c r="D354" s="116">
        <v>45892.0</v>
      </c>
      <c r="E354" s="12" t="s">
        <v>48</v>
      </c>
      <c r="F354" s="115" t="str">
        <f t="shared" si="1"/>
        <v>Pradeep Kothari2025-08-2313</v>
      </c>
    </row>
    <row r="355">
      <c r="A355" s="115" t="s">
        <v>26</v>
      </c>
      <c r="B355" s="115" t="s">
        <v>50</v>
      </c>
      <c r="C355" s="115">
        <v>266422.0</v>
      </c>
      <c r="D355" s="116">
        <v>45892.0</v>
      </c>
      <c r="E355" s="12" t="s">
        <v>48</v>
      </c>
      <c r="F355" s="115" t="str">
        <f t="shared" si="1"/>
        <v>Premkumar M2025-08-2313</v>
      </c>
    </row>
    <row r="356">
      <c r="A356" s="115" t="s">
        <v>27</v>
      </c>
      <c r="B356" s="115" t="s">
        <v>50</v>
      </c>
      <c r="C356" s="115">
        <v>240076.0</v>
      </c>
      <c r="D356" s="116">
        <v>45892.0</v>
      </c>
      <c r="E356" s="12" t="s">
        <v>48</v>
      </c>
      <c r="F356" s="115" t="str">
        <f t="shared" si="1"/>
        <v>Vineeth V2025-08-2313</v>
      </c>
    </row>
    <row r="357">
      <c r="C357" s="115">
        <v>1648.0</v>
      </c>
      <c r="D357" s="116">
        <v>45892.0</v>
      </c>
      <c r="E357" s="12" t="s">
        <v>48</v>
      </c>
      <c r="F357" s="115" t="str">
        <f t="shared" si="1"/>
        <v>2025-08-2313</v>
      </c>
    </row>
    <row r="358">
      <c r="A358" s="115" t="s">
        <v>15</v>
      </c>
      <c r="B358" s="115" t="s">
        <v>49</v>
      </c>
      <c r="C358" s="115">
        <v>148203.0</v>
      </c>
      <c r="D358" s="116">
        <v>45892.0</v>
      </c>
      <c r="E358" s="12" t="s">
        <v>53</v>
      </c>
      <c r="F358" s="115" t="str">
        <f t="shared" si="1"/>
        <v>Amit Kumar Pathak2025-08-2318</v>
      </c>
    </row>
    <row r="359">
      <c r="A359" s="115" t="s">
        <v>29</v>
      </c>
      <c r="B359" s="115" t="s">
        <v>51</v>
      </c>
      <c r="C359" s="115">
        <v>345926.0</v>
      </c>
      <c r="D359" s="116">
        <v>45892.0</v>
      </c>
      <c r="E359" s="12" t="s">
        <v>53</v>
      </c>
      <c r="F359" s="115" t="str">
        <f t="shared" si="1"/>
        <v>Ashish Jakar2025-08-2318</v>
      </c>
    </row>
    <row r="360">
      <c r="A360" s="115" t="s">
        <v>20</v>
      </c>
      <c r="B360" s="115" t="s">
        <v>47</v>
      </c>
      <c r="C360" s="115">
        <v>648307.0</v>
      </c>
      <c r="D360" s="116">
        <v>45892.0</v>
      </c>
      <c r="E360" s="12" t="s">
        <v>53</v>
      </c>
      <c r="F360" s="115" t="str">
        <f t="shared" si="1"/>
        <v>Ashish Ranjan2025-08-2318</v>
      </c>
    </row>
    <row r="361">
      <c r="A361" s="115" t="s">
        <v>30</v>
      </c>
      <c r="B361" s="115" t="s">
        <v>51</v>
      </c>
      <c r="C361" s="115">
        <v>299357.0</v>
      </c>
      <c r="D361" s="116">
        <v>45892.0</v>
      </c>
      <c r="E361" s="12" t="s">
        <v>53</v>
      </c>
      <c r="F361" s="115" t="str">
        <f t="shared" si="1"/>
        <v>Ashvani Bhatt2025-08-2318</v>
      </c>
    </row>
    <row r="362">
      <c r="A362" s="115" t="s">
        <v>21</v>
      </c>
      <c r="B362" s="115" t="s">
        <v>47</v>
      </c>
      <c r="C362" s="115">
        <v>422360.0</v>
      </c>
      <c r="D362" s="116">
        <v>45892.0</v>
      </c>
      <c r="E362" s="12" t="s">
        <v>53</v>
      </c>
      <c r="F362" s="115" t="str">
        <f t="shared" si="1"/>
        <v>Girish Chand2025-08-2318</v>
      </c>
    </row>
    <row r="363">
      <c r="A363" s="115" t="s">
        <v>24</v>
      </c>
      <c r="B363" s="115" t="s">
        <v>50</v>
      </c>
      <c r="C363" s="115">
        <v>319533.0</v>
      </c>
      <c r="D363" s="116">
        <v>45892.0</v>
      </c>
      <c r="E363" s="12" t="s">
        <v>53</v>
      </c>
      <c r="F363" s="115" t="str">
        <f t="shared" si="1"/>
        <v>Kandula Sampath2025-08-2318</v>
      </c>
    </row>
    <row r="364">
      <c r="A364" s="115" t="s">
        <v>17</v>
      </c>
      <c r="B364" s="115" t="s">
        <v>49</v>
      </c>
      <c r="C364" s="115">
        <v>241357.0</v>
      </c>
      <c r="D364" s="116">
        <v>45892.0</v>
      </c>
      <c r="E364" s="12" t="s">
        <v>53</v>
      </c>
      <c r="F364" s="115" t="str">
        <f t="shared" si="1"/>
        <v>Loveleen Singh2025-08-2318</v>
      </c>
    </row>
    <row r="365">
      <c r="A365" s="115" t="s">
        <v>16</v>
      </c>
      <c r="B365" s="115" t="s">
        <v>49</v>
      </c>
      <c r="C365" s="115">
        <v>401770.0</v>
      </c>
      <c r="D365" s="116">
        <v>45892.0</v>
      </c>
      <c r="E365" s="12" t="s">
        <v>53</v>
      </c>
      <c r="F365" s="115" t="str">
        <f t="shared" si="1"/>
        <v>Manoj Harsh2025-08-2318</v>
      </c>
    </row>
    <row r="366">
      <c r="A366" s="115" t="s">
        <v>25</v>
      </c>
      <c r="B366" s="115" t="s">
        <v>50</v>
      </c>
      <c r="C366" s="115">
        <v>303781.0</v>
      </c>
      <c r="D366" s="116">
        <v>45892.0</v>
      </c>
      <c r="E366" s="12" t="s">
        <v>53</v>
      </c>
      <c r="F366" s="115" t="str">
        <f t="shared" si="1"/>
        <v>Martin A2025-08-2318</v>
      </c>
    </row>
    <row r="367">
      <c r="A367" s="115" t="s">
        <v>22</v>
      </c>
      <c r="B367" s="115" t="s">
        <v>47</v>
      </c>
      <c r="C367" s="115">
        <v>286640.0</v>
      </c>
      <c r="D367" s="116">
        <v>45892.0</v>
      </c>
      <c r="E367" s="12" t="s">
        <v>53</v>
      </c>
      <c r="F367" s="115" t="str">
        <f t="shared" si="1"/>
        <v>Parag Kashyap2025-08-2318</v>
      </c>
    </row>
    <row r="368">
      <c r="A368" s="115" t="s">
        <v>18</v>
      </c>
      <c r="B368" s="115" t="s">
        <v>49</v>
      </c>
      <c r="C368" s="115">
        <v>141860.0</v>
      </c>
      <c r="D368" s="116">
        <v>45892.0</v>
      </c>
      <c r="E368" s="12" t="s">
        <v>53</v>
      </c>
      <c r="F368" s="115" t="str">
        <f t="shared" si="1"/>
        <v>Pradeep Kothari2025-08-2318</v>
      </c>
    </row>
    <row r="369">
      <c r="A369" s="115" t="s">
        <v>26</v>
      </c>
      <c r="B369" s="115" t="s">
        <v>50</v>
      </c>
      <c r="C369" s="115">
        <v>278865.0</v>
      </c>
      <c r="D369" s="116">
        <v>45892.0</v>
      </c>
      <c r="E369" s="12" t="s">
        <v>53</v>
      </c>
      <c r="F369" s="115" t="str">
        <f t="shared" si="1"/>
        <v>Premkumar M2025-08-2318</v>
      </c>
    </row>
    <row r="370">
      <c r="A370" s="115" t="s">
        <v>27</v>
      </c>
      <c r="B370" s="115" t="s">
        <v>50</v>
      </c>
      <c r="C370" s="115">
        <v>249547.0</v>
      </c>
      <c r="D370" s="116">
        <v>45892.0</v>
      </c>
      <c r="E370" s="12" t="s">
        <v>53</v>
      </c>
      <c r="F370" s="115" t="str">
        <f t="shared" si="1"/>
        <v>Vineeth V2025-08-2318</v>
      </c>
    </row>
    <row r="371">
      <c r="C371" s="115">
        <v>1571.0</v>
      </c>
      <c r="D371" s="116">
        <v>45892.0</v>
      </c>
      <c r="E371" s="12" t="s">
        <v>53</v>
      </c>
      <c r="F371" s="115" t="str">
        <f t="shared" si="1"/>
        <v>2025-08-2318</v>
      </c>
    </row>
    <row r="372">
      <c r="A372" s="115" t="s">
        <v>15</v>
      </c>
      <c r="B372" s="115" t="s">
        <v>49</v>
      </c>
      <c r="C372" s="115">
        <v>99193.0</v>
      </c>
      <c r="D372" s="116">
        <v>45893.0</v>
      </c>
      <c r="E372" s="12" t="s">
        <v>60</v>
      </c>
      <c r="F372" s="115" t="str">
        <f t="shared" si="1"/>
        <v>Amit Kumar Pathak2025-08-2410</v>
      </c>
    </row>
    <row r="373">
      <c r="A373" s="115" t="s">
        <v>29</v>
      </c>
      <c r="B373" s="115" t="s">
        <v>51</v>
      </c>
      <c r="C373" s="115">
        <v>226107.0</v>
      </c>
      <c r="D373" s="116">
        <v>45893.0</v>
      </c>
      <c r="E373" s="12" t="s">
        <v>60</v>
      </c>
      <c r="F373" s="115" t="str">
        <f t="shared" si="1"/>
        <v>Ashish Jakar2025-08-2410</v>
      </c>
    </row>
    <row r="374">
      <c r="A374" s="115" t="s">
        <v>20</v>
      </c>
      <c r="B374" s="115" t="s">
        <v>47</v>
      </c>
      <c r="C374" s="115">
        <v>521315.0</v>
      </c>
      <c r="D374" s="116">
        <v>45893.0</v>
      </c>
      <c r="E374" s="12" t="s">
        <v>60</v>
      </c>
      <c r="F374" s="115" t="str">
        <f t="shared" si="1"/>
        <v>Ashish Ranjan2025-08-2410</v>
      </c>
    </row>
    <row r="375">
      <c r="A375" s="115" t="s">
        <v>30</v>
      </c>
      <c r="B375" s="115" t="s">
        <v>51</v>
      </c>
      <c r="C375" s="115">
        <v>224496.0</v>
      </c>
      <c r="D375" s="116">
        <v>45893.0</v>
      </c>
      <c r="E375" s="12" t="s">
        <v>60</v>
      </c>
      <c r="F375" s="115" t="str">
        <f t="shared" si="1"/>
        <v>Ashvani Bhatt2025-08-2410</v>
      </c>
    </row>
    <row r="376">
      <c r="A376" s="115" t="s">
        <v>21</v>
      </c>
      <c r="B376" s="115" t="s">
        <v>47</v>
      </c>
      <c r="C376" s="115">
        <v>351184.0</v>
      </c>
      <c r="D376" s="116">
        <v>45893.0</v>
      </c>
      <c r="E376" s="12" t="s">
        <v>60</v>
      </c>
      <c r="F376" s="115" t="str">
        <f t="shared" si="1"/>
        <v>Girish Chand2025-08-2410</v>
      </c>
    </row>
    <row r="377">
      <c r="A377" s="115" t="s">
        <v>24</v>
      </c>
      <c r="B377" s="115" t="s">
        <v>50</v>
      </c>
      <c r="C377" s="115">
        <v>277445.0</v>
      </c>
      <c r="D377" s="116">
        <v>45893.0</v>
      </c>
      <c r="E377" s="12" t="s">
        <v>60</v>
      </c>
      <c r="F377" s="115" t="str">
        <f t="shared" si="1"/>
        <v>Kandula Sampath2025-08-2410</v>
      </c>
    </row>
    <row r="378">
      <c r="A378" s="115" t="s">
        <v>17</v>
      </c>
      <c r="B378" s="115" t="s">
        <v>49</v>
      </c>
      <c r="C378" s="115">
        <v>120939.0</v>
      </c>
      <c r="D378" s="116">
        <v>45893.0</v>
      </c>
      <c r="E378" s="12" t="s">
        <v>60</v>
      </c>
      <c r="F378" s="115" t="str">
        <f t="shared" si="1"/>
        <v>Loveleen Singh2025-08-2410</v>
      </c>
    </row>
    <row r="379">
      <c r="A379" s="115" t="s">
        <v>16</v>
      </c>
      <c r="B379" s="115" t="s">
        <v>49</v>
      </c>
      <c r="C379" s="115">
        <v>338412.0</v>
      </c>
      <c r="D379" s="116">
        <v>45893.0</v>
      </c>
      <c r="E379" s="12" t="s">
        <v>60</v>
      </c>
      <c r="F379" s="115" t="str">
        <f t="shared" si="1"/>
        <v>Manoj Harsh2025-08-2410</v>
      </c>
    </row>
    <row r="380">
      <c r="A380" s="115" t="s">
        <v>25</v>
      </c>
      <c r="B380" s="115" t="s">
        <v>50</v>
      </c>
      <c r="C380" s="115">
        <v>248457.0</v>
      </c>
      <c r="D380" s="116">
        <v>45893.0</v>
      </c>
      <c r="E380" s="12" t="s">
        <v>60</v>
      </c>
      <c r="F380" s="115" t="str">
        <f t="shared" si="1"/>
        <v>Martin A2025-08-2410</v>
      </c>
    </row>
    <row r="381">
      <c r="A381" s="115" t="s">
        <v>22</v>
      </c>
      <c r="B381" s="115" t="s">
        <v>47</v>
      </c>
      <c r="C381" s="115">
        <v>182712.0</v>
      </c>
      <c r="D381" s="116">
        <v>45893.0</v>
      </c>
      <c r="E381" s="12" t="s">
        <v>60</v>
      </c>
      <c r="F381" s="115" t="str">
        <f t="shared" si="1"/>
        <v>Parag Kashyap2025-08-2410</v>
      </c>
    </row>
    <row r="382">
      <c r="A382" s="115" t="s">
        <v>18</v>
      </c>
      <c r="B382" s="115" t="s">
        <v>49</v>
      </c>
      <c r="C382" s="115">
        <v>87831.0</v>
      </c>
      <c r="D382" s="116">
        <v>45893.0</v>
      </c>
      <c r="E382" s="12" t="s">
        <v>60</v>
      </c>
      <c r="F382" s="115" t="str">
        <f t="shared" si="1"/>
        <v>Pradeep Kothari2025-08-2410</v>
      </c>
    </row>
    <row r="383">
      <c r="A383" s="115" t="s">
        <v>26</v>
      </c>
      <c r="B383" s="115" t="s">
        <v>50</v>
      </c>
      <c r="C383" s="115">
        <v>218596.0</v>
      </c>
      <c r="D383" s="116">
        <v>45893.0</v>
      </c>
      <c r="E383" s="12" t="s">
        <v>60</v>
      </c>
      <c r="F383" s="115" t="str">
        <f t="shared" si="1"/>
        <v>Premkumar M2025-08-2410</v>
      </c>
    </row>
    <row r="384">
      <c r="A384" s="115" t="s">
        <v>27</v>
      </c>
      <c r="B384" s="115" t="s">
        <v>50</v>
      </c>
      <c r="C384" s="115">
        <v>171113.0</v>
      </c>
      <c r="D384" s="116">
        <v>45893.0</v>
      </c>
      <c r="E384" s="12" t="s">
        <v>60</v>
      </c>
      <c r="F384" s="115" t="str">
        <f t="shared" si="1"/>
        <v>Vineeth V2025-08-2410</v>
      </c>
    </row>
    <row r="385">
      <c r="C385" s="115">
        <v>824.0</v>
      </c>
      <c r="D385" s="116">
        <v>45893.0</v>
      </c>
      <c r="E385" s="12" t="s">
        <v>60</v>
      </c>
      <c r="F385" s="115" t="str">
        <f t="shared" si="1"/>
        <v>2025-08-2410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3" max="43" width="15.38"/>
  </cols>
  <sheetData>
    <row r="1">
      <c r="A1" s="115" t="str">
        <f>IFERROR(__xludf.DUMMYFUNCTION("IMPORTRANGE(""https://docs.google.com/spreadsheets/d/1j-lLB9CmqMVbm2gmIzLMcim6QcSMwUxy3DTk5VGEml8/edit?gid=1282805988#gid=1282805988"",""Ref!A:AV"")"),"GM")</f>
        <v>GM</v>
      </c>
      <c r="B1" s="115" t="str">
        <f>IFERROR(__xludf.DUMMYFUNCTION("""COMPUTED_VALUE"""),"Today's CPD")</f>
        <v>Today's CPD</v>
      </c>
      <c r="C1" s="115"/>
      <c r="D1" s="115"/>
      <c r="E1" s="115"/>
      <c r="F1" s="115" t="str">
        <f>IFERROR(__xludf.DUMMYFUNCTION("""COMPUTED_VALUE"""),"Total")</f>
        <v>Total</v>
      </c>
      <c r="G1" s="115"/>
      <c r="H1" s="115"/>
      <c r="I1" s="115"/>
      <c r="J1" s="115" t="str">
        <f>IFERROR(__xludf.DUMMYFUNCTION("""COMPUTED_VALUE"""),"Eligible Load ")</f>
        <v>Eligible Load </v>
      </c>
      <c r="K1" s="115"/>
      <c r="L1" s="115"/>
      <c r="M1" s="115"/>
      <c r="N1" s="115"/>
      <c r="O1" s="115"/>
      <c r="P1" s="115"/>
      <c r="Q1" s="115" t="str">
        <f>IFERROR(__xludf.DUMMYFUNCTION("""COMPUTED_VALUE"""),"  ")</f>
        <v>  </v>
      </c>
      <c r="R1" s="115" t="str">
        <f>IFERROR(__xludf.DUMMYFUNCTION("""COMPUTED_VALUE"""),"RSPS &amp; OFD Updated")</f>
        <v>RSPS &amp; OFD Updated</v>
      </c>
      <c r="S1" s="115" t="str">
        <f>IFERROR(__xludf.DUMMYFUNCTION("""COMPUTED_VALUE"""),"Last Updated: 2025-09-13 22:30:07 IST")</f>
        <v>Last Updated: 2025-09-13 22:30:07 IST</v>
      </c>
      <c r="T1" s="115"/>
      <c r="U1" s="115"/>
      <c r="V1" s="115"/>
      <c r="W1" s="115"/>
      <c r="X1" s="115"/>
      <c r="Y1" s="115"/>
      <c r="Z1" s="115"/>
      <c r="AA1" s="115"/>
      <c r="AB1" s="115"/>
      <c r="AC1" s="115"/>
      <c r="AD1" s="115"/>
      <c r="AE1" s="115"/>
      <c r="AF1" s="115"/>
      <c r="AG1" s="115"/>
      <c r="AH1" s="115"/>
      <c r="AI1" s="115"/>
      <c r="AJ1" s="115" t="str">
        <f>IFERROR(__xludf.DUMMYFUNCTION("""COMPUTED_VALUE"""),"#REF!")</f>
        <v>#REF!</v>
      </c>
      <c r="AK1" s="115"/>
      <c r="AL1" s="115"/>
      <c r="AM1" s="115"/>
      <c r="AN1" s="115"/>
      <c r="AO1" s="115" t="str">
        <f>IFERROR(__xludf.DUMMYFUNCTION("""COMPUTED_VALUE"""),"Daystart")</f>
        <v>Daystart</v>
      </c>
      <c r="AP1" s="115" t="str">
        <f>IFERROR(__xludf.DUMMYFUNCTION("""COMPUTED_VALUE"""),"Zone")</f>
        <v>Zone</v>
      </c>
      <c r="AQ1" s="115" t="str">
        <f>IFERROR(__xludf.DUMMYFUNCTION("""COMPUTED_VALUE"""),"GM_Name")</f>
        <v>GM_Name</v>
      </c>
      <c r="AR1" s="115" t="str">
        <f>IFERROR(__xludf.DUMMYFUNCTION("""COMPUTED_VALUE"""),"Count")</f>
        <v>Count</v>
      </c>
      <c r="AS1" s="115"/>
      <c r="AT1" s="115" t="str">
        <f>IFERROR(__xludf.DUMMYFUNCTION("""COMPUTED_VALUE"""),"zone_id")</f>
        <v>zone_id</v>
      </c>
      <c r="AU1" s="115" t="str">
        <f>IFERROR(__xludf.DUMMYFUNCTION("""COMPUTED_VALUE"""),"GM_Name")</f>
        <v>GM_Name</v>
      </c>
      <c r="AV1" s="115" t="str">
        <f>IFERROR(__xludf.DUMMYFUNCTION("""COMPUTED_VALUE"""),"Count")</f>
        <v>Count</v>
      </c>
    </row>
    <row r="2">
      <c r="A2" s="115" t="str">
        <f>IFERROR(__xludf.DUMMYFUNCTION("""COMPUTED_VALUE"""),"Ashish Jakar")</f>
        <v>Ashish Jakar</v>
      </c>
      <c r="B2" s="115">
        <f>IFERROR(__xludf.DUMMYFUNCTION("""COMPUTED_VALUE"""),82840.0)</f>
        <v>82840</v>
      </c>
      <c r="C2" s="115"/>
      <c r="D2" s="115"/>
      <c r="E2" s="115" t="str">
        <f>IFERROR(__xludf.DUMMYFUNCTION("""COMPUTED_VALUE"""),"North")</f>
        <v>North</v>
      </c>
      <c r="F2" s="115">
        <f>IFERROR(__xludf.DUMMYFUNCTION("""COMPUTED_VALUE"""),1769987.0)</f>
        <v>1769987</v>
      </c>
      <c r="G2" s="115" t="str">
        <f>IFERROR(__xludf.DUMMYFUNCTION("""COMPUTED_VALUE"""),"North")</f>
        <v>North</v>
      </c>
      <c r="H2" s="115"/>
      <c r="I2" s="115"/>
      <c r="J2" s="115" t="str">
        <f>IFERROR(__xludf.DUMMYFUNCTION("""COMPUTED_VALUE"""),"Total")</f>
        <v>Total</v>
      </c>
      <c r="K2" s="115"/>
      <c r="L2" s="115"/>
      <c r="M2" s="115"/>
      <c r="N2" s="115"/>
      <c r="O2" s="115"/>
      <c r="P2" s="115"/>
      <c r="Q2" s="115"/>
      <c r="R2" s="115" t="str">
        <f>IFERROR(__xludf.DUMMYFUNCTION("""COMPUTED_VALUE"""),"Day Start\FDP Based Pendency")</f>
        <v>Day Start\FDP Based Pendency</v>
      </c>
      <c r="S2" s="115" t="str">
        <f>IFERROR(__xludf.DUMMYFUNCTION("""COMPUTED_VALUE"""),"Last Updated: 2025-09-14 10:02:29 IST")</f>
        <v>Last Updated: 2025-09-14 10:02:29 IST</v>
      </c>
      <c r="T2" s="115" t="str">
        <f>IFERROR(__xludf.DUMMYFUNCTION("""COMPUTED_VALUE"""),"Day_Start")</f>
        <v>Day_Start</v>
      </c>
      <c r="U2" s="115"/>
      <c r="V2" s="115"/>
      <c r="W2" s="115"/>
      <c r="X2" s="115"/>
      <c r="Y2" s="115"/>
      <c r="Z2" s="115"/>
      <c r="AA2" s="115" t="str">
        <f>IFERROR(__xludf.DUMMYFUNCTION("""COMPUTED_VALUE"""),"Pendency")</f>
        <v>Pendency</v>
      </c>
      <c r="AB2" s="115"/>
      <c r="AC2" s="115"/>
      <c r="AD2" s="115"/>
      <c r="AE2" s="115"/>
      <c r="AF2" s="115"/>
      <c r="AG2" s="115"/>
      <c r="AH2" s="115"/>
      <c r="AI2" s="115"/>
      <c r="AJ2" s="115"/>
      <c r="AK2" s="115"/>
      <c r="AL2" s="115"/>
      <c r="AM2" s="115"/>
      <c r="AN2" s="115"/>
      <c r="AO2" s="115"/>
      <c r="AP2" s="115" t="str">
        <f>IFERROR(__xludf.DUMMYFUNCTION("""COMPUTED_VALUE"""),"EAST")</f>
        <v>EAST</v>
      </c>
      <c r="AQ2" s="115" t="str">
        <f>IFERROR(__xludf.DUMMYFUNCTION("""COMPUTED_VALUE"""),"Ashish Ranjan")</f>
        <v>Ashish Ranjan</v>
      </c>
      <c r="AR2" s="115">
        <f>IFERROR(__xludf.DUMMYFUNCTION("""COMPUTED_VALUE"""),893682.0)</f>
        <v>893682</v>
      </c>
      <c r="AS2" s="115"/>
      <c r="AT2" s="115" t="str">
        <f>IFERROR(__xludf.DUMMYFUNCTION("""COMPUTED_VALUE"""),"EAST")</f>
        <v>EAST</v>
      </c>
      <c r="AU2" s="115" t="str">
        <f>IFERROR(__xludf.DUMMYFUNCTION("""COMPUTED_VALUE"""),"Ashish Ranjan")</f>
        <v>Ashish Ranjan</v>
      </c>
      <c r="AV2" s="115">
        <f>IFERROR(__xludf.DUMMYFUNCTION("""COMPUTED_VALUE"""),98621.0)</f>
        <v>98621</v>
      </c>
    </row>
    <row r="3">
      <c r="A3" s="115" t="str">
        <f>IFERROR(__xludf.DUMMYFUNCTION("""COMPUTED_VALUE"""),"Ashish Ranjan")</f>
        <v>Ashish Ranjan</v>
      </c>
      <c r="B3" s="115">
        <f>IFERROR(__xludf.DUMMYFUNCTION("""COMPUTED_VALUE"""),72109.0)</f>
        <v>72109</v>
      </c>
      <c r="C3" s="115"/>
      <c r="D3" s="115"/>
      <c r="E3" s="115" t="str">
        <f>IFERROR(__xludf.DUMMYFUNCTION("""COMPUTED_VALUE"""),"Kaushal Mahajan")</f>
        <v>Kaushal Mahajan</v>
      </c>
      <c r="F3" s="115">
        <f>IFERROR(__xludf.DUMMYFUNCTION("""COMPUTED_VALUE"""),249281.0)</f>
        <v>249281</v>
      </c>
      <c r="G3" s="115" t="str">
        <f>IFERROR(__xludf.DUMMYFUNCTION("""COMPUTED_VALUE"""),"Kaushal Mahajan")</f>
        <v>Kaushal Mahajan</v>
      </c>
      <c r="H3" s="115"/>
      <c r="I3" s="115"/>
      <c r="J3" s="115" t="str">
        <f>IFERROR(__xludf.DUMMYFUNCTION("""COMPUTED_VALUE"""),"Kaushal Mahajan")</f>
        <v>Kaushal Mahajan</v>
      </c>
      <c r="K3" s="115">
        <f>IFERROR(__xludf.DUMMYFUNCTION("""COMPUTED_VALUE"""),242347.0)</f>
        <v>242347</v>
      </c>
      <c r="L3" s="115"/>
      <c r="M3" s="115"/>
      <c r="N3" s="115"/>
      <c r="O3" s="115"/>
      <c r="P3" s="115"/>
      <c r="Q3" s="115"/>
      <c r="R3" s="115"/>
      <c r="S3" s="115"/>
      <c r="T3" s="115">
        <f>IFERROR(__xludf.DUMMYFUNCTION("""COMPUTED_VALUE"""),60161.0)</f>
        <v>60161</v>
      </c>
      <c r="U3" s="115">
        <f>IFERROR(__xludf.DUMMYFUNCTION("""COMPUTED_VALUE"""),6511462.0)</f>
        <v>6511462</v>
      </c>
      <c r="V3" s="115">
        <f>IFERROR(__xludf.DUMMYFUNCTION("""COMPUTED_VALUE"""),2171741.0)</f>
        <v>2171741</v>
      </c>
      <c r="W3" s="115">
        <f>IFERROR(__xludf.DUMMYFUNCTION("""COMPUTED_VALUE"""),724018.0)</f>
        <v>724018</v>
      </c>
      <c r="X3" s="115">
        <f>IFERROR(__xludf.DUMMYFUNCTION("""COMPUTED_VALUE"""),486592.0)</f>
        <v>486592</v>
      </c>
      <c r="Y3" s="115">
        <f>IFERROR(__xludf.DUMMYFUNCTION("""COMPUTED_VALUE"""),237426.0)</f>
        <v>237426</v>
      </c>
      <c r="Z3" s="115">
        <f>IFERROR(__xludf.DUMMYFUNCTION("""COMPUTED_VALUE"""),3615703.0)</f>
        <v>3615703</v>
      </c>
      <c r="AA3" s="115">
        <f>IFERROR(__xludf.DUMMYFUNCTION("""COMPUTED_VALUE"""),23236.0)</f>
        <v>23236</v>
      </c>
      <c r="AB3" s="115">
        <f>IFERROR(__xludf.DUMMYFUNCTION("""COMPUTED_VALUE"""),1640230.0)</f>
        <v>1640230</v>
      </c>
      <c r="AC3" s="115">
        <f>IFERROR(__xludf.DUMMYFUNCTION("""COMPUTED_VALUE"""),198275.0)</f>
        <v>198275</v>
      </c>
      <c r="AD3" s="115">
        <f>IFERROR(__xludf.DUMMYFUNCTION("""COMPUTED_VALUE"""),378104.0)</f>
        <v>378104</v>
      </c>
      <c r="AE3" s="115">
        <f>IFERROR(__xludf.DUMMYFUNCTION("""COMPUTED_VALUE"""),192448.0)</f>
        <v>192448</v>
      </c>
      <c r="AF3" s="115"/>
      <c r="AG3" s="115"/>
      <c r="AH3" s="115"/>
      <c r="AI3" s="115"/>
      <c r="AJ3" s="115"/>
      <c r="AK3" s="115"/>
      <c r="AL3" s="115"/>
      <c r="AM3" s="115"/>
      <c r="AN3" s="115"/>
      <c r="AO3" s="115"/>
      <c r="AP3" s="115" t="str">
        <f>IFERROR(__xludf.DUMMYFUNCTION("""COMPUTED_VALUE"""),"EAST")</f>
        <v>EAST</v>
      </c>
      <c r="AQ3" s="115" t="str">
        <f>IFERROR(__xludf.DUMMYFUNCTION("""COMPUTED_VALUE"""),"Girish Chand")</f>
        <v>Girish Chand</v>
      </c>
      <c r="AR3" s="115">
        <f>IFERROR(__xludf.DUMMYFUNCTION("""COMPUTED_VALUE"""),645368.0)</f>
        <v>645368</v>
      </c>
      <c r="AS3" s="115"/>
      <c r="AT3" s="115" t="str">
        <f>IFERROR(__xludf.DUMMYFUNCTION("""COMPUTED_VALUE"""),"EAST")</f>
        <v>EAST</v>
      </c>
      <c r="AU3" s="115" t="str">
        <f>IFERROR(__xludf.DUMMYFUNCTION("""COMPUTED_VALUE"""),"Girish Chand")</f>
        <v>Girish Chand</v>
      </c>
      <c r="AV3" s="115">
        <f>IFERROR(__xludf.DUMMYFUNCTION("""COMPUTED_VALUE"""),86366.0)</f>
        <v>86366</v>
      </c>
    </row>
    <row r="4">
      <c r="A4" s="115" t="str">
        <f>IFERROR(__xludf.DUMMYFUNCTION("""COMPUTED_VALUE"""),"Ashvani Bhatt")</f>
        <v>Ashvani Bhatt</v>
      </c>
      <c r="B4" s="115">
        <f>IFERROR(__xludf.DUMMYFUNCTION("""COMPUTED_VALUE"""),64538.0)</f>
        <v>64538</v>
      </c>
      <c r="C4" s="115"/>
      <c r="D4" s="115"/>
      <c r="E4" s="115" t="str">
        <f>IFERROR(__xludf.DUMMYFUNCTION("""COMPUTED_VALUE"""),"Manoj Harsh")</f>
        <v>Manoj Harsh</v>
      </c>
      <c r="F4" s="115">
        <f>IFERROR(__xludf.DUMMYFUNCTION("""COMPUTED_VALUE"""),804159.0)</f>
        <v>804159</v>
      </c>
      <c r="G4" s="115" t="str">
        <f>IFERROR(__xludf.DUMMYFUNCTION("""COMPUTED_VALUE"""),"Manoj Harsh")</f>
        <v>Manoj Harsh</v>
      </c>
      <c r="H4" s="115"/>
      <c r="I4" s="115"/>
      <c r="J4" s="115" t="str">
        <f>IFERROR(__xludf.DUMMYFUNCTION("""COMPUTED_VALUE"""),"Manoj Harsh")</f>
        <v>Manoj Harsh</v>
      </c>
      <c r="K4" s="115">
        <f>IFERROR(__xludf.DUMMYFUNCTION("""COMPUTED_VALUE"""),649142.0)</f>
        <v>649142</v>
      </c>
      <c r="L4" s="115"/>
      <c r="M4" s="115"/>
      <c r="N4" s="115"/>
      <c r="O4" s="115"/>
      <c r="P4" s="115"/>
      <c r="Q4" s="115"/>
      <c r="R4" s="115"/>
      <c r="S4" s="115"/>
      <c r="T4" s="115" t="str">
        <f>IFERROR(__xludf.DUMMYFUNCTION("""COMPUTED_VALUE"""),"Day Start")</f>
        <v>Day Start</v>
      </c>
      <c r="U4" s="115" t="str">
        <f>IFERROR(__xludf.DUMMYFUNCTION("""COMPUTED_VALUE"""),"Overall")</f>
        <v>Overall</v>
      </c>
      <c r="V4" s="115" t="str">
        <f>IFERROR(__xludf.DUMMYFUNCTION("""COMPUTED_VALUE"""),"CPD")</f>
        <v>CPD</v>
      </c>
      <c r="W4" s="115" t="str">
        <f>IFERROR(__xludf.DUMMYFUNCTION("""COMPUTED_VALUE"""),"EOB")</f>
        <v>EOB</v>
      </c>
      <c r="X4" s="115"/>
      <c r="Y4" s="115"/>
      <c r="Z4" s="115" t="str">
        <f>IFERROR(__xludf.DUMMYFUNCTION("""COMPUTED_VALUE"""),"Future")</f>
        <v>Future</v>
      </c>
      <c r="AA4" s="115" t="str">
        <f>IFERROR(__xludf.DUMMYFUNCTION("""COMPUTED_VALUE"""),"Pendency")</f>
        <v>Pendency</v>
      </c>
      <c r="AB4" s="115" t="str">
        <f>IFERROR(__xludf.DUMMYFUNCTION("""COMPUTED_VALUE"""),"Overall")</f>
        <v>Overall</v>
      </c>
      <c r="AC4" s="115" t="str">
        <f>IFERROR(__xludf.DUMMYFUNCTION("""COMPUTED_VALUE"""),"CPD")</f>
        <v>CPD</v>
      </c>
      <c r="AD4" s="115" t="str">
        <f>IFERROR(__xludf.DUMMYFUNCTION("""COMPUTED_VALUE"""),"EOB")</f>
        <v>EOB</v>
      </c>
      <c r="AE4" s="115"/>
      <c r="AF4" s="115"/>
      <c r="AG4" s="115"/>
      <c r="AH4" s="115"/>
      <c r="AI4" s="115"/>
      <c r="AJ4" s="115"/>
      <c r="AK4" s="115"/>
      <c r="AL4" s="115"/>
      <c r="AM4" s="115"/>
      <c r="AN4" s="115"/>
      <c r="AO4" s="115"/>
      <c r="AP4" s="115" t="str">
        <f>IFERROR(__xludf.DUMMYFUNCTION("""COMPUTED_VALUE"""),"EAST")</f>
        <v>EAST</v>
      </c>
      <c r="AQ4" s="115" t="str">
        <f>IFERROR(__xludf.DUMMYFUNCTION("""COMPUTED_VALUE"""),"Parag Kashyap")</f>
        <v>Parag Kashyap</v>
      </c>
      <c r="AR4" s="115">
        <f>IFERROR(__xludf.DUMMYFUNCTION("""COMPUTED_VALUE"""),551180.0)</f>
        <v>551180</v>
      </c>
      <c r="AS4" s="115"/>
      <c r="AT4" s="115" t="str">
        <f>IFERROR(__xludf.DUMMYFUNCTION("""COMPUTED_VALUE"""),"EAST")</f>
        <v>EAST</v>
      </c>
      <c r="AU4" s="115" t="str">
        <f>IFERROR(__xludf.DUMMYFUNCTION("""COMPUTED_VALUE"""),"Parag Kashyap")</f>
        <v>Parag Kashyap</v>
      </c>
      <c r="AV4" s="115">
        <f>IFERROR(__xludf.DUMMYFUNCTION("""COMPUTED_VALUE"""),158096.0)</f>
        <v>158096</v>
      </c>
    </row>
    <row r="5">
      <c r="A5" s="115" t="str">
        <f>IFERROR(__xludf.DUMMYFUNCTION("""COMPUTED_VALUE"""),"Girish Chand")</f>
        <v>Girish Chand</v>
      </c>
      <c r="B5" s="115">
        <f>IFERROR(__xludf.DUMMYFUNCTION("""COMPUTED_VALUE"""),51998.0)</f>
        <v>51998</v>
      </c>
      <c r="C5" s="115"/>
      <c r="D5" s="115"/>
      <c r="E5" s="115" t="str">
        <f>IFERROR(__xludf.DUMMYFUNCTION("""COMPUTED_VALUE"""),"Paritosh Kumar")</f>
        <v>Paritosh Kumar</v>
      </c>
      <c r="F5" s="115">
        <f>IFERROR(__xludf.DUMMYFUNCTION("""COMPUTED_VALUE"""),387885.0)</f>
        <v>387885</v>
      </c>
      <c r="G5" s="115" t="str">
        <f>IFERROR(__xludf.DUMMYFUNCTION("""COMPUTED_VALUE"""),"Paritosh Kumar")</f>
        <v>Paritosh Kumar</v>
      </c>
      <c r="H5" s="115"/>
      <c r="I5" s="115"/>
      <c r="J5" s="115" t="str">
        <f>IFERROR(__xludf.DUMMYFUNCTION("""COMPUTED_VALUE"""),"Paritosh Kumar")</f>
        <v>Paritosh Kumar</v>
      </c>
      <c r="K5" s="115">
        <f>IFERROR(__xludf.DUMMYFUNCTION("""COMPUTED_VALUE"""),466066.0)</f>
        <v>466066</v>
      </c>
      <c r="L5" s="115"/>
      <c r="M5" s="115"/>
      <c r="N5" s="115"/>
      <c r="O5" s="115"/>
      <c r="P5" s="115"/>
      <c r="Q5" s="115"/>
      <c r="R5" s="115" t="str">
        <f>IFERROR(__xludf.DUMMYFUNCTION("""COMPUTED_VALUE"""),"Zone")</f>
        <v>Zone</v>
      </c>
      <c r="S5" s="115" t="str">
        <f>IFERROR(__xludf.DUMMYFUNCTION("""COMPUTED_VALUE"""),"GM")</f>
        <v>GM</v>
      </c>
      <c r="T5" s="115" t="str">
        <f>IFERROR(__xludf.DUMMYFUNCTION("""COMPUTED_VALUE"""),"P0")</f>
        <v>P0</v>
      </c>
      <c r="U5" s="115" t="str">
        <f>IFERROR(__xludf.DUMMYFUNCTION("""COMPUTED_VALUE"""),"Day_Start")</f>
        <v>Day_Start</v>
      </c>
      <c r="V5" s="115"/>
      <c r="W5" s="115" t="str">
        <f>IFERROR(__xludf.DUMMYFUNCTION("""COMPUTED_VALUE"""),"EOB")</f>
        <v>EOB</v>
      </c>
      <c r="X5" s="115" t="str">
        <f>IFERROR(__xludf.DUMMYFUNCTION("""COMPUTED_VALUE"""),"&lt;48Hrs")</f>
        <v>&lt;48Hrs</v>
      </c>
      <c r="Y5" s="115" t="str">
        <f>IFERROR(__xludf.DUMMYFUNCTION("""COMPUTED_VALUE"""),"&gt;48Hrs")</f>
        <v>&gt;48Hrs</v>
      </c>
      <c r="Z5" s="115"/>
      <c r="AA5" s="115" t="str">
        <f>IFERROR(__xludf.DUMMYFUNCTION("""COMPUTED_VALUE"""),"P0")</f>
        <v>P0</v>
      </c>
      <c r="AB5" s="115" t="str">
        <f>IFERROR(__xludf.DUMMYFUNCTION("""COMPUTED_VALUE"""),"Pendency")</f>
        <v>Pendency</v>
      </c>
      <c r="AC5" s="115"/>
      <c r="AD5" s="115" t="str">
        <f>IFERROR(__xludf.DUMMYFUNCTION("""COMPUTED_VALUE"""),"EOB")</f>
        <v>EOB</v>
      </c>
      <c r="AE5" s="115" t="str">
        <f>IFERROR(__xludf.DUMMYFUNCTION("""COMPUTED_VALUE"""),"&lt;48Hrs")</f>
        <v>&lt;48Hrs</v>
      </c>
      <c r="AF5" s="115"/>
      <c r="AG5" s="115"/>
      <c r="AH5" s="115"/>
      <c r="AI5" s="115"/>
      <c r="AJ5" s="115"/>
      <c r="AK5" s="115"/>
      <c r="AL5" s="115"/>
      <c r="AM5" s="115"/>
      <c r="AN5" s="115"/>
      <c r="AO5" s="115"/>
      <c r="AP5" s="115" t="str">
        <f>IFERROR(__xludf.DUMMYFUNCTION("""COMPUTED_VALUE"""),"NORTH")</f>
        <v>NORTH</v>
      </c>
      <c r="AQ5" s="115" t="str">
        <f>IFERROR(__xludf.DUMMYFUNCTION("""COMPUTED_VALUE"""),"Amit Kumar Pathak")</f>
        <v>Amit Kumar Pathak</v>
      </c>
      <c r="AR5" s="115">
        <f>IFERROR(__xludf.DUMMYFUNCTION("""COMPUTED_VALUE"""),208137.0)</f>
        <v>208137</v>
      </c>
      <c r="AS5" s="115"/>
      <c r="AT5" s="115" t="str">
        <f>IFERROR(__xludf.DUMMYFUNCTION("""COMPUTED_VALUE"""),"NORTH")</f>
        <v>NORTH</v>
      </c>
      <c r="AU5" s="115" t="str">
        <f>IFERROR(__xludf.DUMMYFUNCTION("""COMPUTED_VALUE"""),"Kaushal Mahajan (DNCR)")</f>
        <v>Kaushal Mahajan (DNCR)</v>
      </c>
      <c r="AV5" s="115">
        <f>IFERROR(__xludf.DUMMYFUNCTION("""COMPUTED_VALUE"""),10266.0)</f>
        <v>10266</v>
      </c>
    </row>
    <row r="6">
      <c r="A6" s="115" t="str">
        <f>IFERROR(__xludf.DUMMYFUNCTION("""COMPUTED_VALUE"""),"Kandula Sampath Kumar")</f>
        <v>Kandula Sampath Kumar</v>
      </c>
      <c r="B6" s="115">
        <f>IFERROR(__xludf.DUMMYFUNCTION("""COMPUTED_VALUE"""),20621.0)</f>
        <v>20621</v>
      </c>
      <c r="C6" s="115"/>
      <c r="D6" s="115"/>
      <c r="E6" s="115" t="str">
        <f>IFERROR(__xludf.DUMMYFUNCTION("""COMPUTED_VALUE"""),"Piyush Sharma")</f>
        <v>Piyush Sharma</v>
      </c>
      <c r="F6" s="115">
        <f>IFERROR(__xludf.DUMMYFUNCTION("""COMPUTED_VALUE"""),328662.0)</f>
        <v>328662</v>
      </c>
      <c r="G6" s="115" t="str">
        <f>IFERROR(__xludf.DUMMYFUNCTION("""COMPUTED_VALUE"""),"Piyush Sharma")</f>
        <v>Piyush Sharma</v>
      </c>
      <c r="H6" s="115"/>
      <c r="I6" s="115"/>
      <c r="J6" s="115" t="str">
        <f>IFERROR(__xludf.DUMMYFUNCTION("""COMPUTED_VALUE"""),"Piyush Sharma")</f>
        <v>Piyush Sharma</v>
      </c>
      <c r="K6" s="115">
        <f>IFERROR(__xludf.DUMMYFUNCTION("""COMPUTED_VALUE"""),320771.0)</f>
        <v>320771</v>
      </c>
      <c r="L6" s="115"/>
      <c r="M6" s="115"/>
      <c r="N6" s="115"/>
      <c r="O6" s="115"/>
      <c r="P6" s="115"/>
      <c r="Q6" s="115" t="str">
        <f>IFERROR(__xludf.DUMMYFUNCTION("""COMPUTED_VALUE"""),"Kandula Sampath Kumar")</f>
        <v>Kandula Sampath Kumar</v>
      </c>
      <c r="R6" s="115" t="str">
        <f>IFERROR(__xludf.DUMMYFUNCTION("""COMPUTED_VALUE"""),"North")</f>
        <v>North</v>
      </c>
      <c r="S6" s="115" t="str">
        <f>IFERROR(__xludf.DUMMYFUNCTION("""COMPUTED_VALUE"""),"North")</f>
        <v>North</v>
      </c>
      <c r="T6" s="115">
        <f>IFERROR(__xludf.DUMMYFUNCTION("""COMPUTED_VALUE"""),14967.0)</f>
        <v>14967</v>
      </c>
      <c r="U6" s="115">
        <f>IFERROR(__xludf.DUMMYFUNCTION("""COMPUTED_VALUE"""),1441924.0)</f>
        <v>1441924</v>
      </c>
      <c r="V6" s="115">
        <f>IFERROR(__xludf.DUMMYFUNCTION("""COMPUTED_VALUE"""),495993.0)</f>
        <v>495993</v>
      </c>
      <c r="W6" s="115">
        <f>IFERROR(__xludf.DUMMYFUNCTION("""COMPUTED_VALUE"""),166527.0)</f>
        <v>166527</v>
      </c>
      <c r="X6" s="115">
        <f>IFERROR(__xludf.DUMMYFUNCTION("""COMPUTED_VALUE"""),113666.0)</f>
        <v>113666</v>
      </c>
      <c r="Y6" s="115">
        <f>IFERROR(__xludf.DUMMYFUNCTION("""COMPUTED_VALUE"""),52861.0)</f>
        <v>52861</v>
      </c>
      <c r="Z6" s="115">
        <f>IFERROR(__xludf.DUMMYFUNCTION("""COMPUTED_VALUE"""),779404.0)</f>
        <v>779404</v>
      </c>
      <c r="AA6" s="115">
        <f>IFERROR(__xludf.DUMMYFUNCTION("""COMPUTED_VALUE"""),5946.0)</f>
        <v>5946</v>
      </c>
      <c r="AB6" s="115">
        <f>IFERROR(__xludf.DUMMYFUNCTION("""COMPUTED_VALUE"""),428751.0)</f>
        <v>428751</v>
      </c>
      <c r="AC6" s="115">
        <f>IFERROR(__xludf.DUMMYFUNCTION("""COMPUTED_VALUE"""),47393.0)</f>
        <v>47393</v>
      </c>
      <c r="AD6" s="115">
        <f>IFERROR(__xludf.DUMMYFUNCTION("""COMPUTED_VALUE"""),85287.0)</f>
        <v>85287</v>
      </c>
      <c r="AE6" s="115">
        <f>IFERROR(__xludf.DUMMYFUNCTION("""COMPUTED_VALUE"""),43091.0)</f>
        <v>43091</v>
      </c>
      <c r="AF6" s="115"/>
      <c r="AG6" s="115"/>
      <c r="AH6" s="115"/>
      <c r="AI6" s="115"/>
      <c r="AJ6" s="115"/>
      <c r="AK6" s="115"/>
      <c r="AL6" s="115"/>
      <c r="AM6" s="115"/>
      <c r="AN6" s="115"/>
      <c r="AO6" s="115"/>
      <c r="AP6" s="115" t="str">
        <f>IFERROR(__xludf.DUMMYFUNCTION("""COMPUTED_VALUE"""),"NORTH")</f>
        <v>NORTH</v>
      </c>
      <c r="AQ6" s="115" t="str">
        <f>IFERROR(__xludf.DUMMYFUNCTION("""COMPUTED_VALUE"""),"Loveleen Singh")</f>
        <v>Loveleen Singh</v>
      </c>
      <c r="AR6" s="115">
        <f>IFERROR(__xludf.DUMMYFUNCTION("""COMPUTED_VALUE"""),300512.0)</f>
        <v>300512</v>
      </c>
      <c r="AS6" s="115"/>
      <c r="AT6" s="115" t="str">
        <f>IFERROR(__xludf.DUMMYFUNCTION("""COMPUTED_VALUE"""),"NORTH")</f>
        <v>NORTH</v>
      </c>
      <c r="AU6" s="115" t="str">
        <f>IFERROR(__xludf.DUMMYFUNCTION("""COMPUTED_VALUE"""),"Kaushal Mahajan (Upper North)")</f>
        <v>Kaushal Mahajan (Upper North)</v>
      </c>
      <c r="AV6" s="115">
        <f>IFERROR(__xludf.DUMMYFUNCTION("""COMPUTED_VALUE"""),68527.0)</f>
        <v>68527</v>
      </c>
    </row>
    <row r="7">
      <c r="A7" s="115" t="str">
        <f>IFERROR(__xludf.DUMMYFUNCTION("""COMPUTED_VALUE"""),"Kaushal Mahajan")</f>
        <v>Kaushal Mahajan</v>
      </c>
      <c r="B7" s="115">
        <f>IFERROR(__xludf.DUMMYFUNCTION("""COMPUTED_VALUE"""),28162.0)</f>
        <v>28162</v>
      </c>
      <c r="C7" s="115"/>
      <c r="D7" s="115"/>
      <c r="E7" s="115" t="str">
        <f>IFERROR(__xludf.DUMMYFUNCTION("""COMPUTED_VALUE"""),"")</f>
        <v/>
      </c>
      <c r="F7" s="115"/>
      <c r="G7" s="115" t="str">
        <f>IFERROR(__xludf.DUMMYFUNCTION("""COMPUTED_VALUE"""),"")</f>
        <v/>
      </c>
      <c r="H7" s="115"/>
      <c r="I7" s="115"/>
      <c r="J7" s="115" t="str">
        <f>IFERROR(__xludf.DUMMYFUNCTION("""COMPUTED_VALUE"""),"North")</f>
        <v>North</v>
      </c>
      <c r="K7" s="115">
        <f>IFERROR(__xludf.DUMMYFUNCTION("""COMPUTED_VALUE"""),1678301.0)</f>
        <v>1678301</v>
      </c>
      <c r="L7" s="115"/>
      <c r="M7" s="115"/>
      <c r="N7" s="115"/>
      <c r="O7" s="115"/>
      <c r="P7" s="115"/>
      <c r="Q7" s="115"/>
      <c r="R7" s="115" t="str">
        <f>IFERROR(__xludf.DUMMYFUNCTION("""COMPUTED_VALUE"""),"DNCR")</f>
        <v>DNCR</v>
      </c>
      <c r="S7" s="115" t="str">
        <f>IFERROR(__xludf.DUMMYFUNCTION("""COMPUTED_VALUE"""),"Amit Kumar Pathak")</f>
        <v>Amit Kumar Pathak</v>
      </c>
      <c r="T7" s="115">
        <f>IFERROR(__xludf.DUMMYFUNCTION("""COMPUTED_VALUE"""),3265.0)</f>
        <v>3265</v>
      </c>
      <c r="U7" s="115">
        <f>IFERROR(__xludf.DUMMYFUNCTION("""COMPUTED_VALUE"""),215273.0)</f>
        <v>215273</v>
      </c>
      <c r="V7" s="115">
        <f>IFERROR(__xludf.DUMMYFUNCTION("""COMPUTED_VALUE"""),81145.0)</f>
        <v>81145</v>
      </c>
      <c r="W7" s="115">
        <f>IFERROR(__xludf.DUMMYFUNCTION("""COMPUTED_VALUE"""),32397.0)</f>
        <v>32397</v>
      </c>
      <c r="X7" s="115">
        <f>IFERROR(__xludf.DUMMYFUNCTION("""COMPUTED_VALUE"""),22499.0)</f>
        <v>22499</v>
      </c>
      <c r="Y7" s="115">
        <f>IFERROR(__xludf.DUMMYFUNCTION("""COMPUTED_VALUE"""),9898.0)</f>
        <v>9898</v>
      </c>
      <c r="Z7" s="115">
        <f>IFERROR(__xludf.DUMMYFUNCTION("""COMPUTED_VALUE"""),101731.0)</f>
        <v>101731</v>
      </c>
      <c r="AA7" s="115">
        <f>IFERROR(__xludf.DUMMYFUNCTION("""COMPUTED_VALUE"""),1203.0)</f>
        <v>1203</v>
      </c>
      <c r="AB7" s="115">
        <f>IFERROR(__xludf.DUMMYFUNCTION("""COMPUTED_VALUE"""),45934.0)</f>
        <v>45934</v>
      </c>
      <c r="AC7" s="115">
        <f>IFERROR(__xludf.DUMMYFUNCTION("""COMPUTED_VALUE"""),7005.0)</f>
        <v>7005</v>
      </c>
      <c r="AD7" s="115">
        <f>IFERROR(__xludf.DUMMYFUNCTION("""COMPUTED_VALUE"""),14985.0)</f>
        <v>14985</v>
      </c>
      <c r="AE7" s="115">
        <f>IFERROR(__xludf.DUMMYFUNCTION("""COMPUTED_VALUE"""),7820.0)</f>
        <v>7820</v>
      </c>
      <c r="AF7" s="115"/>
      <c r="AG7" s="115"/>
      <c r="AH7" s="115"/>
      <c r="AI7" s="115"/>
      <c r="AJ7" s="115"/>
      <c r="AK7" s="115"/>
      <c r="AL7" s="115"/>
      <c r="AM7" s="115"/>
      <c r="AN7" s="115"/>
      <c r="AO7" s="115"/>
      <c r="AP7" s="115" t="str">
        <f>IFERROR(__xludf.DUMMYFUNCTION("""COMPUTED_VALUE"""),"NORTH")</f>
        <v>NORTH</v>
      </c>
      <c r="AQ7" s="115" t="str">
        <f>IFERROR(__xludf.DUMMYFUNCTION("""COMPUTED_VALUE"""),"Manoj Harsh")</f>
        <v>Manoj Harsh</v>
      </c>
      <c r="AR7" s="115">
        <f>IFERROR(__xludf.DUMMYFUNCTION("""COMPUTED_VALUE"""),611121.0)</f>
        <v>611121</v>
      </c>
      <c r="AS7" s="115"/>
      <c r="AT7" s="115" t="str">
        <f>IFERROR(__xludf.DUMMYFUNCTION("""COMPUTED_VALUE"""),"NORTH")</f>
        <v>NORTH</v>
      </c>
      <c r="AU7" s="115" t="str">
        <f>IFERROR(__xludf.DUMMYFUNCTION("""COMPUTED_VALUE"""),"Manoj Harsh")</f>
        <v>Manoj Harsh</v>
      </c>
      <c r="AV7" s="115">
        <f>IFERROR(__xludf.DUMMYFUNCTION("""COMPUTED_VALUE"""),89104.0)</f>
        <v>89104</v>
      </c>
    </row>
    <row r="8">
      <c r="A8" s="115" t="str">
        <f>IFERROR(__xludf.DUMMYFUNCTION("""COMPUTED_VALUE"""),"Manoj Harsh")</f>
        <v>Manoj Harsh</v>
      </c>
      <c r="B8" s="115">
        <f>IFERROR(__xludf.DUMMYFUNCTION("""COMPUTED_VALUE"""),93077.0)</f>
        <v>93077</v>
      </c>
      <c r="C8" s="115"/>
      <c r="D8" s="115"/>
      <c r="E8" s="115" t="str">
        <f>IFERROR(__xludf.DUMMYFUNCTION("""COMPUTED_VALUE"""),"South")</f>
        <v>South</v>
      </c>
      <c r="F8" s="115">
        <f>IFERROR(__xludf.DUMMYFUNCTION("""COMPUTED_VALUE"""),1406623.0)</f>
        <v>1406623</v>
      </c>
      <c r="G8" s="115" t="str">
        <f>IFERROR(__xludf.DUMMYFUNCTION("""COMPUTED_VALUE"""),"South")</f>
        <v>South</v>
      </c>
      <c r="H8" s="115"/>
      <c r="I8" s="115"/>
      <c r="J8" s="115" t="str">
        <f>IFERROR(__xludf.DUMMYFUNCTION("""COMPUTED_VALUE"""),"Ashish Ranjan")</f>
        <v>Ashish Ranjan</v>
      </c>
      <c r="K8" s="115">
        <f>IFERROR(__xludf.DUMMYFUNCTION("""COMPUTED_VALUE"""),940258.0)</f>
        <v>940258</v>
      </c>
      <c r="L8" s="115"/>
      <c r="M8" s="115"/>
      <c r="N8" s="115"/>
      <c r="O8" s="115"/>
      <c r="P8" s="115"/>
      <c r="Q8" s="115"/>
      <c r="R8" s="115" t="str">
        <f>IFERROR(__xludf.DUMMYFUNCTION("""COMPUTED_VALUE"""),"UP")</f>
        <v>UP</v>
      </c>
      <c r="S8" s="115" t="str">
        <f>IFERROR(__xludf.DUMMYFUNCTION("""COMPUTED_VALUE"""),"Manoj harsh")</f>
        <v>Manoj harsh</v>
      </c>
      <c r="T8" s="115">
        <f>IFERROR(__xludf.DUMMYFUNCTION("""COMPUTED_VALUE"""),6009.0)</f>
        <v>6009</v>
      </c>
      <c r="U8" s="115">
        <f>IFERROR(__xludf.DUMMYFUNCTION("""COMPUTED_VALUE"""),629308.0)</f>
        <v>629308</v>
      </c>
      <c r="V8" s="115">
        <f>IFERROR(__xludf.DUMMYFUNCTION("""COMPUTED_VALUE"""),206030.0)</f>
        <v>206030</v>
      </c>
      <c r="W8" s="115">
        <f>IFERROR(__xludf.DUMMYFUNCTION("""COMPUTED_VALUE"""),61599.0)</f>
        <v>61599</v>
      </c>
      <c r="X8" s="115">
        <f>IFERROR(__xludf.DUMMYFUNCTION("""COMPUTED_VALUE"""),41173.0)</f>
        <v>41173</v>
      </c>
      <c r="Y8" s="115">
        <f>IFERROR(__xludf.DUMMYFUNCTION("""COMPUTED_VALUE"""),20426.0)</f>
        <v>20426</v>
      </c>
      <c r="Z8" s="115">
        <f>IFERROR(__xludf.DUMMYFUNCTION("""COMPUTED_VALUE"""),361679.0)</f>
        <v>361679</v>
      </c>
      <c r="AA8" s="115">
        <f>IFERROR(__xludf.DUMMYFUNCTION("""COMPUTED_VALUE"""),2395.0)</f>
        <v>2395</v>
      </c>
      <c r="AB8" s="115">
        <f>IFERROR(__xludf.DUMMYFUNCTION("""COMPUTED_VALUE"""),174623.0)</f>
        <v>174623</v>
      </c>
      <c r="AC8" s="115">
        <f>IFERROR(__xludf.DUMMYFUNCTION("""COMPUTED_VALUE"""),17563.0)</f>
        <v>17563</v>
      </c>
      <c r="AD8" s="115">
        <f>IFERROR(__xludf.DUMMYFUNCTION("""COMPUTED_VALUE"""),33987.0)</f>
        <v>33987</v>
      </c>
      <c r="AE8" s="115">
        <f>IFERROR(__xludf.DUMMYFUNCTION("""COMPUTED_VALUE"""),16687.0)</f>
        <v>16687</v>
      </c>
      <c r="AF8" s="115"/>
      <c r="AG8" s="115"/>
      <c r="AH8" s="115"/>
      <c r="AI8" s="115"/>
      <c r="AJ8" s="115"/>
      <c r="AK8" s="115"/>
      <c r="AL8" s="115"/>
      <c r="AM8" s="115"/>
      <c r="AN8" s="115"/>
      <c r="AO8" s="115"/>
      <c r="AP8" s="115" t="str">
        <f>IFERROR(__xludf.DUMMYFUNCTION("""COMPUTED_VALUE"""),"NORTH")</f>
        <v>NORTH</v>
      </c>
      <c r="AQ8" s="115" t="str">
        <f>IFERROR(__xludf.DUMMYFUNCTION("""COMPUTED_VALUE"""),"Pradeep Kothari")</f>
        <v>Pradeep Kothari</v>
      </c>
      <c r="AR8" s="115">
        <f>IFERROR(__xludf.DUMMYFUNCTION("""COMPUTED_VALUE"""),247128.0)</f>
        <v>247128</v>
      </c>
      <c r="AS8" s="115"/>
      <c r="AT8" s="115" t="str">
        <f>IFERROR(__xludf.DUMMYFUNCTION("""COMPUTED_VALUE"""),"NORTH")</f>
        <v>NORTH</v>
      </c>
      <c r="AU8" s="115" t="str">
        <f>IFERROR(__xludf.DUMMYFUNCTION("""COMPUTED_VALUE"""),"Piyush Sharma")</f>
        <v>Piyush Sharma</v>
      </c>
      <c r="AV8" s="115">
        <f>IFERROR(__xludf.DUMMYFUNCTION("""COMPUTED_VALUE"""),29439.0)</f>
        <v>29439</v>
      </c>
    </row>
    <row r="9">
      <c r="A9" s="115" t="str">
        <f>IFERROR(__xludf.DUMMYFUNCTION("""COMPUTED_VALUE"""),"Martin A")</f>
        <v>Martin A</v>
      </c>
      <c r="B9" s="115">
        <f>IFERROR(__xludf.DUMMYFUNCTION("""COMPUTED_VALUE"""),33432.0)</f>
        <v>33432</v>
      </c>
      <c r="C9" s="115"/>
      <c r="D9" s="115"/>
      <c r="E9" s="115" t="str">
        <f>IFERROR(__xludf.DUMMYFUNCTION("""COMPUTED_VALUE"""),"Kandula Sampath Kumar")</f>
        <v>Kandula Sampath Kumar</v>
      </c>
      <c r="F9" s="115">
        <f>IFERROR(__xludf.DUMMYFUNCTION("""COMPUTED_VALUE"""),404745.0)</f>
        <v>404745</v>
      </c>
      <c r="G9" s="115" t="str">
        <f>IFERROR(__xludf.DUMMYFUNCTION("""COMPUTED_VALUE"""),"Kandula Sampath Kumar")</f>
        <v>Kandula Sampath Kumar</v>
      </c>
      <c r="H9" s="115"/>
      <c r="I9" s="115"/>
      <c r="J9" s="115" t="str">
        <f>IFERROR(__xludf.DUMMYFUNCTION("""COMPUTED_VALUE"""),"Girish Chand")</f>
        <v>Girish Chand</v>
      </c>
      <c r="K9" s="115">
        <f>IFERROR(__xludf.DUMMYFUNCTION("""COMPUTED_VALUE"""),831788.0)</f>
        <v>831788</v>
      </c>
      <c r="L9" s="115"/>
      <c r="M9" s="115"/>
      <c r="N9" s="115"/>
      <c r="O9" s="115"/>
      <c r="P9" s="115"/>
      <c r="Q9" s="115"/>
      <c r="R9" s="115" t="str">
        <f>IFERROR(__xludf.DUMMYFUNCTION("""COMPUTED_VALUE"""),"Upper North")</f>
        <v>Upper North</v>
      </c>
      <c r="S9" s="115" t="str">
        <f>IFERROR(__xludf.DUMMYFUNCTION("""COMPUTED_VALUE"""),"Loveleen Singh")</f>
        <v>Loveleen Singh</v>
      </c>
      <c r="T9" s="115">
        <f>IFERROR(__xludf.DUMMYFUNCTION("""COMPUTED_VALUE"""),3176.0)</f>
        <v>3176</v>
      </c>
      <c r="U9" s="115">
        <f>IFERROR(__xludf.DUMMYFUNCTION("""COMPUTED_VALUE"""),331001.0)</f>
        <v>331001</v>
      </c>
      <c r="V9" s="115">
        <f>IFERROR(__xludf.DUMMYFUNCTION("""COMPUTED_VALUE"""),108911.0)</f>
        <v>108911</v>
      </c>
      <c r="W9" s="115">
        <f>IFERROR(__xludf.DUMMYFUNCTION("""COMPUTED_VALUE"""),40630.0)</f>
        <v>40630</v>
      </c>
      <c r="X9" s="115">
        <f>IFERROR(__xludf.DUMMYFUNCTION("""COMPUTED_VALUE"""),28344.0)</f>
        <v>28344</v>
      </c>
      <c r="Y9" s="115">
        <f>IFERROR(__xludf.DUMMYFUNCTION("""COMPUTED_VALUE"""),12286.0)</f>
        <v>12286</v>
      </c>
      <c r="Z9" s="115">
        <f>IFERROR(__xludf.DUMMYFUNCTION("""COMPUTED_VALUE"""),181460.0)</f>
        <v>181460</v>
      </c>
      <c r="AA9" s="115">
        <f>IFERROR(__xludf.DUMMYFUNCTION("""COMPUTED_VALUE"""),1250.0)</f>
        <v>1250</v>
      </c>
      <c r="AB9" s="115">
        <f>IFERROR(__xludf.DUMMYFUNCTION("""COMPUTED_VALUE"""),125278.0)</f>
        <v>125278</v>
      </c>
      <c r="AC9" s="115">
        <f>IFERROR(__xludf.DUMMYFUNCTION("""COMPUTED_VALUE"""),13080.0)</f>
        <v>13080</v>
      </c>
      <c r="AD9" s="115">
        <f>IFERROR(__xludf.DUMMYFUNCTION("""COMPUTED_VALUE"""),20245.0)</f>
        <v>20245</v>
      </c>
      <c r="AE9" s="115">
        <f>IFERROR(__xludf.DUMMYFUNCTION("""COMPUTED_VALUE"""),10926.0)</f>
        <v>10926</v>
      </c>
      <c r="AF9" s="115"/>
      <c r="AG9" s="115"/>
      <c r="AH9" s="115"/>
      <c r="AI9" s="115"/>
      <c r="AJ9" s="115"/>
      <c r="AK9" s="115"/>
      <c r="AL9" s="115"/>
      <c r="AM9" s="115"/>
      <c r="AN9" s="115"/>
      <c r="AO9" s="115"/>
      <c r="AP9" s="115" t="str">
        <f>IFERROR(__xludf.DUMMYFUNCTION("""COMPUTED_VALUE"""),"SOUTH")</f>
        <v>SOUTH</v>
      </c>
      <c r="AQ9" s="115" t="str">
        <f>IFERROR(__xludf.DUMMYFUNCTION("""COMPUTED_VALUE"""),"Kandula Sampath")</f>
        <v>Kandula Sampath</v>
      </c>
      <c r="AR9" s="115">
        <f>IFERROR(__xludf.DUMMYFUNCTION("""COMPUTED_VALUE"""),490362.0)</f>
        <v>490362</v>
      </c>
      <c r="AS9" s="115"/>
      <c r="AT9" s="115" t="str">
        <f>IFERROR(__xludf.DUMMYFUNCTION("""COMPUTED_VALUE"""),"NORTH")</f>
        <v>NORTH</v>
      </c>
      <c r="AU9" s="115" t="str">
        <f>IFERROR(__xludf.DUMMYFUNCTION("""COMPUTED_VALUE"""),"not_found")</f>
        <v>not_found</v>
      </c>
      <c r="AV9" s="115">
        <f>IFERROR(__xludf.DUMMYFUNCTION("""COMPUTED_VALUE"""),150.0)</f>
        <v>150</v>
      </c>
    </row>
    <row r="10">
      <c r="A10" s="115" t="str">
        <f>IFERROR(__xludf.DUMMYFUNCTION("""COMPUTED_VALUE"""),"Parag Kashyap")</f>
        <v>Parag Kashyap</v>
      </c>
      <c r="B10" s="115">
        <f>IFERROR(__xludf.DUMMYFUNCTION("""COMPUTED_VALUE"""),67782.0)</f>
        <v>67782</v>
      </c>
      <c r="C10" s="115"/>
      <c r="D10" s="115"/>
      <c r="E10" s="115" t="str">
        <f>IFERROR(__xludf.DUMMYFUNCTION("""COMPUTED_VALUE"""),"Martin A")</f>
        <v>Martin A</v>
      </c>
      <c r="F10" s="115">
        <f>IFERROR(__xludf.DUMMYFUNCTION("""COMPUTED_VALUE"""),376517.0)</f>
        <v>376517</v>
      </c>
      <c r="G10" s="115" t="str">
        <f>IFERROR(__xludf.DUMMYFUNCTION("""COMPUTED_VALUE"""),"Martin A")</f>
        <v>Martin A</v>
      </c>
      <c r="H10" s="115"/>
      <c r="I10" s="115"/>
      <c r="J10" s="115" t="str">
        <f>IFERROR(__xludf.DUMMYFUNCTION("""COMPUTED_VALUE"""),"Parag Kashyap")</f>
        <v>Parag Kashyap</v>
      </c>
      <c r="K10" s="115">
        <f>IFERROR(__xludf.DUMMYFUNCTION("""COMPUTED_VALUE"""),602236.0)</f>
        <v>602236</v>
      </c>
      <c r="L10" s="115"/>
      <c r="M10" s="115"/>
      <c r="N10" s="115"/>
      <c r="O10" s="115"/>
      <c r="P10" s="115"/>
      <c r="Q10" s="115" t="str">
        <f>IFERROR(__xludf.DUMMYFUNCTION("""COMPUTED_VALUE"""),"Piyush Sharma")</f>
        <v>Piyush Sharma</v>
      </c>
      <c r="R10" s="115" t="str">
        <f>IFERROR(__xludf.DUMMYFUNCTION("""COMPUTED_VALUE"""),"RJ/HR")</f>
        <v>RJ/HR</v>
      </c>
      <c r="S10" s="115" t="str">
        <f>IFERROR(__xludf.DUMMYFUNCTION("""COMPUTED_VALUE"""),"Pradeep Kothari")</f>
        <v>Pradeep Kothari</v>
      </c>
      <c r="T10" s="115">
        <f>IFERROR(__xludf.DUMMYFUNCTION("""COMPUTED_VALUE"""),2517.0)</f>
        <v>2517</v>
      </c>
      <c r="U10" s="115">
        <f>IFERROR(__xludf.DUMMYFUNCTION("""COMPUTED_VALUE"""),266342.0)</f>
        <v>266342</v>
      </c>
      <c r="V10" s="115">
        <f>IFERROR(__xludf.DUMMYFUNCTION("""COMPUTED_VALUE"""),99907.0)</f>
        <v>99907</v>
      </c>
      <c r="W10" s="115">
        <f>IFERROR(__xludf.DUMMYFUNCTION("""COMPUTED_VALUE"""),31901.0)</f>
        <v>31901</v>
      </c>
      <c r="X10" s="115">
        <f>IFERROR(__xludf.DUMMYFUNCTION("""COMPUTED_VALUE"""),21650.0)</f>
        <v>21650</v>
      </c>
      <c r="Y10" s="115">
        <f>IFERROR(__xludf.DUMMYFUNCTION("""COMPUTED_VALUE"""),10251.0)</f>
        <v>10251</v>
      </c>
      <c r="Z10" s="115">
        <f>IFERROR(__xludf.DUMMYFUNCTION("""COMPUTED_VALUE"""),134534.0)</f>
        <v>134534</v>
      </c>
      <c r="AA10" s="115">
        <f>IFERROR(__xludf.DUMMYFUNCTION("""COMPUTED_VALUE"""),1098.0)</f>
        <v>1098</v>
      </c>
      <c r="AB10" s="115">
        <f>IFERROR(__xludf.DUMMYFUNCTION("""COMPUTED_VALUE"""),82916.0)</f>
        <v>82916</v>
      </c>
      <c r="AC10" s="115">
        <f>IFERROR(__xludf.DUMMYFUNCTION("""COMPUTED_VALUE"""),9745.0)</f>
        <v>9745</v>
      </c>
      <c r="AD10" s="115">
        <f>IFERROR(__xludf.DUMMYFUNCTION("""COMPUTED_VALUE"""),16070.0)</f>
        <v>16070</v>
      </c>
      <c r="AE10" s="115">
        <f>IFERROR(__xludf.DUMMYFUNCTION("""COMPUTED_VALUE"""),7658.0)</f>
        <v>7658</v>
      </c>
      <c r="AF10" s="115"/>
      <c r="AG10" s="115"/>
      <c r="AH10" s="115"/>
      <c r="AI10" s="115"/>
      <c r="AJ10" s="115"/>
      <c r="AK10" s="115"/>
      <c r="AL10" s="115"/>
      <c r="AM10" s="115"/>
      <c r="AN10" s="115"/>
      <c r="AO10" s="115"/>
      <c r="AP10" s="115" t="str">
        <f>IFERROR(__xludf.DUMMYFUNCTION("""COMPUTED_VALUE"""),"SOUTH")</f>
        <v>SOUTH</v>
      </c>
      <c r="AQ10" s="115" t="str">
        <f>IFERROR(__xludf.DUMMYFUNCTION("""COMPUTED_VALUE"""),"Martin A")</f>
        <v>Martin A</v>
      </c>
      <c r="AR10" s="115">
        <f>IFERROR(__xludf.DUMMYFUNCTION("""COMPUTED_VALUE"""),476939.0)</f>
        <v>476939</v>
      </c>
      <c r="AS10" s="115"/>
      <c r="AT10" s="115" t="str">
        <f>IFERROR(__xludf.DUMMYFUNCTION("""COMPUTED_VALUE"""),"SOUTH")</f>
        <v>SOUTH</v>
      </c>
      <c r="AU10" s="115" t="str">
        <f>IFERROR(__xludf.DUMMYFUNCTION("""COMPUTED_VALUE"""),"Kandula Sampath")</f>
        <v>Kandula Sampath</v>
      </c>
      <c r="AV10" s="115">
        <f>IFERROR(__xludf.DUMMYFUNCTION("""COMPUTED_VALUE"""),11741.0)</f>
        <v>11741</v>
      </c>
    </row>
    <row r="11">
      <c r="A11" s="115" t="str">
        <f>IFERROR(__xludf.DUMMYFUNCTION("""COMPUTED_VALUE"""),"Paritosh Kumar")</f>
        <v>Paritosh Kumar</v>
      </c>
      <c r="B11" s="115">
        <f>IFERROR(__xludf.DUMMYFUNCTION("""COMPUTED_VALUE"""),46777.0)</f>
        <v>46777</v>
      </c>
      <c r="C11" s="115"/>
      <c r="D11" s="115"/>
      <c r="E11" s="115" t="str">
        <f>IFERROR(__xludf.DUMMYFUNCTION("""COMPUTED_VALUE"""),"Shankar P")</f>
        <v>Shankar P</v>
      </c>
      <c r="F11" s="115">
        <f>IFERROR(__xludf.DUMMYFUNCTION("""COMPUTED_VALUE"""),357662.0)</f>
        <v>357662</v>
      </c>
      <c r="G11" s="115" t="str">
        <f>IFERROR(__xludf.DUMMYFUNCTION("""COMPUTED_VALUE"""),"Shankar P")</f>
        <v>Shankar P</v>
      </c>
      <c r="H11" s="115"/>
      <c r="I11" s="115"/>
      <c r="J11" s="115" t="str">
        <f>IFERROR(__xludf.DUMMYFUNCTION("""COMPUTED_VALUE"""),"East")</f>
        <v>East</v>
      </c>
      <c r="K11" s="115">
        <f>IFERROR(__xludf.DUMMYFUNCTION("""COMPUTED_VALUE"""),0.0)</f>
        <v>0</v>
      </c>
      <c r="L11" s="115"/>
      <c r="M11" s="115"/>
      <c r="N11" s="115"/>
      <c r="O11" s="115"/>
      <c r="P11" s="115"/>
      <c r="Q11" s="115" t="str">
        <f>IFERROR(__xludf.DUMMYFUNCTION("""COMPUTED_VALUE"""),"Kandula Sampath")</f>
        <v>Kandula Sampath</v>
      </c>
      <c r="R11" s="115" t="str">
        <f>IFERROR(__xludf.DUMMYFUNCTION("""COMPUTED_VALUE"""),"South")</f>
        <v>South</v>
      </c>
      <c r="S11" s="115" t="str">
        <f>IFERROR(__xludf.DUMMYFUNCTION("""COMPUTED_VALUE"""),"South")</f>
        <v>South</v>
      </c>
      <c r="T11" s="115">
        <f>IFERROR(__xludf.DUMMYFUNCTION("""COMPUTED_VALUE"""),19748.0)</f>
        <v>19748</v>
      </c>
      <c r="U11" s="115">
        <f>IFERROR(__xludf.DUMMYFUNCTION("""COMPUTED_VALUE"""),1769408.0)</f>
        <v>1769408</v>
      </c>
      <c r="V11" s="115">
        <f>IFERROR(__xludf.DUMMYFUNCTION("""COMPUTED_VALUE"""),620793.0)</f>
        <v>620793</v>
      </c>
      <c r="W11" s="115">
        <f>IFERROR(__xludf.DUMMYFUNCTION("""COMPUTED_VALUE"""),230580.0)</f>
        <v>230580</v>
      </c>
      <c r="X11" s="115">
        <f>IFERROR(__xludf.DUMMYFUNCTION("""COMPUTED_VALUE"""),146706.0)</f>
        <v>146706</v>
      </c>
      <c r="Y11" s="115">
        <f>IFERROR(__xludf.DUMMYFUNCTION("""COMPUTED_VALUE"""),83874.0)</f>
        <v>83874</v>
      </c>
      <c r="Z11" s="115">
        <f>IFERROR(__xludf.DUMMYFUNCTION("""COMPUTED_VALUE"""),918035.0)</f>
        <v>918035</v>
      </c>
      <c r="AA11" s="115">
        <f>IFERROR(__xludf.DUMMYFUNCTION("""COMPUTED_VALUE"""),8542.0)</f>
        <v>8542</v>
      </c>
      <c r="AB11" s="115">
        <f>IFERROR(__xludf.DUMMYFUNCTION("""COMPUTED_VALUE"""),360595.0)</f>
        <v>360595</v>
      </c>
      <c r="AC11" s="115">
        <f>IFERROR(__xludf.DUMMYFUNCTION("""COMPUTED_VALUE"""),57446.0)</f>
        <v>57446</v>
      </c>
      <c r="AD11" s="115">
        <f>IFERROR(__xludf.DUMMYFUNCTION("""COMPUTED_VALUE"""),134173.0)</f>
        <v>134173</v>
      </c>
      <c r="AE11" s="115">
        <f>IFERROR(__xludf.DUMMYFUNCTION("""COMPUTED_VALUE"""),66278.0)</f>
        <v>66278</v>
      </c>
      <c r="AF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 t="str">
        <f>IFERROR(__xludf.DUMMYFUNCTION("""COMPUTED_VALUE"""),"SOUTH")</f>
        <v>SOUTH</v>
      </c>
      <c r="AQ11" s="115" t="str">
        <f>IFERROR(__xludf.DUMMYFUNCTION("""COMPUTED_VALUE"""),"Premkumar M")</f>
        <v>Premkumar M</v>
      </c>
      <c r="AR11" s="115">
        <f>IFERROR(__xludf.DUMMYFUNCTION("""COMPUTED_VALUE"""),424742.0)</f>
        <v>424742</v>
      </c>
      <c r="AS11" s="115"/>
      <c r="AT11" s="115" t="str">
        <f>IFERROR(__xludf.DUMMYFUNCTION("""COMPUTED_VALUE"""),"SOUTH")</f>
        <v>SOUTH</v>
      </c>
      <c r="AU11" s="115" t="str">
        <f>IFERROR(__xludf.DUMMYFUNCTION("""COMPUTED_VALUE"""),"Martin A")</f>
        <v>Martin A</v>
      </c>
      <c r="AV11" s="115">
        <f>IFERROR(__xludf.DUMMYFUNCTION("""COMPUTED_VALUE"""),20548.0)</f>
        <v>20548</v>
      </c>
    </row>
    <row r="12">
      <c r="A12" s="115" t="str">
        <f>IFERROR(__xludf.DUMMYFUNCTION("""COMPUTED_VALUE"""),"Piyush Sharma")</f>
        <v>Piyush Sharma</v>
      </c>
      <c r="B12" s="115">
        <f>IFERROR(__xludf.DUMMYFUNCTION("""COMPUTED_VALUE"""),38357.0)</f>
        <v>38357</v>
      </c>
      <c r="C12" s="115"/>
      <c r="D12" s="115"/>
      <c r="E12" s="115" t="str">
        <f>IFERROR(__xludf.DUMMYFUNCTION("""COMPUTED_VALUE"""),"Vineeth V")</f>
        <v>Vineeth V</v>
      </c>
      <c r="F12" s="115">
        <f>IFERROR(__xludf.DUMMYFUNCTION("""COMPUTED_VALUE"""),267699.0)</f>
        <v>267699</v>
      </c>
      <c r="G12" s="115" t="str">
        <f>IFERROR(__xludf.DUMMYFUNCTION("""COMPUTED_VALUE"""),"Vineeth V")</f>
        <v>Vineeth V</v>
      </c>
      <c r="H12" s="115"/>
      <c r="I12" s="115"/>
      <c r="J12" s="115" t="str">
        <f>IFERROR(__xludf.DUMMYFUNCTION("""COMPUTED_VALUE"""),"Kandula Sampath Kumar")</f>
        <v>Kandula Sampath Kumar</v>
      </c>
      <c r="K12" s="115">
        <f>IFERROR(__xludf.DUMMYFUNCTION("""COMPUTED_VALUE"""),439899.0)</f>
        <v>439899</v>
      </c>
      <c r="L12" s="115"/>
      <c r="M12" s="115"/>
      <c r="N12" s="115"/>
      <c r="O12" s="115"/>
      <c r="P12" s="115"/>
      <c r="Q12" s="115" t="str">
        <f>IFERROR(__xludf.DUMMYFUNCTION("""COMPUTED_VALUE"""),"Kandula Sampath")</f>
        <v>Kandula Sampath</v>
      </c>
      <c r="R12" s="115" t="str">
        <f>IFERROR(__xludf.DUMMYFUNCTION("""COMPUTED_VALUE"""),"AP/TS")</f>
        <v>AP/TS</v>
      </c>
      <c r="S12" s="115" t="str">
        <f>IFERROR(__xludf.DUMMYFUNCTION("""COMPUTED_VALUE"""),"Kandula Sampath")</f>
        <v>Kandula Sampath</v>
      </c>
      <c r="T12" s="115">
        <f>IFERROR(__xludf.DUMMYFUNCTION("""COMPUTED_VALUE"""),5375.0)</f>
        <v>5375</v>
      </c>
      <c r="U12" s="115">
        <f>IFERROR(__xludf.DUMMYFUNCTION("""COMPUTED_VALUE"""),505102.0)</f>
        <v>505102</v>
      </c>
      <c r="V12" s="115">
        <f>IFERROR(__xludf.DUMMYFUNCTION("""COMPUTED_VALUE"""),178934.0)</f>
        <v>178934</v>
      </c>
      <c r="W12" s="115">
        <f>IFERROR(__xludf.DUMMYFUNCTION("""COMPUTED_VALUE"""),57089.0)</f>
        <v>57089</v>
      </c>
      <c r="X12" s="115">
        <f>IFERROR(__xludf.DUMMYFUNCTION("""COMPUTED_VALUE"""),36932.0)</f>
        <v>36932</v>
      </c>
      <c r="Y12" s="115">
        <f>IFERROR(__xludf.DUMMYFUNCTION("""COMPUTED_VALUE"""),20157.0)</f>
        <v>20157</v>
      </c>
      <c r="Z12" s="115">
        <f>IFERROR(__xludf.DUMMYFUNCTION("""COMPUTED_VALUE"""),269079.0)</f>
        <v>269079</v>
      </c>
      <c r="AA12" s="115">
        <f>IFERROR(__xludf.DUMMYFUNCTION("""COMPUTED_VALUE"""),2226.0)</f>
        <v>2226</v>
      </c>
      <c r="AB12" s="115">
        <f>IFERROR(__xludf.DUMMYFUNCTION("""COMPUTED_VALUE"""),102365.0)</f>
        <v>102365</v>
      </c>
      <c r="AC12" s="115">
        <f>IFERROR(__xludf.DUMMYFUNCTION("""COMPUTED_VALUE"""),11501.0)</f>
        <v>11501</v>
      </c>
      <c r="AD12" s="115">
        <f>IFERROR(__xludf.DUMMYFUNCTION("""COMPUTED_VALUE"""),31011.0)</f>
        <v>31011</v>
      </c>
      <c r="AE12" s="115">
        <f>IFERROR(__xludf.DUMMYFUNCTION("""COMPUTED_VALUE"""),15018.0)</f>
        <v>15018</v>
      </c>
      <c r="AF12" s="115"/>
      <c r="AG12" s="115"/>
      <c r="AH12" s="115"/>
      <c r="AI12" s="115"/>
      <c r="AJ12" s="115"/>
      <c r="AK12" s="115"/>
      <c r="AL12" s="115"/>
      <c r="AM12" s="115"/>
      <c r="AN12" s="115"/>
      <c r="AO12" s="115"/>
      <c r="AP12" s="115" t="str">
        <f>IFERROR(__xludf.DUMMYFUNCTION("""COMPUTED_VALUE"""),"SOUTH")</f>
        <v>SOUTH</v>
      </c>
      <c r="AQ12" s="115" t="str">
        <f>IFERROR(__xludf.DUMMYFUNCTION("""COMPUTED_VALUE"""),"Vineeth V")</f>
        <v>Vineeth V</v>
      </c>
      <c r="AR12" s="115">
        <f>IFERROR(__xludf.DUMMYFUNCTION("""COMPUTED_VALUE"""),330607.0)</f>
        <v>330607</v>
      </c>
      <c r="AS12" s="115"/>
      <c r="AT12" s="115" t="str">
        <f>IFERROR(__xludf.DUMMYFUNCTION("""COMPUTED_VALUE"""),"SOUTH")</f>
        <v>SOUTH</v>
      </c>
      <c r="AU12" s="115" t="str">
        <f>IFERROR(__xludf.DUMMYFUNCTION("""COMPUTED_VALUE"""),"Premkumar M")</f>
        <v>Premkumar M</v>
      </c>
      <c r="AV12" s="115">
        <f>IFERROR(__xludf.DUMMYFUNCTION("""COMPUTED_VALUE"""),20238.0)</f>
        <v>20238</v>
      </c>
    </row>
    <row r="13">
      <c r="A13" s="115" t="str">
        <f>IFERROR(__xludf.DUMMYFUNCTION("""COMPUTED_VALUE"""),"Shankar P")</f>
        <v>Shankar P</v>
      </c>
      <c r="B13" s="115">
        <f>IFERROR(__xludf.DUMMYFUNCTION("""COMPUTED_VALUE"""),60105.0)</f>
        <v>60105</v>
      </c>
      <c r="C13" s="115"/>
      <c r="D13" s="115"/>
      <c r="E13" s="115" t="str">
        <f>IFERROR(__xludf.DUMMYFUNCTION("""COMPUTED_VALUE"""),"")</f>
        <v/>
      </c>
      <c r="F13" s="115"/>
      <c r="G13" s="115" t="str">
        <f>IFERROR(__xludf.DUMMYFUNCTION("""COMPUTED_VALUE"""),"")</f>
        <v/>
      </c>
      <c r="H13" s="115"/>
      <c r="I13" s="115"/>
      <c r="J13" s="115" t="str">
        <f>IFERROR(__xludf.DUMMYFUNCTION("""COMPUTED_VALUE"""),"Martin A")</f>
        <v>Martin A</v>
      </c>
      <c r="K13" s="115">
        <f>IFERROR(__xludf.DUMMYFUNCTION("""COMPUTED_VALUE"""),430313.0)</f>
        <v>430313</v>
      </c>
      <c r="L13" s="115"/>
      <c r="M13" s="115"/>
      <c r="N13" s="115"/>
      <c r="O13" s="115"/>
      <c r="P13" s="115"/>
      <c r="Q13" s="115"/>
      <c r="R13" s="115" t="str">
        <f>IFERROR(__xludf.DUMMYFUNCTION("""COMPUTED_VALUE"""),"KA")</f>
        <v>KA</v>
      </c>
      <c r="S13" s="115" t="str">
        <f>IFERROR(__xludf.DUMMYFUNCTION("""COMPUTED_VALUE"""),"Martin A")</f>
        <v>Martin A</v>
      </c>
      <c r="T13" s="115">
        <f>IFERROR(__xludf.DUMMYFUNCTION("""COMPUTED_VALUE"""),7100.0)</f>
        <v>7100</v>
      </c>
      <c r="U13" s="115">
        <f>IFERROR(__xludf.DUMMYFUNCTION("""COMPUTED_VALUE"""),484974.0)</f>
        <v>484974</v>
      </c>
      <c r="V13" s="115">
        <f>IFERROR(__xludf.DUMMYFUNCTION("""COMPUTED_VALUE"""),163660.0)</f>
        <v>163660</v>
      </c>
      <c r="W13" s="115">
        <f>IFERROR(__xludf.DUMMYFUNCTION("""COMPUTED_VALUE"""),82057.0)</f>
        <v>82057</v>
      </c>
      <c r="X13" s="115">
        <f>IFERROR(__xludf.DUMMYFUNCTION("""COMPUTED_VALUE"""),50544.0)</f>
        <v>50544</v>
      </c>
      <c r="Y13" s="115">
        <f>IFERROR(__xludf.DUMMYFUNCTION("""COMPUTED_VALUE"""),31513.0)</f>
        <v>31513</v>
      </c>
      <c r="Z13" s="115">
        <f>IFERROR(__xludf.DUMMYFUNCTION("""COMPUTED_VALUE"""),239257.0)</f>
        <v>239257</v>
      </c>
      <c r="AA13" s="115">
        <f>IFERROR(__xludf.DUMMYFUNCTION("""COMPUTED_VALUE"""),3057.0)</f>
        <v>3057</v>
      </c>
      <c r="AB13" s="115">
        <f>IFERROR(__xludf.DUMMYFUNCTION("""COMPUTED_VALUE"""),130524.0)</f>
        <v>130524</v>
      </c>
      <c r="AC13" s="115">
        <f>IFERROR(__xludf.DUMMYFUNCTION("""COMPUTED_VALUE"""),22271.0)</f>
        <v>22271</v>
      </c>
      <c r="AD13" s="115">
        <f>IFERROR(__xludf.DUMMYFUNCTION("""COMPUTED_VALUE"""),49052.0)</f>
        <v>49052</v>
      </c>
      <c r="AE13" s="115">
        <f>IFERROR(__xludf.DUMMYFUNCTION("""COMPUTED_VALUE"""),23502.0)</f>
        <v>23502</v>
      </c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 t="str">
        <f>IFERROR(__xludf.DUMMYFUNCTION("""COMPUTED_VALUE"""),"WEST")</f>
        <v>WEST</v>
      </c>
      <c r="AQ13" s="115" t="str">
        <f>IFERROR(__xludf.DUMMYFUNCTION("""COMPUTED_VALUE"""),"Ashish Jakar")</f>
        <v>Ashish Jakar</v>
      </c>
      <c r="AR13" s="115">
        <f>IFERROR(__xludf.DUMMYFUNCTION("""COMPUTED_VALUE"""),615319.0)</f>
        <v>615319</v>
      </c>
      <c r="AS13" s="115"/>
      <c r="AT13" s="115" t="str">
        <f>IFERROR(__xludf.DUMMYFUNCTION("""COMPUTED_VALUE"""),"SOUTH")</f>
        <v>SOUTH</v>
      </c>
      <c r="AU13" s="115" t="str">
        <f>IFERROR(__xludf.DUMMYFUNCTION("""COMPUTED_VALUE"""),"Vineeth V")</f>
        <v>Vineeth V</v>
      </c>
      <c r="AV13" s="115">
        <f>IFERROR(__xludf.DUMMYFUNCTION("""COMPUTED_VALUE"""),14361.0)</f>
        <v>14361</v>
      </c>
    </row>
    <row r="14">
      <c r="A14" s="115" t="str">
        <f>IFERROR(__xludf.DUMMYFUNCTION("""COMPUTED_VALUE"""),"Vineeth V")</f>
        <v>Vineeth V</v>
      </c>
      <c r="B14" s="115">
        <f>IFERROR(__xludf.DUMMYFUNCTION("""COMPUTED_VALUE"""),53474.0)</f>
        <v>53474</v>
      </c>
      <c r="C14" s="115"/>
      <c r="D14" s="115"/>
      <c r="E14" s="115" t="str">
        <f>IFERROR(__xludf.DUMMYFUNCTION("""COMPUTED_VALUE"""),"Overall")</f>
        <v>Overall</v>
      </c>
      <c r="F14" s="115">
        <f>IFERROR(__xludf.DUMMYFUNCTION("""COMPUTED_VALUE"""),8261112.0)</f>
        <v>8261112</v>
      </c>
      <c r="G14" s="115" t="str">
        <f>IFERROR(__xludf.DUMMYFUNCTION("""COMPUTED_VALUE"""),"Overall")</f>
        <v>Overall</v>
      </c>
      <c r="H14" s="115"/>
      <c r="I14" s="115"/>
      <c r="J14" s="115" t="str">
        <f>IFERROR(__xludf.DUMMYFUNCTION("""COMPUTED_VALUE"""),"Shankar P")</f>
        <v>Shankar P</v>
      </c>
      <c r="K14" s="115">
        <f>IFERROR(__xludf.DUMMYFUNCTION("""COMPUTED_VALUE"""),430564.0)</f>
        <v>430564</v>
      </c>
      <c r="L14" s="115"/>
      <c r="M14" s="115"/>
      <c r="N14" s="115"/>
      <c r="O14" s="115"/>
      <c r="P14" s="115"/>
      <c r="Q14" s="115"/>
      <c r="R14" s="115" t="str">
        <f>IFERROR(__xludf.DUMMYFUNCTION("""COMPUTED_VALUE"""),"TN")</f>
        <v>TN</v>
      </c>
      <c r="S14" s="115" t="str">
        <f>IFERROR(__xludf.DUMMYFUNCTION("""COMPUTED_VALUE"""),"Premkumar M")</f>
        <v>Premkumar M</v>
      </c>
      <c r="T14" s="115">
        <f>IFERROR(__xludf.DUMMYFUNCTION("""COMPUTED_VALUE"""),4144.0)</f>
        <v>4144</v>
      </c>
      <c r="U14" s="115">
        <f>IFERROR(__xludf.DUMMYFUNCTION("""COMPUTED_VALUE"""),439558.0)</f>
        <v>439558</v>
      </c>
      <c r="V14" s="115">
        <f>IFERROR(__xludf.DUMMYFUNCTION("""COMPUTED_VALUE"""),149915.0)</f>
        <v>149915</v>
      </c>
      <c r="W14" s="115">
        <f>IFERROR(__xludf.DUMMYFUNCTION("""COMPUTED_VALUE"""),58896.0)</f>
        <v>58896</v>
      </c>
      <c r="X14" s="115">
        <f>IFERROR(__xludf.DUMMYFUNCTION("""COMPUTED_VALUE"""),38530.0)</f>
        <v>38530</v>
      </c>
      <c r="Y14" s="115">
        <f>IFERROR(__xludf.DUMMYFUNCTION("""COMPUTED_VALUE"""),20366.0)</f>
        <v>20366</v>
      </c>
      <c r="Z14" s="115">
        <f>IFERROR(__xludf.DUMMYFUNCTION("""COMPUTED_VALUE"""),230747.0)</f>
        <v>230747</v>
      </c>
      <c r="AA14" s="115">
        <f>IFERROR(__xludf.DUMMYFUNCTION("""COMPUTED_VALUE"""),1915.0)</f>
        <v>1915</v>
      </c>
      <c r="AB14" s="115">
        <f>IFERROR(__xludf.DUMMYFUNCTION("""COMPUTED_VALUE"""),127706.0)</f>
        <v>127706</v>
      </c>
      <c r="AC14" s="115">
        <f>IFERROR(__xludf.DUMMYFUNCTION("""COMPUTED_VALUE"""),14911.0)</f>
        <v>14911</v>
      </c>
      <c r="AD14" s="115">
        <f>IFERROR(__xludf.DUMMYFUNCTION("""COMPUTED_VALUE"""),34071.0)</f>
        <v>34071</v>
      </c>
      <c r="AE14" s="115">
        <f>IFERROR(__xludf.DUMMYFUNCTION("""COMPUTED_VALUE"""),17995.0)</f>
        <v>17995</v>
      </c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 t="str">
        <f>IFERROR(__xludf.DUMMYFUNCTION("""COMPUTED_VALUE"""),"WEST")</f>
        <v>WEST</v>
      </c>
      <c r="AQ14" s="115" t="str">
        <f>IFERROR(__xludf.DUMMYFUNCTION("""COMPUTED_VALUE"""),"Ashvani Bhatt")</f>
        <v>Ashvani Bhatt</v>
      </c>
      <c r="AR14" s="115">
        <f>IFERROR(__xludf.DUMMYFUNCTION("""COMPUTED_VALUE"""),444310.0)</f>
        <v>444310</v>
      </c>
      <c r="AS14" s="115"/>
      <c r="AT14" s="115" t="str">
        <f>IFERROR(__xludf.DUMMYFUNCTION("""COMPUTED_VALUE"""),"WEST")</f>
        <v>WEST</v>
      </c>
      <c r="AU14" s="115" t="str">
        <f>IFERROR(__xludf.DUMMYFUNCTION("""COMPUTED_VALUE"""),"Ashish Jakar")</f>
        <v>Ashish Jakar</v>
      </c>
      <c r="AV14" s="115">
        <f>IFERROR(__xludf.DUMMYFUNCTION("""COMPUTED_VALUE"""),32688.0)</f>
        <v>32688</v>
      </c>
    </row>
    <row r="15">
      <c r="A15" s="115"/>
      <c r="B15" s="115">
        <f>IFERROR(__xludf.DUMMYFUNCTION("""COMPUTED_VALUE"""),713272.0)</f>
        <v>713272</v>
      </c>
      <c r="C15" s="115"/>
      <c r="D15" s="115"/>
      <c r="E15" s="115" t="str">
        <f>IFERROR(__xludf.DUMMYFUNCTION("""COMPUTED_VALUE"""),"")</f>
        <v/>
      </c>
      <c r="F15" s="115"/>
      <c r="G15" s="115" t="str">
        <f>IFERROR(__xludf.DUMMYFUNCTION("""COMPUTED_VALUE"""),"")</f>
        <v/>
      </c>
      <c r="H15" s="115"/>
      <c r="I15" s="115"/>
      <c r="J15" s="115" t="str">
        <f>IFERROR(__xludf.DUMMYFUNCTION("""COMPUTED_VALUE"""),"Vineeth V")</f>
        <v>Vineeth V</v>
      </c>
      <c r="K15" s="115">
        <f>IFERROR(__xludf.DUMMYFUNCTION("""COMPUTED_VALUE"""),292629.0)</f>
        <v>292629</v>
      </c>
      <c r="L15" s="115"/>
      <c r="M15" s="115"/>
      <c r="N15" s="115"/>
      <c r="O15" s="115"/>
      <c r="P15" s="115"/>
      <c r="Q15" s="115"/>
      <c r="R15" s="115" t="str">
        <f>IFERROR(__xludf.DUMMYFUNCTION("""COMPUTED_VALUE"""),"KL")</f>
        <v>KL</v>
      </c>
      <c r="S15" s="115" t="str">
        <f>IFERROR(__xludf.DUMMYFUNCTION("""COMPUTED_VALUE"""),"Vineeth V")</f>
        <v>Vineeth V</v>
      </c>
      <c r="T15" s="115">
        <f>IFERROR(__xludf.DUMMYFUNCTION("""COMPUTED_VALUE"""),3129.0)</f>
        <v>3129</v>
      </c>
      <c r="U15" s="115">
        <f>IFERROR(__xludf.DUMMYFUNCTION("""COMPUTED_VALUE"""),339774.0)</f>
        <v>339774</v>
      </c>
      <c r="V15" s="115">
        <f>IFERROR(__xludf.DUMMYFUNCTION("""COMPUTED_VALUE"""),128284.0)</f>
        <v>128284</v>
      </c>
      <c r="W15" s="115">
        <f>IFERROR(__xludf.DUMMYFUNCTION("""COMPUTED_VALUE"""),32538.0)</f>
        <v>32538</v>
      </c>
      <c r="X15" s="115">
        <f>IFERROR(__xludf.DUMMYFUNCTION("""COMPUTED_VALUE"""),20700.0)</f>
        <v>20700</v>
      </c>
      <c r="Y15" s="115">
        <f>IFERROR(__xludf.DUMMYFUNCTION("""COMPUTED_VALUE"""),11838.0)</f>
        <v>11838</v>
      </c>
      <c r="Z15" s="115">
        <f>IFERROR(__xludf.DUMMYFUNCTION("""COMPUTED_VALUE"""),178952.0)</f>
        <v>178952</v>
      </c>
      <c r="AA15" s="115">
        <f>IFERROR(__xludf.DUMMYFUNCTION("""COMPUTED_VALUE"""),1344.0)</f>
        <v>1344</v>
      </c>
      <c r="AB15" s="115">
        <f>IFERROR(__xludf.DUMMYFUNCTION("""COMPUTED_VALUE"""),76239.0)</f>
        <v>76239</v>
      </c>
      <c r="AC15" s="115">
        <f>IFERROR(__xludf.DUMMYFUNCTION("""COMPUTED_VALUE"""),8763.0)</f>
        <v>8763</v>
      </c>
      <c r="AD15" s="115">
        <f>IFERROR(__xludf.DUMMYFUNCTION("""COMPUTED_VALUE"""),20039.0)</f>
        <v>20039</v>
      </c>
      <c r="AE15" s="115">
        <f>IFERROR(__xludf.DUMMYFUNCTION("""COMPUTED_VALUE"""),9763.0)</f>
        <v>9763</v>
      </c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>
        <f>IFERROR(__xludf.DUMMYFUNCTION("""COMPUTED_VALUE"""),20549.0)</f>
        <v>20549</v>
      </c>
      <c r="AS15" s="115"/>
      <c r="AT15" s="115" t="str">
        <f>IFERROR(__xludf.DUMMYFUNCTION("""COMPUTED_VALUE"""),"WEST")</f>
        <v>WEST</v>
      </c>
      <c r="AU15" s="115" t="str">
        <f>IFERROR(__xludf.DUMMYFUNCTION("""COMPUTED_VALUE"""),"Ashvani Bhatt")</f>
        <v>Ashvani Bhatt</v>
      </c>
      <c r="AV15" s="115">
        <f>IFERROR(__xludf.DUMMYFUNCTION("""COMPUTED_VALUE"""),52262.0)</f>
        <v>52262</v>
      </c>
    </row>
    <row r="16">
      <c r="A16" s="115"/>
      <c r="B16" s="115"/>
      <c r="C16" s="115"/>
      <c r="D16" s="115"/>
      <c r="E16" s="115" t="str">
        <f>IFERROR(__xludf.DUMMYFUNCTION("""COMPUTED_VALUE"""),"East")</f>
        <v>East</v>
      </c>
      <c r="F16" s="115">
        <f>IFERROR(__xludf.DUMMYFUNCTION("""COMPUTED_VALUE"""),2454377.0)</f>
        <v>2454377</v>
      </c>
      <c r="G16" s="115" t="str">
        <f>IFERROR(__xludf.DUMMYFUNCTION("""COMPUTED_VALUE"""),"East")</f>
        <v>East</v>
      </c>
      <c r="H16" s="115"/>
      <c r="I16" s="115"/>
      <c r="J16" s="115" t="str">
        <f>IFERROR(__xludf.DUMMYFUNCTION("""COMPUTED_VALUE"""),"South")</f>
        <v>South</v>
      </c>
      <c r="K16" s="115">
        <f>IFERROR(__xludf.DUMMYFUNCTION("""COMPUTED_VALUE"""),1593405.0)</f>
        <v>1593405</v>
      </c>
      <c r="L16" s="115"/>
      <c r="M16" s="115"/>
      <c r="N16" s="115"/>
      <c r="O16" s="115"/>
      <c r="P16" s="115"/>
      <c r="Q16" s="115"/>
      <c r="R16" s="115" t="str">
        <f>IFERROR(__xludf.DUMMYFUNCTION("""COMPUTED_VALUE"""),"East")</f>
        <v>East</v>
      </c>
      <c r="S16" s="115" t="str">
        <f>IFERROR(__xludf.DUMMYFUNCTION("""COMPUTED_VALUE"""),"East")</f>
        <v>East</v>
      </c>
      <c r="T16" s="115">
        <f>IFERROR(__xludf.DUMMYFUNCTION("""COMPUTED_VALUE"""),13251.0)</f>
        <v>13251</v>
      </c>
      <c r="U16" s="115">
        <f>IFERROR(__xludf.DUMMYFUNCTION("""COMPUTED_VALUE"""),2197202.0)</f>
        <v>2197202</v>
      </c>
      <c r="V16" s="115">
        <f>IFERROR(__xludf.DUMMYFUNCTION("""COMPUTED_VALUE"""),647842.0)</f>
        <v>647842</v>
      </c>
      <c r="W16" s="115">
        <f>IFERROR(__xludf.DUMMYFUNCTION("""COMPUTED_VALUE"""),169875.0)</f>
        <v>169875</v>
      </c>
      <c r="X16" s="115">
        <f>IFERROR(__xludf.DUMMYFUNCTION("""COMPUTED_VALUE"""),124430.0)</f>
        <v>124430</v>
      </c>
      <c r="Y16" s="115">
        <f>IFERROR(__xludf.DUMMYFUNCTION("""COMPUTED_VALUE"""),45445.0)</f>
        <v>45445</v>
      </c>
      <c r="Z16" s="115">
        <f>IFERROR(__xludf.DUMMYFUNCTION("""COMPUTED_VALUE"""),1379485.0)</f>
        <v>1379485</v>
      </c>
      <c r="AA16" s="115">
        <f>IFERROR(__xludf.DUMMYFUNCTION("""COMPUTED_VALUE"""),4505.0)</f>
        <v>4505</v>
      </c>
      <c r="AB16" s="115">
        <f>IFERROR(__xludf.DUMMYFUNCTION("""COMPUTED_VALUE"""),539324.0)</f>
        <v>539324</v>
      </c>
      <c r="AC16" s="115">
        <f>IFERROR(__xludf.DUMMYFUNCTION("""COMPUTED_VALUE"""),57075.0)</f>
        <v>57075</v>
      </c>
      <c r="AD16" s="115">
        <f>IFERROR(__xludf.DUMMYFUNCTION("""COMPUTED_VALUE"""),75762.0)</f>
        <v>75762</v>
      </c>
      <c r="AE16" s="115">
        <f>IFERROR(__xludf.DUMMYFUNCTION("""COMPUTED_VALUE"""),43059.0)</f>
        <v>43059</v>
      </c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>
        <f>IFERROR(__xludf.DUMMYFUNCTION("""COMPUTED_VALUE"""),1251.0)</f>
        <v>1251</v>
      </c>
    </row>
    <row r="17">
      <c r="A17" s="115"/>
      <c r="B17" s="115"/>
      <c r="C17" s="115"/>
      <c r="D17" s="115"/>
      <c r="E17" s="115" t="str">
        <f>IFERROR(__xludf.DUMMYFUNCTION("""COMPUTED_VALUE"""),"Ashish Ranjan")</f>
        <v>Ashish Ranjan</v>
      </c>
      <c r="F17" s="115">
        <f>IFERROR(__xludf.DUMMYFUNCTION("""COMPUTED_VALUE"""),980075.0)</f>
        <v>980075</v>
      </c>
      <c r="G17" s="115" t="str">
        <f>IFERROR(__xludf.DUMMYFUNCTION("""COMPUTED_VALUE"""),"Ashish Ranjan")</f>
        <v>Ashish Ranjan</v>
      </c>
      <c r="H17" s="115"/>
      <c r="I17" s="115"/>
      <c r="J17" s="115" t="str">
        <f>IFERROR(__xludf.DUMMYFUNCTION("""COMPUTED_VALUE"""),"Ashish Jakar")</f>
        <v>Ashish Jakar</v>
      </c>
      <c r="K17" s="115">
        <f>IFERROR(__xludf.DUMMYFUNCTION("""COMPUTED_VALUE"""),599831.0)</f>
        <v>599831</v>
      </c>
      <c r="L17" s="115"/>
      <c r="M17" s="115"/>
      <c r="N17" s="115"/>
      <c r="O17" s="115"/>
      <c r="P17" s="115"/>
      <c r="Q17" s="115"/>
      <c r="R17" s="115" t="str">
        <f>IFERROR(__xludf.DUMMYFUNCTION("""COMPUTED_VALUE"""),"ODCG / WBSK")</f>
        <v>ODCG / WBSK</v>
      </c>
      <c r="S17" s="115" t="str">
        <f>IFERROR(__xludf.DUMMYFUNCTION("""COMPUTED_VALUE"""),"Ashish Ranjan")</f>
        <v>Ashish Ranjan</v>
      </c>
      <c r="T17" s="115">
        <f>IFERROR(__xludf.DUMMYFUNCTION("""COMPUTED_VALUE"""),4431.0)</f>
        <v>4431</v>
      </c>
      <c r="U17" s="115">
        <f>IFERROR(__xludf.DUMMYFUNCTION("""COMPUTED_VALUE"""),931695.0)</f>
        <v>931695</v>
      </c>
      <c r="V17" s="115">
        <f>IFERROR(__xludf.DUMMYFUNCTION("""COMPUTED_VALUE"""),339985.0)</f>
        <v>339985</v>
      </c>
      <c r="W17" s="115">
        <f>IFERROR(__xludf.DUMMYFUNCTION("""COMPUTED_VALUE"""),50817.0)</f>
        <v>50817</v>
      </c>
      <c r="X17" s="115">
        <f>IFERROR(__xludf.DUMMYFUNCTION("""COMPUTED_VALUE"""),38471.0)</f>
        <v>38471</v>
      </c>
      <c r="Y17" s="115">
        <f>IFERROR(__xludf.DUMMYFUNCTION("""COMPUTED_VALUE"""),12346.0)</f>
        <v>12346</v>
      </c>
      <c r="Z17" s="115">
        <f>IFERROR(__xludf.DUMMYFUNCTION("""COMPUTED_VALUE"""),540893.0)</f>
        <v>540893</v>
      </c>
      <c r="AA17" s="115">
        <f>IFERROR(__xludf.DUMMYFUNCTION("""COMPUTED_VALUE"""),1360.0)</f>
        <v>1360</v>
      </c>
      <c r="AB17" s="115">
        <f>IFERROR(__xludf.DUMMYFUNCTION("""COMPUTED_VALUE"""),154571.0)</f>
        <v>154571</v>
      </c>
      <c r="AC17" s="115">
        <f>IFERROR(__xludf.DUMMYFUNCTION("""COMPUTED_VALUE"""),19616.0)</f>
        <v>19616</v>
      </c>
      <c r="AD17" s="115">
        <f>IFERROR(__xludf.DUMMYFUNCTION("""COMPUTED_VALUE"""),20036.0)</f>
        <v>20036</v>
      </c>
      <c r="AE17" s="115">
        <f>IFERROR(__xludf.DUMMYFUNCTION("""COMPUTED_VALUE"""),11936.0)</f>
        <v>11936</v>
      </c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</row>
    <row r="18">
      <c r="A18" s="115"/>
      <c r="B18" s="115"/>
      <c r="C18" s="115"/>
      <c r="D18" s="115"/>
      <c r="E18" s="115" t="str">
        <f>IFERROR(__xludf.DUMMYFUNCTION("""COMPUTED_VALUE"""),"Girish Chand")</f>
        <v>Girish Chand</v>
      </c>
      <c r="F18" s="115">
        <f>IFERROR(__xludf.DUMMYFUNCTION("""COMPUTED_VALUE"""),827814.0)</f>
        <v>827814</v>
      </c>
      <c r="G18" s="115" t="str">
        <f>IFERROR(__xludf.DUMMYFUNCTION("""COMPUTED_VALUE"""),"Girish Chand")</f>
        <v>Girish Chand</v>
      </c>
      <c r="H18" s="115"/>
      <c r="I18" s="115"/>
      <c r="J18" s="115" t="str">
        <f>IFERROR(__xludf.DUMMYFUNCTION("""COMPUTED_VALUE"""),"Ashvani Bhatt")</f>
        <v>Ashvani Bhatt</v>
      </c>
      <c r="K18" s="115">
        <f>IFERROR(__xludf.DUMMYFUNCTION("""COMPUTED_VALUE"""),480015.0)</f>
        <v>480015</v>
      </c>
      <c r="L18" s="115"/>
      <c r="M18" s="115"/>
      <c r="N18" s="115"/>
      <c r="O18" s="115"/>
      <c r="P18" s="115"/>
      <c r="Q18" s="115"/>
      <c r="R18" s="115" t="str">
        <f>IFERROR(__xludf.DUMMYFUNCTION("""COMPUTED_VALUE"""),"BI/JH")</f>
        <v>BI/JH</v>
      </c>
      <c r="S18" s="115" t="str">
        <f>IFERROR(__xludf.DUMMYFUNCTION("""COMPUTED_VALUE"""),"Girish Chand")</f>
        <v>Girish Chand</v>
      </c>
      <c r="T18" s="115">
        <f>IFERROR(__xludf.DUMMYFUNCTION("""COMPUTED_VALUE"""),5734.0)</f>
        <v>5734</v>
      </c>
      <c r="U18" s="115">
        <f>IFERROR(__xludf.DUMMYFUNCTION("""COMPUTED_VALUE"""),677300.0)</f>
        <v>677300</v>
      </c>
      <c r="V18" s="115">
        <f>IFERROR(__xludf.DUMMYFUNCTION("""COMPUTED_VALUE"""),232216.0)</f>
        <v>232216</v>
      </c>
      <c r="W18" s="115">
        <f>IFERROR(__xludf.DUMMYFUNCTION("""COMPUTED_VALUE"""),60979.0)</f>
        <v>60979</v>
      </c>
      <c r="X18" s="115">
        <f>IFERROR(__xludf.DUMMYFUNCTION("""COMPUTED_VALUE"""),43593.0)</f>
        <v>43593</v>
      </c>
      <c r="Y18" s="115">
        <f>IFERROR(__xludf.DUMMYFUNCTION("""COMPUTED_VALUE"""),17386.0)</f>
        <v>17386</v>
      </c>
      <c r="Z18" s="115">
        <f>IFERROR(__xludf.DUMMYFUNCTION("""COMPUTED_VALUE"""),384105.0)</f>
        <v>384105</v>
      </c>
      <c r="AA18" s="115">
        <f>IFERROR(__xludf.DUMMYFUNCTION("""COMPUTED_VALUE"""),1797.0)</f>
        <v>1797</v>
      </c>
      <c r="AB18" s="115">
        <f>IFERROR(__xludf.DUMMYFUNCTION("""COMPUTED_VALUE"""),166968.0)</f>
        <v>166968</v>
      </c>
      <c r="AC18" s="115">
        <f>IFERROR(__xludf.DUMMYFUNCTION("""COMPUTED_VALUE"""),15726.0)</f>
        <v>15726</v>
      </c>
      <c r="AD18" s="115">
        <f>IFERROR(__xludf.DUMMYFUNCTION("""COMPUTED_VALUE"""),27340.0)</f>
        <v>27340</v>
      </c>
      <c r="AE18" s="115">
        <f>IFERROR(__xludf.DUMMYFUNCTION("""COMPUTED_VALUE"""),14209.0)</f>
        <v>14209</v>
      </c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</row>
    <row r="19">
      <c r="A19" s="115"/>
      <c r="B19" s="115"/>
      <c r="C19" s="115"/>
      <c r="D19" s="115"/>
      <c r="E19" s="115" t="str">
        <f>IFERROR(__xludf.DUMMYFUNCTION("""COMPUTED_VALUE"""),"Parag kashyap")</f>
        <v>Parag kashyap</v>
      </c>
      <c r="F19" s="115">
        <f>IFERROR(__xludf.DUMMYFUNCTION("""COMPUTED_VALUE"""),646488.0)</f>
        <v>646488</v>
      </c>
      <c r="G19" s="115" t="str">
        <f>IFERROR(__xludf.DUMMYFUNCTION("""COMPUTED_VALUE"""),"Parag kashyap")</f>
        <v>Parag kashyap</v>
      </c>
      <c r="H19" s="115"/>
      <c r="I19" s="115"/>
      <c r="J19" s="115" t="str">
        <f>IFERROR(__xludf.DUMMYFUNCTION("""COMPUTED_VALUE"""),"West")</f>
        <v>West</v>
      </c>
      <c r="K19" s="115">
        <f>IFERROR(__xludf.DUMMYFUNCTION("""COMPUTED_VALUE"""),1079846.0)</f>
        <v>1079846</v>
      </c>
      <c r="L19" s="115"/>
      <c r="M19" s="115"/>
      <c r="N19" s="115"/>
      <c r="O19" s="115"/>
      <c r="P19" s="115"/>
      <c r="Q19" s="115"/>
      <c r="R19" s="115" t="str">
        <f>IFERROR(__xludf.DUMMYFUNCTION("""COMPUTED_VALUE"""),"ANE")</f>
        <v>ANE</v>
      </c>
      <c r="S19" s="115" t="str">
        <f>IFERROR(__xludf.DUMMYFUNCTION("""COMPUTED_VALUE"""),"Parag kashyap")</f>
        <v>Parag kashyap</v>
      </c>
      <c r="T19" s="115">
        <f>IFERROR(__xludf.DUMMYFUNCTION("""COMPUTED_VALUE"""),3086.0)</f>
        <v>3086</v>
      </c>
      <c r="U19" s="115">
        <f>IFERROR(__xludf.DUMMYFUNCTION("""COMPUTED_VALUE"""),588207.0)</f>
        <v>588207</v>
      </c>
      <c r="V19" s="115">
        <f>IFERROR(__xludf.DUMMYFUNCTION("""COMPUTED_VALUE"""),75641.0)</f>
        <v>75641</v>
      </c>
      <c r="W19" s="115">
        <f>IFERROR(__xludf.DUMMYFUNCTION("""COMPUTED_VALUE"""),58079.0)</f>
        <v>58079</v>
      </c>
      <c r="X19" s="115">
        <f>IFERROR(__xludf.DUMMYFUNCTION("""COMPUTED_VALUE"""),42366.0)</f>
        <v>42366</v>
      </c>
      <c r="Y19" s="115">
        <f>IFERROR(__xludf.DUMMYFUNCTION("""COMPUTED_VALUE"""),15713.0)</f>
        <v>15713</v>
      </c>
      <c r="Z19" s="115">
        <f>IFERROR(__xludf.DUMMYFUNCTION("""COMPUTED_VALUE"""),454487.0)</f>
        <v>454487</v>
      </c>
      <c r="AA19" s="115">
        <f>IFERROR(__xludf.DUMMYFUNCTION("""COMPUTED_VALUE"""),1348.0)</f>
        <v>1348</v>
      </c>
      <c r="AB19" s="115">
        <f>IFERROR(__xludf.DUMMYFUNCTION("""COMPUTED_VALUE"""),217785.0)</f>
        <v>217785</v>
      </c>
      <c r="AC19" s="115">
        <f>IFERROR(__xludf.DUMMYFUNCTION("""COMPUTED_VALUE"""),21733.0)</f>
        <v>21733</v>
      </c>
      <c r="AD19" s="115">
        <f>IFERROR(__xludf.DUMMYFUNCTION("""COMPUTED_VALUE"""),28386.0)</f>
        <v>28386</v>
      </c>
      <c r="AE19" s="115">
        <f>IFERROR(__xludf.DUMMYFUNCTION("""COMPUTED_VALUE"""),16914.0)</f>
        <v>16914</v>
      </c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</row>
    <row r="20">
      <c r="A20" s="115"/>
      <c r="B20" s="115"/>
      <c r="C20" s="115"/>
      <c r="D20" s="115"/>
      <c r="E20" s="115" t="str">
        <f>IFERROR(__xludf.DUMMYFUNCTION("""COMPUTED_VALUE"""),"")</f>
        <v/>
      </c>
      <c r="F20" s="115"/>
      <c r="G20" s="115" t="str">
        <f>IFERROR(__xludf.DUMMYFUNCTION("""COMPUTED_VALUE"""),"")</f>
        <v/>
      </c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 t="str">
        <f>IFERROR(__xludf.DUMMYFUNCTION("""COMPUTED_VALUE"""),"West")</f>
        <v>West</v>
      </c>
      <c r="S20" s="115" t="str">
        <f>IFERROR(__xludf.DUMMYFUNCTION("""COMPUTED_VALUE"""),"West")</f>
        <v>West</v>
      </c>
      <c r="T20" s="115">
        <f>IFERROR(__xludf.DUMMYFUNCTION("""COMPUTED_VALUE"""),12195.0)</f>
        <v>12195</v>
      </c>
      <c r="U20" s="115">
        <f>IFERROR(__xludf.DUMMYFUNCTION("""COMPUTED_VALUE"""),1102928.0)</f>
        <v>1102928</v>
      </c>
      <c r="V20" s="115">
        <f>IFERROR(__xludf.DUMMYFUNCTION("""COMPUTED_VALUE"""),407113.0)</f>
        <v>407113</v>
      </c>
      <c r="W20" s="115">
        <f>IFERROR(__xludf.DUMMYFUNCTION("""COMPUTED_VALUE"""),157036.0)</f>
        <v>157036</v>
      </c>
      <c r="X20" s="115">
        <f>IFERROR(__xludf.DUMMYFUNCTION("""COMPUTED_VALUE"""),101790.0)</f>
        <v>101790</v>
      </c>
      <c r="Y20" s="115">
        <f>IFERROR(__xludf.DUMMYFUNCTION("""COMPUTED_VALUE"""),55246.0)</f>
        <v>55246</v>
      </c>
      <c r="Z20" s="115">
        <f>IFERROR(__xludf.DUMMYFUNCTION("""COMPUTED_VALUE"""),538779.0)</f>
        <v>538779</v>
      </c>
      <c r="AA20" s="115">
        <f>IFERROR(__xludf.DUMMYFUNCTION("""COMPUTED_VALUE"""),4243.0)</f>
        <v>4243</v>
      </c>
      <c r="AB20" s="115">
        <f>IFERROR(__xludf.DUMMYFUNCTION("""COMPUTED_VALUE"""),311560.0)</f>
        <v>311560</v>
      </c>
      <c r="AC20" s="115">
        <f>IFERROR(__xludf.DUMMYFUNCTION("""COMPUTED_VALUE"""),36361.0)</f>
        <v>36361</v>
      </c>
      <c r="AD20" s="115">
        <f>IFERROR(__xludf.DUMMYFUNCTION("""COMPUTED_VALUE"""),82882.0)</f>
        <v>82882</v>
      </c>
      <c r="AE20" s="115">
        <f>IFERROR(__xludf.DUMMYFUNCTION("""COMPUTED_VALUE"""),40020.0)</f>
        <v>40020</v>
      </c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</row>
    <row r="21">
      <c r="A21" s="115"/>
      <c r="B21" s="115"/>
      <c r="C21" s="115"/>
      <c r="D21" s="115"/>
      <c r="E21" s="115" t="str">
        <f>IFERROR(__xludf.DUMMYFUNCTION("""COMPUTED_VALUE"""),"West")</f>
        <v>West</v>
      </c>
      <c r="F21" s="115">
        <f>IFERROR(__xludf.DUMMYFUNCTION("""COMPUTED_VALUE"""),1066491.0)</f>
        <v>1066491</v>
      </c>
      <c r="G21" s="115" t="str">
        <f>IFERROR(__xludf.DUMMYFUNCTION("""COMPUTED_VALUE"""),"West")</f>
        <v>West</v>
      </c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 t="str">
        <f>IFERROR(__xludf.DUMMYFUNCTION("""COMPUTED_VALUE"""),"MNG")</f>
        <v>MNG</v>
      </c>
      <c r="S21" s="115" t="str">
        <f>IFERROR(__xludf.DUMMYFUNCTION("""COMPUTED_VALUE"""),"Ashish Jakar")</f>
        <v>Ashish Jakar</v>
      </c>
      <c r="T21" s="115">
        <f>IFERROR(__xludf.DUMMYFUNCTION("""COMPUTED_VALUE"""),7883.0)</f>
        <v>7883</v>
      </c>
      <c r="U21" s="115">
        <f>IFERROR(__xludf.DUMMYFUNCTION("""COMPUTED_VALUE"""),626065.0)</f>
        <v>626065</v>
      </c>
      <c r="V21" s="115">
        <f>IFERROR(__xludf.DUMMYFUNCTION("""COMPUTED_VALUE"""),251982.0)</f>
        <v>251982</v>
      </c>
      <c r="W21" s="115">
        <f>IFERROR(__xludf.DUMMYFUNCTION("""COMPUTED_VALUE"""),103117.0)</f>
        <v>103117</v>
      </c>
      <c r="X21" s="115">
        <f>IFERROR(__xludf.DUMMYFUNCTION("""COMPUTED_VALUE"""),66106.0)</f>
        <v>66106</v>
      </c>
      <c r="Y21" s="115">
        <f>IFERROR(__xludf.DUMMYFUNCTION("""COMPUTED_VALUE"""),37011.0)</f>
        <v>37011</v>
      </c>
      <c r="Z21" s="115">
        <f>IFERROR(__xludf.DUMMYFUNCTION("""COMPUTED_VALUE"""),270966.0)</f>
        <v>270966</v>
      </c>
      <c r="AA21" s="115">
        <f>IFERROR(__xludf.DUMMYFUNCTION("""COMPUTED_VALUE"""),2709.0)</f>
        <v>2709</v>
      </c>
      <c r="AB21" s="115">
        <f>IFERROR(__xludf.DUMMYFUNCTION("""COMPUTED_VALUE"""),178181.0)</f>
        <v>178181</v>
      </c>
      <c r="AC21" s="115">
        <f>IFERROR(__xludf.DUMMYFUNCTION("""COMPUTED_VALUE"""),20224.0)</f>
        <v>20224</v>
      </c>
      <c r="AD21" s="115">
        <f>IFERROR(__xludf.DUMMYFUNCTION("""COMPUTED_VALUE"""),53846.0)</f>
        <v>53846</v>
      </c>
      <c r="AE21" s="115">
        <f>IFERROR(__xludf.DUMMYFUNCTION("""COMPUTED_VALUE"""),26049.0)</f>
        <v>26049</v>
      </c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</row>
    <row r="22">
      <c r="A22" s="115"/>
      <c r="B22" s="115"/>
      <c r="C22" s="115"/>
      <c r="D22" s="115"/>
      <c r="E22" s="115" t="str">
        <f>IFERROR(__xludf.DUMMYFUNCTION("""COMPUTED_VALUE"""),"Ashish Jakar")</f>
        <v>Ashish Jakar</v>
      </c>
      <c r="F22" s="115">
        <f>IFERROR(__xludf.DUMMYFUNCTION("""COMPUTED_VALUE"""),514544.0)</f>
        <v>514544</v>
      </c>
      <c r="G22" s="115" t="str">
        <f>IFERROR(__xludf.DUMMYFUNCTION("""COMPUTED_VALUE"""),"Ashish Jakar")</f>
        <v>Ashish Jakar</v>
      </c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 t="str">
        <f>IFERROR(__xludf.DUMMYFUNCTION("""COMPUTED_VALUE"""),"GJ/MP")</f>
        <v>GJ/MP</v>
      </c>
      <c r="S22" s="115" t="str">
        <f>IFERROR(__xludf.DUMMYFUNCTION("""COMPUTED_VALUE"""),"Ashvani Bhatt")</f>
        <v>Ashvani Bhatt</v>
      </c>
      <c r="T22" s="115">
        <f>IFERROR(__xludf.DUMMYFUNCTION("""COMPUTED_VALUE"""),4312.0)</f>
        <v>4312</v>
      </c>
      <c r="U22" s="115">
        <f>IFERROR(__xludf.DUMMYFUNCTION("""COMPUTED_VALUE"""),476863.0)</f>
        <v>476863</v>
      </c>
      <c r="V22" s="115">
        <f>IFERROR(__xludf.DUMMYFUNCTION("""COMPUTED_VALUE"""),155131.0)</f>
        <v>155131</v>
      </c>
      <c r="W22" s="115">
        <f>IFERROR(__xludf.DUMMYFUNCTION("""COMPUTED_VALUE"""),53919.0)</f>
        <v>53919</v>
      </c>
      <c r="X22" s="115">
        <f>IFERROR(__xludf.DUMMYFUNCTION("""COMPUTED_VALUE"""),35684.0)</f>
        <v>35684</v>
      </c>
      <c r="Y22" s="115">
        <f>IFERROR(__xludf.DUMMYFUNCTION("""COMPUTED_VALUE"""),18235.0)</f>
        <v>18235</v>
      </c>
      <c r="Z22" s="115">
        <f>IFERROR(__xludf.DUMMYFUNCTION("""COMPUTED_VALUE"""),267813.0)</f>
        <v>267813</v>
      </c>
      <c r="AA22" s="115">
        <f>IFERROR(__xludf.DUMMYFUNCTION("""COMPUTED_VALUE"""),1534.0)</f>
        <v>1534</v>
      </c>
      <c r="AB22" s="115">
        <f>IFERROR(__xludf.DUMMYFUNCTION("""COMPUTED_VALUE"""),133379.0)</f>
        <v>133379</v>
      </c>
      <c r="AC22" s="115">
        <f>IFERROR(__xludf.DUMMYFUNCTION("""COMPUTED_VALUE"""),16137.0)</f>
        <v>16137</v>
      </c>
      <c r="AD22" s="115">
        <f>IFERROR(__xludf.DUMMYFUNCTION("""COMPUTED_VALUE"""),29036.0)</f>
        <v>29036</v>
      </c>
      <c r="AE22" s="115">
        <f>IFERROR(__xludf.DUMMYFUNCTION("""COMPUTED_VALUE"""),13971.0)</f>
        <v>13971</v>
      </c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</row>
    <row r="23">
      <c r="A23" s="115"/>
      <c r="B23" s="115"/>
      <c r="C23" s="115"/>
      <c r="D23" s="115"/>
      <c r="E23" s="115" t="str">
        <f>IFERROR(__xludf.DUMMYFUNCTION("""COMPUTED_VALUE"""),"Ashvani Bhatt")</f>
        <v>Ashvani Bhatt</v>
      </c>
      <c r="F23" s="115">
        <f>IFERROR(__xludf.DUMMYFUNCTION("""COMPUTED_VALUE"""),551947.0)</f>
        <v>551947</v>
      </c>
      <c r="G23" s="115" t="str">
        <f>IFERROR(__xludf.DUMMYFUNCTION("""COMPUTED_VALUE"""),"Ashvani Bhatt")</f>
        <v>Ashvani Bhatt</v>
      </c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 t="str">
        <f>IFERROR(__xludf.DUMMYFUNCTION("""COMPUTED_VALUE"""),"Pan India")</f>
        <v>Pan India</v>
      </c>
      <c r="T23" s="115">
        <f>IFERROR(__xludf.DUMMYFUNCTION("""COMPUTED_VALUE"""),60161.0)</f>
        <v>60161</v>
      </c>
      <c r="U23" s="115">
        <f>IFERROR(__xludf.DUMMYFUNCTION("""COMPUTED_VALUE"""),6511462.0)</f>
        <v>6511462</v>
      </c>
      <c r="V23" s="115">
        <f>IFERROR(__xludf.DUMMYFUNCTION("""COMPUTED_VALUE"""),2171741.0)</f>
        <v>2171741</v>
      </c>
      <c r="W23" s="115">
        <f>IFERROR(__xludf.DUMMYFUNCTION("""COMPUTED_VALUE"""),724018.0)</f>
        <v>724018</v>
      </c>
      <c r="X23" s="115">
        <f>IFERROR(__xludf.DUMMYFUNCTION("""COMPUTED_VALUE"""),486592.0)</f>
        <v>486592</v>
      </c>
      <c r="Y23" s="115">
        <f>IFERROR(__xludf.DUMMYFUNCTION("""COMPUTED_VALUE"""),237426.0)</f>
        <v>237426</v>
      </c>
      <c r="Z23" s="115">
        <f>IFERROR(__xludf.DUMMYFUNCTION("""COMPUTED_VALUE"""),3615703.0)</f>
        <v>3615703</v>
      </c>
      <c r="AA23" s="115">
        <f>IFERROR(__xludf.DUMMYFUNCTION("""COMPUTED_VALUE"""),23236.0)</f>
        <v>23236</v>
      </c>
      <c r="AB23" s="115">
        <f>IFERROR(__xludf.DUMMYFUNCTION("""COMPUTED_VALUE"""),1640230.0)</f>
        <v>1640230</v>
      </c>
      <c r="AC23" s="115">
        <f>IFERROR(__xludf.DUMMYFUNCTION("""COMPUTED_VALUE"""),198275.0)</f>
        <v>198275</v>
      </c>
      <c r="AD23" s="115">
        <f>IFERROR(__xludf.DUMMYFUNCTION("""COMPUTED_VALUE"""),378104.0)</f>
        <v>378104</v>
      </c>
      <c r="AE23" s="115">
        <f>IFERROR(__xludf.DUMMYFUNCTION("""COMPUTED_VALUE"""),192448.0)</f>
        <v>192448</v>
      </c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</row>
    <row r="24">
      <c r="A24" s="115"/>
      <c r="B24" s="115"/>
      <c r="C24" s="115"/>
      <c r="D24" s="115"/>
      <c r="E24" s="115"/>
      <c r="F24" s="115"/>
      <c r="G24" s="115"/>
      <c r="H24" s="115"/>
      <c r="I24" s="115"/>
      <c r="J24" s="115" t="str">
        <f>IFERROR(__xludf.DUMMYFUNCTION("""COMPUTED_VALUE"""),"Ashish Ranjan")</f>
        <v>Ashish Ranjan</v>
      </c>
      <c r="K24" s="115">
        <f>IFERROR(__xludf.DUMMYFUNCTION("""COMPUTED_VALUE"""),1100345.0)</f>
        <v>1100345</v>
      </c>
      <c r="L24" s="115">
        <f>IFERROR(__xludf.DUMMYFUNCTION("""COMPUTED_VALUE"""),61872.0)</f>
        <v>61872</v>
      </c>
      <c r="M24" s="115">
        <f>IFERROR(__xludf.DUMMYFUNCTION("""COMPUTED_VALUE"""),98215.0)</f>
        <v>98215</v>
      </c>
      <c r="N24" s="115">
        <f>IFERROR(__xludf.DUMMYFUNCTION("""COMPUTED_VALUE"""),940258.0)</f>
        <v>940258</v>
      </c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</row>
    <row r="25">
      <c r="A25" s="115"/>
      <c r="B25" s="115"/>
      <c r="C25" s="115"/>
      <c r="D25" s="115"/>
      <c r="E25" s="115"/>
      <c r="F25" s="115"/>
      <c r="G25" s="115"/>
      <c r="H25" s="115"/>
      <c r="I25" s="115"/>
      <c r="J25" s="115" t="str">
        <f>IFERROR(__xludf.DUMMYFUNCTION("""COMPUTED_VALUE"""),"Girish Chand")</f>
        <v>Girish Chand</v>
      </c>
      <c r="K25" s="115">
        <f>IFERROR(__xludf.DUMMYFUNCTION("""COMPUTED_VALUE"""),940303.0)</f>
        <v>940303</v>
      </c>
      <c r="L25" s="115">
        <f>IFERROR(__xludf.DUMMYFUNCTION("""COMPUTED_VALUE"""),49275.0)</f>
        <v>49275</v>
      </c>
      <c r="M25" s="115">
        <f>IFERROR(__xludf.DUMMYFUNCTION("""COMPUTED_VALUE"""),59240.0)</f>
        <v>59240</v>
      </c>
      <c r="N25" s="115">
        <f>IFERROR(__xludf.DUMMYFUNCTION("""COMPUTED_VALUE"""),831788.0)</f>
        <v>831788</v>
      </c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</row>
    <row r="26">
      <c r="A26" s="115"/>
      <c r="B26" s="115"/>
      <c r="C26" s="115"/>
      <c r="D26" s="115"/>
      <c r="E26" s="115"/>
      <c r="F26" s="115"/>
      <c r="G26" s="115"/>
      <c r="H26" s="115"/>
      <c r="I26" s="115"/>
      <c r="J26" s="115" t="str">
        <f>IFERROR(__xludf.DUMMYFUNCTION("""COMPUTED_VALUE"""),"Parag kashyap")</f>
        <v>Parag kashyap</v>
      </c>
      <c r="K26" s="115">
        <f>IFERROR(__xludf.DUMMYFUNCTION("""COMPUTED_VALUE"""),665529.0)</f>
        <v>665529</v>
      </c>
      <c r="L26" s="115">
        <f>IFERROR(__xludf.DUMMYFUNCTION("""COMPUTED_VALUE"""),28304.0)</f>
        <v>28304</v>
      </c>
      <c r="M26" s="115">
        <f>IFERROR(__xludf.DUMMYFUNCTION("""COMPUTED_VALUE"""),34989.0)</f>
        <v>34989</v>
      </c>
      <c r="N26" s="115">
        <f>IFERROR(__xludf.DUMMYFUNCTION("""COMPUTED_VALUE"""),602236.0)</f>
        <v>602236</v>
      </c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  <c r="Z26" s="115"/>
      <c r="AA26" s="115"/>
      <c r="AB26" s="115"/>
      <c r="AC26" s="115"/>
      <c r="AD26" s="115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</row>
    <row r="27">
      <c r="A27" s="115"/>
      <c r="B27" s="115"/>
      <c r="C27" s="115"/>
      <c r="D27" s="115"/>
      <c r="E27" s="115"/>
      <c r="F27" s="115"/>
      <c r="G27" s="115"/>
      <c r="H27" s="115"/>
      <c r="I27" s="115"/>
      <c r="J27" s="115" t="str">
        <f>IFERROR(__xludf.DUMMYFUNCTION("""COMPUTED_VALUE"""),"North")</f>
        <v>North</v>
      </c>
      <c r="K27" s="115">
        <f>IFERROR(__xludf.DUMMYFUNCTION("""COMPUTED_VALUE"""),1842871.0)</f>
        <v>1842871</v>
      </c>
      <c r="L27" s="115">
        <f>IFERROR(__xludf.DUMMYFUNCTION("""COMPUTED_VALUE"""),94723.0)</f>
        <v>94723</v>
      </c>
      <c r="M27" s="115">
        <f>IFERROR(__xludf.DUMMYFUNCTION("""COMPUTED_VALUE"""),69847.0)</f>
        <v>69847</v>
      </c>
      <c r="N27" s="115">
        <f>IFERROR(__xludf.DUMMYFUNCTION("""COMPUTED_VALUE"""),1678301.0)</f>
        <v>1678301</v>
      </c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</row>
    <row r="28">
      <c r="A28" s="115"/>
      <c r="B28" s="115"/>
      <c r="C28" s="115"/>
      <c r="D28" s="115"/>
      <c r="E28" s="115"/>
      <c r="F28" s="115"/>
      <c r="G28" s="115"/>
      <c r="H28" s="115"/>
      <c r="I28" s="115"/>
      <c r="J28" s="115" t="str">
        <f>IFERROR(__xludf.DUMMYFUNCTION("""COMPUTED_VALUE"""),"Kaushal")</f>
        <v>Kaushal</v>
      </c>
      <c r="K28" s="115">
        <f>IFERROR(__xludf.DUMMYFUNCTION("""COMPUTED_VALUE"""),251076.0)</f>
        <v>251076</v>
      </c>
      <c r="L28" s="115">
        <f>IFERROR(__xludf.DUMMYFUNCTION("""COMPUTED_VALUE"""),76.0)</f>
        <v>76</v>
      </c>
      <c r="M28" s="115">
        <f>IFERROR(__xludf.DUMMYFUNCTION("""COMPUTED_VALUE"""),8653.0)</f>
        <v>8653</v>
      </c>
      <c r="N28" s="115">
        <f>IFERROR(__xludf.DUMMYFUNCTION("""COMPUTED_VALUE"""),242347.0)</f>
        <v>242347</v>
      </c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</row>
    <row r="29">
      <c r="A29" s="115"/>
      <c r="B29" s="115"/>
      <c r="C29" s="115"/>
      <c r="D29" s="115"/>
      <c r="E29" s="115"/>
      <c r="F29" s="115"/>
      <c r="G29" s="115"/>
      <c r="H29" s="115"/>
      <c r="I29" s="115"/>
      <c r="J29" s="115" t="str">
        <f>IFERROR(__xludf.DUMMYFUNCTION("""COMPUTED_VALUE"""),"Manoj")</f>
        <v>Manoj</v>
      </c>
      <c r="K29" s="115">
        <f>IFERROR(__xludf.DUMMYFUNCTION("""COMPUTED_VALUE"""),745708.0)</f>
        <v>745708</v>
      </c>
      <c r="L29" s="115">
        <f>IFERROR(__xludf.DUMMYFUNCTION("""COMPUTED_VALUE"""),64553.0)</f>
        <v>64553</v>
      </c>
      <c r="M29" s="115">
        <f>IFERROR(__xludf.DUMMYFUNCTION("""COMPUTED_VALUE"""),32013.0)</f>
        <v>32013</v>
      </c>
      <c r="N29" s="115">
        <f>IFERROR(__xludf.DUMMYFUNCTION("""COMPUTED_VALUE"""),649142.0)</f>
        <v>649142</v>
      </c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</row>
    <row r="30">
      <c r="A30" s="115"/>
      <c r="B30" s="115"/>
      <c r="C30" s="115"/>
      <c r="D30" s="115"/>
      <c r="E30" s="115"/>
      <c r="F30" s="115"/>
      <c r="G30" s="115"/>
      <c r="H30" s="115"/>
      <c r="I30" s="115"/>
      <c r="J30" s="115" t="str">
        <f>IFERROR(__xludf.DUMMYFUNCTION("""COMPUTED_VALUE"""),"Paritosh")</f>
        <v>Paritosh</v>
      </c>
      <c r="K30" s="115">
        <f>IFERROR(__xludf.DUMMYFUNCTION("""COMPUTED_VALUE"""),494678.0)</f>
        <v>494678</v>
      </c>
      <c r="L30" s="115">
        <f>IFERROR(__xludf.DUMMYFUNCTION("""COMPUTED_VALUE"""),12556.0)</f>
        <v>12556</v>
      </c>
      <c r="M30" s="115">
        <f>IFERROR(__xludf.DUMMYFUNCTION("""COMPUTED_VALUE"""),16056.0)</f>
        <v>16056</v>
      </c>
      <c r="N30" s="115">
        <f>IFERROR(__xludf.DUMMYFUNCTION("""COMPUTED_VALUE"""),466066.0)</f>
        <v>466066</v>
      </c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</row>
    <row r="31">
      <c r="A31" s="115"/>
      <c r="B31" s="115"/>
      <c r="C31" s="115"/>
      <c r="D31" s="115"/>
      <c r="E31" s="115"/>
      <c r="F31" s="115"/>
      <c r="G31" s="115"/>
      <c r="H31" s="115"/>
      <c r="I31" s="115"/>
      <c r="J31" s="115" t="str">
        <f>IFERROR(__xludf.DUMMYFUNCTION("""COMPUTED_VALUE"""),"Piyush")</f>
        <v>Piyush</v>
      </c>
      <c r="K31" s="115">
        <f>IFERROR(__xludf.DUMMYFUNCTION("""COMPUTED_VALUE"""),351409.0)</f>
        <v>351409</v>
      </c>
      <c r="L31" s="115">
        <f>IFERROR(__xludf.DUMMYFUNCTION("""COMPUTED_VALUE"""),17538.0)</f>
        <v>17538</v>
      </c>
      <c r="M31" s="115">
        <f>IFERROR(__xludf.DUMMYFUNCTION("""COMPUTED_VALUE"""),13100.0)</f>
        <v>13100</v>
      </c>
      <c r="N31" s="115">
        <f>IFERROR(__xludf.DUMMYFUNCTION("""COMPUTED_VALUE"""),320771.0)</f>
        <v>320771</v>
      </c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</row>
    <row r="32">
      <c r="A32" s="115"/>
      <c r="B32" s="115"/>
      <c r="C32" s="115"/>
      <c r="D32" s="115"/>
      <c r="E32" s="115"/>
      <c r="F32" s="115"/>
      <c r="G32" s="115"/>
      <c r="H32" s="115"/>
      <c r="I32" s="115"/>
      <c r="J32" s="115" t="str">
        <f>IFERROR(__xludf.DUMMYFUNCTION("""COMPUTED_VALUE"""),"South")</f>
        <v>South</v>
      </c>
      <c r="K32" s="115">
        <f>IFERROR(__xludf.DUMMYFUNCTION("""COMPUTED_VALUE"""),1717911.0)</f>
        <v>1717911</v>
      </c>
      <c r="L32" s="115">
        <f>IFERROR(__xludf.DUMMYFUNCTION("""COMPUTED_VALUE"""),25513.0)</f>
        <v>25513</v>
      </c>
      <c r="M32" s="115">
        <f>IFERROR(__xludf.DUMMYFUNCTION("""COMPUTED_VALUE"""),98993.0)</f>
        <v>98993</v>
      </c>
      <c r="N32" s="115">
        <f>IFERROR(__xludf.DUMMYFUNCTION("""COMPUTED_VALUE"""),1593405.0)</f>
        <v>1593405</v>
      </c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  <c r="AA32" s="115"/>
      <c r="AB32" s="115"/>
      <c r="AC32" s="115"/>
      <c r="AD32" s="115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</row>
    <row r="33">
      <c r="A33" s="115"/>
      <c r="B33" s="115"/>
      <c r="C33" s="115"/>
      <c r="D33" s="115"/>
      <c r="E33" s="115"/>
      <c r="F33" s="115"/>
      <c r="G33" s="115"/>
      <c r="H33" s="115"/>
      <c r="I33" s="115"/>
      <c r="J33" s="115" t="str">
        <f>IFERROR(__xludf.DUMMYFUNCTION("""COMPUTED_VALUE"""),"Sampath")</f>
        <v>Sampath</v>
      </c>
      <c r="K33" s="115">
        <f>IFERROR(__xludf.DUMMYFUNCTION("""COMPUTED_VALUE"""),473688.0)</f>
        <v>473688</v>
      </c>
      <c r="L33" s="115">
        <f>IFERROR(__xludf.DUMMYFUNCTION("""COMPUTED_VALUE"""),10696.0)</f>
        <v>10696</v>
      </c>
      <c r="M33" s="115">
        <f>IFERROR(__xludf.DUMMYFUNCTION("""COMPUTED_VALUE"""),23093.0)</f>
        <v>23093</v>
      </c>
      <c r="N33" s="115">
        <f>IFERROR(__xludf.DUMMYFUNCTION("""COMPUTED_VALUE"""),439899.0)</f>
        <v>439899</v>
      </c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</row>
    <row r="34">
      <c r="A34" s="115"/>
      <c r="B34" s="115"/>
      <c r="C34" s="115"/>
      <c r="D34" s="115"/>
      <c r="E34" s="115"/>
      <c r="F34" s="115"/>
      <c r="G34" s="115"/>
      <c r="H34" s="115"/>
      <c r="I34" s="115"/>
      <c r="J34" s="115" t="str">
        <f>IFERROR(__xludf.DUMMYFUNCTION("""COMPUTED_VALUE"""),"Martin")</f>
        <v>Martin</v>
      </c>
      <c r="K34" s="115">
        <f>IFERROR(__xludf.DUMMYFUNCTION("""COMPUTED_VALUE"""),456659.0)</f>
        <v>456659</v>
      </c>
      <c r="L34" s="115">
        <f>IFERROR(__xludf.DUMMYFUNCTION("""COMPUTED_VALUE"""),3486.0)</f>
        <v>3486</v>
      </c>
      <c r="M34" s="115">
        <f>IFERROR(__xludf.DUMMYFUNCTION("""COMPUTED_VALUE"""),22860.0)</f>
        <v>22860</v>
      </c>
      <c r="N34" s="115">
        <f>IFERROR(__xludf.DUMMYFUNCTION("""COMPUTED_VALUE"""),430313.0)</f>
        <v>430313</v>
      </c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  <c r="AA34" s="115"/>
      <c r="AB34" s="115"/>
      <c r="AC34" s="115"/>
      <c r="AD34" s="115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</row>
    <row r="35">
      <c r="A35" s="115"/>
      <c r="B35" s="115"/>
      <c r="C35" s="115"/>
      <c r="D35" s="115"/>
      <c r="E35" s="115"/>
      <c r="F35" s="115"/>
      <c r="G35" s="115"/>
      <c r="H35" s="115"/>
      <c r="I35" s="115"/>
      <c r="J35" s="115" t="str">
        <f>IFERROR(__xludf.DUMMYFUNCTION("""COMPUTED_VALUE"""),"Shankar")</f>
        <v>Shankar</v>
      </c>
      <c r="K35" s="115">
        <f>IFERROR(__xludf.DUMMYFUNCTION("""COMPUTED_VALUE"""),467822.0)</f>
        <v>467822</v>
      </c>
      <c r="L35" s="115">
        <f>IFERROR(__xludf.DUMMYFUNCTION("""COMPUTED_VALUE"""),8328.0)</f>
        <v>8328</v>
      </c>
      <c r="M35" s="115">
        <f>IFERROR(__xludf.DUMMYFUNCTION("""COMPUTED_VALUE"""),28930.0)</f>
        <v>28930</v>
      </c>
      <c r="N35" s="115">
        <f>IFERROR(__xludf.DUMMYFUNCTION("""COMPUTED_VALUE"""),430564.0)</f>
        <v>430564</v>
      </c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</row>
    <row r="36">
      <c r="A36" s="115"/>
      <c r="B36" s="115"/>
      <c r="C36" s="115"/>
      <c r="D36" s="115"/>
      <c r="E36" s="115"/>
      <c r="F36" s="115"/>
      <c r="G36" s="115"/>
      <c r="H36" s="115"/>
      <c r="I36" s="115"/>
      <c r="J36" s="115" t="str">
        <f>IFERROR(__xludf.DUMMYFUNCTION("""COMPUTED_VALUE"""),"Vineeth")</f>
        <v>Vineeth</v>
      </c>
      <c r="K36" s="115">
        <f>IFERROR(__xludf.DUMMYFUNCTION("""COMPUTED_VALUE"""),319742.0)</f>
        <v>319742</v>
      </c>
      <c r="L36" s="115">
        <f>IFERROR(__xludf.DUMMYFUNCTION("""COMPUTED_VALUE"""),3003.0)</f>
        <v>3003</v>
      </c>
      <c r="M36" s="115">
        <f>IFERROR(__xludf.DUMMYFUNCTION("""COMPUTED_VALUE"""),24110.0)</f>
        <v>24110</v>
      </c>
      <c r="N36" s="115">
        <f>IFERROR(__xludf.DUMMYFUNCTION("""COMPUTED_VALUE"""),292629.0)</f>
        <v>292629</v>
      </c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</row>
    <row r="37">
      <c r="A37" s="115"/>
      <c r="B37" s="115"/>
      <c r="C37" s="115"/>
      <c r="D37" s="115"/>
      <c r="E37" s="115"/>
      <c r="F37" s="115"/>
      <c r="G37" s="115"/>
      <c r="H37" s="115"/>
      <c r="I37" s="115"/>
      <c r="J37" s="115" t="str">
        <f>IFERROR(__xludf.DUMMYFUNCTION("""COMPUTED_VALUE"""),"West")</f>
        <v>West</v>
      </c>
      <c r="K37" s="115">
        <f>IFERROR(__xludf.DUMMYFUNCTION("""COMPUTED_VALUE"""),1163926.0)</f>
        <v>1163926</v>
      </c>
      <c r="L37" s="115">
        <f>IFERROR(__xludf.DUMMYFUNCTION("""COMPUTED_VALUE"""),37822.0)</f>
        <v>37822</v>
      </c>
      <c r="M37" s="115">
        <f>IFERROR(__xludf.DUMMYFUNCTION("""COMPUTED_VALUE"""),46258.0)</f>
        <v>46258</v>
      </c>
      <c r="N37" s="115">
        <f>IFERROR(__xludf.DUMMYFUNCTION("""COMPUTED_VALUE"""),1079846.0)</f>
        <v>1079846</v>
      </c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</row>
    <row r="38">
      <c r="A38" s="115"/>
      <c r="B38" s="115"/>
      <c r="C38" s="115"/>
      <c r="D38" s="115"/>
      <c r="E38" s="115"/>
      <c r="F38" s="115"/>
      <c r="G38" s="115"/>
      <c r="H38" s="115"/>
      <c r="I38" s="115"/>
      <c r="J38" s="115" t="str">
        <f>IFERROR(__xludf.DUMMYFUNCTION("""COMPUTED_VALUE"""),"Ashish Jakar")</f>
        <v>Ashish Jakar</v>
      </c>
      <c r="K38" s="115">
        <f>IFERROR(__xludf.DUMMYFUNCTION("""COMPUTED_VALUE"""),639840.0)</f>
        <v>639840</v>
      </c>
      <c r="L38" s="115">
        <f>IFERROR(__xludf.DUMMYFUNCTION("""COMPUTED_VALUE"""),15537.0)</f>
        <v>15537</v>
      </c>
      <c r="M38" s="115">
        <f>IFERROR(__xludf.DUMMYFUNCTION("""COMPUTED_VALUE"""),24472.0)</f>
        <v>24472</v>
      </c>
      <c r="N38" s="115">
        <f>IFERROR(__xludf.DUMMYFUNCTION("""COMPUTED_VALUE"""),599831.0)</f>
        <v>599831</v>
      </c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</row>
    <row r="39">
      <c r="A39" s="115"/>
      <c r="B39" s="115"/>
      <c r="C39" s="115"/>
      <c r="D39" s="115"/>
      <c r="E39" s="115"/>
      <c r="F39" s="115"/>
      <c r="G39" s="115"/>
      <c r="H39" s="115"/>
      <c r="I39" s="115"/>
      <c r="J39" s="115" t="str">
        <f>IFERROR(__xludf.DUMMYFUNCTION("""COMPUTED_VALUE"""),"Ashvani Bhatt")</f>
        <v>Ashvani Bhatt</v>
      </c>
      <c r="K39" s="115">
        <f>IFERROR(__xludf.DUMMYFUNCTION("""COMPUTED_VALUE"""),524086.0)</f>
        <v>524086</v>
      </c>
      <c r="L39" s="115">
        <f>IFERROR(__xludf.DUMMYFUNCTION("""COMPUTED_VALUE"""),22285.0)</f>
        <v>22285</v>
      </c>
      <c r="M39" s="115">
        <f>IFERROR(__xludf.DUMMYFUNCTION("""COMPUTED_VALUE"""),21786.0)</f>
        <v>21786</v>
      </c>
      <c r="N39" s="115">
        <f>IFERROR(__xludf.DUMMYFUNCTION("""COMPUTED_VALUE"""),480015.0)</f>
        <v>480015</v>
      </c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</row>
    <row r="40">
      <c r="A40" s="115"/>
      <c r="B40" s="115"/>
      <c r="C40" s="115"/>
      <c r="D40" s="115"/>
      <c r="E40" s="115"/>
      <c r="F40" s="115"/>
      <c r="G40" s="115"/>
      <c r="H40" s="115"/>
      <c r="I40" s="115"/>
      <c r="J40" s="115" t="str">
        <f>IFERROR(__xludf.DUMMYFUNCTION("""COMPUTED_VALUE"""),"Grand Total")</f>
        <v>Grand Total</v>
      </c>
      <c r="K40" s="115">
        <f>IFERROR(__xludf.DUMMYFUNCTION("""COMPUTED_VALUE"""),7430885.0)</f>
        <v>7430885</v>
      </c>
      <c r="L40" s="115">
        <f>IFERROR(__xludf.DUMMYFUNCTION("""COMPUTED_VALUE"""),297509.0)</f>
        <v>297509</v>
      </c>
      <c r="M40" s="115">
        <f>IFERROR(__xludf.DUMMYFUNCTION("""COMPUTED_VALUE"""),407542.0)</f>
        <v>407542</v>
      </c>
      <c r="N40" s="115">
        <f>IFERROR(__xludf.DUMMYFUNCTION("""COMPUTED_VALUE"""),6725834.0)</f>
        <v>6725834</v>
      </c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</row>
    <row r="41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</row>
    <row r="42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</row>
    <row r="43">
      <c r="A43" s="115"/>
      <c r="B43" s="115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</row>
    <row r="44">
      <c r="A44" s="115"/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</row>
    <row r="45">
      <c r="A45" s="115"/>
      <c r="B45" s="115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15"/>
      <c r="AR45" s="115"/>
      <c r="AS45" s="115"/>
      <c r="AT45" s="115"/>
      <c r="AU45" s="115"/>
      <c r="AV45" s="115"/>
    </row>
    <row r="46">
      <c r="A46" s="115"/>
      <c r="B46" s="115"/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115"/>
      <c r="AI46" s="115"/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115"/>
    </row>
    <row r="47">
      <c r="A47" s="115"/>
      <c r="B47" s="115"/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</row>
    <row r="48">
      <c r="A48" s="115"/>
      <c r="B48" s="115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</row>
    <row r="49">
      <c r="A49" s="115"/>
      <c r="B49" s="115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  <c r="AV49" s="115"/>
    </row>
    <row r="50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  <c r="AC50" s="115"/>
      <c r="AD50" s="115"/>
      <c r="AE50" s="115"/>
      <c r="AF50" s="115"/>
      <c r="AG50" s="115"/>
      <c r="AH50" s="115"/>
      <c r="AI50" s="115"/>
      <c r="AJ50" s="115"/>
      <c r="AK50" s="115"/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  <c r="AV50" s="115"/>
    </row>
    <row r="5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  <c r="Y51" s="115"/>
      <c r="Z51" s="115"/>
      <c r="AA51" s="115"/>
      <c r="AB51" s="115"/>
      <c r="AC51" s="115"/>
      <c r="AD51" s="115"/>
      <c r="AE51" s="115"/>
      <c r="AF51" s="115"/>
      <c r="AG51" s="115"/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</row>
    <row r="52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  <c r="Y52" s="115"/>
      <c r="Z52" s="115"/>
      <c r="AA52" s="115"/>
      <c r="AB52" s="115"/>
      <c r="AC52" s="115"/>
      <c r="AD52" s="115"/>
      <c r="AE52" s="115"/>
      <c r="AF52" s="115"/>
      <c r="AG52" s="115"/>
      <c r="AH52" s="115"/>
      <c r="AI52" s="115"/>
      <c r="AJ52" s="115"/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</row>
    <row r="53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/>
      <c r="Z53" s="115"/>
      <c r="AA53" s="115"/>
      <c r="AB53" s="115"/>
      <c r="AC53" s="115"/>
      <c r="AD53" s="115"/>
      <c r="AE53" s="115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AV53" s="115"/>
    </row>
    <row r="54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  <c r="Y54" s="115"/>
      <c r="Z54" s="115"/>
      <c r="AA54" s="115"/>
      <c r="AB54" s="115"/>
      <c r="AC54" s="115"/>
      <c r="AD54" s="115"/>
      <c r="AE54" s="115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115"/>
    </row>
    <row r="55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  <c r="Y55" s="115"/>
      <c r="Z55" s="115"/>
      <c r="AA55" s="115"/>
      <c r="AB55" s="115"/>
      <c r="AC55" s="115"/>
      <c r="AD55" s="115"/>
      <c r="AE55" s="115"/>
      <c r="AF55" s="115"/>
      <c r="AG55" s="115"/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</row>
    <row r="56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115"/>
      <c r="AA56" s="115"/>
      <c r="AB56" s="115"/>
      <c r="AC56" s="115"/>
      <c r="AD56" s="115"/>
      <c r="AE56" s="115"/>
      <c r="AF56" s="115"/>
      <c r="AG56" s="115"/>
      <c r="AH56" s="115"/>
      <c r="AI56" s="115"/>
      <c r="AJ56" s="115"/>
      <c r="AK56" s="115"/>
      <c r="AL56" s="115"/>
      <c r="AM56" s="115"/>
      <c r="AN56" s="115"/>
      <c r="AO56" s="115"/>
      <c r="AP56" s="115"/>
      <c r="AQ56" s="115"/>
      <c r="AR56" s="115"/>
      <c r="AS56" s="115"/>
      <c r="AT56" s="115"/>
      <c r="AU56" s="115"/>
      <c r="AV56" s="115"/>
    </row>
    <row r="57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5"/>
      <c r="AA57" s="115"/>
      <c r="AB57" s="115"/>
      <c r="AC57" s="115"/>
      <c r="AD57" s="115"/>
      <c r="AE57" s="115"/>
      <c r="AF57" s="115"/>
      <c r="AG57" s="115"/>
      <c r="AH57" s="115"/>
      <c r="AI57" s="115"/>
      <c r="AJ57" s="115"/>
      <c r="AK57" s="115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  <c r="AV57" s="115"/>
    </row>
    <row r="58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115"/>
      <c r="AG58" s="115"/>
      <c r="AH58" s="115"/>
      <c r="AI58" s="115"/>
      <c r="AJ58" s="115"/>
      <c r="AK58" s="115"/>
      <c r="AL58" s="115"/>
      <c r="AM58" s="115"/>
      <c r="AN58" s="115"/>
      <c r="AO58" s="115"/>
      <c r="AP58" s="115"/>
      <c r="AQ58" s="115"/>
      <c r="AR58" s="115"/>
      <c r="AS58" s="115"/>
      <c r="AT58" s="115"/>
      <c r="AU58" s="115"/>
      <c r="AV58" s="115"/>
    </row>
    <row r="59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  <c r="AA59" s="115"/>
      <c r="AB59" s="115"/>
      <c r="AC59" s="115"/>
      <c r="AD59" s="115"/>
      <c r="AE59" s="115"/>
      <c r="AF59" s="115"/>
      <c r="AG59" s="115"/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  <c r="AV59" s="115"/>
    </row>
    <row r="60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5"/>
      <c r="AA60" s="115"/>
      <c r="AB60" s="115"/>
      <c r="AC60" s="115"/>
      <c r="AD60" s="115"/>
      <c r="AE60" s="115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  <c r="AV60" s="115"/>
    </row>
    <row r="6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</row>
    <row r="62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115"/>
      <c r="AL62" s="115"/>
      <c r="AM62" s="115"/>
      <c r="AN62" s="115"/>
      <c r="AO62" s="115"/>
      <c r="AP62" s="115"/>
      <c r="AQ62" s="115"/>
      <c r="AR62" s="115"/>
      <c r="AS62" s="115"/>
      <c r="AT62" s="115"/>
      <c r="AU62" s="115"/>
      <c r="AV62" s="115"/>
    </row>
    <row r="63">
      <c r="A63" s="115"/>
      <c r="B63" s="115"/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AV63" s="115"/>
    </row>
    <row r="64">
      <c r="A64" s="115"/>
      <c r="B64" s="115"/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115"/>
      <c r="AL64" s="115"/>
      <c r="AM64" s="115"/>
      <c r="AN64" s="115"/>
      <c r="AO64" s="115"/>
      <c r="AP64" s="115"/>
      <c r="AQ64" s="115"/>
      <c r="AR64" s="115"/>
      <c r="AS64" s="115"/>
      <c r="AT64" s="115"/>
      <c r="AU64" s="115"/>
      <c r="AV64" s="115"/>
    </row>
    <row r="65">
      <c r="A65" s="115"/>
      <c r="B65" s="115"/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  <c r="AV65" s="115"/>
    </row>
    <row r="66">
      <c r="A66" s="115"/>
      <c r="B66" s="115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  <c r="AV66" s="115"/>
    </row>
    <row r="67">
      <c r="A67" s="115"/>
      <c r="B67" s="115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</row>
    <row r="68">
      <c r="A68" s="115"/>
      <c r="B68" s="115"/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</row>
    <row r="69">
      <c r="A69" s="115"/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</row>
    <row r="70">
      <c r="A70" s="115"/>
      <c r="B70" s="115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5"/>
      <c r="AE70" s="115"/>
      <c r="AF70" s="115"/>
      <c r="AG70" s="115"/>
      <c r="AH70" s="115"/>
      <c r="AI70" s="115"/>
      <c r="AJ70" s="115"/>
      <c r="AK70" s="115"/>
      <c r="AL70" s="115"/>
      <c r="AM70" s="115"/>
      <c r="AN70" s="115"/>
      <c r="AO70" s="115"/>
      <c r="AP70" s="115"/>
      <c r="AQ70" s="115"/>
      <c r="AR70" s="115"/>
      <c r="AS70" s="115"/>
      <c r="AT70" s="115"/>
      <c r="AU70" s="115"/>
      <c r="AV70" s="115"/>
    </row>
    <row r="71">
      <c r="A71" s="115"/>
      <c r="B71" s="115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  <c r="Z71" s="115"/>
      <c r="AA71" s="115"/>
      <c r="AB71" s="115"/>
      <c r="AC71" s="115"/>
      <c r="AD71" s="115"/>
      <c r="AE71" s="115"/>
      <c r="AF71" s="115"/>
      <c r="AG71" s="115"/>
      <c r="AH71" s="115"/>
      <c r="AI71" s="115"/>
      <c r="AJ71" s="115"/>
      <c r="AK71" s="115"/>
      <c r="AL71" s="115"/>
      <c r="AM71" s="115"/>
      <c r="AN71" s="115"/>
      <c r="AO71" s="115"/>
      <c r="AP71" s="115"/>
      <c r="AQ71" s="115"/>
      <c r="AR71" s="115"/>
      <c r="AS71" s="115"/>
      <c r="AT71" s="115"/>
      <c r="AU71" s="115"/>
      <c r="AV71" s="115"/>
    </row>
    <row r="72">
      <c r="A72" s="115"/>
      <c r="B72" s="115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115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115"/>
      <c r="AJ72" s="115"/>
      <c r="AK72" s="115"/>
      <c r="AL72" s="115"/>
      <c r="AM72" s="115"/>
      <c r="AN72" s="115"/>
      <c r="AO72" s="115"/>
      <c r="AP72" s="115"/>
      <c r="AQ72" s="115"/>
      <c r="AR72" s="115"/>
      <c r="AS72" s="115"/>
      <c r="AT72" s="115"/>
      <c r="AU72" s="115"/>
      <c r="AV72" s="115"/>
    </row>
    <row r="73">
      <c r="A73" s="115"/>
      <c r="B73" s="115"/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115"/>
      <c r="O73" s="115"/>
      <c r="P73" s="115"/>
      <c r="Q73" s="115"/>
      <c r="R73" s="115"/>
      <c r="S73" s="115"/>
      <c r="T73" s="115"/>
      <c r="U73" s="115"/>
      <c r="V73" s="115"/>
      <c r="W73" s="115"/>
      <c r="X73" s="115"/>
      <c r="Y73" s="115"/>
      <c r="Z73" s="115"/>
      <c r="AA73" s="115"/>
      <c r="AB73" s="115"/>
      <c r="AC73" s="115"/>
      <c r="AD73" s="115"/>
      <c r="AE73" s="115"/>
      <c r="AF73" s="115"/>
      <c r="AG73" s="115"/>
      <c r="AH73" s="115"/>
      <c r="AI73" s="115"/>
      <c r="AJ73" s="115"/>
      <c r="AK73" s="115"/>
      <c r="AL73" s="115"/>
      <c r="AM73" s="115"/>
      <c r="AN73" s="115"/>
      <c r="AO73" s="115"/>
      <c r="AP73" s="115"/>
      <c r="AQ73" s="115"/>
      <c r="AR73" s="115"/>
      <c r="AS73" s="115"/>
      <c r="AT73" s="115"/>
      <c r="AU73" s="115"/>
      <c r="AV73" s="115"/>
    </row>
    <row r="74">
      <c r="A74" s="11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AV74" s="115"/>
    </row>
    <row r="75">
      <c r="A75" s="115"/>
      <c r="B75" s="115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  <c r="AA75" s="115"/>
      <c r="AB75" s="115"/>
      <c r="AC75" s="115"/>
      <c r="AD75" s="115"/>
      <c r="AE75" s="115"/>
      <c r="AF75" s="115"/>
      <c r="AG75" s="115"/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AV75" s="115"/>
    </row>
    <row r="76">
      <c r="A76" s="115"/>
      <c r="B76" s="115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115"/>
    </row>
    <row r="77">
      <c r="A77" s="115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</row>
    <row r="78">
      <c r="A78" s="115"/>
      <c r="B78" s="115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5"/>
      <c r="AA78" s="115"/>
      <c r="AB78" s="115"/>
      <c r="AC78" s="115"/>
      <c r="AD78" s="115"/>
      <c r="AE78" s="115"/>
      <c r="AF78" s="115"/>
      <c r="AG78" s="115"/>
      <c r="AH78" s="115"/>
      <c r="AI78" s="115"/>
      <c r="AJ78" s="115"/>
      <c r="AK78" s="115"/>
      <c r="AL78" s="115"/>
      <c r="AM78" s="115"/>
      <c r="AN78" s="115"/>
      <c r="AO78" s="115"/>
      <c r="AP78" s="115"/>
      <c r="AQ78" s="115"/>
      <c r="AR78" s="115"/>
      <c r="AS78" s="115"/>
      <c r="AT78" s="115"/>
      <c r="AU78" s="115"/>
      <c r="AV78" s="115"/>
    </row>
    <row r="79">
      <c r="A79" s="115"/>
      <c r="B79" s="115"/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  <c r="AA79" s="115"/>
      <c r="AB79" s="115"/>
      <c r="AC79" s="115"/>
      <c r="AD79" s="115"/>
      <c r="AE79" s="115"/>
      <c r="AF79" s="115"/>
      <c r="AG79" s="115"/>
      <c r="AH79" s="115"/>
      <c r="AI79" s="115"/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115"/>
    </row>
    <row r="80">
      <c r="A80" s="115"/>
      <c r="B80" s="115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5"/>
      <c r="AA80" s="115"/>
      <c r="AB80" s="115"/>
      <c r="AC80" s="115"/>
      <c r="AD80" s="115"/>
      <c r="AE80" s="115"/>
      <c r="AF80" s="115"/>
      <c r="AG80" s="115"/>
      <c r="AH80" s="115"/>
      <c r="AI80" s="115"/>
      <c r="AJ80" s="115"/>
      <c r="AK80" s="115"/>
      <c r="AL80" s="115"/>
      <c r="AM80" s="115"/>
      <c r="AN80" s="115"/>
      <c r="AO80" s="115"/>
      <c r="AP80" s="115"/>
      <c r="AQ80" s="115"/>
      <c r="AR80" s="115"/>
      <c r="AS80" s="115"/>
      <c r="AT80" s="115"/>
      <c r="AU80" s="115"/>
      <c r="AV80" s="115"/>
    </row>
    <row r="81">
      <c r="A81" s="115"/>
      <c r="B81" s="115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  <c r="Z81" s="115"/>
      <c r="AA81" s="115"/>
      <c r="AB81" s="115"/>
      <c r="AC81" s="115"/>
      <c r="AD81" s="115"/>
      <c r="AE81" s="115"/>
      <c r="AF81" s="115"/>
      <c r="AG81" s="115"/>
      <c r="AH81" s="115"/>
      <c r="AI81" s="115"/>
      <c r="AJ81" s="115"/>
      <c r="AK81" s="115"/>
      <c r="AL81" s="115"/>
      <c r="AM81" s="115"/>
      <c r="AN81" s="115"/>
      <c r="AO81" s="115"/>
      <c r="AP81" s="115"/>
      <c r="AQ81" s="115"/>
      <c r="AR81" s="115"/>
      <c r="AS81" s="115"/>
      <c r="AT81" s="115"/>
      <c r="AU81" s="115"/>
      <c r="AV81" s="115"/>
    </row>
    <row r="82">
      <c r="A82" s="115"/>
      <c r="B82" s="115"/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115"/>
      <c r="O82" s="115"/>
      <c r="P82" s="115"/>
      <c r="Q82" s="115"/>
      <c r="R82" s="115"/>
      <c r="S82" s="115"/>
      <c r="T82" s="115"/>
      <c r="U82" s="115"/>
      <c r="V82" s="115"/>
      <c r="W82" s="115"/>
      <c r="X82" s="115"/>
      <c r="Y82" s="115"/>
      <c r="Z82" s="115"/>
      <c r="AA82" s="115"/>
      <c r="AB82" s="115"/>
      <c r="AC82" s="115"/>
      <c r="AD82" s="115"/>
      <c r="AE82" s="115"/>
      <c r="AF82" s="115"/>
      <c r="AG82" s="115"/>
      <c r="AH82" s="115"/>
      <c r="AI82" s="115"/>
      <c r="AJ82" s="115"/>
      <c r="AK82" s="115"/>
      <c r="AL82" s="115"/>
      <c r="AM82" s="115"/>
      <c r="AN82" s="115"/>
      <c r="AO82" s="115"/>
      <c r="AP82" s="115"/>
      <c r="AQ82" s="115"/>
      <c r="AR82" s="115"/>
      <c r="AS82" s="115"/>
      <c r="AT82" s="115"/>
      <c r="AU82" s="115"/>
      <c r="AV82" s="115"/>
    </row>
    <row r="83">
      <c r="A83" s="115"/>
      <c r="B83" s="115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  <c r="AH83" s="115"/>
      <c r="AI83" s="115"/>
      <c r="AJ83" s="115"/>
      <c r="AK83" s="115"/>
      <c r="AL83" s="115"/>
      <c r="AM83" s="115"/>
      <c r="AN83" s="115"/>
      <c r="AO83" s="115"/>
      <c r="AP83" s="115"/>
      <c r="AQ83" s="115"/>
      <c r="AR83" s="115"/>
      <c r="AS83" s="115"/>
      <c r="AT83" s="115"/>
      <c r="AU83" s="115"/>
      <c r="AV83" s="115"/>
    </row>
    <row r="84">
      <c r="A84" s="115"/>
      <c r="B84" s="115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  <c r="Z84" s="115"/>
      <c r="AA84" s="115"/>
      <c r="AB84" s="115"/>
      <c r="AC84" s="115"/>
      <c r="AD84" s="115"/>
      <c r="AE84" s="115"/>
      <c r="AF84" s="115"/>
      <c r="AG84" s="115"/>
      <c r="AH84" s="115"/>
      <c r="AI84" s="115"/>
      <c r="AJ84" s="115"/>
      <c r="AK84" s="115"/>
      <c r="AL84" s="115"/>
      <c r="AM84" s="115"/>
      <c r="AN84" s="115"/>
      <c r="AO84" s="115"/>
      <c r="AP84" s="115"/>
      <c r="AQ84" s="115"/>
      <c r="AR84" s="115"/>
      <c r="AS84" s="115"/>
      <c r="AT84" s="115"/>
      <c r="AU84" s="115"/>
      <c r="AV84" s="115"/>
    </row>
    <row r="85">
      <c r="A85" s="115"/>
      <c r="B85" s="115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  <c r="Y85" s="115"/>
      <c r="Z85" s="115"/>
      <c r="AA85" s="115"/>
      <c r="AB85" s="115"/>
      <c r="AC85" s="115"/>
      <c r="AD85" s="115"/>
      <c r="AE85" s="115"/>
      <c r="AF85" s="115"/>
      <c r="AG85" s="115"/>
      <c r="AH85" s="115"/>
      <c r="AI85" s="115"/>
      <c r="AJ85" s="115"/>
      <c r="AK85" s="115"/>
      <c r="AL85" s="115"/>
      <c r="AM85" s="115"/>
      <c r="AN85" s="115"/>
      <c r="AO85" s="115"/>
      <c r="AP85" s="115"/>
      <c r="AQ85" s="115"/>
      <c r="AR85" s="115"/>
      <c r="AS85" s="115"/>
      <c r="AT85" s="115"/>
      <c r="AU85" s="115"/>
      <c r="AV85" s="115"/>
    </row>
    <row r="86">
      <c r="A86" s="115"/>
      <c r="B86" s="115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  <c r="Z86" s="115"/>
      <c r="AA86" s="115"/>
      <c r="AB86" s="115"/>
      <c r="AC86" s="115"/>
      <c r="AD86" s="115"/>
      <c r="AE86" s="115"/>
      <c r="AF86" s="115"/>
      <c r="AG86" s="115"/>
      <c r="AH86" s="115"/>
      <c r="AI86" s="115"/>
      <c r="AJ86" s="115"/>
      <c r="AK86" s="115"/>
      <c r="AL86" s="115"/>
      <c r="AM86" s="115"/>
      <c r="AN86" s="115"/>
      <c r="AO86" s="115"/>
      <c r="AP86" s="115"/>
      <c r="AQ86" s="115"/>
      <c r="AR86" s="115"/>
      <c r="AS86" s="115"/>
      <c r="AT86" s="115"/>
      <c r="AU86" s="115"/>
      <c r="AV86" s="115"/>
    </row>
    <row r="87">
      <c r="A87" s="115"/>
      <c r="B87" s="115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  <c r="AA87" s="115"/>
      <c r="AB87" s="115"/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115"/>
      <c r="AP87" s="115"/>
      <c r="AQ87" s="115"/>
      <c r="AR87" s="115"/>
      <c r="AS87" s="115"/>
      <c r="AT87" s="115"/>
      <c r="AU87" s="115"/>
      <c r="AV87" s="115"/>
    </row>
    <row r="88">
      <c r="A88" s="115"/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  <c r="Z88" s="115"/>
      <c r="AA88" s="115"/>
      <c r="AB88" s="115"/>
      <c r="AC88" s="115"/>
      <c r="AD88" s="115"/>
      <c r="AE88" s="115"/>
      <c r="AF88" s="115"/>
      <c r="AG88" s="115"/>
      <c r="AH88" s="115"/>
      <c r="AI88" s="115"/>
      <c r="AJ88" s="115"/>
      <c r="AK88" s="115"/>
      <c r="AL88" s="115"/>
      <c r="AM88" s="115"/>
      <c r="AN88" s="115"/>
      <c r="AO88" s="115"/>
      <c r="AP88" s="115"/>
      <c r="AQ88" s="115"/>
      <c r="AR88" s="115"/>
      <c r="AS88" s="115"/>
      <c r="AT88" s="115"/>
      <c r="AU88" s="115"/>
      <c r="AV88" s="115"/>
    </row>
    <row r="89">
      <c r="A89" s="115"/>
      <c r="B89" s="115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  <c r="Z89" s="115"/>
      <c r="AA89" s="115"/>
      <c r="AB89" s="115"/>
      <c r="AC89" s="115"/>
      <c r="AD89" s="115"/>
      <c r="AE89" s="115"/>
      <c r="AF89" s="115"/>
      <c r="AG89" s="115"/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R89" s="115"/>
      <c r="AS89" s="115"/>
      <c r="AT89" s="115"/>
      <c r="AU89" s="115"/>
      <c r="AV89" s="115"/>
    </row>
    <row r="90">
      <c r="A90" s="115"/>
      <c r="B90" s="115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  <c r="Z90" s="115"/>
      <c r="AA90" s="115"/>
      <c r="AB90" s="115"/>
      <c r="AC90" s="115"/>
      <c r="AD90" s="115"/>
      <c r="AE90" s="115"/>
      <c r="AF90" s="115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R90" s="115"/>
      <c r="AS90" s="115"/>
      <c r="AT90" s="115"/>
      <c r="AU90" s="115"/>
      <c r="AV90" s="115"/>
    </row>
    <row r="91">
      <c r="A91" s="115"/>
      <c r="B91" s="115"/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  <c r="AA91" s="115"/>
      <c r="AB91" s="115"/>
      <c r="AC91" s="115"/>
      <c r="AD91" s="115"/>
      <c r="AE91" s="115"/>
      <c r="AF91" s="115"/>
      <c r="AG91" s="115"/>
      <c r="AH91" s="115"/>
      <c r="AI91" s="115"/>
      <c r="AJ91" s="115"/>
      <c r="AK91" s="115"/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AV91" s="115"/>
    </row>
    <row r="92">
      <c r="A92" s="115"/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  <c r="AA92" s="115"/>
      <c r="AB92" s="115"/>
      <c r="AC92" s="115"/>
      <c r="AD92" s="115"/>
      <c r="AE92" s="115"/>
      <c r="AF92" s="115"/>
      <c r="AG92" s="115"/>
      <c r="AH92" s="115"/>
      <c r="AI92" s="115"/>
      <c r="AJ92" s="115"/>
      <c r="AK92" s="115"/>
      <c r="AL92" s="115"/>
      <c r="AM92" s="115"/>
      <c r="AN92" s="115"/>
      <c r="AO92" s="115"/>
      <c r="AP92" s="115"/>
      <c r="AQ92" s="115"/>
      <c r="AR92" s="115"/>
      <c r="AS92" s="115"/>
      <c r="AT92" s="115"/>
      <c r="AU92" s="115"/>
      <c r="AV92" s="115"/>
    </row>
    <row r="93">
      <c r="A93" s="115"/>
      <c r="B93" s="115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  <c r="Z93" s="115"/>
      <c r="AA93" s="115"/>
      <c r="AB93" s="115"/>
      <c r="AC93" s="115"/>
      <c r="AD93" s="115"/>
      <c r="AE93" s="115"/>
      <c r="AF93" s="115"/>
      <c r="AG93" s="115"/>
      <c r="AH93" s="115"/>
      <c r="AI93" s="115"/>
      <c r="AJ93" s="115"/>
      <c r="AK93" s="115"/>
      <c r="AL93" s="115"/>
      <c r="AM93" s="115"/>
      <c r="AN93" s="115"/>
      <c r="AO93" s="115"/>
      <c r="AP93" s="115"/>
      <c r="AQ93" s="115"/>
      <c r="AR93" s="115"/>
      <c r="AS93" s="115"/>
      <c r="AT93" s="115"/>
      <c r="AU93" s="115"/>
      <c r="AV93" s="115"/>
    </row>
    <row r="94">
      <c r="A94" s="115"/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  <c r="AA94" s="115"/>
      <c r="AB94" s="115"/>
      <c r="AC94" s="115"/>
      <c r="AD94" s="115"/>
      <c r="AE94" s="115"/>
      <c r="AF94" s="115"/>
      <c r="AG94" s="115"/>
      <c r="AH94" s="115"/>
      <c r="AI94" s="115"/>
      <c r="AJ94" s="115"/>
      <c r="AK94" s="115"/>
      <c r="AL94" s="115"/>
      <c r="AM94" s="115"/>
      <c r="AN94" s="115"/>
      <c r="AO94" s="115"/>
      <c r="AP94" s="115"/>
      <c r="AQ94" s="115"/>
      <c r="AR94" s="115"/>
      <c r="AS94" s="115"/>
      <c r="AT94" s="115"/>
      <c r="AU94" s="115"/>
      <c r="AV94" s="115"/>
    </row>
    <row r="95">
      <c r="A95" s="115"/>
      <c r="B95" s="115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  <c r="AA95" s="115"/>
      <c r="AB95" s="115"/>
      <c r="AC95" s="115"/>
      <c r="AD95" s="115"/>
      <c r="AE95" s="115"/>
      <c r="AF95" s="115"/>
      <c r="AG95" s="115"/>
      <c r="AH95" s="115"/>
      <c r="AI95" s="115"/>
      <c r="AJ95" s="115"/>
      <c r="AK95" s="115"/>
      <c r="AL95" s="115"/>
      <c r="AM95" s="115"/>
      <c r="AN95" s="115"/>
      <c r="AO95" s="115"/>
      <c r="AP95" s="115"/>
      <c r="AQ95" s="115"/>
      <c r="AR95" s="115"/>
      <c r="AS95" s="115"/>
      <c r="AT95" s="115"/>
      <c r="AU95" s="115"/>
      <c r="AV95" s="115"/>
    </row>
    <row r="96">
      <c r="A96" s="115"/>
      <c r="B96" s="115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  <c r="AA96" s="115"/>
      <c r="AB96" s="115"/>
      <c r="AC96" s="115"/>
      <c r="AD96" s="115"/>
      <c r="AE96" s="115"/>
      <c r="AF96" s="115"/>
      <c r="AG96" s="115"/>
      <c r="AH96" s="115"/>
      <c r="AI96" s="115"/>
      <c r="AJ96" s="115"/>
      <c r="AK96" s="115"/>
      <c r="AL96" s="115"/>
      <c r="AM96" s="115"/>
      <c r="AN96" s="115"/>
      <c r="AO96" s="115"/>
      <c r="AP96" s="115"/>
      <c r="AQ96" s="115"/>
      <c r="AR96" s="115"/>
      <c r="AS96" s="115"/>
      <c r="AT96" s="115"/>
      <c r="AU96" s="115"/>
      <c r="AV96" s="115"/>
    </row>
    <row r="97">
      <c r="A97" s="115"/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  <c r="AA97" s="115"/>
      <c r="AB97" s="115"/>
      <c r="AC97" s="115"/>
      <c r="AD97" s="115"/>
      <c r="AE97" s="115"/>
      <c r="AF97" s="115"/>
      <c r="AG97" s="115"/>
      <c r="AH97" s="115"/>
      <c r="AI97" s="115"/>
      <c r="AJ97" s="115"/>
      <c r="AK97" s="115"/>
      <c r="AL97" s="115"/>
      <c r="AM97" s="115"/>
      <c r="AN97" s="115"/>
      <c r="AO97" s="115"/>
      <c r="AP97" s="115"/>
      <c r="AQ97" s="115"/>
      <c r="AR97" s="115"/>
      <c r="AS97" s="115"/>
      <c r="AT97" s="115"/>
      <c r="AU97" s="115"/>
      <c r="AV97" s="115"/>
    </row>
    <row r="98">
      <c r="A98" s="115"/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5"/>
      <c r="AA98" s="115"/>
      <c r="AB98" s="115"/>
      <c r="AC98" s="115"/>
      <c r="AD98" s="115"/>
      <c r="AE98" s="115"/>
      <c r="AF98" s="115"/>
      <c r="AG98" s="115"/>
      <c r="AH98" s="115"/>
      <c r="AI98" s="115"/>
      <c r="AJ98" s="115"/>
      <c r="AK98" s="115"/>
      <c r="AL98" s="115"/>
      <c r="AM98" s="115"/>
      <c r="AN98" s="115"/>
      <c r="AO98" s="115"/>
      <c r="AP98" s="115"/>
      <c r="AQ98" s="115"/>
      <c r="AR98" s="115"/>
      <c r="AS98" s="115"/>
      <c r="AT98" s="115"/>
      <c r="AU98" s="115"/>
      <c r="AV98" s="115"/>
    </row>
    <row r="99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5"/>
      <c r="AA99" s="115"/>
      <c r="AB99" s="115"/>
      <c r="AC99" s="115"/>
      <c r="AD99" s="115"/>
      <c r="AE99" s="115"/>
      <c r="AF99" s="115"/>
      <c r="AG99" s="115"/>
      <c r="AH99" s="115"/>
      <c r="AI99" s="115"/>
      <c r="AJ99" s="115"/>
      <c r="AK99" s="115"/>
      <c r="AL99" s="115"/>
      <c r="AM99" s="115"/>
      <c r="AN99" s="115"/>
      <c r="AO99" s="115"/>
      <c r="AP99" s="115"/>
      <c r="AQ99" s="115"/>
      <c r="AR99" s="115"/>
      <c r="AS99" s="115"/>
      <c r="AT99" s="115"/>
      <c r="AU99" s="115"/>
      <c r="AV99" s="115"/>
    </row>
    <row r="100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  <c r="AA100" s="115"/>
      <c r="AB100" s="115"/>
      <c r="AC100" s="115"/>
      <c r="AD100" s="115"/>
      <c r="AE100" s="115"/>
      <c r="AF100" s="115"/>
      <c r="AG100" s="115"/>
      <c r="AH100" s="115"/>
      <c r="AI100" s="115"/>
      <c r="AJ100" s="115"/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  <c r="AV100" s="115"/>
    </row>
    <row r="101">
      <c r="A101" s="115"/>
      <c r="B101" s="115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5"/>
      <c r="AA101" s="115"/>
      <c r="AB101" s="115"/>
      <c r="AC101" s="115"/>
      <c r="AD101" s="115"/>
      <c r="AE101" s="115"/>
      <c r="AF101" s="115"/>
      <c r="AG101" s="115"/>
      <c r="AH101" s="115"/>
      <c r="AI101" s="115"/>
      <c r="AJ101" s="115"/>
      <c r="AK101" s="115"/>
      <c r="AL101" s="115"/>
      <c r="AM101" s="115"/>
      <c r="AN101" s="115"/>
      <c r="AO101" s="115"/>
      <c r="AP101" s="115"/>
      <c r="AQ101" s="115"/>
      <c r="AR101" s="115"/>
      <c r="AS101" s="115"/>
      <c r="AT101" s="115"/>
      <c r="AU101" s="115"/>
      <c r="AV101" s="115"/>
    </row>
    <row r="102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  <c r="AA102" s="115"/>
      <c r="AB102" s="115"/>
      <c r="AC102" s="115"/>
      <c r="AD102" s="115"/>
      <c r="AE102" s="115"/>
      <c r="AF102" s="115"/>
      <c r="AG102" s="115"/>
      <c r="AH102" s="115"/>
      <c r="AI102" s="115"/>
      <c r="AJ102" s="115"/>
      <c r="AK102" s="115"/>
      <c r="AL102" s="115"/>
      <c r="AM102" s="115"/>
      <c r="AN102" s="115"/>
      <c r="AO102" s="115"/>
      <c r="AP102" s="115"/>
      <c r="AQ102" s="115"/>
      <c r="AR102" s="115"/>
      <c r="AS102" s="115"/>
      <c r="AT102" s="115"/>
      <c r="AU102" s="115"/>
      <c r="AV102" s="115"/>
    </row>
    <row r="103">
      <c r="A103" s="115"/>
      <c r="B103" s="115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  <c r="Z103" s="115"/>
      <c r="AA103" s="115"/>
      <c r="AB103" s="115"/>
      <c r="AC103" s="115"/>
      <c r="AD103" s="115"/>
      <c r="AE103" s="115"/>
      <c r="AF103" s="115"/>
      <c r="AG103" s="115"/>
      <c r="AH103" s="115"/>
      <c r="AI103" s="115"/>
      <c r="AJ103" s="115"/>
      <c r="AK103" s="115"/>
      <c r="AL103" s="115"/>
      <c r="AM103" s="115"/>
      <c r="AN103" s="115"/>
      <c r="AO103" s="115"/>
      <c r="AP103" s="115"/>
      <c r="AQ103" s="115"/>
      <c r="AR103" s="115"/>
      <c r="AS103" s="115"/>
      <c r="AT103" s="115"/>
      <c r="AU103" s="115"/>
      <c r="AV103" s="115"/>
    </row>
    <row r="104">
      <c r="A104" s="115"/>
      <c r="B104" s="115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  <c r="AA104" s="115"/>
      <c r="AB104" s="115"/>
      <c r="AC104" s="115"/>
      <c r="AD104" s="115"/>
      <c r="AE104" s="115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115"/>
    </row>
    <row r="105">
      <c r="A105" s="115"/>
      <c r="B105" s="115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115"/>
    </row>
    <row r="106">
      <c r="A106" s="115"/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115"/>
      <c r="AT106" s="115"/>
      <c r="AU106" s="115"/>
      <c r="AV106" s="115"/>
    </row>
    <row r="107">
      <c r="A107" s="115"/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  <c r="AA107" s="115"/>
      <c r="AB107" s="115"/>
      <c r="AC107" s="115"/>
      <c r="AD107" s="115"/>
      <c r="AE107" s="115"/>
      <c r="AF107" s="115"/>
      <c r="AG107" s="115"/>
      <c r="AH107" s="115"/>
      <c r="AI107" s="115"/>
      <c r="AJ107" s="115"/>
      <c r="AK107" s="115"/>
      <c r="AL107" s="115"/>
      <c r="AM107" s="115"/>
      <c r="AN107" s="115"/>
      <c r="AO107" s="115"/>
      <c r="AP107" s="115"/>
      <c r="AQ107" s="115"/>
      <c r="AR107" s="115"/>
      <c r="AS107" s="115"/>
      <c r="AT107" s="115"/>
      <c r="AU107" s="115"/>
      <c r="AV107" s="115"/>
    </row>
    <row r="108">
      <c r="A108" s="115"/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  <c r="AA108" s="115"/>
      <c r="AB108" s="115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115"/>
      <c r="AR108" s="115"/>
      <c r="AS108" s="115"/>
      <c r="AT108" s="115"/>
      <c r="AU108" s="115"/>
      <c r="AV108" s="115"/>
    </row>
    <row r="109">
      <c r="A109" s="115"/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  <c r="AA109" s="115"/>
      <c r="AB109" s="115"/>
      <c r="AC109" s="115"/>
      <c r="AD109" s="115"/>
      <c r="AE109" s="115"/>
      <c r="AF109" s="115"/>
      <c r="AG109" s="115"/>
      <c r="AH109" s="115"/>
      <c r="AI109" s="115"/>
      <c r="AJ109" s="115"/>
      <c r="AK109" s="115"/>
      <c r="AL109" s="115"/>
      <c r="AM109" s="115"/>
      <c r="AN109" s="115"/>
      <c r="AO109" s="115"/>
      <c r="AP109" s="115"/>
      <c r="AQ109" s="115"/>
      <c r="AR109" s="115"/>
      <c r="AS109" s="115"/>
      <c r="AT109" s="115"/>
      <c r="AU109" s="115"/>
      <c r="AV109" s="115"/>
    </row>
    <row r="110">
      <c r="A110" s="115"/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  <c r="AA110" s="115"/>
      <c r="AB110" s="115"/>
      <c r="AC110" s="115"/>
      <c r="AD110" s="115"/>
      <c r="AE110" s="115"/>
      <c r="AF110" s="115"/>
      <c r="AG110" s="115"/>
      <c r="AH110" s="115"/>
      <c r="AI110" s="115"/>
      <c r="AJ110" s="115"/>
      <c r="AK110" s="115"/>
      <c r="AL110" s="115"/>
      <c r="AM110" s="115"/>
      <c r="AN110" s="115"/>
      <c r="AO110" s="115"/>
      <c r="AP110" s="115"/>
      <c r="AQ110" s="115"/>
      <c r="AR110" s="115"/>
      <c r="AS110" s="115"/>
      <c r="AT110" s="115"/>
      <c r="AU110" s="115"/>
      <c r="AV110" s="115"/>
    </row>
    <row r="111">
      <c r="A111" s="115"/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  <c r="Z111" s="115"/>
      <c r="AA111" s="115"/>
      <c r="AB111" s="115"/>
      <c r="AC111" s="115"/>
      <c r="AD111" s="115"/>
      <c r="AE111" s="115"/>
      <c r="AF111" s="115"/>
      <c r="AG111" s="115"/>
      <c r="AH111" s="115"/>
      <c r="AI111" s="115"/>
      <c r="AJ111" s="115"/>
      <c r="AK111" s="115"/>
      <c r="AL111" s="115"/>
      <c r="AM111" s="115"/>
      <c r="AN111" s="115"/>
      <c r="AO111" s="115"/>
      <c r="AP111" s="115"/>
      <c r="AQ111" s="115"/>
      <c r="AR111" s="115"/>
      <c r="AS111" s="115"/>
      <c r="AT111" s="115"/>
      <c r="AU111" s="115"/>
      <c r="AV111" s="115"/>
    </row>
    <row r="112">
      <c r="A112" s="115"/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  <c r="AA112" s="115"/>
      <c r="AB112" s="115"/>
      <c r="AC112" s="115"/>
      <c r="AD112" s="115"/>
      <c r="AE112" s="115"/>
      <c r="AF112" s="115"/>
      <c r="AG112" s="115"/>
      <c r="AH112" s="115"/>
      <c r="AI112" s="115"/>
      <c r="AJ112" s="115"/>
      <c r="AK112" s="115"/>
      <c r="AL112" s="115"/>
      <c r="AM112" s="115"/>
      <c r="AN112" s="115"/>
      <c r="AO112" s="115"/>
      <c r="AP112" s="115"/>
      <c r="AQ112" s="115"/>
      <c r="AR112" s="115"/>
      <c r="AS112" s="115"/>
      <c r="AT112" s="115"/>
      <c r="AU112" s="115"/>
      <c r="AV112" s="115"/>
    </row>
    <row r="113">
      <c r="A113" s="115"/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  <c r="AA113" s="115"/>
      <c r="AB113" s="115"/>
      <c r="AC113" s="115"/>
      <c r="AD113" s="115"/>
      <c r="AE113" s="115"/>
      <c r="AF113" s="115"/>
      <c r="AG113" s="115"/>
      <c r="AH113" s="115"/>
      <c r="AI113" s="115"/>
      <c r="AJ113" s="115"/>
      <c r="AK113" s="115"/>
      <c r="AL113" s="115"/>
      <c r="AM113" s="115"/>
      <c r="AN113" s="115"/>
      <c r="AO113" s="115"/>
      <c r="AP113" s="115"/>
      <c r="AQ113" s="115"/>
      <c r="AR113" s="115"/>
      <c r="AS113" s="115"/>
      <c r="AT113" s="115"/>
      <c r="AU113" s="115"/>
      <c r="AV113" s="115"/>
    </row>
    <row r="114">
      <c r="A114" s="115"/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5"/>
      <c r="AG114" s="115"/>
      <c r="AH114" s="115"/>
      <c r="AI114" s="115"/>
      <c r="AJ114" s="115"/>
      <c r="AK114" s="115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115"/>
    </row>
    <row r="115">
      <c r="A115" s="115"/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  <c r="AH115" s="115"/>
      <c r="AI115" s="115"/>
      <c r="AJ115" s="115"/>
      <c r="AK115" s="115"/>
      <c r="AL115" s="115"/>
      <c r="AM115" s="115"/>
      <c r="AN115" s="115"/>
      <c r="AO115" s="115"/>
      <c r="AP115" s="115"/>
      <c r="AQ115" s="115"/>
      <c r="AR115" s="115"/>
      <c r="AS115" s="115"/>
      <c r="AT115" s="115"/>
      <c r="AU115" s="115"/>
      <c r="AV115" s="115"/>
    </row>
    <row r="116">
      <c r="A116" s="115"/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  <c r="Z116" s="115"/>
      <c r="AA116" s="115"/>
      <c r="AB116" s="115"/>
      <c r="AC116" s="115"/>
      <c r="AD116" s="115"/>
      <c r="AE116" s="115"/>
      <c r="AF116" s="115"/>
      <c r="AG116" s="115"/>
      <c r="AH116" s="115"/>
      <c r="AI116" s="115"/>
      <c r="AJ116" s="115"/>
      <c r="AK116" s="115"/>
      <c r="AL116" s="115"/>
      <c r="AM116" s="115"/>
      <c r="AN116" s="115"/>
      <c r="AO116" s="115"/>
      <c r="AP116" s="115"/>
      <c r="AQ116" s="115"/>
      <c r="AR116" s="115"/>
      <c r="AS116" s="115"/>
      <c r="AT116" s="115"/>
      <c r="AU116" s="115"/>
      <c r="AV116" s="115"/>
    </row>
    <row r="117">
      <c r="A117" s="115"/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5"/>
      <c r="AA117" s="115"/>
      <c r="AB117" s="115"/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115"/>
    </row>
    <row r="118">
      <c r="A118" s="115"/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5"/>
      <c r="AA118" s="115"/>
      <c r="AB118" s="115"/>
      <c r="AC118" s="115"/>
      <c r="AD118" s="115"/>
      <c r="AE118" s="115"/>
      <c r="AF118" s="115"/>
      <c r="AG118" s="115"/>
      <c r="AH118" s="115"/>
      <c r="AI118" s="115"/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115"/>
    </row>
    <row r="119">
      <c r="A119" s="115"/>
      <c r="B119" s="115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AV119" s="115"/>
    </row>
    <row r="120">
      <c r="A120" s="115"/>
      <c r="B120" s="115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5"/>
      <c r="AA120" s="115"/>
      <c r="AB120" s="115"/>
      <c r="AC120" s="115"/>
      <c r="AD120" s="115"/>
      <c r="AE120" s="115"/>
      <c r="AF120" s="115"/>
      <c r="AG120" s="115"/>
      <c r="AH120" s="115"/>
      <c r="AI120" s="115"/>
      <c r="AJ120" s="115"/>
      <c r="AK120" s="115"/>
      <c r="AL120" s="115"/>
      <c r="AM120" s="115"/>
      <c r="AN120" s="115"/>
      <c r="AO120" s="115"/>
      <c r="AP120" s="115"/>
      <c r="AQ120" s="115"/>
      <c r="AR120" s="115"/>
      <c r="AS120" s="115"/>
      <c r="AT120" s="115"/>
      <c r="AU120" s="115"/>
      <c r="AV120" s="115"/>
    </row>
    <row r="121">
      <c r="A121" s="115"/>
      <c r="B121" s="115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  <c r="AA121" s="115"/>
      <c r="AB121" s="115"/>
      <c r="AC121" s="115"/>
      <c r="AD121" s="115"/>
      <c r="AE121" s="115"/>
      <c r="AF121" s="115"/>
      <c r="AG121" s="115"/>
      <c r="AH121" s="115"/>
      <c r="AI121" s="115"/>
      <c r="AJ121" s="115"/>
      <c r="AK121" s="115"/>
      <c r="AL121" s="115"/>
      <c r="AM121" s="115"/>
      <c r="AN121" s="115"/>
      <c r="AO121" s="115"/>
      <c r="AP121" s="115"/>
      <c r="AQ121" s="115"/>
      <c r="AR121" s="115"/>
      <c r="AS121" s="115"/>
      <c r="AT121" s="115"/>
      <c r="AU121" s="115"/>
      <c r="AV121" s="115"/>
    </row>
    <row r="122">
      <c r="A122" s="115"/>
      <c r="B122" s="115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  <c r="AA122" s="115"/>
      <c r="AB122" s="115"/>
      <c r="AC122" s="115"/>
      <c r="AD122" s="115"/>
      <c r="AE122" s="115"/>
      <c r="AF122" s="115"/>
      <c r="AG122" s="115"/>
      <c r="AH122" s="115"/>
      <c r="AI122" s="115"/>
      <c r="AJ122" s="115"/>
      <c r="AK122" s="115"/>
      <c r="AL122" s="115"/>
      <c r="AM122" s="115"/>
      <c r="AN122" s="115"/>
      <c r="AO122" s="115"/>
      <c r="AP122" s="115"/>
      <c r="AQ122" s="115"/>
      <c r="AR122" s="115"/>
      <c r="AS122" s="115"/>
      <c r="AT122" s="115"/>
      <c r="AU122" s="115"/>
      <c r="AV122" s="115"/>
    </row>
    <row r="123">
      <c r="A123" s="115"/>
      <c r="B123" s="115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5"/>
      <c r="AA123" s="115"/>
      <c r="AB123" s="115"/>
      <c r="AC123" s="115"/>
      <c r="AD123" s="115"/>
      <c r="AE123" s="115"/>
      <c r="AF123" s="115"/>
      <c r="AG123" s="115"/>
      <c r="AH123" s="115"/>
      <c r="AI123" s="115"/>
      <c r="AJ123" s="115"/>
      <c r="AK123" s="115"/>
      <c r="AL123" s="115"/>
      <c r="AM123" s="115"/>
      <c r="AN123" s="115"/>
      <c r="AO123" s="115"/>
      <c r="AP123" s="115"/>
      <c r="AQ123" s="115"/>
      <c r="AR123" s="115"/>
      <c r="AS123" s="115"/>
      <c r="AT123" s="115"/>
      <c r="AU123" s="115"/>
      <c r="AV123" s="115"/>
    </row>
    <row r="124">
      <c r="A124" s="115"/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  <c r="Z124" s="115"/>
      <c r="AA124" s="115"/>
      <c r="AB124" s="115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/>
      <c r="AV124" s="115"/>
    </row>
    <row r="125">
      <c r="A125" s="115"/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  <c r="AA125" s="115"/>
      <c r="AB125" s="115"/>
      <c r="AC125" s="115"/>
      <c r="AD125" s="115"/>
      <c r="AE125" s="115"/>
      <c r="AF125" s="115"/>
      <c r="AG125" s="115"/>
      <c r="AH125" s="115"/>
      <c r="AI125" s="115"/>
      <c r="AJ125" s="115"/>
      <c r="AK125" s="115"/>
      <c r="AL125" s="115"/>
      <c r="AM125" s="115"/>
      <c r="AN125" s="115"/>
      <c r="AO125" s="115"/>
      <c r="AP125" s="115"/>
      <c r="AQ125" s="115"/>
      <c r="AR125" s="115"/>
      <c r="AS125" s="115"/>
      <c r="AT125" s="115"/>
      <c r="AU125" s="115"/>
      <c r="AV125" s="115"/>
    </row>
    <row r="126">
      <c r="A126" s="115"/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  <c r="AA126" s="115"/>
      <c r="AB126" s="115"/>
      <c r="AC126" s="115"/>
      <c r="AD126" s="115"/>
      <c r="AE126" s="115"/>
      <c r="AF126" s="115"/>
      <c r="AG126" s="115"/>
      <c r="AH126" s="115"/>
      <c r="AI126" s="115"/>
      <c r="AJ126" s="115"/>
      <c r="AK126" s="115"/>
      <c r="AL126" s="115"/>
      <c r="AM126" s="115"/>
      <c r="AN126" s="115"/>
      <c r="AO126" s="115"/>
      <c r="AP126" s="115"/>
      <c r="AQ126" s="115"/>
      <c r="AR126" s="115"/>
      <c r="AS126" s="115"/>
      <c r="AT126" s="115"/>
      <c r="AU126" s="115"/>
      <c r="AV126" s="115"/>
    </row>
    <row r="127">
      <c r="A127" s="115"/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  <c r="Z127" s="115"/>
      <c r="AA127" s="115"/>
      <c r="AB127" s="115"/>
      <c r="AC127" s="115"/>
      <c r="AD127" s="115"/>
      <c r="AE127" s="115"/>
      <c r="AF127" s="115"/>
      <c r="AG127" s="115"/>
      <c r="AH127" s="115"/>
      <c r="AI127" s="115"/>
      <c r="AJ127" s="115"/>
      <c r="AK127" s="115"/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  <c r="AV127" s="115"/>
    </row>
    <row r="128">
      <c r="A128" s="115"/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  <c r="AA128" s="115"/>
      <c r="AB128" s="115"/>
      <c r="AC128" s="115"/>
      <c r="AD128" s="115"/>
      <c r="AE128" s="115"/>
      <c r="AF128" s="115"/>
      <c r="AG128" s="115"/>
      <c r="AH128" s="115"/>
      <c r="AI128" s="115"/>
      <c r="AJ128" s="115"/>
      <c r="AK128" s="115"/>
      <c r="AL128" s="115"/>
      <c r="AM128" s="115"/>
      <c r="AN128" s="115"/>
      <c r="AO128" s="115"/>
      <c r="AP128" s="115"/>
      <c r="AQ128" s="115"/>
      <c r="AR128" s="115"/>
      <c r="AS128" s="115"/>
      <c r="AT128" s="115"/>
      <c r="AU128" s="115"/>
      <c r="AV128" s="115"/>
    </row>
    <row r="129">
      <c r="A129" s="115"/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  <c r="AA129" s="115"/>
      <c r="AB129" s="115"/>
      <c r="AC129" s="115"/>
      <c r="AD129" s="115"/>
      <c r="AE129" s="115"/>
      <c r="AF129" s="115"/>
      <c r="AG129" s="115"/>
      <c r="AH129" s="115"/>
      <c r="AI129" s="115"/>
      <c r="AJ129" s="115"/>
      <c r="AK129" s="115"/>
      <c r="AL129" s="115"/>
      <c r="AM129" s="115"/>
      <c r="AN129" s="115"/>
      <c r="AO129" s="115"/>
      <c r="AP129" s="115"/>
      <c r="AQ129" s="115"/>
      <c r="AR129" s="115"/>
      <c r="AS129" s="115"/>
      <c r="AT129" s="115"/>
      <c r="AU129" s="115"/>
      <c r="AV129" s="115"/>
    </row>
    <row r="130">
      <c r="A130" s="115"/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115"/>
      <c r="AJ130" s="115"/>
      <c r="AK130" s="115"/>
      <c r="AL130" s="115"/>
      <c r="AM130" s="115"/>
      <c r="AN130" s="115"/>
      <c r="AO130" s="115"/>
      <c r="AP130" s="115"/>
      <c r="AQ130" s="115"/>
      <c r="AR130" s="115"/>
      <c r="AS130" s="115"/>
      <c r="AT130" s="115"/>
      <c r="AU130" s="115"/>
      <c r="AV130" s="115"/>
    </row>
    <row r="131">
      <c r="A131" s="115"/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/>
      <c r="AH131" s="115"/>
      <c r="AI131" s="115"/>
      <c r="AJ131" s="115"/>
      <c r="AK131" s="115"/>
      <c r="AL131" s="115"/>
      <c r="AM131" s="115"/>
      <c r="AN131" s="115"/>
      <c r="AO131" s="115"/>
      <c r="AP131" s="115"/>
      <c r="AQ131" s="115"/>
      <c r="AR131" s="115"/>
      <c r="AS131" s="115"/>
      <c r="AT131" s="115"/>
      <c r="AU131" s="115"/>
      <c r="AV131" s="115"/>
    </row>
    <row r="132">
      <c r="A132" s="115"/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5"/>
      <c r="AG132" s="115"/>
      <c r="AH132" s="115"/>
      <c r="AI132" s="115"/>
      <c r="AJ132" s="115"/>
      <c r="AK132" s="115"/>
      <c r="AL132" s="115"/>
      <c r="AM132" s="115"/>
      <c r="AN132" s="115"/>
      <c r="AO132" s="115"/>
      <c r="AP132" s="115"/>
      <c r="AQ132" s="115"/>
      <c r="AR132" s="115"/>
      <c r="AS132" s="115"/>
      <c r="AT132" s="115"/>
      <c r="AU132" s="115"/>
      <c r="AV132" s="115"/>
    </row>
    <row r="133">
      <c r="A133" s="115"/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/>
      <c r="AH133" s="115"/>
      <c r="AI133" s="115"/>
      <c r="AJ133" s="115"/>
      <c r="AK133" s="115"/>
      <c r="AL133" s="115"/>
      <c r="AM133" s="115"/>
      <c r="AN133" s="115"/>
      <c r="AO133" s="115"/>
      <c r="AP133" s="115"/>
      <c r="AQ133" s="115"/>
      <c r="AR133" s="115"/>
      <c r="AS133" s="115"/>
      <c r="AT133" s="115"/>
      <c r="AU133" s="115"/>
      <c r="AV133" s="115"/>
    </row>
    <row r="134">
      <c r="A134" s="115"/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15"/>
      <c r="AL134" s="115"/>
      <c r="AM134" s="115"/>
      <c r="AN134" s="115"/>
      <c r="AO134" s="115"/>
      <c r="AP134" s="115"/>
      <c r="AQ134" s="115"/>
      <c r="AR134" s="115"/>
      <c r="AS134" s="115"/>
      <c r="AT134" s="115"/>
      <c r="AU134" s="115"/>
      <c r="AV134" s="115"/>
    </row>
    <row r="135">
      <c r="A135" s="115"/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15"/>
      <c r="AL135" s="115"/>
      <c r="AM135" s="115"/>
      <c r="AN135" s="115"/>
      <c r="AO135" s="115"/>
      <c r="AP135" s="115"/>
      <c r="AQ135" s="115"/>
      <c r="AR135" s="115"/>
      <c r="AS135" s="115"/>
      <c r="AT135" s="115"/>
      <c r="AU135" s="115"/>
      <c r="AV135" s="115"/>
    </row>
    <row r="136">
      <c r="A136" s="115"/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15"/>
      <c r="AL136" s="115"/>
      <c r="AM136" s="115"/>
      <c r="AN136" s="115"/>
      <c r="AO136" s="115"/>
      <c r="AP136" s="115"/>
      <c r="AQ136" s="115"/>
      <c r="AR136" s="115"/>
      <c r="AS136" s="115"/>
      <c r="AT136" s="115"/>
      <c r="AU136" s="115"/>
      <c r="AV136" s="115"/>
    </row>
    <row r="137">
      <c r="A137" s="115"/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  <c r="AV137" s="115"/>
    </row>
    <row r="138">
      <c r="A138" s="115"/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5"/>
      <c r="AE138" s="115"/>
      <c r="AF138" s="115"/>
      <c r="AG138" s="115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  <c r="AV138" s="115"/>
    </row>
    <row r="139">
      <c r="A139" s="115"/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5"/>
      <c r="AA139" s="115"/>
      <c r="AB139" s="115"/>
      <c r="AC139" s="115"/>
      <c r="AD139" s="115"/>
      <c r="AE139" s="115"/>
      <c r="AF139" s="115"/>
      <c r="AG139" s="115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AV139" s="115"/>
    </row>
    <row r="140">
      <c r="A140" s="115"/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  <c r="AA140" s="115"/>
      <c r="AB140" s="115"/>
      <c r="AC140" s="115"/>
      <c r="AD140" s="115"/>
      <c r="AE140" s="115"/>
      <c r="AF140" s="115"/>
      <c r="AG140" s="115"/>
      <c r="AH140" s="115"/>
      <c r="AI140" s="115"/>
      <c r="AJ140" s="115"/>
      <c r="AK140" s="115"/>
      <c r="AL140" s="115"/>
      <c r="AM140" s="115"/>
      <c r="AN140" s="115"/>
      <c r="AO140" s="115"/>
      <c r="AP140" s="115"/>
      <c r="AQ140" s="115"/>
      <c r="AR140" s="115"/>
      <c r="AS140" s="115"/>
      <c r="AT140" s="115"/>
      <c r="AU140" s="115"/>
      <c r="AV140" s="115"/>
    </row>
    <row r="141">
      <c r="A141" s="115"/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/>
      <c r="AR141" s="115"/>
      <c r="AS141" s="115"/>
      <c r="AT141" s="115"/>
      <c r="AU141" s="115"/>
      <c r="AV141" s="115"/>
    </row>
    <row r="142">
      <c r="A142" s="115"/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5"/>
      <c r="AA142" s="115"/>
      <c r="AB142" s="115"/>
      <c r="AC142" s="115"/>
      <c r="AD142" s="115"/>
      <c r="AE142" s="115"/>
      <c r="AF142" s="115"/>
      <c r="AG142" s="115"/>
      <c r="AH142" s="115"/>
      <c r="AI142" s="115"/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115"/>
    </row>
    <row r="143">
      <c r="A143" s="115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5"/>
      <c r="AA143" s="115"/>
      <c r="AB143" s="115"/>
      <c r="AC143" s="115"/>
      <c r="AD143" s="115"/>
      <c r="AE143" s="115"/>
      <c r="AF143" s="115"/>
      <c r="AG143" s="115"/>
      <c r="AH143" s="115"/>
      <c r="AI143" s="115"/>
      <c r="AJ143" s="115"/>
      <c r="AK143" s="115"/>
      <c r="AL143" s="115"/>
      <c r="AM143" s="115"/>
      <c r="AN143" s="115"/>
      <c r="AO143" s="115"/>
      <c r="AP143" s="115"/>
      <c r="AQ143" s="115"/>
      <c r="AR143" s="115"/>
      <c r="AS143" s="115"/>
      <c r="AT143" s="115"/>
      <c r="AU143" s="115"/>
      <c r="AV143" s="115"/>
    </row>
    <row r="144">
      <c r="A144" s="115"/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  <c r="AA144" s="115"/>
      <c r="AB144" s="115"/>
      <c r="AC144" s="115"/>
      <c r="AD144" s="115"/>
      <c r="AE144" s="115"/>
      <c r="AF144" s="115"/>
      <c r="AG144" s="115"/>
      <c r="AH144" s="115"/>
      <c r="AI144" s="115"/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115"/>
    </row>
    <row r="145">
      <c r="A145" s="115"/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5"/>
      <c r="AA145" s="115"/>
      <c r="AB145" s="115"/>
      <c r="AC145" s="115"/>
      <c r="AD145" s="115"/>
      <c r="AE145" s="115"/>
      <c r="AF145" s="115"/>
      <c r="AG145" s="115"/>
      <c r="AH145" s="115"/>
      <c r="AI145" s="115"/>
      <c r="AJ145" s="115"/>
      <c r="AK145" s="115"/>
      <c r="AL145" s="115"/>
      <c r="AM145" s="115"/>
      <c r="AN145" s="115"/>
      <c r="AO145" s="115"/>
      <c r="AP145" s="115"/>
      <c r="AQ145" s="115"/>
      <c r="AR145" s="115"/>
      <c r="AS145" s="115"/>
      <c r="AT145" s="115"/>
      <c r="AU145" s="115"/>
      <c r="AV145" s="115"/>
    </row>
    <row r="146">
      <c r="A146" s="115"/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  <c r="AA146" s="115"/>
      <c r="AB146" s="115"/>
      <c r="AC146" s="115"/>
      <c r="AD146" s="115"/>
      <c r="AE146" s="115"/>
      <c r="AF146" s="115"/>
      <c r="AG146" s="115"/>
      <c r="AH146" s="115"/>
      <c r="AI146" s="115"/>
      <c r="AJ146" s="115"/>
      <c r="AK146" s="115"/>
      <c r="AL146" s="115"/>
      <c r="AM146" s="115"/>
      <c r="AN146" s="115"/>
      <c r="AO146" s="115"/>
      <c r="AP146" s="115"/>
      <c r="AQ146" s="115"/>
      <c r="AR146" s="115"/>
      <c r="AS146" s="115"/>
      <c r="AT146" s="115"/>
      <c r="AU146" s="115"/>
      <c r="AV146" s="115"/>
    </row>
    <row r="147">
      <c r="A147" s="115"/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  <c r="Z147" s="115"/>
      <c r="AA147" s="115"/>
      <c r="AB147" s="115"/>
      <c r="AC147" s="115"/>
      <c r="AD147" s="115"/>
      <c r="AE147" s="115"/>
      <c r="AF147" s="115"/>
      <c r="AG147" s="115"/>
      <c r="AH147" s="115"/>
      <c r="AI147" s="115"/>
      <c r="AJ147" s="115"/>
      <c r="AK147" s="115"/>
      <c r="AL147" s="115"/>
      <c r="AM147" s="115"/>
      <c r="AN147" s="115"/>
      <c r="AO147" s="115"/>
      <c r="AP147" s="115"/>
      <c r="AQ147" s="115"/>
      <c r="AR147" s="115"/>
      <c r="AS147" s="115"/>
      <c r="AT147" s="115"/>
      <c r="AU147" s="115"/>
      <c r="AV147" s="115"/>
    </row>
    <row r="148">
      <c r="A148" s="115"/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  <c r="Z148" s="115"/>
      <c r="AA148" s="115"/>
      <c r="AB148" s="115"/>
      <c r="AC148" s="115"/>
      <c r="AD148" s="115"/>
      <c r="AE148" s="115"/>
      <c r="AF148" s="115"/>
      <c r="AG148" s="115"/>
      <c r="AH148" s="115"/>
      <c r="AI148" s="115"/>
      <c r="AJ148" s="115"/>
      <c r="AK148" s="115"/>
      <c r="AL148" s="115"/>
      <c r="AM148" s="115"/>
      <c r="AN148" s="115"/>
      <c r="AO148" s="115"/>
      <c r="AP148" s="115"/>
      <c r="AQ148" s="115"/>
      <c r="AR148" s="115"/>
      <c r="AS148" s="115"/>
      <c r="AT148" s="115"/>
      <c r="AU148" s="115"/>
      <c r="AV148" s="115"/>
    </row>
    <row r="149">
      <c r="A149" s="115"/>
      <c r="B149" s="115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  <c r="Z149" s="115"/>
      <c r="AA149" s="115"/>
      <c r="AB149" s="115"/>
      <c r="AC149" s="115"/>
      <c r="AD149" s="115"/>
      <c r="AE149" s="115"/>
      <c r="AF149" s="115"/>
      <c r="AG149" s="115"/>
      <c r="AH149" s="115"/>
      <c r="AI149" s="115"/>
      <c r="AJ149" s="115"/>
      <c r="AK149" s="115"/>
      <c r="AL149" s="115"/>
      <c r="AM149" s="115"/>
      <c r="AN149" s="115"/>
      <c r="AO149" s="115"/>
      <c r="AP149" s="115"/>
      <c r="AQ149" s="115"/>
      <c r="AR149" s="115"/>
      <c r="AS149" s="115"/>
      <c r="AT149" s="115"/>
      <c r="AU149" s="115"/>
      <c r="AV149" s="115"/>
    </row>
    <row r="150">
      <c r="A150" s="115"/>
      <c r="B150" s="115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  <c r="Z150" s="115"/>
      <c r="AA150" s="115"/>
      <c r="AB150" s="115"/>
      <c r="AC150" s="115"/>
      <c r="AD150" s="115"/>
      <c r="AE150" s="115"/>
      <c r="AF150" s="115"/>
      <c r="AG150" s="115"/>
      <c r="AH150" s="115"/>
      <c r="AI150" s="115"/>
      <c r="AJ150" s="115"/>
      <c r="AK150" s="115"/>
      <c r="AL150" s="115"/>
      <c r="AM150" s="115"/>
      <c r="AN150" s="115"/>
      <c r="AO150" s="115"/>
      <c r="AP150" s="115"/>
      <c r="AQ150" s="115"/>
      <c r="AR150" s="115"/>
      <c r="AS150" s="115"/>
      <c r="AT150" s="115"/>
      <c r="AU150" s="115"/>
      <c r="AV150" s="115"/>
    </row>
    <row r="151">
      <c r="A151" s="115"/>
      <c r="B151" s="115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  <c r="Z151" s="115"/>
      <c r="AA151" s="115"/>
      <c r="AB151" s="115"/>
      <c r="AC151" s="115"/>
      <c r="AD151" s="115"/>
      <c r="AE151" s="115"/>
      <c r="AF151" s="115"/>
      <c r="AG151" s="115"/>
      <c r="AH151" s="115"/>
      <c r="AI151" s="115"/>
      <c r="AJ151" s="115"/>
      <c r="AK151" s="115"/>
      <c r="AL151" s="115"/>
      <c r="AM151" s="115"/>
      <c r="AN151" s="115"/>
      <c r="AO151" s="115"/>
      <c r="AP151" s="115"/>
      <c r="AQ151" s="115"/>
      <c r="AR151" s="115"/>
      <c r="AS151" s="115"/>
      <c r="AT151" s="115"/>
      <c r="AU151" s="115"/>
      <c r="AV151" s="115"/>
    </row>
    <row r="152">
      <c r="A152" s="115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  <c r="Z152" s="115"/>
      <c r="AA152" s="115"/>
      <c r="AB152" s="115"/>
      <c r="AC152" s="115"/>
      <c r="AD152" s="115"/>
      <c r="AE152" s="115"/>
      <c r="AF152" s="115"/>
      <c r="AG152" s="115"/>
      <c r="AH152" s="115"/>
      <c r="AI152" s="115"/>
      <c r="AJ152" s="115"/>
      <c r="AK152" s="115"/>
      <c r="AL152" s="115"/>
      <c r="AM152" s="115"/>
      <c r="AN152" s="115"/>
      <c r="AO152" s="115"/>
      <c r="AP152" s="115"/>
      <c r="AQ152" s="115"/>
      <c r="AR152" s="115"/>
      <c r="AS152" s="115"/>
      <c r="AT152" s="115"/>
      <c r="AU152" s="115"/>
      <c r="AV152" s="115"/>
    </row>
    <row r="153">
      <c r="A153" s="115"/>
      <c r="B153" s="115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  <c r="Z153" s="115"/>
      <c r="AA153" s="115"/>
      <c r="AB153" s="115"/>
      <c r="AC153" s="115"/>
      <c r="AD153" s="115"/>
      <c r="AE153" s="115"/>
      <c r="AF153" s="115"/>
      <c r="AG153" s="115"/>
      <c r="AH153" s="115"/>
      <c r="AI153" s="115"/>
      <c r="AJ153" s="115"/>
      <c r="AK153" s="115"/>
      <c r="AL153" s="115"/>
      <c r="AM153" s="115"/>
      <c r="AN153" s="115"/>
      <c r="AO153" s="115"/>
      <c r="AP153" s="115"/>
      <c r="AQ153" s="115"/>
      <c r="AR153" s="115"/>
      <c r="AS153" s="115"/>
      <c r="AT153" s="115"/>
      <c r="AU153" s="115"/>
      <c r="AV153" s="115"/>
    </row>
    <row r="154">
      <c r="A154" s="115"/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  <c r="Z154" s="115"/>
      <c r="AA154" s="115"/>
      <c r="AB154" s="115"/>
      <c r="AC154" s="115"/>
      <c r="AD154" s="115"/>
      <c r="AE154" s="115"/>
      <c r="AF154" s="115"/>
      <c r="AG154" s="115"/>
      <c r="AH154" s="115"/>
      <c r="AI154" s="115"/>
      <c r="AJ154" s="115"/>
      <c r="AK154" s="115"/>
      <c r="AL154" s="115"/>
      <c r="AM154" s="115"/>
      <c r="AN154" s="115"/>
      <c r="AO154" s="115"/>
      <c r="AP154" s="115"/>
      <c r="AQ154" s="115"/>
      <c r="AR154" s="115"/>
      <c r="AS154" s="115"/>
      <c r="AT154" s="115"/>
      <c r="AU154" s="115"/>
      <c r="AV154" s="115"/>
    </row>
    <row r="155">
      <c r="A155" s="115"/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</row>
    <row r="156">
      <c r="A156" s="115"/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5"/>
      <c r="AA156" s="115"/>
      <c r="AB156" s="115"/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  <c r="AV156" s="115"/>
    </row>
    <row r="157">
      <c r="A157" s="115"/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  <c r="Z157" s="115"/>
      <c r="AA157" s="115"/>
      <c r="AB157" s="115"/>
      <c r="AC157" s="115"/>
      <c r="AD157" s="115"/>
      <c r="AE157" s="115"/>
      <c r="AF157" s="115"/>
      <c r="AG157" s="115"/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  <c r="AV157" s="115"/>
    </row>
    <row r="158">
      <c r="A158" s="115"/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5"/>
      <c r="AA158" s="115"/>
      <c r="AB158" s="115"/>
      <c r="AC158" s="115"/>
      <c r="AD158" s="115"/>
      <c r="AE158" s="115"/>
      <c r="AF158" s="115"/>
      <c r="AG158" s="115"/>
      <c r="AH158" s="115"/>
      <c r="AI158" s="115"/>
      <c r="AJ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</row>
    <row r="159">
      <c r="A159" s="115"/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  <c r="AA159" s="115"/>
      <c r="AB159" s="115"/>
      <c r="AC159" s="115"/>
      <c r="AD159" s="115"/>
      <c r="AE159" s="115"/>
      <c r="AF159" s="115"/>
      <c r="AG159" s="115"/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</row>
    <row r="160">
      <c r="A160" s="115"/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  <c r="AA160" s="115"/>
      <c r="AB160" s="115"/>
      <c r="AC160" s="115"/>
      <c r="AD160" s="115"/>
      <c r="AE160" s="115"/>
      <c r="AF160" s="115"/>
      <c r="AG160" s="115"/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</row>
    <row r="161">
      <c r="A161" s="115"/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5"/>
      <c r="AA161" s="115"/>
      <c r="AB161" s="115"/>
      <c r="AC161" s="115"/>
      <c r="AD161" s="115"/>
      <c r="AE161" s="115"/>
      <c r="AF161" s="115"/>
      <c r="AG161" s="115"/>
      <c r="AH161" s="115"/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/>
      <c r="AS161" s="115"/>
      <c r="AT161" s="115"/>
      <c r="AU161" s="115"/>
      <c r="AV161" s="115"/>
    </row>
    <row r="162">
      <c r="A162" s="115"/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5"/>
      <c r="AA162" s="115"/>
      <c r="AB162" s="115"/>
      <c r="AC162" s="115"/>
      <c r="AD162" s="115"/>
      <c r="AE162" s="115"/>
      <c r="AF162" s="115"/>
      <c r="AG162" s="115"/>
      <c r="AH162" s="115"/>
      <c r="AI162" s="115"/>
      <c r="AJ162" s="115"/>
      <c r="AK162" s="115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  <c r="AV162" s="115"/>
    </row>
    <row r="163">
      <c r="A163" s="11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</row>
    <row r="164">
      <c r="A164" s="115"/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5"/>
      <c r="AA164" s="115"/>
      <c r="AB164" s="115"/>
      <c r="AC164" s="115"/>
      <c r="AD164" s="115"/>
      <c r="AE164" s="115"/>
      <c r="AF164" s="115"/>
      <c r="AG164" s="115"/>
      <c r="AH164" s="115"/>
      <c r="AI164" s="115"/>
      <c r="AJ164" s="115"/>
      <c r="AK164" s="115"/>
      <c r="AL164" s="115"/>
      <c r="AM164" s="115"/>
      <c r="AN164" s="115"/>
      <c r="AO164" s="115"/>
      <c r="AP164" s="115"/>
      <c r="AQ164" s="115"/>
      <c r="AR164" s="115"/>
      <c r="AS164" s="115"/>
      <c r="AT164" s="115"/>
      <c r="AU164" s="115"/>
      <c r="AV164" s="115"/>
    </row>
    <row r="165">
      <c r="A165" s="115"/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  <c r="AA165" s="115"/>
      <c r="AB165" s="115"/>
      <c r="AC165" s="115"/>
      <c r="AD165" s="115"/>
      <c r="AE165" s="115"/>
      <c r="AF165" s="115"/>
      <c r="AG165" s="115"/>
      <c r="AH165" s="115"/>
      <c r="AI165" s="115"/>
      <c r="AJ165" s="115"/>
      <c r="AK165" s="115"/>
      <c r="AL165" s="115"/>
      <c r="AM165" s="115"/>
      <c r="AN165" s="115"/>
      <c r="AO165" s="115"/>
      <c r="AP165" s="115"/>
      <c r="AQ165" s="115"/>
      <c r="AR165" s="115"/>
      <c r="AS165" s="115"/>
      <c r="AT165" s="115"/>
      <c r="AU165" s="115"/>
      <c r="AV165" s="115"/>
    </row>
    <row r="166">
      <c r="A166" s="115"/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5"/>
      <c r="AA166" s="115"/>
      <c r="AB166" s="115"/>
      <c r="AC166" s="115"/>
      <c r="AD166" s="115"/>
      <c r="AE166" s="115"/>
      <c r="AF166" s="115"/>
      <c r="AG166" s="115"/>
      <c r="AH166" s="115"/>
      <c r="AI166" s="115"/>
      <c r="AJ166" s="115"/>
      <c r="AK166" s="115"/>
      <c r="AL166" s="115"/>
      <c r="AM166" s="115"/>
      <c r="AN166" s="115"/>
      <c r="AO166" s="115"/>
      <c r="AP166" s="115"/>
      <c r="AQ166" s="115"/>
      <c r="AR166" s="115"/>
      <c r="AS166" s="115"/>
      <c r="AT166" s="115"/>
      <c r="AU166" s="115"/>
      <c r="AV166" s="115"/>
    </row>
    <row r="167">
      <c r="A167" s="115"/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  <c r="Z167" s="115"/>
      <c r="AA167" s="115"/>
      <c r="AB167" s="115"/>
      <c r="AC167" s="115"/>
      <c r="AD167" s="115"/>
      <c r="AE167" s="115"/>
      <c r="AF167" s="115"/>
      <c r="AG167" s="115"/>
      <c r="AH167" s="115"/>
      <c r="AI167" s="115"/>
      <c r="AJ167" s="115"/>
      <c r="AK167" s="115"/>
      <c r="AL167" s="115"/>
      <c r="AM167" s="115"/>
      <c r="AN167" s="115"/>
      <c r="AO167" s="115"/>
      <c r="AP167" s="115"/>
      <c r="AQ167" s="115"/>
      <c r="AR167" s="115"/>
      <c r="AS167" s="115"/>
      <c r="AT167" s="115"/>
      <c r="AU167" s="115"/>
      <c r="AV167" s="115"/>
    </row>
    <row r="168">
      <c r="A168" s="115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  <c r="AA168" s="115"/>
      <c r="AB168" s="115"/>
      <c r="AC168" s="115"/>
      <c r="AD168" s="115"/>
      <c r="AE168" s="115"/>
      <c r="AF168" s="115"/>
      <c r="AG168" s="115"/>
      <c r="AH168" s="115"/>
      <c r="AI168" s="115"/>
      <c r="AJ168" s="115"/>
      <c r="AK168" s="115"/>
      <c r="AL168" s="115"/>
      <c r="AM168" s="115"/>
      <c r="AN168" s="115"/>
      <c r="AO168" s="115"/>
      <c r="AP168" s="115"/>
      <c r="AQ168" s="115"/>
      <c r="AR168" s="115"/>
      <c r="AS168" s="115"/>
      <c r="AT168" s="115"/>
      <c r="AU168" s="115"/>
      <c r="AV168" s="115"/>
    </row>
    <row r="169">
      <c r="A169" s="115"/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  <c r="AA169" s="115"/>
      <c r="AB169" s="115"/>
      <c r="AC169" s="115"/>
      <c r="AD169" s="115"/>
      <c r="AE169" s="115"/>
      <c r="AF169" s="115"/>
      <c r="AG169" s="115"/>
      <c r="AH169" s="115"/>
      <c r="AI169" s="115"/>
      <c r="AJ169" s="115"/>
      <c r="AK169" s="115"/>
      <c r="AL169" s="115"/>
      <c r="AM169" s="115"/>
      <c r="AN169" s="115"/>
      <c r="AO169" s="115"/>
      <c r="AP169" s="115"/>
      <c r="AQ169" s="115"/>
      <c r="AR169" s="115"/>
      <c r="AS169" s="115"/>
      <c r="AT169" s="115"/>
      <c r="AU169" s="115"/>
      <c r="AV169" s="115"/>
    </row>
    <row r="170">
      <c r="A170" s="115"/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  <c r="Z170" s="115"/>
      <c r="AA170" s="115"/>
      <c r="AB170" s="115"/>
      <c r="AC170" s="115"/>
      <c r="AD170" s="115"/>
      <c r="AE170" s="115"/>
      <c r="AF170" s="115"/>
      <c r="AG170" s="115"/>
      <c r="AH170" s="115"/>
      <c r="AI170" s="115"/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115"/>
    </row>
    <row r="171">
      <c r="A171" s="115"/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  <c r="Z171" s="115"/>
      <c r="AA171" s="115"/>
      <c r="AB171" s="115"/>
      <c r="AC171" s="115"/>
      <c r="AD171" s="115"/>
      <c r="AE171" s="115"/>
      <c r="AF171" s="115"/>
      <c r="AG171" s="115"/>
      <c r="AH171" s="115"/>
      <c r="AI171" s="115"/>
      <c r="AJ171" s="115"/>
      <c r="AK171" s="115"/>
      <c r="AL171" s="115"/>
      <c r="AM171" s="115"/>
      <c r="AN171" s="115"/>
      <c r="AO171" s="115"/>
      <c r="AP171" s="115"/>
      <c r="AQ171" s="115"/>
      <c r="AR171" s="115"/>
      <c r="AS171" s="115"/>
      <c r="AT171" s="115"/>
      <c r="AU171" s="115"/>
      <c r="AV171" s="115"/>
    </row>
    <row r="172">
      <c r="A172" s="115"/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  <c r="Z172" s="115"/>
      <c r="AA172" s="115"/>
      <c r="AB172" s="115"/>
      <c r="AC172" s="115"/>
      <c r="AD172" s="115"/>
      <c r="AE172" s="115"/>
      <c r="AF172" s="115"/>
      <c r="AG172" s="115"/>
      <c r="AH172" s="115"/>
      <c r="AI172" s="115"/>
      <c r="AJ172" s="115"/>
      <c r="AK172" s="115"/>
      <c r="AL172" s="115"/>
      <c r="AM172" s="115"/>
      <c r="AN172" s="115"/>
      <c r="AO172" s="115"/>
      <c r="AP172" s="115"/>
      <c r="AQ172" s="115"/>
      <c r="AR172" s="115"/>
      <c r="AS172" s="115"/>
      <c r="AT172" s="115"/>
      <c r="AU172" s="115"/>
      <c r="AV172" s="115"/>
    </row>
    <row r="173">
      <c r="A173" s="115"/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  <c r="Z173" s="115"/>
      <c r="AA173" s="115"/>
      <c r="AB173" s="115"/>
      <c r="AC173" s="115"/>
      <c r="AD173" s="115"/>
      <c r="AE173" s="115"/>
      <c r="AF173" s="115"/>
      <c r="AG173" s="115"/>
      <c r="AH173" s="115"/>
      <c r="AI173" s="115"/>
      <c r="AJ173" s="115"/>
      <c r="AK173" s="115"/>
      <c r="AL173" s="115"/>
      <c r="AM173" s="115"/>
      <c r="AN173" s="115"/>
      <c r="AO173" s="115"/>
      <c r="AP173" s="115"/>
      <c r="AQ173" s="115"/>
      <c r="AR173" s="115"/>
      <c r="AS173" s="115"/>
      <c r="AT173" s="115"/>
      <c r="AU173" s="115"/>
      <c r="AV173" s="115"/>
    </row>
    <row r="174">
      <c r="A174" s="115"/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  <c r="Z174" s="115"/>
      <c r="AA174" s="115"/>
      <c r="AB174" s="115"/>
      <c r="AC174" s="115"/>
      <c r="AD174" s="115"/>
      <c r="AE174" s="115"/>
      <c r="AF174" s="115"/>
      <c r="AG174" s="115"/>
      <c r="AH174" s="115"/>
      <c r="AI174" s="115"/>
      <c r="AJ174" s="115"/>
      <c r="AK174" s="115"/>
      <c r="AL174" s="115"/>
      <c r="AM174" s="115"/>
      <c r="AN174" s="115"/>
      <c r="AO174" s="115"/>
      <c r="AP174" s="115"/>
      <c r="AQ174" s="115"/>
      <c r="AR174" s="115"/>
      <c r="AS174" s="115"/>
      <c r="AT174" s="115"/>
      <c r="AU174" s="115"/>
      <c r="AV174" s="115"/>
    </row>
    <row r="175">
      <c r="A175" s="115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  <c r="Z175" s="115"/>
      <c r="AA175" s="115"/>
      <c r="AB175" s="115"/>
      <c r="AC175" s="115"/>
      <c r="AD175" s="115"/>
      <c r="AE175" s="115"/>
      <c r="AF175" s="115"/>
      <c r="AG175" s="115"/>
      <c r="AH175" s="115"/>
      <c r="AI175" s="115"/>
      <c r="AJ175" s="115"/>
      <c r="AK175" s="115"/>
      <c r="AL175" s="115"/>
      <c r="AM175" s="115"/>
      <c r="AN175" s="115"/>
      <c r="AO175" s="115"/>
      <c r="AP175" s="115"/>
      <c r="AQ175" s="115"/>
      <c r="AR175" s="115"/>
      <c r="AS175" s="115"/>
      <c r="AT175" s="115"/>
      <c r="AU175" s="115"/>
      <c r="AV175" s="115"/>
    </row>
    <row r="176">
      <c r="A176" s="115"/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  <c r="AA176" s="115"/>
      <c r="AB176" s="115"/>
      <c r="AC176" s="115"/>
      <c r="AD176" s="115"/>
      <c r="AE176" s="115"/>
      <c r="AF176" s="115"/>
      <c r="AG176" s="115"/>
      <c r="AH176" s="115"/>
      <c r="AI176" s="115"/>
      <c r="AJ176" s="115"/>
      <c r="AK176" s="115"/>
      <c r="AL176" s="115"/>
      <c r="AM176" s="115"/>
      <c r="AN176" s="115"/>
      <c r="AO176" s="115"/>
      <c r="AP176" s="115"/>
      <c r="AQ176" s="115"/>
      <c r="AR176" s="115"/>
      <c r="AS176" s="115"/>
      <c r="AT176" s="115"/>
      <c r="AU176" s="115"/>
      <c r="AV176" s="115"/>
    </row>
    <row r="177">
      <c r="A177" s="115"/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  <c r="Z177" s="115"/>
      <c r="AA177" s="115"/>
      <c r="AB177" s="115"/>
      <c r="AC177" s="115"/>
      <c r="AD177" s="115"/>
      <c r="AE177" s="115"/>
      <c r="AF177" s="115"/>
      <c r="AG177" s="115"/>
      <c r="AH177" s="115"/>
      <c r="AI177" s="115"/>
      <c r="AJ177" s="115"/>
      <c r="AK177" s="115"/>
      <c r="AL177" s="115"/>
      <c r="AM177" s="115"/>
      <c r="AN177" s="115"/>
      <c r="AO177" s="115"/>
      <c r="AP177" s="115"/>
      <c r="AQ177" s="115"/>
      <c r="AR177" s="115"/>
      <c r="AS177" s="115"/>
      <c r="AT177" s="115"/>
      <c r="AU177" s="115"/>
      <c r="AV177" s="115"/>
    </row>
    <row r="178">
      <c r="A178" s="115"/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  <c r="Z178" s="115"/>
      <c r="AA178" s="115"/>
      <c r="AB178" s="115"/>
      <c r="AC178" s="115"/>
      <c r="AD178" s="115"/>
      <c r="AE178" s="115"/>
      <c r="AF178" s="115"/>
      <c r="AG178" s="115"/>
      <c r="AH178" s="115"/>
      <c r="AI178" s="115"/>
      <c r="AJ178" s="115"/>
      <c r="AK178" s="115"/>
      <c r="AL178" s="115"/>
      <c r="AM178" s="115"/>
      <c r="AN178" s="115"/>
      <c r="AO178" s="115"/>
      <c r="AP178" s="115"/>
      <c r="AQ178" s="115"/>
      <c r="AR178" s="115"/>
      <c r="AS178" s="115"/>
      <c r="AT178" s="115"/>
      <c r="AU178" s="115"/>
      <c r="AV178" s="115"/>
    </row>
    <row r="179">
      <c r="A179" s="115"/>
      <c r="B179" s="115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  <c r="Z179" s="115"/>
      <c r="AA179" s="115"/>
      <c r="AB179" s="115"/>
      <c r="AC179" s="115"/>
      <c r="AD179" s="115"/>
      <c r="AE179" s="115"/>
      <c r="AF179" s="115"/>
      <c r="AG179" s="115"/>
      <c r="AH179" s="115"/>
      <c r="AI179" s="115"/>
      <c r="AJ179" s="115"/>
      <c r="AK179" s="115"/>
      <c r="AL179" s="115"/>
      <c r="AM179" s="115"/>
      <c r="AN179" s="115"/>
      <c r="AO179" s="115"/>
      <c r="AP179" s="115"/>
      <c r="AQ179" s="115"/>
      <c r="AR179" s="115"/>
      <c r="AS179" s="115"/>
      <c r="AT179" s="115"/>
      <c r="AU179" s="115"/>
      <c r="AV179" s="115"/>
    </row>
    <row r="180">
      <c r="A180" s="115"/>
      <c r="B180" s="115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5"/>
      <c r="AA180" s="115"/>
      <c r="AB180" s="115"/>
      <c r="AC180" s="115"/>
      <c r="AD180" s="115"/>
      <c r="AE180" s="115"/>
      <c r="AF180" s="115"/>
      <c r="AG180" s="115"/>
      <c r="AH180" s="115"/>
      <c r="AI180" s="115"/>
      <c r="AJ180" s="115"/>
      <c r="AK180" s="115"/>
      <c r="AL180" s="115"/>
      <c r="AM180" s="115"/>
      <c r="AN180" s="115"/>
      <c r="AO180" s="115"/>
      <c r="AP180" s="115"/>
      <c r="AQ180" s="115"/>
      <c r="AR180" s="115"/>
      <c r="AS180" s="115"/>
      <c r="AT180" s="115"/>
      <c r="AU180" s="115"/>
      <c r="AV180" s="115"/>
    </row>
    <row r="181">
      <c r="A181" s="115"/>
      <c r="B181" s="115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5"/>
      <c r="AA181" s="115"/>
      <c r="AB181" s="115"/>
      <c r="AC181" s="115"/>
      <c r="AD181" s="115"/>
      <c r="AE181" s="115"/>
      <c r="AF181" s="115"/>
      <c r="AG181" s="115"/>
      <c r="AH181" s="115"/>
      <c r="AI181" s="115"/>
      <c r="AJ181" s="115"/>
      <c r="AK181" s="115"/>
      <c r="AL181" s="115"/>
      <c r="AM181" s="115"/>
      <c r="AN181" s="115"/>
      <c r="AO181" s="115"/>
      <c r="AP181" s="115"/>
      <c r="AQ181" s="115"/>
      <c r="AR181" s="115"/>
      <c r="AS181" s="115"/>
      <c r="AT181" s="115"/>
      <c r="AU181" s="115"/>
      <c r="AV181" s="115"/>
    </row>
    <row r="182">
      <c r="A182" s="115"/>
      <c r="B182" s="115"/>
      <c r="C182" s="115"/>
      <c r="D182" s="115"/>
      <c r="E182" s="115"/>
      <c r="F182" s="115"/>
      <c r="G182" s="115"/>
      <c r="H182" s="115"/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5"/>
      <c r="AA182" s="115"/>
      <c r="AB182" s="115"/>
      <c r="AC182" s="115"/>
      <c r="AD182" s="115"/>
      <c r="AE182" s="115"/>
      <c r="AF182" s="115"/>
      <c r="AG182" s="115"/>
      <c r="AH182" s="115"/>
      <c r="AI182" s="115"/>
      <c r="AJ182" s="115"/>
      <c r="AK182" s="115"/>
      <c r="AL182" s="115"/>
      <c r="AM182" s="115"/>
      <c r="AN182" s="115"/>
      <c r="AO182" s="115"/>
      <c r="AP182" s="115"/>
      <c r="AQ182" s="115"/>
      <c r="AR182" s="115"/>
      <c r="AS182" s="115"/>
      <c r="AT182" s="115"/>
      <c r="AU182" s="115"/>
      <c r="AV182" s="115"/>
    </row>
    <row r="183">
      <c r="A183" s="115"/>
      <c r="B183" s="115"/>
      <c r="C183" s="115"/>
      <c r="D183" s="115"/>
      <c r="E183" s="115"/>
      <c r="F183" s="115"/>
      <c r="G183" s="115"/>
      <c r="H183" s="115"/>
      <c r="I183" s="115"/>
      <c r="J183" s="115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5"/>
      <c r="AA183" s="115"/>
      <c r="AB183" s="115"/>
      <c r="AC183" s="115"/>
      <c r="AD183" s="115"/>
      <c r="AE183" s="115"/>
      <c r="AF183" s="115"/>
      <c r="AG183" s="115"/>
      <c r="AH183" s="115"/>
      <c r="AI183" s="115"/>
      <c r="AJ183" s="115"/>
      <c r="AK183" s="115"/>
      <c r="AL183" s="115"/>
      <c r="AM183" s="115"/>
      <c r="AN183" s="115"/>
      <c r="AO183" s="115"/>
      <c r="AP183" s="115"/>
      <c r="AQ183" s="115"/>
      <c r="AR183" s="115"/>
      <c r="AS183" s="115"/>
      <c r="AT183" s="115"/>
      <c r="AU183" s="115"/>
      <c r="AV183" s="115"/>
    </row>
    <row r="184">
      <c r="A184" s="115"/>
      <c r="B184" s="115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5"/>
      <c r="AA184" s="115"/>
      <c r="AB184" s="115"/>
      <c r="AC184" s="115"/>
      <c r="AD184" s="115"/>
      <c r="AE184" s="115"/>
      <c r="AF184" s="115"/>
      <c r="AG184" s="115"/>
      <c r="AH184" s="115"/>
      <c r="AI184" s="115"/>
      <c r="AJ184" s="115"/>
      <c r="AK184" s="115"/>
      <c r="AL184" s="115"/>
      <c r="AM184" s="115"/>
      <c r="AN184" s="115"/>
      <c r="AO184" s="115"/>
      <c r="AP184" s="115"/>
      <c r="AQ184" s="115"/>
      <c r="AR184" s="115"/>
      <c r="AS184" s="115"/>
      <c r="AT184" s="115"/>
      <c r="AU184" s="115"/>
      <c r="AV184" s="115"/>
    </row>
    <row r="185">
      <c r="A185" s="115"/>
      <c r="B185" s="115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5"/>
      <c r="AA185" s="115"/>
      <c r="AB185" s="115"/>
      <c r="AC185" s="115"/>
      <c r="AD185" s="115"/>
      <c r="AE185" s="115"/>
      <c r="AF185" s="115"/>
      <c r="AG185" s="115"/>
      <c r="AH185" s="115"/>
      <c r="AI185" s="115"/>
      <c r="AJ185" s="115"/>
      <c r="AK185" s="115"/>
      <c r="AL185" s="115"/>
      <c r="AM185" s="115"/>
      <c r="AN185" s="115"/>
      <c r="AO185" s="115"/>
      <c r="AP185" s="115"/>
      <c r="AQ185" s="115"/>
      <c r="AR185" s="115"/>
      <c r="AS185" s="115"/>
      <c r="AT185" s="115"/>
      <c r="AU185" s="115"/>
      <c r="AV185" s="115"/>
    </row>
    <row r="186">
      <c r="A186" s="115"/>
      <c r="B186" s="115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  <c r="Z186" s="115"/>
      <c r="AA186" s="115"/>
      <c r="AB186" s="115"/>
      <c r="AC186" s="115"/>
      <c r="AD186" s="115"/>
      <c r="AE186" s="115"/>
      <c r="AF186" s="115"/>
      <c r="AG186" s="115"/>
      <c r="AH186" s="115"/>
      <c r="AI186" s="115"/>
      <c r="AJ186" s="115"/>
      <c r="AK186" s="115"/>
      <c r="AL186" s="115"/>
      <c r="AM186" s="115"/>
      <c r="AN186" s="115"/>
      <c r="AO186" s="115"/>
      <c r="AP186" s="115"/>
      <c r="AQ186" s="115"/>
      <c r="AR186" s="115"/>
      <c r="AS186" s="115"/>
      <c r="AT186" s="115"/>
      <c r="AU186" s="115"/>
      <c r="AV186" s="115"/>
    </row>
    <row r="187">
      <c r="A187" s="115"/>
      <c r="B187" s="115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  <c r="Z187" s="115"/>
      <c r="AA187" s="115"/>
      <c r="AB187" s="115"/>
      <c r="AC187" s="115"/>
      <c r="AD187" s="115"/>
      <c r="AE187" s="115"/>
      <c r="AF187" s="115"/>
      <c r="AG187" s="115"/>
      <c r="AH187" s="115"/>
      <c r="AI187" s="115"/>
      <c r="AJ187" s="115"/>
      <c r="AK187" s="115"/>
      <c r="AL187" s="115"/>
      <c r="AM187" s="115"/>
      <c r="AN187" s="115"/>
      <c r="AO187" s="115"/>
      <c r="AP187" s="115"/>
      <c r="AQ187" s="115"/>
      <c r="AR187" s="115"/>
      <c r="AS187" s="115"/>
      <c r="AT187" s="115"/>
      <c r="AU187" s="115"/>
      <c r="AV187" s="115"/>
    </row>
    <row r="188">
      <c r="A188" s="115"/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15"/>
      <c r="Z188" s="115"/>
      <c r="AA188" s="115"/>
      <c r="AB188" s="115"/>
      <c r="AC188" s="115"/>
      <c r="AD188" s="115"/>
      <c r="AE188" s="115"/>
      <c r="AF188" s="115"/>
      <c r="AG188" s="115"/>
      <c r="AH188" s="115"/>
      <c r="AI188" s="115"/>
      <c r="AJ188" s="115"/>
      <c r="AK188" s="115"/>
      <c r="AL188" s="115"/>
      <c r="AM188" s="115"/>
      <c r="AN188" s="115"/>
      <c r="AO188" s="115"/>
      <c r="AP188" s="115"/>
      <c r="AQ188" s="115"/>
      <c r="AR188" s="115"/>
      <c r="AS188" s="115"/>
      <c r="AT188" s="115"/>
      <c r="AU188" s="115"/>
      <c r="AV188" s="115"/>
    </row>
    <row r="189">
      <c r="A189" s="115"/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15"/>
      <c r="Z189" s="115"/>
      <c r="AA189" s="115"/>
      <c r="AB189" s="115"/>
      <c r="AC189" s="115"/>
      <c r="AD189" s="115"/>
      <c r="AE189" s="115"/>
      <c r="AF189" s="115"/>
      <c r="AG189" s="115"/>
      <c r="AH189" s="115"/>
      <c r="AI189" s="115"/>
      <c r="AJ189" s="115"/>
      <c r="AK189" s="115"/>
      <c r="AL189" s="115"/>
      <c r="AM189" s="115"/>
      <c r="AN189" s="115"/>
      <c r="AO189" s="115"/>
      <c r="AP189" s="115"/>
      <c r="AQ189" s="115"/>
      <c r="AR189" s="115"/>
      <c r="AS189" s="115"/>
      <c r="AT189" s="115"/>
      <c r="AU189" s="115"/>
      <c r="AV189" s="115"/>
    </row>
    <row r="190">
      <c r="A190" s="115"/>
      <c r="B190" s="115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  <c r="T190" s="115"/>
      <c r="U190" s="115"/>
      <c r="V190" s="115"/>
      <c r="W190" s="115"/>
      <c r="X190" s="115"/>
      <c r="Y190" s="115"/>
      <c r="Z190" s="115"/>
      <c r="AA190" s="115"/>
      <c r="AB190" s="115"/>
      <c r="AC190" s="115"/>
      <c r="AD190" s="115"/>
      <c r="AE190" s="115"/>
      <c r="AF190" s="115"/>
      <c r="AG190" s="115"/>
      <c r="AH190" s="115"/>
      <c r="AI190" s="115"/>
      <c r="AJ190" s="115"/>
      <c r="AK190" s="115"/>
      <c r="AL190" s="115"/>
      <c r="AM190" s="115"/>
      <c r="AN190" s="115"/>
      <c r="AO190" s="115"/>
      <c r="AP190" s="115"/>
      <c r="AQ190" s="115"/>
      <c r="AR190" s="115"/>
      <c r="AS190" s="115"/>
      <c r="AT190" s="115"/>
      <c r="AU190" s="115"/>
      <c r="AV190" s="115"/>
    </row>
    <row r="191">
      <c r="A191" s="115"/>
      <c r="B191" s="115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/>
      <c r="AH191" s="115"/>
      <c r="AI191" s="115"/>
      <c r="AJ191" s="115"/>
      <c r="AK191" s="115"/>
      <c r="AL191" s="115"/>
      <c r="AM191" s="115"/>
      <c r="AN191" s="115"/>
      <c r="AO191" s="115"/>
      <c r="AP191" s="115"/>
      <c r="AQ191" s="115"/>
      <c r="AR191" s="115"/>
      <c r="AS191" s="115"/>
      <c r="AT191" s="115"/>
      <c r="AU191" s="115"/>
      <c r="AV191" s="115"/>
    </row>
    <row r="192">
      <c r="A192" s="115"/>
      <c r="B192" s="115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  <c r="T192" s="115"/>
      <c r="U192" s="115"/>
      <c r="V192" s="115"/>
      <c r="W192" s="115"/>
      <c r="X192" s="115"/>
      <c r="Y192" s="115"/>
      <c r="Z192" s="115"/>
      <c r="AA192" s="115"/>
      <c r="AB192" s="115"/>
      <c r="AC192" s="115"/>
      <c r="AD192" s="115"/>
      <c r="AE192" s="115"/>
      <c r="AF192" s="115"/>
      <c r="AG192" s="115"/>
      <c r="AH192" s="115"/>
      <c r="AI192" s="115"/>
      <c r="AJ192" s="115"/>
      <c r="AK192" s="115"/>
      <c r="AL192" s="115"/>
      <c r="AM192" s="115"/>
      <c r="AN192" s="115"/>
      <c r="AO192" s="115"/>
      <c r="AP192" s="115"/>
      <c r="AQ192" s="115"/>
      <c r="AR192" s="115"/>
      <c r="AS192" s="115"/>
      <c r="AT192" s="115"/>
      <c r="AU192" s="115"/>
      <c r="AV192" s="115"/>
    </row>
    <row r="193">
      <c r="A193" s="115"/>
      <c r="B193" s="115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15"/>
      <c r="Z193" s="115"/>
      <c r="AA193" s="115"/>
      <c r="AB193" s="115"/>
      <c r="AC193" s="115"/>
      <c r="AD193" s="115"/>
      <c r="AE193" s="115"/>
      <c r="AF193" s="115"/>
      <c r="AG193" s="115"/>
      <c r="AH193" s="115"/>
      <c r="AI193" s="115"/>
      <c r="AJ193" s="115"/>
      <c r="AK193" s="115"/>
      <c r="AL193" s="115"/>
      <c r="AM193" s="115"/>
      <c r="AN193" s="115"/>
      <c r="AO193" s="115"/>
      <c r="AP193" s="115"/>
      <c r="AQ193" s="115"/>
      <c r="AR193" s="115"/>
      <c r="AS193" s="115"/>
      <c r="AT193" s="115"/>
      <c r="AU193" s="115"/>
      <c r="AV193" s="115"/>
    </row>
    <row r="194">
      <c r="A194" s="115"/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  <c r="Z194" s="115"/>
      <c r="AA194" s="115"/>
      <c r="AB194" s="115"/>
      <c r="AC194" s="115"/>
      <c r="AD194" s="115"/>
      <c r="AE194" s="115"/>
      <c r="AF194" s="115"/>
      <c r="AG194" s="115"/>
      <c r="AH194" s="115"/>
      <c r="AI194" s="115"/>
      <c r="AJ194" s="115"/>
      <c r="AK194" s="115"/>
      <c r="AL194" s="115"/>
      <c r="AM194" s="115"/>
      <c r="AN194" s="115"/>
      <c r="AO194" s="115"/>
      <c r="AP194" s="115"/>
      <c r="AQ194" s="115"/>
      <c r="AR194" s="115"/>
      <c r="AS194" s="115"/>
      <c r="AT194" s="115"/>
      <c r="AU194" s="115"/>
      <c r="AV194" s="115"/>
    </row>
    <row r="195">
      <c r="A195" s="115"/>
      <c r="B195" s="115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  <c r="Z195" s="115"/>
      <c r="AA195" s="115"/>
      <c r="AB195" s="115"/>
      <c r="AC195" s="115"/>
      <c r="AD195" s="115"/>
      <c r="AE195" s="115"/>
      <c r="AF195" s="115"/>
      <c r="AG195" s="115"/>
      <c r="AH195" s="115"/>
      <c r="AI195" s="115"/>
      <c r="AJ195" s="115"/>
      <c r="AK195" s="115"/>
      <c r="AL195" s="115"/>
      <c r="AM195" s="115"/>
      <c r="AN195" s="115"/>
      <c r="AO195" s="115"/>
      <c r="AP195" s="115"/>
      <c r="AQ195" s="115"/>
      <c r="AR195" s="115"/>
      <c r="AS195" s="115"/>
      <c r="AT195" s="115"/>
      <c r="AU195" s="115"/>
      <c r="AV195" s="115"/>
    </row>
    <row r="196">
      <c r="A196" s="115"/>
      <c r="B196" s="115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  <c r="Z196" s="115"/>
      <c r="AA196" s="115"/>
      <c r="AB196" s="115"/>
      <c r="AC196" s="115"/>
      <c r="AD196" s="115"/>
      <c r="AE196" s="115"/>
      <c r="AF196" s="115"/>
      <c r="AG196" s="115"/>
      <c r="AH196" s="115"/>
      <c r="AI196" s="115"/>
      <c r="AJ196" s="115"/>
      <c r="AK196" s="115"/>
      <c r="AL196" s="115"/>
      <c r="AM196" s="115"/>
      <c r="AN196" s="115"/>
      <c r="AO196" s="115"/>
      <c r="AP196" s="115"/>
      <c r="AQ196" s="115"/>
      <c r="AR196" s="115"/>
      <c r="AS196" s="115"/>
      <c r="AT196" s="115"/>
      <c r="AU196" s="115"/>
      <c r="AV196" s="115"/>
    </row>
    <row r="197">
      <c r="A197" s="115"/>
      <c r="B197" s="115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  <c r="Z197" s="115"/>
      <c r="AA197" s="115"/>
      <c r="AB197" s="115"/>
      <c r="AC197" s="115"/>
      <c r="AD197" s="115"/>
      <c r="AE197" s="115"/>
      <c r="AF197" s="115"/>
      <c r="AG197" s="115"/>
      <c r="AH197" s="115"/>
      <c r="AI197" s="115"/>
      <c r="AJ197" s="115"/>
      <c r="AK197" s="115"/>
      <c r="AL197" s="115"/>
      <c r="AM197" s="115"/>
      <c r="AN197" s="115"/>
      <c r="AO197" s="115"/>
      <c r="AP197" s="115"/>
      <c r="AQ197" s="115"/>
      <c r="AR197" s="115"/>
      <c r="AS197" s="115"/>
      <c r="AT197" s="115"/>
      <c r="AU197" s="115"/>
      <c r="AV197" s="115"/>
    </row>
    <row r="198">
      <c r="A198" s="115"/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  <c r="Z198" s="115"/>
      <c r="AA198" s="115"/>
      <c r="AB198" s="115"/>
      <c r="AC198" s="115"/>
      <c r="AD198" s="115"/>
      <c r="AE198" s="115"/>
      <c r="AF198" s="115"/>
      <c r="AG198" s="115"/>
      <c r="AH198" s="115"/>
      <c r="AI198" s="115"/>
      <c r="AJ198" s="115"/>
      <c r="AK198" s="115"/>
      <c r="AL198" s="115"/>
      <c r="AM198" s="115"/>
      <c r="AN198" s="115"/>
      <c r="AO198" s="115"/>
      <c r="AP198" s="115"/>
      <c r="AQ198" s="115"/>
      <c r="AR198" s="115"/>
      <c r="AS198" s="115"/>
      <c r="AT198" s="115"/>
      <c r="AU198" s="115"/>
      <c r="AV198" s="115"/>
    </row>
    <row r="199">
      <c r="A199" s="115"/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  <c r="Z199" s="115"/>
      <c r="AA199" s="115"/>
      <c r="AB199" s="115"/>
      <c r="AC199" s="115"/>
      <c r="AD199" s="115"/>
      <c r="AE199" s="115"/>
      <c r="AF199" s="115"/>
      <c r="AG199" s="115"/>
      <c r="AH199" s="115"/>
      <c r="AI199" s="115"/>
      <c r="AJ199" s="115"/>
      <c r="AK199" s="115"/>
      <c r="AL199" s="115"/>
      <c r="AM199" s="115"/>
      <c r="AN199" s="115"/>
      <c r="AO199" s="115"/>
      <c r="AP199" s="115"/>
      <c r="AQ199" s="115"/>
      <c r="AR199" s="115"/>
      <c r="AS199" s="115"/>
      <c r="AT199" s="115"/>
      <c r="AU199" s="115"/>
      <c r="AV199" s="115"/>
    </row>
    <row r="200">
      <c r="A200" s="115"/>
      <c r="B200" s="115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  <c r="Z200" s="115"/>
      <c r="AA200" s="115"/>
      <c r="AB200" s="115"/>
      <c r="AC200" s="115"/>
      <c r="AD200" s="115"/>
      <c r="AE200" s="115"/>
      <c r="AF200" s="115"/>
      <c r="AG200" s="115"/>
      <c r="AH200" s="115"/>
      <c r="AI200" s="115"/>
      <c r="AJ200" s="115"/>
      <c r="AK200" s="115"/>
      <c r="AL200" s="115"/>
      <c r="AM200" s="115"/>
      <c r="AN200" s="115"/>
      <c r="AO200" s="115"/>
      <c r="AP200" s="115"/>
      <c r="AQ200" s="115"/>
      <c r="AR200" s="115"/>
      <c r="AS200" s="115"/>
      <c r="AT200" s="115"/>
      <c r="AU200" s="115"/>
      <c r="AV200" s="115"/>
    </row>
    <row r="201">
      <c r="A201" s="115"/>
      <c r="B201" s="115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  <c r="Z201" s="115"/>
      <c r="AA201" s="115"/>
      <c r="AB201" s="115"/>
      <c r="AC201" s="115"/>
      <c r="AD201" s="115"/>
      <c r="AE201" s="115"/>
      <c r="AF201" s="115"/>
      <c r="AG201" s="115"/>
      <c r="AH201" s="115"/>
      <c r="AI201" s="115"/>
      <c r="AJ201" s="115"/>
      <c r="AK201" s="115"/>
      <c r="AL201" s="115"/>
      <c r="AM201" s="115"/>
      <c r="AN201" s="115"/>
      <c r="AO201" s="115"/>
      <c r="AP201" s="115"/>
      <c r="AQ201" s="115"/>
      <c r="AR201" s="115"/>
      <c r="AS201" s="115"/>
      <c r="AT201" s="115"/>
      <c r="AU201" s="115"/>
      <c r="AV201" s="115"/>
    </row>
    <row r="202">
      <c r="A202" s="115"/>
      <c r="B202" s="115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15"/>
      <c r="Z202" s="115"/>
      <c r="AA202" s="115"/>
      <c r="AB202" s="115"/>
      <c r="AC202" s="115"/>
      <c r="AD202" s="115"/>
      <c r="AE202" s="115"/>
      <c r="AF202" s="115"/>
      <c r="AG202" s="115"/>
      <c r="AH202" s="115"/>
      <c r="AI202" s="115"/>
      <c r="AJ202" s="115"/>
      <c r="AK202" s="115"/>
      <c r="AL202" s="115"/>
      <c r="AM202" s="115"/>
      <c r="AN202" s="115"/>
      <c r="AO202" s="115"/>
      <c r="AP202" s="115"/>
      <c r="AQ202" s="115"/>
      <c r="AR202" s="115"/>
      <c r="AS202" s="115"/>
      <c r="AT202" s="115"/>
      <c r="AU202" s="115"/>
      <c r="AV202" s="115"/>
    </row>
    <row r="203">
      <c r="A203" s="115"/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15"/>
      <c r="Z203" s="115"/>
      <c r="AA203" s="115"/>
      <c r="AB203" s="115"/>
      <c r="AC203" s="115"/>
      <c r="AD203" s="115"/>
      <c r="AE203" s="115"/>
      <c r="AF203" s="115"/>
      <c r="AG203" s="115"/>
      <c r="AH203" s="115"/>
      <c r="AI203" s="115"/>
      <c r="AJ203" s="115"/>
      <c r="AK203" s="115"/>
      <c r="AL203" s="115"/>
      <c r="AM203" s="115"/>
      <c r="AN203" s="115"/>
      <c r="AO203" s="115"/>
      <c r="AP203" s="115"/>
      <c r="AQ203" s="115"/>
      <c r="AR203" s="115"/>
      <c r="AS203" s="115"/>
      <c r="AT203" s="115"/>
      <c r="AU203" s="115"/>
      <c r="AV203" s="115"/>
    </row>
    <row r="204">
      <c r="A204" s="115"/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15"/>
      <c r="Z204" s="115"/>
      <c r="AA204" s="115"/>
      <c r="AB204" s="115"/>
      <c r="AC204" s="115"/>
      <c r="AD204" s="115"/>
      <c r="AE204" s="115"/>
      <c r="AF204" s="115"/>
      <c r="AG204" s="115"/>
      <c r="AH204" s="115"/>
      <c r="AI204" s="115"/>
      <c r="AJ204" s="115"/>
      <c r="AK204" s="115"/>
      <c r="AL204" s="115"/>
      <c r="AM204" s="115"/>
      <c r="AN204" s="115"/>
      <c r="AO204" s="115"/>
      <c r="AP204" s="115"/>
      <c r="AQ204" s="115"/>
      <c r="AR204" s="115"/>
      <c r="AS204" s="115"/>
      <c r="AT204" s="115"/>
      <c r="AU204" s="115"/>
      <c r="AV204" s="115"/>
    </row>
    <row r="205">
      <c r="A205" s="115"/>
      <c r="B205" s="115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15"/>
      <c r="Z205" s="115"/>
      <c r="AA205" s="115"/>
      <c r="AB205" s="115"/>
      <c r="AC205" s="115"/>
      <c r="AD205" s="115"/>
      <c r="AE205" s="115"/>
      <c r="AF205" s="115"/>
      <c r="AG205" s="115"/>
      <c r="AH205" s="115"/>
      <c r="AI205" s="115"/>
      <c r="AJ205" s="115"/>
      <c r="AK205" s="115"/>
      <c r="AL205" s="115"/>
      <c r="AM205" s="115"/>
      <c r="AN205" s="115"/>
      <c r="AO205" s="115"/>
      <c r="AP205" s="115"/>
      <c r="AQ205" s="115"/>
      <c r="AR205" s="115"/>
      <c r="AS205" s="115"/>
      <c r="AT205" s="115"/>
      <c r="AU205" s="115"/>
      <c r="AV205" s="115"/>
    </row>
    <row r="206">
      <c r="A206" s="115"/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  <c r="Y206" s="115"/>
      <c r="Z206" s="115"/>
      <c r="AA206" s="115"/>
      <c r="AB206" s="115"/>
      <c r="AC206" s="115"/>
      <c r="AD206" s="115"/>
      <c r="AE206" s="115"/>
      <c r="AF206" s="115"/>
      <c r="AG206" s="115"/>
      <c r="AH206" s="115"/>
      <c r="AI206" s="115"/>
      <c r="AJ206" s="115"/>
      <c r="AK206" s="115"/>
      <c r="AL206" s="115"/>
      <c r="AM206" s="115"/>
      <c r="AN206" s="115"/>
      <c r="AO206" s="115"/>
      <c r="AP206" s="115"/>
      <c r="AQ206" s="115"/>
      <c r="AR206" s="115"/>
      <c r="AS206" s="115"/>
      <c r="AT206" s="115"/>
      <c r="AU206" s="115"/>
      <c r="AV206" s="115"/>
    </row>
    <row r="207">
      <c r="A207" s="115"/>
      <c r="B207" s="115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  <c r="Y207" s="115"/>
      <c r="Z207" s="115"/>
      <c r="AA207" s="115"/>
      <c r="AB207" s="115"/>
      <c r="AC207" s="115"/>
      <c r="AD207" s="115"/>
      <c r="AE207" s="115"/>
      <c r="AF207" s="115"/>
      <c r="AG207" s="115"/>
      <c r="AH207" s="115"/>
      <c r="AI207" s="115"/>
      <c r="AJ207" s="115"/>
      <c r="AK207" s="115"/>
      <c r="AL207" s="115"/>
      <c r="AM207" s="115"/>
      <c r="AN207" s="115"/>
      <c r="AO207" s="115"/>
      <c r="AP207" s="115"/>
      <c r="AQ207" s="115"/>
      <c r="AR207" s="115"/>
      <c r="AS207" s="115"/>
      <c r="AT207" s="115"/>
      <c r="AU207" s="115"/>
      <c r="AV207" s="115"/>
    </row>
    <row r="208">
      <c r="A208" s="115"/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15"/>
      <c r="Z208" s="115"/>
      <c r="AA208" s="115"/>
      <c r="AB208" s="115"/>
      <c r="AC208" s="115"/>
      <c r="AD208" s="115"/>
      <c r="AE208" s="115"/>
      <c r="AF208" s="115"/>
      <c r="AG208" s="115"/>
      <c r="AH208" s="115"/>
      <c r="AI208" s="115"/>
      <c r="AJ208" s="115"/>
      <c r="AK208" s="115"/>
      <c r="AL208" s="115"/>
      <c r="AM208" s="115"/>
      <c r="AN208" s="115"/>
      <c r="AO208" s="115"/>
      <c r="AP208" s="115"/>
      <c r="AQ208" s="115"/>
      <c r="AR208" s="115"/>
      <c r="AS208" s="115"/>
      <c r="AT208" s="115"/>
      <c r="AU208" s="115"/>
      <c r="AV208" s="115"/>
    </row>
    <row r="209">
      <c r="A209" s="115"/>
      <c r="B209" s="115"/>
      <c r="C209" s="115"/>
      <c r="D209" s="115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15"/>
      <c r="Z209" s="115"/>
      <c r="AA209" s="115"/>
      <c r="AB209" s="115"/>
      <c r="AC209" s="115"/>
      <c r="AD209" s="115"/>
      <c r="AE209" s="115"/>
      <c r="AF209" s="115"/>
      <c r="AG209" s="115"/>
      <c r="AH209" s="115"/>
      <c r="AI209" s="115"/>
      <c r="AJ209" s="115"/>
      <c r="AK209" s="115"/>
      <c r="AL209" s="115"/>
      <c r="AM209" s="115"/>
      <c r="AN209" s="115"/>
      <c r="AO209" s="115"/>
      <c r="AP209" s="115"/>
      <c r="AQ209" s="115"/>
      <c r="AR209" s="115"/>
      <c r="AS209" s="115"/>
      <c r="AT209" s="115"/>
      <c r="AU209" s="115"/>
      <c r="AV209" s="115"/>
    </row>
    <row r="210">
      <c r="A210" s="115"/>
      <c r="B210" s="115"/>
      <c r="C210" s="115"/>
      <c r="D210" s="115"/>
      <c r="E210" s="115"/>
      <c r="F210" s="115"/>
      <c r="G210" s="115"/>
      <c r="H210" s="115"/>
      <c r="I210" s="115"/>
      <c r="J210" s="115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  <c r="Z210" s="115"/>
      <c r="AA210" s="115"/>
      <c r="AB210" s="115"/>
      <c r="AC210" s="115"/>
      <c r="AD210" s="115"/>
      <c r="AE210" s="115"/>
      <c r="AF210" s="115"/>
      <c r="AG210" s="115"/>
      <c r="AH210" s="115"/>
      <c r="AI210" s="115"/>
      <c r="AJ210" s="115"/>
      <c r="AK210" s="115"/>
      <c r="AL210" s="115"/>
      <c r="AM210" s="115"/>
      <c r="AN210" s="115"/>
      <c r="AO210" s="115"/>
      <c r="AP210" s="115"/>
      <c r="AQ210" s="115"/>
      <c r="AR210" s="115"/>
      <c r="AS210" s="115"/>
      <c r="AT210" s="115"/>
      <c r="AU210" s="115"/>
      <c r="AV210" s="115"/>
    </row>
    <row r="211">
      <c r="A211" s="115"/>
      <c r="B211" s="115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15"/>
      <c r="Z211" s="115"/>
      <c r="AA211" s="115"/>
      <c r="AB211" s="115"/>
      <c r="AC211" s="115"/>
      <c r="AD211" s="115"/>
      <c r="AE211" s="115"/>
      <c r="AF211" s="115"/>
      <c r="AG211" s="115"/>
      <c r="AH211" s="115"/>
      <c r="AI211" s="115"/>
      <c r="AJ211" s="115"/>
      <c r="AK211" s="115"/>
      <c r="AL211" s="115"/>
      <c r="AM211" s="115"/>
      <c r="AN211" s="115"/>
      <c r="AO211" s="115"/>
      <c r="AP211" s="115"/>
      <c r="AQ211" s="115"/>
      <c r="AR211" s="115"/>
      <c r="AS211" s="115"/>
      <c r="AT211" s="115"/>
      <c r="AU211" s="115"/>
      <c r="AV211" s="115"/>
    </row>
    <row r="212">
      <c r="A212" s="115"/>
      <c r="B212" s="115"/>
      <c r="C212" s="115"/>
      <c r="D212" s="115"/>
      <c r="E212" s="115"/>
      <c r="F212" s="115"/>
      <c r="G212" s="115"/>
      <c r="H212" s="115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15"/>
      <c r="Z212" s="115"/>
      <c r="AA212" s="115"/>
      <c r="AB212" s="115"/>
      <c r="AC212" s="115"/>
      <c r="AD212" s="115"/>
      <c r="AE212" s="115"/>
      <c r="AF212" s="115"/>
      <c r="AG212" s="115"/>
      <c r="AH212" s="115"/>
      <c r="AI212" s="115"/>
      <c r="AJ212" s="115"/>
      <c r="AK212" s="115"/>
      <c r="AL212" s="115"/>
      <c r="AM212" s="115"/>
      <c r="AN212" s="115"/>
      <c r="AO212" s="115"/>
      <c r="AP212" s="115"/>
      <c r="AQ212" s="115"/>
      <c r="AR212" s="115"/>
      <c r="AS212" s="115"/>
      <c r="AT212" s="115"/>
      <c r="AU212" s="115"/>
      <c r="AV212" s="115"/>
    </row>
    <row r="213">
      <c r="A213" s="115"/>
      <c r="B213" s="115"/>
      <c r="C213" s="115"/>
      <c r="D213" s="115"/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5"/>
      <c r="AG213" s="115"/>
      <c r="AH213" s="115"/>
      <c r="AI213" s="115"/>
      <c r="AJ213" s="115"/>
      <c r="AK213" s="115"/>
      <c r="AL213" s="115"/>
      <c r="AM213" s="115"/>
      <c r="AN213" s="115"/>
      <c r="AO213" s="115"/>
      <c r="AP213" s="115"/>
      <c r="AQ213" s="115"/>
      <c r="AR213" s="115"/>
      <c r="AS213" s="115"/>
      <c r="AT213" s="115"/>
      <c r="AU213" s="115"/>
      <c r="AV213" s="115"/>
    </row>
    <row r="214">
      <c r="A214" s="115"/>
      <c r="B214" s="115"/>
      <c r="C214" s="115"/>
      <c r="D214" s="115"/>
      <c r="E214" s="115"/>
      <c r="F214" s="115"/>
      <c r="G214" s="115"/>
      <c r="H214" s="115"/>
      <c r="I214" s="115"/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15"/>
      <c r="Z214" s="115"/>
      <c r="AA214" s="115"/>
      <c r="AB214" s="115"/>
      <c r="AC214" s="115"/>
      <c r="AD214" s="115"/>
      <c r="AE214" s="115"/>
      <c r="AF214" s="115"/>
      <c r="AG214" s="115"/>
      <c r="AH214" s="115"/>
      <c r="AI214" s="115"/>
      <c r="AJ214" s="115"/>
      <c r="AK214" s="115"/>
      <c r="AL214" s="115"/>
      <c r="AM214" s="115"/>
      <c r="AN214" s="115"/>
      <c r="AO214" s="115"/>
      <c r="AP214" s="115"/>
      <c r="AQ214" s="115"/>
      <c r="AR214" s="115"/>
      <c r="AS214" s="115"/>
      <c r="AT214" s="115"/>
      <c r="AU214" s="115"/>
      <c r="AV214" s="115"/>
    </row>
    <row r="215">
      <c r="A215" s="115"/>
      <c r="B215" s="115"/>
      <c r="C215" s="115"/>
      <c r="D215" s="115"/>
      <c r="E215" s="115"/>
      <c r="F215" s="115"/>
      <c r="G215" s="115"/>
      <c r="H215" s="115"/>
      <c r="I215" s="115"/>
      <c r="J215" s="115"/>
      <c r="K215" s="115"/>
      <c r="L215" s="115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  <c r="Y215" s="115"/>
      <c r="Z215" s="115"/>
      <c r="AA215" s="115"/>
      <c r="AB215" s="115"/>
      <c r="AC215" s="115"/>
      <c r="AD215" s="115"/>
      <c r="AE215" s="115"/>
      <c r="AF215" s="115"/>
      <c r="AG215" s="115"/>
      <c r="AH215" s="115"/>
      <c r="AI215" s="115"/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115"/>
    </row>
    <row r="216">
      <c r="A216" s="115"/>
      <c r="B216" s="115"/>
      <c r="C216" s="115"/>
      <c r="D216" s="115"/>
      <c r="E216" s="115"/>
      <c r="F216" s="115"/>
      <c r="G216" s="115"/>
      <c r="H216" s="115"/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  <c r="Z216" s="115"/>
      <c r="AA216" s="115"/>
      <c r="AB216" s="115"/>
      <c r="AC216" s="115"/>
      <c r="AD216" s="115"/>
      <c r="AE216" s="115"/>
      <c r="AF216" s="115"/>
      <c r="AG216" s="115"/>
      <c r="AH216" s="115"/>
      <c r="AI216" s="115"/>
      <c r="AJ216" s="115"/>
      <c r="AK216" s="115"/>
      <c r="AL216" s="115"/>
      <c r="AM216" s="115"/>
      <c r="AN216" s="115"/>
      <c r="AO216" s="115"/>
      <c r="AP216" s="115"/>
      <c r="AQ216" s="115"/>
      <c r="AR216" s="115"/>
      <c r="AS216" s="115"/>
      <c r="AT216" s="115"/>
      <c r="AU216" s="115"/>
      <c r="AV216" s="115"/>
    </row>
    <row r="217">
      <c r="A217" s="115"/>
      <c r="B217" s="115"/>
      <c r="C217" s="115"/>
      <c r="D217" s="115"/>
      <c r="E217" s="115"/>
      <c r="F217" s="115"/>
      <c r="G217" s="115"/>
      <c r="H217" s="115"/>
      <c r="I217" s="115"/>
      <c r="J217" s="115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  <c r="Y217" s="115"/>
      <c r="Z217" s="115"/>
      <c r="AA217" s="115"/>
      <c r="AB217" s="115"/>
      <c r="AC217" s="115"/>
      <c r="AD217" s="115"/>
      <c r="AE217" s="115"/>
      <c r="AF217" s="115"/>
      <c r="AG217" s="115"/>
      <c r="AH217" s="115"/>
      <c r="AI217" s="115"/>
      <c r="AJ217" s="115"/>
      <c r="AK217" s="115"/>
      <c r="AL217" s="115"/>
      <c r="AM217" s="115"/>
      <c r="AN217" s="115"/>
      <c r="AO217" s="115"/>
      <c r="AP217" s="115"/>
      <c r="AQ217" s="115"/>
      <c r="AR217" s="115"/>
      <c r="AS217" s="115"/>
      <c r="AT217" s="115"/>
      <c r="AU217" s="115"/>
      <c r="AV217" s="115"/>
    </row>
    <row r="218">
      <c r="A218" s="115"/>
      <c r="B218" s="115"/>
      <c r="C218" s="115"/>
      <c r="D218" s="115"/>
      <c r="E218" s="115"/>
      <c r="F218" s="115"/>
      <c r="G218" s="115"/>
      <c r="H218" s="115"/>
      <c r="I218" s="115"/>
      <c r="J218" s="115"/>
      <c r="K218" s="115"/>
      <c r="L218" s="115"/>
      <c r="M218" s="115"/>
      <c r="N218" s="115"/>
      <c r="O218" s="115"/>
      <c r="P218" s="115"/>
      <c r="Q218" s="115"/>
      <c r="R218" s="115"/>
      <c r="S218" s="115"/>
      <c r="T218" s="115"/>
      <c r="U218" s="115"/>
      <c r="V218" s="115"/>
      <c r="W218" s="115"/>
      <c r="X218" s="115"/>
      <c r="Y218" s="115"/>
      <c r="Z218" s="115"/>
      <c r="AA218" s="115"/>
      <c r="AB218" s="115"/>
      <c r="AC218" s="115"/>
      <c r="AD218" s="115"/>
      <c r="AE218" s="115"/>
      <c r="AF218" s="115"/>
      <c r="AG218" s="115"/>
      <c r="AH218" s="115"/>
      <c r="AI218" s="115"/>
      <c r="AJ218" s="115"/>
      <c r="AK218" s="115"/>
      <c r="AL218" s="115"/>
      <c r="AM218" s="115"/>
      <c r="AN218" s="115"/>
      <c r="AO218" s="115"/>
      <c r="AP218" s="115"/>
      <c r="AQ218" s="115"/>
      <c r="AR218" s="115"/>
      <c r="AS218" s="115"/>
      <c r="AT218" s="115"/>
      <c r="AU218" s="115"/>
      <c r="AV218" s="115"/>
    </row>
    <row r="219">
      <c r="A219" s="115"/>
      <c r="B219" s="115"/>
      <c r="C219" s="115"/>
      <c r="D219" s="115"/>
      <c r="E219" s="115"/>
      <c r="F219" s="115"/>
      <c r="G219" s="115"/>
      <c r="H219" s="115"/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  <c r="Z219" s="115"/>
      <c r="AA219" s="115"/>
      <c r="AB219" s="115"/>
      <c r="AC219" s="115"/>
      <c r="AD219" s="115"/>
      <c r="AE219" s="115"/>
      <c r="AF219" s="115"/>
      <c r="AG219" s="115"/>
      <c r="AH219" s="115"/>
      <c r="AI219" s="115"/>
      <c r="AJ219" s="115"/>
      <c r="AK219" s="115"/>
      <c r="AL219" s="115"/>
      <c r="AM219" s="115"/>
      <c r="AN219" s="115"/>
      <c r="AO219" s="115"/>
      <c r="AP219" s="115"/>
      <c r="AQ219" s="115"/>
      <c r="AR219" s="115"/>
      <c r="AS219" s="115"/>
      <c r="AT219" s="115"/>
      <c r="AU219" s="115"/>
      <c r="AV219" s="115"/>
    </row>
    <row r="220">
      <c r="A220" s="115"/>
      <c r="B220" s="115"/>
      <c r="C220" s="115"/>
      <c r="D220" s="115"/>
      <c r="E220" s="115"/>
      <c r="F220" s="115"/>
      <c r="G220" s="115"/>
      <c r="H220" s="115"/>
      <c r="I220" s="115"/>
      <c r="J220" s="115"/>
      <c r="K220" s="115"/>
      <c r="L220" s="115"/>
      <c r="M220" s="115"/>
      <c r="N220" s="115"/>
      <c r="O220" s="115"/>
      <c r="P220" s="115"/>
      <c r="Q220" s="115"/>
      <c r="R220" s="115"/>
      <c r="S220" s="115"/>
      <c r="T220" s="115"/>
      <c r="U220" s="115"/>
      <c r="V220" s="115"/>
      <c r="W220" s="115"/>
      <c r="X220" s="115"/>
      <c r="Y220" s="115"/>
      <c r="Z220" s="115"/>
      <c r="AA220" s="115"/>
      <c r="AB220" s="115"/>
      <c r="AC220" s="115"/>
      <c r="AD220" s="115"/>
      <c r="AE220" s="115"/>
      <c r="AF220" s="115"/>
      <c r="AG220" s="115"/>
      <c r="AH220" s="115"/>
      <c r="AI220" s="115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115"/>
      <c r="AT220" s="115"/>
      <c r="AU220" s="115"/>
      <c r="AV220" s="115"/>
    </row>
    <row r="221">
      <c r="A221" s="115"/>
      <c r="B221" s="115"/>
      <c r="C221" s="115"/>
      <c r="D221" s="115"/>
      <c r="E221" s="115"/>
      <c r="F221" s="115"/>
      <c r="G221" s="115"/>
      <c r="H221" s="115"/>
      <c r="I221" s="115"/>
      <c r="J221" s="115"/>
      <c r="K221" s="115"/>
      <c r="L221" s="115"/>
      <c r="M221" s="115"/>
      <c r="N221" s="115"/>
      <c r="O221" s="115"/>
      <c r="P221" s="115"/>
      <c r="Q221" s="115"/>
      <c r="R221" s="115"/>
      <c r="S221" s="115"/>
      <c r="T221" s="115"/>
      <c r="U221" s="115"/>
      <c r="V221" s="115"/>
      <c r="W221" s="115"/>
      <c r="X221" s="115"/>
      <c r="Y221" s="115"/>
      <c r="Z221" s="115"/>
      <c r="AA221" s="115"/>
      <c r="AB221" s="115"/>
      <c r="AC221" s="115"/>
      <c r="AD221" s="115"/>
      <c r="AE221" s="115"/>
      <c r="AF221" s="115"/>
      <c r="AG221" s="115"/>
      <c r="AH221" s="115"/>
      <c r="AI221" s="115"/>
      <c r="AJ221" s="115"/>
      <c r="AK221" s="115"/>
      <c r="AL221" s="115"/>
      <c r="AM221" s="115"/>
      <c r="AN221" s="115"/>
      <c r="AO221" s="115"/>
      <c r="AP221" s="115"/>
      <c r="AQ221" s="115"/>
      <c r="AR221" s="115"/>
      <c r="AS221" s="115"/>
      <c r="AT221" s="115"/>
      <c r="AU221" s="115"/>
      <c r="AV221" s="115"/>
    </row>
    <row r="222">
      <c r="A222" s="115"/>
      <c r="B222" s="115"/>
      <c r="C222" s="115"/>
      <c r="D222" s="115"/>
      <c r="E222" s="115"/>
      <c r="F222" s="115"/>
      <c r="G222" s="115"/>
      <c r="H222" s="115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  <c r="Z222" s="115"/>
      <c r="AA222" s="115"/>
      <c r="AB222" s="115"/>
      <c r="AC222" s="115"/>
      <c r="AD222" s="115"/>
      <c r="AE222" s="115"/>
      <c r="AF222" s="115"/>
      <c r="AG222" s="115"/>
      <c r="AH222" s="115"/>
      <c r="AI222" s="115"/>
      <c r="AJ222" s="115"/>
      <c r="AK222" s="115"/>
      <c r="AL222" s="115"/>
      <c r="AM222" s="115"/>
      <c r="AN222" s="115"/>
      <c r="AO222" s="115"/>
      <c r="AP222" s="115"/>
      <c r="AQ222" s="115"/>
      <c r="AR222" s="115"/>
      <c r="AS222" s="115"/>
      <c r="AT222" s="115"/>
      <c r="AU222" s="115"/>
      <c r="AV222" s="115"/>
    </row>
    <row r="223">
      <c r="A223" s="115"/>
      <c r="B223" s="115"/>
      <c r="C223" s="115"/>
      <c r="D223" s="115"/>
      <c r="E223" s="115"/>
      <c r="F223" s="115"/>
      <c r="G223" s="115"/>
      <c r="H223" s="115"/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  <c r="AA223" s="115"/>
      <c r="AB223" s="115"/>
      <c r="AC223" s="115"/>
      <c r="AD223" s="115"/>
      <c r="AE223" s="115"/>
      <c r="AF223" s="115"/>
      <c r="AG223" s="115"/>
      <c r="AH223" s="115"/>
      <c r="AI223" s="115"/>
      <c r="AJ223" s="115"/>
      <c r="AK223" s="115"/>
      <c r="AL223" s="115"/>
      <c r="AM223" s="115"/>
      <c r="AN223" s="115"/>
      <c r="AO223" s="115"/>
      <c r="AP223" s="115"/>
      <c r="AQ223" s="115"/>
      <c r="AR223" s="115"/>
      <c r="AS223" s="115"/>
      <c r="AT223" s="115"/>
      <c r="AU223" s="115"/>
      <c r="AV223" s="115"/>
    </row>
    <row r="224">
      <c r="A224" s="115"/>
      <c r="B224" s="115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  <c r="AA224" s="115"/>
      <c r="AB224" s="115"/>
      <c r="AC224" s="115"/>
      <c r="AD224" s="115"/>
      <c r="AE224" s="115"/>
      <c r="AF224" s="115"/>
      <c r="AG224" s="115"/>
      <c r="AH224" s="115"/>
      <c r="AI224" s="115"/>
      <c r="AJ224" s="115"/>
      <c r="AK224" s="115"/>
      <c r="AL224" s="115"/>
      <c r="AM224" s="115"/>
      <c r="AN224" s="115"/>
      <c r="AO224" s="115"/>
      <c r="AP224" s="115"/>
      <c r="AQ224" s="115"/>
      <c r="AR224" s="115"/>
      <c r="AS224" s="115"/>
      <c r="AT224" s="115"/>
      <c r="AU224" s="115"/>
      <c r="AV224" s="115"/>
    </row>
    <row r="225">
      <c r="A225" s="115"/>
      <c r="B225" s="115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  <c r="AA225" s="115"/>
      <c r="AB225" s="115"/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115"/>
      <c r="AR225" s="115"/>
      <c r="AS225" s="115"/>
      <c r="AT225" s="115"/>
      <c r="AU225" s="115"/>
      <c r="AV225" s="115"/>
    </row>
    <row r="226">
      <c r="A226" s="115"/>
      <c r="B226" s="115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  <c r="AA226" s="115"/>
      <c r="AB226" s="115"/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115"/>
      <c r="AR226" s="115"/>
      <c r="AS226" s="115"/>
      <c r="AT226" s="115"/>
      <c r="AU226" s="115"/>
      <c r="AV226" s="115"/>
    </row>
    <row r="227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</row>
    <row r="228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  <c r="AA228" s="115"/>
      <c r="AB228" s="115"/>
      <c r="AC228" s="115"/>
      <c r="AD228" s="115"/>
      <c r="AE228" s="115"/>
      <c r="AF228" s="115"/>
      <c r="AG228" s="115"/>
      <c r="AH228" s="115"/>
      <c r="AI228" s="115"/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115"/>
    </row>
    <row r="229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  <c r="AA229" s="115"/>
      <c r="AB229" s="115"/>
      <c r="AC229" s="115"/>
      <c r="AD229" s="115"/>
      <c r="AE229" s="115"/>
      <c r="AF229" s="115"/>
      <c r="AG229" s="115"/>
      <c r="AH229" s="115"/>
      <c r="AI229" s="115"/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115"/>
    </row>
    <row r="230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  <c r="AA230" s="115"/>
      <c r="AB230" s="115"/>
      <c r="AC230" s="115"/>
      <c r="AD230" s="115"/>
      <c r="AE230" s="115"/>
      <c r="AF230" s="115"/>
      <c r="AG230" s="115"/>
      <c r="AH230" s="115"/>
      <c r="AI230" s="115"/>
      <c r="AJ230" s="115"/>
      <c r="AK230" s="115"/>
      <c r="AL230" s="115"/>
      <c r="AM230" s="115"/>
      <c r="AN230" s="115"/>
      <c r="AO230" s="115"/>
      <c r="AP230" s="115"/>
      <c r="AQ230" s="115"/>
      <c r="AR230" s="115"/>
      <c r="AS230" s="115"/>
      <c r="AT230" s="115"/>
      <c r="AU230" s="115"/>
      <c r="AV230" s="115"/>
    </row>
    <row r="231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  <c r="AA231" s="115"/>
      <c r="AB231" s="115"/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115"/>
      <c r="AR231" s="115"/>
      <c r="AS231" s="115"/>
      <c r="AT231" s="115"/>
      <c r="AU231" s="115"/>
      <c r="AV231" s="115"/>
    </row>
    <row r="232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  <c r="AA232" s="115"/>
      <c r="AB232" s="115"/>
      <c r="AC232" s="115"/>
      <c r="AD232" s="115"/>
      <c r="AE232" s="115"/>
      <c r="AF232" s="115"/>
      <c r="AG232" s="115"/>
      <c r="AH232" s="115"/>
      <c r="AI232" s="115"/>
      <c r="AJ232" s="115"/>
      <c r="AK232" s="115"/>
      <c r="AL232" s="115"/>
      <c r="AM232" s="115"/>
      <c r="AN232" s="115"/>
      <c r="AO232" s="115"/>
      <c r="AP232" s="115"/>
      <c r="AQ232" s="115"/>
      <c r="AR232" s="115"/>
      <c r="AS232" s="115"/>
      <c r="AT232" s="115"/>
      <c r="AU232" s="115"/>
      <c r="AV232" s="115"/>
    </row>
    <row r="233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  <c r="AA233" s="115"/>
      <c r="AB233" s="115"/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115"/>
      <c r="AR233" s="115"/>
      <c r="AS233" s="115"/>
      <c r="AT233" s="115"/>
      <c r="AU233" s="115"/>
      <c r="AV233" s="115"/>
    </row>
    <row r="234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  <c r="AA234" s="115"/>
      <c r="AB234" s="115"/>
      <c r="AC234" s="115"/>
      <c r="AD234" s="115"/>
      <c r="AE234" s="115"/>
      <c r="AF234" s="115"/>
      <c r="AG234" s="115"/>
      <c r="AH234" s="115"/>
      <c r="AI234" s="115"/>
      <c r="AJ234" s="115"/>
      <c r="AK234" s="115"/>
      <c r="AL234" s="115"/>
      <c r="AM234" s="115"/>
      <c r="AN234" s="115"/>
      <c r="AO234" s="115"/>
      <c r="AP234" s="115"/>
      <c r="AQ234" s="115"/>
      <c r="AR234" s="115"/>
      <c r="AS234" s="115"/>
      <c r="AT234" s="115"/>
      <c r="AU234" s="115"/>
      <c r="AV234" s="115"/>
    </row>
    <row r="235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  <c r="AA235" s="115"/>
      <c r="AB235" s="115"/>
      <c r="AC235" s="115"/>
      <c r="AD235" s="115"/>
      <c r="AE235" s="115"/>
      <c r="AF235" s="115"/>
      <c r="AG235" s="115"/>
      <c r="AH235" s="115"/>
      <c r="AI235" s="115"/>
      <c r="AJ235" s="115"/>
      <c r="AK235" s="115"/>
      <c r="AL235" s="115"/>
      <c r="AM235" s="115"/>
      <c r="AN235" s="115"/>
      <c r="AO235" s="115"/>
      <c r="AP235" s="115"/>
      <c r="AQ235" s="115"/>
      <c r="AR235" s="115"/>
      <c r="AS235" s="115"/>
      <c r="AT235" s="115"/>
      <c r="AU235" s="115"/>
      <c r="AV235" s="115"/>
    </row>
    <row r="236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  <c r="AA236" s="115"/>
      <c r="AB236" s="115"/>
      <c r="AC236" s="115"/>
      <c r="AD236" s="115"/>
      <c r="AE236" s="115"/>
      <c r="AF236" s="115"/>
      <c r="AG236" s="115"/>
      <c r="AH236" s="115"/>
      <c r="AI236" s="115"/>
      <c r="AJ236" s="115"/>
      <c r="AK236" s="115"/>
      <c r="AL236" s="115"/>
      <c r="AM236" s="115"/>
      <c r="AN236" s="115"/>
      <c r="AO236" s="115"/>
      <c r="AP236" s="115"/>
      <c r="AQ236" s="115"/>
      <c r="AR236" s="115"/>
      <c r="AS236" s="115"/>
      <c r="AT236" s="115"/>
      <c r="AU236" s="115"/>
      <c r="AV236" s="115"/>
    </row>
    <row r="237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  <c r="AA237" s="115"/>
      <c r="AB237" s="115"/>
      <c r="AC237" s="115"/>
      <c r="AD237" s="115"/>
      <c r="AE237" s="115"/>
      <c r="AF237" s="115"/>
      <c r="AG237" s="115"/>
      <c r="AH237" s="115"/>
      <c r="AI237" s="115"/>
      <c r="AJ237" s="115"/>
      <c r="AK237" s="115"/>
      <c r="AL237" s="115"/>
      <c r="AM237" s="115"/>
      <c r="AN237" s="115"/>
      <c r="AO237" s="115"/>
      <c r="AP237" s="115"/>
      <c r="AQ237" s="115"/>
      <c r="AR237" s="115"/>
      <c r="AS237" s="115"/>
      <c r="AT237" s="115"/>
      <c r="AU237" s="115"/>
      <c r="AV237" s="115"/>
    </row>
    <row r="238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  <c r="AA238" s="115"/>
      <c r="AB238" s="115"/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115"/>
      <c r="AR238" s="115"/>
      <c r="AS238" s="115"/>
      <c r="AT238" s="115"/>
      <c r="AU238" s="115"/>
      <c r="AV238" s="115"/>
    </row>
    <row r="239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  <c r="AA239" s="115"/>
      <c r="AB239" s="115"/>
      <c r="AC239" s="115"/>
      <c r="AD239" s="115"/>
      <c r="AE239" s="115"/>
      <c r="AF239" s="115"/>
      <c r="AG239" s="115"/>
      <c r="AH239" s="115"/>
      <c r="AI239" s="115"/>
      <c r="AJ239" s="115"/>
      <c r="AK239" s="115"/>
      <c r="AL239" s="115"/>
      <c r="AM239" s="115"/>
      <c r="AN239" s="115"/>
      <c r="AO239" s="115"/>
      <c r="AP239" s="115"/>
      <c r="AQ239" s="115"/>
      <c r="AR239" s="115"/>
      <c r="AS239" s="115"/>
      <c r="AT239" s="115"/>
      <c r="AU239" s="115"/>
      <c r="AV239" s="115"/>
    </row>
    <row r="240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  <c r="AA240" s="115"/>
      <c r="AB240" s="115"/>
      <c r="AC240" s="115"/>
      <c r="AD240" s="115"/>
      <c r="AE240" s="115"/>
      <c r="AF240" s="115"/>
      <c r="AG240" s="115"/>
      <c r="AH240" s="115"/>
      <c r="AI240" s="115"/>
      <c r="AJ240" s="115"/>
      <c r="AK240" s="115"/>
      <c r="AL240" s="115"/>
      <c r="AM240" s="115"/>
      <c r="AN240" s="115"/>
      <c r="AO240" s="115"/>
      <c r="AP240" s="115"/>
      <c r="AQ240" s="115"/>
      <c r="AR240" s="115"/>
      <c r="AS240" s="115"/>
      <c r="AT240" s="115"/>
      <c r="AU240" s="115"/>
      <c r="AV240" s="115"/>
    </row>
    <row r="241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  <c r="AA241" s="115"/>
      <c r="AB241" s="115"/>
      <c r="AC241" s="115"/>
      <c r="AD241" s="115"/>
      <c r="AE241" s="115"/>
      <c r="AF241" s="115"/>
      <c r="AG241" s="115"/>
      <c r="AH241" s="115"/>
      <c r="AI241" s="115"/>
      <c r="AJ241" s="115"/>
      <c r="AK241" s="115"/>
      <c r="AL241" s="115"/>
      <c r="AM241" s="115"/>
      <c r="AN241" s="115"/>
      <c r="AO241" s="115"/>
      <c r="AP241" s="115"/>
      <c r="AQ241" s="115"/>
      <c r="AR241" s="115"/>
      <c r="AS241" s="115"/>
      <c r="AT241" s="115"/>
      <c r="AU241" s="115"/>
      <c r="AV241" s="115"/>
    </row>
    <row r="242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  <c r="AA242" s="115"/>
      <c r="AB242" s="115"/>
      <c r="AC242" s="115"/>
      <c r="AD242" s="115"/>
      <c r="AE242" s="115"/>
      <c r="AF242" s="115"/>
      <c r="AG242" s="115"/>
      <c r="AH242" s="115"/>
      <c r="AI242" s="115"/>
      <c r="AJ242" s="115"/>
      <c r="AK242" s="115"/>
      <c r="AL242" s="115"/>
      <c r="AM242" s="115"/>
      <c r="AN242" s="115"/>
      <c r="AO242" s="115"/>
      <c r="AP242" s="115"/>
      <c r="AQ242" s="115"/>
      <c r="AR242" s="115"/>
      <c r="AS242" s="115"/>
      <c r="AT242" s="115"/>
      <c r="AU242" s="115"/>
      <c r="AV242" s="115"/>
    </row>
    <row r="243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  <c r="AA243" s="115"/>
      <c r="AB243" s="115"/>
      <c r="AC243" s="115"/>
      <c r="AD243" s="115"/>
      <c r="AE243" s="115"/>
      <c r="AF243" s="115"/>
      <c r="AG243" s="115"/>
      <c r="AH243" s="115"/>
      <c r="AI243" s="115"/>
      <c r="AJ243" s="115"/>
      <c r="AK243" s="115"/>
      <c r="AL243" s="115"/>
      <c r="AM243" s="115"/>
      <c r="AN243" s="115"/>
      <c r="AO243" s="115"/>
      <c r="AP243" s="115"/>
      <c r="AQ243" s="115"/>
      <c r="AR243" s="115"/>
      <c r="AS243" s="115"/>
      <c r="AT243" s="115"/>
      <c r="AU243" s="115"/>
      <c r="AV243" s="115"/>
    </row>
    <row r="244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  <c r="AA244" s="115"/>
      <c r="AB244" s="115"/>
      <c r="AC244" s="115"/>
      <c r="AD244" s="115"/>
      <c r="AE244" s="115"/>
      <c r="AF244" s="115"/>
      <c r="AG244" s="115"/>
      <c r="AH244" s="115"/>
      <c r="AI244" s="115"/>
      <c r="AJ244" s="115"/>
      <c r="AK244" s="115"/>
      <c r="AL244" s="115"/>
      <c r="AM244" s="115"/>
      <c r="AN244" s="115"/>
      <c r="AO244" s="115"/>
      <c r="AP244" s="115"/>
      <c r="AQ244" s="115"/>
      <c r="AR244" s="115"/>
      <c r="AS244" s="115"/>
      <c r="AT244" s="115"/>
      <c r="AU244" s="115"/>
      <c r="AV244" s="115"/>
    </row>
    <row r="245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  <c r="AA245" s="115"/>
      <c r="AB245" s="115"/>
      <c r="AC245" s="115"/>
      <c r="AD245" s="115"/>
      <c r="AE245" s="115"/>
      <c r="AF245" s="115"/>
      <c r="AG245" s="115"/>
      <c r="AH245" s="115"/>
      <c r="AI245" s="115"/>
      <c r="AJ245" s="115"/>
      <c r="AK245" s="115"/>
      <c r="AL245" s="115"/>
      <c r="AM245" s="115"/>
      <c r="AN245" s="115"/>
      <c r="AO245" s="115"/>
      <c r="AP245" s="115"/>
      <c r="AQ245" s="115"/>
      <c r="AR245" s="115"/>
      <c r="AS245" s="115"/>
      <c r="AT245" s="115"/>
      <c r="AU245" s="115"/>
      <c r="AV245" s="115"/>
    </row>
    <row r="246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  <c r="AA246" s="115"/>
      <c r="AB246" s="115"/>
      <c r="AC246" s="115"/>
      <c r="AD246" s="115"/>
      <c r="AE246" s="115"/>
      <c r="AF246" s="115"/>
      <c r="AG246" s="115"/>
      <c r="AH246" s="115"/>
      <c r="AI246" s="115"/>
      <c r="AJ246" s="115"/>
      <c r="AK246" s="115"/>
      <c r="AL246" s="115"/>
      <c r="AM246" s="115"/>
      <c r="AN246" s="115"/>
      <c r="AO246" s="115"/>
      <c r="AP246" s="115"/>
      <c r="AQ246" s="115"/>
      <c r="AR246" s="115"/>
      <c r="AS246" s="115"/>
      <c r="AT246" s="115"/>
      <c r="AU246" s="115"/>
      <c r="AV246" s="115"/>
    </row>
    <row r="247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  <c r="AA247" s="115"/>
      <c r="AB247" s="115"/>
      <c r="AC247" s="115"/>
      <c r="AD247" s="115"/>
      <c r="AE247" s="115"/>
      <c r="AF247" s="115"/>
      <c r="AG247" s="115"/>
      <c r="AH247" s="115"/>
      <c r="AI247" s="115"/>
      <c r="AJ247" s="115"/>
      <c r="AK247" s="115"/>
      <c r="AL247" s="115"/>
      <c r="AM247" s="115"/>
      <c r="AN247" s="115"/>
      <c r="AO247" s="115"/>
      <c r="AP247" s="115"/>
      <c r="AQ247" s="115"/>
      <c r="AR247" s="115"/>
      <c r="AS247" s="115"/>
      <c r="AT247" s="115"/>
      <c r="AU247" s="115"/>
      <c r="AV247" s="115"/>
    </row>
    <row r="248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  <c r="AA248" s="115"/>
      <c r="AB248" s="115"/>
      <c r="AC248" s="115"/>
      <c r="AD248" s="115"/>
      <c r="AE248" s="115"/>
      <c r="AF248" s="115"/>
      <c r="AG248" s="115"/>
      <c r="AH248" s="115"/>
      <c r="AI248" s="115"/>
      <c r="AJ248" s="115"/>
      <c r="AK248" s="115"/>
      <c r="AL248" s="115"/>
      <c r="AM248" s="115"/>
      <c r="AN248" s="115"/>
      <c r="AO248" s="115"/>
      <c r="AP248" s="115"/>
      <c r="AQ248" s="115"/>
      <c r="AR248" s="115"/>
      <c r="AS248" s="115"/>
      <c r="AT248" s="115"/>
      <c r="AU248" s="115"/>
      <c r="AV248" s="115"/>
    </row>
    <row r="249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  <c r="AA249" s="115"/>
      <c r="AB249" s="115"/>
      <c r="AC249" s="115"/>
      <c r="AD249" s="115"/>
      <c r="AE249" s="115"/>
      <c r="AF249" s="115"/>
      <c r="AG249" s="115"/>
      <c r="AH249" s="115"/>
      <c r="AI249" s="115"/>
      <c r="AJ249" s="115"/>
      <c r="AK249" s="115"/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115"/>
    </row>
    <row r="250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  <c r="AA250" s="115"/>
      <c r="AB250" s="115"/>
      <c r="AC250" s="115"/>
      <c r="AD250" s="115"/>
      <c r="AE250" s="115"/>
      <c r="AF250" s="115"/>
      <c r="AG250" s="115"/>
      <c r="AH250" s="115"/>
      <c r="AI250" s="115"/>
      <c r="AJ250" s="115"/>
      <c r="AK250" s="115"/>
      <c r="AL250" s="115"/>
      <c r="AM250" s="115"/>
      <c r="AN250" s="115"/>
      <c r="AO250" s="115"/>
      <c r="AP250" s="115"/>
      <c r="AQ250" s="115"/>
      <c r="AR250" s="115"/>
      <c r="AS250" s="115"/>
      <c r="AT250" s="115"/>
      <c r="AU250" s="115"/>
      <c r="AV250" s="115"/>
    </row>
    <row r="251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  <c r="AA251" s="115"/>
      <c r="AB251" s="115"/>
      <c r="AC251" s="115"/>
      <c r="AD251" s="115"/>
      <c r="AE251" s="115"/>
      <c r="AF251" s="115"/>
      <c r="AG251" s="115"/>
      <c r="AH251" s="115"/>
      <c r="AI251" s="115"/>
      <c r="AJ251" s="115"/>
      <c r="AK251" s="115"/>
      <c r="AL251" s="115"/>
      <c r="AM251" s="115"/>
      <c r="AN251" s="115"/>
      <c r="AO251" s="115"/>
      <c r="AP251" s="115"/>
      <c r="AQ251" s="115"/>
      <c r="AR251" s="115"/>
      <c r="AS251" s="115"/>
      <c r="AT251" s="115"/>
      <c r="AU251" s="115"/>
      <c r="AV251" s="115"/>
    </row>
    <row r="252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  <c r="AA252" s="115"/>
      <c r="AB252" s="115"/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115"/>
      <c r="AP252" s="115"/>
      <c r="AQ252" s="115"/>
      <c r="AR252" s="115"/>
      <c r="AS252" s="115"/>
      <c r="AT252" s="115"/>
      <c r="AU252" s="115"/>
      <c r="AV252" s="115"/>
    </row>
    <row r="253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  <c r="AA253" s="115"/>
      <c r="AB253" s="115"/>
      <c r="AC253" s="115"/>
      <c r="AD253" s="115"/>
      <c r="AE253" s="115"/>
      <c r="AF253" s="115"/>
      <c r="AG253" s="115"/>
      <c r="AH253" s="115"/>
      <c r="AI253" s="115"/>
      <c r="AJ253" s="115"/>
      <c r="AK253" s="115"/>
      <c r="AL253" s="115"/>
      <c r="AM253" s="115"/>
      <c r="AN253" s="115"/>
      <c r="AO253" s="115"/>
      <c r="AP253" s="115"/>
      <c r="AQ253" s="115"/>
      <c r="AR253" s="115"/>
      <c r="AS253" s="115"/>
      <c r="AT253" s="115"/>
      <c r="AU253" s="115"/>
      <c r="AV253" s="115"/>
    </row>
    <row r="254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  <c r="AA254" s="115"/>
      <c r="AB254" s="115"/>
      <c r="AC254" s="115"/>
      <c r="AD254" s="115"/>
      <c r="AE254" s="115"/>
      <c r="AF254" s="115"/>
      <c r="AG254" s="115"/>
      <c r="AH254" s="115"/>
      <c r="AI254" s="115"/>
      <c r="AJ254" s="115"/>
      <c r="AK254" s="115"/>
      <c r="AL254" s="115"/>
      <c r="AM254" s="115"/>
      <c r="AN254" s="115"/>
      <c r="AO254" s="115"/>
      <c r="AP254" s="115"/>
      <c r="AQ254" s="115"/>
      <c r="AR254" s="115"/>
      <c r="AS254" s="115"/>
      <c r="AT254" s="115"/>
      <c r="AU254" s="115"/>
      <c r="AV254" s="115"/>
    </row>
    <row r="255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  <c r="AA255" s="115"/>
      <c r="AB255" s="115"/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115"/>
    </row>
    <row r="256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  <c r="AA256" s="115"/>
      <c r="AB256" s="115"/>
      <c r="AC256" s="115"/>
      <c r="AD256" s="115"/>
      <c r="AE256" s="115"/>
      <c r="AF256" s="115"/>
      <c r="AG256" s="115"/>
      <c r="AH256" s="115"/>
      <c r="AI256" s="115"/>
      <c r="AJ256" s="115"/>
      <c r="AK256" s="115"/>
      <c r="AL256" s="115"/>
      <c r="AM256" s="115"/>
      <c r="AN256" s="115"/>
      <c r="AO256" s="115"/>
      <c r="AP256" s="115"/>
      <c r="AQ256" s="115"/>
      <c r="AR256" s="115"/>
      <c r="AS256" s="115"/>
      <c r="AT256" s="115"/>
      <c r="AU256" s="115"/>
      <c r="AV256" s="115"/>
    </row>
    <row r="257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  <c r="AA257" s="115"/>
      <c r="AB257" s="115"/>
      <c r="AC257" s="115"/>
      <c r="AD257" s="115"/>
      <c r="AE257" s="115"/>
      <c r="AF257" s="115"/>
      <c r="AG257" s="115"/>
      <c r="AH257" s="115"/>
      <c r="AI257" s="115"/>
      <c r="AJ257" s="115"/>
      <c r="AK257" s="115"/>
      <c r="AL257" s="115"/>
      <c r="AM257" s="115"/>
      <c r="AN257" s="115"/>
      <c r="AO257" s="115"/>
      <c r="AP257" s="115"/>
      <c r="AQ257" s="115"/>
      <c r="AR257" s="115"/>
      <c r="AS257" s="115"/>
      <c r="AT257" s="115"/>
      <c r="AU257" s="115"/>
      <c r="AV257" s="115"/>
    </row>
    <row r="258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  <c r="AA258" s="115"/>
      <c r="AB258" s="115"/>
      <c r="AC258" s="115"/>
      <c r="AD258" s="115"/>
      <c r="AE258" s="115"/>
      <c r="AF258" s="115"/>
      <c r="AG258" s="115"/>
      <c r="AH258" s="115"/>
      <c r="AI258" s="115"/>
      <c r="AJ258" s="115"/>
      <c r="AK258" s="115"/>
      <c r="AL258" s="115"/>
      <c r="AM258" s="115"/>
      <c r="AN258" s="115"/>
      <c r="AO258" s="115"/>
      <c r="AP258" s="115"/>
      <c r="AQ258" s="115"/>
      <c r="AR258" s="115"/>
      <c r="AS258" s="115"/>
      <c r="AT258" s="115"/>
      <c r="AU258" s="115"/>
      <c r="AV258" s="115"/>
    </row>
    <row r="259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  <c r="AA259" s="115"/>
      <c r="AB259" s="115"/>
      <c r="AC259" s="115"/>
      <c r="AD259" s="115"/>
      <c r="AE259" s="115"/>
      <c r="AF259" s="115"/>
      <c r="AG259" s="115"/>
      <c r="AH259" s="115"/>
      <c r="AI259" s="115"/>
      <c r="AJ259" s="115"/>
      <c r="AK259" s="115"/>
      <c r="AL259" s="115"/>
      <c r="AM259" s="115"/>
      <c r="AN259" s="115"/>
      <c r="AO259" s="115"/>
      <c r="AP259" s="115"/>
      <c r="AQ259" s="115"/>
      <c r="AR259" s="115"/>
      <c r="AS259" s="115"/>
      <c r="AT259" s="115"/>
      <c r="AU259" s="115"/>
      <c r="AV259" s="115"/>
    </row>
    <row r="260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  <c r="AA260" s="115"/>
      <c r="AB260" s="115"/>
      <c r="AC260" s="115"/>
      <c r="AD260" s="115"/>
      <c r="AE260" s="115"/>
      <c r="AF260" s="115"/>
      <c r="AG260" s="115"/>
      <c r="AH260" s="115"/>
      <c r="AI260" s="115"/>
      <c r="AJ260" s="115"/>
      <c r="AK260" s="115"/>
      <c r="AL260" s="115"/>
      <c r="AM260" s="115"/>
      <c r="AN260" s="115"/>
      <c r="AO260" s="115"/>
      <c r="AP260" s="115"/>
      <c r="AQ260" s="115"/>
      <c r="AR260" s="115"/>
      <c r="AS260" s="115"/>
      <c r="AT260" s="115"/>
      <c r="AU260" s="115"/>
      <c r="AV260" s="115"/>
    </row>
    <row r="261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  <c r="AA261" s="115"/>
      <c r="AB261" s="115"/>
      <c r="AC261" s="115"/>
      <c r="AD261" s="115"/>
      <c r="AE261" s="115"/>
      <c r="AF261" s="115"/>
      <c r="AG261" s="115"/>
      <c r="AH261" s="115"/>
      <c r="AI261" s="115"/>
      <c r="AJ261" s="115"/>
      <c r="AK261" s="115"/>
      <c r="AL261" s="115"/>
      <c r="AM261" s="115"/>
      <c r="AN261" s="115"/>
      <c r="AO261" s="115"/>
      <c r="AP261" s="115"/>
      <c r="AQ261" s="115"/>
      <c r="AR261" s="115"/>
      <c r="AS261" s="115"/>
      <c r="AT261" s="115"/>
      <c r="AU261" s="115"/>
      <c r="AV261" s="115"/>
    </row>
    <row r="262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  <c r="AA262" s="115"/>
      <c r="AB262" s="115"/>
      <c r="AC262" s="115"/>
      <c r="AD262" s="115"/>
      <c r="AE262" s="115"/>
      <c r="AF262" s="115"/>
      <c r="AG262" s="115"/>
      <c r="AH262" s="115"/>
      <c r="AI262" s="115"/>
      <c r="AJ262" s="115"/>
      <c r="AK262" s="115"/>
      <c r="AL262" s="115"/>
      <c r="AM262" s="115"/>
      <c r="AN262" s="115"/>
      <c r="AO262" s="115"/>
      <c r="AP262" s="115"/>
      <c r="AQ262" s="115"/>
      <c r="AR262" s="115"/>
      <c r="AS262" s="115"/>
      <c r="AT262" s="115"/>
      <c r="AU262" s="115"/>
      <c r="AV262" s="115"/>
    </row>
    <row r="263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  <c r="AA263" s="115"/>
      <c r="AB263" s="115"/>
      <c r="AC263" s="115"/>
      <c r="AD263" s="115"/>
      <c r="AE263" s="115"/>
      <c r="AF263" s="115"/>
      <c r="AG263" s="115"/>
      <c r="AH263" s="115"/>
      <c r="AI263" s="115"/>
      <c r="AJ263" s="115"/>
      <c r="AK263" s="115"/>
      <c r="AL263" s="115"/>
      <c r="AM263" s="115"/>
      <c r="AN263" s="115"/>
      <c r="AO263" s="115"/>
      <c r="AP263" s="115"/>
      <c r="AQ263" s="115"/>
      <c r="AR263" s="115"/>
      <c r="AS263" s="115"/>
      <c r="AT263" s="115"/>
      <c r="AU263" s="115"/>
      <c r="AV263" s="115"/>
    </row>
    <row r="264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  <c r="AA264" s="115"/>
      <c r="AB264" s="115"/>
      <c r="AC264" s="115"/>
      <c r="AD264" s="115"/>
      <c r="AE264" s="115"/>
      <c r="AF264" s="115"/>
      <c r="AG264" s="115"/>
      <c r="AH264" s="115"/>
      <c r="AI264" s="115"/>
      <c r="AJ264" s="115"/>
      <c r="AK264" s="115"/>
      <c r="AL264" s="115"/>
      <c r="AM264" s="115"/>
      <c r="AN264" s="115"/>
      <c r="AO264" s="115"/>
      <c r="AP264" s="115"/>
      <c r="AQ264" s="115"/>
      <c r="AR264" s="115"/>
      <c r="AS264" s="115"/>
      <c r="AT264" s="115"/>
      <c r="AU264" s="115"/>
      <c r="AV264" s="115"/>
    </row>
    <row r="265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  <c r="AA265" s="115"/>
      <c r="AB265" s="115"/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115"/>
      <c r="AR265" s="115"/>
      <c r="AS265" s="115"/>
      <c r="AT265" s="115"/>
      <c r="AU265" s="115"/>
      <c r="AV265" s="115"/>
    </row>
    <row r="266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  <c r="AA266" s="115"/>
      <c r="AB266" s="115"/>
      <c r="AC266" s="115"/>
      <c r="AD266" s="115"/>
      <c r="AE266" s="115"/>
      <c r="AF266" s="115"/>
      <c r="AG266" s="115"/>
      <c r="AH266" s="115"/>
      <c r="AI266" s="115"/>
      <c r="AJ266" s="115"/>
      <c r="AK266" s="115"/>
      <c r="AL266" s="115"/>
      <c r="AM266" s="115"/>
      <c r="AN266" s="115"/>
      <c r="AO266" s="115"/>
      <c r="AP266" s="115"/>
      <c r="AQ266" s="115"/>
      <c r="AR266" s="115"/>
      <c r="AS266" s="115"/>
      <c r="AT266" s="115"/>
      <c r="AU266" s="115"/>
      <c r="AV266" s="115"/>
    </row>
    <row r="267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  <c r="AA267" s="115"/>
      <c r="AB267" s="115"/>
      <c r="AC267" s="115"/>
      <c r="AD267" s="115"/>
      <c r="AE267" s="115"/>
      <c r="AF267" s="115"/>
      <c r="AG267" s="115"/>
      <c r="AH267" s="115"/>
      <c r="AI267" s="115"/>
      <c r="AJ267" s="115"/>
      <c r="AK267" s="115"/>
      <c r="AL267" s="115"/>
      <c r="AM267" s="115"/>
      <c r="AN267" s="115"/>
      <c r="AO267" s="115"/>
      <c r="AP267" s="115"/>
      <c r="AQ267" s="115"/>
      <c r="AR267" s="115"/>
      <c r="AS267" s="115"/>
      <c r="AT267" s="115"/>
      <c r="AU267" s="115"/>
      <c r="AV267" s="115"/>
    </row>
    <row r="268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  <c r="AA268" s="115"/>
      <c r="AB268" s="115"/>
      <c r="AC268" s="115"/>
      <c r="AD268" s="115"/>
      <c r="AE268" s="115"/>
      <c r="AF268" s="115"/>
      <c r="AG268" s="115"/>
      <c r="AH268" s="115"/>
      <c r="AI268" s="115"/>
      <c r="AJ268" s="115"/>
      <c r="AK268" s="115"/>
      <c r="AL268" s="115"/>
      <c r="AM268" s="115"/>
      <c r="AN268" s="115"/>
      <c r="AO268" s="115"/>
      <c r="AP268" s="115"/>
      <c r="AQ268" s="115"/>
      <c r="AR268" s="115"/>
      <c r="AS268" s="115"/>
      <c r="AT268" s="115"/>
      <c r="AU268" s="115"/>
      <c r="AV268" s="115"/>
    </row>
    <row r="269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  <c r="AA269" s="115"/>
      <c r="AB269" s="115"/>
      <c r="AC269" s="115"/>
      <c r="AD269" s="115"/>
      <c r="AE269" s="115"/>
      <c r="AF269" s="115"/>
      <c r="AG269" s="115"/>
      <c r="AH269" s="115"/>
      <c r="AI269" s="115"/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115"/>
    </row>
    <row r="270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  <c r="AA270" s="115"/>
      <c r="AB270" s="115"/>
      <c r="AC270" s="115"/>
      <c r="AD270" s="115"/>
      <c r="AE270" s="115"/>
      <c r="AF270" s="115"/>
      <c r="AG270" s="115"/>
      <c r="AH270" s="115"/>
      <c r="AI270" s="115"/>
      <c r="AJ270" s="115"/>
      <c r="AK270" s="115"/>
      <c r="AL270" s="115"/>
      <c r="AM270" s="115"/>
      <c r="AN270" s="115"/>
      <c r="AO270" s="115"/>
      <c r="AP270" s="115"/>
      <c r="AQ270" s="115"/>
      <c r="AR270" s="115"/>
      <c r="AS270" s="115"/>
      <c r="AT270" s="115"/>
      <c r="AU270" s="115"/>
      <c r="AV270" s="115"/>
    </row>
    <row r="271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  <c r="AA271" s="115"/>
      <c r="AB271" s="115"/>
      <c r="AC271" s="115"/>
      <c r="AD271" s="115"/>
      <c r="AE271" s="115"/>
      <c r="AF271" s="115"/>
      <c r="AG271" s="115"/>
      <c r="AH271" s="115"/>
      <c r="AI271" s="115"/>
      <c r="AJ271" s="115"/>
      <c r="AK271" s="115"/>
      <c r="AL271" s="115"/>
      <c r="AM271" s="115"/>
      <c r="AN271" s="115"/>
      <c r="AO271" s="115"/>
      <c r="AP271" s="115"/>
      <c r="AQ271" s="115"/>
      <c r="AR271" s="115"/>
      <c r="AS271" s="115"/>
      <c r="AT271" s="115"/>
      <c r="AU271" s="115"/>
      <c r="AV271" s="115"/>
    </row>
    <row r="272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  <c r="AA272" s="115"/>
      <c r="AB272" s="115"/>
      <c r="AC272" s="115"/>
      <c r="AD272" s="115"/>
      <c r="AE272" s="115"/>
      <c r="AF272" s="115"/>
      <c r="AG272" s="115"/>
      <c r="AH272" s="115"/>
      <c r="AI272" s="115"/>
      <c r="AJ272" s="115"/>
      <c r="AK272" s="115"/>
      <c r="AL272" s="115"/>
      <c r="AM272" s="115"/>
      <c r="AN272" s="115"/>
      <c r="AO272" s="115"/>
      <c r="AP272" s="115"/>
      <c r="AQ272" s="115"/>
      <c r="AR272" s="115"/>
      <c r="AS272" s="115"/>
      <c r="AT272" s="115"/>
      <c r="AU272" s="115"/>
      <c r="AV272" s="115"/>
    </row>
    <row r="273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  <c r="AA273" s="115"/>
      <c r="AB273" s="115"/>
      <c r="AC273" s="115"/>
      <c r="AD273" s="115"/>
      <c r="AE273" s="115"/>
      <c r="AF273" s="115"/>
      <c r="AG273" s="115"/>
      <c r="AH273" s="115"/>
      <c r="AI273" s="115"/>
      <c r="AJ273" s="115"/>
      <c r="AK273" s="115"/>
      <c r="AL273" s="115"/>
      <c r="AM273" s="115"/>
      <c r="AN273" s="115"/>
      <c r="AO273" s="115"/>
      <c r="AP273" s="115"/>
      <c r="AQ273" s="115"/>
      <c r="AR273" s="115"/>
      <c r="AS273" s="115"/>
      <c r="AT273" s="115"/>
      <c r="AU273" s="115"/>
      <c r="AV273" s="115"/>
    </row>
    <row r="274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  <c r="AA274" s="115"/>
      <c r="AB274" s="115"/>
      <c r="AC274" s="115"/>
      <c r="AD274" s="115"/>
      <c r="AE274" s="115"/>
      <c r="AF274" s="115"/>
      <c r="AG274" s="115"/>
      <c r="AH274" s="115"/>
      <c r="AI274" s="115"/>
      <c r="AJ274" s="115"/>
      <c r="AK274" s="115"/>
      <c r="AL274" s="115"/>
      <c r="AM274" s="115"/>
      <c r="AN274" s="115"/>
      <c r="AO274" s="115"/>
      <c r="AP274" s="115"/>
      <c r="AQ274" s="115"/>
      <c r="AR274" s="115"/>
      <c r="AS274" s="115"/>
      <c r="AT274" s="115"/>
      <c r="AU274" s="115"/>
      <c r="AV274" s="115"/>
    </row>
    <row r="275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  <c r="AA275" s="115"/>
      <c r="AB275" s="115"/>
      <c r="AC275" s="115"/>
      <c r="AD275" s="115"/>
      <c r="AE275" s="115"/>
      <c r="AF275" s="115"/>
      <c r="AG275" s="115"/>
      <c r="AH275" s="115"/>
      <c r="AI275" s="115"/>
      <c r="AJ275" s="115"/>
      <c r="AK275" s="115"/>
      <c r="AL275" s="115"/>
      <c r="AM275" s="115"/>
      <c r="AN275" s="115"/>
      <c r="AO275" s="115"/>
      <c r="AP275" s="115"/>
      <c r="AQ275" s="115"/>
      <c r="AR275" s="115"/>
      <c r="AS275" s="115"/>
      <c r="AT275" s="115"/>
      <c r="AU275" s="115"/>
      <c r="AV275" s="115"/>
    </row>
    <row r="276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  <c r="AA276" s="115"/>
      <c r="AB276" s="115"/>
      <c r="AC276" s="115"/>
      <c r="AD276" s="115"/>
      <c r="AE276" s="115"/>
      <c r="AF276" s="115"/>
      <c r="AG276" s="115"/>
      <c r="AH276" s="115"/>
      <c r="AI276" s="115"/>
      <c r="AJ276" s="115"/>
      <c r="AK276" s="115"/>
      <c r="AL276" s="115"/>
      <c r="AM276" s="115"/>
      <c r="AN276" s="115"/>
      <c r="AO276" s="115"/>
      <c r="AP276" s="115"/>
      <c r="AQ276" s="115"/>
      <c r="AR276" s="115"/>
      <c r="AS276" s="115"/>
      <c r="AT276" s="115"/>
      <c r="AU276" s="115"/>
      <c r="AV276" s="115"/>
    </row>
    <row r="277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  <c r="AA277" s="115"/>
      <c r="AB277" s="115"/>
      <c r="AC277" s="115"/>
      <c r="AD277" s="115"/>
      <c r="AE277" s="115"/>
      <c r="AF277" s="115"/>
      <c r="AG277" s="115"/>
      <c r="AH277" s="115"/>
      <c r="AI277" s="115"/>
      <c r="AJ277" s="115"/>
      <c r="AK277" s="115"/>
      <c r="AL277" s="115"/>
      <c r="AM277" s="115"/>
      <c r="AN277" s="115"/>
      <c r="AO277" s="115"/>
      <c r="AP277" s="115"/>
      <c r="AQ277" s="115"/>
      <c r="AR277" s="115"/>
      <c r="AS277" s="115"/>
      <c r="AT277" s="115"/>
      <c r="AU277" s="115"/>
      <c r="AV277" s="115"/>
    </row>
    <row r="278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  <c r="AA278" s="115"/>
      <c r="AB278" s="115"/>
      <c r="AC278" s="115"/>
      <c r="AD278" s="115"/>
      <c r="AE278" s="115"/>
      <c r="AF278" s="115"/>
      <c r="AG278" s="115"/>
      <c r="AH278" s="115"/>
      <c r="AI278" s="115"/>
      <c r="AJ278" s="115"/>
      <c r="AK278" s="115"/>
      <c r="AL278" s="115"/>
      <c r="AM278" s="115"/>
      <c r="AN278" s="115"/>
      <c r="AO278" s="115"/>
      <c r="AP278" s="115"/>
      <c r="AQ278" s="115"/>
      <c r="AR278" s="115"/>
      <c r="AS278" s="115"/>
      <c r="AT278" s="115"/>
      <c r="AU278" s="115"/>
      <c r="AV278" s="115"/>
    </row>
    <row r="279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  <c r="AA279" s="115"/>
      <c r="AB279" s="115"/>
      <c r="AC279" s="115"/>
      <c r="AD279" s="115"/>
      <c r="AE279" s="115"/>
      <c r="AF279" s="115"/>
      <c r="AG279" s="115"/>
      <c r="AH279" s="115"/>
      <c r="AI279" s="115"/>
      <c r="AJ279" s="115"/>
      <c r="AK279" s="115"/>
      <c r="AL279" s="115"/>
      <c r="AM279" s="115"/>
      <c r="AN279" s="115"/>
      <c r="AO279" s="115"/>
      <c r="AP279" s="115"/>
      <c r="AQ279" s="115"/>
      <c r="AR279" s="115"/>
      <c r="AS279" s="115"/>
      <c r="AT279" s="115"/>
      <c r="AU279" s="115"/>
      <c r="AV279" s="115"/>
    </row>
    <row r="280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  <c r="AA280" s="115"/>
      <c r="AB280" s="115"/>
      <c r="AC280" s="115"/>
      <c r="AD280" s="115"/>
      <c r="AE280" s="115"/>
      <c r="AF280" s="115"/>
      <c r="AG280" s="115"/>
      <c r="AH280" s="115"/>
      <c r="AI280" s="115"/>
      <c r="AJ280" s="115"/>
      <c r="AK280" s="115"/>
      <c r="AL280" s="115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</row>
    <row r="281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  <c r="AA281" s="115"/>
      <c r="AB281" s="115"/>
      <c r="AC281" s="115"/>
      <c r="AD281" s="115"/>
      <c r="AE281" s="115"/>
      <c r="AF281" s="115"/>
      <c r="AG281" s="115"/>
      <c r="AH281" s="115"/>
      <c r="AI281" s="115"/>
      <c r="AJ281" s="115"/>
      <c r="AK281" s="115"/>
      <c r="AL281" s="115"/>
      <c r="AM281" s="115"/>
      <c r="AN281" s="115"/>
      <c r="AO281" s="115"/>
      <c r="AP281" s="115"/>
      <c r="AQ281" s="115"/>
      <c r="AR281" s="115"/>
      <c r="AS281" s="115"/>
      <c r="AT281" s="115"/>
      <c r="AU281" s="115"/>
      <c r="AV281" s="115"/>
    </row>
    <row r="282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  <c r="AA282" s="115"/>
      <c r="AB282" s="115"/>
      <c r="AC282" s="115"/>
      <c r="AD282" s="115"/>
      <c r="AE282" s="115"/>
      <c r="AF282" s="115"/>
      <c r="AG282" s="115"/>
      <c r="AH282" s="115"/>
      <c r="AI282" s="115"/>
      <c r="AJ282" s="115"/>
      <c r="AK282" s="115"/>
      <c r="AL282" s="115"/>
      <c r="AM282" s="115"/>
      <c r="AN282" s="115"/>
      <c r="AO282" s="115"/>
      <c r="AP282" s="115"/>
      <c r="AQ282" s="115"/>
      <c r="AR282" s="115"/>
      <c r="AS282" s="115"/>
      <c r="AT282" s="115"/>
      <c r="AU282" s="115"/>
      <c r="AV282" s="115"/>
    </row>
    <row r="283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  <c r="AA283" s="115"/>
      <c r="AB283" s="115"/>
      <c r="AC283" s="115"/>
      <c r="AD283" s="115"/>
      <c r="AE283" s="115"/>
      <c r="AF283" s="115"/>
      <c r="AG283" s="115"/>
      <c r="AH283" s="115"/>
      <c r="AI283" s="115"/>
      <c r="AJ283" s="115"/>
      <c r="AK283" s="115"/>
      <c r="AL283" s="115"/>
      <c r="AM283" s="115"/>
      <c r="AN283" s="115"/>
      <c r="AO283" s="115"/>
      <c r="AP283" s="115"/>
      <c r="AQ283" s="115"/>
      <c r="AR283" s="115"/>
      <c r="AS283" s="115"/>
      <c r="AT283" s="115"/>
      <c r="AU283" s="115"/>
      <c r="AV283" s="115"/>
    </row>
    <row r="284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  <c r="AA284" s="115"/>
      <c r="AB284" s="115"/>
      <c r="AC284" s="115"/>
      <c r="AD284" s="115"/>
      <c r="AE284" s="115"/>
      <c r="AF284" s="115"/>
      <c r="AG284" s="115"/>
      <c r="AH284" s="115"/>
      <c r="AI284" s="115"/>
      <c r="AJ284" s="115"/>
      <c r="AK284" s="115"/>
      <c r="AL284" s="115"/>
      <c r="AM284" s="115"/>
      <c r="AN284" s="115"/>
      <c r="AO284" s="115"/>
      <c r="AP284" s="115"/>
      <c r="AQ284" s="115"/>
      <c r="AR284" s="115"/>
      <c r="AS284" s="115"/>
      <c r="AT284" s="115"/>
      <c r="AU284" s="115"/>
      <c r="AV284" s="115"/>
    </row>
    <row r="285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  <c r="AA285" s="115"/>
      <c r="AB285" s="115"/>
      <c r="AC285" s="115"/>
      <c r="AD285" s="115"/>
      <c r="AE285" s="115"/>
      <c r="AF285" s="115"/>
      <c r="AG285" s="115"/>
      <c r="AH285" s="115"/>
      <c r="AI285" s="115"/>
      <c r="AJ285" s="115"/>
      <c r="AK285" s="115"/>
      <c r="AL285" s="115"/>
      <c r="AM285" s="115"/>
      <c r="AN285" s="115"/>
      <c r="AO285" s="115"/>
      <c r="AP285" s="115"/>
      <c r="AQ285" s="115"/>
      <c r="AR285" s="115"/>
      <c r="AS285" s="115"/>
      <c r="AT285" s="115"/>
      <c r="AU285" s="115"/>
      <c r="AV285" s="115"/>
    </row>
    <row r="286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  <c r="AA286" s="115"/>
      <c r="AB286" s="115"/>
      <c r="AC286" s="115"/>
      <c r="AD286" s="115"/>
      <c r="AE286" s="115"/>
      <c r="AF286" s="115"/>
      <c r="AG286" s="115"/>
      <c r="AH286" s="115"/>
      <c r="AI286" s="115"/>
      <c r="AJ286" s="115"/>
      <c r="AK286" s="115"/>
      <c r="AL286" s="115"/>
      <c r="AM286" s="115"/>
      <c r="AN286" s="115"/>
      <c r="AO286" s="115"/>
      <c r="AP286" s="115"/>
      <c r="AQ286" s="115"/>
      <c r="AR286" s="115"/>
      <c r="AS286" s="115"/>
      <c r="AT286" s="115"/>
      <c r="AU286" s="115"/>
      <c r="AV286" s="115"/>
    </row>
    <row r="287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  <c r="AA287" s="115"/>
      <c r="AB287" s="115"/>
      <c r="AC287" s="115"/>
      <c r="AD287" s="115"/>
      <c r="AE287" s="115"/>
      <c r="AF287" s="115"/>
      <c r="AG287" s="115"/>
      <c r="AH287" s="115"/>
      <c r="AI287" s="115"/>
      <c r="AJ287" s="115"/>
      <c r="AK287" s="115"/>
      <c r="AL287" s="115"/>
      <c r="AM287" s="115"/>
      <c r="AN287" s="115"/>
      <c r="AO287" s="115"/>
      <c r="AP287" s="115"/>
      <c r="AQ287" s="115"/>
      <c r="AR287" s="115"/>
      <c r="AS287" s="115"/>
      <c r="AT287" s="115"/>
      <c r="AU287" s="115"/>
      <c r="AV287" s="115"/>
    </row>
    <row r="288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  <c r="AA288" s="115"/>
      <c r="AB288" s="115"/>
      <c r="AC288" s="115"/>
      <c r="AD288" s="115"/>
      <c r="AE288" s="115"/>
      <c r="AF288" s="115"/>
      <c r="AG288" s="115"/>
      <c r="AH288" s="115"/>
      <c r="AI288" s="115"/>
      <c r="AJ288" s="115"/>
      <c r="AK288" s="115"/>
      <c r="AL288" s="115"/>
      <c r="AM288" s="115"/>
      <c r="AN288" s="115"/>
      <c r="AO288" s="115"/>
      <c r="AP288" s="115"/>
      <c r="AQ288" s="115"/>
      <c r="AR288" s="115"/>
      <c r="AS288" s="115"/>
      <c r="AT288" s="115"/>
      <c r="AU288" s="115"/>
      <c r="AV288" s="115"/>
    </row>
    <row r="289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  <c r="AA289" s="115"/>
      <c r="AB289" s="115"/>
      <c r="AC289" s="115"/>
      <c r="AD289" s="115"/>
      <c r="AE289" s="115"/>
      <c r="AF289" s="115"/>
      <c r="AG289" s="115"/>
      <c r="AH289" s="115"/>
      <c r="AI289" s="115"/>
      <c r="AJ289" s="115"/>
      <c r="AK289" s="115"/>
      <c r="AL289" s="115"/>
      <c r="AM289" s="115"/>
      <c r="AN289" s="115"/>
      <c r="AO289" s="115"/>
      <c r="AP289" s="115"/>
      <c r="AQ289" s="115"/>
      <c r="AR289" s="115"/>
      <c r="AS289" s="115"/>
      <c r="AT289" s="115"/>
      <c r="AU289" s="115"/>
      <c r="AV289" s="115"/>
    </row>
    <row r="290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  <c r="AA290" s="115"/>
      <c r="AB290" s="115"/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</row>
    <row r="291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  <c r="AA291" s="115"/>
      <c r="AB291" s="115"/>
      <c r="AC291" s="115"/>
      <c r="AD291" s="115"/>
      <c r="AE291" s="115"/>
      <c r="AF291" s="115"/>
      <c r="AG291" s="115"/>
      <c r="AH291" s="115"/>
      <c r="AI291" s="115"/>
      <c r="AJ291" s="115"/>
      <c r="AK291" s="115"/>
      <c r="AL291" s="115"/>
      <c r="AM291" s="115"/>
      <c r="AN291" s="115"/>
      <c r="AO291" s="115"/>
      <c r="AP291" s="115"/>
      <c r="AQ291" s="115"/>
      <c r="AR291" s="115"/>
      <c r="AS291" s="115"/>
      <c r="AT291" s="115"/>
      <c r="AU291" s="115"/>
      <c r="AV291" s="115"/>
    </row>
    <row r="292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  <c r="AA292" s="115"/>
      <c r="AB292" s="115"/>
      <c r="AC292" s="115"/>
      <c r="AD292" s="115"/>
      <c r="AE292" s="115"/>
      <c r="AF292" s="115"/>
      <c r="AG292" s="115"/>
      <c r="AH292" s="115"/>
      <c r="AI292" s="115"/>
      <c r="AJ292" s="115"/>
      <c r="AK292" s="115"/>
      <c r="AL292" s="115"/>
      <c r="AM292" s="115"/>
      <c r="AN292" s="115"/>
      <c r="AO292" s="115"/>
      <c r="AP292" s="115"/>
      <c r="AQ292" s="115"/>
      <c r="AR292" s="115"/>
      <c r="AS292" s="115"/>
      <c r="AT292" s="115"/>
      <c r="AU292" s="115"/>
      <c r="AV292" s="115"/>
    </row>
    <row r="293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  <c r="AA293" s="115"/>
      <c r="AB293" s="115"/>
      <c r="AC293" s="115"/>
      <c r="AD293" s="115"/>
      <c r="AE293" s="115"/>
      <c r="AF293" s="115"/>
      <c r="AG293" s="115"/>
      <c r="AH293" s="115"/>
      <c r="AI293" s="115"/>
      <c r="AJ293" s="115"/>
      <c r="AK293" s="115"/>
      <c r="AL293" s="115"/>
      <c r="AM293" s="115"/>
      <c r="AN293" s="115"/>
      <c r="AO293" s="115"/>
      <c r="AP293" s="115"/>
      <c r="AQ293" s="115"/>
      <c r="AR293" s="115"/>
      <c r="AS293" s="115"/>
      <c r="AT293" s="115"/>
      <c r="AU293" s="115"/>
      <c r="AV293" s="115"/>
    </row>
    <row r="294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  <c r="AA294" s="115"/>
      <c r="AB294" s="115"/>
      <c r="AC294" s="115"/>
      <c r="AD294" s="115"/>
      <c r="AE294" s="115"/>
      <c r="AF294" s="115"/>
      <c r="AG294" s="115"/>
      <c r="AH294" s="115"/>
      <c r="AI294" s="115"/>
      <c r="AJ294" s="115"/>
      <c r="AK294" s="115"/>
      <c r="AL294" s="115"/>
      <c r="AM294" s="115"/>
      <c r="AN294" s="115"/>
      <c r="AO294" s="115"/>
      <c r="AP294" s="115"/>
      <c r="AQ294" s="115"/>
      <c r="AR294" s="115"/>
      <c r="AS294" s="115"/>
      <c r="AT294" s="115"/>
      <c r="AU294" s="115"/>
      <c r="AV294" s="115"/>
    </row>
    <row r="295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  <c r="AA295" s="115"/>
      <c r="AB295" s="115"/>
      <c r="AC295" s="115"/>
      <c r="AD295" s="115"/>
      <c r="AE295" s="115"/>
      <c r="AF295" s="115"/>
      <c r="AG295" s="115"/>
      <c r="AH295" s="115"/>
      <c r="AI295" s="115"/>
      <c r="AJ295" s="115"/>
      <c r="AK295" s="115"/>
      <c r="AL295" s="115"/>
      <c r="AM295" s="115"/>
      <c r="AN295" s="115"/>
      <c r="AO295" s="115"/>
      <c r="AP295" s="115"/>
      <c r="AQ295" s="115"/>
      <c r="AR295" s="115"/>
      <c r="AS295" s="115"/>
      <c r="AT295" s="115"/>
      <c r="AU295" s="115"/>
      <c r="AV295" s="115"/>
    </row>
    <row r="296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  <c r="AA296" s="115"/>
      <c r="AB296" s="115"/>
      <c r="AC296" s="115"/>
      <c r="AD296" s="115"/>
      <c r="AE296" s="115"/>
      <c r="AF296" s="115"/>
      <c r="AG296" s="115"/>
      <c r="AH296" s="115"/>
      <c r="AI296" s="115"/>
      <c r="AJ296" s="115"/>
      <c r="AK296" s="115"/>
      <c r="AL296" s="115"/>
      <c r="AM296" s="115"/>
      <c r="AN296" s="115"/>
      <c r="AO296" s="115"/>
      <c r="AP296" s="115"/>
      <c r="AQ296" s="115"/>
      <c r="AR296" s="115"/>
      <c r="AS296" s="115"/>
      <c r="AT296" s="115"/>
      <c r="AU296" s="115"/>
      <c r="AV296" s="115"/>
    </row>
    <row r="297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  <c r="AA297" s="115"/>
      <c r="AB297" s="115"/>
      <c r="AC297" s="115"/>
      <c r="AD297" s="115"/>
      <c r="AE297" s="115"/>
      <c r="AF297" s="115"/>
      <c r="AG297" s="115"/>
      <c r="AH297" s="115"/>
      <c r="AI297" s="115"/>
      <c r="AJ297" s="115"/>
      <c r="AK297" s="115"/>
      <c r="AL297" s="115"/>
      <c r="AM297" s="115"/>
      <c r="AN297" s="115"/>
      <c r="AO297" s="115"/>
      <c r="AP297" s="115"/>
      <c r="AQ297" s="115"/>
      <c r="AR297" s="115"/>
      <c r="AS297" s="115"/>
      <c r="AT297" s="115"/>
      <c r="AU297" s="115"/>
      <c r="AV297" s="115"/>
    </row>
    <row r="298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  <c r="AA298" s="115"/>
      <c r="AB298" s="115"/>
      <c r="AC298" s="115"/>
      <c r="AD298" s="115"/>
      <c r="AE298" s="115"/>
      <c r="AF298" s="115"/>
      <c r="AG298" s="115"/>
      <c r="AH298" s="115"/>
      <c r="AI298" s="115"/>
      <c r="AJ298" s="115"/>
      <c r="AK298" s="115"/>
      <c r="AL298" s="115"/>
      <c r="AM298" s="115"/>
      <c r="AN298" s="115"/>
      <c r="AO298" s="115"/>
      <c r="AP298" s="115"/>
      <c r="AQ298" s="115"/>
      <c r="AR298" s="115"/>
      <c r="AS298" s="115"/>
      <c r="AT298" s="115"/>
      <c r="AU298" s="115"/>
      <c r="AV298" s="115"/>
    </row>
    <row r="299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  <c r="AA299" s="115"/>
      <c r="AB299" s="115"/>
      <c r="AC299" s="115"/>
      <c r="AD299" s="115"/>
      <c r="AE299" s="115"/>
      <c r="AF299" s="115"/>
      <c r="AG299" s="115"/>
      <c r="AH299" s="115"/>
      <c r="AI299" s="115"/>
      <c r="AJ299" s="115"/>
      <c r="AK299" s="115"/>
      <c r="AL299" s="115"/>
      <c r="AM299" s="115"/>
      <c r="AN299" s="115"/>
      <c r="AO299" s="115"/>
      <c r="AP299" s="115"/>
      <c r="AQ299" s="115"/>
      <c r="AR299" s="115"/>
      <c r="AS299" s="115"/>
      <c r="AT299" s="115"/>
      <c r="AU299" s="115"/>
      <c r="AV299" s="115"/>
    </row>
    <row r="300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  <c r="AA300" s="115"/>
      <c r="AB300" s="115"/>
      <c r="AC300" s="115"/>
      <c r="AD300" s="115"/>
      <c r="AE300" s="115"/>
      <c r="AF300" s="115"/>
      <c r="AG300" s="115"/>
      <c r="AH300" s="115"/>
      <c r="AI300" s="115"/>
      <c r="AJ300" s="115"/>
      <c r="AK300" s="115"/>
      <c r="AL300" s="115"/>
      <c r="AM300" s="115"/>
      <c r="AN300" s="115"/>
      <c r="AO300" s="115"/>
      <c r="AP300" s="115"/>
      <c r="AQ300" s="115"/>
      <c r="AR300" s="115"/>
      <c r="AS300" s="115"/>
      <c r="AT300" s="115"/>
      <c r="AU300" s="115"/>
      <c r="AV300" s="115"/>
    </row>
    <row r="301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  <c r="AA301" s="115"/>
      <c r="AB301" s="115"/>
      <c r="AC301" s="115"/>
      <c r="AD301" s="115"/>
      <c r="AE301" s="115"/>
      <c r="AF301" s="115"/>
      <c r="AG301" s="115"/>
      <c r="AH301" s="115"/>
      <c r="AI301" s="115"/>
      <c r="AJ301" s="115"/>
      <c r="AK301" s="115"/>
      <c r="AL301" s="115"/>
      <c r="AM301" s="115"/>
      <c r="AN301" s="115"/>
      <c r="AO301" s="115"/>
      <c r="AP301" s="115"/>
      <c r="AQ301" s="115"/>
      <c r="AR301" s="115"/>
      <c r="AS301" s="115"/>
      <c r="AT301" s="115"/>
      <c r="AU301" s="115"/>
      <c r="AV301" s="115"/>
    </row>
    <row r="302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  <c r="AA302" s="115"/>
      <c r="AB302" s="115"/>
      <c r="AC302" s="115"/>
      <c r="AD302" s="115"/>
      <c r="AE302" s="115"/>
      <c r="AF302" s="115"/>
      <c r="AG302" s="115"/>
      <c r="AH302" s="115"/>
      <c r="AI302" s="115"/>
      <c r="AJ302" s="115"/>
      <c r="AK302" s="115"/>
      <c r="AL302" s="115"/>
      <c r="AM302" s="115"/>
      <c r="AN302" s="115"/>
      <c r="AO302" s="115"/>
      <c r="AP302" s="115"/>
      <c r="AQ302" s="115"/>
      <c r="AR302" s="115"/>
      <c r="AS302" s="115"/>
      <c r="AT302" s="115"/>
      <c r="AU302" s="115"/>
      <c r="AV302" s="115"/>
    </row>
    <row r="303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  <c r="AA303" s="115"/>
      <c r="AB303" s="115"/>
      <c r="AC303" s="115"/>
      <c r="AD303" s="115"/>
      <c r="AE303" s="115"/>
      <c r="AF303" s="115"/>
      <c r="AG303" s="115"/>
      <c r="AH303" s="115"/>
      <c r="AI303" s="115"/>
      <c r="AJ303" s="115"/>
      <c r="AK303" s="115"/>
      <c r="AL303" s="115"/>
      <c r="AM303" s="115"/>
      <c r="AN303" s="115"/>
      <c r="AO303" s="115"/>
      <c r="AP303" s="115"/>
      <c r="AQ303" s="115"/>
      <c r="AR303" s="115"/>
      <c r="AS303" s="115"/>
      <c r="AT303" s="115"/>
      <c r="AU303" s="115"/>
      <c r="AV303" s="115"/>
    </row>
    <row r="304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  <c r="AA304" s="115"/>
      <c r="AB304" s="115"/>
      <c r="AC304" s="115"/>
      <c r="AD304" s="115"/>
      <c r="AE304" s="115"/>
      <c r="AF304" s="115"/>
      <c r="AG304" s="115"/>
      <c r="AH304" s="115"/>
      <c r="AI304" s="115"/>
      <c r="AJ304" s="115"/>
      <c r="AK304" s="115"/>
      <c r="AL304" s="115"/>
      <c r="AM304" s="115"/>
      <c r="AN304" s="115"/>
      <c r="AO304" s="115"/>
      <c r="AP304" s="115"/>
      <c r="AQ304" s="115"/>
      <c r="AR304" s="115"/>
      <c r="AS304" s="115"/>
      <c r="AT304" s="115"/>
      <c r="AU304" s="115"/>
      <c r="AV304" s="115"/>
    </row>
    <row r="305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  <c r="AA305" s="115"/>
      <c r="AB305" s="115"/>
      <c r="AC305" s="115"/>
      <c r="AD305" s="115"/>
      <c r="AE305" s="115"/>
      <c r="AF305" s="115"/>
      <c r="AG305" s="115"/>
      <c r="AH305" s="115"/>
      <c r="AI305" s="115"/>
      <c r="AJ305" s="115"/>
      <c r="AK305" s="115"/>
      <c r="AL305" s="115"/>
      <c r="AM305" s="115"/>
      <c r="AN305" s="115"/>
      <c r="AO305" s="115"/>
      <c r="AP305" s="115"/>
      <c r="AQ305" s="115"/>
      <c r="AR305" s="115"/>
      <c r="AS305" s="115"/>
      <c r="AT305" s="115"/>
      <c r="AU305" s="115"/>
      <c r="AV305" s="115"/>
    </row>
    <row r="306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  <c r="AA306" s="115"/>
      <c r="AB306" s="115"/>
      <c r="AC306" s="115"/>
      <c r="AD306" s="115"/>
      <c r="AE306" s="115"/>
      <c r="AF306" s="115"/>
      <c r="AG306" s="115"/>
      <c r="AH306" s="115"/>
      <c r="AI306" s="115"/>
      <c r="AJ306" s="115"/>
      <c r="AK306" s="115"/>
      <c r="AL306" s="115"/>
      <c r="AM306" s="115"/>
      <c r="AN306" s="115"/>
      <c r="AO306" s="115"/>
      <c r="AP306" s="115"/>
      <c r="AQ306" s="115"/>
      <c r="AR306" s="115"/>
      <c r="AS306" s="115"/>
      <c r="AT306" s="115"/>
      <c r="AU306" s="115"/>
      <c r="AV306" s="115"/>
    </row>
    <row r="307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  <c r="AA307" s="115"/>
      <c r="AB307" s="115"/>
      <c r="AC307" s="115"/>
      <c r="AD307" s="115"/>
      <c r="AE307" s="115"/>
      <c r="AF307" s="115"/>
      <c r="AG307" s="115"/>
      <c r="AH307" s="115"/>
      <c r="AI307" s="115"/>
      <c r="AJ307" s="115"/>
      <c r="AK307" s="115"/>
      <c r="AL307" s="115"/>
      <c r="AM307" s="115"/>
      <c r="AN307" s="115"/>
      <c r="AO307" s="115"/>
      <c r="AP307" s="115"/>
      <c r="AQ307" s="115"/>
      <c r="AR307" s="115"/>
      <c r="AS307" s="115"/>
      <c r="AT307" s="115"/>
      <c r="AU307" s="115"/>
      <c r="AV307" s="115"/>
    </row>
    <row r="308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  <c r="AA308" s="115"/>
      <c r="AB308" s="115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115"/>
    </row>
    <row r="309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  <c r="AA309" s="115"/>
      <c r="AB309" s="115"/>
      <c r="AC309" s="115"/>
      <c r="AD309" s="115"/>
      <c r="AE309" s="115"/>
      <c r="AF309" s="115"/>
      <c r="AG309" s="115"/>
      <c r="AH309" s="115"/>
      <c r="AI309" s="115"/>
      <c r="AJ309" s="115"/>
      <c r="AK309" s="115"/>
      <c r="AL309" s="115"/>
      <c r="AM309" s="115"/>
      <c r="AN309" s="115"/>
      <c r="AO309" s="115"/>
      <c r="AP309" s="115"/>
      <c r="AQ309" s="115"/>
      <c r="AR309" s="115"/>
      <c r="AS309" s="115"/>
      <c r="AT309" s="115"/>
      <c r="AU309" s="115"/>
      <c r="AV309" s="115"/>
    </row>
    <row r="310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  <c r="AA310" s="115"/>
      <c r="AB310" s="115"/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115"/>
    </row>
    <row r="311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  <c r="AA311" s="115"/>
      <c r="AB311" s="115"/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115"/>
      <c r="AR311" s="115"/>
      <c r="AS311" s="115"/>
      <c r="AT311" s="115"/>
      <c r="AU311" s="115"/>
      <c r="AV311" s="115"/>
    </row>
    <row r="312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  <c r="AA312" s="115"/>
      <c r="AB312" s="115"/>
      <c r="AC312" s="115"/>
      <c r="AD312" s="115"/>
      <c r="AE312" s="115"/>
      <c r="AF312" s="115"/>
      <c r="AG312" s="115"/>
      <c r="AH312" s="115"/>
      <c r="AI312" s="115"/>
      <c r="AJ312" s="115"/>
      <c r="AK312" s="115"/>
      <c r="AL312" s="115"/>
      <c r="AM312" s="115"/>
      <c r="AN312" s="115"/>
      <c r="AO312" s="115"/>
      <c r="AP312" s="115"/>
      <c r="AQ312" s="115"/>
      <c r="AR312" s="115"/>
      <c r="AS312" s="115"/>
      <c r="AT312" s="115"/>
      <c r="AU312" s="115"/>
      <c r="AV312" s="115"/>
    </row>
    <row r="313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  <c r="AA313" s="115"/>
      <c r="AB313" s="115"/>
      <c r="AC313" s="115"/>
      <c r="AD313" s="115"/>
      <c r="AE313" s="115"/>
      <c r="AF313" s="115"/>
      <c r="AG313" s="115"/>
      <c r="AH313" s="115"/>
      <c r="AI313" s="115"/>
      <c r="AJ313" s="115"/>
      <c r="AK313" s="115"/>
      <c r="AL313" s="115"/>
      <c r="AM313" s="115"/>
      <c r="AN313" s="115"/>
      <c r="AO313" s="115"/>
      <c r="AP313" s="115"/>
      <c r="AQ313" s="115"/>
      <c r="AR313" s="115"/>
      <c r="AS313" s="115"/>
      <c r="AT313" s="115"/>
      <c r="AU313" s="115"/>
      <c r="AV313" s="115"/>
    </row>
    <row r="314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  <c r="AA314" s="115"/>
      <c r="AB314" s="115"/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/>
      <c r="AN314" s="115"/>
      <c r="AO314" s="115"/>
      <c r="AP314" s="115"/>
      <c r="AQ314" s="115"/>
      <c r="AR314" s="115"/>
      <c r="AS314" s="115"/>
      <c r="AT314" s="115"/>
      <c r="AU314" s="115"/>
      <c r="AV314" s="115"/>
    </row>
    <row r="315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  <c r="AA315" s="115"/>
      <c r="AB315" s="115"/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115"/>
      <c r="AP315" s="115"/>
      <c r="AQ315" s="115"/>
      <c r="AR315" s="115"/>
      <c r="AS315" s="115"/>
      <c r="AT315" s="115"/>
      <c r="AU315" s="115"/>
      <c r="AV315" s="115"/>
    </row>
    <row r="316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  <c r="AA316" s="115"/>
      <c r="AB316" s="115"/>
      <c r="AC316" s="115"/>
      <c r="AD316" s="115"/>
      <c r="AE316" s="115"/>
      <c r="AF316" s="115"/>
      <c r="AG316" s="115"/>
      <c r="AH316" s="115"/>
      <c r="AI316" s="115"/>
      <c r="AJ316" s="115"/>
      <c r="AK316" s="115"/>
      <c r="AL316" s="115"/>
      <c r="AM316" s="115"/>
      <c r="AN316" s="115"/>
      <c r="AO316" s="115"/>
      <c r="AP316" s="115"/>
      <c r="AQ316" s="115"/>
      <c r="AR316" s="115"/>
      <c r="AS316" s="115"/>
      <c r="AT316" s="115"/>
      <c r="AU316" s="115"/>
      <c r="AV316" s="115"/>
    </row>
    <row r="317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  <c r="AA317" s="115"/>
      <c r="AB317" s="115"/>
      <c r="AC317" s="115"/>
      <c r="AD317" s="115"/>
      <c r="AE317" s="115"/>
      <c r="AF317" s="115"/>
      <c r="AG317" s="115"/>
      <c r="AH317" s="115"/>
      <c r="AI317" s="115"/>
      <c r="AJ317" s="115"/>
      <c r="AK317" s="115"/>
      <c r="AL317" s="115"/>
      <c r="AM317" s="115"/>
      <c r="AN317" s="115"/>
      <c r="AO317" s="115"/>
      <c r="AP317" s="115"/>
      <c r="AQ317" s="115"/>
      <c r="AR317" s="115"/>
      <c r="AS317" s="115"/>
      <c r="AT317" s="115"/>
      <c r="AU317" s="115"/>
      <c r="AV317" s="115"/>
    </row>
    <row r="318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  <c r="AA318" s="115"/>
      <c r="AB318" s="115"/>
      <c r="AC318" s="115"/>
      <c r="AD318" s="115"/>
      <c r="AE318" s="115"/>
      <c r="AF318" s="115"/>
      <c r="AG318" s="115"/>
      <c r="AH318" s="115"/>
      <c r="AI318" s="115"/>
      <c r="AJ318" s="115"/>
      <c r="AK318" s="115"/>
      <c r="AL318" s="115"/>
      <c r="AM318" s="115"/>
      <c r="AN318" s="115"/>
      <c r="AO318" s="115"/>
      <c r="AP318" s="115"/>
      <c r="AQ318" s="115"/>
      <c r="AR318" s="115"/>
      <c r="AS318" s="115"/>
      <c r="AT318" s="115"/>
      <c r="AU318" s="115"/>
      <c r="AV318" s="115"/>
    </row>
    <row r="319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  <c r="AA319" s="115"/>
      <c r="AB319" s="115"/>
      <c r="AC319" s="115"/>
      <c r="AD319" s="115"/>
      <c r="AE319" s="115"/>
      <c r="AF319" s="115"/>
      <c r="AG319" s="115"/>
      <c r="AH319" s="115"/>
      <c r="AI319" s="115"/>
      <c r="AJ319" s="115"/>
      <c r="AK319" s="115"/>
      <c r="AL319" s="115"/>
      <c r="AM319" s="115"/>
      <c r="AN319" s="115"/>
      <c r="AO319" s="115"/>
      <c r="AP319" s="115"/>
      <c r="AQ319" s="115"/>
      <c r="AR319" s="115"/>
      <c r="AS319" s="115"/>
      <c r="AT319" s="115"/>
      <c r="AU319" s="115"/>
      <c r="AV319" s="115"/>
    </row>
    <row r="320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  <c r="AA320" s="115"/>
      <c r="AB320" s="115"/>
      <c r="AC320" s="115"/>
      <c r="AD320" s="115"/>
      <c r="AE320" s="115"/>
      <c r="AF320" s="115"/>
      <c r="AG320" s="115"/>
      <c r="AH320" s="115"/>
      <c r="AI320" s="115"/>
      <c r="AJ320" s="115"/>
      <c r="AK320" s="115"/>
      <c r="AL320" s="115"/>
      <c r="AM320" s="115"/>
      <c r="AN320" s="115"/>
      <c r="AO320" s="115"/>
      <c r="AP320" s="115"/>
      <c r="AQ320" s="115"/>
      <c r="AR320" s="115"/>
      <c r="AS320" s="115"/>
      <c r="AT320" s="115"/>
      <c r="AU320" s="115"/>
      <c r="AV320" s="115"/>
    </row>
    <row r="321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  <c r="AA321" s="115"/>
      <c r="AB321" s="115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/>
      <c r="AS321" s="115"/>
      <c r="AT321" s="115"/>
      <c r="AU321" s="115"/>
      <c r="AV321" s="115"/>
    </row>
    <row r="322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  <c r="AA322" s="115"/>
      <c r="AB322" s="115"/>
      <c r="AC322" s="115"/>
      <c r="AD322" s="115"/>
      <c r="AE322" s="115"/>
      <c r="AF322" s="115"/>
      <c r="AG322" s="115"/>
      <c r="AH322" s="115"/>
      <c r="AI322" s="115"/>
      <c r="AJ322" s="115"/>
      <c r="AK322" s="115"/>
      <c r="AL322" s="115"/>
      <c r="AM322" s="115"/>
      <c r="AN322" s="115"/>
      <c r="AO322" s="115"/>
      <c r="AP322" s="115"/>
      <c r="AQ322" s="115"/>
      <c r="AR322" s="115"/>
      <c r="AS322" s="115"/>
      <c r="AT322" s="115"/>
      <c r="AU322" s="115"/>
      <c r="AV322" s="115"/>
    </row>
    <row r="323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  <c r="AA323" s="115"/>
      <c r="AB323" s="115"/>
      <c r="AC323" s="115"/>
      <c r="AD323" s="115"/>
      <c r="AE323" s="115"/>
      <c r="AF323" s="115"/>
      <c r="AG323" s="115"/>
      <c r="AH323" s="115"/>
      <c r="AI323" s="115"/>
      <c r="AJ323" s="115"/>
      <c r="AK323" s="115"/>
      <c r="AL323" s="115"/>
      <c r="AM323" s="115"/>
      <c r="AN323" s="115"/>
      <c r="AO323" s="115"/>
      <c r="AP323" s="115"/>
      <c r="AQ323" s="115"/>
      <c r="AR323" s="115"/>
      <c r="AS323" s="115"/>
      <c r="AT323" s="115"/>
      <c r="AU323" s="115"/>
      <c r="AV323" s="115"/>
    </row>
    <row r="324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  <c r="AA324" s="115"/>
      <c r="AB324" s="115"/>
      <c r="AC324" s="115"/>
      <c r="AD324" s="115"/>
      <c r="AE324" s="115"/>
      <c r="AF324" s="115"/>
      <c r="AG324" s="115"/>
      <c r="AH324" s="115"/>
      <c r="AI324" s="115"/>
      <c r="AJ324" s="115"/>
      <c r="AK324" s="115"/>
      <c r="AL324" s="115"/>
      <c r="AM324" s="115"/>
      <c r="AN324" s="115"/>
      <c r="AO324" s="115"/>
      <c r="AP324" s="115"/>
      <c r="AQ324" s="115"/>
      <c r="AR324" s="115"/>
      <c r="AS324" s="115"/>
      <c r="AT324" s="115"/>
      <c r="AU324" s="115"/>
      <c r="AV324" s="115"/>
    </row>
    <row r="325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  <c r="AA325" s="115"/>
      <c r="AB325" s="115"/>
      <c r="AC325" s="115"/>
      <c r="AD325" s="115"/>
      <c r="AE325" s="115"/>
      <c r="AF325" s="115"/>
      <c r="AG325" s="115"/>
      <c r="AH325" s="115"/>
      <c r="AI325" s="115"/>
      <c r="AJ325" s="115"/>
      <c r="AK325" s="115"/>
      <c r="AL325" s="115"/>
      <c r="AM325" s="115"/>
      <c r="AN325" s="115"/>
      <c r="AO325" s="115"/>
      <c r="AP325" s="115"/>
      <c r="AQ325" s="115"/>
      <c r="AR325" s="115"/>
      <c r="AS325" s="115"/>
      <c r="AT325" s="115"/>
      <c r="AU325" s="115"/>
      <c r="AV325" s="115"/>
    </row>
    <row r="326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  <c r="AA326" s="115"/>
      <c r="AB326" s="115"/>
      <c r="AC326" s="115"/>
      <c r="AD326" s="115"/>
      <c r="AE326" s="115"/>
      <c r="AF326" s="115"/>
      <c r="AG326" s="115"/>
      <c r="AH326" s="115"/>
      <c r="AI326" s="115"/>
      <c r="AJ326" s="115"/>
      <c r="AK326" s="115"/>
      <c r="AL326" s="115"/>
      <c r="AM326" s="115"/>
      <c r="AN326" s="115"/>
      <c r="AO326" s="115"/>
      <c r="AP326" s="115"/>
      <c r="AQ326" s="115"/>
      <c r="AR326" s="115"/>
      <c r="AS326" s="115"/>
      <c r="AT326" s="115"/>
      <c r="AU326" s="115"/>
      <c r="AV326" s="115"/>
    </row>
    <row r="327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  <c r="AA327" s="115"/>
      <c r="AB327" s="115"/>
      <c r="AC327" s="115"/>
      <c r="AD327" s="115"/>
      <c r="AE327" s="115"/>
      <c r="AF327" s="115"/>
      <c r="AG327" s="115"/>
      <c r="AH327" s="115"/>
      <c r="AI327" s="115"/>
      <c r="AJ327" s="115"/>
      <c r="AK327" s="115"/>
      <c r="AL327" s="115"/>
      <c r="AM327" s="115"/>
      <c r="AN327" s="115"/>
      <c r="AO327" s="115"/>
      <c r="AP327" s="115"/>
      <c r="AQ327" s="115"/>
      <c r="AR327" s="115"/>
      <c r="AS327" s="115"/>
      <c r="AT327" s="115"/>
      <c r="AU327" s="115"/>
      <c r="AV327" s="115"/>
    </row>
    <row r="328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  <c r="AA328" s="115"/>
      <c r="AB328" s="115"/>
      <c r="AC328" s="115"/>
      <c r="AD328" s="115"/>
      <c r="AE328" s="115"/>
      <c r="AF328" s="115"/>
      <c r="AG328" s="115"/>
      <c r="AH328" s="115"/>
      <c r="AI328" s="115"/>
      <c r="AJ328" s="115"/>
      <c r="AK328" s="115"/>
      <c r="AL328" s="115"/>
      <c r="AM328" s="115"/>
      <c r="AN328" s="115"/>
      <c r="AO328" s="115"/>
      <c r="AP328" s="115"/>
      <c r="AQ328" s="115"/>
      <c r="AR328" s="115"/>
      <c r="AS328" s="115"/>
      <c r="AT328" s="115"/>
      <c r="AU328" s="115"/>
      <c r="AV328" s="115"/>
    </row>
    <row r="329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  <c r="AA329" s="115"/>
      <c r="AB329" s="115"/>
      <c r="AC329" s="115"/>
      <c r="AD329" s="115"/>
      <c r="AE329" s="115"/>
      <c r="AF329" s="115"/>
      <c r="AG329" s="115"/>
      <c r="AH329" s="115"/>
      <c r="AI329" s="115"/>
      <c r="AJ329" s="115"/>
      <c r="AK329" s="115"/>
      <c r="AL329" s="115"/>
      <c r="AM329" s="115"/>
      <c r="AN329" s="115"/>
      <c r="AO329" s="115"/>
      <c r="AP329" s="115"/>
      <c r="AQ329" s="115"/>
      <c r="AR329" s="115"/>
      <c r="AS329" s="115"/>
      <c r="AT329" s="115"/>
      <c r="AU329" s="115"/>
      <c r="AV329" s="115"/>
    </row>
    <row r="330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  <c r="AA330" s="115"/>
      <c r="AB330" s="115"/>
      <c r="AC330" s="115"/>
      <c r="AD330" s="115"/>
      <c r="AE330" s="115"/>
      <c r="AF330" s="115"/>
      <c r="AG330" s="115"/>
      <c r="AH330" s="115"/>
      <c r="AI330" s="115"/>
      <c r="AJ330" s="115"/>
      <c r="AK330" s="115"/>
      <c r="AL330" s="115"/>
      <c r="AM330" s="115"/>
      <c r="AN330" s="115"/>
      <c r="AO330" s="115"/>
      <c r="AP330" s="115"/>
      <c r="AQ330" s="115"/>
      <c r="AR330" s="115"/>
      <c r="AS330" s="115"/>
      <c r="AT330" s="115"/>
      <c r="AU330" s="115"/>
      <c r="AV330" s="115"/>
    </row>
    <row r="331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  <c r="AA331" s="115"/>
      <c r="AB331" s="115"/>
      <c r="AC331" s="115"/>
      <c r="AD331" s="115"/>
      <c r="AE331" s="115"/>
      <c r="AF331" s="115"/>
      <c r="AG331" s="115"/>
      <c r="AH331" s="115"/>
      <c r="AI331" s="115"/>
      <c r="AJ331" s="115"/>
      <c r="AK331" s="115"/>
      <c r="AL331" s="115"/>
      <c r="AM331" s="115"/>
      <c r="AN331" s="115"/>
      <c r="AO331" s="115"/>
      <c r="AP331" s="115"/>
      <c r="AQ331" s="115"/>
      <c r="AR331" s="115"/>
      <c r="AS331" s="115"/>
      <c r="AT331" s="115"/>
      <c r="AU331" s="115"/>
      <c r="AV331" s="115"/>
    </row>
    <row r="332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  <c r="AA332" s="115"/>
      <c r="AB332" s="115"/>
      <c r="AC332" s="115"/>
      <c r="AD332" s="115"/>
      <c r="AE332" s="115"/>
      <c r="AF332" s="115"/>
      <c r="AG332" s="115"/>
      <c r="AH332" s="115"/>
      <c r="AI332" s="115"/>
      <c r="AJ332" s="115"/>
      <c r="AK332" s="115"/>
      <c r="AL332" s="115"/>
      <c r="AM332" s="115"/>
      <c r="AN332" s="115"/>
      <c r="AO332" s="115"/>
      <c r="AP332" s="115"/>
      <c r="AQ332" s="115"/>
      <c r="AR332" s="115"/>
      <c r="AS332" s="115"/>
      <c r="AT332" s="115"/>
      <c r="AU332" s="115"/>
      <c r="AV332" s="115"/>
    </row>
    <row r="333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  <c r="AA333" s="115"/>
      <c r="AB333" s="115"/>
      <c r="AC333" s="115"/>
      <c r="AD333" s="115"/>
      <c r="AE333" s="115"/>
      <c r="AF333" s="115"/>
      <c r="AG333" s="115"/>
      <c r="AH333" s="115"/>
      <c r="AI333" s="115"/>
      <c r="AJ333" s="115"/>
      <c r="AK333" s="115"/>
      <c r="AL333" s="115"/>
      <c r="AM333" s="115"/>
      <c r="AN333" s="115"/>
      <c r="AO333" s="115"/>
      <c r="AP333" s="115"/>
      <c r="AQ333" s="115"/>
      <c r="AR333" s="115"/>
      <c r="AS333" s="115"/>
      <c r="AT333" s="115"/>
      <c r="AU333" s="115"/>
      <c r="AV333" s="115"/>
    </row>
    <row r="334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  <c r="AA334" s="115"/>
      <c r="AB334" s="115"/>
      <c r="AC334" s="115"/>
      <c r="AD334" s="115"/>
      <c r="AE334" s="115"/>
      <c r="AF334" s="115"/>
      <c r="AG334" s="115"/>
      <c r="AH334" s="115"/>
      <c r="AI334" s="115"/>
      <c r="AJ334" s="115"/>
      <c r="AK334" s="115"/>
      <c r="AL334" s="115"/>
      <c r="AM334" s="115"/>
      <c r="AN334" s="115"/>
      <c r="AO334" s="115"/>
      <c r="AP334" s="115"/>
      <c r="AQ334" s="115"/>
      <c r="AR334" s="115"/>
      <c r="AS334" s="115"/>
      <c r="AT334" s="115"/>
      <c r="AU334" s="115"/>
      <c r="AV334" s="115"/>
    </row>
    <row r="335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  <c r="AA335" s="115"/>
      <c r="AB335" s="115"/>
      <c r="AC335" s="115"/>
      <c r="AD335" s="115"/>
      <c r="AE335" s="115"/>
      <c r="AF335" s="115"/>
      <c r="AG335" s="115"/>
      <c r="AH335" s="115"/>
      <c r="AI335" s="115"/>
      <c r="AJ335" s="115"/>
      <c r="AK335" s="115"/>
      <c r="AL335" s="115"/>
      <c r="AM335" s="115"/>
      <c r="AN335" s="115"/>
      <c r="AO335" s="115"/>
      <c r="AP335" s="115"/>
      <c r="AQ335" s="115"/>
      <c r="AR335" s="115"/>
      <c r="AS335" s="115"/>
      <c r="AT335" s="115"/>
      <c r="AU335" s="115"/>
      <c r="AV335" s="115"/>
    </row>
    <row r="336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  <c r="AA336" s="115"/>
      <c r="AB336" s="115"/>
      <c r="AC336" s="115"/>
      <c r="AD336" s="115"/>
      <c r="AE336" s="115"/>
      <c r="AF336" s="115"/>
      <c r="AG336" s="115"/>
      <c r="AH336" s="115"/>
      <c r="AI336" s="115"/>
      <c r="AJ336" s="115"/>
      <c r="AK336" s="115"/>
      <c r="AL336" s="115"/>
      <c r="AM336" s="115"/>
      <c r="AN336" s="115"/>
      <c r="AO336" s="115"/>
      <c r="AP336" s="115"/>
      <c r="AQ336" s="115"/>
      <c r="AR336" s="115"/>
      <c r="AS336" s="115"/>
      <c r="AT336" s="115"/>
      <c r="AU336" s="115"/>
      <c r="AV336" s="115"/>
    </row>
    <row r="337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  <c r="AA337" s="115"/>
      <c r="AB337" s="115"/>
      <c r="AC337" s="115"/>
      <c r="AD337" s="115"/>
      <c r="AE337" s="115"/>
      <c r="AF337" s="115"/>
      <c r="AG337" s="115"/>
      <c r="AH337" s="115"/>
      <c r="AI337" s="115"/>
      <c r="AJ337" s="115"/>
      <c r="AK337" s="115"/>
      <c r="AL337" s="115"/>
      <c r="AM337" s="115"/>
      <c r="AN337" s="115"/>
      <c r="AO337" s="115"/>
      <c r="AP337" s="115"/>
      <c r="AQ337" s="115"/>
      <c r="AR337" s="115"/>
      <c r="AS337" s="115"/>
      <c r="AT337" s="115"/>
      <c r="AU337" s="115"/>
      <c r="AV337" s="115"/>
    </row>
    <row r="338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  <c r="AA338" s="115"/>
      <c r="AB338" s="115"/>
      <c r="AC338" s="115"/>
      <c r="AD338" s="115"/>
      <c r="AE338" s="115"/>
      <c r="AF338" s="115"/>
      <c r="AG338" s="115"/>
      <c r="AH338" s="115"/>
      <c r="AI338" s="115"/>
      <c r="AJ338" s="115"/>
      <c r="AK338" s="115"/>
      <c r="AL338" s="115"/>
      <c r="AM338" s="115"/>
      <c r="AN338" s="115"/>
      <c r="AO338" s="115"/>
      <c r="AP338" s="115"/>
      <c r="AQ338" s="115"/>
      <c r="AR338" s="115"/>
      <c r="AS338" s="115"/>
      <c r="AT338" s="115"/>
      <c r="AU338" s="115"/>
      <c r="AV338" s="115"/>
    </row>
    <row r="339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  <c r="AA339" s="115"/>
      <c r="AB339" s="115"/>
      <c r="AC339" s="115"/>
      <c r="AD339" s="115"/>
      <c r="AE339" s="115"/>
      <c r="AF339" s="115"/>
      <c r="AG339" s="115"/>
      <c r="AH339" s="115"/>
      <c r="AI339" s="115"/>
      <c r="AJ339" s="115"/>
      <c r="AK339" s="115"/>
      <c r="AL339" s="115"/>
      <c r="AM339" s="115"/>
      <c r="AN339" s="115"/>
      <c r="AO339" s="115"/>
      <c r="AP339" s="115"/>
      <c r="AQ339" s="115"/>
      <c r="AR339" s="115"/>
      <c r="AS339" s="115"/>
      <c r="AT339" s="115"/>
      <c r="AU339" s="115"/>
      <c r="AV339" s="115"/>
    </row>
    <row r="340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  <c r="AA340" s="115"/>
      <c r="AB340" s="115"/>
      <c r="AC340" s="115"/>
      <c r="AD340" s="115"/>
      <c r="AE340" s="115"/>
      <c r="AF340" s="115"/>
      <c r="AG340" s="115"/>
      <c r="AH340" s="115"/>
      <c r="AI340" s="115"/>
      <c r="AJ340" s="115"/>
      <c r="AK340" s="115"/>
      <c r="AL340" s="115"/>
      <c r="AM340" s="115"/>
      <c r="AN340" s="115"/>
      <c r="AO340" s="115"/>
      <c r="AP340" s="115"/>
      <c r="AQ340" s="115"/>
      <c r="AR340" s="115"/>
      <c r="AS340" s="115"/>
      <c r="AT340" s="115"/>
      <c r="AU340" s="115"/>
      <c r="AV340" s="115"/>
    </row>
    <row r="341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  <c r="AA341" s="115"/>
      <c r="AB341" s="115"/>
      <c r="AC341" s="115"/>
      <c r="AD341" s="115"/>
      <c r="AE341" s="115"/>
      <c r="AF341" s="115"/>
      <c r="AG341" s="115"/>
      <c r="AH341" s="115"/>
      <c r="AI341" s="115"/>
      <c r="AJ341" s="115"/>
      <c r="AK341" s="115"/>
      <c r="AL341" s="115"/>
      <c r="AM341" s="115"/>
      <c r="AN341" s="115"/>
      <c r="AO341" s="115"/>
      <c r="AP341" s="115"/>
      <c r="AQ341" s="115"/>
      <c r="AR341" s="115"/>
      <c r="AS341" s="115"/>
      <c r="AT341" s="115"/>
      <c r="AU341" s="115"/>
      <c r="AV341" s="115"/>
    </row>
    <row r="342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  <c r="AA342" s="115"/>
      <c r="AB342" s="115"/>
      <c r="AC342" s="115"/>
      <c r="AD342" s="115"/>
      <c r="AE342" s="115"/>
      <c r="AF342" s="115"/>
      <c r="AG342" s="115"/>
      <c r="AH342" s="115"/>
      <c r="AI342" s="115"/>
      <c r="AJ342" s="115"/>
      <c r="AK342" s="115"/>
      <c r="AL342" s="115"/>
      <c r="AM342" s="115"/>
      <c r="AN342" s="115"/>
      <c r="AO342" s="115"/>
      <c r="AP342" s="115"/>
      <c r="AQ342" s="115"/>
      <c r="AR342" s="115"/>
      <c r="AS342" s="115"/>
      <c r="AT342" s="115"/>
      <c r="AU342" s="115"/>
      <c r="AV342" s="115"/>
    </row>
    <row r="343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  <c r="AA343" s="115"/>
      <c r="AB343" s="115"/>
      <c r="AC343" s="115"/>
      <c r="AD343" s="115"/>
      <c r="AE343" s="115"/>
      <c r="AF343" s="115"/>
      <c r="AG343" s="115"/>
      <c r="AH343" s="115"/>
      <c r="AI343" s="115"/>
      <c r="AJ343" s="115"/>
      <c r="AK343" s="115"/>
      <c r="AL343" s="115"/>
      <c r="AM343" s="115"/>
      <c r="AN343" s="115"/>
      <c r="AO343" s="115"/>
      <c r="AP343" s="115"/>
      <c r="AQ343" s="115"/>
      <c r="AR343" s="115"/>
      <c r="AS343" s="115"/>
      <c r="AT343" s="115"/>
      <c r="AU343" s="115"/>
      <c r="AV343" s="115"/>
    </row>
    <row r="344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  <c r="AA344" s="115"/>
      <c r="AB344" s="115"/>
      <c r="AC344" s="115"/>
      <c r="AD344" s="115"/>
      <c r="AE344" s="115"/>
      <c r="AF344" s="115"/>
      <c r="AG344" s="115"/>
      <c r="AH344" s="115"/>
      <c r="AI344" s="115"/>
      <c r="AJ344" s="115"/>
      <c r="AK344" s="115"/>
      <c r="AL344" s="115"/>
      <c r="AM344" s="115"/>
      <c r="AN344" s="115"/>
      <c r="AO344" s="115"/>
      <c r="AP344" s="115"/>
      <c r="AQ344" s="115"/>
      <c r="AR344" s="115"/>
      <c r="AS344" s="115"/>
      <c r="AT344" s="115"/>
      <c r="AU344" s="115"/>
      <c r="AV344" s="115"/>
    </row>
    <row r="345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  <c r="AA345" s="115"/>
      <c r="AB345" s="115"/>
      <c r="AC345" s="115"/>
      <c r="AD345" s="115"/>
      <c r="AE345" s="115"/>
      <c r="AF345" s="115"/>
      <c r="AG345" s="115"/>
      <c r="AH345" s="115"/>
      <c r="AI345" s="115"/>
      <c r="AJ345" s="115"/>
      <c r="AK345" s="115"/>
      <c r="AL345" s="115"/>
      <c r="AM345" s="115"/>
      <c r="AN345" s="115"/>
      <c r="AO345" s="115"/>
      <c r="AP345" s="115"/>
      <c r="AQ345" s="115"/>
      <c r="AR345" s="115"/>
      <c r="AS345" s="115"/>
      <c r="AT345" s="115"/>
      <c r="AU345" s="115"/>
      <c r="AV345" s="115"/>
    </row>
    <row r="346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  <c r="AA346" s="115"/>
      <c r="AB346" s="115"/>
      <c r="AC346" s="115"/>
      <c r="AD346" s="115"/>
      <c r="AE346" s="115"/>
      <c r="AF346" s="115"/>
      <c r="AG346" s="115"/>
      <c r="AH346" s="115"/>
      <c r="AI346" s="115"/>
      <c r="AJ346" s="115"/>
      <c r="AK346" s="115"/>
      <c r="AL346" s="115"/>
      <c r="AM346" s="115"/>
      <c r="AN346" s="115"/>
      <c r="AO346" s="115"/>
      <c r="AP346" s="115"/>
      <c r="AQ346" s="115"/>
      <c r="AR346" s="115"/>
      <c r="AS346" s="115"/>
      <c r="AT346" s="115"/>
      <c r="AU346" s="115"/>
      <c r="AV346" s="115"/>
    </row>
    <row r="347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  <c r="AA347" s="115"/>
      <c r="AB347" s="115"/>
      <c r="AC347" s="115"/>
      <c r="AD347" s="115"/>
      <c r="AE347" s="115"/>
      <c r="AF347" s="115"/>
      <c r="AG347" s="115"/>
      <c r="AH347" s="115"/>
      <c r="AI347" s="115"/>
      <c r="AJ347" s="115"/>
      <c r="AK347" s="115"/>
      <c r="AL347" s="115"/>
      <c r="AM347" s="115"/>
      <c r="AN347" s="115"/>
      <c r="AO347" s="115"/>
      <c r="AP347" s="115"/>
      <c r="AQ347" s="115"/>
      <c r="AR347" s="115"/>
      <c r="AS347" s="115"/>
      <c r="AT347" s="115"/>
      <c r="AU347" s="115"/>
      <c r="AV347" s="115"/>
    </row>
    <row r="348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  <c r="AA348" s="115"/>
      <c r="AB348" s="115"/>
      <c r="AC348" s="115"/>
      <c r="AD348" s="115"/>
      <c r="AE348" s="115"/>
      <c r="AF348" s="115"/>
      <c r="AG348" s="115"/>
      <c r="AH348" s="115"/>
      <c r="AI348" s="115"/>
      <c r="AJ348" s="115"/>
      <c r="AK348" s="115"/>
      <c r="AL348" s="115"/>
      <c r="AM348" s="115"/>
      <c r="AN348" s="115"/>
      <c r="AO348" s="115"/>
      <c r="AP348" s="115"/>
      <c r="AQ348" s="115"/>
      <c r="AR348" s="115"/>
      <c r="AS348" s="115"/>
      <c r="AT348" s="115"/>
      <c r="AU348" s="115"/>
      <c r="AV348" s="115"/>
    </row>
    <row r="349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  <c r="AA349" s="115"/>
      <c r="AB349" s="115"/>
      <c r="AC349" s="115"/>
      <c r="AD349" s="115"/>
      <c r="AE349" s="115"/>
      <c r="AF349" s="115"/>
      <c r="AG349" s="115"/>
      <c r="AH349" s="115"/>
      <c r="AI349" s="115"/>
      <c r="AJ349" s="115"/>
      <c r="AK349" s="115"/>
      <c r="AL349" s="115"/>
      <c r="AM349" s="115"/>
      <c r="AN349" s="115"/>
      <c r="AO349" s="115"/>
      <c r="AP349" s="115"/>
      <c r="AQ349" s="115"/>
      <c r="AR349" s="115"/>
      <c r="AS349" s="115"/>
      <c r="AT349" s="115"/>
      <c r="AU349" s="115"/>
      <c r="AV349" s="115"/>
    </row>
    <row r="350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  <c r="AA350" s="115"/>
      <c r="AB350" s="115"/>
      <c r="AC350" s="115"/>
      <c r="AD350" s="115"/>
      <c r="AE350" s="115"/>
      <c r="AF350" s="115"/>
      <c r="AG350" s="115"/>
      <c r="AH350" s="115"/>
      <c r="AI350" s="115"/>
      <c r="AJ350" s="115"/>
      <c r="AK350" s="115"/>
      <c r="AL350" s="115"/>
      <c r="AM350" s="115"/>
      <c r="AN350" s="115"/>
      <c r="AO350" s="115"/>
      <c r="AP350" s="115"/>
      <c r="AQ350" s="115"/>
      <c r="AR350" s="115"/>
      <c r="AS350" s="115"/>
      <c r="AT350" s="115"/>
      <c r="AU350" s="115"/>
      <c r="AV350" s="115"/>
    </row>
    <row r="351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  <c r="AA351" s="115"/>
      <c r="AB351" s="115"/>
      <c r="AC351" s="115"/>
      <c r="AD351" s="115"/>
      <c r="AE351" s="115"/>
      <c r="AF351" s="115"/>
      <c r="AG351" s="115"/>
      <c r="AH351" s="115"/>
      <c r="AI351" s="115"/>
      <c r="AJ351" s="115"/>
      <c r="AK351" s="115"/>
      <c r="AL351" s="115"/>
      <c r="AM351" s="115"/>
      <c r="AN351" s="115"/>
      <c r="AO351" s="115"/>
      <c r="AP351" s="115"/>
      <c r="AQ351" s="115"/>
      <c r="AR351" s="115"/>
      <c r="AS351" s="115"/>
      <c r="AT351" s="115"/>
      <c r="AU351" s="115"/>
      <c r="AV351" s="115"/>
    </row>
    <row r="352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  <c r="AA352" s="115"/>
      <c r="AB352" s="115"/>
      <c r="AC352" s="115"/>
      <c r="AD352" s="115"/>
      <c r="AE352" s="115"/>
      <c r="AF352" s="115"/>
      <c r="AG352" s="115"/>
      <c r="AH352" s="115"/>
      <c r="AI352" s="115"/>
      <c r="AJ352" s="115"/>
      <c r="AK352" s="115"/>
      <c r="AL352" s="115"/>
      <c r="AM352" s="115"/>
      <c r="AN352" s="115"/>
      <c r="AO352" s="115"/>
      <c r="AP352" s="115"/>
      <c r="AQ352" s="115"/>
      <c r="AR352" s="115"/>
      <c r="AS352" s="115"/>
      <c r="AT352" s="115"/>
      <c r="AU352" s="115"/>
      <c r="AV352" s="115"/>
    </row>
    <row r="353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  <c r="AA353" s="115"/>
      <c r="AB353" s="115"/>
      <c r="AC353" s="115"/>
      <c r="AD353" s="115"/>
      <c r="AE353" s="115"/>
      <c r="AF353" s="115"/>
      <c r="AG353" s="115"/>
      <c r="AH353" s="115"/>
      <c r="AI353" s="115"/>
      <c r="AJ353" s="115"/>
      <c r="AK353" s="115"/>
      <c r="AL353" s="115"/>
      <c r="AM353" s="115"/>
      <c r="AN353" s="115"/>
      <c r="AO353" s="115"/>
      <c r="AP353" s="115"/>
      <c r="AQ353" s="115"/>
      <c r="AR353" s="115"/>
      <c r="AS353" s="115"/>
      <c r="AT353" s="115"/>
      <c r="AU353" s="115"/>
      <c r="AV353" s="115"/>
    </row>
    <row r="354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  <c r="AA354" s="115"/>
      <c r="AB354" s="115"/>
      <c r="AC354" s="115"/>
      <c r="AD354" s="115"/>
      <c r="AE354" s="115"/>
      <c r="AF354" s="115"/>
      <c r="AG354" s="115"/>
      <c r="AH354" s="115"/>
      <c r="AI354" s="115"/>
      <c r="AJ354" s="115"/>
      <c r="AK354" s="115"/>
      <c r="AL354" s="115"/>
      <c r="AM354" s="115"/>
      <c r="AN354" s="115"/>
      <c r="AO354" s="115"/>
      <c r="AP354" s="115"/>
      <c r="AQ354" s="115"/>
      <c r="AR354" s="115"/>
      <c r="AS354" s="115"/>
      <c r="AT354" s="115"/>
      <c r="AU354" s="115"/>
      <c r="AV354" s="115"/>
    </row>
    <row r="355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  <c r="AA355" s="115"/>
      <c r="AB355" s="115"/>
      <c r="AC355" s="115"/>
      <c r="AD355" s="115"/>
      <c r="AE355" s="115"/>
      <c r="AF355" s="115"/>
      <c r="AG355" s="115"/>
      <c r="AH355" s="115"/>
      <c r="AI355" s="115"/>
      <c r="AJ355" s="115"/>
      <c r="AK355" s="115"/>
      <c r="AL355" s="115"/>
      <c r="AM355" s="115"/>
      <c r="AN355" s="115"/>
      <c r="AO355" s="115"/>
      <c r="AP355" s="115"/>
      <c r="AQ355" s="115"/>
      <c r="AR355" s="115"/>
      <c r="AS355" s="115"/>
      <c r="AT355" s="115"/>
      <c r="AU355" s="115"/>
      <c r="AV355" s="115"/>
    </row>
    <row r="356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  <c r="AA356" s="115"/>
      <c r="AB356" s="115"/>
      <c r="AC356" s="115"/>
      <c r="AD356" s="115"/>
      <c r="AE356" s="115"/>
      <c r="AF356" s="115"/>
      <c r="AG356" s="115"/>
      <c r="AH356" s="115"/>
      <c r="AI356" s="115"/>
      <c r="AJ356" s="115"/>
      <c r="AK356" s="115"/>
      <c r="AL356" s="115"/>
      <c r="AM356" s="115"/>
      <c r="AN356" s="115"/>
      <c r="AO356" s="115"/>
      <c r="AP356" s="115"/>
      <c r="AQ356" s="115"/>
      <c r="AR356" s="115"/>
      <c r="AS356" s="115"/>
      <c r="AT356" s="115"/>
      <c r="AU356" s="115"/>
      <c r="AV356" s="115"/>
    </row>
    <row r="357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  <c r="AA357" s="115"/>
      <c r="AB357" s="115"/>
      <c r="AC357" s="115"/>
      <c r="AD357" s="115"/>
      <c r="AE357" s="115"/>
      <c r="AF357" s="115"/>
      <c r="AG357" s="115"/>
      <c r="AH357" s="115"/>
      <c r="AI357" s="115"/>
      <c r="AJ357" s="115"/>
      <c r="AK357" s="115"/>
      <c r="AL357" s="115"/>
      <c r="AM357" s="115"/>
      <c r="AN357" s="115"/>
      <c r="AO357" s="115"/>
      <c r="AP357" s="115"/>
      <c r="AQ357" s="115"/>
      <c r="AR357" s="115"/>
      <c r="AS357" s="115"/>
      <c r="AT357" s="115"/>
      <c r="AU357" s="115"/>
      <c r="AV357" s="115"/>
    </row>
    <row r="358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  <c r="AA358" s="115"/>
      <c r="AB358" s="115"/>
      <c r="AC358" s="115"/>
      <c r="AD358" s="115"/>
      <c r="AE358" s="115"/>
      <c r="AF358" s="115"/>
      <c r="AG358" s="115"/>
      <c r="AH358" s="115"/>
      <c r="AI358" s="115"/>
      <c r="AJ358" s="115"/>
      <c r="AK358" s="115"/>
      <c r="AL358" s="115"/>
      <c r="AM358" s="115"/>
      <c r="AN358" s="115"/>
      <c r="AO358" s="115"/>
      <c r="AP358" s="115"/>
      <c r="AQ358" s="115"/>
      <c r="AR358" s="115"/>
      <c r="AS358" s="115"/>
      <c r="AT358" s="115"/>
      <c r="AU358" s="115"/>
      <c r="AV358" s="115"/>
    </row>
    <row r="359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  <c r="AA359" s="115"/>
      <c r="AB359" s="115"/>
      <c r="AC359" s="115"/>
      <c r="AD359" s="115"/>
      <c r="AE359" s="115"/>
      <c r="AF359" s="115"/>
      <c r="AG359" s="115"/>
      <c r="AH359" s="115"/>
      <c r="AI359" s="115"/>
      <c r="AJ359" s="115"/>
      <c r="AK359" s="115"/>
      <c r="AL359" s="115"/>
      <c r="AM359" s="115"/>
      <c r="AN359" s="115"/>
      <c r="AO359" s="115"/>
      <c r="AP359" s="115"/>
      <c r="AQ359" s="115"/>
      <c r="AR359" s="115"/>
      <c r="AS359" s="115"/>
      <c r="AT359" s="115"/>
      <c r="AU359" s="115"/>
      <c r="AV359" s="115"/>
    </row>
    <row r="360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  <c r="AA360" s="115"/>
      <c r="AB360" s="115"/>
      <c r="AC360" s="115"/>
      <c r="AD360" s="115"/>
      <c r="AE360" s="115"/>
      <c r="AF360" s="115"/>
      <c r="AG360" s="115"/>
      <c r="AH360" s="115"/>
      <c r="AI360" s="115"/>
      <c r="AJ360" s="115"/>
      <c r="AK360" s="115"/>
      <c r="AL360" s="115"/>
      <c r="AM360" s="115"/>
      <c r="AN360" s="115"/>
      <c r="AO360" s="115"/>
      <c r="AP360" s="115"/>
      <c r="AQ360" s="115"/>
      <c r="AR360" s="115"/>
      <c r="AS360" s="115"/>
      <c r="AT360" s="115"/>
      <c r="AU360" s="115"/>
      <c r="AV360" s="115"/>
    </row>
    <row r="361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  <c r="AA361" s="115"/>
      <c r="AB361" s="115"/>
      <c r="AC361" s="115"/>
      <c r="AD361" s="115"/>
      <c r="AE361" s="115"/>
      <c r="AF361" s="115"/>
      <c r="AG361" s="115"/>
      <c r="AH361" s="115"/>
      <c r="AI361" s="115"/>
      <c r="AJ361" s="115"/>
      <c r="AK361" s="115"/>
      <c r="AL361" s="115"/>
      <c r="AM361" s="115"/>
      <c r="AN361" s="115"/>
      <c r="AO361" s="115"/>
      <c r="AP361" s="115"/>
      <c r="AQ361" s="115"/>
      <c r="AR361" s="115"/>
      <c r="AS361" s="115"/>
      <c r="AT361" s="115"/>
      <c r="AU361" s="115"/>
      <c r="AV361" s="115"/>
    </row>
    <row r="362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  <c r="AA362" s="115"/>
      <c r="AB362" s="115"/>
      <c r="AC362" s="115"/>
      <c r="AD362" s="115"/>
      <c r="AE362" s="115"/>
      <c r="AF362" s="115"/>
      <c r="AG362" s="115"/>
      <c r="AH362" s="115"/>
      <c r="AI362" s="115"/>
      <c r="AJ362" s="115"/>
      <c r="AK362" s="115"/>
      <c r="AL362" s="115"/>
      <c r="AM362" s="115"/>
      <c r="AN362" s="115"/>
      <c r="AO362" s="115"/>
      <c r="AP362" s="115"/>
      <c r="AQ362" s="115"/>
      <c r="AR362" s="115"/>
      <c r="AS362" s="115"/>
      <c r="AT362" s="115"/>
      <c r="AU362" s="115"/>
      <c r="AV362" s="115"/>
    </row>
    <row r="363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  <c r="AA363" s="115"/>
      <c r="AB363" s="115"/>
      <c r="AC363" s="115"/>
      <c r="AD363" s="115"/>
      <c r="AE363" s="115"/>
      <c r="AF363" s="115"/>
      <c r="AG363" s="115"/>
      <c r="AH363" s="115"/>
      <c r="AI363" s="115"/>
      <c r="AJ363" s="115"/>
      <c r="AK363" s="115"/>
      <c r="AL363" s="115"/>
      <c r="AM363" s="115"/>
      <c r="AN363" s="115"/>
      <c r="AO363" s="115"/>
      <c r="AP363" s="115"/>
      <c r="AQ363" s="115"/>
      <c r="AR363" s="115"/>
      <c r="AS363" s="115"/>
      <c r="AT363" s="115"/>
      <c r="AU363" s="115"/>
      <c r="AV363" s="115"/>
    </row>
    <row r="364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  <c r="AA364" s="115"/>
      <c r="AB364" s="115"/>
      <c r="AC364" s="115"/>
      <c r="AD364" s="115"/>
      <c r="AE364" s="115"/>
      <c r="AF364" s="115"/>
      <c r="AG364" s="115"/>
      <c r="AH364" s="115"/>
      <c r="AI364" s="115"/>
      <c r="AJ364" s="115"/>
      <c r="AK364" s="115"/>
      <c r="AL364" s="115"/>
      <c r="AM364" s="115"/>
      <c r="AN364" s="115"/>
      <c r="AO364" s="115"/>
      <c r="AP364" s="115"/>
      <c r="AQ364" s="115"/>
      <c r="AR364" s="115"/>
      <c r="AS364" s="115"/>
      <c r="AT364" s="115"/>
      <c r="AU364" s="115"/>
      <c r="AV364" s="115"/>
    </row>
    <row r="365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  <c r="AA365" s="115"/>
      <c r="AB365" s="115"/>
      <c r="AC365" s="115"/>
      <c r="AD365" s="115"/>
      <c r="AE365" s="115"/>
      <c r="AF365" s="115"/>
      <c r="AG365" s="115"/>
      <c r="AH365" s="115"/>
      <c r="AI365" s="115"/>
      <c r="AJ365" s="115"/>
      <c r="AK365" s="115"/>
      <c r="AL365" s="115"/>
      <c r="AM365" s="115"/>
      <c r="AN365" s="115"/>
      <c r="AO365" s="115"/>
      <c r="AP365" s="115"/>
      <c r="AQ365" s="115"/>
      <c r="AR365" s="115"/>
      <c r="AS365" s="115"/>
      <c r="AT365" s="115"/>
      <c r="AU365" s="115"/>
      <c r="AV365" s="115"/>
    </row>
    <row r="366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  <c r="AA366" s="115"/>
      <c r="AB366" s="115"/>
      <c r="AC366" s="115"/>
      <c r="AD366" s="115"/>
      <c r="AE366" s="115"/>
      <c r="AF366" s="115"/>
      <c r="AG366" s="115"/>
      <c r="AH366" s="115"/>
      <c r="AI366" s="115"/>
      <c r="AJ366" s="115"/>
      <c r="AK366" s="115"/>
      <c r="AL366" s="115"/>
      <c r="AM366" s="115"/>
      <c r="AN366" s="115"/>
      <c r="AO366" s="115"/>
      <c r="AP366" s="115"/>
      <c r="AQ366" s="115"/>
      <c r="AR366" s="115"/>
      <c r="AS366" s="115"/>
      <c r="AT366" s="115"/>
      <c r="AU366" s="115"/>
      <c r="AV366" s="115"/>
    </row>
    <row r="367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  <c r="AA367" s="115"/>
      <c r="AB367" s="115"/>
      <c r="AC367" s="115"/>
      <c r="AD367" s="115"/>
      <c r="AE367" s="115"/>
      <c r="AF367" s="115"/>
      <c r="AG367" s="115"/>
      <c r="AH367" s="115"/>
      <c r="AI367" s="115"/>
      <c r="AJ367" s="115"/>
      <c r="AK367" s="115"/>
      <c r="AL367" s="115"/>
      <c r="AM367" s="115"/>
      <c r="AN367" s="115"/>
      <c r="AO367" s="115"/>
      <c r="AP367" s="115"/>
      <c r="AQ367" s="115"/>
      <c r="AR367" s="115"/>
      <c r="AS367" s="115"/>
      <c r="AT367" s="115"/>
      <c r="AU367" s="115"/>
      <c r="AV367" s="115"/>
    </row>
    <row r="368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  <c r="AA368" s="115"/>
      <c r="AB368" s="115"/>
      <c r="AC368" s="115"/>
      <c r="AD368" s="115"/>
      <c r="AE368" s="115"/>
      <c r="AF368" s="115"/>
      <c r="AG368" s="115"/>
      <c r="AH368" s="115"/>
      <c r="AI368" s="115"/>
      <c r="AJ368" s="115"/>
      <c r="AK368" s="115"/>
      <c r="AL368" s="115"/>
      <c r="AM368" s="115"/>
      <c r="AN368" s="115"/>
      <c r="AO368" s="115"/>
      <c r="AP368" s="115"/>
      <c r="AQ368" s="115"/>
      <c r="AR368" s="115"/>
      <c r="AS368" s="115"/>
      <c r="AT368" s="115"/>
      <c r="AU368" s="115"/>
      <c r="AV368" s="115"/>
    </row>
    <row r="369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  <c r="AA369" s="115"/>
      <c r="AB369" s="115"/>
      <c r="AC369" s="115"/>
      <c r="AD369" s="115"/>
      <c r="AE369" s="115"/>
      <c r="AF369" s="115"/>
      <c r="AG369" s="115"/>
      <c r="AH369" s="115"/>
      <c r="AI369" s="115"/>
      <c r="AJ369" s="115"/>
      <c r="AK369" s="115"/>
      <c r="AL369" s="115"/>
      <c r="AM369" s="115"/>
      <c r="AN369" s="115"/>
      <c r="AO369" s="115"/>
      <c r="AP369" s="115"/>
      <c r="AQ369" s="115"/>
      <c r="AR369" s="115"/>
      <c r="AS369" s="115"/>
      <c r="AT369" s="115"/>
      <c r="AU369" s="115"/>
      <c r="AV369" s="115"/>
    </row>
    <row r="370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  <c r="AA370" s="115"/>
      <c r="AB370" s="115"/>
      <c r="AC370" s="115"/>
      <c r="AD370" s="115"/>
      <c r="AE370" s="115"/>
      <c r="AF370" s="115"/>
      <c r="AG370" s="115"/>
      <c r="AH370" s="115"/>
      <c r="AI370" s="115"/>
      <c r="AJ370" s="115"/>
      <c r="AK370" s="115"/>
      <c r="AL370" s="115"/>
      <c r="AM370" s="115"/>
      <c r="AN370" s="115"/>
      <c r="AO370" s="115"/>
      <c r="AP370" s="115"/>
      <c r="AQ370" s="115"/>
      <c r="AR370" s="115"/>
      <c r="AS370" s="115"/>
      <c r="AT370" s="115"/>
      <c r="AU370" s="115"/>
      <c r="AV370" s="115"/>
    </row>
    <row r="371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  <c r="AA371" s="115"/>
      <c r="AB371" s="115"/>
      <c r="AC371" s="115"/>
      <c r="AD371" s="115"/>
      <c r="AE371" s="115"/>
      <c r="AF371" s="115"/>
      <c r="AG371" s="115"/>
      <c r="AH371" s="115"/>
      <c r="AI371" s="115"/>
      <c r="AJ371" s="115"/>
      <c r="AK371" s="115"/>
      <c r="AL371" s="115"/>
      <c r="AM371" s="115"/>
      <c r="AN371" s="115"/>
      <c r="AO371" s="115"/>
      <c r="AP371" s="115"/>
      <c r="AQ371" s="115"/>
      <c r="AR371" s="115"/>
      <c r="AS371" s="115"/>
      <c r="AT371" s="115"/>
      <c r="AU371" s="115"/>
      <c r="AV371" s="115"/>
    </row>
    <row r="372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  <c r="AA372" s="115"/>
      <c r="AB372" s="115"/>
      <c r="AC372" s="115"/>
      <c r="AD372" s="115"/>
      <c r="AE372" s="115"/>
      <c r="AF372" s="115"/>
      <c r="AG372" s="115"/>
      <c r="AH372" s="115"/>
      <c r="AI372" s="115"/>
      <c r="AJ372" s="115"/>
      <c r="AK372" s="115"/>
      <c r="AL372" s="115"/>
      <c r="AM372" s="115"/>
      <c r="AN372" s="115"/>
      <c r="AO372" s="115"/>
      <c r="AP372" s="115"/>
      <c r="AQ372" s="115"/>
      <c r="AR372" s="115"/>
      <c r="AS372" s="115"/>
      <c r="AT372" s="115"/>
      <c r="AU372" s="115"/>
      <c r="AV372" s="115"/>
    </row>
    <row r="373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  <c r="AA373" s="115"/>
      <c r="AB373" s="115"/>
      <c r="AC373" s="115"/>
      <c r="AD373" s="115"/>
      <c r="AE373" s="115"/>
      <c r="AF373" s="115"/>
      <c r="AG373" s="115"/>
      <c r="AH373" s="115"/>
      <c r="AI373" s="115"/>
      <c r="AJ373" s="115"/>
      <c r="AK373" s="115"/>
      <c r="AL373" s="115"/>
      <c r="AM373" s="115"/>
      <c r="AN373" s="115"/>
      <c r="AO373" s="115"/>
      <c r="AP373" s="115"/>
      <c r="AQ373" s="115"/>
      <c r="AR373" s="115"/>
      <c r="AS373" s="115"/>
      <c r="AT373" s="115"/>
      <c r="AU373" s="115"/>
      <c r="AV373" s="115"/>
    </row>
    <row r="374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  <c r="AA374" s="115"/>
      <c r="AB374" s="115"/>
      <c r="AC374" s="115"/>
      <c r="AD374" s="115"/>
      <c r="AE374" s="115"/>
      <c r="AF374" s="115"/>
      <c r="AG374" s="115"/>
      <c r="AH374" s="115"/>
      <c r="AI374" s="115"/>
      <c r="AJ374" s="115"/>
      <c r="AK374" s="115"/>
      <c r="AL374" s="115"/>
      <c r="AM374" s="115"/>
      <c r="AN374" s="115"/>
      <c r="AO374" s="115"/>
      <c r="AP374" s="115"/>
      <c r="AQ374" s="115"/>
      <c r="AR374" s="115"/>
      <c r="AS374" s="115"/>
      <c r="AT374" s="115"/>
      <c r="AU374" s="115"/>
      <c r="AV374" s="115"/>
    </row>
    <row r="375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  <c r="AA375" s="115"/>
      <c r="AB375" s="115"/>
      <c r="AC375" s="115"/>
      <c r="AD375" s="115"/>
      <c r="AE375" s="115"/>
      <c r="AF375" s="115"/>
      <c r="AG375" s="115"/>
      <c r="AH375" s="115"/>
      <c r="AI375" s="115"/>
      <c r="AJ375" s="115"/>
      <c r="AK375" s="115"/>
      <c r="AL375" s="115"/>
      <c r="AM375" s="115"/>
      <c r="AN375" s="115"/>
      <c r="AO375" s="115"/>
      <c r="AP375" s="115"/>
      <c r="AQ375" s="115"/>
      <c r="AR375" s="115"/>
      <c r="AS375" s="115"/>
      <c r="AT375" s="115"/>
      <c r="AU375" s="115"/>
      <c r="AV375" s="115"/>
    </row>
    <row r="376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  <c r="AA376" s="115"/>
      <c r="AB376" s="115"/>
      <c r="AC376" s="115"/>
      <c r="AD376" s="115"/>
      <c r="AE376" s="115"/>
      <c r="AF376" s="115"/>
      <c r="AG376" s="115"/>
      <c r="AH376" s="115"/>
      <c r="AI376" s="115"/>
      <c r="AJ376" s="115"/>
      <c r="AK376" s="115"/>
      <c r="AL376" s="115"/>
      <c r="AM376" s="115"/>
      <c r="AN376" s="115"/>
      <c r="AO376" s="115"/>
      <c r="AP376" s="115"/>
      <c r="AQ376" s="115"/>
      <c r="AR376" s="115"/>
      <c r="AS376" s="115"/>
      <c r="AT376" s="115"/>
      <c r="AU376" s="115"/>
      <c r="AV376" s="115"/>
    </row>
    <row r="377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  <c r="AA377" s="115"/>
      <c r="AB377" s="115"/>
      <c r="AC377" s="115"/>
      <c r="AD377" s="115"/>
      <c r="AE377" s="115"/>
      <c r="AF377" s="115"/>
      <c r="AG377" s="115"/>
      <c r="AH377" s="115"/>
      <c r="AI377" s="115"/>
      <c r="AJ377" s="115"/>
      <c r="AK377" s="115"/>
      <c r="AL377" s="115"/>
      <c r="AM377" s="115"/>
      <c r="AN377" s="115"/>
      <c r="AO377" s="115"/>
      <c r="AP377" s="115"/>
      <c r="AQ377" s="115"/>
      <c r="AR377" s="115"/>
      <c r="AS377" s="115"/>
      <c r="AT377" s="115"/>
      <c r="AU377" s="115"/>
      <c r="AV377" s="115"/>
    </row>
    <row r="378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  <c r="AA378" s="115"/>
      <c r="AB378" s="115"/>
      <c r="AC378" s="115"/>
      <c r="AD378" s="115"/>
      <c r="AE378" s="115"/>
      <c r="AF378" s="115"/>
      <c r="AG378" s="115"/>
      <c r="AH378" s="115"/>
      <c r="AI378" s="115"/>
      <c r="AJ378" s="115"/>
      <c r="AK378" s="115"/>
      <c r="AL378" s="115"/>
      <c r="AM378" s="115"/>
      <c r="AN378" s="115"/>
      <c r="AO378" s="115"/>
      <c r="AP378" s="115"/>
      <c r="AQ378" s="115"/>
      <c r="AR378" s="115"/>
      <c r="AS378" s="115"/>
      <c r="AT378" s="115"/>
      <c r="AU378" s="115"/>
      <c r="AV378" s="115"/>
    </row>
    <row r="379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  <c r="AA379" s="115"/>
      <c r="AB379" s="115"/>
      <c r="AC379" s="115"/>
      <c r="AD379" s="115"/>
      <c r="AE379" s="115"/>
      <c r="AF379" s="115"/>
      <c r="AG379" s="115"/>
      <c r="AH379" s="115"/>
      <c r="AI379" s="115"/>
      <c r="AJ379" s="115"/>
      <c r="AK379" s="115"/>
      <c r="AL379" s="115"/>
      <c r="AM379" s="115"/>
      <c r="AN379" s="115"/>
      <c r="AO379" s="115"/>
      <c r="AP379" s="115"/>
      <c r="AQ379" s="115"/>
      <c r="AR379" s="115"/>
      <c r="AS379" s="115"/>
      <c r="AT379" s="115"/>
      <c r="AU379" s="115"/>
      <c r="AV379" s="115"/>
    </row>
    <row r="380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  <c r="AA380" s="115"/>
      <c r="AB380" s="115"/>
      <c r="AC380" s="115"/>
      <c r="AD380" s="115"/>
      <c r="AE380" s="115"/>
      <c r="AF380" s="115"/>
      <c r="AG380" s="115"/>
      <c r="AH380" s="115"/>
      <c r="AI380" s="115"/>
      <c r="AJ380" s="115"/>
      <c r="AK380" s="115"/>
      <c r="AL380" s="115"/>
      <c r="AM380" s="115"/>
      <c r="AN380" s="115"/>
      <c r="AO380" s="115"/>
      <c r="AP380" s="115"/>
      <c r="AQ380" s="115"/>
      <c r="AR380" s="115"/>
      <c r="AS380" s="115"/>
      <c r="AT380" s="115"/>
      <c r="AU380" s="115"/>
      <c r="AV380" s="115"/>
    </row>
    <row r="381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  <c r="AA381" s="115"/>
      <c r="AB381" s="115"/>
      <c r="AC381" s="115"/>
      <c r="AD381" s="115"/>
      <c r="AE381" s="115"/>
      <c r="AF381" s="115"/>
      <c r="AG381" s="115"/>
      <c r="AH381" s="115"/>
      <c r="AI381" s="115"/>
      <c r="AJ381" s="115"/>
      <c r="AK381" s="115"/>
      <c r="AL381" s="115"/>
      <c r="AM381" s="115"/>
      <c r="AN381" s="115"/>
      <c r="AO381" s="115"/>
      <c r="AP381" s="115"/>
      <c r="AQ381" s="115"/>
      <c r="AR381" s="115"/>
      <c r="AS381" s="115"/>
      <c r="AT381" s="115"/>
      <c r="AU381" s="115"/>
      <c r="AV381" s="115"/>
    </row>
    <row r="382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  <c r="AA382" s="115"/>
      <c r="AB382" s="115"/>
      <c r="AC382" s="115"/>
      <c r="AD382" s="115"/>
      <c r="AE382" s="115"/>
      <c r="AF382" s="115"/>
      <c r="AG382" s="115"/>
      <c r="AH382" s="115"/>
      <c r="AI382" s="115"/>
      <c r="AJ382" s="115"/>
      <c r="AK382" s="115"/>
      <c r="AL382" s="115"/>
      <c r="AM382" s="115"/>
      <c r="AN382" s="115"/>
      <c r="AO382" s="115"/>
      <c r="AP382" s="115"/>
      <c r="AQ382" s="115"/>
      <c r="AR382" s="115"/>
      <c r="AS382" s="115"/>
      <c r="AT382" s="115"/>
      <c r="AU382" s="115"/>
      <c r="AV382" s="115"/>
    </row>
    <row r="383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  <c r="AA383" s="115"/>
      <c r="AB383" s="115"/>
      <c r="AC383" s="115"/>
      <c r="AD383" s="115"/>
      <c r="AE383" s="115"/>
      <c r="AF383" s="115"/>
      <c r="AG383" s="115"/>
      <c r="AH383" s="115"/>
      <c r="AI383" s="115"/>
      <c r="AJ383" s="115"/>
      <c r="AK383" s="115"/>
      <c r="AL383" s="115"/>
      <c r="AM383" s="115"/>
      <c r="AN383" s="115"/>
      <c r="AO383" s="115"/>
      <c r="AP383" s="115"/>
      <c r="AQ383" s="115"/>
      <c r="AR383" s="115"/>
      <c r="AS383" s="115"/>
      <c r="AT383" s="115"/>
      <c r="AU383" s="115"/>
      <c r="AV383" s="115"/>
    </row>
    <row r="384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  <c r="AA384" s="115"/>
      <c r="AB384" s="115"/>
      <c r="AC384" s="115"/>
      <c r="AD384" s="115"/>
      <c r="AE384" s="115"/>
      <c r="AF384" s="115"/>
      <c r="AG384" s="115"/>
      <c r="AH384" s="115"/>
      <c r="AI384" s="115"/>
      <c r="AJ384" s="115"/>
      <c r="AK384" s="115"/>
      <c r="AL384" s="115"/>
      <c r="AM384" s="115"/>
      <c r="AN384" s="115"/>
      <c r="AO384" s="115"/>
      <c r="AP384" s="115"/>
      <c r="AQ384" s="115"/>
      <c r="AR384" s="115"/>
      <c r="AS384" s="115"/>
      <c r="AT384" s="115"/>
      <c r="AU384" s="115"/>
      <c r="AV384" s="115"/>
    </row>
    <row r="385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  <c r="AA385" s="115"/>
      <c r="AB385" s="115"/>
      <c r="AC385" s="115"/>
      <c r="AD385" s="115"/>
      <c r="AE385" s="115"/>
      <c r="AF385" s="115"/>
      <c r="AG385" s="115"/>
      <c r="AH385" s="115"/>
      <c r="AI385" s="115"/>
      <c r="AJ385" s="115"/>
      <c r="AK385" s="115"/>
      <c r="AL385" s="115"/>
      <c r="AM385" s="115"/>
      <c r="AN385" s="115"/>
      <c r="AO385" s="115"/>
      <c r="AP385" s="115"/>
      <c r="AQ385" s="115"/>
      <c r="AR385" s="115"/>
      <c r="AS385" s="115"/>
      <c r="AT385" s="115"/>
      <c r="AU385" s="115"/>
      <c r="AV385" s="115"/>
    </row>
    <row r="386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  <c r="AA386" s="115"/>
      <c r="AB386" s="115"/>
      <c r="AC386" s="115"/>
      <c r="AD386" s="115"/>
      <c r="AE386" s="115"/>
      <c r="AF386" s="115"/>
      <c r="AG386" s="115"/>
      <c r="AH386" s="115"/>
      <c r="AI386" s="115"/>
      <c r="AJ386" s="115"/>
      <c r="AK386" s="115"/>
      <c r="AL386" s="115"/>
      <c r="AM386" s="115"/>
      <c r="AN386" s="115"/>
      <c r="AO386" s="115"/>
      <c r="AP386" s="115"/>
      <c r="AQ386" s="115"/>
      <c r="AR386" s="115"/>
      <c r="AS386" s="115"/>
      <c r="AT386" s="115"/>
      <c r="AU386" s="115"/>
      <c r="AV386" s="115"/>
    </row>
    <row r="387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  <c r="AA387" s="115"/>
      <c r="AB387" s="115"/>
      <c r="AC387" s="115"/>
      <c r="AD387" s="115"/>
      <c r="AE387" s="115"/>
      <c r="AF387" s="115"/>
      <c r="AG387" s="115"/>
      <c r="AH387" s="115"/>
      <c r="AI387" s="115"/>
      <c r="AJ387" s="115"/>
      <c r="AK387" s="115"/>
      <c r="AL387" s="115"/>
      <c r="AM387" s="115"/>
      <c r="AN387" s="115"/>
      <c r="AO387" s="115"/>
      <c r="AP387" s="115"/>
      <c r="AQ387" s="115"/>
      <c r="AR387" s="115"/>
      <c r="AS387" s="115"/>
      <c r="AT387" s="115"/>
      <c r="AU387" s="115"/>
      <c r="AV387" s="115"/>
    </row>
    <row r="388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  <c r="AA388" s="115"/>
      <c r="AB388" s="115"/>
      <c r="AC388" s="115"/>
      <c r="AD388" s="115"/>
      <c r="AE388" s="115"/>
      <c r="AF388" s="115"/>
      <c r="AG388" s="115"/>
      <c r="AH388" s="115"/>
      <c r="AI388" s="115"/>
      <c r="AJ388" s="115"/>
      <c r="AK388" s="115"/>
      <c r="AL388" s="115"/>
      <c r="AM388" s="115"/>
      <c r="AN388" s="115"/>
      <c r="AO388" s="115"/>
      <c r="AP388" s="115"/>
      <c r="AQ388" s="115"/>
      <c r="AR388" s="115"/>
      <c r="AS388" s="115"/>
      <c r="AT388" s="115"/>
      <c r="AU388" s="115"/>
      <c r="AV388" s="115"/>
    </row>
    <row r="389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  <c r="AA389" s="115"/>
      <c r="AB389" s="115"/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115"/>
      <c r="AR389" s="115"/>
      <c r="AS389" s="115"/>
      <c r="AT389" s="115"/>
      <c r="AU389" s="115"/>
      <c r="AV389" s="115"/>
    </row>
    <row r="390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  <c r="AA390" s="115"/>
      <c r="AB390" s="115"/>
      <c r="AC390" s="115"/>
      <c r="AD390" s="115"/>
      <c r="AE390" s="115"/>
      <c r="AF390" s="115"/>
      <c r="AG390" s="115"/>
      <c r="AH390" s="115"/>
      <c r="AI390" s="115"/>
      <c r="AJ390" s="115"/>
      <c r="AK390" s="115"/>
      <c r="AL390" s="115"/>
      <c r="AM390" s="115"/>
      <c r="AN390" s="115"/>
      <c r="AO390" s="115"/>
      <c r="AP390" s="115"/>
      <c r="AQ390" s="115"/>
      <c r="AR390" s="115"/>
      <c r="AS390" s="115"/>
      <c r="AT390" s="115"/>
      <c r="AU390" s="115"/>
      <c r="AV390" s="115"/>
    </row>
    <row r="391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  <c r="AA391" s="115"/>
      <c r="AB391" s="115"/>
      <c r="AC391" s="115"/>
      <c r="AD391" s="115"/>
      <c r="AE391" s="115"/>
      <c r="AF391" s="115"/>
      <c r="AG391" s="115"/>
      <c r="AH391" s="115"/>
      <c r="AI391" s="115"/>
      <c r="AJ391" s="115"/>
      <c r="AK391" s="115"/>
      <c r="AL391" s="115"/>
      <c r="AM391" s="115"/>
      <c r="AN391" s="115"/>
      <c r="AO391" s="115"/>
      <c r="AP391" s="115"/>
      <c r="AQ391" s="115"/>
      <c r="AR391" s="115"/>
      <c r="AS391" s="115"/>
      <c r="AT391" s="115"/>
      <c r="AU391" s="115"/>
      <c r="AV391" s="115"/>
    </row>
    <row r="392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  <c r="AA392" s="115"/>
      <c r="AB392" s="115"/>
      <c r="AC392" s="115"/>
      <c r="AD392" s="115"/>
      <c r="AE392" s="115"/>
      <c r="AF392" s="115"/>
      <c r="AG392" s="115"/>
      <c r="AH392" s="115"/>
      <c r="AI392" s="115"/>
      <c r="AJ392" s="115"/>
      <c r="AK392" s="115"/>
      <c r="AL392" s="115"/>
      <c r="AM392" s="115"/>
      <c r="AN392" s="115"/>
      <c r="AO392" s="115"/>
      <c r="AP392" s="115"/>
      <c r="AQ392" s="115"/>
      <c r="AR392" s="115"/>
      <c r="AS392" s="115"/>
      <c r="AT392" s="115"/>
      <c r="AU392" s="115"/>
      <c r="AV392" s="115"/>
    </row>
    <row r="393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  <c r="AA393" s="115"/>
      <c r="AB393" s="115"/>
      <c r="AC393" s="115"/>
      <c r="AD393" s="115"/>
      <c r="AE393" s="115"/>
      <c r="AF393" s="115"/>
      <c r="AG393" s="115"/>
      <c r="AH393" s="115"/>
      <c r="AI393" s="115"/>
      <c r="AJ393" s="115"/>
      <c r="AK393" s="115"/>
      <c r="AL393" s="115"/>
      <c r="AM393" s="115"/>
      <c r="AN393" s="115"/>
      <c r="AO393" s="115"/>
      <c r="AP393" s="115"/>
      <c r="AQ393" s="115"/>
      <c r="AR393" s="115"/>
      <c r="AS393" s="115"/>
      <c r="AT393" s="115"/>
      <c r="AU393" s="115"/>
      <c r="AV393" s="115"/>
    </row>
    <row r="394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  <c r="AA394" s="115"/>
      <c r="AB394" s="115"/>
      <c r="AC394" s="115"/>
      <c r="AD394" s="115"/>
      <c r="AE394" s="115"/>
      <c r="AF394" s="115"/>
      <c r="AG394" s="115"/>
      <c r="AH394" s="115"/>
      <c r="AI394" s="115"/>
      <c r="AJ394" s="115"/>
      <c r="AK394" s="115"/>
      <c r="AL394" s="115"/>
      <c r="AM394" s="115"/>
      <c r="AN394" s="115"/>
      <c r="AO394" s="115"/>
      <c r="AP394" s="115"/>
      <c r="AQ394" s="115"/>
      <c r="AR394" s="115"/>
      <c r="AS394" s="115"/>
      <c r="AT394" s="115"/>
      <c r="AU394" s="115"/>
      <c r="AV394" s="115"/>
    </row>
    <row r="395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  <c r="AA395" s="115"/>
      <c r="AB395" s="115"/>
      <c r="AC395" s="115"/>
      <c r="AD395" s="115"/>
      <c r="AE395" s="115"/>
      <c r="AF395" s="115"/>
      <c r="AG395" s="115"/>
      <c r="AH395" s="115"/>
      <c r="AI395" s="115"/>
      <c r="AJ395" s="115"/>
      <c r="AK395" s="115"/>
      <c r="AL395" s="115"/>
      <c r="AM395" s="115"/>
      <c r="AN395" s="115"/>
      <c r="AO395" s="115"/>
      <c r="AP395" s="115"/>
      <c r="AQ395" s="115"/>
      <c r="AR395" s="115"/>
      <c r="AS395" s="115"/>
      <c r="AT395" s="115"/>
      <c r="AU395" s="115"/>
      <c r="AV395" s="115"/>
    </row>
    <row r="396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  <c r="AA396" s="115"/>
      <c r="AB396" s="115"/>
      <c r="AC396" s="115"/>
      <c r="AD396" s="115"/>
      <c r="AE396" s="115"/>
      <c r="AF396" s="115"/>
      <c r="AG396" s="115"/>
      <c r="AH396" s="115"/>
      <c r="AI396" s="115"/>
      <c r="AJ396" s="115"/>
      <c r="AK396" s="115"/>
      <c r="AL396" s="115"/>
      <c r="AM396" s="115"/>
      <c r="AN396" s="115"/>
      <c r="AO396" s="115"/>
      <c r="AP396" s="115"/>
      <c r="AQ396" s="115"/>
      <c r="AR396" s="115"/>
      <c r="AS396" s="115"/>
      <c r="AT396" s="115"/>
      <c r="AU396" s="115"/>
      <c r="AV396" s="115"/>
    </row>
    <row r="397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  <c r="AA397" s="115"/>
      <c r="AB397" s="115"/>
      <c r="AC397" s="115"/>
      <c r="AD397" s="115"/>
      <c r="AE397" s="115"/>
      <c r="AF397" s="115"/>
      <c r="AG397" s="115"/>
      <c r="AH397" s="115"/>
      <c r="AI397" s="115"/>
      <c r="AJ397" s="115"/>
      <c r="AK397" s="115"/>
      <c r="AL397" s="115"/>
      <c r="AM397" s="115"/>
      <c r="AN397" s="115"/>
      <c r="AO397" s="115"/>
      <c r="AP397" s="115"/>
      <c r="AQ397" s="115"/>
      <c r="AR397" s="115"/>
      <c r="AS397" s="115"/>
      <c r="AT397" s="115"/>
      <c r="AU397" s="115"/>
      <c r="AV397" s="115"/>
    </row>
    <row r="398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  <c r="AA398" s="115"/>
      <c r="AB398" s="115"/>
      <c r="AC398" s="115"/>
      <c r="AD398" s="115"/>
      <c r="AE398" s="115"/>
      <c r="AF398" s="115"/>
      <c r="AG398" s="115"/>
      <c r="AH398" s="115"/>
      <c r="AI398" s="115"/>
      <c r="AJ398" s="115"/>
      <c r="AK398" s="115"/>
      <c r="AL398" s="115"/>
      <c r="AM398" s="115"/>
      <c r="AN398" s="115"/>
      <c r="AO398" s="115"/>
      <c r="AP398" s="115"/>
      <c r="AQ398" s="115"/>
      <c r="AR398" s="115"/>
      <c r="AS398" s="115"/>
      <c r="AT398" s="115"/>
      <c r="AU398" s="115"/>
      <c r="AV398" s="115"/>
    </row>
    <row r="399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  <c r="AA399" s="115"/>
      <c r="AB399" s="115"/>
      <c r="AC399" s="115"/>
      <c r="AD399" s="115"/>
      <c r="AE399" s="115"/>
      <c r="AF399" s="115"/>
      <c r="AG399" s="115"/>
      <c r="AH399" s="115"/>
      <c r="AI399" s="115"/>
      <c r="AJ399" s="115"/>
      <c r="AK399" s="115"/>
      <c r="AL399" s="115"/>
      <c r="AM399" s="115"/>
      <c r="AN399" s="115"/>
      <c r="AO399" s="115"/>
      <c r="AP399" s="115"/>
      <c r="AQ399" s="115"/>
      <c r="AR399" s="115"/>
      <c r="AS399" s="115"/>
      <c r="AT399" s="115"/>
      <c r="AU399" s="115"/>
      <c r="AV399" s="115"/>
    </row>
    <row r="400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  <c r="AA400" s="115"/>
      <c r="AB400" s="115"/>
      <c r="AC400" s="115"/>
      <c r="AD400" s="115"/>
      <c r="AE400" s="115"/>
      <c r="AF400" s="115"/>
      <c r="AG400" s="115"/>
      <c r="AH400" s="115"/>
      <c r="AI400" s="115"/>
      <c r="AJ400" s="115"/>
      <c r="AK400" s="115"/>
      <c r="AL400" s="115"/>
      <c r="AM400" s="115"/>
      <c r="AN400" s="115"/>
      <c r="AO400" s="115"/>
      <c r="AP400" s="115"/>
      <c r="AQ400" s="115"/>
      <c r="AR400" s="115"/>
      <c r="AS400" s="115"/>
      <c r="AT400" s="115"/>
      <c r="AU400" s="115"/>
      <c r="AV400" s="115"/>
    </row>
    <row r="401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  <c r="AA401" s="115"/>
      <c r="AB401" s="115"/>
      <c r="AC401" s="115"/>
      <c r="AD401" s="115"/>
      <c r="AE401" s="115"/>
      <c r="AF401" s="115"/>
      <c r="AG401" s="115"/>
      <c r="AH401" s="115"/>
      <c r="AI401" s="115"/>
      <c r="AJ401" s="115"/>
      <c r="AK401" s="115"/>
      <c r="AL401" s="115"/>
      <c r="AM401" s="115"/>
      <c r="AN401" s="115"/>
      <c r="AO401" s="115"/>
      <c r="AP401" s="115"/>
      <c r="AQ401" s="115"/>
      <c r="AR401" s="115"/>
      <c r="AS401" s="115"/>
      <c r="AT401" s="115"/>
      <c r="AU401" s="115"/>
      <c r="AV401" s="115"/>
    </row>
    <row r="402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  <c r="AA402" s="115"/>
      <c r="AB402" s="115"/>
      <c r="AC402" s="115"/>
      <c r="AD402" s="115"/>
      <c r="AE402" s="115"/>
      <c r="AF402" s="115"/>
      <c r="AG402" s="115"/>
      <c r="AH402" s="115"/>
      <c r="AI402" s="115"/>
      <c r="AJ402" s="115"/>
      <c r="AK402" s="115"/>
      <c r="AL402" s="115"/>
      <c r="AM402" s="115"/>
      <c r="AN402" s="115"/>
      <c r="AO402" s="115"/>
      <c r="AP402" s="115"/>
      <c r="AQ402" s="115"/>
      <c r="AR402" s="115"/>
      <c r="AS402" s="115"/>
      <c r="AT402" s="115"/>
      <c r="AU402" s="115"/>
      <c r="AV402" s="115"/>
    </row>
    <row r="403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  <c r="AA403" s="115"/>
      <c r="AB403" s="115"/>
      <c r="AC403" s="115"/>
      <c r="AD403" s="115"/>
      <c r="AE403" s="115"/>
      <c r="AF403" s="115"/>
      <c r="AG403" s="115"/>
      <c r="AH403" s="115"/>
      <c r="AI403" s="115"/>
      <c r="AJ403" s="115"/>
      <c r="AK403" s="115"/>
      <c r="AL403" s="115"/>
      <c r="AM403" s="115"/>
      <c r="AN403" s="115"/>
      <c r="AO403" s="115"/>
      <c r="AP403" s="115"/>
      <c r="AQ403" s="115"/>
      <c r="AR403" s="115"/>
      <c r="AS403" s="115"/>
      <c r="AT403" s="115"/>
      <c r="AU403" s="115"/>
      <c r="AV403" s="115"/>
    </row>
    <row r="404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  <c r="AA404" s="115"/>
      <c r="AB404" s="115"/>
      <c r="AC404" s="115"/>
      <c r="AD404" s="115"/>
      <c r="AE404" s="115"/>
      <c r="AF404" s="115"/>
      <c r="AG404" s="115"/>
      <c r="AH404" s="115"/>
      <c r="AI404" s="115"/>
      <c r="AJ404" s="115"/>
      <c r="AK404" s="115"/>
      <c r="AL404" s="115"/>
      <c r="AM404" s="115"/>
      <c r="AN404" s="115"/>
      <c r="AO404" s="115"/>
      <c r="AP404" s="115"/>
      <c r="AQ404" s="115"/>
      <c r="AR404" s="115"/>
      <c r="AS404" s="115"/>
      <c r="AT404" s="115"/>
      <c r="AU404" s="115"/>
      <c r="AV404" s="115"/>
    </row>
    <row r="405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  <c r="AA405" s="115"/>
      <c r="AB405" s="115"/>
      <c r="AC405" s="115"/>
      <c r="AD405" s="115"/>
      <c r="AE405" s="115"/>
      <c r="AF405" s="115"/>
      <c r="AG405" s="115"/>
      <c r="AH405" s="115"/>
      <c r="AI405" s="115"/>
      <c r="AJ405" s="115"/>
      <c r="AK405" s="115"/>
      <c r="AL405" s="115"/>
      <c r="AM405" s="115"/>
      <c r="AN405" s="115"/>
      <c r="AO405" s="115"/>
      <c r="AP405" s="115"/>
      <c r="AQ405" s="115"/>
      <c r="AR405" s="115"/>
      <c r="AS405" s="115"/>
      <c r="AT405" s="115"/>
      <c r="AU405" s="115"/>
      <c r="AV405" s="115"/>
    </row>
    <row r="406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  <c r="AA406" s="115"/>
      <c r="AB406" s="115"/>
      <c r="AC406" s="115"/>
      <c r="AD406" s="115"/>
      <c r="AE406" s="115"/>
      <c r="AF406" s="115"/>
      <c r="AG406" s="115"/>
      <c r="AH406" s="115"/>
      <c r="AI406" s="115"/>
      <c r="AJ406" s="115"/>
      <c r="AK406" s="115"/>
      <c r="AL406" s="115"/>
      <c r="AM406" s="115"/>
      <c r="AN406" s="115"/>
      <c r="AO406" s="115"/>
      <c r="AP406" s="115"/>
      <c r="AQ406" s="115"/>
      <c r="AR406" s="115"/>
      <c r="AS406" s="115"/>
      <c r="AT406" s="115"/>
      <c r="AU406" s="115"/>
      <c r="AV406" s="115"/>
    </row>
    <row r="407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  <c r="AA407" s="115"/>
      <c r="AB407" s="115"/>
      <c r="AC407" s="115"/>
      <c r="AD407" s="115"/>
      <c r="AE407" s="115"/>
      <c r="AF407" s="115"/>
      <c r="AG407" s="115"/>
      <c r="AH407" s="115"/>
      <c r="AI407" s="115"/>
      <c r="AJ407" s="115"/>
      <c r="AK407" s="115"/>
      <c r="AL407" s="115"/>
      <c r="AM407" s="115"/>
      <c r="AN407" s="115"/>
      <c r="AO407" s="115"/>
      <c r="AP407" s="115"/>
      <c r="AQ407" s="115"/>
      <c r="AR407" s="115"/>
      <c r="AS407" s="115"/>
      <c r="AT407" s="115"/>
      <c r="AU407" s="115"/>
      <c r="AV407" s="115"/>
    </row>
    <row r="408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  <c r="AA408" s="115"/>
      <c r="AB408" s="115"/>
      <c r="AC408" s="115"/>
      <c r="AD408" s="115"/>
      <c r="AE408" s="115"/>
      <c r="AF408" s="115"/>
      <c r="AG408" s="115"/>
      <c r="AH408" s="115"/>
      <c r="AI408" s="115"/>
      <c r="AJ408" s="115"/>
      <c r="AK408" s="115"/>
      <c r="AL408" s="115"/>
      <c r="AM408" s="115"/>
      <c r="AN408" s="115"/>
      <c r="AO408" s="115"/>
      <c r="AP408" s="115"/>
      <c r="AQ408" s="115"/>
      <c r="AR408" s="115"/>
      <c r="AS408" s="115"/>
      <c r="AT408" s="115"/>
      <c r="AU408" s="115"/>
      <c r="AV408" s="115"/>
    </row>
    <row r="409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  <c r="AA409" s="115"/>
      <c r="AB409" s="115"/>
      <c r="AC409" s="115"/>
      <c r="AD409" s="115"/>
      <c r="AE409" s="115"/>
      <c r="AF409" s="115"/>
      <c r="AG409" s="115"/>
      <c r="AH409" s="115"/>
      <c r="AI409" s="115"/>
      <c r="AJ409" s="115"/>
      <c r="AK409" s="115"/>
      <c r="AL409" s="115"/>
      <c r="AM409" s="115"/>
      <c r="AN409" s="115"/>
      <c r="AO409" s="115"/>
      <c r="AP409" s="115"/>
      <c r="AQ409" s="115"/>
      <c r="AR409" s="115"/>
      <c r="AS409" s="115"/>
      <c r="AT409" s="115"/>
      <c r="AU409" s="115"/>
      <c r="AV409" s="115"/>
    </row>
    <row r="410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  <c r="AA410" s="115"/>
      <c r="AB410" s="115"/>
      <c r="AC410" s="115"/>
      <c r="AD410" s="115"/>
      <c r="AE410" s="115"/>
      <c r="AF410" s="115"/>
      <c r="AG410" s="115"/>
      <c r="AH410" s="115"/>
      <c r="AI410" s="115"/>
      <c r="AJ410" s="115"/>
      <c r="AK410" s="115"/>
      <c r="AL410" s="115"/>
      <c r="AM410" s="115"/>
      <c r="AN410" s="115"/>
      <c r="AO410" s="115"/>
      <c r="AP410" s="115"/>
      <c r="AQ410" s="115"/>
      <c r="AR410" s="115"/>
      <c r="AS410" s="115"/>
      <c r="AT410" s="115"/>
      <c r="AU410" s="115"/>
      <c r="AV410" s="115"/>
    </row>
    <row r="411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  <c r="AA411" s="115"/>
      <c r="AB411" s="115"/>
      <c r="AC411" s="115"/>
      <c r="AD411" s="115"/>
      <c r="AE411" s="115"/>
      <c r="AF411" s="115"/>
      <c r="AG411" s="115"/>
      <c r="AH411" s="115"/>
      <c r="AI411" s="115"/>
      <c r="AJ411" s="115"/>
      <c r="AK411" s="115"/>
      <c r="AL411" s="115"/>
      <c r="AM411" s="115"/>
      <c r="AN411" s="115"/>
      <c r="AO411" s="115"/>
      <c r="AP411" s="115"/>
      <c r="AQ411" s="115"/>
      <c r="AR411" s="115"/>
      <c r="AS411" s="115"/>
      <c r="AT411" s="115"/>
      <c r="AU411" s="115"/>
      <c r="AV411" s="115"/>
    </row>
    <row r="412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  <c r="AA412" s="115"/>
      <c r="AB412" s="115"/>
      <c r="AC412" s="115"/>
      <c r="AD412" s="115"/>
      <c r="AE412" s="115"/>
      <c r="AF412" s="115"/>
      <c r="AG412" s="115"/>
      <c r="AH412" s="115"/>
      <c r="AI412" s="115"/>
      <c r="AJ412" s="115"/>
      <c r="AK412" s="115"/>
      <c r="AL412" s="115"/>
      <c r="AM412" s="115"/>
      <c r="AN412" s="115"/>
      <c r="AO412" s="115"/>
      <c r="AP412" s="115"/>
      <c r="AQ412" s="115"/>
      <c r="AR412" s="115"/>
      <c r="AS412" s="115"/>
      <c r="AT412" s="115"/>
      <c r="AU412" s="115"/>
      <c r="AV412" s="115"/>
    </row>
    <row r="413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  <c r="AA413" s="115"/>
      <c r="AB413" s="115"/>
      <c r="AC413" s="115"/>
      <c r="AD413" s="115"/>
      <c r="AE413" s="115"/>
      <c r="AF413" s="115"/>
      <c r="AG413" s="115"/>
      <c r="AH413" s="115"/>
      <c r="AI413" s="115"/>
      <c r="AJ413" s="115"/>
      <c r="AK413" s="115"/>
      <c r="AL413" s="115"/>
      <c r="AM413" s="115"/>
      <c r="AN413" s="115"/>
      <c r="AO413" s="115"/>
      <c r="AP413" s="115"/>
      <c r="AQ413" s="115"/>
      <c r="AR413" s="115"/>
      <c r="AS413" s="115"/>
      <c r="AT413" s="115"/>
      <c r="AU413" s="115"/>
      <c r="AV413" s="115"/>
    </row>
    <row r="414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  <c r="AA414" s="115"/>
      <c r="AB414" s="115"/>
      <c r="AC414" s="115"/>
      <c r="AD414" s="115"/>
      <c r="AE414" s="115"/>
      <c r="AF414" s="115"/>
      <c r="AG414" s="115"/>
      <c r="AH414" s="115"/>
      <c r="AI414" s="115"/>
      <c r="AJ414" s="115"/>
      <c r="AK414" s="115"/>
      <c r="AL414" s="115"/>
      <c r="AM414" s="115"/>
      <c r="AN414" s="115"/>
      <c r="AO414" s="115"/>
      <c r="AP414" s="115"/>
      <c r="AQ414" s="115"/>
      <c r="AR414" s="115"/>
      <c r="AS414" s="115"/>
      <c r="AT414" s="115"/>
      <c r="AU414" s="115"/>
      <c r="AV414" s="115"/>
    </row>
    <row r="415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  <c r="AA415" s="115"/>
      <c r="AB415" s="115"/>
      <c r="AC415" s="115"/>
      <c r="AD415" s="115"/>
      <c r="AE415" s="115"/>
      <c r="AF415" s="115"/>
      <c r="AG415" s="115"/>
      <c r="AH415" s="115"/>
      <c r="AI415" s="115"/>
      <c r="AJ415" s="115"/>
      <c r="AK415" s="115"/>
      <c r="AL415" s="115"/>
      <c r="AM415" s="115"/>
      <c r="AN415" s="115"/>
      <c r="AO415" s="115"/>
      <c r="AP415" s="115"/>
      <c r="AQ415" s="115"/>
      <c r="AR415" s="115"/>
      <c r="AS415" s="115"/>
      <c r="AT415" s="115"/>
      <c r="AU415" s="115"/>
      <c r="AV415" s="115"/>
    </row>
    <row r="416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5"/>
      <c r="AD416" s="115"/>
      <c r="AE416" s="115"/>
      <c r="AF416" s="115"/>
      <c r="AG416" s="115"/>
      <c r="AH416" s="115"/>
      <c r="AI416" s="115"/>
      <c r="AJ416" s="115"/>
      <c r="AK416" s="115"/>
      <c r="AL416" s="115"/>
      <c r="AM416" s="115"/>
      <c r="AN416" s="115"/>
      <c r="AO416" s="115"/>
      <c r="AP416" s="115"/>
      <c r="AQ416" s="115"/>
      <c r="AR416" s="115"/>
      <c r="AS416" s="115"/>
      <c r="AT416" s="115"/>
      <c r="AU416" s="115"/>
      <c r="AV416" s="115"/>
    </row>
    <row r="417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  <c r="AA417" s="115"/>
      <c r="AB417" s="115"/>
      <c r="AC417" s="115"/>
      <c r="AD417" s="115"/>
      <c r="AE417" s="115"/>
      <c r="AF417" s="115"/>
      <c r="AG417" s="115"/>
      <c r="AH417" s="115"/>
      <c r="AI417" s="115"/>
      <c r="AJ417" s="115"/>
      <c r="AK417" s="115"/>
      <c r="AL417" s="115"/>
      <c r="AM417" s="115"/>
      <c r="AN417" s="115"/>
      <c r="AO417" s="115"/>
      <c r="AP417" s="115"/>
      <c r="AQ417" s="115"/>
      <c r="AR417" s="115"/>
      <c r="AS417" s="115"/>
      <c r="AT417" s="115"/>
      <c r="AU417" s="115"/>
      <c r="AV417" s="115"/>
    </row>
    <row r="418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  <c r="AA418" s="115"/>
      <c r="AB418" s="115"/>
      <c r="AC418" s="115"/>
      <c r="AD418" s="115"/>
      <c r="AE418" s="115"/>
      <c r="AF418" s="115"/>
      <c r="AG418" s="115"/>
      <c r="AH418" s="115"/>
      <c r="AI418" s="115"/>
      <c r="AJ418" s="115"/>
      <c r="AK418" s="115"/>
      <c r="AL418" s="115"/>
      <c r="AM418" s="115"/>
      <c r="AN418" s="115"/>
      <c r="AO418" s="115"/>
      <c r="AP418" s="115"/>
      <c r="AQ418" s="115"/>
      <c r="AR418" s="115"/>
      <c r="AS418" s="115"/>
      <c r="AT418" s="115"/>
      <c r="AU418" s="115"/>
      <c r="AV418" s="115"/>
    </row>
    <row r="419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  <c r="AA419" s="115"/>
      <c r="AB419" s="115"/>
      <c r="AC419" s="115"/>
      <c r="AD419" s="115"/>
      <c r="AE419" s="115"/>
      <c r="AF419" s="115"/>
      <c r="AG419" s="115"/>
      <c r="AH419" s="115"/>
      <c r="AI419" s="115"/>
      <c r="AJ419" s="115"/>
      <c r="AK419" s="115"/>
      <c r="AL419" s="115"/>
      <c r="AM419" s="115"/>
      <c r="AN419" s="115"/>
      <c r="AO419" s="115"/>
      <c r="AP419" s="115"/>
      <c r="AQ419" s="115"/>
      <c r="AR419" s="115"/>
      <c r="AS419" s="115"/>
      <c r="AT419" s="115"/>
      <c r="AU419" s="115"/>
      <c r="AV419" s="115"/>
    </row>
    <row r="420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  <c r="AA420" s="115"/>
      <c r="AB420" s="115"/>
      <c r="AC420" s="115"/>
      <c r="AD420" s="115"/>
      <c r="AE420" s="115"/>
      <c r="AF420" s="115"/>
      <c r="AG420" s="115"/>
      <c r="AH420" s="115"/>
      <c r="AI420" s="115"/>
      <c r="AJ420" s="115"/>
      <c r="AK420" s="115"/>
      <c r="AL420" s="115"/>
      <c r="AM420" s="115"/>
      <c r="AN420" s="115"/>
      <c r="AO420" s="115"/>
      <c r="AP420" s="115"/>
      <c r="AQ420" s="115"/>
      <c r="AR420" s="115"/>
      <c r="AS420" s="115"/>
      <c r="AT420" s="115"/>
      <c r="AU420" s="115"/>
      <c r="AV420" s="115"/>
    </row>
    <row r="421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  <c r="AA421" s="115"/>
      <c r="AB421" s="115"/>
      <c r="AC421" s="115"/>
      <c r="AD421" s="115"/>
      <c r="AE421" s="115"/>
      <c r="AF421" s="115"/>
      <c r="AG421" s="115"/>
      <c r="AH421" s="115"/>
      <c r="AI421" s="115"/>
      <c r="AJ421" s="115"/>
      <c r="AK421" s="115"/>
      <c r="AL421" s="115"/>
      <c r="AM421" s="115"/>
      <c r="AN421" s="115"/>
      <c r="AO421" s="115"/>
      <c r="AP421" s="115"/>
      <c r="AQ421" s="115"/>
      <c r="AR421" s="115"/>
      <c r="AS421" s="115"/>
      <c r="AT421" s="115"/>
      <c r="AU421" s="115"/>
      <c r="AV421" s="115"/>
    </row>
    <row r="422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  <c r="AA422" s="115"/>
      <c r="AB422" s="115"/>
      <c r="AC422" s="115"/>
      <c r="AD422" s="115"/>
      <c r="AE422" s="115"/>
      <c r="AF422" s="115"/>
      <c r="AG422" s="115"/>
      <c r="AH422" s="115"/>
      <c r="AI422" s="115"/>
      <c r="AJ422" s="115"/>
      <c r="AK422" s="115"/>
      <c r="AL422" s="115"/>
      <c r="AM422" s="115"/>
      <c r="AN422" s="115"/>
      <c r="AO422" s="115"/>
      <c r="AP422" s="115"/>
      <c r="AQ422" s="115"/>
      <c r="AR422" s="115"/>
      <c r="AS422" s="115"/>
      <c r="AT422" s="115"/>
      <c r="AU422" s="115"/>
      <c r="AV422" s="115"/>
    </row>
    <row r="423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  <c r="AA423" s="115"/>
      <c r="AB423" s="115"/>
      <c r="AC423" s="115"/>
      <c r="AD423" s="115"/>
      <c r="AE423" s="115"/>
      <c r="AF423" s="115"/>
      <c r="AG423" s="115"/>
      <c r="AH423" s="115"/>
      <c r="AI423" s="115"/>
      <c r="AJ423" s="115"/>
      <c r="AK423" s="115"/>
      <c r="AL423" s="115"/>
      <c r="AM423" s="115"/>
      <c r="AN423" s="115"/>
      <c r="AO423" s="115"/>
      <c r="AP423" s="115"/>
      <c r="AQ423" s="115"/>
      <c r="AR423" s="115"/>
      <c r="AS423" s="115"/>
      <c r="AT423" s="115"/>
      <c r="AU423" s="115"/>
      <c r="AV423" s="115"/>
    </row>
    <row r="424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  <c r="AA424" s="115"/>
      <c r="AB424" s="115"/>
      <c r="AC424" s="115"/>
      <c r="AD424" s="115"/>
      <c r="AE424" s="115"/>
      <c r="AF424" s="115"/>
      <c r="AG424" s="115"/>
      <c r="AH424" s="115"/>
      <c r="AI424" s="115"/>
      <c r="AJ424" s="115"/>
      <c r="AK424" s="115"/>
      <c r="AL424" s="115"/>
      <c r="AM424" s="115"/>
      <c r="AN424" s="115"/>
      <c r="AO424" s="115"/>
      <c r="AP424" s="115"/>
      <c r="AQ424" s="115"/>
      <c r="AR424" s="115"/>
      <c r="AS424" s="115"/>
      <c r="AT424" s="115"/>
      <c r="AU424" s="115"/>
      <c r="AV424" s="115"/>
    </row>
    <row r="425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  <c r="AA425" s="115"/>
      <c r="AB425" s="115"/>
      <c r="AC425" s="115"/>
      <c r="AD425" s="115"/>
      <c r="AE425" s="115"/>
      <c r="AF425" s="115"/>
      <c r="AG425" s="115"/>
      <c r="AH425" s="115"/>
      <c r="AI425" s="115"/>
      <c r="AJ425" s="115"/>
      <c r="AK425" s="115"/>
      <c r="AL425" s="115"/>
      <c r="AM425" s="115"/>
      <c r="AN425" s="115"/>
      <c r="AO425" s="115"/>
      <c r="AP425" s="115"/>
      <c r="AQ425" s="115"/>
      <c r="AR425" s="115"/>
      <c r="AS425" s="115"/>
      <c r="AT425" s="115"/>
      <c r="AU425" s="115"/>
      <c r="AV425" s="115"/>
    </row>
    <row r="426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  <c r="AA426" s="115"/>
      <c r="AB426" s="115"/>
      <c r="AC426" s="115"/>
      <c r="AD426" s="115"/>
      <c r="AE426" s="115"/>
      <c r="AF426" s="115"/>
      <c r="AG426" s="115"/>
      <c r="AH426" s="115"/>
      <c r="AI426" s="115"/>
      <c r="AJ426" s="115"/>
      <c r="AK426" s="115"/>
      <c r="AL426" s="115"/>
      <c r="AM426" s="115"/>
      <c r="AN426" s="115"/>
      <c r="AO426" s="115"/>
      <c r="AP426" s="115"/>
      <c r="AQ426" s="115"/>
      <c r="AR426" s="115"/>
      <c r="AS426" s="115"/>
      <c r="AT426" s="115"/>
      <c r="AU426" s="115"/>
      <c r="AV426" s="115"/>
    </row>
    <row r="427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  <c r="AA427" s="115"/>
      <c r="AB427" s="115"/>
      <c r="AC427" s="115"/>
      <c r="AD427" s="115"/>
      <c r="AE427" s="115"/>
      <c r="AF427" s="115"/>
      <c r="AG427" s="115"/>
      <c r="AH427" s="115"/>
      <c r="AI427" s="115"/>
      <c r="AJ427" s="115"/>
      <c r="AK427" s="115"/>
      <c r="AL427" s="115"/>
      <c r="AM427" s="115"/>
      <c r="AN427" s="115"/>
      <c r="AO427" s="115"/>
      <c r="AP427" s="115"/>
      <c r="AQ427" s="115"/>
      <c r="AR427" s="115"/>
      <c r="AS427" s="115"/>
      <c r="AT427" s="115"/>
      <c r="AU427" s="115"/>
      <c r="AV427" s="115"/>
    </row>
    <row r="428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  <c r="AA428" s="115"/>
      <c r="AB428" s="115"/>
      <c r="AC428" s="115"/>
      <c r="AD428" s="115"/>
      <c r="AE428" s="115"/>
      <c r="AF428" s="115"/>
      <c r="AG428" s="115"/>
      <c r="AH428" s="115"/>
      <c r="AI428" s="115"/>
      <c r="AJ428" s="115"/>
      <c r="AK428" s="115"/>
      <c r="AL428" s="115"/>
      <c r="AM428" s="115"/>
      <c r="AN428" s="115"/>
      <c r="AO428" s="115"/>
      <c r="AP428" s="115"/>
      <c r="AQ428" s="115"/>
      <c r="AR428" s="115"/>
      <c r="AS428" s="115"/>
      <c r="AT428" s="115"/>
      <c r="AU428" s="115"/>
      <c r="AV428" s="115"/>
    </row>
    <row r="429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  <c r="AA429" s="115"/>
      <c r="AB429" s="115"/>
      <c r="AC429" s="115"/>
      <c r="AD429" s="115"/>
      <c r="AE429" s="115"/>
      <c r="AF429" s="115"/>
      <c r="AG429" s="115"/>
      <c r="AH429" s="115"/>
      <c r="AI429" s="115"/>
      <c r="AJ429" s="115"/>
      <c r="AK429" s="115"/>
      <c r="AL429" s="115"/>
      <c r="AM429" s="115"/>
      <c r="AN429" s="115"/>
      <c r="AO429" s="115"/>
      <c r="AP429" s="115"/>
      <c r="AQ429" s="115"/>
      <c r="AR429" s="115"/>
      <c r="AS429" s="115"/>
      <c r="AT429" s="115"/>
      <c r="AU429" s="115"/>
      <c r="AV429" s="115"/>
    </row>
    <row r="430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  <c r="AA430" s="115"/>
      <c r="AB430" s="115"/>
      <c r="AC430" s="115"/>
      <c r="AD430" s="115"/>
      <c r="AE430" s="115"/>
      <c r="AF430" s="115"/>
      <c r="AG430" s="115"/>
      <c r="AH430" s="115"/>
      <c r="AI430" s="115"/>
      <c r="AJ430" s="115"/>
      <c r="AK430" s="115"/>
      <c r="AL430" s="115"/>
      <c r="AM430" s="115"/>
      <c r="AN430" s="115"/>
      <c r="AO430" s="115"/>
      <c r="AP430" s="115"/>
      <c r="AQ430" s="115"/>
      <c r="AR430" s="115"/>
      <c r="AS430" s="115"/>
      <c r="AT430" s="115"/>
      <c r="AU430" s="115"/>
      <c r="AV430" s="115"/>
    </row>
    <row r="431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  <c r="AA431" s="115"/>
      <c r="AB431" s="115"/>
      <c r="AC431" s="115"/>
      <c r="AD431" s="115"/>
      <c r="AE431" s="115"/>
      <c r="AF431" s="115"/>
      <c r="AG431" s="115"/>
      <c r="AH431" s="115"/>
      <c r="AI431" s="115"/>
      <c r="AJ431" s="115"/>
      <c r="AK431" s="115"/>
      <c r="AL431" s="115"/>
      <c r="AM431" s="115"/>
      <c r="AN431" s="115"/>
      <c r="AO431" s="115"/>
      <c r="AP431" s="115"/>
      <c r="AQ431" s="115"/>
      <c r="AR431" s="115"/>
      <c r="AS431" s="115"/>
      <c r="AT431" s="115"/>
      <c r="AU431" s="115"/>
      <c r="AV431" s="115"/>
    </row>
    <row r="432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  <c r="AA432" s="115"/>
      <c r="AB432" s="115"/>
      <c r="AC432" s="115"/>
      <c r="AD432" s="115"/>
      <c r="AE432" s="115"/>
      <c r="AF432" s="115"/>
      <c r="AG432" s="115"/>
      <c r="AH432" s="115"/>
      <c r="AI432" s="115"/>
      <c r="AJ432" s="115"/>
      <c r="AK432" s="115"/>
      <c r="AL432" s="115"/>
      <c r="AM432" s="115"/>
      <c r="AN432" s="115"/>
      <c r="AO432" s="115"/>
      <c r="AP432" s="115"/>
      <c r="AQ432" s="115"/>
      <c r="AR432" s="115"/>
      <c r="AS432" s="115"/>
      <c r="AT432" s="115"/>
      <c r="AU432" s="115"/>
      <c r="AV432" s="115"/>
    </row>
    <row r="433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  <c r="AA433" s="115"/>
      <c r="AB433" s="115"/>
      <c r="AC433" s="115"/>
      <c r="AD433" s="115"/>
      <c r="AE433" s="115"/>
      <c r="AF433" s="115"/>
      <c r="AG433" s="115"/>
      <c r="AH433" s="115"/>
      <c r="AI433" s="115"/>
      <c r="AJ433" s="115"/>
      <c r="AK433" s="115"/>
      <c r="AL433" s="115"/>
      <c r="AM433" s="115"/>
      <c r="AN433" s="115"/>
      <c r="AO433" s="115"/>
      <c r="AP433" s="115"/>
      <c r="AQ433" s="115"/>
      <c r="AR433" s="115"/>
      <c r="AS433" s="115"/>
      <c r="AT433" s="115"/>
      <c r="AU433" s="115"/>
      <c r="AV433" s="115"/>
    </row>
    <row r="434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  <c r="AA434" s="115"/>
      <c r="AB434" s="115"/>
      <c r="AC434" s="115"/>
      <c r="AD434" s="115"/>
      <c r="AE434" s="115"/>
      <c r="AF434" s="115"/>
      <c r="AG434" s="115"/>
      <c r="AH434" s="115"/>
      <c r="AI434" s="115"/>
      <c r="AJ434" s="115"/>
      <c r="AK434" s="115"/>
      <c r="AL434" s="115"/>
      <c r="AM434" s="115"/>
      <c r="AN434" s="115"/>
      <c r="AO434" s="115"/>
      <c r="AP434" s="115"/>
      <c r="AQ434" s="115"/>
      <c r="AR434" s="115"/>
      <c r="AS434" s="115"/>
      <c r="AT434" s="115"/>
      <c r="AU434" s="115"/>
      <c r="AV434" s="115"/>
    </row>
    <row r="435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  <c r="AA435" s="115"/>
      <c r="AB435" s="115"/>
      <c r="AC435" s="115"/>
      <c r="AD435" s="115"/>
      <c r="AE435" s="115"/>
      <c r="AF435" s="115"/>
      <c r="AG435" s="115"/>
      <c r="AH435" s="115"/>
      <c r="AI435" s="115"/>
      <c r="AJ435" s="115"/>
      <c r="AK435" s="115"/>
      <c r="AL435" s="115"/>
      <c r="AM435" s="115"/>
      <c r="AN435" s="115"/>
      <c r="AO435" s="115"/>
      <c r="AP435" s="115"/>
      <c r="AQ435" s="115"/>
      <c r="AR435" s="115"/>
      <c r="AS435" s="115"/>
      <c r="AT435" s="115"/>
      <c r="AU435" s="115"/>
      <c r="AV435" s="115"/>
    </row>
    <row r="436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  <c r="AA436" s="115"/>
      <c r="AB436" s="115"/>
      <c r="AC436" s="115"/>
      <c r="AD436" s="115"/>
      <c r="AE436" s="115"/>
      <c r="AF436" s="115"/>
      <c r="AG436" s="115"/>
      <c r="AH436" s="115"/>
      <c r="AI436" s="115"/>
      <c r="AJ436" s="115"/>
      <c r="AK436" s="115"/>
      <c r="AL436" s="115"/>
      <c r="AM436" s="115"/>
      <c r="AN436" s="115"/>
      <c r="AO436" s="115"/>
      <c r="AP436" s="115"/>
      <c r="AQ436" s="115"/>
      <c r="AR436" s="115"/>
      <c r="AS436" s="115"/>
      <c r="AT436" s="115"/>
      <c r="AU436" s="115"/>
      <c r="AV436" s="115"/>
    </row>
    <row r="437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  <c r="AA437" s="115"/>
      <c r="AB437" s="115"/>
      <c r="AC437" s="115"/>
      <c r="AD437" s="115"/>
      <c r="AE437" s="115"/>
      <c r="AF437" s="115"/>
      <c r="AG437" s="115"/>
      <c r="AH437" s="115"/>
      <c r="AI437" s="115"/>
      <c r="AJ437" s="115"/>
      <c r="AK437" s="115"/>
      <c r="AL437" s="115"/>
      <c r="AM437" s="115"/>
      <c r="AN437" s="115"/>
      <c r="AO437" s="115"/>
      <c r="AP437" s="115"/>
      <c r="AQ437" s="115"/>
      <c r="AR437" s="115"/>
      <c r="AS437" s="115"/>
      <c r="AT437" s="115"/>
      <c r="AU437" s="115"/>
      <c r="AV437" s="115"/>
    </row>
    <row r="438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  <c r="AA438" s="115"/>
      <c r="AB438" s="115"/>
      <c r="AC438" s="115"/>
      <c r="AD438" s="115"/>
      <c r="AE438" s="115"/>
      <c r="AF438" s="115"/>
      <c r="AG438" s="115"/>
      <c r="AH438" s="115"/>
      <c r="AI438" s="115"/>
      <c r="AJ438" s="115"/>
      <c r="AK438" s="115"/>
      <c r="AL438" s="115"/>
      <c r="AM438" s="115"/>
      <c r="AN438" s="115"/>
      <c r="AO438" s="115"/>
      <c r="AP438" s="115"/>
      <c r="AQ438" s="115"/>
      <c r="AR438" s="115"/>
      <c r="AS438" s="115"/>
      <c r="AT438" s="115"/>
      <c r="AU438" s="115"/>
      <c r="AV438" s="115"/>
    </row>
    <row r="439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  <c r="AA439" s="115"/>
      <c r="AB439" s="115"/>
      <c r="AC439" s="115"/>
      <c r="AD439" s="115"/>
      <c r="AE439" s="115"/>
      <c r="AF439" s="115"/>
      <c r="AG439" s="115"/>
      <c r="AH439" s="115"/>
      <c r="AI439" s="115"/>
      <c r="AJ439" s="115"/>
      <c r="AK439" s="115"/>
      <c r="AL439" s="115"/>
      <c r="AM439" s="115"/>
      <c r="AN439" s="115"/>
      <c r="AO439" s="115"/>
      <c r="AP439" s="115"/>
      <c r="AQ439" s="115"/>
      <c r="AR439" s="115"/>
      <c r="AS439" s="115"/>
      <c r="AT439" s="115"/>
      <c r="AU439" s="115"/>
      <c r="AV439" s="115"/>
    </row>
    <row r="440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  <c r="AA440" s="115"/>
      <c r="AB440" s="115"/>
      <c r="AC440" s="115"/>
      <c r="AD440" s="115"/>
      <c r="AE440" s="115"/>
      <c r="AF440" s="115"/>
      <c r="AG440" s="115"/>
      <c r="AH440" s="115"/>
      <c r="AI440" s="115"/>
      <c r="AJ440" s="115"/>
      <c r="AK440" s="115"/>
      <c r="AL440" s="115"/>
      <c r="AM440" s="115"/>
      <c r="AN440" s="115"/>
      <c r="AO440" s="115"/>
      <c r="AP440" s="115"/>
      <c r="AQ440" s="115"/>
      <c r="AR440" s="115"/>
      <c r="AS440" s="115"/>
      <c r="AT440" s="115"/>
      <c r="AU440" s="115"/>
      <c r="AV440" s="115"/>
    </row>
    <row r="441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  <c r="AA441" s="115"/>
      <c r="AB441" s="115"/>
      <c r="AC441" s="115"/>
      <c r="AD441" s="115"/>
      <c r="AE441" s="115"/>
      <c r="AF441" s="115"/>
      <c r="AG441" s="115"/>
      <c r="AH441" s="115"/>
      <c r="AI441" s="115"/>
      <c r="AJ441" s="115"/>
      <c r="AK441" s="115"/>
      <c r="AL441" s="115"/>
      <c r="AM441" s="115"/>
      <c r="AN441" s="115"/>
      <c r="AO441" s="115"/>
      <c r="AP441" s="115"/>
      <c r="AQ441" s="115"/>
      <c r="AR441" s="115"/>
      <c r="AS441" s="115"/>
      <c r="AT441" s="115"/>
      <c r="AU441" s="115"/>
      <c r="AV441" s="115"/>
    </row>
    <row r="442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  <c r="AA442" s="115"/>
      <c r="AB442" s="115"/>
      <c r="AC442" s="115"/>
      <c r="AD442" s="115"/>
      <c r="AE442" s="115"/>
      <c r="AF442" s="115"/>
      <c r="AG442" s="115"/>
      <c r="AH442" s="115"/>
      <c r="AI442" s="115"/>
      <c r="AJ442" s="115"/>
      <c r="AK442" s="115"/>
      <c r="AL442" s="115"/>
      <c r="AM442" s="115"/>
      <c r="AN442" s="115"/>
      <c r="AO442" s="115"/>
      <c r="AP442" s="115"/>
      <c r="AQ442" s="115"/>
      <c r="AR442" s="115"/>
      <c r="AS442" s="115"/>
      <c r="AT442" s="115"/>
      <c r="AU442" s="115"/>
      <c r="AV442" s="115"/>
    </row>
    <row r="443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  <c r="AA443" s="115"/>
      <c r="AB443" s="115"/>
      <c r="AC443" s="115"/>
      <c r="AD443" s="115"/>
      <c r="AE443" s="115"/>
      <c r="AF443" s="115"/>
      <c r="AG443" s="115"/>
      <c r="AH443" s="115"/>
      <c r="AI443" s="115"/>
      <c r="AJ443" s="115"/>
      <c r="AK443" s="115"/>
      <c r="AL443" s="115"/>
      <c r="AM443" s="115"/>
      <c r="AN443" s="115"/>
      <c r="AO443" s="115"/>
      <c r="AP443" s="115"/>
      <c r="AQ443" s="115"/>
      <c r="AR443" s="115"/>
      <c r="AS443" s="115"/>
      <c r="AT443" s="115"/>
      <c r="AU443" s="115"/>
      <c r="AV443" s="115"/>
    </row>
    <row r="444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  <c r="AA444" s="115"/>
      <c r="AB444" s="115"/>
      <c r="AC444" s="115"/>
      <c r="AD444" s="115"/>
      <c r="AE444" s="115"/>
      <c r="AF444" s="115"/>
      <c r="AG444" s="115"/>
      <c r="AH444" s="115"/>
      <c r="AI444" s="115"/>
      <c r="AJ444" s="115"/>
      <c r="AK444" s="115"/>
      <c r="AL444" s="115"/>
      <c r="AM444" s="115"/>
      <c r="AN444" s="115"/>
      <c r="AO444" s="115"/>
      <c r="AP444" s="115"/>
      <c r="AQ444" s="115"/>
      <c r="AR444" s="115"/>
      <c r="AS444" s="115"/>
      <c r="AT444" s="115"/>
      <c r="AU444" s="115"/>
      <c r="AV444" s="115"/>
    </row>
    <row r="445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  <c r="AA445" s="115"/>
      <c r="AB445" s="115"/>
      <c r="AC445" s="115"/>
      <c r="AD445" s="115"/>
      <c r="AE445" s="115"/>
      <c r="AF445" s="115"/>
      <c r="AG445" s="115"/>
      <c r="AH445" s="115"/>
      <c r="AI445" s="115"/>
      <c r="AJ445" s="115"/>
      <c r="AK445" s="115"/>
      <c r="AL445" s="115"/>
      <c r="AM445" s="115"/>
      <c r="AN445" s="115"/>
      <c r="AO445" s="115"/>
      <c r="AP445" s="115"/>
      <c r="AQ445" s="115"/>
      <c r="AR445" s="115"/>
      <c r="AS445" s="115"/>
      <c r="AT445" s="115"/>
      <c r="AU445" s="115"/>
      <c r="AV445" s="115"/>
    </row>
    <row r="446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  <c r="AA446" s="115"/>
      <c r="AB446" s="115"/>
      <c r="AC446" s="115"/>
      <c r="AD446" s="115"/>
      <c r="AE446" s="115"/>
      <c r="AF446" s="115"/>
      <c r="AG446" s="115"/>
      <c r="AH446" s="115"/>
      <c r="AI446" s="115"/>
      <c r="AJ446" s="115"/>
      <c r="AK446" s="115"/>
      <c r="AL446" s="115"/>
      <c r="AM446" s="115"/>
      <c r="AN446" s="115"/>
      <c r="AO446" s="115"/>
      <c r="AP446" s="115"/>
      <c r="AQ446" s="115"/>
      <c r="AR446" s="115"/>
      <c r="AS446" s="115"/>
      <c r="AT446" s="115"/>
      <c r="AU446" s="115"/>
      <c r="AV446" s="115"/>
    </row>
    <row r="447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  <c r="AA447" s="115"/>
      <c r="AB447" s="115"/>
      <c r="AC447" s="115"/>
      <c r="AD447" s="115"/>
      <c r="AE447" s="115"/>
      <c r="AF447" s="115"/>
      <c r="AG447" s="115"/>
      <c r="AH447" s="115"/>
      <c r="AI447" s="115"/>
      <c r="AJ447" s="115"/>
      <c r="AK447" s="115"/>
      <c r="AL447" s="115"/>
      <c r="AM447" s="115"/>
      <c r="AN447" s="115"/>
      <c r="AO447" s="115"/>
      <c r="AP447" s="115"/>
      <c r="AQ447" s="115"/>
      <c r="AR447" s="115"/>
      <c r="AS447" s="115"/>
      <c r="AT447" s="115"/>
      <c r="AU447" s="115"/>
      <c r="AV447" s="115"/>
    </row>
    <row r="448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  <c r="AA448" s="115"/>
      <c r="AB448" s="115"/>
      <c r="AC448" s="115"/>
      <c r="AD448" s="115"/>
      <c r="AE448" s="115"/>
      <c r="AF448" s="115"/>
      <c r="AG448" s="115"/>
      <c r="AH448" s="115"/>
      <c r="AI448" s="115"/>
      <c r="AJ448" s="115"/>
      <c r="AK448" s="115"/>
      <c r="AL448" s="115"/>
      <c r="AM448" s="115"/>
      <c r="AN448" s="115"/>
      <c r="AO448" s="115"/>
      <c r="AP448" s="115"/>
      <c r="AQ448" s="115"/>
      <c r="AR448" s="115"/>
      <c r="AS448" s="115"/>
      <c r="AT448" s="115"/>
      <c r="AU448" s="115"/>
      <c r="AV448" s="115"/>
    </row>
    <row r="449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  <c r="AA449" s="115"/>
      <c r="AB449" s="115"/>
      <c r="AC449" s="115"/>
      <c r="AD449" s="115"/>
      <c r="AE449" s="115"/>
      <c r="AF449" s="115"/>
      <c r="AG449" s="115"/>
      <c r="AH449" s="115"/>
      <c r="AI449" s="115"/>
      <c r="AJ449" s="115"/>
      <c r="AK449" s="115"/>
      <c r="AL449" s="115"/>
      <c r="AM449" s="115"/>
      <c r="AN449" s="115"/>
      <c r="AO449" s="115"/>
      <c r="AP449" s="115"/>
      <c r="AQ449" s="115"/>
      <c r="AR449" s="115"/>
      <c r="AS449" s="115"/>
      <c r="AT449" s="115"/>
      <c r="AU449" s="115"/>
      <c r="AV449" s="115"/>
    </row>
    <row r="450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  <c r="AA450" s="115"/>
      <c r="AB450" s="115"/>
      <c r="AC450" s="115"/>
      <c r="AD450" s="115"/>
      <c r="AE450" s="115"/>
      <c r="AF450" s="115"/>
      <c r="AG450" s="115"/>
      <c r="AH450" s="115"/>
      <c r="AI450" s="115"/>
      <c r="AJ450" s="115"/>
      <c r="AK450" s="115"/>
      <c r="AL450" s="115"/>
      <c r="AM450" s="115"/>
      <c r="AN450" s="115"/>
      <c r="AO450" s="115"/>
      <c r="AP450" s="115"/>
      <c r="AQ450" s="115"/>
      <c r="AR450" s="115"/>
      <c r="AS450" s="115"/>
      <c r="AT450" s="115"/>
      <c r="AU450" s="115"/>
      <c r="AV450" s="115"/>
    </row>
    <row r="451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  <c r="AA451" s="115"/>
      <c r="AB451" s="115"/>
      <c r="AC451" s="115"/>
      <c r="AD451" s="115"/>
      <c r="AE451" s="115"/>
      <c r="AF451" s="115"/>
      <c r="AG451" s="115"/>
      <c r="AH451" s="115"/>
      <c r="AI451" s="115"/>
      <c r="AJ451" s="115"/>
      <c r="AK451" s="115"/>
      <c r="AL451" s="115"/>
      <c r="AM451" s="115"/>
      <c r="AN451" s="115"/>
      <c r="AO451" s="115"/>
      <c r="AP451" s="115"/>
      <c r="AQ451" s="115"/>
      <c r="AR451" s="115"/>
      <c r="AS451" s="115"/>
      <c r="AT451" s="115"/>
      <c r="AU451" s="115"/>
      <c r="AV451" s="115"/>
    </row>
    <row r="452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  <c r="AA452" s="115"/>
      <c r="AB452" s="115"/>
      <c r="AC452" s="115"/>
      <c r="AD452" s="115"/>
      <c r="AE452" s="115"/>
      <c r="AF452" s="115"/>
      <c r="AG452" s="115"/>
      <c r="AH452" s="115"/>
      <c r="AI452" s="115"/>
      <c r="AJ452" s="115"/>
      <c r="AK452" s="115"/>
      <c r="AL452" s="115"/>
      <c r="AM452" s="115"/>
      <c r="AN452" s="115"/>
      <c r="AO452" s="115"/>
      <c r="AP452" s="115"/>
      <c r="AQ452" s="115"/>
      <c r="AR452" s="115"/>
      <c r="AS452" s="115"/>
      <c r="AT452" s="115"/>
      <c r="AU452" s="115"/>
      <c r="AV452" s="115"/>
    </row>
    <row r="453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  <c r="AA453" s="115"/>
      <c r="AB453" s="115"/>
      <c r="AC453" s="115"/>
      <c r="AD453" s="115"/>
      <c r="AE453" s="115"/>
      <c r="AF453" s="115"/>
      <c r="AG453" s="115"/>
      <c r="AH453" s="115"/>
      <c r="AI453" s="115"/>
      <c r="AJ453" s="115"/>
      <c r="AK453" s="115"/>
      <c r="AL453" s="115"/>
      <c r="AM453" s="115"/>
      <c r="AN453" s="115"/>
      <c r="AO453" s="115"/>
      <c r="AP453" s="115"/>
      <c r="AQ453" s="115"/>
      <c r="AR453" s="115"/>
      <c r="AS453" s="115"/>
      <c r="AT453" s="115"/>
      <c r="AU453" s="115"/>
      <c r="AV453" s="115"/>
    </row>
    <row r="454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  <c r="AA454" s="115"/>
      <c r="AB454" s="115"/>
      <c r="AC454" s="115"/>
      <c r="AD454" s="115"/>
      <c r="AE454" s="115"/>
      <c r="AF454" s="115"/>
      <c r="AG454" s="115"/>
      <c r="AH454" s="115"/>
      <c r="AI454" s="115"/>
      <c r="AJ454" s="115"/>
      <c r="AK454" s="115"/>
      <c r="AL454" s="115"/>
      <c r="AM454" s="115"/>
      <c r="AN454" s="115"/>
      <c r="AO454" s="115"/>
      <c r="AP454" s="115"/>
      <c r="AQ454" s="115"/>
      <c r="AR454" s="115"/>
      <c r="AS454" s="115"/>
      <c r="AT454" s="115"/>
      <c r="AU454" s="115"/>
      <c r="AV454" s="115"/>
    </row>
    <row r="455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  <c r="AA455" s="115"/>
      <c r="AB455" s="115"/>
      <c r="AC455" s="115"/>
      <c r="AD455" s="115"/>
      <c r="AE455" s="115"/>
      <c r="AF455" s="115"/>
      <c r="AG455" s="115"/>
      <c r="AH455" s="115"/>
      <c r="AI455" s="115"/>
      <c r="AJ455" s="115"/>
      <c r="AK455" s="115"/>
      <c r="AL455" s="115"/>
      <c r="AM455" s="115"/>
      <c r="AN455" s="115"/>
      <c r="AO455" s="115"/>
      <c r="AP455" s="115"/>
      <c r="AQ455" s="115"/>
      <c r="AR455" s="115"/>
      <c r="AS455" s="115"/>
      <c r="AT455" s="115"/>
      <c r="AU455" s="115"/>
      <c r="AV455" s="115"/>
    </row>
    <row r="456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  <c r="AA456" s="115"/>
      <c r="AB456" s="115"/>
      <c r="AC456" s="115"/>
      <c r="AD456" s="115"/>
      <c r="AE456" s="115"/>
      <c r="AF456" s="115"/>
      <c r="AG456" s="115"/>
      <c r="AH456" s="115"/>
      <c r="AI456" s="115"/>
      <c r="AJ456" s="115"/>
      <c r="AK456" s="115"/>
      <c r="AL456" s="115"/>
      <c r="AM456" s="115"/>
      <c r="AN456" s="115"/>
      <c r="AO456" s="115"/>
      <c r="AP456" s="115"/>
      <c r="AQ456" s="115"/>
      <c r="AR456" s="115"/>
      <c r="AS456" s="115"/>
      <c r="AT456" s="115"/>
      <c r="AU456" s="115"/>
      <c r="AV456" s="115"/>
    </row>
    <row r="457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  <c r="AA457" s="115"/>
      <c r="AB457" s="115"/>
      <c r="AC457" s="115"/>
      <c r="AD457" s="115"/>
      <c r="AE457" s="115"/>
      <c r="AF457" s="115"/>
      <c r="AG457" s="115"/>
      <c r="AH457" s="115"/>
      <c r="AI457" s="115"/>
      <c r="AJ457" s="115"/>
      <c r="AK457" s="115"/>
      <c r="AL457" s="115"/>
      <c r="AM457" s="115"/>
      <c r="AN457" s="115"/>
      <c r="AO457" s="115"/>
      <c r="AP457" s="115"/>
      <c r="AQ457" s="115"/>
      <c r="AR457" s="115"/>
      <c r="AS457" s="115"/>
      <c r="AT457" s="115"/>
      <c r="AU457" s="115"/>
      <c r="AV457" s="115"/>
    </row>
    <row r="458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  <c r="AA458" s="115"/>
      <c r="AB458" s="115"/>
      <c r="AC458" s="115"/>
      <c r="AD458" s="115"/>
      <c r="AE458" s="115"/>
      <c r="AF458" s="115"/>
      <c r="AG458" s="115"/>
      <c r="AH458" s="115"/>
      <c r="AI458" s="115"/>
      <c r="AJ458" s="115"/>
      <c r="AK458" s="115"/>
      <c r="AL458" s="115"/>
      <c r="AM458" s="115"/>
      <c r="AN458" s="115"/>
      <c r="AO458" s="115"/>
      <c r="AP458" s="115"/>
      <c r="AQ458" s="115"/>
      <c r="AR458" s="115"/>
      <c r="AS458" s="115"/>
      <c r="AT458" s="115"/>
      <c r="AU458" s="115"/>
      <c r="AV458" s="115"/>
    </row>
    <row r="459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  <c r="AA459" s="115"/>
      <c r="AB459" s="115"/>
      <c r="AC459" s="115"/>
      <c r="AD459" s="115"/>
      <c r="AE459" s="115"/>
      <c r="AF459" s="115"/>
      <c r="AG459" s="115"/>
      <c r="AH459" s="115"/>
      <c r="AI459" s="115"/>
      <c r="AJ459" s="115"/>
      <c r="AK459" s="115"/>
      <c r="AL459" s="115"/>
      <c r="AM459" s="115"/>
      <c r="AN459" s="115"/>
      <c r="AO459" s="115"/>
      <c r="AP459" s="115"/>
      <c r="AQ459" s="115"/>
      <c r="AR459" s="115"/>
      <c r="AS459" s="115"/>
      <c r="AT459" s="115"/>
      <c r="AU459" s="115"/>
      <c r="AV459" s="115"/>
    </row>
    <row r="460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  <c r="AA460" s="115"/>
      <c r="AB460" s="115"/>
      <c r="AC460" s="115"/>
      <c r="AD460" s="115"/>
      <c r="AE460" s="115"/>
      <c r="AF460" s="115"/>
      <c r="AG460" s="115"/>
      <c r="AH460" s="115"/>
      <c r="AI460" s="115"/>
      <c r="AJ460" s="115"/>
      <c r="AK460" s="115"/>
      <c r="AL460" s="115"/>
      <c r="AM460" s="115"/>
      <c r="AN460" s="115"/>
      <c r="AO460" s="115"/>
      <c r="AP460" s="115"/>
      <c r="AQ460" s="115"/>
      <c r="AR460" s="115"/>
      <c r="AS460" s="115"/>
      <c r="AT460" s="115"/>
      <c r="AU460" s="115"/>
      <c r="AV460" s="115"/>
    </row>
    <row r="461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  <c r="AA461" s="115"/>
      <c r="AB461" s="115"/>
      <c r="AC461" s="115"/>
      <c r="AD461" s="115"/>
      <c r="AE461" s="115"/>
      <c r="AF461" s="115"/>
      <c r="AG461" s="115"/>
      <c r="AH461" s="115"/>
      <c r="AI461" s="115"/>
      <c r="AJ461" s="115"/>
      <c r="AK461" s="115"/>
      <c r="AL461" s="115"/>
      <c r="AM461" s="115"/>
      <c r="AN461" s="115"/>
      <c r="AO461" s="115"/>
      <c r="AP461" s="115"/>
      <c r="AQ461" s="115"/>
      <c r="AR461" s="115"/>
      <c r="AS461" s="115"/>
      <c r="AT461" s="115"/>
      <c r="AU461" s="115"/>
      <c r="AV461" s="115"/>
    </row>
    <row r="462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  <c r="AA462" s="115"/>
      <c r="AB462" s="115"/>
      <c r="AC462" s="115"/>
      <c r="AD462" s="115"/>
      <c r="AE462" s="115"/>
      <c r="AF462" s="115"/>
      <c r="AG462" s="115"/>
      <c r="AH462" s="115"/>
      <c r="AI462" s="115"/>
      <c r="AJ462" s="115"/>
      <c r="AK462" s="115"/>
      <c r="AL462" s="115"/>
      <c r="AM462" s="115"/>
      <c r="AN462" s="115"/>
      <c r="AO462" s="115"/>
      <c r="AP462" s="115"/>
      <c r="AQ462" s="115"/>
      <c r="AR462" s="115"/>
      <c r="AS462" s="115"/>
      <c r="AT462" s="115"/>
      <c r="AU462" s="115"/>
      <c r="AV462" s="115"/>
    </row>
    <row r="463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  <c r="AA463" s="115"/>
      <c r="AB463" s="115"/>
      <c r="AC463" s="115"/>
      <c r="AD463" s="115"/>
      <c r="AE463" s="115"/>
      <c r="AF463" s="115"/>
      <c r="AG463" s="115"/>
      <c r="AH463" s="115"/>
      <c r="AI463" s="115"/>
      <c r="AJ463" s="115"/>
      <c r="AK463" s="115"/>
      <c r="AL463" s="115"/>
      <c r="AM463" s="115"/>
      <c r="AN463" s="115"/>
      <c r="AO463" s="115"/>
      <c r="AP463" s="115"/>
      <c r="AQ463" s="115"/>
      <c r="AR463" s="115"/>
      <c r="AS463" s="115"/>
      <c r="AT463" s="115"/>
      <c r="AU463" s="115"/>
      <c r="AV463" s="115"/>
    </row>
    <row r="464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  <c r="AA464" s="115"/>
      <c r="AB464" s="115"/>
      <c r="AC464" s="115"/>
      <c r="AD464" s="115"/>
      <c r="AE464" s="115"/>
      <c r="AF464" s="115"/>
      <c r="AG464" s="115"/>
      <c r="AH464" s="115"/>
      <c r="AI464" s="115"/>
      <c r="AJ464" s="115"/>
      <c r="AK464" s="115"/>
      <c r="AL464" s="115"/>
      <c r="AM464" s="115"/>
      <c r="AN464" s="115"/>
      <c r="AO464" s="115"/>
      <c r="AP464" s="115"/>
      <c r="AQ464" s="115"/>
      <c r="AR464" s="115"/>
      <c r="AS464" s="115"/>
      <c r="AT464" s="115"/>
      <c r="AU464" s="115"/>
      <c r="AV464" s="115"/>
    </row>
    <row r="465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  <c r="AA465" s="115"/>
      <c r="AB465" s="115"/>
      <c r="AC465" s="115"/>
      <c r="AD465" s="115"/>
      <c r="AE465" s="115"/>
      <c r="AF465" s="115"/>
      <c r="AG465" s="115"/>
      <c r="AH465" s="115"/>
      <c r="AI465" s="115"/>
      <c r="AJ465" s="115"/>
      <c r="AK465" s="115"/>
      <c r="AL465" s="115"/>
      <c r="AM465" s="115"/>
      <c r="AN465" s="115"/>
      <c r="AO465" s="115"/>
      <c r="AP465" s="115"/>
      <c r="AQ465" s="115"/>
      <c r="AR465" s="115"/>
      <c r="AS465" s="115"/>
      <c r="AT465" s="115"/>
      <c r="AU465" s="115"/>
      <c r="AV465" s="115"/>
    </row>
    <row r="466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  <c r="AA466" s="115"/>
      <c r="AB466" s="115"/>
      <c r="AC466" s="115"/>
      <c r="AD466" s="115"/>
      <c r="AE466" s="115"/>
      <c r="AF466" s="115"/>
      <c r="AG466" s="115"/>
      <c r="AH466" s="115"/>
      <c r="AI466" s="115"/>
      <c r="AJ466" s="115"/>
      <c r="AK466" s="115"/>
      <c r="AL466" s="115"/>
      <c r="AM466" s="115"/>
      <c r="AN466" s="115"/>
      <c r="AO466" s="115"/>
      <c r="AP466" s="115"/>
      <c r="AQ466" s="115"/>
      <c r="AR466" s="115"/>
      <c r="AS466" s="115"/>
      <c r="AT466" s="115"/>
      <c r="AU466" s="115"/>
      <c r="AV466" s="115"/>
    </row>
    <row r="467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  <c r="AA467" s="115"/>
      <c r="AB467" s="115"/>
      <c r="AC467" s="115"/>
      <c r="AD467" s="115"/>
      <c r="AE467" s="115"/>
      <c r="AF467" s="115"/>
      <c r="AG467" s="115"/>
      <c r="AH467" s="115"/>
      <c r="AI467" s="115"/>
      <c r="AJ467" s="115"/>
      <c r="AK467" s="115"/>
      <c r="AL467" s="115"/>
      <c r="AM467" s="115"/>
      <c r="AN467" s="115"/>
      <c r="AO467" s="115"/>
      <c r="AP467" s="115"/>
      <c r="AQ467" s="115"/>
      <c r="AR467" s="115"/>
      <c r="AS467" s="115"/>
      <c r="AT467" s="115"/>
      <c r="AU467" s="115"/>
      <c r="AV467" s="115"/>
    </row>
    <row r="468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  <c r="AA468" s="115"/>
      <c r="AB468" s="115"/>
      <c r="AC468" s="115"/>
      <c r="AD468" s="115"/>
      <c r="AE468" s="115"/>
      <c r="AF468" s="115"/>
      <c r="AG468" s="115"/>
      <c r="AH468" s="115"/>
      <c r="AI468" s="115"/>
      <c r="AJ468" s="115"/>
      <c r="AK468" s="115"/>
      <c r="AL468" s="115"/>
      <c r="AM468" s="115"/>
      <c r="AN468" s="115"/>
      <c r="AO468" s="115"/>
      <c r="AP468" s="115"/>
      <c r="AQ468" s="115"/>
      <c r="AR468" s="115"/>
      <c r="AS468" s="115"/>
      <c r="AT468" s="115"/>
      <c r="AU468" s="115"/>
      <c r="AV468" s="115"/>
    </row>
    <row r="469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  <c r="AA469" s="115"/>
      <c r="AB469" s="115"/>
      <c r="AC469" s="115"/>
      <c r="AD469" s="115"/>
      <c r="AE469" s="115"/>
      <c r="AF469" s="115"/>
      <c r="AG469" s="115"/>
      <c r="AH469" s="115"/>
      <c r="AI469" s="115"/>
      <c r="AJ469" s="115"/>
      <c r="AK469" s="115"/>
      <c r="AL469" s="115"/>
      <c r="AM469" s="115"/>
      <c r="AN469" s="115"/>
      <c r="AO469" s="115"/>
      <c r="AP469" s="115"/>
      <c r="AQ469" s="115"/>
      <c r="AR469" s="115"/>
      <c r="AS469" s="115"/>
      <c r="AT469" s="115"/>
      <c r="AU469" s="115"/>
      <c r="AV469" s="115"/>
    </row>
    <row r="470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  <c r="AA470" s="115"/>
      <c r="AB470" s="115"/>
      <c r="AC470" s="115"/>
      <c r="AD470" s="115"/>
      <c r="AE470" s="115"/>
      <c r="AF470" s="115"/>
      <c r="AG470" s="115"/>
      <c r="AH470" s="115"/>
      <c r="AI470" s="115"/>
      <c r="AJ470" s="115"/>
      <c r="AK470" s="115"/>
      <c r="AL470" s="115"/>
      <c r="AM470" s="115"/>
      <c r="AN470" s="115"/>
      <c r="AO470" s="115"/>
      <c r="AP470" s="115"/>
      <c r="AQ470" s="115"/>
      <c r="AR470" s="115"/>
      <c r="AS470" s="115"/>
      <c r="AT470" s="115"/>
      <c r="AU470" s="115"/>
      <c r="AV470" s="115"/>
    </row>
    <row r="471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  <c r="AA471" s="115"/>
      <c r="AB471" s="115"/>
      <c r="AC471" s="115"/>
      <c r="AD471" s="115"/>
      <c r="AE471" s="115"/>
      <c r="AF471" s="115"/>
      <c r="AG471" s="115"/>
      <c r="AH471" s="115"/>
      <c r="AI471" s="115"/>
      <c r="AJ471" s="115"/>
      <c r="AK471" s="115"/>
      <c r="AL471" s="115"/>
      <c r="AM471" s="115"/>
      <c r="AN471" s="115"/>
      <c r="AO471" s="115"/>
      <c r="AP471" s="115"/>
      <c r="AQ471" s="115"/>
      <c r="AR471" s="115"/>
      <c r="AS471" s="115"/>
      <c r="AT471" s="115"/>
      <c r="AU471" s="115"/>
      <c r="AV471" s="115"/>
    </row>
    <row r="472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  <c r="AA472" s="115"/>
      <c r="AB472" s="115"/>
      <c r="AC472" s="115"/>
      <c r="AD472" s="115"/>
      <c r="AE472" s="115"/>
      <c r="AF472" s="115"/>
      <c r="AG472" s="115"/>
      <c r="AH472" s="115"/>
      <c r="AI472" s="115"/>
      <c r="AJ472" s="115"/>
      <c r="AK472" s="115"/>
      <c r="AL472" s="115"/>
      <c r="AM472" s="115"/>
      <c r="AN472" s="115"/>
      <c r="AO472" s="115"/>
      <c r="AP472" s="115"/>
      <c r="AQ472" s="115"/>
      <c r="AR472" s="115"/>
      <c r="AS472" s="115"/>
      <c r="AT472" s="115"/>
      <c r="AU472" s="115"/>
      <c r="AV472" s="115"/>
    </row>
    <row r="473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  <c r="AA473" s="115"/>
      <c r="AB473" s="115"/>
      <c r="AC473" s="115"/>
      <c r="AD473" s="115"/>
      <c r="AE473" s="115"/>
      <c r="AF473" s="115"/>
      <c r="AG473" s="115"/>
      <c r="AH473" s="115"/>
      <c r="AI473" s="115"/>
      <c r="AJ473" s="115"/>
      <c r="AK473" s="115"/>
      <c r="AL473" s="115"/>
      <c r="AM473" s="115"/>
      <c r="AN473" s="115"/>
      <c r="AO473" s="115"/>
      <c r="AP473" s="115"/>
      <c r="AQ473" s="115"/>
      <c r="AR473" s="115"/>
      <c r="AS473" s="115"/>
      <c r="AT473" s="115"/>
      <c r="AU473" s="115"/>
      <c r="AV473" s="115"/>
    </row>
    <row r="474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  <c r="AA474" s="115"/>
      <c r="AB474" s="115"/>
      <c r="AC474" s="115"/>
      <c r="AD474" s="115"/>
      <c r="AE474" s="115"/>
      <c r="AF474" s="115"/>
      <c r="AG474" s="115"/>
      <c r="AH474" s="115"/>
      <c r="AI474" s="115"/>
      <c r="AJ474" s="115"/>
      <c r="AK474" s="115"/>
      <c r="AL474" s="115"/>
      <c r="AM474" s="115"/>
      <c r="AN474" s="115"/>
      <c r="AO474" s="115"/>
      <c r="AP474" s="115"/>
      <c r="AQ474" s="115"/>
      <c r="AR474" s="115"/>
      <c r="AS474" s="115"/>
      <c r="AT474" s="115"/>
      <c r="AU474" s="115"/>
      <c r="AV474" s="115"/>
    </row>
    <row r="475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  <c r="AA475" s="115"/>
      <c r="AB475" s="115"/>
      <c r="AC475" s="115"/>
      <c r="AD475" s="115"/>
      <c r="AE475" s="115"/>
      <c r="AF475" s="115"/>
      <c r="AG475" s="115"/>
      <c r="AH475" s="115"/>
      <c r="AI475" s="115"/>
      <c r="AJ475" s="115"/>
      <c r="AK475" s="115"/>
      <c r="AL475" s="115"/>
      <c r="AM475" s="115"/>
      <c r="AN475" s="115"/>
      <c r="AO475" s="115"/>
      <c r="AP475" s="115"/>
      <c r="AQ475" s="115"/>
      <c r="AR475" s="115"/>
      <c r="AS475" s="115"/>
      <c r="AT475" s="115"/>
      <c r="AU475" s="115"/>
      <c r="AV475" s="115"/>
    </row>
    <row r="476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  <c r="AA476" s="115"/>
      <c r="AB476" s="115"/>
      <c r="AC476" s="115"/>
      <c r="AD476" s="115"/>
      <c r="AE476" s="115"/>
      <c r="AF476" s="115"/>
      <c r="AG476" s="115"/>
      <c r="AH476" s="115"/>
      <c r="AI476" s="115"/>
      <c r="AJ476" s="115"/>
      <c r="AK476" s="115"/>
      <c r="AL476" s="115"/>
      <c r="AM476" s="115"/>
      <c r="AN476" s="115"/>
      <c r="AO476" s="115"/>
      <c r="AP476" s="115"/>
      <c r="AQ476" s="115"/>
      <c r="AR476" s="115"/>
      <c r="AS476" s="115"/>
      <c r="AT476" s="115"/>
      <c r="AU476" s="115"/>
      <c r="AV476" s="115"/>
    </row>
    <row r="477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  <c r="AA477" s="115"/>
      <c r="AB477" s="115"/>
      <c r="AC477" s="115"/>
      <c r="AD477" s="115"/>
      <c r="AE477" s="115"/>
      <c r="AF477" s="115"/>
      <c r="AG477" s="115"/>
      <c r="AH477" s="115"/>
      <c r="AI477" s="115"/>
      <c r="AJ477" s="115"/>
      <c r="AK477" s="115"/>
      <c r="AL477" s="115"/>
      <c r="AM477" s="115"/>
      <c r="AN477" s="115"/>
      <c r="AO477" s="115"/>
      <c r="AP477" s="115"/>
      <c r="AQ477" s="115"/>
      <c r="AR477" s="115"/>
      <c r="AS477" s="115"/>
      <c r="AT477" s="115"/>
      <c r="AU477" s="115"/>
      <c r="AV477" s="115"/>
    </row>
    <row r="478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  <c r="AA478" s="115"/>
      <c r="AB478" s="115"/>
      <c r="AC478" s="115"/>
      <c r="AD478" s="115"/>
      <c r="AE478" s="115"/>
      <c r="AF478" s="115"/>
      <c r="AG478" s="115"/>
      <c r="AH478" s="115"/>
      <c r="AI478" s="115"/>
      <c r="AJ478" s="115"/>
      <c r="AK478" s="115"/>
      <c r="AL478" s="115"/>
      <c r="AM478" s="115"/>
      <c r="AN478" s="115"/>
      <c r="AO478" s="115"/>
      <c r="AP478" s="115"/>
      <c r="AQ478" s="115"/>
      <c r="AR478" s="115"/>
      <c r="AS478" s="115"/>
      <c r="AT478" s="115"/>
      <c r="AU478" s="115"/>
      <c r="AV478" s="115"/>
    </row>
    <row r="479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  <c r="AA479" s="115"/>
      <c r="AB479" s="115"/>
      <c r="AC479" s="115"/>
      <c r="AD479" s="115"/>
      <c r="AE479" s="115"/>
      <c r="AF479" s="115"/>
      <c r="AG479" s="115"/>
      <c r="AH479" s="115"/>
      <c r="AI479" s="115"/>
      <c r="AJ479" s="115"/>
      <c r="AK479" s="115"/>
      <c r="AL479" s="115"/>
      <c r="AM479" s="115"/>
      <c r="AN479" s="115"/>
      <c r="AO479" s="115"/>
      <c r="AP479" s="115"/>
      <c r="AQ479" s="115"/>
      <c r="AR479" s="115"/>
      <c r="AS479" s="115"/>
      <c r="AT479" s="115"/>
      <c r="AU479" s="115"/>
      <c r="AV479" s="115"/>
    </row>
    <row r="480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  <c r="AA480" s="115"/>
      <c r="AB480" s="115"/>
      <c r="AC480" s="115"/>
      <c r="AD480" s="115"/>
      <c r="AE480" s="115"/>
      <c r="AF480" s="115"/>
      <c r="AG480" s="115"/>
      <c r="AH480" s="115"/>
      <c r="AI480" s="115"/>
      <c r="AJ480" s="115"/>
      <c r="AK480" s="115"/>
      <c r="AL480" s="115"/>
      <c r="AM480" s="115"/>
      <c r="AN480" s="115"/>
      <c r="AO480" s="115"/>
      <c r="AP480" s="115"/>
      <c r="AQ480" s="115"/>
      <c r="AR480" s="115"/>
      <c r="AS480" s="115"/>
      <c r="AT480" s="115"/>
      <c r="AU480" s="115"/>
      <c r="AV480" s="115"/>
    </row>
    <row r="481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  <c r="AA481" s="115"/>
      <c r="AB481" s="115"/>
      <c r="AC481" s="115"/>
      <c r="AD481" s="115"/>
      <c r="AE481" s="115"/>
      <c r="AF481" s="115"/>
      <c r="AG481" s="115"/>
      <c r="AH481" s="115"/>
      <c r="AI481" s="115"/>
      <c r="AJ481" s="115"/>
      <c r="AK481" s="115"/>
      <c r="AL481" s="115"/>
      <c r="AM481" s="115"/>
      <c r="AN481" s="115"/>
      <c r="AO481" s="115"/>
      <c r="AP481" s="115"/>
      <c r="AQ481" s="115"/>
      <c r="AR481" s="115"/>
      <c r="AS481" s="115"/>
      <c r="AT481" s="115"/>
      <c r="AU481" s="115"/>
      <c r="AV481" s="115"/>
    </row>
    <row r="482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  <c r="AA482" s="115"/>
      <c r="AB482" s="115"/>
      <c r="AC482" s="115"/>
      <c r="AD482" s="115"/>
      <c r="AE482" s="115"/>
      <c r="AF482" s="115"/>
      <c r="AG482" s="115"/>
      <c r="AH482" s="115"/>
      <c r="AI482" s="115"/>
      <c r="AJ482" s="115"/>
      <c r="AK482" s="115"/>
      <c r="AL482" s="115"/>
      <c r="AM482" s="115"/>
      <c r="AN482" s="115"/>
      <c r="AO482" s="115"/>
      <c r="AP482" s="115"/>
      <c r="AQ482" s="115"/>
      <c r="AR482" s="115"/>
      <c r="AS482" s="115"/>
      <c r="AT482" s="115"/>
      <c r="AU482" s="115"/>
      <c r="AV482" s="115"/>
    </row>
    <row r="483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  <c r="AA483" s="115"/>
      <c r="AB483" s="115"/>
      <c r="AC483" s="115"/>
      <c r="AD483" s="115"/>
      <c r="AE483" s="115"/>
      <c r="AF483" s="115"/>
      <c r="AG483" s="115"/>
      <c r="AH483" s="115"/>
      <c r="AI483" s="115"/>
      <c r="AJ483" s="115"/>
      <c r="AK483" s="115"/>
      <c r="AL483" s="115"/>
      <c r="AM483" s="115"/>
      <c r="AN483" s="115"/>
      <c r="AO483" s="115"/>
      <c r="AP483" s="115"/>
      <c r="AQ483" s="115"/>
      <c r="AR483" s="115"/>
      <c r="AS483" s="115"/>
      <c r="AT483" s="115"/>
      <c r="AU483" s="115"/>
      <c r="AV483" s="115"/>
    </row>
    <row r="484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  <c r="AA484" s="115"/>
      <c r="AB484" s="115"/>
      <c r="AC484" s="115"/>
      <c r="AD484" s="115"/>
      <c r="AE484" s="115"/>
      <c r="AF484" s="115"/>
      <c r="AG484" s="115"/>
      <c r="AH484" s="115"/>
      <c r="AI484" s="115"/>
      <c r="AJ484" s="115"/>
      <c r="AK484" s="115"/>
      <c r="AL484" s="115"/>
      <c r="AM484" s="115"/>
      <c r="AN484" s="115"/>
      <c r="AO484" s="115"/>
      <c r="AP484" s="115"/>
      <c r="AQ484" s="115"/>
      <c r="AR484" s="115"/>
      <c r="AS484" s="115"/>
      <c r="AT484" s="115"/>
      <c r="AU484" s="115"/>
      <c r="AV484" s="115"/>
    </row>
    <row r="485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  <c r="AA485" s="115"/>
      <c r="AB485" s="115"/>
      <c r="AC485" s="115"/>
      <c r="AD485" s="115"/>
      <c r="AE485" s="115"/>
      <c r="AF485" s="115"/>
      <c r="AG485" s="115"/>
      <c r="AH485" s="115"/>
      <c r="AI485" s="115"/>
      <c r="AJ485" s="115"/>
      <c r="AK485" s="115"/>
      <c r="AL485" s="115"/>
      <c r="AM485" s="115"/>
      <c r="AN485" s="115"/>
      <c r="AO485" s="115"/>
      <c r="AP485" s="115"/>
      <c r="AQ485" s="115"/>
      <c r="AR485" s="115"/>
      <c r="AS485" s="115"/>
      <c r="AT485" s="115"/>
      <c r="AU485" s="115"/>
      <c r="AV485" s="115"/>
    </row>
    <row r="486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  <c r="AA486" s="115"/>
      <c r="AB486" s="115"/>
      <c r="AC486" s="115"/>
      <c r="AD486" s="115"/>
      <c r="AE486" s="115"/>
      <c r="AF486" s="115"/>
      <c r="AG486" s="115"/>
      <c r="AH486" s="115"/>
      <c r="AI486" s="115"/>
      <c r="AJ486" s="115"/>
      <c r="AK486" s="115"/>
      <c r="AL486" s="115"/>
      <c r="AM486" s="115"/>
      <c r="AN486" s="115"/>
      <c r="AO486" s="115"/>
      <c r="AP486" s="115"/>
      <c r="AQ486" s="115"/>
      <c r="AR486" s="115"/>
      <c r="AS486" s="115"/>
      <c r="AT486" s="115"/>
      <c r="AU486" s="115"/>
      <c r="AV486" s="115"/>
    </row>
    <row r="487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  <c r="AA487" s="115"/>
      <c r="AB487" s="115"/>
      <c r="AC487" s="115"/>
      <c r="AD487" s="115"/>
      <c r="AE487" s="115"/>
      <c r="AF487" s="115"/>
      <c r="AG487" s="115"/>
      <c r="AH487" s="115"/>
      <c r="AI487" s="115"/>
      <c r="AJ487" s="115"/>
      <c r="AK487" s="115"/>
      <c r="AL487" s="115"/>
      <c r="AM487" s="115"/>
      <c r="AN487" s="115"/>
      <c r="AO487" s="115"/>
      <c r="AP487" s="115"/>
      <c r="AQ487" s="115"/>
      <c r="AR487" s="115"/>
      <c r="AS487" s="115"/>
      <c r="AT487" s="115"/>
      <c r="AU487" s="115"/>
      <c r="AV487" s="115"/>
    </row>
    <row r="488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  <c r="AA488" s="115"/>
      <c r="AB488" s="115"/>
      <c r="AC488" s="115"/>
      <c r="AD488" s="115"/>
      <c r="AE488" s="115"/>
      <c r="AF488" s="115"/>
      <c r="AG488" s="115"/>
      <c r="AH488" s="115"/>
      <c r="AI488" s="115"/>
      <c r="AJ488" s="115"/>
      <c r="AK488" s="115"/>
      <c r="AL488" s="115"/>
      <c r="AM488" s="115"/>
      <c r="AN488" s="115"/>
      <c r="AO488" s="115"/>
      <c r="AP488" s="115"/>
      <c r="AQ488" s="115"/>
      <c r="AR488" s="115"/>
      <c r="AS488" s="115"/>
      <c r="AT488" s="115"/>
      <c r="AU488" s="115"/>
      <c r="AV488" s="115"/>
    </row>
    <row r="489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  <c r="AA489" s="115"/>
      <c r="AB489" s="115"/>
      <c r="AC489" s="115"/>
      <c r="AD489" s="115"/>
      <c r="AE489" s="115"/>
      <c r="AF489" s="115"/>
      <c r="AG489" s="115"/>
      <c r="AH489" s="115"/>
      <c r="AI489" s="115"/>
      <c r="AJ489" s="115"/>
      <c r="AK489" s="115"/>
      <c r="AL489" s="115"/>
      <c r="AM489" s="115"/>
      <c r="AN489" s="115"/>
      <c r="AO489" s="115"/>
      <c r="AP489" s="115"/>
      <c r="AQ489" s="115"/>
      <c r="AR489" s="115"/>
      <c r="AS489" s="115"/>
      <c r="AT489" s="115"/>
      <c r="AU489" s="115"/>
      <c r="AV489" s="115"/>
    </row>
    <row r="490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  <c r="AA490" s="115"/>
      <c r="AB490" s="115"/>
      <c r="AC490" s="115"/>
      <c r="AD490" s="115"/>
      <c r="AE490" s="115"/>
      <c r="AF490" s="115"/>
      <c r="AG490" s="115"/>
      <c r="AH490" s="115"/>
      <c r="AI490" s="115"/>
      <c r="AJ490" s="115"/>
      <c r="AK490" s="115"/>
      <c r="AL490" s="115"/>
      <c r="AM490" s="115"/>
      <c r="AN490" s="115"/>
      <c r="AO490" s="115"/>
      <c r="AP490" s="115"/>
      <c r="AQ490" s="115"/>
      <c r="AR490" s="115"/>
      <c r="AS490" s="115"/>
      <c r="AT490" s="115"/>
      <c r="AU490" s="115"/>
      <c r="AV490" s="115"/>
    </row>
    <row r="491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  <c r="AA491" s="115"/>
      <c r="AB491" s="115"/>
      <c r="AC491" s="115"/>
      <c r="AD491" s="115"/>
      <c r="AE491" s="115"/>
      <c r="AF491" s="115"/>
      <c r="AG491" s="115"/>
      <c r="AH491" s="115"/>
      <c r="AI491" s="115"/>
      <c r="AJ491" s="115"/>
      <c r="AK491" s="115"/>
      <c r="AL491" s="115"/>
      <c r="AM491" s="115"/>
      <c r="AN491" s="115"/>
      <c r="AO491" s="115"/>
      <c r="AP491" s="115"/>
      <c r="AQ491" s="115"/>
      <c r="AR491" s="115"/>
      <c r="AS491" s="115"/>
      <c r="AT491" s="115"/>
      <c r="AU491" s="115"/>
      <c r="AV491" s="115"/>
    </row>
    <row r="492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  <c r="AA492" s="115"/>
      <c r="AB492" s="115"/>
      <c r="AC492" s="115"/>
      <c r="AD492" s="115"/>
      <c r="AE492" s="115"/>
      <c r="AF492" s="115"/>
      <c r="AG492" s="115"/>
      <c r="AH492" s="115"/>
      <c r="AI492" s="115"/>
      <c r="AJ492" s="115"/>
      <c r="AK492" s="115"/>
      <c r="AL492" s="115"/>
      <c r="AM492" s="115"/>
      <c r="AN492" s="115"/>
      <c r="AO492" s="115"/>
      <c r="AP492" s="115"/>
      <c r="AQ492" s="115"/>
      <c r="AR492" s="115"/>
      <c r="AS492" s="115"/>
      <c r="AT492" s="115"/>
      <c r="AU492" s="115"/>
      <c r="AV492" s="115"/>
    </row>
    <row r="493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  <c r="AA493" s="115"/>
      <c r="AB493" s="115"/>
      <c r="AC493" s="115"/>
      <c r="AD493" s="115"/>
      <c r="AE493" s="115"/>
      <c r="AF493" s="115"/>
      <c r="AG493" s="115"/>
      <c r="AH493" s="115"/>
      <c r="AI493" s="115"/>
      <c r="AJ493" s="115"/>
      <c r="AK493" s="115"/>
      <c r="AL493" s="115"/>
      <c r="AM493" s="115"/>
      <c r="AN493" s="115"/>
      <c r="AO493" s="115"/>
      <c r="AP493" s="115"/>
      <c r="AQ493" s="115"/>
      <c r="AR493" s="115"/>
      <c r="AS493" s="115"/>
      <c r="AT493" s="115"/>
      <c r="AU493" s="115"/>
      <c r="AV493" s="115"/>
    </row>
    <row r="494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  <c r="AA494" s="115"/>
      <c r="AB494" s="115"/>
      <c r="AC494" s="115"/>
      <c r="AD494" s="115"/>
      <c r="AE494" s="115"/>
      <c r="AF494" s="115"/>
      <c r="AG494" s="115"/>
      <c r="AH494" s="115"/>
      <c r="AI494" s="115"/>
      <c r="AJ494" s="115"/>
      <c r="AK494" s="115"/>
      <c r="AL494" s="115"/>
      <c r="AM494" s="115"/>
      <c r="AN494" s="115"/>
      <c r="AO494" s="115"/>
      <c r="AP494" s="115"/>
      <c r="AQ494" s="115"/>
      <c r="AR494" s="115"/>
      <c r="AS494" s="115"/>
      <c r="AT494" s="115"/>
      <c r="AU494" s="115"/>
      <c r="AV494" s="115"/>
    </row>
    <row r="495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  <c r="AA495" s="115"/>
      <c r="AB495" s="115"/>
      <c r="AC495" s="115"/>
      <c r="AD495" s="115"/>
      <c r="AE495" s="115"/>
      <c r="AF495" s="115"/>
      <c r="AG495" s="115"/>
      <c r="AH495" s="115"/>
      <c r="AI495" s="115"/>
      <c r="AJ495" s="115"/>
      <c r="AK495" s="115"/>
      <c r="AL495" s="115"/>
      <c r="AM495" s="115"/>
      <c r="AN495" s="115"/>
      <c r="AO495" s="115"/>
      <c r="AP495" s="115"/>
      <c r="AQ495" s="115"/>
      <c r="AR495" s="115"/>
      <c r="AS495" s="115"/>
      <c r="AT495" s="115"/>
      <c r="AU495" s="115"/>
      <c r="AV495" s="115"/>
    </row>
    <row r="496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  <c r="AA496" s="115"/>
      <c r="AB496" s="115"/>
      <c r="AC496" s="115"/>
      <c r="AD496" s="115"/>
      <c r="AE496" s="115"/>
      <c r="AF496" s="115"/>
      <c r="AG496" s="115"/>
      <c r="AH496" s="115"/>
      <c r="AI496" s="115"/>
      <c r="AJ496" s="115"/>
      <c r="AK496" s="115"/>
      <c r="AL496" s="115"/>
      <c r="AM496" s="115"/>
      <c r="AN496" s="115"/>
      <c r="AO496" s="115"/>
      <c r="AP496" s="115"/>
      <c r="AQ496" s="115"/>
      <c r="AR496" s="115"/>
      <c r="AS496" s="115"/>
      <c r="AT496" s="115"/>
      <c r="AU496" s="115"/>
      <c r="AV496" s="115"/>
    </row>
    <row r="497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  <c r="AA497" s="115"/>
      <c r="AB497" s="115"/>
      <c r="AC497" s="115"/>
      <c r="AD497" s="115"/>
      <c r="AE497" s="115"/>
      <c r="AF497" s="115"/>
      <c r="AG497" s="115"/>
      <c r="AH497" s="115"/>
      <c r="AI497" s="115"/>
      <c r="AJ497" s="115"/>
      <c r="AK497" s="115"/>
      <c r="AL497" s="115"/>
      <c r="AM497" s="115"/>
      <c r="AN497" s="115"/>
      <c r="AO497" s="115"/>
      <c r="AP497" s="115"/>
      <c r="AQ497" s="115"/>
      <c r="AR497" s="115"/>
      <c r="AS497" s="115"/>
      <c r="AT497" s="115"/>
      <c r="AU497" s="115"/>
      <c r="AV497" s="115"/>
    </row>
    <row r="498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  <c r="AA498" s="115"/>
      <c r="AB498" s="115"/>
      <c r="AC498" s="115"/>
      <c r="AD498" s="115"/>
      <c r="AE498" s="115"/>
      <c r="AF498" s="115"/>
      <c r="AG498" s="115"/>
      <c r="AH498" s="115"/>
      <c r="AI498" s="115"/>
      <c r="AJ498" s="115"/>
      <c r="AK498" s="115"/>
      <c r="AL498" s="115"/>
      <c r="AM498" s="115"/>
      <c r="AN498" s="115"/>
      <c r="AO498" s="115"/>
      <c r="AP498" s="115"/>
      <c r="AQ498" s="115"/>
      <c r="AR498" s="115"/>
      <c r="AS498" s="115"/>
      <c r="AT498" s="115"/>
      <c r="AU498" s="115"/>
      <c r="AV498" s="115"/>
    </row>
    <row r="499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  <c r="AA499" s="115"/>
      <c r="AB499" s="115"/>
      <c r="AC499" s="115"/>
      <c r="AD499" s="115"/>
      <c r="AE499" s="115"/>
      <c r="AF499" s="115"/>
      <c r="AG499" s="115"/>
      <c r="AH499" s="115"/>
      <c r="AI499" s="115"/>
      <c r="AJ499" s="115"/>
      <c r="AK499" s="115"/>
      <c r="AL499" s="115"/>
      <c r="AM499" s="115"/>
      <c r="AN499" s="115"/>
      <c r="AO499" s="115"/>
      <c r="AP499" s="115"/>
      <c r="AQ499" s="115"/>
      <c r="AR499" s="115"/>
      <c r="AS499" s="115"/>
      <c r="AT499" s="115"/>
      <c r="AU499" s="115"/>
      <c r="AV499" s="115"/>
    </row>
    <row r="500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  <c r="AA500" s="115"/>
      <c r="AB500" s="115"/>
      <c r="AC500" s="115"/>
      <c r="AD500" s="115"/>
      <c r="AE500" s="115"/>
      <c r="AF500" s="115"/>
      <c r="AG500" s="115"/>
      <c r="AH500" s="115"/>
      <c r="AI500" s="115"/>
      <c r="AJ500" s="115"/>
      <c r="AK500" s="115"/>
      <c r="AL500" s="115"/>
      <c r="AM500" s="115"/>
      <c r="AN500" s="115"/>
      <c r="AO500" s="115"/>
      <c r="AP500" s="115"/>
      <c r="AQ500" s="115"/>
      <c r="AR500" s="115"/>
      <c r="AS500" s="115"/>
      <c r="AT500" s="115"/>
      <c r="AU500" s="115"/>
      <c r="AV500" s="115"/>
    </row>
    <row r="501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  <c r="AA501" s="115"/>
      <c r="AB501" s="115"/>
      <c r="AC501" s="115"/>
      <c r="AD501" s="115"/>
      <c r="AE501" s="115"/>
      <c r="AF501" s="115"/>
      <c r="AG501" s="115"/>
      <c r="AH501" s="115"/>
      <c r="AI501" s="115"/>
      <c r="AJ501" s="115"/>
      <c r="AK501" s="115"/>
      <c r="AL501" s="115"/>
      <c r="AM501" s="115"/>
      <c r="AN501" s="115"/>
      <c r="AO501" s="115"/>
      <c r="AP501" s="115"/>
      <c r="AQ501" s="115"/>
      <c r="AR501" s="115"/>
      <c r="AS501" s="115"/>
      <c r="AT501" s="115"/>
      <c r="AU501" s="115"/>
      <c r="AV501" s="115"/>
    </row>
    <row r="502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  <c r="AA502" s="115"/>
      <c r="AB502" s="115"/>
      <c r="AC502" s="115"/>
      <c r="AD502" s="115"/>
      <c r="AE502" s="115"/>
      <c r="AF502" s="115"/>
      <c r="AG502" s="115"/>
      <c r="AH502" s="115"/>
      <c r="AI502" s="115"/>
      <c r="AJ502" s="115"/>
      <c r="AK502" s="115"/>
      <c r="AL502" s="115"/>
      <c r="AM502" s="115"/>
      <c r="AN502" s="115"/>
      <c r="AO502" s="115"/>
      <c r="AP502" s="115"/>
      <c r="AQ502" s="115"/>
      <c r="AR502" s="115"/>
      <c r="AS502" s="115"/>
      <c r="AT502" s="115"/>
      <c r="AU502" s="115"/>
      <c r="AV502" s="115"/>
    </row>
    <row r="503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  <c r="AA503" s="115"/>
      <c r="AB503" s="115"/>
      <c r="AC503" s="115"/>
      <c r="AD503" s="115"/>
      <c r="AE503" s="115"/>
      <c r="AF503" s="115"/>
      <c r="AG503" s="115"/>
      <c r="AH503" s="115"/>
      <c r="AI503" s="115"/>
      <c r="AJ503" s="115"/>
      <c r="AK503" s="115"/>
      <c r="AL503" s="115"/>
      <c r="AM503" s="115"/>
      <c r="AN503" s="115"/>
      <c r="AO503" s="115"/>
      <c r="AP503" s="115"/>
      <c r="AQ503" s="115"/>
      <c r="AR503" s="115"/>
      <c r="AS503" s="115"/>
      <c r="AT503" s="115"/>
      <c r="AU503" s="115"/>
      <c r="AV503" s="115"/>
    </row>
    <row r="504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  <c r="AA504" s="115"/>
      <c r="AB504" s="115"/>
      <c r="AC504" s="115"/>
      <c r="AD504" s="115"/>
      <c r="AE504" s="115"/>
      <c r="AF504" s="115"/>
      <c r="AG504" s="115"/>
      <c r="AH504" s="115"/>
      <c r="AI504" s="115"/>
      <c r="AJ504" s="115"/>
      <c r="AK504" s="115"/>
      <c r="AL504" s="115"/>
      <c r="AM504" s="115"/>
      <c r="AN504" s="115"/>
      <c r="AO504" s="115"/>
      <c r="AP504" s="115"/>
      <c r="AQ504" s="115"/>
      <c r="AR504" s="115"/>
      <c r="AS504" s="115"/>
      <c r="AT504" s="115"/>
      <c r="AU504" s="115"/>
      <c r="AV504" s="115"/>
    </row>
    <row r="505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  <c r="AA505" s="115"/>
      <c r="AB505" s="115"/>
      <c r="AC505" s="115"/>
      <c r="AD505" s="115"/>
      <c r="AE505" s="115"/>
      <c r="AF505" s="115"/>
      <c r="AG505" s="115"/>
      <c r="AH505" s="115"/>
      <c r="AI505" s="115"/>
      <c r="AJ505" s="115"/>
      <c r="AK505" s="115"/>
      <c r="AL505" s="115"/>
      <c r="AM505" s="115"/>
      <c r="AN505" s="115"/>
      <c r="AO505" s="115"/>
      <c r="AP505" s="115"/>
      <c r="AQ505" s="115"/>
      <c r="AR505" s="115"/>
      <c r="AS505" s="115"/>
      <c r="AT505" s="115"/>
      <c r="AU505" s="115"/>
      <c r="AV505" s="115"/>
    </row>
    <row r="506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  <c r="AA506" s="115"/>
      <c r="AB506" s="115"/>
      <c r="AC506" s="115"/>
      <c r="AD506" s="115"/>
      <c r="AE506" s="115"/>
      <c r="AF506" s="115"/>
      <c r="AG506" s="115"/>
      <c r="AH506" s="115"/>
      <c r="AI506" s="115"/>
      <c r="AJ506" s="115"/>
      <c r="AK506" s="115"/>
      <c r="AL506" s="115"/>
      <c r="AM506" s="115"/>
      <c r="AN506" s="115"/>
      <c r="AO506" s="115"/>
      <c r="AP506" s="115"/>
      <c r="AQ506" s="115"/>
      <c r="AR506" s="115"/>
      <c r="AS506" s="115"/>
      <c r="AT506" s="115"/>
      <c r="AU506" s="115"/>
      <c r="AV506" s="115"/>
    </row>
    <row r="507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  <c r="AA507" s="115"/>
      <c r="AB507" s="115"/>
      <c r="AC507" s="115"/>
      <c r="AD507" s="115"/>
      <c r="AE507" s="115"/>
      <c r="AF507" s="115"/>
      <c r="AG507" s="115"/>
      <c r="AH507" s="115"/>
      <c r="AI507" s="115"/>
      <c r="AJ507" s="115"/>
      <c r="AK507" s="115"/>
      <c r="AL507" s="115"/>
      <c r="AM507" s="115"/>
      <c r="AN507" s="115"/>
      <c r="AO507" s="115"/>
      <c r="AP507" s="115"/>
      <c r="AQ507" s="115"/>
      <c r="AR507" s="115"/>
      <c r="AS507" s="115"/>
      <c r="AT507" s="115"/>
      <c r="AU507" s="115"/>
      <c r="AV507" s="115"/>
    </row>
    <row r="508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  <c r="AA508" s="115"/>
      <c r="AB508" s="115"/>
      <c r="AC508" s="115"/>
      <c r="AD508" s="115"/>
      <c r="AE508" s="115"/>
      <c r="AF508" s="115"/>
      <c r="AG508" s="115"/>
      <c r="AH508" s="115"/>
      <c r="AI508" s="115"/>
      <c r="AJ508" s="115"/>
      <c r="AK508" s="115"/>
      <c r="AL508" s="115"/>
      <c r="AM508" s="115"/>
      <c r="AN508" s="115"/>
      <c r="AO508" s="115"/>
      <c r="AP508" s="115"/>
      <c r="AQ508" s="115"/>
      <c r="AR508" s="115"/>
      <c r="AS508" s="115"/>
      <c r="AT508" s="115"/>
      <c r="AU508" s="115"/>
      <c r="AV508" s="115"/>
    </row>
    <row r="509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  <c r="AA509" s="115"/>
      <c r="AB509" s="115"/>
      <c r="AC509" s="115"/>
      <c r="AD509" s="115"/>
      <c r="AE509" s="115"/>
      <c r="AF509" s="115"/>
      <c r="AG509" s="115"/>
      <c r="AH509" s="115"/>
      <c r="AI509" s="115"/>
      <c r="AJ509" s="115"/>
      <c r="AK509" s="115"/>
      <c r="AL509" s="115"/>
      <c r="AM509" s="115"/>
      <c r="AN509" s="115"/>
      <c r="AO509" s="115"/>
      <c r="AP509" s="115"/>
      <c r="AQ509" s="115"/>
      <c r="AR509" s="115"/>
      <c r="AS509" s="115"/>
      <c r="AT509" s="115"/>
      <c r="AU509" s="115"/>
      <c r="AV509" s="115"/>
    </row>
    <row r="510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  <c r="AA510" s="115"/>
      <c r="AB510" s="115"/>
      <c r="AC510" s="115"/>
      <c r="AD510" s="115"/>
      <c r="AE510" s="115"/>
      <c r="AF510" s="115"/>
      <c r="AG510" s="115"/>
      <c r="AH510" s="115"/>
      <c r="AI510" s="115"/>
      <c r="AJ510" s="115"/>
      <c r="AK510" s="115"/>
      <c r="AL510" s="115"/>
      <c r="AM510" s="115"/>
      <c r="AN510" s="115"/>
      <c r="AO510" s="115"/>
      <c r="AP510" s="115"/>
      <c r="AQ510" s="115"/>
      <c r="AR510" s="115"/>
      <c r="AS510" s="115"/>
      <c r="AT510" s="115"/>
      <c r="AU510" s="115"/>
      <c r="AV510" s="115"/>
    </row>
    <row r="511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  <c r="AA511" s="115"/>
      <c r="AB511" s="115"/>
      <c r="AC511" s="115"/>
      <c r="AD511" s="115"/>
      <c r="AE511" s="115"/>
      <c r="AF511" s="115"/>
      <c r="AG511" s="115"/>
      <c r="AH511" s="115"/>
      <c r="AI511" s="115"/>
      <c r="AJ511" s="115"/>
      <c r="AK511" s="115"/>
      <c r="AL511" s="115"/>
      <c r="AM511" s="115"/>
      <c r="AN511" s="115"/>
      <c r="AO511" s="115"/>
      <c r="AP511" s="115"/>
      <c r="AQ511" s="115"/>
      <c r="AR511" s="115"/>
      <c r="AS511" s="115"/>
      <c r="AT511" s="115"/>
      <c r="AU511" s="115"/>
      <c r="AV511" s="115"/>
    </row>
    <row r="512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  <c r="AA512" s="115"/>
      <c r="AB512" s="115"/>
      <c r="AC512" s="115"/>
      <c r="AD512" s="115"/>
      <c r="AE512" s="115"/>
      <c r="AF512" s="115"/>
      <c r="AG512" s="115"/>
      <c r="AH512" s="115"/>
      <c r="AI512" s="115"/>
      <c r="AJ512" s="115"/>
      <c r="AK512" s="115"/>
      <c r="AL512" s="115"/>
      <c r="AM512" s="115"/>
      <c r="AN512" s="115"/>
      <c r="AO512" s="115"/>
      <c r="AP512" s="115"/>
      <c r="AQ512" s="115"/>
      <c r="AR512" s="115"/>
      <c r="AS512" s="115"/>
      <c r="AT512" s="115"/>
      <c r="AU512" s="115"/>
      <c r="AV512" s="115"/>
    </row>
    <row r="513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  <c r="AA513" s="115"/>
      <c r="AB513" s="115"/>
      <c r="AC513" s="115"/>
      <c r="AD513" s="115"/>
      <c r="AE513" s="115"/>
      <c r="AF513" s="115"/>
      <c r="AG513" s="115"/>
      <c r="AH513" s="115"/>
      <c r="AI513" s="115"/>
      <c r="AJ513" s="115"/>
      <c r="AK513" s="115"/>
      <c r="AL513" s="115"/>
      <c r="AM513" s="115"/>
      <c r="AN513" s="115"/>
      <c r="AO513" s="115"/>
      <c r="AP513" s="115"/>
      <c r="AQ513" s="115"/>
      <c r="AR513" s="115"/>
      <c r="AS513" s="115"/>
      <c r="AT513" s="115"/>
      <c r="AU513" s="115"/>
      <c r="AV513" s="115"/>
    </row>
    <row r="514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  <c r="AA514" s="115"/>
      <c r="AB514" s="115"/>
      <c r="AC514" s="115"/>
      <c r="AD514" s="115"/>
      <c r="AE514" s="115"/>
      <c r="AF514" s="115"/>
      <c r="AG514" s="115"/>
      <c r="AH514" s="115"/>
      <c r="AI514" s="115"/>
      <c r="AJ514" s="115"/>
      <c r="AK514" s="115"/>
      <c r="AL514" s="115"/>
      <c r="AM514" s="115"/>
      <c r="AN514" s="115"/>
      <c r="AO514" s="115"/>
      <c r="AP514" s="115"/>
      <c r="AQ514" s="115"/>
      <c r="AR514" s="115"/>
      <c r="AS514" s="115"/>
      <c r="AT514" s="115"/>
      <c r="AU514" s="115"/>
      <c r="AV514" s="115"/>
    </row>
    <row r="515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  <c r="AA515" s="115"/>
      <c r="AB515" s="115"/>
      <c r="AC515" s="115"/>
      <c r="AD515" s="115"/>
      <c r="AE515" s="115"/>
      <c r="AF515" s="115"/>
      <c r="AG515" s="115"/>
      <c r="AH515" s="115"/>
      <c r="AI515" s="115"/>
      <c r="AJ515" s="115"/>
      <c r="AK515" s="115"/>
      <c r="AL515" s="115"/>
      <c r="AM515" s="115"/>
      <c r="AN515" s="115"/>
      <c r="AO515" s="115"/>
      <c r="AP515" s="115"/>
      <c r="AQ515" s="115"/>
      <c r="AR515" s="115"/>
      <c r="AS515" s="115"/>
      <c r="AT515" s="115"/>
      <c r="AU515" s="115"/>
      <c r="AV515" s="115"/>
    </row>
    <row r="516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  <c r="AA516" s="115"/>
      <c r="AB516" s="115"/>
      <c r="AC516" s="115"/>
      <c r="AD516" s="115"/>
      <c r="AE516" s="115"/>
      <c r="AF516" s="115"/>
      <c r="AG516" s="115"/>
      <c r="AH516" s="115"/>
      <c r="AI516" s="115"/>
      <c r="AJ516" s="115"/>
      <c r="AK516" s="115"/>
      <c r="AL516" s="115"/>
      <c r="AM516" s="115"/>
      <c r="AN516" s="115"/>
      <c r="AO516" s="115"/>
      <c r="AP516" s="115"/>
      <c r="AQ516" s="115"/>
      <c r="AR516" s="115"/>
      <c r="AS516" s="115"/>
      <c r="AT516" s="115"/>
      <c r="AU516" s="115"/>
      <c r="AV516" s="115"/>
    </row>
    <row r="517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  <c r="AA517" s="115"/>
      <c r="AB517" s="115"/>
      <c r="AC517" s="115"/>
      <c r="AD517" s="115"/>
      <c r="AE517" s="115"/>
      <c r="AF517" s="115"/>
      <c r="AG517" s="115"/>
      <c r="AH517" s="115"/>
      <c r="AI517" s="115"/>
      <c r="AJ517" s="115"/>
      <c r="AK517" s="115"/>
      <c r="AL517" s="115"/>
      <c r="AM517" s="115"/>
      <c r="AN517" s="115"/>
      <c r="AO517" s="115"/>
      <c r="AP517" s="115"/>
      <c r="AQ517" s="115"/>
      <c r="AR517" s="115"/>
      <c r="AS517" s="115"/>
      <c r="AT517" s="115"/>
      <c r="AU517" s="115"/>
      <c r="AV517" s="115"/>
    </row>
    <row r="518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  <c r="AA518" s="115"/>
      <c r="AB518" s="115"/>
      <c r="AC518" s="115"/>
      <c r="AD518" s="115"/>
      <c r="AE518" s="115"/>
      <c r="AF518" s="115"/>
      <c r="AG518" s="115"/>
      <c r="AH518" s="115"/>
      <c r="AI518" s="115"/>
      <c r="AJ518" s="115"/>
      <c r="AK518" s="115"/>
      <c r="AL518" s="115"/>
      <c r="AM518" s="115"/>
      <c r="AN518" s="115"/>
      <c r="AO518" s="115"/>
      <c r="AP518" s="115"/>
      <c r="AQ518" s="115"/>
      <c r="AR518" s="115"/>
      <c r="AS518" s="115"/>
      <c r="AT518" s="115"/>
      <c r="AU518" s="115"/>
      <c r="AV518" s="115"/>
    </row>
    <row r="519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  <c r="AA519" s="115"/>
      <c r="AB519" s="115"/>
      <c r="AC519" s="115"/>
      <c r="AD519" s="115"/>
      <c r="AE519" s="115"/>
      <c r="AF519" s="115"/>
      <c r="AG519" s="115"/>
      <c r="AH519" s="115"/>
      <c r="AI519" s="115"/>
      <c r="AJ519" s="115"/>
      <c r="AK519" s="115"/>
      <c r="AL519" s="115"/>
      <c r="AM519" s="115"/>
      <c r="AN519" s="115"/>
      <c r="AO519" s="115"/>
      <c r="AP519" s="115"/>
      <c r="AQ519" s="115"/>
      <c r="AR519" s="115"/>
      <c r="AS519" s="115"/>
      <c r="AT519" s="115"/>
      <c r="AU519" s="115"/>
      <c r="AV519" s="115"/>
    </row>
    <row r="520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  <c r="AA520" s="115"/>
      <c r="AB520" s="115"/>
      <c r="AC520" s="115"/>
      <c r="AD520" s="115"/>
      <c r="AE520" s="115"/>
      <c r="AF520" s="115"/>
      <c r="AG520" s="115"/>
      <c r="AH520" s="115"/>
      <c r="AI520" s="115"/>
      <c r="AJ520" s="115"/>
      <c r="AK520" s="115"/>
      <c r="AL520" s="115"/>
      <c r="AM520" s="115"/>
      <c r="AN520" s="115"/>
      <c r="AO520" s="115"/>
      <c r="AP520" s="115"/>
      <c r="AQ520" s="115"/>
      <c r="AR520" s="115"/>
      <c r="AS520" s="115"/>
      <c r="AT520" s="115"/>
      <c r="AU520" s="115"/>
      <c r="AV520" s="115"/>
    </row>
    <row r="521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  <c r="AA521" s="115"/>
      <c r="AB521" s="115"/>
      <c r="AC521" s="115"/>
      <c r="AD521" s="115"/>
      <c r="AE521" s="115"/>
      <c r="AF521" s="115"/>
      <c r="AG521" s="115"/>
      <c r="AH521" s="115"/>
      <c r="AI521" s="115"/>
      <c r="AJ521" s="115"/>
      <c r="AK521" s="115"/>
      <c r="AL521" s="115"/>
      <c r="AM521" s="115"/>
      <c r="AN521" s="115"/>
      <c r="AO521" s="115"/>
      <c r="AP521" s="115"/>
      <c r="AQ521" s="115"/>
      <c r="AR521" s="115"/>
      <c r="AS521" s="115"/>
      <c r="AT521" s="115"/>
      <c r="AU521" s="115"/>
      <c r="AV521" s="115"/>
    </row>
    <row r="522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  <c r="AA522" s="115"/>
      <c r="AB522" s="115"/>
      <c r="AC522" s="115"/>
      <c r="AD522" s="115"/>
      <c r="AE522" s="115"/>
      <c r="AF522" s="115"/>
      <c r="AG522" s="115"/>
      <c r="AH522" s="115"/>
      <c r="AI522" s="115"/>
      <c r="AJ522" s="115"/>
      <c r="AK522" s="115"/>
      <c r="AL522" s="115"/>
      <c r="AM522" s="115"/>
      <c r="AN522" s="115"/>
      <c r="AO522" s="115"/>
      <c r="AP522" s="115"/>
      <c r="AQ522" s="115"/>
      <c r="AR522" s="115"/>
      <c r="AS522" s="115"/>
      <c r="AT522" s="115"/>
      <c r="AU522" s="115"/>
      <c r="AV522" s="115"/>
    </row>
    <row r="523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  <c r="AA523" s="115"/>
      <c r="AB523" s="115"/>
      <c r="AC523" s="115"/>
      <c r="AD523" s="115"/>
      <c r="AE523" s="115"/>
      <c r="AF523" s="115"/>
      <c r="AG523" s="115"/>
      <c r="AH523" s="115"/>
      <c r="AI523" s="115"/>
      <c r="AJ523" s="115"/>
      <c r="AK523" s="115"/>
      <c r="AL523" s="115"/>
      <c r="AM523" s="115"/>
      <c r="AN523" s="115"/>
      <c r="AO523" s="115"/>
      <c r="AP523" s="115"/>
      <c r="AQ523" s="115"/>
      <c r="AR523" s="115"/>
      <c r="AS523" s="115"/>
      <c r="AT523" s="115"/>
      <c r="AU523" s="115"/>
      <c r="AV523" s="115"/>
    </row>
    <row r="524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  <c r="AA524" s="115"/>
      <c r="AB524" s="115"/>
      <c r="AC524" s="115"/>
      <c r="AD524" s="115"/>
      <c r="AE524" s="115"/>
      <c r="AF524" s="115"/>
      <c r="AG524" s="115"/>
      <c r="AH524" s="115"/>
      <c r="AI524" s="115"/>
      <c r="AJ524" s="115"/>
      <c r="AK524" s="115"/>
      <c r="AL524" s="115"/>
      <c r="AM524" s="115"/>
      <c r="AN524" s="115"/>
      <c r="AO524" s="115"/>
      <c r="AP524" s="115"/>
      <c r="AQ524" s="115"/>
      <c r="AR524" s="115"/>
      <c r="AS524" s="115"/>
      <c r="AT524" s="115"/>
      <c r="AU524" s="115"/>
      <c r="AV524" s="115"/>
    </row>
    <row r="525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  <c r="AA525" s="115"/>
      <c r="AB525" s="115"/>
      <c r="AC525" s="115"/>
      <c r="AD525" s="115"/>
      <c r="AE525" s="115"/>
      <c r="AF525" s="115"/>
      <c r="AG525" s="115"/>
      <c r="AH525" s="115"/>
      <c r="AI525" s="115"/>
      <c r="AJ525" s="115"/>
      <c r="AK525" s="115"/>
      <c r="AL525" s="115"/>
      <c r="AM525" s="115"/>
      <c r="AN525" s="115"/>
      <c r="AO525" s="115"/>
      <c r="AP525" s="115"/>
      <c r="AQ525" s="115"/>
      <c r="AR525" s="115"/>
      <c r="AS525" s="115"/>
      <c r="AT525" s="115"/>
      <c r="AU525" s="115"/>
      <c r="AV525" s="115"/>
    </row>
    <row r="526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  <c r="AA526" s="115"/>
      <c r="AB526" s="115"/>
      <c r="AC526" s="115"/>
      <c r="AD526" s="115"/>
      <c r="AE526" s="115"/>
      <c r="AF526" s="115"/>
      <c r="AG526" s="115"/>
      <c r="AH526" s="115"/>
      <c r="AI526" s="115"/>
      <c r="AJ526" s="115"/>
      <c r="AK526" s="115"/>
      <c r="AL526" s="115"/>
      <c r="AM526" s="115"/>
      <c r="AN526" s="115"/>
      <c r="AO526" s="115"/>
      <c r="AP526" s="115"/>
      <c r="AQ526" s="115"/>
      <c r="AR526" s="115"/>
      <c r="AS526" s="115"/>
      <c r="AT526" s="115"/>
      <c r="AU526" s="115"/>
      <c r="AV526" s="115"/>
    </row>
    <row r="527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  <c r="AA527" s="115"/>
      <c r="AB527" s="115"/>
      <c r="AC527" s="115"/>
      <c r="AD527" s="115"/>
      <c r="AE527" s="115"/>
      <c r="AF527" s="115"/>
      <c r="AG527" s="115"/>
      <c r="AH527" s="115"/>
      <c r="AI527" s="115"/>
      <c r="AJ527" s="115"/>
      <c r="AK527" s="115"/>
      <c r="AL527" s="115"/>
      <c r="AM527" s="115"/>
      <c r="AN527" s="115"/>
      <c r="AO527" s="115"/>
      <c r="AP527" s="115"/>
      <c r="AQ527" s="115"/>
      <c r="AR527" s="115"/>
      <c r="AS527" s="115"/>
      <c r="AT527" s="115"/>
      <c r="AU527" s="115"/>
      <c r="AV527" s="115"/>
    </row>
    <row r="528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  <c r="AA528" s="115"/>
      <c r="AB528" s="115"/>
      <c r="AC528" s="115"/>
      <c r="AD528" s="115"/>
      <c r="AE528" s="115"/>
      <c r="AF528" s="115"/>
      <c r="AG528" s="115"/>
      <c r="AH528" s="115"/>
      <c r="AI528" s="115"/>
      <c r="AJ528" s="115"/>
      <c r="AK528" s="115"/>
      <c r="AL528" s="115"/>
      <c r="AM528" s="115"/>
      <c r="AN528" s="115"/>
      <c r="AO528" s="115"/>
      <c r="AP528" s="115"/>
      <c r="AQ528" s="115"/>
      <c r="AR528" s="115"/>
      <c r="AS528" s="115"/>
      <c r="AT528" s="115"/>
      <c r="AU528" s="115"/>
      <c r="AV528" s="115"/>
    </row>
    <row r="529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  <c r="AA529" s="115"/>
      <c r="AB529" s="115"/>
      <c r="AC529" s="115"/>
      <c r="AD529" s="115"/>
      <c r="AE529" s="115"/>
      <c r="AF529" s="115"/>
      <c r="AG529" s="115"/>
      <c r="AH529" s="115"/>
      <c r="AI529" s="115"/>
      <c r="AJ529" s="115"/>
      <c r="AK529" s="115"/>
      <c r="AL529" s="115"/>
      <c r="AM529" s="115"/>
      <c r="AN529" s="115"/>
      <c r="AO529" s="115"/>
      <c r="AP529" s="115"/>
      <c r="AQ529" s="115"/>
      <c r="AR529" s="115"/>
      <c r="AS529" s="115"/>
      <c r="AT529" s="115"/>
      <c r="AU529" s="115"/>
      <c r="AV529" s="115"/>
    </row>
    <row r="530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  <c r="AA530" s="115"/>
      <c r="AB530" s="115"/>
      <c r="AC530" s="115"/>
      <c r="AD530" s="115"/>
      <c r="AE530" s="115"/>
      <c r="AF530" s="115"/>
      <c r="AG530" s="115"/>
      <c r="AH530" s="115"/>
      <c r="AI530" s="115"/>
      <c r="AJ530" s="115"/>
      <c r="AK530" s="115"/>
      <c r="AL530" s="115"/>
      <c r="AM530" s="115"/>
      <c r="AN530" s="115"/>
      <c r="AO530" s="115"/>
      <c r="AP530" s="115"/>
      <c r="AQ530" s="115"/>
      <c r="AR530" s="115"/>
      <c r="AS530" s="115"/>
      <c r="AT530" s="115"/>
      <c r="AU530" s="115"/>
      <c r="AV530" s="115"/>
    </row>
    <row r="531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  <c r="AA531" s="115"/>
      <c r="AB531" s="115"/>
      <c r="AC531" s="115"/>
      <c r="AD531" s="115"/>
      <c r="AE531" s="115"/>
      <c r="AF531" s="115"/>
      <c r="AG531" s="115"/>
      <c r="AH531" s="115"/>
      <c r="AI531" s="115"/>
      <c r="AJ531" s="115"/>
      <c r="AK531" s="115"/>
      <c r="AL531" s="115"/>
      <c r="AM531" s="115"/>
      <c r="AN531" s="115"/>
      <c r="AO531" s="115"/>
      <c r="AP531" s="115"/>
      <c r="AQ531" s="115"/>
      <c r="AR531" s="115"/>
      <c r="AS531" s="115"/>
      <c r="AT531" s="115"/>
      <c r="AU531" s="115"/>
      <c r="AV531" s="115"/>
    </row>
    <row r="532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  <c r="AA532" s="115"/>
      <c r="AB532" s="115"/>
      <c r="AC532" s="115"/>
      <c r="AD532" s="115"/>
      <c r="AE532" s="115"/>
      <c r="AF532" s="115"/>
      <c r="AG532" s="115"/>
      <c r="AH532" s="115"/>
      <c r="AI532" s="115"/>
      <c r="AJ532" s="115"/>
      <c r="AK532" s="115"/>
      <c r="AL532" s="115"/>
      <c r="AM532" s="115"/>
      <c r="AN532" s="115"/>
      <c r="AO532" s="115"/>
      <c r="AP532" s="115"/>
      <c r="AQ532" s="115"/>
      <c r="AR532" s="115"/>
      <c r="AS532" s="115"/>
      <c r="AT532" s="115"/>
      <c r="AU532" s="115"/>
      <c r="AV532" s="115"/>
    </row>
    <row r="533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  <c r="AA533" s="115"/>
      <c r="AB533" s="115"/>
      <c r="AC533" s="115"/>
      <c r="AD533" s="115"/>
      <c r="AE533" s="115"/>
      <c r="AF533" s="115"/>
      <c r="AG533" s="115"/>
      <c r="AH533" s="115"/>
      <c r="AI533" s="115"/>
      <c r="AJ533" s="115"/>
      <c r="AK533" s="115"/>
      <c r="AL533" s="115"/>
      <c r="AM533" s="115"/>
      <c r="AN533" s="115"/>
      <c r="AO533" s="115"/>
      <c r="AP533" s="115"/>
      <c r="AQ533" s="115"/>
      <c r="AR533" s="115"/>
      <c r="AS533" s="115"/>
      <c r="AT533" s="115"/>
      <c r="AU533" s="115"/>
      <c r="AV533" s="115"/>
    </row>
    <row r="534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  <c r="AA534" s="115"/>
      <c r="AB534" s="115"/>
      <c r="AC534" s="115"/>
      <c r="AD534" s="115"/>
      <c r="AE534" s="115"/>
      <c r="AF534" s="115"/>
      <c r="AG534" s="115"/>
      <c r="AH534" s="115"/>
      <c r="AI534" s="115"/>
      <c r="AJ534" s="115"/>
      <c r="AK534" s="115"/>
      <c r="AL534" s="115"/>
      <c r="AM534" s="115"/>
      <c r="AN534" s="115"/>
      <c r="AO534" s="115"/>
      <c r="AP534" s="115"/>
      <c r="AQ534" s="115"/>
      <c r="AR534" s="115"/>
      <c r="AS534" s="115"/>
      <c r="AT534" s="115"/>
      <c r="AU534" s="115"/>
      <c r="AV534" s="115"/>
    </row>
    <row r="535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  <c r="AA535" s="115"/>
      <c r="AB535" s="115"/>
      <c r="AC535" s="115"/>
      <c r="AD535" s="115"/>
      <c r="AE535" s="115"/>
      <c r="AF535" s="115"/>
      <c r="AG535" s="115"/>
      <c r="AH535" s="115"/>
      <c r="AI535" s="115"/>
      <c r="AJ535" s="115"/>
      <c r="AK535" s="115"/>
      <c r="AL535" s="115"/>
      <c r="AM535" s="115"/>
      <c r="AN535" s="115"/>
      <c r="AO535" s="115"/>
      <c r="AP535" s="115"/>
      <c r="AQ535" s="115"/>
      <c r="AR535" s="115"/>
      <c r="AS535" s="115"/>
      <c r="AT535" s="115"/>
      <c r="AU535" s="115"/>
      <c r="AV535" s="115"/>
    </row>
    <row r="536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  <c r="AA536" s="115"/>
      <c r="AB536" s="115"/>
      <c r="AC536" s="115"/>
      <c r="AD536" s="115"/>
      <c r="AE536" s="115"/>
      <c r="AF536" s="115"/>
      <c r="AG536" s="115"/>
      <c r="AH536" s="115"/>
      <c r="AI536" s="115"/>
      <c r="AJ536" s="115"/>
      <c r="AK536" s="115"/>
      <c r="AL536" s="115"/>
      <c r="AM536" s="115"/>
      <c r="AN536" s="115"/>
      <c r="AO536" s="115"/>
      <c r="AP536" s="115"/>
      <c r="AQ536" s="115"/>
      <c r="AR536" s="115"/>
      <c r="AS536" s="115"/>
      <c r="AT536" s="115"/>
      <c r="AU536" s="115"/>
      <c r="AV536" s="115"/>
    </row>
    <row r="537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  <c r="AA537" s="115"/>
      <c r="AB537" s="115"/>
      <c r="AC537" s="115"/>
      <c r="AD537" s="115"/>
      <c r="AE537" s="115"/>
      <c r="AF537" s="115"/>
      <c r="AG537" s="115"/>
      <c r="AH537" s="115"/>
      <c r="AI537" s="115"/>
      <c r="AJ537" s="115"/>
      <c r="AK537" s="115"/>
      <c r="AL537" s="115"/>
      <c r="AM537" s="115"/>
      <c r="AN537" s="115"/>
      <c r="AO537" s="115"/>
      <c r="AP537" s="115"/>
      <c r="AQ537" s="115"/>
      <c r="AR537" s="115"/>
      <c r="AS537" s="115"/>
      <c r="AT537" s="115"/>
      <c r="AU537" s="115"/>
      <c r="AV537" s="115"/>
    </row>
    <row r="538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  <c r="AA538" s="115"/>
      <c r="AB538" s="115"/>
      <c r="AC538" s="115"/>
      <c r="AD538" s="115"/>
      <c r="AE538" s="115"/>
      <c r="AF538" s="115"/>
      <c r="AG538" s="115"/>
      <c r="AH538" s="115"/>
      <c r="AI538" s="115"/>
      <c r="AJ538" s="115"/>
      <c r="AK538" s="115"/>
      <c r="AL538" s="115"/>
      <c r="AM538" s="115"/>
      <c r="AN538" s="115"/>
      <c r="AO538" s="115"/>
      <c r="AP538" s="115"/>
      <c r="AQ538" s="115"/>
      <c r="AR538" s="115"/>
      <c r="AS538" s="115"/>
      <c r="AT538" s="115"/>
      <c r="AU538" s="115"/>
      <c r="AV538" s="115"/>
    </row>
    <row r="539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  <c r="AA539" s="115"/>
      <c r="AB539" s="115"/>
      <c r="AC539" s="115"/>
      <c r="AD539" s="115"/>
      <c r="AE539" s="115"/>
      <c r="AF539" s="115"/>
      <c r="AG539" s="115"/>
      <c r="AH539" s="115"/>
      <c r="AI539" s="115"/>
      <c r="AJ539" s="115"/>
      <c r="AK539" s="115"/>
      <c r="AL539" s="115"/>
      <c r="AM539" s="115"/>
      <c r="AN539" s="115"/>
      <c r="AO539" s="115"/>
      <c r="AP539" s="115"/>
      <c r="AQ539" s="115"/>
      <c r="AR539" s="115"/>
      <c r="AS539" s="115"/>
      <c r="AT539" s="115"/>
      <c r="AU539" s="115"/>
      <c r="AV539" s="115"/>
    </row>
    <row r="540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  <c r="AA540" s="115"/>
      <c r="AB540" s="115"/>
      <c r="AC540" s="115"/>
      <c r="AD540" s="115"/>
      <c r="AE540" s="115"/>
      <c r="AF540" s="115"/>
      <c r="AG540" s="115"/>
      <c r="AH540" s="115"/>
      <c r="AI540" s="115"/>
      <c r="AJ540" s="115"/>
      <c r="AK540" s="115"/>
      <c r="AL540" s="115"/>
      <c r="AM540" s="115"/>
      <c r="AN540" s="115"/>
      <c r="AO540" s="115"/>
      <c r="AP540" s="115"/>
      <c r="AQ540" s="115"/>
      <c r="AR540" s="115"/>
      <c r="AS540" s="115"/>
      <c r="AT540" s="115"/>
      <c r="AU540" s="115"/>
      <c r="AV540" s="115"/>
    </row>
    <row r="541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  <c r="AA541" s="115"/>
      <c r="AB541" s="115"/>
      <c r="AC541" s="115"/>
      <c r="AD541" s="115"/>
      <c r="AE541" s="115"/>
      <c r="AF541" s="115"/>
      <c r="AG541" s="115"/>
      <c r="AH541" s="115"/>
      <c r="AI541" s="115"/>
      <c r="AJ541" s="115"/>
      <c r="AK541" s="115"/>
      <c r="AL541" s="115"/>
      <c r="AM541" s="115"/>
      <c r="AN541" s="115"/>
      <c r="AO541" s="115"/>
      <c r="AP541" s="115"/>
      <c r="AQ541" s="115"/>
      <c r="AR541" s="115"/>
      <c r="AS541" s="115"/>
      <c r="AT541" s="115"/>
      <c r="AU541" s="115"/>
      <c r="AV541" s="115"/>
    </row>
    <row r="542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  <c r="AA542" s="115"/>
      <c r="AB542" s="115"/>
      <c r="AC542" s="115"/>
      <c r="AD542" s="115"/>
      <c r="AE542" s="115"/>
      <c r="AF542" s="115"/>
      <c r="AG542" s="115"/>
      <c r="AH542" s="115"/>
      <c r="AI542" s="115"/>
      <c r="AJ542" s="115"/>
      <c r="AK542" s="115"/>
      <c r="AL542" s="115"/>
      <c r="AM542" s="115"/>
      <c r="AN542" s="115"/>
      <c r="AO542" s="115"/>
      <c r="AP542" s="115"/>
      <c r="AQ542" s="115"/>
      <c r="AR542" s="115"/>
      <c r="AS542" s="115"/>
      <c r="AT542" s="115"/>
      <c r="AU542" s="115"/>
      <c r="AV542" s="115"/>
    </row>
    <row r="543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  <c r="AA543" s="115"/>
      <c r="AB543" s="115"/>
      <c r="AC543" s="115"/>
      <c r="AD543" s="115"/>
      <c r="AE543" s="115"/>
      <c r="AF543" s="115"/>
      <c r="AG543" s="115"/>
      <c r="AH543" s="115"/>
      <c r="AI543" s="115"/>
      <c r="AJ543" s="115"/>
      <c r="AK543" s="115"/>
      <c r="AL543" s="115"/>
      <c r="AM543" s="115"/>
      <c r="AN543" s="115"/>
      <c r="AO543" s="115"/>
      <c r="AP543" s="115"/>
      <c r="AQ543" s="115"/>
      <c r="AR543" s="115"/>
      <c r="AS543" s="115"/>
      <c r="AT543" s="115"/>
      <c r="AU543" s="115"/>
      <c r="AV543" s="115"/>
    </row>
    <row r="544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  <c r="AA544" s="115"/>
      <c r="AB544" s="115"/>
      <c r="AC544" s="115"/>
      <c r="AD544" s="115"/>
      <c r="AE544" s="115"/>
      <c r="AF544" s="115"/>
      <c r="AG544" s="115"/>
      <c r="AH544" s="115"/>
      <c r="AI544" s="115"/>
      <c r="AJ544" s="115"/>
      <c r="AK544" s="115"/>
      <c r="AL544" s="115"/>
      <c r="AM544" s="115"/>
      <c r="AN544" s="115"/>
      <c r="AO544" s="115"/>
      <c r="AP544" s="115"/>
      <c r="AQ544" s="115"/>
      <c r="AR544" s="115"/>
      <c r="AS544" s="115"/>
      <c r="AT544" s="115"/>
      <c r="AU544" s="115"/>
      <c r="AV544" s="115"/>
    </row>
    <row r="545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  <c r="AA545" s="115"/>
      <c r="AB545" s="115"/>
      <c r="AC545" s="115"/>
      <c r="AD545" s="115"/>
      <c r="AE545" s="115"/>
      <c r="AF545" s="115"/>
      <c r="AG545" s="115"/>
      <c r="AH545" s="115"/>
      <c r="AI545" s="115"/>
      <c r="AJ545" s="115"/>
      <c r="AK545" s="115"/>
      <c r="AL545" s="115"/>
      <c r="AM545" s="115"/>
      <c r="AN545" s="115"/>
      <c r="AO545" s="115"/>
      <c r="AP545" s="115"/>
      <c r="AQ545" s="115"/>
      <c r="AR545" s="115"/>
      <c r="AS545" s="115"/>
      <c r="AT545" s="115"/>
      <c r="AU545" s="115"/>
      <c r="AV545" s="115"/>
    </row>
    <row r="546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  <c r="AA546" s="115"/>
      <c r="AB546" s="115"/>
      <c r="AC546" s="115"/>
      <c r="AD546" s="115"/>
      <c r="AE546" s="115"/>
      <c r="AF546" s="115"/>
      <c r="AG546" s="115"/>
      <c r="AH546" s="115"/>
      <c r="AI546" s="115"/>
      <c r="AJ546" s="115"/>
      <c r="AK546" s="115"/>
      <c r="AL546" s="115"/>
      <c r="AM546" s="115"/>
      <c r="AN546" s="115"/>
      <c r="AO546" s="115"/>
      <c r="AP546" s="115"/>
      <c r="AQ546" s="115"/>
      <c r="AR546" s="115"/>
      <c r="AS546" s="115"/>
      <c r="AT546" s="115"/>
      <c r="AU546" s="115"/>
      <c r="AV546" s="115"/>
    </row>
    <row r="547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  <c r="AA547" s="115"/>
      <c r="AB547" s="115"/>
      <c r="AC547" s="115"/>
      <c r="AD547" s="115"/>
      <c r="AE547" s="115"/>
      <c r="AF547" s="115"/>
      <c r="AG547" s="115"/>
      <c r="AH547" s="115"/>
      <c r="AI547" s="115"/>
      <c r="AJ547" s="115"/>
      <c r="AK547" s="115"/>
      <c r="AL547" s="115"/>
      <c r="AM547" s="115"/>
      <c r="AN547" s="115"/>
      <c r="AO547" s="115"/>
      <c r="AP547" s="115"/>
      <c r="AQ547" s="115"/>
      <c r="AR547" s="115"/>
      <c r="AS547" s="115"/>
      <c r="AT547" s="115"/>
      <c r="AU547" s="115"/>
      <c r="AV547" s="115"/>
    </row>
    <row r="548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  <c r="AA548" s="115"/>
      <c r="AB548" s="115"/>
      <c r="AC548" s="115"/>
      <c r="AD548" s="115"/>
      <c r="AE548" s="115"/>
      <c r="AF548" s="115"/>
      <c r="AG548" s="115"/>
      <c r="AH548" s="115"/>
      <c r="AI548" s="115"/>
      <c r="AJ548" s="115"/>
      <c r="AK548" s="115"/>
      <c r="AL548" s="115"/>
      <c r="AM548" s="115"/>
      <c r="AN548" s="115"/>
      <c r="AO548" s="115"/>
      <c r="AP548" s="115"/>
      <c r="AQ548" s="115"/>
      <c r="AR548" s="115"/>
      <c r="AS548" s="115"/>
      <c r="AT548" s="115"/>
      <c r="AU548" s="115"/>
      <c r="AV548" s="115"/>
    </row>
    <row r="549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  <c r="AA549" s="115"/>
      <c r="AB549" s="115"/>
      <c r="AC549" s="115"/>
      <c r="AD549" s="115"/>
      <c r="AE549" s="115"/>
      <c r="AF549" s="115"/>
      <c r="AG549" s="115"/>
      <c r="AH549" s="115"/>
      <c r="AI549" s="115"/>
      <c r="AJ549" s="115"/>
      <c r="AK549" s="115"/>
      <c r="AL549" s="115"/>
      <c r="AM549" s="115"/>
      <c r="AN549" s="115"/>
      <c r="AO549" s="115"/>
      <c r="AP549" s="115"/>
      <c r="AQ549" s="115"/>
      <c r="AR549" s="115"/>
      <c r="AS549" s="115"/>
      <c r="AT549" s="115"/>
      <c r="AU549" s="115"/>
      <c r="AV549" s="115"/>
    </row>
    <row r="550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  <c r="AA550" s="115"/>
      <c r="AB550" s="115"/>
      <c r="AC550" s="115"/>
      <c r="AD550" s="115"/>
      <c r="AE550" s="115"/>
      <c r="AF550" s="115"/>
      <c r="AG550" s="115"/>
      <c r="AH550" s="115"/>
      <c r="AI550" s="115"/>
      <c r="AJ550" s="115"/>
      <c r="AK550" s="115"/>
      <c r="AL550" s="115"/>
      <c r="AM550" s="115"/>
      <c r="AN550" s="115"/>
      <c r="AO550" s="115"/>
      <c r="AP550" s="115"/>
      <c r="AQ550" s="115"/>
      <c r="AR550" s="115"/>
      <c r="AS550" s="115"/>
      <c r="AT550" s="115"/>
      <c r="AU550" s="115"/>
      <c r="AV550" s="115"/>
    </row>
    <row r="551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  <c r="AA551" s="115"/>
      <c r="AB551" s="115"/>
      <c r="AC551" s="115"/>
      <c r="AD551" s="115"/>
      <c r="AE551" s="115"/>
      <c r="AF551" s="115"/>
      <c r="AG551" s="115"/>
      <c r="AH551" s="115"/>
      <c r="AI551" s="115"/>
      <c r="AJ551" s="115"/>
      <c r="AK551" s="115"/>
      <c r="AL551" s="115"/>
      <c r="AM551" s="115"/>
      <c r="AN551" s="115"/>
      <c r="AO551" s="115"/>
      <c r="AP551" s="115"/>
      <c r="AQ551" s="115"/>
      <c r="AR551" s="115"/>
      <c r="AS551" s="115"/>
      <c r="AT551" s="115"/>
      <c r="AU551" s="115"/>
      <c r="AV551" s="115"/>
    </row>
    <row r="552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  <c r="AA552" s="115"/>
      <c r="AB552" s="115"/>
      <c r="AC552" s="115"/>
      <c r="AD552" s="115"/>
      <c r="AE552" s="115"/>
      <c r="AF552" s="115"/>
      <c r="AG552" s="115"/>
      <c r="AH552" s="115"/>
      <c r="AI552" s="115"/>
      <c r="AJ552" s="115"/>
      <c r="AK552" s="115"/>
      <c r="AL552" s="115"/>
      <c r="AM552" s="115"/>
      <c r="AN552" s="115"/>
      <c r="AO552" s="115"/>
      <c r="AP552" s="115"/>
      <c r="AQ552" s="115"/>
      <c r="AR552" s="115"/>
      <c r="AS552" s="115"/>
      <c r="AT552" s="115"/>
      <c r="AU552" s="115"/>
      <c r="AV552" s="115"/>
    </row>
    <row r="553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  <c r="AA553" s="115"/>
      <c r="AB553" s="115"/>
      <c r="AC553" s="115"/>
      <c r="AD553" s="115"/>
      <c r="AE553" s="115"/>
      <c r="AF553" s="115"/>
      <c r="AG553" s="115"/>
      <c r="AH553" s="115"/>
      <c r="AI553" s="115"/>
      <c r="AJ553" s="115"/>
      <c r="AK553" s="115"/>
      <c r="AL553" s="115"/>
      <c r="AM553" s="115"/>
      <c r="AN553" s="115"/>
      <c r="AO553" s="115"/>
      <c r="AP553" s="115"/>
      <c r="AQ553" s="115"/>
      <c r="AR553" s="115"/>
      <c r="AS553" s="115"/>
      <c r="AT553" s="115"/>
      <c r="AU553" s="115"/>
      <c r="AV553" s="115"/>
    </row>
    <row r="554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  <c r="AA554" s="115"/>
      <c r="AB554" s="115"/>
      <c r="AC554" s="115"/>
      <c r="AD554" s="115"/>
      <c r="AE554" s="115"/>
      <c r="AF554" s="115"/>
      <c r="AG554" s="115"/>
      <c r="AH554" s="115"/>
      <c r="AI554" s="115"/>
      <c r="AJ554" s="115"/>
      <c r="AK554" s="115"/>
      <c r="AL554" s="115"/>
      <c r="AM554" s="115"/>
      <c r="AN554" s="115"/>
      <c r="AO554" s="115"/>
      <c r="AP554" s="115"/>
      <c r="AQ554" s="115"/>
      <c r="AR554" s="115"/>
      <c r="AS554" s="115"/>
      <c r="AT554" s="115"/>
      <c r="AU554" s="115"/>
      <c r="AV554" s="115"/>
    </row>
    <row r="555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  <c r="AA555" s="115"/>
      <c r="AB555" s="115"/>
      <c r="AC555" s="115"/>
      <c r="AD555" s="115"/>
      <c r="AE555" s="115"/>
      <c r="AF555" s="115"/>
      <c r="AG555" s="115"/>
      <c r="AH555" s="115"/>
      <c r="AI555" s="115"/>
      <c r="AJ555" s="115"/>
      <c r="AK555" s="115"/>
      <c r="AL555" s="115"/>
      <c r="AM555" s="115"/>
      <c r="AN555" s="115"/>
      <c r="AO555" s="115"/>
      <c r="AP555" s="115"/>
      <c r="AQ555" s="115"/>
      <c r="AR555" s="115"/>
      <c r="AS555" s="115"/>
      <c r="AT555" s="115"/>
      <c r="AU555" s="115"/>
      <c r="AV555" s="115"/>
    </row>
    <row r="556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  <c r="AA556" s="115"/>
      <c r="AB556" s="115"/>
      <c r="AC556" s="115"/>
      <c r="AD556" s="115"/>
      <c r="AE556" s="115"/>
      <c r="AF556" s="115"/>
      <c r="AG556" s="115"/>
      <c r="AH556" s="115"/>
      <c r="AI556" s="115"/>
      <c r="AJ556" s="115"/>
      <c r="AK556" s="115"/>
      <c r="AL556" s="115"/>
      <c r="AM556" s="115"/>
      <c r="AN556" s="115"/>
      <c r="AO556" s="115"/>
      <c r="AP556" s="115"/>
      <c r="AQ556" s="115"/>
      <c r="AR556" s="115"/>
      <c r="AS556" s="115"/>
      <c r="AT556" s="115"/>
      <c r="AU556" s="115"/>
      <c r="AV556" s="115"/>
    </row>
    <row r="557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  <c r="AA557" s="115"/>
      <c r="AB557" s="115"/>
      <c r="AC557" s="115"/>
      <c r="AD557" s="115"/>
      <c r="AE557" s="115"/>
      <c r="AF557" s="115"/>
      <c r="AG557" s="115"/>
      <c r="AH557" s="115"/>
      <c r="AI557" s="115"/>
      <c r="AJ557" s="115"/>
      <c r="AK557" s="115"/>
      <c r="AL557" s="115"/>
      <c r="AM557" s="115"/>
      <c r="AN557" s="115"/>
      <c r="AO557" s="115"/>
      <c r="AP557" s="115"/>
      <c r="AQ557" s="115"/>
      <c r="AR557" s="115"/>
      <c r="AS557" s="115"/>
      <c r="AT557" s="115"/>
      <c r="AU557" s="115"/>
      <c r="AV557" s="115"/>
    </row>
    <row r="558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  <c r="AA558" s="115"/>
      <c r="AB558" s="115"/>
      <c r="AC558" s="115"/>
      <c r="AD558" s="115"/>
      <c r="AE558" s="115"/>
      <c r="AF558" s="115"/>
      <c r="AG558" s="115"/>
      <c r="AH558" s="115"/>
      <c r="AI558" s="115"/>
      <c r="AJ558" s="115"/>
      <c r="AK558" s="115"/>
      <c r="AL558" s="115"/>
      <c r="AM558" s="115"/>
      <c r="AN558" s="115"/>
      <c r="AO558" s="115"/>
      <c r="AP558" s="115"/>
      <c r="AQ558" s="115"/>
      <c r="AR558" s="115"/>
      <c r="AS558" s="115"/>
      <c r="AT558" s="115"/>
      <c r="AU558" s="115"/>
      <c r="AV558" s="115"/>
    </row>
    <row r="559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  <c r="AA559" s="115"/>
      <c r="AB559" s="115"/>
      <c r="AC559" s="115"/>
      <c r="AD559" s="115"/>
      <c r="AE559" s="115"/>
      <c r="AF559" s="115"/>
      <c r="AG559" s="115"/>
      <c r="AH559" s="115"/>
      <c r="AI559" s="115"/>
      <c r="AJ559" s="115"/>
      <c r="AK559" s="115"/>
      <c r="AL559" s="115"/>
      <c r="AM559" s="115"/>
      <c r="AN559" s="115"/>
      <c r="AO559" s="115"/>
      <c r="AP559" s="115"/>
      <c r="AQ559" s="115"/>
      <c r="AR559" s="115"/>
      <c r="AS559" s="115"/>
      <c r="AT559" s="115"/>
      <c r="AU559" s="115"/>
      <c r="AV559" s="115"/>
    </row>
    <row r="560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  <c r="AA560" s="115"/>
      <c r="AB560" s="115"/>
      <c r="AC560" s="115"/>
      <c r="AD560" s="115"/>
      <c r="AE560" s="115"/>
      <c r="AF560" s="115"/>
      <c r="AG560" s="115"/>
      <c r="AH560" s="115"/>
      <c r="AI560" s="115"/>
      <c r="AJ560" s="115"/>
      <c r="AK560" s="115"/>
      <c r="AL560" s="115"/>
      <c r="AM560" s="115"/>
      <c r="AN560" s="115"/>
      <c r="AO560" s="115"/>
      <c r="AP560" s="115"/>
      <c r="AQ560" s="115"/>
      <c r="AR560" s="115"/>
      <c r="AS560" s="115"/>
      <c r="AT560" s="115"/>
      <c r="AU560" s="115"/>
      <c r="AV560" s="115"/>
    </row>
    <row r="561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  <c r="AA561" s="115"/>
      <c r="AB561" s="115"/>
      <c r="AC561" s="115"/>
      <c r="AD561" s="115"/>
      <c r="AE561" s="115"/>
      <c r="AF561" s="115"/>
      <c r="AG561" s="115"/>
      <c r="AH561" s="115"/>
      <c r="AI561" s="115"/>
      <c r="AJ561" s="115"/>
      <c r="AK561" s="115"/>
      <c r="AL561" s="115"/>
      <c r="AM561" s="115"/>
      <c r="AN561" s="115"/>
      <c r="AO561" s="115"/>
      <c r="AP561" s="115"/>
      <c r="AQ561" s="115"/>
      <c r="AR561" s="115"/>
      <c r="AS561" s="115"/>
      <c r="AT561" s="115"/>
      <c r="AU561" s="115"/>
      <c r="AV561" s="115"/>
    </row>
    <row r="562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  <c r="AA562" s="115"/>
      <c r="AB562" s="115"/>
      <c r="AC562" s="115"/>
      <c r="AD562" s="115"/>
      <c r="AE562" s="115"/>
      <c r="AF562" s="115"/>
      <c r="AG562" s="115"/>
      <c r="AH562" s="115"/>
      <c r="AI562" s="115"/>
      <c r="AJ562" s="115"/>
      <c r="AK562" s="115"/>
      <c r="AL562" s="115"/>
      <c r="AM562" s="115"/>
      <c r="AN562" s="115"/>
      <c r="AO562" s="115"/>
      <c r="AP562" s="115"/>
      <c r="AQ562" s="115"/>
      <c r="AR562" s="115"/>
      <c r="AS562" s="115"/>
      <c r="AT562" s="115"/>
      <c r="AU562" s="115"/>
      <c r="AV562" s="115"/>
    </row>
    <row r="563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  <c r="AA563" s="115"/>
      <c r="AB563" s="115"/>
      <c r="AC563" s="115"/>
      <c r="AD563" s="115"/>
      <c r="AE563" s="115"/>
      <c r="AF563" s="115"/>
      <c r="AG563" s="115"/>
      <c r="AH563" s="115"/>
      <c r="AI563" s="115"/>
      <c r="AJ563" s="115"/>
      <c r="AK563" s="115"/>
      <c r="AL563" s="115"/>
      <c r="AM563" s="115"/>
      <c r="AN563" s="115"/>
      <c r="AO563" s="115"/>
      <c r="AP563" s="115"/>
      <c r="AQ563" s="115"/>
      <c r="AR563" s="115"/>
      <c r="AS563" s="115"/>
      <c r="AT563" s="115"/>
      <c r="AU563" s="115"/>
      <c r="AV563" s="115"/>
    </row>
    <row r="564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  <c r="AA564" s="115"/>
      <c r="AB564" s="115"/>
      <c r="AC564" s="115"/>
      <c r="AD564" s="115"/>
      <c r="AE564" s="115"/>
      <c r="AF564" s="115"/>
      <c r="AG564" s="115"/>
      <c r="AH564" s="115"/>
      <c r="AI564" s="115"/>
      <c r="AJ564" s="115"/>
      <c r="AK564" s="115"/>
      <c r="AL564" s="115"/>
      <c r="AM564" s="115"/>
      <c r="AN564" s="115"/>
      <c r="AO564" s="115"/>
      <c r="AP564" s="115"/>
      <c r="AQ564" s="115"/>
      <c r="AR564" s="115"/>
      <c r="AS564" s="115"/>
      <c r="AT564" s="115"/>
      <c r="AU564" s="115"/>
      <c r="AV564" s="115"/>
    </row>
    <row r="565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  <c r="AA565" s="115"/>
      <c r="AB565" s="115"/>
      <c r="AC565" s="115"/>
      <c r="AD565" s="115"/>
      <c r="AE565" s="115"/>
      <c r="AF565" s="115"/>
      <c r="AG565" s="115"/>
      <c r="AH565" s="115"/>
      <c r="AI565" s="115"/>
      <c r="AJ565" s="115"/>
      <c r="AK565" s="115"/>
      <c r="AL565" s="115"/>
      <c r="AM565" s="115"/>
      <c r="AN565" s="115"/>
      <c r="AO565" s="115"/>
      <c r="AP565" s="115"/>
      <c r="AQ565" s="115"/>
      <c r="AR565" s="115"/>
      <c r="AS565" s="115"/>
      <c r="AT565" s="115"/>
      <c r="AU565" s="115"/>
      <c r="AV565" s="115"/>
    </row>
    <row r="566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  <c r="AA566" s="115"/>
      <c r="AB566" s="115"/>
      <c r="AC566" s="115"/>
      <c r="AD566" s="115"/>
      <c r="AE566" s="115"/>
      <c r="AF566" s="115"/>
      <c r="AG566" s="115"/>
      <c r="AH566" s="115"/>
      <c r="AI566" s="115"/>
      <c r="AJ566" s="115"/>
      <c r="AK566" s="115"/>
      <c r="AL566" s="115"/>
      <c r="AM566" s="115"/>
      <c r="AN566" s="115"/>
      <c r="AO566" s="115"/>
      <c r="AP566" s="115"/>
      <c r="AQ566" s="115"/>
      <c r="AR566" s="115"/>
      <c r="AS566" s="115"/>
      <c r="AT566" s="115"/>
      <c r="AU566" s="115"/>
      <c r="AV566" s="115"/>
    </row>
    <row r="567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  <c r="AA567" s="115"/>
      <c r="AB567" s="115"/>
      <c r="AC567" s="115"/>
      <c r="AD567" s="115"/>
      <c r="AE567" s="115"/>
      <c r="AF567" s="115"/>
      <c r="AG567" s="115"/>
      <c r="AH567" s="115"/>
      <c r="AI567" s="115"/>
      <c r="AJ567" s="115"/>
      <c r="AK567" s="115"/>
      <c r="AL567" s="115"/>
      <c r="AM567" s="115"/>
      <c r="AN567" s="115"/>
      <c r="AO567" s="115"/>
      <c r="AP567" s="115"/>
      <c r="AQ567" s="115"/>
      <c r="AR567" s="115"/>
      <c r="AS567" s="115"/>
      <c r="AT567" s="115"/>
      <c r="AU567" s="115"/>
      <c r="AV567" s="115"/>
    </row>
    <row r="568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  <c r="AA568" s="115"/>
      <c r="AB568" s="115"/>
      <c r="AC568" s="115"/>
      <c r="AD568" s="115"/>
      <c r="AE568" s="115"/>
      <c r="AF568" s="115"/>
      <c r="AG568" s="115"/>
      <c r="AH568" s="115"/>
      <c r="AI568" s="115"/>
      <c r="AJ568" s="115"/>
      <c r="AK568" s="115"/>
      <c r="AL568" s="115"/>
      <c r="AM568" s="115"/>
      <c r="AN568" s="115"/>
      <c r="AO568" s="115"/>
      <c r="AP568" s="115"/>
      <c r="AQ568" s="115"/>
      <c r="AR568" s="115"/>
      <c r="AS568" s="115"/>
      <c r="AT568" s="115"/>
      <c r="AU568" s="115"/>
      <c r="AV568" s="115"/>
    </row>
    <row r="569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  <c r="AA569" s="115"/>
      <c r="AB569" s="115"/>
      <c r="AC569" s="115"/>
      <c r="AD569" s="115"/>
      <c r="AE569" s="115"/>
      <c r="AF569" s="115"/>
      <c r="AG569" s="115"/>
      <c r="AH569" s="115"/>
      <c r="AI569" s="115"/>
      <c r="AJ569" s="115"/>
      <c r="AK569" s="115"/>
      <c r="AL569" s="115"/>
      <c r="AM569" s="115"/>
      <c r="AN569" s="115"/>
      <c r="AO569" s="115"/>
      <c r="AP569" s="115"/>
      <c r="AQ569" s="115"/>
      <c r="AR569" s="115"/>
      <c r="AS569" s="115"/>
      <c r="AT569" s="115"/>
      <c r="AU569" s="115"/>
      <c r="AV569" s="115"/>
    </row>
    <row r="570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  <c r="AA570" s="115"/>
      <c r="AB570" s="115"/>
      <c r="AC570" s="115"/>
      <c r="AD570" s="115"/>
      <c r="AE570" s="115"/>
      <c r="AF570" s="115"/>
      <c r="AG570" s="115"/>
      <c r="AH570" s="115"/>
      <c r="AI570" s="115"/>
      <c r="AJ570" s="115"/>
      <c r="AK570" s="115"/>
      <c r="AL570" s="115"/>
      <c r="AM570" s="115"/>
      <c r="AN570" s="115"/>
      <c r="AO570" s="115"/>
      <c r="AP570" s="115"/>
      <c r="AQ570" s="115"/>
      <c r="AR570" s="115"/>
      <c r="AS570" s="115"/>
      <c r="AT570" s="115"/>
      <c r="AU570" s="115"/>
      <c r="AV570" s="115"/>
    </row>
    <row r="571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  <c r="AA571" s="115"/>
      <c r="AB571" s="115"/>
      <c r="AC571" s="115"/>
      <c r="AD571" s="115"/>
      <c r="AE571" s="115"/>
      <c r="AF571" s="115"/>
      <c r="AG571" s="115"/>
      <c r="AH571" s="115"/>
      <c r="AI571" s="115"/>
      <c r="AJ571" s="115"/>
      <c r="AK571" s="115"/>
      <c r="AL571" s="115"/>
      <c r="AM571" s="115"/>
      <c r="AN571" s="115"/>
      <c r="AO571" s="115"/>
      <c r="AP571" s="115"/>
      <c r="AQ571" s="115"/>
      <c r="AR571" s="115"/>
      <c r="AS571" s="115"/>
      <c r="AT571" s="115"/>
      <c r="AU571" s="115"/>
      <c r="AV571" s="115"/>
    </row>
    <row r="572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  <c r="AA572" s="115"/>
      <c r="AB572" s="115"/>
      <c r="AC572" s="115"/>
      <c r="AD572" s="115"/>
      <c r="AE572" s="115"/>
      <c r="AF572" s="115"/>
      <c r="AG572" s="115"/>
      <c r="AH572" s="115"/>
      <c r="AI572" s="115"/>
      <c r="AJ572" s="115"/>
      <c r="AK572" s="115"/>
      <c r="AL572" s="115"/>
      <c r="AM572" s="115"/>
      <c r="AN572" s="115"/>
      <c r="AO572" s="115"/>
      <c r="AP572" s="115"/>
      <c r="AQ572" s="115"/>
      <c r="AR572" s="115"/>
      <c r="AS572" s="115"/>
      <c r="AT572" s="115"/>
      <c r="AU572" s="115"/>
      <c r="AV572" s="115"/>
    </row>
    <row r="573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  <c r="AA573" s="115"/>
      <c r="AB573" s="115"/>
      <c r="AC573" s="115"/>
      <c r="AD573" s="115"/>
      <c r="AE573" s="115"/>
      <c r="AF573" s="115"/>
      <c r="AG573" s="115"/>
      <c r="AH573" s="115"/>
      <c r="AI573" s="115"/>
      <c r="AJ573" s="115"/>
      <c r="AK573" s="115"/>
      <c r="AL573" s="115"/>
      <c r="AM573" s="115"/>
      <c r="AN573" s="115"/>
      <c r="AO573" s="115"/>
      <c r="AP573" s="115"/>
      <c r="AQ573" s="115"/>
      <c r="AR573" s="115"/>
      <c r="AS573" s="115"/>
      <c r="AT573" s="115"/>
      <c r="AU573" s="115"/>
      <c r="AV573" s="115"/>
    </row>
    <row r="574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  <c r="AA574" s="115"/>
      <c r="AB574" s="115"/>
      <c r="AC574" s="115"/>
      <c r="AD574" s="115"/>
      <c r="AE574" s="115"/>
      <c r="AF574" s="115"/>
      <c r="AG574" s="115"/>
      <c r="AH574" s="115"/>
      <c r="AI574" s="115"/>
      <c r="AJ574" s="115"/>
      <c r="AK574" s="115"/>
      <c r="AL574" s="115"/>
      <c r="AM574" s="115"/>
      <c r="AN574" s="115"/>
      <c r="AO574" s="115"/>
      <c r="AP574" s="115"/>
      <c r="AQ574" s="115"/>
      <c r="AR574" s="115"/>
      <c r="AS574" s="115"/>
      <c r="AT574" s="115"/>
      <c r="AU574" s="115"/>
      <c r="AV574" s="115"/>
    </row>
    <row r="575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  <c r="AA575" s="115"/>
      <c r="AB575" s="115"/>
      <c r="AC575" s="115"/>
      <c r="AD575" s="115"/>
      <c r="AE575" s="115"/>
      <c r="AF575" s="115"/>
      <c r="AG575" s="115"/>
      <c r="AH575" s="115"/>
      <c r="AI575" s="115"/>
      <c r="AJ575" s="115"/>
      <c r="AK575" s="115"/>
      <c r="AL575" s="115"/>
      <c r="AM575" s="115"/>
      <c r="AN575" s="115"/>
      <c r="AO575" s="115"/>
      <c r="AP575" s="115"/>
      <c r="AQ575" s="115"/>
      <c r="AR575" s="115"/>
      <c r="AS575" s="115"/>
      <c r="AT575" s="115"/>
      <c r="AU575" s="115"/>
      <c r="AV575" s="115"/>
    </row>
    <row r="576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  <c r="AA576" s="115"/>
      <c r="AB576" s="115"/>
      <c r="AC576" s="115"/>
      <c r="AD576" s="115"/>
      <c r="AE576" s="115"/>
      <c r="AF576" s="115"/>
      <c r="AG576" s="115"/>
      <c r="AH576" s="115"/>
      <c r="AI576" s="115"/>
      <c r="AJ576" s="115"/>
      <c r="AK576" s="115"/>
      <c r="AL576" s="115"/>
      <c r="AM576" s="115"/>
      <c r="AN576" s="115"/>
      <c r="AO576" s="115"/>
      <c r="AP576" s="115"/>
      <c r="AQ576" s="115"/>
      <c r="AR576" s="115"/>
      <c r="AS576" s="115"/>
      <c r="AT576" s="115"/>
      <c r="AU576" s="115"/>
      <c r="AV576" s="115"/>
    </row>
    <row r="577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  <c r="AA577" s="115"/>
      <c r="AB577" s="115"/>
      <c r="AC577" s="115"/>
      <c r="AD577" s="115"/>
      <c r="AE577" s="115"/>
      <c r="AF577" s="115"/>
      <c r="AG577" s="115"/>
      <c r="AH577" s="115"/>
      <c r="AI577" s="115"/>
      <c r="AJ577" s="115"/>
      <c r="AK577" s="115"/>
      <c r="AL577" s="115"/>
      <c r="AM577" s="115"/>
      <c r="AN577" s="115"/>
      <c r="AO577" s="115"/>
      <c r="AP577" s="115"/>
      <c r="AQ577" s="115"/>
      <c r="AR577" s="115"/>
      <c r="AS577" s="115"/>
      <c r="AT577" s="115"/>
      <c r="AU577" s="115"/>
      <c r="AV577" s="115"/>
    </row>
    <row r="578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  <c r="AA578" s="115"/>
      <c r="AB578" s="115"/>
      <c r="AC578" s="115"/>
      <c r="AD578" s="115"/>
      <c r="AE578" s="115"/>
      <c r="AF578" s="115"/>
      <c r="AG578" s="115"/>
      <c r="AH578" s="115"/>
      <c r="AI578" s="115"/>
      <c r="AJ578" s="115"/>
      <c r="AK578" s="115"/>
      <c r="AL578" s="115"/>
      <c r="AM578" s="115"/>
      <c r="AN578" s="115"/>
      <c r="AO578" s="115"/>
      <c r="AP578" s="115"/>
      <c r="AQ578" s="115"/>
      <c r="AR578" s="115"/>
      <c r="AS578" s="115"/>
      <c r="AT578" s="115"/>
      <c r="AU578" s="115"/>
      <c r="AV578" s="115"/>
    </row>
    <row r="579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  <c r="AA579" s="115"/>
      <c r="AB579" s="115"/>
      <c r="AC579" s="115"/>
      <c r="AD579" s="115"/>
      <c r="AE579" s="115"/>
      <c r="AF579" s="115"/>
      <c r="AG579" s="115"/>
      <c r="AH579" s="115"/>
      <c r="AI579" s="115"/>
      <c r="AJ579" s="115"/>
      <c r="AK579" s="115"/>
      <c r="AL579" s="115"/>
      <c r="AM579" s="115"/>
      <c r="AN579" s="115"/>
      <c r="AO579" s="115"/>
      <c r="AP579" s="115"/>
      <c r="AQ579" s="115"/>
      <c r="AR579" s="115"/>
      <c r="AS579" s="115"/>
      <c r="AT579" s="115"/>
      <c r="AU579" s="115"/>
      <c r="AV579" s="115"/>
    </row>
    <row r="580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  <c r="AA580" s="115"/>
      <c r="AB580" s="115"/>
      <c r="AC580" s="115"/>
      <c r="AD580" s="115"/>
      <c r="AE580" s="115"/>
      <c r="AF580" s="115"/>
      <c r="AG580" s="115"/>
      <c r="AH580" s="115"/>
      <c r="AI580" s="115"/>
      <c r="AJ580" s="115"/>
      <c r="AK580" s="115"/>
      <c r="AL580" s="115"/>
      <c r="AM580" s="115"/>
      <c r="AN580" s="115"/>
      <c r="AO580" s="115"/>
      <c r="AP580" s="115"/>
      <c r="AQ580" s="115"/>
      <c r="AR580" s="115"/>
      <c r="AS580" s="115"/>
      <c r="AT580" s="115"/>
      <c r="AU580" s="115"/>
      <c r="AV580" s="115"/>
    </row>
    <row r="581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  <c r="AA581" s="115"/>
      <c r="AB581" s="115"/>
      <c r="AC581" s="115"/>
      <c r="AD581" s="115"/>
      <c r="AE581" s="115"/>
      <c r="AF581" s="115"/>
      <c r="AG581" s="115"/>
      <c r="AH581" s="115"/>
      <c r="AI581" s="115"/>
      <c r="AJ581" s="115"/>
      <c r="AK581" s="115"/>
      <c r="AL581" s="115"/>
      <c r="AM581" s="115"/>
      <c r="AN581" s="115"/>
      <c r="AO581" s="115"/>
      <c r="AP581" s="115"/>
      <c r="AQ581" s="115"/>
      <c r="AR581" s="115"/>
      <c r="AS581" s="115"/>
      <c r="AT581" s="115"/>
      <c r="AU581" s="115"/>
      <c r="AV581" s="115"/>
    </row>
    <row r="582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  <c r="AA582" s="115"/>
      <c r="AB582" s="115"/>
      <c r="AC582" s="115"/>
      <c r="AD582" s="115"/>
      <c r="AE582" s="115"/>
      <c r="AF582" s="115"/>
      <c r="AG582" s="115"/>
      <c r="AH582" s="115"/>
      <c r="AI582" s="115"/>
      <c r="AJ582" s="115"/>
      <c r="AK582" s="115"/>
      <c r="AL582" s="115"/>
      <c r="AM582" s="115"/>
      <c r="AN582" s="115"/>
      <c r="AO582" s="115"/>
      <c r="AP582" s="115"/>
      <c r="AQ582" s="115"/>
      <c r="AR582" s="115"/>
      <c r="AS582" s="115"/>
      <c r="AT582" s="115"/>
      <c r="AU582" s="115"/>
      <c r="AV582" s="115"/>
    </row>
    <row r="583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  <c r="AA583" s="115"/>
      <c r="AB583" s="115"/>
      <c r="AC583" s="115"/>
      <c r="AD583" s="115"/>
      <c r="AE583" s="115"/>
      <c r="AF583" s="115"/>
      <c r="AG583" s="115"/>
      <c r="AH583" s="115"/>
      <c r="AI583" s="115"/>
      <c r="AJ583" s="115"/>
      <c r="AK583" s="115"/>
      <c r="AL583" s="115"/>
      <c r="AM583" s="115"/>
      <c r="AN583" s="115"/>
      <c r="AO583" s="115"/>
      <c r="AP583" s="115"/>
      <c r="AQ583" s="115"/>
      <c r="AR583" s="115"/>
      <c r="AS583" s="115"/>
      <c r="AT583" s="115"/>
      <c r="AU583" s="115"/>
      <c r="AV583" s="115"/>
    </row>
    <row r="584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  <c r="AA584" s="115"/>
      <c r="AB584" s="115"/>
      <c r="AC584" s="115"/>
      <c r="AD584" s="115"/>
      <c r="AE584" s="115"/>
      <c r="AF584" s="115"/>
      <c r="AG584" s="115"/>
      <c r="AH584" s="115"/>
      <c r="AI584" s="115"/>
      <c r="AJ584" s="115"/>
      <c r="AK584" s="115"/>
      <c r="AL584" s="115"/>
      <c r="AM584" s="115"/>
      <c r="AN584" s="115"/>
      <c r="AO584" s="115"/>
      <c r="AP584" s="115"/>
      <c r="AQ584" s="115"/>
      <c r="AR584" s="115"/>
      <c r="AS584" s="115"/>
      <c r="AT584" s="115"/>
      <c r="AU584" s="115"/>
      <c r="AV584" s="115"/>
    </row>
    <row r="585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  <c r="AA585" s="115"/>
      <c r="AB585" s="115"/>
      <c r="AC585" s="115"/>
      <c r="AD585" s="115"/>
      <c r="AE585" s="115"/>
      <c r="AF585" s="115"/>
      <c r="AG585" s="115"/>
      <c r="AH585" s="115"/>
      <c r="AI585" s="115"/>
      <c r="AJ585" s="115"/>
      <c r="AK585" s="115"/>
      <c r="AL585" s="115"/>
      <c r="AM585" s="115"/>
      <c r="AN585" s="115"/>
      <c r="AO585" s="115"/>
      <c r="AP585" s="115"/>
      <c r="AQ585" s="115"/>
      <c r="AR585" s="115"/>
      <c r="AS585" s="115"/>
      <c r="AT585" s="115"/>
      <c r="AU585" s="115"/>
      <c r="AV585" s="115"/>
    </row>
    <row r="586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  <c r="AA586" s="115"/>
      <c r="AB586" s="115"/>
      <c r="AC586" s="115"/>
      <c r="AD586" s="115"/>
      <c r="AE586" s="115"/>
      <c r="AF586" s="115"/>
      <c r="AG586" s="115"/>
      <c r="AH586" s="115"/>
      <c r="AI586" s="115"/>
      <c r="AJ586" s="115"/>
      <c r="AK586" s="115"/>
      <c r="AL586" s="115"/>
      <c r="AM586" s="115"/>
      <c r="AN586" s="115"/>
      <c r="AO586" s="115"/>
      <c r="AP586" s="115"/>
      <c r="AQ586" s="115"/>
      <c r="AR586" s="115"/>
      <c r="AS586" s="115"/>
      <c r="AT586" s="115"/>
      <c r="AU586" s="115"/>
      <c r="AV586" s="115"/>
    </row>
    <row r="587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  <c r="AA587" s="115"/>
      <c r="AB587" s="115"/>
      <c r="AC587" s="115"/>
      <c r="AD587" s="115"/>
      <c r="AE587" s="115"/>
      <c r="AF587" s="115"/>
      <c r="AG587" s="115"/>
      <c r="AH587" s="115"/>
      <c r="AI587" s="115"/>
      <c r="AJ587" s="115"/>
      <c r="AK587" s="115"/>
      <c r="AL587" s="115"/>
      <c r="AM587" s="115"/>
      <c r="AN587" s="115"/>
      <c r="AO587" s="115"/>
      <c r="AP587" s="115"/>
      <c r="AQ587" s="115"/>
      <c r="AR587" s="115"/>
      <c r="AS587" s="115"/>
      <c r="AT587" s="115"/>
      <c r="AU587" s="115"/>
      <c r="AV587" s="115"/>
    </row>
    <row r="588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  <c r="AA588" s="115"/>
      <c r="AB588" s="115"/>
      <c r="AC588" s="115"/>
      <c r="AD588" s="115"/>
      <c r="AE588" s="115"/>
      <c r="AF588" s="115"/>
      <c r="AG588" s="115"/>
      <c r="AH588" s="115"/>
      <c r="AI588" s="115"/>
      <c r="AJ588" s="115"/>
      <c r="AK588" s="115"/>
      <c r="AL588" s="115"/>
      <c r="AM588" s="115"/>
      <c r="AN588" s="115"/>
      <c r="AO588" s="115"/>
      <c r="AP588" s="115"/>
      <c r="AQ588" s="115"/>
      <c r="AR588" s="115"/>
      <c r="AS588" s="115"/>
      <c r="AT588" s="115"/>
      <c r="AU588" s="115"/>
      <c r="AV588" s="115"/>
    </row>
    <row r="589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  <c r="AA589" s="115"/>
      <c r="AB589" s="115"/>
      <c r="AC589" s="115"/>
      <c r="AD589" s="115"/>
      <c r="AE589" s="115"/>
      <c r="AF589" s="115"/>
      <c r="AG589" s="115"/>
      <c r="AH589" s="115"/>
      <c r="AI589" s="115"/>
      <c r="AJ589" s="115"/>
      <c r="AK589" s="115"/>
      <c r="AL589" s="115"/>
      <c r="AM589" s="115"/>
      <c r="AN589" s="115"/>
      <c r="AO589" s="115"/>
      <c r="AP589" s="115"/>
      <c r="AQ589" s="115"/>
      <c r="AR589" s="115"/>
      <c r="AS589" s="115"/>
      <c r="AT589" s="115"/>
      <c r="AU589" s="115"/>
      <c r="AV589" s="115"/>
    </row>
    <row r="590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  <c r="AA590" s="115"/>
      <c r="AB590" s="115"/>
      <c r="AC590" s="115"/>
      <c r="AD590" s="115"/>
      <c r="AE590" s="115"/>
      <c r="AF590" s="115"/>
      <c r="AG590" s="115"/>
      <c r="AH590" s="115"/>
      <c r="AI590" s="115"/>
      <c r="AJ590" s="115"/>
      <c r="AK590" s="115"/>
      <c r="AL590" s="115"/>
      <c r="AM590" s="115"/>
      <c r="AN590" s="115"/>
      <c r="AO590" s="115"/>
      <c r="AP590" s="115"/>
      <c r="AQ590" s="115"/>
      <c r="AR590" s="115"/>
      <c r="AS590" s="115"/>
      <c r="AT590" s="115"/>
      <c r="AU590" s="115"/>
      <c r="AV590" s="115"/>
    </row>
    <row r="591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  <c r="AA591" s="115"/>
      <c r="AB591" s="115"/>
      <c r="AC591" s="115"/>
      <c r="AD591" s="115"/>
      <c r="AE591" s="115"/>
      <c r="AF591" s="115"/>
      <c r="AG591" s="115"/>
      <c r="AH591" s="115"/>
      <c r="AI591" s="115"/>
      <c r="AJ591" s="115"/>
      <c r="AK591" s="115"/>
      <c r="AL591" s="115"/>
      <c r="AM591" s="115"/>
      <c r="AN591" s="115"/>
      <c r="AO591" s="115"/>
      <c r="AP591" s="115"/>
      <c r="AQ591" s="115"/>
      <c r="AR591" s="115"/>
      <c r="AS591" s="115"/>
      <c r="AT591" s="115"/>
      <c r="AU591" s="115"/>
      <c r="AV591" s="115"/>
    </row>
    <row r="592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  <c r="AA592" s="115"/>
      <c r="AB592" s="115"/>
      <c r="AC592" s="115"/>
      <c r="AD592" s="115"/>
      <c r="AE592" s="115"/>
      <c r="AF592" s="115"/>
      <c r="AG592" s="115"/>
      <c r="AH592" s="115"/>
      <c r="AI592" s="115"/>
      <c r="AJ592" s="115"/>
      <c r="AK592" s="115"/>
      <c r="AL592" s="115"/>
      <c r="AM592" s="115"/>
      <c r="AN592" s="115"/>
      <c r="AO592" s="115"/>
      <c r="AP592" s="115"/>
      <c r="AQ592" s="115"/>
      <c r="AR592" s="115"/>
      <c r="AS592" s="115"/>
      <c r="AT592" s="115"/>
      <c r="AU592" s="115"/>
      <c r="AV592" s="115"/>
    </row>
    <row r="593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  <c r="AA593" s="115"/>
      <c r="AB593" s="115"/>
      <c r="AC593" s="115"/>
      <c r="AD593" s="115"/>
      <c r="AE593" s="115"/>
      <c r="AF593" s="115"/>
      <c r="AG593" s="115"/>
      <c r="AH593" s="115"/>
      <c r="AI593" s="115"/>
      <c r="AJ593" s="115"/>
      <c r="AK593" s="115"/>
      <c r="AL593" s="115"/>
      <c r="AM593" s="115"/>
      <c r="AN593" s="115"/>
      <c r="AO593" s="115"/>
      <c r="AP593" s="115"/>
      <c r="AQ593" s="115"/>
      <c r="AR593" s="115"/>
      <c r="AS593" s="115"/>
      <c r="AT593" s="115"/>
      <c r="AU593" s="115"/>
      <c r="AV593" s="115"/>
    </row>
    <row r="594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  <c r="AA594" s="115"/>
      <c r="AB594" s="115"/>
      <c r="AC594" s="115"/>
      <c r="AD594" s="115"/>
      <c r="AE594" s="115"/>
      <c r="AF594" s="115"/>
      <c r="AG594" s="115"/>
      <c r="AH594" s="115"/>
      <c r="AI594" s="115"/>
      <c r="AJ594" s="115"/>
      <c r="AK594" s="115"/>
      <c r="AL594" s="115"/>
      <c r="AM594" s="115"/>
      <c r="AN594" s="115"/>
      <c r="AO594" s="115"/>
      <c r="AP594" s="115"/>
      <c r="AQ594" s="115"/>
      <c r="AR594" s="115"/>
      <c r="AS594" s="115"/>
      <c r="AT594" s="115"/>
      <c r="AU594" s="115"/>
      <c r="AV594" s="115"/>
    </row>
    <row r="595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  <c r="AA595" s="115"/>
      <c r="AB595" s="115"/>
      <c r="AC595" s="115"/>
      <c r="AD595" s="115"/>
      <c r="AE595" s="115"/>
      <c r="AF595" s="115"/>
      <c r="AG595" s="115"/>
      <c r="AH595" s="115"/>
      <c r="AI595" s="115"/>
      <c r="AJ595" s="115"/>
      <c r="AK595" s="115"/>
      <c r="AL595" s="115"/>
      <c r="AM595" s="115"/>
      <c r="AN595" s="115"/>
      <c r="AO595" s="115"/>
      <c r="AP595" s="115"/>
      <c r="AQ595" s="115"/>
      <c r="AR595" s="115"/>
      <c r="AS595" s="115"/>
      <c r="AT595" s="115"/>
      <c r="AU595" s="115"/>
      <c r="AV595" s="115"/>
    </row>
    <row r="596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  <c r="AA596" s="115"/>
      <c r="AB596" s="115"/>
      <c r="AC596" s="115"/>
      <c r="AD596" s="115"/>
      <c r="AE596" s="115"/>
      <c r="AF596" s="115"/>
      <c r="AG596" s="115"/>
      <c r="AH596" s="115"/>
      <c r="AI596" s="115"/>
      <c r="AJ596" s="115"/>
      <c r="AK596" s="115"/>
      <c r="AL596" s="115"/>
      <c r="AM596" s="115"/>
      <c r="AN596" s="115"/>
      <c r="AO596" s="115"/>
      <c r="AP596" s="115"/>
      <c r="AQ596" s="115"/>
      <c r="AR596" s="115"/>
      <c r="AS596" s="115"/>
      <c r="AT596" s="115"/>
      <c r="AU596" s="115"/>
      <c r="AV596" s="115"/>
    </row>
    <row r="597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  <c r="AA597" s="115"/>
      <c r="AB597" s="115"/>
      <c r="AC597" s="115"/>
      <c r="AD597" s="115"/>
      <c r="AE597" s="115"/>
      <c r="AF597" s="115"/>
      <c r="AG597" s="115"/>
      <c r="AH597" s="115"/>
      <c r="AI597" s="115"/>
      <c r="AJ597" s="115"/>
      <c r="AK597" s="115"/>
      <c r="AL597" s="115"/>
      <c r="AM597" s="115"/>
      <c r="AN597" s="115"/>
      <c r="AO597" s="115"/>
      <c r="AP597" s="115"/>
      <c r="AQ597" s="115"/>
      <c r="AR597" s="115"/>
      <c r="AS597" s="115"/>
      <c r="AT597" s="115"/>
      <c r="AU597" s="115"/>
      <c r="AV597" s="115"/>
    </row>
    <row r="598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  <c r="AA598" s="115"/>
      <c r="AB598" s="115"/>
      <c r="AC598" s="115"/>
      <c r="AD598" s="115"/>
      <c r="AE598" s="115"/>
      <c r="AF598" s="115"/>
      <c r="AG598" s="115"/>
      <c r="AH598" s="115"/>
      <c r="AI598" s="115"/>
      <c r="AJ598" s="115"/>
      <c r="AK598" s="115"/>
      <c r="AL598" s="115"/>
      <c r="AM598" s="115"/>
      <c r="AN598" s="115"/>
      <c r="AO598" s="115"/>
      <c r="AP598" s="115"/>
      <c r="AQ598" s="115"/>
      <c r="AR598" s="115"/>
      <c r="AS598" s="115"/>
      <c r="AT598" s="115"/>
      <c r="AU598" s="115"/>
      <c r="AV598" s="115"/>
    </row>
    <row r="599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  <c r="AA599" s="115"/>
      <c r="AB599" s="115"/>
      <c r="AC599" s="115"/>
      <c r="AD599" s="115"/>
      <c r="AE599" s="115"/>
      <c r="AF599" s="115"/>
      <c r="AG599" s="115"/>
      <c r="AH599" s="115"/>
      <c r="AI599" s="115"/>
      <c r="AJ599" s="115"/>
      <c r="AK599" s="115"/>
      <c r="AL599" s="115"/>
      <c r="AM599" s="115"/>
      <c r="AN599" s="115"/>
      <c r="AO599" s="115"/>
      <c r="AP599" s="115"/>
      <c r="AQ599" s="115"/>
      <c r="AR599" s="115"/>
      <c r="AS599" s="115"/>
      <c r="AT599" s="115"/>
      <c r="AU599" s="115"/>
      <c r="AV599" s="115"/>
    </row>
    <row r="600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  <c r="AA600" s="115"/>
      <c r="AB600" s="115"/>
      <c r="AC600" s="115"/>
      <c r="AD600" s="115"/>
      <c r="AE600" s="115"/>
      <c r="AF600" s="115"/>
      <c r="AG600" s="115"/>
      <c r="AH600" s="115"/>
      <c r="AI600" s="115"/>
      <c r="AJ600" s="115"/>
      <c r="AK600" s="115"/>
      <c r="AL600" s="115"/>
      <c r="AM600" s="115"/>
      <c r="AN600" s="115"/>
      <c r="AO600" s="115"/>
      <c r="AP600" s="115"/>
      <c r="AQ600" s="115"/>
      <c r="AR600" s="115"/>
      <c r="AS600" s="115"/>
      <c r="AT600" s="115"/>
      <c r="AU600" s="115"/>
      <c r="AV600" s="115"/>
    </row>
    <row r="601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  <c r="AA601" s="115"/>
      <c r="AB601" s="115"/>
      <c r="AC601" s="115"/>
      <c r="AD601" s="115"/>
      <c r="AE601" s="115"/>
      <c r="AF601" s="115"/>
      <c r="AG601" s="115"/>
      <c r="AH601" s="115"/>
      <c r="AI601" s="115"/>
      <c r="AJ601" s="115"/>
      <c r="AK601" s="115"/>
      <c r="AL601" s="115"/>
      <c r="AM601" s="115"/>
      <c r="AN601" s="115"/>
      <c r="AO601" s="115"/>
      <c r="AP601" s="115"/>
      <c r="AQ601" s="115"/>
      <c r="AR601" s="115"/>
      <c r="AS601" s="115"/>
      <c r="AT601" s="115"/>
      <c r="AU601" s="115"/>
      <c r="AV601" s="115"/>
    </row>
    <row r="602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  <c r="AA602" s="115"/>
      <c r="AB602" s="115"/>
      <c r="AC602" s="115"/>
      <c r="AD602" s="115"/>
      <c r="AE602" s="115"/>
      <c r="AF602" s="115"/>
      <c r="AG602" s="115"/>
      <c r="AH602" s="115"/>
      <c r="AI602" s="115"/>
      <c r="AJ602" s="115"/>
      <c r="AK602" s="115"/>
      <c r="AL602" s="115"/>
      <c r="AM602" s="115"/>
      <c r="AN602" s="115"/>
      <c r="AO602" s="115"/>
      <c r="AP602" s="115"/>
      <c r="AQ602" s="115"/>
      <c r="AR602" s="115"/>
      <c r="AS602" s="115"/>
      <c r="AT602" s="115"/>
      <c r="AU602" s="115"/>
      <c r="AV602" s="115"/>
    </row>
    <row r="603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  <c r="AA603" s="115"/>
      <c r="AB603" s="115"/>
      <c r="AC603" s="115"/>
      <c r="AD603" s="115"/>
      <c r="AE603" s="115"/>
      <c r="AF603" s="115"/>
      <c r="AG603" s="115"/>
      <c r="AH603" s="115"/>
      <c r="AI603" s="115"/>
      <c r="AJ603" s="115"/>
      <c r="AK603" s="115"/>
      <c r="AL603" s="115"/>
      <c r="AM603" s="115"/>
      <c r="AN603" s="115"/>
      <c r="AO603" s="115"/>
      <c r="AP603" s="115"/>
      <c r="AQ603" s="115"/>
      <c r="AR603" s="115"/>
      <c r="AS603" s="115"/>
      <c r="AT603" s="115"/>
      <c r="AU603" s="115"/>
      <c r="AV603" s="115"/>
    </row>
    <row r="604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  <c r="AA604" s="115"/>
      <c r="AB604" s="115"/>
      <c r="AC604" s="115"/>
      <c r="AD604" s="115"/>
      <c r="AE604" s="115"/>
      <c r="AF604" s="115"/>
      <c r="AG604" s="115"/>
      <c r="AH604" s="115"/>
      <c r="AI604" s="115"/>
      <c r="AJ604" s="115"/>
      <c r="AK604" s="115"/>
      <c r="AL604" s="115"/>
      <c r="AM604" s="115"/>
      <c r="AN604" s="115"/>
      <c r="AO604" s="115"/>
      <c r="AP604" s="115"/>
      <c r="AQ604" s="115"/>
      <c r="AR604" s="115"/>
      <c r="AS604" s="115"/>
      <c r="AT604" s="115"/>
      <c r="AU604" s="115"/>
      <c r="AV604" s="115"/>
    </row>
    <row r="605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  <c r="AA605" s="115"/>
      <c r="AB605" s="115"/>
      <c r="AC605" s="115"/>
      <c r="AD605" s="115"/>
      <c r="AE605" s="115"/>
      <c r="AF605" s="115"/>
      <c r="AG605" s="115"/>
      <c r="AH605" s="115"/>
      <c r="AI605" s="115"/>
      <c r="AJ605" s="115"/>
      <c r="AK605" s="115"/>
      <c r="AL605" s="115"/>
      <c r="AM605" s="115"/>
      <c r="AN605" s="115"/>
      <c r="AO605" s="115"/>
      <c r="AP605" s="115"/>
      <c r="AQ605" s="115"/>
      <c r="AR605" s="115"/>
      <c r="AS605" s="115"/>
      <c r="AT605" s="115"/>
      <c r="AU605" s="115"/>
      <c r="AV605" s="115"/>
    </row>
    <row r="606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  <c r="AA606" s="115"/>
      <c r="AB606" s="115"/>
      <c r="AC606" s="115"/>
      <c r="AD606" s="115"/>
      <c r="AE606" s="115"/>
      <c r="AF606" s="115"/>
      <c r="AG606" s="115"/>
      <c r="AH606" s="115"/>
      <c r="AI606" s="115"/>
      <c r="AJ606" s="115"/>
      <c r="AK606" s="115"/>
      <c r="AL606" s="115"/>
      <c r="AM606" s="115"/>
      <c r="AN606" s="115"/>
      <c r="AO606" s="115"/>
      <c r="AP606" s="115"/>
      <c r="AQ606" s="115"/>
      <c r="AR606" s="115"/>
      <c r="AS606" s="115"/>
      <c r="AT606" s="115"/>
      <c r="AU606" s="115"/>
      <c r="AV606" s="115"/>
    </row>
    <row r="607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  <c r="AA607" s="115"/>
      <c r="AB607" s="115"/>
      <c r="AC607" s="115"/>
      <c r="AD607" s="115"/>
      <c r="AE607" s="115"/>
      <c r="AF607" s="115"/>
      <c r="AG607" s="115"/>
      <c r="AH607" s="115"/>
      <c r="AI607" s="115"/>
      <c r="AJ607" s="115"/>
      <c r="AK607" s="115"/>
      <c r="AL607" s="115"/>
      <c r="AM607" s="115"/>
      <c r="AN607" s="115"/>
      <c r="AO607" s="115"/>
      <c r="AP607" s="115"/>
      <c r="AQ607" s="115"/>
      <c r="AR607" s="115"/>
      <c r="AS607" s="115"/>
      <c r="AT607" s="115"/>
      <c r="AU607" s="115"/>
      <c r="AV607" s="115"/>
    </row>
    <row r="608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  <c r="AA608" s="115"/>
      <c r="AB608" s="115"/>
      <c r="AC608" s="115"/>
      <c r="AD608" s="115"/>
      <c r="AE608" s="115"/>
      <c r="AF608" s="115"/>
      <c r="AG608" s="115"/>
      <c r="AH608" s="115"/>
      <c r="AI608" s="115"/>
      <c r="AJ608" s="115"/>
      <c r="AK608" s="115"/>
      <c r="AL608" s="115"/>
      <c r="AM608" s="115"/>
      <c r="AN608" s="115"/>
      <c r="AO608" s="115"/>
      <c r="AP608" s="115"/>
      <c r="AQ608" s="115"/>
      <c r="AR608" s="115"/>
      <c r="AS608" s="115"/>
      <c r="AT608" s="115"/>
      <c r="AU608" s="115"/>
      <c r="AV608" s="115"/>
    </row>
    <row r="609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  <c r="AA609" s="115"/>
      <c r="AB609" s="115"/>
      <c r="AC609" s="115"/>
      <c r="AD609" s="115"/>
      <c r="AE609" s="115"/>
      <c r="AF609" s="115"/>
      <c r="AG609" s="115"/>
      <c r="AH609" s="115"/>
      <c r="AI609" s="115"/>
      <c r="AJ609" s="115"/>
      <c r="AK609" s="115"/>
      <c r="AL609" s="115"/>
      <c r="AM609" s="115"/>
      <c r="AN609" s="115"/>
      <c r="AO609" s="115"/>
      <c r="AP609" s="115"/>
      <c r="AQ609" s="115"/>
      <c r="AR609" s="115"/>
      <c r="AS609" s="115"/>
      <c r="AT609" s="115"/>
      <c r="AU609" s="115"/>
      <c r="AV609" s="115"/>
    </row>
    <row r="610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  <c r="AA610" s="115"/>
      <c r="AB610" s="115"/>
      <c r="AC610" s="115"/>
      <c r="AD610" s="115"/>
      <c r="AE610" s="115"/>
      <c r="AF610" s="115"/>
      <c r="AG610" s="115"/>
      <c r="AH610" s="115"/>
      <c r="AI610" s="115"/>
      <c r="AJ610" s="115"/>
      <c r="AK610" s="115"/>
      <c r="AL610" s="115"/>
      <c r="AM610" s="115"/>
      <c r="AN610" s="115"/>
      <c r="AO610" s="115"/>
      <c r="AP610" s="115"/>
      <c r="AQ610" s="115"/>
      <c r="AR610" s="115"/>
      <c r="AS610" s="115"/>
      <c r="AT610" s="115"/>
      <c r="AU610" s="115"/>
      <c r="AV610" s="115"/>
    </row>
    <row r="611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  <c r="AA611" s="115"/>
      <c r="AB611" s="115"/>
      <c r="AC611" s="115"/>
      <c r="AD611" s="115"/>
      <c r="AE611" s="115"/>
      <c r="AF611" s="115"/>
      <c r="AG611" s="115"/>
      <c r="AH611" s="115"/>
      <c r="AI611" s="115"/>
      <c r="AJ611" s="115"/>
      <c r="AK611" s="115"/>
      <c r="AL611" s="115"/>
      <c r="AM611" s="115"/>
      <c r="AN611" s="115"/>
      <c r="AO611" s="115"/>
      <c r="AP611" s="115"/>
      <c r="AQ611" s="115"/>
      <c r="AR611" s="115"/>
      <c r="AS611" s="115"/>
      <c r="AT611" s="115"/>
      <c r="AU611" s="115"/>
      <c r="AV611" s="115"/>
    </row>
    <row r="612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  <c r="AA612" s="115"/>
      <c r="AB612" s="115"/>
      <c r="AC612" s="115"/>
      <c r="AD612" s="115"/>
      <c r="AE612" s="115"/>
      <c r="AF612" s="115"/>
      <c r="AG612" s="115"/>
      <c r="AH612" s="115"/>
      <c r="AI612" s="115"/>
      <c r="AJ612" s="115"/>
      <c r="AK612" s="115"/>
      <c r="AL612" s="115"/>
      <c r="AM612" s="115"/>
      <c r="AN612" s="115"/>
      <c r="AO612" s="115"/>
      <c r="AP612" s="115"/>
      <c r="AQ612" s="115"/>
      <c r="AR612" s="115"/>
      <c r="AS612" s="115"/>
      <c r="AT612" s="115"/>
      <c r="AU612" s="115"/>
      <c r="AV612" s="115"/>
    </row>
    <row r="613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  <c r="AA613" s="115"/>
      <c r="AB613" s="115"/>
      <c r="AC613" s="115"/>
      <c r="AD613" s="115"/>
      <c r="AE613" s="115"/>
      <c r="AF613" s="115"/>
      <c r="AG613" s="115"/>
      <c r="AH613" s="115"/>
      <c r="AI613" s="115"/>
      <c r="AJ613" s="115"/>
      <c r="AK613" s="115"/>
      <c r="AL613" s="115"/>
      <c r="AM613" s="115"/>
      <c r="AN613" s="115"/>
      <c r="AO613" s="115"/>
      <c r="AP613" s="115"/>
      <c r="AQ613" s="115"/>
      <c r="AR613" s="115"/>
      <c r="AS613" s="115"/>
      <c r="AT613" s="115"/>
      <c r="AU613" s="115"/>
      <c r="AV613" s="115"/>
    </row>
    <row r="614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  <c r="AA614" s="115"/>
      <c r="AB614" s="115"/>
      <c r="AC614" s="115"/>
      <c r="AD614" s="115"/>
      <c r="AE614" s="115"/>
      <c r="AF614" s="115"/>
      <c r="AG614" s="115"/>
      <c r="AH614" s="115"/>
      <c r="AI614" s="115"/>
      <c r="AJ614" s="115"/>
      <c r="AK614" s="115"/>
      <c r="AL614" s="115"/>
      <c r="AM614" s="115"/>
      <c r="AN614" s="115"/>
      <c r="AO614" s="115"/>
      <c r="AP614" s="115"/>
      <c r="AQ614" s="115"/>
      <c r="AR614" s="115"/>
      <c r="AS614" s="115"/>
      <c r="AT614" s="115"/>
      <c r="AU614" s="115"/>
      <c r="AV614" s="115"/>
    </row>
    <row r="615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  <c r="AA615" s="115"/>
      <c r="AB615" s="115"/>
      <c r="AC615" s="115"/>
      <c r="AD615" s="115"/>
      <c r="AE615" s="115"/>
      <c r="AF615" s="115"/>
      <c r="AG615" s="115"/>
      <c r="AH615" s="115"/>
      <c r="AI615" s="115"/>
      <c r="AJ615" s="115"/>
      <c r="AK615" s="115"/>
      <c r="AL615" s="115"/>
      <c r="AM615" s="115"/>
      <c r="AN615" s="115"/>
      <c r="AO615" s="115"/>
      <c r="AP615" s="115"/>
      <c r="AQ615" s="115"/>
      <c r="AR615" s="115"/>
      <c r="AS615" s="115"/>
      <c r="AT615" s="115"/>
      <c r="AU615" s="115"/>
      <c r="AV615" s="115"/>
    </row>
    <row r="616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  <c r="AA616" s="115"/>
      <c r="AB616" s="115"/>
      <c r="AC616" s="115"/>
      <c r="AD616" s="115"/>
      <c r="AE616" s="115"/>
      <c r="AF616" s="115"/>
      <c r="AG616" s="115"/>
      <c r="AH616" s="115"/>
      <c r="AI616" s="115"/>
      <c r="AJ616" s="115"/>
      <c r="AK616" s="115"/>
      <c r="AL616" s="115"/>
      <c r="AM616" s="115"/>
      <c r="AN616" s="115"/>
      <c r="AO616" s="115"/>
      <c r="AP616" s="115"/>
      <c r="AQ616" s="115"/>
      <c r="AR616" s="115"/>
      <c r="AS616" s="115"/>
      <c r="AT616" s="115"/>
      <c r="AU616" s="115"/>
      <c r="AV616" s="115"/>
    </row>
    <row r="617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  <c r="AA617" s="115"/>
      <c r="AB617" s="115"/>
      <c r="AC617" s="115"/>
      <c r="AD617" s="115"/>
      <c r="AE617" s="115"/>
      <c r="AF617" s="115"/>
      <c r="AG617" s="115"/>
      <c r="AH617" s="115"/>
      <c r="AI617" s="115"/>
      <c r="AJ617" s="115"/>
      <c r="AK617" s="115"/>
      <c r="AL617" s="115"/>
      <c r="AM617" s="115"/>
      <c r="AN617" s="115"/>
      <c r="AO617" s="115"/>
      <c r="AP617" s="115"/>
      <c r="AQ617" s="115"/>
      <c r="AR617" s="115"/>
      <c r="AS617" s="115"/>
      <c r="AT617" s="115"/>
      <c r="AU617" s="115"/>
      <c r="AV617" s="115"/>
    </row>
    <row r="618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  <c r="AA618" s="115"/>
      <c r="AB618" s="115"/>
      <c r="AC618" s="115"/>
      <c r="AD618" s="115"/>
      <c r="AE618" s="115"/>
      <c r="AF618" s="115"/>
      <c r="AG618" s="115"/>
      <c r="AH618" s="115"/>
      <c r="AI618" s="115"/>
      <c r="AJ618" s="115"/>
      <c r="AK618" s="115"/>
      <c r="AL618" s="115"/>
      <c r="AM618" s="115"/>
      <c r="AN618" s="115"/>
      <c r="AO618" s="115"/>
      <c r="AP618" s="115"/>
      <c r="AQ618" s="115"/>
      <c r="AR618" s="115"/>
      <c r="AS618" s="115"/>
      <c r="AT618" s="115"/>
      <c r="AU618" s="115"/>
      <c r="AV618" s="115"/>
    </row>
    <row r="619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  <c r="AA619" s="115"/>
      <c r="AB619" s="115"/>
      <c r="AC619" s="115"/>
      <c r="AD619" s="115"/>
      <c r="AE619" s="115"/>
      <c r="AF619" s="115"/>
      <c r="AG619" s="115"/>
      <c r="AH619" s="115"/>
      <c r="AI619" s="115"/>
      <c r="AJ619" s="115"/>
      <c r="AK619" s="115"/>
      <c r="AL619" s="115"/>
      <c r="AM619" s="115"/>
      <c r="AN619" s="115"/>
      <c r="AO619" s="115"/>
      <c r="AP619" s="115"/>
      <c r="AQ619" s="115"/>
      <c r="AR619" s="115"/>
      <c r="AS619" s="115"/>
      <c r="AT619" s="115"/>
      <c r="AU619" s="115"/>
      <c r="AV619" s="115"/>
    </row>
    <row r="620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  <c r="AA620" s="115"/>
      <c r="AB620" s="115"/>
      <c r="AC620" s="115"/>
      <c r="AD620" s="115"/>
      <c r="AE620" s="115"/>
      <c r="AF620" s="115"/>
      <c r="AG620" s="115"/>
      <c r="AH620" s="115"/>
      <c r="AI620" s="115"/>
      <c r="AJ620" s="115"/>
      <c r="AK620" s="115"/>
      <c r="AL620" s="115"/>
      <c r="AM620" s="115"/>
      <c r="AN620" s="115"/>
      <c r="AO620" s="115"/>
      <c r="AP620" s="115"/>
      <c r="AQ620" s="115"/>
      <c r="AR620" s="115"/>
      <c r="AS620" s="115"/>
      <c r="AT620" s="115"/>
      <c r="AU620" s="115"/>
      <c r="AV620" s="115"/>
    </row>
    <row r="621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  <c r="AA621" s="115"/>
      <c r="AB621" s="115"/>
      <c r="AC621" s="115"/>
      <c r="AD621" s="115"/>
      <c r="AE621" s="115"/>
      <c r="AF621" s="115"/>
      <c r="AG621" s="115"/>
      <c r="AH621" s="115"/>
      <c r="AI621" s="115"/>
      <c r="AJ621" s="115"/>
      <c r="AK621" s="115"/>
      <c r="AL621" s="115"/>
      <c r="AM621" s="115"/>
      <c r="AN621" s="115"/>
      <c r="AO621" s="115"/>
      <c r="AP621" s="115"/>
      <c r="AQ621" s="115"/>
      <c r="AR621" s="115"/>
      <c r="AS621" s="115"/>
      <c r="AT621" s="115"/>
      <c r="AU621" s="115"/>
      <c r="AV621" s="115"/>
    </row>
    <row r="622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  <c r="AA622" s="115"/>
      <c r="AB622" s="115"/>
      <c r="AC622" s="115"/>
      <c r="AD622" s="115"/>
      <c r="AE622" s="115"/>
      <c r="AF622" s="115"/>
      <c r="AG622" s="115"/>
      <c r="AH622" s="115"/>
      <c r="AI622" s="115"/>
      <c r="AJ622" s="115"/>
      <c r="AK622" s="115"/>
      <c r="AL622" s="115"/>
      <c r="AM622" s="115"/>
      <c r="AN622" s="115"/>
      <c r="AO622" s="115"/>
      <c r="AP622" s="115"/>
      <c r="AQ622" s="115"/>
      <c r="AR622" s="115"/>
      <c r="AS622" s="115"/>
      <c r="AT622" s="115"/>
      <c r="AU622" s="115"/>
      <c r="AV622" s="115"/>
    </row>
    <row r="623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  <c r="AA623" s="115"/>
      <c r="AB623" s="115"/>
      <c r="AC623" s="115"/>
      <c r="AD623" s="115"/>
      <c r="AE623" s="115"/>
      <c r="AF623" s="115"/>
      <c r="AG623" s="115"/>
      <c r="AH623" s="115"/>
      <c r="AI623" s="115"/>
      <c r="AJ623" s="115"/>
      <c r="AK623" s="115"/>
      <c r="AL623" s="115"/>
      <c r="AM623" s="115"/>
      <c r="AN623" s="115"/>
      <c r="AO623" s="115"/>
      <c r="AP623" s="115"/>
      <c r="AQ623" s="115"/>
      <c r="AR623" s="115"/>
      <c r="AS623" s="115"/>
      <c r="AT623" s="115"/>
      <c r="AU623" s="115"/>
      <c r="AV623" s="115"/>
    </row>
    <row r="624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  <c r="AA624" s="115"/>
      <c r="AB624" s="115"/>
      <c r="AC624" s="115"/>
      <c r="AD624" s="115"/>
      <c r="AE624" s="115"/>
      <c r="AF624" s="115"/>
      <c r="AG624" s="115"/>
      <c r="AH624" s="115"/>
      <c r="AI624" s="115"/>
      <c r="AJ624" s="115"/>
      <c r="AK624" s="115"/>
      <c r="AL624" s="115"/>
      <c r="AM624" s="115"/>
      <c r="AN624" s="115"/>
      <c r="AO624" s="115"/>
      <c r="AP624" s="115"/>
      <c r="AQ624" s="115"/>
      <c r="AR624" s="115"/>
      <c r="AS624" s="115"/>
      <c r="AT624" s="115"/>
      <c r="AU624" s="115"/>
      <c r="AV624" s="115"/>
    </row>
    <row r="625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  <c r="AA625" s="115"/>
      <c r="AB625" s="115"/>
      <c r="AC625" s="115"/>
      <c r="AD625" s="115"/>
      <c r="AE625" s="115"/>
      <c r="AF625" s="115"/>
      <c r="AG625" s="115"/>
      <c r="AH625" s="115"/>
      <c r="AI625" s="115"/>
      <c r="AJ625" s="115"/>
      <c r="AK625" s="115"/>
      <c r="AL625" s="115"/>
      <c r="AM625" s="115"/>
      <c r="AN625" s="115"/>
      <c r="AO625" s="115"/>
      <c r="AP625" s="115"/>
      <c r="AQ625" s="115"/>
      <c r="AR625" s="115"/>
      <c r="AS625" s="115"/>
      <c r="AT625" s="115"/>
      <c r="AU625" s="115"/>
      <c r="AV625" s="115"/>
    </row>
    <row r="626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  <c r="AA626" s="115"/>
      <c r="AB626" s="115"/>
      <c r="AC626" s="115"/>
      <c r="AD626" s="115"/>
      <c r="AE626" s="115"/>
      <c r="AF626" s="115"/>
      <c r="AG626" s="115"/>
      <c r="AH626" s="115"/>
      <c r="AI626" s="115"/>
      <c r="AJ626" s="115"/>
      <c r="AK626" s="115"/>
      <c r="AL626" s="115"/>
      <c r="AM626" s="115"/>
      <c r="AN626" s="115"/>
      <c r="AO626" s="115"/>
      <c r="AP626" s="115"/>
      <c r="AQ626" s="115"/>
      <c r="AR626" s="115"/>
      <c r="AS626" s="115"/>
      <c r="AT626" s="115"/>
      <c r="AU626" s="115"/>
      <c r="AV626" s="115"/>
    </row>
    <row r="627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  <c r="AA627" s="115"/>
      <c r="AB627" s="115"/>
      <c r="AC627" s="115"/>
      <c r="AD627" s="115"/>
      <c r="AE627" s="115"/>
      <c r="AF627" s="115"/>
      <c r="AG627" s="115"/>
      <c r="AH627" s="115"/>
      <c r="AI627" s="115"/>
      <c r="AJ627" s="115"/>
      <c r="AK627" s="115"/>
      <c r="AL627" s="115"/>
      <c r="AM627" s="115"/>
      <c r="AN627" s="115"/>
      <c r="AO627" s="115"/>
      <c r="AP627" s="115"/>
      <c r="AQ627" s="115"/>
      <c r="AR627" s="115"/>
      <c r="AS627" s="115"/>
      <c r="AT627" s="115"/>
      <c r="AU627" s="115"/>
      <c r="AV627" s="115"/>
    </row>
    <row r="628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  <c r="AA628" s="115"/>
      <c r="AB628" s="115"/>
      <c r="AC628" s="115"/>
      <c r="AD628" s="115"/>
      <c r="AE628" s="115"/>
      <c r="AF628" s="115"/>
      <c r="AG628" s="115"/>
      <c r="AH628" s="115"/>
      <c r="AI628" s="115"/>
      <c r="AJ628" s="115"/>
      <c r="AK628" s="115"/>
      <c r="AL628" s="115"/>
      <c r="AM628" s="115"/>
      <c r="AN628" s="115"/>
      <c r="AO628" s="115"/>
      <c r="AP628" s="115"/>
      <c r="AQ628" s="115"/>
      <c r="AR628" s="115"/>
      <c r="AS628" s="115"/>
      <c r="AT628" s="115"/>
      <c r="AU628" s="115"/>
      <c r="AV628" s="115"/>
    </row>
    <row r="629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  <c r="AA629" s="115"/>
      <c r="AB629" s="115"/>
      <c r="AC629" s="115"/>
      <c r="AD629" s="115"/>
      <c r="AE629" s="115"/>
      <c r="AF629" s="115"/>
      <c r="AG629" s="115"/>
      <c r="AH629" s="115"/>
      <c r="AI629" s="115"/>
      <c r="AJ629" s="115"/>
      <c r="AK629" s="115"/>
      <c r="AL629" s="115"/>
      <c r="AM629" s="115"/>
      <c r="AN629" s="115"/>
      <c r="AO629" s="115"/>
      <c r="AP629" s="115"/>
      <c r="AQ629" s="115"/>
      <c r="AR629" s="115"/>
      <c r="AS629" s="115"/>
      <c r="AT629" s="115"/>
      <c r="AU629" s="115"/>
      <c r="AV629" s="115"/>
    </row>
    <row r="630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  <c r="AA630" s="115"/>
      <c r="AB630" s="115"/>
      <c r="AC630" s="115"/>
      <c r="AD630" s="115"/>
      <c r="AE630" s="115"/>
      <c r="AF630" s="115"/>
      <c r="AG630" s="115"/>
      <c r="AH630" s="115"/>
      <c r="AI630" s="115"/>
      <c r="AJ630" s="115"/>
      <c r="AK630" s="115"/>
      <c r="AL630" s="115"/>
      <c r="AM630" s="115"/>
      <c r="AN630" s="115"/>
      <c r="AO630" s="115"/>
      <c r="AP630" s="115"/>
      <c r="AQ630" s="115"/>
      <c r="AR630" s="115"/>
      <c r="AS630" s="115"/>
      <c r="AT630" s="115"/>
      <c r="AU630" s="115"/>
      <c r="AV630" s="115"/>
    </row>
    <row r="631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  <c r="AA631" s="115"/>
      <c r="AB631" s="115"/>
      <c r="AC631" s="115"/>
      <c r="AD631" s="115"/>
      <c r="AE631" s="115"/>
      <c r="AF631" s="115"/>
      <c r="AG631" s="115"/>
      <c r="AH631" s="115"/>
      <c r="AI631" s="115"/>
      <c r="AJ631" s="115"/>
      <c r="AK631" s="115"/>
      <c r="AL631" s="115"/>
      <c r="AM631" s="115"/>
      <c r="AN631" s="115"/>
      <c r="AO631" s="115"/>
      <c r="AP631" s="115"/>
      <c r="AQ631" s="115"/>
      <c r="AR631" s="115"/>
      <c r="AS631" s="115"/>
      <c r="AT631" s="115"/>
      <c r="AU631" s="115"/>
      <c r="AV631" s="115"/>
    </row>
    <row r="632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  <c r="AA632" s="115"/>
      <c r="AB632" s="115"/>
      <c r="AC632" s="115"/>
      <c r="AD632" s="115"/>
      <c r="AE632" s="115"/>
      <c r="AF632" s="115"/>
      <c r="AG632" s="115"/>
      <c r="AH632" s="115"/>
      <c r="AI632" s="115"/>
      <c r="AJ632" s="115"/>
      <c r="AK632" s="115"/>
      <c r="AL632" s="115"/>
      <c r="AM632" s="115"/>
      <c r="AN632" s="115"/>
      <c r="AO632" s="115"/>
      <c r="AP632" s="115"/>
      <c r="AQ632" s="115"/>
      <c r="AR632" s="115"/>
      <c r="AS632" s="115"/>
      <c r="AT632" s="115"/>
      <c r="AU632" s="115"/>
      <c r="AV632" s="115"/>
    </row>
    <row r="633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  <c r="AA633" s="115"/>
      <c r="AB633" s="115"/>
      <c r="AC633" s="115"/>
      <c r="AD633" s="115"/>
      <c r="AE633" s="115"/>
      <c r="AF633" s="115"/>
      <c r="AG633" s="115"/>
      <c r="AH633" s="115"/>
      <c r="AI633" s="115"/>
      <c r="AJ633" s="115"/>
      <c r="AK633" s="115"/>
      <c r="AL633" s="115"/>
      <c r="AM633" s="115"/>
      <c r="AN633" s="115"/>
      <c r="AO633" s="115"/>
      <c r="AP633" s="115"/>
      <c r="AQ633" s="115"/>
      <c r="AR633" s="115"/>
      <c r="AS633" s="115"/>
      <c r="AT633" s="115"/>
      <c r="AU633" s="115"/>
      <c r="AV633" s="115"/>
    </row>
    <row r="634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  <c r="AA634" s="115"/>
      <c r="AB634" s="115"/>
      <c r="AC634" s="115"/>
      <c r="AD634" s="115"/>
      <c r="AE634" s="115"/>
      <c r="AF634" s="115"/>
      <c r="AG634" s="115"/>
      <c r="AH634" s="115"/>
      <c r="AI634" s="115"/>
      <c r="AJ634" s="115"/>
      <c r="AK634" s="115"/>
      <c r="AL634" s="115"/>
      <c r="AM634" s="115"/>
      <c r="AN634" s="115"/>
      <c r="AO634" s="115"/>
      <c r="AP634" s="115"/>
      <c r="AQ634" s="115"/>
      <c r="AR634" s="115"/>
      <c r="AS634" s="115"/>
      <c r="AT634" s="115"/>
      <c r="AU634" s="115"/>
      <c r="AV634" s="115"/>
    </row>
    <row r="635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  <c r="AA635" s="115"/>
      <c r="AB635" s="115"/>
      <c r="AC635" s="115"/>
      <c r="AD635" s="115"/>
      <c r="AE635" s="115"/>
      <c r="AF635" s="115"/>
      <c r="AG635" s="115"/>
      <c r="AH635" s="115"/>
      <c r="AI635" s="115"/>
      <c r="AJ635" s="115"/>
      <c r="AK635" s="115"/>
      <c r="AL635" s="115"/>
      <c r="AM635" s="115"/>
      <c r="AN635" s="115"/>
      <c r="AO635" s="115"/>
      <c r="AP635" s="115"/>
      <c r="AQ635" s="115"/>
      <c r="AR635" s="115"/>
      <c r="AS635" s="115"/>
      <c r="AT635" s="115"/>
      <c r="AU635" s="115"/>
      <c r="AV635" s="115"/>
    </row>
    <row r="636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  <c r="AA636" s="115"/>
      <c r="AB636" s="115"/>
      <c r="AC636" s="115"/>
      <c r="AD636" s="115"/>
      <c r="AE636" s="115"/>
      <c r="AF636" s="115"/>
      <c r="AG636" s="115"/>
      <c r="AH636" s="115"/>
      <c r="AI636" s="115"/>
      <c r="AJ636" s="115"/>
      <c r="AK636" s="115"/>
      <c r="AL636" s="115"/>
      <c r="AM636" s="115"/>
      <c r="AN636" s="115"/>
      <c r="AO636" s="115"/>
      <c r="AP636" s="115"/>
      <c r="AQ636" s="115"/>
      <c r="AR636" s="115"/>
      <c r="AS636" s="115"/>
      <c r="AT636" s="115"/>
      <c r="AU636" s="115"/>
      <c r="AV636" s="115"/>
    </row>
    <row r="637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  <c r="AA637" s="115"/>
      <c r="AB637" s="115"/>
      <c r="AC637" s="115"/>
      <c r="AD637" s="115"/>
      <c r="AE637" s="115"/>
      <c r="AF637" s="115"/>
      <c r="AG637" s="115"/>
      <c r="AH637" s="115"/>
      <c r="AI637" s="115"/>
      <c r="AJ637" s="115"/>
      <c r="AK637" s="115"/>
      <c r="AL637" s="115"/>
      <c r="AM637" s="115"/>
      <c r="AN637" s="115"/>
      <c r="AO637" s="115"/>
      <c r="AP637" s="115"/>
      <c r="AQ637" s="115"/>
      <c r="AR637" s="115"/>
      <c r="AS637" s="115"/>
      <c r="AT637" s="115"/>
      <c r="AU637" s="115"/>
      <c r="AV637" s="115"/>
    </row>
    <row r="638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  <c r="AA638" s="115"/>
      <c r="AB638" s="115"/>
      <c r="AC638" s="115"/>
      <c r="AD638" s="115"/>
      <c r="AE638" s="115"/>
      <c r="AF638" s="115"/>
      <c r="AG638" s="115"/>
      <c r="AH638" s="115"/>
      <c r="AI638" s="115"/>
      <c r="AJ638" s="115"/>
      <c r="AK638" s="115"/>
      <c r="AL638" s="115"/>
      <c r="AM638" s="115"/>
      <c r="AN638" s="115"/>
      <c r="AO638" s="115"/>
      <c r="AP638" s="115"/>
      <c r="AQ638" s="115"/>
      <c r="AR638" s="115"/>
      <c r="AS638" s="115"/>
      <c r="AT638" s="115"/>
      <c r="AU638" s="115"/>
      <c r="AV638" s="115"/>
    </row>
    <row r="639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  <c r="AA639" s="115"/>
      <c r="AB639" s="115"/>
      <c r="AC639" s="115"/>
      <c r="AD639" s="115"/>
      <c r="AE639" s="115"/>
      <c r="AF639" s="115"/>
      <c r="AG639" s="115"/>
      <c r="AH639" s="115"/>
      <c r="AI639" s="115"/>
      <c r="AJ639" s="115"/>
      <c r="AK639" s="115"/>
      <c r="AL639" s="115"/>
      <c r="AM639" s="115"/>
      <c r="AN639" s="115"/>
      <c r="AO639" s="115"/>
      <c r="AP639" s="115"/>
      <c r="AQ639" s="115"/>
      <c r="AR639" s="115"/>
      <c r="AS639" s="115"/>
      <c r="AT639" s="115"/>
      <c r="AU639" s="115"/>
      <c r="AV639" s="115"/>
    </row>
    <row r="640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  <c r="AA640" s="115"/>
      <c r="AB640" s="115"/>
      <c r="AC640" s="115"/>
      <c r="AD640" s="115"/>
      <c r="AE640" s="115"/>
      <c r="AF640" s="115"/>
      <c r="AG640" s="115"/>
      <c r="AH640" s="115"/>
      <c r="AI640" s="115"/>
      <c r="AJ640" s="115"/>
      <c r="AK640" s="115"/>
      <c r="AL640" s="115"/>
      <c r="AM640" s="115"/>
      <c r="AN640" s="115"/>
      <c r="AO640" s="115"/>
      <c r="AP640" s="115"/>
      <c r="AQ640" s="115"/>
      <c r="AR640" s="115"/>
      <c r="AS640" s="115"/>
      <c r="AT640" s="115"/>
      <c r="AU640" s="115"/>
      <c r="AV640" s="115"/>
    </row>
    <row r="641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  <c r="AA641" s="115"/>
      <c r="AB641" s="115"/>
      <c r="AC641" s="115"/>
      <c r="AD641" s="115"/>
      <c r="AE641" s="115"/>
      <c r="AF641" s="115"/>
      <c r="AG641" s="115"/>
      <c r="AH641" s="115"/>
      <c r="AI641" s="115"/>
      <c r="AJ641" s="115"/>
      <c r="AK641" s="115"/>
      <c r="AL641" s="115"/>
      <c r="AM641" s="115"/>
      <c r="AN641" s="115"/>
      <c r="AO641" s="115"/>
      <c r="AP641" s="115"/>
      <c r="AQ641" s="115"/>
      <c r="AR641" s="115"/>
      <c r="AS641" s="115"/>
      <c r="AT641" s="115"/>
      <c r="AU641" s="115"/>
      <c r="AV641" s="115"/>
    </row>
    <row r="642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  <c r="AA642" s="115"/>
      <c r="AB642" s="115"/>
      <c r="AC642" s="115"/>
      <c r="AD642" s="115"/>
      <c r="AE642" s="115"/>
      <c r="AF642" s="115"/>
      <c r="AG642" s="115"/>
      <c r="AH642" s="115"/>
      <c r="AI642" s="115"/>
      <c r="AJ642" s="115"/>
      <c r="AK642" s="115"/>
      <c r="AL642" s="115"/>
      <c r="AM642" s="115"/>
      <c r="AN642" s="115"/>
      <c r="AO642" s="115"/>
      <c r="AP642" s="115"/>
      <c r="AQ642" s="115"/>
      <c r="AR642" s="115"/>
      <c r="AS642" s="115"/>
      <c r="AT642" s="115"/>
      <c r="AU642" s="115"/>
      <c r="AV642" s="115"/>
    </row>
    <row r="643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  <c r="AA643" s="115"/>
      <c r="AB643" s="115"/>
      <c r="AC643" s="115"/>
      <c r="AD643" s="115"/>
      <c r="AE643" s="115"/>
      <c r="AF643" s="115"/>
      <c r="AG643" s="115"/>
      <c r="AH643" s="115"/>
      <c r="AI643" s="115"/>
      <c r="AJ643" s="115"/>
      <c r="AK643" s="115"/>
      <c r="AL643" s="115"/>
      <c r="AM643" s="115"/>
      <c r="AN643" s="115"/>
      <c r="AO643" s="115"/>
      <c r="AP643" s="115"/>
      <c r="AQ643" s="115"/>
      <c r="AR643" s="115"/>
      <c r="AS643" s="115"/>
      <c r="AT643" s="115"/>
      <c r="AU643" s="115"/>
      <c r="AV643" s="115"/>
    </row>
    <row r="644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  <c r="AA644" s="115"/>
      <c r="AB644" s="115"/>
      <c r="AC644" s="115"/>
      <c r="AD644" s="115"/>
      <c r="AE644" s="115"/>
      <c r="AF644" s="115"/>
      <c r="AG644" s="115"/>
      <c r="AH644" s="115"/>
      <c r="AI644" s="115"/>
      <c r="AJ644" s="115"/>
      <c r="AK644" s="115"/>
      <c r="AL644" s="115"/>
      <c r="AM644" s="115"/>
      <c r="AN644" s="115"/>
      <c r="AO644" s="115"/>
      <c r="AP644" s="115"/>
      <c r="AQ644" s="115"/>
      <c r="AR644" s="115"/>
      <c r="AS644" s="115"/>
      <c r="AT644" s="115"/>
      <c r="AU644" s="115"/>
      <c r="AV644" s="115"/>
    </row>
    <row r="645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  <c r="AA645" s="115"/>
      <c r="AB645" s="115"/>
      <c r="AC645" s="115"/>
      <c r="AD645" s="115"/>
      <c r="AE645" s="115"/>
      <c r="AF645" s="115"/>
      <c r="AG645" s="115"/>
      <c r="AH645" s="115"/>
      <c r="AI645" s="115"/>
      <c r="AJ645" s="115"/>
      <c r="AK645" s="115"/>
      <c r="AL645" s="115"/>
      <c r="AM645" s="115"/>
      <c r="AN645" s="115"/>
      <c r="AO645" s="115"/>
      <c r="AP645" s="115"/>
      <c r="AQ645" s="115"/>
      <c r="AR645" s="115"/>
      <c r="AS645" s="115"/>
      <c r="AT645" s="115"/>
      <c r="AU645" s="115"/>
      <c r="AV645" s="115"/>
    </row>
    <row r="646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  <c r="AA646" s="115"/>
      <c r="AB646" s="115"/>
      <c r="AC646" s="115"/>
      <c r="AD646" s="115"/>
      <c r="AE646" s="115"/>
      <c r="AF646" s="115"/>
      <c r="AG646" s="115"/>
      <c r="AH646" s="115"/>
      <c r="AI646" s="115"/>
      <c r="AJ646" s="115"/>
      <c r="AK646" s="115"/>
      <c r="AL646" s="115"/>
      <c r="AM646" s="115"/>
      <c r="AN646" s="115"/>
      <c r="AO646" s="115"/>
      <c r="AP646" s="115"/>
      <c r="AQ646" s="115"/>
      <c r="AR646" s="115"/>
      <c r="AS646" s="115"/>
      <c r="AT646" s="115"/>
      <c r="AU646" s="115"/>
      <c r="AV646" s="115"/>
    </row>
    <row r="647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  <c r="AA647" s="115"/>
      <c r="AB647" s="115"/>
      <c r="AC647" s="115"/>
      <c r="AD647" s="115"/>
      <c r="AE647" s="115"/>
      <c r="AF647" s="115"/>
      <c r="AG647" s="115"/>
      <c r="AH647" s="115"/>
      <c r="AI647" s="115"/>
      <c r="AJ647" s="115"/>
      <c r="AK647" s="115"/>
      <c r="AL647" s="115"/>
      <c r="AM647" s="115"/>
      <c r="AN647" s="115"/>
      <c r="AO647" s="115"/>
      <c r="AP647" s="115"/>
      <c r="AQ647" s="115"/>
      <c r="AR647" s="115"/>
      <c r="AS647" s="115"/>
      <c r="AT647" s="115"/>
      <c r="AU647" s="115"/>
      <c r="AV647" s="115"/>
    </row>
    <row r="648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  <c r="AA648" s="115"/>
      <c r="AB648" s="115"/>
      <c r="AC648" s="115"/>
      <c r="AD648" s="115"/>
      <c r="AE648" s="115"/>
      <c r="AF648" s="115"/>
      <c r="AG648" s="115"/>
      <c r="AH648" s="115"/>
      <c r="AI648" s="115"/>
      <c r="AJ648" s="115"/>
      <c r="AK648" s="115"/>
      <c r="AL648" s="115"/>
      <c r="AM648" s="115"/>
      <c r="AN648" s="115"/>
      <c r="AO648" s="115"/>
      <c r="AP648" s="115"/>
      <c r="AQ648" s="115"/>
      <c r="AR648" s="115"/>
      <c r="AS648" s="115"/>
      <c r="AT648" s="115"/>
      <c r="AU648" s="115"/>
      <c r="AV648" s="115"/>
    </row>
    <row r="649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  <c r="AA649" s="115"/>
      <c r="AB649" s="115"/>
      <c r="AC649" s="115"/>
      <c r="AD649" s="115"/>
      <c r="AE649" s="115"/>
      <c r="AF649" s="115"/>
      <c r="AG649" s="115"/>
      <c r="AH649" s="115"/>
      <c r="AI649" s="115"/>
      <c r="AJ649" s="115"/>
      <c r="AK649" s="115"/>
      <c r="AL649" s="115"/>
      <c r="AM649" s="115"/>
      <c r="AN649" s="115"/>
      <c r="AO649" s="115"/>
      <c r="AP649" s="115"/>
      <c r="AQ649" s="115"/>
      <c r="AR649" s="115"/>
      <c r="AS649" s="115"/>
      <c r="AT649" s="115"/>
      <c r="AU649" s="115"/>
      <c r="AV649" s="115"/>
    </row>
    <row r="650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  <c r="AA650" s="115"/>
      <c r="AB650" s="115"/>
      <c r="AC650" s="115"/>
      <c r="AD650" s="115"/>
      <c r="AE650" s="115"/>
      <c r="AF650" s="115"/>
      <c r="AG650" s="115"/>
      <c r="AH650" s="115"/>
      <c r="AI650" s="115"/>
      <c r="AJ650" s="115"/>
      <c r="AK650" s="115"/>
      <c r="AL650" s="115"/>
      <c r="AM650" s="115"/>
      <c r="AN650" s="115"/>
      <c r="AO650" s="115"/>
      <c r="AP650" s="115"/>
      <c r="AQ650" s="115"/>
      <c r="AR650" s="115"/>
      <c r="AS650" s="115"/>
      <c r="AT650" s="115"/>
      <c r="AU650" s="115"/>
      <c r="AV650" s="115"/>
    </row>
    <row r="651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  <c r="AA651" s="115"/>
      <c r="AB651" s="115"/>
      <c r="AC651" s="115"/>
      <c r="AD651" s="115"/>
      <c r="AE651" s="115"/>
      <c r="AF651" s="115"/>
      <c r="AG651" s="115"/>
      <c r="AH651" s="115"/>
      <c r="AI651" s="115"/>
      <c r="AJ651" s="115"/>
      <c r="AK651" s="115"/>
      <c r="AL651" s="115"/>
      <c r="AM651" s="115"/>
      <c r="AN651" s="115"/>
      <c r="AO651" s="115"/>
      <c r="AP651" s="115"/>
      <c r="AQ651" s="115"/>
      <c r="AR651" s="115"/>
      <c r="AS651" s="115"/>
      <c r="AT651" s="115"/>
      <c r="AU651" s="115"/>
      <c r="AV651" s="115"/>
    </row>
    <row r="652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  <c r="AA652" s="115"/>
      <c r="AB652" s="115"/>
      <c r="AC652" s="115"/>
      <c r="AD652" s="115"/>
      <c r="AE652" s="115"/>
      <c r="AF652" s="115"/>
      <c r="AG652" s="115"/>
      <c r="AH652" s="115"/>
      <c r="AI652" s="115"/>
      <c r="AJ652" s="115"/>
      <c r="AK652" s="115"/>
      <c r="AL652" s="115"/>
      <c r="AM652" s="115"/>
      <c r="AN652" s="115"/>
      <c r="AO652" s="115"/>
      <c r="AP652" s="115"/>
      <c r="AQ652" s="115"/>
      <c r="AR652" s="115"/>
      <c r="AS652" s="115"/>
      <c r="AT652" s="115"/>
      <c r="AU652" s="115"/>
      <c r="AV652" s="115"/>
    </row>
    <row r="653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  <c r="AA653" s="115"/>
      <c r="AB653" s="115"/>
      <c r="AC653" s="115"/>
      <c r="AD653" s="115"/>
      <c r="AE653" s="115"/>
      <c r="AF653" s="115"/>
      <c r="AG653" s="115"/>
      <c r="AH653" s="115"/>
      <c r="AI653" s="115"/>
      <c r="AJ653" s="115"/>
      <c r="AK653" s="115"/>
      <c r="AL653" s="115"/>
      <c r="AM653" s="115"/>
      <c r="AN653" s="115"/>
      <c r="AO653" s="115"/>
      <c r="AP653" s="115"/>
      <c r="AQ653" s="115"/>
      <c r="AR653" s="115"/>
      <c r="AS653" s="115"/>
      <c r="AT653" s="115"/>
      <c r="AU653" s="115"/>
      <c r="AV653" s="115"/>
    </row>
    <row r="654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  <c r="AA654" s="115"/>
      <c r="AB654" s="115"/>
      <c r="AC654" s="115"/>
      <c r="AD654" s="115"/>
      <c r="AE654" s="115"/>
      <c r="AF654" s="115"/>
      <c r="AG654" s="115"/>
      <c r="AH654" s="115"/>
      <c r="AI654" s="115"/>
      <c r="AJ654" s="115"/>
      <c r="AK654" s="115"/>
      <c r="AL654" s="115"/>
      <c r="AM654" s="115"/>
      <c r="AN654" s="115"/>
      <c r="AO654" s="115"/>
      <c r="AP654" s="115"/>
      <c r="AQ654" s="115"/>
      <c r="AR654" s="115"/>
      <c r="AS654" s="115"/>
      <c r="AT654" s="115"/>
      <c r="AU654" s="115"/>
      <c r="AV654" s="115"/>
    </row>
    <row r="655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  <c r="AA655" s="115"/>
      <c r="AB655" s="115"/>
      <c r="AC655" s="115"/>
      <c r="AD655" s="115"/>
      <c r="AE655" s="115"/>
      <c r="AF655" s="115"/>
      <c r="AG655" s="115"/>
      <c r="AH655" s="115"/>
      <c r="AI655" s="115"/>
      <c r="AJ655" s="115"/>
      <c r="AK655" s="115"/>
      <c r="AL655" s="115"/>
      <c r="AM655" s="115"/>
      <c r="AN655" s="115"/>
      <c r="AO655" s="115"/>
      <c r="AP655" s="115"/>
      <c r="AQ655" s="115"/>
      <c r="AR655" s="115"/>
      <c r="AS655" s="115"/>
      <c r="AT655" s="115"/>
      <c r="AU655" s="115"/>
      <c r="AV655" s="115"/>
    </row>
    <row r="656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  <c r="AA656" s="115"/>
      <c r="AB656" s="115"/>
      <c r="AC656" s="115"/>
      <c r="AD656" s="115"/>
      <c r="AE656" s="115"/>
      <c r="AF656" s="115"/>
      <c r="AG656" s="115"/>
      <c r="AH656" s="115"/>
      <c r="AI656" s="115"/>
      <c r="AJ656" s="115"/>
      <c r="AK656" s="115"/>
      <c r="AL656" s="115"/>
      <c r="AM656" s="115"/>
      <c r="AN656" s="115"/>
      <c r="AO656" s="115"/>
      <c r="AP656" s="115"/>
      <c r="AQ656" s="115"/>
      <c r="AR656" s="115"/>
      <c r="AS656" s="115"/>
      <c r="AT656" s="115"/>
      <c r="AU656" s="115"/>
      <c r="AV656" s="115"/>
    </row>
    <row r="657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  <c r="AA657" s="115"/>
      <c r="AB657" s="115"/>
      <c r="AC657" s="115"/>
      <c r="AD657" s="115"/>
      <c r="AE657" s="115"/>
      <c r="AF657" s="115"/>
      <c r="AG657" s="115"/>
      <c r="AH657" s="115"/>
      <c r="AI657" s="115"/>
      <c r="AJ657" s="115"/>
      <c r="AK657" s="115"/>
      <c r="AL657" s="115"/>
      <c r="AM657" s="115"/>
      <c r="AN657" s="115"/>
      <c r="AO657" s="115"/>
      <c r="AP657" s="115"/>
      <c r="AQ657" s="115"/>
      <c r="AR657" s="115"/>
      <c r="AS657" s="115"/>
      <c r="AT657" s="115"/>
      <c r="AU657" s="115"/>
      <c r="AV657" s="115"/>
    </row>
    <row r="658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  <c r="AA658" s="115"/>
      <c r="AB658" s="115"/>
      <c r="AC658" s="115"/>
      <c r="AD658" s="115"/>
      <c r="AE658" s="115"/>
      <c r="AF658" s="115"/>
      <c r="AG658" s="115"/>
      <c r="AH658" s="115"/>
      <c r="AI658" s="115"/>
      <c r="AJ658" s="115"/>
      <c r="AK658" s="115"/>
      <c r="AL658" s="115"/>
      <c r="AM658" s="115"/>
      <c r="AN658" s="115"/>
      <c r="AO658" s="115"/>
      <c r="AP658" s="115"/>
      <c r="AQ658" s="115"/>
      <c r="AR658" s="115"/>
      <c r="AS658" s="115"/>
      <c r="AT658" s="115"/>
      <c r="AU658" s="115"/>
      <c r="AV658" s="115"/>
    </row>
    <row r="659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  <c r="AA659" s="115"/>
      <c r="AB659" s="115"/>
      <c r="AC659" s="115"/>
      <c r="AD659" s="115"/>
      <c r="AE659" s="115"/>
      <c r="AF659" s="115"/>
      <c r="AG659" s="115"/>
      <c r="AH659" s="115"/>
      <c r="AI659" s="115"/>
      <c r="AJ659" s="115"/>
      <c r="AK659" s="115"/>
      <c r="AL659" s="115"/>
      <c r="AM659" s="115"/>
      <c r="AN659" s="115"/>
      <c r="AO659" s="115"/>
      <c r="AP659" s="115"/>
      <c r="AQ659" s="115"/>
      <c r="AR659" s="115"/>
      <c r="AS659" s="115"/>
      <c r="AT659" s="115"/>
      <c r="AU659" s="115"/>
      <c r="AV659" s="115"/>
    </row>
    <row r="660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  <c r="AA660" s="115"/>
      <c r="AB660" s="115"/>
      <c r="AC660" s="115"/>
      <c r="AD660" s="115"/>
      <c r="AE660" s="115"/>
      <c r="AF660" s="115"/>
      <c r="AG660" s="115"/>
      <c r="AH660" s="115"/>
      <c r="AI660" s="115"/>
      <c r="AJ660" s="115"/>
      <c r="AK660" s="115"/>
      <c r="AL660" s="115"/>
      <c r="AM660" s="115"/>
      <c r="AN660" s="115"/>
      <c r="AO660" s="115"/>
      <c r="AP660" s="115"/>
      <c r="AQ660" s="115"/>
      <c r="AR660" s="115"/>
      <c r="AS660" s="115"/>
      <c r="AT660" s="115"/>
      <c r="AU660" s="115"/>
      <c r="AV660" s="115"/>
    </row>
    <row r="661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  <c r="AA661" s="115"/>
      <c r="AB661" s="115"/>
      <c r="AC661" s="115"/>
      <c r="AD661" s="115"/>
      <c r="AE661" s="115"/>
      <c r="AF661" s="115"/>
      <c r="AG661" s="115"/>
      <c r="AH661" s="115"/>
      <c r="AI661" s="115"/>
      <c r="AJ661" s="115"/>
      <c r="AK661" s="115"/>
      <c r="AL661" s="115"/>
      <c r="AM661" s="115"/>
      <c r="AN661" s="115"/>
      <c r="AO661" s="115"/>
      <c r="AP661" s="115"/>
      <c r="AQ661" s="115"/>
      <c r="AR661" s="115"/>
      <c r="AS661" s="115"/>
      <c r="AT661" s="115"/>
      <c r="AU661" s="115"/>
      <c r="AV661" s="115"/>
    </row>
    <row r="662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  <c r="AA662" s="115"/>
      <c r="AB662" s="115"/>
      <c r="AC662" s="115"/>
      <c r="AD662" s="115"/>
      <c r="AE662" s="115"/>
      <c r="AF662" s="115"/>
      <c r="AG662" s="115"/>
      <c r="AH662" s="115"/>
      <c r="AI662" s="115"/>
      <c r="AJ662" s="115"/>
      <c r="AK662" s="115"/>
      <c r="AL662" s="115"/>
      <c r="AM662" s="115"/>
      <c r="AN662" s="115"/>
      <c r="AO662" s="115"/>
      <c r="AP662" s="115"/>
      <c r="AQ662" s="115"/>
      <c r="AR662" s="115"/>
      <c r="AS662" s="115"/>
      <c r="AT662" s="115"/>
      <c r="AU662" s="115"/>
      <c r="AV662" s="115"/>
    </row>
    <row r="663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  <c r="AA663" s="115"/>
      <c r="AB663" s="115"/>
      <c r="AC663" s="115"/>
      <c r="AD663" s="115"/>
      <c r="AE663" s="115"/>
      <c r="AF663" s="115"/>
      <c r="AG663" s="115"/>
      <c r="AH663" s="115"/>
      <c r="AI663" s="115"/>
      <c r="AJ663" s="115"/>
      <c r="AK663" s="115"/>
      <c r="AL663" s="115"/>
      <c r="AM663" s="115"/>
      <c r="AN663" s="115"/>
      <c r="AO663" s="115"/>
      <c r="AP663" s="115"/>
      <c r="AQ663" s="115"/>
      <c r="AR663" s="115"/>
      <c r="AS663" s="115"/>
      <c r="AT663" s="115"/>
      <c r="AU663" s="115"/>
      <c r="AV663" s="115"/>
    </row>
    <row r="664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  <c r="AA664" s="115"/>
      <c r="AB664" s="115"/>
      <c r="AC664" s="115"/>
      <c r="AD664" s="115"/>
      <c r="AE664" s="115"/>
      <c r="AF664" s="115"/>
      <c r="AG664" s="115"/>
      <c r="AH664" s="115"/>
      <c r="AI664" s="115"/>
      <c r="AJ664" s="115"/>
      <c r="AK664" s="115"/>
      <c r="AL664" s="115"/>
      <c r="AM664" s="115"/>
      <c r="AN664" s="115"/>
      <c r="AO664" s="115"/>
      <c r="AP664" s="115"/>
      <c r="AQ664" s="115"/>
      <c r="AR664" s="115"/>
      <c r="AS664" s="115"/>
      <c r="AT664" s="115"/>
      <c r="AU664" s="115"/>
      <c r="AV664" s="115"/>
    </row>
    <row r="665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  <c r="AA665" s="115"/>
      <c r="AB665" s="115"/>
      <c r="AC665" s="115"/>
      <c r="AD665" s="115"/>
      <c r="AE665" s="115"/>
      <c r="AF665" s="115"/>
      <c r="AG665" s="115"/>
      <c r="AH665" s="115"/>
      <c r="AI665" s="115"/>
      <c r="AJ665" s="115"/>
      <c r="AK665" s="115"/>
      <c r="AL665" s="115"/>
      <c r="AM665" s="115"/>
      <c r="AN665" s="115"/>
      <c r="AO665" s="115"/>
      <c r="AP665" s="115"/>
      <c r="AQ665" s="115"/>
      <c r="AR665" s="115"/>
      <c r="AS665" s="115"/>
      <c r="AT665" s="115"/>
      <c r="AU665" s="115"/>
      <c r="AV665" s="115"/>
    </row>
    <row r="666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  <c r="AA666" s="115"/>
      <c r="AB666" s="115"/>
      <c r="AC666" s="115"/>
      <c r="AD666" s="115"/>
      <c r="AE666" s="115"/>
      <c r="AF666" s="115"/>
      <c r="AG666" s="115"/>
      <c r="AH666" s="115"/>
      <c r="AI666" s="115"/>
      <c r="AJ666" s="115"/>
      <c r="AK666" s="115"/>
      <c r="AL666" s="115"/>
      <c r="AM666" s="115"/>
      <c r="AN666" s="115"/>
      <c r="AO666" s="115"/>
      <c r="AP666" s="115"/>
      <c r="AQ666" s="115"/>
      <c r="AR666" s="115"/>
      <c r="AS666" s="115"/>
      <c r="AT666" s="115"/>
      <c r="AU666" s="115"/>
      <c r="AV666" s="115"/>
    </row>
    <row r="667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  <c r="AA667" s="115"/>
      <c r="AB667" s="115"/>
      <c r="AC667" s="115"/>
      <c r="AD667" s="115"/>
      <c r="AE667" s="115"/>
      <c r="AF667" s="115"/>
      <c r="AG667" s="115"/>
      <c r="AH667" s="115"/>
      <c r="AI667" s="115"/>
      <c r="AJ667" s="115"/>
      <c r="AK667" s="115"/>
      <c r="AL667" s="115"/>
      <c r="AM667" s="115"/>
      <c r="AN667" s="115"/>
      <c r="AO667" s="115"/>
      <c r="AP667" s="115"/>
      <c r="AQ667" s="115"/>
      <c r="AR667" s="115"/>
      <c r="AS667" s="115"/>
      <c r="AT667" s="115"/>
      <c r="AU667" s="115"/>
      <c r="AV667" s="115"/>
    </row>
    <row r="668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  <c r="AA668" s="115"/>
      <c r="AB668" s="115"/>
      <c r="AC668" s="115"/>
      <c r="AD668" s="115"/>
      <c r="AE668" s="115"/>
      <c r="AF668" s="115"/>
      <c r="AG668" s="115"/>
      <c r="AH668" s="115"/>
      <c r="AI668" s="115"/>
      <c r="AJ668" s="115"/>
      <c r="AK668" s="115"/>
      <c r="AL668" s="115"/>
      <c r="AM668" s="115"/>
      <c r="AN668" s="115"/>
      <c r="AO668" s="115"/>
      <c r="AP668" s="115"/>
      <c r="AQ668" s="115"/>
      <c r="AR668" s="115"/>
      <c r="AS668" s="115"/>
      <c r="AT668" s="115"/>
      <c r="AU668" s="115"/>
      <c r="AV668" s="115"/>
    </row>
    <row r="669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  <c r="AA669" s="115"/>
      <c r="AB669" s="115"/>
      <c r="AC669" s="115"/>
      <c r="AD669" s="115"/>
      <c r="AE669" s="115"/>
      <c r="AF669" s="115"/>
      <c r="AG669" s="115"/>
      <c r="AH669" s="115"/>
      <c r="AI669" s="115"/>
      <c r="AJ669" s="115"/>
      <c r="AK669" s="115"/>
      <c r="AL669" s="115"/>
      <c r="AM669" s="115"/>
      <c r="AN669" s="115"/>
      <c r="AO669" s="115"/>
      <c r="AP669" s="115"/>
      <c r="AQ669" s="115"/>
      <c r="AR669" s="115"/>
      <c r="AS669" s="115"/>
      <c r="AT669" s="115"/>
      <c r="AU669" s="115"/>
      <c r="AV669" s="115"/>
    </row>
    <row r="670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  <c r="AA670" s="115"/>
      <c r="AB670" s="115"/>
      <c r="AC670" s="115"/>
      <c r="AD670" s="115"/>
      <c r="AE670" s="115"/>
      <c r="AF670" s="115"/>
      <c r="AG670" s="115"/>
      <c r="AH670" s="115"/>
      <c r="AI670" s="115"/>
      <c r="AJ670" s="115"/>
      <c r="AK670" s="115"/>
      <c r="AL670" s="115"/>
      <c r="AM670" s="115"/>
      <c r="AN670" s="115"/>
      <c r="AO670" s="115"/>
      <c r="AP670" s="115"/>
      <c r="AQ670" s="115"/>
      <c r="AR670" s="115"/>
      <c r="AS670" s="115"/>
      <c r="AT670" s="115"/>
      <c r="AU670" s="115"/>
      <c r="AV670" s="115"/>
    </row>
    <row r="671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  <c r="AA671" s="115"/>
      <c r="AB671" s="115"/>
      <c r="AC671" s="115"/>
      <c r="AD671" s="115"/>
      <c r="AE671" s="115"/>
      <c r="AF671" s="115"/>
      <c r="AG671" s="115"/>
      <c r="AH671" s="115"/>
      <c r="AI671" s="115"/>
      <c r="AJ671" s="115"/>
      <c r="AK671" s="115"/>
      <c r="AL671" s="115"/>
      <c r="AM671" s="115"/>
      <c r="AN671" s="115"/>
      <c r="AO671" s="115"/>
      <c r="AP671" s="115"/>
      <c r="AQ671" s="115"/>
      <c r="AR671" s="115"/>
      <c r="AS671" s="115"/>
      <c r="AT671" s="115"/>
      <c r="AU671" s="115"/>
      <c r="AV671" s="115"/>
    </row>
    <row r="672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  <c r="AA672" s="115"/>
      <c r="AB672" s="115"/>
      <c r="AC672" s="115"/>
      <c r="AD672" s="115"/>
      <c r="AE672" s="115"/>
      <c r="AF672" s="115"/>
      <c r="AG672" s="115"/>
      <c r="AH672" s="115"/>
      <c r="AI672" s="115"/>
      <c r="AJ672" s="115"/>
      <c r="AK672" s="115"/>
      <c r="AL672" s="115"/>
      <c r="AM672" s="115"/>
      <c r="AN672" s="115"/>
      <c r="AO672" s="115"/>
      <c r="AP672" s="115"/>
      <c r="AQ672" s="115"/>
      <c r="AR672" s="115"/>
      <c r="AS672" s="115"/>
      <c r="AT672" s="115"/>
      <c r="AU672" s="115"/>
      <c r="AV672" s="115"/>
    </row>
    <row r="673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  <c r="AA673" s="115"/>
      <c r="AB673" s="115"/>
      <c r="AC673" s="115"/>
      <c r="AD673" s="115"/>
      <c r="AE673" s="115"/>
      <c r="AF673" s="115"/>
      <c r="AG673" s="115"/>
      <c r="AH673" s="115"/>
      <c r="AI673" s="115"/>
      <c r="AJ673" s="115"/>
      <c r="AK673" s="115"/>
      <c r="AL673" s="115"/>
      <c r="AM673" s="115"/>
      <c r="AN673" s="115"/>
      <c r="AO673" s="115"/>
      <c r="AP673" s="115"/>
      <c r="AQ673" s="115"/>
      <c r="AR673" s="115"/>
      <c r="AS673" s="115"/>
      <c r="AT673" s="115"/>
      <c r="AU673" s="115"/>
      <c r="AV673" s="115"/>
    </row>
    <row r="674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  <c r="AA674" s="115"/>
      <c r="AB674" s="115"/>
      <c r="AC674" s="115"/>
      <c r="AD674" s="115"/>
      <c r="AE674" s="115"/>
      <c r="AF674" s="115"/>
      <c r="AG674" s="115"/>
      <c r="AH674" s="115"/>
      <c r="AI674" s="115"/>
      <c r="AJ674" s="115"/>
      <c r="AK674" s="115"/>
      <c r="AL674" s="115"/>
      <c r="AM674" s="115"/>
      <c r="AN674" s="115"/>
      <c r="AO674" s="115"/>
      <c r="AP674" s="115"/>
      <c r="AQ674" s="115"/>
      <c r="AR674" s="115"/>
      <c r="AS674" s="115"/>
      <c r="AT674" s="115"/>
      <c r="AU674" s="115"/>
      <c r="AV674" s="115"/>
    </row>
    <row r="675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  <c r="AA675" s="115"/>
      <c r="AB675" s="115"/>
      <c r="AC675" s="115"/>
      <c r="AD675" s="115"/>
      <c r="AE675" s="115"/>
      <c r="AF675" s="115"/>
      <c r="AG675" s="115"/>
      <c r="AH675" s="115"/>
      <c r="AI675" s="115"/>
      <c r="AJ675" s="115"/>
      <c r="AK675" s="115"/>
      <c r="AL675" s="115"/>
      <c r="AM675" s="115"/>
      <c r="AN675" s="115"/>
      <c r="AO675" s="115"/>
      <c r="AP675" s="115"/>
      <c r="AQ675" s="115"/>
      <c r="AR675" s="115"/>
      <c r="AS675" s="115"/>
      <c r="AT675" s="115"/>
      <c r="AU675" s="115"/>
      <c r="AV675" s="115"/>
    </row>
    <row r="676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  <c r="AA676" s="115"/>
      <c r="AB676" s="115"/>
      <c r="AC676" s="115"/>
      <c r="AD676" s="115"/>
      <c r="AE676" s="115"/>
      <c r="AF676" s="115"/>
      <c r="AG676" s="115"/>
      <c r="AH676" s="115"/>
      <c r="AI676" s="115"/>
      <c r="AJ676" s="115"/>
      <c r="AK676" s="115"/>
      <c r="AL676" s="115"/>
      <c r="AM676" s="115"/>
      <c r="AN676" s="115"/>
      <c r="AO676" s="115"/>
      <c r="AP676" s="115"/>
      <c r="AQ676" s="115"/>
      <c r="AR676" s="115"/>
      <c r="AS676" s="115"/>
      <c r="AT676" s="115"/>
      <c r="AU676" s="115"/>
      <c r="AV676" s="115"/>
    </row>
    <row r="677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  <c r="AA677" s="115"/>
      <c r="AB677" s="115"/>
      <c r="AC677" s="115"/>
      <c r="AD677" s="115"/>
      <c r="AE677" s="115"/>
      <c r="AF677" s="115"/>
      <c r="AG677" s="115"/>
      <c r="AH677" s="115"/>
      <c r="AI677" s="115"/>
      <c r="AJ677" s="115"/>
      <c r="AK677" s="115"/>
      <c r="AL677" s="115"/>
      <c r="AM677" s="115"/>
      <c r="AN677" s="115"/>
      <c r="AO677" s="115"/>
      <c r="AP677" s="115"/>
      <c r="AQ677" s="115"/>
      <c r="AR677" s="115"/>
      <c r="AS677" s="115"/>
      <c r="AT677" s="115"/>
      <c r="AU677" s="115"/>
      <c r="AV677" s="115"/>
    </row>
    <row r="678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  <c r="AA678" s="115"/>
      <c r="AB678" s="115"/>
      <c r="AC678" s="115"/>
      <c r="AD678" s="115"/>
      <c r="AE678" s="115"/>
      <c r="AF678" s="115"/>
      <c r="AG678" s="115"/>
      <c r="AH678" s="115"/>
      <c r="AI678" s="115"/>
      <c r="AJ678" s="115"/>
      <c r="AK678" s="115"/>
      <c r="AL678" s="115"/>
      <c r="AM678" s="115"/>
      <c r="AN678" s="115"/>
      <c r="AO678" s="115"/>
      <c r="AP678" s="115"/>
      <c r="AQ678" s="115"/>
      <c r="AR678" s="115"/>
      <c r="AS678" s="115"/>
      <c r="AT678" s="115"/>
      <c r="AU678" s="115"/>
      <c r="AV678" s="115"/>
    </row>
    <row r="679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  <c r="AA679" s="115"/>
      <c r="AB679" s="115"/>
      <c r="AC679" s="115"/>
      <c r="AD679" s="115"/>
      <c r="AE679" s="115"/>
      <c r="AF679" s="115"/>
      <c r="AG679" s="115"/>
      <c r="AH679" s="115"/>
      <c r="AI679" s="115"/>
      <c r="AJ679" s="115"/>
      <c r="AK679" s="115"/>
      <c r="AL679" s="115"/>
      <c r="AM679" s="115"/>
      <c r="AN679" s="115"/>
      <c r="AO679" s="115"/>
      <c r="AP679" s="115"/>
      <c r="AQ679" s="115"/>
      <c r="AR679" s="115"/>
      <c r="AS679" s="115"/>
      <c r="AT679" s="115"/>
      <c r="AU679" s="115"/>
      <c r="AV679" s="115"/>
    </row>
    <row r="680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  <c r="AA680" s="115"/>
      <c r="AB680" s="115"/>
      <c r="AC680" s="115"/>
      <c r="AD680" s="115"/>
      <c r="AE680" s="115"/>
      <c r="AF680" s="115"/>
      <c r="AG680" s="115"/>
      <c r="AH680" s="115"/>
      <c r="AI680" s="115"/>
      <c r="AJ680" s="115"/>
      <c r="AK680" s="115"/>
      <c r="AL680" s="115"/>
      <c r="AM680" s="115"/>
      <c r="AN680" s="115"/>
      <c r="AO680" s="115"/>
      <c r="AP680" s="115"/>
      <c r="AQ680" s="115"/>
      <c r="AR680" s="115"/>
      <c r="AS680" s="115"/>
      <c r="AT680" s="115"/>
      <c r="AU680" s="115"/>
      <c r="AV680" s="115"/>
    </row>
    <row r="681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  <c r="AA681" s="115"/>
      <c r="AB681" s="115"/>
      <c r="AC681" s="115"/>
      <c r="AD681" s="115"/>
      <c r="AE681" s="115"/>
      <c r="AF681" s="115"/>
      <c r="AG681" s="115"/>
      <c r="AH681" s="115"/>
      <c r="AI681" s="115"/>
      <c r="AJ681" s="115"/>
      <c r="AK681" s="115"/>
      <c r="AL681" s="115"/>
      <c r="AM681" s="115"/>
      <c r="AN681" s="115"/>
      <c r="AO681" s="115"/>
      <c r="AP681" s="115"/>
      <c r="AQ681" s="115"/>
      <c r="AR681" s="115"/>
      <c r="AS681" s="115"/>
      <c r="AT681" s="115"/>
      <c r="AU681" s="115"/>
      <c r="AV681" s="115"/>
    </row>
    <row r="682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  <c r="AA682" s="115"/>
      <c r="AB682" s="115"/>
      <c r="AC682" s="115"/>
      <c r="AD682" s="115"/>
      <c r="AE682" s="115"/>
      <c r="AF682" s="115"/>
      <c r="AG682" s="115"/>
      <c r="AH682" s="115"/>
      <c r="AI682" s="115"/>
      <c r="AJ682" s="115"/>
      <c r="AK682" s="115"/>
      <c r="AL682" s="115"/>
      <c r="AM682" s="115"/>
      <c r="AN682" s="115"/>
      <c r="AO682" s="115"/>
      <c r="AP682" s="115"/>
      <c r="AQ682" s="115"/>
      <c r="AR682" s="115"/>
      <c r="AS682" s="115"/>
      <c r="AT682" s="115"/>
      <c r="AU682" s="115"/>
      <c r="AV682" s="115"/>
    </row>
    <row r="683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  <c r="AA683" s="115"/>
      <c r="AB683" s="115"/>
      <c r="AC683" s="115"/>
      <c r="AD683" s="115"/>
      <c r="AE683" s="115"/>
      <c r="AF683" s="115"/>
      <c r="AG683" s="115"/>
      <c r="AH683" s="115"/>
      <c r="AI683" s="115"/>
      <c r="AJ683" s="115"/>
      <c r="AK683" s="115"/>
      <c r="AL683" s="115"/>
      <c r="AM683" s="115"/>
      <c r="AN683" s="115"/>
      <c r="AO683" s="115"/>
      <c r="AP683" s="115"/>
      <c r="AQ683" s="115"/>
      <c r="AR683" s="115"/>
      <c r="AS683" s="115"/>
      <c r="AT683" s="115"/>
      <c r="AU683" s="115"/>
      <c r="AV683" s="115"/>
    </row>
    <row r="684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  <c r="AA684" s="115"/>
      <c r="AB684" s="115"/>
      <c r="AC684" s="115"/>
      <c r="AD684" s="115"/>
      <c r="AE684" s="115"/>
      <c r="AF684" s="115"/>
      <c r="AG684" s="115"/>
      <c r="AH684" s="115"/>
      <c r="AI684" s="115"/>
      <c r="AJ684" s="115"/>
      <c r="AK684" s="115"/>
      <c r="AL684" s="115"/>
      <c r="AM684" s="115"/>
      <c r="AN684" s="115"/>
      <c r="AO684" s="115"/>
      <c r="AP684" s="115"/>
      <c r="AQ684" s="115"/>
      <c r="AR684" s="115"/>
      <c r="AS684" s="115"/>
      <c r="AT684" s="115"/>
      <c r="AU684" s="115"/>
      <c r="AV684" s="115"/>
    </row>
    <row r="685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  <c r="AA685" s="115"/>
      <c r="AB685" s="115"/>
      <c r="AC685" s="115"/>
      <c r="AD685" s="115"/>
      <c r="AE685" s="115"/>
      <c r="AF685" s="115"/>
      <c r="AG685" s="115"/>
      <c r="AH685" s="115"/>
      <c r="AI685" s="115"/>
      <c r="AJ685" s="115"/>
      <c r="AK685" s="115"/>
      <c r="AL685" s="115"/>
      <c r="AM685" s="115"/>
      <c r="AN685" s="115"/>
      <c r="AO685" s="115"/>
      <c r="AP685" s="115"/>
      <c r="AQ685" s="115"/>
      <c r="AR685" s="115"/>
      <c r="AS685" s="115"/>
      <c r="AT685" s="115"/>
      <c r="AU685" s="115"/>
      <c r="AV685" s="115"/>
    </row>
    <row r="686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  <c r="AA686" s="115"/>
      <c r="AB686" s="115"/>
      <c r="AC686" s="115"/>
      <c r="AD686" s="115"/>
      <c r="AE686" s="115"/>
      <c r="AF686" s="115"/>
      <c r="AG686" s="115"/>
      <c r="AH686" s="115"/>
      <c r="AI686" s="115"/>
      <c r="AJ686" s="115"/>
      <c r="AK686" s="115"/>
      <c r="AL686" s="115"/>
      <c r="AM686" s="115"/>
      <c r="AN686" s="115"/>
      <c r="AO686" s="115"/>
      <c r="AP686" s="115"/>
      <c r="AQ686" s="115"/>
      <c r="AR686" s="115"/>
      <c r="AS686" s="115"/>
      <c r="AT686" s="115"/>
      <c r="AU686" s="115"/>
      <c r="AV686" s="115"/>
    </row>
    <row r="687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  <c r="AA687" s="115"/>
      <c r="AB687" s="115"/>
      <c r="AC687" s="115"/>
      <c r="AD687" s="115"/>
      <c r="AE687" s="115"/>
      <c r="AF687" s="115"/>
      <c r="AG687" s="115"/>
      <c r="AH687" s="115"/>
      <c r="AI687" s="115"/>
      <c r="AJ687" s="115"/>
      <c r="AK687" s="115"/>
      <c r="AL687" s="115"/>
      <c r="AM687" s="115"/>
      <c r="AN687" s="115"/>
      <c r="AO687" s="115"/>
      <c r="AP687" s="115"/>
      <c r="AQ687" s="115"/>
      <c r="AR687" s="115"/>
      <c r="AS687" s="115"/>
      <c r="AT687" s="115"/>
      <c r="AU687" s="115"/>
      <c r="AV687" s="115"/>
    </row>
    <row r="688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  <c r="AA688" s="115"/>
      <c r="AB688" s="115"/>
      <c r="AC688" s="115"/>
      <c r="AD688" s="115"/>
      <c r="AE688" s="115"/>
      <c r="AF688" s="115"/>
      <c r="AG688" s="115"/>
      <c r="AH688" s="115"/>
      <c r="AI688" s="115"/>
      <c r="AJ688" s="115"/>
      <c r="AK688" s="115"/>
      <c r="AL688" s="115"/>
      <c r="AM688" s="115"/>
      <c r="AN688" s="115"/>
      <c r="AO688" s="115"/>
      <c r="AP688" s="115"/>
      <c r="AQ688" s="115"/>
      <c r="AR688" s="115"/>
      <c r="AS688" s="115"/>
      <c r="AT688" s="115"/>
      <c r="AU688" s="115"/>
      <c r="AV688" s="115"/>
    </row>
    <row r="689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  <c r="AA689" s="115"/>
      <c r="AB689" s="115"/>
      <c r="AC689" s="115"/>
      <c r="AD689" s="115"/>
      <c r="AE689" s="115"/>
      <c r="AF689" s="115"/>
      <c r="AG689" s="115"/>
      <c r="AH689" s="115"/>
      <c r="AI689" s="115"/>
      <c r="AJ689" s="115"/>
      <c r="AK689" s="115"/>
      <c r="AL689" s="115"/>
      <c r="AM689" s="115"/>
      <c r="AN689" s="115"/>
      <c r="AO689" s="115"/>
      <c r="AP689" s="115"/>
      <c r="AQ689" s="115"/>
      <c r="AR689" s="115"/>
      <c r="AS689" s="115"/>
      <c r="AT689" s="115"/>
      <c r="AU689" s="115"/>
      <c r="AV689" s="115"/>
    </row>
    <row r="690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  <c r="AA690" s="115"/>
      <c r="AB690" s="115"/>
      <c r="AC690" s="115"/>
      <c r="AD690" s="115"/>
      <c r="AE690" s="115"/>
      <c r="AF690" s="115"/>
      <c r="AG690" s="115"/>
      <c r="AH690" s="115"/>
      <c r="AI690" s="115"/>
      <c r="AJ690" s="115"/>
      <c r="AK690" s="115"/>
      <c r="AL690" s="115"/>
      <c r="AM690" s="115"/>
      <c r="AN690" s="115"/>
      <c r="AO690" s="115"/>
      <c r="AP690" s="115"/>
      <c r="AQ690" s="115"/>
      <c r="AR690" s="115"/>
      <c r="AS690" s="115"/>
      <c r="AT690" s="115"/>
      <c r="AU690" s="115"/>
      <c r="AV690" s="115"/>
    </row>
    <row r="691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  <c r="AA691" s="115"/>
      <c r="AB691" s="115"/>
      <c r="AC691" s="115"/>
      <c r="AD691" s="115"/>
      <c r="AE691" s="115"/>
      <c r="AF691" s="115"/>
      <c r="AG691" s="115"/>
      <c r="AH691" s="115"/>
      <c r="AI691" s="115"/>
      <c r="AJ691" s="115"/>
      <c r="AK691" s="115"/>
      <c r="AL691" s="115"/>
      <c r="AM691" s="115"/>
      <c r="AN691" s="115"/>
      <c r="AO691" s="115"/>
      <c r="AP691" s="115"/>
      <c r="AQ691" s="115"/>
      <c r="AR691" s="115"/>
      <c r="AS691" s="115"/>
      <c r="AT691" s="115"/>
      <c r="AU691" s="115"/>
      <c r="AV691" s="115"/>
    </row>
    <row r="692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  <c r="AA692" s="115"/>
      <c r="AB692" s="115"/>
      <c r="AC692" s="115"/>
      <c r="AD692" s="115"/>
      <c r="AE692" s="115"/>
      <c r="AF692" s="115"/>
      <c r="AG692" s="115"/>
      <c r="AH692" s="115"/>
      <c r="AI692" s="115"/>
      <c r="AJ692" s="115"/>
      <c r="AK692" s="115"/>
      <c r="AL692" s="115"/>
      <c r="AM692" s="115"/>
      <c r="AN692" s="115"/>
      <c r="AO692" s="115"/>
      <c r="AP692" s="115"/>
      <c r="AQ692" s="115"/>
      <c r="AR692" s="115"/>
      <c r="AS692" s="115"/>
      <c r="AT692" s="115"/>
      <c r="AU692" s="115"/>
      <c r="AV692" s="115"/>
    </row>
    <row r="693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  <c r="AA693" s="115"/>
      <c r="AB693" s="115"/>
      <c r="AC693" s="115"/>
      <c r="AD693" s="115"/>
      <c r="AE693" s="115"/>
      <c r="AF693" s="115"/>
      <c r="AG693" s="115"/>
      <c r="AH693" s="115"/>
      <c r="AI693" s="115"/>
      <c r="AJ693" s="115"/>
      <c r="AK693" s="115"/>
      <c r="AL693" s="115"/>
      <c r="AM693" s="115"/>
      <c r="AN693" s="115"/>
      <c r="AO693" s="115"/>
      <c r="AP693" s="115"/>
      <c r="AQ693" s="115"/>
      <c r="AR693" s="115"/>
      <c r="AS693" s="115"/>
      <c r="AT693" s="115"/>
      <c r="AU693" s="115"/>
      <c r="AV693" s="115"/>
    </row>
    <row r="694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  <c r="AA694" s="115"/>
      <c r="AB694" s="115"/>
      <c r="AC694" s="115"/>
      <c r="AD694" s="115"/>
      <c r="AE694" s="115"/>
      <c r="AF694" s="115"/>
      <c r="AG694" s="115"/>
      <c r="AH694" s="115"/>
      <c r="AI694" s="115"/>
      <c r="AJ694" s="115"/>
      <c r="AK694" s="115"/>
      <c r="AL694" s="115"/>
      <c r="AM694" s="115"/>
      <c r="AN694" s="115"/>
      <c r="AO694" s="115"/>
      <c r="AP694" s="115"/>
      <c r="AQ694" s="115"/>
      <c r="AR694" s="115"/>
      <c r="AS694" s="115"/>
      <c r="AT694" s="115"/>
      <c r="AU694" s="115"/>
      <c r="AV694" s="115"/>
    </row>
    <row r="695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  <c r="AA695" s="115"/>
      <c r="AB695" s="115"/>
      <c r="AC695" s="115"/>
      <c r="AD695" s="115"/>
      <c r="AE695" s="115"/>
      <c r="AF695" s="115"/>
      <c r="AG695" s="115"/>
      <c r="AH695" s="115"/>
      <c r="AI695" s="115"/>
      <c r="AJ695" s="115"/>
      <c r="AK695" s="115"/>
      <c r="AL695" s="115"/>
      <c r="AM695" s="115"/>
      <c r="AN695" s="115"/>
      <c r="AO695" s="115"/>
      <c r="AP695" s="115"/>
      <c r="AQ695" s="115"/>
      <c r="AR695" s="115"/>
      <c r="AS695" s="115"/>
      <c r="AT695" s="115"/>
      <c r="AU695" s="115"/>
      <c r="AV695" s="115"/>
    </row>
    <row r="696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  <c r="AA696" s="115"/>
      <c r="AB696" s="115"/>
      <c r="AC696" s="115"/>
      <c r="AD696" s="115"/>
      <c r="AE696" s="115"/>
      <c r="AF696" s="115"/>
      <c r="AG696" s="115"/>
      <c r="AH696" s="115"/>
      <c r="AI696" s="115"/>
      <c r="AJ696" s="115"/>
      <c r="AK696" s="115"/>
      <c r="AL696" s="115"/>
      <c r="AM696" s="115"/>
      <c r="AN696" s="115"/>
      <c r="AO696" s="115"/>
      <c r="AP696" s="115"/>
      <c r="AQ696" s="115"/>
      <c r="AR696" s="115"/>
      <c r="AS696" s="115"/>
      <c r="AT696" s="115"/>
      <c r="AU696" s="115"/>
      <c r="AV696" s="115"/>
    </row>
    <row r="697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  <c r="AA697" s="115"/>
      <c r="AB697" s="115"/>
      <c r="AC697" s="115"/>
      <c r="AD697" s="115"/>
      <c r="AE697" s="115"/>
      <c r="AF697" s="115"/>
      <c r="AG697" s="115"/>
      <c r="AH697" s="115"/>
      <c r="AI697" s="115"/>
      <c r="AJ697" s="115"/>
      <c r="AK697" s="115"/>
      <c r="AL697" s="115"/>
      <c r="AM697" s="115"/>
      <c r="AN697" s="115"/>
      <c r="AO697" s="115"/>
      <c r="AP697" s="115"/>
      <c r="AQ697" s="115"/>
      <c r="AR697" s="115"/>
      <c r="AS697" s="115"/>
      <c r="AT697" s="115"/>
      <c r="AU697" s="115"/>
      <c r="AV697" s="115"/>
    </row>
    <row r="698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  <c r="AA698" s="115"/>
      <c r="AB698" s="115"/>
      <c r="AC698" s="115"/>
      <c r="AD698" s="115"/>
      <c r="AE698" s="115"/>
      <c r="AF698" s="115"/>
      <c r="AG698" s="115"/>
      <c r="AH698" s="115"/>
      <c r="AI698" s="115"/>
      <c r="AJ698" s="115"/>
      <c r="AK698" s="115"/>
      <c r="AL698" s="115"/>
      <c r="AM698" s="115"/>
      <c r="AN698" s="115"/>
      <c r="AO698" s="115"/>
      <c r="AP698" s="115"/>
      <c r="AQ698" s="115"/>
      <c r="AR698" s="115"/>
      <c r="AS698" s="115"/>
      <c r="AT698" s="115"/>
      <c r="AU698" s="115"/>
      <c r="AV698" s="115"/>
    </row>
    <row r="699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  <c r="AA699" s="115"/>
      <c r="AB699" s="115"/>
      <c r="AC699" s="115"/>
      <c r="AD699" s="115"/>
      <c r="AE699" s="115"/>
      <c r="AF699" s="115"/>
      <c r="AG699" s="115"/>
      <c r="AH699" s="115"/>
      <c r="AI699" s="115"/>
      <c r="AJ699" s="115"/>
      <c r="AK699" s="115"/>
      <c r="AL699" s="115"/>
      <c r="AM699" s="115"/>
      <c r="AN699" s="115"/>
      <c r="AO699" s="115"/>
      <c r="AP699" s="115"/>
      <c r="AQ699" s="115"/>
      <c r="AR699" s="115"/>
      <c r="AS699" s="115"/>
      <c r="AT699" s="115"/>
      <c r="AU699" s="115"/>
      <c r="AV699" s="115"/>
    </row>
    <row r="700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  <c r="AA700" s="115"/>
      <c r="AB700" s="115"/>
      <c r="AC700" s="115"/>
      <c r="AD700" s="115"/>
      <c r="AE700" s="115"/>
      <c r="AF700" s="115"/>
      <c r="AG700" s="115"/>
      <c r="AH700" s="115"/>
      <c r="AI700" s="115"/>
      <c r="AJ700" s="115"/>
      <c r="AK700" s="115"/>
      <c r="AL700" s="115"/>
      <c r="AM700" s="115"/>
      <c r="AN700" s="115"/>
      <c r="AO700" s="115"/>
      <c r="AP700" s="115"/>
      <c r="AQ700" s="115"/>
      <c r="AR700" s="115"/>
      <c r="AS700" s="115"/>
      <c r="AT700" s="115"/>
      <c r="AU700" s="115"/>
      <c r="AV700" s="115"/>
    </row>
    <row r="701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  <c r="AA701" s="115"/>
      <c r="AB701" s="115"/>
      <c r="AC701" s="115"/>
      <c r="AD701" s="115"/>
      <c r="AE701" s="115"/>
      <c r="AF701" s="115"/>
      <c r="AG701" s="115"/>
      <c r="AH701" s="115"/>
      <c r="AI701" s="115"/>
      <c r="AJ701" s="115"/>
      <c r="AK701" s="115"/>
      <c r="AL701" s="115"/>
      <c r="AM701" s="115"/>
      <c r="AN701" s="115"/>
      <c r="AO701" s="115"/>
      <c r="AP701" s="115"/>
      <c r="AQ701" s="115"/>
      <c r="AR701" s="115"/>
      <c r="AS701" s="115"/>
      <c r="AT701" s="115"/>
      <c r="AU701" s="115"/>
      <c r="AV701" s="115"/>
    </row>
    <row r="702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  <c r="AA702" s="115"/>
      <c r="AB702" s="115"/>
      <c r="AC702" s="115"/>
      <c r="AD702" s="115"/>
      <c r="AE702" s="115"/>
      <c r="AF702" s="115"/>
      <c r="AG702" s="115"/>
      <c r="AH702" s="115"/>
      <c r="AI702" s="115"/>
      <c r="AJ702" s="115"/>
      <c r="AK702" s="115"/>
      <c r="AL702" s="115"/>
      <c r="AM702" s="115"/>
      <c r="AN702" s="115"/>
      <c r="AO702" s="115"/>
      <c r="AP702" s="115"/>
      <c r="AQ702" s="115"/>
      <c r="AR702" s="115"/>
      <c r="AS702" s="115"/>
      <c r="AT702" s="115"/>
      <c r="AU702" s="115"/>
      <c r="AV702" s="115"/>
    </row>
    <row r="703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  <c r="AA703" s="115"/>
      <c r="AB703" s="115"/>
      <c r="AC703" s="115"/>
      <c r="AD703" s="115"/>
      <c r="AE703" s="115"/>
      <c r="AF703" s="115"/>
      <c r="AG703" s="115"/>
      <c r="AH703" s="115"/>
      <c r="AI703" s="115"/>
      <c r="AJ703" s="115"/>
      <c r="AK703" s="115"/>
      <c r="AL703" s="115"/>
      <c r="AM703" s="115"/>
      <c r="AN703" s="115"/>
      <c r="AO703" s="115"/>
      <c r="AP703" s="115"/>
      <c r="AQ703" s="115"/>
      <c r="AR703" s="115"/>
      <c r="AS703" s="115"/>
      <c r="AT703" s="115"/>
      <c r="AU703" s="115"/>
      <c r="AV703" s="115"/>
    </row>
    <row r="704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  <c r="AA704" s="115"/>
      <c r="AB704" s="115"/>
      <c r="AC704" s="115"/>
      <c r="AD704" s="115"/>
      <c r="AE704" s="115"/>
      <c r="AF704" s="115"/>
      <c r="AG704" s="115"/>
      <c r="AH704" s="115"/>
      <c r="AI704" s="115"/>
      <c r="AJ704" s="115"/>
      <c r="AK704" s="115"/>
      <c r="AL704" s="115"/>
      <c r="AM704" s="115"/>
      <c r="AN704" s="115"/>
      <c r="AO704" s="115"/>
      <c r="AP704" s="115"/>
      <c r="AQ704" s="115"/>
      <c r="AR704" s="115"/>
      <c r="AS704" s="115"/>
      <c r="AT704" s="115"/>
      <c r="AU704" s="115"/>
      <c r="AV704" s="115"/>
    </row>
    <row r="705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  <c r="AA705" s="115"/>
      <c r="AB705" s="115"/>
      <c r="AC705" s="115"/>
      <c r="AD705" s="115"/>
      <c r="AE705" s="115"/>
      <c r="AF705" s="115"/>
      <c r="AG705" s="115"/>
      <c r="AH705" s="115"/>
      <c r="AI705" s="115"/>
      <c r="AJ705" s="115"/>
      <c r="AK705" s="115"/>
      <c r="AL705" s="115"/>
      <c r="AM705" s="115"/>
      <c r="AN705" s="115"/>
      <c r="AO705" s="115"/>
      <c r="AP705" s="115"/>
      <c r="AQ705" s="115"/>
      <c r="AR705" s="115"/>
      <c r="AS705" s="115"/>
      <c r="AT705" s="115"/>
      <c r="AU705" s="115"/>
      <c r="AV705" s="115"/>
    </row>
    <row r="706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  <c r="AA706" s="115"/>
      <c r="AB706" s="115"/>
      <c r="AC706" s="115"/>
      <c r="AD706" s="115"/>
      <c r="AE706" s="115"/>
      <c r="AF706" s="115"/>
      <c r="AG706" s="115"/>
      <c r="AH706" s="115"/>
      <c r="AI706" s="115"/>
      <c r="AJ706" s="115"/>
      <c r="AK706" s="115"/>
      <c r="AL706" s="115"/>
      <c r="AM706" s="115"/>
      <c r="AN706" s="115"/>
      <c r="AO706" s="115"/>
      <c r="AP706" s="115"/>
      <c r="AQ706" s="115"/>
      <c r="AR706" s="115"/>
      <c r="AS706" s="115"/>
      <c r="AT706" s="115"/>
      <c r="AU706" s="115"/>
      <c r="AV706" s="115"/>
    </row>
    <row r="707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  <c r="AA707" s="115"/>
      <c r="AB707" s="115"/>
      <c r="AC707" s="115"/>
      <c r="AD707" s="115"/>
      <c r="AE707" s="115"/>
      <c r="AF707" s="115"/>
      <c r="AG707" s="115"/>
      <c r="AH707" s="115"/>
      <c r="AI707" s="115"/>
      <c r="AJ707" s="115"/>
      <c r="AK707" s="115"/>
      <c r="AL707" s="115"/>
      <c r="AM707" s="115"/>
      <c r="AN707" s="115"/>
      <c r="AO707" s="115"/>
      <c r="AP707" s="115"/>
      <c r="AQ707" s="115"/>
      <c r="AR707" s="115"/>
      <c r="AS707" s="115"/>
      <c r="AT707" s="115"/>
      <c r="AU707" s="115"/>
      <c r="AV707" s="115"/>
    </row>
    <row r="708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  <c r="AA708" s="115"/>
      <c r="AB708" s="115"/>
      <c r="AC708" s="115"/>
      <c r="AD708" s="115"/>
      <c r="AE708" s="115"/>
      <c r="AF708" s="115"/>
      <c r="AG708" s="115"/>
      <c r="AH708" s="115"/>
      <c r="AI708" s="115"/>
      <c r="AJ708" s="115"/>
      <c r="AK708" s="115"/>
      <c r="AL708" s="115"/>
      <c r="AM708" s="115"/>
      <c r="AN708" s="115"/>
      <c r="AO708" s="115"/>
      <c r="AP708" s="115"/>
      <c r="AQ708" s="115"/>
      <c r="AR708" s="115"/>
      <c r="AS708" s="115"/>
      <c r="AT708" s="115"/>
      <c r="AU708" s="115"/>
      <c r="AV708" s="115"/>
    </row>
    <row r="709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  <c r="AA709" s="115"/>
      <c r="AB709" s="115"/>
      <c r="AC709" s="115"/>
      <c r="AD709" s="115"/>
      <c r="AE709" s="115"/>
      <c r="AF709" s="115"/>
      <c r="AG709" s="115"/>
      <c r="AH709" s="115"/>
      <c r="AI709" s="115"/>
      <c r="AJ709" s="115"/>
      <c r="AK709" s="115"/>
      <c r="AL709" s="115"/>
      <c r="AM709" s="115"/>
      <c r="AN709" s="115"/>
      <c r="AO709" s="115"/>
      <c r="AP709" s="115"/>
      <c r="AQ709" s="115"/>
      <c r="AR709" s="115"/>
      <c r="AS709" s="115"/>
      <c r="AT709" s="115"/>
      <c r="AU709" s="115"/>
      <c r="AV709" s="115"/>
    </row>
    <row r="710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  <c r="AA710" s="115"/>
      <c r="AB710" s="115"/>
      <c r="AC710" s="115"/>
      <c r="AD710" s="115"/>
      <c r="AE710" s="115"/>
      <c r="AF710" s="115"/>
      <c r="AG710" s="115"/>
      <c r="AH710" s="115"/>
      <c r="AI710" s="115"/>
      <c r="AJ710" s="115"/>
      <c r="AK710" s="115"/>
      <c r="AL710" s="115"/>
      <c r="AM710" s="115"/>
      <c r="AN710" s="115"/>
      <c r="AO710" s="115"/>
      <c r="AP710" s="115"/>
      <c r="AQ710" s="115"/>
      <c r="AR710" s="115"/>
      <c r="AS710" s="115"/>
      <c r="AT710" s="115"/>
      <c r="AU710" s="115"/>
      <c r="AV710" s="115"/>
    </row>
    <row r="711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  <c r="AA711" s="115"/>
      <c r="AB711" s="115"/>
      <c r="AC711" s="115"/>
      <c r="AD711" s="115"/>
      <c r="AE711" s="115"/>
      <c r="AF711" s="115"/>
      <c r="AG711" s="115"/>
      <c r="AH711" s="115"/>
      <c r="AI711" s="115"/>
      <c r="AJ711" s="115"/>
      <c r="AK711" s="115"/>
      <c r="AL711" s="115"/>
      <c r="AM711" s="115"/>
      <c r="AN711" s="115"/>
      <c r="AO711" s="115"/>
      <c r="AP711" s="115"/>
      <c r="AQ711" s="115"/>
      <c r="AR711" s="115"/>
      <c r="AS711" s="115"/>
      <c r="AT711" s="115"/>
      <c r="AU711" s="115"/>
      <c r="AV711" s="115"/>
    </row>
    <row r="712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  <c r="AA712" s="115"/>
      <c r="AB712" s="115"/>
      <c r="AC712" s="115"/>
      <c r="AD712" s="115"/>
      <c r="AE712" s="115"/>
      <c r="AF712" s="115"/>
      <c r="AG712" s="115"/>
      <c r="AH712" s="115"/>
      <c r="AI712" s="115"/>
      <c r="AJ712" s="115"/>
      <c r="AK712" s="115"/>
      <c r="AL712" s="115"/>
      <c r="AM712" s="115"/>
      <c r="AN712" s="115"/>
      <c r="AO712" s="115"/>
      <c r="AP712" s="115"/>
      <c r="AQ712" s="115"/>
      <c r="AR712" s="115"/>
      <c r="AS712" s="115"/>
      <c r="AT712" s="115"/>
      <c r="AU712" s="115"/>
      <c r="AV712" s="115"/>
    </row>
    <row r="713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  <c r="AA713" s="115"/>
      <c r="AB713" s="115"/>
      <c r="AC713" s="115"/>
      <c r="AD713" s="115"/>
      <c r="AE713" s="115"/>
      <c r="AF713" s="115"/>
      <c r="AG713" s="115"/>
      <c r="AH713" s="115"/>
      <c r="AI713" s="115"/>
      <c r="AJ713" s="115"/>
      <c r="AK713" s="115"/>
      <c r="AL713" s="115"/>
      <c r="AM713" s="115"/>
      <c r="AN713" s="115"/>
      <c r="AO713" s="115"/>
      <c r="AP713" s="115"/>
      <c r="AQ713" s="115"/>
      <c r="AR713" s="115"/>
      <c r="AS713" s="115"/>
      <c r="AT713" s="115"/>
      <c r="AU713" s="115"/>
      <c r="AV713" s="115"/>
    </row>
    <row r="714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  <c r="AA714" s="115"/>
      <c r="AB714" s="115"/>
      <c r="AC714" s="115"/>
      <c r="AD714" s="115"/>
      <c r="AE714" s="115"/>
      <c r="AF714" s="115"/>
      <c r="AG714" s="115"/>
      <c r="AH714" s="115"/>
      <c r="AI714" s="115"/>
      <c r="AJ714" s="115"/>
      <c r="AK714" s="115"/>
      <c r="AL714" s="115"/>
      <c r="AM714" s="115"/>
      <c r="AN714" s="115"/>
      <c r="AO714" s="115"/>
      <c r="AP714" s="115"/>
      <c r="AQ714" s="115"/>
      <c r="AR714" s="115"/>
      <c r="AS714" s="115"/>
      <c r="AT714" s="115"/>
      <c r="AU714" s="115"/>
      <c r="AV714" s="115"/>
    </row>
    <row r="715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  <c r="AA715" s="115"/>
      <c r="AB715" s="115"/>
      <c r="AC715" s="115"/>
      <c r="AD715" s="115"/>
      <c r="AE715" s="115"/>
      <c r="AF715" s="115"/>
      <c r="AG715" s="115"/>
      <c r="AH715" s="115"/>
      <c r="AI715" s="115"/>
      <c r="AJ715" s="115"/>
      <c r="AK715" s="115"/>
      <c r="AL715" s="115"/>
      <c r="AM715" s="115"/>
      <c r="AN715" s="115"/>
      <c r="AO715" s="115"/>
      <c r="AP715" s="115"/>
      <c r="AQ715" s="115"/>
      <c r="AR715" s="115"/>
      <c r="AS715" s="115"/>
      <c r="AT715" s="115"/>
      <c r="AU715" s="115"/>
      <c r="AV715" s="115"/>
    </row>
    <row r="716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  <c r="AA716" s="115"/>
      <c r="AB716" s="115"/>
      <c r="AC716" s="115"/>
      <c r="AD716" s="115"/>
      <c r="AE716" s="115"/>
      <c r="AF716" s="115"/>
      <c r="AG716" s="115"/>
      <c r="AH716" s="115"/>
      <c r="AI716" s="115"/>
      <c r="AJ716" s="115"/>
      <c r="AK716" s="115"/>
      <c r="AL716" s="115"/>
      <c r="AM716" s="115"/>
      <c r="AN716" s="115"/>
      <c r="AO716" s="115"/>
      <c r="AP716" s="115"/>
      <c r="AQ716" s="115"/>
      <c r="AR716" s="115"/>
      <c r="AS716" s="115"/>
      <c r="AT716" s="115"/>
      <c r="AU716" s="115"/>
      <c r="AV716" s="115"/>
    </row>
    <row r="717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  <c r="AA717" s="115"/>
      <c r="AB717" s="115"/>
      <c r="AC717" s="115"/>
      <c r="AD717" s="115"/>
      <c r="AE717" s="115"/>
      <c r="AF717" s="115"/>
      <c r="AG717" s="115"/>
      <c r="AH717" s="115"/>
      <c r="AI717" s="115"/>
      <c r="AJ717" s="115"/>
      <c r="AK717" s="115"/>
      <c r="AL717" s="115"/>
      <c r="AM717" s="115"/>
      <c r="AN717" s="115"/>
      <c r="AO717" s="115"/>
      <c r="AP717" s="115"/>
      <c r="AQ717" s="115"/>
      <c r="AR717" s="115"/>
      <c r="AS717" s="115"/>
      <c r="AT717" s="115"/>
      <c r="AU717" s="115"/>
      <c r="AV717" s="115"/>
    </row>
    <row r="718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  <c r="AA718" s="115"/>
      <c r="AB718" s="115"/>
      <c r="AC718" s="115"/>
      <c r="AD718" s="115"/>
      <c r="AE718" s="115"/>
      <c r="AF718" s="115"/>
      <c r="AG718" s="115"/>
      <c r="AH718" s="115"/>
      <c r="AI718" s="115"/>
      <c r="AJ718" s="115"/>
      <c r="AK718" s="115"/>
      <c r="AL718" s="115"/>
      <c r="AM718" s="115"/>
      <c r="AN718" s="115"/>
      <c r="AO718" s="115"/>
      <c r="AP718" s="115"/>
      <c r="AQ718" s="115"/>
      <c r="AR718" s="115"/>
      <c r="AS718" s="115"/>
      <c r="AT718" s="115"/>
      <c r="AU718" s="115"/>
      <c r="AV718" s="115"/>
    </row>
    <row r="719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  <c r="AA719" s="115"/>
      <c r="AB719" s="115"/>
      <c r="AC719" s="115"/>
      <c r="AD719" s="115"/>
      <c r="AE719" s="115"/>
      <c r="AF719" s="115"/>
      <c r="AG719" s="115"/>
      <c r="AH719" s="115"/>
      <c r="AI719" s="115"/>
      <c r="AJ719" s="115"/>
      <c r="AK719" s="115"/>
      <c r="AL719" s="115"/>
      <c r="AM719" s="115"/>
      <c r="AN719" s="115"/>
      <c r="AO719" s="115"/>
      <c r="AP719" s="115"/>
      <c r="AQ719" s="115"/>
      <c r="AR719" s="115"/>
      <c r="AS719" s="115"/>
      <c r="AT719" s="115"/>
      <c r="AU719" s="115"/>
      <c r="AV719" s="115"/>
    </row>
    <row r="720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  <c r="AA720" s="115"/>
      <c r="AB720" s="115"/>
      <c r="AC720" s="115"/>
      <c r="AD720" s="115"/>
      <c r="AE720" s="115"/>
      <c r="AF720" s="115"/>
      <c r="AG720" s="115"/>
      <c r="AH720" s="115"/>
      <c r="AI720" s="115"/>
      <c r="AJ720" s="115"/>
      <c r="AK720" s="115"/>
      <c r="AL720" s="115"/>
      <c r="AM720" s="115"/>
      <c r="AN720" s="115"/>
      <c r="AO720" s="115"/>
      <c r="AP720" s="115"/>
      <c r="AQ720" s="115"/>
      <c r="AR720" s="115"/>
      <c r="AS720" s="115"/>
      <c r="AT720" s="115"/>
      <c r="AU720" s="115"/>
      <c r="AV720" s="115"/>
    </row>
    <row r="721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  <c r="AA721" s="115"/>
      <c r="AB721" s="115"/>
      <c r="AC721" s="115"/>
      <c r="AD721" s="115"/>
      <c r="AE721" s="115"/>
      <c r="AF721" s="115"/>
      <c r="AG721" s="115"/>
      <c r="AH721" s="115"/>
      <c r="AI721" s="115"/>
      <c r="AJ721" s="115"/>
      <c r="AK721" s="115"/>
      <c r="AL721" s="115"/>
      <c r="AM721" s="115"/>
      <c r="AN721" s="115"/>
      <c r="AO721" s="115"/>
      <c r="AP721" s="115"/>
      <c r="AQ721" s="115"/>
      <c r="AR721" s="115"/>
      <c r="AS721" s="115"/>
      <c r="AT721" s="115"/>
      <c r="AU721" s="115"/>
      <c r="AV721" s="115"/>
    </row>
    <row r="722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  <c r="AA722" s="115"/>
      <c r="AB722" s="115"/>
      <c r="AC722" s="115"/>
      <c r="AD722" s="115"/>
      <c r="AE722" s="115"/>
      <c r="AF722" s="115"/>
      <c r="AG722" s="115"/>
      <c r="AH722" s="115"/>
      <c r="AI722" s="115"/>
      <c r="AJ722" s="115"/>
      <c r="AK722" s="115"/>
      <c r="AL722" s="115"/>
      <c r="AM722" s="115"/>
      <c r="AN722" s="115"/>
      <c r="AO722" s="115"/>
      <c r="AP722" s="115"/>
      <c r="AQ722" s="115"/>
      <c r="AR722" s="115"/>
      <c r="AS722" s="115"/>
      <c r="AT722" s="115"/>
      <c r="AU722" s="115"/>
      <c r="AV722" s="115"/>
    </row>
    <row r="723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  <c r="AA723" s="115"/>
      <c r="AB723" s="115"/>
      <c r="AC723" s="115"/>
      <c r="AD723" s="115"/>
      <c r="AE723" s="115"/>
      <c r="AF723" s="115"/>
      <c r="AG723" s="115"/>
      <c r="AH723" s="115"/>
      <c r="AI723" s="115"/>
      <c r="AJ723" s="115"/>
      <c r="AK723" s="115"/>
      <c r="AL723" s="115"/>
      <c r="AM723" s="115"/>
      <c r="AN723" s="115"/>
      <c r="AO723" s="115"/>
      <c r="AP723" s="115"/>
      <c r="AQ723" s="115"/>
      <c r="AR723" s="115"/>
      <c r="AS723" s="115"/>
      <c r="AT723" s="115"/>
      <c r="AU723" s="115"/>
      <c r="AV723" s="115"/>
    </row>
    <row r="724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  <c r="AA724" s="115"/>
      <c r="AB724" s="115"/>
      <c r="AC724" s="115"/>
      <c r="AD724" s="115"/>
      <c r="AE724" s="115"/>
      <c r="AF724" s="115"/>
      <c r="AG724" s="115"/>
      <c r="AH724" s="115"/>
      <c r="AI724" s="115"/>
      <c r="AJ724" s="115"/>
      <c r="AK724" s="115"/>
      <c r="AL724" s="115"/>
      <c r="AM724" s="115"/>
      <c r="AN724" s="115"/>
      <c r="AO724" s="115"/>
      <c r="AP724" s="115"/>
      <c r="AQ724" s="115"/>
      <c r="AR724" s="115"/>
      <c r="AS724" s="115"/>
      <c r="AT724" s="115"/>
      <c r="AU724" s="115"/>
      <c r="AV724" s="115"/>
    </row>
    <row r="725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  <c r="AA725" s="115"/>
      <c r="AB725" s="115"/>
      <c r="AC725" s="115"/>
      <c r="AD725" s="115"/>
      <c r="AE725" s="115"/>
      <c r="AF725" s="115"/>
      <c r="AG725" s="115"/>
      <c r="AH725" s="115"/>
      <c r="AI725" s="115"/>
      <c r="AJ725" s="115"/>
      <c r="AK725" s="115"/>
      <c r="AL725" s="115"/>
      <c r="AM725" s="115"/>
      <c r="AN725" s="115"/>
      <c r="AO725" s="115"/>
      <c r="AP725" s="115"/>
      <c r="AQ725" s="115"/>
      <c r="AR725" s="115"/>
      <c r="AS725" s="115"/>
      <c r="AT725" s="115"/>
      <c r="AU725" s="115"/>
      <c r="AV725" s="115"/>
    </row>
    <row r="726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  <c r="AA726" s="115"/>
      <c r="AB726" s="115"/>
      <c r="AC726" s="115"/>
      <c r="AD726" s="115"/>
      <c r="AE726" s="115"/>
      <c r="AF726" s="115"/>
      <c r="AG726" s="115"/>
      <c r="AH726" s="115"/>
      <c r="AI726" s="115"/>
      <c r="AJ726" s="115"/>
      <c r="AK726" s="115"/>
      <c r="AL726" s="115"/>
      <c r="AM726" s="115"/>
      <c r="AN726" s="115"/>
      <c r="AO726" s="115"/>
      <c r="AP726" s="115"/>
      <c r="AQ726" s="115"/>
      <c r="AR726" s="115"/>
      <c r="AS726" s="115"/>
      <c r="AT726" s="115"/>
      <c r="AU726" s="115"/>
      <c r="AV726" s="115"/>
    </row>
    <row r="727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  <c r="AA727" s="115"/>
      <c r="AB727" s="115"/>
      <c r="AC727" s="115"/>
      <c r="AD727" s="115"/>
      <c r="AE727" s="115"/>
      <c r="AF727" s="115"/>
      <c r="AG727" s="115"/>
      <c r="AH727" s="115"/>
      <c r="AI727" s="115"/>
      <c r="AJ727" s="115"/>
      <c r="AK727" s="115"/>
      <c r="AL727" s="115"/>
      <c r="AM727" s="115"/>
      <c r="AN727" s="115"/>
      <c r="AO727" s="115"/>
      <c r="AP727" s="115"/>
      <c r="AQ727" s="115"/>
      <c r="AR727" s="115"/>
      <c r="AS727" s="115"/>
      <c r="AT727" s="115"/>
      <c r="AU727" s="115"/>
      <c r="AV727" s="115"/>
    </row>
    <row r="728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  <c r="AA728" s="115"/>
      <c r="AB728" s="115"/>
      <c r="AC728" s="115"/>
      <c r="AD728" s="115"/>
      <c r="AE728" s="115"/>
      <c r="AF728" s="115"/>
      <c r="AG728" s="115"/>
      <c r="AH728" s="115"/>
      <c r="AI728" s="115"/>
      <c r="AJ728" s="115"/>
      <c r="AK728" s="115"/>
      <c r="AL728" s="115"/>
      <c r="AM728" s="115"/>
      <c r="AN728" s="115"/>
      <c r="AO728" s="115"/>
      <c r="AP728" s="115"/>
      <c r="AQ728" s="115"/>
      <c r="AR728" s="115"/>
      <c r="AS728" s="115"/>
      <c r="AT728" s="115"/>
      <c r="AU728" s="115"/>
      <c r="AV728" s="115"/>
    </row>
    <row r="729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  <c r="AA729" s="115"/>
      <c r="AB729" s="115"/>
      <c r="AC729" s="115"/>
      <c r="AD729" s="115"/>
      <c r="AE729" s="115"/>
      <c r="AF729" s="115"/>
      <c r="AG729" s="115"/>
      <c r="AH729" s="115"/>
      <c r="AI729" s="115"/>
      <c r="AJ729" s="115"/>
      <c r="AK729" s="115"/>
      <c r="AL729" s="115"/>
      <c r="AM729" s="115"/>
      <c r="AN729" s="115"/>
      <c r="AO729" s="115"/>
      <c r="AP729" s="115"/>
      <c r="AQ729" s="115"/>
      <c r="AR729" s="115"/>
      <c r="AS729" s="115"/>
      <c r="AT729" s="115"/>
      <c r="AU729" s="115"/>
      <c r="AV729" s="115"/>
    </row>
    <row r="730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  <c r="AA730" s="115"/>
      <c r="AB730" s="115"/>
      <c r="AC730" s="115"/>
      <c r="AD730" s="115"/>
      <c r="AE730" s="115"/>
      <c r="AF730" s="115"/>
      <c r="AG730" s="115"/>
      <c r="AH730" s="115"/>
      <c r="AI730" s="115"/>
      <c r="AJ730" s="115"/>
      <c r="AK730" s="115"/>
      <c r="AL730" s="115"/>
      <c r="AM730" s="115"/>
      <c r="AN730" s="115"/>
      <c r="AO730" s="115"/>
      <c r="AP730" s="115"/>
      <c r="AQ730" s="115"/>
      <c r="AR730" s="115"/>
      <c r="AS730" s="115"/>
      <c r="AT730" s="115"/>
      <c r="AU730" s="115"/>
      <c r="AV730" s="115"/>
    </row>
    <row r="731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  <c r="AA731" s="115"/>
      <c r="AB731" s="115"/>
      <c r="AC731" s="115"/>
      <c r="AD731" s="115"/>
      <c r="AE731" s="115"/>
      <c r="AF731" s="115"/>
      <c r="AG731" s="115"/>
      <c r="AH731" s="115"/>
      <c r="AI731" s="115"/>
      <c r="AJ731" s="115"/>
      <c r="AK731" s="115"/>
      <c r="AL731" s="115"/>
      <c r="AM731" s="115"/>
      <c r="AN731" s="115"/>
      <c r="AO731" s="115"/>
      <c r="AP731" s="115"/>
      <c r="AQ731" s="115"/>
      <c r="AR731" s="115"/>
      <c r="AS731" s="115"/>
      <c r="AT731" s="115"/>
      <c r="AU731" s="115"/>
      <c r="AV731" s="115"/>
    </row>
    <row r="732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  <c r="AA732" s="115"/>
      <c r="AB732" s="115"/>
      <c r="AC732" s="115"/>
      <c r="AD732" s="115"/>
      <c r="AE732" s="115"/>
      <c r="AF732" s="115"/>
      <c r="AG732" s="115"/>
      <c r="AH732" s="115"/>
      <c r="AI732" s="115"/>
      <c r="AJ732" s="115"/>
      <c r="AK732" s="115"/>
      <c r="AL732" s="115"/>
      <c r="AM732" s="115"/>
      <c r="AN732" s="115"/>
      <c r="AO732" s="115"/>
      <c r="AP732" s="115"/>
      <c r="AQ732" s="115"/>
      <c r="AR732" s="115"/>
      <c r="AS732" s="115"/>
      <c r="AT732" s="115"/>
      <c r="AU732" s="115"/>
      <c r="AV732" s="115"/>
    </row>
    <row r="733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  <c r="AA733" s="115"/>
      <c r="AB733" s="115"/>
      <c r="AC733" s="115"/>
      <c r="AD733" s="115"/>
      <c r="AE733" s="115"/>
      <c r="AF733" s="115"/>
      <c r="AG733" s="115"/>
      <c r="AH733" s="115"/>
      <c r="AI733" s="115"/>
      <c r="AJ733" s="115"/>
      <c r="AK733" s="115"/>
      <c r="AL733" s="115"/>
      <c r="AM733" s="115"/>
      <c r="AN733" s="115"/>
      <c r="AO733" s="115"/>
      <c r="AP733" s="115"/>
      <c r="AQ733" s="115"/>
      <c r="AR733" s="115"/>
      <c r="AS733" s="115"/>
      <c r="AT733" s="115"/>
      <c r="AU733" s="115"/>
      <c r="AV733" s="115"/>
    </row>
    <row r="734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  <c r="AA734" s="115"/>
      <c r="AB734" s="115"/>
      <c r="AC734" s="115"/>
      <c r="AD734" s="115"/>
      <c r="AE734" s="115"/>
      <c r="AF734" s="115"/>
      <c r="AG734" s="115"/>
      <c r="AH734" s="115"/>
      <c r="AI734" s="115"/>
      <c r="AJ734" s="115"/>
      <c r="AK734" s="115"/>
      <c r="AL734" s="115"/>
      <c r="AM734" s="115"/>
      <c r="AN734" s="115"/>
      <c r="AO734" s="115"/>
      <c r="AP734" s="115"/>
      <c r="AQ734" s="115"/>
      <c r="AR734" s="115"/>
      <c r="AS734" s="115"/>
      <c r="AT734" s="115"/>
      <c r="AU734" s="115"/>
      <c r="AV734" s="115"/>
    </row>
    <row r="735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  <c r="AA735" s="115"/>
      <c r="AB735" s="115"/>
      <c r="AC735" s="115"/>
      <c r="AD735" s="115"/>
      <c r="AE735" s="115"/>
      <c r="AF735" s="115"/>
      <c r="AG735" s="115"/>
      <c r="AH735" s="115"/>
      <c r="AI735" s="115"/>
      <c r="AJ735" s="115"/>
      <c r="AK735" s="115"/>
      <c r="AL735" s="115"/>
      <c r="AM735" s="115"/>
      <c r="AN735" s="115"/>
      <c r="AO735" s="115"/>
      <c r="AP735" s="115"/>
      <c r="AQ735" s="115"/>
      <c r="AR735" s="115"/>
      <c r="AS735" s="115"/>
      <c r="AT735" s="115"/>
      <c r="AU735" s="115"/>
      <c r="AV735" s="115"/>
    </row>
    <row r="736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  <c r="AA736" s="115"/>
      <c r="AB736" s="115"/>
      <c r="AC736" s="115"/>
      <c r="AD736" s="115"/>
      <c r="AE736" s="115"/>
      <c r="AF736" s="115"/>
      <c r="AG736" s="115"/>
      <c r="AH736" s="115"/>
      <c r="AI736" s="115"/>
      <c r="AJ736" s="115"/>
      <c r="AK736" s="115"/>
      <c r="AL736" s="115"/>
      <c r="AM736" s="115"/>
      <c r="AN736" s="115"/>
      <c r="AO736" s="115"/>
      <c r="AP736" s="115"/>
      <c r="AQ736" s="115"/>
      <c r="AR736" s="115"/>
      <c r="AS736" s="115"/>
      <c r="AT736" s="115"/>
      <c r="AU736" s="115"/>
      <c r="AV736" s="115"/>
    </row>
    <row r="737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  <c r="AA737" s="115"/>
      <c r="AB737" s="115"/>
      <c r="AC737" s="115"/>
      <c r="AD737" s="115"/>
      <c r="AE737" s="115"/>
      <c r="AF737" s="115"/>
      <c r="AG737" s="115"/>
      <c r="AH737" s="115"/>
      <c r="AI737" s="115"/>
      <c r="AJ737" s="115"/>
      <c r="AK737" s="115"/>
      <c r="AL737" s="115"/>
      <c r="AM737" s="115"/>
      <c r="AN737" s="115"/>
      <c r="AO737" s="115"/>
      <c r="AP737" s="115"/>
      <c r="AQ737" s="115"/>
      <c r="AR737" s="115"/>
      <c r="AS737" s="115"/>
      <c r="AT737" s="115"/>
      <c r="AU737" s="115"/>
      <c r="AV737" s="115"/>
    </row>
    <row r="738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  <c r="AA738" s="115"/>
      <c r="AB738" s="115"/>
      <c r="AC738" s="115"/>
      <c r="AD738" s="115"/>
      <c r="AE738" s="115"/>
      <c r="AF738" s="115"/>
      <c r="AG738" s="115"/>
      <c r="AH738" s="115"/>
      <c r="AI738" s="115"/>
      <c r="AJ738" s="115"/>
      <c r="AK738" s="115"/>
      <c r="AL738" s="115"/>
      <c r="AM738" s="115"/>
      <c r="AN738" s="115"/>
      <c r="AO738" s="115"/>
      <c r="AP738" s="115"/>
      <c r="AQ738" s="115"/>
      <c r="AR738" s="115"/>
      <c r="AS738" s="115"/>
      <c r="AT738" s="115"/>
      <c r="AU738" s="115"/>
      <c r="AV738" s="115"/>
    </row>
    <row r="739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  <c r="AA739" s="115"/>
      <c r="AB739" s="115"/>
      <c r="AC739" s="115"/>
      <c r="AD739" s="115"/>
      <c r="AE739" s="115"/>
      <c r="AF739" s="115"/>
      <c r="AG739" s="115"/>
      <c r="AH739" s="115"/>
      <c r="AI739" s="115"/>
      <c r="AJ739" s="115"/>
      <c r="AK739" s="115"/>
      <c r="AL739" s="115"/>
      <c r="AM739" s="115"/>
      <c r="AN739" s="115"/>
      <c r="AO739" s="115"/>
      <c r="AP739" s="115"/>
      <c r="AQ739" s="115"/>
      <c r="AR739" s="115"/>
      <c r="AS739" s="115"/>
      <c r="AT739" s="115"/>
      <c r="AU739" s="115"/>
      <c r="AV739" s="115"/>
    </row>
    <row r="740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  <c r="AA740" s="115"/>
      <c r="AB740" s="115"/>
      <c r="AC740" s="115"/>
      <c r="AD740" s="115"/>
      <c r="AE740" s="115"/>
      <c r="AF740" s="115"/>
      <c r="AG740" s="115"/>
      <c r="AH740" s="115"/>
      <c r="AI740" s="115"/>
      <c r="AJ740" s="115"/>
      <c r="AK740" s="115"/>
      <c r="AL740" s="115"/>
      <c r="AM740" s="115"/>
      <c r="AN740" s="115"/>
      <c r="AO740" s="115"/>
      <c r="AP740" s="115"/>
      <c r="AQ740" s="115"/>
      <c r="AR740" s="115"/>
      <c r="AS740" s="115"/>
      <c r="AT740" s="115"/>
      <c r="AU740" s="115"/>
      <c r="AV740" s="115"/>
    </row>
    <row r="741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  <c r="AA741" s="115"/>
      <c r="AB741" s="115"/>
      <c r="AC741" s="115"/>
      <c r="AD741" s="115"/>
      <c r="AE741" s="115"/>
      <c r="AF741" s="115"/>
      <c r="AG741" s="115"/>
      <c r="AH741" s="115"/>
      <c r="AI741" s="115"/>
      <c r="AJ741" s="115"/>
      <c r="AK741" s="115"/>
      <c r="AL741" s="115"/>
      <c r="AM741" s="115"/>
      <c r="AN741" s="115"/>
      <c r="AO741" s="115"/>
      <c r="AP741" s="115"/>
      <c r="AQ741" s="115"/>
      <c r="AR741" s="115"/>
      <c r="AS741" s="115"/>
      <c r="AT741" s="115"/>
      <c r="AU741" s="115"/>
      <c r="AV741" s="115"/>
    </row>
    <row r="742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  <c r="AA742" s="115"/>
      <c r="AB742" s="115"/>
      <c r="AC742" s="115"/>
      <c r="AD742" s="115"/>
      <c r="AE742" s="115"/>
      <c r="AF742" s="115"/>
      <c r="AG742" s="115"/>
      <c r="AH742" s="115"/>
      <c r="AI742" s="115"/>
      <c r="AJ742" s="115"/>
      <c r="AK742" s="115"/>
      <c r="AL742" s="115"/>
      <c r="AM742" s="115"/>
      <c r="AN742" s="115"/>
      <c r="AO742" s="115"/>
      <c r="AP742" s="115"/>
      <c r="AQ742" s="115"/>
      <c r="AR742" s="115"/>
      <c r="AS742" s="115"/>
      <c r="AT742" s="115"/>
      <c r="AU742" s="115"/>
      <c r="AV742" s="115"/>
    </row>
    <row r="743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  <c r="AA743" s="115"/>
      <c r="AB743" s="115"/>
      <c r="AC743" s="115"/>
      <c r="AD743" s="115"/>
      <c r="AE743" s="115"/>
      <c r="AF743" s="115"/>
      <c r="AG743" s="115"/>
      <c r="AH743" s="115"/>
      <c r="AI743" s="115"/>
      <c r="AJ743" s="115"/>
      <c r="AK743" s="115"/>
      <c r="AL743" s="115"/>
      <c r="AM743" s="115"/>
      <c r="AN743" s="115"/>
      <c r="AO743" s="115"/>
      <c r="AP743" s="115"/>
      <c r="AQ743" s="115"/>
      <c r="AR743" s="115"/>
      <c r="AS743" s="115"/>
      <c r="AT743" s="115"/>
      <c r="AU743" s="115"/>
      <c r="AV743" s="115"/>
    </row>
    <row r="744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  <c r="AA744" s="115"/>
      <c r="AB744" s="115"/>
      <c r="AC744" s="115"/>
      <c r="AD744" s="115"/>
      <c r="AE744" s="115"/>
      <c r="AF744" s="115"/>
      <c r="AG744" s="115"/>
      <c r="AH744" s="115"/>
      <c r="AI744" s="115"/>
      <c r="AJ744" s="115"/>
      <c r="AK744" s="115"/>
      <c r="AL744" s="115"/>
      <c r="AM744" s="115"/>
      <c r="AN744" s="115"/>
      <c r="AO744" s="115"/>
      <c r="AP744" s="115"/>
      <c r="AQ744" s="115"/>
      <c r="AR744" s="115"/>
      <c r="AS744" s="115"/>
      <c r="AT744" s="115"/>
      <c r="AU744" s="115"/>
      <c r="AV744" s="115"/>
    </row>
    <row r="745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  <c r="AA745" s="115"/>
      <c r="AB745" s="115"/>
      <c r="AC745" s="115"/>
      <c r="AD745" s="115"/>
      <c r="AE745" s="115"/>
      <c r="AF745" s="115"/>
      <c r="AG745" s="115"/>
      <c r="AH745" s="115"/>
      <c r="AI745" s="115"/>
      <c r="AJ745" s="115"/>
      <c r="AK745" s="115"/>
      <c r="AL745" s="115"/>
      <c r="AM745" s="115"/>
      <c r="AN745" s="115"/>
      <c r="AO745" s="115"/>
      <c r="AP745" s="115"/>
      <c r="AQ745" s="115"/>
      <c r="AR745" s="115"/>
      <c r="AS745" s="115"/>
      <c r="AT745" s="115"/>
      <c r="AU745" s="115"/>
      <c r="AV745" s="115"/>
    </row>
    <row r="746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  <c r="AA746" s="115"/>
      <c r="AB746" s="115"/>
      <c r="AC746" s="115"/>
      <c r="AD746" s="115"/>
      <c r="AE746" s="115"/>
      <c r="AF746" s="115"/>
      <c r="AG746" s="115"/>
      <c r="AH746" s="115"/>
      <c r="AI746" s="115"/>
      <c r="AJ746" s="115"/>
      <c r="AK746" s="115"/>
      <c r="AL746" s="115"/>
      <c r="AM746" s="115"/>
      <c r="AN746" s="115"/>
      <c r="AO746" s="115"/>
      <c r="AP746" s="115"/>
      <c r="AQ746" s="115"/>
      <c r="AR746" s="115"/>
      <c r="AS746" s="115"/>
      <c r="AT746" s="115"/>
      <c r="AU746" s="115"/>
      <c r="AV746" s="115"/>
    </row>
    <row r="747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  <c r="AA747" s="115"/>
      <c r="AB747" s="115"/>
      <c r="AC747" s="115"/>
      <c r="AD747" s="115"/>
      <c r="AE747" s="115"/>
      <c r="AF747" s="115"/>
      <c r="AG747" s="115"/>
      <c r="AH747" s="115"/>
      <c r="AI747" s="115"/>
      <c r="AJ747" s="115"/>
      <c r="AK747" s="115"/>
      <c r="AL747" s="115"/>
      <c r="AM747" s="115"/>
      <c r="AN747" s="115"/>
      <c r="AO747" s="115"/>
      <c r="AP747" s="115"/>
      <c r="AQ747" s="115"/>
      <c r="AR747" s="115"/>
      <c r="AS747" s="115"/>
      <c r="AT747" s="115"/>
      <c r="AU747" s="115"/>
      <c r="AV747" s="115"/>
    </row>
    <row r="748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  <c r="AA748" s="115"/>
      <c r="AB748" s="115"/>
      <c r="AC748" s="115"/>
      <c r="AD748" s="115"/>
      <c r="AE748" s="115"/>
      <c r="AF748" s="115"/>
      <c r="AG748" s="115"/>
      <c r="AH748" s="115"/>
      <c r="AI748" s="115"/>
      <c r="AJ748" s="115"/>
      <c r="AK748" s="115"/>
      <c r="AL748" s="115"/>
      <c r="AM748" s="115"/>
      <c r="AN748" s="115"/>
      <c r="AO748" s="115"/>
      <c r="AP748" s="115"/>
      <c r="AQ748" s="115"/>
      <c r="AR748" s="115"/>
      <c r="AS748" s="115"/>
      <c r="AT748" s="115"/>
      <c r="AU748" s="115"/>
      <c r="AV748" s="115"/>
    </row>
    <row r="749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  <c r="AA749" s="115"/>
      <c r="AB749" s="115"/>
      <c r="AC749" s="115"/>
      <c r="AD749" s="115"/>
      <c r="AE749" s="115"/>
      <c r="AF749" s="115"/>
      <c r="AG749" s="115"/>
      <c r="AH749" s="115"/>
      <c r="AI749" s="115"/>
      <c r="AJ749" s="115"/>
      <c r="AK749" s="115"/>
      <c r="AL749" s="115"/>
      <c r="AM749" s="115"/>
      <c r="AN749" s="115"/>
      <c r="AO749" s="115"/>
      <c r="AP749" s="115"/>
      <c r="AQ749" s="115"/>
      <c r="AR749" s="115"/>
      <c r="AS749" s="115"/>
      <c r="AT749" s="115"/>
      <c r="AU749" s="115"/>
      <c r="AV749" s="115"/>
    </row>
    <row r="750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  <c r="AA750" s="115"/>
      <c r="AB750" s="115"/>
      <c r="AC750" s="115"/>
      <c r="AD750" s="115"/>
      <c r="AE750" s="115"/>
      <c r="AF750" s="115"/>
      <c r="AG750" s="115"/>
      <c r="AH750" s="115"/>
      <c r="AI750" s="115"/>
      <c r="AJ750" s="115"/>
      <c r="AK750" s="115"/>
      <c r="AL750" s="115"/>
      <c r="AM750" s="115"/>
      <c r="AN750" s="115"/>
      <c r="AO750" s="115"/>
      <c r="AP750" s="115"/>
      <c r="AQ750" s="115"/>
      <c r="AR750" s="115"/>
      <c r="AS750" s="115"/>
      <c r="AT750" s="115"/>
      <c r="AU750" s="115"/>
      <c r="AV750" s="115"/>
    </row>
    <row r="751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  <c r="AA751" s="115"/>
      <c r="AB751" s="115"/>
      <c r="AC751" s="115"/>
      <c r="AD751" s="115"/>
      <c r="AE751" s="115"/>
      <c r="AF751" s="115"/>
      <c r="AG751" s="115"/>
      <c r="AH751" s="115"/>
      <c r="AI751" s="115"/>
      <c r="AJ751" s="115"/>
      <c r="AK751" s="115"/>
      <c r="AL751" s="115"/>
      <c r="AM751" s="115"/>
      <c r="AN751" s="115"/>
      <c r="AO751" s="115"/>
      <c r="AP751" s="115"/>
      <c r="AQ751" s="115"/>
      <c r="AR751" s="115"/>
      <c r="AS751" s="115"/>
      <c r="AT751" s="115"/>
      <c r="AU751" s="115"/>
      <c r="AV751" s="115"/>
    </row>
    <row r="752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  <c r="AA752" s="115"/>
      <c r="AB752" s="115"/>
      <c r="AC752" s="115"/>
      <c r="AD752" s="115"/>
      <c r="AE752" s="115"/>
      <c r="AF752" s="115"/>
      <c r="AG752" s="115"/>
      <c r="AH752" s="115"/>
      <c r="AI752" s="115"/>
      <c r="AJ752" s="115"/>
      <c r="AK752" s="115"/>
      <c r="AL752" s="115"/>
      <c r="AM752" s="115"/>
      <c r="AN752" s="115"/>
      <c r="AO752" s="115"/>
      <c r="AP752" s="115"/>
      <c r="AQ752" s="115"/>
      <c r="AR752" s="115"/>
      <c r="AS752" s="115"/>
      <c r="AT752" s="115"/>
      <c r="AU752" s="115"/>
      <c r="AV752" s="115"/>
    </row>
    <row r="753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  <c r="AA753" s="115"/>
      <c r="AB753" s="115"/>
      <c r="AC753" s="115"/>
      <c r="AD753" s="115"/>
      <c r="AE753" s="115"/>
      <c r="AF753" s="115"/>
      <c r="AG753" s="115"/>
      <c r="AH753" s="115"/>
      <c r="AI753" s="115"/>
      <c r="AJ753" s="115"/>
      <c r="AK753" s="115"/>
      <c r="AL753" s="115"/>
      <c r="AM753" s="115"/>
      <c r="AN753" s="115"/>
      <c r="AO753" s="115"/>
      <c r="AP753" s="115"/>
      <c r="AQ753" s="115"/>
      <c r="AR753" s="115"/>
      <c r="AS753" s="115"/>
      <c r="AT753" s="115"/>
      <c r="AU753" s="115"/>
      <c r="AV753" s="115"/>
    </row>
    <row r="754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  <c r="AA754" s="115"/>
      <c r="AB754" s="115"/>
      <c r="AC754" s="115"/>
      <c r="AD754" s="115"/>
      <c r="AE754" s="115"/>
      <c r="AF754" s="115"/>
      <c r="AG754" s="115"/>
      <c r="AH754" s="115"/>
      <c r="AI754" s="115"/>
      <c r="AJ754" s="115"/>
      <c r="AK754" s="115"/>
      <c r="AL754" s="115"/>
      <c r="AM754" s="115"/>
      <c r="AN754" s="115"/>
      <c r="AO754" s="115"/>
      <c r="AP754" s="115"/>
      <c r="AQ754" s="115"/>
      <c r="AR754" s="115"/>
      <c r="AS754" s="115"/>
      <c r="AT754" s="115"/>
      <c r="AU754" s="115"/>
      <c r="AV754" s="115"/>
    </row>
    <row r="755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  <c r="AA755" s="115"/>
      <c r="AB755" s="115"/>
      <c r="AC755" s="115"/>
      <c r="AD755" s="115"/>
      <c r="AE755" s="115"/>
      <c r="AF755" s="115"/>
      <c r="AG755" s="115"/>
      <c r="AH755" s="115"/>
      <c r="AI755" s="115"/>
      <c r="AJ755" s="115"/>
      <c r="AK755" s="115"/>
      <c r="AL755" s="115"/>
      <c r="AM755" s="115"/>
      <c r="AN755" s="115"/>
      <c r="AO755" s="115"/>
      <c r="AP755" s="115"/>
      <c r="AQ755" s="115"/>
      <c r="AR755" s="115"/>
      <c r="AS755" s="115"/>
      <c r="AT755" s="115"/>
      <c r="AU755" s="115"/>
      <c r="AV755" s="115"/>
    </row>
    <row r="756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  <c r="AA756" s="115"/>
      <c r="AB756" s="115"/>
      <c r="AC756" s="115"/>
      <c r="AD756" s="115"/>
      <c r="AE756" s="115"/>
      <c r="AF756" s="115"/>
      <c r="AG756" s="115"/>
      <c r="AH756" s="115"/>
      <c r="AI756" s="115"/>
      <c r="AJ756" s="115"/>
      <c r="AK756" s="115"/>
      <c r="AL756" s="115"/>
      <c r="AM756" s="115"/>
      <c r="AN756" s="115"/>
      <c r="AO756" s="115"/>
      <c r="AP756" s="115"/>
      <c r="AQ756" s="115"/>
      <c r="AR756" s="115"/>
      <c r="AS756" s="115"/>
      <c r="AT756" s="115"/>
      <c r="AU756" s="115"/>
      <c r="AV756" s="115"/>
    </row>
    <row r="757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  <c r="AA757" s="115"/>
      <c r="AB757" s="115"/>
      <c r="AC757" s="115"/>
      <c r="AD757" s="115"/>
      <c r="AE757" s="115"/>
      <c r="AF757" s="115"/>
      <c r="AG757" s="115"/>
      <c r="AH757" s="115"/>
      <c r="AI757" s="115"/>
      <c r="AJ757" s="115"/>
      <c r="AK757" s="115"/>
      <c r="AL757" s="115"/>
      <c r="AM757" s="115"/>
      <c r="AN757" s="115"/>
      <c r="AO757" s="115"/>
      <c r="AP757" s="115"/>
      <c r="AQ757" s="115"/>
      <c r="AR757" s="115"/>
      <c r="AS757" s="115"/>
      <c r="AT757" s="115"/>
      <c r="AU757" s="115"/>
      <c r="AV757" s="115"/>
    </row>
    <row r="758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  <c r="AA758" s="115"/>
      <c r="AB758" s="115"/>
      <c r="AC758" s="115"/>
      <c r="AD758" s="115"/>
      <c r="AE758" s="115"/>
      <c r="AF758" s="115"/>
      <c r="AG758" s="115"/>
      <c r="AH758" s="115"/>
      <c r="AI758" s="115"/>
      <c r="AJ758" s="115"/>
      <c r="AK758" s="115"/>
      <c r="AL758" s="115"/>
      <c r="AM758" s="115"/>
      <c r="AN758" s="115"/>
      <c r="AO758" s="115"/>
      <c r="AP758" s="115"/>
      <c r="AQ758" s="115"/>
      <c r="AR758" s="115"/>
      <c r="AS758" s="115"/>
      <c r="AT758" s="115"/>
      <c r="AU758" s="115"/>
      <c r="AV758" s="115"/>
    </row>
    <row r="759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  <c r="AA759" s="115"/>
      <c r="AB759" s="115"/>
      <c r="AC759" s="115"/>
      <c r="AD759" s="115"/>
      <c r="AE759" s="115"/>
      <c r="AF759" s="115"/>
      <c r="AG759" s="115"/>
      <c r="AH759" s="115"/>
      <c r="AI759" s="115"/>
      <c r="AJ759" s="115"/>
      <c r="AK759" s="115"/>
      <c r="AL759" s="115"/>
      <c r="AM759" s="115"/>
      <c r="AN759" s="115"/>
      <c r="AO759" s="115"/>
      <c r="AP759" s="115"/>
      <c r="AQ759" s="115"/>
      <c r="AR759" s="115"/>
      <c r="AS759" s="115"/>
      <c r="AT759" s="115"/>
      <c r="AU759" s="115"/>
      <c r="AV759" s="115"/>
    </row>
    <row r="760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  <c r="AA760" s="115"/>
      <c r="AB760" s="115"/>
      <c r="AC760" s="115"/>
      <c r="AD760" s="115"/>
      <c r="AE760" s="115"/>
      <c r="AF760" s="115"/>
      <c r="AG760" s="115"/>
      <c r="AH760" s="115"/>
      <c r="AI760" s="115"/>
      <c r="AJ760" s="115"/>
      <c r="AK760" s="115"/>
      <c r="AL760" s="115"/>
      <c r="AM760" s="115"/>
      <c r="AN760" s="115"/>
      <c r="AO760" s="115"/>
      <c r="AP760" s="115"/>
      <c r="AQ760" s="115"/>
      <c r="AR760" s="115"/>
      <c r="AS760" s="115"/>
      <c r="AT760" s="115"/>
      <c r="AU760" s="115"/>
      <c r="AV760" s="115"/>
    </row>
    <row r="761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  <c r="AA761" s="115"/>
      <c r="AB761" s="115"/>
      <c r="AC761" s="115"/>
      <c r="AD761" s="115"/>
      <c r="AE761" s="115"/>
      <c r="AF761" s="115"/>
      <c r="AG761" s="115"/>
      <c r="AH761" s="115"/>
      <c r="AI761" s="115"/>
      <c r="AJ761" s="115"/>
      <c r="AK761" s="115"/>
      <c r="AL761" s="115"/>
      <c r="AM761" s="115"/>
      <c r="AN761" s="115"/>
      <c r="AO761" s="115"/>
      <c r="AP761" s="115"/>
      <c r="AQ761" s="115"/>
      <c r="AR761" s="115"/>
      <c r="AS761" s="115"/>
      <c r="AT761" s="115"/>
      <c r="AU761" s="115"/>
      <c r="AV761" s="115"/>
    </row>
    <row r="762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  <c r="AA762" s="115"/>
      <c r="AB762" s="115"/>
      <c r="AC762" s="115"/>
      <c r="AD762" s="115"/>
      <c r="AE762" s="115"/>
      <c r="AF762" s="115"/>
      <c r="AG762" s="115"/>
      <c r="AH762" s="115"/>
      <c r="AI762" s="115"/>
      <c r="AJ762" s="115"/>
      <c r="AK762" s="115"/>
      <c r="AL762" s="115"/>
      <c r="AM762" s="115"/>
      <c r="AN762" s="115"/>
      <c r="AO762" s="115"/>
      <c r="AP762" s="115"/>
      <c r="AQ762" s="115"/>
      <c r="AR762" s="115"/>
      <c r="AS762" s="115"/>
      <c r="AT762" s="115"/>
      <c r="AU762" s="115"/>
      <c r="AV762" s="115"/>
    </row>
    <row r="763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  <c r="AA763" s="115"/>
      <c r="AB763" s="115"/>
      <c r="AC763" s="115"/>
      <c r="AD763" s="115"/>
      <c r="AE763" s="115"/>
      <c r="AF763" s="115"/>
      <c r="AG763" s="115"/>
      <c r="AH763" s="115"/>
      <c r="AI763" s="115"/>
      <c r="AJ763" s="115"/>
      <c r="AK763" s="115"/>
      <c r="AL763" s="115"/>
      <c r="AM763" s="115"/>
      <c r="AN763" s="115"/>
      <c r="AO763" s="115"/>
      <c r="AP763" s="115"/>
      <c r="AQ763" s="115"/>
      <c r="AR763" s="115"/>
      <c r="AS763" s="115"/>
      <c r="AT763" s="115"/>
      <c r="AU763" s="115"/>
      <c r="AV763" s="115"/>
    </row>
    <row r="764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  <c r="AA764" s="115"/>
      <c r="AB764" s="115"/>
      <c r="AC764" s="115"/>
      <c r="AD764" s="115"/>
      <c r="AE764" s="115"/>
      <c r="AF764" s="115"/>
      <c r="AG764" s="115"/>
      <c r="AH764" s="115"/>
      <c r="AI764" s="115"/>
      <c r="AJ764" s="115"/>
      <c r="AK764" s="115"/>
      <c r="AL764" s="115"/>
      <c r="AM764" s="115"/>
      <c r="AN764" s="115"/>
      <c r="AO764" s="115"/>
      <c r="AP764" s="115"/>
      <c r="AQ764" s="115"/>
      <c r="AR764" s="115"/>
      <c r="AS764" s="115"/>
      <c r="AT764" s="115"/>
      <c r="AU764" s="115"/>
      <c r="AV764" s="115"/>
    </row>
    <row r="765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  <c r="AA765" s="115"/>
      <c r="AB765" s="115"/>
      <c r="AC765" s="115"/>
      <c r="AD765" s="115"/>
      <c r="AE765" s="115"/>
      <c r="AF765" s="115"/>
      <c r="AG765" s="115"/>
      <c r="AH765" s="115"/>
      <c r="AI765" s="115"/>
      <c r="AJ765" s="115"/>
      <c r="AK765" s="115"/>
      <c r="AL765" s="115"/>
      <c r="AM765" s="115"/>
      <c r="AN765" s="115"/>
      <c r="AO765" s="115"/>
      <c r="AP765" s="115"/>
      <c r="AQ765" s="115"/>
      <c r="AR765" s="115"/>
      <c r="AS765" s="115"/>
      <c r="AT765" s="115"/>
      <c r="AU765" s="115"/>
      <c r="AV765" s="115"/>
    </row>
    <row r="766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  <c r="AA766" s="115"/>
      <c r="AB766" s="115"/>
      <c r="AC766" s="115"/>
      <c r="AD766" s="115"/>
      <c r="AE766" s="115"/>
      <c r="AF766" s="115"/>
      <c r="AG766" s="115"/>
      <c r="AH766" s="115"/>
      <c r="AI766" s="115"/>
      <c r="AJ766" s="115"/>
      <c r="AK766" s="115"/>
      <c r="AL766" s="115"/>
      <c r="AM766" s="115"/>
      <c r="AN766" s="115"/>
      <c r="AO766" s="115"/>
      <c r="AP766" s="115"/>
      <c r="AQ766" s="115"/>
      <c r="AR766" s="115"/>
      <c r="AS766" s="115"/>
      <c r="AT766" s="115"/>
      <c r="AU766" s="115"/>
      <c r="AV766" s="115"/>
    </row>
    <row r="767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  <c r="AA767" s="115"/>
      <c r="AB767" s="115"/>
      <c r="AC767" s="115"/>
      <c r="AD767" s="115"/>
      <c r="AE767" s="115"/>
      <c r="AF767" s="115"/>
      <c r="AG767" s="115"/>
      <c r="AH767" s="115"/>
      <c r="AI767" s="115"/>
      <c r="AJ767" s="115"/>
      <c r="AK767" s="115"/>
      <c r="AL767" s="115"/>
      <c r="AM767" s="115"/>
      <c r="AN767" s="115"/>
      <c r="AO767" s="115"/>
      <c r="AP767" s="115"/>
      <c r="AQ767" s="115"/>
      <c r="AR767" s="115"/>
      <c r="AS767" s="115"/>
      <c r="AT767" s="115"/>
      <c r="AU767" s="115"/>
      <c r="AV767" s="115"/>
    </row>
    <row r="768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  <c r="AA768" s="115"/>
      <c r="AB768" s="115"/>
      <c r="AC768" s="115"/>
      <c r="AD768" s="115"/>
      <c r="AE768" s="115"/>
      <c r="AF768" s="115"/>
      <c r="AG768" s="115"/>
      <c r="AH768" s="115"/>
      <c r="AI768" s="115"/>
      <c r="AJ768" s="115"/>
      <c r="AK768" s="115"/>
      <c r="AL768" s="115"/>
      <c r="AM768" s="115"/>
      <c r="AN768" s="115"/>
      <c r="AO768" s="115"/>
      <c r="AP768" s="115"/>
      <c r="AQ768" s="115"/>
      <c r="AR768" s="115"/>
      <c r="AS768" s="115"/>
      <c r="AT768" s="115"/>
      <c r="AU768" s="115"/>
      <c r="AV768" s="115"/>
    </row>
    <row r="769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  <c r="AA769" s="115"/>
      <c r="AB769" s="115"/>
      <c r="AC769" s="115"/>
      <c r="AD769" s="115"/>
      <c r="AE769" s="115"/>
      <c r="AF769" s="115"/>
      <c r="AG769" s="115"/>
      <c r="AH769" s="115"/>
      <c r="AI769" s="115"/>
      <c r="AJ769" s="115"/>
      <c r="AK769" s="115"/>
      <c r="AL769" s="115"/>
      <c r="AM769" s="115"/>
      <c r="AN769" s="115"/>
      <c r="AO769" s="115"/>
      <c r="AP769" s="115"/>
      <c r="AQ769" s="115"/>
      <c r="AR769" s="115"/>
      <c r="AS769" s="115"/>
      <c r="AT769" s="115"/>
      <c r="AU769" s="115"/>
      <c r="AV769" s="115"/>
    </row>
    <row r="770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  <c r="AA770" s="115"/>
      <c r="AB770" s="115"/>
      <c r="AC770" s="115"/>
      <c r="AD770" s="115"/>
      <c r="AE770" s="115"/>
      <c r="AF770" s="115"/>
      <c r="AG770" s="115"/>
      <c r="AH770" s="115"/>
      <c r="AI770" s="115"/>
      <c r="AJ770" s="115"/>
      <c r="AK770" s="115"/>
      <c r="AL770" s="115"/>
      <c r="AM770" s="115"/>
      <c r="AN770" s="115"/>
      <c r="AO770" s="115"/>
      <c r="AP770" s="115"/>
      <c r="AQ770" s="115"/>
      <c r="AR770" s="115"/>
      <c r="AS770" s="115"/>
      <c r="AT770" s="115"/>
      <c r="AU770" s="115"/>
      <c r="AV770" s="115"/>
    </row>
    <row r="771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  <c r="AA771" s="115"/>
      <c r="AB771" s="115"/>
      <c r="AC771" s="115"/>
      <c r="AD771" s="115"/>
      <c r="AE771" s="115"/>
      <c r="AF771" s="115"/>
      <c r="AG771" s="115"/>
      <c r="AH771" s="115"/>
      <c r="AI771" s="115"/>
      <c r="AJ771" s="115"/>
      <c r="AK771" s="115"/>
      <c r="AL771" s="115"/>
      <c r="AM771" s="115"/>
      <c r="AN771" s="115"/>
      <c r="AO771" s="115"/>
      <c r="AP771" s="115"/>
      <c r="AQ771" s="115"/>
      <c r="AR771" s="115"/>
      <c r="AS771" s="115"/>
      <c r="AT771" s="115"/>
      <c r="AU771" s="115"/>
      <c r="AV771" s="115"/>
    </row>
    <row r="772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  <c r="AA772" s="115"/>
      <c r="AB772" s="115"/>
      <c r="AC772" s="115"/>
      <c r="AD772" s="115"/>
      <c r="AE772" s="115"/>
      <c r="AF772" s="115"/>
      <c r="AG772" s="115"/>
      <c r="AH772" s="115"/>
      <c r="AI772" s="115"/>
      <c r="AJ772" s="115"/>
      <c r="AK772" s="115"/>
      <c r="AL772" s="115"/>
      <c r="AM772" s="115"/>
      <c r="AN772" s="115"/>
      <c r="AO772" s="115"/>
      <c r="AP772" s="115"/>
      <c r="AQ772" s="115"/>
      <c r="AR772" s="115"/>
      <c r="AS772" s="115"/>
      <c r="AT772" s="115"/>
      <c r="AU772" s="115"/>
      <c r="AV772" s="115"/>
    </row>
    <row r="773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  <c r="AA773" s="115"/>
      <c r="AB773" s="115"/>
      <c r="AC773" s="115"/>
      <c r="AD773" s="115"/>
      <c r="AE773" s="115"/>
      <c r="AF773" s="115"/>
      <c r="AG773" s="115"/>
      <c r="AH773" s="115"/>
      <c r="AI773" s="115"/>
      <c r="AJ773" s="115"/>
      <c r="AK773" s="115"/>
      <c r="AL773" s="115"/>
      <c r="AM773" s="115"/>
      <c r="AN773" s="115"/>
      <c r="AO773" s="115"/>
      <c r="AP773" s="115"/>
      <c r="AQ773" s="115"/>
      <c r="AR773" s="115"/>
      <c r="AS773" s="115"/>
      <c r="AT773" s="115"/>
      <c r="AU773" s="115"/>
      <c r="AV773" s="115"/>
    </row>
    <row r="774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  <c r="AA774" s="115"/>
      <c r="AB774" s="115"/>
      <c r="AC774" s="115"/>
      <c r="AD774" s="115"/>
      <c r="AE774" s="115"/>
      <c r="AF774" s="115"/>
      <c r="AG774" s="115"/>
      <c r="AH774" s="115"/>
      <c r="AI774" s="115"/>
      <c r="AJ774" s="115"/>
      <c r="AK774" s="115"/>
      <c r="AL774" s="115"/>
      <c r="AM774" s="115"/>
      <c r="AN774" s="115"/>
      <c r="AO774" s="115"/>
      <c r="AP774" s="115"/>
      <c r="AQ774" s="115"/>
      <c r="AR774" s="115"/>
      <c r="AS774" s="115"/>
      <c r="AT774" s="115"/>
      <c r="AU774" s="115"/>
      <c r="AV774" s="115"/>
    </row>
    <row r="775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  <c r="AA775" s="115"/>
      <c r="AB775" s="115"/>
      <c r="AC775" s="115"/>
      <c r="AD775" s="115"/>
      <c r="AE775" s="115"/>
      <c r="AF775" s="115"/>
      <c r="AG775" s="115"/>
      <c r="AH775" s="115"/>
      <c r="AI775" s="115"/>
      <c r="AJ775" s="115"/>
      <c r="AK775" s="115"/>
      <c r="AL775" s="115"/>
      <c r="AM775" s="115"/>
      <c r="AN775" s="115"/>
      <c r="AO775" s="115"/>
      <c r="AP775" s="115"/>
      <c r="AQ775" s="115"/>
      <c r="AR775" s="115"/>
      <c r="AS775" s="115"/>
      <c r="AT775" s="115"/>
      <c r="AU775" s="115"/>
      <c r="AV775" s="115"/>
    </row>
    <row r="776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  <c r="AA776" s="115"/>
      <c r="AB776" s="115"/>
      <c r="AC776" s="115"/>
      <c r="AD776" s="115"/>
      <c r="AE776" s="115"/>
      <c r="AF776" s="115"/>
      <c r="AG776" s="115"/>
      <c r="AH776" s="115"/>
      <c r="AI776" s="115"/>
      <c r="AJ776" s="115"/>
      <c r="AK776" s="115"/>
      <c r="AL776" s="115"/>
      <c r="AM776" s="115"/>
      <c r="AN776" s="115"/>
      <c r="AO776" s="115"/>
      <c r="AP776" s="115"/>
      <c r="AQ776" s="115"/>
      <c r="AR776" s="115"/>
      <c r="AS776" s="115"/>
      <c r="AT776" s="115"/>
      <c r="AU776" s="115"/>
      <c r="AV776" s="115"/>
    </row>
    <row r="777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  <c r="AA777" s="115"/>
      <c r="AB777" s="115"/>
      <c r="AC777" s="115"/>
      <c r="AD777" s="115"/>
      <c r="AE777" s="115"/>
      <c r="AF777" s="115"/>
      <c r="AG777" s="115"/>
      <c r="AH777" s="115"/>
      <c r="AI777" s="115"/>
      <c r="AJ777" s="115"/>
      <c r="AK777" s="115"/>
      <c r="AL777" s="115"/>
      <c r="AM777" s="115"/>
      <c r="AN777" s="115"/>
      <c r="AO777" s="115"/>
      <c r="AP777" s="115"/>
      <c r="AQ777" s="115"/>
      <c r="AR777" s="115"/>
      <c r="AS777" s="115"/>
      <c r="AT777" s="115"/>
      <c r="AU777" s="115"/>
      <c r="AV777" s="115"/>
    </row>
    <row r="778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  <c r="AA778" s="115"/>
      <c r="AB778" s="115"/>
      <c r="AC778" s="115"/>
      <c r="AD778" s="115"/>
      <c r="AE778" s="115"/>
      <c r="AF778" s="115"/>
      <c r="AG778" s="115"/>
      <c r="AH778" s="115"/>
      <c r="AI778" s="115"/>
      <c r="AJ778" s="115"/>
      <c r="AK778" s="115"/>
      <c r="AL778" s="115"/>
      <c r="AM778" s="115"/>
      <c r="AN778" s="115"/>
      <c r="AO778" s="115"/>
      <c r="AP778" s="115"/>
      <c r="AQ778" s="115"/>
      <c r="AR778" s="115"/>
      <c r="AS778" s="115"/>
      <c r="AT778" s="115"/>
      <c r="AU778" s="115"/>
      <c r="AV778" s="115"/>
    </row>
    <row r="779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  <c r="AA779" s="115"/>
      <c r="AB779" s="115"/>
      <c r="AC779" s="115"/>
      <c r="AD779" s="115"/>
      <c r="AE779" s="115"/>
      <c r="AF779" s="115"/>
      <c r="AG779" s="115"/>
      <c r="AH779" s="115"/>
      <c r="AI779" s="115"/>
      <c r="AJ779" s="115"/>
      <c r="AK779" s="115"/>
      <c r="AL779" s="115"/>
      <c r="AM779" s="115"/>
      <c r="AN779" s="115"/>
      <c r="AO779" s="115"/>
      <c r="AP779" s="115"/>
      <c r="AQ779" s="115"/>
      <c r="AR779" s="115"/>
      <c r="AS779" s="115"/>
      <c r="AT779" s="115"/>
      <c r="AU779" s="115"/>
      <c r="AV779" s="115"/>
    </row>
    <row r="780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  <c r="AA780" s="115"/>
      <c r="AB780" s="115"/>
      <c r="AC780" s="115"/>
      <c r="AD780" s="115"/>
      <c r="AE780" s="115"/>
      <c r="AF780" s="115"/>
      <c r="AG780" s="115"/>
      <c r="AH780" s="115"/>
      <c r="AI780" s="115"/>
      <c r="AJ780" s="115"/>
      <c r="AK780" s="115"/>
      <c r="AL780" s="115"/>
      <c r="AM780" s="115"/>
      <c r="AN780" s="115"/>
      <c r="AO780" s="115"/>
      <c r="AP780" s="115"/>
      <c r="AQ780" s="115"/>
      <c r="AR780" s="115"/>
      <c r="AS780" s="115"/>
      <c r="AT780" s="115"/>
      <c r="AU780" s="115"/>
      <c r="AV780" s="115"/>
    </row>
    <row r="781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  <c r="AA781" s="115"/>
      <c r="AB781" s="115"/>
      <c r="AC781" s="115"/>
      <c r="AD781" s="115"/>
      <c r="AE781" s="115"/>
      <c r="AF781" s="115"/>
      <c r="AG781" s="115"/>
      <c r="AH781" s="115"/>
      <c r="AI781" s="115"/>
      <c r="AJ781" s="115"/>
      <c r="AK781" s="115"/>
      <c r="AL781" s="115"/>
      <c r="AM781" s="115"/>
      <c r="AN781" s="115"/>
      <c r="AO781" s="115"/>
      <c r="AP781" s="115"/>
      <c r="AQ781" s="115"/>
      <c r="AR781" s="115"/>
      <c r="AS781" s="115"/>
      <c r="AT781" s="115"/>
      <c r="AU781" s="115"/>
      <c r="AV781" s="115"/>
    </row>
    <row r="782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  <c r="AA782" s="115"/>
      <c r="AB782" s="115"/>
      <c r="AC782" s="115"/>
      <c r="AD782" s="115"/>
      <c r="AE782" s="115"/>
      <c r="AF782" s="115"/>
      <c r="AG782" s="115"/>
      <c r="AH782" s="115"/>
      <c r="AI782" s="115"/>
      <c r="AJ782" s="115"/>
      <c r="AK782" s="115"/>
      <c r="AL782" s="115"/>
      <c r="AM782" s="115"/>
      <c r="AN782" s="115"/>
      <c r="AO782" s="115"/>
      <c r="AP782" s="115"/>
      <c r="AQ782" s="115"/>
      <c r="AR782" s="115"/>
      <c r="AS782" s="115"/>
      <c r="AT782" s="115"/>
      <c r="AU782" s="115"/>
      <c r="AV782" s="115"/>
    </row>
    <row r="783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  <c r="AA783" s="115"/>
      <c r="AB783" s="115"/>
      <c r="AC783" s="115"/>
      <c r="AD783" s="115"/>
      <c r="AE783" s="115"/>
      <c r="AF783" s="115"/>
      <c r="AG783" s="115"/>
      <c r="AH783" s="115"/>
      <c r="AI783" s="115"/>
      <c r="AJ783" s="115"/>
      <c r="AK783" s="115"/>
      <c r="AL783" s="115"/>
      <c r="AM783" s="115"/>
      <c r="AN783" s="115"/>
      <c r="AO783" s="115"/>
      <c r="AP783" s="115"/>
      <c r="AQ783" s="115"/>
      <c r="AR783" s="115"/>
      <c r="AS783" s="115"/>
      <c r="AT783" s="115"/>
      <c r="AU783" s="115"/>
      <c r="AV783" s="115"/>
    </row>
    <row r="784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  <c r="AA784" s="115"/>
      <c r="AB784" s="115"/>
      <c r="AC784" s="115"/>
      <c r="AD784" s="115"/>
      <c r="AE784" s="115"/>
      <c r="AF784" s="115"/>
      <c r="AG784" s="115"/>
      <c r="AH784" s="115"/>
      <c r="AI784" s="115"/>
      <c r="AJ784" s="115"/>
      <c r="AK784" s="115"/>
      <c r="AL784" s="115"/>
      <c r="AM784" s="115"/>
      <c r="AN784" s="115"/>
      <c r="AO784" s="115"/>
      <c r="AP784" s="115"/>
      <c r="AQ784" s="115"/>
      <c r="AR784" s="115"/>
      <c r="AS784" s="115"/>
      <c r="AT784" s="115"/>
      <c r="AU784" s="115"/>
      <c r="AV784" s="115"/>
    </row>
    <row r="785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  <c r="AA785" s="115"/>
      <c r="AB785" s="115"/>
      <c r="AC785" s="115"/>
      <c r="AD785" s="115"/>
      <c r="AE785" s="115"/>
      <c r="AF785" s="115"/>
      <c r="AG785" s="115"/>
      <c r="AH785" s="115"/>
      <c r="AI785" s="115"/>
      <c r="AJ785" s="115"/>
      <c r="AK785" s="115"/>
      <c r="AL785" s="115"/>
      <c r="AM785" s="115"/>
      <c r="AN785" s="115"/>
      <c r="AO785" s="115"/>
      <c r="AP785" s="115"/>
      <c r="AQ785" s="115"/>
      <c r="AR785" s="115"/>
      <c r="AS785" s="115"/>
      <c r="AT785" s="115"/>
      <c r="AU785" s="115"/>
      <c r="AV785" s="115"/>
    </row>
    <row r="786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  <c r="AA786" s="115"/>
      <c r="AB786" s="115"/>
      <c r="AC786" s="115"/>
      <c r="AD786" s="115"/>
      <c r="AE786" s="115"/>
      <c r="AF786" s="115"/>
      <c r="AG786" s="115"/>
      <c r="AH786" s="115"/>
      <c r="AI786" s="115"/>
      <c r="AJ786" s="115"/>
      <c r="AK786" s="115"/>
      <c r="AL786" s="115"/>
      <c r="AM786" s="115"/>
      <c r="AN786" s="115"/>
      <c r="AO786" s="115"/>
      <c r="AP786" s="115"/>
      <c r="AQ786" s="115"/>
      <c r="AR786" s="115"/>
      <c r="AS786" s="115"/>
      <c r="AT786" s="115"/>
      <c r="AU786" s="115"/>
      <c r="AV786" s="115"/>
    </row>
    <row r="787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  <c r="AA787" s="115"/>
      <c r="AB787" s="115"/>
      <c r="AC787" s="115"/>
      <c r="AD787" s="115"/>
      <c r="AE787" s="115"/>
      <c r="AF787" s="115"/>
      <c r="AG787" s="115"/>
      <c r="AH787" s="115"/>
      <c r="AI787" s="115"/>
      <c r="AJ787" s="115"/>
      <c r="AK787" s="115"/>
      <c r="AL787" s="115"/>
      <c r="AM787" s="115"/>
      <c r="AN787" s="115"/>
      <c r="AO787" s="115"/>
      <c r="AP787" s="115"/>
      <c r="AQ787" s="115"/>
      <c r="AR787" s="115"/>
      <c r="AS787" s="115"/>
      <c r="AT787" s="115"/>
      <c r="AU787" s="115"/>
      <c r="AV787" s="115"/>
    </row>
    <row r="788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  <c r="AA788" s="115"/>
      <c r="AB788" s="115"/>
      <c r="AC788" s="115"/>
      <c r="AD788" s="115"/>
      <c r="AE788" s="115"/>
      <c r="AF788" s="115"/>
      <c r="AG788" s="115"/>
      <c r="AH788" s="115"/>
      <c r="AI788" s="115"/>
      <c r="AJ788" s="115"/>
      <c r="AK788" s="115"/>
      <c r="AL788" s="115"/>
      <c r="AM788" s="115"/>
      <c r="AN788" s="115"/>
      <c r="AO788" s="115"/>
      <c r="AP788" s="115"/>
      <c r="AQ788" s="115"/>
      <c r="AR788" s="115"/>
      <c r="AS788" s="115"/>
      <c r="AT788" s="115"/>
      <c r="AU788" s="115"/>
      <c r="AV788" s="115"/>
    </row>
    <row r="789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  <c r="AA789" s="115"/>
      <c r="AB789" s="115"/>
      <c r="AC789" s="115"/>
      <c r="AD789" s="115"/>
      <c r="AE789" s="115"/>
      <c r="AF789" s="115"/>
      <c r="AG789" s="115"/>
      <c r="AH789" s="115"/>
      <c r="AI789" s="115"/>
      <c r="AJ789" s="115"/>
      <c r="AK789" s="115"/>
      <c r="AL789" s="115"/>
      <c r="AM789" s="115"/>
      <c r="AN789" s="115"/>
      <c r="AO789" s="115"/>
      <c r="AP789" s="115"/>
      <c r="AQ789" s="115"/>
      <c r="AR789" s="115"/>
      <c r="AS789" s="115"/>
      <c r="AT789" s="115"/>
      <c r="AU789" s="115"/>
      <c r="AV789" s="115"/>
    </row>
    <row r="790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  <c r="AA790" s="115"/>
      <c r="AB790" s="115"/>
      <c r="AC790" s="115"/>
      <c r="AD790" s="115"/>
      <c r="AE790" s="115"/>
      <c r="AF790" s="115"/>
      <c r="AG790" s="115"/>
      <c r="AH790" s="115"/>
      <c r="AI790" s="115"/>
      <c r="AJ790" s="115"/>
      <c r="AK790" s="115"/>
      <c r="AL790" s="115"/>
      <c r="AM790" s="115"/>
      <c r="AN790" s="115"/>
      <c r="AO790" s="115"/>
      <c r="AP790" s="115"/>
      <c r="AQ790" s="115"/>
      <c r="AR790" s="115"/>
      <c r="AS790" s="115"/>
      <c r="AT790" s="115"/>
      <c r="AU790" s="115"/>
      <c r="AV790" s="115"/>
    </row>
    <row r="791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  <c r="AA791" s="115"/>
      <c r="AB791" s="115"/>
      <c r="AC791" s="115"/>
      <c r="AD791" s="115"/>
      <c r="AE791" s="115"/>
      <c r="AF791" s="115"/>
      <c r="AG791" s="115"/>
      <c r="AH791" s="115"/>
      <c r="AI791" s="115"/>
      <c r="AJ791" s="115"/>
      <c r="AK791" s="115"/>
      <c r="AL791" s="115"/>
      <c r="AM791" s="115"/>
      <c r="AN791" s="115"/>
      <c r="AO791" s="115"/>
      <c r="AP791" s="115"/>
      <c r="AQ791" s="115"/>
      <c r="AR791" s="115"/>
      <c r="AS791" s="115"/>
      <c r="AT791" s="115"/>
      <c r="AU791" s="115"/>
      <c r="AV791" s="115"/>
    </row>
    <row r="792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  <c r="AA792" s="115"/>
      <c r="AB792" s="115"/>
      <c r="AC792" s="115"/>
      <c r="AD792" s="115"/>
      <c r="AE792" s="115"/>
      <c r="AF792" s="115"/>
      <c r="AG792" s="115"/>
      <c r="AH792" s="115"/>
      <c r="AI792" s="115"/>
      <c r="AJ792" s="115"/>
      <c r="AK792" s="115"/>
      <c r="AL792" s="115"/>
      <c r="AM792" s="115"/>
      <c r="AN792" s="115"/>
      <c r="AO792" s="115"/>
      <c r="AP792" s="115"/>
      <c r="AQ792" s="115"/>
      <c r="AR792" s="115"/>
      <c r="AS792" s="115"/>
      <c r="AT792" s="115"/>
      <c r="AU792" s="115"/>
      <c r="AV792" s="115"/>
    </row>
    <row r="793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  <c r="AA793" s="115"/>
      <c r="AB793" s="115"/>
      <c r="AC793" s="115"/>
      <c r="AD793" s="115"/>
      <c r="AE793" s="115"/>
      <c r="AF793" s="115"/>
      <c r="AG793" s="115"/>
      <c r="AH793" s="115"/>
      <c r="AI793" s="115"/>
      <c r="AJ793" s="115"/>
      <c r="AK793" s="115"/>
      <c r="AL793" s="115"/>
      <c r="AM793" s="115"/>
      <c r="AN793" s="115"/>
      <c r="AO793" s="115"/>
      <c r="AP793" s="115"/>
      <c r="AQ793" s="115"/>
      <c r="AR793" s="115"/>
      <c r="AS793" s="115"/>
      <c r="AT793" s="115"/>
      <c r="AU793" s="115"/>
      <c r="AV793" s="115"/>
    </row>
    <row r="794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  <c r="AA794" s="115"/>
      <c r="AB794" s="115"/>
      <c r="AC794" s="115"/>
      <c r="AD794" s="115"/>
      <c r="AE794" s="115"/>
      <c r="AF794" s="115"/>
      <c r="AG794" s="115"/>
      <c r="AH794" s="115"/>
      <c r="AI794" s="115"/>
      <c r="AJ794" s="115"/>
      <c r="AK794" s="115"/>
      <c r="AL794" s="115"/>
      <c r="AM794" s="115"/>
      <c r="AN794" s="115"/>
      <c r="AO794" s="115"/>
      <c r="AP794" s="115"/>
      <c r="AQ794" s="115"/>
      <c r="AR794" s="115"/>
      <c r="AS794" s="115"/>
      <c r="AT794" s="115"/>
      <c r="AU794" s="115"/>
      <c r="AV794" s="115"/>
    </row>
    <row r="795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  <c r="AA795" s="115"/>
      <c r="AB795" s="115"/>
      <c r="AC795" s="115"/>
      <c r="AD795" s="115"/>
      <c r="AE795" s="115"/>
      <c r="AF795" s="115"/>
      <c r="AG795" s="115"/>
      <c r="AH795" s="115"/>
      <c r="AI795" s="115"/>
      <c r="AJ795" s="115"/>
      <c r="AK795" s="115"/>
      <c r="AL795" s="115"/>
      <c r="AM795" s="115"/>
      <c r="AN795" s="115"/>
      <c r="AO795" s="115"/>
      <c r="AP795" s="115"/>
      <c r="AQ795" s="115"/>
      <c r="AR795" s="115"/>
      <c r="AS795" s="115"/>
      <c r="AT795" s="115"/>
      <c r="AU795" s="115"/>
      <c r="AV795" s="115"/>
    </row>
    <row r="796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  <c r="AA796" s="115"/>
      <c r="AB796" s="115"/>
      <c r="AC796" s="115"/>
      <c r="AD796" s="115"/>
      <c r="AE796" s="115"/>
      <c r="AF796" s="115"/>
      <c r="AG796" s="115"/>
      <c r="AH796" s="115"/>
      <c r="AI796" s="115"/>
      <c r="AJ796" s="115"/>
      <c r="AK796" s="115"/>
      <c r="AL796" s="115"/>
      <c r="AM796" s="115"/>
      <c r="AN796" s="115"/>
      <c r="AO796" s="115"/>
      <c r="AP796" s="115"/>
      <c r="AQ796" s="115"/>
      <c r="AR796" s="115"/>
      <c r="AS796" s="115"/>
      <c r="AT796" s="115"/>
      <c r="AU796" s="115"/>
      <c r="AV796" s="115"/>
    </row>
    <row r="797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  <c r="AA797" s="115"/>
      <c r="AB797" s="115"/>
      <c r="AC797" s="115"/>
      <c r="AD797" s="115"/>
      <c r="AE797" s="115"/>
      <c r="AF797" s="115"/>
      <c r="AG797" s="115"/>
      <c r="AH797" s="115"/>
      <c r="AI797" s="115"/>
      <c r="AJ797" s="115"/>
      <c r="AK797" s="115"/>
      <c r="AL797" s="115"/>
      <c r="AM797" s="115"/>
      <c r="AN797" s="115"/>
      <c r="AO797" s="115"/>
      <c r="AP797" s="115"/>
      <c r="AQ797" s="115"/>
      <c r="AR797" s="115"/>
      <c r="AS797" s="115"/>
      <c r="AT797" s="115"/>
      <c r="AU797" s="115"/>
      <c r="AV797" s="115"/>
    </row>
    <row r="798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  <c r="AA798" s="115"/>
      <c r="AB798" s="115"/>
      <c r="AC798" s="115"/>
      <c r="AD798" s="115"/>
      <c r="AE798" s="115"/>
      <c r="AF798" s="115"/>
      <c r="AG798" s="115"/>
      <c r="AH798" s="115"/>
      <c r="AI798" s="115"/>
      <c r="AJ798" s="115"/>
      <c r="AK798" s="115"/>
      <c r="AL798" s="115"/>
      <c r="AM798" s="115"/>
      <c r="AN798" s="115"/>
      <c r="AO798" s="115"/>
      <c r="AP798" s="115"/>
      <c r="AQ798" s="115"/>
      <c r="AR798" s="115"/>
      <c r="AS798" s="115"/>
      <c r="AT798" s="115"/>
      <c r="AU798" s="115"/>
      <c r="AV798" s="115"/>
    </row>
    <row r="799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  <c r="AA799" s="115"/>
      <c r="AB799" s="115"/>
      <c r="AC799" s="115"/>
      <c r="AD799" s="115"/>
      <c r="AE799" s="115"/>
      <c r="AF799" s="115"/>
      <c r="AG799" s="115"/>
      <c r="AH799" s="115"/>
      <c r="AI799" s="115"/>
      <c r="AJ799" s="115"/>
      <c r="AK799" s="115"/>
      <c r="AL799" s="115"/>
      <c r="AM799" s="115"/>
      <c r="AN799" s="115"/>
      <c r="AO799" s="115"/>
      <c r="AP799" s="115"/>
      <c r="AQ799" s="115"/>
      <c r="AR799" s="115"/>
      <c r="AS799" s="115"/>
      <c r="AT799" s="115"/>
      <c r="AU799" s="115"/>
      <c r="AV799" s="115"/>
    </row>
    <row r="800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  <c r="AA800" s="115"/>
      <c r="AB800" s="115"/>
      <c r="AC800" s="115"/>
      <c r="AD800" s="115"/>
      <c r="AE800" s="115"/>
      <c r="AF800" s="115"/>
      <c r="AG800" s="115"/>
      <c r="AH800" s="115"/>
      <c r="AI800" s="115"/>
      <c r="AJ800" s="115"/>
      <c r="AK800" s="115"/>
      <c r="AL800" s="115"/>
      <c r="AM800" s="115"/>
      <c r="AN800" s="115"/>
      <c r="AO800" s="115"/>
      <c r="AP800" s="115"/>
      <c r="AQ800" s="115"/>
      <c r="AR800" s="115"/>
      <c r="AS800" s="115"/>
      <c r="AT800" s="115"/>
      <c r="AU800" s="115"/>
      <c r="AV800" s="115"/>
    </row>
    <row r="801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  <c r="AA801" s="115"/>
      <c r="AB801" s="115"/>
      <c r="AC801" s="115"/>
      <c r="AD801" s="115"/>
      <c r="AE801" s="115"/>
      <c r="AF801" s="115"/>
      <c r="AG801" s="115"/>
      <c r="AH801" s="115"/>
      <c r="AI801" s="115"/>
      <c r="AJ801" s="115"/>
      <c r="AK801" s="115"/>
      <c r="AL801" s="115"/>
      <c r="AM801" s="115"/>
      <c r="AN801" s="115"/>
      <c r="AO801" s="115"/>
      <c r="AP801" s="115"/>
      <c r="AQ801" s="115"/>
      <c r="AR801" s="115"/>
      <c r="AS801" s="115"/>
      <c r="AT801" s="115"/>
      <c r="AU801" s="115"/>
      <c r="AV801" s="115"/>
    </row>
    <row r="802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  <c r="AA802" s="115"/>
      <c r="AB802" s="115"/>
      <c r="AC802" s="115"/>
      <c r="AD802" s="115"/>
      <c r="AE802" s="115"/>
      <c r="AF802" s="115"/>
      <c r="AG802" s="115"/>
      <c r="AH802" s="115"/>
      <c r="AI802" s="115"/>
      <c r="AJ802" s="115"/>
      <c r="AK802" s="115"/>
      <c r="AL802" s="115"/>
      <c r="AM802" s="115"/>
      <c r="AN802" s="115"/>
      <c r="AO802" s="115"/>
      <c r="AP802" s="115"/>
      <c r="AQ802" s="115"/>
      <c r="AR802" s="115"/>
      <c r="AS802" s="115"/>
      <c r="AT802" s="115"/>
      <c r="AU802" s="115"/>
      <c r="AV802" s="115"/>
    </row>
    <row r="803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  <c r="AA803" s="115"/>
      <c r="AB803" s="115"/>
      <c r="AC803" s="115"/>
      <c r="AD803" s="115"/>
      <c r="AE803" s="115"/>
      <c r="AF803" s="115"/>
      <c r="AG803" s="115"/>
      <c r="AH803" s="115"/>
      <c r="AI803" s="115"/>
      <c r="AJ803" s="115"/>
      <c r="AK803" s="115"/>
      <c r="AL803" s="115"/>
      <c r="AM803" s="115"/>
      <c r="AN803" s="115"/>
      <c r="AO803" s="115"/>
      <c r="AP803" s="115"/>
      <c r="AQ803" s="115"/>
      <c r="AR803" s="115"/>
      <c r="AS803" s="115"/>
      <c r="AT803" s="115"/>
      <c r="AU803" s="115"/>
      <c r="AV803" s="115"/>
    </row>
    <row r="804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  <c r="AA804" s="115"/>
      <c r="AB804" s="115"/>
      <c r="AC804" s="115"/>
      <c r="AD804" s="115"/>
      <c r="AE804" s="115"/>
      <c r="AF804" s="115"/>
      <c r="AG804" s="115"/>
      <c r="AH804" s="115"/>
      <c r="AI804" s="115"/>
      <c r="AJ804" s="115"/>
      <c r="AK804" s="115"/>
      <c r="AL804" s="115"/>
      <c r="AM804" s="115"/>
      <c r="AN804" s="115"/>
      <c r="AO804" s="115"/>
      <c r="AP804" s="115"/>
      <c r="AQ804" s="115"/>
      <c r="AR804" s="115"/>
      <c r="AS804" s="115"/>
      <c r="AT804" s="115"/>
      <c r="AU804" s="115"/>
      <c r="AV804" s="115"/>
    </row>
    <row r="805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  <c r="AA805" s="115"/>
      <c r="AB805" s="115"/>
      <c r="AC805" s="115"/>
      <c r="AD805" s="115"/>
      <c r="AE805" s="115"/>
      <c r="AF805" s="115"/>
      <c r="AG805" s="115"/>
      <c r="AH805" s="115"/>
      <c r="AI805" s="115"/>
      <c r="AJ805" s="115"/>
      <c r="AK805" s="115"/>
      <c r="AL805" s="115"/>
      <c r="AM805" s="115"/>
      <c r="AN805" s="115"/>
      <c r="AO805" s="115"/>
      <c r="AP805" s="115"/>
      <c r="AQ805" s="115"/>
      <c r="AR805" s="115"/>
      <c r="AS805" s="115"/>
      <c r="AT805" s="115"/>
      <c r="AU805" s="115"/>
      <c r="AV805" s="115"/>
    </row>
    <row r="806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  <c r="AA806" s="115"/>
      <c r="AB806" s="115"/>
      <c r="AC806" s="115"/>
      <c r="AD806" s="115"/>
      <c r="AE806" s="115"/>
      <c r="AF806" s="115"/>
      <c r="AG806" s="115"/>
      <c r="AH806" s="115"/>
      <c r="AI806" s="115"/>
      <c r="AJ806" s="115"/>
      <c r="AK806" s="115"/>
      <c r="AL806" s="115"/>
      <c r="AM806" s="115"/>
      <c r="AN806" s="115"/>
      <c r="AO806" s="115"/>
      <c r="AP806" s="115"/>
      <c r="AQ806" s="115"/>
      <c r="AR806" s="115"/>
      <c r="AS806" s="115"/>
      <c r="AT806" s="115"/>
      <c r="AU806" s="115"/>
      <c r="AV806" s="115"/>
    </row>
    <row r="807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  <c r="AA807" s="115"/>
      <c r="AB807" s="115"/>
      <c r="AC807" s="115"/>
      <c r="AD807" s="115"/>
      <c r="AE807" s="115"/>
      <c r="AF807" s="115"/>
      <c r="AG807" s="115"/>
      <c r="AH807" s="115"/>
      <c r="AI807" s="115"/>
      <c r="AJ807" s="115"/>
      <c r="AK807" s="115"/>
      <c r="AL807" s="115"/>
      <c r="AM807" s="115"/>
      <c r="AN807" s="115"/>
      <c r="AO807" s="115"/>
      <c r="AP807" s="115"/>
      <c r="AQ807" s="115"/>
      <c r="AR807" s="115"/>
      <c r="AS807" s="115"/>
      <c r="AT807" s="115"/>
      <c r="AU807" s="115"/>
      <c r="AV807" s="115"/>
    </row>
    <row r="808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  <c r="AA808" s="115"/>
      <c r="AB808" s="115"/>
      <c r="AC808" s="115"/>
      <c r="AD808" s="115"/>
      <c r="AE808" s="115"/>
      <c r="AF808" s="115"/>
      <c r="AG808" s="115"/>
      <c r="AH808" s="115"/>
      <c r="AI808" s="115"/>
      <c r="AJ808" s="115"/>
      <c r="AK808" s="115"/>
      <c r="AL808" s="115"/>
      <c r="AM808" s="115"/>
      <c r="AN808" s="115"/>
      <c r="AO808" s="115"/>
      <c r="AP808" s="115"/>
      <c r="AQ808" s="115"/>
      <c r="AR808" s="115"/>
      <c r="AS808" s="115"/>
      <c r="AT808" s="115"/>
      <c r="AU808" s="115"/>
      <c r="AV808" s="115"/>
    </row>
    <row r="809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  <c r="AA809" s="115"/>
      <c r="AB809" s="115"/>
      <c r="AC809" s="115"/>
      <c r="AD809" s="115"/>
      <c r="AE809" s="115"/>
      <c r="AF809" s="115"/>
      <c r="AG809" s="115"/>
      <c r="AH809" s="115"/>
      <c r="AI809" s="115"/>
      <c r="AJ809" s="115"/>
      <c r="AK809" s="115"/>
      <c r="AL809" s="115"/>
      <c r="AM809" s="115"/>
      <c r="AN809" s="115"/>
      <c r="AO809" s="115"/>
      <c r="AP809" s="115"/>
      <c r="AQ809" s="115"/>
      <c r="AR809" s="115"/>
      <c r="AS809" s="115"/>
      <c r="AT809" s="115"/>
      <c r="AU809" s="115"/>
      <c r="AV809" s="115"/>
    </row>
    <row r="810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  <c r="AA810" s="115"/>
      <c r="AB810" s="115"/>
      <c r="AC810" s="115"/>
      <c r="AD810" s="115"/>
      <c r="AE810" s="115"/>
      <c r="AF810" s="115"/>
      <c r="AG810" s="115"/>
      <c r="AH810" s="115"/>
      <c r="AI810" s="115"/>
      <c r="AJ810" s="115"/>
      <c r="AK810" s="115"/>
      <c r="AL810" s="115"/>
      <c r="AM810" s="115"/>
      <c r="AN810" s="115"/>
      <c r="AO810" s="115"/>
      <c r="AP810" s="115"/>
      <c r="AQ810" s="115"/>
      <c r="AR810" s="115"/>
      <c r="AS810" s="115"/>
      <c r="AT810" s="115"/>
      <c r="AU810" s="115"/>
      <c r="AV810" s="115"/>
    </row>
    <row r="811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  <c r="AA811" s="115"/>
      <c r="AB811" s="115"/>
      <c r="AC811" s="115"/>
      <c r="AD811" s="115"/>
      <c r="AE811" s="115"/>
      <c r="AF811" s="115"/>
      <c r="AG811" s="115"/>
      <c r="AH811" s="115"/>
      <c r="AI811" s="115"/>
      <c r="AJ811" s="115"/>
      <c r="AK811" s="115"/>
      <c r="AL811" s="115"/>
      <c r="AM811" s="115"/>
      <c r="AN811" s="115"/>
      <c r="AO811" s="115"/>
      <c r="AP811" s="115"/>
      <c r="AQ811" s="115"/>
      <c r="AR811" s="115"/>
      <c r="AS811" s="115"/>
      <c r="AT811" s="115"/>
      <c r="AU811" s="115"/>
      <c r="AV811" s="115"/>
    </row>
    <row r="812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  <c r="AA812" s="115"/>
      <c r="AB812" s="115"/>
      <c r="AC812" s="115"/>
      <c r="AD812" s="115"/>
      <c r="AE812" s="115"/>
      <c r="AF812" s="115"/>
      <c r="AG812" s="115"/>
      <c r="AH812" s="115"/>
      <c r="AI812" s="115"/>
      <c r="AJ812" s="115"/>
      <c r="AK812" s="115"/>
      <c r="AL812" s="115"/>
      <c r="AM812" s="115"/>
      <c r="AN812" s="115"/>
      <c r="AO812" s="115"/>
      <c r="AP812" s="115"/>
      <c r="AQ812" s="115"/>
      <c r="AR812" s="115"/>
      <c r="AS812" s="115"/>
      <c r="AT812" s="115"/>
      <c r="AU812" s="115"/>
      <c r="AV812" s="115"/>
    </row>
    <row r="813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  <c r="AA813" s="115"/>
      <c r="AB813" s="115"/>
      <c r="AC813" s="115"/>
      <c r="AD813" s="115"/>
      <c r="AE813" s="115"/>
      <c r="AF813" s="115"/>
      <c r="AG813" s="115"/>
      <c r="AH813" s="115"/>
      <c r="AI813" s="115"/>
      <c r="AJ813" s="115"/>
      <c r="AK813" s="115"/>
      <c r="AL813" s="115"/>
      <c r="AM813" s="115"/>
      <c r="AN813" s="115"/>
      <c r="AO813" s="115"/>
      <c r="AP813" s="115"/>
      <c r="AQ813" s="115"/>
      <c r="AR813" s="115"/>
      <c r="AS813" s="115"/>
      <c r="AT813" s="115"/>
      <c r="AU813" s="115"/>
      <c r="AV813" s="115"/>
    </row>
    <row r="814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  <c r="AA814" s="115"/>
      <c r="AB814" s="115"/>
      <c r="AC814" s="115"/>
      <c r="AD814" s="115"/>
      <c r="AE814" s="115"/>
      <c r="AF814" s="115"/>
      <c r="AG814" s="115"/>
      <c r="AH814" s="115"/>
      <c r="AI814" s="115"/>
      <c r="AJ814" s="115"/>
      <c r="AK814" s="115"/>
      <c r="AL814" s="115"/>
      <c r="AM814" s="115"/>
      <c r="AN814" s="115"/>
      <c r="AO814" s="115"/>
      <c r="AP814" s="115"/>
      <c r="AQ814" s="115"/>
      <c r="AR814" s="115"/>
      <c r="AS814" s="115"/>
      <c r="AT814" s="115"/>
      <c r="AU814" s="115"/>
      <c r="AV814" s="115"/>
    </row>
    <row r="815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  <c r="AA815" s="115"/>
      <c r="AB815" s="115"/>
      <c r="AC815" s="115"/>
      <c r="AD815" s="115"/>
      <c r="AE815" s="115"/>
      <c r="AF815" s="115"/>
      <c r="AG815" s="115"/>
      <c r="AH815" s="115"/>
      <c r="AI815" s="115"/>
      <c r="AJ815" s="115"/>
      <c r="AK815" s="115"/>
      <c r="AL815" s="115"/>
      <c r="AM815" s="115"/>
      <c r="AN815" s="115"/>
      <c r="AO815" s="115"/>
      <c r="AP815" s="115"/>
      <c r="AQ815" s="115"/>
      <c r="AR815" s="115"/>
      <c r="AS815" s="115"/>
      <c r="AT815" s="115"/>
      <c r="AU815" s="115"/>
      <c r="AV815" s="115"/>
    </row>
    <row r="816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  <c r="AA816" s="115"/>
      <c r="AB816" s="115"/>
      <c r="AC816" s="115"/>
      <c r="AD816" s="115"/>
      <c r="AE816" s="115"/>
      <c r="AF816" s="115"/>
      <c r="AG816" s="115"/>
      <c r="AH816" s="115"/>
      <c r="AI816" s="115"/>
      <c r="AJ816" s="115"/>
      <c r="AK816" s="115"/>
      <c r="AL816" s="115"/>
      <c r="AM816" s="115"/>
      <c r="AN816" s="115"/>
      <c r="AO816" s="115"/>
      <c r="AP816" s="115"/>
      <c r="AQ816" s="115"/>
      <c r="AR816" s="115"/>
      <c r="AS816" s="115"/>
      <c r="AT816" s="115"/>
      <c r="AU816" s="115"/>
      <c r="AV816" s="115"/>
    </row>
    <row r="817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  <c r="AA817" s="115"/>
      <c r="AB817" s="115"/>
      <c r="AC817" s="115"/>
      <c r="AD817" s="115"/>
      <c r="AE817" s="115"/>
      <c r="AF817" s="115"/>
      <c r="AG817" s="115"/>
      <c r="AH817" s="115"/>
      <c r="AI817" s="115"/>
      <c r="AJ817" s="115"/>
      <c r="AK817" s="115"/>
      <c r="AL817" s="115"/>
      <c r="AM817" s="115"/>
      <c r="AN817" s="115"/>
      <c r="AO817" s="115"/>
      <c r="AP817" s="115"/>
      <c r="AQ817" s="115"/>
      <c r="AR817" s="115"/>
      <c r="AS817" s="115"/>
      <c r="AT817" s="115"/>
      <c r="AU817" s="115"/>
      <c r="AV817" s="115"/>
    </row>
    <row r="818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  <c r="AA818" s="115"/>
      <c r="AB818" s="115"/>
      <c r="AC818" s="115"/>
      <c r="AD818" s="115"/>
      <c r="AE818" s="115"/>
      <c r="AF818" s="115"/>
      <c r="AG818" s="115"/>
      <c r="AH818" s="115"/>
      <c r="AI818" s="115"/>
      <c r="AJ818" s="115"/>
      <c r="AK818" s="115"/>
      <c r="AL818" s="115"/>
      <c r="AM818" s="115"/>
      <c r="AN818" s="115"/>
      <c r="AO818" s="115"/>
      <c r="AP818" s="115"/>
      <c r="AQ818" s="115"/>
      <c r="AR818" s="115"/>
      <c r="AS818" s="115"/>
      <c r="AT818" s="115"/>
      <c r="AU818" s="115"/>
      <c r="AV818" s="115"/>
    </row>
    <row r="819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  <c r="AA819" s="115"/>
      <c r="AB819" s="115"/>
      <c r="AC819" s="115"/>
      <c r="AD819" s="115"/>
      <c r="AE819" s="115"/>
      <c r="AF819" s="115"/>
      <c r="AG819" s="115"/>
      <c r="AH819" s="115"/>
      <c r="AI819" s="115"/>
      <c r="AJ819" s="115"/>
      <c r="AK819" s="115"/>
      <c r="AL819" s="115"/>
      <c r="AM819" s="115"/>
      <c r="AN819" s="115"/>
      <c r="AO819" s="115"/>
      <c r="AP819" s="115"/>
      <c r="AQ819" s="115"/>
      <c r="AR819" s="115"/>
      <c r="AS819" s="115"/>
      <c r="AT819" s="115"/>
      <c r="AU819" s="115"/>
      <c r="AV819" s="115"/>
    </row>
    <row r="820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  <c r="AA820" s="115"/>
      <c r="AB820" s="115"/>
      <c r="AC820" s="115"/>
      <c r="AD820" s="115"/>
      <c r="AE820" s="115"/>
      <c r="AF820" s="115"/>
      <c r="AG820" s="115"/>
      <c r="AH820" s="115"/>
      <c r="AI820" s="115"/>
      <c r="AJ820" s="115"/>
      <c r="AK820" s="115"/>
      <c r="AL820" s="115"/>
      <c r="AM820" s="115"/>
      <c r="AN820" s="115"/>
      <c r="AO820" s="115"/>
      <c r="AP820" s="115"/>
      <c r="AQ820" s="115"/>
      <c r="AR820" s="115"/>
      <c r="AS820" s="115"/>
      <c r="AT820" s="115"/>
      <c r="AU820" s="115"/>
      <c r="AV820" s="115"/>
    </row>
    <row r="821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  <c r="AA821" s="115"/>
      <c r="AB821" s="115"/>
      <c r="AC821" s="115"/>
      <c r="AD821" s="115"/>
      <c r="AE821" s="115"/>
      <c r="AF821" s="115"/>
      <c r="AG821" s="115"/>
      <c r="AH821" s="115"/>
      <c r="AI821" s="115"/>
      <c r="AJ821" s="115"/>
      <c r="AK821" s="115"/>
      <c r="AL821" s="115"/>
      <c r="AM821" s="115"/>
      <c r="AN821" s="115"/>
      <c r="AO821" s="115"/>
      <c r="AP821" s="115"/>
      <c r="AQ821" s="115"/>
      <c r="AR821" s="115"/>
      <c r="AS821" s="115"/>
      <c r="AT821" s="115"/>
      <c r="AU821" s="115"/>
      <c r="AV821" s="115"/>
    </row>
    <row r="822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  <c r="AA822" s="115"/>
      <c r="AB822" s="115"/>
      <c r="AC822" s="115"/>
      <c r="AD822" s="115"/>
      <c r="AE822" s="115"/>
      <c r="AF822" s="115"/>
      <c r="AG822" s="115"/>
      <c r="AH822" s="115"/>
      <c r="AI822" s="115"/>
      <c r="AJ822" s="115"/>
      <c r="AK822" s="115"/>
      <c r="AL822" s="115"/>
      <c r="AM822" s="115"/>
      <c r="AN822" s="115"/>
      <c r="AO822" s="115"/>
      <c r="AP822" s="115"/>
      <c r="AQ822" s="115"/>
      <c r="AR822" s="115"/>
      <c r="AS822" s="115"/>
      <c r="AT822" s="115"/>
      <c r="AU822" s="115"/>
      <c r="AV822" s="115"/>
    </row>
    <row r="823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  <c r="AA823" s="115"/>
      <c r="AB823" s="115"/>
      <c r="AC823" s="115"/>
      <c r="AD823" s="115"/>
      <c r="AE823" s="115"/>
      <c r="AF823" s="115"/>
      <c r="AG823" s="115"/>
      <c r="AH823" s="115"/>
      <c r="AI823" s="115"/>
      <c r="AJ823" s="115"/>
      <c r="AK823" s="115"/>
      <c r="AL823" s="115"/>
      <c r="AM823" s="115"/>
      <c r="AN823" s="115"/>
      <c r="AO823" s="115"/>
      <c r="AP823" s="115"/>
      <c r="AQ823" s="115"/>
      <c r="AR823" s="115"/>
      <c r="AS823" s="115"/>
      <c r="AT823" s="115"/>
      <c r="AU823" s="115"/>
      <c r="AV823" s="115"/>
    </row>
    <row r="824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  <c r="AA824" s="115"/>
      <c r="AB824" s="115"/>
      <c r="AC824" s="115"/>
      <c r="AD824" s="115"/>
      <c r="AE824" s="115"/>
      <c r="AF824" s="115"/>
      <c r="AG824" s="115"/>
      <c r="AH824" s="115"/>
      <c r="AI824" s="115"/>
      <c r="AJ824" s="115"/>
      <c r="AK824" s="115"/>
      <c r="AL824" s="115"/>
      <c r="AM824" s="115"/>
      <c r="AN824" s="115"/>
      <c r="AO824" s="115"/>
      <c r="AP824" s="115"/>
      <c r="AQ824" s="115"/>
      <c r="AR824" s="115"/>
      <c r="AS824" s="115"/>
      <c r="AT824" s="115"/>
      <c r="AU824" s="115"/>
      <c r="AV824" s="115"/>
    </row>
    <row r="825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  <c r="AA825" s="115"/>
      <c r="AB825" s="115"/>
      <c r="AC825" s="115"/>
      <c r="AD825" s="115"/>
      <c r="AE825" s="115"/>
      <c r="AF825" s="115"/>
      <c r="AG825" s="115"/>
      <c r="AH825" s="115"/>
      <c r="AI825" s="115"/>
      <c r="AJ825" s="115"/>
      <c r="AK825" s="115"/>
      <c r="AL825" s="115"/>
      <c r="AM825" s="115"/>
      <c r="AN825" s="115"/>
      <c r="AO825" s="115"/>
      <c r="AP825" s="115"/>
      <c r="AQ825" s="115"/>
      <c r="AR825" s="115"/>
      <c r="AS825" s="115"/>
      <c r="AT825" s="115"/>
      <c r="AU825" s="115"/>
      <c r="AV825" s="115"/>
    </row>
    <row r="826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  <c r="AA826" s="115"/>
      <c r="AB826" s="115"/>
      <c r="AC826" s="115"/>
      <c r="AD826" s="115"/>
      <c r="AE826" s="115"/>
      <c r="AF826" s="115"/>
      <c r="AG826" s="115"/>
      <c r="AH826" s="115"/>
      <c r="AI826" s="115"/>
      <c r="AJ826" s="115"/>
      <c r="AK826" s="115"/>
      <c r="AL826" s="115"/>
      <c r="AM826" s="115"/>
      <c r="AN826" s="115"/>
      <c r="AO826" s="115"/>
      <c r="AP826" s="115"/>
      <c r="AQ826" s="115"/>
      <c r="AR826" s="115"/>
      <c r="AS826" s="115"/>
      <c r="AT826" s="115"/>
      <c r="AU826" s="115"/>
      <c r="AV826" s="115"/>
    </row>
    <row r="827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  <c r="AA827" s="115"/>
      <c r="AB827" s="115"/>
      <c r="AC827" s="115"/>
      <c r="AD827" s="115"/>
      <c r="AE827" s="115"/>
      <c r="AF827" s="115"/>
      <c r="AG827" s="115"/>
      <c r="AH827" s="115"/>
      <c r="AI827" s="115"/>
      <c r="AJ827" s="115"/>
      <c r="AK827" s="115"/>
      <c r="AL827" s="115"/>
      <c r="AM827" s="115"/>
      <c r="AN827" s="115"/>
      <c r="AO827" s="115"/>
      <c r="AP827" s="115"/>
      <c r="AQ827" s="115"/>
      <c r="AR827" s="115"/>
      <c r="AS827" s="115"/>
      <c r="AT827" s="115"/>
      <c r="AU827" s="115"/>
      <c r="AV827" s="115"/>
    </row>
    <row r="828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  <c r="AA828" s="115"/>
      <c r="AB828" s="115"/>
      <c r="AC828" s="115"/>
      <c r="AD828" s="115"/>
      <c r="AE828" s="115"/>
      <c r="AF828" s="115"/>
      <c r="AG828" s="115"/>
      <c r="AH828" s="115"/>
      <c r="AI828" s="115"/>
      <c r="AJ828" s="115"/>
      <c r="AK828" s="115"/>
      <c r="AL828" s="115"/>
      <c r="AM828" s="115"/>
      <c r="AN828" s="115"/>
      <c r="AO828" s="115"/>
      <c r="AP828" s="115"/>
      <c r="AQ828" s="115"/>
      <c r="AR828" s="115"/>
      <c r="AS828" s="115"/>
      <c r="AT828" s="115"/>
      <c r="AU828" s="115"/>
      <c r="AV828" s="115"/>
    </row>
    <row r="829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  <c r="AA829" s="115"/>
      <c r="AB829" s="115"/>
      <c r="AC829" s="115"/>
      <c r="AD829" s="115"/>
      <c r="AE829" s="115"/>
      <c r="AF829" s="115"/>
      <c r="AG829" s="115"/>
      <c r="AH829" s="115"/>
      <c r="AI829" s="115"/>
      <c r="AJ829" s="115"/>
      <c r="AK829" s="115"/>
      <c r="AL829" s="115"/>
      <c r="AM829" s="115"/>
      <c r="AN829" s="115"/>
      <c r="AO829" s="115"/>
      <c r="AP829" s="115"/>
      <c r="AQ829" s="115"/>
      <c r="AR829" s="115"/>
      <c r="AS829" s="115"/>
      <c r="AT829" s="115"/>
      <c r="AU829" s="115"/>
      <c r="AV829" s="115"/>
    </row>
    <row r="830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  <c r="AA830" s="115"/>
      <c r="AB830" s="115"/>
      <c r="AC830" s="115"/>
      <c r="AD830" s="115"/>
      <c r="AE830" s="115"/>
      <c r="AF830" s="115"/>
      <c r="AG830" s="115"/>
      <c r="AH830" s="115"/>
      <c r="AI830" s="115"/>
      <c r="AJ830" s="115"/>
      <c r="AK830" s="115"/>
      <c r="AL830" s="115"/>
      <c r="AM830" s="115"/>
      <c r="AN830" s="115"/>
      <c r="AO830" s="115"/>
      <c r="AP830" s="115"/>
      <c r="AQ830" s="115"/>
      <c r="AR830" s="115"/>
      <c r="AS830" s="115"/>
      <c r="AT830" s="115"/>
      <c r="AU830" s="115"/>
      <c r="AV830" s="115"/>
    </row>
    <row r="831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  <c r="AA831" s="115"/>
      <c r="AB831" s="115"/>
      <c r="AC831" s="115"/>
      <c r="AD831" s="115"/>
      <c r="AE831" s="115"/>
      <c r="AF831" s="115"/>
      <c r="AG831" s="115"/>
      <c r="AH831" s="115"/>
      <c r="AI831" s="115"/>
      <c r="AJ831" s="115"/>
      <c r="AK831" s="115"/>
      <c r="AL831" s="115"/>
      <c r="AM831" s="115"/>
      <c r="AN831" s="115"/>
      <c r="AO831" s="115"/>
      <c r="AP831" s="115"/>
      <c r="AQ831" s="115"/>
      <c r="AR831" s="115"/>
      <c r="AS831" s="115"/>
      <c r="AT831" s="115"/>
      <c r="AU831" s="115"/>
      <c r="AV831" s="115"/>
    </row>
    <row r="832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  <c r="AA832" s="115"/>
      <c r="AB832" s="115"/>
      <c r="AC832" s="115"/>
      <c r="AD832" s="115"/>
      <c r="AE832" s="115"/>
      <c r="AF832" s="115"/>
      <c r="AG832" s="115"/>
      <c r="AH832" s="115"/>
      <c r="AI832" s="115"/>
      <c r="AJ832" s="115"/>
      <c r="AK832" s="115"/>
      <c r="AL832" s="115"/>
      <c r="AM832" s="115"/>
      <c r="AN832" s="115"/>
      <c r="AO832" s="115"/>
      <c r="AP832" s="115"/>
      <c r="AQ832" s="115"/>
      <c r="AR832" s="115"/>
      <c r="AS832" s="115"/>
      <c r="AT832" s="115"/>
      <c r="AU832" s="115"/>
      <c r="AV832" s="115"/>
    </row>
    <row r="833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  <c r="AA833" s="115"/>
      <c r="AB833" s="115"/>
      <c r="AC833" s="115"/>
      <c r="AD833" s="115"/>
      <c r="AE833" s="115"/>
      <c r="AF833" s="115"/>
      <c r="AG833" s="115"/>
      <c r="AH833" s="115"/>
      <c r="AI833" s="115"/>
      <c r="AJ833" s="115"/>
      <c r="AK833" s="115"/>
      <c r="AL833" s="115"/>
      <c r="AM833" s="115"/>
      <c r="AN833" s="115"/>
      <c r="AO833" s="115"/>
      <c r="AP833" s="115"/>
      <c r="AQ833" s="115"/>
      <c r="AR833" s="115"/>
      <c r="AS833" s="115"/>
      <c r="AT833" s="115"/>
      <c r="AU833" s="115"/>
      <c r="AV833" s="115"/>
    </row>
    <row r="834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  <c r="AA834" s="115"/>
      <c r="AB834" s="115"/>
      <c r="AC834" s="115"/>
      <c r="AD834" s="115"/>
      <c r="AE834" s="115"/>
      <c r="AF834" s="115"/>
      <c r="AG834" s="115"/>
      <c r="AH834" s="115"/>
      <c r="AI834" s="115"/>
      <c r="AJ834" s="115"/>
      <c r="AK834" s="115"/>
      <c r="AL834" s="115"/>
      <c r="AM834" s="115"/>
      <c r="AN834" s="115"/>
      <c r="AO834" s="115"/>
      <c r="AP834" s="115"/>
      <c r="AQ834" s="115"/>
      <c r="AR834" s="115"/>
      <c r="AS834" s="115"/>
      <c r="AT834" s="115"/>
      <c r="AU834" s="115"/>
      <c r="AV834" s="115"/>
    </row>
    <row r="835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  <c r="AA835" s="115"/>
      <c r="AB835" s="115"/>
      <c r="AC835" s="115"/>
      <c r="AD835" s="115"/>
      <c r="AE835" s="115"/>
      <c r="AF835" s="115"/>
      <c r="AG835" s="115"/>
      <c r="AH835" s="115"/>
      <c r="AI835" s="115"/>
      <c r="AJ835" s="115"/>
      <c r="AK835" s="115"/>
      <c r="AL835" s="115"/>
      <c r="AM835" s="115"/>
      <c r="AN835" s="115"/>
      <c r="AO835" s="115"/>
      <c r="AP835" s="115"/>
      <c r="AQ835" s="115"/>
      <c r="AR835" s="115"/>
      <c r="AS835" s="115"/>
      <c r="AT835" s="115"/>
      <c r="AU835" s="115"/>
      <c r="AV835" s="115"/>
    </row>
    <row r="836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  <c r="AA836" s="115"/>
      <c r="AB836" s="115"/>
      <c r="AC836" s="115"/>
      <c r="AD836" s="115"/>
      <c r="AE836" s="115"/>
      <c r="AF836" s="115"/>
      <c r="AG836" s="115"/>
      <c r="AH836" s="115"/>
      <c r="AI836" s="115"/>
      <c r="AJ836" s="115"/>
      <c r="AK836" s="115"/>
      <c r="AL836" s="115"/>
      <c r="AM836" s="115"/>
      <c r="AN836" s="115"/>
      <c r="AO836" s="115"/>
      <c r="AP836" s="115"/>
      <c r="AQ836" s="115"/>
      <c r="AR836" s="115"/>
      <c r="AS836" s="115"/>
      <c r="AT836" s="115"/>
      <c r="AU836" s="115"/>
      <c r="AV836" s="115"/>
    </row>
    <row r="837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  <c r="AA837" s="115"/>
      <c r="AB837" s="115"/>
      <c r="AC837" s="115"/>
      <c r="AD837" s="115"/>
      <c r="AE837" s="115"/>
      <c r="AF837" s="115"/>
      <c r="AG837" s="115"/>
      <c r="AH837" s="115"/>
      <c r="AI837" s="115"/>
      <c r="AJ837" s="115"/>
      <c r="AK837" s="115"/>
      <c r="AL837" s="115"/>
      <c r="AM837" s="115"/>
      <c r="AN837" s="115"/>
      <c r="AO837" s="115"/>
      <c r="AP837" s="115"/>
      <c r="AQ837" s="115"/>
      <c r="AR837" s="115"/>
      <c r="AS837" s="115"/>
      <c r="AT837" s="115"/>
      <c r="AU837" s="115"/>
      <c r="AV837" s="115"/>
    </row>
    <row r="838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  <c r="AA838" s="115"/>
      <c r="AB838" s="115"/>
      <c r="AC838" s="115"/>
      <c r="AD838" s="115"/>
      <c r="AE838" s="115"/>
      <c r="AF838" s="115"/>
      <c r="AG838" s="115"/>
      <c r="AH838" s="115"/>
      <c r="AI838" s="115"/>
      <c r="AJ838" s="115"/>
      <c r="AK838" s="115"/>
      <c r="AL838" s="115"/>
      <c r="AM838" s="115"/>
      <c r="AN838" s="115"/>
      <c r="AO838" s="115"/>
      <c r="AP838" s="115"/>
      <c r="AQ838" s="115"/>
      <c r="AR838" s="115"/>
      <c r="AS838" s="115"/>
      <c r="AT838" s="115"/>
      <c r="AU838" s="115"/>
      <c r="AV838" s="115"/>
    </row>
    <row r="839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  <c r="AA839" s="115"/>
      <c r="AB839" s="115"/>
      <c r="AC839" s="115"/>
      <c r="AD839" s="115"/>
      <c r="AE839" s="115"/>
      <c r="AF839" s="115"/>
      <c r="AG839" s="115"/>
      <c r="AH839" s="115"/>
      <c r="AI839" s="115"/>
      <c r="AJ839" s="115"/>
      <c r="AK839" s="115"/>
      <c r="AL839" s="115"/>
      <c r="AM839" s="115"/>
      <c r="AN839" s="115"/>
      <c r="AO839" s="115"/>
      <c r="AP839" s="115"/>
      <c r="AQ839" s="115"/>
      <c r="AR839" s="115"/>
      <c r="AS839" s="115"/>
      <c r="AT839" s="115"/>
      <c r="AU839" s="115"/>
      <c r="AV839" s="115"/>
    </row>
    <row r="840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  <c r="AA840" s="115"/>
      <c r="AB840" s="115"/>
      <c r="AC840" s="115"/>
      <c r="AD840" s="115"/>
      <c r="AE840" s="115"/>
      <c r="AF840" s="115"/>
      <c r="AG840" s="115"/>
      <c r="AH840" s="115"/>
      <c r="AI840" s="115"/>
      <c r="AJ840" s="115"/>
      <c r="AK840" s="115"/>
      <c r="AL840" s="115"/>
      <c r="AM840" s="115"/>
      <c r="AN840" s="115"/>
      <c r="AO840" s="115"/>
      <c r="AP840" s="115"/>
      <c r="AQ840" s="115"/>
      <c r="AR840" s="115"/>
      <c r="AS840" s="115"/>
      <c r="AT840" s="115"/>
      <c r="AU840" s="115"/>
      <c r="AV840" s="115"/>
    </row>
    <row r="841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  <c r="AA841" s="115"/>
      <c r="AB841" s="115"/>
      <c r="AC841" s="115"/>
      <c r="AD841" s="115"/>
      <c r="AE841" s="115"/>
      <c r="AF841" s="115"/>
      <c r="AG841" s="115"/>
      <c r="AH841" s="115"/>
      <c r="AI841" s="115"/>
      <c r="AJ841" s="115"/>
      <c r="AK841" s="115"/>
      <c r="AL841" s="115"/>
      <c r="AM841" s="115"/>
      <c r="AN841" s="115"/>
      <c r="AO841" s="115"/>
      <c r="AP841" s="115"/>
      <c r="AQ841" s="115"/>
      <c r="AR841" s="115"/>
      <c r="AS841" s="115"/>
      <c r="AT841" s="115"/>
      <c r="AU841" s="115"/>
      <c r="AV841" s="115"/>
    </row>
    <row r="842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  <c r="AA842" s="115"/>
      <c r="AB842" s="115"/>
      <c r="AC842" s="115"/>
      <c r="AD842" s="115"/>
      <c r="AE842" s="115"/>
      <c r="AF842" s="115"/>
      <c r="AG842" s="115"/>
      <c r="AH842" s="115"/>
      <c r="AI842" s="115"/>
      <c r="AJ842" s="115"/>
      <c r="AK842" s="115"/>
      <c r="AL842" s="115"/>
      <c r="AM842" s="115"/>
      <c r="AN842" s="115"/>
      <c r="AO842" s="115"/>
      <c r="AP842" s="115"/>
      <c r="AQ842" s="115"/>
      <c r="AR842" s="115"/>
      <c r="AS842" s="115"/>
      <c r="AT842" s="115"/>
      <c r="AU842" s="115"/>
      <c r="AV842" s="115"/>
    </row>
    <row r="843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  <c r="AA843" s="115"/>
      <c r="AB843" s="115"/>
      <c r="AC843" s="115"/>
      <c r="AD843" s="115"/>
      <c r="AE843" s="115"/>
      <c r="AF843" s="115"/>
      <c r="AG843" s="115"/>
      <c r="AH843" s="115"/>
      <c r="AI843" s="115"/>
      <c r="AJ843" s="115"/>
      <c r="AK843" s="115"/>
      <c r="AL843" s="115"/>
      <c r="AM843" s="115"/>
      <c r="AN843" s="115"/>
      <c r="AO843" s="115"/>
      <c r="AP843" s="115"/>
      <c r="AQ843" s="115"/>
      <c r="AR843" s="115"/>
      <c r="AS843" s="115"/>
      <c r="AT843" s="115"/>
      <c r="AU843" s="115"/>
      <c r="AV843" s="115"/>
    </row>
    <row r="844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  <c r="AA844" s="115"/>
      <c r="AB844" s="115"/>
      <c r="AC844" s="115"/>
      <c r="AD844" s="115"/>
      <c r="AE844" s="115"/>
      <c r="AF844" s="115"/>
      <c r="AG844" s="115"/>
      <c r="AH844" s="115"/>
      <c r="AI844" s="115"/>
      <c r="AJ844" s="115"/>
      <c r="AK844" s="115"/>
      <c r="AL844" s="115"/>
      <c r="AM844" s="115"/>
      <c r="AN844" s="115"/>
      <c r="AO844" s="115"/>
      <c r="AP844" s="115"/>
      <c r="AQ844" s="115"/>
      <c r="AR844" s="115"/>
      <c r="AS844" s="115"/>
      <c r="AT844" s="115"/>
      <c r="AU844" s="115"/>
      <c r="AV844" s="115"/>
    </row>
    <row r="845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  <c r="AA845" s="115"/>
      <c r="AB845" s="115"/>
      <c r="AC845" s="115"/>
      <c r="AD845" s="115"/>
      <c r="AE845" s="115"/>
      <c r="AF845" s="115"/>
      <c r="AG845" s="115"/>
      <c r="AH845" s="115"/>
      <c r="AI845" s="115"/>
      <c r="AJ845" s="115"/>
      <c r="AK845" s="115"/>
      <c r="AL845" s="115"/>
      <c r="AM845" s="115"/>
      <c r="AN845" s="115"/>
      <c r="AO845" s="115"/>
      <c r="AP845" s="115"/>
      <c r="AQ845" s="115"/>
      <c r="AR845" s="115"/>
      <c r="AS845" s="115"/>
      <c r="AT845" s="115"/>
      <c r="AU845" s="115"/>
      <c r="AV845" s="115"/>
    </row>
    <row r="846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  <c r="AA846" s="115"/>
      <c r="AB846" s="115"/>
      <c r="AC846" s="115"/>
      <c r="AD846" s="115"/>
      <c r="AE846" s="115"/>
      <c r="AF846" s="115"/>
      <c r="AG846" s="115"/>
      <c r="AH846" s="115"/>
      <c r="AI846" s="115"/>
      <c r="AJ846" s="115"/>
      <c r="AK846" s="115"/>
      <c r="AL846" s="115"/>
      <c r="AM846" s="115"/>
      <c r="AN846" s="115"/>
      <c r="AO846" s="115"/>
      <c r="AP846" s="115"/>
      <c r="AQ846" s="115"/>
      <c r="AR846" s="115"/>
      <c r="AS846" s="115"/>
      <c r="AT846" s="115"/>
      <c r="AU846" s="115"/>
      <c r="AV846" s="115"/>
    </row>
    <row r="847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  <c r="AA847" s="115"/>
      <c r="AB847" s="115"/>
      <c r="AC847" s="115"/>
      <c r="AD847" s="115"/>
      <c r="AE847" s="115"/>
      <c r="AF847" s="115"/>
      <c r="AG847" s="115"/>
      <c r="AH847" s="115"/>
      <c r="AI847" s="115"/>
      <c r="AJ847" s="115"/>
      <c r="AK847" s="115"/>
      <c r="AL847" s="115"/>
      <c r="AM847" s="115"/>
      <c r="AN847" s="115"/>
      <c r="AO847" s="115"/>
      <c r="AP847" s="115"/>
      <c r="AQ847" s="115"/>
      <c r="AR847" s="115"/>
      <c r="AS847" s="115"/>
      <c r="AT847" s="115"/>
      <c r="AU847" s="115"/>
      <c r="AV847" s="115"/>
    </row>
    <row r="848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  <c r="AA848" s="115"/>
      <c r="AB848" s="115"/>
      <c r="AC848" s="115"/>
      <c r="AD848" s="115"/>
      <c r="AE848" s="115"/>
      <c r="AF848" s="115"/>
      <c r="AG848" s="115"/>
      <c r="AH848" s="115"/>
      <c r="AI848" s="115"/>
      <c r="AJ848" s="115"/>
      <c r="AK848" s="115"/>
      <c r="AL848" s="115"/>
      <c r="AM848" s="115"/>
      <c r="AN848" s="115"/>
      <c r="AO848" s="115"/>
      <c r="AP848" s="115"/>
      <c r="AQ848" s="115"/>
      <c r="AR848" s="115"/>
      <c r="AS848" s="115"/>
      <c r="AT848" s="115"/>
      <c r="AU848" s="115"/>
      <c r="AV848" s="115"/>
    </row>
    <row r="849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  <c r="AA849" s="115"/>
      <c r="AB849" s="115"/>
      <c r="AC849" s="115"/>
      <c r="AD849" s="115"/>
      <c r="AE849" s="115"/>
      <c r="AF849" s="115"/>
      <c r="AG849" s="115"/>
      <c r="AH849" s="115"/>
      <c r="AI849" s="115"/>
      <c r="AJ849" s="115"/>
      <c r="AK849" s="115"/>
      <c r="AL849" s="115"/>
      <c r="AM849" s="115"/>
      <c r="AN849" s="115"/>
      <c r="AO849" s="115"/>
      <c r="AP849" s="115"/>
      <c r="AQ849" s="115"/>
      <c r="AR849" s="115"/>
      <c r="AS849" s="115"/>
      <c r="AT849" s="115"/>
      <c r="AU849" s="115"/>
      <c r="AV849" s="115"/>
    </row>
    <row r="850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  <c r="AA850" s="115"/>
      <c r="AB850" s="115"/>
      <c r="AC850" s="115"/>
      <c r="AD850" s="115"/>
      <c r="AE850" s="115"/>
      <c r="AF850" s="115"/>
      <c r="AG850" s="115"/>
      <c r="AH850" s="115"/>
      <c r="AI850" s="115"/>
      <c r="AJ850" s="115"/>
      <c r="AK850" s="115"/>
      <c r="AL850" s="115"/>
      <c r="AM850" s="115"/>
      <c r="AN850" s="115"/>
      <c r="AO850" s="115"/>
      <c r="AP850" s="115"/>
      <c r="AQ850" s="115"/>
      <c r="AR850" s="115"/>
      <c r="AS850" s="115"/>
      <c r="AT850" s="115"/>
      <c r="AU850" s="115"/>
      <c r="AV850" s="115"/>
    </row>
    <row r="851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  <c r="AA851" s="115"/>
      <c r="AB851" s="115"/>
      <c r="AC851" s="115"/>
      <c r="AD851" s="115"/>
      <c r="AE851" s="115"/>
      <c r="AF851" s="115"/>
      <c r="AG851" s="115"/>
      <c r="AH851" s="115"/>
      <c r="AI851" s="115"/>
      <c r="AJ851" s="115"/>
      <c r="AK851" s="115"/>
      <c r="AL851" s="115"/>
      <c r="AM851" s="115"/>
      <c r="AN851" s="115"/>
      <c r="AO851" s="115"/>
      <c r="AP851" s="115"/>
      <c r="AQ851" s="115"/>
      <c r="AR851" s="115"/>
      <c r="AS851" s="115"/>
      <c r="AT851" s="115"/>
      <c r="AU851" s="115"/>
      <c r="AV851" s="115"/>
    </row>
    <row r="852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  <c r="AA852" s="115"/>
      <c r="AB852" s="115"/>
      <c r="AC852" s="115"/>
      <c r="AD852" s="115"/>
      <c r="AE852" s="115"/>
      <c r="AF852" s="115"/>
      <c r="AG852" s="115"/>
      <c r="AH852" s="115"/>
      <c r="AI852" s="115"/>
      <c r="AJ852" s="115"/>
      <c r="AK852" s="115"/>
      <c r="AL852" s="115"/>
      <c r="AM852" s="115"/>
      <c r="AN852" s="115"/>
      <c r="AO852" s="115"/>
      <c r="AP852" s="115"/>
      <c r="AQ852" s="115"/>
      <c r="AR852" s="115"/>
      <c r="AS852" s="115"/>
      <c r="AT852" s="115"/>
      <c r="AU852" s="115"/>
      <c r="AV852" s="115"/>
    </row>
    <row r="853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  <c r="AA853" s="115"/>
      <c r="AB853" s="115"/>
      <c r="AC853" s="115"/>
      <c r="AD853" s="115"/>
      <c r="AE853" s="115"/>
      <c r="AF853" s="115"/>
      <c r="AG853" s="115"/>
      <c r="AH853" s="115"/>
      <c r="AI853" s="115"/>
      <c r="AJ853" s="115"/>
      <c r="AK853" s="115"/>
      <c r="AL853" s="115"/>
      <c r="AM853" s="115"/>
      <c r="AN853" s="115"/>
      <c r="AO853" s="115"/>
      <c r="AP853" s="115"/>
      <c r="AQ853" s="115"/>
      <c r="AR853" s="115"/>
      <c r="AS853" s="115"/>
      <c r="AT853" s="115"/>
      <c r="AU853" s="115"/>
      <c r="AV853" s="115"/>
    </row>
    <row r="854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  <c r="AA854" s="115"/>
      <c r="AB854" s="115"/>
      <c r="AC854" s="115"/>
      <c r="AD854" s="115"/>
      <c r="AE854" s="115"/>
      <c r="AF854" s="115"/>
      <c r="AG854" s="115"/>
      <c r="AH854" s="115"/>
      <c r="AI854" s="115"/>
      <c r="AJ854" s="115"/>
      <c r="AK854" s="115"/>
      <c r="AL854" s="115"/>
      <c r="AM854" s="115"/>
      <c r="AN854" s="115"/>
      <c r="AO854" s="115"/>
      <c r="AP854" s="115"/>
      <c r="AQ854" s="115"/>
      <c r="AR854" s="115"/>
      <c r="AS854" s="115"/>
      <c r="AT854" s="115"/>
      <c r="AU854" s="115"/>
      <c r="AV854" s="115"/>
    </row>
    <row r="855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  <c r="AA855" s="115"/>
      <c r="AB855" s="115"/>
      <c r="AC855" s="115"/>
      <c r="AD855" s="115"/>
      <c r="AE855" s="115"/>
      <c r="AF855" s="115"/>
      <c r="AG855" s="115"/>
      <c r="AH855" s="115"/>
      <c r="AI855" s="115"/>
      <c r="AJ855" s="115"/>
      <c r="AK855" s="115"/>
      <c r="AL855" s="115"/>
      <c r="AM855" s="115"/>
      <c r="AN855" s="115"/>
      <c r="AO855" s="115"/>
      <c r="AP855" s="115"/>
      <c r="AQ855" s="115"/>
      <c r="AR855" s="115"/>
      <c r="AS855" s="115"/>
      <c r="AT855" s="115"/>
      <c r="AU855" s="115"/>
      <c r="AV855" s="115"/>
    </row>
    <row r="856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  <c r="AA856" s="115"/>
      <c r="AB856" s="115"/>
      <c r="AC856" s="115"/>
      <c r="AD856" s="115"/>
      <c r="AE856" s="115"/>
      <c r="AF856" s="115"/>
      <c r="AG856" s="115"/>
      <c r="AH856" s="115"/>
      <c r="AI856" s="115"/>
      <c r="AJ856" s="115"/>
      <c r="AK856" s="115"/>
      <c r="AL856" s="115"/>
      <c r="AM856" s="115"/>
      <c r="AN856" s="115"/>
      <c r="AO856" s="115"/>
      <c r="AP856" s="115"/>
      <c r="AQ856" s="115"/>
      <c r="AR856" s="115"/>
      <c r="AS856" s="115"/>
      <c r="AT856" s="115"/>
      <c r="AU856" s="115"/>
      <c r="AV856" s="115"/>
    </row>
    <row r="857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  <c r="AA857" s="115"/>
      <c r="AB857" s="115"/>
      <c r="AC857" s="115"/>
      <c r="AD857" s="115"/>
      <c r="AE857" s="115"/>
      <c r="AF857" s="115"/>
      <c r="AG857" s="115"/>
      <c r="AH857" s="115"/>
      <c r="AI857" s="115"/>
      <c r="AJ857" s="115"/>
      <c r="AK857" s="115"/>
      <c r="AL857" s="115"/>
      <c r="AM857" s="115"/>
      <c r="AN857" s="115"/>
      <c r="AO857" s="115"/>
      <c r="AP857" s="115"/>
      <c r="AQ857" s="115"/>
      <c r="AR857" s="115"/>
      <c r="AS857" s="115"/>
      <c r="AT857" s="115"/>
      <c r="AU857" s="115"/>
      <c r="AV857" s="115"/>
    </row>
    <row r="858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  <c r="AA858" s="115"/>
      <c r="AB858" s="115"/>
      <c r="AC858" s="115"/>
      <c r="AD858" s="115"/>
      <c r="AE858" s="115"/>
      <c r="AF858" s="115"/>
      <c r="AG858" s="115"/>
      <c r="AH858" s="115"/>
      <c r="AI858" s="115"/>
      <c r="AJ858" s="115"/>
      <c r="AK858" s="115"/>
      <c r="AL858" s="115"/>
      <c r="AM858" s="115"/>
      <c r="AN858" s="115"/>
      <c r="AO858" s="115"/>
      <c r="AP858" s="115"/>
      <c r="AQ858" s="115"/>
      <c r="AR858" s="115"/>
      <c r="AS858" s="115"/>
      <c r="AT858" s="115"/>
      <c r="AU858" s="115"/>
      <c r="AV858" s="115"/>
    </row>
    <row r="859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  <c r="AA859" s="115"/>
      <c r="AB859" s="115"/>
      <c r="AC859" s="115"/>
      <c r="AD859" s="115"/>
      <c r="AE859" s="115"/>
      <c r="AF859" s="115"/>
      <c r="AG859" s="115"/>
      <c r="AH859" s="115"/>
      <c r="AI859" s="115"/>
      <c r="AJ859" s="115"/>
      <c r="AK859" s="115"/>
      <c r="AL859" s="115"/>
      <c r="AM859" s="115"/>
      <c r="AN859" s="115"/>
      <c r="AO859" s="115"/>
      <c r="AP859" s="115"/>
      <c r="AQ859" s="115"/>
      <c r="AR859" s="115"/>
      <c r="AS859" s="115"/>
      <c r="AT859" s="115"/>
      <c r="AU859" s="115"/>
      <c r="AV859" s="115"/>
    </row>
    <row r="860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  <c r="AA860" s="115"/>
      <c r="AB860" s="115"/>
      <c r="AC860" s="115"/>
      <c r="AD860" s="115"/>
      <c r="AE860" s="115"/>
      <c r="AF860" s="115"/>
      <c r="AG860" s="115"/>
      <c r="AH860" s="115"/>
      <c r="AI860" s="115"/>
      <c r="AJ860" s="115"/>
      <c r="AK860" s="115"/>
      <c r="AL860" s="115"/>
      <c r="AM860" s="115"/>
      <c r="AN860" s="115"/>
      <c r="AO860" s="115"/>
      <c r="AP860" s="115"/>
      <c r="AQ860" s="115"/>
      <c r="AR860" s="115"/>
      <c r="AS860" s="115"/>
      <c r="AT860" s="115"/>
      <c r="AU860" s="115"/>
      <c r="AV860" s="115"/>
    </row>
    <row r="861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  <c r="AA861" s="115"/>
      <c r="AB861" s="115"/>
      <c r="AC861" s="115"/>
      <c r="AD861" s="115"/>
      <c r="AE861" s="115"/>
      <c r="AF861" s="115"/>
      <c r="AG861" s="115"/>
      <c r="AH861" s="115"/>
      <c r="AI861" s="115"/>
      <c r="AJ861" s="115"/>
      <c r="AK861" s="115"/>
      <c r="AL861" s="115"/>
      <c r="AM861" s="115"/>
      <c r="AN861" s="115"/>
      <c r="AO861" s="115"/>
      <c r="AP861" s="115"/>
      <c r="AQ861" s="115"/>
      <c r="AR861" s="115"/>
      <c r="AS861" s="115"/>
      <c r="AT861" s="115"/>
      <c r="AU861" s="115"/>
      <c r="AV861" s="115"/>
    </row>
    <row r="862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  <c r="AA862" s="115"/>
      <c r="AB862" s="115"/>
      <c r="AC862" s="115"/>
      <c r="AD862" s="115"/>
      <c r="AE862" s="115"/>
      <c r="AF862" s="115"/>
      <c r="AG862" s="115"/>
      <c r="AH862" s="115"/>
      <c r="AI862" s="115"/>
      <c r="AJ862" s="115"/>
      <c r="AK862" s="115"/>
      <c r="AL862" s="115"/>
      <c r="AM862" s="115"/>
      <c r="AN862" s="115"/>
      <c r="AO862" s="115"/>
      <c r="AP862" s="115"/>
      <c r="AQ862" s="115"/>
      <c r="AR862" s="115"/>
      <c r="AS862" s="115"/>
      <c r="AT862" s="115"/>
      <c r="AU862" s="115"/>
      <c r="AV862" s="115"/>
    </row>
    <row r="863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  <c r="AA863" s="115"/>
      <c r="AB863" s="115"/>
      <c r="AC863" s="115"/>
      <c r="AD863" s="115"/>
      <c r="AE863" s="115"/>
      <c r="AF863" s="115"/>
      <c r="AG863" s="115"/>
      <c r="AH863" s="115"/>
      <c r="AI863" s="115"/>
      <c r="AJ863" s="115"/>
      <c r="AK863" s="115"/>
      <c r="AL863" s="115"/>
      <c r="AM863" s="115"/>
      <c r="AN863" s="115"/>
      <c r="AO863" s="115"/>
      <c r="AP863" s="115"/>
      <c r="AQ863" s="115"/>
      <c r="AR863" s="115"/>
      <c r="AS863" s="115"/>
      <c r="AT863" s="115"/>
      <c r="AU863" s="115"/>
      <c r="AV863" s="115"/>
    </row>
    <row r="864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  <c r="AA864" s="115"/>
      <c r="AB864" s="115"/>
      <c r="AC864" s="115"/>
      <c r="AD864" s="115"/>
      <c r="AE864" s="115"/>
      <c r="AF864" s="115"/>
      <c r="AG864" s="115"/>
      <c r="AH864" s="115"/>
      <c r="AI864" s="115"/>
      <c r="AJ864" s="115"/>
      <c r="AK864" s="115"/>
      <c r="AL864" s="115"/>
      <c r="AM864" s="115"/>
      <c r="AN864" s="115"/>
      <c r="AO864" s="115"/>
      <c r="AP864" s="115"/>
      <c r="AQ864" s="115"/>
      <c r="AR864" s="115"/>
      <c r="AS864" s="115"/>
      <c r="AT864" s="115"/>
      <c r="AU864" s="115"/>
      <c r="AV864" s="115"/>
    </row>
    <row r="865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  <c r="AA865" s="115"/>
      <c r="AB865" s="115"/>
      <c r="AC865" s="115"/>
      <c r="AD865" s="115"/>
      <c r="AE865" s="115"/>
      <c r="AF865" s="115"/>
      <c r="AG865" s="115"/>
      <c r="AH865" s="115"/>
      <c r="AI865" s="115"/>
      <c r="AJ865" s="115"/>
      <c r="AK865" s="115"/>
      <c r="AL865" s="115"/>
      <c r="AM865" s="115"/>
      <c r="AN865" s="115"/>
      <c r="AO865" s="115"/>
      <c r="AP865" s="115"/>
      <c r="AQ865" s="115"/>
      <c r="AR865" s="115"/>
      <c r="AS865" s="115"/>
      <c r="AT865" s="115"/>
      <c r="AU865" s="115"/>
      <c r="AV865" s="115"/>
    </row>
    <row r="866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  <c r="AA866" s="115"/>
      <c r="AB866" s="115"/>
      <c r="AC866" s="115"/>
      <c r="AD866" s="115"/>
      <c r="AE866" s="115"/>
      <c r="AF866" s="115"/>
      <c r="AG866" s="115"/>
      <c r="AH866" s="115"/>
      <c r="AI866" s="115"/>
      <c r="AJ866" s="115"/>
      <c r="AK866" s="115"/>
      <c r="AL866" s="115"/>
      <c r="AM866" s="115"/>
      <c r="AN866" s="115"/>
      <c r="AO866" s="115"/>
      <c r="AP866" s="115"/>
      <c r="AQ866" s="115"/>
      <c r="AR866" s="115"/>
      <c r="AS866" s="115"/>
      <c r="AT866" s="115"/>
      <c r="AU866" s="115"/>
      <c r="AV866" s="115"/>
    </row>
    <row r="867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  <c r="AA867" s="115"/>
      <c r="AB867" s="115"/>
      <c r="AC867" s="115"/>
      <c r="AD867" s="115"/>
      <c r="AE867" s="115"/>
      <c r="AF867" s="115"/>
      <c r="AG867" s="115"/>
      <c r="AH867" s="115"/>
      <c r="AI867" s="115"/>
      <c r="AJ867" s="115"/>
      <c r="AK867" s="115"/>
      <c r="AL867" s="115"/>
      <c r="AM867" s="115"/>
      <c r="AN867" s="115"/>
      <c r="AO867" s="115"/>
      <c r="AP867" s="115"/>
      <c r="AQ867" s="115"/>
      <c r="AR867" s="115"/>
      <c r="AS867" s="115"/>
      <c r="AT867" s="115"/>
      <c r="AU867" s="115"/>
      <c r="AV867" s="115"/>
    </row>
    <row r="868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  <c r="AA868" s="115"/>
      <c r="AB868" s="115"/>
      <c r="AC868" s="115"/>
      <c r="AD868" s="115"/>
      <c r="AE868" s="115"/>
      <c r="AF868" s="115"/>
      <c r="AG868" s="115"/>
      <c r="AH868" s="115"/>
      <c r="AI868" s="115"/>
      <c r="AJ868" s="115"/>
      <c r="AK868" s="115"/>
      <c r="AL868" s="115"/>
      <c r="AM868" s="115"/>
      <c r="AN868" s="115"/>
      <c r="AO868" s="115"/>
      <c r="AP868" s="115"/>
      <c r="AQ868" s="115"/>
      <c r="AR868" s="115"/>
      <c r="AS868" s="115"/>
      <c r="AT868" s="115"/>
      <c r="AU868" s="115"/>
      <c r="AV868" s="115"/>
    </row>
    <row r="869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  <c r="AA869" s="115"/>
      <c r="AB869" s="115"/>
      <c r="AC869" s="115"/>
      <c r="AD869" s="115"/>
      <c r="AE869" s="115"/>
      <c r="AF869" s="115"/>
      <c r="AG869" s="115"/>
      <c r="AH869" s="115"/>
      <c r="AI869" s="115"/>
      <c r="AJ869" s="115"/>
      <c r="AK869" s="115"/>
      <c r="AL869" s="115"/>
      <c r="AM869" s="115"/>
      <c r="AN869" s="115"/>
      <c r="AO869" s="115"/>
      <c r="AP869" s="115"/>
      <c r="AQ869" s="115"/>
      <c r="AR869" s="115"/>
      <c r="AS869" s="115"/>
      <c r="AT869" s="115"/>
      <c r="AU869" s="115"/>
      <c r="AV869" s="115"/>
    </row>
    <row r="870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  <c r="AA870" s="115"/>
      <c r="AB870" s="115"/>
      <c r="AC870" s="115"/>
      <c r="AD870" s="115"/>
      <c r="AE870" s="115"/>
      <c r="AF870" s="115"/>
      <c r="AG870" s="115"/>
      <c r="AH870" s="115"/>
      <c r="AI870" s="115"/>
      <c r="AJ870" s="115"/>
      <c r="AK870" s="115"/>
      <c r="AL870" s="115"/>
      <c r="AM870" s="115"/>
      <c r="AN870" s="115"/>
      <c r="AO870" s="115"/>
      <c r="AP870" s="115"/>
      <c r="AQ870" s="115"/>
      <c r="AR870" s="115"/>
      <c r="AS870" s="115"/>
      <c r="AT870" s="115"/>
      <c r="AU870" s="115"/>
      <c r="AV870" s="115"/>
    </row>
    <row r="871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  <c r="AA871" s="115"/>
      <c r="AB871" s="115"/>
      <c r="AC871" s="115"/>
      <c r="AD871" s="115"/>
      <c r="AE871" s="115"/>
      <c r="AF871" s="115"/>
      <c r="AG871" s="115"/>
      <c r="AH871" s="115"/>
      <c r="AI871" s="115"/>
      <c r="AJ871" s="115"/>
      <c r="AK871" s="115"/>
      <c r="AL871" s="115"/>
      <c r="AM871" s="115"/>
      <c r="AN871" s="115"/>
      <c r="AO871" s="115"/>
      <c r="AP871" s="115"/>
      <c r="AQ871" s="115"/>
      <c r="AR871" s="115"/>
      <c r="AS871" s="115"/>
      <c r="AT871" s="115"/>
      <c r="AU871" s="115"/>
      <c r="AV871" s="115"/>
    </row>
    <row r="872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  <c r="AA872" s="115"/>
      <c r="AB872" s="115"/>
      <c r="AC872" s="115"/>
      <c r="AD872" s="115"/>
      <c r="AE872" s="115"/>
      <c r="AF872" s="115"/>
      <c r="AG872" s="115"/>
      <c r="AH872" s="115"/>
      <c r="AI872" s="115"/>
      <c r="AJ872" s="115"/>
      <c r="AK872" s="115"/>
      <c r="AL872" s="115"/>
      <c r="AM872" s="115"/>
      <c r="AN872" s="115"/>
      <c r="AO872" s="115"/>
      <c r="AP872" s="115"/>
      <c r="AQ872" s="115"/>
      <c r="AR872" s="115"/>
      <c r="AS872" s="115"/>
      <c r="AT872" s="115"/>
      <c r="AU872" s="115"/>
      <c r="AV872" s="115"/>
    </row>
    <row r="873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  <c r="AA873" s="115"/>
      <c r="AB873" s="115"/>
      <c r="AC873" s="115"/>
      <c r="AD873" s="115"/>
      <c r="AE873" s="115"/>
      <c r="AF873" s="115"/>
      <c r="AG873" s="115"/>
      <c r="AH873" s="115"/>
      <c r="AI873" s="115"/>
      <c r="AJ873" s="115"/>
      <c r="AK873" s="115"/>
      <c r="AL873" s="115"/>
      <c r="AM873" s="115"/>
      <c r="AN873" s="115"/>
      <c r="AO873" s="115"/>
      <c r="AP873" s="115"/>
      <c r="AQ873" s="115"/>
      <c r="AR873" s="115"/>
      <c r="AS873" s="115"/>
      <c r="AT873" s="115"/>
      <c r="AU873" s="115"/>
      <c r="AV873" s="115"/>
    </row>
    <row r="874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  <c r="AA874" s="115"/>
      <c r="AB874" s="115"/>
      <c r="AC874" s="115"/>
      <c r="AD874" s="115"/>
      <c r="AE874" s="115"/>
      <c r="AF874" s="115"/>
      <c r="AG874" s="115"/>
      <c r="AH874" s="115"/>
      <c r="AI874" s="115"/>
      <c r="AJ874" s="115"/>
      <c r="AK874" s="115"/>
      <c r="AL874" s="115"/>
      <c r="AM874" s="115"/>
      <c r="AN874" s="115"/>
      <c r="AO874" s="115"/>
      <c r="AP874" s="115"/>
      <c r="AQ874" s="115"/>
      <c r="AR874" s="115"/>
      <c r="AS874" s="115"/>
      <c r="AT874" s="115"/>
      <c r="AU874" s="115"/>
      <c r="AV874" s="115"/>
    </row>
    <row r="875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  <c r="AA875" s="115"/>
      <c r="AB875" s="115"/>
      <c r="AC875" s="115"/>
      <c r="AD875" s="115"/>
      <c r="AE875" s="115"/>
      <c r="AF875" s="115"/>
      <c r="AG875" s="115"/>
      <c r="AH875" s="115"/>
      <c r="AI875" s="115"/>
      <c r="AJ875" s="115"/>
      <c r="AK875" s="115"/>
      <c r="AL875" s="115"/>
      <c r="AM875" s="115"/>
      <c r="AN875" s="115"/>
      <c r="AO875" s="115"/>
      <c r="AP875" s="115"/>
      <c r="AQ875" s="115"/>
      <c r="AR875" s="115"/>
      <c r="AS875" s="115"/>
      <c r="AT875" s="115"/>
      <c r="AU875" s="115"/>
      <c r="AV875" s="115"/>
    </row>
    <row r="876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  <c r="AA876" s="115"/>
      <c r="AB876" s="115"/>
      <c r="AC876" s="115"/>
      <c r="AD876" s="115"/>
      <c r="AE876" s="115"/>
      <c r="AF876" s="115"/>
      <c r="AG876" s="115"/>
      <c r="AH876" s="115"/>
      <c r="AI876" s="115"/>
      <c r="AJ876" s="115"/>
      <c r="AK876" s="115"/>
      <c r="AL876" s="115"/>
      <c r="AM876" s="115"/>
      <c r="AN876" s="115"/>
      <c r="AO876" s="115"/>
      <c r="AP876" s="115"/>
      <c r="AQ876" s="115"/>
      <c r="AR876" s="115"/>
      <c r="AS876" s="115"/>
      <c r="AT876" s="115"/>
      <c r="AU876" s="115"/>
      <c r="AV876" s="115"/>
    </row>
    <row r="877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  <c r="AA877" s="115"/>
      <c r="AB877" s="115"/>
      <c r="AC877" s="115"/>
      <c r="AD877" s="115"/>
      <c r="AE877" s="115"/>
      <c r="AF877" s="115"/>
      <c r="AG877" s="115"/>
      <c r="AH877" s="115"/>
      <c r="AI877" s="115"/>
      <c r="AJ877" s="115"/>
      <c r="AK877" s="115"/>
      <c r="AL877" s="115"/>
      <c r="AM877" s="115"/>
      <c r="AN877" s="115"/>
      <c r="AO877" s="115"/>
      <c r="AP877" s="115"/>
      <c r="AQ877" s="115"/>
      <c r="AR877" s="115"/>
      <c r="AS877" s="115"/>
      <c r="AT877" s="115"/>
      <c r="AU877" s="115"/>
      <c r="AV877" s="115"/>
    </row>
    <row r="878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  <c r="AA878" s="115"/>
      <c r="AB878" s="115"/>
      <c r="AC878" s="115"/>
      <c r="AD878" s="115"/>
      <c r="AE878" s="115"/>
      <c r="AF878" s="115"/>
      <c r="AG878" s="115"/>
      <c r="AH878" s="115"/>
      <c r="AI878" s="115"/>
      <c r="AJ878" s="115"/>
      <c r="AK878" s="115"/>
      <c r="AL878" s="115"/>
      <c r="AM878" s="115"/>
      <c r="AN878" s="115"/>
      <c r="AO878" s="115"/>
      <c r="AP878" s="115"/>
      <c r="AQ878" s="115"/>
      <c r="AR878" s="115"/>
      <c r="AS878" s="115"/>
      <c r="AT878" s="115"/>
      <c r="AU878" s="115"/>
      <c r="AV878" s="115"/>
    </row>
    <row r="879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  <c r="AA879" s="115"/>
      <c r="AB879" s="115"/>
      <c r="AC879" s="115"/>
      <c r="AD879" s="115"/>
      <c r="AE879" s="115"/>
      <c r="AF879" s="115"/>
      <c r="AG879" s="115"/>
      <c r="AH879" s="115"/>
      <c r="AI879" s="115"/>
      <c r="AJ879" s="115"/>
      <c r="AK879" s="115"/>
      <c r="AL879" s="115"/>
      <c r="AM879" s="115"/>
      <c r="AN879" s="115"/>
      <c r="AO879" s="115"/>
      <c r="AP879" s="115"/>
      <c r="AQ879" s="115"/>
      <c r="AR879" s="115"/>
      <c r="AS879" s="115"/>
      <c r="AT879" s="115"/>
      <c r="AU879" s="115"/>
      <c r="AV879" s="115"/>
    </row>
    <row r="880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  <c r="AA880" s="115"/>
      <c r="AB880" s="115"/>
      <c r="AC880" s="115"/>
      <c r="AD880" s="115"/>
      <c r="AE880" s="115"/>
      <c r="AF880" s="115"/>
      <c r="AG880" s="115"/>
      <c r="AH880" s="115"/>
      <c r="AI880" s="115"/>
      <c r="AJ880" s="115"/>
      <c r="AK880" s="115"/>
      <c r="AL880" s="115"/>
      <c r="AM880" s="115"/>
      <c r="AN880" s="115"/>
      <c r="AO880" s="115"/>
      <c r="AP880" s="115"/>
      <c r="AQ880" s="115"/>
      <c r="AR880" s="115"/>
      <c r="AS880" s="115"/>
      <c r="AT880" s="115"/>
      <c r="AU880" s="115"/>
      <c r="AV880" s="115"/>
    </row>
    <row r="881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  <c r="AA881" s="115"/>
      <c r="AB881" s="115"/>
      <c r="AC881" s="115"/>
      <c r="AD881" s="115"/>
      <c r="AE881" s="115"/>
      <c r="AF881" s="115"/>
      <c r="AG881" s="115"/>
      <c r="AH881" s="115"/>
      <c r="AI881" s="115"/>
      <c r="AJ881" s="115"/>
      <c r="AK881" s="115"/>
      <c r="AL881" s="115"/>
      <c r="AM881" s="115"/>
      <c r="AN881" s="115"/>
      <c r="AO881" s="115"/>
      <c r="AP881" s="115"/>
      <c r="AQ881" s="115"/>
      <c r="AR881" s="115"/>
      <c r="AS881" s="115"/>
      <c r="AT881" s="115"/>
      <c r="AU881" s="115"/>
      <c r="AV881" s="115"/>
    </row>
    <row r="882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  <c r="AA882" s="115"/>
      <c r="AB882" s="115"/>
      <c r="AC882" s="115"/>
      <c r="AD882" s="115"/>
      <c r="AE882" s="115"/>
      <c r="AF882" s="115"/>
      <c r="AG882" s="115"/>
      <c r="AH882" s="115"/>
      <c r="AI882" s="115"/>
      <c r="AJ882" s="115"/>
      <c r="AK882" s="115"/>
      <c r="AL882" s="115"/>
      <c r="AM882" s="115"/>
      <c r="AN882" s="115"/>
      <c r="AO882" s="115"/>
      <c r="AP882" s="115"/>
      <c r="AQ882" s="115"/>
      <c r="AR882" s="115"/>
      <c r="AS882" s="115"/>
      <c r="AT882" s="115"/>
      <c r="AU882" s="115"/>
      <c r="AV882" s="115"/>
    </row>
    <row r="883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  <c r="AA883" s="115"/>
      <c r="AB883" s="115"/>
      <c r="AC883" s="115"/>
      <c r="AD883" s="115"/>
      <c r="AE883" s="115"/>
      <c r="AF883" s="115"/>
      <c r="AG883" s="115"/>
      <c r="AH883" s="115"/>
      <c r="AI883" s="115"/>
      <c r="AJ883" s="115"/>
      <c r="AK883" s="115"/>
      <c r="AL883" s="115"/>
      <c r="AM883" s="115"/>
      <c r="AN883" s="115"/>
      <c r="AO883" s="115"/>
      <c r="AP883" s="115"/>
      <c r="AQ883" s="115"/>
      <c r="AR883" s="115"/>
      <c r="AS883" s="115"/>
      <c r="AT883" s="115"/>
      <c r="AU883" s="115"/>
      <c r="AV883" s="115"/>
    </row>
    <row r="884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  <c r="AA884" s="115"/>
      <c r="AB884" s="115"/>
      <c r="AC884" s="115"/>
      <c r="AD884" s="115"/>
      <c r="AE884" s="115"/>
      <c r="AF884" s="115"/>
      <c r="AG884" s="115"/>
      <c r="AH884" s="115"/>
      <c r="AI884" s="115"/>
      <c r="AJ884" s="115"/>
      <c r="AK884" s="115"/>
      <c r="AL884" s="115"/>
      <c r="AM884" s="115"/>
      <c r="AN884" s="115"/>
      <c r="AO884" s="115"/>
      <c r="AP884" s="115"/>
      <c r="AQ884" s="115"/>
      <c r="AR884" s="115"/>
      <c r="AS884" s="115"/>
      <c r="AT884" s="115"/>
      <c r="AU884" s="115"/>
      <c r="AV884" s="115"/>
    </row>
    <row r="885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  <c r="AA885" s="115"/>
      <c r="AB885" s="115"/>
      <c r="AC885" s="115"/>
      <c r="AD885" s="115"/>
      <c r="AE885" s="115"/>
      <c r="AF885" s="115"/>
      <c r="AG885" s="115"/>
      <c r="AH885" s="115"/>
      <c r="AI885" s="115"/>
      <c r="AJ885" s="115"/>
      <c r="AK885" s="115"/>
      <c r="AL885" s="115"/>
      <c r="AM885" s="115"/>
      <c r="AN885" s="115"/>
      <c r="AO885" s="115"/>
      <c r="AP885" s="115"/>
      <c r="AQ885" s="115"/>
      <c r="AR885" s="115"/>
      <c r="AS885" s="115"/>
      <c r="AT885" s="115"/>
      <c r="AU885" s="115"/>
      <c r="AV885" s="115"/>
    </row>
    <row r="886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  <c r="AA886" s="115"/>
      <c r="AB886" s="115"/>
      <c r="AC886" s="115"/>
      <c r="AD886" s="115"/>
      <c r="AE886" s="115"/>
      <c r="AF886" s="115"/>
      <c r="AG886" s="115"/>
      <c r="AH886" s="115"/>
      <c r="AI886" s="115"/>
      <c r="AJ886" s="115"/>
      <c r="AK886" s="115"/>
      <c r="AL886" s="115"/>
      <c r="AM886" s="115"/>
      <c r="AN886" s="115"/>
      <c r="AO886" s="115"/>
      <c r="AP886" s="115"/>
      <c r="AQ886" s="115"/>
      <c r="AR886" s="115"/>
      <c r="AS886" s="115"/>
      <c r="AT886" s="115"/>
      <c r="AU886" s="115"/>
      <c r="AV886" s="115"/>
    </row>
    <row r="887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  <c r="AA887" s="115"/>
      <c r="AB887" s="115"/>
      <c r="AC887" s="115"/>
      <c r="AD887" s="115"/>
      <c r="AE887" s="115"/>
      <c r="AF887" s="115"/>
      <c r="AG887" s="115"/>
      <c r="AH887" s="115"/>
      <c r="AI887" s="115"/>
      <c r="AJ887" s="115"/>
      <c r="AK887" s="115"/>
      <c r="AL887" s="115"/>
      <c r="AM887" s="115"/>
      <c r="AN887" s="115"/>
      <c r="AO887" s="115"/>
      <c r="AP887" s="115"/>
      <c r="AQ887" s="115"/>
      <c r="AR887" s="115"/>
      <c r="AS887" s="115"/>
      <c r="AT887" s="115"/>
      <c r="AU887" s="115"/>
      <c r="AV887" s="115"/>
    </row>
    <row r="888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  <c r="AA888" s="115"/>
      <c r="AB888" s="115"/>
      <c r="AC888" s="115"/>
      <c r="AD888" s="115"/>
      <c r="AE888" s="115"/>
      <c r="AF888" s="115"/>
      <c r="AG888" s="115"/>
      <c r="AH888" s="115"/>
      <c r="AI888" s="115"/>
      <c r="AJ888" s="115"/>
      <c r="AK888" s="115"/>
      <c r="AL888" s="115"/>
      <c r="AM888" s="115"/>
      <c r="AN888" s="115"/>
      <c r="AO888" s="115"/>
      <c r="AP888" s="115"/>
      <c r="AQ888" s="115"/>
      <c r="AR888" s="115"/>
      <c r="AS888" s="115"/>
      <c r="AT888" s="115"/>
      <c r="AU888" s="115"/>
      <c r="AV888" s="115"/>
    </row>
    <row r="889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  <c r="AA889" s="115"/>
      <c r="AB889" s="115"/>
      <c r="AC889" s="115"/>
      <c r="AD889" s="115"/>
      <c r="AE889" s="115"/>
      <c r="AF889" s="115"/>
      <c r="AG889" s="115"/>
      <c r="AH889" s="115"/>
      <c r="AI889" s="115"/>
      <c r="AJ889" s="115"/>
      <c r="AK889" s="115"/>
      <c r="AL889" s="115"/>
      <c r="AM889" s="115"/>
      <c r="AN889" s="115"/>
      <c r="AO889" s="115"/>
      <c r="AP889" s="115"/>
      <c r="AQ889" s="115"/>
      <c r="AR889" s="115"/>
      <c r="AS889" s="115"/>
      <c r="AT889" s="115"/>
      <c r="AU889" s="115"/>
      <c r="AV889" s="115"/>
    </row>
    <row r="890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  <c r="AA890" s="115"/>
      <c r="AB890" s="115"/>
      <c r="AC890" s="115"/>
      <c r="AD890" s="115"/>
      <c r="AE890" s="115"/>
      <c r="AF890" s="115"/>
      <c r="AG890" s="115"/>
      <c r="AH890" s="115"/>
      <c r="AI890" s="115"/>
      <c r="AJ890" s="115"/>
      <c r="AK890" s="115"/>
      <c r="AL890" s="115"/>
      <c r="AM890" s="115"/>
      <c r="AN890" s="115"/>
      <c r="AO890" s="115"/>
      <c r="AP890" s="115"/>
      <c r="AQ890" s="115"/>
      <c r="AR890" s="115"/>
      <c r="AS890" s="115"/>
      <c r="AT890" s="115"/>
      <c r="AU890" s="115"/>
      <c r="AV890" s="115"/>
    </row>
    <row r="891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  <c r="AA891" s="115"/>
      <c r="AB891" s="115"/>
      <c r="AC891" s="115"/>
      <c r="AD891" s="115"/>
      <c r="AE891" s="115"/>
      <c r="AF891" s="115"/>
      <c r="AG891" s="115"/>
      <c r="AH891" s="115"/>
      <c r="AI891" s="115"/>
      <c r="AJ891" s="115"/>
      <c r="AK891" s="115"/>
      <c r="AL891" s="115"/>
      <c r="AM891" s="115"/>
      <c r="AN891" s="115"/>
      <c r="AO891" s="115"/>
      <c r="AP891" s="115"/>
      <c r="AQ891" s="115"/>
      <c r="AR891" s="115"/>
      <c r="AS891" s="115"/>
      <c r="AT891" s="115"/>
      <c r="AU891" s="115"/>
      <c r="AV891" s="115"/>
    </row>
    <row r="892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  <c r="AA892" s="115"/>
      <c r="AB892" s="115"/>
      <c r="AC892" s="115"/>
      <c r="AD892" s="115"/>
      <c r="AE892" s="115"/>
      <c r="AF892" s="115"/>
      <c r="AG892" s="115"/>
      <c r="AH892" s="115"/>
      <c r="AI892" s="115"/>
      <c r="AJ892" s="115"/>
      <c r="AK892" s="115"/>
      <c r="AL892" s="115"/>
      <c r="AM892" s="115"/>
      <c r="AN892" s="115"/>
      <c r="AO892" s="115"/>
      <c r="AP892" s="115"/>
      <c r="AQ892" s="115"/>
      <c r="AR892" s="115"/>
      <c r="AS892" s="115"/>
      <c r="AT892" s="115"/>
      <c r="AU892" s="115"/>
      <c r="AV892" s="115"/>
    </row>
    <row r="893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  <c r="AA893" s="115"/>
      <c r="AB893" s="115"/>
      <c r="AC893" s="115"/>
      <c r="AD893" s="115"/>
      <c r="AE893" s="115"/>
      <c r="AF893" s="115"/>
      <c r="AG893" s="115"/>
      <c r="AH893" s="115"/>
      <c r="AI893" s="115"/>
      <c r="AJ893" s="115"/>
      <c r="AK893" s="115"/>
      <c r="AL893" s="115"/>
      <c r="AM893" s="115"/>
      <c r="AN893" s="115"/>
      <c r="AO893" s="115"/>
      <c r="AP893" s="115"/>
      <c r="AQ893" s="115"/>
      <c r="AR893" s="115"/>
      <c r="AS893" s="115"/>
      <c r="AT893" s="115"/>
      <c r="AU893" s="115"/>
      <c r="AV893" s="115"/>
    </row>
    <row r="894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  <c r="AA894" s="115"/>
      <c r="AB894" s="115"/>
      <c r="AC894" s="115"/>
      <c r="AD894" s="115"/>
      <c r="AE894" s="115"/>
      <c r="AF894" s="115"/>
      <c r="AG894" s="115"/>
      <c r="AH894" s="115"/>
      <c r="AI894" s="115"/>
      <c r="AJ894" s="115"/>
      <c r="AK894" s="115"/>
      <c r="AL894" s="115"/>
      <c r="AM894" s="115"/>
      <c r="AN894" s="115"/>
      <c r="AO894" s="115"/>
      <c r="AP894" s="115"/>
      <c r="AQ894" s="115"/>
      <c r="AR894" s="115"/>
      <c r="AS894" s="115"/>
      <c r="AT894" s="115"/>
      <c r="AU894" s="115"/>
      <c r="AV894" s="115"/>
    </row>
    <row r="895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  <c r="AA895" s="115"/>
      <c r="AB895" s="115"/>
      <c r="AC895" s="115"/>
      <c r="AD895" s="115"/>
      <c r="AE895" s="115"/>
      <c r="AF895" s="115"/>
      <c r="AG895" s="115"/>
      <c r="AH895" s="115"/>
      <c r="AI895" s="115"/>
      <c r="AJ895" s="115"/>
      <c r="AK895" s="115"/>
      <c r="AL895" s="115"/>
      <c r="AM895" s="115"/>
      <c r="AN895" s="115"/>
      <c r="AO895" s="115"/>
      <c r="AP895" s="115"/>
      <c r="AQ895" s="115"/>
      <c r="AR895" s="115"/>
      <c r="AS895" s="115"/>
      <c r="AT895" s="115"/>
      <c r="AU895" s="115"/>
      <c r="AV895" s="115"/>
    </row>
    <row r="896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  <c r="AA896" s="115"/>
      <c r="AB896" s="115"/>
      <c r="AC896" s="115"/>
      <c r="AD896" s="115"/>
      <c r="AE896" s="115"/>
      <c r="AF896" s="115"/>
      <c r="AG896" s="115"/>
      <c r="AH896" s="115"/>
      <c r="AI896" s="115"/>
      <c r="AJ896" s="115"/>
      <c r="AK896" s="115"/>
      <c r="AL896" s="115"/>
      <c r="AM896" s="115"/>
      <c r="AN896" s="115"/>
      <c r="AO896" s="115"/>
      <c r="AP896" s="115"/>
      <c r="AQ896" s="115"/>
      <c r="AR896" s="115"/>
      <c r="AS896" s="115"/>
      <c r="AT896" s="115"/>
      <c r="AU896" s="115"/>
      <c r="AV896" s="115"/>
    </row>
    <row r="897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  <c r="AA897" s="115"/>
      <c r="AB897" s="115"/>
      <c r="AC897" s="115"/>
      <c r="AD897" s="115"/>
      <c r="AE897" s="115"/>
      <c r="AF897" s="115"/>
      <c r="AG897" s="115"/>
      <c r="AH897" s="115"/>
      <c r="AI897" s="115"/>
      <c r="AJ897" s="115"/>
      <c r="AK897" s="115"/>
      <c r="AL897" s="115"/>
      <c r="AM897" s="115"/>
      <c r="AN897" s="115"/>
      <c r="AO897" s="115"/>
      <c r="AP897" s="115"/>
      <c r="AQ897" s="115"/>
      <c r="AR897" s="115"/>
      <c r="AS897" s="115"/>
      <c r="AT897" s="115"/>
      <c r="AU897" s="115"/>
      <c r="AV897" s="115"/>
    </row>
    <row r="898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  <c r="AA898" s="115"/>
      <c r="AB898" s="115"/>
      <c r="AC898" s="115"/>
      <c r="AD898" s="115"/>
      <c r="AE898" s="115"/>
      <c r="AF898" s="115"/>
      <c r="AG898" s="115"/>
      <c r="AH898" s="115"/>
      <c r="AI898" s="115"/>
      <c r="AJ898" s="115"/>
      <c r="AK898" s="115"/>
      <c r="AL898" s="115"/>
      <c r="AM898" s="115"/>
      <c r="AN898" s="115"/>
      <c r="AO898" s="115"/>
      <c r="AP898" s="115"/>
      <c r="AQ898" s="115"/>
      <c r="AR898" s="115"/>
      <c r="AS898" s="115"/>
      <c r="AT898" s="115"/>
      <c r="AU898" s="115"/>
      <c r="AV898" s="115"/>
    </row>
    <row r="899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  <c r="AA899" s="115"/>
      <c r="AB899" s="115"/>
      <c r="AC899" s="115"/>
      <c r="AD899" s="115"/>
      <c r="AE899" s="115"/>
      <c r="AF899" s="115"/>
      <c r="AG899" s="115"/>
      <c r="AH899" s="115"/>
      <c r="AI899" s="115"/>
      <c r="AJ899" s="115"/>
      <c r="AK899" s="115"/>
      <c r="AL899" s="115"/>
      <c r="AM899" s="115"/>
      <c r="AN899" s="115"/>
      <c r="AO899" s="115"/>
      <c r="AP899" s="115"/>
      <c r="AQ899" s="115"/>
      <c r="AR899" s="115"/>
      <c r="AS899" s="115"/>
      <c r="AT899" s="115"/>
      <c r="AU899" s="115"/>
      <c r="AV899" s="115"/>
    </row>
    <row r="900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  <c r="AA900" s="115"/>
      <c r="AB900" s="115"/>
      <c r="AC900" s="115"/>
      <c r="AD900" s="115"/>
      <c r="AE900" s="115"/>
      <c r="AF900" s="115"/>
      <c r="AG900" s="115"/>
      <c r="AH900" s="115"/>
      <c r="AI900" s="115"/>
      <c r="AJ900" s="115"/>
      <c r="AK900" s="115"/>
      <c r="AL900" s="115"/>
      <c r="AM900" s="115"/>
      <c r="AN900" s="115"/>
      <c r="AO900" s="115"/>
      <c r="AP900" s="115"/>
      <c r="AQ900" s="115"/>
      <c r="AR900" s="115"/>
      <c r="AS900" s="115"/>
      <c r="AT900" s="115"/>
      <c r="AU900" s="115"/>
      <c r="AV900" s="115"/>
    </row>
    <row r="901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  <c r="AA901" s="115"/>
      <c r="AB901" s="115"/>
      <c r="AC901" s="115"/>
      <c r="AD901" s="115"/>
      <c r="AE901" s="115"/>
      <c r="AF901" s="115"/>
      <c r="AG901" s="115"/>
      <c r="AH901" s="115"/>
      <c r="AI901" s="115"/>
      <c r="AJ901" s="115"/>
      <c r="AK901" s="115"/>
      <c r="AL901" s="115"/>
      <c r="AM901" s="115"/>
      <c r="AN901" s="115"/>
      <c r="AO901" s="115"/>
      <c r="AP901" s="115"/>
      <c r="AQ901" s="115"/>
      <c r="AR901" s="115"/>
      <c r="AS901" s="115"/>
      <c r="AT901" s="115"/>
      <c r="AU901" s="115"/>
      <c r="AV901" s="115"/>
    </row>
    <row r="902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  <c r="AA902" s="115"/>
      <c r="AB902" s="115"/>
      <c r="AC902" s="115"/>
      <c r="AD902" s="115"/>
      <c r="AE902" s="115"/>
      <c r="AF902" s="115"/>
      <c r="AG902" s="115"/>
      <c r="AH902" s="115"/>
      <c r="AI902" s="115"/>
      <c r="AJ902" s="115"/>
      <c r="AK902" s="115"/>
      <c r="AL902" s="115"/>
      <c r="AM902" s="115"/>
      <c r="AN902" s="115"/>
      <c r="AO902" s="115"/>
      <c r="AP902" s="115"/>
      <c r="AQ902" s="115"/>
      <c r="AR902" s="115"/>
      <c r="AS902" s="115"/>
      <c r="AT902" s="115"/>
      <c r="AU902" s="115"/>
      <c r="AV902" s="115"/>
    </row>
    <row r="903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  <c r="AA903" s="115"/>
      <c r="AB903" s="115"/>
      <c r="AC903" s="115"/>
      <c r="AD903" s="115"/>
      <c r="AE903" s="115"/>
      <c r="AF903" s="115"/>
      <c r="AG903" s="115"/>
      <c r="AH903" s="115"/>
      <c r="AI903" s="115"/>
      <c r="AJ903" s="115"/>
      <c r="AK903" s="115"/>
      <c r="AL903" s="115"/>
      <c r="AM903" s="115"/>
      <c r="AN903" s="115"/>
      <c r="AO903" s="115"/>
      <c r="AP903" s="115"/>
      <c r="AQ903" s="115"/>
      <c r="AR903" s="115"/>
      <c r="AS903" s="115"/>
      <c r="AT903" s="115"/>
      <c r="AU903" s="115"/>
      <c r="AV903" s="115"/>
    </row>
    <row r="904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  <c r="AA904" s="115"/>
      <c r="AB904" s="115"/>
      <c r="AC904" s="115"/>
      <c r="AD904" s="115"/>
      <c r="AE904" s="115"/>
      <c r="AF904" s="115"/>
      <c r="AG904" s="115"/>
      <c r="AH904" s="115"/>
      <c r="AI904" s="115"/>
      <c r="AJ904" s="115"/>
      <c r="AK904" s="115"/>
      <c r="AL904" s="115"/>
      <c r="AM904" s="115"/>
      <c r="AN904" s="115"/>
      <c r="AO904" s="115"/>
      <c r="AP904" s="115"/>
      <c r="AQ904" s="115"/>
      <c r="AR904" s="115"/>
      <c r="AS904" s="115"/>
      <c r="AT904" s="115"/>
      <c r="AU904" s="115"/>
      <c r="AV904" s="115"/>
    </row>
    <row r="905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  <c r="AA905" s="115"/>
      <c r="AB905" s="115"/>
      <c r="AC905" s="115"/>
      <c r="AD905" s="115"/>
      <c r="AE905" s="115"/>
      <c r="AF905" s="115"/>
      <c r="AG905" s="115"/>
      <c r="AH905" s="115"/>
      <c r="AI905" s="115"/>
      <c r="AJ905" s="115"/>
      <c r="AK905" s="115"/>
      <c r="AL905" s="115"/>
      <c r="AM905" s="115"/>
      <c r="AN905" s="115"/>
      <c r="AO905" s="115"/>
      <c r="AP905" s="115"/>
      <c r="AQ905" s="115"/>
      <c r="AR905" s="115"/>
      <c r="AS905" s="115"/>
      <c r="AT905" s="115"/>
      <c r="AU905" s="115"/>
      <c r="AV905" s="115"/>
    </row>
    <row r="906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  <c r="AA906" s="115"/>
      <c r="AB906" s="115"/>
      <c r="AC906" s="115"/>
      <c r="AD906" s="115"/>
      <c r="AE906" s="115"/>
      <c r="AF906" s="115"/>
      <c r="AG906" s="115"/>
      <c r="AH906" s="115"/>
      <c r="AI906" s="115"/>
      <c r="AJ906" s="115"/>
      <c r="AK906" s="115"/>
      <c r="AL906" s="115"/>
      <c r="AM906" s="115"/>
      <c r="AN906" s="115"/>
      <c r="AO906" s="115"/>
      <c r="AP906" s="115"/>
      <c r="AQ906" s="115"/>
      <c r="AR906" s="115"/>
      <c r="AS906" s="115"/>
      <c r="AT906" s="115"/>
      <c r="AU906" s="115"/>
      <c r="AV906" s="115"/>
    </row>
    <row r="907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  <c r="AA907" s="115"/>
      <c r="AB907" s="115"/>
      <c r="AC907" s="115"/>
      <c r="AD907" s="115"/>
      <c r="AE907" s="115"/>
      <c r="AF907" s="115"/>
      <c r="AG907" s="115"/>
      <c r="AH907" s="115"/>
      <c r="AI907" s="115"/>
      <c r="AJ907" s="115"/>
      <c r="AK907" s="115"/>
      <c r="AL907" s="115"/>
      <c r="AM907" s="115"/>
      <c r="AN907" s="115"/>
      <c r="AO907" s="115"/>
      <c r="AP907" s="115"/>
      <c r="AQ907" s="115"/>
      <c r="AR907" s="115"/>
      <c r="AS907" s="115"/>
      <c r="AT907" s="115"/>
      <c r="AU907" s="115"/>
      <c r="AV907" s="115"/>
    </row>
    <row r="908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  <c r="AA908" s="115"/>
      <c r="AB908" s="115"/>
      <c r="AC908" s="115"/>
      <c r="AD908" s="115"/>
      <c r="AE908" s="115"/>
      <c r="AF908" s="115"/>
      <c r="AG908" s="115"/>
      <c r="AH908" s="115"/>
      <c r="AI908" s="115"/>
      <c r="AJ908" s="115"/>
      <c r="AK908" s="115"/>
      <c r="AL908" s="115"/>
      <c r="AM908" s="115"/>
      <c r="AN908" s="115"/>
      <c r="AO908" s="115"/>
      <c r="AP908" s="115"/>
      <c r="AQ908" s="115"/>
      <c r="AR908" s="115"/>
      <c r="AS908" s="115"/>
      <c r="AT908" s="115"/>
      <c r="AU908" s="115"/>
      <c r="AV908" s="115"/>
    </row>
    <row r="909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  <c r="AA909" s="115"/>
      <c r="AB909" s="115"/>
      <c r="AC909" s="115"/>
      <c r="AD909" s="115"/>
      <c r="AE909" s="115"/>
      <c r="AF909" s="115"/>
      <c r="AG909" s="115"/>
      <c r="AH909" s="115"/>
      <c r="AI909" s="115"/>
      <c r="AJ909" s="115"/>
      <c r="AK909" s="115"/>
      <c r="AL909" s="115"/>
      <c r="AM909" s="115"/>
      <c r="AN909" s="115"/>
      <c r="AO909" s="115"/>
      <c r="AP909" s="115"/>
      <c r="AQ909" s="115"/>
      <c r="AR909" s="115"/>
      <c r="AS909" s="115"/>
      <c r="AT909" s="115"/>
      <c r="AU909" s="115"/>
      <c r="AV909" s="115"/>
    </row>
    <row r="910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  <c r="AA910" s="115"/>
      <c r="AB910" s="115"/>
      <c r="AC910" s="115"/>
      <c r="AD910" s="115"/>
      <c r="AE910" s="115"/>
      <c r="AF910" s="115"/>
      <c r="AG910" s="115"/>
      <c r="AH910" s="115"/>
      <c r="AI910" s="115"/>
      <c r="AJ910" s="115"/>
      <c r="AK910" s="115"/>
      <c r="AL910" s="115"/>
      <c r="AM910" s="115"/>
      <c r="AN910" s="115"/>
      <c r="AO910" s="115"/>
      <c r="AP910" s="115"/>
      <c r="AQ910" s="115"/>
      <c r="AR910" s="115"/>
      <c r="AS910" s="115"/>
      <c r="AT910" s="115"/>
      <c r="AU910" s="115"/>
      <c r="AV910" s="115"/>
    </row>
    <row r="911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  <c r="AA911" s="115"/>
      <c r="AB911" s="115"/>
      <c r="AC911" s="115"/>
      <c r="AD911" s="115"/>
      <c r="AE911" s="115"/>
      <c r="AF911" s="115"/>
      <c r="AG911" s="115"/>
      <c r="AH911" s="115"/>
      <c r="AI911" s="115"/>
      <c r="AJ911" s="115"/>
      <c r="AK911" s="115"/>
      <c r="AL911" s="115"/>
      <c r="AM911" s="115"/>
      <c r="AN911" s="115"/>
      <c r="AO911" s="115"/>
      <c r="AP911" s="115"/>
      <c r="AQ911" s="115"/>
      <c r="AR911" s="115"/>
      <c r="AS911" s="115"/>
      <c r="AT911" s="115"/>
      <c r="AU911" s="115"/>
      <c r="AV911" s="115"/>
    </row>
    <row r="912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  <c r="AA912" s="115"/>
      <c r="AB912" s="115"/>
      <c r="AC912" s="115"/>
      <c r="AD912" s="115"/>
      <c r="AE912" s="115"/>
      <c r="AF912" s="115"/>
      <c r="AG912" s="115"/>
      <c r="AH912" s="115"/>
      <c r="AI912" s="115"/>
      <c r="AJ912" s="115"/>
      <c r="AK912" s="115"/>
      <c r="AL912" s="115"/>
      <c r="AM912" s="115"/>
      <c r="AN912" s="115"/>
      <c r="AO912" s="115"/>
      <c r="AP912" s="115"/>
      <c r="AQ912" s="115"/>
      <c r="AR912" s="115"/>
      <c r="AS912" s="115"/>
      <c r="AT912" s="115"/>
      <c r="AU912" s="115"/>
      <c r="AV912" s="115"/>
    </row>
    <row r="913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  <c r="AA913" s="115"/>
      <c r="AB913" s="115"/>
      <c r="AC913" s="115"/>
      <c r="AD913" s="115"/>
      <c r="AE913" s="115"/>
      <c r="AF913" s="115"/>
      <c r="AG913" s="115"/>
      <c r="AH913" s="115"/>
      <c r="AI913" s="115"/>
      <c r="AJ913" s="115"/>
      <c r="AK913" s="115"/>
      <c r="AL913" s="115"/>
      <c r="AM913" s="115"/>
      <c r="AN913" s="115"/>
      <c r="AO913" s="115"/>
      <c r="AP913" s="115"/>
      <c r="AQ913" s="115"/>
      <c r="AR913" s="115"/>
      <c r="AS913" s="115"/>
      <c r="AT913" s="115"/>
      <c r="AU913" s="115"/>
      <c r="AV913" s="115"/>
    </row>
    <row r="914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  <c r="AA914" s="115"/>
      <c r="AB914" s="115"/>
      <c r="AC914" s="115"/>
      <c r="AD914" s="115"/>
      <c r="AE914" s="115"/>
      <c r="AF914" s="115"/>
      <c r="AG914" s="115"/>
      <c r="AH914" s="115"/>
      <c r="AI914" s="115"/>
      <c r="AJ914" s="115"/>
      <c r="AK914" s="115"/>
      <c r="AL914" s="115"/>
      <c r="AM914" s="115"/>
      <c r="AN914" s="115"/>
      <c r="AO914" s="115"/>
      <c r="AP914" s="115"/>
      <c r="AQ914" s="115"/>
      <c r="AR914" s="115"/>
      <c r="AS914" s="115"/>
      <c r="AT914" s="115"/>
      <c r="AU914" s="115"/>
      <c r="AV914" s="115"/>
    </row>
    <row r="915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  <c r="AA915" s="115"/>
      <c r="AB915" s="115"/>
      <c r="AC915" s="115"/>
      <c r="AD915" s="115"/>
      <c r="AE915" s="115"/>
      <c r="AF915" s="115"/>
      <c r="AG915" s="115"/>
      <c r="AH915" s="115"/>
      <c r="AI915" s="115"/>
      <c r="AJ915" s="115"/>
      <c r="AK915" s="115"/>
      <c r="AL915" s="115"/>
      <c r="AM915" s="115"/>
      <c r="AN915" s="115"/>
      <c r="AO915" s="115"/>
      <c r="AP915" s="115"/>
      <c r="AQ915" s="115"/>
      <c r="AR915" s="115"/>
      <c r="AS915" s="115"/>
      <c r="AT915" s="115"/>
      <c r="AU915" s="115"/>
      <c r="AV915" s="115"/>
    </row>
    <row r="916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  <c r="AA916" s="115"/>
      <c r="AB916" s="115"/>
      <c r="AC916" s="115"/>
      <c r="AD916" s="115"/>
      <c r="AE916" s="115"/>
      <c r="AF916" s="115"/>
      <c r="AG916" s="115"/>
      <c r="AH916" s="115"/>
      <c r="AI916" s="115"/>
      <c r="AJ916" s="115"/>
      <c r="AK916" s="115"/>
      <c r="AL916" s="115"/>
      <c r="AM916" s="115"/>
      <c r="AN916" s="115"/>
      <c r="AO916" s="115"/>
      <c r="AP916" s="115"/>
      <c r="AQ916" s="115"/>
      <c r="AR916" s="115"/>
      <c r="AS916" s="115"/>
      <c r="AT916" s="115"/>
      <c r="AU916" s="115"/>
      <c r="AV916" s="115"/>
    </row>
    <row r="917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  <c r="AA917" s="115"/>
      <c r="AB917" s="115"/>
      <c r="AC917" s="115"/>
      <c r="AD917" s="115"/>
      <c r="AE917" s="115"/>
      <c r="AF917" s="115"/>
      <c r="AG917" s="115"/>
      <c r="AH917" s="115"/>
      <c r="AI917" s="115"/>
      <c r="AJ917" s="115"/>
      <c r="AK917" s="115"/>
      <c r="AL917" s="115"/>
      <c r="AM917" s="115"/>
      <c r="AN917" s="115"/>
      <c r="AO917" s="115"/>
      <c r="AP917" s="115"/>
      <c r="AQ917" s="115"/>
      <c r="AR917" s="115"/>
      <c r="AS917" s="115"/>
      <c r="AT917" s="115"/>
      <c r="AU917" s="115"/>
      <c r="AV917" s="115"/>
    </row>
    <row r="918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  <c r="AA918" s="115"/>
      <c r="AB918" s="115"/>
      <c r="AC918" s="115"/>
      <c r="AD918" s="115"/>
      <c r="AE918" s="115"/>
      <c r="AF918" s="115"/>
      <c r="AG918" s="115"/>
      <c r="AH918" s="115"/>
      <c r="AI918" s="115"/>
      <c r="AJ918" s="115"/>
      <c r="AK918" s="115"/>
      <c r="AL918" s="115"/>
      <c r="AM918" s="115"/>
      <c r="AN918" s="115"/>
      <c r="AO918" s="115"/>
      <c r="AP918" s="115"/>
      <c r="AQ918" s="115"/>
      <c r="AR918" s="115"/>
      <c r="AS918" s="115"/>
      <c r="AT918" s="115"/>
      <c r="AU918" s="115"/>
      <c r="AV918" s="115"/>
    </row>
    <row r="919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  <c r="AA919" s="115"/>
      <c r="AB919" s="115"/>
      <c r="AC919" s="115"/>
      <c r="AD919" s="115"/>
      <c r="AE919" s="115"/>
      <c r="AF919" s="115"/>
      <c r="AG919" s="115"/>
      <c r="AH919" s="115"/>
      <c r="AI919" s="115"/>
      <c r="AJ919" s="115"/>
      <c r="AK919" s="115"/>
      <c r="AL919" s="115"/>
      <c r="AM919" s="115"/>
      <c r="AN919" s="115"/>
      <c r="AO919" s="115"/>
      <c r="AP919" s="115"/>
      <c r="AQ919" s="115"/>
      <c r="AR919" s="115"/>
      <c r="AS919" s="115"/>
      <c r="AT919" s="115"/>
      <c r="AU919" s="115"/>
      <c r="AV919" s="115"/>
    </row>
    <row r="920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  <c r="AA920" s="115"/>
      <c r="AB920" s="115"/>
      <c r="AC920" s="115"/>
      <c r="AD920" s="115"/>
      <c r="AE920" s="115"/>
      <c r="AF920" s="115"/>
      <c r="AG920" s="115"/>
      <c r="AH920" s="115"/>
      <c r="AI920" s="115"/>
      <c r="AJ920" s="115"/>
      <c r="AK920" s="115"/>
      <c r="AL920" s="115"/>
      <c r="AM920" s="115"/>
      <c r="AN920" s="115"/>
      <c r="AO920" s="115"/>
      <c r="AP920" s="115"/>
      <c r="AQ920" s="115"/>
      <c r="AR920" s="115"/>
      <c r="AS920" s="115"/>
      <c r="AT920" s="115"/>
      <c r="AU920" s="115"/>
      <c r="AV920" s="115"/>
    </row>
    <row r="921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  <c r="AA921" s="115"/>
      <c r="AB921" s="115"/>
      <c r="AC921" s="115"/>
      <c r="AD921" s="115"/>
      <c r="AE921" s="115"/>
      <c r="AF921" s="115"/>
      <c r="AG921" s="115"/>
      <c r="AH921" s="115"/>
      <c r="AI921" s="115"/>
      <c r="AJ921" s="115"/>
      <c r="AK921" s="115"/>
      <c r="AL921" s="115"/>
      <c r="AM921" s="115"/>
      <c r="AN921" s="115"/>
      <c r="AO921" s="115"/>
      <c r="AP921" s="115"/>
      <c r="AQ921" s="115"/>
      <c r="AR921" s="115"/>
      <c r="AS921" s="115"/>
      <c r="AT921" s="115"/>
      <c r="AU921" s="115"/>
      <c r="AV921" s="115"/>
    </row>
    <row r="922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  <c r="AA922" s="115"/>
      <c r="AB922" s="115"/>
      <c r="AC922" s="115"/>
      <c r="AD922" s="115"/>
      <c r="AE922" s="115"/>
      <c r="AF922" s="115"/>
      <c r="AG922" s="115"/>
      <c r="AH922" s="115"/>
      <c r="AI922" s="115"/>
      <c r="AJ922" s="115"/>
      <c r="AK922" s="115"/>
      <c r="AL922" s="115"/>
      <c r="AM922" s="115"/>
      <c r="AN922" s="115"/>
      <c r="AO922" s="115"/>
      <c r="AP922" s="115"/>
      <c r="AQ922" s="115"/>
      <c r="AR922" s="115"/>
      <c r="AS922" s="115"/>
      <c r="AT922" s="115"/>
      <c r="AU922" s="115"/>
      <c r="AV922" s="115"/>
    </row>
    <row r="923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  <c r="AA923" s="115"/>
      <c r="AB923" s="115"/>
      <c r="AC923" s="115"/>
      <c r="AD923" s="115"/>
      <c r="AE923" s="115"/>
      <c r="AF923" s="115"/>
      <c r="AG923" s="115"/>
      <c r="AH923" s="115"/>
      <c r="AI923" s="115"/>
      <c r="AJ923" s="115"/>
      <c r="AK923" s="115"/>
      <c r="AL923" s="115"/>
      <c r="AM923" s="115"/>
      <c r="AN923" s="115"/>
      <c r="AO923" s="115"/>
      <c r="AP923" s="115"/>
      <c r="AQ923" s="115"/>
      <c r="AR923" s="115"/>
      <c r="AS923" s="115"/>
      <c r="AT923" s="115"/>
      <c r="AU923" s="115"/>
      <c r="AV923" s="115"/>
    </row>
    <row r="924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  <c r="AA924" s="115"/>
      <c r="AB924" s="115"/>
      <c r="AC924" s="115"/>
      <c r="AD924" s="115"/>
      <c r="AE924" s="115"/>
      <c r="AF924" s="115"/>
      <c r="AG924" s="115"/>
      <c r="AH924" s="115"/>
      <c r="AI924" s="115"/>
      <c r="AJ924" s="115"/>
      <c r="AK924" s="115"/>
      <c r="AL924" s="115"/>
      <c r="AM924" s="115"/>
      <c r="AN924" s="115"/>
      <c r="AO924" s="115"/>
      <c r="AP924" s="115"/>
      <c r="AQ924" s="115"/>
      <c r="AR924" s="115"/>
      <c r="AS924" s="115"/>
      <c r="AT924" s="115"/>
      <c r="AU924" s="115"/>
      <c r="AV924" s="115"/>
    </row>
    <row r="925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  <c r="AA925" s="115"/>
      <c r="AB925" s="115"/>
      <c r="AC925" s="115"/>
      <c r="AD925" s="115"/>
      <c r="AE925" s="115"/>
      <c r="AF925" s="115"/>
      <c r="AG925" s="115"/>
      <c r="AH925" s="115"/>
      <c r="AI925" s="115"/>
      <c r="AJ925" s="115"/>
      <c r="AK925" s="115"/>
      <c r="AL925" s="115"/>
      <c r="AM925" s="115"/>
      <c r="AN925" s="115"/>
      <c r="AO925" s="115"/>
      <c r="AP925" s="115"/>
      <c r="AQ925" s="115"/>
      <c r="AR925" s="115"/>
      <c r="AS925" s="115"/>
      <c r="AT925" s="115"/>
      <c r="AU925" s="115"/>
      <c r="AV925" s="115"/>
    </row>
    <row r="926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  <c r="AA926" s="115"/>
      <c r="AB926" s="115"/>
      <c r="AC926" s="115"/>
      <c r="AD926" s="115"/>
      <c r="AE926" s="115"/>
      <c r="AF926" s="115"/>
      <c r="AG926" s="115"/>
      <c r="AH926" s="115"/>
      <c r="AI926" s="115"/>
      <c r="AJ926" s="115"/>
      <c r="AK926" s="115"/>
      <c r="AL926" s="115"/>
      <c r="AM926" s="115"/>
      <c r="AN926" s="115"/>
      <c r="AO926" s="115"/>
      <c r="AP926" s="115"/>
      <c r="AQ926" s="115"/>
      <c r="AR926" s="115"/>
      <c r="AS926" s="115"/>
      <c r="AT926" s="115"/>
      <c r="AU926" s="115"/>
      <c r="AV926" s="115"/>
    </row>
    <row r="927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  <c r="AA927" s="115"/>
      <c r="AB927" s="115"/>
      <c r="AC927" s="115"/>
      <c r="AD927" s="115"/>
      <c r="AE927" s="115"/>
      <c r="AF927" s="115"/>
      <c r="AG927" s="115"/>
      <c r="AH927" s="115"/>
      <c r="AI927" s="115"/>
      <c r="AJ927" s="115"/>
      <c r="AK927" s="115"/>
      <c r="AL927" s="115"/>
      <c r="AM927" s="115"/>
      <c r="AN927" s="115"/>
      <c r="AO927" s="115"/>
      <c r="AP927" s="115"/>
      <c r="AQ927" s="115"/>
      <c r="AR927" s="115"/>
      <c r="AS927" s="115"/>
      <c r="AT927" s="115"/>
      <c r="AU927" s="115"/>
      <c r="AV927" s="115"/>
    </row>
    <row r="928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  <c r="AA928" s="115"/>
      <c r="AB928" s="115"/>
      <c r="AC928" s="115"/>
      <c r="AD928" s="115"/>
      <c r="AE928" s="115"/>
      <c r="AF928" s="115"/>
      <c r="AG928" s="115"/>
      <c r="AH928" s="115"/>
      <c r="AI928" s="115"/>
      <c r="AJ928" s="115"/>
      <c r="AK928" s="115"/>
      <c r="AL928" s="115"/>
      <c r="AM928" s="115"/>
      <c r="AN928" s="115"/>
      <c r="AO928" s="115"/>
      <c r="AP928" s="115"/>
      <c r="AQ928" s="115"/>
      <c r="AR928" s="115"/>
      <c r="AS928" s="115"/>
      <c r="AT928" s="115"/>
      <c r="AU928" s="115"/>
      <c r="AV928" s="115"/>
    </row>
    <row r="929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  <c r="AA929" s="115"/>
      <c r="AB929" s="115"/>
      <c r="AC929" s="115"/>
      <c r="AD929" s="115"/>
      <c r="AE929" s="115"/>
      <c r="AF929" s="115"/>
      <c r="AG929" s="115"/>
      <c r="AH929" s="115"/>
      <c r="AI929" s="115"/>
      <c r="AJ929" s="115"/>
      <c r="AK929" s="115"/>
      <c r="AL929" s="115"/>
      <c r="AM929" s="115"/>
      <c r="AN929" s="115"/>
      <c r="AO929" s="115"/>
      <c r="AP929" s="115"/>
      <c r="AQ929" s="115"/>
      <c r="AR929" s="115"/>
      <c r="AS929" s="115"/>
      <c r="AT929" s="115"/>
      <c r="AU929" s="115"/>
      <c r="AV929" s="115"/>
    </row>
    <row r="930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  <c r="AA930" s="115"/>
      <c r="AB930" s="115"/>
      <c r="AC930" s="115"/>
      <c r="AD930" s="115"/>
      <c r="AE930" s="115"/>
      <c r="AF930" s="115"/>
      <c r="AG930" s="115"/>
      <c r="AH930" s="115"/>
      <c r="AI930" s="115"/>
      <c r="AJ930" s="115"/>
      <c r="AK930" s="115"/>
      <c r="AL930" s="115"/>
      <c r="AM930" s="115"/>
      <c r="AN930" s="115"/>
      <c r="AO930" s="115"/>
      <c r="AP930" s="115"/>
      <c r="AQ930" s="115"/>
      <c r="AR930" s="115"/>
      <c r="AS930" s="115"/>
      <c r="AT930" s="115"/>
      <c r="AU930" s="115"/>
      <c r="AV930" s="115"/>
    </row>
    <row r="931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  <c r="AA931" s="115"/>
      <c r="AB931" s="115"/>
      <c r="AC931" s="115"/>
      <c r="AD931" s="115"/>
      <c r="AE931" s="115"/>
      <c r="AF931" s="115"/>
      <c r="AG931" s="115"/>
      <c r="AH931" s="115"/>
      <c r="AI931" s="115"/>
      <c r="AJ931" s="115"/>
      <c r="AK931" s="115"/>
      <c r="AL931" s="115"/>
      <c r="AM931" s="115"/>
      <c r="AN931" s="115"/>
      <c r="AO931" s="115"/>
      <c r="AP931" s="115"/>
      <c r="AQ931" s="115"/>
      <c r="AR931" s="115"/>
      <c r="AS931" s="115"/>
      <c r="AT931" s="115"/>
      <c r="AU931" s="115"/>
      <c r="AV931" s="115"/>
    </row>
    <row r="932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  <c r="AA932" s="115"/>
      <c r="AB932" s="115"/>
      <c r="AC932" s="115"/>
      <c r="AD932" s="115"/>
      <c r="AE932" s="115"/>
      <c r="AF932" s="115"/>
      <c r="AG932" s="115"/>
      <c r="AH932" s="115"/>
      <c r="AI932" s="115"/>
      <c r="AJ932" s="115"/>
      <c r="AK932" s="115"/>
      <c r="AL932" s="115"/>
      <c r="AM932" s="115"/>
      <c r="AN932" s="115"/>
      <c r="AO932" s="115"/>
      <c r="AP932" s="115"/>
      <c r="AQ932" s="115"/>
      <c r="AR932" s="115"/>
      <c r="AS932" s="115"/>
      <c r="AT932" s="115"/>
      <c r="AU932" s="115"/>
      <c r="AV932" s="115"/>
    </row>
    <row r="933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  <c r="AA933" s="115"/>
      <c r="AB933" s="115"/>
      <c r="AC933" s="115"/>
      <c r="AD933" s="115"/>
      <c r="AE933" s="115"/>
      <c r="AF933" s="115"/>
      <c r="AG933" s="115"/>
      <c r="AH933" s="115"/>
      <c r="AI933" s="115"/>
      <c r="AJ933" s="115"/>
      <c r="AK933" s="115"/>
      <c r="AL933" s="115"/>
      <c r="AM933" s="115"/>
      <c r="AN933" s="115"/>
      <c r="AO933" s="115"/>
      <c r="AP933" s="115"/>
      <c r="AQ933" s="115"/>
      <c r="AR933" s="115"/>
      <c r="AS933" s="115"/>
      <c r="AT933" s="115"/>
      <c r="AU933" s="115"/>
      <c r="AV933" s="115"/>
    </row>
    <row r="934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  <c r="AA934" s="115"/>
      <c r="AB934" s="115"/>
      <c r="AC934" s="115"/>
      <c r="AD934" s="115"/>
      <c r="AE934" s="115"/>
      <c r="AF934" s="115"/>
      <c r="AG934" s="115"/>
      <c r="AH934" s="115"/>
      <c r="AI934" s="115"/>
      <c r="AJ934" s="115"/>
      <c r="AK934" s="115"/>
      <c r="AL934" s="115"/>
      <c r="AM934" s="115"/>
      <c r="AN934" s="115"/>
      <c r="AO934" s="115"/>
      <c r="AP934" s="115"/>
      <c r="AQ934" s="115"/>
      <c r="AR934" s="115"/>
      <c r="AS934" s="115"/>
      <c r="AT934" s="115"/>
      <c r="AU934" s="115"/>
      <c r="AV934" s="115"/>
    </row>
    <row r="935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  <c r="AA935" s="115"/>
      <c r="AB935" s="115"/>
      <c r="AC935" s="115"/>
      <c r="AD935" s="115"/>
      <c r="AE935" s="115"/>
      <c r="AF935" s="115"/>
      <c r="AG935" s="115"/>
      <c r="AH935" s="115"/>
      <c r="AI935" s="115"/>
      <c r="AJ935" s="115"/>
      <c r="AK935" s="115"/>
      <c r="AL935" s="115"/>
      <c r="AM935" s="115"/>
      <c r="AN935" s="115"/>
      <c r="AO935" s="115"/>
      <c r="AP935" s="115"/>
      <c r="AQ935" s="115"/>
      <c r="AR935" s="115"/>
      <c r="AS935" s="115"/>
      <c r="AT935" s="115"/>
      <c r="AU935" s="115"/>
      <c r="AV935" s="115"/>
    </row>
    <row r="936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  <c r="AA936" s="115"/>
      <c r="AB936" s="115"/>
      <c r="AC936" s="115"/>
      <c r="AD936" s="115"/>
      <c r="AE936" s="115"/>
      <c r="AF936" s="115"/>
      <c r="AG936" s="115"/>
      <c r="AH936" s="115"/>
      <c r="AI936" s="115"/>
      <c r="AJ936" s="115"/>
      <c r="AK936" s="115"/>
      <c r="AL936" s="115"/>
      <c r="AM936" s="115"/>
      <c r="AN936" s="115"/>
      <c r="AO936" s="115"/>
      <c r="AP936" s="115"/>
      <c r="AQ936" s="115"/>
      <c r="AR936" s="115"/>
      <c r="AS936" s="115"/>
      <c r="AT936" s="115"/>
      <c r="AU936" s="115"/>
      <c r="AV936" s="115"/>
    </row>
    <row r="937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  <c r="AA937" s="115"/>
      <c r="AB937" s="115"/>
      <c r="AC937" s="115"/>
      <c r="AD937" s="115"/>
      <c r="AE937" s="115"/>
      <c r="AF937" s="115"/>
      <c r="AG937" s="115"/>
      <c r="AH937" s="115"/>
      <c r="AI937" s="115"/>
      <c r="AJ937" s="115"/>
      <c r="AK937" s="115"/>
      <c r="AL937" s="115"/>
      <c r="AM937" s="115"/>
      <c r="AN937" s="115"/>
      <c r="AO937" s="115"/>
      <c r="AP937" s="115"/>
      <c r="AQ937" s="115"/>
      <c r="AR937" s="115"/>
      <c r="AS937" s="115"/>
      <c r="AT937" s="115"/>
      <c r="AU937" s="115"/>
      <c r="AV937" s="115"/>
    </row>
    <row r="938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  <c r="AA938" s="115"/>
      <c r="AB938" s="115"/>
      <c r="AC938" s="115"/>
      <c r="AD938" s="115"/>
      <c r="AE938" s="115"/>
      <c r="AF938" s="115"/>
      <c r="AG938" s="115"/>
      <c r="AH938" s="115"/>
      <c r="AI938" s="115"/>
      <c r="AJ938" s="115"/>
      <c r="AK938" s="115"/>
      <c r="AL938" s="115"/>
      <c r="AM938" s="115"/>
      <c r="AN938" s="115"/>
      <c r="AO938" s="115"/>
      <c r="AP938" s="115"/>
      <c r="AQ938" s="115"/>
      <c r="AR938" s="115"/>
      <c r="AS938" s="115"/>
      <c r="AT938" s="115"/>
      <c r="AU938" s="115"/>
      <c r="AV938" s="115"/>
    </row>
    <row r="939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  <c r="AA939" s="115"/>
      <c r="AB939" s="115"/>
      <c r="AC939" s="115"/>
      <c r="AD939" s="115"/>
      <c r="AE939" s="115"/>
      <c r="AF939" s="115"/>
      <c r="AG939" s="115"/>
      <c r="AH939" s="115"/>
      <c r="AI939" s="115"/>
      <c r="AJ939" s="115"/>
      <c r="AK939" s="115"/>
      <c r="AL939" s="115"/>
      <c r="AM939" s="115"/>
      <c r="AN939" s="115"/>
      <c r="AO939" s="115"/>
      <c r="AP939" s="115"/>
      <c r="AQ939" s="115"/>
      <c r="AR939" s="115"/>
      <c r="AS939" s="115"/>
      <c r="AT939" s="115"/>
      <c r="AU939" s="115"/>
      <c r="AV939" s="115"/>
    </row>
    <row r="940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  <c r="AA940" s="115"/>
      <c r="AB940" s="115"/>
      <c r="AC940" s="115"/>
      <c r="AD940" s="115"/>
      <c r="AE940" s="115"/>
      <c r="AF940" s="115"/>
      <c r="AG940" s="115"/>
      <c r="AH940" s="115"/>
      <c r="AI940" s="115"/>
      <c r="AJ940" s="115"/>
      <c r="AK940" s="115"/>
      <c r="AL940" s="115"/>
      <c r="AM940" s="115"/>
      <c r="AN940" s="115"/>
      <c r="AO940" s="115"/>
      <c r="AP940" s="115"/>
      <c r="AQ940" s="115"/>
      <c r="AR940" s="115"/>
      <c r="AS940" s="115"/>
      <c r="AT940" s="115"/>
      <c r="AU940" s="115"/>
      <c r="AV940" s="115"/>
    </row>
    <row r="941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  <c r="AA941" s="115"/>
      <c r="AB941" s="115"/>
      <c r="AC941" s="115"/>
      <c r="AD941" s="115"/>
      <c r="AE941" s="115"/>
      <c r="AF941" s="115"/>
      <c r="AG941" s="115"/>
      <c r="AH941" s="115"/>
      <c r="AI941" s="115"/>
      <c r="AJ941" s="115"/>
      <c r="AK941" s="115"/>
      <c r="AL941" s="115"/>
      <c r="AM941" s="115"/>
      <c r="AN941" s="115"/>
      <c r="AO941" s="115"/>
      <c r="AP941" s="115"/>
      <c r="AQ941" s="115"/>
      <c r="AR941" s="115"/>
      <c r="AS941" s="115"/>
      <c r="AT941" s="115"/>
      <c r="AU941" s="115"/>
      <c r="AV941" s="115"/>
    </row>
    <row r="942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  <c r="AA942" s="115"/>
      <c r="AB942" s="115"/>
      <c r="AC942" s="115"/>
      <c r="AD942" s="115"/>
      <c r="AE942" s="115"/>
      <c r="AF942" s="115"/>
      <c r="AG942" s="115"/>
      <c r="AH942" s="115"/>
      <c r="AI942" s="115"/>
      <c r="AJ942" s="115"/>
      <c r="AK942" s="115"/>
      <c r="AL942" s="115"/>
      <c r="AM942" s="115"/>
      <c r="AN942" s="115"/>
      <c r="AO942" s="115"/>
      <c r="AP942" s="115"/>
      <c r="AQ942" s="115"/>
      <c r="AR942" s="115"/>
      <c r="AS942" s="115"/>
      <c r="AT942" s="115"/>
      <c r="AU942" s="115"/>
      <c r="AV942" s="115"/>
    </row>
    <row r="943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  <c r="AA943" s="115"/>
      <c r="AB943" s="115"/>
      <c r="AC943" s="115"/>
      <c r="AD943" s="115"/>
      <c r="AE943" s="115"/>
      <c r="AF943" s="115"/>
      <c r="AG943" s="115"/>
      <c r="AH943" s="115"/>
      <c r="AI943" s="115"/>
      <c r="AJ943" s="115"/>
      <c r="AK943" s="115"/>
      <c r="AL943" s="115"/>
      <c r="AM943" s="115"/>
      <c r="AN943" s="115"/>
      <c r="AO943" s="115"/>
      <c r="AP943" s="115"/>
      <c r="AQ943" s="115"/>
      <c r="AR943" s="115"/>
      <c r="AS943" s="115"/>
      <c r="AT943" s="115"/>
      <c r="AU943" s="115"/>
      <c r="AV943" s="115"/>
    </row>
    <row r="944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  <c r="AA944" s="115"/>
      <c r="AB944" s="115"/>
      <c r="AC944" s="115"/>
      <c r="AD944" s="115"/>
      <c r="AE944" s="115"/>
      <c r="AF944" s="115"/>
      <c r="AG944" s="115"/>
      <c r="AH944" s="115"/>
      <c r="AI944" s="115"/>
      <c r="AJ944" s="115"/>
      <c r="AK944" s="115"/>
      <c r="AL944" s="115"/>
      <c r="AM944" s="115"/>
      <c r="AN944" s="115"/>
      <c r="AO944" s="115"/>
      <c r="AP944" s="115"/>
      <c r="AQ944" s="115"/>
      <c r="AR944" s="115"/>
      <c r="AS944" s="115"/>
      <c r="AT944" s="115"/>
      <c r="AU944" s="115"/>
      <c r="AV944" s="115"/>
    </row>
    <row r="945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  <c r="AA945" s="115"/>
      <c r="AB945" s="115"/>
      <c r="AC945" s="115"/>
      <c r="AD945" s="115"/>
      <c r="AE945" s="115"/>
      <c r="AF945" s="115"/>
      <c r="AG945" s="115"/>
      <c r="AH945" s="115"/>
      <c r="AI945" s="115"/>
      <c r="AJ945" s="115"/>
      <c r="AK945" s="115"/>
      <c r="AL945" s="115"/>
      <c r="AM945" s="115"/>
      <c r="AN945" s="115"/>
      <c r="AO945" s="115"/>
      <c r="AP945" s="115"/>
      <c r="AQ945" s="115"/>
      <c r="AR945" s="115"/>
      <c r="AS945" s="115"/>
      <c r="AT945" s="115"/>
      <c r="AU945" s="115"/>
      <c r="AV945" s="115"/>
    </row>
    <row r="946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  <c r="AA946" s="115"/>
      <c r="AB946" s="115"/>
      <c r="AC946" s="115"/>
      <c r="AD946" s="115"/>
      <c r="AE946" s="115"/>
      <c r="AF946" s="115"/>
      <c r="AG946" s="115"/>
      <c r="AH946" s="115"/>
      <c r="AI946" s="115"/>
      <c r="AJ946" s="115"/>
      <c r="AK946" s="115"/>
      <c r="AL946" s="115"/>
      <c r="AM946" s="115"/>
      <c r="AN946" s="115"/>
      <c r="AO946" s="115"/>
      <c r="AP946" s="115"/>
      <c r="AQ946" s="115"/>
      <c r="AR946" s="115"/>
      <c r="AS946" s="115"/>
      <c r="AT946" s="115"/>
      <c r="AU946" s="115"/>
      <c r="AV946" s="115"/>
    </row>
    <row r="947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  <c r="AA947" s="115"/>
      <c r="AB947" s="115"/>
      <c r="AC947" s="115"/>
      <c r="AD947" s="115"/>
      <c r="AE947" s="115"/>
      <c r="AF947" s="115"/>
      <c r="AG947" s="115"/>
      <c r="AH947" s="115"/>
      <c r="AI947" s="115"/>
      <c r="AJ947" s="115"/>
      <c r="AK947" s="115"/>
      <c r="AL947" s="115"/>
      <c r="AM947" s="115"/>
      <c r="AN947" s="115"/>
      <c r="AO947" s="115"/>
      <c r="AP947" s="115"/>
      <c r="AQ947" s="115"/>
      <c r="AR947" s="115"/>
      <c r="AS947" s="115"/>
      <c r="AT947" s="115"/>
      <c r="AU947" s="115"/>
      <c r="AV947" s="115"/>
    </row>
    <row r="948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  <c r="AA948" s="115"/>
      <c r="AB948" s="115"/>
      <c r="AC948" s="115"/>
      <c r="AD948" s="115"/>
      <c r="AE948" s="115"/>
      <c r="AF948" s="115"/>
      <c r="AG948" s="115"/>
      <c r="AH948" s="115"/>
      <c r="AI948" s="115"/>
      <c r="AJ948" s="115"/>
      <c r="AK948" s="115"/>
      <c r="AL948" s="115"/>
      <c r="AM948" s="115"/>
      <c r="AN948" s="115"/>
      <c r="AO948" s="115"/>
      <c r="AP948" s="115"/>
      <c r="AQ948" s="115"/>
      <c r="AR948" s="115"/>
      <c r="AS948" s="115"/>
      <c r="AT948" s="115"/>
      <c r="AU948" s="115"/>
      <c r="AV948" s="115"/>
    </row>
    <row r="949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  <c r="AA949" s="115"/>
      <c r="AB949" s="115"/>
      <c r="AC949" s="115"/>
      <c r="AD949" s="115"/>
      <c r="AE949" s="115"/>
      <c r="AF949" s="115"/>
      <c r="AG949" s="115"/>
      <c r="AH949" s="115"/>
      <c r="AI949" s="115"/>
      <c r="AJ949" s="115"/>
      <c r="AK949" s="115"/>
      <c r="AL949" s="115"/>
      <c r="AM949" s="115"/>
      <c r="AN949" s="115"/>
      <c r="AO949" s="115"/>
      <c r="AP949" s="115"/>
      <c r="AQ949" s="115"/>
      <c r="AR949" s="115"/>
      <c r="AS949" s="115"/>
      <c r="AT949" s="115"/>
      <c r="AU949" s="115"/>
      <c r="AV949" s="115"/>
    </row>
    <row r="950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  <c r="AA950" s="115"/>
      <c r="AB950" s="115"/>
      <c r="AC950" s="115"/>
      <c r="AD950" s="115"/>
      <c r="AE950" s="115"/>
      <c r="AF950" s="115"/>
      <c r="AG950" s="115"/>
      <c r="AH950" s="115"/>
      <c r="AI950" s="115"/>
      <c r="AJ950" s="115"/>
      <c r="AK950" s="115"/>
      <c r="AL950" s="115"/>
      <c r="AM950" s="115"/>
      <c r="AN950" s="115"/>
      <c r="AO950" s="115"/>
      <c r="AP950" s="115"/>
      <c r="AQ950" s="115"/>
      <c r="AR950" s="115"/>
      <c r="AS950" s="115"/>
      <c r="AT950" s="115"/>
      <c r="AU950" s="115"/>
      <c r="AV950" s="115"/>
    </row>
    <row r="951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  <c r="AA951" s="115"/>
      <c r="AB951" s="115"/>
      <c r="AC951" s="115"/>
      <c r="AD951" s="115"/>
      <c r="AE951" s="115"/>
      <c r="AF951" s="115"/>
      <c r="AG951" s="115"/>
      <c r="AH951" s="115"/>
      <c r="AI951" s="115"/>
      <c r="AJ951" s="115"/>
      <c r="AK951" s="115"/>
      <c r="AL951" s="115"/>
      <c r="AM951" s="115"/>
      <c r="AN951" s="115"/>
      <c r="AO951" s="115"/>
      <c r="AP951" s="115"/>
      <c r="AQ951" s="115"/>
      <c r="AR951" s="115"/>
      <c r="AS951" s="115"/>
      <c r="AT951" s="115"/>
      <c r="AU951" s="115"/>
      <c r="AV951" s="115"/>
    </row>
    <row r="952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  <c r="AA952" s="115"/>
      <c r="AB952" s="115"/>
      <c r="AC952" s="115"/>
      <c r="AD952" s="115"/>
      <c r="AE952" s="115"/>
      <c r="AF952" s="115"/>
      <c r="AG952" s="115"/>
      <c r="AH952" s="115"/>
      <c r="AI952" s="115"/>
      <c r="AJ952" s="115"/>
      <c r="AK952" s="115"/>
      <c r="AL952" s="115"/>
      <c r="AM952" s="115"/>
      <c r="AN952" s="115"/>
      <c r="AO952" s="115"/>
      <c r="AP952" s="115"/>
      <c r="AQ952" s="115"/>
      <c r="AR952" s="115"/>
      <c r="AS952" s="115"/>
      <c r="AT952" s="115"/>
      <c r="AU952" s="115"/>
      <c r="AV952" s="115"/>
    </row>
    <row r="953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  <c r="AA953" s="115"/>
      <c r="AB953" s="115"/>
      <c r="AC953" s="115"/>
      <c r="AD953" s="115"/>
      <c r="AE953" s="115"/>
      <c r="AF953" s="115"/>
      <c r="AG953" s="115"/>
      <c r="AH953" s="115"/>
      <c r="AI953" s="115"/>
      <c r="AJ953" s="115"/>
      <c r="AK953" s="115"/>
      <c r="AL953" s="115"/>
      <c r="AM953" s="115"/>
      <c r="AN953" s="115"/>
      <c r="AO953" s="115"/>
      <c r="AP953" s="115"/>
      <c r="AQ953" s="115"/>
      <c r="AR953" s="115"/>
      <c r="AS953" s="115"/>
      <c r="AT953" s="115"/>
      <c r="AU953" s="115"/>
      <c r="AV953" s="115"/>
    </row>
    <row r="954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  <c r="AA954" s="115"/>
      <c r="AB954" s="115"/>
      <c r="AC954" s="115"/>
      <c r="AD954" s="115"/>
      <c r="AE954" s="115"/>
      <c r="AF954" s="115"/>
      <c r="AG954" s="115"/>
      <c r="AH954" s="115"/>
      <c r="AI954" s="115"/>
      <c r="AJ954" s="115"/>
      <c r="AK954" s="115"/>
      <c r="AL954" s="115"/>
      <c r="AM954" s="115"/>
      <c r="AN954" s="115"/>
      <c r="AO954" s="115"/>
      <c r="AP954" s="115"/>
      <c r="AQ954" s="115"/>
      <c r="AR954" s="115"/>
      <c r="AS954" s="115"/>
      <c r="AT954" s="115"/>
      <c r="AU954" s="115"/>
      <c r="AV954" s="115"/>
    </row>
    <row r="955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  <c r="AA955" s="115"/>
      <c r="AB955" s="115"/>
      <c r="AC955" s="115"/>
      <c r="AD955" s="115"/>
      <c r="AE955" s="115"/>
      <c r="AF955" s="115"/>
      <c r="AG955" s="115"/>
      <c r="AH955" s="115"/>
      <c r="AI955" s="115"/>
      <c r="AJ955" s="115"/>
      <c r="AK955" s="115"/>
      <c r="AL955" s="115"/>
      <c r="AM955" s="115"/>
      <c r="AN955" s="115"/>
      <c r="AO955" s="115"/>
      <c r="AP955" s="115"/>
      <c r="AQ955" s="115"/>
      <c r="AR955" s="115"/>
      <c r="AS955" s="115"/>
      <c r="AT955" s="115"/>
      <c r="AU955" s="115"/>
      <c r="AV955" s="115"/>
    </row>
    <row r="956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  <c r="AA956" s="115"/>
      <c r="AB956" s="115"/>
      <c r="AC956" s="115"/>
      <c r="AD956" s="115"/>
      <c r="AE956" s="115"/>
      <c r="AF956" s="115"/>
      <c r="AG956" s="115"/>
      <c r="AH956" s="115"/>
      <c r="AI956" s="115"/>
      <c r="AJ956" s="115"/>
      <c r="AK956" s="115"/>
      <c r="AL956" s="115"/>
      <c r="AM956" s="115"/>
      <c r="AN956" s="115"/>
      <c r="AO956" s="115"/>
      <c r="AP956" s="115"/>
      <c r="AQ956" s="115"/>
      <c r="AR956" s="115"/>
      <c r="AS956" s="115"/>
      <c r="AT956" s="115"/>
      <c r="AU956" s="115"/>
      <c r="AV956" s="115"/>
    </row>
    <row r="957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  <c r="AA957" s="115"/>
      <c r="AB957" s="115"/>
      <c r="AC957" s="115"/>
      <c r="AD957" s="115"/>
      <c r="AE957" s="115"/>
      <c r="AF957" s="115"/>
      <c r="AG957" s="115"/>
      <c r="AH957" s="115"/>
      <c r="AI957" s="115"/>
      <c r="AJ957" s="115"/>
      <c r="AK957" s="115"/>
      <c r="AL957" s="115"/>
      <c r="AM957" s="115"/>
      <c r="AN957" s="115"/>
      <c r="AO957" s="115"/>
      <c r="AP957" s="115"/>
      <c r="AQ957" s="115"/>
      <c r="AR957" s="115"/>
      <c r="AS957" s="115"/>
      <c r="AT957" s="115"/>
      <c r="AU957" s="115"/>
      <c r="AV957" s="115"/>
    </row>
    <row r="958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  <c r="AA958" s="115"/>
      <c r="AB958" s="115"/>
      <c r="AC958" s="115"/>
      <c r="AD958" s="115"/>
      <c r="AE958" s="115"/>
      <c r="AF958" s="115"/>
      <c r="AG958" s="115"/>
      <c r="AH958" s="115"/>
      <c r="AI958" s="115"/>
      <c r="AJ958" s="115"/>
      <c r="AK958" s="115"/>
      <c r="AL958" s="115"/>
      <c r="AM958" s="115"/>
      <c r="AN958" s="115"/>
      <c r="AO958" s="115"/>
      <c r="AP958" s="115"/>
      <c r="AQ958" s="115"/>
      <c r="AR958" s="115"/>
      <c r="AS958" s="115"/>
      <c r="AT958" s="115"/>
      <c r="AU958" s="115"/>
      <c r="AV958" s="115"/>
    </row>
    <row r="959">
      <c r="A959" s="115"/>
      <c r="B959" s="115"/>
      <c r="C959" s="115"/>
      <c r="D959" s="115"/>
      <c r="E959" s="115"/>
      <c r="F959" s="115"/>
      <c r="G959" s="115"/>
      <c r="H959" s="115"/>
      <c r="I959" s="115"/>
      <c r="J959" s="115"/>
      <c r="K959" s="115"/>
      <c r="L959" s="115"/>
      <c r="M959" s="115"/>
      <c r="N959" s="115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  <c r="AA959" s="115"/>
      <c r="AB959" s="115"/>
      <c r="AC959" s="115"/>
      <c r="AD959" s="115"/>
      <c r="AE959" s="115"/>
      <c r="AF959" s="115"/>
      <c r="AG959" s="115"/>
      <c r="AH959" s="115"/>
      <c r="AI959" s="115"/>
      <c r="AJ959" s="115"/>
      <c r="AK959" s="115"/>
      <c r="AL959" s="115"/>
      <c r="AM959" s="115"/>
      <c r="AN959" s="115"/>
      <c r="AO959" s="115"/>
      <c r="AP959" s="115"/>
      <c r="AQ959" s="115"/>
      <c r="AR959" s="115"/>
      <c r="AS959" s="115"/>
      <c r="AT959" s="115"/>
      <c r="AU959" s="115"/>
      <c r="AV959" s="115"/>
    </row>
    <row r="960">
      <c r="A960" s="115"/>
      <c r="B960" s="115"/>
      <c r="C960" s="115"/>
      <c r="D960" s="115"/>
      <c r="E960" s="115"/>
      <c r="F960" s="115"/>
      <c r="G960" s="115"/>
      <c r="H960" s="115"/>
      <c r="I960" s="115"/>
      <c r="J960" s="115"/>
      <c r="K960" s="115"/>
      <c r="L960" s="115"/>
      <c r="M960" s="115"/>
      <c r="N960" s="115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  <c r="AA960" s="115"/>
      <c r="AB960" s="115"/>
      <c r="AC960" s="115"/>
      <c r="AD960" s="115"/>
      <c r="AE960" s="115"/>
      <c r="AF960" s="115"/>
      <c r="AG960" s="115"/>
      <c r="AH960" s="115"/>
      <c r="AI960" s="115"/>
      <c r="AJ960" s="115"/>
      <c r="AK960" s="115"/>
      <c r="AL960" s="115"/>
      <c r="AM960" s="115"/>
      <c r="AN960" s="115"/>
      <c r="AO960" s="115"/>
      <c r="AP960" s="115"/>
      <c r="AQ960" s="115"/>
      <c r="AR960" s="115"/>
      <c r="AS960" s="115"/>
      <c r="AT960" s="115"/>
      <c r="AU960" s="115"/>
      <c r="AV960" s="115"/>
    </row>
    <row r="961">
      <c r="A961" s="115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115"/>
      <c r="M961" s="115"/>
      <c r="N961" s="115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  <c r="AA961" s="115"/>
      <c r="AB961" s="115"/>
      <c r="AC961" s="115"/>
      <c r="AD961" s="115"/>
      <c r="AE961" s="115"/>
      <c r="AF961" s="115"/>
      <c r="AG961" s="115"/>
      <c r="AH961" s="115"/>
      <c r="AI961" s="115"/>
      <c r="AJ961" s="115"/>
      <c r="AK961" s="115"/>
      <c r="AL961" s="115"/>
      <c r="AM961" s="115"/>
      <c r="AN961" s="115"/>
      <c r="AO961" s="115"/>
      <c r="AP961" s="115"/>
      <c r="AQ961" s="115"/>
      <c r="AR961" s="115"/>
      <c r="AS961" s="115"/>
      <c r="AT961" s="115"/>
      <c r="AU961" s="115"/>
      <c r="AV961" s="115"/>
    </row>
    <row r="962">
      <c r="A962" s="115"/>
      <c r="B962" s="115"/>
      <c r="C962" s="115"/>
      <c r="D962" s="115"/>
      <c r="E962" s="115"/>
      <c r="F962" s="115"/>
      <c r="G962" s="115"/>
      <c r="H962" s="115"/>
      <c r="I962" s="115"/>
      <c r="J962" s="115"/>
      <c r="K962" s="115"/>
      <c r="L962" s="115"/>
      <c r="M962" s="115"/>
      <c r="N962" s="115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  <c r="AA962" s="115"/>
      <c r="AB962" s="115"/>
      <c r="AC962" s="115"/>
      <c r="AD962" s="115"/>
      <c r="AE962" s="115"/>
      <c r="AF962" s="115"/>
      <c r="AG962" s="115"/>
      <c r="AH962" s="115"/>
      <c r="AI962" s="115"/>
      <c r="AJ962" s="115"/>
      <c r="AK962" s="115"/>
      <c r="AL962" s="115"/>
      <c r="AM962" s="115"/>
      <c r="AN962" s="115"/>
      <c r="AO962" s="115"/>
      <c r="AP962" s="115"/>
      <c r="AQ962" s="115"/>
      <c r="AR962" s="115"/>
      <c r="AS962" s="115"/>
      <c r="AT962" s="115"/>
      <c r="AU962" s="115"/>
      <c r="AV962" s="115"/>
    </row>
    <row r="963">
      <c r="A963" s="11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115"/>
      <c r="M963" s="115"/>
      <c r="N963" s="115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  <c r="AA963" s="115"/>
      <c r="AB963" s="115"/>
      <c r="AC963" s="115"/>
      <c r="AD963" s="115"/>
      <c r="AE963" s="115"/>
      <c r="AF963" s="115"/>
      <c r="AG963" s="115"/>
      <c r="AH963" s="115"/>
      <c r="AI963" s="115"/>
      <c r="AJ963" s="115"/>
      <c r="AK963" s="115"/>
      <c r="AL963" s="115"/>
      <c r="AM963" s="115"/>
      <c r="AN963" s="115"/>
      <c r="AO963" s="115"/>
      <c r="AP963" s="115"/>
      <c r="AQ963" s="115"/>
      <c r="AR963" s="115"/>
      <c r="AS963" s="115"/>
      <c r="AT963" s="115"/>
      <c r="AU963" s="115"/>
      <c r="AV963" s="115"/>
    </row>
    <row r="964">
      <c r="A964" s="115"/>
      <c r="B964" s="115"/>
      <c r="C964" s="115"/>
      <c r="D964" s="115"/>
      <c r="E964" s="115"/>
      <c r="F964" s="115"/>
      <c r="G964" s="115"/>
      <c r="H964" s="115"/>
      <c r="I964" s="115"/>
      <c r="J964" s="115"/>
      <c r="K964" s="115"/>
      <c r="L964" s="115"/>
      <c r="M964" s="115"/>
      <c r="N964" s="115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  <c r="AA964" s="115"/>
      <c r="AB964" s="115"/>
      <c r="AC964" s="115"/>
      <c r="AD964" s="115"/>
      <c r="AE964" s="115"/>
      <c r="AF964" s="115"/>
      <c r="AG964" s="115"/>
      <c r="AH964" s="115"/>
      <c r="AI964" s="115"/>
      <c r="AJ964" s="115"/>
      <c r="AK964" s="115"/>
      <c r="AL964" s="115"/>
      <c r="AM964" s="115"/>
      <c r="AN964" s="115"/>
      <c r="AO964" s="115"/>
      <c r="AP964" s="115"/>
      <c r="AQ964" s="115"/>
      <c r="AR964" s="115"/>
      <c r="AS964" s="115"/>
      <c r="AT964" s="115"/>
      <c r="AU964" s="115"/>
      <c r="AV964" s="115"/>
    </row>
    <row r="965">
      <c r="A965" s="11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115"/>
      <c r="M965" s="115"/>
      <c r="N965" s="115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  <c r="AA965" s="115"/>
      <c r="AB965" s="115"/>
      <c r="AC965" s="115"/>
      <c r="AD965" s="115"/>
      <c r="AE965" s="115"/>
      <c r="AF965" s="115"/>
      <c r="AG965" s="115"/>
      <c r="AH965" s="115"/>
      <c r="AI965" s="115"/>
      <c r="AJ965" s="115"/>
      <c r="AK965" s="115"/>
      <c r="AL965" s="115"/>
      <c r="AM965" s="115"/>
      <c r="AN965" s="115"/>
      <c r="AO965" s="115"/>
      <c r="AP965" s="115"/>
      <c r="AQ965" s="115"/>
      <c r="AR965" s="115"/>
      <c r="AS965" s="115"/>
      <c r="AT965" s="115"/>
      <c r="AU965" s="115"/>
      <c r="AV965" s="115"/>
    </row>
    <row r="966">
      <c r="A966" s="115"/>
      <c r="B966" s="115"/>
      <c r="C966" s="115"/>
      <c r="D966" s="115"/>
      <c r="E966" s="115"/>
      <c r="F966" s="115"/>
      <c r="G966" s="115"/>
      <c r="H966" s="115"/>
      <c r="I966" s="115"/>
      <c r="J966" s="115"/>
      <c r="K966" s="115"/>
      <c r="L966" s="115"/>
      <c r="M966" s="115"/>
      <c r="N966" s="115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  <c r="AA966" s="115"/>
      <c r="AB966" s="115"/>
      <c r="AC966" s="115"/>
      <c r="AD966" s="115"/>
      <c r="AE966" s="115"/>
      <c r="AF966" s="115"/>
      <c r="AG966" s="115"/>
      <c r="AH966" s="115"/>
      <c r="AI966" s="115"/>
      <c r="AJ966" s="115"/>
      <c r="AK966" s="115"/>
      <c r="AL966" s="115"/>
      <c r="AM966" s="115"/>
      <c r="AN966" s="115"/>
      <c r="AO966" s="115"/>
      <c r="AP966" s="115"/>
      <c r="AQ966" s="115"/>
      <c r="AR966" s="115"/>
      <c r="AS966" s="115"/>
      <c r="AT966" s="115"/>
      <c r="AU966" s="115"/>
      <c r="AV966" s="115"/>
    </row>
    <row r="967">
      <c r="A967" s="115"/>
      <c r="B967" s="115"/>
      <c r="C967" s="115"/>
      <c r="D967" s="115"/>
      <c r="E967" s="115"/>
      <c r="F967" s="115"/>
      <c r="G967" s="115"/>
      <c r="H967" s="115"/>
      <c r="I967" s="115"/>
      <c r="J967" s="115"/>
      <c r="K967" s="115"/>
      <c r="L967" s="115"/>
      <c r="M967" s="115"/>
      <c r="N967" s="115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  <c r="AA967" s="115"/>
      <c r="AB967" s="115"/>
      <c r="AC967" s="115"/>
      <c r="AD967" s="115"/>
      <c r="AE967" s="115"/>
      <c r="AF967" s="115"/>
      <c r="AG967" s="115"/>
      <c r="AH967" s="115"/>
      <c r="AI967" s="115"/>
      <c r="AJ967" s="115"/>
      <c r="AK967" s="115"/>
      <c r="AL967" s="115"/>
      <c r="AM967" s="115"/>
      <c r="AN967" s="115"/>
      <c r="AO967" s="115"/>
      <c r="AP967" s="115"/>
      <c r="AQ967" s="115"/>
      <c r="AR967" s="115"/>
      <c r="AS967" s="115"/>
      <c r="AT967" s="115"/>
      <c r="AU967" s="115"/>
      <c r="AV967" s="115"/>
    </row>
    <row r="968">
      <c r="A968" s="115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115"/>
      <c r="M968" s="115"/>
      <c r="N968" s="115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  <c r="AA968" s="115"/>
      <c r="AB968" s="115"/>
      <c r="AC968" s="115"/>
      <c r="AD968" s="115"/>
      <c r="AE968" s="115"/>
      <c r="AF968" s="115"/>
      <c r="AG968" s="115"/>
      <c r="AH968" s="115"/>
      <c r="AI968" s="115"/>
      <c r="AJ968" s="115"/>
      <c r="AK968" s="115"/>
      <c r="AL968" s="115"/>
      <c r="AM968" s="115"/>
      <c r="AN968" s="115"/>
      <c r="AO968" s="115"/>
      <c r="AP968" s="115"/>
      <c r="AQ968" s="115"/>
      <c r="AR968" s="115"/>
      <c r="AS968" s="115"/>
      <c r="AT968" s="115"/>
      <c r="AU968" s="115"/>
      <c r="AV968" s="115"/>
    </row>
    <row r="969">
      <c r="A969" s="115"/>
      <c r="B969" s="115"/>
      <c r="C969" s="115"/>
      <c r="D969" s="115"/>
      <c r="E969" s="115"/>
      <c r="F969" s="115"/>
      <c r="G969" s="115"/>
      <c r="H969" s="115"/>
      <c r="I969" s="115"/>
      <c r="J969" s="115"/>
      <c r="K969" s="115"/>
      <c r="L969" s="115"/>
      <c r="M969" s="115"/>
      <c r="N969" s="115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  <c r="AA969" s="115"/>
      <c r="AB969" s="115"/>
      <c r="AC969" s="115"/>
      <c r="AD969" s="115"/>
      <c r="AE969" s="115"/>
      <c r="AF969" s="115"/>
      <c r="AG969" s="115"/>
      <c r="AH969" s="115"/>
      <c r="AI969" s="115"/>
      <c r="AJ969" s="115"/>
      <c r="AK969" s="115"/>
      <c r="AL969" s="115"/>
      <c r="AM969" s="115"/>
      <c r="AN969" s="115"/>
      <c r="AO969" s="115"/>
      <c r="AP969" s="115"/>
      <c r="AQ969" s="115"/>
      <c r="AR969" s="115"/>
      <c r="AS969" s="115"/>
      <c r="AT969" s="115"/>
      <c r="AU969" s="115"/>
      <c r="AV969" s="115"/>
    </row>
    <row r="970">
      <c r="A970" s="115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115"/>
      <c r="M970" s="115"/>
      <c r="N970" s="115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  <c r="AA970" s="115"/>
      <c r="AB970" s="115"/>
      <c r="AC970" s="115"/>
      <c r="AD970" s="115"/>
      <c r="AE970" s="115"/>
      <c r="AF970" s="115"/>
      <c r="AG970" s="115"/>
      <c r="AH970" s="115"/>
      <c r="AI970" s="115"/>
      <c r="AJ970" s="115"/>
      <c r="AK970" s="115"/>
      <c r="AL970" s="115"/>
      <c r="AM970" s="115"/>
      <c r="AN970" s="115"/>
      <c r="AO970" s="115"/>
      <c r="AP970" s="115"/>
      <c r="AQ970" s="115"/>
      <c r="AR970" s="115"/>
      <c r="AS970" s="115"/>
      <c r="AT970" s="115"/>
      <c r="AU970" s="115"/>
      <c r="AV970" s="115"/>
    </row>
    <row r="971">
      <c r="A971" s="115"/>
      <c r="B971" s="115"/>
      <c r="C971" s="115"/>
      <c r="D971" s="115"/>
      <c r="E971" s="115"/>
      <c r="F971" s="115"/>
      <c r="G971" s="115"/>
      <c r="H971" s="115"/>
      <c r="I971" s="115"/>
      <c r="J971" s="115"/>
      <c r="K971" s="115"/>
      <c r="L971" s="115"/>
      <c r="M971" s="115"/>
      <c r="N971" s="115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  <c r="AA971" s="115"/>
      <c r="AB971" s="115"/>
      <c r="AC971" s="115"/>
      <c r="AD971" s="115"/>
      <c r="AE971" s="115"/>
      <c r="AF971" s="115"/>
      <c r="AG971" s="115"/>
      <c r="AH971" s="115"/>
      <c r="AI971" s="115"/>
      <c r="AJ971" s="115"/>
      <c r="AK971" s="115"/>
      <c r="AL971" s="115"/>
      <c r="AM971" s="115"/>
      <c r="AN971" s="115"/>
      <c r="AO971" s="115"/>
      <c r="AP971" s="115"/>
      <c r="AQ971" s="115"/>
      <c r="AR971" s="115"/>
      <c r="AS971" s="115"/>
      <c r="AT971" s="115"/>
      <c r="AU971" s="115"/>
      <c r="AV971" s="115"/>
    </row>
    <row r="972">
      <c r="A972" s="115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115"/>
      <c r="M972" s="115"/>
      <c r="N972" s="115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  <c r="AA972" s="115"/>
      <c r="AB972" s="115"/>
      <c r="AC972" s="115"/>
      <c r="AD972" s="115"/>
      <c r="AE972" s="115"/>
      <c r="AF972" s="115"/>
      <c r="AG972" s="115"/>
      <c r="AH972" s="115"/>
      <c r="AI972" s="115"/>
      <c r="AJ972" s="115"/>
      <c r="AK972" s="115"/>
      <c r="AL972" s="115"/>
      <c r="AM972" s="115"/>
      <c r="AN972" s="115"/>
      <c r="AO972" s="115"/>
      <c r="AP972" s="115"/>
      <c r="AQ972" s="115"/>
      <c r="AR972" s="115"/>
      <c r="AS972" s="115"/>
      <c r="AT972" s="115"/>
      <c r="AU972" s="115"/>
      <c r="AV972" s="115"/>
    </row>
    <row r="973">
      <c r="A973" s="115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115"/>
      <c r="M973" s="115"/>
      <c r="N973" s="115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  <c r="AA973" s="115"/>
      <c r="AB973" s="115"/>
      <c r="AC973" s="115"/>
      <c r="AD973" s="115"/>
      <c r="AE973" s="115"/>
      <c r="AF973" s="115"/>
      <c r="AG973" s="115"/>
      <c r="AH973" s="115"/>
      <c r="AI973" s="115"/>
      <c r="AJ973" s="115"/>
      <c r="AK973" s="115"/>
      <c r="AL973" s="115"/>
      <c r="AM973" s="115"/>
      <c r="AN973" s="115"/>
      <c r="AO973" s="115"/>
      <c r="AP973" s="115"/>
      <c r="AQ973" s="115"/>
      <c r="AR973" s="115"/>
      <c r="AS973" s="115"/>
      <c r="AT973" s="115"/>
      <c r="AU973" s="115"/>
      <c r="AV973" s="115"/>
    </row>
    <row r="974">
      <c r="A974" s="115"/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  <c r="AA974" s="115"/>
      <c r="AB974" s="115"/>
      <c r="AC974" s="115"/>
      <c r="AD974" s="115"/>
      <c r="AE974" s="115"/>
      <c r="AF974" s="115"/>
      <c r="AG974" s="115"/>
      <c r="AH974" s="115"/>
      <c r="AI974" s="115"/>
      <c r="AJ974" s="115"/>
      <c r="AK974" s="115"/>
      <c r="AL974" s="115"/>
      <c r="AM974" s="115"/>
      <c r="AN974" s="115"/>
      <c r="AO974" s="115"/>
      <c r="AP974" s="115"/>
      <c r="AQ974" s="115"/>
      <c r="AR974" s="115"/>
      <c r="AS974" s="115"/>
      <c r="AT974" s="115"/>
      <c r="AU974" s="115"/>
      <c r="AV974" s="115"/>
    </row>
    <row r="975">
      <c r="A975" s="115"/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  <c r="AA975" s="115"/>
      <c r="AB975" s="115"/>
      <c r="AC975" s="115"/>
      <c r="AD975" s="115"/>
      <c r="AE975" s="115"/>
      <c r="AF975" s="115"/>
      <c r="AG975" s="115"/>
      <c r="AH975" s="115"/>
      <c r="AI975" s="115"/>
      <c r="AJ975" s="115"/>
      <c r="AK975" s="115"/>
      <c r="AL975" s="115"/>
      <c r="AM975" s="115"/>
      <c r="AN975" s="115"/>
      <c r="AO975" s="115"/>
      <c r="AP975" s="115"/>
      <c r="AQ975" s="115"/>
      <c r="AR975" s="115"/>
      <c r="AS975" s="115"/>
      <c r="AT975" s="115"/>
      <c r="AU975" s="115"/>
      <c r="AV975" s="115"/>
    </row>
    <row r="976">
      <c r="A976" s="11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115"/>
      <c r="M976" s="115"/>
      <c r="N976" s="115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  <c r="AA976" s="115"/>
      <c r="AB976" s="115"/>
      <c r="AC976" s="115"/>
      <c r="AD976" s="115"/>
      <c r="AE976" s="115"/>
      <c r="AF976" s="115"/>
      <c r="AG976" s="115"/>
      <c r="AH976" s="115"/>
      <c r="AI976" s="115"/>
      <c r="AJ976" s="115"/>
      <c r="AK976" s="115"/>
      <c r="AL976" s="115"/>
      <c r="AM976" s="115"/>
      <c r="AN976" s="115"/>
      <c r="AO976" s="115"/>
      <c r="AP976" s="115"/>
      <c r="AQ976" s="115"/>
      <c r="AR976" s="115"/>
      <c r="AS976" s="115"/>
      <c r="AT976" s="115"/>
      <c r="AU976" s="115"/>
      <c r="AV976" s="115"/>
    </row>
    <row r="977">
      <c r="A977" s="115"/>
      <c r="B977" s="115"/>
      <c r="C977" s="115"/>
      <c r="D977" s="115"/>
      <c r="E977" s="115"/>
      <c r="F977" s="115"/>
      <c r="G977" s="115"/>
      <c r="H977" s="115"/>
      <c r="I977" s="115"/>
      <c r="J977" s="115"/>
      <c r="K977" s="115"/>
      <c r="L977" s="115"/>
      <c r="M977" s="115"/>
      <c r="N977" s="115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  <c r="AA977" s="115"/>
      <c r="AB977" s="115"/>
      <c r="AC977" s="115"/>
      <c r="AD977" s="115"/>
      <c r="AE977" s="115"/>
      <c r="AF977" s="115"/>
      <c r="AG977" s="115"/>
      <c r="AH977" s="115"/>
      <c r="AI977" s="115"/>
      <c r="AJ977" s="115"/>
      <c r="AK977" s="115"/>
      <c r="AL977" s="115"/>
      <c r="AM977" s="115"/>
      <c r="AN977" s="115"/>
      <c r="AO977" s="115"/>
      <c r="AP977" s="115"/>
      <c r="AQ977" s="115"/>
      <c r="AR977" s="115"/>
      <c r="AS977" s="115"/>
      <c r="AT977" s="115"/>
      <c r="AU977" s="115"/>
      <c r="AV977" s="115"/>
    </row>
    <row r="978">
      <c r="A978" s="115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115"/>
      <c r="M978" s="115"/>
      <c r="N978" s="115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  <c r="AA978" s="115"/>
      <c r="AB978" s="115"/>
      <c r="AC978" s="115"/>
      <c r="AD978" s="115"/>
      <c r="AE978" s="115"/>
      <c r="AF978" s="115"/>
      <c r="AG978" s="115"/>
      <c r="AH978" s="115"/>
      <c r="AI978" s="115"/>
      <c r="AJ978" s="115"/>
      <c r="AK978" s="115"/>
      <c r="AL978" s="115"/>
      <c r="AM978" s="115"/>
      <c r="AN978" s="115"/>
      <c r="AO978" s="115"/>
      <c r="AP978" s="115"/>
      <c r="AQ978" s="115"/>
      <c r="AR978" s="115"/>
      <c r="AS978" s="115"/>
      <c r="AT978" s="115"/>
      <c r="AU978" s="115"/>
      <c r="AV978" s="115"/>
    </row>
    <row r="979">
      <c r="A979" s="115"/>
      <c r="B979" s="115"/>
      <c r="C979" s="115"/>
      <c r="D979" s="115"/>
      <c r="E979" s="115"/>
      <c r="F979" s="115"/>
      <c r="G979" s="115"/>
      <c r="H979" s="115"/>
      <c r="I979" s="115"/>
      <c r="J979" s="115"/>
      <c r="K979" s="115"/>
      <c r="L979" s="115"/>
      <c r="M979" s="115"/>
      <c r="N979" s="115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  <c r="AA979" s="115"/>
      <c r="AB979" s="115"/>
      <c r="AC979" s="115"/>
      <c r="AD979" s="115"/>
      <c r="AE979" s="115"/>
      <c r="AF979" s="115"/>
      <c r="AG979" s="115"/>
      <c r="AH979" s="115"/>
      <c r="AI979" s="115"/>
      <c r="AJ979" s="115"/>
      <c r="AK979" s="115"/>
      <c r="AL979" s="115"/>
      <c r="AM979" s="115"/>
      <c r="AN979" s="115"/>
      <c r="AO979" s="115"/>
      <c r="AP979" s="115"/>
      <c r="AQ979" s="115"/>
      <c r="AR979" s="115"/>
      <c r="AS979" s="115"/>
      <c r="AT979" s="115"/>
      <c r="AU979" s="115"/>
      <c r="AV979" s="115"/>
    </row>
    <row r="980">
      <c r="A980" s="115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115"/>
      <c r="M980" s="115"/>
      <c r="N980" s="115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  <c r="AA980" s="115"/>
      <c r="AB980" s="115"/>
      <c r="AC980" s="115"/>
      <c r="AD980" s="115"/>
      <c r="AE980" s="115"/>
      <c r="AF980" s="115"/>
      <c r="AG980" s="115"/>
      <c r="AH980" s="115"/>
      <c r="AI980" s="115"/>
      <c r="AJ980" s="115"/>
      <c r="AK980" s="115"/>
      <c r="AL980" s="115"/>
      <c r="AM980" s="115"/>
      <c r="AN980" s="115"/>
      <c r="AO980" s="115"/>
      <c r="AP980" s="115"/>
      <c r="AQ980" s="115"/>
      <c r="AR980" s="115"/>
      <c r="AS980" s="115"/>
      <c r="AT980" s="115"/>
      <c r="AU980" s="115"/>
      <c r="AV980" s="115"/>
    </row>
    <row r="981">
      <c r="A981" s="115"/>
      <c r="B981" s="115"/>
      <c r="C981" s="115"/>
      <c r="D981" s="115"/>
      <c r="E981" s="115"/>
      <c r="F981" s="115"/>
      <c r="G981" s="115"/>
      <c r="H981" s="115"/>
      <c r="I981" s="115"/>
      <c r="J981" s="115"/>
      <c r="K981" s="115"/>
      <c r="L981" s="115"/>
      <c r="M981" s="115"/>
      <c r="N981" s="115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  <c r="AA981" s="115"/>
      <c r="AB981" s="115"/>
      <c r="AC981" s="115"/>
      <c r="AD981" s="115"/>
      <c r="AE981" s="115"/>
      <c r="AF981" s="115"/>
      <c r="AG981" s="115"/>
      <c r="AH981" s="115"/>
      <c r="AI981" s="115"/>
      <c r="AJ981" s="115"/>
      <c r="AK981" s="115"/>
      <c r="AL981" s="115"/>
      <c r="AM981" s="115"/>
      <c r="AN981" s="115"/>
      <c r="AO981" s="115"/>
      <c r="AP981" s="115"/>
      <c r="AQ981" s="115"/>
      <c r="AR981" s="115"/>
      <c r="AS981" s="115"/>
      <c r="AT981" s="115"/>
      <c r="AU981" s="115"/>
      <c r="AV981" s="115"/>
    </row>
    <row r="982">
      <c r="A982" s="115"/>
      <c r="B982" s="115"/>
      <c r="C982" s="115"/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  <c r="AA982" s="115"/>
      <c r="AB982" s="115"/>
      <c r="AC982" s="115"/>
      <c r="AD982" s="115"/>
      <c r="AE982" s="115"/>
      <c r="AF982" s="115"/>
      <c r="AG982" s="115"/>
      <c r="AH982" s="115"/>
      <c r="AI982" s="115"/>
      <c r="AJ982" s="115"/>
      <c r="AK982" s="115"/>
      <c r="AL982" s="115"/>
      <c r="AM982" s="115"/>
      <c r="AN982" s="115"/>
      <c r="AO982" s="115"/>
      <c r="AP982" s="115"/>
      <c r="AQ982" s="115"/>
      <c r="AR982" s="115"/>
      <c r="AS982" s="115"/>
      <c r="AT982" s="115"/>
      <c r="AU982" s="115"/>
      <c r="AV982" s="115"/>
    </row>
    <row r="983">
      <c r="A983" s="115"/>
      <c r="B983" s="115"/>
      <c r="C983" s="115"/>
      <c r="D983" s="115"/>
      <c r="E983" s="115"/>
      <c r="F983" s="115"/>
      <c r="G983" s="115"/>
      <c r="H983" s="115"/>
      <c r="I983" s="115"/>
      <c r="J983" s="115"/>
      <c r="K983" s="115"/>
      <c r="L983" s="115"/>
      <c r="M983" s="115"/>
      <c r="N983" s="115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  <c r="AA983" s="115"/>
      <c r="AB983" s="115"/>
      <c r="AC983" s="115"/>
      <c r="AD983" s="115"/>
      <c r="AE983" s="115"/>
      <c r="AF983" s="115"/>
      <c r="AG983" s="115"/>
      <c r="AH983" s="115"/>
      <c r="AI983" s="115"/>
      <c r="AJ983" s="115"/>
      <c r="AK983" s="115"/>
      <c r="AL983" s="115"/>
      <c r="AM983" s="115"/>
      <c r="AN983" s="115"/>
      <c r="AO983" s="115"/>
      <c r="AP983" s="115"/>
      <c r="AQ983" s="115"/>
      <c r="AR983" s="115"/>
      <c r="AS983" s="115"/>
      <c r="AT983" s="115"/>
      <c r="AU983" s="115"/>
      <c r="AV983" s="115"/>
    </row>
    <row r="984">
      <c r="A984" s="115"/>
      <c r="B984" s="115"/>
      <c r="C984" s="115"/>
      <c r="D984" s="115"/>
      <c r="E984" s="115"/>
      <c r="F984" s="115"/>
      <c r="G984" s="115"/>
      <c r="H984" s="115"/>
      <c r="I984" s="115"/>
      <c r="J984" s="115"/>
      <c r="K984" s="115"/>
      <c r="L984" s="115"/>
      <c r="M984" s="115"/>
      <c r="N984" s="115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  <c r="AA984" s="115"/>
      <c r="AB984" s="115"/>
      <c r="AC984" s="115"/>
      <c r="AD984" s="115"/>
      <c r="AE984" s="115"/>
      <c r="AF984" s="115"/>
      <c r="AG984" s="115"/>
      <c r="AH984" s="115"/>
      <c r="AI984" s="115"/>
      <c r="AJ984" s="115"/>
      <c r="AK984" s="115"/>
      <c r="AL984" s="115"/>
      <c r="AM984" s="115"/>
      <c r="AN984" s="115"/>
      <c r="AO984" s="115"/>
      <c r="AP984" s="115"/>
      <c r="AQ984" s="115"/>
      <c r="AR984" s="115"/>
      <c r="AS984" s="115"/>
      <c r="AT984" s="115"/>
      <c r="AU984" s="115"/>
      <c r="AV984" s="115"/>
    </row>
    <row r="985">
      <c r="A985" s="115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  <c r="AA985" s="115"/>
      <c r="AB985" s="115"/>
      <c r="AC985" s="115"/>
      <c r="AD985" s="115"/>
      <c r="AE985" s="115"/>
      <c r="AF985" s="115"/>
      <c r="AG985" s="115"/>
      <c r="AH985" s="115"/>
      <c r="AI985" s="115"/>
      <c r="AJ985" s="115"/>
      <c r="AK985" s="115"/>
      <c r="AL985" s="115"/>
      <c r="AM985" s="115"/>
      <c r="AN985" s="115"/>
      <c r="AO985" s="115"/>
      <c r="AP985" s="115"/>
      <c r="AQ985" s="115"/>
      <c r="AR985" s="115"/>
      <c r="AS985" s="115"/>
      <c r="AT985" s="115"/>
      <c r="AU985" s="115"/>
      <c r="AV985" s="115"/>
    </row>
    <row r="986">
      <c r="A986" s="115"/>
      <c r="B986" s="115"/>
      <c r="C986" s="115"/>
      <c r="D986" s="115"/>
      <c r="E986" s="115"/>
      <c r="F986" s="115"/>
      <c r="G986" s="115"/>
      <c r="H986" s="115"/>
      <c r="I986" s="115"/>
      <c r="J986" s="115"/>
      <c r="K986" s="115"/>
      <c r="L986" s="115"/>
      <c r="M986" s="115"/>
      <c r="N986" s="115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  <c r="AA986" s="115"/>
      <c r="AB986" s="115"/>
      <c r="AC986" s="115"/>
      <c r="AD986" s="115"/>
      <c r="AE986" s="115"/>
      <c r="AF986" s="115"/>
      <c r="AG986" s="115"/>
      <c r="AH986" s="115"/>
      <c r="AI986" s="115"/>
      <c r="AJ986" s="115"/>
      <c r="AK986" s="115"/>
      <c r="AL986" s="115"/>
      <c r="AM986" s="115"/>
      <c r="AN986" s="115"/>
      <c r="AO986" s="115"/>
      <c r="AP986" s="115"/>
      <c r="AQ986" s="115"/>
      <c r="AR986" s="115"/>
      <c r="AS986" s="115"/>
      <c r="AT986" s="115"/>
      <c r="AU986" s="115"/>
      <c r="AV986" s="115"/>
    </row>
    <row r="987">
      <c r="A987" s="115"/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  <c r="AA987" s="115"/>
      <c r="AB987" s="115"/>
      <c r="AC987" s="115"/>
      <c r="AD987" s="115"/>
      <c r="AE987" s="115"/>
      <c r="AF987" s="115"/>
      <c r="AG987" s="115"/>
      <c r="AH987" s="115"/>
      <c r="AI987" s="115"/>
      <c r="AJ987" s="115"/>
      <c r="AK987" s="115"/>
      <c r="AL987" s="115"/>
      <c r="AM987" s="115"/>
      <c r="AN987" s="115"/>
      <c r="AO987" s="115"/>
      <c r="AP987" s="115"/>
      <c r="AQ987" s="115"/>
      <c r="AR987" s="115"/>
      <c r="AS987" s="115"/>
      <c r="AT987" s="115"/>
      <c r="AU987" s="115"/>
      <c r="AV987" s="115"/>
    </row>
    <row r="988">
      <c r="A988" s="115"/>
      <c r="B988" s="115"/>
      <c r="C988" s="115"/>
      <c r="D988" s="115"/>
      <c r="E988" s="115"/>
      <c r="F988" s="115"/>
      <c r="G988" s="115"/>
      <c r="H988" s="115"/>
      <c r="I988" s="115"/>
      <c r="J988" s="115"/>
      <c r="K988" s="115"/>
      <c r="L988" s="115"/>
      <c r="M988" s="115"/>
      <c r="N988" s="115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  <c r="AA988" s="115"/>
      <c r="AB988" s="115"/>
      <c r="AC988" s="115"/>
      <c r="AD988" s="115"/>
      <c r="AE988" s="115"/>
      <c r="AF988" s="115"/>
      <c r="AG988" s="115"/>
      <c r="AH988" s="115"/>
      <c r="AI988" s="115"/>
      <c r="AJ988" s="115"/>
      <c r="AK988" s="115"/>
      <c r="AL988" s="115"/>
      <c r="AM988" s="115"/>
      <c r="AN988" s="115"/>
      <c r="AO988" s="115"/>
      <c r="AP988" s="115"/>
      <c r="AQ988" s="115"/>
      <c r="AR988" s="115"/>
      <c r="AS988" s="115"/>
      <c r="AT988" s="115"/>
      <c r="AU988" s="115"/>
      <c r="AV988" s="115"/>
    </row>
    <row r="989">
      <c r="A989" s="11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  <c r="AA989" s="115"/>
      <c r="AB989" s="115"/>
      <c r="AC989" s="115"/>
      <c r="AD989" s="115"/>
      <c r="AE989" s="115"/>
      <c r="AF989" s="115"/>
      <c r="AG989" s="115"/>
      <c r="AH989" s="115"/>
      <c r="AI989" s="115"/>
      <c r="AJ989" s="115"/>
      <c r="AK989" s="115"/>
      <c r="AL989" s="115"/>
      <c r="AM989" s="115"/>
      <c r="AN989" s="115"/>
      <c r="AO989" s="115"/>
      <c r="AP989" s="115"/>
      <c r="AQ989" s="115"/>
      <c r="AR989" s="115"/>
      <c r="AS989" s="115"/>
      <c r="AT989" s="115"/>
      <c r="AU989" s="115"/>
      <c r="AV989" s="115"/>
    </row>
    <row r="990">
      <c r="A990" s="115"/>
      <c r="B990" s="115"/>
      <c r="C990" s="115"/>
      <c r="D990" s="115"/>
      <c r="E990" s="115"/>
      <c r="F990" s="115"/>
      <c r="G990" s="115"/>
      <c r="H990" s="115"/>
      <c r="I990" s="115"/>
      <c r="J990" s="115"/>
      <c r="K990" s="115"/>
      <c r="L990" s="115"/>
      <c r="M990" s="115"/>
      <c r="N990" s="115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  <c r="Z990" s="115"/>
      <c r="AA990" s="115"/>
      <c r="AB990" s="115"/>
      <c r="AC990" s="115"/>
      <c r="AD990" s="115"/>
      <c r="AE990" s="115"/>
      <c r="AF990" s="115"/>
      <c r="AG990" s="115"/>
      <c r="AH990" s="115"/>
      <c r="AI990" s="115"/>
      <c r="AJ990" s="115"/>
      <c r="AK990" s="115"/>
      <c r="AL990" s="115"/>
      <c r="AM990" s="115"/>
      <c r="AN990" s="115"/>
      <c r="AO990" s="115"/>
      <c r="AP990" s="115"/>
      <c r="AQ990" s="115"/>
      <c r="AR990" s="115"/>
      <c r="AS990" s="115"/>
      <c r="AT990" s="115"/>
      <c r="AU990" s="115"/>
      <c r="AV990" s="115"/>
    </row>
    <row r="991">
      <c r="A991" s="115"/>
      <c r="B991" s="115"/>
      <c r="C991" s="115"/>
      <c r="D991" s="115"/>
      <c r="E991" s="115"/>
      <c r="F991" s="115"/>
      <c r="G991" s="115"/>
      <c r="H991" s="115"/>
      <c r="I991" s="115"/>
      <c r="J991" s="115"/>
      <c r="K991" s="115"/>
      <c r="L991" s="115"/>
      <c r="M991" s="115"/>
      <c r="N991" s="115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  <c r="Z991" s="115"/>
      <c r="AA991" s="115"/>
      <c r="AB991" s="115"/>
      <c r="AC991" s="115"/>
      <c r="AD991" s="115"/>
      <c r="AE991" s="115"/>
      <c r="AF991" s="115"/>
      <c r="AG991" s="115"/>
      <c r="AH991" s="115"/>
      <c r="AI991" s="115"/>
      <c r="AJ991" s="115"/>
      <c r="AK991" s="115"/>
      <c r="AL991" s="115"/>
      <c r="AM991" s="115"/>
      <c r="AN991" s="115"/>
      <c r="AO991" s="115"/>
      <c r="AP991" s="115"/>
      <c r="AQ991" s="115"/>
      <c r="AR991" s="115"/>
      <c r="AS991" s="115"/>
      <c r="AT991" s="115"/>
      <c r="AU991" s="115"/>
      <c r="AV991" s="115"/>
    </row>
    <row r="992">
      <c r="A992" s="115"/>
      <c r="B992" s="115"/>
      <c r="C992" s="115"/>
      <c r="D992" s="115"/>
      <c r="E992" s="115"/>
      <c r="F992" s="115"/>
      <c r="G992" s="115"/>
      <c r="H992" s="115"/>
      <c r="I992" s="115"/>
      <c r="J992" s="115"/>
      <c r="K992" s="115"/>
      <c r="L992" s="115"/>
      <c r="M992" s="115"/>
      <c r="N992" s="115"/>
      <c r="O992" s="115"/>
      <c r="P992" s="115"/>
      <c r="Q992" s="115"/>
      <c r="R992" s="115"/>
      <c r="S992" s="115"/>
      <c r="T992" s="115"/>
      <c r="U992" s="115"/>
      <c r="V992" s="115"/>
      <c r="W992" s="115"/>
      <c r="X992" s="115"/>
      <c r="Y992" s="115"/>
      <c r="Z992" s="115"/>
      <c r="AA992" s="115"/>
      <c r="AB992" s="115"/>
      <c r="AC992" s="115"/>
      <c r="AD992" s="115"/>
      <c r="AE992" s="115"/>
      <c r="AF992" s="115"/>
      <c r="AG992" s="115"/>
      <c r="AH992" s="115"/>
      <c r="AI992" s="115"/>
      <c r="AJ992" s="115"/>
      <c r="AK992" s="115"/>
      <c r="AL992" s="115"/>
      <c r="AM992" s="115"/>
      <c r="AN992" s="115"/>
      <c r="AO992" s="115"/>
      <c r="AP992" s="115"/>
      <c r="AQ992" s="115"/>
      <c r="AR992" s="115"/>
      <c r="AS992" s="115"/>
      <c r="AT992" s="115"/>
      <c r="AU992" s="115"/>
      <c r="AV992" s="115"/>
    </row>
    <row r="993">
      <c r="A993" s="115"/>
      <c r="B993" s="115"/>
      <c r="C993" s="115"/>
      <c r="D993" s="115"/>
      <c r="E993" s="115"/>
      <c r="F993" s="115"/>
      <c r="G993" s="115"/>
      <c r="H993" s="115"/>
      <c r="I993" s="115"/>
      <c r="J993" s="115"/>
      <c r="K993" s="115"/>
      <c r="L993" s="115"/>
      <c r="M993" s="115"/>
      <c r="N993" s="115"/>
      <c r="O993" s="115"/>
      <c r="P993" s="115"/>
      <c r="Q993" s="115"/>
      <c r="R993" s="115"/>
      <c r="S993" s="115"/>
      <c r="T993" s="115"/>
      <c r="U993" s="115"/>
      <c r="V993" s="115"/>
      <c r="W993" s="115"/>
      <c r="X993" s="115"/>
      <c r="Y993" s="115"/>
      <c r="Z993" s="115"/>
      <c r="AA993" s="115"/>
      <c r="AB993" s="115"/>
      <c r="AC993" s="115"/>
      <c r="AD993" s="115"/>
      <c r="AE993" s="115"/>
      <c r="AF993" s="115"/>
      <c r="AG993" s="115"/>
      <c r="AH993" s="115"/>
      <c r="AI993" s="115"/>
      <c r="AJ993" s="115"/>
      <c r="AK993" s="115"/>
      <c r="AL993" s="115"/>
      <c r="AM993" s="115"/>
      <c r="AN993" s="115"/>
      <c r="AO993" s="115"/>
      <c r="AP993" s="115"/>
      <c r="AQ993" s="115"/>
      <c r="AR993" s="115"/>
      <c r="AS993" s="115"/>
      <c r="AT993" s="115"/>
      <c r="AU993" s="115"/>
      <c r="AV993" s="115"/>
    </row>
    <row r="994">
      <c r="A994" s="115"/>
      <c r="B994" s="115"/>
      <c r="C994" s="115"/>
      <c r="D994" s="115"/>
      <c r="E994" s="115"/>
      <c r="F994" s="115"/>
      <c r="G994" s="115"/>
      <c r="H994" s="115"/>
      <c r="I994" s="115"/>
      <c r="J994" s="115"/>
      <c r="K994" s="115"/>
      <c r="L994" s="115"/>
      <c r="M994" s="115"/>
      <c r="N994" s="115"/>
      <c r="O994" s="115"/>
      <c r="P994" s="115"/>
      <c r="Q994" s="115"/>
      <c r="R994" s="115"/>
      <c r="S994" s="115"/>
      <c r="T994" s="115"/>
      <c r="U994" s="115"/>
      <c r="V994" s="115"/>
      <c r="W994" s="115"/>
      <c r="X994" s="115"/>
      <c r="Y994" s="115"/>
      <c r="Z994" s="115"/>
      <c r="AA994" s="115"/>
      <c r="AB994" s="115"/>
      <c r="AC994" s="115"/>
      <c r="AD994" s="115"/>
      <c r="AE994" s="115"/>
      <c r="AF994" s="115"/>
      <c r="AG994" s="115"/>
      <c r="AH994" s="115"/>
      <c r="AI994" s="115"/>
      <c r="AJ994" s="115"/>
      <c r="AK994" s="115"/>
      <c r="AL994" s="115"/>
      <c r="AM994" s="115"/>
      <c r="AN994" s="115"/>
      <c r="AO994" s="115"/>
      <c r="AP994" s="115"/>
      <c r="AQ994" s="115"/>
      <c r="AR994" s="115"/>
      <c r="AS994" s="115"/>
      <c r="AT994" s="115"/>
      <c r="AU994" s="115"/>
      <c r="AV994" s="115"/>
    </row>
    <row r="995">
      <c r="A995" s="115"/>
      <c r="B995" s="115"/>
      <c r="C995" s="115"/>
      <c r="D995" s="115"/>
      <c r="E995" s="115"/>
      <c r="F995" s="115"/>
      <c r="G995" s="115"/>
      <c r="H995" s="115"/>
      <c r="I995" s="115"/>
      <c r="J995" s="115"/>
      <c r="K995" s="115"/>
      <c r="L995" s="115"/>
      <c r="M995" s="115"/>
      <c r="N995" s="115"/>
      <c r="O995" s="115"/>
      <c r="P995" s="115"/>
      <c r="Q995" s="115"/>
      <c r="R995" s="115"/>
      <c r="S995" s="115"/>
      <c r="T995" s="115"/>
      <c r="U995" s="115"/>
      <c r="V995" s="115"/>
      <c r="W995" s="115"/>
      <c r="X995" s="115"/>
      <c r="Y995" s="115"/>
      <c r="Z995" s="115"/>
      <c r="AA995" s="115"/>
      <c r="AB995" s="115"/>
      <c r="AC995" s="115"/>
      <c r="AD995" s="115"/>
      <c r="AE995" s="115"/>
      <c r="AF995" s="115"/>
      <c r="AG995" s="115"/>
      <c r="AH995" s="115"/>
      <c r="AI995" s="115"/>
      <c r="AJ995" s="115"/>
      <c r="AK995" s="115"/>
      <c r="AL995" s="115"/>
      <c r="AM995" s="115"/>
      <c r="AN995" s="115"/>
      <c r="AO995" s="115"/>
      <c r="AP995" s="115"/>
      <c r="AQ995" s="115"/>
      <c r="AR995" s="115"/>
      <c r="AS995" s="115"/>
      <c r="AT995" s="115"/>
      <c r="AU995" s="115"/>
      <c r="AV995" s="115"/>
    </row>
    <row r="996">
      <c r="A996" s="115"/>
      <c r="B996" s="115"/>
      <c r="C996" s="115"/>
      <c r="D996" s="115"/>
      <c r="E996" s="115"/>
      <c r="F996" s="115"/>
      <c r="G996" s="115"/>
      <c r="H996" s="115"/>
      <c r="I996" s="115"/>
      <c r="J996" s="115"/>
      <c r="K996" s="115"/>
      <c r="L996" s="115"/>
      <c r="M996" s="115"/>
      <c r="N996" s="115"/>
      <c r="O996" s="115"/>
      <c r="P996" s="115"/>
      <c r="Q996" s="115"/>
      <c r="R996" s="115"/>
      <c r="S996" s="115"/>
      <c r="T996" s="115"/>
      <c r="U996" s="115"/>
      <c r="V996" s="115"/>
      <c r="W996" s="115"/>
      <c r="X996" s="115"/>
      <c r="Y996" s="115"/>
      <c r="Z996" s="115"/>
      <c r="AA996" s="115"/>
      <c r="AB996" s="115"/>
      <c r="AC996" s="115"/>
      <c r="AD996" s="115"/>
      <c r="AE996" s="115"/>
      <c r="AF996" s="115"/>
      <c r="AG996" s="115"/>
      <c r="AH996" s="115"/>
      <c r="AI996" s="115"/>
      <c r="AJ996" s="115"/>
      <c r="AK996" s="115"/>
      <c r="AL996" s="115"/>
      <c r="AM996" s="115"/>
      <c r="AN996" s="115"/>
      <c r="AO996" s="115"/>
      <c r="AP996" s="115"/>
      <c r="AQ996" s="115"/>
      <c r="AR996" s="115"/>
      <c r="AS996" s="115"/>
      <c r="AT996" s="115"/>
      <c r="AU996" s="115"/>
      <c r="AV996" s="115"/>
    </row>
    <row r="997">
      <c r="A997" s="115"/>
      <c r="B997" s="115"/>
      <c r="C997" s="115"/>
      <c r="D997" s="115"/>
      <c r="E997" s="115"/>
      <c r="F997" s="115"/>
      <c r="G997" s="115"/>
      <c r="H997" s="115"/>
      <c r="I997" s="115"/>
      <c r="J997" s="115"/>
      <c r="K997" s="115"/>
      <c r="L997" s="115"/>
      <c r="M997" s="115"/>
      <c r="N997" s="115"/>
      <c r="O997" s="115"/>
      <c r="P997" s="115"/>
      <c r="Q997" s="115"/>
      <c r="R997" s="115"/>
      <c r="S997" s="115"/>
      <c r="T997" s="115"/>
      <c r="U997" s="115"/>
      <c r="V997" s="115"/>
      <c r="W997" s="115"/>
      <c r="X997" s="115"/>
      <c r="Y997" s="115"/>
      <c r="Z997" s="115"/>
      <c r="AA997" s="115"/>
      <c r="AB997" s="115"/>
      <c r="AC997" s="115"/>
      <c r="AD997" s="115"/>
      <c r="AE997" s="115"/>
      <c r="AF997" s="115"/>
      <c r="AG997" s="115"/>
      <c r="AH997" s="115"/>
      <c r="AI997" s="115"/>
      <c r="AJ997" s="115"/>
      <c r="AK997" s="115"/>
      <c r="AL997" s="115"/>
      <c r="AM997" s="115"/>
      <c r="AN997" s="115"/>
      <c r="AO997" s="115"/>
      <c r="AP997" s="115"/>
      <c r="AQ997" s="115"/>
      <c r="AR997" s="115"/>
      <c r="AS997" s="115"/>
      <c r="AT997" s="115"/>
      <c r="AU997" s="115"/>
      <c r="AV997" s="115"/>
    </row>
    <row r="998">
      <c r="A998" s="115"/>
      <c r="B998" s="115"/>
      <c r="C998" s="115"/>
      <c r="D998" s="115"/>
      <c r="E998" s="115"/>
      <c r="F998" s="115"/>
      <c r="G998" s="115"/>
      <c r="H998" s="115"/>
      <c r="I998" s="115"/>
      <c r="J998" s="115"/>
      <c r="K998" s="115"/>
      <c r="L998" s="115"/>
      <c r="M998" s="115"/>
      <c r="N998" s="115"/>
      <c r="O998" s="115"/>
      <c r="P998" s="115"/>
      <c r="Q998" s="115"/>
      <c r="R998" s="115"/>
      <c r="S998" s="115"/>
      <c r="T998" s="115"/>
      <c r="U998" s="115"/>
      <c r="V998" s="115"/>
      <c r="W998" s="115"/>
      <c r="X998" s="115"/>
      <c r="Y998" s="115"/>
      <c r="Z998" s="115"/>
      <c r="AA998" s="115"/>
      <c r="AB998" s="115"/>
      <c r="AC998" s="115"/>
      <c r="AD998" s="115"/>
      <c r="AE998" s="115"/>
      <c r="AF998" s="115"/>
      <c r="AG998" s="115"/>
      <c r="AH998" s="115"/>
      <c r="AI998" s="115"/>
      <c r="AJ998" s="115"/>
      <c r="AK998" s="115"/>
      <c r="AL998" s="115"/>
      <c r="AM998" s="115"/>
      <c r="AN998" s="115"/>
      <c r="AO998" s="115"/>
      <c r="AP998" s="115"/>
      <c r="AQ998" s="115"/>
      <c r="AR998" s="115"/>
      <c r="AS998" s="115"/>
      <c r="AT998" s="115"/>
      <c r="AU998" s="115"/>
      <c r="AV998" s="115"/>
    </row>
    <row r="999">
      <c r="A999" s="115"/>
      <c r="B999" s="115"/>
      <c r="C999" s="115"/>
      <c r="D999" s="115"/>
      <c r="E999" s="115"/>
      <c r="F999" s="115"/>
      <c r="G999" s="115"/>
      <c r="H999" s="115"/>
      <c r="I999" s="115"/>
      <c r="J999" s="115"/>
      <c r="K999" s="115"/>
      <c r="L999" s="115"/>
      <c r="M999" s="115"/>
      <c r="N999" s="115"/>
      <c r="O999" s="115"/>
      <c r="P999" s="115"/>
      <c r="Q999" s="115"/>
      <c r="R999" s="115"/>
      <c r="S999" s="115"/>
      <c r="T999" s="115"/>
      <c r="U999" s="115"/>
      <c r="V999" s="115"/>
      <c r="W999" s="115"/>
      <c r="X999" s="115"/>
      <c r="Y999" s="115"/>
      <c r="Z999" s="115"/>
      <c r="AA999" s="115"/>
      <c r="AB999" s="115"/>
      <c r="AC999" s="115"/>
      <c r="AD999" s="115"/>
      <c r="AE999" s="115"/>
      <c r="AF999" s="115"/>
      <c r="AG999" s="115"/>
      <c r="AH999" s="115"/>
      <c r="AI999" s="115"/>
      <c r="AJ999" s="115"/>
      <c r="AK999" s="115"/>
      <c r="AL999" s="115"/>
      <c r="AM999" s="115"/>
      <c r="AN999" s="115"/>
      <c r="AO999" s="115"/>
      <c r="AP999" s="115"/>
      <c r="AQ999" s="115"/>
      <c r="AR999" s="115"/>
      <c r="AS999" s="115"/>
      <c r="AT999" s="115"/>
      <c r="AU999" s="115"/>
      <c r="AV999" s="115"/>
    </row>
    <row r="1000">
      <c r="A1000" s="115"/>
      <c r="B1000" s="115"/>
      <c r="C1000" s="115"/>
      <c r="D1000" s="115"/>
      <c r="E1000" s="115"/>
      <c r="F1000" s="115"/>
      <c r="G1000" s="115"/>
      <c r="H1000" s="115"/>
      <c r="I1000" s="115"/>
      <c r="J1000" s="115"/>
      <c r="K1000" s="115"/>
      <c r="L1000" s="115"/>
      <c r="M1000" s="115"/>
      <c r="N1000" s="115"/>
      <c r="O1000" s="115"/>
      <c r="P1000" s="115"/>
      <c r="Q1000" s="115"/>
      <c r="R1000" s="115"/>
      <c r="S1000" s="115"/>
      <c r="T1000" s="115"/>
      <c r="U1000" s="115"/>
      <c r="V1000" s="115"/>
      <c r="W1000" s="115"/>
      <c r="X1000" s="115"/>
      <c r="Y1000" s="115"/>
      <c r="Z1000" s="115"/>
      <c r="AA1000" s="115"/>
      <c r="AB1000" s="115"/>
      <c r="AC1000" s="115"/>
      <c r="AD1000" s="115"/>
      <c r="AE1000" s="115"/>
      <c r="AF1000" s="115"/>
      <c r="AG1000" s="115"/>
      <c r="AH1000" s="115"/>
      <c r="AI1000" s="115"/>
      <c r="AJ1000" s="115"/>
      <c r="AK1000" s="115"/>
      <c r="AL1000" s="115"/>
      <c r="AM1000" s="115"/>
      <c r="AN1000" s="115"/>
      <c r="AO1000" s="115"/>
      <c r="AP1000" s="115"/>
      <c r="AQ1000" s="115"/>
      <c r="AR1000" s="115"/>
      <c r="AS1000" s="115"/>
      <c r="AT1000" s="115"/>
      <c r="AU1000" s="115"/>
      <c r="AV1000" s="115"/>
    </row>
  </sheetData>
  <drawing r:id="rId1"/>
</worksheet>
</file>